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Оборудование Очаково" sheetId="1" r:id="rId5"/>
    <sheet state="hidden" name="Факт очаково" sheetId="2" r:id="rId6"/>
    <sheet state="hidden" name="Бинятов ассортимент" sheetId="3" r:id="rId7"/>
    <sheet state="hidden" name="Расчет Реском" sheetId="4" r:id="rId8"/>
    <sheet state="visible" name="Ёмкость точек" sheetId="5" r:id="rId9"/>
    <sheet state="visible" name="карта готовности" sheetId="6" r:id="rId10"/>
    <sheet state="visible" name="Справочник + атрибуты" sheetId="7" r:id="rId11"/>
    <sheet state="visible" name="Справочник атрибутов" sheetId="8" r:id="rId12"/>
    <sheet state="visible" name="Меню НА СЛЕДУЮЩИЙ МЕСЯЦ" sheetId="9" r:id="rId13"/>
    <sheet state="hidden" name="новогодние прзд." sheetId="10" r:id="rId14"/>
    <sheet state="hidden" name="Рабочие дни в праздники" sheetId="11" r:id="rId15"/>
    <sheet state="visible" name="Детали" sheetId="12" r:id="rId16"/>
    <sheet state="visible" name="Динамика 2 мес" sheetId="13" r:id="rId17"/>
    <sheet state="visible" name="Справочник" sheetId="14" r:id="rId18"/>
    <sheet state="visible" name="Матрица 4 недели" sheetId="15" r:id="rId19"/>
    <sheet state="visible" name="План 1-я неделя" sheetId="16" r:id="rId20"/>
    <sheet state="visible" name="План 2-я неделя" sheetId="17" r:id="rId21"/>
    <sheet state="visible" name="План 3-я неделя" sheetId="18" r:id="rId22"/>
    <sheet state="visible" name="План 4-я неделя" sheetId="19" r:id="rId23"/>
    <sheet state="visible" name="Контакты" sheetId="20" r:id="rId24"/>
    <sheet state="visible" name="СПК" sheetId="21" r:id="rId25"/>
    <sheet state="visible" name="Пр.-во 1я неделя" sheetId="22" r:id="rId26"/>
    <sheet state="visible" name="Пр.-во 2я неделя" sheetId="23" r:id="rId27"/>
    <sheet state="visible" name="Пр.-во 3я неделя" sheetId="24" r:id="rId28"/>
    <sheet state="visible" name="Пр.-во 4я неделя" sheetId="25" r:id="rId29"/>
    <sheet state="visible" name="КСПТ" sheetId="26" r:id="rId30"/>
    <sheet state="visible" name="Динамика загрузки" sheetId="27" r:id="rId31"/>
    <sheet state="visible" name="Мин и Макс точек" sheetId="28" r:id="rId32"/>
  </sheets>
  <definedNames>
    <definedName name="MY_FUNCTION1">LAMBDA(#REF!/#REF!*100%)</definedName>
  </definedNames>
  <calcPr/>
</workbook>
</file>

<file path=xl/sharedStrings.xml><?xml version="1.0" encoding="utf-8"?>
<sst xmlns="http://schemas.openxmlformats.org/spreadsheetml/2006/main" count="16614" uniqueCount="3503">
  <si>
    <t>Наименование</t>
  </si>
  <si>
    <t>Кол-во</t>
  </si>
  <si>
    <t>- [ ] Мойка двойная 135х70</t>
  </si>
  <si>
    <t>БИНЯТОВСКИЙ ХЛЕБОКОМБИНАТ</t>
  </si>
  <si>
    <t>- [ ] Мойка двух секционная 115х70</t>
  </si>
  <si>
    <t>ИТОГ</t>
  </si>
  <si>
    <t>- [ ] Мойка 70х70</t>
  </si>
  <si>
    <t>- [ ] Рукомойник 50х50</t>
  </si>
  <si>
    <t>- [ ] Рукомойник 40х40</t>
  </si>
  <si>
    <t>- [ ] Стол 150х70 деревянная столешница</t>
  </si>
  <si>
    <t>№</t>
  </si>
  <si>
    <t>- [ ] Стол 150х70</t>
  </si>
  <si>
    <t>Надо</t>
  </si>
  <si>
    <t>- [ ] Стол 150х60</t>
  </si>
  <si>
    <t>- [ ] Стол 120х70</t>
  </si>
  <si>
    <t>Есть</t>
  </si>
  <si>
    <t>- [ ] Стол 120х70 состояние плохое</t>
  </si>
  <si>
    <t>Купить</t>
  </si>
  <si>
    <t>- [ ] Стол 120х60</t>
  </si>
  <si>
    <t>Цена</t>
  </si>
  <si>
    <t>Стоимость</t>
  </si>
  <si>
    <t>- [ ] Стол 70х90</t>
  </si>
  <si>
    <t>Ссылка</t>
  </si>
  <si>
    <t>- [ ] Стол 70х60</t>
  </si>
  <si>
    <t>Сковорода опрокидывающаяся</t>
  </si>
  <si>
    <t>- [ ] Стол 60х60</t>
  </si>
  <si>
    <t>- [ ] Полка для крышек</t>
  </si>
  <si>
    <t>- [ ] Полка 150х30</t>
  </si>
  <si>
    <t>- [ ] Полка 120х30</t>
  </si>
  <si>
    <t>- [ ] Полка 90х30</t>
  </si>
  <si>
    <t>Адрес: г.Тюмень, Судостроителей 42</t>
  </si>
  <si>
    <t>- [ ] Холодильная витрина 120х65 двустворчатая</t>
  </si>
  <si>
    <t>- [ ] Холодильник Polar</t>
  </si>
  <si>
    <t>- [ ] Морозилка Polar 700 л</t>
  </si>
  <si>
    <t>- [ ] Плита четыре комфорки с духовкой аббат</t>
  </si>
  <si>
    <t>- [ ] Плита двух комфорочная аббат</t>
  </si>
  <si>
    <t>- [ ] Универсальная кухонная машина УКМ</t>
  </si>
  <si>
    <t>- [ ] Гриль 60х76</t>
  </si>
  <si>
    <t>https://www.avito.ru/kirovskaya_oblast_kirov/oborudovanie_dlya_biznesa/skovoroda_oprokidyvayuschayasya_tula_sesm-03n_4167586681?context=H4sIAAAAAAAA_wE_AMD_YToyOntzOjEzOiJsb2NhbFByaW9yaXR5IjtiOjA7czoxOiJ4IjtzOjE2OiJzRUtOdmRzT0cyZnNXUWhPIjt9leFoFz8AAAA</t>
  </si>
  <si>
    <t>- [ ] Электро Сковорода на 80 л</t>
  </si>
  <si>
    <t>- [ ] Печь Пекарская и шкаф расточный</t>
  </si>
  <si>
    <t>- [ ] Тесто мест аббат 40л</t>
  </si>
  <si>
    <t>- [ ] Тележка шпилька</t>
  </si>
  <si>
    <t>- [ ] Столешница с отверстием для сброса мусора 90х60</t>
  </si>
  <si>
    <t>- [ ] весы напольные сломанные</t>
  </si>
  <si>
    <t>- [ ] Тележка шпилька три уровня</t>
  </si>
  <si>
    <t>- [ ] Слайсер</t>
  </si>
  <si>
    <t>- [ ] Зонт вытяжной 150х100</t>
  </si>
  <si>
    <t>- [ ] Зонт вытяжной 100х100</t>
  </si>
  <si>
    <t>Матрица блюд ПЕРВАЯ неделя</t>
  </si>
  <si>
    <t>Колл-центр: +7(3452)48-10-24, +7(922)489-6207</t>
  </si>
  <si>
    <t>- [ ] Машина посудомоечная горизонтальная загрузка</t>
  </si>
  <si>
    <t>Тестомес 60л Abbat</t>
  </si>
  <si>
    <t xml:space="preserve"> стеллаж четыре уровня</t>
  </si>
  <si>
    <t>https://abat.ru/catalog/testomesy/spiralnyy-testomes-tms-60nn-1r-serii-light/</t>
  </si>
  <si>
    <t>- [ ] Стеллаж четыре полки 150х50х185</t>
  </si>
  <si>
    <t>Менеджер: +7 902 551-15-51</t>
  </si>
  <si>
    <t>- [ ] Стеллаж 120х50 4 полки</t>
  </si>
  <si>
    <t>- [ ] Стеллаж 100х50х200 м пять полок</t>
  </si>
  <si>
    <t>- [ ] Стеллаж 120х30 4 полки</t>
  </si>
  <si>
    <t>Тестомесильная машина Miratek PX-40</t>
  </si>
  <si>
    <t>- [ ] Блок раздачи с полкой 112х73 с внутренними шкафами</t>
  </si>
  <si>
    <t>Прайс-лист Хлебобулочной продукции  25.10.2024г.</t>
  </si>
  <si>
    <t>Мясорубка мим-600</t>
  </si>
  <si>
    <t>https://www.avito.ru/sankt-peterburg/bytovaya_tehnika/myasorubka_mim-600_7269946449?slocation=659020&amp;context=H4sIAAAAAAAA_wE_AMD_YToyOntzOjEzOiJsb2NhbFByaW9yaXR5IjtiOjE7czoxOiJ4IjtzOjE2OiI4QlZRbWxyWHpSd2dDREF1Ijt9SgdCXT8AAAA</t>
  </si>
  <si>
    <t>код</t>
  </si>
  <si>
    <t xml:space="preserve">Завтрак </t>
  </si>
  <si>
    <t>Шт</t>
  </si>
  <si>
    <t>Наименование товаров</t>
  </si>
  <si>
    <t>Срок хранения (часов)</t>
  </si>
  <si>
    <t>Салат</t>
  </si>
  <si>
    <t>Цена за шт./руб.</t>
  </si>
  <si>
    <t>Кол-во, шт</t>
  </si>
  <si>
    <t>RobotCoupe CL50 E</t>
  </si>
  <si>
    <t>Суп</t>
  </si>
  <si>
    <t>https://www.avito.ru/samara/oborudovanie_dlya_biznesa/ovoscherezka_robot_coupe_cl50e_s_diskami_4605343063?segment=avitoForBusiness&amp;slocation=659020&amp;context=H4sIAAAAAAAA_wGDAHz_YTo0OntzOjk6ImZyb21TcGFjZSI7czoxNjoiYXZpdG9Gb3JCdXNpbmVzcyI7czoxMzoibG9jYWxQcmlvcml0eSI7YjoxO3M6Mzoic3JjIjtzOjEwOiJhZmJfc2VhcmNoIjtzOjE6IngiO3M6MTY6ImtjdlZxbkR6WkFQRzZoMmEiO31KVkvkgwAAAA</t>
  </si>
  <si>
    <t>ХЛЕБ Пшеничный</t>
  </si>
  <si>
    <t>Второе</t>
  </si>
  <si>
    <t>Выпечка</t>
  </si>
  <si>
    <t>Сэндвич</t>
  </si>
  <si>
    <t>Япония</t>
  </si>
  <si>
    <t xml:space="preserve">Индукционная конфорка </t>
  </si>
  <si>
    <t>Хлеб Пшеничный из муки первого сорта 0,5кг неупак.</t>
  </si>
  <si>
    <t>https://www.avito.ru/tyumen/oborudovanie_dlya_biznesa/plita_induktsionnaya_indokor_in3500_4613302168?context=H4sIAAAAAAAA_wE_AMD_YToyOntzOjEzOiJsb2NhbFByaW9yaXR5IjtiOjE7czoxOiJ4IjtzOjE2OiJPQ2JtbUtuWFpMUGdtZ3piIjt9gk7aRj8AAAA</t>
  </si>
  <si>
    <t>Вс.</t>
  </si>
  <si>
    <t>Хлеб Пшеничный из муки первого сорта 0,5кг нарезка упак.</t>
  </si>
  <si>
    <t>Омлет воздушный</t>
  </si>
  <si>
    <t>Хлеб Пшеничный из муки первого сорта 0,250 кг неупак.</t>
  </si>
  <si>
    <t xml:space="preserve">Фильт для воды </t>
  </si>
  <si>
    <t>Салат ''Оливье'' (колбаса варен)</t>
  </si>
  <si>
    <t>Хлеб Пшеничный из муки первого сорта 0,250 кг упак.</t>
  </si>
  <si>
    <t>https://vodni-standart.ru/?utm_source=yandex&amp;utm_medium=cpc&amp;utm_campaign=115908423&amp;utm_term=---autotargeting&amp;utm_banner=1859837756768689779&amp;utm_phrase=53670918000&amp;utm_content=premium/5&amp;calltouch_tm=yd_c:115908423_gb:5512460668_ad:1859837756768689779_ph:53670918000_st:search_pt:premium_p:5_s:none_dt:desktop_reg:55_ret:53670918000_apt:none&amp;yclid=9140691686113411071#rec837852192</t>
  </si>
  <si>
    <t>Хлеб Тартин 0,4кг упак.</t>
  </si>
  <si>
    <t>Борщ с курицей</t>
  </si>
  <si>
    <t>Хлеб Тартин 0,4кг неупак.</t>
  </si>
  <si>
    <t>Хлеб Тостовый из муки высшего сорта 0,4кг нарезка упак.</t>
  </si>
  <si>
    <t>Мини багет 0,200 кг неупак, шт.</t>
  </si>
  <si>
    <t>Свинина с тмином со сложным гарниром</t>
  </si>
  <si>
    <t>Чиабатта пшеничная 0,250 кг неупак. шт.</t>
  </si>
  <si>
    <t>ХЛЕБ пшенично-ржаной</t>
  </si>
  <si>
    <t>Хлеб Дарницкий 0,6кг неупак</t>
  </si>
  <si>
    <t>Холодильник Polair 700 л</t>
  </si>
  <si>
    <t>Хлеб Дарницкий 0,6кг нарезка упак.</t>
  </si>
  <si>
    <t>https://www.avito.ru/tyumen/oborudovanie_dlya_biznesa/holodilnyy_shkaf_polair_07_3875580478?context=H4sIAAAAAAAA_wE_AMD_YToyOntzOjEzOiJsb2NhbFByaW9yaXR5IjtiOjE7czoxOiJ4IjtzOjE2OiJOQnRNcWE2cWZpbVBTazd6Ijt9_C3HcD8AAAA</t>
  </si>
  <si>
    <t>Хлеб Дарницкий 0,28кг нарезка упак.</t>
  </si>
  <si>
    <t>Хлеб Бородинский 0,4кг неупак.</t>
  </si>
  <si>
    <t>Хлеб Бородинский 0,4кг нарезка упак.</t>
  </si>
  <si>
    <t>Хлеб ржано-пшеничный «Николаевский» 0,5кг неупак</t>
  </si>
  <si>
    <t>Хлеб ржано-пшеничный «Николаевский» 0,5кг нарезка упак</t>
  </si>
  <si>
    <t xml:space="preserve"> Точки и ёмкость по категориям</t>
  </si>
  <si>
    <t>Хлеб ржано-пшеничный «Николаевский» 0,24кг нарезка упак</t>
  </si>
  <si>
    <t>Птица</t>
  </si>
  <si>
    <t>Стол нержавейка 1500х700мм</t>
  </si>
  <si>
    <t>Ёмкость = макс. количество порций/единиц в холодильнике точки по категории. 0 = категория не везётся.</t>
  </si>
  <si>
    <t>Хлеб «Тостовый ржаной» 0,3кг нарезка упак.</t>
  </si>
  <si>
    <t>https://www.avito.ru/tyumen?cd=1&amp;context=H4sIAAAAAAAA_0SRwXKbMBCG38XXHrLYdVycycERkSIiKRXjgOBmRIJxMEktgcCdvntHtWd6hF3tfP_379bB-rdZB7Ce6c_T6U3b5rOb3Zn17XdYz2hnNT3iQ0XaoWxd89K6Rh9TVxJ8KFLXMOyaQu39d5-r5KucLzU9fGlqUQXskOxDFAD7KYcmkkOFAvX06jh5dMAW0ghCgQ1ysOQBclcDu5FDOwY8ethzgRbAIjmEZANsldQViSh_PkH-lNQWfQNman_DVn5eSiPQBEzJvkK3wDY13746LggW541zJ9MrPPYQ38jB-nkkbYg8Q9JMUVILz_ie1CFaQX729x3kzM-kFf7fj9r9GjwDAraS_XTJAnkkrd9lTNoKLYGdpEGbUWw3jgqCaaQd588r1l48aTLu83lqi2wJCtFbheKmyMahCq4eSXreZVWfHtNJz__7Lo_hVGbYsAybQsX-rVEoNrtsedKB37ErheKpUDgolPh3-y1wjVZpq7v22od3zHz-FRUoBKZ87rl3YazP38neIkejx4BHUbLfasfxhask4eHabZxg17wc8uBlu5n4E3gOKNT-mofJznpHZ-8j9P3XlvArry1U8lnOkwtPJ0aNw0W5iD_yLm7zzLa6DT92WfVVYde8p0FI6_v72d2fvwEAAP__xFx2vaECAAA&amp;q=стол+нержавейка+1500+х+700</t>
  </si>
  <si>
    <t>Хлеб «Украинский новый» 0,55кг неупак</t>
  </si>
  <si>
    <t>Хлеб «Украинский новый» 0,55кг нарезка упак.</t>
  </si>
  <si>
    <t>Хлеб «Гречневый» 0,2 кг. упак. шт.</t>
  </si>
  <si>
    <t>Каша рисовая с вишней</t>
  </si>
  <si>
    <t>№ ТОЧКИ</t>
  </si>
  <si>
    <t>Хлеб Яровой 0.35кг нарезка упак.</t>
  </si>
  <si>
    <t>НАИМЕНОВАНИЕ ТОЧКИ</t>
  </si>
  <si>
    <t>Хлеб Яровой 0.35кг неупак.</t>
  </si>
  <si>
    <t>Супы</t>
  </si>
  <si>
    <t>Салаты</t>
  </si>
  <si>
    <t>Вторые блюда</t>
  </si>
  <si>
    <t>Сэндвичи</t>
  </si>
  <si>
    <t>Завтраки</t>
  </si>
  <si>
    <t>Хлеб пшенично-ржаной "Купеческий" 0,250 кг упак.</t>
  </si>
  <si>
    <t>Напитки</t>
  </si>
  <si>
    <t>Салат ''Винегрет'' (без капусты) 120 г</t>
  </si>
  <si>
    <t>Десерты</t>
  </si>
  <si>
    <t>АКТИВНА</t>
  </si>
  <si>
    <t>ХЛЕБ Диетический/обогащенный</t>
  </si>
  <si>
    <t>01</t>
  </si>
  <si>
    <t>Хлеб пшеничный</t>
  </si>
  <si>
    <t>Хлеб Бурже 0,3кг упак</t>
  </si>
  <si>
    <t>ЛеманаПРО Тобольский</t>
  </si>
  <si>
    <t>Хлеб с отрубями 0,3кг неупак.</t>
  </si>
  <si>
    <t>Хлеб с отрубями 0,3кг нарезка упак.</t>
  </si>
  <si>
    <t>Филе с сыром и макаронами</t>
  </si>
  <si>
    <t>Хлеб Кукурузный 0,3кг неупак.</t>
  </si>
  <si>
    <t>Хлеб Кукурузный 0,3кг упак.</t>
  </si>
  <si>
    <t>Хлеб "Трапезный" бездрожжевой 0,25 кг неупак., шт</t>
  </si>
  <si>
    <t>Да</t>
  </si>
  <si>
    <t>Хлеб "Трапезный" бездрожжевой 0,25 кг упак., шт</t>
  </si>
  <si>
    <t>Батон с отрубями 0,3кг нарезка упак.</t>
  </si>
  <si>
    <t>Стол нержавейка 1200х700мм</t>
  </si>
  <si>
    <t>02</t>
  </si>
  <si>
    <t>БУЛОЧНЫЕ изделия</t>
  </si>
  <si>
    <t>https://www.avito.ru/tyumen?q=стол+нержавейка+1200+х+700</t>
  </si>
  <si>
    <t>Очаково</t>
  </si>
  <si>
    <t>Батон особый 0,4кг нарезка упак.</t>
  </si>
  <si>
    <t>Батон нарезной молочный 0,3кг упак.</t>
  </si>
  <si>
    <t>Свинина</t>
  </si>
  <si>
    <t>Батон Столичный упак 0,4кг</t>
  </si>
  <si>
    <t>Булочка «Ромашка с маком» 0,3кг упак.</t>
  </si>
  <si>
    <t>МЕЛКОШТУЧНЫЕ изделия сдобные</t>
  </si>
  <si>
    <t>03</t>
  </si>
  <si>
    <t>Стол нержавейка 600х600мм</t>
  </si>
  <si>
    <t>ЗапСибГазпром</t>
  </si>
  <si>
    <t>Булочка домашняя 0,08кг упак.</t>
  </si>
  <si>
    <t>У Олега их как грязи</t>
  </si>
  <si>
    <t>Блинница автоматическая Sikom рк-1.2.20</t>
  </si>
  <si>
    <t>https://www.avito.ru/ryazan/bytovaya_tehnika/blinnyy_apparat_sikom_7309630210</t>
  </si>
  <si>
    <t>04</t>
  </si>
  <si>
    <t>Булочка ромашка 0,08кг упак.</t>
  </si>
  <si>
    <t>Технологии ОФС</t>
  </si>
  <si>
    <t>в 280 шт "сдидит" 195 шт СПК и по 5 шт на каждый маркет (17 шт)</t>
  </si>
  <si>
    <t>Рыба</t>
  </si>
  <si>
    <t>Булочка с повидлом 0,08кг упак.</t>
  </si>
  <si>
    <t>Рулетик с корицей 0,1кг упак.</t>
  </si>
  <si>
    <t>Сырные палочки 0,08кг упак</t>
  </si>
  <si>
    <t>Ванна моечная 700х700</t>
  </si>
  <si>
    <t>Ватрушка с творогом и вишней 0,130 кг упак, шт.</t>
  </si>
  <si>
    <t>05</t>
  </si>
  <si>
    <t>Бентек</t>
  </si>
  <si>
    <t>https://www.avito.ru/tyumen/oborudovanie_dlya_biznesa/pishevoe/neitralnoe/moecnoe_oborudovanie-ASgBAgICA0TqAvpPkKUU5vaOA6ylFPj3jgM?q=ванна+моечная+70</t>
  </si>
  <si>
    <t>Булочка "Творожная" 0,100 кг упак, шт.</t>
  </si>
  <si>
    <t>06</t>
  </si>
  <si>
    <t>Булочка с маком, 0,100 кг упак, шт.</t>
  </si>
  <si>
    <t>ОФС Тобольский тр-т</t>
  </si>
  <si>
    <t>МЕЛКОШТУЧНЫЕ изделия из Слоеного теста</t>
  </si>
  <si>
    <t>07</t>
  </si>
  <si>
    <t>Металл Профиль</t>
  </si>
  <si>
    <t>Слойка Свердловская 0,1кг упак.</t>
  </si>
  <si>
    <t>Слойка с яблоками 0,1кг упак</t>
  </si>
  <si>
    <t>Покупное</t>
  </si>
  <si>
    <t>Ванна моечная двойная 1150х700</t>
  </si>
  <si>
    <t>Слойка с малиной 0,1кг упак</t>
  </si>
  <si>
    <t>08</t>
  </si>
  <si>
    <t>ТубДиспансер</t>
  </si>
  <si>
    <t>Слойка с творогом 0,1кг упак</t>
  </si>
  <si>
    <t>Автоматический жироуловитель СПБ 1,0-70 Автосбор</t>
  </si>
  <si>
    <t>Слойка «Нежная» (с сыром) 0,1кг упак.</t>
  </si>
  <si>
    <t>09</t>
  </si>
  <si>
    <t>АИРТО</t>
  </si>
  <si>
    <t>Слойка с ветчиной и сыром 0,100кг, упак, шт.</t>
  </si>
  <si>
    <t>10</t>
  </si>
  <si>
    <t>Слойка со шпинатом 0,100кг, упак, шт.</t>
  </si>
  <si>
    <t>Скорая Суходольская</t>
  </si>
  <si>
    <t>Хачапури слоенный 0,1кг упак,шт</t>
  </si>
  <si>
    <t>Говядина</t>
  </si>
  <si>
    <t>11</t>
  </si>
  <si>
    <t>КАТРЕН</t>
  </si>
  <si>
    <t>https://polyfacture.ru/catalog/zhirouloviteli-avtosbor/23355/</t>
  </si>
  <si>
    <t>НАЦИОНАЛЬНЫЕ изделия</t>
  </si>
  <si>
    <t>12</t>
  </si>
  <si>
    <t>СПК АБК малое</t>
  </si>
  <si>
    <t>Шкаф для одежды ШМ-24</t>
  </si>
  <si>
    <t>13</t>
  </si>
  <si>
    <t>СПК АБК</t>
  </si>
  <si>
    <t>Лепешка с сыром 0,3кг упак.</t>
  </si>
  <si>
    <t>Лепешка пшеничная 0,25 упак, шт</t>
  </si>
  <si>
    <t>14</t>
  </si>
  <si>
    <t>Технопарк</t>
  </si>
  <si>
    <t>https://тюмень.железная-мебель.рф/catalog/metallicheskie-shkafy/shkafy-metallicheskie-dlya-razdevalok/shkafy-dlya-odezhdy/shkaf-dlya-odezhdy-shm-24/</t>
  </si>
  <si>
    <t>КУЛИНАРИЯ</t>
  </si>
  <si>
    <t>Ванна моечная большая</t>
  </si>
  <si>
    <t>15</t>
  </si>
  <si>
    <t>Слайсер</t>
  </si>
  <si>
    <t>АТМ Альянс</t>
  </si>
  <si>
    <t>Пицца с колбасой 0,15кг упак</t>
  </si>
  <si>
    <t>48ч t от 0 до+5</t>
  </si>
  <si>
    <t>Тележка-шпилька 16уровней</t>
  </si>
  <si>
    <t>Сосиска в тесте 0,110кг упак</t>
  </si>
  <si>
    <t>16</t>
  </si>
  <si>
    <t>Запсиб Первомайская</t>
  </si>
  <si>
    <t>Весы напольные</t>
  </si>
  <si>
    <t>Самса с куриной грудкой упак 0,15кг упак</t>
  </si>
  <si>
    <t>17</t>
  </si>
  <si>
    <t>ТЕСТО</t>
  </si>
  <si>
    <t>Шлюм Старотабольский малый</t>
  </si>
  <si>
    <t>https://www.avito.ru/tyumen/oborudovanie_dlya_biznesa/vesy_napolnye_elektronnye_torgovye_7509978347?segment=avitoForBusiness&amp;utm_campaign=native&amp;utm_medium=item_page_android&amp;utm_source=soc_sharing</t>
  </si>
  <si>
    <t>18</t>
  </si>
  <si>
    <t>ТюменьПрибор</t>
  </si>
  <si>
    <t>Тесто дрожжевое 1кг упак.</t>
  </si>
  <si>
    <t>24ч t от 0 до+5</t>
  </si>
  <si>
    <t>Тесто сдобное 1кг упак.</t>
  </si>
  <si>
    <t>Тесто слоеное дрожжевое 0,5кг упак.</t>
  </si>
  <si>
    <t>30 дней t -18</t>
  </si>
  <si>
    <t>19</t>
  </si>
  <si>
    <t>Технопарк 2</t>
  </si>
  <si>
    <t>20</t>
  </si>
  <si>
    <t>Перинатальный</t>
  </si>
  <si>
    <t>21</t>
  </si>
  <si>
    <t>Шлюмберже</t>
  </si>
  <si>
    <t>22</t>
  </si>
  <si>
    <t>ЛеманаПРО Менделеева</t>
  </si>
  <si>
    <t>23</t>
  </si>
  <si>
    <t>Поликлиника 6</t>
  </si>
  <si>
    <t>Рукомойник</t>
  </si>
  <si>
    <t>24</t>
  </si>
  <si>
    <t>ГофроПак</t>
  </si>
  <si>
    <t>25</t>
  </si>
  <si>
    <t>Шлюм Старотобольский большой</t>
  </si>
  <si>
    <t>26</t>
  </si>
  <si>
    <t>Немцова 34 3этаж</t>
  </si>
  <si>
    <t>Зонт вытяжной, островной</t>
  </si>
  <si>
    <t>Печь пекарская с растойкой 10 уровней</t>
  </si>
  <si>
    <t>27</t>
  </si>
  <si>
    <t>Немцова 34 1этаж</t>
  </si>
  <si>
    <t>пн</t>
  </si>
  <si>
    <t>28</t>
  </si>
  <si>
    <t>Альфа-Банк Первомайская 1А</t>
  </si>
  <si>
    <t>Машина стиральная</t>
  </si>
  <si>
    <t>Блины со сгущенкой</t>
  </si>
  <si>
    <t>29</t>
  </si>
  <si>
    <t>Поликлиника 17 (Монтажников)</t>
  </si>
  <si>
    <t>Машина сушильная</t>
  </si>
  <si>
    <t>Салат "Чешский" (колбаса п/к)</t>
  </si>
  <si>
    <t>Суп гороховый 250 мл</t>
  </si>
  <si>
    <t>Керхер</t>
  </si>
  <si>
    <t>Голубец с картофельным пюре</t>
  </si>
  <si>
    <t>Планетарный миксер, дежа 10 литров</t>
  </si>
  <si>
    <t>Булочка с повидлом 80 г</t>
  </si>
  <si>
    <t>Сэндвич с бужениной и соусом Релиш</t>
  </si>
  <si>
    <t>Онигири с куриным филе в соусе спайси</t>
  </si>
  <si>
    <t>https://www.avito.ru/tyumen/oborudovanie_dlya_biznesa/mikser_planetarnyy_foodatlas_b-20ba_eco20l_4679194856?utm_campaign=native&amp;utm_medium=item_page_android&amp;utm_source=soc_sharing</t>
  </si>
  <si>
    <t xml:space="preserve">Омлет с овощами и сыром </t>
  </si>
  <si>
    <t>Салат ''Зайка'' 120 г</t>
  </si>
  <si>
    <t>Минтай в сырной корочке с рисом радуга</t>
  </si>
  <si>
    <t>Слойка с ветчиной и сыром 100г</t>
  </si>
  <si>
    <t>Сэндвич ''Цезарь''</t>
  </si>
  <si>
    <t xml:space="preserve">Котел пищеварочный </t>
  </si>
  <si>
    <t>Салат ''Крабик'' с рисом</t>
  </si>
  <si>
    <t>Курочка с овощной сальсой и спагетти</t>
  </si>
  <si>
    <t>https://www.avito.ru/ekaterinburg/oborudovanie_dlya_biznesa/kotel_varochnyy_abat_kpem-160-o_4254362678?utm_campaign=native&amp;utm_medium=item_page_android&amp;utm_source=soc_sharing</t>
  </si>
  <si>
    <t>Компот из сухофруктов 0,5 л</t>
  </si>
  <si>
    <t>Боул с тунцом , бобами эдамаме и овощами</t>
  </si>
  <si>
    <t xml:space="preserve">Погружной блендер </t>
  </si>
  <si>
    <t>Бедро запеченное с макаронами</t>
  </si>
  <si>
    <t>только СПК</t>
  </si>
  <si>
    <t>Поджарка из курицы с рисом</t>
  </si>
  <si>
    <t>Жаркое по-домашнему со свининой</t>
  </si>
  <si>
    <t>Жаркое по-домашнему 400 грамм</t>
  </si>
  <si>
    <t>СПК</t>
  </si>
  <si>
    <t>Вт.</t>
  </si>
  <si>
    <t>Драники с сырной начинкой</t>
  </si>
  <si>
    <t>Суп ''Харчо'' с курицей</t>
  </si>
  <si>
    <t>Бризоль с рисом и овощами</t>
  </si>
  <si>
    <t>Самса с куриной грудкой 150 грамм</t>
  </si>
  <si>
    <t>Сэндвич с курицей и соусом карри</t>
  </si>
  <si>
    <t>Онигири с куриным филе в соусе том ям</t>
  </si>
  <si>
    <t>Салат ''Блинный'' (ветчина куриная)</t>
  </si>
  <si>
    <t xml:space="preserve">Свинина в соусе тонкацу со спагетти </t>
  </si>
  <si>
    <t>Сэндвич с пепперони и сыром</t>
  </si>
  <si>
    <t>Сырники с вишневой начинкой</t>
  </si>
  <si>
    <t>Салат "Гавайский" (курица, ананас)</t>
  </si>
  <si>
    <t>Мясо по-французски (свинина)</t>
  </si>
  <si>
    <t>спк</t>
  </si>
  <si>
    <t>Морс облепиховый 0,5 л</t>
  </si>
  <si>
    <t>Макароны по-флотски</t>
  </si>
  <si>
    <t xml:space="preserve">Гранатовый браслет 220гр </t>
  </si>
  <si>
    <t>Котлета куриная с картофельным пюре</t>
  </si>
  <si>
    <t>Курица Пармиджано с фарфале</t>
  </si>
  <si>
    <t>Аджапсандал</t>
  </si>
  <si>
    <t>Общая рабочая таблица для пароконвектомата</t>
  </si>
  <si>
    <t>Ср.</t>
  </si>
  <si>
    <t>Панкейки шоколадные с вареньем</t>
  </si>
  <si>
    <t>Температура по щупу — точка немедленной выгрузки.</t>
  </si>
  <si>
    <t>Салат "Капустный" в маринаде</t>
  </si>
  <si>
    <t>Солянка</t>
  </si>
  <si>
    <t>Курочка в сливочном соусе со спагетти</t>
  </si>
  <si>
    <t>Тип сырья / изделия</t>
  </si>
  <si>
    <t>Температура камеры</t>
  </si>
  <si>
    <t>Влажность</t>
  </si>
  <si>
    <t>Температура готовности по щупу</t>
  </si>
  <si>
    <t>Хачапури 100 гр</t>
  </si>
  <si>
    <t>Сэндвич с курицей и соусом Барбекю</t>
  </si>
  <si>
    <t>Онигири с лососем и крем чиз</t>
  </si>
  <si>
    <t>Курица, филе бедра</t>
  </si>
  <si>
    <t>150 °C</t>
  </si>
  <si>
    <t>Блинчики с курицей и грибами</t>
  </si>
  <si>
    <t>74 °C</t>
  </si>
  <si>
    <t>Курица, филе грудки</t>
  </si>
  <si>
    <t>Салат "Арлекино" (колбаса вар.)</t>
  </si>
  <si>
    <t>140 °C</t>
  </si>
  <si>
    <t>Солянка мясная Комбо</t>
  </si>
  <si>
    <t>Свинина, порционные куски без кости</t>
  </si>
  <si>
    <t>145 °C</t>
  </si>
  <si>
    <t>70 °C</t>
  </si>
  <si>
    <t>Колбаса ''Баварская'' с пюре и тушеной капустой</t>
  </si>
  <si>
    <t>Говядина, порционные куски без кости</t>
  </si>
  <si>
    <t>Баранина, порционные куски без кости</t>
  </si>
  <si>
    <t>Рулетик с корицей 100 гр</t>
  </si>
  <si>
    <t>Рыба, филе или порционные куски</t>
  </si>
  <si>
    <t>130 °C</t>
  </si>
  <si>
    <t>63 °C</t>
  </si>
  <si>
    <t>Сэндвич с бужениной и горчичным соусом</t>
  </si>
  <si>
    <t>Фарш из говядины, свинины, смешанный фарш</t>
  </si>
  <si>
    <t>72 °C</t>
  </si>
  <si>
    <t>Фарш из курицы или индейки</t>
  </si>
  <si>
    <t>Котлеты из говядины, свинины, смешанного фарша</t>
  </si>
  <si>
    <t>Салат "Чикаго" (кура копченая)</t>
  </si>
  <si>
    <t>Котлеты из курицы или индейки</t>
  </si>
  <si>
    <t>Котлеты рыбные</t>
  </si>
  <si>
    <t>Запеканка с сырым мясом, птицей, рыбой или фаршем</t>
  </si>
  <si>
    <t>Тефтели куриные с гречкой</t>
  </si>
  <si>
    <t>Запеканка творожная или яичная</t>
  </si>
  <si>
    <t>Вафельная трубочка с вареной сгущенкой</t>
  </si>
  <si>
    <t xml:space="preserve">Температуру щупа не снижать при корректировке режима. </t>
  </si>
  <si>
    <t>Правила применения</t>
  </si>
  <si>
    <t>Морс ягодный 0,5 л</t>
  </si>
  <si>
    <t>Камера должна быть предварительно разогрета.</t>
  </si>
  <si>
    <t>Боул ''Курица в имбирном соусе с овощами''</t>
  </si>
  <si>
    <t>Сырьё — охлаждённое, полностью размороженное.</t>
  </si>
  <si>
    <t>Горбуша запеченная с картофельным пюре</t>
  </si>
  <si>
    <t>Куски размещать в один слой без наложения.</t>
  </si>
  <si>
    <t>Щуп вводить в геометрический центр самого толстого изделия.</t>
  </si>
  <si>
    <t>Для запеканки щуп ставить в центр формы, в наиболее толстую часть.</t>
  </si>
  <si>
    <t>Горбуша запеченная с рисом светофор</t>
  </si>
  <si>
    <t>При достижении температуры по щупу продукт немедленно выгрузить.</t>
  </si>
  <si>
    <t>Если в смешанном составе присутствует сырая курица или индейка, устанавливать 74 °C.</t>
  </si>
  <si>
    <t>Печень по-царски со сливочным пюре</t>
  </si>
  <si>
    <t>Чт.</t>
  </si>
  <si>
    <t>Каша овсяная с яблоком и корицей</t>
  </si>
  <si>
    <t>Салат ''Морковь с чесноком'' 120гр</t>
  </si>
  <si>
    <t>Суп картофельный с курицей</t>
  </si>
  <si>
    <t>Сырная палочка</t>
  </si>
  <si>
    <t>Сэндвич с индейкой су-вид и овощами</t>
  </si>
  <si>
    <t>Морс вишневый 0,5 л</t>
  </si>
  <si>
    <t xml:space="preserve">Шарлотка с яблоком </t>
  </si>
  <si>
    <t>Салат "Городской"(колбаса вареная)</t>
  </si>
  <si>
    <t xml:space="preserve">Бефстроганов (говядина) с картофелем </t>
  </si>
  <si>
    <t>пюре</t>
  </si>
  <si>
    <t>Сэндвич с ветчиной и сыром</t>
  </si>
  <si>
    <t>Морс из ч/смородины 0,5 л</t>
  </si>
  <si>
    <t>Скрембл с сосиской и соусом</t>
  </si>
  <si>
    <t xml:space="preserve">Салат ''Фасолька'' с курицей  </t>
  </si>
  <si>
    <t xml:space="preserve">Бефстроганов (говядина) с рисом </t>
  </si>
  <si>
    <t>рис</t>
  </si>
  <si>
    <t>Салат "Мимоза" с рыбой 220гр</t>
  </si>
  <si>
    <t>Бефстроганов (говядина) с макаронами</t>
  </si>
  <si>
    <t>макарон</t>
  </si>
  <si>
    <t>Куриные шашлычки с картофелем запеченным</t>
  </si>
  <si>
    <t>Плов по-узбекски с цыпленком б/250гр</t>
  </si>
  <si>
    <t>Спагетти с соусом ''Болоньезе'' 400 г</t>
  </si>
  <si>
    <t>,</t>
  </si>
  <si>
    <t>Матрица блюд ВТОРАЯ неделя</t>
  </si>
  <si>
    <t>Каша пшенная с курагой</t>
  </si>
  <si>
    <t>Салат ''Коул Слоу'' 120 гр</t>
  </si>
  <si>
    <t>Чкмерули из курицы со спагетти</t>
  </si>
  <si>
    <t>Сэндвич с курочкой и скремблом</t>
  </si>
  <si>
    <t>Салат ''Столичный'' (филе кур)</t>
  </si>
  <si>
    <t xml:space="preserve">Свинина по-баварски с картофелем </t>
  </si>
  <si>
    <t xml:space="preserve">Сэндвич с ветчиной и томатом </t>
  </si>
  <si>
    <t>Филе с грибами и рисом</t>
  </si>
  <si>
    <t>Пн.</t>
  </si>
  <si>
    <t>Блины со сметаной</t>
  </si>
  <si>
    <t>Салат ''Спаржа с морковью'' 110 гр</t>
  </si>
  <si>
    <t>Суп-харчо с говядиной</t>
  </si>
  <si>
    <t xml:space="preserve">Мясные гнёзда с овощами и картофелем </t>
  </si>
  <si>
    <t>Клаб-сэндвич с курицей и беконом</t>
  </si>
  <si>
    <t>Ролл сэндвич с курицей</t>
  </si>
  <si>
    <t>Ленивые хачапури</t>
  </si>
  <si>
    <t>Салат ''Баварский'' (колбаса в/к)</t>
  </si>
  <si>
    <t>Борщ с говядиной комбо</t>
  </si>
  <si>
    <t>Котлета из щуки с пюре картофельным</t>
  </si>
  <si>
    <t>Ассорти сэндвич (пепперони/ветчина)</t>
  </si>
  <si>
    <t xml:space="preserve">Шоколадный пирог с вишней </t>
  </si>
  <si>
    <t>Салат Фаворит (филе кур., грибы)</t>
  </si>
  <si>
    <t>Вок с курицей и рисом</t>
  </si>
  <si>
    <t>Салат из свеклы, печеной тыквы и мягким сыром</t>
  </si>
  <si>
    <t>Печень куриная с овощами с гречкой</t>
  </si>
  <si>
    <t>Курочка в томатном соусе с рисом</t>
  </si>
  <si>
    <t>Чахохбили с макаронами 400гр</t>
  </si>
  <si>
    <t>Венские вафли с повидлом</t>
  </si>
  <si>
    <t>Салат Свекла с сыром и чесноком 120гр</t>
  </si>
  <si>
    <t>Котлета по-киевски с макаронами</t>
  </si>
  <si>
    <t xml:space="preserve">Онигири с курицей  в ореховом соусе </t>
  </si>
  <si>
    <t>?</t>
  </si>
  <si>
    <t>Шакшука с томатом</t>
  </si>
  <si>
    <t>Салат ''Таврия'' (колбаса вареная)</t>
  </si>
  <si>
    <t>Свинина по-гавайски с картофелем</t>
  </si>
  <si>
    <t>Сэндвич ''Снежный краб'' с соусом спайси</t>
  </si>
  <si>
    <t>Салат ''Жар-птица'' (филе кур)</t>
  </si>
  <si>
    <t>Салат "Генеральский" (курица, грецкий орех) 220гр</t>
  </si>
  <si>
    <t xml:space="preserve">Курочка по-купечески с гречкой </t>
  </si>
  <si>
    <t>Спк</t>
  </si>
  <si>
    <t>Свинина в томатном соусе с макаронами</t>
  </si>
  <si>
    <t>Запеченый баклажан с перцем рамиро</t>
  </si>
  <si>
    <t xml:space="preserve">Соба с индейкой в устричном соусе </t>
  </si>
  <si>
    <t>Драники картофельные с цукини со сметаной</t>
  </si>
  <si>
    <t xml:space="preserve">Салат "Морской" (капуста морская) </t>
  </si>
  <si>
    <t>Купаты куриные с овощным гарниром</t>
  </si>
  <si>
    <t>Ролл сэндвич с крабом</t>
  </si>
  <si>
    <t>Каша овсяная с курагой и изюмом</t>
  </si>
  <si>
    <t>Салат ''Пикник'' (печень)</t>
  </si>
  <si>
    <t>Лагман с говядиной комбо</t>
  </si>
  <si>
    <t>Горбуша в сырной корочке с картофелем</t>
  </si>
  <si>
    <t>Сырники со сгущенкой</t>
  </si>
  <si>
    <t>Салат ''Прага'' (ветчина кур.)</t>
  </si>
  <si>
    <t>Гуляш ''по-домашнему'' с макаронами</t>
  </si>
  <si>
    <t>Боул с курицей, бобами эдамаме и овощами</t>
  </si>
  <si>
    <t>Наггетсы с соусом</t>
  </si>
  <si>
    <t xml:space="preserve">Курочка в сырном соусе со спагетти </t>
  </si>
  <si>
    <t>Минтай по-московски с запеченным картофелем</t>
  </si>
  <si>
    <t>Чанахи из свинины 400гр</t>
  </si>
  <si>
    <t>Блин с ветчиной и сыром</t>
  </si>
  <si>
    <t>Салат ''Зимний'' (колбаса варен)</t>
  </si>
  <si>
    <t>Паприкаш из говядины с гречкой</t>
  </si>
  <si>
    <t>Сырная палочка 80 гр</t>
  </si>
  <si>
    <t>По названию</t>
  </si>
  <si>
    <t>Оладьи со сгущенкой</t>
  </si>
  <si>
    <t>Салат ''Морковь по-корейски'' 120 г</t>
  </si>
  <si>
    <t>Паприкаш из говядины с картофельным пюре</t>
  </si>
  <si>
    <t>Манник</t>
  </si>
  <si>
    <t>Салат из свежей капусты 120 г</t>
  </si>
  <si>
    <t>Паприкаш из говядины с макаронами</t>
  </si>
  <si>
    <t>Название блюда</t>
  </si>
  <si>
    <t>Салат "Греческий''</t>
  </si>
  <si>
    <t>Категория</t>
  </si>
  <si>
    <t xml:space="preserve">Обед ''Студенческий'' </t>
  </si>
  <si>
    <t>Атрибут 1</t>
  </si>
  <si>
    <t>Атрибут 2</t>
  </si>
  <si>
    <t>Атрибут 3</t>
  </si>
  <si>
    <t>Эксперимент</t>
  </si>
  <si>
    <t>Комментарий</t>
  </si>
  <si>
    <t>Статус атрибутов</t>
  </si>
  <si>
    <t>Дата добавления</t>
  </si>
  <si>
    <t>Источник добавления</t>
  </si>
  <si>
    <t>Дата последней проверки</t>
  </si>
  <si>
    <t>4013</t>
  </si>
  <si>
    <t>Лазанья ''Аппетитная''</t>
  </si>
  <si>
    <t>Фаршированная куриная ножка с макаронами</t>
  </si>
  <si>
    <t>макароны</t>
  </si>
  <si>
    <t>курица</t>
  </si>
  <si>
    <t>кусок</t>
  </si>
  <si>
    <t>Говядина томленая с рисом</t>
  </si>
  <si>
    <t>4014</t>
  </si>
  <si>
    <t xml:space="preserve">Филе с сыром и печеным картофелем </t>
  </si>
  <si>
    <t>картофель</t>
  </si>
  <si>
    <t>4015</t>
  </si>
  <si>
    <t>овощи</t>
  </si>
  <si>
    <t>свинина</t>
  </si>
  <si>
    <t>соусное</t>
  </si>
  <si>
    <t>4016</t>
  </si>
  <si>
    <t>Плов с грибами</t>
  </si>
  <si>
    <t>моно-блюдо</t>
  </si>
  <si>
    <t>без мяса</t>
  </si>
  <si>
    <t>1333</t>
  </si>
  <si>
    <t>Горбуша под овощной шапкой с рисом</t>
  </si>
  <si>
    <t>рыба</t>
  </si>
  <si>
    <t>4196</t>
  </si>
  <si>
    <t>Матрица блюд ТРЕТЬЯ неделя</t>
  </si>
  <si>
    <t>2931</t>
  </si>
  <si>
    <t>Паста Карбонара с беконом</t>
  </si>
  <si>
    <t>763</t>
  </si>
  <si>
    <t>фарш</t>
  </si>
  <si>
    <t>48</t>
  </si>
  <si>
    <t>4026</t>
  </si>
  <si>
    <t>4030</t>
  </si>
  <si>
    <t>859</t>
  </si>
  <si>
    <t>Запеканка творожная с персиком</t>
  </si>
  <si>
    <t>958</t>
  </si>
  <si>
    <t>Куриная ножка с макаронами</t>
  </si>
  <si>
    <t>Слойка ''Нежная'' с сыром 100 г</t>
  </si>
  <si>
    <t>4029</t>
  </si>
  <si>
    <t>238</t>
  </si>
  <si>
    <t xml:space="preserve">Каша пшенная с киноа и изюмом </t>
  </si>
  <si>
    <t>Салат "Маковый" (курица, мак)</t>
  </si>
  <si>
    <t>761</t>
  </si>
  <si>
    <t>Сэндвич с копчёной курицей и сыром</t>
  </si>
  <si>
    <t>Онигири с чукой и ореховым соусом</t>
  </si>
  <si>
    <t>4172</t>
  </si>
  <si>
    <t>Блинчики с мясом и рисом</t>
  </si>
  <si>
    <t>Салат ''Фунчоза'' 120 г</t>
  </si>
  <si>
    <t>Минтай под овощами с желтым рисом</t>
  </si>
  <si>
    <t>Мясо по-французски</t>
  </si>
  <si>
    <t>Салат ''Цезарь с курицей''</t>
  </si>
  <si>
    <t>4031</t>
  </si>
  <si>
    <t>3437</t>
  </si>
  <si>
    <t>102</t>
  </si>
  <si>
    <t>Соба с курицей в устричном соусе</t>
  </si>
  <si>
    <t>Тилапия в соусе сальса с рисом</t>
  </si>
  <si>
    <t>Премиум</t>
  </si>
  <si>
    <t>1873</t>
  </si>
  <si>
    <t>1151</t>
  </si>
  <si>
    <t>крупа</t>
  </si>
  <si>
    <t>1073</t>
  </si>
  <si>
    <t>Азу ''По-татарски''</t>
  </si>
  <si>
    <t>3239</t>
  </si>
  <si>
    <t>Минтай под овощами с рисом Радуга</t>
  </si>
  <si>
    <t>4032</t>
  </si>
  <si>
    <t>говядина</t>
  </si>
  <si>
    <t>1327</t>
  </si>
  <si>
    <t>Манты по-дагестански</t>
  </si>
  <si>
    <t>без гарнира</t>
  </si>
  <si>
    <t>4069</t>
  </si>
  <si>
    <t>4067</t>
  </si>
  <si>
    <t>4068</t>
  </si>
  <si>
    <t>547</t>
  </si>
  <si>
    <t>Сэндвич с тунцом с соусом Том Ям</t>
  </si>
  <si>
    <t>2687</t>
  </si>
  <si>
    <t>Котлета куриная с картофелем</t>
  </si>
  <si>
    <t>113</t>
  </si>
  <si>
    <t>Спагетти ''Болоньезе''</t>
  </si>
  <si>
    <t>3737</t>
  </si>
  <si>
    <t>1009</t>
  </si>
  <si>
    <t xml:space="preserve">Бедро в пряном соусе с гречкой </t>
  </si>
  <si>
    <t>980</t>
  </si>
  <si>
    <t>Филе с грибами и картофельным пюре</t>
  </si>
  <si>
    <t>4175</t>
  </si>
  <si>
    <t>Минтай в маринаде с картофельным пюре</t>
  </si>
  <si>
    <t>2841</t>
  </si>
  <si>
    <t>Минтай в маринаде с желтым рисом</t>
  </si>
  <si>
    <t>4080</t>
  </si>
  <si>
    <t>1939</t>
  </si>
  <si>
    <t>1982</t>
  </si>
  <si>
    <t>1267</t>
  </si>
  <si>
    <t>967</t>
  </si>
  <si>
    <t>Курочка в томатном соусе со спагетти</t>
  </si>
  <si>
    <t>3266</t>
  </si>
  <si>
    <t>Салат ''Винегрет с капустой'' 120 г</t>
  </si>
  <si>
    <t>813</t>
  </si>
  <si>
    <t>4105</t>
  </si>
  <si>
    <t>4100</t>
  </si>
  <si>
    <t>3474</t>
  </si>
  <si>
    <t>3872</t>
  </si>
  <si>
    <t>4102</t>
  </si>
  <si>
    <t>Салат ''Сельдь под шубой'' 220гр</t>
  </si>
  <si>
    <t>3889</t>
  </si>
  <si>
    <t>1899</t>
  </si>
  <si>
    <t>965</t>
  </si>
  <si>
    <t>Котлета куриная с гречкой</t>
  </si>
  <si>
    <t>1168</t>
  </si>
  <si>
    <t>Мясо по-французски (курица)</t>
  </si>
  <si>
    <t>4099</t>
  </si>
  <si>
    <t>2029</t>
  </si>
  <si>
    <t>Горбуша в сырной корочке с булгуром</t>
  </si>
  <si>
    <t>4104</t>
  </si>
  <si>
    <t>4176</t>
  </si>
  <si>
    <t>Курочка в сырном соусе с картофелем</t>
  </si>
  <si>
    <t>3768</t>
  </si>
  <si>
    <t>3770</t>
  </si>
  <si>
    <t>3769</t>
  </si>
  <si>
    <t>Курочка в сливочном соусе с макаронами</t>
  </si>
  <si>
    <t>2859</t>
  </si>
  <si>
    <t>898</t>
  </si>
  <si>
    <t>Морс клюквенный 0,5 л</t>
  </si>
  <si>
    <t>4025</t>
  </si>
  <si>
    <t>4033</t>
  </si>
  <si>
    <t>Куриные котлеты с рисом и овощами</t>
  </si>
  <si>
    <t>3705</t>
  </si>
  <si>
    <t>Курочка в соусе тонкацу со спагетти</t>
  </si>
  <si>
    <t>3883</t>
  </si>
  <si>
    <t>Блинчики с моцареллой и зеленью</t>
  </si>
  <si>
    <t>3612</t>
  </si>
  <si>
    <t>3494</t>
  </si>
  <si>
    <t>Курочка гриль с макаронами</t>
  </si>
  <si>
    <t>3740</t>
  </si>
  <si>
    <t>Запеканка с курицей и овощами</t>
  </si>
  <si>
    <t>3328</t>
  </si>
  <si>
    <t>1293</t>
  </si>
  <si>
    <t>Свинина по-боярски (грибы) с пюре</t>
  </si>
  <si>
    <t>3707</t>
  </si>
  <si>
    <t>Котлета по-домашнему с макаронами</t>
  </si>
  <si>
    <t>1896</t>
  </si>
  <si>
    <t>Манты со сметаной б/шт</t>
  </si>
  <si>
    <t>3410</t>
  </si>
  <si>
    <t>Минтай под овощами с пюре</t>
  </si>
  <si>
    <t>2932</t>
  </si>
  <si>
    <t>Лагман жареный с говядиной</t>
  </si>
  <si>
    <t>481</t>
  </si>
  <si>
    <t>Отбивная (свинина) с картофельным пюре</t>
  </si>
  <si>
    <t>3783</t>
  </si>
  <si>
    <t>Мясные гнезда с томатом и макаронами</t>
  </si>
  <si>
    <t>3608</t>
  </si>
  <si>
    <t>Мясные гнезда с томатом и пюре</t>
  </si>
  <si>
    <t>3460</t>
  </si>
  <si>
    <t xml:space="preserve">Оджахури из свинины б/400гр </t>
  </si>
  <si>
    <t>3776</t>
  </si>
  <si>
    <t>Индейка с булгуром и овощами</t>
  </si>
  <si>
    <t>2467</t>
  </si>
  <si>
    <t>Овощное рагу</t>
  </si>
  <si>
    <t>3786</t>
  </si>
  <si>
    <t xml:space="preserve">Отбивная куриная с томатом и макаронами </t>
  </si>
  <si>
    <t>1105</t>
  </si>
  <si>
    <t>Тефтели мясные с гречкой</t>
  </si>
  <si>
    <t>219</t>
  </si>
  <si>
    <t>Азу из свинины с грибами с рисом</t>
  </si>
  <si>
    <t>3895</t>
  </si>
  <si>
    <t>Азу из свинины с грибами с пюре</t>
  </si>
  <si>
    <t>2541</t>
  </si>
  <si>
    <t>Тефтели мясные со спагетти</t>
  </si>
  <si>
    <t>3787</t>
  </si>
  <si>
    <t xml:space="preserve">Тефтели (рыбные ) с рисом </t>
  </si>
  <si>
    <t>3798</t>
  </si>
  <si>
    <t>3439</t>
  </si>
  <si>
    <t>Филе ''Сочное с сыром'' с картофелем</t>
  </si>
  <si>
    <t>3552</t>
  </si>
  <si>
    <t>Говядина по-венгерски с пюре</t>
  </si>
  <si>
    <t>3031</t>
  </si>
  <si>
    <t>Говядина по-венгерски с макаронами</t>
  </si>
  <si>
    <t>3524</t>
  </si>
  <si>
    <t>Говядина по-венгерски с гречкой</t>
  </si>
  <si>
    <t>1149</t>
  </si>
  <si>
    <t>Люля-кебаб куриный с картофелем</t>
  </si>
  <si>
    <t>69</t>
  </si>
  <si>
    <t>Плов со свининой б/250гр</t>
  </si>
  <si>
    <t>3704</t>
  </si>
  <si>
    <t>Курочка в азиатском соусе с рисом</t>
  </si>
  <si>
    <t>678</t>
  </si>
  <si>
    <t>Бризоль с картофельным пюре</t>
  </si>
  <si>
    <t>3273</t>
  </si>
  <si>
    <t>Макароны по-флотски 400гр</t>
  </si>
  <si>
    <t>2559</t>
  </si>
  <si>
    <t>Куриный рулет с овощами и зеленым рисом</t>
  </si>
  <si>
    <t>3468</t>
  </si>
  <si>
    <t>Говядина по-строгановски с макаронами</t>
  </si>
  <si>
    <t>3655</t>
  </si>
  <si>
    <t>Медальон из хека с рисом</t>
  </si>
  <si>
    <t>3695</t>
  </si>
  <si>
    <t>выпечка</t>
  </si>
  <si>
    <t>Горбуша ''Нежная'' с картофельным пюре</t>
  </si>
  <si>
    <t>лёгкий</t>
  </si>
  <si>
    <t>кремовый</t>
  </si>
  <si>
    <t>сытный</t>
  </si>
  <si>
    <t>3731</t>
  </si>
  <si>
    <t>Биточек куриный с гречкой и соусом</t>
  </si>
  <si>
    <t>творожный</t>
  </si>
  <si>
    <t>фруктовый</t>
  </si>
  <si>
    <t>3827</t>
  </si>
  <si>
    <t>шоколадный</t>
  </si>
  <si>
    <t>каша</t>
  </si>
  <si>
    <t>620</t>
  </si>
  <si>
    <t>Котлета ''Сочная'' с картофельным пюре</t>
  </si>
  <si>
    <t>блины сладкие</t>
  </si>
  <si>
    <t>Матрица блюд ЧЕТВЁРТАЯ неделя</t>
  </si>
  <si>
    <t>блины сытные</t>
  </si>
  <si>
    <t>сырники</t>
  </si>
  <si>
    <t>682</t>
  </si>
  <si>
    <t>вафли</t>
  </si>
  <si>
    <t>Горбуша по-московски с рисом и кукурузой</t>
  </si>
  <si>
    <t>яичное блюдо</t>
  </si>
  <si>
    <t>3691</t>
  </si>
  <si>
    <t>Свинина по-тайски с рисом</t>
  </si>
  <si>
    <t>овощной</t>
  </si>
  <si>
    <t>слоёный</t>
  </si>
  <si>
    <t>984</t>
  </si>
  <si>
    <t>Бедро запеченное с картофельным пюре</t>
  </si>
  <si>
    <t>майонезный</t>
  </si>
  <si>
    <t>мясо</t>
  </si>
  <si>
    <t>премиальный</t>
  </si>
  <si>
    <t>1158</t>
  </si>
  <si>
    <t>боул</t>
  </si>
  <si>
    <t>без белка</t>
  </si>
  <si>
    <t>Котлета куриная с макаронами</t>
  </si>
  <si>
    <t>масляный</t>
  </si>
  <si>
    <t>морепрод.</t>
  </si>
  <si>
    <t>3594</t>
  </si>
  <si>
    <t>азиатский</t>
  </si>
  <si>
    <t>Птитим с креветками в соусе песто</t>
  </si>
  <si>
    <t>3745</t>
  </si>
  <si>
    <t>Горбуша ''Нежная'' с картофелем</t>
  </si>
  <si>
    <t>бульон</t>
  </si>
  <si>
    <t>крем-суп</t>
  </si>
  <si>
    <t>Запеканка творожная с курагой</t>
  </si>
  <si>
    <t>3750</t>
  </si>
  <si>
    <t>густой</t>
  </si>
  <si>
    <t>Курочка в соусе карри с рисом</t>
  </si>
  <si>
    <t>3757</t>
  </si>
  <si>
    <t>Поджарка из свинины с пюре</t>
  </si>
  <si>
    <t>3771</t>
  </si>
  <si>
    <t>Вафли с курицей</t>
  </si>
  <si>
    <t>Курочка в соусе с макаронами 400 гр</t>
  </si>
  <si>
    <t>3276</t>
  </si>
  <si>
    <t>Омлет с ветчиной</t>
  </si>
  <si>
    <t>Курочка гриль с картофелем запеченным</t>
  </si>
  <si>
    <t>Салат ''Красное море'' (крабовые палочки)</t>
  </si>
  <si>
    <t>Борщ с курицей комбо</t>
  </si>
  <si>
    <t>3658</t>
  </si>
  <si>
    <t>Курочка в соусе карри с картофелем</t>
  </si>
  <si>
    <t>3661</t>
  </si>
  <si>
    <t>Хашлама со свининой б/шт</t>
  </si>
  <si>
    <t>куриный</t>
  </si>
  <si>
    <t>Онигири с курицей и соусом терияки</t>
  </si>
  <si>
    <t>мясной</t>
  </si>
  <si>
    <t>886</t>
  </si>
  <si>
    <t>рыбный</t>
  </si>
  <si>
    <t>Бедро запеченное с гречкой</t>
  </si>
  <si>
    <t>Каша рисовая с персиком</t>
  </si>
  <si>
    <t>3611</t>
  </si>
  <si>
    <t>Лазанья со сливочным соусом</t>
  </si>
  <si>
    <t>онигири</t>
  </si>
  <si>
    <t>ролл</t>
  </si>
  <si>
    <t>ролл-сэндвич</t>
  </si>
  <si>
    <t>3799</t>
  </si>
  <si>
    <t xml:space="preserve">Салат "Любовница" 220 гр </t>
  </si>
  <si>
    <t>930</t>
  </si>
  <si>
    <t>Отбивная (свинина) с овощами со спагетти</t>
  </si>
  <si>
    <t>морс</t>
  </si>
  <si>
    <t>ягодный</t>
  </si>
  <si>
    <t>1553</t>
  </si>
  <si>
    <t>компот</t>
  </si>
  <si>
    <t>Горбуша в кляре с рисом</t>
  </si>
  <si>
    <t>смешанный</t>
  </si>
  <si>
    <t>Сытная</t>
  </si>
  <si>
    <t>сладкая</t>
  </si>
  <si>
    <t>Курочка с овощной сальсой с макаронами</t>
  </si>
  <si>
    <t>4017</t>
  </si>
  <si>
    <t xml:space="preserve">Удон с курицей в азиатском соусе </t>
  </si>
  <si>
    <t>3054</t>
  </si>
  <si>
    <t>774</t>
  </si>
  <si>
    <t>Филе с грибами и макаронами</t>
  </si>
  <si>
    <t>Либже по-кабардински</t>
  </si>
  <si>
    <t>2631</t>
  </si>
  <si>
    <t>2672</t>
  </si>
  <si>
    <t>3663</t>
  </si>
  <si>
    <t>4118</t>
  </si>
  <si>
    <t>4119</t>
  </si>
  <si>
    <t>Курица по-табасарански</t>
  </si>
  <si>
    <t>4186</t>
  </si>
  <si>
    <t>Хоровац  армянский  из печеных овощей</t>
  </si>
  <si>
    <t>4192</t>
  </si>
  <si>
    <t>Фаршированные перцы по-азербайджански</t>
  </si>
  <si>
    <t>4193</t>
  </si>
  <si>
    <t>Бигус с охотничьими колбасками</t>
  </si>
  <si>
    <t>Окрошка с квасом</t>
  </si>
  <si>
    <t>475</t>
  </si>
  <si>
    <t>Филе с томатом и моцареллой с запеченным картофелем</t>
  </si>
  <si>
    <t>4252</t>
  </si>
  <si>
    <t>Шоколадный пирог с брусникой</t>
  </si>
  <si>
    <t>Бигус с курицей и беконом</t>
  </si>
  <si>
    <t>Набор для окрошки</t>
  </si>
  <si>
    <t>3008</t>
  </si>
  <si>
    <t>ЭТОТ ЛИСТ ДЛЯ ОЛИ ТЕХНОЛОГА БОЛЬШЕ НИКТО СЮДА НЕ ЛЕЗЕТ!!!</t>
  </si>
  <si>
    <t>Биточек ''Солнышко'' с гречкой</t>
  </si>
  <si>
    <t>Гречка по-купечески с томленной свининой</t>
  </si>
  <si>
    <t>2830</t>
  </si>
  <si>
    <t>Запеканка картофельная с мясом</t>
  </si>
  <si>
    <t>4257</t>
  </si>
  <si>
    <t>Куриный биточек с цукини и овощами</t>
  </si>
  <si>
    <t>4232</t>
  </si>
  <si>
    <t>Куриный поп-корн с соусом</t>
  </si>
  <si>
    <t>4224</t>
  </si>
  <si>
    <t>Курица Пармиджано с овощным соте</t>
  </si>
  <si>
    <t>2976</t>
  </si>
  <si>
    <t>3346</t>
  </si>
  <si>
    <t>Лапша удон с курицей и овощами</t>
  </si>
  <si>
    <t>день</t>
  </si>
  <si>
    <t>3122</t>
  </si>
  <si>
    <t>Люля-кебаб куриный с овощным соте</t>
  </si>
  <si>
    <t>3331</t>
  </si>
  <si>
    <t>Минтай в маринаде с булгуром</t>
  </si>
  <si>
    <t>десерты</t>
  </si>
  <si>
    <t xml:space="preserve">гарнир </t>
  </si>
  <si>
    <t>2482</t>
  </si>
  <si>
    <t>Минтай по-московски с булгуром</t>
  </si>
  <si>
    <t>.</t>
  </si>
  <si>
    <t>3702</t>
  </si>
  <si>
    <t>Минтай под сырно-сметаной шапкой с рисом</t>
  </si>
  <si>
    <t>985</t>
  </si>
  <si>
    <t>Перец фаршированный с гречкой</t>
  </si>
  <si>
    <t>383</t>
  </si>
  <si>
    <t>Перец фаршированный с картофелем</t>
  </si>
  <si>
    <t>657</t>
  </si>
  <si>
    <t>Перец фаршированный с пюре</t>
  </si>
  <si>
    <t>Тыквенный крем-суп с имбирём</t>
  </si>
  <si>
    <t>7090</t>
  </si>
  <si>
    <t>Птитим с семгой в перечном соусе</t>
  </si>
  <si>
    <t xml:space="preserve">Котлета домашняя с пюре </t>
  </si>
  <si>
    <t>4237</t>
  </si>
  <si>
    <t>Свинина в соусе тонкацу с картофелем</t>
  </si>
  <si>
    <t>4233</t>
  </si>
  <si>
    <t>Свинина с тмином с тушеной капустой</t>
  </si>
  <si>
    <t>2866</t>
  </si>
  <si>
    <t>Табуле с томатами</t>
  </si>
  <si>
    <t>4238</t>
  </si>
  <si>
    <t>Тефтели с капустой брокколи на пару</t>
  </si>
  <si>
    <t>1046</t>
  </si>
  <si>
    <t>Чахохбили с макаронами</t>
  </si>
  <si>
    <t>671</t>
  </si>
  <si>
    <t>Шашлык (курица) с макаронами</t>
  </si>
  <si>
    <t>ост</t>
  </si>
  <si>
    <t>3051</t>
  </si>
  <si>
    <t>Шашлык куриный с овощным соте</t>
  </si>
  <si>
    <t>4090</t>
  </si>
  <si>
    <t>4552</t>
  </si>
  <si>
    <t xml:space="preserve">Отбивная из курицы с Фарфале </t>
  </si>
  <si>
    <t>3759</t>
  </si>
  <si>
    <t>Грудка су-вид с кус-кусом</t>
  </si>
  <si>
    <t>4259</t>
  </si>
  <si>
    <t>Котлета из щуки с овощным гарниром</t>
  </si>
  <si>
    <t>3751</t>
  </si>
  <si>
    <t>Томленая говядина с птитим</t>
  </si>
  <si>
    <t>546</t>
  </si>
  <si>
    <t>1870</t>
  </si>
  <si>
    <t>4267</t>
  </si>
  <si>
    <t xml:space="preserve">Биточек "Столичный" (филе кур) с макаронами </t>
  </si>
  <si>
    <t>4283</t>
  </si>
  <si>
    <t xml:space="preserve">Сердечки </t>
  </si>
  <si>
    <t>Плов ташкентский с говядиной</t>
  </si>
  <si>
    <t>3407</t>
  </si>
  <si>
    <t>Минтай в кляре с булгуром</t>
  </si>
  <si>
    <t>3515</t>
  </si>
  <si>
    <t>Тилапия в соусе сальса</t>
  </si>
  <si>
    <t>Клаб-сэндвич с ветчиной и беконом</t>
  </si>
  <si>
    <t>4294</t>
  </si>
  <si>
    <t xml:space="preserve">Пангасиус запеченый с картофельным пюре </t>
  </si>
  <si>
    <t>4295</t>
  </si>
  <si>
    <t xml:space="preserve">Щука жареная с картофельным пюре </t>
  </si>
  <si>
    <t>4268</t>
  </si>
  <si>
    <t xml:space="preserve">Индейка су-вид с овощами и соусом чили </t>
  </si>
  <si>
    <t>1846</t>
  </si>
  <si>
    <t xml:space="preserve">Куриная котлета с тушеной капустой </t>
  </si>
  <si>
    <t>Горбуша в сырной корочке с рисом</t>
  </si>
  <si>
    <t>4286</t>
  </si>
  <si>
    <t>Фунчоза с овощами и креветками</t>
  </si>
  <si>
    <t>Манты</t>
  </si>
  <si>
    <t>2941</t>
  </si>
  <si>
    <t>Лапша соба с курицей в соусе том-ям</t>
  </si>
  <si>
    <t>3975</t>
  </si>
  <si>
    <t>Обед по-домашнему (картофель,скрембл,улитка)</t>
  </si>
  <si>
    <t>4120</t>
  </si>
  <si>
    <t xml:space="preserve">Курочка в сливочном соусе со спагетти </t>
  </si>
  <si>
    <t>3123</t>
  </si>
  <si>
    <t xml:space="preserve">Минтай в маринаде с рисом радуга </t>
  </si>
  <si>
    <t>4279</t>
  </si>
  <si>
    <t>Гречка по-купечески с томленой говядиной</t>
  </si>
  <si>
    <t>822</t>
  </si>
  <si>
    <t xml:space="preserve">Хлеб пшеничный </t>
  </si>
  <si>
    <t>Хлеб</t>
  </si>
  <si>
    <t xml:space="preserve">Говядина в имбирном соусе </t>
  </si>
  <si>
    <t>Тефтели мясные с пюре</t>
  </si>
  <si>
    <t>4181</t>
  </si>
  <si>
    <t>Киш с ветчиной</t>
  </si>
  <si>
    <t>3196</t>
  </si>
  <si>
    <t>Манник ''Маковый''</t>
  </si>
  <si>
    <t>4037</t>
  </si>
  <si>
    <t>3426</t>
  </si>
  <si>
    <t>творожное</t>
  </si>
  <si>
    <t>4205</t>
  </si>
  <si>
    <t>Венский штрудель с творогом и вишней</t>
  </si>
  <si>
    <t>2079</t>
  </si>
  <si>
    <t xml:space="preserve">Хот-дог датский </t>
  </si>
  <si>
    <t>3518</t>
  </si>
  <si>
    <t>3435</t>
  </si>
  <si>
    <t>3455</t>
  </si>
  <si>
    <t>3375</t>
  </si>
  <si>
    <t>3527</t>
  </si>
  <si>
    <t>3454</t>
  </si>
  <si>
    <t>3528</t>
  </si>
  <si>
    <t>япошка</t>
  </si>
  <si>
    <t>шад</t>
  </si>
  <si>
    <t>3679</t>
  </si>
  <si>
    <t>2936</t>
  </si>
  <si>
    <t>4098</t>
  </si>
  <si>
    <t>1480</t>
  </si>
  <si>
    <t>4265</t>
  </si>
  <si>
    <t>Трайфл "Маковый"</t>
  </si>
  <si>
    <t>3341</t>
  </si>
  <si>
    <t>4019</t>
  </si>
  <si>
    <t>1287</t>
  </si>
  <si>
    <t>блины</t>
  </si>
  <si>
    <t>1550</t>
  </si>
  <si>
    <t>4207</t>
  </si>
  <si>
    <t>Драники с рыбой и соусом ранч</t>
  </si>
  <si>
    <t>драники</t>
  </si>
  <si>
    <t>4036</t>
  </si>
  <si>
    <t>сладкий</t>
  </si>
  <si>
    <t>4045</t>
  </si>
  <si>
    <t>4056</t>
  </si>
  <si>
    <t>2951</t>
  </si>
  <si>
    <t>3735</t>
  </si>
  <si>
    <t>Скрембл с беконом</t>
  </si>
  <si>
    <t>3856</t>
  </si>
  <si>
    <t>385</t>
  </si>
  <si>
    <t>2762</t>
  </si>
  <si>
    <t>ост.шад</t>
  </si>
  <si>
    <t>2980</t>
  </si>
  <si>
    <t>1404</t>
  </si>
  <si>
    <t>Драники со сметаной</t>
  </si>
  <si>
    <t>89</t>
  </si>
  <si>
    <t>3199</t>
  </si>
  <si>
    <t>Запеканка с изюмом и кокосовой стружкой</t>
  </si>
  <si>
    <t>138</t>
  </si>
  <si>
    <t>Каша рисовая (на молоке)</t>
  </si>
  <si>
    <t>2730</t>
  </si>
  <si>
    <t>4035</t>
  </si>
  <si>
    <t>3045</t>
  </si>
  <si>
    <t>4070</t>
  </si>
  <si>
    <t>3495</t>
  </si>
  <si>
    <t>Блинчики с вишней</t>
  </si>
  <si>
    <t>2423</t>
  </si>
  <si>
    <t>3445</t>
  </si>
  <si>
    <t>Каша овсяная с вишней</t>
  </si>
  <si>
    <t>2771</t>
  </si>
  <si>
    <t>Блины с грибным жульеном</t>
  </si>
  <si>
    <t>3144</t>
  </si>
  <si>
    <t>Каша Дружба</t>
  </si>
  <si>
    <t>758</t>
  </si>
  <si>
    <t>Блинчики с творогом и вишней</t>
  </si>
  <si>
    <t>1076</t>
  </si>
  <si>
    <t>691</t>
  </si>
  <si>
    <t>Блинчики с джемом</t>
  </si>
  <si>
    <t>1025</t>
  </si>
  <si>
    <t>Блинчики с мясом</t>
  </si>
  <si>
    <t>1128</t>
  </si>
  <si>
    <t>Запеканка творожная с изюмом</t>
  </si>
  <si>
    <t>1922</t>
  </si>
  <si>
    <t>Блины фаршированные сочной курочкой</t>
  </si>
  <si>
    <t>3624</t>
  </si>
  <si>
    <t>Каша рисовая со смородиной</t>
  </si>
  <si>
    <t>1557</t>
  </si>
  <si>
    <t>Каша пшенная (на молоке)</t>
  </si>
  <si>
    <t>3645</t>
  </si>
  <si>
    <t>Драники с рыбой и творожным сыром</t>
  </si>
  <si>
    <t>3662</t>
  </si>
  <si>
    <t>Запеканка с рыбой и рисом</t>
  </si>
  <si>
    <t>2759</t>
  </si>
  <si>
    <t>Фриттата с картофелем и ветчиной</t>
  </si>
  <si>
    <t>2769</t>
  </si>
  <si>
    <t>3643</t>
  </si>
  <si>
    <t>Каша рисовая с манго и семенами чиа</t>
  </si>
  <si>
    <t>145</t>
  </si>
  <si>
    <t>Сырники со сметаной</t>
  </si>
  <si>
    <t>3235</t>
  </si>
  <si>
    <t>Каша рисовая с яблоком и корицей</t>
  </si>
  <si>
    <t>3641</t>
  </si>
  <si>
    <t>Панкейки с вишневым вареньем</t>
  </si>
  <si>
    <t>3236</t>
  </si>
  <si>
    <t>Сырники с джемом</t>
  </si>
  <si>
    <t>3584</t>
  </si>
  <si>
    <t>3446</t>
  </si>
  <si>
    <t>3290</t>
  </si>
  <si>
    <t>3253</t>
  </si>
  <si>
    <t>4079</t>
  </si>
  <si>
    <t>3014</t>
  </si>
  <si>
    <t>4111</t>
  </si>
  <si>
    <t>4253</t>
  </si>
  <si>
    <t>Венский штрудель с грибами</t>
  </si>
  <si>
    <t>4206</t>
  </si>
  <si>
    <t>Венский штрудель с курочкой и сыром</t>
  </si>
  <si>
    <t>4065</t>
  </si>
  <si>
    <t>Запеканка с ананасом</t>
  </si>
  <si>
    <t>2847</t>
  </si>
  <si>
    <t>Запеканка творожная</t>
  </si>
  <si>
    <t>4246</t>
  </si>
  <si>
    <t>Каша "3 злака" на апельсиновом соке</t>
  </si>
  <si>
    <t>3644</t>
  </si>
  <si>
    <t>Каша овсяная с тыквой и клюквой</t>
  </si>
  <si>
    <t>2898</t>
  </si>
  <si>
    <t>Каша рисовая с курагой</t>
  </si>
  <si>
    <t>4235</t>
  </si>
  <si>
    <t>Киш с курицей</t>
  </si>
  <si>
    <t>4226</t>
  </si>
  <si>
    <t>Курник (курица, картофель)</t>
  </si>
  <si>
    <t>4230</t>
  </si>
  <si>
    <t>Пирог рыбный (горбуша, картофель)</t>
  </si>
  <si>
    <t>4244</t>
  </si>
  <si>
    <t>Профитроли с террином из мяса птицы</t>
  </si>
  <si>
    <t>4254</t>
  </si>
  <si>
    <t>Творожный чизкейк</t>
  </si>
  <si>
    <t>2786</t>
  </si>
  <si>
    <t>Фриттата с овощами</t>
  </si>
  <si>
    <t>4242</t>
  </si>
  <si>
    <t>Яичный рулет с овощами</t>
  </si>
  <si>
    <t>4317</t>
  </si>
  <si>
    <t xml:space="preserve">Рулет из кабачков с рыбой и крем чиз </t>
  </si>
  <si>
    <t>3998</t>
  </si>
  <si>
    <t>3999</t>
  </si>
  <si>
    <t>4173</t>
  </si>
  <si>
    <t>4000</t>
  </si>
  <si>
    <t>3021</t>
  </si>
  <si>
    <t>Морс из черной смородины 0,5</t>
  </si>
  <si>
    <t>3996</t>
  </si>
  <si>
    <t>3997</t>
  </si>
  <si>
    <t>3194</t>
  </si>
  <si>
    <t>Морс из вишни 0.5</t>
  </si>
  <si>
    <t>3145</t>
  </si>
  <si>
    <t>Морс из облепихи 0,5</t>
  </si>
  <si>
    <t>1474</t>
  </si>
  <si>
    <t>Компот из сухофруктов 0,5</t>
  </si>
  <si>
    <t>3847</t>
  </si>
  <si>
    <t>Морс ягодный 0.5</t>
  </si>
  <si>
    <t>4281</t>
  </si>
  <si>
    <t>Морс клюква/вишня 0,5 л</t>
  </si>
  <si>
    <t>3076</t>
  </si>
  <si>
    <t>колбаса</t>
  </si>
  <si>
    <t>4009</t>
  </si>
  <si>
    <t>3170</t>
  </si>
  <si>
    <t>2621</t>
  </si>
  <si>
    <t>4024</t>
  </si>
  <si>
    <t>3379</t>
  </si>
  <si>
    <t>3244</t>
  </si>
  <si>
    <t>3343</t>
  </si>
  <si>
    <t>3233</t>
  </si>
  <si>
    <t>3301</t>
  </si>
  <si>
    <t>4038</t>
  </si>
  <si>
    <t>4034</t>
  </si>
  <si>
    <t>3109</t>
  </si>
  <si>
    <t>Салат ''Здоровье'' (капуста, морковь, перец)</t>
  </si>
  <si>
    <t>4053</t>
  </si>
  <si>
    <t>4055</t>
  </si>
  <si>
    <t>3339</t>
  </si>
  <si>
    <t>3323</t>
  </si>
  <si>
    <t>4058</t>
  </si>
  <si>
    <t>2706</t>
  </si>
  <si>
    <t>3823</t>
  </si>
  <si>
    <t>2686</t>
  </si>
  <si>
    <t>3147</t>
  </si>
  <si>
    <t>3165</t>
  </si>
  <si>
    <t>Салат ''Красное море'' 120 г</t>
  </si>
  <si>
    <t>4184</t>
  </si>
  <si>
    <t>3080</t>
  </si>
  <si>
    <t>2175</t>
  </si>
  <si>
    <t>3814</t>
  </si>
  <si>
    <t>3327</t>
  </si>
  <si>
    <t>3189</t>
  </si>
  <si>
    <t>3216</t>
  </si>
  <si>
    <t>2303</t>
  </si>
  <si>
    <t>4089</t>
  </si>
  <si>
    <t>4088</t>
  </si>
  <si>
    <t>1160</t>
  </si>
  <si>
    <t>31</t>
  </si>
  <si>
    <t>3306</t>
  </si>
  <si>
    <t>3654</t>
  </si>
  <si>
    <t>3180</t>
  </si>
  <si>
    <t>41</t>
  </si>
  <si>
    <t>Закуска с селёдкой 120гр</t>
  </si>
  <si>
    <t>2067</t>
  </si>
  <si>
    <t xml:space="preserve">овощное </t>
  </si>
  <si>
    <t>4048</t>
  </si>
  <si>
    <t>3082</t>
  </si>
  <si>
    <t>Салат ''Тайский'' (курица, ананас)</t>
  </si>
  <si>
    <t>3778</t>
  </si>
  <si>
    <t>Витаминный с клюквой</t>
  </si>
  <si>
    <t>3433</t>
  </si>
  <si>
    <t>Салат ''Спаржа с курицей' 110 гр</t>
  </si>
  <si>
    <t>3666</t>
  </si>
  <si>
    <t>Салат ''Дубок" (курица, грибы)</t>
  </si>
  <si>
    <t>3689</t>
  </si>
  <si>
    <t>Салат ''Хутор" (колбаса п/к, фасоль)</t>
  </si>
  <si>
    <t>3500</t>
  </si>
  <si>
    <t>Салат ''Шапка Мономаха'' 220гр</t>
  </si>
  <si>
    <t>3120</t>
  </si>
  <si>
    <t>Салат ''Ермак'' (кур.печень)</t>
  </si>
  <si>
    <t>3430</t>
  </si>
  <si>
    <t>Боул с крабом, бобами эдамаме и овощами</t>
  </si>
  <si>
    <t>3649</t>
  </si>
  <si>
    <t>Салат ''Венгерский" (колбаса п/к)</t>
  </si>
  <si>
    <t>3797</t>
  </si>
  <si>
    <t>Салат Зимушка (курица, шампиньоны)</t>
  </si>
  <si>
    <t>2070</t>
  </si>
  <si>
    <t>Капуста по-грузински</t>
  </si>
  <si>
    <t>3173</t>
  </si>
  <si>
    <t>Салат ''Обжорка'' (ветчина)</t>
  </si>
  <si>
    <t>1450</t>
  </si>
  <si>
    <t>Салат ''Мясной с соусом песто''</t>
  </si>
  <si>
    <t>3092</t>
  </si>
  <si>
    <t>Салат ''Мужские слезы'' 220 г</t>
  </si>
  <si>
    <t>3647</t>
  </si>
  <si>
    <t>Салат "Лагуна" (краб.мясо, мор.капуста)</t>
  </si>
  <si>
    <t>морской</t>
  </si>
  <si>
    <t>378</t>
  </si>
  <si>
    <t>Салат ''Цезарь с курицей'' 120гр</t>
  </si>
  <si>
    <t>3810</t>
  </si>
  <si>
    <t xml:space="preserve">Боул с курицей терияки и фунчозой </t>
  </si>
  <si>
    <t>47</t>
  </si>
  <si>
    <t xml:space="preserve">Салат ''Фасолька'' </t>
  </si>
  <si>
    <t>3419</t>
  </si>
  <si>
    <t>Боул с креветками, рисом и соусом</t>
  </si>
  <si>
    <t>3657</t>
  </si>
  <si>
    <t>Салат ''Маяк'' (тунец консервир)</t>
  </si>
  <si>
    <t>3399</t>
  </si>
  <si>
    <t>Салат ''Морской бриз'' (краб.мясо)</t>
  </si>
  <si>
    <t>3519</t>
  </si>
  <si>
    <t>3651</t>
  </si>
  <si>
    <t>Салат ''Посейдон'' (краб.мясо, соус цезарь)</t>
  </si>
  <si>
    <t>3668</t>
  </si>
  <si>
    <t>Салат ''Радуга" (колбаса п/к)</t>
  </si>
  <si>
    <t>3849</t>
  </si>
  <si>
    <t>Боул с крабом бобами эдамаме и фунчозой</t>
  </si>
  <si>
    <t>3141</t>
  </si>
  <si>
    <t>3230</t>
  </si>
  <si>
    <t>2680</t>
  </si>
  <si>
    <t>Салат ''Красное море'' (столовая)</t>
  </si>
  <si>
    <t>3457</t>
  </si>
  <si>
    <t>Боул с курицей и чечевицей</t>
  </si>
  <si>
    <t>1995</t>
  </si>
  <si>
    <t>Салат ''Дачный'' (редис, огурец,)</t>
  </si>
  <si>
    <t>884</t>
  </si>
  <si>
    <t>Салат ''Интрига'' (ветчина кур.)</t>
  </si>
  <si>
    <t>Салат ''Витаминный'' 120 г</t>
  </si>
  <si>
    <t>4299</t>
  </si>
  <si>
    <t>Яблоко Грени Смит</t>
  </si>
  <si>
    <t>4312</t>
  </si>
  <si>
    <t>Фруктовый набор  (арбуз/дыня)</t>
  </si>
  <si>
    <t>4266</t>
  </si>
  <si>
    <t>Закуска с селёдкой 170 гр</t>
  </si>
  <si>
    <t>4273</t>
  </si>
  <si>
    <t xml:space="preserve">Салат "Шопский" с печёным перцем </t>
  </si>
  <si>
    <t>Салат ''Витаминный с крабом'' 120 г</t>
  </si>
  <si>
    <t>793</t>
  </si>
  <si>
    <t>8</t>
  </si>
  <si>
    <t>386</t>
  </si>
  <si>
    <t>380</t>
  </si>
  <si>
    <t>2288</t>
  </si>
  <si>
    <t>1394</t>
  </si>
  <si>
    <t>3752</t>
  </si>
  <si>
    <t>3819</t>
  </si>
  <si>
    <t>897</t>
  </si>
  <si>
    <t>Суп ''Рассольник'' с говядиной</t>
  </si>
  <si>
    <t>2203</t>
  </si>
  <si>
    <t>Борщ с мясом</t>
  </si>
  <si>
    <t>3559</t>
  </si>
  <si>
    <t>Том ям с креветками</t>
  </si>
  <si>
    <t>867</t>
  </si>
  <si>
    <t>Суп картофельный с мясными фрикадельками</t>
  </si>
  <si>
    <t>3782</t>
  </si>
  <si>
    <t>3179</t>
  </si>
  <si>
    <t>Окрошка (столовая )</t>
  </si>
  <si>
    <t>4185</t>
  </si>
  <si>
    <t xml:space="preserve">Окрошка </t>
  </si>
  <si>
    <t>100</t>
  </si>
  <si>
    <t xml:space="preserve">Крем-суп овощной с курицей </t>
  </si>
  <si>
    <t>4274</t>
  </si>
  <si>
    <t>Крем-суп из брокколи</t>
  </si>
  <si>
    <t>3832</t>
  </si>
  <si>
    <t>Суп Минестроне</t>
  </si>
  <si>
    <t>1106</t>
  </si>
  <si>
    <t xml:space="preserve">Суп-крем из тыквы </t>
  </si>
  <si>
    <t>1237</t>
  </si>
  <si>
    <t xml:space="preserve">Суп грибной </t>
  </si>
  <si>
    <t>654</t>
  </si>
  <si>
    <t>3140</t>
  </si>
  <si>
    <t>2364</t>
  </si>
  <si>
    <t>2083</t>
  </si>
  <si>
    <t>3330</t>
  </si>
  <si>
    <t>4050</t>
  </si>
  <si>
    <t>4197</t>
  </si>
  <si>
    <t>2782</t>
  </si>
  <si>
    <t>3223</t>
  </si>
  <si>
    <t>5</t>
  </si>
  <si>
    <t>3</t>
  </si>
  <si>
    <t>2904</t>
  </si>
  <si>
    <t>4051</t>
  </si>
  <si>
    <t>33</t>
  </si>
  <si>
    <t>54</t>
  </si>
  <si>
    <t>3486</t>
  </si>
  <si>
    <t>3408</t>
  </si>
  <si>
    <t>Сэндвич ''Крем-чиз с рыбой''</t>
  </si>
  <si>
    <t>3850</t>
  </si>
  <si>
    <t>Сэндвич с курочкой и соусом Том Ям</t>
  </si>
  <si>
    <t>4018</t>
  </si>
  <si>
    <t xml:space="preserve">Сэндвич со сливочным крабом </t>
  </si>
  <si>
    <t>4113</t>
  </si>
  <si>
    <t>3463</t>
  </si>
  <si>
    <t>Круассан с ветчиной и соусом Релиш</t>
  </si>
  <si>
    <t>4239</t>
  </si>
  <si>
    <t>Сэндвич с запеченной курочкой и соусом Релиш</t>
  </si>
  <si>
    <t>3222</t>
  </si>
  <si>
    <t>Круассан с ветчиной и сыром</t>
  </si>
  <si>
    <t>4313</t>
  </si>
  <si>
    <t xml:space="preserve">Бейгл с курицей и скремблом </t>
  </si>
  <si>
    <t>3215</t>
  </si>
  <si>
    <t>Сэндвич с курицей барбекю</t>
  </si>
  <si>
    <t>4115</t>
  </si>
  <si>
    <t>Хот-дог</t>
  </si>
  <si>
    <t>Сэндвич с рваной говядиной и грибами</t>
  </si>
  <si>
    <t>3630</t>
  </si>
  <si>
    <t>2943</t>
  </si>
  <si>
    <t>3723</t>
  </si>
  <si>
    <t>3722</t>
  </si>
  <si>
    <t>3857</t>
  </si>
  <si>
    <t>2928</t>
  </si>
  <si>
    <t>Ролл с огурцом</t>
  </si>
  <si>
    <t>2927</t>
  </si>
  <si>
    <t>Ролл Филадельфия с лососем</t>
  </si>
  <si>
    <t>3779</t>
  </si>
  <si>
    <t>Онигири с крабом спайси</t>
  </si>
  <si>
    <t>3868</t>
  </si>
  <si>
    <t xml:space="preserve">Маки ролл с крабом </t>
  </si>
  <si>
    <t>2929</t>
  </si>
  <si>
    <t>3738</t>
  </si>
  <si>
    <t>4086</t>
  </si>
  <si>
    <t xml:space="preserve">Трайфл шоколадный </t>
  </si>
  <si>
    <t xml:space="preserve">Ватрушка Царская </t>
  </si>
  <si>
    <t>Грибной крем суп</t>
  </si>
  <si>
    <t xml:space="preserve">Салат "Морковный с изюмом" </t>
  </si>
  <si>
    <t>Груша запеченая с творожным кремом</t>
  </si>
  <si>
    <t>Спагетти в сливочном соусе с грибами</t>
  </si>
  <si>
    <t>Бедро запеченное с картофелем</t>
  </si>
  <si>
    <t>3970</t>
  </si>
  <si>
    <t>Каша овсяная (на молоке)</t>
  </si>
  <si>
    <t>3260</t>
  </si>
  <si>
    <t>Салат ''Купеческий'' (филе кур., шампиньоны)</t>
  </si>
  <si>
    <t>4260</t>
  </si>
  <si>
    <t>Зеленый боул с курицей и овощами</t>
  </si>
  <si>
    <t>2022</t>
  </si>
  <si>
    <t>Горбуша в томатном соусе с рисом</t>
  </si>
  <si>
    <t>1826</t>
  </si>
  <si>
    <t>Купаты куриные с картофелем</t>
  </si>
  <si>
    <t>2954</t>
  </si>
  <si>
    <t>Салат рыбный ''Мимоза'' 220 г</t>
  </si>
  <si>
    <t>4327</t>
  </si>
  <si>
    <t xml:space="preserve">     Морс вишня/клубника 0,5 л</t>
  </si>
  <si>
    <t>4320</t>
  </si>
  <si>
    <t>Горбуша запеченная в чили соусе</t>
  </si>
  <si>
    <t>4329</t>
  </si>
  <si>
    <t>Рис Карри с курицей</t>
  </si>
  <si>
    <t>4330</t>
  </si>
  <si>
    <t xml:space="preserve">Том Ям с курицей </t>
  </si>
  <si>
    <t>4333</t>
  </si>
  <si>
    <t>Крем-суп из тыквы пряный на кокосовом креме</t>
  </si>
  <si>
    <t>4332</t>
  </si>
  <si>
    <t>Фриттата с шампиньонами, болгарским перцем и шпинатом</t>
  </si>
  <si>
    <t>4331</t>
  </si>
  <si>
    <t>Блины с крем чиз и рыбой</t>
  </si>
  <si>
    <t>4335</t>
  </si>
  <si>
    <t xml:space="preserve">Муссака с овощами и курицей </t>
  </si>
  <si>
    <t>4338</t>
  </si>
  <si>
    <t xml:space="preserve">Творожная панакота с фруктами </t>
  </si>
  <si>
    <t xml:space="preserve">Салат с индейкой  и гранатовым соусом </t>
  </si>
  <si>
    <t>4346</t>
  </si>
  <si>
    <t xml:space="preserve">Трайфл с вишней </t>
  </si>
  <si>
    <t xml:space="preserve">Дата:  </t>
  </si>
  <si>
    <t>План на день кухня             ПЯТНИЦА</t>
  </si>
  <si>
    <t>- РАБОТАЕТ</t>
  </si>
  <si>
    <t>- ВЫХОДНОЙ</t>
  </si>
  <si>
    <t>Код</t>
  </si>
  <si>
    <t>Вид</t>
  </si>
  <si>
    <t>Т 1</t>
  </si>
  <si>
    <t>Ф 1</t>
  </si>
  <si>
    <t>Т2</t>
  </si>
  <si>
    <t>Ф2</t>
  </si>
  <si>
    <t>Т 3</t>
  </si>
  <si>
    <t>Ф 3</t>
  </si>
  <si>
    <t>Т 4</t>
  </si>
  <si>
    <t>Ф 4</t>
  </si>
  <si>
    <t>Т 5</t>
  </si>
  <si>
    <t>Ф 5</t>
  </si>
  <si>
    <t>Т 6</t>
  </si>
  <si>
    <t>Ф 6</t>
  </si>
  <si>
    <t>Т 7</t>
  </si>
  <si>
    <t>Ф7</t>
  </si>
  <si>
    <t>Т8</t>
  </si>
  <si>
    <t>Ф8</t>
  </si>
  <si>
    <t>Т9</t>
  </si>
  <si>
    <t>Ф9</t>
  </si>
  <si>
    <t xml:space="preserve">Т10 </t>
  </si>
  <si>
    <t>Ф10</t>
  </si>
  <si>
    <t>Т11</t>
  </si>
  <si>
    <t>Ф11</t>
  </si>
  <si>
    <t>Т12</t>
  </si>
  <si>
    <t>Ф12</t>
  </si>
  <si>
    <t>Т13</t>
  </si>
  <si>
    <t>Ф13</t>
  </si>
  <si>
    <t>Т14</t>
  </si>
  <si>
    <t>Ф14</t>
  </si>
  <si>
    <t>Т15</t>
  </si>
  <si>
    <t>Ф15</t>
  </si>
  <si>
    <t>Т16</t>
  </si>
  <si>
    <t>Ф16</t>
  </si>
  <si>
    <t>Т17</t>
  </si>
  <si>
    <t>Ф17</t>
  </si>
  <si>
    <t>Т18</t>
  </si>
  <si>
    <t>Ф18</t>
  </si>
  <si>
    <t>Т19</t>
  </si>
  <si>
    <t>Ф19</t>
  </si>
  <si>
    <t>Т20</t>
  </si>
  <si>
    <t>Ф20</t>
  </si>
  <si>
    <t>Т21</t>
  </si>
  <si>
    <t>Ф21</t>
  </si>
  <si>
    <t>Т22</t>
  </si>
  <si>
    <t>Ф22</t>
  </si>
  <si>
    <t>БПЮ</t>
  </si>
  <si>
    <t>ФБПЮ</t>
  </si>
  <si>
    <t>ПЛАН</t>
  </si>
  <si>
    <t>ФАКТ</t>
  </si>
  <si>
    <t>ВМ</t>
  </si>
  <si>
    <t>Выход</t>
  </si>
  <si>
    <t>Масса</t>
  </si>
  <si>
    <t xml:space="preserve">Кол-во человек </t>
  </si>
  <si>
    <t>ОБЫЧ РЕЖ</t>
  </si>
  <si>
    <t>ПО ВЫХ ДН</t>
  </si>
  <si>
    <t>15-20</t>
  </si>
  <si>
    <t>30-50</t>
  </si>
  <si>
    <t>Когда выходят работать</t>
  </si>
  <si>
    <t>С 04.01</t>
  </si>
  <si>
    <t xml:space="preserve"> 
Вот ингредиенты на 4 персоны:
1 литр томатного соуса;
50 г сливочного масла;
50 г муки;
500 мл молока;
половинка луковицы;
несколько листьев базилика;
соль, черный перец, тертый мускатный орех и масло по вкусу.
В кастрюле с высокими бортами приготовьте томатный соус. Налейте масло и добавьте нарезанную половину лука. Когда он станет золотистым, добавьте помидор, соль и дайте ему приготовиться, добавьте свежие листьями базилика.
Тем временем приготовьте соус бешамель в небольшой кастрюле: дайте маслу растаять и медленно добавьте просеянную муку, хорошо перемешивая — обратите на этот шаг пристальное внимание, потому что могут легко образовываться комочки. Когда мука станет золотистой, понемногу вливайте молоко и перемешивайте венчиком; уменьшите огонь и часто помешивайте, пока молоко не загустеет и не образуется бархатистый крем. На этом этапе добавьте соль, перец и много тертого мускатного ореха, чтобы придать бешамелю характерный вкус.
Вы можете смешать соус бешамель с томатным, чтобы консистенция получилась более однородной, или вылить оба соуса на пасту отдельно.</t>
  </si>
  <si>
    <t xml:space="preserve">салат </t>
  </si>
  <si>
    <t xml:space="preserve">Биточки куриные с гречкой </t>
  </si>
  <si>
    <t>сэндвич</t>
  </si>
  <si>
    <t xml:space="preserve">Чкмерули из курицы с гречкой </t>
  </si>
  <si>
    <t>Доп-но</t>
  </si>
  <si>
    <t xml:space="preserve">Свинина по тайски с рисом </t>
  </si>
  <si>
    <t xml:space="preserve">Тефтели рыбные   с пюре </t>
  </si>
  <si>
    <t>Внеплан</t>
  </si>
  <si>
    <t>вес</t>
  </si>
  <si>
    <t>______________________________________________________________________________________</t>
  </si>
  <si>
    <t xml:space="preserve">Дата: </t>
  </si>
  <si>
    <t>Загрузка в аппараты</t>
  </si>
  <si>
    <t>Выгружаем дату производства:</t>
  </si>
  <si>
    <t>Т1</t>
  </si>
  <si>
    <t>Т3</t>
  </si>
  <si>
    <t>Т4</t>
  </si>
  <si>
    <t>Т5</t>
  </si>
  <si>
    <t>Т6</t>
  </si>
  <si>
    <t>Т7</t>
  </si>
  <si>
    <t>Т10</t>
  </si>
  <si>
    <t>№ точки</t>
  </si>
  <si>
    <t>ИТОГО</t>
  </si>
  <si>
    <t>Адреса</t>
  </si>
  <si>
    <t>29.30.12</t>
  </si>
  <si>
    <t>План на день кухня              ПОНЕДЕЛЬНИК</t>
  </si>
  <si>
    <t>Информация</t>
  </si>
  <si>
    <t>"Лемана Про" ул. Тобольский тракт д.103</t>
  </si>
  <si>
    <t>100-105</t>
  </si>
  <si>
    <t>В обычном режиме</t>
  </si>
  <si>
    <r>
      <rPr>
        <rFont val="Calibri, sans-serif"/>
        <b/>
        <color rgb="FF000000"/>
        <sz val="15.0"/>
      </rPr>
      <t>С 31.12 - 04.01 НЕ БУДЕТ РАБОТАТЬ СТОЛОВАЯ</t>
    </r>
    <r>
      <rPr>
        <rFont val="Calibri, sans-serif"/>
        <color rgb="FF000000"/>
        <sz val="14.0"/>
      </rPr>
      <t xml:space="preserve"> 31 магазин работает с 9 до 18, 1 числа выходной и с 2 числа как обычно </t>
    </r>
  </si>
  <si>
    <t>Пермякова 1Г, Очаково</t>
  </si>
  <si>
    <t>Велижанский тракт 6 км, ст9 "ЗапСибГазпром Газификация"</t>
  </si>
  <si>
    <t>с 31.12 по 11.01 отдыхают, 12.01 на работу</t>
  </si>
  <si>
    <t>Старый Тобольский тракт 2 километр, 8 ст25 "Технологии офс"</t>
  </si>
  <si>
    <t>~40</t>
  </si>
  <si>
    <t>Все праздники работает только круглосуточный персонал, около 30 человек</t>
  </si>
  <si>
    <t>"Бентек" Старый Тобольский тракт 2 километр, 8а</t>
  </si>
  <si>
    <t>~20</t>
  </si>
  <si>
    <t>31-4 выходные, с 5го по 11е работают примерно по 20 чел</t>
  </si>
  <si>
    <t>"ОФС" Тобольский тракт 23 км</t>
  </si>
  <si>
    <t>31.12 - сокращеный день до 16:00, 1.01 - выходной у всех, с 02.01 - цех работает, кроме начальства и технологического отдела. с 12.01 в штатном режиме</t>
  </si>
  <si>
    <t>ул. Сергея Ильюшина,1 Металл Профиль</t>
  </si>
  <si>
    <t>~30</t>
  </si>
  <si>
    <t>29-30 крайние рабочие дни будет 30 чел., половина сотрудников в эти дни не выйдут на работу, тк берут за свой счет. На работу выходим 12.01</t>
  </si>
  <si>
    <t>Тубдиспансер, Курортная 2а</t>
  </si>
  <si>
    <t>Загрузка по выходному дню</t>
  </si>
  <si>
    <t>ул. Камчатская, 194 "АИРТО"</t>
  </si>
  <si>
    <t>как и во все праздничные дни мы в праздники будем отдыхать. И Арендаторы (большинство) тоже.</t>
  </si>
  <si>
    <t>Станция скорой помощи, Суходольская д. 25</t>
  </si>
  <si>
    <t>Работают в обычном режиме</t>
  </si>
  <si>
    <t>Катрен, Гилёвская Роща д.10</t>
  </si>
  <si>
    <t>30.12, 31.12, 01.01 и 7.01 -  выходные дни, остальные рабочие (загруженость на 7-10% сеньше чем обчно)</t>
  </si>
  <si>
    <t>ул. Республики, 250 "Сантехкомплект" (малое АБК)</t>
  </si>
  <si>
    <t>Работают по производственному календарю</t>
  </si>
  <si>
    <t>с 05.01</t>
  </si>
  <si>
    <t>ул. Республики, 250 "Сантехкомплект"</t>
  </si>
  <si>
    <t>ул. Республики, 142 "Технопарк"</t>
  </si>
  <si>
    <t>7-ВЫХОДНОЙ</t>
  </si>
  <si>
    <t>~15-20</t>
  </si>
  <si>
    <t>Примерно будут работать 15/20 человек в смену, загрузка выходного дня</t>
  </si>
  <si>
    <t>ул. Депутатская 91, к. 3 "АТМ Альянс"</t>
  </si>
  <si>
    <t>ул. Первомайская 19 "Запсибгазпром"</t>
  </si>
  <si>
    <t>Республики 211 а</t>
  </si>
  <si>
    <t>~10-15</t>
  </si>
  <si>
    <t>~30-50</t>
  </si>
  <si>
    <t>Тюмень прибор, Индустриальный парк Боровский Промзона Южная, ст5</t>
  </si>
  <si>
    <t>ул. Республики, 142 "Технопарк"2</t>
  </si>
  <si>
    <t>ул. Даудельная 1к3</t>
  </si>
  <si>
    <t>"Шлюмберже" ул. Дружбы, 124</t>
  </si>
  <si>
    <t>с 31.12 по 03.01 отдыхают, с 04.01 будут работать по 20 человек, остальные выходят 12.01</t>
  </si>
  <si>
    <t>"Лемана Про" ул. Менделеева 1</t>
  </si>
  <si>
    <t xml:space="preserve"> </t>
  </si>
  <si>
    <t>СПК завод, Республики 250 (обеденная загрузка)</t>
  </si>
  <si>
    <t>БАХАРЕВА</t>
  </si>
  <si>
    <t>С 1-5 ПРИМЕРНО 3-5 ЧЕЛ. ЕСЛИ НЕ РАБОТАЕМ - ЧЕМ НАКОРМИТЬ РЗБЕРУТСЯ</t>
  </si>
  <si>
    <t>Выходные</t>
  </si>
  <si>
    <t>Короткий день до 18:00</t>
  </si>
  <si>
    <t>Короткий день до 16:00</t>
  </si>
  <si>
    <t xml:space="preserve">Салат капустный </t>
  </si>
  <si>
    <t xml:space="preserve">суп </t>
  </si>
  <si>
    <t xml:space="preserve">Второе </t>
  </si>
  <si>
    <t>ТСПК</t>
  </si>
  <si>
    <t>Код блюда</t>
  </si>
  <si>
    <t>Код белка</t>
  </si>
  <si>
    <t>Белок</t>
  </si>
  <si>
    <t>Код гарнира</t>
  </si>
  <si>
    <t>Гарнир</t>
  </si>
  <si>
    <t>Статус</t>
  </si>
  <si>
    <t>Азу из свинины с грибами б/100гр</t>
  </si>
  <si>
    <t>не найден гарнир</t>
  </si>
  <si>
    <t>Азу ''По-татарски'' (Столовая)</t>
  </si>
  <si>
    <t>Азу из говядины с гречкой</t>
  </si>
  <si>
    <t>Гречка г/200гр</t>
  </si>
  <si>
    <t>не найден белок</t>
  </si>
  <si>
    <t>Азу из говядины с макаронами</t>
  </si>
  <si>
    <t>Макароны г/200гр</t>
  </si>
  <si>
    <t>Азу из говядины с пюре</t>
  </si>
  <si>
    <t>Картофельное пюре г/200гр</t>
  </si>
  <si>
    <t>Азу из говядины с рисом</t>
  </si>
  <si>
    <t>Рис г/150гр</t>
  </si>
  <si>
    <t>Азу из курицы с картофелем</t>
  </si>
  <si>
    <t>Азу из курицы с рисом</t>
  </si>
  <si>
    <t>Азу из курицы со спагетти</t>
  </si>
  <si>
    <t>Спагетти г/150гр</t>
  </si>
  <si>
    <t>Азу из курочки с гречкой</t>
  </si>
  <si>
    <t>Азу из курочки с макаронами</t>
  </si>
  <si>
    <t>Азу из курочки с соленым огурчиком (столовая)</t>
  </si>
  <si>
    <t>не найдено</t>
  </si>
  <si>
    <t>авто</t>
  </si>
  <si>
    <t>Айран 150 мл</t>
  </si>
  <si>
    <t>Бедро в сметанном соусе с картофелем</t>
  </si>
  <si>
    <t>Бедро запеченное б/шт</t>
  </si>
  <si>
    <t>Бедро в соусе сациви с гречкой</t>
  </si>
  <si>
    <t>Бедро в соусе сациви с рисом</t>
  </si>
  <si>
    <t>Бедро жареное</t>
  </si>
  <si>
    <t>Бедро запеченное с рисом</t>
  </si>
  <si>
    <t>Бедро запеченное с тушеной капустой</t>
  </si>
  <si>
    <t>Капуста тушеная г/150гр</t>
  </si>
  <si>
    <t>Бедро запеченное со ''сложным гарниром''</t>
  </si>
  <si>
    <t>Бедро запеченное со спагетти</t>
  </si>
  <si>
    <t>Бедро запеченое (горячее) Столовая</t>
  </si>
  <si>
    <t>Бедро под шапочкой с овощным сотэ</t>
  </si>
  <si>
    <t>Бедро под шапочкой со спагетти</t>
  </si>
  <si>
    <t>Бедрышки жареные с пюре</t>
  </si>
  <si>
    <t>Беляш</t>
  </si>
  <si>
    <t>Бефстроганов из курочки со спагетти</t>
  </si>
  <si>
    <t>Бефстроганов с гречкой</t>
  </si>
  <si>
    <t>Бефстроганов со сливочным пюре</t>
  </si>
  <si>
    <t>Бигус со свининой</t>
  </si>
  <si>
    <t>Биточек ''по-селянски'' с лапшой</t>
  </si>
  <si>
    <t>Биточек куриный б/шт</t>
  </si>
  <si>
    <t>Биточек ''по-селянски'' со спагетти</t>
  </si>
  <si>
    <t>Биточек ''Солнышко'' (Столовая)</t>
  </si>
  <si>
    <t>Биточек ''Солнышко'' с картофелем</t>
  </si>
  <si>
    <t>Биточек ''Солнышко'' с картофельным пюре</t>
  </si>
  <si>
    <t>Биточек ''Солнышко'' с макаронами</t>
  </si>
  <si>
    <t>Биточек ''Солнышко'' с тушеной капустой</t>
  </si>
  <si>
    <t>Биточек (курица) с грибами с рисом</t>
  </si>
  <si>
    <t>Биточек (с грибами) с картофелем</t>
  </si>
  <si>
    <t>Биточек (с грибами) с картофельным пюре</t>
  </si>
  <si>
    <t>Биточек (с грибами) с макаронами</t>
  </si>
  <si>
    <t>Биточек (с грибами) с рисом и перцем</t>
  </si>
  <si>
    <t>Биточек с макаронами</t>
  </si>
  <si>
    <t>Биточек с овощами и гречкой</t>
  </si>
  <si>
    <t>Бифштекс под печёным перцем с рисом</t>
  </si>
  <si>
    <t>Бифштекс с печёным перцем (столовая)</t>
  </si>
  <si>
    <t>Бифштекс с печёным перцем и картофелем</t>
  </si>
  <si>
    <t>Бифштекс с печёным перцем и пюре</t>
  </si>
  <si>
    <t>Бифштекс с печёным перцем и спагетти</t>
  </si>
  <si>
    <t>Бифштекс с томленым луком и макаронами</t>
  </si>
  <si>
    <t>Бифштекс с томленым луком и пюре</t>
  </si>
  <si>
    <t>Блин с красной рыбкой и творожным сыром</t>
  </si>
  <si>
    <t>Блин с куриными сердечками и сметаной</t>
  </si>
  <si>
    <t>Блин с мясом</t>
  </si>
  <si>
    <t>Блинчик с бананом</t>
  </si>
  <si>
    <t>Блинчик с творогом и изюмом</t>
  </si>
  <si>
    <t>Блинчик с творогом и сметаной</t>
  </si>
  <si>
    <t>Блинчик фаршированный сочной курочкой</t>
  </si>
  <si>
    <t>Блинчики крем чиз варенка 180г</t>
  </si>
  <si>
    <t>Блинчики с абрикосовым конфитюром</t>
  </si>
  <si>
    <t>Блинчики с вареной сгущенкой из детства</t>
  </si>
  <si>
    <t>Блинчики с ветчиной и сыром</t>
  </si>
  <si>
    <t>Блинчики с ветчиной и сыром 110гр</t>
  </si>
  <si>
    <t>Блинчики с вишневым конфитюром</t>
  </si>
  <si>
    <t>Блинчики с джемом и сметаной 100/40 г</t>
  </si>
  <si>
    <t>Блинчики с жульеном 180 г</t>
  </si>
  <si>
    <t>Блинчики с клубникой</t>
  </si>
  <si>
    <t>Блинчики с конфитюром из яблок</t>
  </si>
  <si>
    <t>Блинчики с курочкой и сыром</t>
  </si>
  <si>
    <t>Блинчики с печенью</t>
  </si>
  <si>
    <t>Блинчики с творогом</t>
  </si>
  <si>
    <t>Блинчики с творогом 3 шт</t>
  </si>
  <si>
    <t>Блинчики с творогом и курагой</t>
  </si>
  <si>
    <t>Блинчики с фаршем и рисом 160г</t>
  </si>
  <si>
    <t>Блинчики с яблоком</t>
  </si>
  <si>
    <t>Блинчики со сгущенкой (покупные)</t>
  </si>
  <si>
    <t>Блинчики фаршированные</t>
  </si>
  <si>
    <t>Блинчики Хачапури 180 гр</t>
  </si>
  <si>
    <t>Блины</t>
  </si>
  <si>
    <t>Блины (4шт) с джемом</t>
  </si>
  <si>
    <t>Блины (ингредиент)</t>
  </si>
  <si>
    <t>Блины с яблоками</t>
  </si>
  <si>
    <t>Блины с яблоками и корицей</t>
  </si>
  <si>
    <t>Блины со сметаной (Столовая)</t>
  </si>
  <si>
    <t>Борани из курицы с картофельным пюре</t>
  </si>
  <si>
    <t>Борани из курицы с овощами</t>
  </si>
  <si>
    <t>Овощное рагу г/200гр</t>
  </si>
  <si>
    <t>Борщ с курицей (столовая)</t>
  </si>
  <si>
    <t>Боул с гречкой и грибами 220 г</t>
  </si>
  <si>
    <t>Боул с киноа и креветками</t>
  </si>
  <si>
    <t>Боул с курицей терияки и фунчозой</t>
  </si>
  <si>
    <t>Боул с лососем, бобами эдамаме и овощами</t>
  </si>
  <si>
    <t>Бризоль (столовая)</t>
  </si>
  <si>
    <t>Бризоль куриная с запеченым картофелем</t>
  </si>
  <si>
    <t>Бризоль куриная с макаронами</t>
  </si>
  <si>
    <t>Бризоль с булгуром</t>
  </si>
  <si>
    <t>Бризоль с капустой тушеной</t>
  </si>
  <si>
    <t>Бризоль с овощным сотэ</t>
  </si>
  <si>
    <t>Бризоль с отварным картофелем</t>
  </si>
  <si>
    <t>Бризоль с рисом и кукурузой</t>
  </si>
  <si>
    <t>Бризоль с тушеным кабачком</t>
  </si>
  <si>
    <t>Бризоль со ''сложным'' гарниром</t>
  </si>
  <si>
    <t>Бризоль со спагетти</t>
  </si>
  <si>
    <t>Брокколи</t>
  </si>
  <si>
    <t>Буженина в/к</t>
  </si>
  <si>
    <t>Булгур (гарнир) 100гр (Столовая)</t>
  </si>
  <si>
    <t>Булгур 200гр</t>
  </si>
  <si>
    <t>Булгур с овощами 200 г</t>
  </si>
  <si>
    <t>Булочка</t>
  </si>
  <si>
    <t>Булочка ''Выборгская''</t>
  </si>
  <si>
    <t>Булочка ''Оригинальная''</t>
  </si>
  <si>
    <t>Булочка ''Ромашка''</t>
  </si>
  <si>
    <t>Булочка домашняя</t>
  </si>
  <si>
    <t>Булочка Домашняя 80 г</t>
  </si>
  <si>
    <t>Булочка мультизерновая 40г</t>
  </si>
  <si>
    <t>Булочка с корицей</t>
  </si>
  <si>
    <t>Булочка с кунжутом</t>
  </si>
  <si>
    <t>Булочка с маком</t>
  </si>
  <si>
    <t>Бурый рис ''Том Ям'' с креветкой</t>
  </si>
  <si>
    <t>Вареники с картофелем и луком</t>
  </si>
  <si>
    <t>Ватрушка с брусникой</t>
  </si>
  <si>
    <t>Ватрушка с джемом</t>
  </si>
  <si>
    <t>Вафли венские</t>
  </si>
  <si>
    <t>Вафли с беконом и скремблом</t>
  </si>
  <si>
    <t>Венская вафля с вишнёвым вареньем</t>
  </si>
  <si>
    <t>Вафли с крабом в соусе спайси</t>
  </si>
  <si>
    <t>Вафли с курицей с соусом Ранч</t>
  </si>
  <si>
    <t>Вафли с курицей с соусом Том ям</t>
  </si>
  <si>
    <t>Вафли с лососем и огурчиком ким-чи</t>
  </si>
  <si>
    <t>Вафли с томленым яблоком</t>
  </si>
  <si>
    <t>Вок (удон) с курицей (столовая)</t>
  </si>
  <si>
    <t>Вок с креветками и рисом</t>
  </si>
  <si>
    <t>Вок с курицей (лингвини)</t>
  </si>
  <si>
    <t>Вок с курицей и рисом (столовая)</t>
  </si>
  <si>
    <t>Вуппи</t>
  </si>
  <si>
    <t>Выручалка если не пробивается ВТОРОЕ</t>
  </si>
  <si>
    <t>Выручалка если не пробивается САЛАТ</t>
  </si>
  <si>
    <t>Выручалка если не пробивается СУП</t>
  </si>
  <si>
    <t>Гедлибже (курица) с рисом</t>
  </si>
  <si>
    <t>Гедлибже (курица) со спагетти</t>
  </si>
  <si>
    <t>Гедлибже (курица) СТОЛОВАЯ</t>
  </si>
  <si>
    <t>Гедлибже с макаронами</t>
  </si>
  <si>
    <t>Гедлибже(курица) с гречкой</t>
  </si>
  <si>
    <t>Глазунья (столовая)</t>
  </si>
  <si>
    <t>Гнездо глухаря</t>
  </si>
  <si>
    <t>Говядина по-бургундски со спагетти</t>
  </si>
  <si>
    <t>Говядина по-венгерски б/100гр</t>
  </si>
  <si>
    <t>Говядина по-венгерски с картофелем</t>
  </si>
  <si>
    <t>Говядина по-венгерски с рисом</t>
  </si>
  <si>
    <t>Говядина по-строгановски с картофельным пюре</t>
  </si>
  <si>
    <t>Говядина по-строгановски б/100гр</t>
  </si>
  <si>
    <t>Говядина по-строгановски с рисом</t>
  </si>
  <si>
    <t>Говядина томленая б/100гр</t>
  </si>
  <si>
    <t>Голубец Столовая</t>
  </si>
  <si>
    <t>Голубцы ленивые</t>
  </si>
  <si>
    <t>Голубцы ленивые (столовая )</t>
  </si>
  <si>
    <t>Голубцы ленивые с картофельным пюре</t>
  </si>
  <si>
    <t>Голубцы ленивые с рисом светофор</t>
  </si>
  <si>
    <t>Горбуша "Нежная" б/шт</t>
  </si>
  <si>
    <t>Горбуша ''Нежная'' с рисом и кукурузой</t>
  </si>
  <si>
    <t>Горбуша в кляре (Столовая)</t>
  </si>
  <si>
    <t>Горбуша в кляре с булгуром</t>
  </si>
  <si>
    <t>Горбуша в кляре с картофельным пюре</t>
  </si>
  <si>
    <t>результат по количеству чеков</t>
  </si>
  <si>
    <t>Горбуша в кляре с макаронами</t>
  </si>
  <si>
    <t>Горбуша в кляре с овощным соте</t>
  </si>
  <si>
    <t>Овощное соте г/200гр</t>
  </si>
  <si>
    <t>Горбуша в кляре со сливочным пюре</t>
  </si>
  <si>
    <t>Горбуша в кляре со сложным гарниром</t>
  </si>
  <si>
    <t>Горбуша в соусе с мексиканской смесью</t>
  </si>
  <si>
    <t>Горбуша в сырной корочке</t>
  </si>
  <si>
    <t>Горбуша в сырной корочке б/шт</t>
  </si>
  <si>
    <t>Горбуша в томатном соусе (столовая)</t>
  </si>
  <si>
    <t>Горбуша в томатном соусе с булгуром</t>
  </si>
  <si>
    <t>Горбуша в томатном соусе с овощами</t>
  </si>
  <si>
    <t>Горбуша в томатном соусе с пюре</t>
  </si>
  <si>
    <t>Горбуша жареная под сыром (столовая)</t>
  </si>
  <si>
    <t>Горбуша жареная с картофельным пюре</t>
  </si>
  <si>
    <t>Горбуша жареная с рисом</t>
  </si>
  <si>
    <t>Горбуша жареная с рисом ''Радуга''</t>
  </si>
  <si>
    <t>Горбуша запеченная (столовая)</t>
  </si>
  <si>
    <t>Горбуша запеченная с булгуром</t>
  </si>
  <si>
    <t>Горбуша запеченная с мексиканской смесью</t>
  </si>
  <si>
    <t>Горбуша запеченная с рисом припущенным</t>
  </si>
  <si>
    <t>результат по среднему чеку</t>
  </si>
  <si>
    <t>Горбуша на пару (столовая)</t>
  </si>
  <si>
    <t>Горбуша на пару с булгуром</t>
  </si>
  <si>
    <t>Горбуша на пару с овощами</t>
  </si>
  <si>
    <t>Горбуша на пару с отварным картофелем</t>
  </si>
  <si>
    <t>Горбуша на пару с рисом</t>
  </si>
  <si>
    <t>Горбуша по-московски</t>
  </si>
  <si>
    <t>Горбуша по-московски (Столовая)</t>
  </si>
  <si>
    <t>Горбуша по-московски с булгуром</t>
  </si>
  <si>
    <t>Горбуша по-московски с картофелем</t>
  </si>
  <si>
    <t>Горбуша по-московски с картофельным пюре</t>
  </si>
  <si>
    <t>Горбуша по-московски с овощным соте</t>
  </si>
  <si>
    <t>Горбуша по-московски с рисом ''Радуга''</t>
  </si>
  <si>
    <t>Горбуша по-московски со спагетти</t>
  </si>
  <si>
    <t>Горбуша по-царски с рисом</t>
  </si>
  <si>
    <t>Горбуша под маринадом с картофелем</t>
  </si>
  <si>
    <t>Горбуша под маринадом с мексиканской смесью</t>
  </si>
  <si>
    <t>Горбуша под моцареллой (Столовая)</t>
  </si>
  <si>
    <t>Горбуша под моцареллой с булгуром</t>
  </si>
  <si>
    <t>Горбуша под моцареллой с макаронами</t>
  </si>
  <si>
    <t>Горбуша под моцареллой с овощами</t>
  </si>
  <si>
    <t>Горбуша под моцареллой с рисом</t>
  </si>
  <si>
    <t>Горбуша под моцареллой с рисом ''Радуга''</t>
  </si>
  <si>
    <t>Горбуша под овощами с булгуром</t>
  </si>
  <si>
    <t>Горбуша под овощами с желтым рисом</t>
  </si>
  <si>
    <t>Желтый рис г/150гр</t>
  </si>
  <si>
    <t>Горбуша под овощной шапкой (столовая)</t>
  </si>
  <si>
    <t>Горбуша под овощной шапкой с рисом Радуга</t>
  </si>
  <si>
    <t>Горбуша под овощной шапочкой с булгуром</t>
  </si>
  <si>
    <t>Горбуша под овощной шапочкой с макаронами</t>
  </si>
  <si>
    <t>Горбуша под овощной шапочкой с пюре</t>
  </si>
  <si>
    <t>Горбуша под перцем с булгуром</t>
  </si>
  <si>
    <t>Горбуша под перцем с картофельным пюре</t>
  </si>
  <si>
    <t>Горбуша под перцем с рисом и кукурузой</t>
  </si>
  <si>
    <t>Горбуша под соусом тар-тар с булгуром</t>
  </si>
  <si>
    <t>Горбуша под соусом тар-тар с рисом</t>
  </si>
  <si>
    <t>Горбуша под шубой из томата и сыра с овощами</t>
  </si>
  <si>
    <t>Горбуша под шубой с картофельным пюре</t>
  </si>
  <si>
    <t>Горбуша с белым соусом и булгуром</t>
  </si>
  <si>
    <t>Горбуша с белым соусом и пюре</t>
  </si>
  <si>
    <t>Горбуша с белым соусом и рисом</t>
  </si>
  <si>
    <t>Горбуша с запеченным картофелем</t>
  </si>
  <si>
    <t>Горбуша с маслинами, рисом и кукурузой</t>
  </si>
  <si>
    <t>Горбуша с моцареллой и рисом с кукурузой</t>
  </si>
  <si>
    <t>Гребешок с джемом</t>
  </si>
  <si>
    <t>Гребешок с маком</t>
  </si>
  <si>
    <t>Греча томленная с овощами и свининой</t>
  </si>
  <si>
    <t>Греча томленная с овощами и свининой 400г</t>
  </si>
  <si>
    <t>Гречаники с макаронами</t>
  </si>
  <si>
    <t>Гречка (гарнир) 100 гр (Столовая)</t>
  </si>
  <si>
    <t>Гречка 150гр</t>
  </si>
  <si>
    <t>Гречка с беконом и скремблом</t>
  </si>
  <si>
    <t>Гречка с овощами и  грибами</t>
  </si>
  <si>
    <t>Гречотто с куриным бедром</t>
  </si>
  <si>
    <t>Грудка курин.с ананасами с картоф.270 гр</t>
  </si>
  <si>
    <t>Гуляш ''по-домашнему'' с булгуром</t>
  </si>
  <si>
    <t>Гуляш ''по-домашнему'' с гречкой</t>
  </si>
  <si>
    <t>Гуляш ''по-домашнему'' с перловкой</t>
  </si>
  <si>
    <t>Гуляш ''по-домашнему'' с пюре картофельным</t>
  </si>
  <si>
    <t>Гуляш ''по-домашнему'' с рисом</t>
  </si>
  <si>
    <t>Гуляш ''по-домашнему'' со спагетти</t>
  </si>
  <si>
    <t>Гуляш (говядина) с пюре картофельным</t>
  </si>
  <si>
    <t>Гуляш (говядина) со спагетти</t>
  </si>
  <si>
    <t>Гуляш (курица) с гречкой</t>
  </si>
  <si>
    <t>Гуляш (курица) с макаронами</t>
  </si>
  <si>
    <t>Гуляш (курица) с рисом</t>
  </si>
  <si>
    <t>Гуляш из свинины (столовая)</t>
  </si>
  <si>
    <t>Десерт ''Итальянка''</t>
  </si>
  <si>
    <t>Десерт ''Сладкоежка''</t>
  </si>
  <si>
    <t>Десерт ''Шоколадно-банановый'' (в стакане)</t>
  </si>
  <si>
    <t>Драники с беконом</t>
  </si>
  <si>
    <t>Драники с цукини со сметаной</t>
  </si>
  <si>
    <t>Желтый рис 150гр</t>
  </si>
  <si>
    <t>Желудки куриные в сметане с рисом</t>
  </si>
  <si>
    <t>Желудки куриные в сметане со спагетти</t>
  </si>
  <si>
    <t>Жульен из курицы и грибами с картофельным пюре</t>
  </si>
  <si>
    <t>Жульен из курицы и грибами с макаронами</t>
  </si>
  <si>
    <t>Жульен из курицы и грибами с рисом</t>
  </si>
  <si>
    <t>Жульен из курицы и грибами со спагетти</t>
  </si>
  <si>
    <t>Жульен из курицы с картофелем</t>
  </si>
  <si>
    <t>Закуска по-русски 100 г</t>
  </si>
  <si>
    <t>Закуска по-русски 120 г</t>
  </si>
  <si>
    <t>Закуска по-русски 120 г столовая</t>
  </si>
  <si>
    <t>Запеканка рыбная с кабачком и морковью</t>
  </si>
  <si>
    <t>Запеканка с горбушей</t>
  </si>
  <si>
    <t>Запеканка с курицей, кабачком и морковью 200г</t>
  </si>
  <si>
    <t>Запеканка с курочкой и цукини</t>
  </si>
  <si>
    <t>Запеканка с печенью говяжьей</t>
  </si>
  <si>
    <t>Запеканка с рыбой и брокколи 200 г</t>
  </si>
  <si>
    <t>Запеканка с рыбой и овощами</t>
  </si>
  <si>
    <t>Запеканка с фаршем</t>
  </si>
  <si>
    <t>Запеканка творожная с вишней</t>
  </si>
  <si>
    <t>Запеканка творожная с грушей</t>
  </si>
  <si>
    <t>Запеканка творожная с изюмом (столовая)</t>
  </si>
  <si>
    <t>Запеканка творожная с изюмом и курагой</t>
  </si>
  <si>
    <t>Запеканка творожная с шоколадом</t>
  </si>
  <si>
    <t>Запеканка творожная с шоколадом 100/30г,шт</t>
  </si>
  <si>
    <t>Запеканка творожная со сгущ. молоком (столовая)</t>
  </si>
  <si>
    <t>Запеканка творожная со сгущ. молоком 100/30г,шт</t>
  </si>
  <si>
    <t>Запеканка творожная со сгущенкой</t>
  </si>
  <si>
    <t>Зеленый рис (столовая)</t>
  </si>
  <si>
    <t>Зраза (с овощами) с гречкой</t>
  </si>
  <si>
    <t>Зраза (с овощами) с макаронами</t>
  </si>
  <si>
    <t>Зраза (с овощами) столовая</t>
  </si>
  <si>
    <t>Зраза из кур (с овощами) с пюре</t>
  </si>
  <si>
    <t>Зраза из кур (с овощами) с рисом</t>
  </si>
  <si>
    <t>Зраза из кур (с овощами) с тушеными овощами</t>
  </si>
  <si>
    <t>Зраза из кур (с овощами) со спагетти</t>
  </si>
  <si>
    <t>Зраза куриная с грибами и макаронами</t>
  </si>
  <si>
    <t>Зраза куриная с грибами и пюре</t>
  </si>
  <si>
    <t>Зраза мясная с грибами и макаронами</t>
  </si>
  <si>
    <t>Зраза с грибами (столовая)</t>
  </si>
  <si>
    <t>Индейка под шубой 150 г</t>
  </si>
  <si>
    <t>Кабачки по-абхазски</t>
  </si>
  <si>
    <t>Кабачковые блины со сметаной</t>
  </si>
  <si>
    <t>Капуста квашенная красная</t>
  </si>
  <si>
    <t>Капуста маринованная</t>
  </si>
  <si>
    <t>Капуста по-грузински (столовая)</t>
  </si>
  <si>
    <t>Капуста по-корейски</t>
  </si>
  <si>
    <t>Капуста тушеная</t>
  </si>
  <si>
    <t>Капуста тушеная 150гр</t>
  </si>
  <si>
    <t>Капуста тушеная с говядиной и грибами 260гр</t>
  </si>
  <si>
    <t>Карамельная овсянка</t>
  </si>
  <si>
    <t>Картофель запеченный</t>
  </si>
  <si>
    <t>Картофель запеченный (гарнир) 100 гр (Столовая)</t>
  </si>
  <si>
    <t>Картофель запеченный 150гр</t>
  </si>
  <si>
    <t>Картофель отварной (гарнир) 100 гр (Столовая)</t>
  </si>
  <si>
    <t>Картофель отварной 150гр</t>
  </si>
  <si>
    <t>Картофельное пюре (гарнир) 100 гр Столовая</t>
  </si>
  <si>
    <t>Картофельное пюре 150гр</t>
  </si>
  <si>
    <t>Картофельный рулет с мясом (Столовая)</t>
  </si>
  <si>
    <t>Картофельный с селёдкой 100гр</t>
  </si>
  <si>
    <t>Картофельный с селёдкой 120гр</t>
  </si>
  <si>
    <t>Картошечка с грибами</t>
  </si>
  <si>
    <t>Каша гречневая с тыквеными семечками</t>
  </si>
  <si>
    <t>Каша Дружба (Столовая)</t>
  </si>
  <si>
    <t>Каша кукурузная с курагой</t>
  </si>
  <si>
    <t>Каша кукурузная с печёной тыквой</t>
  </si>
  <si>
    <t>Каша манная (Столовая)</t>
  </si>
  <si>
    <t>Каша овсяная (Столовая)</t>
  </si>
  <si>
    <t>Каша овсяная на миндальном молоке</t>
  </si>
  <si>
    <t>Каша овсяная с клубникой</t>
  </si>
  <si>
    <t>Каша овсяная с манго</t>
  </si>
  <si>
    <t>Каша пшенная на молоке (столовая)</t>
  </si>
  <si>
    <t>Каша пшенная с кокосовым молоком</t>
  </si>
  <si>
    <t>Каша пшенная с тыквой и семечками</t>
  </si>
  <si>
    <t>Каша рисовая (на молоке) столовая</t>
  </si>
  <si>
    <t>Каша рисовая на кокосовом молоке</t>
  </si>
  <si>
    <t>Каша ячневая с тыквой</t>
  </si>
  <si>
    <t>Кекс Кокосовый</t>
  </si>
  <si>
    <t>Кета в кляре с картофельным пюре</t>
  </si>
  <si>
    <t>Кета в кляре с макаронами</t>
  </si>
  <si>
    <t>Кета в кляре с рисом</t>
  </si>
  <si>
    <t>Кета в кляре с рисом тяхан</t>
  </si>
  <si>
    <t>Кета в томатном соусе с булгуром</t>
  </si>
  <si>
    <t>Кета в томатном соусе с пюре</t>
  </si>
  <si>
    <t>Кета в томатном соусе с рисом</t>
  </si>
  <si>
    <t>Кета запеченная с рисом припущенным</t>
  </si>
  <si>
    <t>Кета по-московски с рисом светофор</t>
  </si>
  <si>
    <t>Кета под веганской шубкой с картофелем</t>
  </si>
  <si>
    <t>Кета под веганской шубкой с рисом</t>
  </si>
  <si>
    <t>Кета под сыром с булгуром</t>
  </si>
  <si>
    <t>Кета под сыром с рисом</t>
  </si>
  <si>
    <t>Кета под томатом с рисом</t>
  </si>
  <si>
    <t>Кета под томатом со спагетти</t>
  </si>
  <si>
    <t>Кета под шубой с булгуром</t>
  </si>
  <si>
    <t>Кета под шубой с картофельным пюре</t>
  </si>
  <si>
    <t>Кефтедес с картофельным пюре</t>
  </si>
  <si>
    <t>Кимбап с тунцом</t>
  </si>
  <si>
    <t>Колбаса ''Баварская'' (Столовая)</t>
  </si>
  <si>
    <t>Колбаса ''Баварская'' с картофелем и соусом</t>
  </si>
  <si>
    <t>Колбаса ''Баварская'' с макаронами</t>
  </si>
  <si>
    <t>Колбаса ''Баварская'' с пюре и соусом</t>
  </si>
  <si>
    <t>Колбаса ''Баварская'' с тушеной капустой</t>
  </si>
  <si>
    <t>Колбаса ''Домашняя'' (столовая)</t>
  </si>
  <si>
    <t>Колбаса ''Домашняя'' с капустой тушеной</t>
  </si>
  <si>
    <t>Колбаса ''Домашняя'' с картофелем</t>
  </si>
  <si>
    <t>Колбаса ''Домашняя'' с картофельным пюре</t>
  </si>
  <si>
    <t>Колбаса ''Домашняя'' с макаронами</t>
  </si>
  <si>
    <t>Колбаса ''Домашняя'' с овощным соте</t>
  </si>
  <si>
    <t>Колбаса ''Домашняя'' с отварным картофелем</t>
  </si>
  <si>
    <t>Колбаса ''Домашняя'' с рисом</t>
  </si>
  <si>
    <t>Колбаса ''Домашняя'' с соусом</t>
  </si>
  <si>
    <t>Кольцо</t>
  </si>
  <si>
    <t>Кольцо с крем-брюле</t>
  </si>
  <si>
    <t>Компот из сухофруктов</t>
  </si>
  <si>
    <t>Компот из сухофруктов (столовая)</t>
  </si>
  <si>
    <t>Компот из шиповника 0,33</t>
  </si>
  <si>
    <t>Конвертик слоеный ветчина сыр 100г</t>
  </si>
  <si>
    <t>Коржик с шоколадом</t>
  </si>
  <si>
    <t>Котлета ''По-монастырски'' с гратеном</t>
  </si>
  <si>
    <t>Котлета ''По-монастырски'' с гречкой</t>
  </si>
  <si>
    <t>Котлета ''По-монастырски'' с пюре</t>
  </si>
  <si>
    <t>Котлета ''Сочная'' (Столовая)</t>
  </si>
  <si>
    <t>Котлета ''Сочная'' б/шт</t>
  </si>
  <si>
    <t>Котлета ''Сочная'' с булгуром</t>
  </si>
  <si>
    <t>Котлета ''Сочная'' с гречкой</t>
  </si>
  <si>
    <t>Котлета ''Сочная'' с макаронами</t>
  </si>
  <si>
    <t>Котлета ''Сочная'' с рисом и кукрузой</t>
  </si>
  <si>
    <t>Котлета ''Сочная'' со спагетти</t>
  </si>
  <si>
    <t>Котлета (курочка) с отварным картофель</t>
  </si>
  <si>
    <t>Котлета (рыбная) под шубкой с рисом</t>
  </si>
  <si>
    <t>Котлета домашняя с булгуром</t>
  </si>
  <si>
    <t>Котлета домашняя со спагетти</t>
  </si>
  <si>
    <t>Котлета из горбуши (столовая)</t>
  </si>
  <si>
    <t>Котлета из горбуши с картофелем</t>
  </si>
  <si>
    <t>Котлета из горбуши с пюре картофельным</t>
  </si>
  <si>
    <t>Котлета из горбуши с рисом</t>
  </si>
  <si>
    <t>Котлета из минтая (Столовая)</t>
  </si>
  <si>
    <t>Котлета из минтая с макаронами</t>
  </si>
  <si>
    <t>Котлета из минтая с пюре картофельным</t>
  </si>
  <si>
    <t>Котлета из щуки (Столовая)</t>
  </si>
  <si>
    <t>Котлета из щуки с перловкой в соусе</t>
  </si>
  <si>
    <t>Котлета капустная с соусом</t>
  </si>
  <si>
    <t>Котлета куриная с булгуром</t>
  </si>
  <si>
    <t>Котлета куриная с гречей и грибами 230г</t>
  </si>
  <si>
    <t>Котлета куриная с гречкой и грибами</t>
  </si>
  <si>
    <t>Котлета куриная с жульеном и макаронами</t>
  </si>
  <si>
    <t>Котлета куриная с жульеном и пюре</t>
  </si>
  <si>
    <t>Котлета куриная с овощным соте</t>
  </si>
  <si>
    <t>Котлета куриная с перловкой и грибами</t>
  </si>
  <si>
    <t>Котлета куриная с тушеной капустой</t>
  </si>
  <si>
    <t>Котлета куриная со спагетти</t>
  </si>
  <si>
    <t>Котлета куринная со ''сложным'' гарниром</t>
  </si>
  <si>
    <t>Котлета мясная (столовая)</t>
  </si>
  <si>
    <t>Котлета мясная с картофелем</t>
  </si>
  <si>
    <t>Котлета мясная с картофельным пюре</t>
  </si>
  <si>
    <t>Котлета мясная с перловкой и овощами</t>
  </si>
  <si>
    <t>Котлета мясная с соусом и желтым рисом</t>
  </si>
  <si>
    <t>Котлета мясная с соусом с булгуром</t>
  </si>
  <si>
    <t>Котлета мясная с соусом с гречкой</t>
  </si>
  <si>
    <t>Котлета мясная с соусом с макаронами</t>
  </si>
  <si>
    <t>План на день кухня                 ЧЕТВЕРГ</t>
  </si>
  <si>
    <t>Котлета мясная со ''сложным'' гарниром</t>
  </si>
  <si>
    <t>Котлета по-волжски с лингвини</t>
  </si>
  <si>
    <t>Котлета по-волжски с пюре</t>
  </si>
  <si>
    <t>Котлета по-волжски с рисом</t>
  </si>
  <si>
    <t>Котлета по-волжски со ''сложным'' гарниром</t>
  </si>
  <si>
    <t>Котлета по-домашнему с пюре</t>
  </si>
  <si>
    <t>Котлета по-киевски</t>
  </si>
  <si>
    <t>Котлета по-киевски с пенне и овощами</t>
  </si>
  <si>
    <t>Котлета по-киевски с пюре</t>
  </si>
  <si>
    <t>Котлета под перцем с пюре</t>
  </si>
  <si>
    <t>Котлета под шапочкой (Столовая)</t>
  </si>
  <si>
    <t>Котлета под шапочкой с булгуром</t>
  </si>
  <si>
    <t>Котлета под шапочкой с гречкой</t>
  </si>
  <si>
    <t>Котлета под шапочкой с картофелем</t>
  </si>
  <si>
    <t>Котлета под шапочкой с картофельным пюре</t>
  </si>
  <si>
    <t>Котлета под шапочкой с макаронами</t>
  </si>
  <si>
    <t>Котлета под шапочкой с перловкой</t>
  </si>
  <si>
    <t>Котлета под шапочкой с тушеными овощами</t>
  </si>
  <si>
    <t>Котлета под шапочкой со спагетти</t>
  </si>
  <si>
    <t>Котлета рубленая (курочка) с макаронами</t>
  </si>
  <si>
    <t>Котлета рубленая (курочка) с рисом и перцем</t>
  </si>
  <si>
    <t>Котлета рубленая (курочка) со спагетти</t>
  </si>
  <si>
    <t>Котлета рубленная из индейки с овощами</t>
  </si>
  <si>
    <t>Котлета рыбная с булгуром</t>
  </si>
  <si>
    <t>Котлета рыбная с картофелем</t>
  </si>
  <si>
    <t>Котлета рыбная с картофельным пюре</t>
  </si>
  <si>
    <t>Котлета рыбная с картофельным пюре и соусом 225г</t>
  </si>
  <si>
    <t>Котлета рыбная с макаронами</t>
  </si>
  <si>
    <t>Котлета рыбная с рисом</t>
  </si>
  <si>
    <t>Котлета рыбная с табуле</t>
  </si>
  <si>
    <t>Котлета рыбная с тушеными овощами</t>
  </si>
  <si>
    <t>Котлета сытная с макаронами</t>
  </si>
  <si>
    <t>Котлетка по-домашнему с рисом</t>
  </si>
  <si>
    <t>Котлетка под овощами с пенне</t>
  </si>
  <si>
    <t>Креветки с зеленым рисом и соусом песто</t>
  </si>
  <si>
    <t>Крем-суп овощной с курицей</t>
  </si>
  <si>
    <t>Крем-суп с форелью</t>
  </si>
  <si>
    <t>Круассан с бужениной и горчичным соусом</t>
  </si>
  <si>
    <t>Круассан с красной рыбой</t>
  </si>
  <si>
    <t>Круассан с курочкой и грибным жульеном</t>
  </si>
  <si>
    <t>Круассан с курочкой и скремблом</t>
  </si>
  <si>
    <t>Круассан с пепперони и сыром</t>
  </si>
  <si>
    <t>Круассан с шоколадно-ореховой начинкой 75г</t>
  </si>
  <si>
    <t>Крылышки пикантные с картофелем запеченным</t>
  </si>
  <si>
    <t>Крылышки пикантные с макаронами</t>
  </si>
  <si>
    <t>Крылышки пикантные со сливочным пюре</t>
  </si>
  <si>
    <t>Кулебяка</t>
  </si>
  <si>
    <t>Куриное жаркое-по домашнему</t>
  </si>
  <si>
    <t>Куриное филе с тушеной капустой 270г</t>
  </si>
  <si>
    <t>Куриные крылышки (острые) с соусом</t>
  </si>
  <si>
    <t>Куриные тефтели с картоф. пюре и сливочно-томатным соусом 250г</t>
  </si>
  <si>
    <t>09.01 - РАБ</t>
  </si>
  <si>
    <t>Куриные шашлычки (столовая)</t>
  </si>
  <si>
    <t>Куриные шашлычки с овощами</t>
  </si>
  <si>
    <t>Куриный рулет с грибами и зеленым рисом</t>
  </si>
  <si>
    <t>Куриный рулет с овощами  б/шт</t>
  </si>
  <si>
    <t>Куриный рулет с грибами и пюре</t>
  </si>
  <si>
    <t>Курица в кисло-сладком соусе (столовая)</t>
  </si>
  <si>
    <t>Курица в кисло-сладком соусе с гречкой</t>
  </si>
  <si>
    <t>Курица в кисло-сладком соусе с картофельным пюре</t>
  </si>
  <si>
    <t>Курица в кисло-сладком соусе с макаронами</t>
  </si>
  <si>
    <t xml:space="preserve">С 08.01 </t>
  </si>
  <si>
    <t>Курица в кисло-сладком соусе со рисом</t>
  </si>
  <si>
    <t>Курица в кисло-сладком соусе со сложным гарниром</t>
  </si>
  <si>
    <t>Курица в кисло-сладком соусе со спагетти</t>
  </si>
  <si>
    <t>Курица в устричном соусе 110 г</t>
  </si>
  <si>
    <t>Курица жареная с гречкой в соусе</t>
  </si>
  <si>
    <t>Курица Каччиаторе с пастой</t>
  </si>
  <si>
    <t>Курица по-азиатски с булгуром</t>
  </si>
  <si>
    <t>Курица по-азиатски со спагетти</t>
  </si>
  <si>
    <t>Курица по-азиатски столовая</t>
  </si>
  <si>
    <t>Курица по-венгерски с гречкой</t>
  </si>
  <si>
    <t>Курица по-венгерски с пюре</t>
  </si>
  <si>
    <t>Курица по-венгерски с рисом</t>
  </si>
  <si>
    <t>Курник</t>
  </si>
  <si>
    <t>Курочка ''Гурман''</t>
  </si>
  <si>
    <t>Курочка ''от Шефа'' с картофелем</t>
  </si>
  <si>
    <t>Курочка аля Франце (Столовая)</t>
  </si>
  <si>
    <t>Курочка аля Франце с булгуром</t>
  </si>
  <si>
    <t>Курочка аля Франце с запеченным картофелем</t>
  </si>
  <si>
    <t>Курочка аля Франце с картофельным пюре</t>
  </si>
  <si>
    <t>Курочка аля Франце с макаронами</t>
  </si>
  <si>
    <t>Курочка аля Франце с рисом</t>
  </si>
  <si>
    <t>Курочка в азиатском соусе б/100гр</t>
  </si>
  <si>
    <t>Курочка в горчичном соусе с гречкой</t>
  </si>
  <si>
    <t>Курочка в горчичном соусе с пюре</t>
  </si>
  <si>
    <t>Курочка в горчичном соусе с рисом</t>
  </si>
  <si>
    <t>Курочка в медово-соевом соусе (столовая)</t>
  </si>
  <si>
    <t>Курочка в медово-соевом соусе с макаронами</t>
  </si>
  <si>
    <t>Курочка в медово-соевом соусе с рисом</t>
  </si>
  <si>
    <t>Курочка в овощном соусе с пюре</t>
  </si>
  <si>
    <t>Курочка в сметанном соусе с пюре</t>
  </si>
  <si>
    <t>Курочка в сметанном соусе с рисом и перцем</t>
  </si>
  <si>
    <t>Курочка в сметанном соусе Столовая</t>
  </si>
  <si>
    <t>Курочка в соусе карри б/100гр</t>
  </si>
  <si>
    <t>Курочка в соусе карри со спагетти</t>
  </si>
  <si>
    <t>Курочка в томатном соусе (столовая)</t>
  </si>
  <si>
    <t>Курочка в томатном соусе с булгуром</t>
  </si>
  <si>
    <t>Курочка в томатном соусе с гречкой</t>
  </si>
  <si>
    <t>Курочка в томатном соусе с картофельным пюре</t>
  </si>
  <si>
    <t>Курочка в томатном соусе с лингвини</t>
  </si>
  <si>
    <t>Курочка в томатном соусе с макаронами</t>
  </si>
  <si>
    <t>Курочка гриль б/80гр</t>
  </si>
  <si>
    <t>Курочка гриль с рисом по-грузински</t>
  </si>
  <si>
    <t>Курочка пикантная</t>
  </si>
  <si>
    <t>Курочка по-гавайски с макаронами</t>
  </si>
  <si>
    <t>Курочка по-гавайски с рисом</t>
  </si>
  <si>
    <t>Курочка по-гавайски с рисом и кукурузой</t>
  </si>
  <si>
    <t>Курочка по-гавайски с рисом и мексиканской смесью</t>
  </si>
  <si>
    <t>Курочка по-гавайски с рисом и перцем</t>
  </si>
  <si>
    <t>Курочка по-итальянски с рисом</t>
  </si>
  <si>
    <t>Курочка по-селянски</t>
  </si>
  <si>
    <t>Курочка по-селянски б/шт</t>
  </si>
  <si>
    <t>Курочка под грибами с макаронами</t>
  </si>
  <si>
    <t>Курочка под грибами со спагетти</t>
  </si>
  <si>
    <t>Курочка под шубкой</t>
  </si>
  <si>
    <t>Курочка с беконом в сметане с макаронами</t>
  </si>
  <si>
    <t>Курочка с беконом в сметане с пюре</t>
  </si>
  <si>
    <t>Курочка с беконом в сметане с рисом</t>
  </si>
  <si>
    <t>Курочка с овощами в соусе с рисом</t>
  </si>
  <si>
    <t>Курочка тушеная с овощами с булгуром</t>
  </si>
  <si>
    <t>Курочка тушеная с овощами с гречкой</t>
  </si>
  <si>
    <t>Курочка тушеная с овощами с картофелем</t>
  </si>
  <si>
    <t>Курочка тушеная  с макаронами</t>
  </si>
  <si>
    <t>Курочка тушеная с овощами с макаронами</t>
  </si>
  <si>
    <t>Курочка тушеная с овощами с перловкой</t>
  </si>
  <si>
    <t>Курочка тушеная с овощами с пюре</t>
  </si>
  <si>
    <t>шапка мономаха 0,3</t>
  </si>
  <si>
    <t>Кус-кус с жареным луком 150г</t>
  </si>
  <si>
    <t>Лава с крабом</t>
  </si>
  <si>
    <t>Лагман</t>
  </si>
  <si>
    <t>Ландорики с рисом и овощами</t>
  </si>
  <si>
    <t>Мимоза  0,3</t>
  </si>
  <si>
    <t>Лапшевник с курицей</t>
  </si>
  <si>
    <t>Ленивая лазанья</t>
  </si>
  <si>
    <t>Лепешка</t>
  </si>
  <si>
    <t>Лепешка с кунжутом</t>
  </si>
  <si>
    <t>Летняя смесь</t>
  </si>
  <si>
    <t>Лосось с рисом и мексиканской смесью</t>
  </si>
  <si>
    <t>Люля кебаб (курица) с картофельным пюре</t>
  </si>
  <si>
    <t>Люля-кебаб куриный  б/шт</t>
  </si>
  <si>
    <t>Люля кебаб (курица) с отварным картофелем</t>
  </si>
  <si>
    <t>Люля кебаб (курица) с рисом</t>
  </si>
  <si>
    <t>Люля кебаб (свинина) с картофелем</t>
  </si>
  <si>
    <t>Люля-кебаб куриный (столовая)</t>
  </si>
  <si>
    <t>Люля-кебаб куриный с макаронами</t>
  </si>
  <si>
    <t>Люля-кебаб куриный с овощами</t>
  </si>
  <si>
    <t>Люля-кебаб куриный с овощами 300 гр ЖМ</t>
  </si>
  <si>
    <t>Мак энд чиз с ветчиной</t>
  </si>
  <si>
    <t>Мак энд чиз с курицей и брокколи</t>
  </si>
  <si>
    <t>Макароны (гарнир) 100 гр (Столовая)</t>
  </si>
  <si>
    <t>Макароны 150гр</t>
  </si>
  <si>
    <t>Макароны по-флотски (курица)</t>
  </si>
  <si>
    <t>Макароны по-флотски (свинина)</t>
  </si>
  <si>
    <t>Макароны по-флотски (свинина) столовая</t>
  </si>
  <si>
    <t>Макароны с грибами в сливочном соусе</t>
  </si>
  <si>
    <t>Маки ролл с крабом</t>
  </si>
  <si>
    <t>Мандарин 1 шт (столовая)</t>
  </si>
  <si>
    <t>Манты с говядиной</t>
  </si>
  <si>
    <t>Манты со сметаной</t>
  </si>
  <si>
    <t>Манты со сметаной (Столовая)</t>
  </si>
  <si>
    <t>Маслины б/к 300мл</t>
  </si>
  <si>
    <t>Мегаролл</t>
  </si>
  <si>
    <t>АА</t>
  </si>
  <si>
    <t>Медальон из хека с пюре</t>
  </si>
  <si>
    <t>Медальон из хека б/шт</t>
  </si>
  <si>
    <t>Микс запеченных овощей 140 г</t>
  </si>
  <si>
    <t>Мини хачапури с сыром</t>
  </si>
  <si>
    <t>Минтай в кляре с картофелем</t>
  </si>
  <si>
    <t>По букве</t>
  </si>
  <si>
    <t>Минтай в маринаде (столовая)</t>
  </si>
  <si>
    <t>Минтай в маринаде с рисом Радуга</t>
  </si>
  <si>
    <t>Минтай жареный с картофельным пюре</t>
  </si>
  <si>
    <t>Минтай жареный с соусом</t>
  </si>
  <si>
    <t>Минтай запеченый с овощным рагу</t>
  </si>
  <si>
    <t>Минтай по-гречески (столовая)</t>
  </si>
  <si>
    <t>Минтай по-гречески с булгуром</t>
  </si>
  <si>
    <t>Минтай по-гречески с картофелем</t>
  </si>
  <si>
    <t>Минтай по-гречески с картофельным пюре</t>
  </si>
  <si>
    <t>Проверка дублей</t>
  </si>
  <si>
    <t>Минтай по-гречески с рисом</t>
  </si>
  <si>
    <t>Строки с дублями</t>
  </si>
  <si>
    <t>Минтай по-гречески с рисом ''Радуга''</t>
  </si>
  <si>
    <t>Минтай по-гречески с рисом и кукурузой</t>
  </si>
  <si>
    <t>Минтай по-гречески с рисом и мексиканской смесью</t>
  </si>
  <si>
    <t>Минтай по-московски (столовая)</t>
  </si>
  <si>
    <t>Минтай по-московски с желтым рисом</t>
  </si>
  <si>
    <t>Минтай по-московски с картофельным пюре</t>
  </si>
  <si>
    <t>Минтай по-московски с рисом</t>
  </si>
  <si>
    <t>Минтай по-московски с рисом ''Радуга''</t>
  </si>
  <si>
    <t>Минтай под овощами с булгуром</t>
  </si>
  <si>
    <t>Минтай под овощами столовая</t>
  </si>
  <si>
    <t>Минтай под перцем (столовая)</t>
  </si>
  <si>
    <t>Минтай под перцем с булгуром</t>
  </si>
  <si>
    <t>Минтай под перцем с рисом и кукурузой</t>
  </si>
  <si>
    <t>Азу из говядины с картофельным пюре</t>
  </si>
  <si>
    <t>Минтай под сырно-сметаной шапкой с пюре</t>
  </si>
  <si>
    <t>Митбол с запеченым картофелем</t>
  </si>
  <si>
    <t>Азу из курицы с запеченным картофелем</t>
  </si>
  <si>
    <t>Морковная запеканка с творогом</t>
  </si>
  <si>
    <t>Морс Брусника+клубника 0,3</t>
  </si>
  <si>
    <t>Морс из брусники 0,5</t>
  </si>
  <si>
    <t>Морс из брусники 1 л</t>
  </si>
  <si>
    <t>Морс из вишни</t>
  </si>
  <si>
    <t>Морс из вишни (Столовая)</t>
  </si>
  <si>
    <t>Морс из вишни 1 л</t>
  </si>
  <si>
    <t xml:space="preserve">Азу из курицы  </t>
  </si>
  <si>
    <t>Морс из черной смородины (столовая)</t>
  </si>
  <si>
    <t>Морс из черной смородины 0,3</t>
  </si>
  <si>
    <t>Мусака с баклажанами 165 г</t>
  </si>
  <si>
    <t>Мюсли (банан и шоколад)</t>
  </si>
  <si>
    <t>Мюсли (соленая карамель)</t>
  </si>
  <si>
    <t>Мюсли (шоколадное ассорти)</t>
  </si>
  <si>
    <t>Мясной рулет с макаронами</t>
  </si>
  <si>
    <t>Мясной рулет со сложным гарниром</t>
  </si>
  <si>
    <t>Мясные гнезда с томатом и картофелем</t>
  </si>
  <si>
    <t>Мясные гнезда с томатом б/шт</t>
  </si>
  <si>
    <t>Овощное ассорти (Столовая)</t>
  </si>
  <si>
    <t xml:space="preserve">Суп </t>
  </si>
  <si>
    <t>Овощное рагу 150гр</t>
  </si>
  <si>
    <t>Овощное рагу с говядиной 250 г</t>
  </si>
  <si>
    <t>Овощное рагу с индейкой 250 г</t>
  </si>
  <si>
    <t>Овощное рагу с индейкой NEW</t>
  </si>
  <si>
    <t>Овощное соте (столовая)</t>
  </si>
  <si>
    <t>Овощное соте 150гр</t>
  </si>
  <si>
    <t>Оджахури из свинины</t>
  </si>
  <si>
    <t>Оджахури из свинины 400гр</t>
  </si>
  <si>
    <t xml:space="preserve">Бигус с мясом </t>
  </si>
  <si>
    <t>Оладьи из курицы с лингвини</t>
  </si>
  <si>
    <t>Оладьи из курицы с макаронами</t>
  </si>
  <si>
    <t>Оладьи из печени 130/30 г</t>
  </si>
  <si>
    <t>Омлет воздушный (Столовая)</t>
  </si>
  <si>
    <t>Омлет нежный 150 гр</t>
  </si>
  <si>
    <t>Омлет нежный с зеленым маслом</t>
  </si>
  <si>
    <t>Омлет с помидорами</t>
  </si>
  <si>
    <t>Омлет с сосиками и овощами</t>
  </si>
  <si>
    <t>Онигири с кальмаром</t>
  </si>
  <si>
    <t>Онигири с куриным филе в соусе спайси, 120г</t>
  </si>
  <si>
    <t>Онигири с курицей в соусе Тартар</t>
  </si>
  <si>
    <t>Онигири с лососем с творожным сыром</t>
  </si>
  <si>
    <t>Онигири с овощами,120г</t>
  </si>
  <si>
    <t>Онигири с Сурими,120г</t>
  </si>
  <si>
    <t>Отбивная (кура) со ''сложным'' гарниром</t>
  </si>
  <si>
    <t>Отбивная из курицы с томатом  б/шт</t>
  </si>
  <si>
    <t>Отбивная (свинина) под соусом с гратеном</t>
  </si>
  <si>
    <t>Отбивная из свинины с овощами б/шт</t>
  </si>
  <si>
    <t>Отбивная (свинина) под шубкой с гречкой</t>
  </si>
  <si>
    <t>Отбивная (свинина) под шубкой с макаронами</t>
  </si>
  <si>
    <t>Отбивная (свинина) под шубкой с пюре</t>
  </si>
  <si>
    <t>Отбивная (свинина) с макаронами</t>
  </si>
  <si>
    <t>Отбивная (свинина) с рисом и соусом</t>
  </si>
  <si>
    <t>Отбивная (свинина) со ''сложным'' гарниром</t>
  </si>
  <si>
    <t>Отбивная (свинина) СТОЛОВАЯ</t>
  </si>
  <si>
    <t>Отбивная из курицы с томатом и картофелем</t>
  </si>
  <si>
    <t>Филе куриное в овощном соусе с гречкой 28 шт</t>
  </si>
  <si>
    <t>Отбивная куриная с томатом и макаронами</t>
  </si>
  <si>
    <t>Отбивная из свинины</t>
  </si>
  <si>
    <t>Отбивная из свинины с картофелем</t>
  </si>
  <si>
    <t>Отбивная из свинины с овощным соте</t>
  </si>
  <si>
    <t>Отбивная из свинины с тушеной капустой</t>
  </si>
  <si>
    <t>Отбивная куриная с грибами и картофелем</t>
  </si>
  <si>
    <t>Панкейки с джемом</t>
  </si>
  <si>
    <t>Панкейки с изюмом</t>
  </si>
  <si>
    <t>Панкейки с карамельным сиропом</t>
  </si>
  <si>
    <t>Панкейки со сгущенкой</t>
  </si>
  <si>
    <t>Панкейки сырные с ветчиной</t>
  </si>
  <si>
    <t>Паприкаш из говядины б/100гр</t>
  </si>
  <si>
    <t>Паприкаш по-венгерски с гречкой</t>
  </si>
  <si>
    <t>Паста Карбонара</t>
  </si>
  <si>
    <t>Паста Карбонара с беконом СТОЛОВАЯ</t>
  </si>
  <si>
    <t>Паста Маринара с морепродуктами</t>
  </si>
  <si>
    <t xml:space="preserve">Блинчики с творогом и курагой </t>
  </si>
  <si>
    <t>Паста с вонголе и томатами</t>
  </si>
  <si>
    <t>Азу из курицы с рисом 14 шт</t>
  </si>
  <si>
    <t>Паста с горбушей и цукини</t>
  </si>
  <si>
    <t>Паста с креветками и брокколи 240 г</t>
  </si>
  <si>
    <t>Паста с курицей и грибами (Столовая)</t>
  </si>
  <si>
    <t>Паста с курицей и грибами 225 г</t>
  </si>
  <si>
    <t>Паста с курицей и грибами в сливочном соусе</t>
  </si>
  <si>
    <t>Паста с семгой в сливочном соусе</t>
  </si>
  <si>
    <t>Паста сырная Фарфалле 230г</t>
  </si>
  <si>
    <t>Паста Фрутти ди маре</t>
  </si>
  <si>
    <t>Пельмени ''Сибирские'' со сметаной</t>
  </si>
  <si>
    <t>Пельмени (говядина и курица)</t>
  </si>
  <si>
    <t>Пельмени (свинина и курица)</t>
  </si>
  <si>
    <t>Пельмени из индейки (столовая)</t>
  </si>
  <si>
    <t>Пельмени со сметаной</t>
  </si>
  <si>
    <t>Пельмешки из индейки со сметаной</t>
  </si>
  <si>
    <t>Пельмешки Халяль</t>
  </si>
  <si>
    <t>Перец фаршированный с макаронами</t>
  </si>
  <si>
    <t>Перец фаршированный столовая</t>
  </si>
  <si>
    <t>Перловка по-купечески со свининой</t>
  </si>
  <si>
    <t>Перловка с грибами в соусе (Столовая)</t>
  </si>
  <si>
    <t>Гречка томленная с овощами и свининой 13 шт</t>
  </si>
  <si>
    <t>Перловка с овощами</t>
  </si>
  <si>
    <t>Перловка с овощами (гарнир) (Столовая)</t>
  </si>
  <si>
    <t>Печень куриная в сливочном соусе с макаронами</t>
  </si>
  <si>
    <t>Печень куриная с овощами б/100гр</t>
  </si>
  <si>
    <t>Печень куриная с овощами (Столовая)</t>
  </si>
  <si>
    <t>Печень куриная с овощами с булгуром</t>
  </si>
  <si>
    <t>Печень куриная с овощами с картофельным пюре</t>
  </si>
  <si>
    <t>Печень куриная с овощами со спагетти</t>
  </si>
  <si>
    <t>Печень куриная с рисом</t>
  </si>
  <si>
    <t>Печенье овсяное с шоколадом</t>
  </si>
  <si>
    <t>Печенье шоколадное ''Кукис Шоколадный''</t>
  </si>
  <si>
    <t>Пирожное ''Белый бархат''</t>
  </si>
  <si>
    <t>Пирожное ''Бисквитное''</t>
  </si>
  <si>
    <t>Пирожное ''Зимняя вишня''</t>
  </si>
  <si>
    <t>Пирожное ''Манго-маракуйя''в креманке 90г</t>
  </si>
  <si>
    <t>Азу из говядины с макаронами 14 шт</t>
  </si>
  <si>
    <t>Пирожное ''Медовик''</t>
  </si>
  <si>
    <t>Пирожное ''Муравейник''</t>
  </si>
  <si>
    <t>Пирожное ''Сметанник''</t>
  </si>
  <si>
    <t>Пирожное ''Тирамису''классик в креманке 90г</t>
  </si>
  <si>
    <t>Пирожное ''Шоколадный Мусс'' в креманке 90г</t>
  </si>
  <si>
    <t>Пирожное клубника со сливками в креманке 90г</t>
  </si>
  <si>
    <t>Пирожное Лимончелло в креманке 90г</t>
  </si>
  <si>
    <t>Пирожное малина/фисташка в креманке 90г</t>
  </si>
  <si>
    <t>Пирожок с брусникой</t>
  </si>
  <si>
    <t>Пирожок с вишней</t>
  </si>
  <si>
    <t>Пирожок с капустой</t>
  </si>
  <si>
    <t>Пирожок с картофелем</t>
  </si>
  <si>
    <t>Пирожок с картофелем и грибами</t>
  </si>
  <si>
    <t>Пирожок с ливером</t>
  </si>
  <si>
    <t>Чахохбили с макаронами 16 шт</t>
  </si>
  <si>
    <t>Пирожок с луком и яйцом</t>
  </si>
  <si>
    <t>Пицца с ветчиной</t>
  </si>
  <si>
    <t>Пицца с колбасой 150 гр</t>
  </si>
  <si>
    <t>Пицца с копченой курочкой</t>
  </si>
  <si>
    <t>Плескавица с запеченым картофелем</t>
  </si>
  <si>
    <t>Плов по-узбекски с цыпленком</t>
  </si>
  <si>
    <t>Плов по-узбекски с цыпленком (столовая)</t>
  </si>
  <si>
    <t>Плов со свининой</t>
  </si>
  <si>
    <t>Плюшка московская 100 гр</t>
  </si>
  <si>
    <t>Поджарка ''Славянская'' (столовая)</t>
  </si>
  <si>
    <t>Поджарка ''Славянская'' с булгуром</t>
  </si>
  <si>
    <t>Поджарка ''Славянская'' с гречкой</t>
  </si>
  <si>
    <t>Поджарка ''Славянская'' с картофельным пюре</t>
  </si>
  <si>
    <t>Поджарка ''Славянская'' с макаронами</t>
  </si>
  <si>
    <t>Поджарка ''Славянская'' с рисом</t>
  </si>
  <si>
    <t>Поджарка ''Славянская'' со спагетти</t>
  </si>
  <si>
    <t>Поджарка из курицы с булгуром</t>
  </si>
  <si>
    <t>Поджарка из курицы с картофелем</t>
  </si>
  <si>
    <t>Поджарка из курицы с рисом и овощами</t>
  </si>
  <si>
    <t>Поджарка из свинины с булгуром</t>
  </si>
  <si>
    <t>Поджарка из свинины б/100гр</t>
  </si>
  <si>
    <t>Поджарка из свинины с гороховым пюре</t>
  </si>
  <si>
    <t>Поджарка из свинины с гречкой</t>
  </si>
  <si>
    <t>Поджарка из свинины с макаронами</t>
  </si>
  <si>
    <t>Поджарка из свинины с рисом</t>
  </si>
  <si>
    <t>Поджарка из свинины со спагетти</t>
  </si>
  <si>
    <t>Свинина "Демиглас" с гречкой 40 шт</t>
  </si>
  <si>
    <t>Поке с лососем, рисом и брокколи</t>
  </si>
  <si>
    <t>Пончики ''Венские'' с варен.сгущенкой</t>
  </si>
  <si>
    <t>Пончики ''Венские'' с клубничным джемом</t>
  </si>
  <si>
    <t>Пончики ''Венские'' с шоколадом</t>
  </si>
  <si>
    <t>ПП пицца с запечеными брокколи и цветной капустой 165 гр</t>
  </si>
  <si>
    <t>Пудинг рисовый с изюмом</t>
  </si>
  <si>
    <t>ПФ гарнир Пенне с овощами 1 кг</t>
  </si>
  <si>
    <t>ПФ грибной жульен</t>
  </si>
  <si>
    <t>ПФ грибной жульен для круассанов</t>
  </si>
  <si>
    <t>ПФ Закуска по-русски 1 кг</t>
  </si>
  <si>
    <t>ПФ Зеленое масло</t>
  </si>
  <si>
    <t>ПФ Коул Слоу</t>
  </si>
  <si>
    <t>ПФ Манты (свои)</t>
  </si>
  <si>
    <t>ПФ овощная пассеровка (лук морковь )</t>
  </si>
  <si>
    <t>ПФ Овощное соте (гарнир) 1 кг</t>
  </si>
  <si>
    <t>Пф посыпка хлебная</t>
  </si>
  <si>
    <t>ПФ Салат ''Ананас'' 1 кг</t>
  </si>
  <si>
    <t>ПФ Салат ''Аппетитный' 1 кг</t>
  </si>
  <si>
    <t>ПФ Салат ''Атика'' 1 кг</t>
  </si>
  <si>
    <t>ПФ Салат ''Блинный'' 1 кг</t>
  </si>
  <si>
    <t>ПФ Салат ''Богатырь'' 1 кг</t>
  </si>
  <si>
    <t>ПФ Салат ''Венгерский'' 1 кг</t>
  </si>
  <si>
    <t>ПФ Салат ''Венский'' 1 кг</t>
  </si>
  <si>
    <t>ПФ Салат ''Весенний'' 1 кг</t>
  </si>
  <si>
    <t>ПФ Салат ''Винегрет с капустой'' 1 кг</t>
  </si>
  <si>
    <t>ПФ Салат ''Винегрет с сельдью'' 1 кг</t>
  </si>
  <si>
    <t>ПФ Салат ''Витаминный с крабом'' 1кг</t>
  </si>
  <si>
    <t>ПФ Салат ''Восторг'' 1 кг</t>
  </si>
  <si>
    <t>ПФ Салат ''Днестр'' 1 кг</t>
  </si>
  <si>
    <t>ПФ Салат ''Дракон'' 1 кг</t>
  </si>
  <si>
    <t>ПФ Салат ''Дубок'' 1 кг</t>
  </si>
  <si>
    <t>ПФ Салат ''Ермак'' 1 кг</t>
  </si>
  <si>
    <t>ПФ Салат ''Жозефина'' 1 кг</t>
  </si>
  <si>
    <t>ПФ Салат ''Зайка'' 1 кг</t>
  </si>
  <si>
    <t xml:space="preserve">Венская вафля с вишнёвым вареньем </t>
  </si>
  <si>
    <t>ПФ Салат ''Здоровье'' 1 кг</t>
  </si>
  <si>
    <t>ПФ Салат ''Зимний'' 1 кг</t>
  </si>
  <si>
    <t>ПФ Салат ''Изысканный'' 1 кг</t>
  </si>
  <si>
    <t>ПФ Салат ''Испанский'' 1 кг</t>
  </si>
  <si>
    <t>ПФ Салат ''Каприз' 1 кг</t>
  </si>
  <si>
    <t>Макароны по-флотски 21 шт</t>
  </si>
  <si>
    <t>ПФ Салат ''Красавица'' 1 кг</t>
  </si>
  <si>
    <t>ПФ Салат ''Красное море'' 1 кг</t>
  </si>
  <si>
    <t>ПФ Салат ''Купеческий'' 1кг</t>
  </si>
  <si>
    <t>ПФ Салат ''Лагуна'' 1 кг</t>
  </si>
  <si>
    <t>ПФ Салат ''Летний '' 1кг</t>
  </si>
  <si>
    <t>ПФ Салат ''Летний'' 1кг</t>
  </si>
  <si>
    <t>ПФ Салат ''Лисья шубка'' 1 кг</t>
  </si>
  <si>
    <t>ПФ Салат ''Маяк'' 1 кг</t>
  </si>
  <si>
    <t>ПФ Салат ''Морской бриз'' 1 кг</t>
  </si>
  <si>
    <t>ПФ Салат ''Мужские слезы'' 1 кг</t>
  </si>
  <si>
    <t>ПФ Салат ''Мясной'' 1 кг</t>
  </si>
  <si>
    <t>ПФ Салат ''Немецкий с колбасой'' 1кг</t>
  </si>
  <si>
    <t>ПФ Салат ''Нептун'' 1кг</t>
  </si>
  <si>
    <t>ПФ Салат ''Обжорка'' 1 кг</t>
  </si>
  <si>
    <t>ПФ Салат ''Оливье'' 1 кг</t>
  </si>
  <si>
    <t>ПФ Салат ''Охотничий' 1кг</t>
  </si>
  <si>
    <t>ПФ Салат ''Петровский'' 1 кг</t>
  </si>
  <si>
    <t>ПФ Салат ''Печеночный'' 1 кг</t>
  </si>
  <si>
    <t>ПФ Салат ''Посейдон'' 1 кг</t>
  </si>
  <si>
    <t>ПФ Салат ''Провансаль'' 1кг</t>
  </si>
  <si>
    <t>Бифштекс с рисом 61 шт</t>
  </si>
  <si>
    <t>ПФ Салат ''Пташка'' 1 кг</t>
  </si>
  <si>
    <t>ПФ Салат ''Радуга'' 1кг</t>
  </si>
  <si>
    <t>ПФ Салат ''Розовые щечки'' 1 кг</t>
  </si>
  <si>
    <t>ПФ Салат ''С ветчиной и сыром'' 1 кг</t>
  </si>
  <si>
    <t>ПФ Салат ''Свекла с черносливом '' 1 кг</t>
  </si>
  <si>
    <t>ПФ Салат ''Свекла с чесноком'' 1 кг</t>
  </si>
  <si>
    <t>ПФ Салат ''Снежная королева'' 1 кг</t>
  </si>
  <si>
    <t>ПФ Салат ''Спаржа с курицей'' 1 кг</t>
  </si>
  <si>
    <t>ПФ Салат ''Спаржа с морковью'' 1 кг</t>
  </si>
  <si>
    <t>ПФ Салат ''Столичный'' 1 кг</t>
  </si>
  <si>
    <t>ПФ Салат ''Таврия'' 1 кг</t>
  </si>
  <si>
    <t>ПФ Салат ''Тайский'' 1 кг</t>
  </si>
  <si>
    <t>ПФ Салат ''Фантазия'' 1 кг</t>
  </si>
  <si>
    <t>ПФ Салат ''Фасолька'' 1 кг</t>
  </si>
  <si>
    <t>ПФ Салат ''Хутор'' 1 кг</t>
  </si>
  <si>
    <t>ПФ Салат 'Мимоза'' с сёмгой 1 кг</t>
  </si>
  <si>
    <t>ПФ Салат рыбный ''Мимоза'' 1 кг</t>
  </si>
  <si>
    <t>ПФ Соус бешамель</t>
  </si>
  <si>
    <t>ПФ Соус грибной</t>
  </si>
  <si>
    <t>ПФ Соус для заправки риса (суши)</t>
  </si>
  <si>
    <t>ПФ Соус для Оливье</t>
  </si>
  <si>
    <t>ПФ Соус для шашлыка</t>
  </si>
  <si>
    <t>Тефтели рыбные с пюре 45 шт</t>
  </si>
  <si>
    <t>ПФ Соус Домашний</t>
  </si>
  <si>
    <t>ПФ Соус красный основной</t>
  </si>
  <si>
    <t>ПФ Соус медово-горчичный</t>
  </si>
  <si>
    <t>ПФ Соус сальса</t>
  </si>
  <si>
    <t>ПФ Соус сливочный</t>
  </si>
  <si>
    <t>ПФ Соус сметанно-чесночный (порционный)</t>
  </si>
  <si>
    <t>ПФ Соус Уральский</t>
  </si>
  <si>
    <t>ПФ Табуле с булгуром и томатами 1 кг</t>
  </si>
  <si>
    <t>ПФ фарш для котлет</t>
  </si>
  <si>
    <t>ПФ Фарш на тефтели мясные</t>
  </si>
  <si>
    <t>ПФ Фарш Тефтели из курицы</t>
  </si>
  <si>
    <t>ПФ Холодец 1 кг</t>
  </si>
  <si>
    <t>Пф шапка овощная с кукурузой</t>
  </si>
  <si>
    <t>ПФ Шапка Сливочная</t>
  </si>
  <si>
    <t>ПФ Шапка Тартар</t>
  </si>
  <si>
    <t>ПФ Яблочная начинка для блинов</t>
  </si>
  <si>
    <t>Пшенная каша с печёной тыквой</t>
  </si>
  <si>
    <t>Пюре картофельное</t>
  </si>
  <si>
    <t>Рап ''Студенческий''</t>
  </si>
  <si>
    <t>Азу из курицы с гречкой 6 шт</t>
  </si>
  <si>
    <t>Рап с ветчиной и соусом ранч</t>
  </si>
  <si>
    <t>Рап с курицей и киноа, 155г</t>
  </si>
  <si>
    <t>Рап с курицей и сыром</t>
  </si>
  <si>
    <t>Рап с курицей и шампиньонами,175г</t>
  </si>
  <si>
    <t>Расстегай с горбушей</t>
  </si>
  <si>
    <t>Рататуй</t>
  </si>
  <si>
    <t>Рататуй (столовая)</t>
  </si>
  <si>
    <t>Ризотто с креветками и пармезаном 220 г</t>
  </si>
  <si>
    <t>Ризотто том ям с мидиями 220 г</t>
  </si>
  <si>
    <t>Рис (гарнир) 75 гр (Столовая)</t>
  </si>
  <si>
    <t>Рис (гарнир) столовая</t>
  </si>
  <si>
    <t>Рис отварной 150гр</t>
  </si>
  <si>
    <t>Рис по-азиатски с печёной рыбой</t>
  </si>
  <si>
    <t>Рис Радуга (гарнир) 75 гр (Столовая)</t>
  </si>
  <si>
    <t>Рис Радуга (гарнир) Столовая</t>
  </si>
  <si>
    <t>Рис с креветками и ананасами</t>
  </si>
  <si>
    <t>Рис с кукурузой (гарнир) 75 гр (Столовая)</t>
  </si>
  <si>
    <t>Рис с кукурузой (гарнир) Столовая</t>
  </si>
  <si>
    <t>Рис с мексиканской смесью (гарнир) Столовая</t>
  </si>
  <si>
    <t>Рогалик с джемом</t>
  </si>
  <si>
    <t>Рогалик с корицей</t>
  </si>
  <si>
    <t>Ролл Калифорния с крабом</t>
  </si>
  <si>
    <t>Свинина в соусе сальса с макаронами 8 шт</t>
  </si>
  <si>
    <t>Ролл с крабом</t>
  </si>
  <si>
    <t>Ролл Тортилья с цыпленком гриль, 191г</t>
  </si>
  <si>
    <t>Рулетик (курица) с макаронами</t>
  </si>
  <si>
    <t>Рулетик с маком 100 гр</t>
  </si>
  <si>
    <t>Рыба (тилапия) в кляре с рисом</t>
  </si>
  <si>
    <t>Рыба в кляре с булгуром</t>
  </si>
  <si>
    <t>Рыба в кляре с пюре</t>
  </si>
  <si>
    <t>Рыба в кляре с рисом</t>
  </si>
  <si>
    <t>Рыба в тесте с макаронами</t>
  </si>
  <si>
    <t>Рыба в тесте с рисом</t>
  </si>
  <si>
    <t>Рыба по-московски с картофелем</t>
  </si>
  <si>
    <t>Рыба по-московски с картофельным пюре</t>
  </si>
  <si>
    <t>Рыба по-московски с макаронами</t>
  </si>
  <si>
    <t>Рыба под овощной шапочкой с пюре</t>
  </si>
  <si>
    <t>Рыба под овощной шапочкой с рисом</t>
  </si>
  <si>
    <t>Салат "Летний" (столовая )</t>
  </si>
  <si>
    <t>Салат "Летний" 100 г</t>
  </si>
  <si>
    <t>Салат "Летний" 120 г</t>
  </si>
  <si>
    <t>Салат "Летний" 120 г столовая</t>
  </si>
  <si>
    <t>Салат "Мимоза" с горбушей 220гр</t>
  </si>
  <si>
    <t>Салат ''Азиатский''</t>
  </si>
  <si>
    <t>Салат ''Ананас'' (столовая)</t>
  </si>
  <si>
    <t>Салат ''Ананас'' 100 г</t>
  </si>
  <si>
    <t>Салат ''Ананас'' 120 г</t>
  </si>
  <si>
    <t>Салат ''Аппетитный''</t>
  </si>
  <si>
    <t>Салат ''Атика'' (Столовая)</t>
  </si>
  <si>
    <t>Салат ''Атика'' 100 г</t>
  </si>
  <si>
    <t>Салат ''Атика'' 120 г</t>
  </si>
  <si>
    <t>Салат ''Баварский''</t>
  </si>
  <si>
    <t>Салат ''Баварский'' (Столовая)</t>
  </si>
  <si>
    <t>Салат ''Баклажан по-корейски''</t>
  </si>
  <si>
    <t>Салат ''Блинный'' (ветчина из мяса птиц)</t>
  </si>
  <si>
    <t>Салат ''Блинный'' (с бужениной)</t>
  </si>
  <si>
    <t>Салат ''Блинный'' (столовая)</t>
  </si>
  <si>
    <t>Салат ''Блинный'' 100 г</t>
  </si>
  <si>
    <t>Салат ''Богатырь'' 120 гр</t>
  </si>
  <si>
    <t>Салат ''Богатырь'' 120 гр столовая</t>
  </si>
  <si>
    <t>Салат ''Бриз''</t>
  </si>
  <si>
    <t>Салат ''Венгерский" (колбаса пк)</t>
  </si>
  <si>
    <t>Салат ''Венский'' 100 г</t>
  </si>
  <si>
    <t>Салат ''Венский'' 120 г</t>
  </si>
  <si>
    <t>Салат ''Весенний букет''</t>
  </si>
  <si>
    <t>Салат ''Весенний'' (столовая)</t>
  </si>
  <si>
    <t>Салат ''Весенний'' 100 г</t>
  </si>
  <si>
    <t>Салат ''Весенний'' 120 г</t>
  </si>
  <si>
    <t>Салат ''Весенний'' 150 г</t>
  </si>
  <si>
    <t>Салат ''Винегрет с капустой'' 100гр</t>
  </si>
  <si>
    <t>Салат ''Винегрет с капустой'' 400гр</t>
  </si>
  <si>
    <t>Салат ''Винегрет с сельдью'' 100 г</t>
  </si>
  <si>
    <t>Салат ''Винегрет с сельдью'' 120 г</t>
  </si>
  <si>
    <t>Салат ''Винегрет'' (без капусты) 100 г</t>
  </si>
  <si>
    <t>Салат ''Винегрет'' (без капусты) столовая</t>
  </si>
  <si>
    <t>Салат ''Винегрет'' (капуста) (Столовая)</t>
  </si>
  <si>
    <t>Салат ''Витаминка''</t>
  </si>
  <si>
    <t>Салат ''Витаминный с крабом'' 100 г</t>
  </si>
  <si>
    <t>Салат ''Витаминный'' (столовая)</t>
  </si>
  <si>
    <t>Салат ''Витаминный'' 100 г</t>
  </si>
  <si>
    <t>Салат ''Витаминный'' 150 г</t>
  </si>
  <si>
    <t>Салат ''Восторг'' (Столовая)</t>
  </si>
  <si>
    <t>Салат ''Восторг'' 100 гр</t>
  </si>
  <si>
    <t>Салат ''Восторг'' 120 гр</t>
  </si>
  <si>
    <t>Салат ''Глория''</t>
  </si>
  <si>
    <t>Салат ''Городской''</t>
  </si>
  <si>
    <t>Салат ''Городской'' (столовая)</t>
  </si>
  <si>
    <t>Салат ''Греческий''</t>
  </si>
  <si>
    <t>Салат ''Греческий'' 150 г</t>
  </si>
  <si>
    <t>Салат ''Гурман''</t>
  </si>
  <si>
    <t>Салат ''Гурман'' (столовая)</t>
  </si>
  <si>
    <t>Салат ''Дамский каприз'' 100 гр</t>
  </si>
  <si>
    <t>Салат ''Дамский каприз'' 120 гр</t>
  </si>
  <si>
    <t>Гуляш из свинины с макаронами</t>
  </si>
  <si>
    <t>Салат ''Дамский каприз''(столовая)</t>
  </si>
  <si>
    <t>Гуляш из свинины с перловкой</t>
  </si>
  <si>
    <t>Салат ''Дачный с сыром'' 120 г</t>
  </si>
  <si>
    <t>Гуляш из свинины с пюре картофельным</t>
  </si>
  <si>
    <t>Салат ''Дачный''</t>
  </si>
  <si>
    <t>Гуляш из свинины  с рисом</t>
  </si>
  <si>
    <t>Салат ''Дачный'' (столовая)</t>
  </si>
  <si>
    <t>Гуляш из свинины со спагетти</t>
  </si>
  <si>
    <t>Салат ''Дачный'' 150 гр</t>
  </si>
  <si>
    <t>Салат ''Деревенский''</t>
  </si>
  <si>
    <t>Салат ''Днестр'' 100 гр</t>
  </si>
  <si>
    <t>Салат ''Днестр'' 120 гр</t>
  </si>
  <si>
    <t>Салат ''Днестр'' столовая</t>
  </si>
  <si>
    <t>Салат ''Дракон'' (столовая)</t>
  </si>
  <si>
    <t>Салат ''Дракон'' 100 г</t>
  </si>
  <si>
    <t>Салат ''Дракон'' 120 г</t>
  </si>
  <si>
    <t>Салат ''Ермак'' 100 г</t>
  </si>
  <si>
    <t>Салат ''Ермак'' 120 г (Столовая)</t>
  </si>
  <si>
    <t>Салат ''Ешь и худей''</t>
  </si>
  <si>
    <t>Салат ''Ешь и худей'' (Столовая)</t>
  </si>
  <si>
    <t>Салат ''Ешь и худей'' 150г</t>
  </si>
  <si>
    <t>Салат ''Жар-птица''</t>
  </si>
  <si>
    <t>Салат ''Жозефина'' (Столовая)</t>
  </si>
  <si>
    <t>Салат ''Жозефина'' 100 г</t>
  </si>
  <si>
    <t>Салат ''Жозефина'' 120 г</t>
  </si>
  <si>
    <t>Салат ''Загадка''</t>
  </si>
  <si>
    <t>Салат ''Зайка''</t>
  </si>
  <si>
    <t>Салат ''Зайка'' 100 г</t>
  </si>
  <si>
    <t>Салат ''Закусочка''</t>
  </si>
  <si>
    <t>Салат ''Закусочка'' 150 гр</t>
  </si>
  <si>
    <t>Салат ''Закусочка'' столовая</t>
  </si>
  <si>
    <t>Салат ''Здоровье'' (столовая)</t>
  </si>
  <si>
    <t>Салат ''Здоровье'' 100 г</t>
  </si>
  <si>
    <t>Салат ''Здоровье'' 150 г</t>
  </si>
  <si>
    <t>Салат ''Зимний'</t>
  </si>
  <si>
    <t>Салат ''Изумрудный''</t>
  </si>
  <si>
    <t>Салат ''Изысканный''</t>
  </si>
  <si>
    <t>Салат ''Изысканный'' 100 г</t>
  </si>
  <si>
    <t>Салат ''Изысканный'' 120 г</t>
  </si>
  <si>
    <t>Салат ''Интрига''</t>
  </si>
  <si>
    <t>Салат ''Испанский'' (столовая)</t>
  </si>
  <si>
    <t>Салат ''Испанский'' 100 г</t>
  </si>
  <si>
    <t>Салат ''Испанский'' 120 г</t>
  </si>
  <si>
    <t>Салат ''Испанский'' 150 г</t>
  </si>
  <si>
    <t>Салат ''Казанский''</t>
  </si>
  <si>
    <t>Салат ''Каприз'' 120 гр</t>
  </si>
  <si>
    <t>Салат ''Капуста Кимчи''</t>
  </si>
  <si>
    <t>Салат ''Коул Слоу'' (столовая)</t>
  </si>
  <si>
    <t>Салат ''Коул Слоу'' 100 гр</t>
  </si>
  <si>
    <t>Салат ''Коул Слоу'' 150 гр</t>
  </si>
  <si>
    <t>Салат ''Крабик'' с рисом (соловая)</t>
  </si>
  <si>
    <t>Салат ''Крабик'' с рисом 100 г</t>
  </si>
  <si>
    <t>Салат ''Крабик'' с рисом 410гр</t>
  </si>
  <si>
    <t>Салат ''Кракен''</t>
  </si>
  <si>
    <t>Салат ''Красавица'' (столовая)</t>
  </si>
  <si>
    <t>Салат ''Красавица'' 100 г</t>
  </si>
  <si>
    <t>Салат ''Красавица'' 120 г</t>
  </si>
  <si>
    <t>Салат ''Красное море'' 100 г</t>
  </si>
  <si>
    <t>Салат ''Критский''</t>
  </si>
  <si>
    <t>Салат ''Критский'' (столовая)</t>
  </si>
  <si>
    <t>Салат ''Кудесница'</t>
  </si>
  <si>
    <t>Салат ''Купеческий'' (Столовая)</t>
  </si>
  <si>
    <t>Салат ''Купеческий'' 100гр</t>
  </si>
  <si>
    <t>Салат ''Купеческий'' 120 г</t>
  </si>
  <si>
    <t>Салат ''Купеческий'' 120гр Столовая</t>
  </si>
  <si>
    <t>Салат ''Кус-Кус с печёным перцем''</t>
  </si>
  <si>
    <t>Салат ''Леди''</t>
  </si>
  <si>
    <t>Салат ''Леди''(столовая)</t>
  </si>
  <si>
    <t>Салат ''Лисенок'</t>
  </si>
  <si>
    <t>Салат ''Лисья шубка'' 100г</t>
  </si>
  <si>
    <t>Салат ''Лисья шубка'' 120 г</t>
  </si>
  <si>
    <t>Салат ''Любовница''</t>
  </si>
  <si>
    <t>Салат ''Лёгкий''</t>
  </si>
  <si>
    <t>Салат ''Майский'</t>
  </si>
  <si>
    <t>Салат ''Майский'' (Столовая)</t>
  </si>
  <si>
    <t>Салат ''Метелка''</t>
  </si>
  <si>
    <t>Салат ''Метелка'' (столовая)</t>
  </si>
  <si>
    <t>Салат ''Метелка'' 150 гр</t>
  </si>
  <si>
    <t>Салат ''Мимоза'' с сёмгой 220 г</t>
  </si>
  <si>
    <t>Салат ''Мираж''</t>
  </si>
  <si>
    <t>Салат ''Мозайка''</t>
  </si>
  <si>
    <t>Салат ''Морковь по-корейски'' (Столовая)</t>
  </si>
  <si>
    <t>Салат ''Морковь по-корейски'' 100 г</t>
  </si>
  <si>
    <t>Салат ''Морковь с чесноком''</t>
  </si>
  <si>
    <t xml:space="preserve">Свинина с тмином с тушеной капустой </t>
  </si>
  <si>
    <t>Салат ''Морской бриз'' 100 г</t>
  </si>
  <si>
    <t>Салат ''Мужские слезы'' 100 г</t>
  </si>
  <si>
    <t>Салат ''Мясной'' (столовая)</t>
  </si>
  <si>
    <t>Салат ''Мясной'' 100 г</t>
  </si>
  <si>
    <t>Салат ''Мясной'' 120 г (колбаса вареная)</t>
  </si>
  <si>
    <t>Картофель запеченный г/200гр</t>
  </si>
  <si>
    <t>Салат ''Невежинский''</t>
  </si>
  <si>
    <t>Картофель отварной г/200гр</t>
  </si>
  <si>
    <t>Салат ''Невежинский'' (столовая)</t>
  </si>
  <si>
    <t>Салат ''Нежность''</t>
  </si>
  <si>
    <t>Салат ''Нежность'' (столовая)</t>
  </si>
  <si>
    <t>Салат ''Немецкий с колбасой'' 100 г</t>
  </si>
  <si>
    <t>Салат ''Немецкий с колбасой'' 120 г</t>
  </si>
  <si>
    <t>Салат ''Немецкий с колбасой'' столовая</t>
  </si>
  <si>
    <t>Закуска с селёдкой 120 г</t>
  </si>
  <si>
    <t>Салат ''Нептун'' 100 г</t>
  </si>
  <si>
    <t>Салат ''Нептун'' 120 г</t>
  </si>
  <si>
    <t>Салат ''Нептун'' 120 г СТОЛОВАЯ</t>
  </si>
  <si>
    <t>Салат ''Обжорка''</t>
  </si>
  <si>
    <t>Салат ''Обжорка'' 100 г</t>
  </si>
  <si>
    <t>Салат ''Обжорка'' столовая</t>
  </si>
  <si>
    <t>Салат ''Овощная фантазия''</t>
  </si>
  <si>
    <t>Салат ''Овощной ' NEW</t>
  </si>
  <si>
    <t>Салат ''Овощной букет''</t>
  </si>
  <si>
    <t>Салат ''Овощной''</t>
  </si>
  <si>
    <t>Салат ''Оливье'' 100 гр</t>
  </si>
  <si>
    <t>Салат ''Оливье'' 450гр</t>
  </si>
  <si>
    <t>Салат ''Оранжевое чудо''</t>
  </si>
  <si>
    <t>Салат ''Оранжевое чудо'' (Столовая)</t>
  </si>
  <si>
    <t>Салат ''Осенний''</t>
  </si>
  <si>
    <t>Салат ''Охотничий '' 100 г</t>
  </si>
  <si>
    <t>Салат ''Охотничий'' 120 г</t>
  </si>
  <si>
    <t>Салат ''Охотничий'' 120 г Столовая</t>
  </si>
  <si>
    <t>Салат ''Перестройка''</t>
  </si>
  <si>
    <t>Салат ''Перестройка'' (столовая)</t>
  </si>
  <si>
    <t>Салат ''Петров'</t>
  </si>
  <si>
    <t>Салат ''Петровский'' 100 г</t>
  </si>
  <si>
    <t>Салат ''Петровский'' 120 г</t>
  </si>
  <si>
    <t>Салат ''Печеночный' 120 г</t>
  </si>
  <si>
    <t>Минтай под овощами с рисом</t>
  </si>
  <si>
    <t>Салат ''Пикник''</t>
  </si>
  <si>
    <t>Салат ''Полянка''</t>
  </si>
  <si>
    <t>Салат ''Прага'' (Столовая)</t>
  </si>
  <si>
    <t>Салат ''Провансаль'' 100 г</t>
  </si>
  <si>
    <t>Салат ''Провансаль'' 120 г</t>
  </si>
  <si>
    <t>Салат ''Провансаль'' 120 г (Столовая)</t>
  </si>
  <si>
    <t>Салат ''Пташка'' 100 г</t>
  </si>
  <si>
    <t>Салат ''Пташка'' 120 г</t>
  </si>
  <si>
    <t>Салат ''Пёстрый''</t>
  </si>
  <si>
    <t>Салат ''Ревнивец''</t>
  </si>
  <si>
    <t>Салат ''Розовые щечки'' (Столовая)</t>
  </si>
  <si>
    <t>Салат ''Розовые щечки'' 100 г</t>
  </si>
  <si>
    <t>Салат ''Розовые щечки'' 120 г</t>
  </si>
  <si>
    <t>Салат ''Романтик''</t>
  </si>
  <si>
    <t>Салат ''Ромашка''</t>
  </si>
  <si>
    <t>Салат ''Рума''</t>
  </si>
  <si>
    <t>Салат ''Русский букет''</t>
  </si>
  <si>
    <t>Салат ''С ветчиной и сыром'' (Столовая)</t>
  </si>
  <si>
    <t>Салат ''С ветчиной и сыром'' 100 гр</t>
  </si>
  <si>
    <t>Салат ''С ветчиной и сыром'' 120 гр</t>
  </si>
  <si>
    <t>Салат ''С крабовым мясом и помидорами''</t>
  </si>
  <si>
    <t>Салат ''С печёным перцем и шпинатом''</t>
  </si>
  <si>
    <t>Салат ''Свекла с сыром ''Фета'' (150 г)</t>
  </si>
  <si>
    <t>Салат ''Свекла с сыром ''Фета'''</t>
  </si>
  <si>
    <t>Салат ''Свекла с сыром ''Фета''' (150 г) столовая</t>
  </si>
  <si>
    <t>Салат ''Свекла с чесноком и маслом'' (столовая)</t>
  </si>
  <si>
    <t>Салат ''Свекла с чесноком''</t>
  </si>
  <si>
    <t>Салат ''Свекла с чесноком'' (столовая)</t>
  </si>
  <si>
    <t>Салат ''Свекла с чесноком'' 100 г</t>
  </si>
  <si>
    <t>Салат ''Сельдь под шубой''</t>
  </si>
  <si>
    <t>Салат ''Снежная королева'' 100 г</t>
  </si>
  <si>
    <t>Салат ''Снежная королева'' 120 г</t>
  </si>
  <si>
    <t>Салат ''Снежная королева''(столовая)</t>
  </si>
  <si>
    <t>Салат ''Спаржа с курицей'' 90гр</t>
  </si>
  <si>
    <t>Салат ''Спаржа с морковью'' 90гр</t>
  </si>
  <si>
    <t>Салат ''Степной''</t>
  </si>
  <si>
    <t>Салат ''Столичный'' (Столовая)</t>
  </si>
  <si>
    <t>Салат ''Столичный'' 100 г</t>
  </si>
  <si>
    <t>Салат ''Таврия'' 100 г</t>
  </si>
  <si>
    <t>Салат ''Тайский'' (столовая)</t>
  </si>
  <si>
    <t>Салат ''Тайский'' 100 г</t>
  </si>
  <si>
    <t>Салат ''Тбилиси''</t>
  </si>
  <si>
    <t>Салат ''Тонхе''</t>
  </si>
  <si>
    <t>Салат ''Тонхе'' столовая</t>
  </si>
  <si>
    <t>Салат ''Тропический'' с манговой заправкой</t>
  </si>
  <si>
    <t>Салат ''Фантазия'' (столовая)</t>
  </si>
  <si>
    <t>Салат ''Фантазия'' 100 гр</t>
  </si>
  <si>
    <t>Салат ''Фантазия'' 120 гр</t>
  </si>
  <si>
    <t>Салат ''Фасолька'' с колбасой</t>
  </si>
  <si>
    <t>Салат ''Фасолька'' с курицей</t>
  </si>
  <si>
    <t>Салат ''Фасолька'' с курицей (Столовая)</t>
  </si>
  <si>
    <t>Салат ''Феникс''</t>
  </si>
  <si>
    <t>Салат ''Фунчоза с курицей''</t>
  </si>
  <si>
    <t>Салат ''Фунчоза с курицей'' 120 г</t>
  </si>
  <si>
    <t xml:space="preserve">Творожный чизкейк </t>
  </si>
  <si>
    <t>Салат ''Фунчоза с курицей'' 150 гр</t>
  </si>
  <si>
    <t>Салат ''Фунчоза'' 100 г</t>
  </si>
  <si>
    <t>Салат ''Фунчоза'' 150 гр</t>
  </si>
  <si>
    <t>Салат ''Фунчоза'' 150 гр (столовая)</t>
  </si>
  <si>
    <t>Салат ''Цезарь с креветкой''</t>
  </si>
  <si>
    <t>Салат ''Цезарь с курицей'' (150 г)</t>
  </si>
  <si>
    <t>Салат ''Черепаха''</t>
  </si>
  <si>
    <t>Салат ''Черепаха'' столовая</t>
  </si>
  <si>
    <t>Салат ''Шапка Мономаха''</t>
  </si>
  <si>
    <t>Салат ''Шапка Мономаха'' 120гр</t>
  </si>
  <si>
    <t>Салат ''Шапка Мономаха'' 1кг</t>
  </si>
  <si>
    <t>Салат ''Южный''</t>
  </si>
  <si>
    <t>Салат из крабовых палочек</t>
  </si>
  <si>
    <t>Салат из крабовых палочек (Столовая)</t>
  </si>
  <si>
    <t>Салат из красной капусты</t>
  </si>
  <si>
    <t>Салат из красной капусты с колбасой</t>
  </si>
  <si>
    <t>Салат из краснокочанной капусты 150 г</t>
  </si>
  <si>
    <t>Салат из свежей капусты</t>
  </si>
  <si>
    <t>Салат из свежей капусты (Столовая)</t>
  </si>
  <si>
    <t xml:space="preserve">Фунчоза с овощами и креветками </t>
  </si>
  <si>
    <t>Салат из свежей капусты 150 гр</t>
  </si>
  <si>
    <t>Салат капуста по корейски</t>
  </si>
  <si>
    <t>Салат капусты в кисло-сладком соусе</t>
  </si>
  <si>
    <t>Салат рыбный ''Мимоза'' 100 г</t>
  </si>
  <si>
    <t>Салат рыбный ''Мимоза'' 120 г</t>
  </si>
  <si>
    <t>Салат с копченой горбушей</t>
  </si>
  <si>
    <t>Салат с копченой курицей и ананасом</t>
  </si>
  <si>
    <t>Салат с крабовыми палочками и пекинкой</t>
  </si>
  <si>
    <t>Салат с красной фасолью</t>
  </si>
  <si>
    <t>Салат с курицей и овощами</t>
  </si>
  <si>
    <t>Салат с пекинской капустой и сыром</t>
  </si>
  <si>
    <t>Салат с редисом и огурцом</t>
  </si>
  <si>
    <t>Салат с редисом и огурцом (столовая)</t>
  </si>
  <si>
    <t>Салат с тунцом</t>
  </si>
  <si>
    <t>Салат с тунцом и эдамаме</t>
  </si>
  <si>
    <t>Салат Свекла с чесноком 120гр</t>
  </si>
  <si>
    <t>Салат Фаворит (филе кур., опята)</t>
  </si>
  <si>
    <t>Самса с говядиной</t>
  </si>
  <si>
    <t>Самса с говядиной 95 грамм</t>
  </si>
  <si>
    <t>Самса с курицей 110 грамм</t>
  </si>
  <si>
    <t>Сациви из курицы в ореховом соусе с рисом</t>
  </si>
  <si>
    <t>Сациви из курицы в ореховом соусе со спагетти</t>
  </si>
  <si>
    <t>Свекольник на квасе</t>
  </si>
  <si>
    <t>Свекольник на кефире</t>
  </si>
  <si>
    <t>Свинина ''Аппетитная'' (столовая)</t>
  </si>
  <si>
    <t>Свинина ''Аппетитная'' с гречкой</t>
  </si>
  <si>
    <t>Свинина ''Аппетитная'' с картофелем</t>
  </si>
  <si>
    <t>Свинина ''Аппетитная'' с картофельным пюре</t>
  </si>
  <si>
    <t>Свинина ''Аппетитная'' с макаронами</t>
  </si>
  <si>
    <t>Свинина ''Аппетитная'' с рисом и овощами</t>
  </si>
  <si>
    <t>Свинина ''Глаз дракона'' макаронами</t>
  </si>
  <si>
    <t>Свинина ''Глаз дракона'' с картофелем</t>
  </si>
  <si>
    <t>Свинина ''Глаз дракона'' с пюре</t>
  </si>
  <si>
    <t>Свинина ''Демиглас'' с гречкой</t>
  </si>
  <si>
    <t>Свинина ''Демиглас'' с макаронами</t>
  </si>
  <si>
    <t>Свинина ''Демиглас'' с рисом</t>
  </si>
  <si>
    <t>Свинина ''по-балкански'' с булгуром</t>
  </si>
  <si>
    <t>Свинина ''по-балкански'' с гречкой</t>
  </si>
  <si>
    <t>Свинина ''по-балкански'' с рисом</t>
  </si>
  <si>
    <t>Свинина ''Полянка'' с картофелем</t>
  </si>
  <si>
    <t>Свинина в кляре с рисом и перцем</t>
  </si>
  <si>
    <t>Свинина в сливочном соусе с гречкой</t>
  </si>
  <si>
    <t>Свинина в томатном соусе б/100гр</t>
  </si>
  <si>
    <t>Свинина в сливочном соусе с рисом</t>
  </si>
  <si>
    <t>Свинина в соусе сальса с гречкой</t>
  </si>
  <si>
    <t>Свинина в соусе сальса с картофелем</t>
  </si>
  <si>
    <t xml:space="preserve">Свинина в соусе тонкацу с картофелем </t>
  </si>
  <si>
    <t>только спк</t>
  </si>
  <si>
    <t>Свинина в томатном соусе с гречкой</t>
  </si>
  <si>
    <t>Свинина по-баварски</t>
  </si>
  <si>
    <t>Свинина по-боярски (столовая)</t>
  </si>
  <si>
    <t>Свинина по-боярски с булгуром</t>
  </si>
  <si>
    <t>Свинина по-боярски с запеченным картофелем</t>
  </si>
  <si>
    <t>Свинина по-боярски с капустой тушеной</t>
  </si>
  <si>
    <t>Свинина по-боярски с макаронами</t>
  </si>
  <si>
    <t>Свинина по-купечески с макаронами</t>
  </si>
  <si>
    <t>Свинина по-монастырски</t>
  </si>
  <si>
    <t>Свинина по-тайски б/100гр</t>
  </si>
  <si>
    <t>Свинина с томатом и картофельным пюре</t>
  </si>
  <si>
    <t>Свинина тушеная с овощным рагу 400 г</t>
  </si>
  <si>
    <t>Скумбрия по-краснодарски с рисом</t>
  </si>
  <si>
    <t>Сложный гарнир (Столовая)</t>
  </si>
  <si>
    <t>Сложный гарнир (столовая)</t>
  </si>
  <si>
    <t>Слойка ''Забава'' с вишневой начинкой 70 г</t>
  </si>
  <si>
    <t>Слойка ''Забава'' с творожной начинкой 70 г</t>
  </si>
  <si>
    <t>Слойка ''Забава'' с яблочной начинкой 70 г</t>
  </si>
  <si>
    <t>Слойка с сосиской и кетчупом 110г</t>
  </si>
  <si>
    <t>Слойка с яблоками 100 г</t>
  </si>
  <si>
    <t>Смаковая булочка</t>
  </si>
  <si>
    <t>Смесь для окрошки</t>
  </si>
  <si>
    <t>Сметанник</t>
  </si>
  <si>
    <t>Снек картофель+сыр+зелень 70г</t>
  </si>
  <si>
    <t>Снэк с ветчиной и сыром</t>
  </si>
  <si>
    <t>Соба с говядиной в устричном соусе</t>
  </si>
  <si>
    <t>Лазанья из кабачка с курицей</t>
  </si>
  <si>
    <t>Соба с говядиной в устричном соусе (СТОЛОВАЯ)</t>
  </si>
  <si>
    <t>Соба с индейкой и овощами в устричном соусе 250г</t>
  </si>
  <si>
    <t>Соба с креветкой в устричном соусе</t>
  </si>
  <si>
    <t>Соба с овощами (СТОЛОВАЯ)</t>
  </si>
  <si>
    <t>Солянка (Столовая)</t>
  </si>
  <si>
    <t>Сосиска 2 шт Столовая</t>
  </si>
  <si>
    <t>Сосиска в тесте</t>
  </si>
  <si>
    <t>Сосиска в тесте 110 г</t>
  </si>
  <si>
    <t>Соте из горбуши с пюре</t>
  </si>
  <si>
    <t>Соте из горбуши с рисом</t>
  </si>
  <si>
    <t>Соус для Цезаря 1кг (ПФ)</t>
  </si>
  <si>
    <t>Сочень 75г</t>
  </si>
  <si>
    <t>Спаржа с курицей</t>
  </si>
  <si>
    <t>Спагетти ''Болоньезе'' 250 гр ЖМ</t>
  </si>
  <si>
    <t xml:space="preserve">Курочка гриль б/80гр </t>
  </si>
  <si>
    <t>Спагетти ''Болоньезе''(столовая)</t>
  </si>
  <si>
    <t>Спагетти 150гр</t>
  </si>
  <si>
    <t>Спагетти Болоньезе 200г,шт</t>
  </si>
  <si>
    <t>Спагетти отварные</t>
  </si>
  <si>
    <t>Стейк из свинины с картофельной пастой</t>
  </si>
  <si>
    <t>Стейк из свинины томленый с пюре</t>
  </si>
  <si>
    <t>Стейк кеты с тушеными овощами</t>
  </si>
  <si>
    <t>Стожки из курицы с макаронами</t>
  </si>
  <si>
    <t>Стожки с грибами и сыром с овощным пюре</t>
  </si>
  <si>
    <t>Стожок мясной с жульеном и макаронами</t>
  </si>
  <si>
    <t>Стожок мясной с жульеном и пюре</t>
  </si>
  <si>
    <t>Стручковая фасоль с грибами 150г</t>
  </si>
  <si>
    <t xml:space="preserve">Курица Каччиаторе с пастой </t>
  </si>
  <si>
    <t>Суп ''Паутинка''</t>
  </si>
  <si>
    <t>Суп ''Рассольник''</t>
  </si>
  <si>
    <t>Суп ''Рассольник'' (столовая)</t>
  </si>
  <si>
    <t>Суп ''Щи''</t>
  </si>
  <si>
    <t>Суп ''Щи'' (столовая)</t>
  </si>
  <si>
    <t>Суп гороховый (Столовая)</t>
  </si>
  <si>
    <t>Суп грибной</t>
  </si>
  <si>
    <t>Суп грибной (столовая)</t>
  </si>
  <si>
    <t>Суп из рыбной консервы с картофелем</t>
  </si>
  <si>
    <t>Суп картофельный с галушками</t>
  </si>
  <si>
    <t>Суп картофельный с курицей (Столовая)</t>
  </si>
  <si>
    <t>Суп лапша с фрикадельками Столовая</t>
  </si>
  <si>
    <t>Суп с копченым сыром</t>
  </si>
  <si>
    <t>Суп с курицей и булгуром</t>
  </si>
  <si>
    <t>Суп с пастой и креветками по-итальянски</t>
  </si>
  <si>
    <t>Суп сырный</t>
  </si>
  <si>
    <t>Суп сырный (столовая)</t>
  </si>
  <si>
    <t>Суп Харчо (столовая)</t>
  </si>
  <si>
    <t>Суп-крем из тыквы</t>
  </si>
  <si>
    <t>Суп-крем из тыквы (столовая)</t>
  </si>
  <si>
    <t>Суп-лапша куриная (Столовая)</t>
  </si>
  <si>
    <t>Суп-лапша куриный</t>
  </si>
  <si>
    <t>Суп-пюре ''Мили-джули''</t>
  </si>
  <si>
    <t>Суп-пюре ''по-деревенски''</t>
  </si>
  <si>
    <t>Суп-пюре грибной</t>
  </si>
  <si>
    <t>Суп-пюре грибной (столовая)</t>
  </si>
  <si>
    <t>Суп-пюре из овощей</t>
  </si>
  <si>
    <t>Суп-пюре из овощей (столовая)</t>
  </si>
  <si>
    <t>Суп-пюре из овощей с курицей</t>
  </si>
  <si>
    <t>Суп-пюре из овощей с курицей (столовая)</t>
  </si>
  <si>
    <t>Суфле с курицей и овощами</t>
  </si>
  <si>
    <t>Суши сэндвич с курицей и оригинальным соусом</t>
  </si>
  <si>
    <t>Суши сэндвич с лососем/ с чуккой, 172г</t>
  </si>
  <si>
    <t>Суши сэндвич с чуккой, 172г</t>
  </si>
  <si>
    <t>Суши-Трайфл с кальмаром</t>
  </si>
  <si>
    <t>Суши-Трайфл с крабом в Итальянском соусе</t>
  </si>
  <si>
    <t>Суши-Трайфл с креветкой и манго</t>
  </si>
  <si>
    <t>Суши-Трайфл с курицей, 120г</t>
  </si>
  <si>
    <t>СушиРита с крабом</t>
  </si>
  <si>
    <t>СушиРита с купицей спайси</t>
  </si>
  <si>
    <t>СушиРита с курицей спайси, 206г</t>
  </si>
  <si>
    <t>СушиРита с лососем, 194г</t>
  </si>
  <si>
    <t>Сырная палочка 75 гр</t>
  </si>
  <si>
    <t>Сэндвич с бужениной (индейка)</t>
  </si>
  <si>
    <t>Сэндвич с вареной сгущенкой</t>
  </si>
  <si>
    <t>Тефтели куриные с овощами на пару</t>
  </si>
  <si>
    <t>Сэндвич с ветчиной и сыром 200г,шт</t>
  </si>
  <si>
    <t>Сэндвич с индейкой и соусом карри</t>
  </si>
  <si>
    <t>Сэндвич с красной рыбой</t>
  </si>
  <si>
    <t>Сэндвич с курицей и горчичным соусом</t>
  </si>
  <si>
    <t>Сэндвич с курицей и зеленым соусом</t>
  </si>
  <si>
    <t>Тилапия в соусе сальса с пюре</t>
  </si>
  <si>
    <t>Сэндвич с ореховой пастой</t>
  </si>
  <si>
    <t>Сэндвич с рваной говядиной</t>
  </si>
  <si>
    <t xml:space="preserve">Лава с крабом </t>
  </si>
  <si>
    <t>Сэндвич с рулетом из курочки и сыром</t>
  </si>
  <si>
    <t>Сэндвич со снежным крабом</t>
  </si>
  <si>
    <t>Табуле гарнир столовая</t>
  </si>
  <si>
    <t>Тефтели ''Нежные'' (Столовая)</t>
  </si>
  <si>
    <t>Тефтели ''Нежные''(индейка) с гречкой</t>
  </si>
  <si>
    <t>Тефтели ''Нежные''(индейка) с макаронами</t>
  </si>
  <si>
    <t>Тефтели ''Нежные''(индейка) со спагетти</t>
  </si>
  <si>
    <t>Тефтели ''по-домашнему'' с тальятелле</t>
  </si>
  <si>
    <t>Тефтели рыбные   б/шт</t>
  </si>
  <si>
    <t>Тефтели (куриные) с булгуром</t>
  </si>
  <si>
    <t>Тефтели (куриные) с гороховым пюре</t>
  </si>
  <si>
    <t>Тефтели (куриные) с макаронами</t>
  </si>
  <si>
    <t>Тефтели (куриные) с рисом</t>
  </si>
  <si>
    <t>Тефтели (куриные) со сложным гарниром</t>
  </si>
  <si>
    <t>Тефтели (куриные) со спагетти</t>
  </si>
  <si>
    <t>Тефтели (рыбные ) с рисом</t>
  </si>
  <si>
    <t>Тефтели (рыбные) с картофельным пюре</t>
  </si>
  <si>
    <t>Тефтели (рыбные) с макаронами</t>
  </si>
  <si>
    <t>Тефтели (рыбные) с рисом и перцем</t>
  </si>
  <si>
    <t>Тефтели (свинина) с картофельным пюре</t>
  </si>
  <si>
    <t>Тефтели (свинина) с рисом и овощами</t>
  </si>
  <si>
    <t>Тефтели из индейки в соусе с гречкой</t>
  </si>
  <si>
    <t>Тефтели из индейки в соусе с пюре</t>
  </si>
  <si>
    <t>Тефтели из индейки в соусе со спагетти</t>
  </si>
  <si>
    <t>Тефтели из индейки с гречкой</t>
  </si>
  <si>
    <t>Тефтели куриные с картофельным пюре</t>
  </si>
  <si>
    <t>Тефтели мясные (столовая)</t>
  </si>
  <si>
    <t>Тефтели мясные с макаронами</t>
  </si>
  <si>
    <t>Тефтели рыбные (минтай) с картофельным пюре</t>
  </si>
  <si>
    <t>Тефтель из индейки (Столовая)</t>
  </si>
  <si>
    <t>Тефтельки куриные с картофельным пюре</t>
  </si>
  <si>
    <t>Тилапия в кунжуте с зеленым пюре</t>
  </si>
  <si>
    <t>Томленая говядина с картофельным пюре</t>
  </si>
  <si>
    <t>Томленая говядина с овощами</t>
  </si>
  <si>
    <t>Топпинг сгущенка (столовая)</t>
  </si>
  <si>
    <t>Топпинг сметана (столовая)</t>
  </si>
  <si>
    <t>Топпинг шрирача (столовая)</t>
  </si>
  <si>
    <t>Тори Тяхан</t>
  </si>
  <si>
    <t>Тори Тяхан (столовая)</t>
  </si>
  <si>
    <t>Торт ''Красный бархат'' (в стакане)</t>
  </si>
  <si>
    <t>Шашлык (кура) с картошкой по деревенски</t>
  </si>
  <si>
    <t>Торт Панчо 120 г</t>
  </si>
  <si>
    <t>Торт Тирамису 100 гр</t>
  </si>
  <si>
    <t xml:space="preserve">Манты со сметаной </t>
  </si>
  <si>
    <t>Тосканский суп</t>
  </si>
  <si>
    <t>Трайфл ''Киви''</t>
  </si>
  <si>
    <t>Манты со сметаной 150гр</t>
  </si>
  <si>
    <t>Трайфл ''Красный бархат''</t>
  </si>
  <si>
    <t>Трайфл ''Сластена''</t>
  </si>
  <si>
    <t>Трайфл ''Сметанка''</t>
  </si>
  <si>
    <t>Трайфл ''Сникерс''</t>
  </si>
  <si>
    <t>Трайфл 'Зимняя вишня''</t>
  </si>
  <si>
    <t>Трайфл с вареной сгущенкой</t>
  </si>
  <si>
    <t>Трайфл с вишней</t>
  </si>
  <si>
    <t>Трайфл с карамелью</t>
  </si>
  <si>
    <t>Треска по-мурмански</t>
  </si>
  <si>
    <t>Тунец в соусе терияке с зеленым пюре</t>
  </si>
  <si>
    <t>Тыква запеченная 110 г</t>
  </si>
  <si>
    <t>Удон с говядиной</t>
  </si>
  <si>
    <t>Удон с говядиной (220 грамм) ЖМ</t>
  </si>
  <si>
    <t>Удон с креветками в азиатском соусе</t>
  </si>
  <si>
    <t>Уха</t>
  </si>
  <si>
    <t>Уха (из горбуши) (столовая)</t>
  </si>
  <si>
    <t>Уха (сборная)</t>
  </si>
  <si>
    <t>Уха по-фински</t>
  </si>
  <si>
    <t>Фарш мясной с рисом 1 кг</t>
  </si>
  <si>
    <t>Филе ''Аппетитное'' с макаронами</t>
  </si>
  <si>
    <t>Филе ''Аппетитное'' с пюре</t>
  </si>
  <si>
    <t>Филе ''Сочное с сыром'' с булгуром</t>
  </si>
  <si>
    <t>Филе ''Сочное с сыром" б/шт</t>
  </si>
  <si>
    <t>Филе в сухарях (Столовая)</t>
  </si>
  <si>
    <t>Филе в сухарях б/шт</t>
  </si>
  <si>
    <t>Филе в сухарях с запеченным картофелем</t>
  </si>
  <si>
    <t>Филе в сухарях с картофельным гратеном</t>
  </si>
  <si>
    <t>Филе в сухарях с картофельным пюре</t>
  </si>
  <si>
    <t>Филе в сухарях с макаронами</t>
  </si>
  <si>
    <t>Филе в сухарях с макаронами ''Наполетана''</t>
  </si>
  <si>
    <t>Филе куриное в овощном соусе с гречкой</t>
  </si>
  <si>
    <t>Филе куриное с помидором с сыром со спагетти</t>
  </si>
  <si>
    <t>Филе куриное су-вид с овощами и кус-кус</t>
  </si>
  <si>
    <t>Филе по-гавайски с булгуром</t>
  </si>
  <si>
    <t>Филе по-гавайски с запеченным картофелем</t>
  </si>
  <si>
    <t>Филе по-московски с макаронами</t>
  </si>
  <si>
    <t>Филе по-московски столовая</t>
  </si>
  <si>
    <t>Филе под ананасом (Столовая)</t>
  </si>
  <si>
    <t>Филе под ананасом с булгуром</t>
  </si>
  <si>
    <t>Филе под ананасом с гратеном</t>
  </si>
  <si>
    <t>Филе под ананасом с запеченным картофелем</t>
  </si>
  <si>
    <t>Филе под ананасом с картофельным пюре</t>
  </si>
  <si>
    <t>Филе под ананасом с рисом</t>
  </si>
  <si>
    <t>Филе под ананасом со макаронами</t>
  </si>
  <si>
    <t>Филе под овощами (Столовая)</t>
  </si>
  <si>
    <t>Филе под овощами с булгуром</t>
  </si>
  <si>
    <t>Филе под овощами с картофелем</t>
  </si>
  <si>
    <t>Филе под овощами с картофельным пюре</t>
  </si>
  <si>
    <t>Филе под овощами с макаронами</t>
  </si>
  <si>
    <t>Филе под перцем (Столовая)</t>
  </si>
  <si>
    <t>Филе под перцем и кабачком тушеным</t>
  </si>
  <si>
    <t>Филе под перцем и рисом</t>
  </si>
  <si>
    <t>Филе под перцем с булгуром</t>
  </si>
  <si>
    <t>Филе под перцем с запеченным картофелем</t>
  </si>
  <si>
    <t>Филе под перцем с картофельным пюре</t>
  </si>
  <si>
    <t>Филе под перцем с макаронами</t>
  </si>
  <si>
    <t>Филе под перцем с овощным рагу</t>
  </si>
  <si>
    <t>Филе под перцем с отварным картофелем</t>
  </si>
  <si>
    <t xml:space="preserve">Салат ''Интрига'' (колбаса в/к.) </t>
  </si>
  <si>
    <t>Филе под перцем со ''сложным'' гарниром</t>
  </si>
  <si>
    <t>Филе под перцем со спагетти</t>
  </si>
  <si>
    <t>Филе с ананасами</t>
  </si>
  <si>
    <t>Филе с грибами</t>
  </si>
  <si>
    <t>Филе с грибами и запеченым картофелем</t>
  </si>
  <si>
    <t>Филе с грибами со ''сложным'' гарниром</t>
  </si>
  <si>
    <t>Филе с перцем</t>
  </si>
  <si>
    <t>Филе с томатом и лингвини</t>
  </si>
  <si>
    <t>Филе с томатом и моцареллой (Столовая)</t>
  </si>
  <si>
    <t>Филе с томатом и моцареллой с гратеном</t>
  </si>
  <si>
    <t>Филе с томатом и моцареллой с кабачком</t>
  </si>
  <si>
    <t>Филе с томатом и моцареллой с макаронами</t>
  </si>
  <si>
    <t>Филе с томатом и моцареллой с овощным рагу</t>
  </si>
  <si>
    <t>Пангасиус запеченый с картофельным пюре</t>
  </si>
  <si>
    <t>Филе с томатом и моцареллой с пюре</t>
  </si>
  <si>
    <t>Филе с томатом и моцареллой со спагетти</t>
  </si>
  <si>
    <t>Фрикадельки (горбуша) со спагетти</t>
  </si>
  <si>
    <t>Фрикадельки в сливочном соусе со спагетти</t>
  </si>
  <si>
    <t>Фрикадельки в томате с картофельным пюре</t>
  </si>
  <si>
    <t>Фрикадельки в томатном соусе с макаронами</t>
  </si>
  <si>
    <t>Фрикадельки из лососевых с нежным пюре</t>
  </si>
  <si>
    <t>Фрикадельки из лососевых с рисом</t>
  </si>
  <si>
    <t>Фрикадельки мясные в томат.соусе (Столовая)</t>
  </si>
  <si>
    <t>Фрикадельки с рисом</t>
  </si>
  <si>
    <t>Фрикасе из индейки с картофельным пюре</t>
  </si>
  <si>
    <t>Фрикасе из курицы (столовая)</t>
  </si>
  <si>
    <t>Фрикасе из курицы с булгуром 260 г</t>
  </si>
  <si>
    <t>Фрикасе из курицы с макаронами</t>
  </si>
  <si>
    <t>Фрикасе из курицы с овощным сотэ</t>
  </si>
  <si>
    <t>Фрикасе из курицы с пюре</t>
  </si>
  <si>
    <t>Фрикасе из курицы с рисом</t>
  </si>
  <si>
    <t>Фрикасе из курицы со спагетти</t>
  </si>
  <si>
    <t>Фрикасе с грибами и брокколи с гречкой</t>
  </si>
  <si>
    <t>Оджахури из свинины б/шт</t>
  </si>
  <si>
    <t>Фузилли с креветками в томатно-сливочном соусе</t>
  </si>
  <si>
    <t>Фунчоза по-корейски 200 гр ЖМ</t>
  </si>
  <si>
    <t>Ханум</t>
  </si>
  <si>
    <t>Хачапури с сыром и ветчиной 120г</t>
  </si>
  <si>
    <t>Хашлама со свининой</t>
  </si>
  <si>
    <t>Хинкали ''Любительские'' с соусом</t>
  </si>
  <si>
    <t>Хлеб для сендвичей белый (покупной)</t>
  </si>
  <si>
    <t>Хлеб ржаной (порционный)</t>
  </si>
  <si>
    <t>Холодец с горчицей 320 гр</t>
  </si>
  <si>
    <t xml:space="preserve">Онигири с кальмаром </t>
  </si>
  <si>
    <t>Холодец с горчицей 360 гр</t>
  </si>
  <si>
    <t>Цыпленок по-индейски (столовая)</t>
  </si>
  <si>
    <t>Цыпленок по-индейски с гречкой</t>
  </si>
  <si>
    <t>Цыпленок по-индейски с кабачком тушеным</t>
  </si>
  <si>
    <t>Цыпленок по-индейски с картофельным пюре</t>
  </si>
  <si>
    <t xml:space="preserve">Хот-дог  </t>
  </si>
  <si>
    <t>Цыпленок по-индейски с макаронами</t>
  </si>
  <si>
    <t>Цыпленок по-индейски с рисом</t>
  </si>
  <si>
    <t>Цыпленок по-индейски со спагетти</t>
  </si>
  <si>
    <t>Цыпленок со спагетти и овощами</t>
  </si>
  <si>
    <t>Чахохбили из курицы</t>
  </si>
  <si>
    <t>Чахохбили из курицы  б/100гр</t>
  </si>
  <si>
    <t>Чахохбили с булгуром</t>
  </si>
  <si>
    <t>Чахохбили с гречкой</t>
  </si>
  <si>
    <t>Чахохбили с запеченым картофелем</t>
  </si>
  <si>
    <t>Чахохбили с картофельным пюре</t>
  </si>
  <si>
    <t>Чахохбили с рисом</t>
  </si>
  <si>
    <t>Чахохбили со сложным гарниром</t>
  </si>
  <si>
    <t>Чахохбили со спагетти</t>
  </si>
  <si>
    <t>Чебурек с мясом</t>
  </si>
  <si>
    <t>Чизкейк ''New York''</t>
  </si>
  <si>
    <t>Чизкейк ''New York'' с клубникой</t>
  </si>
  <si>
    <t>Чизкейк ''New York'' с лимоном</t>
  </si>
  <si>
    <t>Чизкейк ''New York'' с малиной</t>
  </si>
  <si>
    <t>Чизкейк ''New York'' шоколадный</t>
  </si>
  <si>
    <t xml:space="preserve">Отбивная из курицы с томатом и картофелем </t>
  </si>
  <si>
    <t>Чкмерули из курицы б/100гр</t>
  </si>
  <si>
    <t>Чкмерули с рисом</t>
  </si>
  <si>
    <t>Шаньга с картошкой</t>
  </si>
  <si>
    <t>Шашлык (курица) с картофельным пюре</t>
  </si>
  <si>
    <t>Отбивная куриная с грибами и картофелем запеченным</t>
  </si>
  <si>
    <t>Шашлык (курица) с тушеным кабачком</t>
  </si>
  <si>
    <t>Панкейки с домашним вареньем</t>
  </si>
  <si>
    <t>Шашлык (курица) с тушеными овощами</t>
  </si>
  <si>
    <t>Шашлык (курица) со ''сложным'' гарниром</t>
  </si>
  <si>
    <t>Шашлык (свинина) с картофельными дольками</t>
  </si>
  <si>
    <t>Шашлык (свинина) с овощным соте</t>
  </si>
  <si>
    <t>Шашлык с картофелем бэби</t>
  </si>
  <si>
    <t>Шашлык со спагетти</t>
  </si>
  <si>
    <t>Шашлычки из индейки с овощами и соусом 180г</t>
  </si>
  <si>
    <t>Шведские фрикадельки с картофелем</t>
  </si>
  <si>
    <t>Шницель из индейки с пюре 110/130 г</t>
  </si>
  <si>
    <t>Шницель из свинины с пюре</t>
  </si>
  <si>
    <t>Шницель из свинины с рисом и овощами</t>
  </si>
  <si>
    <t>Шницель куриный  в сухарях с гратеном</t>
  </si>
  <si>
    <t>Шницель куриный с зелёным булгуром 100/130г,шт</t>
  </si>
  <si>
    <t>Шницель рубленый с гратеном</t>
  </si>
  <si>
    <t>Шницель с гречей</t>
  </si>
  <si>
    <t>Шницель с макаронами</t>
  </si>
  <si>
    <t>Шницель с пюре</t>
  </si>
  <si>
    <t>Шницель с рисом светофор</t>
  </si>
  <si>
    <t>Шницель с тушеной капустой</t>
  </si>
  <si>
    <t>Шницель со ''сложным'' гарниром</t>
  </si>
  <si>
    <t>Шпинатные блины с ветчиной и моцареллой</t>
  </si>
  <si>
    <t>Эклер с творожным кремом ''Апельсин''</t>
  </si>
  <si>
    <t>Эклер с творожным кремом ''Малина''</t>
  </si>
  <si>
    <t>Курочка гриль с овощами</t>
  </si>
  <si>
    <t>Чанахи из баранины</t>
  </si>
  <si>
    <t>Чакондрили с ташмиджаби</t>
  </si>
  <si>
    <t xml:space="preserve">Курник  (курица, картофель) </t>
  </si>
  <si>
    <t>Лобио из стручковой фасоли</t>
  </si>
  <si>
    <t>Запеканка картофельная с курочкой</t>
  </si>
  <si>
    <t>Бигус с колбасками и соусом пронто</t>
  </si>
  <si>
    <t>Отбивная из курицы с томатом  шт</t>
  </si>
  <si>
    <t>Азу из свинины с грибами 100гр</t>
  </si>
  <si>
    <t xml:space="preserve">Перловка с грибами </t>
  </si>
  <si>
    <t>Горбуша в сырной корочке шт</t>
  </si>
  <si>
    <t>Котлета куриная  шт</t>
  </si>
  <si>
    <t>Тефтели рыбные   шт</t>
  </si>
  <si>
    <t>Свинина в томатном соусе 100гр</t>
  </si>
  <si>
    <t>Говядина томленая 100гр</t>
  </si>
  <si>
    <t>Филе "Сочное с сыром"   шт</t>
  </si>
  <si>
    <t>Куриный рулет с овощами  шт</t>
  </si>
  <si>
    <t>Говядина по-венгерски 100гр</t>
  </si>
  <si>
    <t>Люля-кебаб куриный  шт</t>
  </si>
  <si>
    <t>Отбивная из свинины с овощами  шт</t>
  </si>
  <si>
    <t>Курочка в азиатском соусе 100гр</t>
  </si>
  <si>
    <t>новое</t>
  </si>
  <si>
    <t>Обед ''Студенческий''</t>
  </si>
  <si>
    <t>Филе с сыром и печеным картофелем</t>
  </si>
  <si>
    <t>Удон с курицей в азиатском соусе</t>
  </si>
  <si>
    <t>Сэндвич со сливочным крабом</t>
  </si>
  <si>
    <t>Каша пшенная с киноа и изюмом</t>
  </si>
  <si>
    <t>Бедро в пряном соусе с гречкой</t>
  </si>
  <si>
    <t>Гранатовый браслет 220гр</t>
  </si>
  <si>
    <t>Шарлотка с яблоком</t>
  </si>
  <si>
    <t>Бефстроганов (говядина) с рисом</t>
  </si>
  <si>
    <t>Бефстроганов (говядина) с картофелем</t>
  </si>
  <si>
    <t>Мясные гнёзда с овощами и картофелем</t>
  </si>
  <si>
    <t>Онигири с курицей  в ореховом соусе</t>
  </si>
  <si>
    <t>Салат "Морской" (капуста морская)</t>
  </si>
  <si>
    <t>Шоколадный пирог с вишней</t>
  </si>
  <si>
    <t>Курочка в сырном соусе со спагетти</t>
  </si>
  <si>
    <t>Курочка по-купечески с гречкой</t>
  </si>
  <si>
    <t>Свинина по-тайски с картофелем</t>
  </si>
  <si>
    <t>Соба с индейкой в устричном соусе</t>
  </si>
  <si>
    <t>Свинина в соусе тонкацу со спагетти</t>
  </si>
  <si>
    <t>Салат "Любовница" 220 гр</t>
  </si>
  <si>
    <t>Окрошка</t>
  </si>
  <si>
    <t>Хот-дог датский</t>
  </si>
  <si>
    <t>Филе с томатом и моцареллой с отварным картофелем</t>
  </si>
  <si>
    <t>Венский штрудель с творогом и смородиной</t>
  </si>
  <si>
    <t>Курник  (курица, картофель)</t>
  </si>
  <si>
    <t>Морс вишня/клубника 0,5 л</t>
  </si>
  <si>
    <t>Гречка по-купечески  с томленой свининой 400гр</t>
  </si>
  <si>
    <t>Профитроли с паштетом</t>
  </si>
  <si>
    <t xml:space="preserve">Закуска с селёдкой 170гр </t>
  </si>
  <si>
    <t>Биточек ''Столичный'' (филе кур) с макаронами</t>
  </si>
  <si>
    <t>Фруктовый набор (арбуз/дыня)</t>
  </si>
  <si>
    <t>Салат ''Лисья шубка'' 220 г</t>
  </si>
  <si>
    <t>Салат ''Свекла с чесноком'' 100 гр</t>
  </si>
  <si>
    <t>Салат ''Таврия'' (колбаса п/к)</t>
  </si>
  <si>
    <t>Шоколадный пирог с ягодами</t>
  </si>
  <si>
    <t xml:space="preserve">Каша "3 злака" на апельсиновом соке </t>
  </si>
  <si>
    <t>Только спк</t>
  </si>
  <si>
    <t>Стручковая фасоль с грибами г/150г</t>
  </si>
  <si>
    <t xml:space="preserve">Гречка по-купечески с томленой говядиной </t>
  </si>
  <si>
    <t>Сэндвич с курицей и  соусом</t>
  </si>
  <si>
    <t xml:space="preserve">Филе с томатом и сыром с зеленым рисом </t>
  </si>
  <si>
    <t xml:space="preserve">Филе под овощами с запеченным картофелем </t>
  </si>
  <si>
    <t>План на день кухня                 СРЕДА</t>
  </si>
  <si>
    <t>Курьер: Чашков Дмитрий</t>
  </si>
  <si>
    <t>с271ст/154</t>
  </si>
  <si>
    <t>Ф 7</t>
  </si>
  <si>
    <t>Чкмерули из курицы с рисом</t>
  </si>
  <si>
    <t>ФСПК</t>
  </si>
  <si>
    <t>Курс</t>
  </si>
  <si>
    <t xml:space="preserve">Время </t>
  </si>
  <si>
    <t xml:space="preserve">Лобио из стручковой фасоли </t>
  </si>
  <si>
    <t>Котлета куриная  б/шт</t>
  </si>
  <si>
    <t>Филе "Сочное с сыром"   б/шт</t>
  </si>
  <si>
    <t xml:space="preserve">Мясные гнезда с овощами и картофелем </t>
  </si>
  <si>
    <t>Венские вафли со сгущенкой</t>
  </si>
  <si>
    <t xml:space="preserve">Куриный поп-корн с соусом </t>
  </si>
  <si>
    <t>Обед по-домашнему (картофель, скрембл, улитка)</t>
  </si>
  <si>
    <t xml:space="preserve">Кабачки фаршированные </t>
  </si>
  <si>
    <t xml:space="preserve">Запеканка с ананасом </t>
  </si>
  <si>
    <t>Трайфл "Шоколадный"</t>
  </si>
  <si>
    <t xml:space="preserve">Бигус с курицей и беконом </t>
  </si>
  <si>
    <t xml:space="preserve">Венский штрудель с грибами </t>
  </si>
  <si>
    <t xml:space="preserve">Творожный кекс с ананасом </t>
  </si>
  <si>
    <t>Рулет из кабачков с рыбой и крем чиз</t>
  </si>
  <si>
    <t>Бейгл с курицей и скремблом</t>
  </si>
  <si>
    <t>12.30</t>
  </si>
  <si>
    <t>Сырники с вишней 50 шт</t>
  </si>
  <si>
    <t>Хлеб (197 СПК+ 79 Маркеты)</t>
  </si>
  <si>
    <t>СушиРита с лососем 45 шт</t>
  </si>
  <si>
    <t>Дата:</t>
  </si>
  <si>
    <t>План на день кухня ВОСКРЕСЕНЬЕ</t>
  </si>
  <si>
    <t>по плану</t>
  </si>
  <si>
    <t>категория</t>
  </si>
  <si>
    <t>Ф1</t>
  </si>
  <si>
    <t>Ф3</t>
  </si>
  <si>
    <t>Ф4</t>
  </si>
  <si>
    <t>Ф5</t>
  </si>
  <si>
    <t>Ф6</t>
  </si>
  <si>
    <t>Т23</t>
  </si>
  <si>
    <t>Ф23</t>
  </si>
  <si>
    <t>Т24</t>
  </si>
  <si>
    <t>Ф24</t>
  </si>
  <si>
    <t>Т25</t>
  </si>
  <si>
    <t>Ф25</t>
  </si>
  <si>
    <t>Т26</t>
  </si>
  <si>
    <t>Ф26</t>
  </si>
  <si>
    <t>Т27</t>
  </si>
  <si>
    <t>Ф27</t>
  </si>
  <si>
    <t>Т28</t>
  </si>
  <si>
    <t>Ф28</t>
  </si>
  <si>
    <t>Т29</t>
  </si>
  <si>
    <t>Ф29</t>
  </si>
  <si>
    <t>Стол</t>
  </si>
  <si>
    <t>Ф.Стол</t>
  </si>
  <si>
    <t>СДАЛИ</t>
  </si>
  <si>
    <t>Ф.Цена</t>
  </si>
  <si>
    <t>Пл.цена</t>
  </si>
  <si>
    <t>Завтрак</t>
  </si>
  <si>
    <t>План на день кухня       ВОСКРЕСЕНЬЕ</t>
  </si>
  <si>
    <t>Код №</t>
  </si>
  <si>
    <t>Орешки (8 шт) 65 шт</t>
  </si>
  <si>
    <t>Орешки (5 шт) 65 шт</t>
  </si>
  <si>
    <t>Хлеб (180 СПК+70 Маркеты)</t>
  </si>
  <si>
    <t>Сырная палочка 15 шт</t>
  </si>
  <si>
    <t>Люля с картофелем запеченым 55шт СПК</t>
  </si>
  <si>
    <t>Капуста маринованная 34 шт СПК</t>
  </si>
  <si>
    <t>факт-план</t>
  </si>
  <si>
    <t>Котлета мясная с соусом и гречкой 15 шт</t>
  </si>
  <si>
    <t>Участок комплектации</t>
  </si>
  <si>
    <t>Т 8</t>
  </si>
  <si>
    <t>Т 9</t>
  </si>
  <si>
    <t>Т 10</t>
  </si>
  <si>
    <t>Т 11</t>
  </si>
  <si>
    <t>Т 12</t>
  </si>
  <si>
    <t xml:space="preserve">                                  </t>
  </si>
  <si>
    <t>План на день кухня      ПОНЕДЕЛЬНИК</t>
  </si>
  <si>
    <t>План на день кухня   ПОНЕДЕЛЬНИК</t>
  </si>
  <si>
    <t>Столовая</t>
  </si>
  <si>
    <t xml:space="preserve">по плану </t>
  </si>
  <si>
    <t>Ф.Ст</t>
  </si>
  <si>
    <t>План на день кухня     ПОНЕДЕЛЬНИК</t>
  </si>
  <si>
    <t>План на день кухня               ВТОРНИК</t>
  </si>
  <si>
    <t>с</t>
  </si>
  <si>
    <t>Ватрушка Царская</t>
  </si>
  <si>
    <t>План на день кухня     ВТОРНИК</t>
  </si>
  <si>
    <t>ИТОГО:</t>
  </si>
  <si>
    <t>План на день кухня        ВТОРНИК</t>
  </si>
  <si>
    <t>Итого</t>
  </si>
  <si>
    <t>План на день кухня               СРЕДА</t>
  </si>
  <si>
    <t>План на день кухня        СРЕДА</t>
  </si>
  <si>
    <t>План на день кухня      ЧЕТВЕРГ</t>
  </si>
  <si>
    <t>Результат недели факт-план</t>
  </si>
  <si>
    <t>План на день кухня       ВТОРНИК</t>
  </si>
  <si>
    <t>План на день кухня               ЧЕТВЕРГ</t>
  </si>
  <si>
    <t>План на день кухня       СРЕДА</t>
  </si>
  <si>
    <t>План на день кухня        ЧЕТВЕРГ</t>
  </si>
  <si>
    <t>Уникальные</t>
  </si>
  <si>
    <t>КУРЬЕРЫ</t>
  </si>
  <si>
    <t>Контрагенты</t>
  </si>
  <si>
    <t>ЧЗ</t>
  </si>
  <si>
    <t>Контакты</t>
  </si>
  <si>
    <t>Режим работы</t>
  </si>
  <si>
    <t>Режим работы в майские праздники</t>
  </si>
  <si>
    <t>Имя</t>
  </si>
  <si>
    <t>Телефон</t>
  </si>
  <si>
    <t>Точки</t>
  </si>
  <si>
    <t>Компания</t>
  </si>
  <si>
    <t>Екатерина +7 932 096-19-55</t>
  </si>
  <si>
    <t>ежед</t>
  </si>
  <si>
    <t>Игорь</t>
  </si>
  <si>
    <t>ИП Обухова (начальство над водителями-курьерами)</t>
  </si>
  <si>
    <t>Анастасия</t>
  </si>
  <si>
    <t>Орбита (поставщик)</t>
  </si>
  <si>
    <t>Психиатрическая больница, Холл рп.Винзили Сосновая 19</t>
  </si>
  <si>
    <t>Александр Реш</t>
  </si>
  <si>
    <t>СПК, Т5, Т9, Т11, Т12, Т13, Т18</t>
  </si>
  <si>
    <t>Татьяна</t>
  </si>
  <si>
    <t>Поставщик Орбита</t>
  </si>
  <si>
    <t>Руслан Сагитулин 8922 486 85 85</t>
  </si>
  <si>
    <t>30 короткий день, 1 и 3 не работают. но  завод 2 работают</t>
  </si>
  <si>
    <t>Сергей</t>
  </si>
  <si>
    <t>Т1, Т3, Т6, Т7, Т8, Т21</t>
  </si>
  <si>
    <t>Илья</t>
  </si>
  <si>
    <t>Водитель ИП Бинятов</t>
  </si>
  <si>
    <t>Администратор 4го этажа который раотает 24часа</t>
  </si>
  <si>
    <t>Елена 89452650010 доб 3531</t>
  </si>
  <si>
    <t>Радик</t>
  </si>
  <si>
    <t>Бывает заменяет маршрут Александра</t>
  </si>
  <si>
    <t>Олег</t>
  </si>
  <si>
    <t>ИП Бинятов (управляющий)</t>
  </si>
  <si>
    <t>да</t>
  </si>
  <si>
    <t>Нина +7 912 921-63-41</t>
  </si>
  <si>
    <t>пн-пт</t>
  </si>
  <si>
    <t>Андрей Распутин</t>
  </si>
  <si>
    <t>Т16, Т20, Т23, Т24</t>
  </si>
  <si>
    <t>Водитель</t>
  </si>
  <si>
    <t>КДВ</t>
  </si>
  <si>
    <t>Т5 Айтишник</t>
  </si>
  <si>
    <t>Артур 89829100316</t>
  </si>
  <si>
    <t>Александр Дмитриев</t>
  </si>
  <si>
    <t>Т4, Т14, Т15, Т19, Т17, Т22, Т10</t>
  </si>
  <si>
    <t>Руслан</t>
  </si>
  <si>
    <t>Менеджер КДВ</t>
  </si>
  <si>
    <t>Илья +7 919 934-58-88/ Алексей +79199201805</t>
  </si>
  <si>
    <t xml:space="preserve">80% сотрудников будут работать </t>
  </si>
  <si>
    <t>Менеджер Тюмень-Пак</t>
  </si>
  <si>
    <t>Юлия +7 932 200-60-24</t>
  </si>
  <si>
    <t>не работают 1-3; 9-11</t>
  </si>
  <si>
    <t>Тюмень-Пак</t>
  </si>
  <si>
    <t>Юлия +7 906 822-02-05 (не звонить!!!, работают по ПК)</t>
  </si>
  <si>
    <t>Юлия</t>
  </si>
  <si>
    <t>Торг(химия)</t>
  </si>
  <si>
    <t>Надежда +7 922 480-28-67</t>
  </si>
  <si>
    <t>праздники большинство отдыхает, может кто-то и будет выходить, но буквально единицы.</t>
  </si>
  <si>
    <t>Людмила</t>
  </si>
  <si>
    <t>Заказ наклеек</t>
  </si>
  <si>
    <t>Алексей +7 982 925-02-98</t>
  </si>
  <si>
    <t>Одежда Линдели менеджер</t>
  </si>
  <si>
    <t>Т10 Айтишник</t>
  </si>
  <si>
    <t>Павел 89829045362</t>
  </si>
  <si>
    <t>Старченко Елена</t>
  </si>
  <si>
    <t>Поставщик десертов ИП Старченко</t>
  </si>
  <si>
    <t>Иван</t>
  </si>
  <si>
    <t>ИП Бахарева</t>
  </si>
  <si>
    <t>Ольга</t>
  </si>
  <si>
    <t>Поставщик ПП сладости</t>
  </si>
  <si>
    <t>ул. Республики, 250 ст5 "Сантехкомплект" (малое АБК)</t>
  </si>
  <si>
    <t>Алёна +7 919 922-51-80</t>
  </si>
  <si>
    <t>Евгения</t>
  </si>
  <si>
    <t>Орехи со сгущ. на заказ</t>
  </si>
  <si>
    <t>Шамшот</t>
  </si>
  <si>
    <t>Поставщик орехов</t>
  </si>
  <si>
    <t>Наталья +7 932 474-05-05</t>
  </si>
  <si>
    <t>Роман</t>
  </si>
  <si>
    <t>Поставщик парк-сити (соки, газировка)</t>
  </si>
  <si>
    <t>Ирина +7 922 394-90-94</t>
  </si>
  <si>
    <t>Марк</t>
  </si>
  <si>
    <t>Заказ воды Физберри</t>
  </si>
  <si>
    <t>Екатерина +7 912 397-98-70</t>
  </si>
  <si>
    <t>Завод Очаково</t>
  </si>
  <si>
    <t>Алексей</t>
  </si>
  <si>
    <t>"Шлюмберже", Старый Тобольский тракт 2км 8/77</t>
  </si>
  <si>
    <t>Полина +7912-930-53-80</t>
  </si>
  <si>
    <t xml:space="preserve">не работают только сотрудники офиса 1-3; 9-11 </t>
  </si>
  <si>
    <t>Ермаков Александр</t>
  </si>
  <si>
    <t>Чистит жирики</t>
  </si>
  <si>
    <t>Госпиталь Ветеранов ул.Котовского 55/2</t>
  </si>
  <si>
    <t>Доступ 7дней с 8:00 до 20:00</t>
  </si>
  <si>
    <t>Александр Дмитриевич</t>
  </si>
  <si>
    <t>Аренда Очаково (документы по аренде)</t>
  </si>
  <si>
    <t xml:space="preserve">Вода Никольская </t>
  </si>
  <si>
    <t>Охрана</t>
  </si>
  <si>
    <t>Елена +7 912 928 87-10</t>
  </si>
  <si>
    <t>Сергей +7 912 079-07-00</t>
  </si>
  <si>
    <t>Офис в праздники отдыхает, цеха работают</t>
  </si>
  <si>
    <t>Арина +7 919 958-85-28</t>
  </si>
  <si>
    <t>Поликлиника № 6 ул. 50 лет ВЛКСМ, 97/1</t>
  </si>
  <si>
    <t>Мальчихина Элла Анатольевна +7 912-395-16-08</t>
  </si>
  <si>
    <t>пн-сб</t>
  </si>
  <si>
    <t>пр. Воронинские горки, 176</t>
  </si>
  <si>
    <t>Наталья +7 982-945-26 75</t>
  </si>
  <si>
    <t>"Сиббурмаш"  Ветеранов Труда, 58а/1</t>
  </si>
  <si>
    <t>Максим Юрьевич 8902-818-50-70</t>
  </si>
  <si>
    <t>ежед, круглосуточно.</t>
  </si>
  <si>
    <t>офис с 9:00 до 20:00</t>
  </si>
  <si>
    <t>ССП, ул. Немцова, 34</t>
  </si>
  <si>
    <t>Светлана 89224575686</t>
  </si>
  <si>
    <t xml:space="preserve">3-й этаж не работают 1-3; 9-11. </t>
  </si>
  <si>
    <t>1-й круглосуточно</t>
  </si>
  <si>
    <t>Альфа банк, ул. Первомайская, 1А</t>
  </si>
  <si>
    <t>Алексей (Рук АХО) 8-906-875-7778</t>
  </si>
  <si>
    <t>Поликлиника №17 ул. Монтажников</t>
  </si>
  <si>
    <t xml:space="preserve">Елена Петровна +7922-476-19-76 </t>
  </si>
  <si>
    <t>Алёна Ушакова +7 919 922-51-80</t>
  </si>
  <si>
    <t>СПК 8 пункт питания</t>
  </si>
  <si>
    <t>89829110623 Алена</t>
  </si>
  <si>
    <t>89199510590 Пальянов Дмитрий</t>
  </si>
  <si>
    <t>89222626554 Федосеенко</t>
  </si>
  <si>
    <t>89829802263 Шириков Юрий</t>
  </si>
  <si>
    <t>СПК 9 пункт питания</t>
  </si>
  <si>
    <t xml:space="preserve">89829803165/89129296840 Антипин </t>
  </si>
  <si>
    <t>89068204945 Буянов</t>
  </si>
  <si>
    <t>СПК 10 пункт питания</t>
  </si>
  <si>
    <t>89088730607 Шелест</t>
  </si>
  <si>
    <t>СПК 11 пункт питания</t>
  </si>
  <si>
    <t>89199520561 Ганушевич Елена</t>
  </si>
  <si>
    <t>89199511092 Рекунова</t>
  </si>
  <si>
    <t>ИП БАХАРЕВА</t>
  </si>
  <si>
    <t>Газовиков 73</t>
  </si>
  <si>
    <t>89222625396 Федосеева Светлана</t>
  </si>
  <si>
    <t>АРМАДА</t>
  </si>
  <si>
    <t>89991762404 Яна</t>
  </si>
  <si>
    <t>ВТОРОЕ</t>
  </si>
  <si>
    <t>ПЕРВОЕ</t>
  </si>
  <si>
    <t>САЛАТ</t>
  </si>
  <si>
    <t>ВЫПЕЧКА</t>
  </si>
  <si>
    <t>2я неделя</t>
  </si>
  <si>
    <t>Мясное</t>
  </si>
  <si>
    <t>Понедельник</t>
  </si>
  <si>
    <t>Тип сырья</t>
  </si>
  <si>
    <t>Форма</t>
  </si>
  <si>
    <t>Граммовка</t>
  </si>
  <si>
    <t>Суп (250 мл)</t>
  </si>
  <si>
    <t>Салат (120г)</t>
  </si>
  <si>
    <t>Основной состав</t>
  </si>
  <si>
    <t>Название</t>
  </si>
  <si>
    <t>Поджарка "Славянская" с гречкой</t>
  </si>
  <si>
    <t>кубик</t>
  </si>
  <si>
    <t>греча</t>
  </si>
  <si>
    <t>200/70/30</t>
  </si>
  <si>
    <t>Харчо</t>
  </si>
  <si>
    <t>Тайский</t>
  </si>
  <si>
    <t>филе грудки кур, сыр "Голландский", ананас консервированный, яичный меланж, майонез, соль йодированная</t>
  </si>
  <si>
    <t>Слойка "Нежная" с сыром</t>
  </si>
  <si>
    <t>слайсы</t>
  </si>
  <si>
    <t>Крабик с рисом</t>
  </si>
  <si>
    <t>крабовое мясо, кукуруза, яичный меланж, огурец свежий, рис отварной, майонез</t>
  </si>
  <si>
    <t>200/100</t>
  </si>
  <si>
    <t>Морковь с чесноком</t>
  </si>
  <si>
    <t>морковь, чеснок, майонез</t>
  </si>
  <si>
    <t>Вторник</t>
  </si>
  <si>
    <t>Булочка с повидлом</t>
  </si>
  <si>
    <t>Бифштекс с томленным луком с пюре</t>
  </si>
  <si>
    <t>говядина/свинина</t>
  </si>
  <si>
    <t>фарш шт</t>
  </si>
  <si>
    <t xml:space="preserve">картофель </t>
  </si>
  <si>
    <t>Спаржа с морковью</t>
  </si>
  <si>
    <t>спаржа, заправка Гурмикс, морковь по-корейски</t>
  </si>
  <si>
    <t>Гуляш по-домашнему с рисом</t>
  </si>
  <si>
    <t>Таврия</t>
  </si>
  <si>
    <t>ветчина, кукуруза, огурец, сыр, петрушка, яичный меланж, майонез, соль</t>
  </si>
  <si>
    <t>Слойка с ветчиной и сыром</t>
  </si>
  <si>
    <t>150/100</t>
  </si>
  <si>
    <t>Атика</t>
  </si>
  <si>
    <t>филе кур, перец болгарский, морковь по-корейски, огурец свежий, майонез</t>
  </si>
  <si>
    <t>Среда</t>
  </si>
  <si>
    <t>брусок</t>
  </si>
  <si>
    <t>Гороховый</t>
  </si>
  <si>
    <t>Свекла с чесноком</t>
  </si>
  <si>
    <t>свекла, чеснок, майонез, соль</t>
  </si>
  <si>
    <t>Самса с курицей</t>
  </si>
  <si>
    <t>Дракон</t>
  </si>
  <si>
    <t>филе грудки кур, морковь по-корейски, фасоль, петрушка, соль</t>
  </si>
  <si>
    <t>Ермак</t>
  </si>
  <si>
    <t>печень куринная, яичный меланж, лук, морковь, огурец маринованный, майонез, масло подсолнечное, соль</t>
  </si>
  <si>
    <t>Четверг</t>
  </si>
  <si>
    <t>Хачапури</t>
  </si>
  <si>
    <t>Тефтель в томатном соусе с гречкой</t>
  </si>
  <si>
    <t>Борщ</t>
  </si>
  <si>
    <t>Столичный</t>
  </si>
  <si>
    <t>филе грудки кур., картофель, яичный меланж, огурец маринованный, огурец свежий, морковь, майонез, соль</t>
  </si>
  <si>
    <t>шт</t>
  </si>
  <si>
    <t>180/30</t>
  </si>
  <si>
    <t>Картофельный с сельдью</t>
  </si>
  <si>
    <t>картофель, филе сельди, лук репчатый, укроп, уксус, сахар, соль</t>
  </si>
  <si>
    <t>Рулетик с корицей</t>
  </si>
  <si>
    <t>Оджахури со свининой и картофелем</t>
  </si>
  <si>
    <t>Весенний</t>
  </si>
  <si>
    <t>капуста б/к, огурец, укроп, масло подсолнечное, сахар, соль, уксус</t>
  </si>
  <si>
    <t>Пятница</t>
  </si>
  <si>
    <t>Люля с картофелем запеченным</t>
  </si>
  <si>
    <t>Картофельный с курицей</t>
  </si>
  <si>
    <t>Немецкий с колбасой</t>
  </si>
  <si>
    <t>колбаса п/к, картофель, горошек с/м, огурцы маринованные, лук репчатый, майонез, горчица, масло подсолнечное, соль</t>
  </si>
  <si>
    <t>Горбуша в белом соусе с рисом</t>
  </si>
  <si>
    <t>один кусок</t>
  </si>
  <si>
    <t>150/100/30</t>
  </si>
  <si>
    <t>Обжорка</t>
  </si>
  <si>
    <t>ветчина, пекинская капуста, морковь по-корейски, сыр, кукуруза, майонез, соль</t>
  </si>
  <si>
    <t xml:space="preserve">Варианты мясного: </t>
  </si>
  <si>
    <t>Варианты гарниров:</t>
  </si>
  <si>
    <t>Супы:</t>
  </si>
  <si>
    <t>Состав (основной)</t>
  </si>
  <si>
    <t>Греча</t>
  </si>
  <si>
    <t>винегрет</t>
  </si>
  <si>
    <t>Птица: курица/индейка</t>
  </si>
  <si>
    <t xml:space="preserve">Рис </t>
  </si>
  <si>
    <t>Щи</t>
  </si>
  <si>
    <t>морковь с чесноком</t>
  </si>
  <si>
    <t>Рыба (минтай/горбуша)</t>
  </si>
  <si>
    <t>Макароны</t>
  </si>
  <si>
    <t>с копченостями</t>
  </si>
  <si>
    <t>капуста с морковью</t>
  </si>
  <si>
    <t>Картофель</t>
  </si>
  <si>
    <t>лук с огурцом и сметаной</t>
  </si>
  <si>
    <t>Рассольник</t>
  </si>
  <si>
    <t>редис с огурцом</t>
  </si>
  <si>
    <t>капуста с огурцом и зеленым горошком</t>
  </si>
  <si>
    <t>использовать вариации</t>
  </si>
  <si>
    <t>Пюре только картофельное</t>
  </si>
  <si>
    <t>Суп с фрикадельками</t>
  </si>
  <si>
    <t>свекла с чесноком</t>
  </si>
  <si>
    <t>плов с курицей / свининой</t>
  </si>
  <si>
    <t>Котлеты/тефтели</t>
  </si>
  <si>
    <t>Суп с лапшой</t>
  </si>
  <si>
    <t>лапша, картофель</t>
  </si>
  <si>
    <t>капуста с луком и морковью</t>
  </si>
  <si>
    <t>люля с курицей/свининой</t>
  </si>
  <si>
    <t>Грибной</t>
  </si>
  <si>
    <t>шашлык куриный/свиной</t>
  </si>
  <si>
    <t>1я неделя</t>
  </si>
  <si>
    <t>Спагетти с соусом "Болоньезе"</t>
  </si>
  <si>
    <t>спагетти</t>
  </si>
  <si>
    <t>Суп лапша</t>
  </si>
  <si>
    <t>Оливье</t>
  </si>
  <si>
    <t>Свинина по-балкански с булгуром</t>
  </si>
  <si>
    <t>булгур</t>
  </si>
  <si>
    <t>Салат из капусты</t>
  </si>
  <si>
    <t>капуста, морковь, масло подсолнечное</t>
  </si>
  <si>
    <t>Котлета рыбная с пюре</t>
  </si>
  <si>
    <t>Пташка</t>
  </si>
  <si>
    <t>филе кур., шампиньоны с/м, кукуруза, яичный меланж, огурец маринованный, майонез, соль, масло подсолнечное</t>
  </si>
  <si>
    <t>Зайка</t>
  </si>
  <si>
    <t>морковь, сыр колбасный, яичный меланж, соль, перец черный, чеснок свежий.</t>
  </si>
  <si>
    <t>Котлета с грибной шапкой с пюре</t>
  </si>
  <si>
    <t>200/100/30</t>
  </si>
  <si>
    <t>Винегрет</t>
  </si>
  <si>
    <t>свекла, картофель, морковь, огурец, масло подсолнечное, соль, уксус, капуста б/к.</t>
  </si>
  <si>
    <t>Отбивная из свинины  с картофелем</t>
  </si>
  <si>
    <t>Петровский</t>
  </si>
  <si>
    <t>филе кур., огурец, морковь, сыр, грибы маринованые, соль</t>
  </si>
  <si>
    <t>Здоровье</t>
  </si>
  <si>
    <t>капуста б/к, морковь, перец болгарский, масло подсолнечное, уксус, сахар, соль</t>
  </si>
  <si>
    <t>Блинный</t>
  </si>
  <si>
    <t xml:space="preserve"> ветчина, блин, сыр, огурец, перец болгарский, майонез, соль</t>
  </si>
  <si>
    <t>Азу из говядины с гречей</t>
  </si>
  <si>
    <t>Мясной</t>
  </si>
  <si>
    <t>картофель, колбаса вареная, яичный меланж, огурец маринованый, майонез, соль</t>
  </si>
  <si>
    <t>150/70/30</t>
  </si>
  <si>
    <t>С фрикадельками</t>
  </si>
  <si>
    <t>Фунчоза с морковью</t>
  </si>
  <si>
    <t>стеклянная лапша, морковь по-корейски, заправка Чим Чим</t>
  </si>
  <si>
    <t>Греча томленая со свининой</t>
  </si>
  <si>
    <t>Венский</t>
  </si>
  <si>
    <t>ветчина, морковь, кукуруза, яичный меланж, огурец, майонез, соль</t>
  </si>
  <si>
    <t>Морской бриз</t>
  </si>
  <si>
    <t>крабовое мясо, яичный меланж, томат, сыр, чеснок, майонез, специи</t>
  </si>
  <si>
    <t>Итог</t>
  </si>
  <si>
    <t>Ед</t>
  </si>
  <si>
    <t>Проблема</t>
  </si>
  <si>
    <t>Зразы из курицы с макаронами</t>
  </si>
  <si>
    <t>Дачный с сыром</t>
  </si>
  <si>
    <t>огурец, томат, перец болгарский, сыр рассольный, масло зеленое</t>
  </si>
  <si>
    <t>План</t>
  </si>
  <si>
    <t>$ план</t>
  </si>
  <si>
    <t>кусочки</t>
  </si>
  <si>
    <t>Факт</t>
  </si>
  <si>
    <t>$ Факт</t>
  </si>
  <si>
    <t>Изысканный</t>
  </si>
  <si>
    <t>филе грудки кур., сыр колбасный, томат, кукуруза, яичный меланж, майонез, соль</t>
  </si>
  <si>
    <t>Голубец с пюре</t>
  </si>
  <si>
    <t>кг</t>
  </si>
  <si>
    <t>1 шт</t>
  </si>
  <si>
    <t>Аппетитный</t>
  </si>
  <si>
    <t>колбаса п\к, перец болгарский, томат, огурец, сыр, майонез, соль</t>
  </si>
  <si>
    <t>Варианты мясного:</t>
  </si>
  <si>
    <t>Птица: курица</t>
  </si>
  <si>
    <t>Рис</t>
  </si>
  <si>
    <t>не найден белок; не найден гарнир; не найдено</t>
  </si>
  <si>
    <t>Рыба (горбуша)</t>
  </si>
  <si>
    <t>10 видов супов на 2 недели</t>
  </si>
  <si>
    <t>9 вариантов салатов</t>
  </si>
  <si>
    <t>Салат ''Венгерский" (ветчина)</t>
  </si>
  <si>
    <t xml:space="preserve">Котлеты домашние </t>
  </si>
  <si>
    <t>6 шт</t>
  </si>
  <si>
    <t xml:space="preserve">Колбаски гриль </t>
  </si>
  <si>
    <t>4 шт</t>
  </si>
  <si>
    <t xml:space="preserve">рыбный вечер </t>
  </si>
  <si>
    <t>4 филе треска лосось</t>
  </si>
  <si>
    <t xml:space="preserve">куриные отбивные </t>
  </si>
  <si>
    <t xml:space="preserve">4 шт соус слив </t>
  </si>
  <si>
    <t xml:space="preserve">микс </t>
  </si>
  <si>
    <t>2 кот+2 колб</t>
  </si>
  <si>
    <t>Омлет с овощами и сыром</t>
  </si>
  <si>
    <t>Дата</t>
  </si>
  <si>
    <t>Вс</t>
  </si>
  <si>
    <t>Пн</t>
  </si>
  <si>
    <t>Вт</t>
  </si>
  <si>
    <t>Ср</t>
  </si>
  <si>
    <t>Чт</t>
  </si>
  <si>
    <t>Не найдено: дата 10.05.2026 отсутствует на листах Пр.-во</t>
  </si>
  <si>
    <t>произведено</t>
  </si>
  <si>
    <t>выручка</t>
  </si>
  <si>
    <t>р.380 473,00</t>
  </si>
  <si>
    <t>точка</t>
  </si>
  <si>
    <t>не найден белок; не найден гарнир; новое</t>
  </si>
  <si>
    <t>р.306 798,00</t>
  </si>
  <si>
    <t>реализация</t>
  </si>
  <si>
    <t>р.335 649,00</t>
  </si>
  <si>
    <t>разница</t>
  </si>
  <si>
    <t>р.319 821,00</t>
  </si>
  <si>
    <t>р.269 738,00</t>
  </si>
  <si>
    <t>р.410 641,00</t>
  </si>
  <si>
    <t>р.355 357,00</t>
  </si>
  <si>
    <t>р.344 504,00</t>
  </si>
  <si>
    <t>Котлета из щуки с брокколи</t>
  </si>
  <si>
    <t>нет строки в Детали</t>
  </si>
  <si>
    <t>Оджахури из свинины б/400гр</t>
  </si>
  <si>
    <t>Макароны г/150гр</t>
  </si>
  <si>
    <t xml:space="preserve">Дата </t>
  </si>
  <si>
    <t xml:space="preserve">Завтраки </t>
  </si>
  <si>
    <t xml:space="preserve">Салаты </t>
  </si>
  <si>
    <t xml:space="preserve"> Первые блюда</t>
  </si>
  <si>
    <t xml:space="preserve">Горячее </t>
  </si>
  <si>
    <t xml:space="preserve">Сэндвичи </t>
  </si>
  <si>
    <t>Допники</t>
  </si>
  <si>
    <t xml:space="preserve">Напитки </t>
  </si>
  <si>
    <t xml:space="preserve">Итого </t>
  </si>
  <si>
    <t>Сумма  с/с</t>
  </si>
  <si>
    <t>сумма реализ.</t>
  </si>
  <si>
    <t xml:space="preserve">% наценка </t>
  </si>
  <si>
    <t>кэф</t>
  </si>
  <si>
    <t>Декабрь 2025</t>
  </si>
  <si>
    <t>первая неделя</t>
  </si>
  <si>
    <t>третья неделя</t>
  </si>
  <si>
    <t>Точка</t>
  </si>
  <si>
    <t>МИН</t>
  </si>
  <si>
    <t>МАКС</t>
  </si>
  <si>
    <t>Дорогие</t>
  </si>
  <si>
    <t>вт</t>
  </si>
  <si>
    <t>ср</t>
  </si>
  <si>
    <t>чт</t>
  </si>
  <si>
    <t>пт</t>
  </si>
  <si>
    <t>сб</t>
  </si>
  <si>
    <t>вск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</si>
</sst>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р.-419]#,##0.00"/>
    <numFmt numFmtId="165" formatCode="dd.MM"/>
    <numFmt numFmtId="166" formatCode="0.0"/>
    <numFmt numFmtId="167" formatCode="dd.mm"/>
    <numFmt numFmtId="168" formatCode="[$р.-419]#,##0.0"/>
    <numFmt numFmtId="169" formatCode="_-[$р.-419]* #,##0_-;_-[$р.-419]* \-#,##0_-;_-[$р.-419]* &quot;-&quot;??_-;_-@"/>
    <numFmt numFmtId="170" formatCode="yyyy-mm-dd h:mm:ss"/>
    <numFmt numFmtId="171" formatCode="d.m"/>
    <numFmt numFmtId="172" formatCode="dd.mm.yyyy"/>
    <numFmt numFmtId="173" formatCode="d-m"/>
    <numFmt numFmtId="174" formatCode="dd\.mm\.yyyy"/>
    <numFmt numFmtId="175" formatCode="dd.MM.yyyy"/>
    <numFmt numFmtId="176" formatCode="dd-mm"/>
    <numFmt numFmtId="177" formatCode="dd.MM.yyyy HH:mm:ss"/>
    <numFmt numFmtId="178" formatCode="0.0%"/>
    <numFmt numFmtId="179" formatCode="+0.0%;-0.0%;-"/>
    <numFmt numFmtId="180" formatCode="#,##0.0"/>
    <numFmt numFmtId="181" formatCode="dd&quot;.&quot;mm"/>
    <numFmt numFmtId="182" formatCode="d.m.yyyy"/>
  </numFmts>
  <fonts count="166">
    <font>
      <sz val="12.0"/>
      <color rgb="FF000000"/>
      <name val="Calibri"/>
      <scheme val="minor"/>
    </font>
    <font>
      <color theme="1"/>
      <name val="Arial"/>
    </font>
    <font>
      <b/>
      <color theme="1"/>
      <name val="Arial"/>
    </font>
    <font>
      <sz val="25.0"/>
      <color theme="1"/>
      <name val="Arial"/>
    </font>
    <font>
      <sz val="12.0"/>
      <color rgb="FF000000"/>
      <name val="Arial"/>
    </font>
    <font>
      <sz val="14.0"/>
      <color theme="1"/>
      <name val="Calibri"/>
      <scheme val="minor"/>
    </font>
    <font>
      <b/>
      <sz val="12.0"/>
      <color rgb="FF000000"/>
      <name val="Calibri"/>
    </font>
    <font>
      <sz val="12.0"/>
      <color theme="1"/>
      <name val="Calibri"/>
      <scheme val="minor"/>
    </font>
    <font>
      <sz val="11.0"/>
      <color theme="1"/>
      <name val="Calibri"/>
      <scheme val="minor"/>
    </font>
    <font>
      <sz val="12.0"/>
      <color rgb="FF000000"/>
      <name val="Calibri"/>
    </font>
    <font>
      <sz val="14.0"/>
      <color theme="1"/>
      <name val="Arial"/>
    </font>
    <font>
      <color theme="1"/>
      <name val="Calibri"/>
      <scheme val="minor"/>
    </font>
    <font>
      <b/>
      <sz val="14.0"/>
      <color theme="1"/>
      <name val="Calibri"/>
      <scheme val="minor"/>
    </font>
    <font>
      <u/>
      <color rgb="FF1155CC"/>
      <name val="Arial"/>
    </font>
    <font>
      <sz val="14.0"/>
      <color rgb="FF333333"/>
      <name val="Arial"/>
    </font>
    <font>
      <b/>
      <sz val="12.0"/>
      <color rgb="FF000000"/>
      <name val="Calibri"/>
      <scheme val="minor"/>
    </font>
    <font/>
    <font>
      <i/>
      <color theme="1"/>
      <name val="Calibri"/>
      <scheme val="minor"/>
    </font>
    <font>
      <color theme="1"/>
      <name val="Oswald"/>
    </font>
    <font>
      <sz val="16.0"/>
      <color rgb="FF333333"/>
      <name val="Arial"/>
    </font>
    <font>
      <b/>
      <sz val="11.0"/>
      <color rgb="FF000000"/>
      <name val="Calibri"/>
      <scheme val="minor"/>
    </font>
    <font>
      <b/>
      <i/>
      <sz val="16.0"/>
      <color rgb="FF000000"/>
      <name val="Times New Roman"/>
    </font>
    <font>
      <b/>
      <color theme="1"/>
      <name val="Calibri"/>
      <scheme val="minor"/>
    </font>
    <font>
      <sz val="12.0"/>
      <color rgb="FF333333"/>
      <name val="Arial"/>
    </font>
    <font>
      <b/>
      <sz val="12.0"/>
      <color theme="1"/>
      <name val="Calibri"/>
      <scheme val="minor"/>
    </font>
    <font>
      <sz val="16.0"/>
      <color rgb="FF000000"/>
      <name val="Arial"/>
    </font>
    <font>
      <sz val="11.0"/>
      <color rgb="FF000000"/>
      <name val="Calibri"/>
      <scheme val="minor"/>
    </font>
    <font>
      <b/>
      <sz val="12.0"/>
      <color rgb="FFFFFFFF"/>
      <name val="Arial"/>
    </font>
    <font>
      <i/>
      <sz val="9.0"/>
      <color rgb="FF595959"/>
      <name val="Arial"/>
    </font>
    <font>
      <i/>
      <sz val="12.0"/>
      <color rgb="FF595959"/>
      <name val="Arial"/>
    </font>
    <font>
      <b/>
      <color rgb="FFFFFFFF"/>
      <name val="Arial"/>
    </font>
    <font>
      <u/>
      <color rgb="FF0000FF"/>
      <name val="Arial"/>
    </font>
    <font>
      <sz val="12.0"/>
      <color theme="1"/>
      <name val="Arial"/>
    </font>
    <font>
      <sz val="12.0"/>
      <color theme="1"/>
      <name val="Calibri"/>
    </font>
    <font>
      <b/>
      <i/>
      <sz val="12.0"/>
      <color theme="1"/>
      <name val="Calibri"/>
      <scheme val="minor"/>
    </font>
    <font>
      <color rgb="FF000000"/>
      <name val="Arial"/>
    </font>
    <font>
      <sz val="8.0"/>
      <color rgb="FF000000"/>
      <name val="Calibri"/>
      <scheme val="minor"/>
    </font>
    <font>
      <b/>
      <i/>
      <sz val="12.0"/>
      <color rgb="FF000000"/>
      <name val="Calibri"/>
      <scheme val="minor"/>
    </font>
    <font>
      <u/>
      <color rgb="FF0000FF"/>
      <name val="Arial"/>
    </font>
    <font>
      <sz val="13.0"/>
      <color rgb="FF000000"/>
      <name val="Calibri"/>
      <scheme val="minor"/>
    </font>
    <font>
      <b/>
      <i/>
      <color theme="1"/>
      <name val="Calibri"/>
      <scheme val="minor"/>
    </font>
    <font>
      <sz val="10.0"/>
      <color rgb="FF000000"/>
      <name val="Calibri"/>
      <scheme val="minor"/>
    </font>
    <font>
      <b/>
      <sz val="16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rgb="FFFFFFFF"/>
      <name val="Calibri"/>
      <scheme val="minor"/>
    </font>
    <font>
      <sz val="12.0"/>
      <color rgb="FF1F1F1F"/>
      <name val="Calibri"/>
      <scheme val="minor"/>
    </font>
    <font>
      <sz val="16.0"/>
      <color rgb="FF000000"/>
      <name val="Calibri"/>
      <scheme val="minor"/>
    </font>
    <font>
      <sz val="20.0"/>
      <color theme="1"/>
      <name val="Calibri"/>
      <scheme val="minor"/>
    </font>
    <font>
      <b/>
      <i/>
      <sz val="11.0"/>
      <color theme="1"/>
      <name val="Calibri"/>
      <scheme val="minor"/>
    </font>
    <font>
      <b/>
      <i/>
      <sz val="11.0"/>
      <color rgb="FF000000"/>
      <name val="Calibri"/>
      <scheme val="minor"/>
    </font>
    <font>
      <i/>
      <sz val="12.0"/>
      <color rgb="FF000000"/>
      <name val="Calibri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i/>
      <sz val="12.0"/>
      <color theme="1"/>
      <name val="Calibri"/>
      <scheme val="minor"/>
    </font>
    <font>
      <b/>
      <sz val="9.0"/>
      <color theme="1"/>
      <name val="Calibri"/>
      <scheme val="minor"/>
    </font>
    <font>
      <color rgb="FF000000"/>
      <name val="Calibri"/>
    </font>
    <font>
      <b/>
      <sz val="11.0"/>
      <color rgb="FF000000"/>
      <name val="Calibri"/>
    </font>
    <font>
      <sz val="14.0"/>
      <color rgb="FF1F1F1F"/>
      <name val="Times New Roman"/>
    </font>
    <font>
      <sz val="11.0"/>
      <color rgb="FF000000"/>
      <name val="Calibri"/>
    </font>
    <font>
      <sz val="11.0"/>
      <color rgb="FFFFFFFF"/>
      <name val="Calibri"/>
    </font>
    <font>
      <b/>
      <i/>
      <sz val="12.0"/>
      <color rgb="FF000000"/>
      <name val="Calibri"/>
    </font>
    <font>
      <sz val="14.0"/>
      <color theme="1"/>
      <name val="Times New Roman"/>
    </font>
    <font>
      <sz val="10.0"/>
      <color rgb="FF000000"/>
      <name val="Calibri"/>
    </font>
    <font>
      <sz val="14.0"/>
      <color rgb="FF000000"/>
      <name val="Times New Roman"/>
    </font>
    <font>
      <sz val="9.0"/>
      <color theme="1"/>
      <name val="Calibri"/>
      <scheme val="minor"/>
    </font>
    <font>
      <sz val="13.0"/>
      <color rgb="FF1F1F1F"/>
      <name val="&quot;Google Sans&quot;"/>
    </font>
    <font>
      <sz val="9.0"/>
      <color rgb="FF000000"/>
      <name val="Calibri"/>
    </font>
    <font>
      <color theme="1"/>
      <name val="Times New Roman"/>
    </font>
    <font>
      <sz val="9.0"/>
      <color rgb="FF000000"/>
      <name val="Times New Roman"/>
    </font>
    <font>
      <sz val="9.0"/>
      <color rgb="FF1F1F1F"/>
      <name val="Arial"/>
    </font>
    <font>
      <b/>
      <sz val="13.0"/>
      <color rgb="FF000000"/>
      <name val="Calibri"/>
    </font>
    <font>
      <sz val="13.0"/>
      <color rgb="FF000000"/>
      <name val="Calibri"/>
    </font>
    <font>
      <sz val="11.0"/>
      <color theme="1"/>
      <name val="Calibri"/>
    </font>
    <font>
      <sz val="14.0"/>
      <color rgb="FF000000"/>
      <name val="Calibri"/>
    </font>
    <font>
      <sz val="13.0"/>
      <color theme="1"/>
      <name val="Calibri"/>
    </font>
    <font>
      <sz val="12.0"/>
      <color rgb="FFF9CB9C"/>
      <name val="Calibri"/>
    </font>
    <font>
      <color rgb="FF000000"/>
      <name val="Calibri"/>
      <scheme val="minor"/>
    </font>
    <font>
      <sz val="9.0"/>
      <color theme="1"/>
      <name val="Calibri"/>
    </font>
    <font>
      <color rgb="FF000000"/>
      <name val="&quot;Helvetica Neue&quot;"/>
    </font>
    <font>
      <sz val="14.0"/>
      <color theme="1"/>
      <name val="Calibri"/>
    </font>
    <font>
      <sz val="13.0"/>
      <color theme="1"/>
      <name val="Calibri"/>
      <scheme val="minor"/>
    </font>
    <font>
      <sz val="9.0"/>
      <color rgb="FF1F1F1F"/>
      <name val="&quot;Google Sans&quot;"/>
    </font>
    <font>
      <b/>
      <sz val="13.0"/>
      <color theme="1"/>
      <name val="Calibri"/>
    </font>
    <font>
      <sz val="12.0"/>
      <color rgb="FF1F1F1F"/>
      <name val="Calibri"/>
    </font>
    <font>
      <i/>
      <sz val="12.0"/>
      <color rgb="FF000000"/>
      <name val="Calibri"/>
    </font>
    <font>
      <sz val="8.0"/>
      <color rgb="FF000000"/>
      <name val="Calibri"/>
    </font>
    <font>
      <i/>
      <sz val="9.0"/>
      <color rgb="FF000000"/>
      <name val="Calibri"/>
    </font>
    <font>
      <i/>
      <sz val="12.0"/>
      <color theme="1"/>
      <name val="Calibri"/>
    </font>
    <font>
      <i/>
      <color rgb="FF000000"/>
      <name val="Calibri"/>
      <scheme val="minor"/>
    </font>
    <font>
      <sz val="10.0"/>
      <color theme="1"/>
      <name val="Calibri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2.0"/>
      <color rgb="FFFF0000"/>
      <name val="Calibri"/>
    </font>
    <font>
      <b/>
      <sz val="9.0"/>
      <color rgb="FF000000"/>
      <name val="Calibri"/>
    </font>
    <font>
      <i/>
      <sz val="10.0"/>
      <color rgb="FF000000"/>
      <name val="Calibri"/>
    </font>
    <font>
      <color theme="1"/>
      <name val="Calibri"/>
    </font>
    <font>
      <b/>
      <sz val="10.0"/>
      <color rgb="FF000000"/>
      <name val="Calibri"/>
    </font>
    <font>
      <sz val="11.0"/>
      <color rgb="FF1F1F1F"/>
      <name val="&quot;Google Sans&quot;"/>
    </font>
    <font>
      <sz val="11.0"/>
      <color rgb="FF000000"/>
      <name val="&quot;Google Sans&quot;"/>
    </font>
    <font>
      <b/>
      <sz val="12.0"/>
      <color rgb="FFFF0000"/>
      <name val="Calibri"/>
    </font>
    <font>
      <b/>
      <i/>
      <sz val="11.0"/>
      <color rgb="FF000000"/>
      <name val="Calibri"/>
    </font>
    <font>
      <b/>
      <sz val="14.0"/>
      <color rgb="FF000000"/>
      <name val="Calibri"/>
    </font>
    <font>
      <b/>
      <sz val="13.0"/>
      <color rgb="FF000000"/>
      <name val="&quot;Times New Roman&quot;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7.0"/>
      <color rgb="FF000000"/>
      <name val="Calibri"/>
    </font>
    <font>
      <sz val="11.0"/>
      <color rgb="FFFFF2CC"/>
      <name val="Calibri"/>
    </font>
    <font>
      <b/>
      <sz val="18.0"/>
      <color theme="1"/>
      <name val="Calibri"/>
    </font>
    <font>
      <b/>
      <sz val="18.0"/>
      <color rgb="FF000000"/>
      <name val="Calibri"/>
    </font>
    <font>
      <b/>
      <color theme="0"/>
      <name val="Calibri"/>
      <scheme val="minor"/>
    </font>
    <font>
      <color theme="0"/>
      <name val="Calibri"/>
      <scheme val="minor"/>
    </font>
    <font>
      <b/>
      <sz val="16.0"/>
      <color rgb="FF000000"/>
      <name val="Calibri"/>
    </font>
    <font>
      <b/>
      <sz val="13.0"/>
      <color theme="1"/>
      <name val="Calibri"/>
      <scheme val="minor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8.0"/>
      <color rgb="FF000000"/>
      <name val="Calibri"/>
    </font>
    <font>
      <b/>
      <sz val="10.0"/>
      <color theme="1"/>
      <name val="Calibri"/>
      <scheme val="minor"/>
    </font>
    <font>
      <b/>
      <sz val="10.0"/>
      <color rgb="FF000000"/>
      <name val="Calibri"/>
      <scheme val="minor"/>
    </font>
    <font>
      <sz val="9.0"/>
      <color rgb="FF000000"/>
      <name val="Calibri"/>
      <scheme val="minor"/>
    </font>
    <font>
      <b/>
      <i/>
      <sz val="10.0"/>
      <color theme="1"/>
      <name val="Calibri"/>
      <scheme val="minor"/>
    </font>
    <font>
      <b/>
      <sz val="8.0"/>
      <color rgb="FF000000"/>
      <name val="Calibri"/>
      <scheme val="minor"/>
    </font>
    <font>
      <b/>
      <sz val="9.0"/>
      <color rgb="FF000000"/>
      <name val="Calibri"/>
      <scheme val="minor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i/>
      <sz val="12.0"/>
      <color rgb="FF000000"/>
      <name val="Arial"/>
    </font>
    <font>
      <sz val="15.0"/>
      <color rgb="FF000000"/>
      <name val="Calibri"/>
    </font>
    <font>
      <sz val="10.0"/>
      <color rgb="FF000000"/>
      <name val="Arial"/>
    </font>
    <font>
      <b/>
      <i/>
      <sz val="9.0"/>
      <color rgb="FF000000"/>
      <name val="Calibri"/>
    </font>
    <font>
      <b/>
      <i/>
      <sz val="10.0"/>
      <color rgb="FF000000"/>
      <name val="Arial"/>
    </font>
    <font>
      <b/>
      <i/>
      <sz val="10.0"/>
      <color rgb="FF000000"/>
      <name val="Calibri"/>
    </font>
    <font>
      <sz val="8.0"/>
      <color rgb="FF000000"/>
      <name val="Arial"/>
    </font>
    <font>
      <b/>
      <sz val="15.0"/>
      <color rgb="FF000000"/>
      <name val="Calibri"/>
    </font>
    <font>
      <b/>
      <sz val="8.0"/>
      <color rgb="FF000000"/>
      <name val="Arial"/>
    </font>
    <font>
      <b/>
      <sz val="12.0"/>
      <color rgb="FFFF0000"/>
      <name val="Calibri"/>
      <scheme val="minor"/>
    </font>
    <font>
      <b/>
      <sz val="12.0"/>
      <color rgb="FF000000"/>
      <name val="Arial"/>
    </font>
    <font>
      <b/>
      <sz val="17.0"/>
      <color rgb="FF000000"/>
      <name val="Calibri"/>
    </font>
    <font>
      <b/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b/>
      <sz val="19.0"/>
      <color rgb="FF000000"/>
      <name val="Calibri"/>
    </font>
    <font>
      <sz val="18.0"/>
      <color rgb="FF000000"/>
      <name val="Calibri"/>
    </font>
    <font>
      <b/>
      <color rgb="FFFF0000"/>
      <name val="Calibri"/>
      <scheme val="minor"/>
    </font>
    <font>
      <sz val="10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0.0"/>
      <color rgb="FF333333"/>
      <name val="Calibri"/>
    </font>
    <font>
      <sz val="15.0"/>
      <color theme="1"/>
      <name val="Calibri"/>
      <scheme val="minor"/>
    </font>
    <font>
      <sz val="18.0"/>
      <color theme="1"/>
      <name val="Calibri"/>
      <scheme val="minor"/>
    </font>
    <font>
      <b/>
      <sz val="10.0"/>
      <color rgb="FF1F1F1F"/>
      <name val="&quot;Google Sans&quot;"/>
    </font>
    <font>
      <b/>
      <u/>
      <sz val="12.0"/>
      <color rgb="FF000000"/>
      <name val="Calibri"/>
    </font>
    <font>
      <sz val="10.0"/>
      <color rgb="FF1F1F1F"/>
      <name val="&quot;Google Sans&quot;"/>
    </font>
    <font>
      <sz val="17.0"/>
      <color rgb="FF000000"/>
      <name val="Calibri"/>
    </font>
    <font>
      <b/>
      <sz val="14.0"/>
      <color rgb="FF000000"/>
      <name val="&quot;Times New Roman&quot;"/>
    </font>
    <font>
      <b/>
      <color theme="1"/>
      <name val="Times New Roman"/>
    </font>
    <font>
      <sz val="14.0"/>
      <color rgb="FF000000"/>
      <name val="&quot;Times New Roman&quot;"/>
    </font>
    <font>
      <color rgb="FFB4C6E7"/>
      <name val="Calibri"/>
      <scheme val="minor"/>
    </font>
    <font>
      <b/>
      <sz val="14.0"/>
      <color theme="1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93C47D"/>
        <bgColor rgb="FF93C47D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EBF5FB"/>
        <bgColor rgb="FFEBF5FB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</fills>
  <borders count="101">
    <border/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</border>
    <border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/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/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top style="thick">
        <color rgb="FF000000"/>
      </top>
    </border>
    <border>
      <right/>
      <top style="thick">
        <color rgb="FF000000"/>
      </top>
    </border>
    <border>
      <left/>
      <top style="thick">
        <color rgb="FF000000"/>
      </top>
      <bottom/>
    </border>
    <border>
      <right style="thin">
        <color rgb="FF000000"/>
      </right>
    </border>
    <border>
      <left/>
      <right/>
      <top/>
      <bottom/>
    </border>
    <border>
      <left/>
      <bottom style="thin">
        <color rgb="FF000000"/>
      </bottom>
    </border>
    <border>
      <left style="thin">
        <color rgb="FF000000"/>
      </left>
      <top style="thick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9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ill="1" applyFont="1" applyNumberFormat="1">
      <alignment vertical="bottom"/>
    </xf>
    <xf borderId="0" fillId="0" fontId="3" numFmtId="0" xfId="0" applyAlignment="1" applyFont="1">
      <alignment horizontal="center" readingOrder="0" vertical="center"/>
    </xf>
    <xf borderId="0" fillId="2" fontId="2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textRotation="90" vertical="center" wrapText="1"/>
    </xf>
    <xf borderId="0" fillId="2" fontId="1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2" fontId="1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vertical="bottom"/>
    </xf>
    <xf borderId="0" fillId="0" fontId="7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bottom"/>
    </xf>
    <xf borderId="0" fillId="0" fontId="7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7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4" fontId="11" numFmtId="0" xfId="0" applyAlignment="1" applyFill="1" applyFont="1">
      <alignment shrinkToFit="0" vertical="center" wrapText="1"/>
    </xf>
    <xf borderId="0" fillId="0" fontId="12" numFmtId="165" xfId="0" applyAlignment="1" applyFont="1" applyNumberFormat="1">
      <alignment shrinkToFit="0" textRotation="90" vertical="center" wrapText="1"/>
    </xf>
    <xf borderId="0" fillId="0" fontId="13" numFmtId="0" xfId="0" applyAlignment="1" applyFont="1">
      <alignment vertical="bottom"/>
    </xf>
    <xf borderId="0" fillId="4" fontId="14" numFmtId="0" xfId="0" applyAlignment="1" applyFont="1">
      <alignment horizontal="center" readingOrder="0" vertical="center"/>
    </xf>
    <xf borderId="0" fillId="4" fontId="14" numFmtId="0" xfId="0" applyAlignment="1" applyFont="1">
      <alignment horizontal="center" vertical="center"/>
    </xf>
    <xf borderId="2" fillId="5" fontId="15" numFmtId="0" xfId="0" applyAlignment="1" applyBorder="1" applyFill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vertical="bottom"/>
    </xf>
    <xf borderId="3" fillId="0" fontId="16" numFmtId="0" xfId="0" applyAlignment="1" applyBorder="1" applyFont="1">
      <alignment vertical="center"/>
    </xf>
    <xf borderId="0" fillId="0" fontId="17" numFmtId="0" xfId="0" applyAlignment="1" applyFont="1">
      <alignment readingOrder="0" vertical="center"/>
    </xf>
    <xf borderId="0" fillId="4" fontId="18" numFmtId="0" xfId="0" applyAlignment="1" applyFont="1">
      <alignment vertical="bottom"/>
    </xf>
    <xf borderId="4" fillId="0" fontId="16" numFmtId="0" xfId="0" applyAlignment="1" applyBorder="1" applyFont="1">
      <alignment vertical="center"/>
    </xf>
    <xf borderId="0" fillId="4" fontId="19" numFmtId="0" xfId="0" applyAlignment="1" applyFont="1">
      <alignment horizontal="center" readingOrder="0"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readingOrder="0" vertical="center"/>
    </xf>
    <xf borderId="0" fillId="0" fontId="11" numFmtId="2" xfId="0" applyAlignment="1" applyFont="1" applyNumberFormat="1">
      <alignment readingOrder="0" vertical="center"/>
    </xf>
    <xf borderId="0" fillId="0" fontId="15" numFmtId="0" xfId="0" applyAlignment="1" applyFont="1">
      <alignment shrinkToFit="0" vertical="bottom" wrapText="1"/>
    </xf>
    <xf borderId="0" fillId="4" fontId="19" numFmtId="0" xfId="0" applyAlignment="1" applyFont="1">
      <alignment horizontal="center" vertical="center"/>
    </xf>
    <xf borderId="0" fillId="0" fontId="20" numFmtId="0" xfId="0" applyAlignment="1" applyFont="1">
      <alignment horizontal="center" readingOrder="0" shrinkToFit="0" vertical="bottom" wrapText="1"/>
    </xf>
    <xf borderId="0" fillId="0" fontId="9" numFmtId="2" xfId="0" applyAlignment="1" applyFont="1" applyNumberFormat="1">
      <alignment horizontal="center" vertical="bottom"/>
    </xf>
    <xf borderId="0" fillId="0" fontId="15" numFmtId="0" xfId="0" applyAlignment="1" applyFont="1">
      <alignment horizontal="center" shrinkToFit="0" vertical="bottom" wrapText="1"/>
    </xf>
    <xf borderId="0" fillId="0" fontId="15" numFmtId="3" xfId="0" applyAlignment="1" applyFont="1" applyNumberFormat="1">
      <alignment horizontal="center" readingOrder="0" shrinkToFit="0" vertical="center" wrapText="1"/>
    </xf>
    <xf borderId="5" fillId="0" fontId="19" numFmtId="0" xfId="0" applyAlignment="1" applyBorder="1" applyFont="1">
      <alignment horizontal="center" readingOrder="0" vertical="top"/>
    </xf>
    <xf borderId="0" fillId="0" fontId="15" numFmtId="0" xfId="0" applyAlignment="1" applyFont="1">
      <alignment horizontal="center" readingOrder="0" shrinkToFit="0" vertical="center" wrapText="1"/>
    </xf>
    <xf borderId="5" fillId="0" fontId="19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horizontal="center" readingOrder="0" shrinkToFit="0" vertical="bottom" wrapText="1"/>
    </xf>
    <xf borderId="5" fillId="0" fontId="21" numFmtId="0" xfId="0" applyAlignment="1" applyBorder="1" applyFont="1">
      <alignment horizontal="center" readingOrder="0" vertical="top"/>
    </xf>
    <xf borderId="0" fillId="0" fontId="22" numFmtId="0" xfId="0" applyAlignment="1" applyFont="1">
      <alignment readingOrder="0" vertical="center"/>
    </xf>
    <xf borderId="0" fillId="0" fontId="15" numFmtId="0" xfId="0" applyAlignment="1" applyFont="1">
      <alignment horizontal="left" shrinkToFit="0" vertical="center" wrapText="1"/>
    </xf>
    <xf borderId="0" fillId="0" fontId="22" numFmtId="166" xfId="0" applyAlignment="1" applyFont="1" applyNumberFormat="1">
      <alignment vertical="center"/>
    </xf>
    <xf borderId="0" fillId="0" fontId="15" numFmtId="0" xfId="0" applyAlignment="1" applyFont="1">
      <alignment horizontal="center" shrinkToFit="0" vertical="center" wrapText="1"/>
    </xf>
    <xf borderId="6" fillId="6" fontId="23" numFmtId="0" xfId="0" applyAlignment="1" applyBorder="1" applyFill="1" applyFont="1">
      <alignment horizontal="center" readingOrder="0" vertical="top"/>
    </xf>
    <xf borderId="7" fillId="0" fontId="16" numFmtId="0" xfId="0" applyAlignment="1" applyBorder="1" applyFont="1">
      <alignment vertical="center"/>
    </xf>
    <xf borderId="8" fillId="0" fontId="16" numFmtId="0" xfId="0" applyAlignment="1" applyBorder="1" applyFont="1">
      <alignment vertical="center"/>
    </xf>
    <xf borderId="0" fillId="0" fontId="9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 shrinkToFit="0" vertical="center" wrapText="1"/>
    </xf>
    <xf borderId="0" fillId="0" fontId="11" numFmtId="2" xfId="0" applyAlignment="1" applyFont="1" applyNumberFormat="1">
      <alignment vertical="center"/>
    </xf>
    <xf borderId="5" fillId="0" fontId="25" numFmtId="0" xfId="0" applyAlignment="1" applyBorder="1" applyFont="1">
      <alignment horizontal="center" readingOrder="0" vertical="top"/>
    </xf>
    <xf borderId="0" fillId="0" fontId="12" numFmtId="165" xfId="0" applyAlignment="1" applyFont="1" applyNumberFormat="1">
      <alignment readingOrder="0" shrinkToFit="0" textRotation="90" vertical="center" wrapText="1"/>
    </xf>
    <xf borderId="5" fillId="0" fontId="25" numFmtId="0" xfId="0" applyAlignment="1" applyBorder="1" applyFont="1">
      <alignment horizontal="right" readingOrder="0" vertical="top"/>
    </xf>
    <xf borderId="9" fillId="7" fontId="15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readingOrder="0" vertical="bottom"/>
    </xf>
    <xf borderId="10" fillId="0" fontId="26" numFmtId="0" xfId="0" applyAlignment="1" applyBorder="1" applyFont="1">
      <alignment horizontal="center" readingOrder="0" shrinkToFit="0" vertical="center" wrapText="1"/>
    </xf>
    <xf borderId="1" fillId="4" fontId="0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center" vertical="bottom"/>
    </xf>
    <xf borderId="11" fillId="0" fontId="0" numFmtId="3" xfId="0" applyAlignment="1" applyBorder="1" applyFont="1" applyNumberFormat="1">
      <alignment horizontal="center" readingOrder="0" shrinkToFit="0" vertical="center" wrapText="1"/>
    </xf>
    <xf borderId="10" fillId="0" fontId="0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readingOrder="0" shrinkToFit="0" vertical="center" wrapText="1"/>
    </xf>
    <xf borderId="11" fillId="0" fontId="0" numFmtId="0" xfId="0" applyAlignment="1" applyBorder="1" applyFont="1">
      <alignment horizontal="center" readingOrder="0" shrinkToFit="0" vertical="bottom" wrapText="1"/>
    </xf>
    <xf borderId="12" fillId="0" fontId="0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readingOrder="0" shrinkToFit="0" vertical="center" wrapText="1"/>
    </xf>
    <xf borderId="1" fillId="6" fontId="0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3" fillId="0" fontId="0" numFmtId="0" xfId="0" applyAlignment="1" applyBorder="1" applyFont="1">
      <alignment horizontal="center" readingOrder="0" shrinkToFit="0" vertical="center" wrapText="1"/>
    </xf>
    <xf borderId="12" fillId="8" fontId="0" numFmtId="0" xfId="0" applyAlignment="1" applyBorder="1" applyFill="1" applyFont="1">
      <alignment horizontal="left" readingOrder="0" shrinkToFit="0" vertical="center" wrapText="1"/>
    </xf>
    <xf borderId="14" fillId="0" fontId="0" numFmtId="0" xfId="0" applyAlignment="1" applyBorder="1" applyFont="1">
      <alignment horizontal="center" readingOrder="0" shrinkToFit="0" vertical="center" wrapText="1"/>
    </xf>
    <xf borderId="15" fillId="0" fontId="0" numFmtId="0" xfId="0" applyAlignment="1" applyBorder="1" applyFont="1">
      <alignment horizontal="center" readingOrder="0" shrinkToFit="0" vertical="center" wrapText="1"/>
    </xf>
    <xf borderId="2" fillId="9" fontId="27" numFmtId="0" xfId="0" applyAlignment="1" applyBorder="1" applyFill="1" applyFont="1">
      <alignment horizontal="center" readingOrder="0" vertical="center"/>
    </xf>
    <xf borderId="12" fillId="0" fontId="0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center" vertical="center"/>
    </xf>
    <xf borderId="16" fillId="0" fontId="0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readingOrder="0" shrinkToFit="0" vertical="center" wrapText="1"/>
    </xf>
    <xf borderId="3" fillId="9" fontId="27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8" fillId="6" fontId="15" numFmtId="0" xfId="0" applyAlignment="1" applyBorder="1" applyFont="1">
      <alignment shrinkToFit="0" vertical="bottom" wrapText="1"/>
    </xf>
    <xf borderId="4" fillId="9" fontId="27" numFmtId="0" xfId="0" applyAlignment="1" applyBorder="1" applyFont="1">
      <alignment horizontal="center" readingOrder="0" vertical="center"/>
    </xf>
    <xf borderId="0" fillId="0" fontId="6" numFmtId="0" xfId="0" applyAlignment="1" applyFont="1">
      <alignment shrinkToFit="0" vertical="bottom" wrapText="1"/>
    </xf>
    <xf borderId="2" fillId="10" fontId="28" numFmtId="0" xfId="0" applyAlignment="1" applyBorder="1" applyFill="1" applyFont="1">
      <alignment horizontal="left" vertical="center"/>
    </xf>
    <xf borderId="17" fillId="0" fontId="16" numFmtId="0" xfId="0" applyAlignment="1" applyBorder="1" applyFont="1">
      <alignment vertical="center"/>
    </xf>
    <xf borderId="3" fillId="10" fontId="28" numFmtId="0" xfId="0" applyAlignment="1" applyBorder="1" applyFont="1">
      <alignment horizontal="left" vertical="center"/>
    </xf>
    <xf borderId="18" fillId="0" fontId="26" numFmtId="0" xfId="0" applyAlignment="1" applyBorder="1" applyFont="1">
      <alignment horizontal="center" readingOrder="0" shrinkToFit="0" vertical="center" wrapText="1"/>
    </xf>
    <xf borderId="4" fillId="10" fontId="29" numFmtId="0" xfId="0" applyAlignment="1" applyBorder="1" applyFont="1">
      <alignment horizontal="center" vertical="center"/>
    </xf>
    <xf borderId="5" fillId="4" fontId="0" numFmtId="0" xfId="0" applyAlignment="1" applyBorder="1" applyFont="1">
      <alignment horizontal="left" readingOrder="0" shrinkToFit="0" vertical="center" wrapText="1"/>
    </xf>
    <xf borderId="19" fillId="11" fontId="30" numFmtId="0" xfId="0" applyAlignment="1" applyBorder="1" applyFill="1" applyFont="1">
      <alignment horizontal="center" readingOrder="0" shrinkToFit="0" vertical="center" wrapText="1"/>
    </xf>
    <xf borderId="20" fillId="0" fontId="0" numFmtId="3" xfId="0" applyAlignment="1" applyBorder="1" applyFont="1" applyNumberFormat="1">
      <alignment horizontal="center" readingOrder="0" shrinkToFit="0" vertical="center" wrapText="1"/>
    </xf>
    <xf borderId="19" fillId="11" fontId="30" numFmtId="0" xfId="0" applyAlignment="1" applyBorder="1" applyFont="1">
      <alignment horizontal="center" shrinkToFit="0" vertical="center" wrapText="1"/>
    </xf>
    <xf borderId="18" fillId="0" fontId="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top"/>
    </xf>
    <xf borderId="5" fillId="0" fontId="0" numFmtId="0" xfId="0" applyAlignment="1" applyBorder="1" applyFont="1">
      <alignment readingOrder="0" shrinkToFit="0" vertical="center" wrapText="1"/>
    </xf>
    <xf borderId="20" fillId="0" fontId="0" numFmtId="0" xfId="0" applyAlignment="1" applyBorder="1" applyFont="1">
      <alignment horizontal="center" readingOrder="0" shrinkToFit="0" vertical="bottom" wrapText="1"/>
    </xf>
    <xf borderId="19" fillId="11" fontId="27" numFmtId="0" xfId="0" applyAlignment="1" applyBorder="1" applyFont="1">
      <alignment horizontal="center" shrinkToFit="0" vertical="center" wrapText="1"/>
    </xf>
    <xf borderId="21" fillId="12" fontId="1" numFmtId="0" xfId="0" applyAlignment="1" applyBorder="1" applyFill="1" applyFont="1">
      <alignment horizontal="center" vertical="center"/>
    </xf>
    <xf borderId="5" fillId="0" fontId="0" numFmtId="0" xfId="0" applyAlignment="1" applyBorder="1" applyFont="1">
      <alignment horizontal="left" readingOrder="0" shrinkToFit="0" vertical="center" wrapText="1"/>
    </xf>
    <xf borderId="21" fillId="12" fontId="1" numFmtId="0" xfId="0" applyAlignment="1" applyBorder="1" applyFont="1">
      <alignment vertical="center"/>
    </xf>
    <xf borderId="20" fillId="0" fontId="0" numFmtId="0" xfId="0" applyAlignment="1" applyBorder="1" applyFont="1">
      <alignment horizontal="center" readingOrder="0" shrinkToFit="0" vertical="center" wrapText="1"/>
    </xf>
    <xf borderId="21" fillId="12" fontId="11" numFmtId="0" xfId="0" applyAlignment="1" applyBorder="1" applyFont="1">
      <alignment horizontal="center" readingOrder="0" vertical="center"/>
    </xf>
    <xf borderId="5" fillId="6" fontId="0" numFmtId="0" xfId="0" applyAlignment="1" applyBorder="1" applyFont="1">
      <alignment horizontal="left" readingOrder="0" shrinkToFit="0" vertical="center" wrapText="1"/>
    </xf>
    <xf borderId="5" fillId="8" fontId="0" numFmtId="0" xfId="0" applyAlignment="1" applyBorder="1" applyFont="1">
      <alignment horizontal="left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readingOrder="0" vertical="bottom"/>
    </xf>
    <xf borderId="21" fillId="12" fontId="32" numFmtId="0" xfId="0" applyAlignment="1" applyBorder="1" applyFont="1">
      <alignment horizontal="center" vertical="center"/>
    </xf>
    <xf borderId="22" fillId="0" fontId="0" numFmtId="0" xfId="0" applyAlignment="1" applyBorder="1" applyFont="1">
      <alignment readingOrder="0" shrinkToFit="0" vertical="center" wrapText="1"/>
    </xf>
    <xf borderId="23" fillId="0" fontId="0" numFmtId="0" xfId="0" applyAlignment="1" applyBorder="1" applyFont="1">
      <alignment horizontal="center" readingOrder="0" shrinkToFit="0" vertical="center" wrapText="1"/>
    </xf>
    <xf borderId="21" fillId="4" fontId="1" numFmtId="0" xfId="0" applyAlignment="1" applyBorder="1" applyFont="1">
      <alignment horizontal="center" vertical="center"/>
    </xf>
    <xf borderId="18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21" fillId="4" fontId="1" numFmtId="0" xfId="0" applyAlignment="1" applyBorder="1" applyFont="1">
      <alignment vertical="center"/>
    </xf>
    <xf borderId="20" fillId="0" fontId="11" numFmtId="0" xfId="0" applyAlignment="1" applyBorder="1" applyFont="1">
      <alignment horizontal="center" readingOrder="0" shrinkToFit="0" vertical="center" wrapText="1"/>
    </xf>
    <xf borderId="21" fillId="4" fontId="11" numFmtId="0" xfId="0" applyAlignment="1" applyBorder="1" applyFont="1">
      <alignment horizontal="center" readingOrder="0" vertical="center"/>
    </xf>
    <xf borderId="8" fillId="13" fontId="15" numFmtId="0" xfId="0" applyAlignment="1" applyBorder="1" applyFill="1" applyFont="1">
      <alignment readingOrder="0" shrinkToFit="0" vertical="bottom" wrapText="1"/>
    </xf>
    <xf borderId="21" fillId="4" fontId="32" numFmtId="0" xfId="0" applyAlignment="1" applyBorder="1" applyFont="1">
      <alignment horizontal="center" vertical="center"/>
    </xf>
    <xf borderId="5" fillId="14" fontId="0" numFmtId="0" xfId="0" applyAlignment="1" applyBorder="1" applyFill="1" applyFont="1">
      <alignment horizontal="left" readingOrder="0" shrinkToFit="0" vertical="center" wrapText="1"/>
    </xf>
    <xf borderId="21" fillId="12" fontId="8" numFmtId="0" xfId="0" applyAlignment="1" applyBorder="1" applyFont="1">
      <alignment horizontal="center" readingOrder="0" vertical="center"/>
    </xf>
    <xf borderId="5" fillId="15" fontId="25" numFmtId="0" xfId="0" applyAlignment="1" applyBorder="1" applyFill="1" applyFont="1">
      <alignment horizontal="center" readingOrder="0" vertical="top"/>
    </xf>
    <xf borderId="5" fillId="0" fontId="11" numFmtId="0" xfId="0" applyAlignment="1" applyBorder="1" applyFont="1">
      <alignment shrinkToFit="0" vertical="center" wrapText="1"/>
    </xf>
    <xf borderId="24" fillId="0" fontId="11" numFmtId="0" xfId="0" applyAlignment="1" applyBorder="1" applyFont="1">
      <alignment shrinkToFit="0" vertical="center" wrapText="1"/>
    </xf>
    <xf borderId="21" fillId="12" fontId="33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22" fillId="0" fontId="11" numFmtId="0" xfId="0" applyAlignment="1" applyBorder="1" applyFont="1">
      <alignment readingOrder="0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vertical="center"/>
    </xf>
    <xf borderId="27" fillId="7" fontId="15" numFmtId="0" xfId="0" applyAlignment="1" applyBorder="1" applyFont="1">
      <alignment shrinkToFit="0" vertical="bottom" wrapText="1"/>
    </xf>
    <xf borderId="21" fillId="0" fontId="11" numFmtId="0" xfId="0" applyAlignment="1" applyBorder="1" applyFont="1">
      <alignment horizontal="center" readingOrder="0" vertical="center"/>
    </xf>
    <xf borderId="18" fillId="0" fontId="26" numFmtId="0" xfId="0" applyAlignment="1" applyBorder="1" applyFont="1">
      <alignment horizontal="center" readingOrder="0" shrinkToFit="0" vertical="bottom" wrapText="1"/>
    </xf>
    <xf borderId="21" fillId="0" fontId="11" numFmtId="0" xfId="0" applyAlignment="1" applyBorder="1" applyFont="1">
      <alignment horizontal="center" vertical="center"/>
    </xf>
    <xf borderId="5" fillId="0" fontId="26" numFmtId="0" xfId="0" applyAlignment="1" applyBorder="1" applyFont="1">
      <alignment horizontal="left" readingOrder="0" shrinkToFit="0" vertical="bottom" wrapText="1"/>
    </xf>
    <xf borderId="21" fillId="0" fontId="32" numFmtId="0" xfId="0" applyAlignment="1" applyBorder="1" applyFont="1">
      <alignment horizontal="center" vertical="center"/>
    </xf>
    <xf borderId="20" fillId="0" fontId="7" numFmtId="3" xfId="0" applyAlignment="1" applyBorder="1" applyFont="1" applyNumberFormat="1">
      <alignment horizontal="center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5" fillId="16" fontId="34" numFmtId="0" xfId="0" applyAlignment="1" applyBorder="1" applyFill="1" applyFont="1">
      <alignment readingOrder="0" shrinkToFit="0" vertical="center" wrapText="1"/>
    </xf>
    <xf borderId="20" fillId="0" fontId="7" numFmtId="0" xfId="0" applyAlignment="1" applyBorder="1" applyFont="1">
      <alignment horizontal="center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1" fillId="12" fontId="11" numFmtId="0" xfId="0" applyAlignment="1" applyBorder="1" applyFont="1">
      <alignment horizontal="center" vertical="center"/>
    </xf>
    <xf borderId="27" fillId="17" fontId="24" numFmtId="0" xfId="0" applyAlignment="1" applyBorder="1" applyFill="1" applyFont="1">
      <alignment readingOrder="0" shrinkToFit="0" vertical="center" wrapText="1"/>
    </xf>
    <xf borderId="0" fillId="0" fontId="1" numFmtId="3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5" fillId="0" fontId="7" numFmtId="0" xfId="0" applyAlignment="1" applyBorder="1" applyFont="1">
      <alignment readingOrder="0" shrinkToFit="0" vertical="center" wrapText="1"/>
    </xf>
    <xf borderId="5" fillId="7" fontId="0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vertical="center" wrapText="1"/>
    </xf>
    <xf borderId="27" fillId="18" fontId="24" numFmtId="0" xfId="0" applyAlignment="1" applyBorder="1" applyFill="1" applyFont="1">
      <alignment readingOrder="0" shrinkToFit="0" vertical="center" wrapText="1"/>
    </xf>
    <xf borderId="5" fillId="0" fontId="35" numFmtId="0" xfId="0" applyAlignment="1" applyBorder="1" applyFont="1">
      <alignment horizontal="right" readingOrder="0" vertical="top"/>
    </xf>
    <xf borderId="5" fillId="6" fontId="11" numFmtId="0" xfId="0" applyAlignment="1" applyBorder="1" applyFont="1">
      <alignment readingOrder="0" shrinkToFit="0" vertical="center" wrapText="1"/>
    </xf>
    <xf borderId="6" fillId="0" fontId="36" numFmtId="0" xfId="0" applyAlignment="1" applyBorder="1" applyFont="1">
      <alignment horizontal="center" readingOrder="0" shrinkToFit="0" vertical="center" wrapText="1"/>
    </xf>
    <xf borderId="6" fillId="6" fontId="4" numFmtId="0" xfId="0" applyAlignment="1" applyBorder="1" applyFont="1">
      <alignment horizontal="center" readingOrder="0" vertical="top"/>
    </xf>
    <xf borderId="0" fillId="0" fontId="24" numFmtId="0" xfId="0" applyAlignment="1" applyFont="1">
      <alignment readingOrder="0" shrinkToFit="0" vertical="center" wrapText="1"/>
    </xf>
    <xf borderId="5" fillId="16" fontId="37" numFmtId="0" xfId="0" applyAlignment="1" applyBorder="1" applyFont="1">
      <alignment horizontal="left" readingOrder="0" shrinkToFit="0" vertical="center" wrapText="1"/>
    </xf>
    <xf borderId="28" fillId="0" fontId="16" numFmtId="0" xfId="0" applyAlignment="1" applyBorder="1" applyFont="1">
      <alignment vertical="center"/>
    </xf>
    <xf borderId="29" fillId="0" fontId="26" numFmtId="0" xfId="0" applyAlignment="1" applyBorder="1" applyFont="1">
      <alignment horizontal="center" readingOrder="0" shrinkToFit="0" vertical="bottom" wrapText="1"/>
    </xf>
    <xf borderId="30" fillId="0" fontId="26" numFmtId="0" xfId="0" applyAlignment="1" applyBorder="1" applyFont="1">
      <alignment horizontal="left" readingOrder="0" shrinkToFit="0" vertical="bottom" wrapText="1"/>
    </xf>
    <xf borderId="31" fillId="0" fontId="7" numFmtId="3" xfId="0" applyAlignment="1" applyBorder="1" applyFont="1" applyNumberFormat="1">
      <alignment horizontal="center" shrinkToFit="0" vertical="center" wrapText="1"/>
    </xf>
    <xf borderId="29" fillId="0" fontId="7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vertical="bottom"/>
    </xf>
    <xf borderId="30" fillId="0" fontId="7" numFmtId="0" xfId="0" applyAlignment="1" applyBorder="1" applyFont="1">
      <alignment readingOrder="0" shrinkToFit="0" vertical="center" wrapText="1"/>
    </xf>
    <xf borderId="31" fillId="0" fontId="7" numFmtId="0" xfId="0" applyAlignment="1" applyBorder="1" applyFont="1">
      <alignment horizontal="center" readingOrder="0" shrinkToFit="0" vertical="center" wrapText="1"/>
    </xf>
    <xf borderId="29" fillId="0" fontId="0" numFmtId="0" xfId="0" applyAlignment="1" applyBorder="1" applyFont="1">
      <alignment horizontal="center" readingOrder="0" shrinkToFit="0" vertical="center" wrapText="1"/>
    </xf>
    <xf borderId="30" fillId="0" fontId="0" numFmtId="0" xfId="0" applyAlignment="1" applyBorder="1" applyFont="1">
      <alignment horizontal="left" readingOrder="0" shrinkToFit="0" vertical="center" wrapText="1"/>
    </xf>
    <xf borderId="21" fillId="0" fontId="8" numFmtId="0" xfId="0" applyAlignment="1" applyBorder="1" applyFont="1">
      <alignment horizontal="center" readingOrder="0" vertical="center"/>
    </xf>
    <xf borderId="31" fillId="0" fontId="0" numFmtId="0" xfId="0" applyAlignment="1" applyBorder="1" applyFont="1">
      <alignment horizontal="center" readingOrder="0" shrinkToFit="0" vertical="center" wrapText="1"/>
    </xf>
    <xf borderId="31" fillId="0" fontId="0" numFmtId="0" xfId="0" applyAlignment="1" applyBorder="1" applyFont="1">
      <alignment horizontal="center" readingOrder="0" shrinkToFit="0" vertical="bottom" wrapText="1"/>
    </xf>
    <xf borderId="21" fillId="0" fontId="33" numFmtId="0" xfId="0" applyAlignment="1" applyBorder="1" applyFont="1">
      <alignment horizontal="center" readingOrder="0" vertical="center"/>
    </xf>
    <xf borderId="0" fillId="4" fontId="19" numFmtId="0" xfId="0" applyAlignment="1" applyFont="1">
      <alignment horizontal="center" vertical="center"/>
    </xf>
    <xf borderId="32" fillId="0" fontId="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30" fillId="0" fontId="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38" numFmtId="0" xfId="0" applyAlignment="1" applyFont="1">
      <alignment readingOrder="0" vertical="bottom"/>
    </xf>
    <xf borderId="33" fillId="0" fontId="0" numFmtId="0" xfId="0" applyAlignment="1" applyBorder="1" applyFont="1">
      <alignment horizontal="center" shrinkToFit="0" vertical="center" wrapText="1"/>
    </xf>
    <xf borderId="29" fillId="0" fontId="11" numFmtId="0" xfId="0" applyAlignment="1" applyBorder="1" applyFont="1">
      <alignment shrinkToFit="0" vertical="center" wrapText="1"/>
    </xf>
    <xf borderId="30" fillId="0" fontId="11" numFmtId="0" xfId="0" applyAlignment="1" applyBorder="1" applyFont="1">
      <alignment shrinkToFit="0" vertical="center" wrapText="1"/>
    </xf>
    <xf borderId="31" fillId="0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9" fillId="0" fontId="15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left" readingOrder="0" shrinkToFit="0" vertical="center" wrapText="1"/>
    </xf>
    <xf borderId="34" fillId="0" fontId="0" numFmtId="0" xfId="0" applyAlignment="1" applyBorder="1" applyFont="1">
      <alignment horizontal="center" readingOrder="0" shrinkToFit="0" vertical="center" wrapText="1"/>
    </xf>
    <xf borderId="35" fillId="0" fontId="0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vertical="center"/>
    </xf>
    <xf borderId="1" fillId="13" fontId="0" numFmtId="0" xfId="0" applyAlignment="1" applyBorder="1" applyFont="1">
      <alignment horizontal="left" readingOrder="0" shrinkToFit="0" vertical="center" wrapText="1"/>
    </xf>
    <xf borderId="5" fillId="19" fontId="11" numFmtId="0" xfId="0" applyAlignment="1" applyBorder="1" applyFill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readingOrder="0" shrinkToFit="0" vertical="bottom" wrapText="1"/>
    </xf>
    <xf borderId="8" fillId="0" fontId="7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left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readingOrder="0" vertical="bottom"/>
    </xf>
    <xf borderId="5" fillId="4" fontId="7" numFmtId="0" xfId="0" applyAlignment="1" applyBorder="1" applyFont="1">
      <alignment horizontal="left" readingOrder="0" shrinkToFit="0" vertical="center" wrapText="1"/>
    </xf>
    <xf borderId="0" fillId="2" fontId="1" numFmtId="3" xfId="0" applyAlignment="1" applyFont="1" applyNumberFormat="1">
      <alignment vertical="bottom"/>
    </xf>
    <xf borderId="20" fillId="0" fontId="0" numFmtId="0" xfId="0" applyAlignment="1" applyBorder="1" applyFont="1">
      <alignment horizontal="center" shrinkToFit="0" vertical="center" wrapText="1"/>
    </xf>
    <xf borderId="20" fillId="0" fontId="0" numFmtId="3" xfId="0" applyAlignment="1" applyBorder="1" applyFont="1" applyNumberFormat="1">
      <alignment horizontal="center" shrinkToFit="0" vertical="center" wrapText="1"/>
    </xf>
    <xf borderId="5" fillId="16" fontId="37" numFmtId="0" xfId="0" applyAlignment="1" applyBorder="1" applyFont="1">
      <alignment readingOrder="0" shrinkToFit="0" vertical="center" wrapText="1"/>
    </xf>
    <xf borderId="36" fillId="0" fontId="0" numFmtId="0" xfId="0" applyAlignment="1" applyBorder="1" applyFont="1">
      <alignment horizontal="center" readingOrder="0" shrinkToFit="0" vertical="center" wrapText="1"/>
    </xf>
    <xf borderId="37" fillId="0" fontId="0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vertical="bottom"/>
    </xf>
    <xf borderId="38" fillId="0" fontId="0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5" fillId="14" fontId="11" numFmtId="0" xfId="0" applyAlignment="1" applyBorder="1" applyFont="1">
      <alignment readingOrder="0" shrinkToFit="0" vertical="center" wrapText="1"/>
    </xf>
    <xf borderId="5" fillId="14" fontId="7" numFmtId="0" xfId="0" applyAlignment="1" applyBorder="1" applyFont="1">
      <alignment horizontal="left" readingOrder="0" shrinkToFit="0" vertical="center" wrapText="1"/>
    </xf>
    <xf borderId="29" fillId="0" fontId="26" numFmtId="0" xfId="0" applyAlignment="1" applyBorder="1" applyFont="1">
      <alignment horizontal="center" readingOrder="0" shrinkToFit="0" vertical="center" wrapText="1"/>
    </xf>
    <xf borderId="31" fillId="0" fontId="0" numFmtId="3" xfId="0" applyAlignment="1" applyBorder="1" applyFont="1" applyNumberFormat="1">
      <alignment horizontal="center" shrinkToFit="0" vertical="center" wrapText="1"/>
    </xf>
    <xf borderId="33" fillId="0" fontId="0" numFmtId="0" xfId="0" applyAlignment="1" applyBorder="1" applyFont="1">
      <alignment horizontal="center" readingOrder="0" shrinkToFit="0" vertical="bottom" wrapText="1"/>
    </xf>
    <xf borderId="39" fillId="4" fontId="11" numFmtId="0" xfId="0" applyAlignment="1" applyBorder="1" applyFont="1">
      <alignment readingOrder="0" shrinkToFit="0" vertical="center" wrapText="1"/>
    </xf>
    <xf borderId="33" fillId="0" fontId="0" numFmtId="0" xfId="0" applyAlignment="1" applyBorder="1" applyFont="1">
      <alignment horizontal="center" readingOrder="0" shrinkToFit="0" vertical="center" wrapText="1"/>
    </xf>
    <xf borderId="31" fillId="0" fontId="0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" fillId="8" fontId="0" numFmtId="0" xfId="0" applyAlignment="1" applyBorder="1" applyFont="1">
      <alignment horizontal="left" readingOrder="0" shrinkToFit="0" vertical="center" wrapText="1"/>
    </xf>
    <xf borderId="8" fillId="0" fontId="39" numFmtId="0" xfId="0" applyAlignment="1" applyBorder="1" applyFont="1">
      <alignment horizontal="center" readingOrder="0" shrinkToFit="0" vertical="center" wrapText="1"/>
    </xf>
    <xf borderId="6" fillId="20" fontId="0" numFmtId="0" xfId="0" applyAlignment="1" applyBorder="1" applyFill="1" applyFont="1">
      <alignment horizontal="center" readingOrder="0" shrinkToFit="0" vertical="bottom" wrapText="1"/>
    </xf>
    <xf borderId="5" fillId="0" fontId="7" numFmtId="0" xfId="0" applyAlignment="1" applyBorder="1" applyFont="1">
      <alignment horizontal="left" readingOrder="0" shrinkToFit="0" vertical="center" wrapText="1"/>
    </xf>
    <xf borderId="18" fillId="0" fontId="33" numFmtId="0" xfId="0" applyAlignment="1" applyBorder="1" applyFont="1">
      <alignment horizontal="center" readingOrder="0" shrinkToFit="0" vertical="center" wrapText="1"/>
    </xf>
    <xf borderId="5" fillId="0" fontId="33" numFmtId="0" xfId="0" applyAlignment="1" applyBorder="1" applyFont="1">
      <alignment horizontal="left" readingOrder="0" shrinkToFit="0" vertical="center" wrapText="1"/>
    </xf>
    <xf borderId="5" fillId="13" fontId="0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20" fillId="0" fontId="7" numFmtId="3" xfId="0" applyAlignment="1" applyBorder="1" applyFont="1" applyNumberForma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40" fillId="0" fontId="0" numFmtId="0" xfId="0" applyAlignment="1" applyBorder="1" applyFont="1">
      <alignment horizontal="center" readingOrder="0" shrinkToFit="0" vertical="center" wrapText="1"/>
    </xf>
    <xf borderId="37" fillId="0" fontId="11" numFmtId="0" xfId="0" applyAlignment="1" applyBorder="1" applyFont="1">
      <alignment readingOrder="0" shrinkToFit="0" vertical="center" wrapText="1"/>
    </xf>
    <xf borderId="38" fillId="0" fontId="11" numFmtId="0" xfId="0" applyAlignment="1" applyBorder="1" applyFont="1">
      <alignment horizontal="center" shrinkToFit="0" vertical="center" wrapText="1"/>
    </xf>
    <xf borderId="5" fillId="16" fontId="40" numFmtId="0" xfId="0" applyAlignment="1" applyBorder="1" applyFont="1">
      <alignment readingOrder="0" shrinkToFit="0" vertical="center" wrapText="1"/>
    </xf>
    <xf borderId="8" fillId="0" fontId="41" numFmtId="0" xfId="0" applyAlignment="1" applyBorder="1" applyFont="1">
      <alignment horizontal="center" readingOrder="0" shrinkToFit="0" vertical="center" wrapText="1"/>
    </xf>
    <xf borderId="5" fillId="16" fontId="34" numFmtId="0" xfId="0" applyAlignment="1" applyBorder="1" applyFont="1">
      <alignment horizontal="left" readingOrder="0" shrinkToFit="0" vertical="center" wrapText="1"/>
    </xf>
    <xf borderId="33" fillId="0" fontId="7" numFmtId="0" xfId="0" applyAlignment="1" applyBorder="1" applyFont="1">
      <alignment horizontal="center" readingOrder="0" shrinkToFit="0" vertical="center" wrapText="1"/>
    </xf>
    <xf borderId="30" fillId="19" fontId="7" numFmtId="0" xfId="0" applyAlignment="1" applyBorder="1" applyFont="1">
      <alignment horizontal="left" readingOrder="0" shrinkToFit="0" vertical="center" wrapText="1"/>
    </xf>
    <xf borderId="0" fillId="6" fontId="42" numFmtId="0" xfId="0" applyAlignment="1" applyFont="1">
      <alignment horizontal="center" readingOrder="0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shrinkToFit="0" vertical="center" wrapText="1"/>
    </xf>
    <xf borderId="0" fillId="0" fontId="43" numFmtId="0" xfId="0" applyAlignment="1" applyFont="1">
      <alignment horizontal="center" vertical="center"/>
    </xf>
    <xf borderId="34" fillId="0" fontId="7" numFmtId="0" xfId="0" applyAlignment="1" applyBorder="1" applyFont="1">
      <alignment horizontal="center" readingOrder="0" shrinkToFit="0" vertical="center" wrapText="1"/>
    </xf>
    <xf borderId="0" fillId="19" fontId="44" numFmtId="0" xfId="0" applyAlignment="1" applyFont="1">
      <alignment horizontal="center" readingOrder="0" shrinkToFit="0" vertical="center" wrapText="1"/>
    </xf>
    <xf borderId="1" fillId="19" fontId="7" numFmtId="0" xfId="0" applyAlignment="1" applyBorder="1" applyFont="1">
      <alignment readingOrder="0" shrinkToFit="0" vertical="center" wrapText="1"/>
    </xf>
    <xf borderId="10" fillId="4" fontId="45" numFmtId="0" xfId="0" applyAlignment="1" applyBorder="1" applyFont="1">
      <alignment horizontal="center" readingOrder="0" shrinkToFit="0" vertical="center" wrapText="1"/>
    </xf>
    <xf borderId="12" fillId="4" fontId="45" numFmtId="0" xfId="0" applyAlignment="1" applyBorder="1" applyFont="1">
      <alignment horizontal="left" readingOrder="0" shrinkToFit="0" vertical="center" wrapText="1"/>
    </xf>
    <xf borderId="5" fillId="0" fontId="42" numFmtId="0" xfId="0" applyAlignment="1" applyBorder="1" applyFont="1">
      <alignment horizontal="center" readingOrder="0" shrinkToFit="0" vertical="center" wrapText="1"/>
    </xf>
    <xf borderId="10" fillId="0" fontId="45" numFmtId="0" xfId="0" applyAlignment="1" applyBorder="1" applyFont="1">
      <alignment horizontal="center" readingOrder="0" shrinkToFit="0" vertical="center" wrapText="1"/>
    </xf>
    <xf borderId="35" fillId="8" fontId="45" numFmtId="0" xfId="0" applyAlignment="1" applyBorder="1" applyFont="1">
      <alignment horizontal="left" readingOrder="0" shrinkToFit="0" vertical="center" wrapText="1"/>
    </xf>
    <xf borderId="5" fillId="21" fontId="43" numFmtId="0" xfId="0" applyAlignment="1" applyBorder="1" applyFill="1" applyFont="1">
      <alignment horizontal="right" readingOrder="0" shrinkToFit="0" vertical="center" wrapText="1"/>
    </xf>
    <xf borderId="0" fillId="0" fontId="0" numFmtId="0" xfId="0" applyAlignment="1" applyFont="1">
      <alignment shrinkToFit="0" vertical="bottom" wrapText="1"/>
    </xf>
    <xf borderId="5" fillId="21" fontId="43" numFmtId="0" xfId="0" applyAlignment="1" applyBorder="1" applyFont="1">
      <alignment horizontal="center" readingOrder="0" vertical="center"/>
    </xf>
    <xf borderId="5" fillId="21" fontId="43" numFmtId="9" xfId="0" applyAlignment="1" applyBorder="1" applyFont="1" applyNumberFormat="1">
      <alignment horizontal="center" readingOrder="0" vertical="center"/>
    </xf>
    <xf borderId="5" fillId="19" fontId="0" numFmtId="0" xfId="0" applyAlignment="1" applyBorder="1" applyFont="1">
      <alignment horizontal="left" readingOrder="0" shrinkToFit="0" vertical="center" wrapText="1"/>
    </xf>
    <xf borderId="5" fillId="0" fontId="43" numFmtId="0" xfId="0" applyAlignment="1" applyBorder="1" applyFont="1">
      <alignment horizontal="right" readingOrder="0" shrinkToFit="0" vertical="center" wrapText="1"/>
    </xf>
    <xf borderId="5" fillId="19" fontId="0" numFmtId="0" xfId="0" applyAlignment="1" applyBorder="1" applyFont="1">
      <alignment readingOrder="0" shrinkToFit="0" vertical="center" wrapText="1"/>
    </xf>
    <xf borderId="5" fillId="0" fontId="43" numFmtId="0" xfId="0" applyAlignment="1" applyBorder="1" applyFont="1">
      <alignment horizontal="center" readingOrder="0" vertical="center"/>
    </xf>
    <xf borderId="18" fillId="0" fontId="45" numFmtId="0" xfId="0" applyAlignment="1" applyBorder="1" applyFont="1">
      <alignment horizontal="center" readingOrder="0" shrinkToFit="0" vertical="center" wrapText="1"/>
    </xf>
    <xf borderId="5" fillId="0" fontId="43" numFmtId="9" xfId="0" applyAlignment="1" applyBorder="1" applyFont="1" applyNumberFormat="1">
      <alignment horizontal="center" readingOrder="0" vertical="center"/>
    </xf>
    <xf borderId="5" fillId="0" fontId="45" numFmtId="0" xfId="0" applyAlignment="1" applyBorder="1" applyFont="1">
      <alignment horizontal="left" readingOrder="0" shrinkToFit="0" vertical="center" wrapText="1"/>
    </xf>
    <xf borderId="18" fillId="0" fontId="45" numFmtId="0" xfId="0" applyAlignment="1" applyBorder="1" applyFont="1">
      <alignment horizontal="center" readingOrder="0" shrinkToFit="0" vertical="center" wrapText="1"/>
    </xf>
    <xf borderId="6" fillId="8" fontId="0" numFmtId="0" xfId="0" applyAlignment="1" applyBorder="1" applyFont="1">
      <alignment horizontal="left" readingOrder="0" shrinkToFit="0" vertical="center" wrapText="1"/>
    </xf>
    <xf borderId="41" fillId="0" fontId="0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left" readingOrder="0" shrinkToFit="0" vertical="center" wrapText="1"/>
    </xf>
    <xf borderId="0" fillId="0" fontId="43" numFmtId="0" xfId="0" applyAlignment="1" applyFont="1">
      <alignment shrinkToFit="0" vertical="center" wrapText="1"/>
    </xf>
    <xf borderId="5" fillId="8" fontId="11" numFmtId="0" xfId="0" applyAlignment="1" applyBorder="1" applyFont="1">
      <alignment readingOrder="0" shrinkToFit="0" vertical="center" wrapText="1"/>
    </xf>
    <xf borderId="20" fillId="0" fontId="11" numFmtId="0" xfId="0" applyAlignment="1" applyBorder="1" applyFont="1">
      <alignment readingOrder="0" shrinkToFit="0" vertical="center" wrapText="1"/>
    </xf>
    <xf borderId="20" fillId="0" fontId="11" numFmtId="0" xfId="0" applyAlignment="1" applyBorder="1" applyFont="1">
      <alignment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6" fillId="14" fontId="46" numFmtId="0" xfId="0" applyAlignment="1" applyBorder="1" applyFont="1">
      <alignment readingOrder="0" shrinkToFit="0" vertical="center" wrapText="1"/>
    </xf>
    <xf borderId="6" fillId="18" fontId="46" numFmtId="0" xfId="0" applyAlignment="1" applyBorder="1" applyFont="1">
      <alignment readingOrder="0" shrinkToFit="0" vertical="center" wrapText="1"/>
    </xf>
    <xf borderId="38" fillId="0" fontId="0" numFmtId="0" xfId="0" applyAlignment="1" applyBorder="1" applyFont="1">
      <alignment horizontal="center" shrinkToFit="0" vertical="center" wrapText="1"/>
    </xf>
    <xf borderId="37" fillId="0" fontId="0" numFmtId="0" xfId="0" applyAlignment="1" applyBorder="1" applyFont="1">
      <alignment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ont="1">
      <alignment readingOrder="0" shrinkToFit="0" vertical="center" wrapText="1"/>
    </xf>
    <xf borderId="0" fillId="0" fontId="47" numFmtId="0" xfId="0" applyAlignment="1" applyFont="1">
      <alignment shrinkToFit="0" vertical="center" wrapText="1"/>
    </xf>
    <xf borderId="0" fillId="0" fontId="47" numFmtId="0" xfId="0" applyAlignment="1" applyFont="1">
      <alignment horizontal="center" vertical="center"/>
    </xf>
    <xf borderId="5" fillId="16" fontId="37" numFmtId="0" xfId="0" applyAlignment="1" applyBorder="1" applyFont="1">
      <alignment horizontal="left" readingOrder="0" shrinkToFit="0" vertical="center" wrapText="1"/>
    </xf>
    <xf borderId="29" fillId="0" fontId="7" numFmtId="0" xfId="0" applyAlignment="1" applyBorder="1" applyFont="1">
      <alignment horizontal="center" readingOrder="0" shrinkToFit="0" vertical="center" wrapText="1"/>
    </xf>
    <xf borderId="30" fillId="0" fontId="34" numFmtId="0" xfId="0" applyAlignment="1" applyBorder="1" applyFont="1">
      <alignment horizontal="left" readingOrder="0" shrinkToFit="0" vertical="center" wrapText="1"/>
    </xf>
    <xf borderId="34" fillId="4" fontId="0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5" fillId="18" fontId="11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5" fillId="19" fontId="7" numFmtId="0" xfId="0" applyAlignment="1" applyBorder="1" applyFont="1">
      <alignment readingOrder="0" shrinkToFit="0" vertical="center" wrapText="1"/>
    </xf>
    <xf borderId="24" fillId="4" fontId="11" numFmtId="0" xfId="0" applyAlignment="1" applyBorder="1" applyFont="1">
      <alignment horizontal="center" readingOrder="0" shrinkToFit="0" vertical="center" wrapText="1"/>
    </xf>
    <xf borderId="0" fillId="18" fontId="11" numFmtId="0" xfId="0" applyAlignment="1" applyFont="1">
      <alignment readingOrder="0" shrinkToFit="0" vertical="center" wrapText="1"/>
    </xf>
    <xf borderId="5" fillId="22" fontId="4" numFmtId="0" xfId="0" applyAlignment="1" applyBorder="1" applyFill="1" applyFont="1">
      <alignment horizontal="left" readingOrder="0" vertical="bottom"/>
    </xf>
    <xf borderId="6" fillId="4" fontId="0" numFmtId="0" xfId="0" applyAlignment="1" applyBorder="1" applyFont="1">
      <alignment horizontal="center" readingOrder="0" shrinkToFit="0" vertical="bottom" wrapText="1"/>
    </xf>
    <xf borderId="5" fillId="18" fontId="0" numFmtId="0" xfId="0" applyAlignment="1" applyBorder="1" applyFont="1">
      <alignment horizontal="left" readingOrder="0" shrinkToFit="0" vertical="center" wrapText="1"/>
    </xf>
    <xf borderId="37" fillId="0" fontId="11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18" fillId="0" fontId="45" numFmtId="0" xfId="0" applyAlignment="1" applyBorder="1" applyFont="1">
      <alignment horizontal="center" shrinkToFit="0" vertical="bottom" wrapText="1"/>
    </xf>
    <xf borderId="5" fillId="20" fontId="45" numFmtId="0" xfId="0" applyAlignment="1" applyBorder="1" applyFont="1">
      <alignment horizontal="left" shrinkToFit="0" vertical="bottom" wrapText="1"/>
    </xf>
    <xf borderId="20" fillId="20" fontId="0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left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29" fillId="0" fontId="15" numFmtId="0" xfId="0" applyAlignment="1" applyBorder="1" applyFont="1">
      <alignment horizontal="center" shrinkToFit="0" vertical="center" wrapText="1"/>
    </xf>
    <xf borderId="30" fillId="0" fontId="15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30" fillId="16" fontId="0" numFmtId="0" xfId="0" applyAlignment="1" applyBorder="1" applyFont="1">
      <alignment horizontal="left" readingOrder="0" shrinkToFit="0" vertical="center" wrapText="1"/>
    </xf>
    <xf borderId="29" fillId="0" fontId="45" numFmtId="0" xfId="0" applyAlignment="1" applyBorder="1" applyFont="1">
      <alignment horizontal="center" shrinkToFit="0" vertical="bottom" wrapText="1"/>
    </xf>
    <xf borderId="30" fillId="20" fontId="45" numFmtId="0" xfId="0" applyAlignment="1" applyBorder="1" applyFont="1">
      <alignment horizontal="left" shrinkToFit="0" vertical="bottom" wrapText="1"/>
    </xf>
    <xf borderId="31" fillId="20" fontId="0" numFmtId="0" xfId="0" applyAlignment="1" applyBorder="1" applyFont="1">
      <alignment horizontal="center" readingOrder="0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shrinkToFit="0" vertical="center" wrapText="1"/>
    </xf>
    <xf borderId="29" fillId="0" fontId="7" numFmtId="0" xfId="0" applyAlignment="1" applyBorder="1" applyFont="1">
      <alignment shrinkToFit="0" vertical="center" wrapText="1"/>
    </xf>
    <xf borderId="30" fillId="0" fontId="7" numFmtId="0" xfId="0" applyAlignment="1" applyBorder="1" applyFont="1">
      <alignment shrinkToFit="0" vertical="center" wrapText="1"/>
    </xf>
    <xf borderId="31" fillId="0" fontId="7" numFmtId="0" xfId="0" applyAlignment="1" applyBorder="1" applyFont="1">
      <alignment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2" fillId="6" fontId="15" numFmtId="0" xfId="0" applyAlignment="1" applyBorder="1" applyFont="1">
      <alignment horizontal="center" readingOrder="0" shrinkToFit="0" vertical="center" wrapText="1"/>
    </xf>
    <xf borderId="39" fillId="0" fontId="15" numFmtId="0" xfId="0" applyAlignment="1" applyBorder="1" applyFont="1">
      <alignment horizontal="center" shrinkToFit="0" vertical="center" wrapText="1"/>
    </xf>
    <xf borderId="11" fillId="4" fontId="0" numFmtId="3" xfId="0" applyAlignment="1" applyBorder="1" applyFont="1" applyNumberFormat="1">
      <alignment horizontal="center" readingOrder="0" shrinkToFit="0" vertical="center" wrapText="1"/>
    </xf>
    <xf borderId="34" fillId="0" fontId="7" numFmtId="0" xfId="0" applyAlignment="1" applyBorder="1" applyFont="1">
      <alignment horizontal="center" readingOrder="0" shrinkToFit="0" vertical="center" wrapText="1"/>
    </xf>
    <xf borderId="10" fillId="0" fontId="0" numFmtId="0" xfId="0" applyAlignment="1" applyBorder="1" applyFont="1">
      <alignment horizontal="center" readingOrder="0" shrinkToFit="0" vertical="center" wrapText="1"/>
    </xf>
    <xf borderId="0" fillId="6" fontId="0" numFmtId="0" xfId="0" applyAlignment="1" applyFont="1">
      <alignment horizontal="left" readingOrder="0" shrinkToFit="0" vertical="center" wrapText="1"/>
    </xf>
    <xf borderId="8" fillId="14" fontId="15" numFmtId="0" xfId="0" applyAlignment="1" applyBorder="1" applyFont="1">
      <alignment readingOrder="0" shrinkToFit="0" vertical="bottom" wrapText="1"/>
    </xf>
    <xf borderId="22" fillId="0" fontId="7" numFmtId="0" xfId="0" applyAlignment="1" applyBorder="1" applyFont="1">
      <alignment horizontal="left" readingOrder="0" shrinkToFit="0" vertical="center" wrapText="1"/>
    </xf>
    <xf borderId="18" fillId="0" fontId="48" numFmtId="0" xfId="0" applyAlignment="1" applyBorder="1" applyFont="1">
      <alignment readingOrder="0" shrinkToFit="0" vertical="center" wrapText="1"/>
    </xf>
    <xf borderId="5" fillId="0" fontId="34" numFmtId="0" xfId="0" applyAlignment="1" applyBorder="1" applyFont="1">
      <alignment horizontal="left" readingOrder="0" shrinkToFit="0" vertical="center" wrapText="1"/>
    </xf>
    <xf borderId="5" fillId="16" fontId="40" numFmtId="0" xfId="0" applyAlignment="1" applyBorder="1" applyFont="1">
      <alignment horizontal="left" readingOrder="0" shrinkToFit="0" vertical="center" wrapText="1"/>
    </xf>
    <xf borderId="20" fillId="0" fontId="0" numFmtId="0" xfId="0" applyAlignment="1" applyBorder="1" applyFont="1">
      <alignment horizontal="center" readingOrder="0" shrinkToFit="0" vertical="center" wrapText="1"/>
    </xf>
    <xf borderId="18" fillId="0" fontId="40" numFmtId="0" xfId="0" applyAlignment="1" applyBorder="1" applyFont="1">
      <alignment horizontal="center" readingOrder="0" shrinkToFit="0" vertical="center" wrapText="1"/>
    </xf>
    <xf borderId="5" fillId="0" fontId="40" numFmtId="0" xfId="0" applyAlignment="1" applyBorder="1" applyFont="1">
      <alignment horizontal="left" readingOrder="0" shrinkToFit="0" vertical="center" wrapText="1"/>
    </xf>
    <xf borderId="5" fillId="2" fontId="11" numFmtId="0" xfId="0" applyAlignment="1" applyBorder="1" applyFont="1">
      <alignment horizontal="left" readingOrder="0" shrinkToFit="0" vertical="center" wrapText="1"/>
    </xf>
    <xf borderId="27" fillId="0" fontId="24" numFmtId="0" xfId="0" applyAlignment="1" applyBorder="1" applyFont="1">
      <alignment readingOrder="0" shrinkToFit="0" vertical="center" wrapText="1"/>
    </xf>
    <xf borderId="29" fillId="0" fontId="48" numFmtId="0" xfId="0" applyAlignment="1" applyBorder="1" applyFont="1">
      <alignment readingOrder="0" shrinkToFit="0" vertical="center" wrapText="1"/>
    </xf>
    <xf borderId="30" fillId="0" fontId="34" numFmtId="0" xfId="0" applyAlignment="1" applyBorder="1" applyFont="1">
      <alignment horizontal="left" readingOrder="0" shrinkToFit="0" vertical="center" wrapText="1"/>
    </xf>
    <xf borderId="29" fillId="0" fontId="40" numFmtId="0" xfId="0" applyAlignment="1" applyBorder="1" applyFont="1">
      <alignment horizontal="center" readingOrder="0" shrinkToFit="0" vertical="center" wrapText="1"/>
    </xf>
    <xf borderId="30" fillId="0" fontId="40" numFmtId="0" xfId="0" applyAlignment="1" applyBorder="1" applyFont="1">
      <alignment horizontal="left" readingOrder="0" shrinkToFit="0" vertical="center" wrapText="1"/>
    </xf>
    <xf borderId="31" fillId="0" fontId="0" numFmtId="0" xfId="0" applyAlignment="1" applyBorder="1" applyFont="1">
      <alignment horizontal="center" readingOrder="0" shrinkToFit="0" vertical="center" wrapText="1"/>
    </xf>
    <xf borderId="32" fillId="0" fontId="7" numFmtId="0" xfId="0" applyAlignment="1" applyBorder="1" applyFont="1">
      <alignment horizontal="center" readingOrder="0" shrinkToFit="0" vertical="center" wrapText="1"/>
    </xf>
    <xf borderId="30" fillId="0" fontId="7" numFmtId="0" xfId="0" applyAlignment="1" applyBorder="1" applyFont="1">
      <alignment horizontal="left" readingOrder="0" shrinkToFit="0" vertical="center" wrapText="1"/>
    </xf>
    <xf borderId="30" fillId="16" fontId="37" numFmtId="0" xfId="0" applyAlignment="1" applyBorder="1" applyFont="1">
      <alignment horizontal="left" readingOrder="0" shrinkToFit="0" vertical="center" wrapText="1"/>
    </xf>
    <xf borderId="0" fillId="0" fontId="48" numFmtId="0" xfId="0" applyAlignment="1" applyFont="1">
      <alignment readingOrder="0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0" numFmtId="3" xfId="0" applyAlignment="1" applyFont="1" applyNumberFormat="1">
      <alignment horizontal="center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167" xfId="0" applyAlignment="1" applyFont="1" applyNumberFormat="1">
      <alignment readingOrder="0" shrinkToFit="0" textRotation="90" vertical="center" wrapText="1"/>
    </xf>
    <xf borderId="1" fillId="14" fontId="0" numFmtId="0" xfId="0" applyAlignment="1" applyBorder="1" applyFont="1">
      <alignment horizontal="left" readingOrder="0" shrinkToFit="0" vertical="center" wrapText="1"/>
    </xf>
    <xf borderId="1" fillId="4" fontId="0" numFmtId="0" xfId="0" applyAlignment="1" applyBorder="1" applyFont="1">
      <alignment readingOrder="0" shrinkToFit="0" vertical="center" wrapText="1"/>
    </xf>
    <xf borderId="35" fillId="0" fontId="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5" fillId="21" fontId="0" numFmtId="0" xfId="0" applyAlignment="1" applyBorder="1" applyFont="1">
      <alignment horizontal="left" readingOrder="0" shrinkToFit="0" vertical="center" wrapText="1"/>
    </xf>
    <xf borderId="37" fillId="0" fontId="7" numFmtId="0" xfId="0" applyAlignment="1" applyBorder="1" applyFont="1">
      <alignment horizontal="left" readingOrder="0"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textRotation="9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30" fillId="4" fontId="0" numFmtId="0" xfId="0" applyAlignment="1" applyBorder="1" applyFont="1">
      <alignment horizontal="left" readingOrder="0" shrinkToFit="0" vertical="center" wrapText="1"/>
    </xf>
    <xf borderId="31" fillId="0" fontId="15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4" fontId="0" numFmtId="0" xfId="0" applyAlignment="1" applyFont="1">
      <alignment horizontal="left" readingOrder="0" shrinkToFit="0" vertical="center" wrapText="1"/>
    </xf>
    <xf borderId="42" fillId="0" fontId="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1" fillId="0" fontId="0" numFmtId="3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34" fillId="0" fontId="11" numFmtId="0" xfId="0" applyAlignment="1" applyBorder="1" applyFont="1">
      <alignment readingOrder="0" shrinkToFit="0" vertical="center" wrapText="1"/>
    </xf>
    <xf borderId="1" fillId="4" fontId="11" numFmtId="0" xfId="0" applyAlignment="1" applyBorder="1" applyFont="1">
      <alignment readingOrder="0" shrinkToFit="0" vertical="center" wrapText="1"/>
    </xf>
    <xf borderId="5" fillId="3" fontId="0" numFmtId="0" xfId="0" applyAlignment="1" applyBorder="1" applyFont="1">
      <alignment horizontal="left" readingOrder="0" shrinkToFit="0" vertical="center" wrapText="1"/>
    </xf>
    <xf borderId="5" fillId="6" fontId="11" numFmtId="0" xfId="0" applyAlignment="1" applyBorder="1" applyFont="1">
      <alignment horizontal="left" readingOrder="0" shrinkToFit="0" vertical="center" wrapText="1"/>
    </xf>
    <xf borderId="8" fillId="0" fontId="34" numFmtId="0" xfId="0" applyAlignment="1" applyBorder="1" applyFont="1">
      <alignment horizontal="center" readingOrder="0" shrinkToFit="0" vertical="center" wrapText="1"/>
    </xf>
    <xf borderId="5" fillId="16" fontId="34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1"/>
    </xf>
    <xf borderId="18" fillId="0" fontId="0" numFmtId="0" xfId="0" applyAlignment="1" applyBorder="1" applyFont="1">
      <alignment horizontal="center" readingOrder="0" shrinkToFit="0" vertical="center" wrapText="1"/>
    </xf>
    <xf borderId="5" fillId="6" fontId="0" numFmtId="0" xfId="0" applyAlignment="1" applyBorder="1" applyFont="1">
      <alignment horizontal="left" readingOrder="0" shrinkToFit="0" vertical="center" wrapText="1"/>
    </xf>
    <xf borderId="8" fillId="0" fontId="11" numFmtId="0" xfId="0" applyAlignment="1" applyBorder="1" applyFont="1">
      <alignment shrinkToFit="0" vertical="center" wrapText="1"/>
    </xf>
    <xf borderId="5" fillId="17" fontId="0" numFmtId="0" xfId="0" applyAlignment="1" applyBorder="1" applyFont="1">
      <alignment horizontal="left" readingOrder="0" shrinkToFit="0" vertical="bottom" wrapText="1"/>
    </xf>
    <xf borderId="32" fillId="0" fontId="34" numFmtId="0" xfId="0" applyAlignment="1" applyBorder="1" applyFont="1">
      <alignment horizontal="center" readingOrder="0" shrinkToFit="0" vertical="center" wrapText="1"/>
    </xf>
    <xf borderId="33" fillId="0" fontId="0" numFmtId="0" xfId="0" applyAlignment="1" applyBorder="1" applyFont="1">
      <alignment horizontal="center" readingOrder="0" shrinkToFit="0" vertical="center" wrapText="1"/>
    </xf>
    <xf borderId="29" fillId="0" fontId="0" numFmtId="0" xfId="0" applyAlignment="1" applyBorder="1" applyFont="1">
      <alignment horizontal="center" readingOrder="0" shrinkToFit="0" vertical="center" wrapText="1"/>
    </xf>
    <xf borderId="30" fillId="16" fontId="40" numFmtId="0" xfId="0" applyAlignment="1" applyBorder="1" applyFont="1">
      <alignment horizontal="left" readingOrder="0" shrinkToFit="0" vertical="center" wrapText="1"/>
    </xf>
    <xf borderId="32" fillId="0" fontId="11" numFmtId="0" xfId="0" applyAlignment="1" applyBorder="1" applyFont="1">
      <alignment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43" fillId="4" fontId="15" numFmtId="0" xfId="0" applyAlignment="1" applyBorder="1" applyFont="1">
      <alignment horizontal="center" shrinkToFit="0" vertical="center" wrapText="1"/>
    </xf>
    <xf borderId="1" fillId="8" fontId="45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vertical="center"/>
    </xf>
    <xf borderId="18" fillId="4" fontId="45" numFmtId="0" xfId="0" applyAlignment="1" applyBorder="1" applyFont="1">
      <alignment horizontal="center" readingOrder="0" shrinkToFit="0" vertical="center" wrapText="1"/>
    </xf>
    <xf borderId="5" fillId="4" fontId="45" numFmtId="0" xfId="0" applyAlignment="1" applyBorder="1" applyFont="1">
      <alignment horizontal="left" readingOrder="0" shrinkToFit="0" vertical="center" wrapText="1"/>
    </xf>
    <xf borderId="5" fillId="23" fontId="0" numFmtId="0" xfId="0" applyAlignment="1" applyBorder="1" applyFill="1" applyFont="1">
      <alignment horizontal="left" readingOrder="0" shrinkToFit="0" vertical="center" wrapText="1"/>
    </xf>
    <xf borderId="5" fillId="8" fontId="45" numFmtId="0" xfId="0" applyAlignment="1" applyBorder="1" applyFont="1">
      <alignment horizontal="left" readingOrder="0" shrinkToFit="0" vertical="center" wrapText="1"/>
    </xf>
    <xf borderId="38" fillId="0" fontId="11" numFmtId="0" xfId="0" applyAlignment="1" applyBorder="1" applyFont="1">
      <alignment horizontal="center" readingOrder="0" shrinkToFit="0" vertical="center" wrapText="1"/>
    </xf>
    <xf borderId="5" fillId="24" fontId="0" numFmtId="0" xfId="0" applyAlignment="1" applyBorder="1" applyFill="1" applyFont="1">
      <alignment horizontal="left" readingOrder="0" shrinkToFit="0" vertical="center" wrapText="1"/>
    </xf>
    <xf borderId="26" fillId="0" fontId="0" numFmtId="0" xfId="0" applyAlignment="1" applyBorder="1" applyFont="1">
      <alignment horizontal="center" shrinkToFit="0" vertical="center" wrapText="1"/>
    </xf>
    <xf borderId="26" fillId="0" fontId="0" numFmtId="0" xfId="0" applyAlignment="1" applyBorder="1" applyFont="1">
      <alignment horizontal="center" readingOrder="0" shrinkToFit="0" vertical="center" wrapText="1"/>
    </xf>
    <xf borderId="18" fillId="0" fontId="49" numFmtId="0" xfId="0" applyAlignment="1" applyBorder="1" applyFont="1">
      <alignment horizontal="center" readingOrder="0" shrinkToFit="0" vertical="center" wrapText="1"/>
    </xf>
    <xf borderId="5" fillId="4" fontId="37" numFmtId="0" xfId="0" applyAlignment="1" applyBorder="1" applyFont="1">
      <alignment horizontal="left" readingOrder="0" shrinkToFit="0" vertical="center" wrapText="1"/>
    </xf>
    <xf borderId="20" fillId="4" fontId="0" numFmtId="0" xfId="0" applyAlignment="1" applyBorder="1" applyFont="1">
      <alignment horizontal="center" readingOrder="0" shrinkToFit="0" vertical="bottom" wrapText="1"/>
    </xf>
    <xf borderId="5" fillId="0" fontId="45" numFmtId="0" xfId="0" applyAlignment="1" applyBorder="1" applyFont="1">
      <alignment horizontal="left" readingOrder="0" shrinkToFit="0" vertical="center" wrapText="1"/>
    </xf>
    <xf borderId="38" fillId="0" fontId="16" numFmtId="0" xfId="0" applyAlignment="1" applyBorder="1" applyFont="1">
      <alignment vertical="center"/>
    </xf>
    <xf borderId="5" fillId="0" fontId="37" numFmtId="0" xfId="0" applyAlignment="1" applyBorder="1" applyFont="1">
      <alignment horizontal="left" readingOrder="0" shrinkToFit="0" vertical="center" wrapText="1"/>
    </xf>
    <xf borderId="5" fillId="25" fontId="50" numFmtId="0" xfId="0" applyAlignment="1" applyBorder="1" applyFill="1" applyFont="1">
      <alignment horizontal="left" readingOrder="0" shrinkToFit="0" vertical="center" wrapText="1"/>
    </xf>
    <xf borderId="45" fillId="0" fontId="16" numFmtId="0" xfId="0" applyAlignment="1" applyBorder="1" applyFont="1">
      <alignment vertical="center"/>
    </xf>
    <xf borderId="29" fillId="0" fontId="49" numFmtId="0" xfId="0" applyAlignment="1" applyBorder="1" applyFont="1">
      <alignment horizontal="center" readingOrder="0" shrinkToFit="0" vertical="center" wrapText="1"/>
    </xf>
    <xf borderId="30" fillId="0" fontId="37" numFmtId="0" xfId="0" applyAlignment="1" applyBorder="1" applyFont="1">
      <alignment horizontal="left" readingOrder="0" shrinkToFit="0" vertical="center" wrapText="1"/>
    </xf>
    <xf borderId="30" fillId="0" fontId="11" numFmtId="0" xfId="0" applyAlignment="1" applyBorder="1" applyFont="1">
      <alignment horizontal="left" readingOrder="0" shrinkToFit="0" vertical="center" wrapText="1"/>
    </xf>
    <xf borderId="29" fillId="0" fontId="45" numFmtId="0" xfId="0" applyAlignment="1" applyBorder="1" applyFont="1">
      <alignment horizontal="center" readingOrder="0" shrinkToFit="0" vertical="center" wrapText="1"/>
    </xf>
    <xf borderId="30" fillId="0" fontId="45" numFmtId="0" xfId="0" applyAlignment="1" applyBorder="1" applyFont="1">
      <alignment horizontal="left" readingOrder="0" shrinkToFit="0" vertical="center" wrapText="1"/>
    </xf>
    <xf borderId="43" fillId="7" fontId="15" numFmtId="0" xfId="0" applyAlignment="1" applyBorder="1" applyFont="1">
      <alignment horizontal="center" shrinkToFit="0" vertical="center" wrapText="1"/>
    </xf>
    <xf borderId="6" fillId="6" fontId="51" numFmtId="3" xfId="0" applyAlignment="1" applyBorder="1" applyFont="1" applyNumberFormat="1">
      <alignment horizontal="center" vertical="center"/>
    </xf>
    <xf borderId="5" fillId="6" fontId="33" numFmtId="0" xfId="0" applyAlignment="1" applyBorder="1" applyFont="1">
      <alignment horizontal="right" vertical="center"/>
    </xf>
    <xf borderId="0" fillId="0" fontId="33" numFmtId="0" xfId="0" applyAlignment="1" applyFont="1">
      <alignment vertical="center"/>
    </xf>
    <xf borderId="0" fillId="0" fontId="33" numFmtId="0" xfId="0" applyAlignment="1" applyFont="1">
      <alignment horizontal="center" vertical="center"/>
    </xf>
    <xf borderId="5" fillId="0" fontId="51" numFmtId="3" xfId="0" applyAlignment="1" applyBorder="1" applyFont="1" applyNumberFormat="1">
      <alignment horizontal="center" vertical="center"/>
    </xf>
    <xf borderId="5" fillId="0" fontId="51" numFmtId="164" xfId="0" applyAlignment="1" applyBorder="1" applyFont="1" applyNumberFormat="1">
      <alignment horizontal="center" vertical="center"/>
    </xf>
    <xf borderId="5" fillId="0" fontId="51" numFmtId="0" xfId="0" applyAlignment="1" applyBorder="1" applyFont="1">
      <alignment horizontal="right" vertical="center"/>
    </xf>
    <xf borderId="18" fillId="4" fontId="34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 vertical="center"/>
    </xf>
    <xf borderId="20" fillId="4" fontId="7" numFmtId="0" xfId="0" applyAlignment="1" applyBorder="1" applyFont="1">
      <alignment horizontal="center" readingOrder="0" shrinkToFit="0" vertical="center" wrapText="1"/>
    </xf>
    <xf borderId="5" fillId="0" fontId="51" numFmtId="0" xfId="0" applyAlignment="1" applyBorder="1" applyFont="1">
      <alignment horizontal="center" vertical="center"/>
    </xf>
    <xf borderId="5" fillId="0" fontId="52" numFmtId="0" xfId="0" applyAlignment="1" applyBorder="1" applyFont="1">
      <alignment horizontal="center" vertical="bottom"/>
    </xf>
    <xf borderId="18" fillId="0" fontId="34" numFmtId="0" xfId="0" applyAlignment="1" applyBorder="1" applyFont="1">
      <alignment horizontal="center" readingOrder="0" shrinkToFit="0" vertical="center" wrapText="1"/>
    </xf>
    <xf borderId="5" fillId="0" fontId="34" numFmtId="0" xfId="0" applyAlignment="1" applyBorder="1" applyFont="1">
      <alignment readingOrder="0" shrinkToFit="0" vertical="center" wrapText="1"/>
    </xf>
    <xf borderId="5" fillId="22" fontId="32" numFmtId="49" xfId="0" applyAlignment="1" applyBorder="1" applyFont="1" applyNumberFormat="1">
      <alignment horizontal="center" vertical="bottom"/>
    </xf>
    <xf borderId="5" fillId="22" fontId="32" numFmtId="164" xfId="0" applyAlignment="1" applyBorder="1" applyFont="1" applyNumberFormat="1">
      <alignment horizontal="center" vertical="bottom"/>
    </xf>
    <xf borderId="5" fillId="22" fontId="32" numFmtId="0" xfId="0" applyAlignment="1" applyBorder="1" applyFont="1">
      <alignment horizontal="right" vertical="bottom"/>
    </xf>
    <xf borderId="5" fillId="0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vertical="center"/>
    </xf>
    <xf borderId="29" fillId="0" fontId="34" numFmtId="0" xfId="0" applyAlignment="1" applyBorder="1" applyFont="1">
      <alignment horizontal="center" readingOrder="0" shrinkToFit="0" vertical="center" wrapText="1"/>
    </xf>
    <xf borderId="30" fillId="0" fontId="34" numFmtId="0" xfId="0" applyAlignment="1" applyBorder="1" applyFont="1">
      <alignment readingOrder="0" shrinkToFit="0" vertical="center" wrapText="1"/>
    </xf>
    <xf borderId="30" fillId="16" fontId="34" numFmtId="0" xfId="0" applyAlignment="1" applyBorder="1" applyFont="1">
      <alignment horizontal="left" readingOrder="0" shrinkToFit="0" vertical="center" wrapText="1"/>
    </xf>
    <xf borderId="31" fillId="0" fontId="11" numFmtId="0" xfId="0" applyAlignment="1" applyBorder="1" applyFont="1">
      <alignment shrinkToFit="0" vertical="center" wrapText="1"/>
    </xf>
    <xf borderId="0" fillId="0" fontId="12" numFmtId="165" xfId="0" applyAlignment="1" applyFont="1" applyNumberFormat="1">
      <alignment horizontal="center" shrinkToFit="0" textRotation="90" vertical="center" wrapText="1"/>
    </xf>
    <xf borderId="12" fillId="17" fontId="0" numFmtId="0" xfId="0" applyAlignment="1" applyBorder="1" applyFont="1">
      <alignment horizontal="left" readingOrder="0" shrinkToFit="0" vertical="center" wrapText="1"/>
    </xf>
    <xf borderId="5" fillId="17" fontId="0" numFmtId="0" xfId="0" applyAlignment="1" applyBorder="1" applyFont="1">
      <alignment horizontal="left" readingOrder="0" shrinkToFit="0" vertical="center" wrapText="1"/>
    </xf>
    <xf borderId="5" fillId="0" fontId="32" numFmtId="164" xfId="0" applyAlignment="1" applyBorder="1" applyFont="1" applyNumberFormat="1">
      <alignment horizontal="center" vertical="bottom"/>
    </xf>
    <xf borderId="5" fillId="4" fontId="0" numFmtId="0" xfId="0" applyAlignment="1" applyBorder="1" applyFont="1">
      <alignment readingOrder="0" shrinkToFit="0" vertical="center" wrapText="1"/>
    </xf>
    <xf borderId="5" fillId="16" fontId="53" numFmtId="0" xfId="0" applyAlignment="1" applyBorder="1" applyFont="1">
      <alignment readingOrder="0" shrinkToFit="0" vertical="center" wrapText="1"/>
    </xf>
    <xf borderId="5" fillId="22" fontId="32" numFmtId="1" xfId="0" applyAlignment="1" applyBorder="1" applyFont="1" applyNumberFormat="1">
      <alignment horizontal="center" vertical="bottom"/>
    </xf>
    <xf borderId="5" fillId="22" fontId="32" numFmtId="168" xfId="0" applyAlignment="1" applyBorder="1" applyFont="1" applyNumberFormat="1">
      <alignment horizontal="center" vertical="bottom"/>
    </xf>
    <xf borderId="5" fillId="17" fontId="11" numFmtId="0" xfId="0" applyAlignment="1" applyBorder="1" applyFont="1">
      <alignment readingOrder="0" shrinkToFit="0" vertical="center" wrapText="1"/>
    </xf>
    <xf borderId="8" fillId="16" fontId="24" numFmtId="0" xfId="0" applyAlignment="1" applyBorder="1" applyFont="1">
      <alignment readingOrder="0" shrinkToFit="0" vertical="center" wrapText="1"/>
    </xf>
    <xf borderId="5" fillId="0" fontId="33" numFmtId="0" xfId="0" applyAlignment="1" applyBorder="1" applyFont="1">
      <alignment horizontal="center" readingOrder="0" vertical="center"/>
    </xf>
    <xf borderId="5" fillId="16" fontId="50" numFmtId="0" xfId="0" applyAlignment="1" applyBorder="1" applyFont="1">
      <alignment horizontal="left" readingOrder="0" shrinkToFit="0" vertical="center" wrapText="1"/>
    </xf>
    <xf borderId="24" fillId="0" fontId="24" numFmtId="0" xfId="0" applyAlignment="1" applyBorder="1" applyFont="1">
      <alignment readingOrder="0" shrinkToFit="0" vertical="center" wrapText="1"/>
    </xf>
    <xf borderId="9" fillId="7" fontId="15" numFmtId="0" xfId="0" applyAlignment="1" applyBorder="1" applyFont="1">
      <alignment horizontal="center" readingOrder="0" shrinkToFit="0" vertical="center" wrapText="1"/>
    </xf>
    <xf borderId="5" fillId="16" fontId="50" numFmtId="0" xfId="0" applyAlignment="1" applyBorder="1" applyFont="1">
      <alignment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shrinkToFit="0" vertical="bottom" wrapText="1"/>
    </xf>
    <xf borderId="5" fillId="13" fontId="53" numFmtId="0" xfId="0" applyAlignment="1" applyBorder="1" applyFont="1">
      <alignment horizontal="left" readingOrder="0" shrinkToFit="0" vertical="center" wrapText="1"/>
    </xf>
    <xf borderId="39" fillId="13" fontId="11" numFmtId="0" xfId="0" applyAlignment="1" applyBorder="1" applyFont="1">
      <alignment readingOrder="0" shrinkToFit="0" vertical="center" wrapText="1"/>
    </xf>
    <xf borderId="1" fillId="17" fontId="0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5" fillId="0" fontId="40" numFmtId="0" xfId="0" applyAlignment="1" applyBorder="1" applyFont="1">
      <alignment readingOrder="0" shrinkToFit="0" vertical="center" wrapText="1"/>
    </xf>
    <xf borderId="5" fillId="4" fontId="32" numFmtId="49" xfId="0" applyAlignment="1" applyBorder="1" applyFont="1" applyNumberFormat="1">
      <alignment horizontal="center" vertical="bottom"/>
    </xf>
    <xf borderId="6" fillId="0" fontId="15" numFmtId="0" xfId="0" applyAlignment="1" applyBorder="1" applyFont="1">
      <alignment horizontal="center" readingOrder="0" shrinkToFit="0" vertical="bottom" wrapText="1"/>
    </xf>
    <xf borderId="5" fillId="4" fontId="32" numFmtId="164" xfId="0" applyAlignment="1" applyBorder="1" applyFont="1" applyNumberFormat="1">
      <alignment horizontal="center" vertical="bottom"/>
    </xf>
    <xf borderId="5" fillId="18" fontId="7" numFmtId="0" xfId="0" applyAlignment="1" applyBorder="1" applyFont="1">
      <alignment horizontal="left" readingOrder="0" shrinkToFit="0" vertical="center" wrapText="1"/>
    </xf>
    <xf borderId="30" fillId="17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16" fontId="0" numFmtId="0" xfId="0" applyAlignment="1" applyBorder="1" applyFont="1">
      <alignment horizontal="left" readingOrder="0" shrinkToFit="0" vertical="center" wrapText="1"/>
    </xf>
    <xf borderId="35" fillId="17" fontId="45" numFmtId="0" xfId="0" applyAlignment="1" applyBorder="1" applyFont="1">
      <alignment horizontal="left" readingOrder="0" shrinkToFit="0" vertical="center" wrapText="1"/>
    </xf>
    <xf borderId="6" fillId="17" fontId="0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5" fillId="18" fontId="37" numFmtId="0" xfId="0" applyAlignment="1" applyBorder="1" applyFont="1">
      <alignment horizontal="left" readingOrder="0" shrinkToFit="0" vertical="center" wrapText="1"/>
    </xf>
    <xf borderId="32" fillId="0" fontId="7" numFmtId="0" xfId="0" applyAlignment="1" applyBorder="1" applyFont="1">
      <alignment horizontal="center" readingOrder="0" shrinkToFit="0" vertical="center" wrapText="1"/>
    </xf>
    <xf borderId="11" fillId="18" fontId="0" numFmtId="0" xfId="0" applyAlignment="1" applyBorder="1" applyFont="1">
      <alignment horizontal="left" readingOrder="0" shrinkToFit="0" vertical="center" wrapText="1"/>
    </xf>
    <xf borderId="46" fillId="0" fontId="0" numFmtId="0" xfId="0" applyAlignment="1" applyBorder="1" applyFont="1">
      <alignment horizontal="center" readingOrder="0" shrinkToFit="0" vertical="bottom" wrapText="1"/>
    </xf>
    <xf borderId="16" fillId="0" fontId="0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20" fillId="18" fontId="11" numFmtId="0" xfId="0" applyAlignment="1" applyBorder="1" applyFont="1">
      <alignment readingOrder="0" shrinkToFit="0" vertical="center" wrapText="1"/>
    </xf>
    <xf borderId="7" fillId="0" fontId="0" numFmtId="0" xfId="0" applyAlignment="1" applyBorder="1" applyFont="1">
      <alignment horizontal="center" readingOrder="0" shrinkToFit="0" vertical="bottom" wrapText="1"/>
    </xf>
    <xf borderId="47" fillId="0" fontId="11" numFmtId="0" xfId="0" applyAlignment="1" applyBorder="1" applyFont="1">
      <alignment horizontal="center" readingOrder="0" shrinkToFit="0" vertical="center" wrapText="1"/>
    </xf>
    <xf borderId="48" fillId="18" fontId="11" numFmtId="0" xfId="0" applyAlignment="1" applyBorder="1" applyFont="1">
      <alignment readingOrder="0" shrinkToFit="0" vertical="center" wrapText="1"/>
    </xf>
    <xf borderId="20" fillId="6" fontId="0" numFmtId="0" xfId="0" applyAlignment="1" applyBorder="1" applyFont="1">
      <alignment horizontal="left"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1"/>
    </xf>
    <xf borderId="20" fillId="0" fontId="0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vertical="bottom"/>
    </xf>
    <xf borderId="31" fillId="6" fontId="0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vertical="bottom"/>
    </xf>
    <xf borderId="49" fillId="0" fontId="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9" fillId="26" fontId="15" numFmtId="0" xfId="0" applyAlignment="1" applyBorder="1" applyFill="1" applyFont="1">
      <alignment horizontal="center" shrinkToFit="0" vertical="center" wrapText="1"/>
    </xf>
    <xf borderId="11" fillId="7" fontId="0" numFmtId="0" xfId="0" applyAlignment="1" applyBorder="1" applyFont="1">
      <alignment horizontal="left" readingOrder="0" shrinkToFit="0" vertical="center" wrapText="1"/>
    </xf>
    <xf borderId="20" fillId="6" fontId="11" numFmtId="0" xfId="0" applyAlignment="1" applyBorder="1" applyFont="1">
      <alignment readingOrder="0" shrinkToFit="0" vertical="center" wrapText="1"/>
    </xf>
    <xf borderId="20" fillId="14" fontId="0" numFmtId="0" xfId="0" applyAlignment="1" applyBorder="1" applyFont="1">
      <alignment horizontal="left" readingOrder="0" shrinkToFit="0" vertical="center" wrapText="1"/>
    </xf>
    <xf borderId="18" fillId="0" fontId="15" numFmtId="0" xfId="0" applyAlignment="1" applyBorder="1" applyFont="1">
      <alignment horizontal="center" readingOrder="0" shrinkToFit="0" vertical="center" wrapText="1"/>
    </xf>
    <xf borderId="5" fillId="22" fontId="4" numFmtId="1" xfId="0" applyAlignment="1" applyBorder="1" applyFont="1" applyNumberFormat="1">
      <alignment horizontal="left" readingOrder="0" vertical="bottom"/>
    </xf>
    <xf borderId="5" fillId="0" fontId="15" numFmtId="0" xfId="0" applyAlignment="1" applyBorder="1" applyFont="1">
      <alignment horizontal="left" readingOrder="0" shrinkToFit="0" vertical="center" wrapText="1"/>
    </xf>
    <xf borderId="5" fillId="22" fontId="4" numFmtId="169" xfId="0" applyAlignment="1" applyBorder="1" applyFont="1" applyNumberFormat="1">
      <alignment horizontal="right" readingOrder="0" vertical="bottom"/>
    </xf>
    <xf borderId="20" fillId="21" fontId="0" numFmtId="0" xfId="0" applyAlignment="1" applyBorder="1" applyFont="1">
      <alignment horizontal="left" readingOrder="0" shrinkToFit="0" vertical="center" wrapText="1"/>
    </xf>
    <xf borderId="20" fillId="16" fontId="50" numFmtId="0" xfId="0" applyAlignment="1" applyBorder="1" applyFont="1">
      <alignment horizontal="left" readingOrder="0" shrinkToFit="0" vertical="center" wrapText="1"/>
    </xf>
    <xf borderId="31" fillId="0" fontId="0" numFmtId="0" xfId="0" applyAlignment="1" applyBorder="1" applyFont="1">
      <alignment horizontal="left" readingOrder="0" shrinkToFit="0" vertical="center" wrapText="1"/>
    </xf>
    <xf borderId="5" fillId="17" fontId="33" numFmtId="0" xfId="0" applyAlignment="1" applyBorder="1" applyFont="1">
      <alignment horizontal="left" readingOrder="0" shrinkToFit="0" vertical="center" wrapText="1"/>
    </xf>
    <xf borderId="5" fillId="22" fontId="33" numFmtId="49" xfId="0" applyAlignment="1" applyBorder="1" applyFont="1" applyNumberFormat="1">
      <alignment horizontal="center" readingOrder="0" vertical="bottom"/>
    </xf>
    <xf borderId="5" fillId="22" fontId="33" numFmtId="164" xfId="0" applyAlignment="1" applyBorder="1" applyFont="1" applyNumberFormat="1">
      <alignment horizontal="center" readingOrder="0" vertical="bottom"/>
    </xf>
    <xf borderId="5" fillId="22" fontId="33" numFmtId="0" xfId="0" applyAlignment="1" applyBorder="1" applyFont="1">
      <alignment horizontal="right" readingOrder="0" vertical="bottom"/>
    </xf>
    <xf borderId="5" fillId="0" fontId="33" numFmtId="0" xfId="0" applyAlignment="1" applyBorder="1" applyFont="1">
      <alignment readingOrder="0" vertical="center"/>
    </xf>
    <xf borderId="0" fillId="0" fontId="11" numFmtId="170" xfId="0" applyAlignment="1" applyFont="1" applyNumberFormat="1">
      <alignment readingOrder="0" vertical="center"/>
    </xf>
    <xf borderId="50" fillId="6" fontId="54" numFmtId="0" xfId="0" applyAlignment="1" applyBorder="1" applyFont="1">
      <alignment horizontal="center" readingOrder="0" vertical="center"/>
    </xf>
    <xf borderId="0" fillId="20" fontId="7" numFmtId="0" xfId="0" applyAlignment="1" applyFont="1">
      <alignment shrinkToFit="0" vertical="center" wrapText="1"/>
    </xf>
    <xf borderId="50" fillId="0" fontId="16" numFmtId="0" xfId="0" applyAlignment="1" applyBorder="1" applyFont="1">
      <alignment vertical="center"/>
    </xf>
    <xf borderId="0" fillId="20" fontId="11" numFmtId="0" xfId="0" applyAlignment="1" applyFont="1">
      <alignment shrinkToFit="0" vertical="center" wrapText="1"/>
    </xf>
    <xf borderId="51" fillId="0" fontId="16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4" fontId="11" numFmtId="0" xfId="0" applyAlignment="1" applyFont="1">
      <alignment horizontal="center" vertical="center"/>
    </xf>
    <xf borderId="0" fillId="20" fontId="12" numFmtId="165" xfId="0" applyAlignment="1" applyFont="1" applyNumberFormat="1">
      <alignment shrinkToFit="0" textRotation="90" vertical="center" wrapText="1"/>
    </xf>
    <xf borderId="0" fillId="0" fontId="55" numFmtId="0" xfId="0" applyAlignment="1" applyFont="1">
      <alignment vertical="center"/>
    </xf>
    <xf borderId="0" fillId="20" fontId="11" numFmtId="0" xfId="0" applyAlignment="1" applyFont="1">
      <alignment horizontal="left" vertical="center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4" fontId="11" numFmtId="0" xfId="0" applyAlignment="1" applyFont="1">
      <alignment vertical="center"/>
    </xf>
    <xf borderId="2" fillId="5" fontId="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2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0" fontId="56" numFmtId="0" xfId="0" applyAlignment="1" applyFont="1">
      <alignment horizontal="center" readingOrder="0" vertical="bottom"/>
    </xf>
    <xf borderId="0" fillId="0" fontId="6" numFmtId="0" xfId="0" applyAlignment="1" applyFont="1">
      <alignment horizontal="center" shrinkToFit="0" vertical="center" wrapText="1"/>
    </xf>
    <xf borderId="0" fillId="0" fontId="11" numFmtId="167" xfId="0" applyAlignment="1" applyFont="1" applyNumberFormat="1">
      <alignment readingOrder="0" vertical="center"/>
    </xf>
    <xf borderId="13" fillId="15" fontId="6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12" fillId="20" fontId="57" numFmtId="0" xfId="0" applyAlignment="1" applyBorder="1" applyFont="1">
      <alignment horizontal="center" readingOrder="0" shrinkToFit="0" vertical="center" wrapText="1"/>
    </xf>
    <xf borderId="5" fillId="22" fontId="33" numFmtId="164" xfId="0" applyAlignment="1" applyBorder="1" applyFont="1" applyNumberFormat="1">
      <alignment horizontal="center" vertical="bottom"/>
    </xf>
    <xf borderId="12" fillId="20" fontId="9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left" readingOrder="0" vertical="center"/>
    </xf>
    <xf borderId="1" fillId="4" fontId="9" numFmtId="0" xfId="0" applyAlignment="1" applyBorder="1" applyFont="1">
      <alignment horizontal="left" readingOrder="0" vertical="bottom"/>
    </xf>
    <xf borderId="22" fillId="4" fontId="58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vertical="center"/>
    </xf>
    <xf borderId="1" fillId="4" fontId="59" numFmtId="0" xfId="0" applyAlignment="1" applyBorder="1" applyFont="1">
      <alignment readingOrder="0" shrinkToFit="0" vertical="center" wrapText="1"/>
    </xf>
    <xf borderId="1" fillId="8" fontId="9" numFmtId="0" xfId="0" applyAlignment="1" applyBorder="1" applyFont="1">
      <alignment readingOrder="0" vertical="bottom"/>
    </xf>
    <xf borderId="12" fillId="0" fontId="9" numFmtId="0" xfId="0" applyAlignment="1" applyBorder="1" applyFont="1">
      <alignment readingOrder="0" shrinkToFit="0" vertical="center" wrapText="1"/>
    </xf>
    <xf borderId="26" fillId="0" fontId="9" numFmtId="0" xfId="0" applyAlignment="1" applyBorder="1" applyFont="1">
      <alignment horizontal="center" vertical="center"/>
    </xf>
    <xf borderId="52" fillId="6" fontId="6" numFmtId="0" xfId="0" applyAlignment="1" applyBorder="1" applyFont="1">
      <alignment vertical="bottom"/>
    </xf>
    <xf borderId="53" fillId="0" fontId="16" numFmtId="0" xfId="0" applyAlignment="1" applyBorder="1" applyFont="1">
      <alignment vertical="center"/>
    </xf>
    <xf borderId="5" fillId="2" fontId="9" numFmtId="0" xfId="0" applyAlignment="1" applyBorder="1" applyFont="1">
      <alignment horizontal="center" readingOrder="0" shrinkToFit="0" vertical="center" wrapText="1"/>
    </xf>
    <xf borderId="5" fillId="15" fontId="9" numFmtId="0" xfId="0" applyAlignment="1" applyBorder="1" applyFont="1">
      <alignment readingOrder="0" vertical="bottom"/>
    </xf>
    <xf borderId="5" fillId="17" fontId="60" numFmtId="0" xfId="0" applyAlignment="1" applyBorder="1" applyFont="1">
      <alignment readingOrder="0" vertical="center"/>
    </xf>
    <xf borderId="5" fillId="0" fontId="34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37" fillId="0" fontId="16" numFmtId="0" xfId="0" applyAlignment="1" applyBorder="1" applyFont="1">
      <alignment vertical="center"/>
    </xf>
    <xf borderId="5" fillId="6" fontId="9" numFmtId="0" xfId="0" applyAlignment="1" applyBorder="1" applyFont="1">
      <alignment horizontal="left" readingOrder="0" vertical="center"/>
    </xf>
    <xf borderId="5" fillId="4" fontId="9" numFmtId="0" xfId="0" applyAlignment="1" applyBorder="1" applyFont="1">
      <alignment horizontal="left" readingOrder="0" vertical="bottom"/>
    </xf>
    <xf borderId="54" fillId="0" fontId="16" numFmtId="0" xfId="0" applyAlignment="1" applyBorder="1" applyFont="1">
      <alignment vertical="center"/>
    </xf>
    <xf borderId="30" fillId="16" fontId="7" numFmtId="0" xfId="0" applyAlignment="1" applyBorder="1" applyFont="1">
      <alignment horizontal="left" readingOrder="0" shrinkToFit="0" vertical="center" wrapText="1"/>
    </xf>
    <xf borderId="5" fillId="2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vertical="bottom"/>
    </xf>
    <xf borderId="52" fillId="14" fontId="6" numFmtId="0" xfId="0" applyAlignment="1" applyBorder="1" applyFont="1">
      <alignment readingOrder="0" vertical="bottom"/>
    </xf>
    <xf borderId="22" fillId="21" fontId="9" numFmtId="0" xfId="0" applyAlignment="1" applyBorder="1" applyFont="1">
      <alignment horizontal="center" readingOrder="0" shrinkToFit="0" vertical="center" wrapText="1"/>
    </xf>
    <xf borderId="5" fillId="15" fontId="9" numFmtId="0" xfId="0" applyAlignment="1" applyBorder="1" applyFont="1">
      <alignment vertical="bottom"/>
    </xf>
    <xf borderId="5" fillId="18" fontId="33" numFmtId="0" xfId="0" applyAlignment="1" applyBorder="1" applyFont="1">
      <alignment readingOrder="0" vertical="center"/>
    </xf>
    <xf borderId="22" fillId="20" fontId="61" numFmtId="0" xfId="0" applyAlignment="1" applyBorder="1" applyFont="1">
      <alignment horizontal="center" readingOrder="0" shrinkToFit="0" vertical="center" wrapText="1"/>
    </xf>
    <xf borderId="22" fillId="20" fontId="9" numFmtId="0" xfId="0" applyAlignment="1" applyBorder="1" applyFont="1">
      <alignment horizontal="center" vertical="center"/>
    </xf>
    <xf borderId="5" fillId="14" fontId="9" numFmtId="0" xfId="0" applyAlignment="1" applyBorder="1" applyFont="1">
      <alignment horizontal="left" readingOrder="0" vertical="center"/>
    </xf>
    <xf borderId="22" fillId="4" fontId="62" numFmtId="0" xfId="0" applyAlignment="1" applyBorder="1" applyFont="1">
      <alignment horizontal="center" readingOrder="0" shrinkToFit="0" vertical="center" wrapText="1"/>
    </xf>
    <xf borderId="22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vertical="bottom"/>
    </xf>
    <xf borderId="22" fillId="0" fontId="9" numFmtId="0" xfId="0" applyAlignment="1" applyBorder="1" applyFont="1">
      <alignment readingOrder="0" shrinkToFit="0" vertical="center" wrapText="1"/>
    </xf>
    <xf borderId="55" fillId="7" fontId="6" numFmtId="0" xfId="0" applyAlignment="1" applyBorder="1" applyFont="1">
      <alignment vertical="bottom"/>
    </xf>
    <xf borderId="22" fillId="4" fontId="9" numFmtId="0" xfId="0" applyAlignment="1" applyBorder="1" applyFont="1">
      <alignment horizontal="center" readingOrder="0" shrinkToFit="0" vertical="center" wrapText="1"/>
    </xf>
    <xf borderId="22" fillId="15" fontId="9" numFmtId="0" xfId="0" applyAlignment="1" applyBorder="1" applyFont="1">
      <alignment vertical="bottom"/>
    </xf>
    <xf borderId="5" fillId="4" fontId="33" numFmtId="0" xfId="0" applyAlignment="1" applyBorder="1" applyFont="1">
      <alignment readingOrder="0" vertical="center"/>
    </xf>
    <xf borderId="22" fillId="0" fontId="9" numFmtId="0" xfId="0" applyAlignment="1" applyBorder="1" applyFont="1">
      <alignment horizontal="center" readingOrder="0" shrinkToFit="0" vertical="center" wrapText="1"/>
    </xf>
    <xf borderId="56" fillId="0" fontId="16" numFmtId="0" xfId="0" applyAlignment="1" applyBorder="1" applyFont="1">
      <alignment vertical="center"/>
    </xf>
    <xf borderId="22" fillId="4" fontId="9" numFmtId="0" xfId="0" applyAlignment="1" applyBorder="1" applyFont="1">
      <alignment horizontal="left" readingOrder="0" vertical="center"/>
    </xf>
    <xf borderId="22" fillId="4" fontId="9" numFmtId="0" xfId="0" applyAlignment="1" applyBorder="1" applyFont="1">
      <alignment horizontal="left" readingOrder="0" vertical="bottom"/>
    </xf>
    <xf borderId="22" fillId="0" fontId="9" numFmtId="0" xfId="0" applyAlignment="1" applyBorder="1" applyFont="1">
      <alignment vertical="bottom"/>
    </xf>
    <xf borderId="57" fillId="0" fontId="16" numFmtId="0" xfId="0" applyAlignment="1" applyBorder="1" applyFont="1">
      <alignment vertical="center"/>
    </xf>
    <xf borderId="27" fillId="18" fontId="6" numFmtId="0" xfId="0" applyAlignment="1" applyBorder="1" applyFont="1">
      <alignment vertical="bottom"/>
    </xf>
    <xf borderId="22" fillId="8" fontId="9" numFmtId="0" xfId="0" applyAlignment="1" applyBorder="1" applyFont="1">
      <alignment horizontal="left" readingOrder="0" vertical="center"/>
    </xf>
    <xf borderId="27" fillId="7" fontId="6" numFmtId="0" xfId="0" applyAlignment="1" applyBorder="1" applyFont="1">
      <alignment vertical="bottom"/>
    </xf>
    <xf borderId="58" fillId="0" fontId="16" numFmtId="0" xfId="0" applyAlignment="1" applyBorder="1" applyFont="1">
      <alignment vertical="center"/>
    </xf>
    <xf borderId="30" fillId="0" fontId="9" numFmtId="0" xfId="0" applyAlignment="1" applyBorder="1" applyFont="1">
      <alignment horizontal="center" readingOrder="0" vertical="bottom"/>
    </xf>
    <xf borderId="30" fillId="15" fontId="11" numFmtId="0" xfId="0" applyAlignment="1" applyBorder="1" applyFont="1">
      <alignment vertical="center"/>
    </xf>
    <xf borderId="5" fillId="4" fontId="11" numFmtId="0" xfId="0" applyAlignment="1" applyBorder="1" applyFont="1">
      <alignment readingOrder="0" vertical="center"/>
    </xf>
    <xf borderId="30" fillId="0" fontId="9" numFmtId="0" xfId="0" applyAlignment="1" applyBorder="1" applyFont="1">
      <alignment horizontal="center" readingOrder="0" shrinkToFit="0" vertical="center" wrapText="1"/>
    </xf>
    <xf borderId="30" fillId="27" fontId="0" numFmtId="0" xfId="0" applyAlignment="1" applyBorder="1" applyFill="1" applyFont="1">
      <alignment readingOrder="0" vertical="center"/>
    </xf>
    <xf borderId="5" fillId="22" fontId="33" numFmtId="1" xfId="0" applyAlignment="1" applyBorder="1" applyFont="1" applyNumberFormat="1">
      <alignment horizontal="center" vertical="bottom"/>
    </xf>
    <xf borderId="30" fillId="4" fontId="9" numFmtId="0" xfId="0" applyAlignment="1" applyBorder="1" applyFont="1">
      <alignment horizontal="left" readingOrder="0" vertical="bottom"/>
    </xf>
    <xf borderId="5" fillId="22" fontId="33" numFmtId="168" xfId="0" applyAlignment="1" applyBorder="1" applyFont="1" applyNumberFormat="1">
      <alignment horizontal="center" vertical="bottom"/>
    </xf>
    <xf borderId="30" fillId="0" fontId="9" numFmtId="0" xfId="0" applyAlignment="1" applyBorder="1" applyFont="1">
      <alignment readingOrder="0" shrinkToFit="0" vertical="center" wrapText="1"/>
    </xf>
    <xf borderId="30" fillId="0" fontId="6" numFmtId="0" xfId="0" applyAlignment="1" applyBorder="1" applyFont="1">
      <alignment horizontal="center" vertical="bottom"/>
    </xf>
    <xf borderId="59" fillId="0" fontId="16" numFmtId="0" xfId="0" applyAlignment="1" applyBorder="1" applyFont="1">
      <alignment vertical="center"/>
    </xf>
    <xf borderId="22" fillId="17" fontId="22" numFmtId="0" xfId="0" applyAlignment="1" applyBorder="1" applyFont="1">
      <alignment readingOrder="0" vertical="center"/>
    </xf>
    <xf borderId="0" fillId="4" fontId="9" numFmtId="0" xfId="0" applyAlignment="1" applyFont="1">
      <alignment horizontal="center" readingOrder="0" vertical="bottom"/>
    </xf>
    <xf borderId="0" fillId="4" fontId="11" numFmtId="0" xfId="0" applyAlignment="1" applyFont="1">
      <alignment readingOrder="0" vertical="center"/>
    </xf>
    <xf borderId="0" fillId="4" fontId="9" numFmtId="0" xfId="0" applyAlignment="1" applyFont="1">
      <alignment horizontal="center" readingOrder="0" shrinkToFit="0" vertical="center" wrapText="1"/>
    </xf>
    <xf borderId="0" fillId="4" fontId="61" numFmtId="0" xfId="0" applyAlignment="1" applyFont="1">
      <alignment horizontal="center" readingOrder="0" shrinkToFit="0" vertical="center" wrapText="1"/>
    </xf>
    <xf borderId="1" fillId="18" fontId="0" numFmtId="0" xfId="0" applyAlignment="1" applyBorder="1" applyFont="1">
      <alignment horizontal="left" readingOrder="0" shrinkToFit="0" vertical="center" wrapText="1"/>
    </xf>
    <xf borderId="0" fillId="4" fontId="9" numFmtId="0" xfId="0" applyAlignment="1" applyFont="1">
      <alignment horizontal="center" vertical="center"/>
    </xf>
    <xf borderId="0" fillId="4" fontId="0" numFmtId="0" xfId="0" applyAlignment="1" applyFont="1">
      <alignment readingOrder="0" vertical="center"/>
    </xf>
    <xf borderId="0" fillId="4" fontId="9" numFmtId="0" xfId="0" applyAlignment="1" applyFont="1">
      <alignment horizontal="left" readingOrder="0" vertical="bottom"/>
    </xf>
    <xf borderId="0" fillId="4" fontId="62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readingOrder="0" shrinkToFit="0" vertical="center" wrapText="1"/>
    </xf>
    <xf borderId="0" fillId="4" fontId="6" numFmtId="0" xfId="0" applyAlignment="1" applyFont="1">
      <alignment horizontal="center" vertical="bottom"/>
    </xf>
    <xf borderId="0" fillId="4" fontId="33" numFmtId="0" xfId="0" applyAlignment="1" applyFont="1">
      <alignment readingOrder="0" vertical="center"/>
    </xf>
    <xf borderId="0" fillId="20" fontId="61" numFmtId="0" xfId="0" applyAlignment="1" applyFont="1">
      <alignment horizontal="center" vertical="center"/>
    </xf>
    <xf borderId="0" fillId="20" fontId="11" numFmtId="0" xfId="0" applyAlignment="1" applyFont="1">
      <alignment horizontal="center" vertical="center"/>
    </xf>
    <xf borderId="0" fillId="4" fontId="11" numFmtId="0" xfId="0" applyAlignment="1" applyFont="1">
      <alignment horizontal="center" vertical="center"/>
    </xf>
    <xf borderId="0" fillId="20" fontId="7" numFmtId="0" xfId="0" applyAlignment="1" applyFont="1">
      <alignment shrinkToFit="0" vertical="center" wrapText="1"/>
    </xf>
    <xf borderId="5" fillId="18" fontId="22" numFmtId="0" xfId="0" applyAlignment="1" applyBorder="1" applyFont="1">
      <alignment readingOrder="0" vertical="center"/>
    </xf>
    <xf borderId="5" fillId="13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bottom"/>
    </xf>
    <xf borderId="12" fillId="4" fontId="63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readingOrder="0" shrinkToFit="0" vertical="center" wrapText="1"/>
    </xf>
    <xf borderId="1" fillId="4" fontId="62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readingOrder="0" vertical="center"/>
    </xf>
    <xf borderId="5" fillId="17" fontId="9" numFmtId="0" xfId="0" applyAlignment="1" applyBorder="1" applyFont="1">
      <alignment readingOrder="0" vertical="center"/>
    </xf>
    <xf borderId="5" fillId="28" fontId="0" numFmtId="0" xfId="0" applyAlignment="1" applyBorder="1" applyFill="1" applyFont="1">
      <alignment horizontal="left" readingOrder="0" shrinkToFit="0" vertical="center" wrapText="1"/>
    </xf>
    <xf borderId="5" fillId="4" fontId="9" numFmtId="0" xfId="0" applyAlignment="1" applyBorder="1" applyFont="1">
      <alignment horizontal="center" readingOrder="0" shrinkToFit="0" vertical="center" wrapText="1"/>
    </xf>
    <xf borderId="5" fillId="18" fontId="9" numFmtId="0" xfId="0" applyAlignment="1" applyBorder="1" applyFont="1">
      <alignment readingOrder="0" vertical="center"/>
    </xf>
    <xf borderId="22" fillId="4" fontId="61" numFmtId="0" xfId="0" applyAlignment="1" applyBorder="1" applyFont="1">
      <alignment horizontal="center" readingOrder="0" shrinkToFit="0" vertical="center" wrapText="1"/>
    </xf>
    <xf borderId="5" fillId="28" fontId="7" numFmtId="0" xfId="0" applyAlignment="1" applyBorder="1" applyFont="1">
      <alignment horizontal="left" readingOrder="0" shrinkToFit="0" vertical="center" wrapText="1"/>
    </xf>
    <xf borderId="22" fillId="20" fontId="9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left" readingOrder="0" vertical="center"/>
    </xf>
    <xf borderId="22" fillId="4" fontId="9" numFmtId="0" xfId="0" applyAlignment="1" applyBorder="1" applyFont="1">
      <alignment readingOrder="0" shrinkToFit="0" vertical="center" wrapText="1"/>
    </xf>
    <xf borderId="30" fillId="6" fontId="7" numFmtId="0" xfId="0" applyAlignment="1" applyBorder="1" applyFont="1">
      <alignment horizontal="left" readingOrder="0" shrinkToFit="0" vertical="center" wrapText="1"/>
    </xf>
    <xf borderId="26" fillId="0" fontId="9" numFmtId="0" xfId="0" applyAlignment="1" applyBorder="1" applyFont="1">
      <alignment horizontal="center" readingOrder="0" vertical="center"/>
    </xf>
    <xf borderId="5" fillId="4" fontId="33" numFmtId="49" xfId="0" applyAlignment="1" applyBorder="1" applyFont="1" applyNumberFormat="1">
      <alignment horizontal="center" vertical="center"/>
    </xf>
    <xf borderId="0" fillId="0" fontId="0" numFmtId="3" xfId="0" applyAlignment="1" applyFont="1" applyNumberFormat="1">
      <alignment horizontal="center" readingOrder="0" shrinkToFit="0" vertical="center" wrapText="1"/>
    </xf>
    <xf borderId="22" fillId="15" fontId="9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vertical="center" wrapText="1"/>
    </xf>
    <xf borderId="5" fillId="4" fontId="32" numFmtId="164" xfId="0" applyAlignment="1" applyBorder="1" applyFont="1" applyNumberFormat="1">
      <alignment horizontal="center" vertical="center"/>
    </xf>
    <xf borderId="22" fillId="4" fontId="9" numFmtId="0" xfId="0" applyAlignment="1" applyBorder="1" applyFont="1">
      <alignment readingOrder="0" vertical="center"/>
    </xf>
    <xf borderId="22" fillId="0" fontId="9" numFmtId="0" xfId="0" applyAlignment="1" applyBorder="1" applyFont="1">
      <alignment horizontal="center" readingOrder="0" vertical="bottom"/>
    </xf>
    <xf borderId="5" fillId="4" fontId="33" numFmtId="0" xfId="0" applyAlignment="1" applyBorder="1" applyFont="1">
      <alignment horizontal="right" vertical="center"/>
    </xf>
    <xf borderId="22" fillId="25" fontId="9" numFmtId="0" xfId="0" applyAlignment="1" applyBorder="1" applyFont="1">
      <alignment horizontal="left" readingOrder="0" vertical="center"/>
    </xf>
    <xf borderId="0" fillId="0" fontId="64" numFmtId="0" xfId="0" applyAlignment="1" applyFont="1">
      <alignment horizontal="left" shrinkToFit="0" vertical="center" wrapText="1"/>
    </xf>
    <xf borderId="0" fillId="0" fontId="11" numFmtId="3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55" numFmtId="0" xfId="0" applyAlignment="1" applyFont="1">
      <alignment horizontal="center" shrinkToFit="0" vertical="center" wrapText="1"/>
    </xf>
    <xf borderId="0" fillId="0" fontId="55" numFmtId="0" xfId="0" applyAlignment="1" applyFont="1">
      <alignment horizontal="left" shrinkToFit="0" vertical="center" wrapText="1"/>
    </xf>
    <xf borderId="30" fillId="4" fontId="9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left" shrinkToFit="0" vertical="center" wrapText="1"/>
    </xf>
    <xf borderId="30" fillId="15" fontId="9" numFmtId="0" xfId="0" applyAlignment="1" applyBorder="1" applyFont="1">
      <alignment vertical="bottom"/>
    </xf>
    <xf borderId="0" fillId="0" fontId="9" numFmtId="0" xfId="0" applyAlignment="1" applyFont="1">
      <alignment horizontal="center" shrinkToFit="0" vertical="center" wrapText="1"/>
    </xf>
    <xf borderId="30" fillId="4" fontId="60" numFmtId="0" xfId="0" applyAlignment="1" applyBorder="1" applyFont="1">
      <alignment readingOrder="0" vertical="center"/>
    </xf>
    <xf borderId="30" fillId="6" fontId="9" numFmtId="0" xfId="0" applyAlignment="1" applyBorder="1" applyFont="1">
      <alignment horizontal="left" readingOrder="0" shrinkToFit="0" vertical="center" wrapText="1"/>
    </xf>
    <xf borderId="30" fillId="4" fontId="9" numFmtId="0" xfId="0" applyAlignment="1" applyBorder="1" applyFont="1">
      <alignment horizontal="left" readingOrder="0" shrinkToFit="0" vertical="center" wrapText="1"/>
    </xf>
    <xf borderId="30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4" fontId="9" numFmtId="0" xfId="0" applyAlignment="1" applyFont="1">
      <alignment readingOrder="0" vertical="center"/>
    </xf>
    <xf borderId="0" fillId="4" fontId="63" numFmtId="0" xfId="0" applyAlignment="1" applyFont="1">
      <alignment horizontal="center" vertical="center"/>
    </xf>
    <xf borderId="0" fillId="20" fontId="9" numFmtId="0" xfId="0" applyAlignment="1" applyFont="1">
      <alignment horizontal="center" vertical="center"/>
    </xf>
    <xf borderId="0" fillId="4" fontId="9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vertical="bottom"/>
    </xf>
    <xf borderId="1" fillId="13" fontId="9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ont="1">
      <alignment vertical="bottom"/>
    </xf>
    <xf borderId="12" fillId="4" fontId="61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left" readingOrder="0" vertical="center"/>
    </xf>
    <xf borderId="12" fillId="0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vertical="bottom"/>
    </xf>
    <xf borderId="14" fillId="0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readingOrder="0" vertical="center"/>
    </xf>
    <xf borderId="5" fillId="4" fontId="9" numFmtId="0" xfId="0" applyAlignment="1" applyBorder="1" applyFont="1">
      <alignment readingOrder="0" shrinkToFit="0" vertical="center" wrapText="1"/>
    </xf>
    <xf borderId="5" fillId="21" fontId="9" numFmtId="0" xfId="0" applyAlignment="1" applyBorder="1" applyFont="1">
      <alignment horizontal="center" readingOrder="0" shrinkToFit="0" vertical="center" wrapText="1"/>
    </xf>
    <xf borderId="22" fillId="20" fontId="63" numFmtId="0" xfId="0" applyAlignment="1" applyBorder="1" applyFont="1">
      <alignment horizontal="center" readingOrder="0" shrinkToFit="0" vertical="center" wrapText="1"/>
    </xf>
    <xf borderId="5" fillId="17" fontId="9" numFmtId="0" xfId="0" applyAlignment="1" applyBorder="1" applyFont="1">
      <alignment horizontal="left" readingOrder="0" vertical="center"/>
    </xf>
    <xf borderId="30" fillId="4" fontId="9" numFmtId="0" xfId="0" applyAlignment="1" applyBorder="1" applyFont="1">
      <alignment horizontal="center" vertical="bottom"/>
    </xf>
    <xf borderId="30" fillId="0" fontId="11" numFmtId="0" xfId="0" applyAlignment="1" applyBorder="1" applyFont="1">
      <alignment horizontal="center" readingOrder="0" vertical="center"/>
    </xf>
    <xf borderId="5" fillId="27" fontId="9" numFmtId="0" xfId="0" applyAlignment="1" applyBorder="1" applyFont="1">
      <alignment horizontal="left" readingOrder="0" vertical="center"/>
    </xf>
    <xf borderId="30" fillId="4" fontId="11" numFmtId="0" xfId="0" applyAlignment="1" applyBorder="1" applyFont="1">
      <alignment readingOrder="0" vertical="center"/>
    </xf>
    <xf borderId="0" fillId="20" fontId="11" numFmtId="0" xfId="0" applyAlignment="1" applyFont="1">
      <alignment vertical="center"/>
    </xf>
    <xf borderId="0" fillId="20" fontId="11" numFmtId="0" xfId="0" applyAlignment="1" applyFont="1">
      <alignment horizontal="center" vertical="center"/>
    </xf>
    <xf borderId="1" fillId="4" fontId="9" numFmtId="0" xfId="0" applyAlignment="1" applyBorder="1" applyFont="1">
      <alignment horizontal="left" readingOrder="0" vertical="center"/>
    </xf>
    <xf borderId="0" fillId="20" fontId="6" numFmtId="0" xfId="0" applyAlignment="1" applyFont="1">
      <alignment horizontal="center" vertical="center"/>
    </xf>
    <xf borderId="0" fillId="20" fontId="6" numFmtId="0" xfId="0" applyAlignment="1" applyFont="1">
      <alignment horizontal="center" vertical="bottom"/>
    </xf>
    <xf borderId="13" fillId="15" fontId="6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readingOrder="0" vertical="center"/>
    </xf>
    <xf borderId="1" fillId="20" fontId="57" numFmtId="0" xfId="0" applyAlignment="1" applyBorder="1" applyFont="1">
      <alignment horizontal="center" readingOrder="0" shrinkToFit="0" vertical="center" wrapText="1"/>
    </xf>
    <xf borderId="1" fillId="20" fontId="9" numFmtId="0" xfId="0" applyAlignment="1" applyBorder="1" applyFont="1">
      <alignment horizontal="center" readingOrder="0" vertical="center"/>
    </xf>
    <xf borderId="30" fillId="6" fontId="9" numFmtId="0" xfId="0" applyAlignment="1" applyBorder="1" applyFont="1">
      <alignment readingOrder="0" vertical="center"/>
    </xf>
    <xf borderId="5" fillId="4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center"/>
    </xf>
    <xf borderId="5" fillId="4" fontId="65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shrinkToFit="0" vertical="center" wrapText="1"/>
    </xf>
    <xf borderId="11" fillId="0" fontId="9" numFmtId="0" xfId="0" applyAlignment="1" applyBorder="1" applyFont="1">
      <alignment horizontal="center" vertical="center"/>
    </xf>
    <xf borderId="22" fillId="20" fontId="57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horizontal="left" readingOrder="0" vertical="center"/>
    </xf>
    <xf borderId="22" fillId="4" fontId="66" numFmtId="0" xfId="0" applyAlignment="1" applyBorder="1" applyFont="1">
      <alignment horizontal="center" readingOrder="0" shrinkToFit="0" vertical="center" wrapText="1"/>
    </xf>
    <xf borderId="37" fillId="6" fontId="9" numFmtId="0" xfId="0" applyAlignment="1" applyBorder="1" applyFont="1">
      <alignment horizontal="left" readingOrder="0" vertical="center"/>
    </xf>
    <xf borderId="22" fillId="4" fontId="9" numFmtId="0" xfId="0" applyAlignment="1" applyBorder="1" applyFont="1">
      <alignment readingOrder="0" vertical="bottom"/>
    </xf>
    <xf borderId="5" fillId="4" fontId="9" numFmtId="0" xfId="0" applyAlignment="1" applyBorder="1" applyFont="1">
      <alignment readingOrder="0" vertical="center"/>
    </xf>
    <xf borderId="5" fillId="23" fontId="9" numFmtId="0" xfId="0" applyAlignment="1" applyBorder="1" applyFont="1">
      <alignment horizontal="left" readingOrder="0" vertical="center"/>
    </xf>
    <xf borderId="5" fillId="4" fontId="40" numFmtId="0" xfId="0" applyAlignment="1" applyBorder="1" applyFont="1">
      <alignment readingOrder="0" vertical="center"/>
    </xf>
    <xf borderId="30" fillId="4" fontId="11" numFmtId="0" xfId="0" applyAlignment="1" applyBorder="1" applyFont="1">
      <alignment vertical="center"/>
    </xf>
    <xf borderId="0" fillId="20" fontId="67" numFmtId="0" xfId="0" applyAlignment="1" applyFont="1">
      <alignment horizontal="center" vertical="center"/>
    </xf>
    <xf borderId="0" fillId="4" fontId="9" numFmtId="0" xfId="0" applyAlignment="1" applyFont="1">
      <alignment horizontal="left" vertical="bottom"/>
    </xf>
    <xf borderId="9" fillId="15" fontId="6" numFmtId="0" xfId="0" applyAlignment="1" applyBorder="1" applyFont="1">
      <alignment horizontal="center" vertical="center"/>
    </xf>
    <xf borderId="34" fillId="15" fontId="9" numFmtId="0" xfId="0" applyAlignment="1" applyBorder="1" applyFont="1">
      <alignment vertical="bottom"/>
    </xf>
    <xf borderId="12" fillId="20" fontId="68" numFmtId="0" xfId="0" applyAlignment="1" applyBorder="1" applyFont="1">
      <alignment horizontal="center" readingOrder="0" shrinkToFit="0" vertical="center" wrapText="1"/>
    </xf>
    <xf borderId="12" fillId="4" fontId="6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vertical="bottom"/>
    </xf>
    <xf borderId="12" fillId="0" fontId="4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readingOrder="0" vertical="center"/>
    </xf>
    <xf borderId="5" fillId="21" fontId="7" numFmtId="0" xfId="0" applyAlignment="1" applyBorder="1" applyFont="1">
      <alignment horizontal="center" readingOrder="0" vertical="center"/>
    </xf>
    <xf borderId="22" fillId="20" fontId="9" numFmtId="0" xfId="0" applyAlignment="1" applyBorder="1" applyFont="1">
      <alignment horizontal="center" readingOrder="0" shrinkToFit="0" vertical="center" wrapText="1"/>
    </xf>
    <xf borderId="30" fillId="18" fontId="9" numFmtId="0" xfId="0" applyAlignment="1" applyBorder="1" applyFont="1">
      <alignment readingOrder="0" vertical="center"/>
    </xf>
    <xf borderId="22" fillId="0" fontId="7" numFmtId="0" xfId="0" applyAlignment="1" applyBorder="1" applyFont="1">
      <alignment horizontal="center" readingOrder="0" vertical="center"/>
    </xf>
    <xf borderId="30" fillId="14" fontId="9" numFmtId="0" xfId="0" applyAlignment="1" applyBorder="1" applyFont="1">
      <alignment readingOrder="0" vertical="center"/>
    </xf>
    <xf borderId="22" fillId="4" fontId="65" numFmtId="0" xfId="0" applyAlignment="1" applyBorder="1" applyFont="1">
      <alignment readingOrder="0" vertical="center"/>
    </xf>
    <xf borderId="30" fillId="0" fontId="7" numFmtId="0" xfId="0" applyAlignment="1" applyBorder="1" applyFont="1">
      <alignment horizontal="center" vertical="center"/>
    </xf>
    <xf borderId="5" fillId="15" fontId="11" numFmtId="0" xfId="0" applyAlignment="1" applyBorder="1" applyFont="1">
      <alignment vertical="center"/>
    </xf>
    <xf borderId="5" fillId="4" fontId="11" numFmtId="0" xfId="0" applyAlignment="1" applyBorder="1" applyFont="1">
      <alignment readingOrder="0" vertical="center"/>
    </xf>
    <xf borderId="22" fillId="0" fontId="11" numFmtId="0" xfId="0" applyAlignment="1" applyBorder="1" applyFont="1">
      <alignment horizontal="center" readingOrder="0" vertical="center"/>
    </xf>
    <xf borderId="30" fillId="17" fontId="9" numFmtId="0" xfId="0" applyAlignment="1" applyBorder="1" applyFont="1">
      <alignment readingOrder="0" vertical="center"/>
    </xf>
    <xf borderId="30" fillId="4" fontId="11" numFmtId="0" xfId="0" applyAlignment="1" applyBorder="1" applyFont="1">
      <alignment horizontal="left" readingOrder="0" vertical="center"/>
    </xf>
    <xf borderId="30" fillId="0" fontId="11" numFmtId="0" xfId="0" applyAlignment="1" applyBorder="1" applyFont="1">
      <alignment readingOrder="0" vertical="center"/>
    </xf>
    <xf borderId="30" fillId="0" fontId="11" numFmtId="0" xfId="0" applyAlignment="1" applyBorder="1" applyFont="1">
      <alignment vertical="center"/>
    </xf>
    <xf borderId="0" fillId="4" fontId="7" numFmtId="0" xfId="0" applyAlignment="1" applyFont="1">
      <alignment horizontal="center" vertical="center"/>
    </xf>
    <xf borderId="0" fillId="4" fontId="66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vertical="center"/>
    </xf>
    <xf borderId="0" fillId="4" fontId="9" numFmtId="0" xfId="0" applyAlignment="1" applyFont="1">
      <alignment horizontal="left" readingOrder="0" vertical="center"/>
    </xf>
    <xf borderId="0" fillId="4" fontId="69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center"/>
    </xf>
    <xf borderId="0" fillId="4" fontId="11" numFmtId="0" xfId="0" applyAlignment="1" applyFont="1">
      <alignment shrinkToFit="0" vertical="center" wrapText="1"/>
    </xf>
    <xf borderId="0" fillId="4" fontId="11" numFmtId="0" xfId="0" applyAlignment="1" applyFont="1">
      <alignment horizontal="left" vertical="center"/>
    </xf>
    <xf borderId="2" fillId="4" fontId="6" numFmtId="0" xfId="0" applyAlignment="1" applyBorder="1" applyFont="1">
      <alignment horizontal="center" readingOrder="0" vertical="center"/>
    </xf>
    <xf borderId="0" fillId="20" fontId="6" numFmtId="0" xfId="0" applyAlignment="1" applyFont="1">
      <alignment horizontal="left" vertical="bottom"/>
    </xf>
    <xf borderId="13" fillId="20" fontId="70" numFmtId="0" xfId="0" applyAlignment="1" applyBorder="1" applyFont="1">
      <alignment horizontal="center" vertical="center"/>
    </xf>
    <xf borderId="1" fillId="17" fontId="9" numFmtId="0" xfId="0" applyAlignment="1" applyBorder="1" applyFont="1">
      <alignment horizontal="center" readingOrder="0" shrinkToFit="0" vertical="center" wrapText="1"/>
    </xf>
    <xf borderId="1" fillId="4" fontId="71" numFmtId="0" xfId="0" applyAlignment="1" applyBorder="1" applyFont="1">
      <alignment vertical="bottom"/>
    </xf>
    <xf borderId="5" fillId="3" fontId="6" numFmtId="0" xfId="0" applyAlignment="1" applyBorder="1" applyFont="1">
      <alignment readingOrder="0" shrinkToFit="0" vertical="center" wrapText="1"/>
    </xf>
    <xf borderId="1" fillId="0" fontId="71" numFmtId="0" xfId="0" applyAlignment="1" applyBorder="1" applyFont="1">
      <alignment horizontal="center" readingOrder="0" vertical="bottom"/>
    </xf>
    <xf borderId="12" fillId="0" fontId="72" numFmtId="0" xfId="0" applyAlignment="1" applyBorder="1" applyFont="1">
      <alignment horizontal="center" readingOrder="0" shrinkToFit="0" vertical="center" wrapText="1"/>
    </xf>
    <xf borderId="12" fillId="4" fontId="71" numFmtId="0" xfId="0" applyAlignment="1" applyBorder="1" applyFont="1">
      <alignment horizontal="center" readingOrder="0" vertical="center"/>
    </xf>
    <xf borderId="1" fillId="6" fontId="73" numFmtId="0" xfId="0" applyAlignment="1" applyBorder="1" applyFont="1">
      <alignment horizontal="left" readingOrder="0" vertical="center"/>
    </xf>
    <xf borderId="1" fillId="20" fontId="9" numFmtId="0" xfId="0" applyAlignment="1" applyBorder="1" applyFont="1">
      <alignment horizontal="left" readingOrder="0" vertical="bottom"/>
    </xf>
    <xf borderId="12" fillId="0" fontId="9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left" readingOrder="0" shrinkToFit="0" vertical="center" wrapText="1"/>
    </xf>
    <xf borderId="1" fillId="4" fontId="9" numFmtId="0" xfId="0" applyAlignment="1" applyBorder="1" applyFont="1">
      <alignment readingOrder="0" vertical="bottom"/>
    </xf>
    <xf borderId="5" fillId="29" fontId="9" numFmtId="0" xfId="0" applyAlignment="1" applyBorder="1" applyFill="1" applyFont="1">
      <alignment horizontal="center" readingOrder="0" shrinkToFit="0" vertical="center" wrapText="1"/>
    </xf>
    <xf borderId="5" fillId="0" fontId="71" numFmtId="0" xfId="0" applyAlignment="1" applyBorder="1" applyFont="1">
      <alignment readingOrder="0" vertical="bottom"/>
    </xf>
    <xf borderId="5" fillId="2" fontId="74" numFmtId="0" xfId="0" applyAlignment="1" applyBorder="1" applyFont="1">
      <alignment readingOrder="0" vertical="center"/>
    </xf>
    <xf borderId="5" fillId="0" fontId="71" numFmtId="0" xfId="0" applyAlignment="1" applyBorder="1" applyFont="1">
      <alignment horizontal="center" readingOrder="0" vertical="bottom"/>
    </xf>
    <xf borderId="5" fillId="14" fontId="71" numFmtId="0" xfId="0" applyAlignment="1" applyBorder="1" applyFont="1">
      <alignment horizontal="left" readingOrder="0" vertical="center"/>
    </xf>
    <xf borderId="5" fillId="20" fontId="9" numFmtId="0" xfId="0" applyAlignment="1" applyBorder="1" applyFont="1">
      <alignment horizontal="left" readingOrder="0" vertical="bottom"/>
    </xf>
    <xf borderId="5" fillId="4" fontId="66" numFmtId="0" xfId="0" applyAlignment="1" applyBorder="1" applyFont="1">
      <alignment horizontal="center" readingOrder="0" shrinkToFit="0" vertical="center" wrapText="1"/>
    </xf>
    <xf borderId="5" fillId="25" fontId="9" numFmtId="0" xfId="0" applyAlignment="1" applyBorder="1" applyFont="1">
      <alignment horizontal="center" readingOrder="0" shrinkToFit="0" vertical="center" wrapText="1"/>
    </xf>
    <xf borderId="5" fillId="17" fontId="9" numFmtId="0" xfId="0" applyAlignment="1" applyBorder="1" applyFont="1">
      <alignment readingOrder="0" vertical="bottom"/>
    </xf>
    <xf borderId="30" fillId="18" fontId="74" numFmtId="0" xfId="0" applyAlignment="1" applyBorder="1" applyFont="1">
      <alignment readingOrder="0" vertical="center"/>
    </xf>
    <xf borderId="22" fillId="0" fontId="72" numFmtId="0" xfId="0" applyAlignment="1" applyBorder="1" applyFont="1">
      <alignment horizontal="center" readingOrder="0" shrinkToFit="0" vertical="center" wrapText="1"/>
    </xf>
    <xf borderId="22" fillId="4" fontId="71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vertical="bottom"/>
    </xf>
    <xf borderId="22" fillId="17" fontId="9" numFmtId="0" xfId="0" applyAlignment="1" applyBorder="1" applyFont="1">
      <alignment readingOrder="0" vertical="bottom"/>
    </xf>
    <xf borderId="30" fillId="4" fontId="74" numFmtId="0" xfId="0" applyAlignment="1" applyBorder="1" applyFont="1">
      <alignment readingOrder="0" vertical="center"/>
    </xf>
    <xf borderId="22" fillId="0" fontId="71" numFmtId="0" xfId="0" applyAlignment="1" applyBorder="1" applyFont="1">
      <alignment horizontal="center" readingOrder="0" vertical="bottom"/>
    </xf>
    <xf borderId="22" fillId="23" fontId="73" numFmtId="0" xfId="0" applyAlignment="1" applyBorder="1" applyFont="1">
      <alignment horizontal="left" readingOrder="0" vertical="center"/>
    </xf>
    <xf borderId="22" fillId="20" fontId="9" numFmtId="0" xfId="0" applyAlignment="1" applyBorder="1" applyFont="1">
      <alignment horizontal="left" readingOrder="0" vertical="bottom"/>
    </xf>
    <xf borderId="22" fillId="4" fontId="9" numFmtId="0" xfId="0" applyAlignment="1" applyBorder="1" applyFont="1">
      <alignment horizontal="center" vertical="center"/>
    </xf>
    <xf borderId="22" fillId="4" fontId="9" numFmtId="0" xfId="0" applyAlignment="1" applyBorder="1" applyFont="1">
      <alignment vertical="bottom"/>
    </xf>
    <xf borderId="30" fillId="4" fontId="74" numFmtId="0" xfId="0" applyAlignment="1" applyBorder="1" applyFont="1">
      <alignment readingOrder="0" shrinkToFit="0" vertical="center" wrapText="1"/>
    </xf>
    <xf borderId="30" fillId="4" fontId="75" numFmtId="0" xfId="0" applyAlignment="1" applyBorder="1" applyFont="1">
      <alignment horizontal="left" readingOrder="0" shrinkToFit="0" vertical="center" wrapText="1"/>
    </xf>
    <xf borderId="30" fillId="0" fontId="9" numFmtId="0" xfId="0" applyAlignment="1" applyBorder="1" applyFont="1">
      <alignment horizontal="center" vertical="bottom"/>
    </xf>
    <xf borderId="30" fillId="0" fontId="71" numFmtId="0" xfId="0" applyAlignment="1" applyBorder="1" applyFont="1">
      <alignment vertical="bottom"/>
    </xf>
    <xf borderId="30" fillId="0" fontId="39" numFmtId="0" xfId="0" applyAlignment="1" applyBorder="1" applyFont="1">
      <alignment horizontal="center" readingOrder="0" vertical="center"/>
    </xf>
    <xf borderId="30" fillId="3" fontId="71" numFmtId="0" xfId="0" applyAlignment="1" applyBorder="1" applyFont="1">
      <alignment horizontal="left" readingOrder="0" vertical="center"/>
    </xf>
    <xf borderId="30" fillId="20" fontId="76" numFmtId="0" xfId="0" applyAlignment="1" applyBorder="1" applyFont="1">
      <alignment horizontal="left" readingOrder="0" vertical="center"/>
    </xf>
    <xf borderId="30" fillId="4" fontId="9" numFmtId="0" xfId="0" applyAlignment="1" applyBorder="1" applyFont="1">
      <alignment horizontal="center" vertical="center"/>
    </xf>
    <xf borderId="30" fillId="4" fontId="6" numFmtId="0" xfId="0" applyAlignment="1" applyBorder="1" applyFont="1">
      <alignment horizontal="center" vertical="bottom"/>
    </xf>
    <xf borderId="0" fillId="0" fontId="70" numFmtId="0" xfId="0" applyAlignment="1" applyFont="1">
      <alignment horizontal="center" vertical="center"/>
    </xf>
    <xf borderId="0" fillId="20" fontId="9" numFmtId="0" xfId="0" applyAlignment="1" applyFont="1">
      <alignment horizontal="center" vertical="bottom"/>
    </xf>
    <xf borderId="0" fillId="0" fontId="71" numFmtId="0" xfId="0" applyAlignment="1" applyFont="1">
      <alignment vertical="bottom"/>
    </xf>
    <xf borderId="0" fillId="4" fontId="74" numFmtId="0" xfId="0" applyAlignment="1" applyFont="1">
      <alignment readingOrder="0" vertical="center"/>
    </xf>
    <xf borderId="0" fillId="0" fontId="71" numFmtId="0" xfId="0" applyAlignment="1" applyFont="1">
      <alignment horizontal="center" readingOrder="0" vertical="bottom"/>
    </xf>
    <xf borderId="0" fillId="0" fontId="74" numFmtId="0" xfId="0" applyAlignment="1" applyFont="1">
      <alignment horizontal="center" readingOrder="0" shrinkToFit="0" vertical="center" wrapText="1"/>
    </xf>
    <xf borderId="0" fillId="4" fontId="71" numFmtId="0" xfId="0" applyAlignment="1" applyFont="1">
      <alignment horizontal="center" vertical="center"/>
    </xf>
    <xf borderId="0" fillId="4" fontId="71" numFmtId="0" xfId="0" applyAlignment="1" applyFont="1">
      <alignment horizontal="left" readingOrder="0" vertical="center"/>
    </xf>
    <xf borderId="0" fillId="20" fontId="9" numFmtId="0" xfId="0" applyAlignment="1" applyFont="1">
      <alignment horizontal="left" readingOrder="0" shrinkToFit="0" vertical="center" wrapText="1"/>
    </xf>
    <xf borderId="13" fillId="4" fontId="70" numFmtId="0" xfId="0" applyAlignment="1" applyBorder="1" applyFont="1">
      <alignment horizontal="center" vertical="center"/>
    </xf>
    <xf borderId="1" fillId="18" fontId="9" numFmtId="0" xfId="0" applyAlignment="1" applyBorder="1" applyFont="1">
      <alignment horizontal="center" readingOrder="0" shrinkToFit="0" vertical="center" wrapText="1"/>
    </xf>
    <xf borderId="12" fillId="4" fontId="70" numFmtId="0" xfId="0" applyAlignment="1" applyBorder="1" applyFont="1">
      <alignment readingOrder="0" vertical="center"/>
    </xf>
    <xf borderId="12" fillId="0" fontId="77" numFmtId="0" xfId="0" applyAlignment="1" applyBorder="1" applyFont="1">
      <alignment horizontal="center" readingOrder="0" shrinkToFit="0" vertical="center" wrapText="1"/>
    </xf>
    <xf borderId="1" fillId="6" fontId="71" numFmtId="0" xfId="0" applyAlignment="1" applyBorder="1" applyFont="1">
      <alignment horizontal="left" readingOrder="0" shrinkToFit="0" vertical="center" wrapText="1"/>
    </xf>
    <xf borderId="35" fillId="20" fontId="9" numFmtId="0" xfId="0" applyAlignment="1" applyBorder="1" applyFont="1">
      <alignment horizontal="left" readingOrder="0" shrinkToFit="0" vertical="center" wrapText="1"/>
    </xf>
    <xf borderId="34" fillId="0" fontId="9" numFmtId="0" xfId="0" applyAlignment="1" applyBorder="1" applyFont="1">
      <alignment horizontal="center" vertical="center"/>
    </xf>
    <xf borderId="0" fillId="4" fontId="78" numFmtId="0" xfId="0" applyAlignment="1" applyFont="1">
      <alignment readingOrder="0" vertical="center"/>
    </xf>
    <xf borderId="5" fillId="4" fontId="58" numFmtId="0" xfId="0" applyAlignment="1" applyBorder="1" applyFont="1">
      <alignment readingOrder="0" vertical="bottom"/>
    </xf>
    <xf borderId="5" fillId="4" fontId="74" numFmtId="0" xfId="0" applyAlignment="1" applyBorder="1" applyFont="1">
      <alignment readingOrder="0" vertical="center"/>
    </xf>
    <xf borderId="5" fillId="6" fontId="71" numFmtId="0" xfId="0" applyAlignment="1" applyBorder="1" applyFont="1">
      <alignment horizontal="left" readingOrder="0" vertical="center"/>
    </xf>
    <xf borderId="6" fillId="20" fontId="9" numFmtId="0" xfId="0" applyAlignment="1" applyBorder="1" applyFont="1">
      <alignment horizontal="left" readingOrder="0" vertical="bottom"/>
    </xf>
    <xf borderId="7" fillId="0" fontId="9" numFmtId="0" xfId="0" applyAlignment="1" applyBorder="1" applyFont="1">
      <alignment horizontal="center" readingOrder="0" vertical="center"/>
    </xf>
    <xf borderId="8" fillId="4" fontId="9" numFmtId="0" xfId="0" applyAlignment="1" applyBorder="1" applyFont="1">
      <alignment readingOrder="0" vertical="bottom"/>
    </xf>
    <xf borderId="37" fillId="4" fontId="74" numFmtId="0" xfId="0" applyAlignment="1" applyBorder="1" applyFont="1">
      <alignment readingOrder="0" vertical="center"/>
    </xf>
    <xf borderId="56" fillId="0" fontId="77" numFmtId="0" xfId="0" applyAlignment="1" applyBorder="1" applyFont="1">
      <alignment horizontal="center" readingOrder="0" shrinkToFit="0" vertical="center" wrapText="1"/>
    </xf>
    <xf borderId="56" fillId="4" fontId="71" numFmtId="0" xfId="0" applyAlignment="1" applyBorder="1" applyFont="1">
      <alignment horizontal="center" readingOrder="0" vertical="center"/>
    </xf>
    <xf borderId="56" fillId="4" fontId="9" numFmtId="0" xfId="0" applyAlignment="1" applyBorder="1" applyFont="1">
      <alignment readingOrder="0" shrinkToFit="0" vertical="center" wrapText="1"/>
    </xf>
    <xf borderId="37" fillId="4" fontId="9" numFmtId="0" xfId="0" applyAlignment="1" applyBorder="1" applyFont="1">
      <alignment readingOrder="0" shrinkToFit="0" vertical="center" wrapText="1"/>
    </xf>
    <xf borderId="56" fillId="0" fontId="9" numFmtId="0" xfId="0" applyAlignment="1" applyBorder="1" applyFont="1">
      <alignment readingOrder="0" shrinkToFit="0" vertical="center" wrapText="1"/>
    </xf>
    <xf borderId="57" fillId="0" fontId="9" numFmtId="0" xfId="0" applyAlignment="1" applyBorder="1" applyFont="1">
      <alignment horizontal="center" readingOrder="0" vertical="center"/>
    </xf>
    <xf borderId="5" fillId="4" fontId="70" numFmtId="0" xfId="0" applyAlignment="1" applyBorder="1" applyFont="1">
      <alignment horizontal="left" readingOrder="0" vertical="center"/>
    </xf>
    <xf borderId="1" fillId="4" fontId="79" numFmtId="0" xfId="0" applyAlignment="1" applyBorder="1" applyFont="1">
      <alignment readingOrder="0" shrinkToFit="0" vertical="center" wrapText="1"/>
    </xf>
    <xf borderId="22" fillId="0" fontId="33" numFmtId="0" xfId="0" applyAlignment="1" applyBorder="1" applyFont="1">
      <alignment horizontal="center" readingOrder="0" shrinkToFit="0" vertical="center" wrapText="1"/>
    </xf>
    <xf borderId="5" fillId="2" fontId="71" numFmtId="0" xfId="0" applyAlignment="1" applyBorder="1" applyFont="1">
      <alignment horizontal="left" readingOrder="0" shrinkToFit="0" vertical="center" wrapText="1"/>
    </xf>
    <xf borderId="6" fillId="20" fontId="9" numFmtId="0" xfId="0" applyAlignment="1" applyBorder="1" applyFont="1">
      <alignment horizontal="left" readingOrder="0" shrinkToFit="0" vertical="center" wrapText="1"/>
    </xf>
    <xf borderId="8" fillId="0" fontId="9" numFmtId="0" xfId="0" applyAlignment="1" applyBorder="1" applyFont="1">
      <alignment horizontal="center" vertical="center"/>
    </xf>
    <xf borderId="37" fillId="4" fontId="9" numFmtId="0" xfId="0" applyAlignment="1" applyBorder="1" applyFont="1">
      <alignment horizontal="center" readingOrder="0" shrinkToFit="0" vertical="center" wrapText="1"/>
    </xf>
    <xf borderId="30" fillId="4" fontId="9" numFmtId="0" xfId="0" applyAlignment="1" applyBorder="1" applyFont="1">
      <alignment horizontal="center" readingOrder="0" shrinkToFit="0" vertical="center" wrapText="1"/>
    </xf>
    <xf borderId="30" fillId="4" fontId="71" numFmtId="0" xfId="0" applyAlignment="1" applyBorder="1" applyFont="1">
      <alignment vertical="bottom"/>
    </xf>
    <xf borderId="30" fillId="4" fontId="71" numFmtId="0" xfId="0" applyAlignment="1" applyBorder="1" applyFont="1">
      <alignment readingOrder="0" vertical="center"/>
    </xf>
    <xf borderId="5" fillId="23" fontId="71" numFmtId="0" xfId="0" applyAlignment="1" applyBorder="1" applyFont="1">
      <alignment horizontal="left" readingOrder="0" shrinkToFit="0" vertical="center" wrapText="1"/>
    </xf>
    <xf borderId="33" fillId="20" fontId="76" numFmtId="0" xfId="0" applyAlignment="1" applyBorder="1" applyFont="1">
      <alignment horizontal="left" readingOrder="0" vertical="center"/>
    </xf>
    <xf borderId="32" fillId="0" fontId="6" numFmtId="0" xfId="0" applyAlignment="1" applyBorder="1" applyFont="1">
      <alignment horizontal="center" vertical="center"/>
    </xf>
    <xf borderId="0" fillId="0" fontId="80" numFmtId="0" xfId="0" applyAlignment="1" applyFont="1">
      <alignment vertical="center"/>
    </xf>
    <xf borderId="0" fillId="4" fontId="80" numFmtId="0" xfId="0" applyAlignment="1" applyFont="1">
      <alignment vertical="center"/>
    </xf>
    <xf borderId="1" fillId="4" fontId="74" numFmtId="0" xfId="0" applyAlignment="1" applyBorder="1" applyFont="1">
      <alignment readingOrder="0" vertical="center"/>
    </xf>
    <xf borderId="0" fillId="4" fontId="39" numFmtId="0" xfId="0" applyAlignment="1" applyFont="1">
      <alignment vertical="center"/>
    </xf>
    <xf borderId="1" fillId="4" fontId="71" numFmtId="0" xfId="0" applyAlignment="1" applyBorder="1" applyFont="1">
      <alignment readingOrder="0" vertical="center"/>
    </xf>
    <xf borderId="12" fillId="0" fontId="74" numFmtId="0" xfId="0" applyAlignment="1" applyBorder="1" applyFont="1">
      <alignment horizontal="center" readingOrder="0" shrinkToFit="0" vertical="center" wrapText="1"/>
    </xf>
    <xf borderId="1" fillId="14" fontId="71" numFmtId="0" xfId="0" applyAlignment="1" applyBorder="1" applyFont="1">
      <alignment horizontal="left" readingOrder="0" shrinkToFit="0" vertical="center" wrapText="1"/>
    </xf>
    <xf borderId="1" fillId="20" fontId="9" numFmtId="0" xfId="0" applyAlignment="1" applyBorder="1" applyFont="1">
      <alignment horizontal="left" readingOrder="0" shrinkToFit="0" vertical="center" wrapText="1"/>
    </xf>
    <xf borderId="34" fillId="4" fontId="9" numFmtId="0" xfId="0" applyAlignment="1" applyBorder="1" applyFont="1">
      <alignment readingOrder="0" vertical="bottom"/>
    </xf>
    <xf borderId="1" fillId="4" fontId="9" numFmtId="0" xfId="0" applyAlignment="1" applyBorder="1" applyFont="1">
      <alignment vertical="bottom"/>
    </xf>
    <xf borderId="5" fillId="22" fontId="4" numFmtId="0" xfId="0" applyAlignment="1" applyBorder="1" applyFont="1">
      <alignment horizontal="right" readingOrder="0" vertical="bottom"/>
    </xf>
    <xf borderId="5" fillId="18" fontId="9" numFmtId="0" xfId="0" applyAlignment="1" applyBorder="1" applyFont="1">
      <alignment horizontal="center" readingOrder="0" shrinkToFit="0" vertical="center" wrapText="1"/>
    </xf>
    <xf borderId="5" fillId="4" fontId="71" numFmtId="0" xfId="0" applyAlignment="1" applyBorder="1" applyFont="1">
      <alignment readingOrder="0" vertical="bottom"/>
    </xf>
    <xf borderId="5" fillId="4" fontId="70" numFmtId="0" xfId="0" applyAlignment="1" applyBorder="1" applyFont="1">
      <alignment readingOrder="0" vertical="center"/>
    </xf>
    <xf borderId="5" fillId="6" fontId="71" numFmtId="0" xfId="0" applyAlignment="1" applyBorder="1" applyFont="1">
      <alignment readingOrder="0" vertical="center"/>
    </xf>
    <xf borderId="56" fillId="0" fontId="74" numFmtId="0" xfId="0" applyAlignment="1" applyBorder="1" applyFont="1">
      <alignment horizontal="center" readingOrder="0" shrinkToFit="0" vertical="center" wrapText="1"/>
    </xf>
    <xf borderId="5" fillId="4" fontId="71" numFmtId="0" xfId="0" applyAlignment="1" applyBorder="1" applyFont="1">
      <alignment horizontal="center" readingOrder="0" vertical="center"/>
    </xf>
    <xf borderId="30" fillId="4" fontId="58" numFmtId="0" xfId="0" applyAlignment="1" applyBorder="1" applyFont="1">
      <alignment horizontal="center" readingOrder="0" shrinkToFit="0" vertical="center" wrapText="1"/>
    </xf>
    <xf borderId="56" fillId="0" fontId="9" numFmtId="0" xfId="0" applyAlignment="1" applyBorder="1" applyFont="1">
      <alignment horizontal="center" vertical="center"/>
    </xf>
    <xf borderId="5" fillId="4" fontId="71" numFmtId="0" xfId="0" applyAlignment="1" applyBorder="1" applyFont="1">
      <alignment readingOrder="0" vertical="center"/>
    </xf>
    <xf borderId="5" fillId="4" fontId="71" numFmtId="0" xfId="0" applyAlignment="1" applyBorder="1" applyFont="1">
      <alignment vertical="bottom"/>
    </xf>
    <xf borderId="5" fillId="22" fontId="32" numFmtId="0" xfId="0" applyAlignment="1" applyBorder="1" applyFont="1">
      <alignment horizontal="right" readingOrder="0" vertical="bottom"/>
    </xf>
    <xf borderId="22" fillId="0" fontId="74" numFmtId="0" xfId="0" applyAlignment="1" applyBorder="1" applyFont="1">
      <alignment horizontal="center" readingOrder="0" shrinkToFit="0" vertical="center" wrapText="1"/>
    </xf>
    <xf borderId="5" fillId="14" fontId="39" numFmtId="0" xfId="0" applyAlignment="1" applyBorder="1" applyFont="1">
      <alignment readingOrder="0" vertical="center"/>
    </xf>
    <xf borderId="54" fillId="4" fontId="74" numFmtId="0" xfId="0" applyAlignment="1" applyBorder="1" applyFont="1">
      <alignment readingOrder="0" vertical="center"/>
    </xf>
    <xf borderId="0" fillId="0" fontId="39" numFmtId="0" xfId="0" applyAlignment="1" applyFont="1">
      <alignment vertical="center"/>
    </xf>
    <xf borderId="0" fillId="4" fontId="71" numFmtId="0" xfId="0" applyAlignment="1" applyFont="1">
      <alignment vertical="bottom"/>
    </xf>
    <xf borderId="0" fillId="4" fontId="71" numFmtId="0" xfId="0" applyAlignment="1" applyFont="1">
      <alignment readingOrder="0" vertical="center"/>
    </xf>
    <xf borderId="0" fillId="0" fontId="39" numFmtId="0" xfId="0" applyAlignment="1" applyFont="1">
      <alignment horizontal="center" vertical="center"/>
    </xf>
    <xf borderId="0" fillId="0" fontId="74" numFmtId="0" xfId="0" applyAlignment="1" applyFont="1">
      <alignment horizontal="center" vertical="center"/>
    </xf>
    <xf borderId="0" fillId="4" fontId="39" numFmtId="0" xfId="0" applyAlignment="1" applyFont="1">
      <alignment horizontal="center" vertical="center"/>
    </xf>
    <xf borderId="5" fillId="4" fontId="71" numFmtId="0" xfId="0" applyAlignment="1" applyBorder="1" applyFont="1">
      <alignment horizontal="left" readingOrder="0" shrinkToFit="0" vertical="center" wrapText="1"/>
    </xf>
    <xf borderId="0" fillId="20" fontId="76" numFmtId="0" xfId="0" applyAlignment="1" applyFont="1">
      <alignment horizontal="left" vertical="center"/>
    </xf>
    <xf borderId="0" fillId="4" fontId="76" numFmtId="0" xfId="0" applyAlignment="1" applyFont="1">
      <alignment horizontal="center" vertical="center"/>
    </xf>
    <xf borderId="1" fillId="4" fontId="9" numFmtId="0" xfId="0" applyAlignment="1" applyBorder="1" applyFont="1">
      <alignment horizontal="center" readingOrder="0" shrinkToFit="0" vertical="center" wrapText="1"/>
    </xf>
    <xf borderId="12" fillId="0" fontId="66" numFmtId="0" xfId="0" applyAlignment="1" applyBorder="1" applyFont="1">
      <alignment horizontal="center" readingOrder="0" shrinkToFit="0" vertical="center" wrapText="1"/>
    </xf>
    <xf borderId="1" fillId="14" fontId="71" numFmtId="0" xfId="0" applyAlignment="1" applyBorder="1" applyFont="1">
      <alignment horizontal="left" readingOrder="0" vertical="center"/>
    </xf>
    <xf borderId="12" fillId="4" fontId="81" numFmtId="0" xfId="0" applyAlignment="1" applyBorder="1" applyFont="1">
      <alignment horizontal="center" readingOrder="0" vertical="center"/>
    </xf>
    <xf borderId="5" fillId="25" fontId="71" numFmtId="0" xfId="0" applyAlignment="1" applyBorder="1" applyFont="1">
      <alignment horizontal="left" readingOrder="0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22" fillId="4" fontId="71" numFmtId="0" xfId="0" applyAlignment="1" applyBorder="1" applyFont="1">
      <alignment readingOrder="0" vertical="center"/>
    </xf>
    <xf borderId="22" fillId="4" fontId="9" numFmtId="0" xfId="0" applyAlignment="1" applyBorder="1" applyFont="1">
      <alignment horizontal="center" shrinkToFit="0" vertical="center" wrapText="1"/>
    </xf>
    <xf borderId="5" fillId="17" fontId="70" numFmtId="0" xfId="0" applyAlignment="1" applyBorder="1" applyFont="1">
      <alignment horizontal="left" readingOrder="0" vertical="center"/>
    </xf>
    <xf borderId="30" fillId="4" fontId="82" numFmtId="0" xfId="0" applyAlignment="1" applyBorder="1" applyFont="1">
      <alignment readingOrder="0" vertical="center"/>
    </xf>
    <xf borderId="13" fillId="0" fontId="70" numFmtId="0" xfId="0" applyAlignment="1" applyBorder="1" applyFont="1">
      <alignment horizontal="center" vertical="center"/>
    </xf>
    <xf borderId="1" fillId="0" fontId="71" numFmtId="0" xfId="0" applyAlignment="1" applyBorder="1" applyFont="1">
      <alignment vertical="bottom"/>
    </xf>
    <xf borderId="1" fillId="14" fontId="70" numFmtId="0" xfId="0" applyAlignment="1" applyBorder="1" applyFont="1">
      <alignment horizontal="left" readingOrder="0" shrinkToFit="0" vertical="center" wrapText="1"/>
    </xf>
    <xf borderId="1" fillId="14" fontId="9" numFmtId="0" xfId="0" applyAlignment="1" applyBorder="1" applyFont="1">
      <alignment horizontal="left" readingOrder="0" vertical="bottom"/>
    </xf>
    <xf borderId="1" fillId="4" fontId="66" numFmtId="0" xfId="0" applyAlignment="1" applyBorder="1" applyFont="1">
      <alignment horizontal="center" readingOrder="0" shrinkToFit="0" vertical="center" wrapText="1"/>
    </xf>
    <xf borderId="30" fillId="14" fontId="9" numFmtId="0" xfId="0" applyAlignment="1" applyBorder="1" applyFont="1">
      <alignment horizontal="left" readingOrder="0" vertical="center"/>
    </xf>
    <xf borderId="56" fillId="0" fontId="66" numFmtId="0" xfId="0" applyAlignment="1" applyBorder="1" applyFont="1">
      <alignment horizontal="center" readingOrder="0" shrinkToFit="0" vertical="center" wrapText="1"/>
    </xf>
    <xf borderId="22" fillId="14" fontId="9" numFmtId="0" xfId="0" applyAlignment="1" applyBorder="1" applyFont="1">
      <alignment horizontal="left" readingOrder="0" vertical="center"/>
    </xf>
    <xf borderId="5" fillId="0" fontId="66" numFmtId="0" xfId="0" applyAlignment="1" applyBorder="1" applyFont="1">
      <alignment horizontal="center" readingOrder="0" shrinkToFit="0" vertical="center" wrapText="1"/>
    </xf>
    <xf borderId="5" fillId="0" fontId="71" numFmtId="0" xfId="0" applyAlignment="1" applyBorder="1" applyFont="1">
      <alignment vertical="bottom"/>
    </xf>
    <xf borderId="22" fillId="0" fontId="80" numFmtId="0" xfId="0" applyAlignment="1" applyBorder="1" applyFont="1">
      <alignment horizontal="center" readingOrder="0" shrinkToFit="0" vertical="center" wrapText="1"/>
    </xf>
    <xf borderId="5" fillId="4" fontId="71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center" vertical="center"/>
    </xf>
    <xf borderId="30" fillId="0" fontId="80" numFmtId="0" xfId="0" applyAlignment="1" applyBorder="1" applyFont="1">
      <alignment vertical="center"/>
    </xf>
    <xf borderId="30" fillId="4" fontId="80" numFmtId="0" xfId="0" applyAlignment="1" applyBorder="1" applyFont="1">
      <alignment readingOrder="0" vertical="center"/>
    </xf>
    <xf borderId="30" fillId="0" fontId="80" numFmtId="0" xfId="0" applyAlignment="1" applyBorder="1" applyFont="1">
      <alignment horizontal="center" readingOrder="0" vertical="center"/>
    </xf>
    <xf borderId="30" fillId="4" fontId="71" numFmtId="0" xfId="0" applyAlignment="1" applyBorder="1" applyFont="1">
      <alignment horizontal="left" readingOrder="0" vertical="center"/>
    </xf>
    <xf borderId="30" fillId="20" fontId="11" numFmtId="0" xfId="0" applyAlignment="1" applyBorder="1" applyFont="1">
      <alignment horizontal="left" readingOrder="0" vertical="center"/>
    </xf>
    <xf borderId="0" fillId="4" fontId="11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4" fontId="6" numFmtId="0" xfId="0" applyAlignment="1" applyFont="1">
      <alignment horizontal="center" readingOrder="0" vertical="center"/>
    </xf>
    <xf borderId="13" fillId="30" fontId="6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readingOrder="0" vertical="center"/>
    </xf>
    <xf borderId="12" fillId="4" fontId="9" numFmtId="0" xfId="0" applyAlignment="1" applyBorder="1" applyFont="1">
      <alignment horizontal="center" readingOrder="0" vertical="center"/>
    </xf>
    <xf borderId="22" fillId="8" fontId="58" numFmtId="0" xfId="0" applyAlignment="1" applyBorder="1" applyFont="1">
      <alignment horizontal="center" readingOrder="0" shrinkToFit="0" vertical="center" wrapText="1"/>
    </xf>
    <xf borderId="12" fillId="17" fontId="66" numFmtId="0" xfId="0" applyAlignment="1" applyBorder="1" applyFont="1">
      <alignment horizontal="center" readingOrder="0" shrinkToFit="0" vertical="center" wrapText="1"/>
    </xf>
    <xf borderId="5" fillId="26" fontId="9" numFmtId="0" xfId="0" applyAlignment="1" applyBorder="1" applyFont="1">
      <alignment horizontal="left" readingOrder="0" vertical="center"/>
    </xf>
    <xf borderId="0" fillId="0" fontId="11" numFmtId="171" xfId="0" applyAlignment="1" applyFont="1" applyNumberFormat="1">
      <alignment readingOrder="0" vertical="center"/>
    </xf>
    <xf borderId="22" fillId="0" fontId="62" numFmtId="0" xfId="0" applyAlignment="1" applyBorder="1" applyFont="1">
      <alignment horizontal="center" readingOrder="0" shrinkToFit="0" vertical="center" wrapText="1"/>
    </xf>
    <xf borderId="5" fillId="22" fontId="32" numFmtId="168" xfId="0" applyAlignment="1" applyBorder="1" applyFont="1" applyNumberFormat="1">
      <alignment horizontal="center" readingOrder="0" vertical="bottom"/>
    </xf>
    <xf borderId="22" fillId="4" fontId="9" numFmtId="0" xfId="0" applyAlignment="1" applyBorder="1" applyFont="1">
      <alignment horizontal="center" readingOrder="0" vertical="center"/>
    </xf>
    <xf borderId="22" fillId="17" fontId="66" numFmtId="0" xfId="0" applyAlignment="1" applyBorder="1" applyFont="1">
      <alignment horizontal="center" readingOrder="0" shrinkToFit="0" vertical="center" wrapText="1"/>
    </xf>
    <xf borderId="30" fillId="4" fontId="33" numFmtId="0" xfId="0" applyAlignment="1" applyBorder="1" applyFont="1">
      <alignment readingOrder="0" vertical="center"/>
    </xf>
    <xf borderId="30" fillId="6" fontId="0" numFmtId="0" xfId="0" applyAlignment="1" applyBorder="1" applyFont="1">
      <alignment readingOrder="0" vertical="center"/>
    </xf>
    <xf borderId="30" fillId="20" fontId="9" numFmtId="0" xfId="0" applyAlignment="1" applyBorder="1" applyFont="1">
      <alignment horizontal="left" readingOrder="0" vertical="bottom"/>
    </xf>
    <xf borderId="0" fillId="20" fontId="26" numFmtId="0" xfId="0" applyAlignment="1" applyFont="1">
      <alignment readingOrder="0" vertical="center"/>
    </xf>
    <xf borderId="0" fillId="20" fontId="9" numFmtId="0" xfId="0" applyAlignment="1" applyFont="1">
      <alignment horizontal="left" readingOrder="0" vertical="bottom"/>
    </xf>
    <xf borderId="13" fillId="0" fontId="6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shrinkToFit="0" vertical="center" wrapText="1"/>
    </xf>
    <xf borderId="12" fillId="29" fontId="9" numFmtId="0" xfId="0" applyAlignment="1" applyBorder="1" applyFont="1">
      <alignment horizontal="left" readingOrder="0" shrinkToFit="0" vertical="center" wrapText="1"/>
    </xf>
    <xf borderId="1" fillId="17" fontId="9" numFmtId="0" xfId="0" applyAlignment="1" applyBorder="1" applyFont="1">
      <alignment readingOrder="0" shrinkToFit="0" vertical="center" wrapText="1"/>
    </xf>
    <xf borderId="8" fillId="20" fontId="9" numFmtId="0" xfId="0" applyAlignment="1" applyBorder="1" applyFont="1">
      <alignment horizontal="left" readingOrder="0" vertical="bottom"/>
    </xf>
    <xf borderId="5" fillId="17" fontId="33" numFmtId="0" xfId="0" applyAlignment="1" applyBorder="1" applyFont="1">
      <alignment readingOrder="0" vertical="center"/>
    </xf>
    <xf borderId="30" fillId="4" fontId="6" numFmtId="0" xfId="0" applyAlignment="1" applyBorder="1" applyFont="1">
      <alignment readingOrder="0" vertical="center"/>
    </xf>
    <xf borderId="23" fillId="4" fontId="9" numFmtId="0" xfId="0" applyAlignment="1" applyBorder="1" applyFont="1">
      <alignment horizontal="center" readingOrder="0" vertical="center"/>
    </xf>
    <xf borderId="8" fillId="20" fontId="9" numFmtId="0" xfId="0" applyAlignment="1" applyBorder="1" applyFont="1">
      <alignment horizontal="left" readingOrder="0" vertical="center"/>
    </xf>
    <xf borderId="5" fillId="22" fontId="33" numFmtId="49" xfId="0" applyAlignment="1" applyBorder="1" applyFont="1" applyNumberFormat="1">
      <alignment horizontal="center" vertical="bottom"/>
    </xf>
    <xf borderId="60" fillId="0" fontId="16" numFmtId="0" xfId="0" applyAlignment="1" applyBorder="1" applyFont="1">
      <alignment vertical="center"/>
    </xf>
    <xf borderId="5" fillId="22" fontId="33" numFmtId="0" xfId="0" applyAlignment="1" applyBorder="1" applyFont="1">
      <alignment horizontal="right" vertical="bottom"/>
    </xf>
    <xf borderId="30" fillId="7" fontId="9" numFmtId="0" xfId="0" applyAlignment="1" applyBorder="1" applyFont="1">
      <alignment horizontal="left" readingOrder="0" shrinkToFit="0" vertical="center" wrapText="1"/>
    </xf>
    <xf borderId="30" fillId="20" fontId="9" numFmtId="0" xfId="0" applyAlignment="1" applyBorder="1" applyFont="1">
      <alignment horizontal="left" readingOrder="0" shrinkToFit="0" vertical="center" wrapText="1"/>
    </xf>
    <xf borderId="30" fillId="4" fontId="9" numFmtId="0" xfId="0" applyAlignment="1" applyBorder="1" applyFont="1">
      <alignment readingOrder="0" vertical="bottom"/>
    </xf>
    <xf borderId="30" fillId="0" fontId="6" numFmtId="0" xfId="0" applyAlignment="1" applyBorder="1" applyFont="1">
      <alignment horizontal="center" readingOrder="0" vertical="bottom"/>
    </xf>
    <xf borderId="0" fillId="20" fontId="9" numFmtId="0" xfId="0" applyAlignment="1" applyFont="1">
      <alignment vertical="bottom"/>
    </xf>
    <xf borderId="0" fillId="20" fontId="9" numFmtId="0" xfId="0" applyAlignment="1" applyFont="1">
      <alignment horizontal="center" readingOrder="0" vertical="bottom"/>
    </xf>
    <xf borderId="13" fillId="7" fontId="6" numFmtId="0" xfId="0" applyAlignment="1" applyBorder="1" applyFont="1">
      <alignment horizontal="center" vertical="center"/>
    </xf>
    <xf borderId="12" fillId="0" fontId="33" numFmtId="0" xfId="0" applyAlignment="1" applyBorder="1" applyFont="1">
      <alignment horizontal="center" readingOrder="0" shrinkToFit="0" vertical="center" wrapText="1"/>
    </xf>
    <xf borderId="12" fillId="8" fontId="58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readingOrder="0" vertical="center"/>
    </xf>
    <xf borderId="5" fillId="20" fontId="9" numFmtId="0" xfId="0" applyAlignment="1" applyBorder="1" applyFont="1">
      <alignment horizontal="center" readingOrder="0" vertical="bottom"/>
    </xf>
    <xf borderId="5" fillId="6" fontId="6" numFmtId="0" xfId="0" applyAlignment="1" applyBorder="1" applyFont="1">
      <alignment horizontal="left" readingOrder="0" vertical="center"/>
    </xf>
    <xf borderId="22" fillId="8" fontId="9" numFmtId="0" xfId="0" applyAlignment="1" applyBorder="1" applyFont="1">
      <alignment readingOrder="0" shrinkToFit="0" vertical="center" wrapText="1"/>
    </xf>
    <xf borderId="30" fillId="4" fontId="9" numFmtId="0" xfId="0" applyAlignment="1" applyBorder="1" applyFont="1">
      <alignment readingOrder="0" vertical="center"/>
    </xf>
    <xf borderId="54" fillId="6" fontId="9" numFmtId="0" xfId="0" applyAlignment="1" applyBorder="1" applyFont="1">
      <alignment horizontal="left" readingOrder="0" shrinkToFit="0" vertical="center" wrapText="1"/>
    </xf>
    <xf borderId="56" fillId="4" fontId="9" numFmtId="0" xfId="0" applyAlignment="1" applyBorder="1" applyFont="1">
      <alignment readingOrder="0" vertical="center"/>
    </xf>
    <xf borderId="0" fillId="20" fontId="9" numFmtId="0" xfId="0" applyAlignment="1" applyFont="1">
      <alignment horizontal="left" readingOrder="0" vertical="center"/>
    </xf>
    <xf borderId="13" fillId="20" fontId="6" numFmtId="0" xfId="0" applyAlignment="1" applyBorder="1" applyFont="1">
      <alignment horizontal="center" vertical="center"/>
    </xf>
    <xf borderId="5" fillId="31" fontId="33" numFmtId="164" xfId="0" applyAlignment="1" applyBorder="1" applyFill="1" applyFont="1" applyNumberFormat="1">
      <alignment horizontal="center" vertical="bottom"/>
    </xf>
    <xf borderId="12" fillId="4" fontId="83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left" readingOrder="0" vertical="center"/>
    </xf>
    <xf borderId="37" fillId="4" fontId="9" numFmtId="0" xfId="0" applyAlignment="1" applyBorder="1" applyFont="1">
      <alignment readingOrder="0" vertical="center"/>
    </xf>
    <xf borderId="5" fillId="14" fontId="6" numFmtId="0" xfId="0" applyAlignment="1" applyBorder="1" applyFont="1">
      <alignment horizontal="left" readingOrder="0" vertical="center"/>
    </xf>
    <xf borderId="5" fillId="17" fontId="9" numFmtId="0" xfId="0" applyAlignment="1" applyBorder="1" applyFont="1">
      <alignment readingOrder="0" shrinkToFit="0" vertical="center" wrapText="1"/>
    </xf>
    <xf borderId="5" fillId="4" fontId="84" numFmtId="0" xfId="0" applyAlignment="1" applyBorder="1" applyFont="1">
      <alignment readingOrder="0" vertical="center"/>
    </xf>
    <xf borderId="5" fillId="0" fontId="11" numFmtId="0" xfId="0" applyAlignment="1" applyBorder="1" applyFont="1">
      <alignment vertical="center"/>
    </xf>
    <xf borderId="30" fillId="7" fontId="6" numFmtId="0" xfId="0" applyAlignment="1" applyBorder="1" applyFont="1">
      <alignment horizontal="left" readingOrder="0" vertical="center"/>
    </xf>
    <xf borderId="0" fillId="20" fontId="9" numFmtId="0" xfId="0" applyAlignment="1" applyFont="1">
      <alignment horizontal="left" vertical="bottom"/>
    </xf>
    <xf borderId="13" fillId="26" fontId="6" numFmtId="0" xfId="0" applyAlignment="1" applyBorder="1" applyFont="1">
      <alignment horizontal="center" vertical="center"/>
    </xf>
    <xf borderId="12" fillId="0" fontId="58" numFmtId="0" xfId="0" applyAlignment="1" applyBorder="1" applyFont="1">
      <alignment horizontal="center" readingOrder="0" shrinkToFit="0" vertical="center" wrapText="1"/>
    </xf>
    <xf borderId="1" fillId="29" fontId="9" numFmtId="0" xfId="0" applyAlignment="1" applyBorder="1" applyFont="1">
      <alignment horizontal="left" readingOrder="0" vertical="center"/>
    </xf>
    <xf borderId="12" fillId="4" fontId="58" numFmtId="0" xfId="0" applyAlignment="1" applyBorder="1" applyFont="1">
      <alignment horizontal="center" readingOrder="0" shrinkToFit="0" vertical="center" wrapText="1"/>
    </xf>
    <xf borderId="30" fillId="7" fontId="9" numFmtId="0" xfId="0" applyAlignment="1" applyBorder="1" applyFont="1">
      <alignment horizontal="left" readingOrder="0" vertical="center"/>
    </xf>
    <xf borderId="5" fillId="0" fontId="66" numFmtId="0" xfId="0" applyAlignment="1" applyBorder="1" applyFont="1">
      <alignment readingOrder="0" shrinkToFit="0" vertical="center" wrapText="1"/>
    </xf>
    <xf borderId="22" fillId="4" fontId="83" numFmtId="0" xfId="0" applyAlignment="1" applyBorder="1" applyFont="1">
      <alignment horizontal="center" readingOrder="0" shrinkToFit="0" vertical="center" wrapText="1"/>
    </xf>
    <xf borderId="5" fillId="6" fontId="55" numFmtId="0" xfId="0" applyAlignment="1" applyBorder="1" applyFont="1">
      <alignment readingOrder="0" vertical="center"/>
    </xf>
    <xf borderId="22" fillId="0" fontId="85" numFmtId="0" xfId="0" applyAlignment="1" applyBorder="1" applyFont="1">
      <alignment horizontal="center" readingOrder="0" shrinkToFit="0" vertical="center" wrapText="1"/>
    </xf>
    <xf borderId="30" fillId="4" fontId="11" numFmtId="0" xfId="0" applyAlignment="1" applyBorder="1" applyFont="1">
      <alignment readingOrder="0" vertical="center"/>
    </xf>
    <xf borderId="30" fillId="4" fontId="9" numFmtId="0" xfId="0" applyAlignment="1" applyBorder="1" applyFont="1">
      <alignment horizontal="center" readingOrder="0" vertical="bottom"/>
    </xf>
    <xf borderId="30" fillId="6" fontId="55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20" fontId="7" numFmtId="0" xfId="0" applyAlignment="1" applyFont="1">
      <alignment horizontal="left" vertical="center"/>
    </xf>
    <xf borderId="2" fillId="6" fontId="6" numFmtId="0" xfId="0" applyAlignment="1" applyBorder="1" applyFont="1">
      <alignment horizontal="center" readingOrder="0" vertical="center"/>
    </xf>
    <xf borderId="13" fillId="20" fontId="6" numFmtId="0" xfId="0" applyAlignment="1" applyBorder="1" applyFont="1">
      <alignment horizontal="center" readingOrder="0" vertical="center"/>
    </xf>
    <xf borderId="1" fillId="4" fontId="71" numFmtId="0" xfId="0" applyAlignment="1" applyBorder="1" applyFont="1">
      <alignment horizontal="left" readingOrder="0" vertical="center"/>
    </xf>
    <xf borderId="1" fillId="4" fontId="9" numFmtId="0" xfId="0" applyAlignment="1" applyBorder="1" applyFont="1">
      <alignment horizontal="center" readingOrder="0" vertical="bottom"/>
    </xf>
    <xf borderId="5" fillId="7" fontId="9" numFmtId="0" xfId="0" applyAlignment="1" applyBorder="1" applyFont="1">
      <alignment horizontal="left" readingOrder="0" vertical="center"/>
    </xf>
    <xf borderId="12" fillId="17" fontId="84" numFmtId="0" xfId="0" applyAlignment="1" applyBorder="1" applyFont="1">
      <alignment readingOrder="0" shrinkToFit="0" vertical="center" wrapText="1"/>
    </xf>
    <xf borderId="1" fillId="17" fontId="84" numFmtId="0" xfId="0" applyAlignment="1" applyBorder="1" applyFont="1">
      <alignment readingOrder="0" vertical="bottom"/>
    </xf>
    <xf borderId="5" fillId="4" fontId="9" numFmtId="0" xfId="0" applyAlignment="1" applyBorder="1" applyFont="1">
      <alignment horizontal="center" readingOrder="0" vertical="bottom"/>
    </xf>
    <xf borderId="5" fillId="4" fontId="86" numFmtId="0" xfId="0" applyAlignment="1" applyBorder="1" applyFont="1">
      <alignment horizontal="center" readingOrder="0" shrinkToFit="0" vertical="center" wrapText="1"/>
    </xf>
    <xf borderId="5" fillId="4" fontId="84" numFmtId="0" xfId="0" applyAlignment="1" applyBorder="1" applyFont="1">
      <alignment readingOrder="0" vertical="bottom"/>
    </xf>
    <xf borderId="30" fillId="4" fontId="87" numFmtId="0" xfId="0" applyAlignment="1" applyBorder="1" applyFont="1">
      <alignment readingOrder="0" vertical="center"/>
    </xf>
    <xf borderId="30" fillId="17" fontId="88" numFmtId="0" xfId="0" applyAlignment="1" applyBorder="1" applyFont="1">
      <alignment horizontal="center" readingOrder="0" vertical="center"/>
    </xf>
    <xf borderId="30" fillId="0" fontId="9" numFmtId="0" xfId="0" applyAlignment="1" applyBorder="1" applyFont="1">
      <alignment horizontal="center" vertical="center"/>
    </xf>
    <xf borderId="0" fillId="20" fontId="76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shrinkToFit="0" vertical="center" wrapText="1"/>
    </xf>
    <xf borderId="0" fillId="20" fontId="76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20" fontId="9" numFmtId="0" xfId="0" applyAlignment="1" applyFont="1">
      <alignment horizontal="center" readingOrder="0" vertical="center"/>
    </xf>
    <xf borderId="1" fillId="4" fontId="33" numFmtId="0" xfId="0" applyAlignment="1" applyBorder="1" applyFont="1">
      <alignment readingOrder="0" vertical="center"/>
    </xf>
    <xf borderId="1" fillId="0" fontId="33" numFmtId="0" xfId="0" applyAlignment="1" applyBorder="1" applyFont="1">
      <alignment horizontal="center" readingOrder="0" vertical="bottom"/>
    </xf>
    <xf borderId="12" fillId="4" fontId="83" numFmtId="0" xfId="0" applyAlignment="1" applyBorder="1" applyFont="1">
      <alignment horizontal="center" readingOrder="0" vertical="center"/>
    </xf>
    <xf borderId="0" fillId="0" fontId="58" numFmtId="0" xfId="0" applyAlignment="1" applyFont="1">
      <alignment horizontal="center" vertical="bottom"/>
    </xf>
    <xf borderId="12" fillId="8" fontId="9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9" numFmtId="0" xfId="0" applyAlignment="1" applyFont="1">
      <alignment vertical="center"/>
    </xf>
    <xf borderId="30" fillId="17" fontId="84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bottom"/>
    </xf>
    <xf borderId="5" fillId="0" fontId="33" numFmtId="0" xfId="0" applyAlignment="1" applyBorder="1" applyFont="1">
      <alignment horizontal="center" readingOrder="0" vertical="bottom"/>
    </xf>
    <xf borderId="5" fillId="6" fontId="0" numFmtId="0" xfId="0" applyAlignment="1" applyBorder="1" applyFont="1">
      <alignment readingOrder="0" vertical="center"/>
    </xf>
    <xf borderId="5" fillId="17" fontId="84" numFmtId="0" xfId="0" applyAlignment="1" applyBorder="1" applyFont="1">
      <alignment horizontal="center" readingOrder="0" shrinkToFit="0" vertical="center" wrapText="1"/>
    </xf>
    <xf borderId="5" fillId="17" fontId="84" numFmtId="0" xfId="0" applyAlignment="1" applyBorder="1" applyFont="1">
      <alignment readingOrder="0" vertical="bottom"/>
    </xf>
    <xf borderId="0" fillId="20" fontId="22" numFmtId="0" xfId="0" applyAlignment="1" applyFont="1">
      <alignment readingOrder="0" vertical="center"/>
    </xf>
    <xf borderId="5" fillId="4" fontId="33" numFmtId="0" xfId="0" applyAlignment="1" applyBorder="1" applyFont="1">
      <alignment horizontal="center" readingOrder="0" vertical="bottom"/>
    </xf>
    <xf borderId="0" fillId="20" fontId="11" numFmtId="0" xfId="0" applyAlignment="1" applyFont="1">
      <alignment readingOrder="0" vertical="center"/>
    </xf>
    <xf borderId="22" fillId="4" fontId="83" numFmtId="0" xfId="0" applyAlignment="1" applyBorder="1" applyFont="1">
      <alignment horizontal="center" readingOrder="0" vertical="center"/>
    </xf>
    <xf borderId="30" fillId="26" fontId="9" numFmtId="0" xfId="0" applyAlignment="1" applyBorder="1" applyFont="1">
      <alignment horizontal="left" readingOrder="0" vertical="center"/>
    </xf>
    <xf borderId="5" fillId="20" fontId="9" numFmtId="0" xfId="0" applyAlignment="1" applyBorder="1" applyFont="1">
      <alignment horizontal="left" readingOrder="0" shrinkToFit="0" vertical="center" wrapText="1"/>
    </xf>
    <xf borderId="61" fillId="6" fontId="58" numFmtId="0" xfId="0" applyAlignment="1" applyBorder="1" applyFont="1">
      <alignment horizontal="center" readingOrder="0" vertical="bottom"/>
    </xf>
    <xf borderId="62" fillId="6" fontId="58" numFmtId="0" xfId="0" applyAlignment="1" applyBorder="1" applyFont="1">
      <alignment horizontal="center" readingOrder="0" vertical="bottom"/>
    </xf>
    <xf borderId="5" fillId="0" fontId="62" numFmtId="0" xfId="0" applyAlignment="1" applyBorder="1" applyFont="1">
      <alignment horizontal="center" readingOrder="0" shrinkToFit="0" vertical="center" wrapText="1"/>
    </xf>
    <xf borderId="62" fillId="6" fontId="58" numFmtId="172" xfId="0" applyAlignment="1" applyBorder="1" applyFont="1" applyNumberFormat="1">
      <alignment horizontal="left" readingOrder="0" vertical="bottom"/>
    </xf>
    <xf borderId="63" fillId="6" fontId="58" numFmtId="0" xfId="0" applyAlignment="1" applyBorder="1" applyFont="1">
      <alignment horizontal="left" readingOrder="0" vertical="bottom"/>
    </xf>
    <xf borderId="64" fillId="6" fontId="90" numFmtId="0" xfId="0" applyAlignment="1" applyBorder="1" applyFont="1">
      <alignment horizontal="center" readingOrder="0" vertical="center"/>
    </xf>
    <xf borderId="30" fillId="4" fontId="84" numFmtId="0" xfId="0" applyAlignment="1" applyBorder="1" applyFont="1">
      <alignment readingOrder="0" vertical="center"/>
    </xf>
    <xf borderId="65" fillId="6" fontId="6" numFmtId="0" xfId="0" applyAlignment="1" applyBorder="1" applyFont="1">
      <alignment readingOrder="0" vertical="bottom"/>
    </xf>
    <xf borderId="30" fillId="17" fontId="53" numFmtId="0" xfId="0" applyAlignment="1" applyBorder="1" applyFont="1">
      <alignment horizontal="center" readingOrder="0" vertical="center"/>
    </xf>
    <xf borderId="46" fillId="6" fontId="91" numFmtId="0" xfId="0" applyAlignment="1" applyBorder="1" applyFont="1">
      <alignment horizontal="center" readingOrder="0" vertical="center"/>
    </xf>
    <xf borderId="54" fillId="6" fontId="60" numFmtId="0" xfId="0" applyAlignment="1" applyBorder="1" applyFont="1">
      <alignment horizontal="left" readingOrder="0" shrinkToFit="0" vertical="center" wrapText="1"/>
    </xf>
    <xf borderId="66" fillId="6" fontId="92" numFmtId="0" xfId="0" applyAlignment="1" applyBorder="1" applyFont="1">
      <alignment horizontal="center" readingOrder="0" vertical="center"/>
    </xf>
    <xf borderId="30" fillId="20" fontId="0" numFmtId="0" xfId="0" applyAlignment="1" applyBorder="1" applyFont="1">
      <alignment horizontal="left" readingOrder="0" vertical="center"/>
    </xf>
    <xf borderId="65" fillId="0" fontId="56" numFmtId="0" xfId="0" applyAlignment="1" applyBorder="1" applyFont="1">
      <alignment vertical="bottom"/>
    </xf>
    <xf borderId="65" fillId="0" fontId="58" numFmtId="0" xfId="0" applyAlignment="1" applyBorder="1" applyFont="1">
      <alignment vertical="bottom"/>
    </xf>
    <xf borderId="30" fillId="0" fontId="93" numFmtId="0" xfId="0" applyAlignment="1" applyBorder="1" applyFont="1">
      <alignment horizontal="center" readingOrder="0" shrinkToFit="0" vertical="center" wrapText="1"/>
    </xf>
    <xf borderId="65" fillId="6" fontId="56" numFmtId="0" xfId="0" applyAlignment="1" applyBorder="1" applyFont="1">
      <alignment vertical="bottom"/>
    </xf>
    <xf borderId="65" fillId="0" fontId="56" numFmtId="0" xfId="0" applyAlignment="1" applyBorder="1" applyFont="1">
      <alignment readingOrder="0" vertical="bottom"/>
    </xf>
    <xf borderId="46" fillId="0" fontId="56" numFmtId="0" xfId="0" applyAlignment="1" applyBorder="1" applyFont="1">
      <alignment horizontal="center" vertical="bottom"/>
    </xf>
    <xf borderId="0" fillId="20" fontId="7" numFmtId="0" xfId="0" applyAlignment="1" applyFont="1">
      <alignment horizontal="center" vertical="center"/>
    </xf>
    <xf borderId="0" fillId="4" fontId="45" numFmtId="0" xfId="0" applyAlignment="1" applyFont="1">
      <alignment horizontal="center" vertical="center"/>
    </xf>
    <xf borderId="46" fillId="19" fontId="56" numFmtId="0" xfId="0" applyAlignment="1" applyBorder="1" applyFont="1">
      <alignment horizontal="center" vertical="bottom"/>
    </xf>
    <xf borderId="0" fillId="20" fontId="0" numFmtId="0" xfId="0" applyAlignment="1" applyFont="1">
      <alignment horizontal="left" vertical="center"/>
    </xf>
    <xf borderId="46" fillId="0" fontId="56" numFmtId="0" xfId="0" applyAlignment="1" applyBorder="1" applyFont="1">
      <alignment horizontal="left" readingOrder="0" vertical="bottom"/>
    </xf>
    <xf borderId="0" fillId="20" fontId="93" numFmtId="0" xfId="0" applyAlignment="1" applyFont="1">
      <alignment horizontal="center" readingOrder="0" shrinkToFit="0" vertical="center" wrapText="1"/>
    </xf>
    <xf borderId="0" fillId="20" fontId="7" numFmtId="0" xfId="0" applyAlignment="1" applyFont="1">
      <alignment vertical="center"/>
    </xf>
    <xf borderId="12" fillId="4" fontId="71" numFmtId="0" xfId="0" applyAlignment="1" applyBorder="1" applyFont="1">
      <alignment readingOrder="0" vertical="center"/>
    </xf>
    <xf borderId="65" fillId="0" fontId="56" numFmtId="0" xfId="0" applyAlignment="1" applyBorder="1" applyFont="1">
      <alignment horizontal="center" vertical="bottom"/>
    </xf>
    <xf borderId="67" fillId="0" fontId="58" numFmtId="0" xfId="0" applyAlignment="1" applyBorder="1" applyFont="1">
      <alignment vertical="bottom"/>
    </xf>
    <xf borderId="1" fillId="18" fontId="9" numFmtId="0" xfId="0" applyAlignment="1" applyBorder="1" applyFont="1">
      <alignment horizontal="left" readingOrder="0" shrinkToFit="0" vertical="center" wrapText="1"/>
    </xf>
    <xf borderId="36" fillId="0" fontId="58" numFmtId="0" xfId="0" applyAlignment="1" applyBorder="1" applyFont="1">
      <alignment horizontal="center" vertical="bottom"/>
    </xf>
    <xf borderId="51" fillId="0" fontId="5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center"/>
    </xf>
    <xf borderId="37" fillId="0" fontId="62" numFmtId="0" xfId="0" applyAlignment="1" applyBorder="1" applyFont="1">
      <alignment vertical="bottom"/>
    </xf>
    <xf borderId="12" fillId="4" fontId="9" numFmtId="0" xfId="0" applyAlignment="1" applyBorder="1" applyFont="1">
      <alignment horizontal="left" readingOrder="0" vertical="center"/>
    </xf>
    <xf borderId="37" fillId="0" fontId="9" numFmtId="0" xfId="0" applyAlignment="1" applyBorder="1" applyFont="1">
      <alignment horizontal="center" vertical="bottom"/>
    </xf>
    <xf borderId="5" fillId="6" fontId="6" numFmtId="0" xfId="0" applyAlignment="1" applyBorder="1" applyFont="1">
      <alignment horizontal="center" vertical="bottom"/>
    </xf>
    <xf borderId="5" fillId="6" fontId="9" numFmtId="0" xfId="0" applyAlignment="1" applyBorder="1" applyFont="1">
      <alignment horizontal="center" vertical="bottom"/>
    </xf>
    <xf borderId="5" fillId="19" fontId="6" numFmtId="0" xfId="0" applyAlignment="1" applyBorder="1" applyFont="1">
      <alignment horizontal="center" readingOrder="0" vertical="bottom"/>
    </xf>
    <xf borderId="5" fillId="19" fontId="9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left" readingOrder="0" shrinkToFit="0" vertical="center" wrapText="1"/>
    </xf>
    <xf borderId="5" fillId="19" fontId="6" numFmtId="0" xfId="0" applyAlignment="1" applyBorder="1" applyFont="1">
      <alignment horizontal="center" vertical="bottom"/>
    </xf>
    <xf borderId="5" fillId="19" fontId="9" numFmtId="0" xfId="0" applyAlignment="1" applyBorder="1" applyFont="1">
      <alignment horizontal="center" vertical="bottom"/>
    </xf>
    <xf borderId="5" fillId="20" fontId="9" numFmtId="0" xfId="0" applyAlignment="1" applyBorder="1" applyFont="1">
      <alignment horizontal="left" readingOrder="0" vertical="center"/>
    </xf>
    <xf borderId="6" fillId="19" fontId="6" numFmtId="0" xfId="0" applyAlignment="1" applyBorder="1" applyFont="1">
      <alignment horizontal="center" readingOrder="0" vertical="bottom"/>
    </xf>
    <xf borderId="6" fillId="6" fontId="6" numFmtId="0" xfId="0" applyAlignment="1" applyBorder="1" applyFont="1">
      <alignment horizontal="center" readingOrder="0" vertical="bottom"/>
    </xf>
    <xf borderId="5" fillId="6" fontId="60" numFmtId="0" xfId="0" applyAlignment="1" applyBorder="1" applyFont="1">
      <alignment readingOrder="0" vertical="center"/>
    </xf>
    <xf borderId="6" fillId="19" fontId="56" numFmtId="0" xfId="0" applyAlignment="1" applyBorder="1" applyFont="1">
      <alignment horizontal="center" readingOrder="0" vertical="bottom"/>
    </xf>
    <xf borderId="22" fillId="8" fontId="66" numFmtId="0" xfId="0" applyAlignment="1" applyBorder="1" applyFont="1">
      <alignment horizontal="center" readingOrder="0" shrinkToFit="0" vertical="center" wrapText="1"/>
    </xf>
    <xf borderId="5" fillId="6" fontId="56" numFmtId="0" xfId="0" applyAlignment="1" applyBorder="1" applyFont="1">
      <alignment horizontal="center" readingOrder="0" vertical="bottom"/>
    </xf>
    <xf borderId="6" fillId="6" fontId="56" numFmtId="0" xfId="0" applyAlignment="1" applyBorder="1" applyFont="1">
      <alignment horizontal="center" readingOrder="0" vertical="bottom"/>
    </xf>
    <xf borderId="6" fillId="0" fontId="56" numFmtId="0" xfId="0" applyAlignment="1" applyBorder="1" applyFont="1">
      <alignment horizontal="center" readingOrder="0" vertical="bottom"/>
    </xf>
    <xf borderId="6" fillId="5" fontId="56" numFmtId="0" xfId="0" applyAlignment="1" applyBorder="1" applyFont="1">
      <alignment horizontal="center" readingOrder="0" vertical="bottom"/>
    </xf>
    <xf borderId="30" fillId="4" fontId="7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30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vertical="bottom"/>
    </xf>
    <xf borderId="37" fillId="4" fontId="62" numFmtId="0" xfId="0" applyAlignment="1" applyBorder="1" applyFont="1">
      <alignment vertical="bottom"/>
    </xf>
    <xf borderId="0" fillId="20" fontId="0" numFmtId="0" xfId="0" applyAlignment="1" applyFont="1">
      <alignment horizontal="left" readingOrder="0" vertical="center"/>
    </xf>
    <xf borderId="0" fillId="0" fontId="76" numFmtId="0" xfId="0" applyAlignment="1" applyFont="1">
      <alignment horizontal="center" vertical="center"/>
    </xf>
    <xf borderId="37" fillId="24" fontId="9" numFmtId="0" xfId="0" applyAlignment="1" applyBorder="1" applyFont="1">
      <alignment readingOrder="0" vertical="bottom"/>
    </xf>
    <xf borderId="6" fillId="16" fontId="94" numFmtId="0" xfId="0" applyAlignment="1" applyBorder="1" applyFont="1">
      <alignment horizontal="center" readingOrder="0" vertical="center"/>
    </xf>
    <xf borderId="1" fillId="4" fontId="51" numFmtId="0" xfId="0" applyAlignment="1" applyBorder="1" applyFont="1">
      <alignment readingOrder="0" vertical="center"/>
    </xf>
    <xf borderId="6" fillId="16" fontId="6" numFmtId="0" xfId="0" applyAlignment="1" applyBorder="1" applyFont="1">
      <alignment horizontal="center" readingOrder="0" vertical="center"/>
    </xf>
    <xf borderId="22" fillId="6" fontId="71" numFmtId="0" xfId="0" applyAlignment="1" applyBorder="1" applyFont="1">
      <alignment horizontal="left" readingOrder="0" vertical="center"/>
    </xf>
    <xf borderId="12" fillId="4" fontId="9" numFmtId="0" xfId="0" applyAlignment="1" applyBorder="1" applyFont="1">
      <alignment horizontal="center" readingOrder="0" shrinkToFit="0" vertical="center" wrapText="1"/>
    </xf>
    <xf borderId="1" fillId="17" fontId="95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0" fillId="17" fontId="17" numFmtId="0" xfId="0" applyAlignment="1" applyFont="1">
      <alignment readingOrder="0" vertical="center"/>
    </xf>
    <xf borderId="0" fillId="18" fontId="0" numFmtId="0" xfId="0" applyAlignment="1" applyFont="1">
      <alignment readingOrder="0" vertical="center"/>
    </xf>
    <xf borderId="5" fillId="0" fontId="9" numFmtId="0" xfId="0" applyAlignment="1" applyBorder="1" applyFont="1">
      <alignment horizontal="center" shrinkToFit="0" vertical="center" wrapText="1"/>
    </xf>
    <xf borderId="6" fillId="16" fontId="6" numFmtId="173" xfId="0" applyAlignment="1" applyBorder="1" applyFont="1" applyNumberFormat="1">
      <alignment horizontal="center" readingOrder="0" vertical="center"/>
    </xf>
    <xf borderId="30" fillId="17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left" vertical="bottom"/>
    </xf>
    <xf borderId="30" fillId="17" fontId="9" numFmtId="0" xfId="0" applyAlignment="1" applyBorder="1" applyFont="1">
      <alignment readingOrder="0" vertical="bottom"/>
    </xf>
    <xf borderId="37" fillId="0" fontId="9" numFmtId="0" xfId="0" applyAlignment="1" applyBorder="1" applyFont="1">
      <alignment horizontal="left" vertical="bottom"/>
    </xf>
    <xf borderId="30" fillId="0" fontId="53" numFmtId="0" xfId="0" applyAlignment="1" applyBorder="1" applyFont="1">
      <alignment horizontal="center" readingOrder="0" vertical="center"/>
    </xf>
    <xf borderId="37" fillId="0" fontId="9" numFmtId="0" xfId="0" applyAlignment="1" applyBorder="1" applyFont="1">
      <alignment horizontal="left" readingOrder="0" vertical="bottom"/>
    </xf>
    <xf borderId="30" fillId="6" fontId="9" numFmtId="0" xfId="0" applyAlignment="1" applyBorder="1" applyFont="1">
      <alignment horizontal="left" readingOrder="0" vertical="center"/>
    </xf>
    <xf borderId="20" fillId="0" fontId="9" numFmtId="0" xfId="0" applyAlignment="1" applyBorder="1" applyFont="1">
      <alignment vertical="bottom"/>
    </xf>
    <xf borderId="6" fillId="4" fontId="9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1" fillId="4" fontId="4" numFmtId="0" xfId="0" applyAlignment="1" applyBorder="1" applyFont="1">
      <alignment readingOrder="0" vertical="center"/>
    </xf>
    <xf borderId="1" fillId="26" fontId="4" numFmtId="0" xfId="0" applyAlignment="1" applyBorder="1" applyFont="1">
      <alignment horizontal="left" readingOrder="0" shrinkToFit="0" vertical="center" wrapText="1"/>
    </xf>
    <xf borderId="5" fillId="6" fontId="4" numFmtId="0" xfId="0" applyAlignment="1" applyBorder="1" applyFont="1">
      <alignment horizontal="left" readingOrder="0" vertical="center"/>
    </xf>
    <xf borderId="5" fillId="4" fontId="32" numFmtId="0" xfId="0" applyAlignment="1" applyBorder="1" applyFont="1">
      <alignment readingOrder="0" vertical="center"/>
    </xf>
    <xf borderId="37" fillId="0" fontId="9" numFmtId="0" xfId="0" applyAlignment="1" applyBorder="1" applyFont="1">
      <alignment horizontal="center" vertical="center"/>
    </xf>
    <xf borderId="40" fillId="0" fontId="96" numFmtId="0" xfId="0" applyAlignment="1" applyBorder="1" applyFont="1">
      <alignment readingOrder="0" vertical="bottom"/>
    </xf>
    <xf borderId="6" fillId="4" fontId="97" numFmtId="0" xfId="0" applyAlignment="1" applyBorder="1" applyFont="1">
      <alignment horizontal="center" readingOrder="0" vertical="center"/>
    </xf>
    <xf borderId="18" fillId="0" fontId="58" numFmtId="0" xfId="0" applyAlignment="1" applyBorder="1" applyFont="1">
      <alignment horizontal="center" vertical="bottom"/>
    </xf>
    <xf borderId="6" fillId="0" fontId="96" numFmtId="0" xfId="0" applyAlignment="1" applyBorder="1" applyFont="1">
      <alignment readingOrder="0" vertical="bottom"/>
    </xf>
    <xf borderId="8" fillId="0" fontId="58" numFmtId="0" xfId="0" applyAlignment="1" applyBorder="1" applyFont="1">
      <alignment horizontal="center" readingOrder="0" vertical="bottom"/>
    </xf>
    <xf borderId="30" fillId="0" fontId="8" numFmtId="0" xfId="0" applyAlignment="1" applyBorder="1" applyFont="1">
      <alignment vertical="center"/>
    </xf>
    <xf borderId="30" fillId="0" fontId="8" numFmtId="0" xfId="0" applyAlignment="1" applyBorder="1" applyFont="1">
      <alignment horizontal="center" readingOrder="0" vertical="center"/>
    </xf>
    <xf borderId="30" fillId="6" fontId="4" numFmtId="0" xfId="0" applyAlignment="1" applyBorder="1" applyFont="1">
      <alignment horizontal="left" readingOrder="0" vertical="center"/>
    </xf>
    <xf borderId="5" fillId="15" fontId="62" numFmtId="0" xfId="0" applyAlignment="1" applyBorder="1" applyFont="1">
      <alignment vertical="bottom"/>
    </xf>
    <xf borderId="30" fillId="20" fontId="8" numFmtId="0" xfId="0" applyAlignment="1" applyBorder="1" applyFont="1">
      <alignment horizontal="left" readingOrder="0" vertical="center"/>
    </xf>
    <xf borderId="33" fillId="0" fontId="96" numFmtId="0" xfId="0" applyAlignment="1" applyBorder="1" applyFont="1">
      <alignment readingOrder="0" vertical="bottom"/>
    </xf>
    <xf borderId="5" fillId="6" fontId="9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5" fillId="4" fontId="6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horizontal="center" readingOrder="0" vertical="center"/>
    </xf>
    <xf borderId="0" fillId="4" fontId="98" numFmtId="0" xfId="0" applyAlignment="1" applyFont="1">
      <alignment horizontal="center" readingOrder="0" vertical="center"/>
    </xf>
    <xf borderId="0" fillId="4" fontId="99" numFmtId="0" xfId="0" applyAlignment="1" applyFont="1">
      <alignment readingOrder="0" vertical="center"/>
    </xf>
    <xf borderId="0" fillId="0" fontId="66" numFmtId="0" xfId="0" applyAlignment="1" applyFont="1">
      <alignment readingOrder="0" shrinkToFit="0" vertical="center" wrapText="1"/>
    </xf>
    <xf borderId="0" fillId="0" fontId="55" numFmtId="0" xfId="0" applyAlignment="1" applyFont="1">
      <alignment readingOrder="0" vertical="center"/>
    </xf>
    <xf borderId="5" fillId="0" fontId="6" numFmtId="0" xfId="0" applyAlignment="1" applyBorder="1" applyFont="1">
      <alignment horizontal="center" readingOrder="0" vertical="center"/>
    </xf>
    <xf borderId="5" fillId="5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5" fillId="0" fontId="9" numFmtId="0" xfId="0" applyAlignment="1" applyBorder="1" applyFont="1">
      <alignment horizontal="left" vertical="bottom"/>
    </xf>
    <xf borderId="18" fillId="0" fontId="58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horizontal="center" readingOrder="0" vertical="center"/>
    </xf>
    <xf borderId="5" fillId="2" fontId="73" numFmtId="0" xfId="0" applyAlignment="1" applyBorder="1" applyFont="1">
      <alignment horizontal="center" readingOrder="0" vertical="center"/>
    </xf>
    <xf borderId="5" fillId="15" fontId="62" numFmtId="0" xfId="0" applyAlignment="1" applyBorder="1" applyFont="1">
      <alignment readingOrder="0" vertical="bottom"/>
    </xf>
    <xf borderId="5" fillId="4" fontId="100" numFmtId="0" xfId="0" applyAlignment="1" applyBorder="1" applyFont="1">
      <alignment horizontal="center" readingOrder="0" vertical="center"/>
    </xf>
    <xf borderId="5" fillId="5" fontId="33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vertical="bottom"/>
    </xf>
    <xf borderId="5" fillId="20" fontId="6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horizontal="center" readingOrder="0" vertical="center"/>
    </xf>
    <xf borderId="5" fillId="20" fontId="100" numFmtId="0" xfId="0" applyAlignment="1" applyBorder="1" applyFont="1">
      <alignment horizontal="center" readingOrder="0" vertical="center"/>
    </xf>
    <xf borderId="5" fillId="2" fontId="9" numFmtId="3" xfId="0" applyAlignment="1" applyBorder="1" applyFont="1" applyNumberFormat="1">
      <alignment horizontal="center" readingOrder="0" vertical="center"/>
    </xf>
    <xf borderId="51" fillId="0" fontId="6" numFmtId="0" xfId="0" applyAlignment="1" applyBorder="1" applyFont="1">
      <alignment horizontal="center" readingOrder="0" vertical="center"/>
    </xf>
    <xf borderId="5" fillId="5" fontId="9" numFmtId="3" xfId="0" applyAlignment="1" applyBorder="1" applyFont="1" applyNumberFormat="1">
      <alignment horizontal="center" readingOrder="0" vertical="center"/>
    </xf>
    <xf borderId="51" fillId="20" fontId="6" numFmtId="0" xfId="0" applyAlignment="1" applyBorder="1" applyFont="1">
      <alignment horizontal="center" readingOrder="0" vertical="center"/>
    </xf>
    <xf borderId="37" fillId="0" fontId="9" numFmtId="3" xfId="0" applyAlignment="1" applyBorder="1" applyFont="1" applyNumberFormat="1">
      <alignment horizontal="left" vertical="bottom"/>
    </xf>
    <xf borderId="5" fillId="6" fontId="9" numFmtId="0" xfId="0" applyAlignment="1" applyBorder="1" applyFont="1">
      <alignment readingOrder="0" vertical="bottom"/>
    </xf>
    <xf borderId="7" fillId="0" fontId="58" numFmtId="0" xfId="0" applyAlignment="1" applyBorder="1" applyFont="1">
      <alignment horizontal="center" readingOrder="0" vertical="bottom"/>
    </xf>
    <xf borderId="6" fillId="15" fontId="62" numFmtId="0" xfId="0" applyAlignment="1" applyBorder="1" applyFont="1">
      <alignment vertical="bottom"/>
    </xf>
    <xf borderId="6" fillId="15" fontId="62" numFmtId="0" xfId="0" applyAlignment="1" applyBorder="1" applyFont="1">
      <alignment readingOrder="0" vertical="bottom"/>
    </xf>
    <xf borderId="6" fillId="15" fontId="101" numFmtId="0" xfId="0" applyAlignment="1" applyBorder="1" applyFont="1">
      <alignment readingOrder="0" vertical="bottom"/>
    </xf>
    <xf borderId="6" fillId="4" fontId="101" numFmtId="0" xfId="0" applyAlignment="1" applyBorder="1" applyFont="1">
      <alignment readingOrder="0" vertical="bottom"/>
    </xf>
    <xf borderId="5" fillId="0" fontId="51" numFmtId="0" xfId="0" applyAlignment="1" applyBorder="1" applyFont="1">
      <alignment horizontal="center" readingOrder="0" vertical="center"/>
    </xf>
    <xf borderId="5" fillId="0" fontId="100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readingOrder="0" vertical="bottom"/>
    </xf>
    <xf borderId="5" fillId="0" fontId="33" numFmtId="0" xfId="0" applyAlignment="1" applyBorder="1" applyFont="1">
      <alignment readingOrder="0" vertical="bottom"/>
    </xf>
    <xf borderId="5" fillId="6" fontId="33" numFmtId="0" xfId="0" applyAlignment="1" applyBorder="1" applyFont="1">
      <alignment readingOrder="0" vertical="bottom"/>
    </xf>
    <xf borderId="6" fillId="4" fontId="62" numFmtId="0" xfId="0" applyAlignment="1" applyBorder="1" applyFont="1">
      <alignment readingOrder="0" vertical="bottom"/>
    </xf>
    <xf borderId="6" fillId="6" fontId="96" numFmtId="0" xfId="0" applyAlignment="1" applyBorder="1" applyFont="1">
      <alignment readingOrder="0" vertical="bottom"/>
    </xf>
    <xf borderId="6" fillId="4" fontId="62" numFmtId="0" xfId="0" applyAlignment="1" applyBorder="1" applyFont="1">
      <alignment vertical="bottom"/>
    </xf>
    <xf borderId="6" fillId="4" fontId="9" numFmtId="0" xfId="0" applyAlignment="1" applyBorder="1" applyFont="1">
      <alignment horizontal="left" vertical="center"/>
    </xf>
    <xf borderId="68" fillId="5" fontId="9" numFmtId="0" xfId="0" applyAlignment="1" applyBorder="1" applyFont="1">
      <alignment horizontal="center" readingOrder="0" vertical="center"/>
    </xf>
    <xf borderId="37" fillId="0" fontId="6" numFmtId="0" xfId="0" applyAlignment="1" applyBorder="1" applyFont="1">
      <alignment horizontal="center" readingOrder="0" vertical="center"/>
    </xf>
    <xf borderId="68" fillId="2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left" readingOrder="0" vertical="bottom"/>
    </xf>
    <xf borderId="5" fillId="4" fontId="58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right" vertical="bottom"/>
    </xf>
    <xf borderId="20" fillId="0" fontId="6" numFmtId="0" xfId="0" applyAlignment="1" applyBorder="1" applyFont="1">
      <alignment vertical="bottom"/>
    </xf>
    <xf borderId="5" fillId="2" fontId="9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horizontal="center" readingOrder="0" vertical="bottom"/>
    </xf>
    <xf borderId="5" fillId="4" fontId="100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5" fillId="0" fontId="58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readingOrder="0" vertical="center"/>
    </xf>
    <xf borderId="5" fillId="2" fontId="33" numFmtId="0" xfId="0" applyAlignment="1" applyBorder="1" applyFont="1">
      <alignment horizontal="center" readingOrder="0" vertical="center"/>
    </xf>
    <xf borderId="5" fillId="0" fontId="62" numFmtId="0" xfId="0" applyAlignment="1" applyBorder="1" applyFont="1">
      <alignment readingOrder="0" vertical="bottom"/>
    </xf>
    <xf borderId="5" fillId="20" fontId="6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vertical="center"/>
    </xf>
    <xf borderId="17" fillId="0" fontId="58" numFmtId="0" xfId="0" applyAlignment="1" applyBorder="1" applyFont="1">
      <alignment horizontal="center" vertical="bottom"/>
    </xf>
    <xf borderId="0" fillId="0" fontId="62" numFmtId="0" xfId="0" applyAlignment="1" applyFont="1">
      <alignment vertical="bottom"/>
    </xf>
    <xf borderId="0" fillId="0" fontId="9" numFmtId="0" xfId="0" applyAlignment="1" applyFont="1">
      <alignment vertical="center"/>
    </xf>
    <xf borderId="0" fillId="0" fontId="100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4" fontId="100" numFmtId="0" xfId="0" applyAlignment="1" applyFont="1">
      <alignment horizontal="left" readingOrder="0" vertical="center"/>
    </xf>
    <xf borderId="0" fillId="0" fontId="100" numFmtId="0" xfId="0" applyAlignment="1" applyFont="1">
      <alignment horizontal="left" vertical="center"/>
    </xf>
    <xf borderId="5" fillId="0" fontId="6" numFmtId="0" xfId="0" applyAlignment="1" applyBorder="1" applyFont="1">
      <alignment horizontal="left" vertical="bottom"/>
    </xf>
    <xf borderId="0" fillId="0" fontId="9" numFmtId="0" xfId="0" applyAlignment="1" applyFont="1">
      <alignment horizontal="right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20" fontId="22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11" numFmtId="0" xfId="0" applyAlignment="1" applyFont="1">
      <alignment vertical="center"/>
    </xf>
    <xf borderId="48" fillId="0" fontId="9" numFmtId="0" xfId="0" applyAlignment="1" applyBorder="1" applyFont="1">
      <alignment vertical="bottom"/>
    </xf>
    <xf borderId="0" fillId="4" fontId="7" numFmtId="0" xfId="0" applyAlignment="1" applyFont="1">
      <alignment vertical="center"/>
    </xf>
    <xf borderId="17" fillId="0" fontId="58" numFmtId="0" xfId="0" applyAlignment="1" applyBorder="1" applyFont="1">
      <alignment horizontal="center" readingOrder="0" vertical="bottom"/>
    </xf>
    <xf borderId="0" fillId="0" fontId="58" numFmtId="0" xfId="0" applyAlignment="1" applyFont="1">
      <alignment horizontal="center" readingOrder="0" vertical="bottom"/>
    </xf>
    <xf borderId="0" fillId="0" fontId="62" numFmtId="172" xfId="0" applyAlignment="1" applyFont="1" applyNumberFormat="1">
      <alignment horizontal="left" readingOrder="0" vertical="bottom"/>
    </xf>
    <xf borderId="0" fillId="0" fontId="58" numFmtId="0" xfId="0" applyAlignment="1" applyFont="1">
      <alignment horizontal="left" readingOrder="0" vertical="bottom"/>
    </xf>
    <xf borderId="0" fillId="0" fontId="6" numFmtId="174" xfId="0" applyAlignment="1" applyFont="1" applyNumberFormat="1">
      <alignment vertical="bottom"/>
    </xf>
    <xf borderId="0" fillId="0" fontId="9" numFmtId="174" xfId="0" applyAlignment="1" applyFont="1" applyNumberFormat="1">
      <alignment vertical="bottom"/>
    </xf>
    <xf borderId="5" fillId="0" fontId="62" numFmtId="0" xfId="0" applyAlignment="1" applyBorder="1" applyFont="1">
      <alignment vertical="bottom"/>
    </xf>
    <xf borderId="6" fillId="0" fontId="102" numFmtId="0" xfId="0" applyAlignment="1" applyBorder="1" applyFont="1">
      <alignment horizontal="center" readingOrder="0" vertical="bottom"/>
    </xf>
    <xf borderId="7" fillId="0" fontId="102" numFmtId="0" xfId="0" applyAlignment="1" applyBorder="1" applyFont="1">
      <alignment horizontal="center" readingOrder="0" vertical="bottom"/>
    </xf>
    <xf borderId="6" fillId="20" fontId="102" numFmtId="0" xfId="0" applyAlignment="1" applyBorder="1" applyFont="1">
      <alignment horizontal="center" readingOrder="0" vertical="bottom"/>
    </xf>
    <xf borderId="6" fillId="4" fontId="102" numFmtId="0" xfId="0" applyAlignment="1" applyBorder="1" applyFont="1">
      <alignment horizontal="center" readingOrder="0" vertical="bottom"/>
    </xf>
    <xf borderId="5" fillId="0" fontId="62" numFmtId="0" xfId="0" applyAlignment="1" applyBorder="1" applyFont="1">
      <alignment horizontal="center" vertical="bottom"/>
    </xf>
    <xf borderId="6" fillId="0" fontId="70" numFmtId="0" xfId="0" applyAlignment="1" applyBorder="1" applyFont="1">
      <alignment horizontal="center" vertical="center"/>
    </xf>
    <xf borderId="5" fillId="0" fontId="70" numFmtId="0" xfId="0" applyAlignment="1" applyBorder="1" applyFont="1">
      <alignment horizontal="center" vertical="bottom"/>
    </xf>
    <xf borderId="0" fillId="0" fontId="9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6" fillId="0" fontId="70" numFmtId="3" xfId="0" applyAlignment="1" applyBorder="1" applyFont="1" applyNumberFormat="1">
      <alignment horizontal="center" vertical="center"/>
    </xf>
    <xf borderId="5" fillId="4" fontId="33" numFmtId="49" xfId="0" applyAlignment="1" applyBorder="1" applyFont="1" applyNumberFormat="1">
      <alignment horizontal="center" vertical="bottom"/>
    </xf>
    <xf borderId="5" fillId="4" fontId="33" numFmtId="164" xfId="0" applyAlignment="1" applyBorder="1" applyFont="1" applyNumberFormat="1">
      <alignment horizontal="center" vertical="bottom"/>
    </xf>
    <xf borderId="5" fillId="22" fontId="33" numFmtId="0" xfId="0" applyAlignment="1" applyBorder="1" applyFont="1">
      <alignment vertical="bottom"/>
    </xf>
    <xf borderId="39" fillId="0" fontId="6" numFmtId="0" xfId="0" applyAlignment="1" applyBorder="1" applyFont="1">
      <alignment horizontal="left" vertical="bottom"/>
    </xf>
    <xf borderId="39" fillId="0" fontId="9" numFmtId="0" xfId="0" applyAlignment="1" applyBorder="1" applyFont="1">
      <alignment vertical="bottom"/>
    </xf>
    <xf borderId="69" fillId="0" fontId="9" numFmtId="0" xfId="0" applyAlignment="1" applyBorder="1" applyFont="1">
      <alignment vertical="bottom"/>
    </xf>
    <xf borderId="5" fillId="31" fontId="103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left" vertical="bottom"/>
    </xf>
    <xf borderId="5" fillId="10" fontId="103" numFmtId="0" xfId="0" applyAlignment="1" applyBorder="1" applyFont="1">
      <alignment horizontal="center" readingOrder="0" vertical="center"/>
    </xf>
    <xf borderId="5" fillId="10" fontId="12" numFmtId="0" xfId="0" applyAlignment="1" applyBorder="1" applyFont="1">
      <alignment horizontal="center" readingOrder="0" vertical="center"/>
    </xf>
    <xf borderId="5" fillId="10" fontId="12" numFmtId="175" xfId="0" applyAlignment="1" applyBorder="1" applyFont="1" applyNumberFormat="1">
      <alignment horizontal="center" readingOrder="0" vertical="center"/>
    </xf>
    <xf borderId="62" fillId="6" fontId="62" numFmtId="172" xfId="0" applyAlignment="1" applyBorder="1" applyFont="1" applyNumberFormat="1">
      <alignment horizontal="left" readingOrder="0" vertical="bottom"/>
    </xf>
    <xf borderId="5" fillId="16" fontId="12" numFmtId="175" xfId="0" applyAlignment="1" applyBorder="1" applyFont="1" applyNumberFormat="1">
      <alignment horizontal="center" readingOrder="0" vertical="center"/>
    </xf>
    <xf borderId="64" fillId="6" fontId="104" numFmtId="0" xfId="0" applyAlignment="1" applyBorder="1" applyFont="1">
      <alignment horizontal="center" readingOrder="0" vertical="center"/>
    </xf>
    <xf borderId="46" fillId="6" fontId="105" numFmtId="0" xfId="0" applyAlignment="1" applyBorder="1" applyFont="1">
      <alignment horizontal="center" vertical="center"/>
    </xf>
    <xf borderId="46" fillId="6" fontId="106" numFmtId="0" xfId="0" applyAlignment="1" applyBorder="1" applyFont="1">
      <alignment horizontal="center" readingOrder="0" vertical="center"/>
    </xf>
    <xf borderId="66" fillId="6" fontId="107" numFmtId="0" xfId="0" applyAlignment="1" applyBorder="1" applyFont="1">
      <alignment horizontal="center" vertical="center"/>
    </xf>
    <xf borderId="65" fillId="0" fontId="6" numFmtId="0" xfId="0" applyAlignment="1" applyBorder="1" applyFont="1">
      <alignment readingOrder="0" vertical="bottom"/>
    </xf>
    <xf borderId="5" fillId="10" fontId="12" numFmtId="0" xfId="0" applyAlignment="1" applyBorder="1" applyFont="1">
      <alignment horizontal="center" readingOrder="0" vertical="center"/>
    </xf>
    <xf borderId="65" fillId="0" fontId="9" numFmtId="0" xfId="0" applyAlignment="1" applyBorder="1" applyFont="1">
      <alignment vertical="bottom"/>
    </xf>
    <xf borderId="65" fillId="0" fontId="6" numFmtId="0" xfId="0" applyAlignment="1" applyBorder="1" applyFont="1">
      <alignment vertical="bottom"/>
    </xf>
    <xf borderId="5" fillId="31" fontId="102" numFmtId="0" xfId="0" applyAlignment="1" applyBorder="1" applyFont="1">
      <alignment horizontal="center" readingOrder="0" vertical="bottom"/>
    </xf>
    <xf borderId="46" fillId="0" fontId="6" numFmtId="0" xfId="0" applyAlignment="1" applyBorder="1" applyFont="1">
      <alignment horizontal="center" vertical="bottom"/>
    </xf>
    <xf borderId="5" fillId="32" fontId="73" numFmtId="0" xfId="0" applyAlignment="1" applyBorder="1" applyFill="1" applyFont="1">
      <alignment readingOrder="0" vertical="center"/>
    </xf>
    <xf borderId="65" fillId="0" fontId="6" numFmtId="0" xfId="0" applyAlignment="1" applyBorder="1" applyFont="1">
      <alignment horizontal="center" vertical="bottom"/>
    </xf>
    <xf borderId="5" fillId="17" fontId="9" numFmtId="0" xfId="0" applyAlignment="1" applyBorder="1" applyFont="1">
      <alignment horizontal="center" vertical="center"/>
    </xf>
    <xf borderId="67" fillId="0" fontId="9" numFmtId="0" xfId="0" applyAlignment="1" applyBorder="1" applyFont="1">
      <alignment vertical="bottom"/>
    </xf>
    <xf borderId="5" fillId="7" fontId="9" numFmtId="0" xfId="0" applyAlignment="1" applyBorder="1" applyFont="1">
      <alignment readingOrder="0" vertical="center"/>
    </xf>
    <xf borderId="5" fillId="33" fontId="9" numFmtId="0" xfId="0" applyAlignment="1" applyBorder="1" applyFill="1" applyFont="1">
      <alignment vertical="center"/>
    </xf>
    <xf borderId="5" fillId="6" fontId="6" numFmtId="0" xfId="0" applyAlignment="1" applyBorder="1" applyFont="1">
      <alignment horizontal="center" readingOrder="0" vertical="bottom"/>
    </xf>
    <xf borderId="5" fillId="17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readingOrder="0" vertical="bottom"/>
    </xf>
    <xf borderId="5" fillId="17" fontId="9" numFmtId="0" xfId="0" applyAlignment="1" applyBorder="1" applyFont="1">
      <alignment horizontal="center" readingOrder="0" shrinkToFit="0" vertical="center" wrapText="0"/>
    </xf>
    <xf borderId="8" fillId="0" fontId="11" numFmtId="0" xfId="0" applyAlignment="1" applyBorder="1" applyFont="1">
      <alignment horizontal="center" readingOrder="0" vertical="center"/>
    </xf>
    <xf borderId="5" fillId="0" fontId="73" numFmtId="0" xfId="0" applyAlignment="1" applyBorder="1" applyFont="1">
      <alignment horizontal="center" readingOrder="0" shrinkToFit="0" vertical="center" wrapText="1"/>
    </xf>
    <xf borderId="36" fillId="0" fontId="58" numFmtId="0" xfId="0" applyAlignment="1" applyBorder="1" applyFont="1">
      <alignment horizontal="center" readingOrder="0" vertical="bottom"/>
    </xf>
    <xf borderId="51" fillId="4" fontId="58" numFmtId="0" xfId="0" applyAlignment="1" applyBorder="1" applyFont="1">
      <alignment horizontal="center" readingOrder="0" vertical="bottom"/>
    </xf>
    <xf borderId="5" fillId="33" fontId="73" numFmtId="0" xfId="0" applyAlignment="1" applyBorder="1" applyFont="1">
      <alignment horizontal="center" readingOrder="0" shrinkToFit="0" vertical="center" wrapText="1"/>
    </xf>
    <xf borderId="51" fillId="0" fontId="62" numFmtId="0" xfId="0" applyAlignment="1" applyBorder="1" applyFont="1">
      <alignment vertical="bottom"/>
    </xf>
    <xf borderId="37" fillId="4" fontId="9" numFmtId="0" xfId="0" applyAlignment="1" applyBorder="1" applyFont="1">
      <alignment readingOrder="0" vertical="bottom"/>
    </xf>
    <xf borderId="5" fillId="17" fontId="23" numFmtId="0" xfId="0" applyAlignment="1" applyBorder="1" applyFont="1">
      <alignment horizontal="center" readingOrder="0" vertical="center"/>
    </xf>
    <xf borderId="5" fillId="0" fontId="73" numFmtId="0" xfId="0" applyAlignment="1" applyBorder="1" applyFont="1">
      <alignment readingOrder="0" vertical="center"/>
    </xf>
    <xf borderId="5" fillId="10" fontId="9" numFmtId="0" xfId="0" applyAlignment="1" applyBorder="1" applyFont="1">
      <alignment vertical="center"/>
    </xf>
    <xf borderId="37" fillId="4" fontId="33" numFmtId="0" xfId="0" applyAlignment="1" applyBorder="1" applyFont="1">
      <alignment horizontal="left" vertical="bottom"/>
    </xf>
    <xf borderId="6" fillId="4" fontId="94" numFmtId="176" xfId="0" applyAlignment="1" applyBorder="1" applyFont="1" applyNumberFormat="1">
      <alignment horizontal="center" readingOrder="0" vertical="center"/>
    </xf>
    <xf borderId="22" fillId="33" fontId="73" numFmtId="0" xfId="0" applyAlignment="1" applyBorder="1" applyFont="1">
      <alignment horizontal="center" readingOrder="0" shrinkToFit="0" vertical="center" wrapText="1"/>
    </xf>
    <xf borderId="6" fillId="4" fontId="108" numFmtId="0" xfId="0" applyAlignment="1" applyBorder="1" applyFont="1">
      <alignment horizontal="center" readingOrder="0" vertical="center"/>
    </xf>
    <xf borderId="5" fillId="17" fontId="9" numFmtId="0" xfId="0" applyAlignment="1" applyBorder="1" applyFont="1">
      <alignment horizontal="center" readingOrder="0" vertical="center"/>
    </xf>
    <xf borderId="8" fillId="4" fontId="58" numFmtId="0" xfId="0" applyAlignment="1" applyBorder="1" applyFont="1">
      <alignment horizontal="center" readingOrder="0" vertical="bottom"/>
    </xf>
    <xf borderId="5" fillId="4" fontId="73" numFmtId="0" xfId="0" applyAlignment="1" applyBorder="1" applyFont="1">
      <alignment horizontal="center" readingOrder="0" shrinkToFit="0" vertical="center" wrapText="1"/>
    </xf>
    <xf borderId="8" fillId="15" fontId="62" numFmtId="0" xfId="0" applyAlignment="1" applyBorder="1" applyFont="1">
      <alignment vertical="bottom"/>
    </xf>
    <xf borderId="8" fillId="6" fontId="9" numFmtId="0" xfId="0" applyAlignment="1" applyBorder="1" applyFont="1">
      <alignment vertical="bottom"/>
    </xf>
    <xf borderId="5" fillId="7" fontId="9" numFmtId="0" xfId="0" applyAlignment="1" applyBorder="1" applyFont="1">
      <alignment vertical="center"/>
    </xf>
    <xf borderId="0" fillId="0" fontId="73" numFmtId="0" xfId="0" applyAlignment="1" applyFont="1">
      <alignment readingOrder="0" vertical="center"/>
    </xf>
    <xf borderId="5" fillId="17" fontId="11" numFmtId="0" xfId="0" applyAlignment="1" applyBorder="1" applyFont="1">
      <alignment horizontal="center" readingOrder="0" vertical="center"/>
    </xf>
    <xf borderId="5" fillId="17" fontId="11" numFmtId="173" xfId="0" applyAlignment="1" applyBorder="1" applyFont="1" applyNumberFormat="1">
      <alignment horizontal="center" readingOrder="0" vertical="center"/>
    </xf>
    <xf borderId="5" fillId="17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readingOrder="0" vertical="center"/>
    </xf>
    <xf borderId="0" fillId="0" fontId="11" numFmtId="0" xfId="0" applyAlignment="1" applyFont="1">
      <alignment horizontal="left" readingOrder="0" vertical="center"/>
    </xf>
    <xf borderId="70" fillId="33" fontId="109" numFmtId="0" xfId="0" applyAlignment="1" applyBorder="1" applyFont="1">
      <alignment shrinkToFit="0" vertical="bottom" wrapText="0"/>
    </xf>
    <xf borderId="51" fillId="15" fontId="62" numFmtId="0" xfId="0" applyAlignment="1" applyBorder="1" applyFont="1">
      <alignment readingOrder="0" vertical="bottom"/>
    </xf>
    <xf borderId="71" fillId="0" fontId="110" numFmtId="0" xfId="0" applyAlignment="1" applyBorder="1" applyFont="1">
      <alignment readingOrder="0" shrinkToFit="0" vertical="bottom" wrapText="0"/>
    </xf>
    <xf borderId="72" fillId="0" fontId="16" numFmtId="0" xfId="0" applyAlignment="1" applyBorder="1" applyFont="1">
      <alignment vertical="center"/>
    </xf>
    <xf borderId="51" fillId="6" fontId="9" numFmtId="0" xfId="0" applyAlignment="1" applyBorder="1" applyFont="1">
      <alignment readingOrder="0" vertical="bottom"/>
    </xf>
    <xf borderId="73" fillId="0" fontId="16" numFmtId="0" xfId="0" applyAlignment="1" applyBorder="1" applyFont="1">
      <alignment vertical="center"/>
    </xf>
    <xf borderId="70" fillId="7" fontId="58" numFmtId="0" xfId="0" applyAlignment="1" applyBorder="1" applyFont="1">
      <alignment shrinkToFit="0" vertical="bottom" wrapText="0"/>
    </xf>
    <xf borderId="71" fillId="0" fontId="111" numFmtId="0" xfId="0" applyAlignment="1" applyBorder="1" applyFont="1">
      <alignment readingOrder="0" shrinkToFit="0" vertical="bottom" wrapText="0"/>
    </xf>
    <xf borderId="70" fillId="10" fontId="58" numFmtId="0" xfId="0" applyAlignment="1" applyBorder="1" applyFont="1">
      <alignment shrinkToFit="0" vertical="bottom" wrapText="0"/>
    </xf>
    <xf borderId="51" fillId="0" fontId="62" numFmtId="0" xfId="0" applyAlignment="1" applyBorder="1" applyFont="1">
      <alignment readingOrder="0" vertical="bottom"/>
    </xf>
    <xf borderId="51" fillId="0" fontId="9" numFmtId="0" xfId="0" applyAlignment="1" applyBorder="1" applyFont="1">
      <alignment vertical="bottom"/>
    </xf>
    <xf borderId="51" fillId="15" fontId="62" numFmtId="0" xfId="0" applyAlignment="1" applyBorder="1" applyFont="1">
      <alignment vertical="bottom"/>
    </xf>
    <xf borderId="51" fillId="6" fontId="9" numFmtId="0" xfId="0" applyAlignment="1" applyBorder="1" applyFont="1">
      <alignment vertical="bottom"/>
    </xf>
    <xf borderId="51" fillId="4" fontId="72" numFmtId="0" xfId="0" applyAlignment="1" applyBorder="1" applyFont="1">
      <alignment horizontal="center" readingOrder="0" vertical="bottom"/>
    </xf>
    <xf borderId="51" fillId="0" fontId="6" numFmtId="3" xfId="0" applyAlignment="1" applyBorder="1" applyFont="1" applyNumberFormat="1">
      <alignment horizontal="center" readingOrder="0" vertical="center"/>
    </xf>
    <xf borderId="74" fillId="5" fontId="9" numFmtId="3" xfId="0" applyAlignment="1" applyBorder="1" applyFont="1" applyNumberFormat="1">
      <alignment horizontal="center" readingOrder="0" vertical="center"/>
    </xf>
    <xf borderId="5" fillId="0" fontId="6" numFmtId="3" xfId="0" applyAlignment="1" applyBorder="1" applyFont="1" applyNumberFormat="1">
      <alignment horizontal="center" readingOrder="0" vertical="center"/>
    </xf>
    <xf borderId="51" fillId="20" fontId="6" numFmtId="3" xfId="0" applyAlignment="1" applyBorder="1" applyFont="1" applyNumberFormat="1">
      <alignment horizontal="center" readingOrder="0" vertical="center"/>
    </xf>
    <xf borderId="51" fillId="5" fontId="9" numFmtId="3" xfId="0" applyAlignment="1" applyBorder="1" applyFont="1" applyNumberFormat="1">
      <alignment horizontal="center" readingOrder="0" vertical="center"/>
    </xf>
    <xf borderId="5" fillId="34" fontId="9" numFmtId="3" xfId="0" applyAlignment="1" applyBorder="1" applyFill="1" applyFont="1" applyNumberFormat="1">
      <alignment horizontal="center" readingOrder="0" vertical="center"/>
    </xf>
    <xf borderId="5" fillId="20" fontId="6" numFmtId="3" xfId="0" applyAlignment="1" applyBorder="1" applyFont="1" applyNumberFormat="1">
      <alignment horizontal="center" readingOrder="0" vertical="center"/>
    </xf>
    <xf borderId="5" fillId="34" fontId="9" numFmtId="0" xfId="0" applyAlignment="1" applyBorder="1" applyFont="1">
      <alignment horizontal="center" readingOrder="0" vertical="center"/>
    </xf>
    <xf borderId="5" fillId="0" fontId="9" numFmtId="3" xfId="0" applyAlignment="1" applyBorder="1" applyFont="1" applyNumberFormat="1">
      <alignment horizontal="left" vertical="bottom"/>
    </xf>
    <xf borderId="37" fillId="4" fontId="33" numFmtId="3" xfId="0" applyAlignment="1" applyBorder="1" applyFont="1" applyNumberFormat="1">
      <alignment horizontal="left" vertical="bottom"/>
    </xf>
    <xf borderId="37" fillId="4" fontId="33" numFmtId="0" xfId="0" applyAlignment="1" applyBorder="1" applyFont="1">
      <alignment horizontal="left" readingOrder="0" vertical="bottom"/>
    </xf>
    <xf borderId="51" fillId="4" fontId="6" numFmtId="3" xfId="0" applyAlignment="1" applyBorder="1" applyFont="1" applyNumberFormat="1">
      <alignment horizontal="center" readingOrder="0" vertical="center"/>
    </xf>
    <xf borderId="5" fillId="2" fontId="6" numFmtId="3" xfId="0" applyAlignment="1" applyBorder="1" applyFont="1" applyNumberFormat="1">
      <alignment horizontal="center" readingOrder="0" vertical="center"/>
    </xf>
    <xf borderId="5" fillId="4" fontId="6" numFmtId="3" xfId="0" applyAlignment="1" applyBorder="1" applyFont="1" applyNumberFormat="1">
      <alignment horizontal="center" readingOrder="0" vertical="center"/>
    </xf>
    <xf borderId="51" fillId="6" fontId="9" numFmtId="0" xfId="0" applyAlignment="1" applyBorder="1" applyFont="1">
      <alignment readingOrder="0" shrinkToFit="0" vertical="bottom" wrapText="1"/>
    </xf>
    <xf borderId="51" fillId="0" fontId="9" numFmtId="0" xfId="0" applyAlignment="1" applyBorder="1" applyFont="1">
      <alignment readingOrder="0" vertical="bottom"/>
    </xf>
    <xf borderId="5" fillId="4" fontId="22" numFmtId="0" xfId="0" applyAlignment="1" applyBorder="1" applyFont="1">
      <alignment horizontal="center" readingOrder="0" vertical="center"/>
    </xf>
    <xf borderId="75" fillId="5" fontId="9" numFmtId="0" xfId="0" applyAlignment="1" applyBorder="1" applyFont="1">
      <alignment horizontal="center" readingOrder="0" vertical="center"/>
    </xf>
    <xf borderId="51" fillId="4" fontId="6" numFmtId="0" xfId="0" applyAlignment="1" applyBorder="1" applyFont="1">
      <alignment horizontal="center" readingOrder="0" vertical="center"/>
    </xf>
    <xf borderId="74" fillId="5" fontId="9" numFmtId="0" xfId="0" applyAlignment="1" applyBorder="1" applyFont="1">
      <alignment horizontal="center" readingOrder="0" vertical="center"/>
    </xf>
    <xf borderId="74" fillId="5" fontId="6" numFmtId="0" xfId="0" applyAlignment="1" applyBorder="1" applyFont="1">
      <alignment horizontal="center" readingOrder="0" vertical="center"/>
    </xf>
    <xf borderId="51" fillId="5" fontId="9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1" fillId="2" fontId="9" numFmtId="0" xfId="0" applyAlignment="1" applyBorder="1" applyFont="1">
      <alignment horizontal="center" readingOrder="0" vertical="center"/>
    </xf>
    <xf borderId="0" fillId="4" fontId="33" numFmtId="0" xfId="0" applyAlignment="1" applyFont="1">
      <alignment horizontal="left" vertical="bottom"/>
    </xf>
    <xf borderId="51" fillId="2" fontId="9" numFmtId="0" xfId="0" applyAlignment="1" applyBorder="1" applyFont="1">
      <alignment horizontal="center" readingOrder="0" vertical="bottom"/>
    </xf>
    <xf borderId="51" fillId="4" fontId="6" numFmtId="0" xfId="0" applyAlignment="1" applyBorder="1" applyFont="1">
      <alignment horizontal="center" readingOrder="0" vertical="bottom"/>
    </xf>
    <xf borderId="5" fillId="2" fontId="100" numFmtId="0" xfId="0" applyAlignment="1" applyBorder="1" applyFont="1">
      <alignment horizontal="center" readingOrder="0" vertical="bottom"/>
    </xf>
    <xf borderId="51" fillId="0" fontId="100" numFmtId="0" xfId="0" applyAlignment="1" applyBorder="1" applyFont="1">
      <alignment horizontal="center" readingOrder="0" vertical="bottom"/>
    </xf>
    <xf borderId="51" fillId="2" fontId="100" numFmtId="0" xfId="0" applyAlignment="1" applyBorder="1" applyFont="1">
      <alignment horizontal="center" readingOrder="0" vertical="bottom"/>
    </xf>
    <xf borderId="5" fillId="20" fontId="9" numFmtId="0" xfId="0" applyAlignment="1" applyBorder="1" applyFont="1">
      <alignment horizontal="center" readingOrder="0" vertical="center"/>
    </xf>
    <xf borderId="0" fillId="4" fontId="33" numFmtId="0" xfId="0" applyAlignment="1" applyFont="1">
      <alignment horizontal="left" readingOrder="0" vertical="bottom"/>
    </xf>
    <xf borderId="23" fillId="0" fontId="33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33" numFmtId="0" xfId="0" applyAlignment="1" applyFont="1">
      <alignment readingOrder="0" vertical="bottom"/>
    </xf>
    <xf borderId="6" fillId="0" fontId="70" numFmtId="0" xfId="0" applyAlignment="1" applyBorder="1" applyFont="1">
      <alignment horizontal="center" readingOrder="0" vertical="bottom"/>
    </xf>
    <xf borderId="7" fillId="0" fontId="70" numFmtId="0" xfId="0" applyAlignment="1" applyBorder="1" applyFont="1">
      <alignment horizontal="center" readingOrder="0" vertical="bottom"/>
    </xf>
    <xf borderId="6" fillId="20" fontId="70" numFmtId="0" xfId="0" applyAlignment="1" applyBorder="1" applyFont="1">
      <alignment horizontal="center" readingOrder="0" vertical="bottom"/>
    </xf>
    <xf borderId="6" fillId="0" fontId="70" numFmtId="0" xfId="0" applyAlignment="1" applyBorder="1" applyFont="1">
      <alignment horizontal="center" vertical="bottom"/>
    </xf>
    <xf borderId="6" fillId="0" fontId="70" numFmtId="3" xfId="0" applyAlignment="1" applyBorder="1" applyFont="1" applyNumberFormat="1">
      <alignment horizontal="center" vertical="bottom"/>
    </xf>
    <xf borderId="6" fillId="0" fontId="70" numFmtId="3" xfId="0" applyAlignment="1" applyBorder="1" applyFont="1" applyNumberFormat="1">
      <alignment horizontal="center" readingOrder="0" vertical="bottom"/>
    </xf>
    <xf borderId="5" fillId="0" fontId="6" numFmtId="3" xfId="0" applyAlignment="1" applyBorder="1" applyFont="1" applyNumberFormat="1">
      <alignment horizontal="center" vertical="bottom"/>
    </xf>
    <xf borderId="0" fillId="0" fontId="22" numFmtId="0" xfId="0" applyAlignment="1" applyFont="1">
      <alignment horizontal="center" readingOrder="0" vertical="center"/>
    </xf>
    <xf borderId="0" fillId="0" fontId="11" numFmtId="49" xfId="0" applyAlignment="1" applyFont="1" applyNumberFormat="1">
      <alignment vertical="center"/>
    </xf>
    <xf borderId="0" fillId="0" fontId="11" numFmtId="4" xfId="0" applyAlignment="1" applyFont="1" applyNumberFormat="1">
      <alignment vertical="center"/>
    </xf>
    <xf borderId="6" fillId="0" fontId="22" numFmtId="0" xfId="0" applyAlignment="1" applyBorder="1" applyFont="1">
      <alignment horizontal="center" vertical="center"/>
    </xf>
    <xf borderId="76" fillId="35" fontId="22" numFmtId="0" xfId="0" applyAlignment="1" applyBorder="1" applyFill="1" applyFont="1">
      <alignment horizontal="center" vertical="center"/>
    </xf>
    <xf borderId="76" fillId="31" fontId="22" numFmtId="0" xfId="0" applyAlignment="1" applyBorder="1" applyFont="1">
      <alignment horizontal="center" vertical="center"/>
    </xf>
    <xf borderId="76" fillId="0" fontId="22" numFmtId="0" xfId="0" applyAlignment="1" applyBorder="1" applyFont="1">
      <alignment horizontal="center" vertical="center"/>
    </xf>
    <xf borderId="76" fillId="0" fontId="22" numFmtId="0" xfId="0" applyAlignment="1" applyBorder="1" applyFont="1">
      <alignment horizontal="right" vertical="center"/>
    </xf>
    <xf borderId="6" fillId="2" fontId="11" numFmtId="4" xfId="0" applyAlignment="1" applyBorder="1" applyFont="1" applyNumberFormat="1">
      <alignment vertical="center"/>
    </xf>
    <xf borderId="77" fillId="2" fontId="11" numFmtId="164" xfId="0" applyAlignment="1" applyBorder="1" applyFont="1" applyNumberFormat="1">
      <alignment vertical="center"/>
    </xf>
    <xf borderId="77" fillId="2" fontId="22" numFmtId="164" xfId="0" applyAlignment="1" applyBorder="1" applyFont="1" applyNumberFormat="1">
      <alignment vertical="center"/>
    </xf>
    <xf borderId="77" fillId="0" fontId="11" numFmtId="164" xfId="0" applyAlignment="1" applyBorder="1" applyFont="1" applyNumberFormat="1">
      <alignment horizontal="right" vertical="center"/>
    </xf>
    <xf borderId="77" fillId="0" fontId="11" numFmtId="10" xfId="0" applyAlignment="1" applyBorder="1" applyFont="1" applyNumberFormat="1">
      <alignment horizontal="right" vertical="center"/>
    </xf>
    <xf borderId="0" fillId="0" fontId="11" numFmtId="177" xfId="0" applyAlignment="1" applyFont="1" applyNumberFormat="1">
      <alignment horizontal="left" vertical="center"/>
    </xf>
    <xf borderId="6" fillId="36" fontId="11" numFmtId="0" xfId="0" applyAlignment="1" applyBorder="1" applyFill="1" applyFont="1">
      <alignment vertical="center"/>
    </xf>
    <xf borderId="77" fillId="36" fontId="11" numFmtId="1" xfId="0" applyAlignment="1" applyBorder="1" applyFont="1" applyNumberFormat="1">
      <alignment vertical="center"/>
    </xf>
    <xf borderId="77" fillId="36" fontId="22" numFmtId="1" xfId="0" applyAlignment="1" applyBorder="1" applyFont="1" applyNumberFormat="1">
      <alignment vertical="center"/>
    </xf>
    <xf borderId="77" fillId="0" fontId="11" numFmtId="1" xfId="0" applyAlignment="1" applyBorder="1" applyFont="1" applyNumberFormat="1">
      <alignment horizontal="right" vertical="center"/>
    </xf>
    <xf borderId="0" fillId="0" fontId="11" numFmtId="164" xfId="0" applyAlignment="1" applyFont="1" applyNumberFormat="1">
      <alignment vertical="center"/>
    </xf>
    <xf borderId="0" fillId="0" fontId="22" numFmtId="0" xfId="0" applyAlignment="1" applyFont="1">
      <alignment horizontal="right" vertical="center"/>
    </xf>
    <xf borderId="78" fillId="2" fontId="22" numFmtId="4" xfId="0" applyAlignment="1" applyBorder="1" applyFont="1" applyNumberFormat="1">
      <alignment horizontal="center" vertical="center"/>
    </xf>
    <xf borderId="34" fillId="0" fontId="16" numFmtId="0" xfId="0" applyAlignment="1" applyBorder="1" applyFont="1">
      <alignment vertical="center"/>
    </xf>
    <xf borderId="11" fillId="0" fontId="22" numFmtId="178" xfId="0" applyAlignment="1" applyBorder="1" applyFont="1" applyNumberFormat="1">
      <alignment vertical="center"/>
    </xf>
    <xf borderId="78" fillId="36" fontId="22" numFmtId="4" xfId="0" applyAlignment="1" applyBorder="1" applyFont="1" applyNumberFormat="1">
      <alignment horizontal="center" vertical="center"/>
    </xf>
    <xf borderId="78" fillId="10" fontId="22" numFmtId="4" xfId="0" applyAlignment="1" applyBorder="1" applyFont="1" applyNumberFormat="1">
      <alignment horizontal="center" vertical="center"/>
    </xf>
    <xf borderId="78" fillId="19" fontId="112" numFmtId="4" xfId="0" applyAlignment="1" applyBorder="1" applyFont="1" applyNumberFormat="1">
      <alignment horizontal="center" vertical="center"/>
    </xf>
    <xf borderId="11" fillId="0" fontId="22" numFmtId="10" xfId="0" applyAlignment="1" applyBorder="1" applyFont="1" applyNumberFormat="1">
      <alignment vertical="center"/>
    </xf>
    <xf borderId="0" fillId="0" fontId="22" numFmtId="0" xfId="0" applyAlignment="1" applyFont="1">
      <alignment horizontal="center" vertical="center"/>
    </xf>
    <xf borderId="6" fillId="10" fontId="11" numFmtId="0" xfId="0" applyAlignment="1" applyBorder="1" applyFont="1">
      <alignment vertical="center"/>
    </xf>
    <xf borderId="77" fillId="10" fontId="11" numFmtId="164" xfId="0" applyAlignment="1" applyBorder="1" applyFont="1" applyNumberFormat="1">
      <alignment vertical="center"/>
    </xf>
    <xf borderId="77" fillId="10" fontId="22" numFmtId="164" xfId="0" applyAlignment="1" applyBorder="1" applyFont="1" applyNumberFormat="1">
      <alignment vertical="center"/>
    </xf>
    <xf borderId="0" fillId="0" fontId="12" numFmtId="49" xfId="0" applyAlignment="1" applyFont="1" applyNumberFormat="1">
      <alignment horizontal="center" vertical="center"/>
    </xf>
    <xf borderId="18" fillId="0" fontId="22" numFmtId="4" xfId="0" applyAlignment="1" applyBorder="1" applyFont="1" applyNumberFormat="1">
      <alignment horizontal="center" vertical="center"/>
    </xf>
    <xf borderId="5" fillId="0" fontId="22" numFmtId="4" xfId="0" applyAlignment="1" applyBorder="1" applyFont="1" applyNumberFormat="1">
      <alignment horizontal="center" vertical="center"/>
    </xf>
    <xf borderId="20" fillId="0" fontId="22" numFmtId="0" xfId="0" applyAlignment="1" applyBorder="1" applyFont="1">
      <alignment horizontal="center" vertical="center"/>
    </xf>
    <xf borderId="6" fillId="19" fontId="113" numFmtId="0" xfId="0" applyAlignment="1" applyBorder="1" applyFont="1">
      <alignment horizontal="left" vertical="center"/>
    </xf>
    <xf borderId="79" fillId="19" fontId="113" numFmtId="164" xfId="0" applyAlignment="1" applyBorder="1" applyFont="1" applyNumberFormat="1">
      <alignment horizontal="center" vertical="center"/>
    </xf>
    <xf borderId="79" fillId="19" fontId="112" numFmtId="164" xfId="0" applyAlignment="1" applyBorder="1" applyFont="1" applyNumberFormat="1">
      <alignment horizontal="center" vertical="center"/>
    </xf>
    <xf borderId="79" fillId="0" fontId="11" numFmtId="164" xfId="0" applyAlignment="1" applyBorder="1" applyFont="1" applyNumberFormat="1">
      <alignment horizontal="right" vertical="center"/>
    </xf>
    <xf borderId="79" fillId="0" fontId="11" numFmtId="10" xfId="0" applyAlignment="1" applyBorder="1" applyFont="1" applyNumberFormat="1">
      <alignment horizontal="right" vertical="center"/>
    </xf>
    <xf borderId="0" fillId="0" fontId="5" numFmtId="49" xfId="0" applyAlignment="1" applyFont="1" applyNumberFormat="1">
      <alignment horizontal="center" vertical="center"/>
    </xf>
    <xf borderId="18" fillId="0" fontId="11" numFmtId="4" xfId="0" applyAlignment="1" applyBorder="1" applyFont="1" applyNumberFormat="1">
      <alignment vertical="center"/>
    </xf>
    <xf borderId="5" fillId="0" fontId="11" numFmtId="4" xfId="0" applyAlignment="1" applyBorder="1" applyFont="1" applyNumberFormat="1">
      <alignment vertical="center"/>
    </xf>
    <xf borderId="20" fillId="0" fontId="11" numFmtId="179" xfId="0" applyAlignment="1" applyBorder="1" applyFont="1" applyNumberFormat="1">
      <alignment vertical="center"/>
    </xf>
    <xf borderId="20" fillId="0" fontId="11" numFmtId="0" xfId="0" applyAlignment="1" applyBorder="1" applyFont="1">
      <alignment vertical="center"/>
    </xf>
    <xf borderId="0" fillId="0" fontId="114" numFmtId="0" xfId="0" applyAlignment="1" applyFont="1">
      <alignment horizontal="center" vertical="bottom"/>
    </xf>
    <xf borderId="0" fillId="0" fontId="115" numFmtId="0" xfId="0" applyAlignment="1" applyFont="1">
      <alignment horizontal="center" vertical="center"/>
    </xf>
    <xf borderId="80" fillId="4" fontId="116" numFmtId="0" xfId="0" applyAlignment="1" applyBorder="1" applyFont="1">
      <alignment horizontal="center" vertical="center"/>
    </xf>
    <xf borderId="65" fillId="4" fontId="117" numFmtId="0" xfId="0" applyAlignment="1" applyBorder="1" applyFont="1">
      <alignment horizontal="center" vertical="center"/>
    </xf>
    <xf borderId="81" fillId="4" fontId="118" numFmtId="0" xfId="0" applyAlignment="1" applyBorder="1" applyFont="1">
      <alignment horizontal="center" vertical="center"/>
    </xf>
    <xf borderId="5" fillId="0" fontId="58" numFmtId="0" xfId="0" applyAlignment="1" applyBorder="1" applyFont="1">
      <alignment horizontal="center" vertical="bottom"/>
    </xf>
    <xf borderId="8" fillId="0" fontId="58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center"/>
    </xf>
    <xf borderId="18" fillId="0" fontId="11" numFmtId="0" xfId="0" applyAlignment="1" applyBorder="1" applyFont="1">
      <alignment vertical="center"/>
    </xf>
    <xf borderId="29" fillId="0" fontId="11" numFmtId="0" xfId="0" applyAlignment="1" applyBorder="1" applyFont="1">
      <alignment vertical="center"/>
    </xf>
    <xf borderId="31" fillId="0" fontId="11" numFmtId="0" xfId="0" applyAlignment="1" applyBorder="1" applyFont="1">
      <alignment vertical="center"/>
    </xf>
    <xf borderId="0" fillId="0" fontId="11" numFmtId="0" xfId="0" applyAlignment="1" applyFont="1">
      <alignment horizontal="right" vertical="center"/>
    </xf>
    <xf borderId="37" fillId="4" fontId="9" numFmtId="0" xfId="0" applyAlignment="1" applyBorder="1" applyFont="1">
      <alignment horizontal="left" vertical="bottom"/>
    </xf>
    <xf borderId="6" fillId="4" fontId="119" numFmtId="0" xfId="0" applyAlignment="1" applyBorder="1" applyFont="1">
      <alignment horizontal="center" readingOrder="0" vertical="center"/>
    </xf>
    <xf borderId="6" fillId="6" fontId="120" numFmtId="3" xfId="0" applyAlignment="1" applyBorder="1" applyFont="1" applyNumberFormat="1">
      <alignment horizontal="center" readingOrder="0" vertical="center"/>
    </xf>
    <xf borderId="5" fillId="6" fontId="22" numFmtId="0" xfId="0" applyAlignment="1" applyBorder="1" applyFont="1">
      <alignment horizontal="left" readingOrder="0" vertical="center"/>
    </xf>
    <xf borderId="5" fillId="15" fontId="121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right" readingOrder="0" vertical="center"/>
    </xf>
    <xf borderId="5" fillId="0" fontId="22" numFmtId="3" xfId="0" applyAlignment="1" applyBorder="1" applyFont="1" applyNumberFormat="1">
      <alignment horizontal="center" readingOrder="0" vertical="center"/>
    </xf>
    <xf borderId="5" fillId="0" fontId="22" numFmtId="169" xfId="0" applyAlignment="1" applyBorder="1" applyFont="1" applyNumberFormat="1">
      <alignment horizontal="right" readingOrder="0" vertical="center"/>
    </xf>
    <xf borderId="6" fillId="0" fontId="22" numFmtId="0" xfId="0" applyAlignment="1" applyBorder="1" applyFont="1">
      <alignment horizontal="center" readingOrder="0" vertical="center"/>
    </xf>
    <xf borderId="5" fillId="15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left" readingOrder="0" vertical="center"/>
    </xf>
    <xf borderId="0" fillId="0" fontId="11" numFmtId="0" xfId="0" applyAlignment="1" applyFont="1">
      <alignment horizontal="right" readingOrder="0" vertical="center"/>
    </xf>
    <xf borderId="5" fillId="4" fontId="33" numFmtId="1" xfId="0" applyAlignment="1" applyBorder="1" applyFont="1" applyNumberFormat="1">
      <alignment horizontal="center" vertical="center"/>
    </xf>
    <xf borderId="5" fillId="4" fontId="32" numFmtId="168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right" readingOrder="0" vertical="center"/>
    </xf>
    <xf borderId="37" fillId="4" fontId="9" numFmtId="3" xfId="0" applyAlignment="1" applyBorder="1" applyFont="1" applyNumberFormat="1">
      <alignment horizontal="left" vertical="bottom"/>
    </xf>
    <xf borderId="5" fillId="31" fontId="32" numFmtId="168" xfId="0" applyAlignment="1" applyBorder="1" applyFont="1" applyNumberFormat="1">
      <alignment horizontal="center" vertical="bottom"/>
    </xf>
    <xf borderId="5" fillId="31" fontId="32" numFmtId="168" xfId="0" applyAlignment="1" applyBorder="1" applyFont="1" applyNumberFormat="1">
      <alignment horizontal="center" readingOrder="0" vertical="bottom"/>
    </xf>
    <xf borderId="37" fillId="2" fontId="9" numFmtId="0" xfId="0" applyAlignment="1" applyBorder="1" applyFont="1">
      <alignment horizontal="center" readingOrder="0" vertical="center"/>
    </xf>
    <xf borderId="5" fillId="5" fontId="7" numFmtId="0" xfId="0" applyAlignment="1" applyBorder="1" applyFont="1">
      <alignment horizontal="center" readingOrder="0" vertical="center"/>
    </xf>
    <xf borderId="5" fillId="14" fontId="32" numFmtId="1" xfId="0" applyAlignment="1" applyBorder="1" applyFont="1" applyNumberFormat="1">
      <alignment horizontal="center" vertical="bottom"/>
    </xf>
    <xf borderId="5" fillId="14" fontId="32" numFmtId="168" xfId="0" applyAlignment="1" applyBorder="1" applyFont="1" applyNumberFormat="1">
      <alignment horizontal="center" vertical="bottom"/>
    </xf>
    <xf borderId="5" fillId="5" fontId="6" numFmtId="0" xfId="0" applyAlignment="1" applyBorder="1" applyFont="1">
      <alignment horizontal="center" readingOrder="0" vertical="bottom"/>
    </xf>
    <xf borderId="51" fillId="0" fontId="9" numFmtId="0" xfId="0" applyAlignment="1" applyBorder="1" applyFont="1">
      <alignment readingOrder="0" vertical="center"/>
    </xf>
    <xf borderId="5" fillId="20" fontId="6" numFmtId="0" xfId="0" applyAlignment="1" applyBorder="1" applyFont="1">
      <alignment horizontal="center" readingOrder="0" vertical="bottom"/>
    </xf>
    <xf borderId="5" fillId="5" fontId="9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center" readingOrder="0" vertical="bottom"/>
    </xf>
    <xf borderId="6" fillId="4" fontId="96" numFmtId="0" xfId="0" applyAlignment="1" applyBorder="1" applyFont="1">
      <alignment readingOrder="0" vertical="bottom"/>
    </xf>
    <xf borderId="5" fillId="4" fontId="33" numFmtId="0" xfId="0" applyAlignment="1" applyBorder="1" applyFont="1">
      <alignment readingOrder="0" vertical="bottom"/>
    </xf>
    <xf borderId="0" fillId="4" fontId="62" numFmtId="0" xfId="0" applyAlignment="1" applyFont="1">
      <alignment vertical="bottom"/>
    </xf>
    <xf borderId="0" fillId="4" fontId="9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4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5" fillId="22" fontId="32" numFmtId="1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shrinkToFit="0" vertical="center" wrapText="1"/>
    </xf>
    <xf borderId="5" fillId="18" fontId="24" numFmtId="0" xfId="0" applyAlignment="1" applyBorder="1" applyFont="1">
      <alignment readingOrder="0" shrinkToFit="0" vertical="center" wrapText="1"/>
    </xf>
    <xf borderId="5" fillId="7" fontId="11" numFmtId="0" xfId="0" applyAlignment="1" applyBorder="1" applyFont="1">
      <alignment readingOrder="0" shrinkToFit="0" vertical="center" wrapText="1"/>
    </xf>
    <xf borderId="6" fillId="20" fontId="6" numFmtId="0" xfId="0" applyAlignment="1" applyBorder="1" applyFont="1">
      <alignment horizontal="center" vertical="bottom"/>
    </xf>
    <xf borderId="6" fillId="20" fontId="6" numFmtId="0" xfId="0" applyAlignment="1" applyBorder="1" applyFont="1">
      <alignment horizontal="center" readingOrder="0" vertical="bottom"/>
    </xf>
    <xf borderId="5" fillId="4" fontId="11" numFmtId="0" xfId="0" applyAlignment="1" applyBorder="1" applyFont="1">
      <alignment horizontal="left" readingOrder="0" shrinkToFit="0" vertical="center" wrapText="1"/>
    </xf>
    <xf borderId="6" fillId="0" fontId="41" numFmtId="0" xfId="0" applyAlignment="1" applyBorder="1" applyFont="1">
      <alignment horizontal="center" readingOrder="0" shrinkToFit="0" vertical="bottom" wrapText="1"/>
    </xf>
    <xf borderId="23" fillId="0" fontId="0" numFmtId="0" xfId="0" applyAlignment="1" applyBorder="1" applyFont="1">
      <alignment horizontal="center" readingOrder="0" shrinkToFit="0" vertical="bottom" wrapText="1"/>
    </xf>
    <xf borderId="30" fillId="0" fontId="7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12" fillId="15" fontId="11" numFmtId="0" xfId="0" applyAlignment="1" applyBorder="1" applyFont="1">
      <alignment readingOrder="0" shrinkToFit="0" vertical="center" wrapText="1"/>
    </xf>
    <xf borderId="38" fillId="0" fontId="0" numFmtId="0" xfId="0" applyAlignment="1" applyBorder="1" applyFont="1">
      <alignment horizontal="center" readingOrder="0" shrinkToFit="0" vertical="bottom" wrapText="1"/>
    </xf>
    <xf borderId="6" fillId="0" fontId="6" numFmtId="3" xfId="0" applyAlignment="1" applyBorder="1" applyFont="1" applyNumberFormat="1">
      <alignment horizontal="center" vertical="bottom"/>
    </xf>
    <xf borderId="7" fillId="0" fontId="6" numFmtId="3" xfId="0" applyAlignment="1" applyBorder="1" applyFont="1" applyNumberFormat="1">
      <alignment horizontal="center" vertical="bottom"/>
    </xf>
    <xf borderId="6" fillId="20" fontId="6" numFmtId="3" xfId="0" applyAlignment="1" applyBorder="1" applyFont="1" applyNumberFormat="1">
      <alignment horizontal="center" vertical="bottom"/>
    </xf>
    <xf borderId="6" fillId="20" fontId="6" numFmtId="3" xfId="0" applyAlignment="1" applyBorder="1" applyFont="1" applyNumberFormat="1">
      <alignment horizontal="center" readingOrder="0" vertical="bottom"/>
    </xf>
    <xf borderId="30" fillId="6" fontId="0" numFmtId="0" xfId="0" applyAlignment="1" applyBorder="1" applyFont="1">
      <alignment horizontal="left" readingOrder="0" shrinkToFit="0" vertical="center" wrapText="1"/>
    </xf>
    <xf borderId="20" fillId="0" fontId="36" numFmtId="0" xfId="0" applyAlignment="1" applyBorder="1" applyFont="1">
      <alignment horizontal="center" readingOrder="0" shrinkToFit="0" vertical="center" wrapText="1"/>
    </xf>
    <xf borderId="30" fillId="14" fontId="37" numFmtId="0" xfId="0" applyAlignment="1" applyBorder="1" applyFont="1">
      <alignment horizontal="left" readingOrder="0" shrinkToFit="0" vertical="center" wrapText="1"/>
    </xf>
    <xf borderId="31" fillId="4" fontId="122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readingOrder="0" shrinkToFit="0" vertical="center" wrapText="1"/>
    </xf>
    <xf borderId="38" fillId="0" fontId="36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left" readingOrder="0" shrinkToFit="0" vertical="center" wrapText="1"/>
    </xf>
    <xf borderId="5" fillId="0" fontId="0" numFmtId="0" xfId="0" applyAlignment="1" applyBorder="1" applyFont="1">
      <alignment horizontal="left" readingOrder="0" shrinkToFit="0" vertical="bottom" wrapText="1"/>
    </xf>
    <xf borderId="5" fillId="7" fontId="50" numFmtId="0" xfId="0" applyAlignment="1" applyBorder="1" applyFont="1">
      <alignment horizontal="left" readingOrder="0" shrinkToFit="0" vertical="center" wrapText="1"/>
    </xf>
    <xf borderId="5" fillId="16" fontId="123" numFmtId="0" xfId="0" applyAlignment="1" applyBorder="1" applyFont="1">
      <alignment horizontal="left" readingOrder="0" shrinkToFit="0" vertical="center" wrapText="1"/>
    </xf>
    <xf borderId="20" fillId="0" fontId="122" numFmtId="0" xfId="0" applyAlignment="1" applyBorder="1" applyFont="1">
      <alignment horizontal="center" readingOrder="0" shrinkToFit="0" vertical="bottom" wrapText="1"/>
    </xf>
    <xf borderId="30" fillId="6" fontId="11" numFmtId="0" xfId="0" applyAlignment="1" applyBorder="1" applyFont="1">
      <alignment horizontal="left" readingOrder="0" shrinkToFit="0" vertical="center" wrapText="1"/>
    </xf>
    <xf borderId="31" fillId="0" fontId="36" numFmtId="0" xfId="0" applyAlignment="1" applyBorder="1" applyFont="1">
      <alignment horizontal="center" readingOrder="0" shrinkToFit="0" vertical="center" wrapText="1"/>
    </xf>
    <xf borderId="11" fillId="0" fontId="36" numFmtId="0" xfId="0" applyAlignment="1" applyBorder="1" applyFont="1">
      <alignment horizontal="center" readingOrder="0" shrinkToFit="0" vertical="center" wrapText="1"/>
    </xf>
    <xf borderId="20" fillId="0" fontId="64" numFmtId="0" xfId="0" applyAlignment="1" applyBorder="1" applyFont="1">
      <alignment horizontal="center" readingOrder="0" shrinkToFit="0" vertical="center" wrapText="1"/>
    </xf>
    <xf borderId="12" fillId="4" fontId="0" numFmtId="0" xfId="0" applyAlignment="1" applyBorder="1" applyFont="1">
      <alignment readingOrder="0" shrinkToFit="0" vertical="center" wrapText="1"/>
    </xf>
    <xf borderId="20" fillId="0" fontId="36" numFmtId="0" xfId="0" applyAlignment="1" applyBorder="1" applyFont="1">
      <alignment horizontal="center" readingOrder="0" shrinkToFit="0" vertical="bottom" wrapText="1"/>
    </xf>
    <xf borderId="30" fillId="21" fontId="0" numFmtId="0" xfId="0" applyAlignment="1" applyBorder="1" applyFont="1">
      <alignment horizontal="left" readingOrder="0" shrinkToFit="0" vertical="center" wrapText="1"/>
    </xf>
    <xf borderId="20" fillId="0" fontId="124" numFmtId="0" xfId="0" applyAlignment="1" applyBorder="1" applyFont="1">
      <alignment horizontal="center" readingOrder="0" shrinkToFit="0" vertical="bottom" wrapText="1"/>
    </xf>
    <xf borderId="39" fillId="17" fontId="11" numFmtId="0" xfId="0" applyAlignment="1" applyBorder="1" applyFont="1">
      <alignment readingOrder="0" shrinkToFit="0" vertical="center" wrapText="1"/>
    </xf>
    <xf borderId="20" fillId="0" fontId="125" numFmtId="0" xfId="0" applyAlignment="1" applyBorder="1" applyFont="1">
      <alignment horizontal="center" readingOrder="0" shrinkToFit="0" vertical="bottom" wrapText="1"/>
    </xf>
    <xf borderId="6" fillId="0" fontId="125" numFmtId="0" xfId="0" applyAlignment="1" applyBorder="1" applyFont="1">
      <alignment horizontal="center" readingOrder="0" shrinkToFit="0" vertical="bottom" wrapText="1"/>
    </xf>
    <xf borderId="1" fillId="19" fontId="0" numFmtId="0" xfId="0" applyAlignment="1" applyBorder="1" applyFont="1">
      <alignment readingOrder="0" shrinkToFit="0" vertical="center" wrapText="1"/>
    </xf>
    <xf borderId="20" fillId="13" fontId="0" numFmtId="0" xfId="0" applyAlignment="1" applyBorder="1" applyFont="1">
      <alignment horizontal="left" readingOrder="0" shrinkToFit="0" vertical="center" wrapText="1"/>
    </xf>
    <xf borderId="10" fillId="4" fontId="26" numFmtId="0" xfId="0" applyAlignment="1" applyBorder="1" applyFont="1">
      <alignment horizontal="center" readingOrder="0" shrinkToFit="0" vertical="center" wrapText="1"/>
    </xf>
    <xf borderId="28" fillId="0" fontId="58" numFmtId="0" xfId="0" applyAlignment="1" applyBorder="1" applyFont="1">
      <alignment horizontal="center" vertical="bottom"/>
    </xf>
    <xf borderId="39" fillId="0" fontId="58" numFmtId="0" xfId="0" applyAlignment="1" applyBorder="1" applyFont="1">
      <alignment horizontal="center" vertical="bottom"/>
    </xf>
    <xf borderId="39" fillId="0" fontId="62" numFmtId="0" xfId="0" applyAlignment="1" applyBorder="1" applyFont="1">
      <alignment vertical="bottom"/>
    </xf>
    <xf borderId="39" fillId="0" fontId="9" numFmtId="0" xfId="0" applyAlignment="1" applyBorder="1" applyFont="1">
      <alignment horizontal="right" vertical="bottom"/>
    </xf>
    <xf borderId="39" fillId="0" fontId="9" numFmtId="0" xfId="0" applyAlignment="1" applyBorder="1" applyFont="1">
      <alignment horizontal="left" vertical="bottom"/>
    </xf>
    <xf borderId="39" fillId="0" fontId="16" numFmtId="0" xfId="0" applyAlignment="1" applyBorder="1" applyFont="1">
      <alignment vertical="center"/>
    </xf>
    <xf borderId="39" fillId="0" fontId="11" numFmtId="0" xfId="0" applyAlignment="1" applyBorder="1" applyFont="1">
      <alignment vertical="center"/>
    </xf>
    <xf borderId="39" fillId="20" fontId="6" numFmtId="0" xfId="0" applyAlignment="1" applyBorder="1" applyFont="1">
      <alignment horizontal="left" readingOrder="0" vertical="bottom"/>
    </xf>
    <xf borderId="39" fillId="20" fontId="6" numFmtId="0" xfId="0" applyAlignment="1" applyBorder="1" applyFont="1">
      <alignment horizontal="left" vertical="bottom"/>
    </xf>
    <xf borderId="33" fillId="0" fontId="6" numFmtId="0" xfId="0" applyAlignment="1" applyBorder="1" applyFont="1">
      <alignment horizontal="left" readingOrder="0" vertical="bottom"/>
    </xf>
    <xf borderId="32" fillId="0" fontId="16" numFmtId="0" xfId="0" applyAlignment="1" applyBorder="1" applyFont="1">
      <alignment vertical="center"/>
    </xf>
    <xf borderId="32" fillId="0" fontId="6" numFmtId="0" xfId="0" applyAlignment="1" applyBorder="1" applyFont="1">
      <alignment horizontal="center" vertical="bottom"/>
    </xf>
    <xf borderId="82" fillId="6" fontId="126" numFmtId="0" xfId="0" applyAlignment="1" applyBorder="1" applyFont="1">
      <alignment horizontal="center" vertical="center"/>
    </xf>
    <xf borderId="62" fillId="6" fontId="127" numFmtId="0" xfId="0" applyAlignment="1" applyBorder="1" applyFont="1">
      <alignment horizontal="center" vertical="center"/>
    </xf>
    <xf borderId="63" fillId="6" fontId="128" numFmtId="0" xfId="0" applyAlignment="1" applyBorder="1" applyFont="1">
      <alignment horizontal="center" vertical="center"/>
    </xf>
    <xf borderId="46" fillId="0" fontId="16" numFmtId="0" xfId="0" applyAlignment="1" applyBorder="1" applyFont="1">
      <alignment vertical="center"/>
    </xf>
    <xf borderId="37" fillId="0" fontId="6" numFmtId="0" xfId="0" applyAlignment="1" applyBorder="1" applyFont="1">
      <alignment horizontal="center" vertical="bottom"/>
    </xf>
    <xf borderId="37" fillId="5" fontId="9" numFmtId="0" xfId="0" applyAlignment="1" applyBorder="1" applyFont="1">
      <alignment horizontal="center" vertical="bottom"/>
    </xf>
    <xf borderId="37" fillId="0" fontId="6" numFmtId="0" xfId="0" applyAlignment="1" applyBorder="1" applyFont="1">
      <alignment horizontal="center" readingOrder="0" vertical="bottom"/>
    </xf>
    <xf borderId="5" fillId="5" fontId="9" numFmtId="0" xfId="0" applyAlignment="1" applyBorder="1" applyFont="1">
      <alignment horizontal="center" vertical="bottom"/>
    </xf>
    <xf borderId="5" fillId="5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vertical="bottom"/>
    </xf>
    <xf borderId="6" fillId="2" fontId="6" numFmtId="0" xfId="0" applyAlignment="1" applyBorder="1" applyFont="1">
      <alignment horizontal="center" readingOrder="0" vertical="bottom"/>
    </xf>
    <xf borderId="6" fillId="4" fontId="6" numFmtId="0" xfId="0" applyAlignment="1" applyBorder="1" applyFont="1">
      <alignment horizontal="center" readingOrder="0" vertical="bottom"/>
    </xf>
    <xf borderId="6" fillId="4" fontId="56" numFmtId="0" xfId="0" applyAlignment="1" applyBorder="1" applyFont="1">
      <alignment horizontal="center" readingOrder="0" vertical="bottom"/>
    </xf>
    <xf borderId="6" fillId="20" fontId="56" numFmtId="0" xfId="0" applyAlignment="1" applyBorder="1" applyFont="1">
      <alignment horizontal="center" readingOrder="0" vertical="bottom"/>
    </xf>
    <xf borderId="6" fillId="5" fontId="58" numFmtId="0" xfId="0" applyAlignment="1" applyBorder="1" applyFont="1">
      <alignment horizontal="center" readingOrder="0" vertical="bottom"/>
    </xf>
    <xf borderId="6" fillId="0" fontId="58" numFmtId="0" xfId="0" applyAlignment="1" applyBorder="1" applyFont="1">
      <alignment horizontal="center" readingOrder="0" vertical="bottom"/>
    </xf>
    <xf borderId="5" fillId="22" fontId="129" numFmtId="0" xfId="0" applyAlignment="1" applyBorder="1" applyFont="1">
      <alignment horizontal="left" readingOrder="0" vertical="bottom"/>
    </xf>
    <xf borderId="5" fillId="22" fontId="33" numFmtId="168" xfId="0" applyAlignment="1" applyBorder="1" applyFont="1" applyNumberFormat="1">
      <alignment vertical="bottom"/>
    </xf>
    <xf borderId="37" fillId="37" fontId="130" numFmtId="0" xfId="0" applyAlignment="1" applyBorder="1" applyFill="1" applyFont="1">
      <alignment horizontal="center" readingOrder="0" vertical="bottom"/>
    </xf>
    <xf borderId="5" fillId="14" fontId="33" numFmtId="168" xfId="0" applyAlignment="1" applyBorder="1" applyFont="1" applyNumberFormat="1">
      <alignment vertical="bottom"/>
    </xf>
    <xf borderId="37" fillId="37" fontId="9" numFmtId="20" xfId="0" applyAlignment="1" applyBorder="1" applyFont="1" applyNumberFormat="1">
      <alignment horizontal="left" readingOrder="0" vertical="bottom"/>
    </xf>
    <xf borderId="5" fillId="22" fontId="32" numFmtId="1" xfId="0" applyAlignment="1" applyBorder="1" applyFont="1" applyNumberFormat="1">
      <alignment horizontal="right" vertical="bottom"/>
    </xf>
    <xf borderId="5" fillId="22" fontId="32" numFmtId="169" xfId="0" applyAlignment="1" applyBorder="1" applyFont="1" applyNumberFormat="1">
      <alignment horizontal="right" vertical="bottom"/>
    </xf>
    <xf borderId="5" fillId="22" fontId="32" numFmtId="169" xfId="0" applyAlignment="1" applyBorder="1" applyFont="1" applyNumberFormat="1">
      <alignment horizontal="right" readingOrder="0" vertical="bottom"/>
    </xf>
    <xf borderId="37" fillId="25" fontId="130" numFmtId="0" xfId="0" applyAlignment="1" applyBorder="1" applyFont="1">
      <alignment horizontal="center" vertical="bottom"/>
    </xf>
    <xf borderId="37" fillId="25" fontId="9" numFmtId="0" xfId="0" applyAlignment="1" applyBorder="1" applyFont="1">
      <alignment horizontal="left" vertical="bottom"/>
    </xf>
    <xf borderId="5" fillId="22" fontId="33" numFmtId="169" xfId="0" applyAlignment="1" applyBorder="1" applyFont="1" applyNumberFormat="1">
      <alignment readingOrder="0" vertical="bottom"/>
    </xf>
    <xf borderId="5" fillId="15" fontId="97" numFmtId="0" xfId="0" applyAlignment="1" applyBorder="1" applyFont="1">
      <alignment readingOrder="0" vertical="bottom"/>
    </xf>
    <xf borderId="37" fillId="18" fontId="130" numFmtId="0" xfId="0" applyAlignment="1" applyBorder="1" applyFont="1">
      <alignment horizontal="center" readingOrder="0" vertical="bottom"/>
    </xf>
    <xf borderId="37" fillId="18" fontId="9" numFmtId="20" xfId="0" applyAlignment="1" applyBorder="1" applyFont="1" applyNumberFormat="1">
      <alignment horizontal="left" readingOrder="0" vertical="bottom"/>
    </xf>
    <xf borderId="5" fillId="22" fontId="33" numFmtId="0" xfId="0" applyAlignment="1" applyBorder="1" applyFont="1">
      <alignment horizontal="left" readingOrder="0" vertical="bottom"/>
    </xf>
    <xf borderId="6" fillId="6" fontId="9" numFmtId="0" xfId="0" applyAlignment="1" applyBorder="1" applyFont="1">
      <alignment vertical="bottom"/>
    </xf>
    <xf borderId="37" fillId="19" fontId="9" numFmtId="20" xfId="0" applyAlignment="1" applyBorder="1" applyFont="1" applyNumberFormat="1">
      <alignment horizontal="left" readingOrder="0" vertical="bottom"/>
    </xf>
    <xf borderId="6" fillId="6" fontId="9" numFmtId="0" xfId="0" applyAlignment="1" applyBorder="1" applyFont="1">
      <alignment readingOrder="0" vertical="bottom"/>
    </xf>
    <xf borderId="37" fillId="19" fontId="9" numFmtId="0" xfId="0" applyAlignment="1" applyBorder="1" applyFont="1">
      <alignment horizontal="left" readingOrder="0" vertical="bottom"/>
    </xf>
    <xf borderId="5" fillId="18" fontId="130" numFmtId="0" xfId="0" applyAlignment="1" applyBorder="1" applyFont="1">
      <alignment horizontal="center" readingOrder="0" vertical="bottom"/>
    </xf>
    <xf borderId="5" fillId="18" fontId="9" numFmtId="20" xfId="0" applyAlignment="1" applyBorder="1" applyFont="1" applyNumberFormat="1">
      <alignment horizontal="left" readingOrder="0" vertical="bottom"/>
    </xf>
    <xf borderId="51" fillId="4" fontId="100" numFmtId="0" xfId="0" applyAlignment="1" applyBorder="1" applyFont="1">
      <alignment horizontal="center" readingOrder="0" vertical="center"/>
    </xf>
    <xf borderId="5" fillId="36" fontId="130" numFmtId="0" xfId="0" applyAlignment="1" applyBorder="1" applyFont="1">
      <alignment horizontal="center" vertical="bottom"/>
    </xf>
    <xf borderId="5" fillId="36" fontId="9" numFmtId="0" xfId="0" applyAlignment="1" applyBorder="1" applyFont="1">
      <alignment horizontal="left" vertical="bottom"/>
    </xf>
    <xf borderId="5" fillId="0" fontId="130" numFmtId="0" xfId="0" applyAlignment="1" applyBorder="1" applyFont="1">
      <alignment horizontal="center" vertical="bottom"/>
    </xf>
    <xf borderId="5" fillId="5" fontId="9" numFmtId="0" xfId="0" applyAlignment="1" applyBorder="1" applyFont="1">
      <alignment horizontal="center" vertical="center"/>
    </xf>
    <xf borderId="5" fillId="5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20" fontId="22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readingOrder="0" vertical="center"/>
    </xf>
    <xf borderId="5" fillId="20" fontId="11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vertical="center"/>
    </xf>
    <xf borderId="0" fillId="0" fontId="102" numFmtId="174" xfId="0" applyAlignment="1" applyFont="1" applyNumberFormat="1">
      <alignment vertical="bottom"/>
    </xf>
    <xf borderId="0" fillId="0" fontId="73" numFmtId="174" xfId="0" applyAlignment="1" applyFont="1" applyNumberFormat="1">
      <alignment vertical="bottom"/>
    </xf>
    <xf borderId="0" fillId="0" fontId="102" numFmtId="0" xfId="0" applyAlignment="1" applyFont="1">
      <alignment vertical="bottom"/>
    </xf>
    <xf borderId="0" fillId="0" fontId="73" numFmtId="0" xfId="0" applyAlignment="1" applyFont="1">
      <alignment vertical="bottom"/>
    </xf>
    <xf borderId="0" fillId="0" fontId="102" numFmtId="0" xfId="0" applyAlignment="1" applyFont="1">
      <alignment horizontal="center" vertical="bottom"/>
    </xf>
    <xf borderId="0" fillId="0" fontId="73" numFmtId="0" xfId="0" applyAlignment="1" applyFont="1">
      <alignment horizontal="center" vertical="bottom"/>
    </xf>
    <xf borderId="0" fillId="0" fontId="5" numFmtId="0" xfId="0" applyAlignment="1" applyFont="1">
      <alignment vertical="center"/>
    </xf>
    <xf borderId="0" fillId="20" fontId="12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0" fontId="5" numFmtId="0" xfId="0" applyAlignment="1" applyFont="1">
      <alignment vertical="center"/>
    </xf>
    <xf borderId="7" fillId="0" fontId="6" numFmtId="0" xfId="0" applyAlignment="1" applyBorder="1" applyFont="1">
      <alignment horizontal="center" readingOrder="0" vertical="bottom"/>
    </xf>
    <xf borderId="7" fillId="20" fontId="70" numFmtId="0" xfId="0" applyAlignment="1" applyBorder="1" applyFont="1">
      <alignment horizontal="center" readingOrder="0" vertical="bottom"/>
    </xf>
    <xf borderId="7" fillId="20" fontId="6" numFmtId="0" xfId="0" applyAlignment="1" applyBorder="1" applyFont="1">
      <alignment horizontal="center" readingOrder="0" vertical="bottom"/>
    </xf>
    <xf borderId="7" fillId="20" fontId="6" numFmtId="3" xfId="0" applyAlignment="1" applyBorder="1" applyFont="1" applyNumberFormat="1">
      <alignment horizontal="center" readingOrder="0" vertical="bottom"/>
    </xf>
    <xf borderId="0" fillId="22" fontId="4" numFmtId="1" xfId="0" applyAlignment="1" applyFont="1" applyNumberFormat="1">
      <alignment horizontal="left" readingOrder="0" vertical="bottom"/>
    </xf>
    <xf borderId="0" fillId="22" fontId="4" numFmtId="169" xfId="0" applyAlignment="1" applyFont="1" applyNumberFormat="1">
      <alignment horizontal="right" readingOrder="0" vertical="bottom"/>
    </xf>
    <xf borderId="0" fillId="4" fontId="62" numFmtId="0" xfId="0" applyAlignment="1" applyFont="1">
      <alignment horizontal="center" readingOrder="0" vertical="bottom"/>
    </xf>
    <xf borderId="0" fillId="4" fontId="64" numFmtId="0" xfId="0" applyAlignment="1" applyFont="1">
      <alignment horizontal="center" vertical="center"/>
    </xf>
    <xf borderId="22" fillId="0" fontId="89" numFmtId="0" xfId="0" applyAlignment="1" applyBorder="1" applyFont="1">
      <alignment horizontal="center" vertical="center"/>
    </xf>
    <xf borderId="0" fillId="4" fontId="64" numFmtId="0" xfId="0" applyAlignment="1" applyFont="1">
      <alignment horizontal="center" vertical="center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9" fillId="6" fontId="97" numFmtId="0" xfId="0" applyAlignment="1" applyBorder="1" applyFont="1">
      <alignment horizontal="center" readingOrder="0" vertical="bottom"/>
    </xf>
    <xf borderId="65" fillId="0" fontId="16" numFmtId="0" xfId="0" applyAlignment="1" applyBorder="1" applyFont="1">
      <alignment vertical="center"/>
    </xf>
    <xf borderId="65" fillId="6" fontId="94" numFmtId="175" xfId="0" applyAlignment="1" applyBorder="1" applyFont="1" applyNumberFormat="1">
      <alignment horizontal="center" readingOrder="0" vertical="bottom"/>
    </xf>
    <xf borderId="65" fillId="6" fontId="94" numFmtId="175" xfId="0" applyAlignment="1" applyBorder="1" applyFont="1" applyNumberFormat="1">
      <alignment horizontal="center" readingOrder="0" vertical="center"/>
    </xf>
    <xf borderId="81" fillId="6" fontId="56" numFmtId="0" xfId="0" applyAlignment="1" applyBorder="1" applyFont="1">
      <alignment horizontal="left" readingOrder="0" vertical="center"/>
    </xf>
    <xf borderId="0" fillId="6" fontId="22" numFmtId="0" xfId="0" applyAlignment="1" applyFont="1">
      <alignment vertical="center"/>
    </xf>
    <xf borderId="0" fillId="6" fontId="22" numFmtId="0" xfId="0" applyAlignment="1" applyFont="1">
      <alignment readingOrder="0" vertical="center"/>
    </xf>
    <xf borderId="0" fillId="6" fontId="22" numFmtId="0" xfId="0" applyAlignment="1" applyFont="1">
      <alignment horizontal="center" vertical="center"/>
    </xf>
    <xf borderId="65" fillId="6" fontId="6" numFmtId="0" xfId="0" applyAlignment="1" applyBorder="1" applyFont="1">
      <alignment vertical="bottom"/>
    </xf>
    <xf borderId="5" fillId="4" fontId="108" numFmtId="0" xfId="0" applyAlignment="1" applyBorder="1" applyFont="1">
      <alignment horizontal="center" readingOrder="0" shrinkToFit="0" vertical="center" wrapText="1"/>
    </xf>
    <xf borderId="5" fillId="4" fontId="94" numFmtId="0" xfId="0" applyAlignment="1" applyBorder="1" applyFont="1">
      <alignment horizontal="center" readingOrder="0" vertical="center"/>
    </xf>
    <xf borderId="5" fillId="0" fontId="97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readingOrder="0" vertical="bottom"/>
    </xf>
    <xf borderId="6" fillId="0" fontId="6" numFmtId="3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left" readingOrder="0" vertical="center"/>
    </xf>
    <xf borderId="6" fillId="2" fontId="6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horizontal="center" vertical="center"/>
    </xf>
    <xf borderId="18" fillId="4" fontId="62" numFmtId="0" xfId="0" applyAlignment="1" applyBorder="1" applyFont="1">
      <alignment horizontal="center" readingOrder="0" vertical="center"/>
    </xf>
    <xf borderId="8" fillId="4" fontId="66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horizontal="center" readingOrder="0" vertical="center"/>
    </xf>
    <xf borderId="5" fillId="4" fontId="66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vertical="center"/>
    </xf>
    <xf borderId="5" fillId="5" fontId="51" numFmtId="0" xfId="0" applyAlignment="1" applyBorder="1" applyFont="1">
      <alignment horizontal="center" readingOrder="0" vertical="center"/>
    </xf>
    <xf borderId="37" fillId="2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readingOrder="0" vertical="bottom"/>
    </xf>
    <xf borderId="0" fillId="4" fontId="9" numFmtId="0" xfId="0" applyAlignment="1" applyFont="1">
      <alignment horizontal="right" vertical="bottom"/>
    </xf>
    <xf borderId="8" fillId="0" fontId="6" numFmtId="0" xfId="0" applyAlignment="1" applyBorder="1" applyFont="1">
      <alignment horizontal="center" readingOrder="0" vertical="bottom"/>
    </xf>
    <xf borderId="0" fillId="20" fontId="6" numFmtId="0" xfId="0" applyAlignment="1" applyFont="1">
      <alignment horizontal="center" readingOrder="0" vertical="bottom"/>
    </xf>
    <xf borderId="5" fillId="0" fontId="33" numFmtId="0" xfId="0" applyAlignment="1" applyBorder="1" applyFont="1">
      <alignment horizontal="center" readingOrder="0" vertical="center"/>
    </xf>
    <xf borderId="62" fillId="6" fontId="131" numFmtId="172" xfId="0" applyAlignment="1" applyBorder="1" applyFont="1" applyNumberFormat="1">
      <alignment horizontal="left" readingOrder="0" vertical="bottom"/>
    </xf>
    <xf borderId="5" fillId="10" fontId="6" numFmtId="0" xfId="0" applyAlignment="1" applyBorder="1" applyFont="1">
      <alignment horizontal="center" vertical="bottom"/>
    </xf>
    <xf borderId="5" fillId="2" fontId="9" numFmtId="0" xfId="0" applyAlignment="1" applyBorder="1" applyFont="1">
      <alignment horizontal="center" vertical="bottom"/>
    </xf>
    <xf borderId="5" fillId="4" fontId="132" numFmtId="0" xfId="0" applyAlignment="1" applyBorder="1" applyFont="1">
      <alignment horizontal="center" readingOrder="0" vertical="center"/>
    </xf>
    <xf borderId="6" fillId="10" fontId="6" numFmtId="0" xfId="0" applyAlignment="1" applyBorder="1" applyFont="1">
      <alignment horizontal="center" readingOrder="0" vertical="bottom"/>
    </xf>
    <xf borderId="6" fillId="10" fontId="56" numFmtId="0" xfId="0" applyAlignment="1" applyBorder="1" applyFont="1">
      <alignment horizontal="center" readingOrder="0" vertical="bottom"/>
    </xf>
    <xf borderId="6" fillId="34" fontId="56" numFmtId="0" xfId="0" applyAlignment="1" applyBorder="1" applyFont="1">
      <alignment horizontal="center" readingOrder="0" vertical="bottom"/>
    </xf>
    <xf borderId="8" fillId="0" fontId="72" numFmtId="0" xfId="0" applyAlignment="1" applyBorder="1" applyFont="1">
      <alignment horizontal="center" readingOrder="0" vertical="bottom"/>
    </xf>
    <xf borderId="7" fillId="4" fontId="66" numFmtId="0" xfId="0" applyAlignment="1" applyBorder="1" applyFont="1">
      <alignment horizontal="center" readingOrder="0" vertical="center"/>
    </xf>
    <xf borderId="6" fillId="4" fontId="66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vertical="center"/>
    </xf>
    <xf borderId="5" fillId="5" fontId="7" numFmtId="3" xfId="0" applyAlignment="1" applyBorder="1" applyFont="1" applyNumberFormat="1">
      <alignment horizontal="center" readingOrder="0" vertical="center"/>
    </xf>
    <xf borderId="37" fillId="2" fontId="9" numFmtId="3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left" vertical="center"/>
    </xf>
    <xf borderId="0" fillId="4" fontId="89" numFmtId="0" xfId="0" applyAlignment="1" applyFont="1">
      <alignment horizontal="center" vertical="center"/>
    </xf>
    <xf borderId="6" fillId="0" fontId="9" numFmtId="0" xfId="0" applyAlignment="1" applyBorder="1" applyFont="1">
      <alignment horizontal="left" readingOrder="0" vertical="center"/>
    </xf>
    <xf borderId="9" fillId="6" fontId="62" numFmtId="0" xfId="0" applyAlignment="1" applyBorder="1" applyFont="1">
      <alignment horizontal="center" readingOrder="0" vertical="bottom"/>
    </xf>
    <xf borderId="65" fillId="6" fontId="66" numFmtId="172" xfId="0" applyAlignment="1" applyBorder="1" applyFont="1" applyNumberFormat="1">
      <alignment horizontal="center" readingOrder="0" vertical="bottom"/>
    </xf>
    <xf borderId="81" fillId="6" fontId="58" numFmtId="0" xfId="0" applyAlignment="1" applyBorder="1" applyFont="1">
      <alignment horizontal="left" readingOrder="0" vertical="center"/>
    </xf>
    <xf borderId="0" fillId="6" fontId="11" numFmtId="0" xfId="0" applyAlignment="1" applyFont="1">
      <alignment vertical="center"/>
    </xf>
    <xf borderId="0" fillId="6" fontId="11" numFmtId="0" xfId="0" applyAlignment="1" applyFont="1">
      <alignment readingOrder="0" vertical="center"/>
    </xf>
    <xf borderId="5" fillId="4" fontId="100" numFmtId="0" xfId="0" applyAlignment="1" applyBorder="1" applyFont="1">
      <alignment horizontal="center" readingOrder="0" vertical="bottom"/>
    </xf>
    <xf borderId="0" fillId="6" fontId="11" numFmtId="0" xfId="0" applyAlignment="1" applyFont="1">
      <alignment horizontal="center" vertical="center"/>
    </xf>
    <xf borderId="37" fillId="5" fontId="9" numFmtId="0" xfId="0" applyAlignment="1" applyBorder="1" applyFont="1">
      <alignment horizontal="center" readingOrder="0" vertical="center"/>
    </xf>
    <xf borderId="65" fillId="6" fontId="9" numFmtId="0" xfId="0" applyAlignment="1" applyBorder="1" applyFont="1">
      <alignment vertical="bottom"/>
    </xf>
    <xf borderId="5" fillId="4" fontId="97" numFmtId="0" xfId="0" applyAlignment="1" applyBorder="1" applyFont="1">
      <alignment horizontal="center" readingOrder="0" shrinkToFit="0" vertical="bottom" wrapText="1"/>
    </xf>
    <xf borderId="5" fillId="4" fontId="66" numFmtId="0" xfId="0" applyAlignment="1" applyBorder="1" applyFont="1">
      <alignment horizontal="center" readingOrder="0" vertical="bottom"/>
    </xf>
    <xf borderId="5" fillId="0" fontId="66" numFmtId="0" xfId="0" applyAlignment="1" applyBorder="1" applyFont="1">
      <alignment horizontal="center" readingOrder="0" vertical="bottom"/>
    </xf>
    <xf borderId="0" fillId="0" fontId="100" numFmtId="0" xfId="0" applyAlignment="1" applyFont="1">
      <alignment horizontal="center" readingOrder="0" vertical="center"/>
    </xf>
    <xf borderId="6" fillId="4" fontId="6" numFmtId="0" xfId="0" applyAlignment="1" applyBorder="1" applyFont="1">
      <alignment horizontal="center" vertical="bottom"/>
    </xf>
    <xf borderId="5" fillId="15" fontId="133" numFmtId="0" xfId="0" applyAlignment="1" applyBorder="1" applyFont="1">
      <alignment readingOrder="0" vertical="bottom"/>
    </xf>
    <xf borderId="6" fillId="4" fontId="132" numFmtId="0" xfId="0" applyAlignment="1" applyBorder="1" applyFont="1">
      <alignment horizontal="center" readingOrder="0" vertical="center"/>
    </xf>
    <xf borderId="0" fillId="4" fontId="94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8" fillId="4" fontId="62" numFmtId="0" xfId="0" applyAlignment="1" applyBorder="1" applyFont="1">
      <alignment horizontal="center" readingOrder="0" vertical="center"/>
    </xf>
    <xf borderId="5" fillId="15" fontId="66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vertical="center"/>
    </xf>
    <xf borderId="51" fillId="0" fontId="6" numFmtId="0" xfId="0" applyAlignment="1" applyBorder="1" applyFont="1">
      <alignment horizontal="center" readingOrder="0" vertical="bottom"/>
    </xf>
    <xf borderId="74" fillId="5" fontId="9" numFmtId="0" xfId="0" applyAlignment="1" applyBorder="1" applyFont="1">
      <alignment horizontal="center" readingOrder="0" vertical="bottom"/>
    </xf>
    <xf borderId="51" fillId="20" fontId="6" numFmtId="0" xfId="0" applyAlignment="1" applyBorder="1" applyFont="1">
      <alignment horizontal="center" readingOrder="0" vertical="bottom"/>
    </xf>
    <xf borderId="5" fillId="20" fontId="100" numFmtId="0" xfId="0" applyAlignment="1" applyBorder="1" applyFont="1">
      <alignment horizontal="center" readingOrder="0" vertical="bottom"/>
    </xf>
    <xf borderId="5" fillId="34" fontId="9" numFmtId="0" xfId="0" applyAlignment="1" applyBorder="1" applyFont="1">
      <alignment horizontal="center" readingOrder="0" vertical="bottom"/>
    </xf>
    <xf borderId="5" fillId="4" fontId="134" numFmtId="0" xfId="0" applyAlignment="1" applyBorder="1" applyFont="1">
      <alignment horizontal="center" readingOrder="0" vertical="center"/>
    </xf>
    <xf borderId="22" fillId="20" fontId="6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22" fillId="5" fontId="9" numFmtId="3" xfId="0" applyAlignment="1" applyBorder="1" applyFont="1" applyNumberFormat="1">
      <alignment horizontal="center" readingOrder="0" vertical="center"/>
    </xf>
    <xf borderId="22" fillId="5" fontId="9" numFmtId="0" xfId="0" applyAlignment="1" applyBorder="1" applyFont="1">
      <alignment horizontal="center" readingOrder="0" vertical="center"/>
    </xf>
    <xf borderId="22" fillId="4" fontId="6" numFmtId="0" xfId="0" applyAlignment="1" applyBorder="1" applyFont="1">
      <alignment horizontal="center" readingOrder="0" vertical="center"/>
    </xf>
    <xf borderId="22" fillId="5" fontId="6" numFmtId="0" xfId="0" applyAlignment="1" applyBorder="1" applyFont="1">
      <alignment horizontal="center" readingOrder="0" vertical="center"/>
    </xf>
    <xf borderId="0" fillId="4" fontId="64" numFmtId="0" xfId="0" applyAlignment="1" applyFon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5" fillId="15" fontId="134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center"/>
    </xf>
    <xf borderId="27" fillId="0" fontId="72" numFmtId="0" xfId="0" applyAlignment="1" applyBorder="1" applyFont="1">
      <alignment horizontal="center" readingOrder="0" vertical="bottom"/>
    </xf>
    <xf borderId="22" fillId="15" fontId="62" numFmtId="0" xfId="0" applyAlignment="1" applyBorder="1" applyFont="1">
      <alignment vertical="bottom"/>
    </xf>
    <xf borderId="23" fillId="6" fontId="9" numFmtId="0" xfId="0" applyAlignment="1" applyBorder="1" applyFont="1">
      <alignment readingOrder="0" vertical="bottom"/>
    </xf>
    <xf borderId="22" fillId="0" fontId="6" numFmtId="0" xfId="0" applyAlignment="1" applyBorder="1" applyFont="1">
      <alignment horizontal="center" readingOrder="0" vertical="bottom"/>
    </xf>
    <xf borderId="22" fillId="5" fontId="9" numFmtId="0" xfId="0" applyAlignment="1" applyBorder="1" applyFont="1">
      <alignment horizontal="center" readingOrder="0" vertical="bottom"/>
    </xf>
    <xf borderId="83" fillId="0" fontId="6" numFmtId="0" xfId="0" applyAlignment="1" applyBorder="1" applyFont="1">
      <alignment horizontal="center" readingOrder="0" vertical="bottom"/>
    </xf>
    <xf borderId="83" fillId="0" fontId="6" numFmtId="3" xfId="0" applyAlignment="1" applyBorder="1" applyFont="1" applyNumberFormat="1">
      <alignment horizontal="center" readingOrder="0" vertical="center"/>
    </xf>
    <xf borderId="22" fillId="0" fontId="6" numFmtId="3" xfId="0" applyAlignment="1" applyBorder="1" applyFont="1" applyNumberFormat="1">
      <alignment horizontal="center" readingOrder="0" vertical="center"/>
    </xf>
    <xf borderId="22" fillId="34" fontId="9" numFmtId="0" xfId="0" applyAlignment="1" applyBorder="1" applyFont="1">
      <alignment horizontal="center" readingOrder="0" vertical="bottom"/>
    </xf>
    <xf borderId="5" fillId="15" fontId="86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horizontal="center" readingOrder="0" vertical="bottom"/>
    </xf>
    <xf borderId="22" fillId="20" fontId="6" numFmtId="0" xfId="0" applyAlignment="1" applyBorder="1" applyFont="1">
      <alignment horizontal="center" readingOrder="0" vertical="bottom"/>
    </xf>
    <xf borderId="83" fillId="20" fontId="6" numFmtId="0" xfId="0" applyAlignment="1" applyBorder="1" applyFont="1">
      <alignment horizontal="center" readingOrder="0" vertical="bottom"/>
    </xf>
    <xf borderId="83" fillId="2" fontId="9" numFmtId="0" xfId="0" applyAlignment="1" applyBorder="1" applyFont="1">
      <alignment horizontal="center" readingOrder="0" vertical="bottom"/>
    </xf>
    <xf borderId="22" fillId="20" fontId="100" numFmtId="0" xfId="0" applyAlignment="1" applyBorder="1" applyFont="1">
      <alignment horizontal="center" readingOrder="0" vertical="bottom"/>
    </xf>
    <xf borderId="56" fillId="0" fontId="9" numFmtId="0" xfId="0" applyAlignment="1" applyBorder="1" applyFont="1">
      <alignment horizontal="left" vertical="bottom"/>
    </xf>
    <xf borderId="26" fillId="0" fontId="9" numFmtId="0" xfId="0" applyAlignment="1" applyBorder="1" applyFont="1">
      <alignment vertical="bottom"/>
    </xf>
    <xf borderId="5" fillId="0" fontId="72" numFmtId="0" xfId="0" applyAlignment="1" applyBorder="1" applyFont="1">
      <alignment horizontal="center" readingOrder="0" vertical="bottom"/>
    </xf>
    <xf borderId="7" fillId="4" fontId="62" numFmtId="0" xfId="0" applyAlignment="1" applyBorder="1" applyFont="1">
      <alignment horizontal="center" readingOrder="0" vertical="center"/>
    </xf>
    <xf borderId="6" fillId="15" fontId="66" numFmtId="0" xfId="0" applyAlignment="1" applyBorder="1" applyFont="1">
      <alignment horizontal="center" readingOrder="0" vertical="center"/>
    </xf>
    <xf borderId="6" fillId="6" fontId="9" numFmtId="0" xfId="0" applyAlignment="1" applyBorder="1" applyFont="1">
      <alignment vertical="center"/>
    </xf>
    <xf borderId="6" fillId="6" fontId="9" numFmtId="0" xfId="0" applyAlignment="1" applyBorder="1" applyFont="1">
      <alignment horizontal="left" readingOrder="0" vertical="center"/>
    </xf>
    <xf borderId="8" fillId="5" fontId="9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5" fillId="0" fontId="33" numFmtId="0" xfId="0" applyAlignment="1" applyBorder="1" applyFont="1">
      <alignment readingOrder="0" vertical="center"/>
    </xf>
    <xf borderId="8" fillId="4" fontId="100" numFmtId="0" xfId="0" applyAlignment="1" applyBorder="1" applyFont="1">
      <alignment horizontal="center" readingOrder="0" vertical="center"/>
    </xf>
    <xf borderId="6" fillId="0" fontId="33" numFmtId="0" xfId="0" applyAlignment="1" applyBorder="1" applyFont="1">
      <alignment readingOrder="0" vertical="center"/>
    </xf>
    <xf borderId="51" fillId="5" fontId="9" numFmtId="0" xfId="0" applyAlignment="1" applyBorder="1" applyFont="1">
      <alignment horizontal="center" readingOrder="0" vertical="bottom"/>
    </xf>
    <xf borderId="51" fillId="34" fontId="9" numFmtId="0" xfId="0" applyAlignment="1" applyBorder="1" applyFont="1">
      <alignment horizontal="center" readingOrder="0" vertical="bottom"/>
    </xf>
    <xf borderId="51" fillId="20" fontId="9" numFmtId="0" xfId="0" applyAlignment="1" applyBorder="1" applyFont="1">
      <alignment vertical="center"/>
    </xf>
    <xf borderId="51" fillId="2" fontId="9" numFmtId="3" xfId="0" applyAlignment="1" applyBorder="1" applyFont="1" applyNumberFormat="1">
      <alignment horizontal="center" readingOrder="0" vertical="bottom"/>
    </xf>
    <xf borderId="51" fillId="5" fontId="9" numFmtId="3" xfId="0" applyAlignment="1" applyBorder="1" applyFont="1" applyNumberFormat="1">
      <alignment horizontal="center" readingOrder="0" vertical="bottom"/>
    </xf>
    <xf borderId="6" fillId="4" fontId="86" numFmtId="0" xfId="0" applyAlignment="1" applyBorder="1" applyFont="1">
      <alignment horizontal="center" readingOrder="0" vertical="center"/>
    </xf>
    <xf borderId="51" fillId="20" fontId="9" numFmtId="0" xfId="0" applyAlignment="1" applyBorder="1" applyFont="1">
      <alignment horizontal="center" readingOrder="0" vertical="bottom"/>
    </xf>
    <xf borderId="6" fillId="20" fontId="9" numFmtId="0" xfId="0" applyAlignment="1" applyBorder="1" applyFont="1">
      <alignment vertical="center"/>
    </xf>
    <xf borderId="5" fillId="20" fontId="33" numFmtId="0" xfId="0" applyAlignment="1" applyBorder="1" applyFont="1">
      <alignment readingOrder="0" vertical="center"/>
    </xf>
    <xf borderId="0" fillId="34" fontId="33" numFmtId="0" xfId="0" applyAlignment="1" applyFont="1">
      <alignment horizontal="center" readingOrder="0" vertical="center"/>
    </xf>
    <xf borderId="0" fillId="4" fontId="62" numFmtId="0" xfId="0" applyAlignment="1" applyFont="1">
      <alignment horizontal="center" vertical="bottom"/>
    </xf>
    <xf borderId="0" fillId="4" fontId="66" numFmtId="0" xfId="0" applyAlignment="1" applyFont="1">
      <alignment horizontal="center" vertical="bottom"/>
    </xf>
    <xf borderId="0" fillId="4" fontId="66" numFmtId="0" xfId="0" applyAlignment="1" applyFont="1">
      <alignment horizontal="center" vertical="center"/>
    </xf>
    <xf borderId="0" fillId="4" fontId="9" numFmtId="0" xfId="0" applyAlignment="1" applyFont="1">
      <alignment horizontal="right" vertical="center"/>
    </xf>
    <xf borderId="0" fillId="0" fontId="135" numFmtId="0" xfId="0" applyAlignment="1" applyFont="1">
      <alignment horizontal="right" readingOrder="0" vertical="bottom"/>
    </xf>
    <xf borderId="0" fillId="0" fontId="135" numFmtId="0" xfId="0" applyAlignment="1" applyFont="1">
      <alignment horizontal="right" vertical="bottom"/>
    </xf>
    <xf borderId="0" fillId="0" fontId="6" numFmtId="0" xfId="0" applyAlignment="1" applyFont="1">
      <alignment vertical="center"/>
    </xf>
    <xf borderId="5" fillId="4" fontId="6" numFmtId="0" xfId="0" applyAlignment="1" applyBorder="1" applyFont="1">
      <alignment horizontal="left" vertical="bottom"/>
    </xf>
    <xf borderId="6" fillId="4" fontId="6" numFmtId="180" xfId="0" applyAlignment="1" applyBorder="1" applyFont="1" applyNumberFormat="1">
      <alignment horizontal="right" vertical="bottom"/>
    </xf>
    <xf borderId="5" fillId="4" fontId="6" numFmtId="180" xfId="0" applyAlignment="1" applyBorder="1" applyFont="1" applyNumberFormat="1">
      <alignment horizontal="right" vertical="bottom"/>
    </xf>
    <xf borderId="0" fillId="4" fontId="6" numFmtId="164" xfId="0" applyAlignment="1" applyFont="1" applyNumberFormat="1">
      <alignment vertical="bottom"/>
    </xf>
    <xf borderId="17" fillId="4" fontId="62" numFmtId="0" xfId="0" applyAlignment="1" applyBorder="1" applyFont="1">
      <alignment horizontal="center" vertical="bottom"/>
    </xf>
    <xf borderId="0" fillId="4" fontId="9" numFmtId="0" xfId="0" applyAlignment="1" applyFont="1">
      <alignment horizontal="right" readingOrder="0" vertical="center"/>
    </xf>
    <xf borderId="0" fillId="0" fontId="135" numFmtId="0" xfId="0" applyAlignment="1" applyFont="1">
      <alignment horizontal="right" vertical="bottom"/>
    </xf>
    <xf borderId="6" fillId="20" fontId="9" numFmtId="0" xfId="0" applyAlignment="1" applyBorder="1" applyFont="1">
      <alignment readingOrder="0" vertical="center"/>
    </xf>
    <xf borderId="0" fillId="4" fontId="6" numFmtId="0" xfId="0" applyAlignment="1" applyFont="1">
      <alignment vertical="center"/>
    </xf>
    <xf borderId="0" fillId="4" fontId="6" numFmtId="0" xfId="0" applyAlignment="1" applyFont="1">
      <alignment horizontal="left" vertical="bottom"/>
    </xf>
    <xf borderId="0" fillId="4" fontId="6" numFmtId="166" xfId="0" applyAlignment="1" applyFont="1" applyNumberFormat="1">
      <alignment horizontal="right" vertical="bottom"/>
    </xf>
    <xf borderId="0" fillId="4" fontId="97" numFmtId="0" xfId="0" applyAlignment="1" applyFont="1">
      <alignment horizontal="center" readingOrder="0" vertical="bottom"/>
    </xf>
    <xf borderId="0" fillId="4" fontId="94" numFmtId="181" xfId="0" applyAlignment="1" applyFont="1" applyNumberFormat="1">
      <alignment horizontal="left" readingOrder="0" vertical="bottom"/>
    </xf>
    <xf borderId="0" fillId="4" fontId="120" numFmtId="14" xfId="0" applyAlignment="1" applyFont="1" applyNumberFormat="1">
      <alignment horizontal="center" readingOrder="0" vertical="center"/>
    </xf>
    <xf borderId="0" fillId="4" fontId="89" numFmtId="0" xfId="0" applyAlignment="1" applyFont="1">
      <alignment horizontal="center" readingOrder="0" vertical="center"/>
    </xf>
    <xf borderId="6" fillId="6" fontId="9" numFmtId="0" xfId="0" applyAlignment="1" applyBorder="1" applyFont="1">
      <alignment readingOrder="0" vertical="center"/>
    </xf>
    <xf borderId="0" fillId="4" fontId="24" numFmtId="0" xfId="0" applyAlignment="1" applyFont="1">
      <alignment horizontal="center" vertical="center"/>
    </xf>
    <xf borderId="0" fillId="4" fontId="24" numFmtId="168" xfId="0" applyAlignment="1" applyFont="1" applyNumberFormat="1">
      <alignment horizontal="center" readingOrder="0" vertical="center"/>
    </xf>
    <xf borderId="5" fillId="4" fontId="97" numFmtId="0" xfId="0" applyAlignment="1" applyBorder="1" applyFont="1">
      <alignment horizontal="center" readingOrder="0" vertical="bottom"/>
    </xf>
    <xf borderId="5" fillId="4" fontId="94" numFmtId="0" xfId="0" applyAlignment="1" applyBorder="1" applyFont="1">
      <alignment horizontal="center" readingOrder="0" vertical="bottom"/>
    </xf>
    <xf borderId="5" fillId="6" fontId="7" numFmtId="0" xfId="0" applyAlignment="1" applyBorder="1" applyFont="1">
      <alignment vertical="center"/>
    </xf>
    <xf borderId="5" fillId="20" fontId="7" numFmtId="0" xfId="0" applyAlignment="1" applyBorder="1" applyFont="1">
      <alignment vertical="center"/>
    </xf>
    <xf borderId="48" fillId="0" fontId="73" numFmtId="0" xfId="0" applyAlignment="1" applyBorder="1" applyFont="1">
      <alignment vertical="bottom"/>
    </xf>
    <xf borderId="18" fillId="4" fontId="62" numFmtId="0" xfId="0" applyAlignment="1" applyBorder="1" applyFont="1">
      <alignment horizontal="center" vertical="bottom"/>
    </xf>
    <xf borderId="8" fillId="4" fontId="6" numFmtId="0" xfId="0" applyAlignment="1" applyBorder="1" applyFont="1">
      <alignment horizontal="center" readingOrder="0" vertical="bottom"/>
    </xf>
    <xf borderId="5" fillId="4" fontId="62" numFmtId="0" xfId="0" applyAlignment="1" applyBorder="1" applyFont="1">
      <alignment horizontal="center" readingOrder="0" vertical="bottom"/>
    </xf>
    <xf borderId="5" fillId="4" fontId="66" numFmtId="0" xfId="0" applyAlignment="1" applyBorder="1" applyFont="1">
      <alignment horizontal="center" vertical="center"/>
    </xf>
    <xf borderId="5" fillId="4" fontId="9" numFmtId="0" xfId="0" applyAlignment="1" applyBorder="1" applyFont="1">
      <alignment vertical="center"/>
    </xf>
    <xf borderId="6" fillId="4" fontId="136" numFmtId="0" xfId="0" applyAlignment="1" applyBorder="1" applyFont="1">
      <alignment horizontal="center" vertical="bottom"/>
    </xf>
    <xf borderId="5" fillId="6" fontId="33" numFmtId="0" xfId="0" applyAlignment="1" applyBorder="1" applyFont="1">
      <alignment readingOrder="0" vertical="center"/>
    </xf>
    <xf borderId="6" fillId="0" fontId="136" numFmtId="0" xfId="0" applyAlignment="1" applyBorder="1" applyFont="1">
      <alignment horizontal="center" vertical="bottom"/>
    </xf>
    <xf borderId="6" fillId="4" fontId="136" numFmtId="0" xfId="0" applyAlignment="1" applyBorder="1" applyFont="1">
      <alignment horizontal="center" readingOrder="0" vertical="bottom"/>
    </xf>
    <xf borderId="6" fillId="6" fontId="33" numFmtId="0" xfId="0" applyAlignment="1" applyBorder="1" applyFont="1">
      <alignment vertical="center"/>
    </xf>
    <xf borderId="18" fillId="4" fontId="62" numFmtId="0" xfId="0" applyAlignment="1" applyBorder="1" applyFont="1">
      <alignment horizontal="center" vertical="center"/>
    </xf>
    <xf borderId="6" fillId="0" fontId="136" numFmtId="0" xfId="0" applyAlignment="1" applyBorder="1" applyFont="1">
      <alignment horizontal="center" readingOrder="0" vertical="bottom"/>
    </xf>
    <xf borderId="0" fillId="0" fontId="137" numFmtId="0" xfId="0" applyAlignment="1" applyFont="1">
      <alignment horizontal="right" readingOrder="0" vertical="bottom"/>
    </xf>
    <xf borderId="0" fillId="0" fontId="73" numFmtId="0" xfId="0" applyAlignment="1" applyFont="1">
      <alignment horizontal="left" vertical="bottom"/>
    </xf>
    <xf borderId="5" fillId="4" fontId="6" numFmtId="0" xfId="0" applyAlignment="1" applyBorder="1" applyFont="1">
      <alignment horizontal="center" vertical="bottom"/>
    </xf>
    <xf borderId="6" fillId="0" fontId="136" numFmtId="3" xfId="0" applyAlignment="1" applyBorder="1" applyFont="1" applyNumberFormat="1">
      <alignment horizontal="center" vertical="bottom"/>
    </xf>
    <xf borderId="5" fillId="2" fontId="6" numFmtId="0" xfId="0" applyAlignment="1" applyBorder="1" applyFont="1">
      <alignment horizontal="center" vertical="bottom"/>
    </xf>
    <xf borderId="9" fillId="0" fontId="62" numFmtId="0" xfId="0" applyAlignment="1" applyBorder="1" applyFont="1">
      <alignment horizontal="center" readingOrder="0" vertical="bottom"/>
    </xf>
    <xf borderId="65" fillId="4" fontId="66" numFmtId="172" xfId="0" applyAlignment="1" applyBorder="1" applyFont="1" applyNumberFormat="1">
      <alignment horizontal="center" readingOrder="0" vertical="bottom"/>
    </xf>
    <xf borderId="0" fillId="4" fontId="7" numFmtId="168" xfId="0" applyAlignment="1" applyFont="1" applyNumberFormat="1">
      <alignment readingOrder="0" vertical="center"/>
    </xf>
    <xf borderId="18" fillId="4" fontId="97" numFmtId="0" xfId="0" applyAlignment="1" applyBorder="1" applyFont="1">
      <alignment horizontal="center" vertical="bottom"/>
    </xf>
    <xf borderId="8" fillId="4" fontId="56" numFmtId="0" xfId="0" applyAlignment="1" applyBorder="1" applyFont="1">
      <alignment horizontal="center" readingOrder="0" vertical="bottom"/>
    </xf>
    <xf borderId="5" fillId="4" fontId="66" numFmtId="0" xfId="0" applyAlignment="1" applyBorder="1" applyFont="1">
      <alignment horizontal="center" vertical="bottom"/>
    </xf>
    <xf borderId="6" fillId="4" fontId="114" numFmtId="0" xfId="0" applyAlignment="1" applyBorder="1" applyFont="1">
      <alignment horizontal="center" vertical="bottom"/>
    </xf>
    <xf borderId="6" fillId="4" fontId="114" numFmtId="0" xfId="0" applyAlignment="1" applyBorder="1" applyFont="1">
      <alignment horizontal="center" readingOrder="0" vertical="bottom"/>
    </xf>
    <xf borderId="6" fillId="0" fontId="114" numFmtId="0" xfId="0" applyAlignment="1" applyBorder="1" applyFont="1">
      <alignment horizontal="center" readingOrder="0" vertical="bottom"/>
    </xf>
    <xf borderId="6" fillId="4" fontId="70" numFmtId="0" xfId="0" applyAlignment="1" applyBorder="1" applyFont="1">
      <alignment horizontal="center" readingOrder="0" vertical="bottom"/>
    </xf>
    <xf borderId="6" fillId="4" fontId="136" numFmtId="3" xfId="0" applyAlignment="1" applyBorder="1" applyFont="1" applyNumberFormat="1">
      <alignment horizontal="center" vertical="bottom"/>
    </xf>
    <xf borderId="6" fillId="4" fontId="114" numFmtId="3" xfId="0" applyAlignment="1" applyBorder="1" applyFont="1" applyNumberFormat="1">
      <alignment horizontal="center" vertical="bottom"/>
    </xf>
    <xf borderId="0" fillId="0" fontId="102" numFmtId="0" xfId="0" applyAlignment="1" applyFont="1">
      <alignment horizontal="left" vertical="bottom"/>
    </xf>
    <xf borderId="0" fillId="0" fontId="64" numFmtId="0" xfId="0" applyAlignment="1" applyFont="1">
      <alignment horizontal="center" readingOrder="0" vertical="center"/>
    </xf>
    <xf borderId="0" fillId="0" fontId="89" numFmtId="0" xfId="0" applyAlignment="1" applyFont="1">
      <alignment horizontal="center" vertical="center"/>
    </xf>
    <xf borderId="0" fillId="4" fontId="22" numFmtId="0" xfId="0" applyAlignment="1" applyFont="1">
      <alignment readingOrder="0" vertical="center"/>
    </xf>
    <xf borderId="65" fillId="6" fontId="94" numFmtId="172" xfId="0" applyAlignment="1" applyBorder="1" applyFont="1" applyNumberFormat="1">
      <alignment horizontal="center" readingOrder="0" vertical="center"/>
    </xf>
    <xf borderId="0" fillId="6" fontId="6" numFmtId="0" xfId="0" applyAlignment="1" applyFont="1">
      <alignment vertical="bottom"/>
    </xf>
    <xf borderId="5" fillId="0" fontId="94" numFmtId="0" xfId="0" applyAlignment="1" applyBorder="1" applyFont="1">
      <alignment horizontal="center" readingOrder="0" vertical="center"/>
    </xf>
    <xf borderId="5" fillId="4" fontId="97" numFmtId="0" xfId="0" applyAlignment="1" applyBorder="1" applyFont="1">
      <alignment horizontal="center" readingOrder="0" vertical="center"/>
    </xf>
    <xf borderId="5" fillId="15" fontId="62" numFmtId="0" xfId="0" applyAlignment="1" applyBorder="1" applyFont="1">
      <alignment horizontal="center" readingOrder="0" vertical="center"/>
    </xf>
    <xf borderId="8" fillId="4" fontId="62" numFmtId="0" xfId="0" applyAlignment="1" applyBorder="1" applyFont="1">
      <alignment horizontal="center" readingOrder="0" vertical="bottom"/>
    </xf>
    <xf borderId="5" fillId="2" fontId="9" numFmtId="0" xfId="0" applyAlignment="1" applyBorder="1" applyFont="1">
      <alignment horizontal="center" readingOrder="0" vertical="center"/>
    </xf>
    <xf borderId="6" fillId="4" fontId="70" numFmtId="0" xfId="0" applyAlignment="1" applyBorder="1" applyFont="1">
      <alignment horizontal="center" vertical="bottom"/>
    </xf>
    <xf borderId="5" fillId="4" fontId="89" numFmtId="0" xfId="0" applyAlignment="1" applyBorder="1" applyFont="1">
      <alignment horizontal="center" vertical="center"/>
    </xf>
    <xf borderId="5" fillId="4" fontId="64" numFmtId="0" xfId="0" applyAlignment="1" applyBorder="1" applyFont="1">
      <alignment horizontal="center" vertical="center"/>
    </xf>
    <xf borderId="5" fillId="4" fontId="11" numFmtId="0" xfId="0" applyAlignment="1" applyBorder="1" applyFont="1">
      <alignment vertical="center"/>
    </xf>
    <xf borderId="28" fillId="0" fontId="58" numFmtId="0" xfId="0" applyAlignment="1" applyBorder="1" applyFont="1">
      <alignment horizontal="center" readingOrder="0" vertical="bottom"/>
    </xf>
    <xf borderId="39" fillId="20" fontId="136" numFmtId="0" xfId="0" applyAlignment="1" applyBorder="1" applyFont="1">
      <alignment horizontal="center" vertical="bottom"/>
    </xf>
    <xf borderId="39" fillId="20" fontId="136" numFmtId="0" xfId="0" applyAlignment="1" applyBorder="1" applyFont="1">
      <alignment horizontal="center" readingOrder="0" vertical="bottom"/>
    </xf>
    <xf borderId="39" fillId="20" fontId="6" numFmtId="0" xfId="0" applyAlignment="1" applyBorder="1" applyFont="1">
      <alignment horizontal="center" readingOrder="0" vertical="bottom"/>
    </xf>
    <xf borderId="39" fillId="20" fontId="70" numFmtId="0" xfId="0" applyAlignment="1" applyBorder="1" applyFont="1">
      <alignment horizontal="center" readingOrder="0" vertical="bottom"/>
    </xf>
    <xf borderId="49" fillId="0" fontId="6" numFmtId="0" xfId="0" applyAlignment="1" applyBorder="1" applyFont="1">
      <alignment horizontal="left" vertical="bottom"/>
    </xf>
    <xf borderId="0" fillId="4" fontId="22" numFmtId="0" xfId="0" applyAlignment="1" applyFont="1">
      <alignment vertical="center"/>
    </xf>
    <xf borderId="0" fillId="4" fontId="89" numFmtId="0" xfId="0" applyAlignment="1" applyFont="1">
      <alignment horizontal="center" readingOrder="0" vertical="center"/>
    </xf>
    <xf borderId="5" fillId="15" fontId="134" numFmtId="0" xfId="0" applyAlignment="1" applyBorder="1" applyFont="1">
      <alignment horizontal="center" readingOrder="0" vertical="center"/>
    </xf>
    <xf borderId="67" fillId="6" fontId="9" numFmtId="0" xfId="0" applyAlignment="1" applyBorder="1" applyFont="1">
      <alignment vertical="bottom"/>
    </xf>
    <xf borderId="8" fillId="15" fontId="66" numFmtId="0" xfId="0" applyAlignment="1" applyBorder="1" applyFont="1">
      <alignment horizontal="center" readingOrder="0" vertical="center"/>
    </xf>
    <xf borderId="8" fillId="6" fontId="9" numFmtId="0" xfId="0" applyAlignment="1" applyBorder="1" applyFont="1">
      <alignment vertical="center"/>
    </xf>
    <xf borderId="6" fillId="4" fontId="62" numFmtId="0" xfId="0" applyAlignment="1" applyBorder="1" applyFont="1">
      <alignment horizontal="center" readingOrder="0" vertical="center"/>
    </xf>
    <xf borderId="6" fillId="15" fontId="62" numFmtId="0" xfId="0" applyAlignment="1" applyBorder="1" applyFont="1">
      <alignment horizontal="center" readingOrder="0" vertical="center"/>
    </xf>
    <xf borderId="51" fillId="4" fontId="62" numFmtId="0" xfId="0" applyAlignment="1" applyBorder="1" applyFont="1">
      <alignment horizontal="center" readingOrder="0" vertical="center"/>
    </xf>
    <xf borderId="5" fillId="2" fontId="9" numFmtId="3" xfId="0" applyAlignment="1" applyBorder="1" applyFont="1" applyNumberFormat="1">
      <alignment horizontal="center" vertical="center"/>
    </xf>
    <xf borderId="6" fillId="6" fontId="9" numFmtId="0" xfId="0" applyAlignment="1" applyBorder="1" applyFont="1">
      <alignment horizontal="left" vertical="center"/>
    </xf>
    <xf borderId="51" fillId="6" fontId="9" numFmtId="0" xfId="0" applyAlignment="1" applyBorder="1" applyFont="1">
      <alignment vertical="center"/>
    </xf>
    <xf borderId="5" fillId="4" fontId="51" numFmtId="0" xfId="0" applyAlignment="1" applyBorder="1" applyFont="1">
      <alignment horizontal="center" readingOrder="0" vertical="center"/>
    </xf>
    <xf borderId="51" fillId="15" fontId="66" numFmtId="0" xfId="0" applyAlignment="1" applyBorder="1" applyFont="1">
      <alignment horizontal="center" readingOrder="0" vertical="center"/>
    </xf>
    <xf borderId="51" fillId="0" fontId="51" numFmtId="3" xfId="0" applyAlignment="1" applyBorder="1" applyFont="1" applyNumberFormat="1">
      <alignment horizontal="center" readingOrder="0" vertical="center"/>
    </xf>
    <xf borderId="0" fillId="0" fontId="138" numFmtId="0" xfId="0" applyAlignment="1" applyFont="1">
      <alignment horizontal="center" readingOrder="0" vertical="center"/>
    </xf>
    <xf borderId="74" fillId="5" fontId="33" numFmtId="3" xfId="0" applyAlignment="1" applyBorder="1" applyFont="1" applyNumberFormat="1">
      <alignment horizontal="center" readingOrder="0" vertical="center"/>
    </xf>
    <xf borderId="5" fillId="0" fontId="51" numFmtId="3" xfId="0" applyAlignment="1" applyBorder="1" applyFont="1" applyNumberFormat="1">
      <alignment horizontal="center" readingOrder="0" vertical="center"/>
    </xf>
    <xf borderId="5" fillId="5" fontId="33" numFmtId="3" xfId="0" applyAlignment="1" applyBorder="1" applyFont="1" applyNumberFormat="1">
      <alignment horizontal="center" readingOrder="0" vertical="center"/>
    </xf>
    <xf borderId="51" fillId="20" fontId="51" numFmtId="3" xfId="0" applyAlignment="1" applyBorder="1" applyFont="1" applyNumberFormat="1">
      <alignment horizontal="center" readingOrder="0" vertical="center"/>
    </xf>
    <xf borderId="51" fillId="5" fontId="33" numFmtId="3" xfId="0" applyAlignment="1" applyBorder="1" applyFont="1" applyNumberFormat="1">
      <alignment horizontal="center" readingOrder="0" vertical="center"/>
    </xf>
    <xf borderId="5" fillId="20" fontId="51" numFmtId="0" xfId="0" applyAlignment="1" applyBorder="1" applyFont="1">
      <alignment horizontal="center" readingOrder="0" vertical="center"/>
    </xf>
    <xf borderId="5" fillId="34" fontId="33" numFmtId="3" xfId="0" applyAlignment="1" applyBorder="1" applyFont="1" applyNumberFormat="1">
      <alignment horizontal="center" readingOrder="0" vertical="center"/>
    </xf>
    <xf borderId="5" fillId="20" fontId="51" numFmtId="3" xfId="0" applyAlignment="1" applyBorder="1" applyFont="1" applyNumberFormat="1">
      <alignment horizontal="center" readingOrder="0" vertical="center"/>
    </xf>
    <xf borderId="5" fillId="34" fontId="33" numFmtId="0" xfId="0" applyAlignment="1" applyBorder="1" applyFont="1">
      <alignment horizontal="center" readingOrder="0" vertical="center"/>
    </xf>
    <xf borderId="5" fillId="4" fontId="9" numFmtId="3" xfId="0" applyAlignment="1" applyBorder="1" applyFont="1" applyNumberFormat="1">
      <alignment horizontal="center" vertical="center"/>
    </xf>
    <xf borderId="37" fillId="2" fontId="9" numFmtId="3" xfId="0" applyAlignment="1" applyBorder="1" applyFont="1" applyNumberFormat="1">
      <alignment horizontal="center" readingOrder="0" vertical="center"/>
    </xf>
    <xf borderId="6" fillId="15" fontId="134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vertical="center"/>
    </xf>
    <xf borderId="22" fillId="5" fontId="51" numFmtId="0" xfId="0" applyAlignment="1" applyBorder="1" applyFont="1">
      <alignment horizontal="center" readingOrder="0" vertical="center"/>
    </xf>
    <xf borderId="84" fillId="0" fontId="9" numFmtId="0" xfId="0" applyAlignment="1" applyBorder="1" applyFont="1">
      <alignment vertical="bottom"/>
    </xf>
    <xf borderId="84" fillId="0" fontId="6" numFmtId="0" xfId="0" applyAlignment="1" applyBorder="1" applyFont="1">
      <alignment vertical="bottom"/>
    </xf>
    <xf borderId="51" fillId="4" fontId="51" numFmtId="3" xfId="0" applyAlignment="1" applyBorder="1" applyFont="1" applyNumberFormat="1">
      <alignment horizontal="center" readingOrder="0" vertical="center"/>
    </xf>
    <xf borderId="5" fillId="2" fontId="33" numFmtId="3" xfId="0" applyAlignment="1" applyBorder="1" applyFont="1" applyNumberFormat="1">
      <alignment horizontal="center" readingOrder="0" vertical="center"/>
    </xf>
    <xf borderId="5" fillId="4" fontId="51" numFmtId="3" xfId="0" applyAlignment="1" applyBorder="1" applyFont="1" applyNumberFormat="1">
      <alignment horizontal="center" readingOrder="0" vertical="center"/>
    </xf>
    <xf borderId="8" fillId="2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51" fillId="4" fontId="66" numFmtId="0" xfId="0" applyAlignment="1" applyBorder="1" applyFont="1">
      <alignment horizontal="center" readingOrder="0" vertical="center"/>
    </xf>
    <xf borderId="5" fillId="15" fontId="64" numFmtId="0" xfId="0" applyAlignment="1" applyBorder="1" applyFont="1">
      <alignment horizontal="center" readingOrder="0" vertical="center"/>
    </xf>
    <xf borderId="83" fillId="0" fontId="6" numFmtId="0" xfId="0" applyAlignment="1" applyBorder="1" applyFont="1">
      <alignment horizontal="center" readingOrder="0" vertical="center"/>
    </xf>
    <xf borderId="6" fillId="20" fontId="33" numFmtId="0" xfId="0" applyAlignment="1" applyBorder="1" applyFont="1">
      <alignment readingOrder="0" vertical="center"/>
    </xf>
    <xf borderId="22" fillId="34" fontId="9" numFmtId="0" xfId="0" applyAlignment="1" applyBorder="1" applyFont="1">
      <alignment horizontal="center" readingOrder="0" vertical="center"/>
    </xf>
    <xf borderId="83" fillId="20" fontId="6" numFmtId="0" xfId="0" applyAlignment="1" applyBorder="1" applyFont="1">
      <alignment horizontal="center" readingOrder="0" vertical="center"/>
    </xf>
    <xf borderId="83" fillId="2" fontId="9" numFmtId="0" xfId="0" applyAlignment="1" applyBorder="1" applyFont="1">
      <alignment horizontal="center" readingOrder="0" vertical="center"/>
    </xf>
    <xf borderId="51" fillId="20" fontId="9" numFmtId="0" xfId="0" applyAlignment="1" applyBorder="1" applyFont="1">
      <alignment readingOrder="0" vertical="center"/>
    </xf>
    <xf borderId="6" fillId="6" fontId="33" numFmtId="0" xfId="0" applyAlignment="1" applyBorder="1" applyFont="1">
      <alignment readingOrder="0" vertical="center"/>
    </xf>
    <xf borderId="8" fillId="4" fontId="66" numFmtId="0" xfId="0" applyAlignment="1" applyBorder="1" applyFont="1">
      <alignment horizontal="center" readingOrder="0" vertical="bottom"/>
    </xf>
    <xf borderId="0" fillId="4" fontId="62" numFmtId="0" xfId="0" applyAlignment="1" applyFont="1">
      <alignment horizontal="center" vertical="center"/>
    </xf>
    <xf borderId="0" fillId="0" fontId="137" numFmtId="0" xfId="0" applyAlignment="1" applyFont="1">
      <alignment horizontal="right" vertical="bottom"/>
    </xf>
    <xf borderId="0" fillId="4" fontId="6" numFmtId="0" xfId="0" applyAlignment="1" applyFont="1">
      <alignment readingOrder="0" vertical="center"/>
    </xf>
    <xf borderId="0" fillId="2" fontId="9" numFmtId="0" xfId="0" applyAlignment="1" applyFont="1">
      <alignment vertical="center"/>
    </xf>
    <xf borderId="5" fillId="0" fontId="6" numFmtId="180" xfId="0" applyAlignment="1" applyBorder="1" applyFont="1" applyNumberFormat="1">
      <alignment horizontal="center" vertical="bottom"/>
    </xf>
    <xf borderId="0" fillId="4" fontId="70" numFmtId="0" xfId="0" applyAlignment="1" applyFont="1">
      <alignment horizontal="center" vertical="bottom"/>
    </xf>
    <xf borderId="51" fillId="0" fontId="51" numFmtId="0" xfId="0" applyAlignment="1" applyBorder="1" applyFont="1">
      <alignment horizontal="center" readingOrder="0" vertical="center"/>
    </xf>
    <xf borderId="51" fillId="2" fontId="33" numFmtId="0" xfId="0" applyAlignment="1" applyBorder="1" applyFont="1">
      <alignment horizontal="center" readingOrder="0" vertical="center"/>
    </xf>
    <xf borderId="0" fillId="0" fontId="70" numFmtId="0" xfId="0" applyAlignment="1" applyFont="1">
      <alignment horizontal="center" vertical="bottom"/>
    </xf>
    <xf borderId="17" fillId="4" fontId="97" numFmtId="0" xfId="0" applyAlignment="1" applyBorder="1" applyFont="1">
      <alignment horizontal="center" readingOrder="0" vertical="bottom"/>
    </xf>
    <xf borderId="40" fillId="4" fontId="97" numFmtId="14" xfId="0" applyAlignment="1" applyBorder="1" applyFont="1" applyNumberFormat="1">
      <alignment horizontal="center" readingOrder="0" vertical="center"/>
    </xf>
    <xf borderId="0" fillId="4" fontId="6" numFmtId="0" xfId="0" applyAlignment="1" applyFont="1">
      <alignment horizontal="right" vertical="bottom"/>
    </xf>
    <xf borderId="18" fillId="4" fontId="97" numFmtId="0" xfId="0" applyAlignment="1" applyBorder="1" applyFont="1">
      <alignment horizontal="center" readingOrder="0" vertical="bottom"/>
    </xf>
    <xf borderId="5" fillId="2" fontId="51" numFmtId="0" xfId="0" applyAlignment="1" applyBorder="1" applyFont="1">
      <alignment horizontal="center" readingOrder="0" vertical="center"/>
    </xf>
    <xf borderId="65" fillId="6" fontId="97" numFmtId="175" xfId="0" applyAlignment="1" applyBorder="1" applyFont="1" applyNumberFormat="1">
      <alignment horizontal="left" readingOrder="0" vertical="bottom"/>
    </xf>
    <xf borderId="65" fillId="6" fontId="97" numFmtId="172" xfId="0" applyAlignment="1" applyBorder="1" applyFont="1" applyNumberFormat="1">
      <alignment horizontal="center" readingOrder="0" vertical="center"/>
    </xf>
    <xf borderId="6" fillId="6" fontId="96" numFmtId="0" xfId="0" applyAlignment="1" applyBorder="1" applyFont="1">
      <alignment readingOrder="0" vertical="center"/>
    </xf>
    <xf borderId="6" fillId="4" fontId="97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left" readingOrder="0" vertical="bottom"/>
    </xf>
    <xf borderId="6" fillId="2" fontId="6" numFmtId="0" xfId="0" applyAlignment="1" applyBorder="1" applyFont="1">
      <alignment horizontal="left" readingOrder="0" vertical="bottom"/>
    </xf>
    <xf borderId="8" fillId="4" fontId="102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horizontal="center" vertical="center"/>
    </xf>
    <xf borderId="8" fillId="0" fontId="9" numFmtId="0" xfId="0" applyAlignment="1" applyBorder="1" applyFont="1">
      <alignment vertical="center"/>
    </xf>
    <xf borderId="6" fillId="20" fontId="96" numFmtId="0" xfId="0" applyAlignment="1" applyBorder="1" applyFont="1">
      <alignment readingOrder="0" vertical="center"/>
    </xf>
    <xf borderId="5" fillId="4" fontId="24" numFmtId="0" xfId="0" applyAlignment="1" applyBorder="1" applyFont="1">
      <alignment horizontal="center" readingOrder="0" vertical="center"/>
    </xf>
    <xf borderId="51" fillId="0" fontId="9" numFmtId="0" xfId="0" applyAlignment="1" applyBorder="1" applyFont="1">
      <alignment vertical="center"/>
    </xf>
    <xf borderId="0" fillId="4" fontId="62" numFmtId="0" xfId="0" applyAlignment="1" applyFont="1">
      <alignment horizontal="center" readingOrder="0" shrinkToFit="0" vertical="bottom" wrapText="0"/>
    </xf>
    <xf borderId="0" fillId="4" fontId="6" numFmtId="0" xfId="0" applyAlignment="1" applyFont="1">
      <alignment horizontal="right" readingOrder="0" vertical="bottom"/>
    </xf>
    <xf borderId="0" fillId="4" fontId="70" numFmtId="0" xfId="0" applyAlignment="1" applyFont="1">
      <alignment horizontal="center" readingOrder="0" vertical="bottom"/>
    </xf>
    <xf borderId="6" fillId="4" fontId="6" numFmtId="166" xfId="0" applyAlignment="1" applyBorder="1" applyFont="1" applyNumberFormat="1">
      <alignment vertical="bottom"/>
    </xf>
    <xf borderId="5" fillId="4" fontId="6" numFmtId="166" xfId="0" applyAlignment="1" applyBorder="1" applyFont="1" applyNumberFormat="1">
      <alignment vertical="bottom"/>
    </xf>
    <xf borderId="17" fillId="4" fontId="62" numFmtId="0" xfId="0" applyAlignment="1" applyBorder="1" applyFont="1">
      <alignment horizontal="center" readingOrder="0" vertical="bottom"/>
    </xf>
    <xf borderId="0" fillId="4" fontId="66" numFmtId="14" xfId="0" applyAlignment="1" applyFont="1" applyNumberFormat="1">
      <alignment horizontal="center" readingOrder="0" vertical="bottom"/>
    </xf>
    <xf borderId="48" fillId="4" fontId="9" numFmtId="0" xfId="0" applyAlignment="1" applyBorder="1" applyFont="1">
      <alignment vertical="bottom"/>
    </xf>
    <xf borderId="48" fillId="0" fontId="16" numFmtId="0" xfId="0" applyAlignment="1" applyBorder="1" applyFont="1">
      <alignment vertical="center"/>
    </xf>
    <xf borderId="8" fillId="4" fontId="97" numFmtId="0" xfId="0" applyAlignment="1" applyBorder="1" applyFont="1">
      <alignment horizontal="center" readingOrder="0" vertical="bottom"/>
    </xf>
    <xf borderId="51" fillId="4" fontId="132" numFmtId="0" xfId="0" applyAlignment="1" applyBorder="1" applyFont="1">
      <alignment horizontal="center" readingOrder="0" vertical="center"/>
    </xf>
    <xf borderId="5" fillId="4" fontId="58" numFmtId="0" xfId="0" applyAlignment="1" applyBorder="1" applyFont="1">
      <alignment vertical="center"/>
    </xf>
    <xf borderId="5" fillId="34" fontId="6" numFmtId="3" xfId="0" applyAlignment="1" applyBorder="1" applyFont="1" applyNumberFormat="1">
      <alignment horizontal="center" readingOrder="0" vertical="center"/>
    </xf>
    <xf borderId="5" fillId="5" fontId="6" numFmtId="3" xfId="0" applyAlignment="1" applyBorder="1" applyFont="1" applyNumberFormat="1">
      <alignment horizontal="center" readingOrder="0" vertical="center"/>
    </xf>
    <xf borderId="5" fillId="4" fontId="64" numFmtId="0" xfId="0" applyAlignment="1" applyBorder="1" applyFont="1">
      <alignment horizontal="center" readingOrder="0" vertical="center"/>
    </xf>
    <xf borderId="6" fillId="4" fontId="114" numFmtId="3" xfId="0" applyAlignment="1" applyBorder="1" applyFont="1" applyNumberFormat="1">
      <alignment horizontal="center" readingOrder="0" vertical="bottom"/>
    </xf>
    <xf borderId="6" fillId="4" fontId="102" numFmtId="3" xfId="0" applyAlignment="1" applyBorder="1" applyFont="1" applyNumberFormat="1">
      <alignment horizontal="center" readingOrder="0" vertical="bottom"/>
    </xf>
    <xf borderId="6" fillId="0" fontId="96" numFmtId="0" xfId="0" applyAlignment="1" applyBorder="1" applyFont="1">
      <alignment readingOrder="0" vertical="center"/>
    </xf>
    <xf borderId="0" fillId="0" fontId="11" numFmtId="0" xfId="0" applyAlignment="1" applyFont="1">
      <alignment vertical="center"/>
    </xf>
    <xf borderId="0" fillId="4" fontId="66" numFmtId="0" xfId="0" applyAlignment="1" applyFont="1">
      <alignment horizontal="center" readingOrder="0" shrinkToFit="0" vertical="bottom" wrapText="0"/>
    </xf>
    <xf borderId="6" fillId="4" fontId="6" numFmtId="0" xfId="0" applyAlignment="1" applyBorder="1" applyFont="1">
      <alignment horizontal="center" readingOrder="0" vertical="center"/>
    </xf>
    <xf borderId="5" fillId="4" fontId="22" numFmtId="180" xfId="0" applyAlignment="1" applyBorder="1" applyFont="1" applyNumberFormat="1">
      <alignment readingOrder="0" vertical="center"/>
    </xf>
    <xf borderId="5" fillId="4" fontId="6" numFmtId="180" xfId="0" applyAlignment="1" applyBorder="1" applyFont="1" applyNumberFormat="1">
      <alignment vertical="bottom"/>
    </xf>
    <xf borderId="0" fillId="4" fontId="94" numFmtId="14" xfId="0" applyAlignment="1" applyFont="1" applyNumberFormat="1">
      <alignment horizontal="center" readingOrder="0" vertical="bottom"/>
    </xf>
    <xf borderId="0" fillId="0" fontId="70" numFmtId="0" xfId="0" applyAlignment="1" applyFont="1">
      <alignment horizontal="center" readingOrder="0" vertical="bottom"/>
    </xf>
    <xf borderId="6" fillId="4" fontId="136" numFmtId="3" xfId="0" applyAlignment="1" applyBorder="1" applyFont="1" applyNumberFormat="1">
      <alignment horizontal="center" readingOrder="0" vertical="bottom"/>
    </xf>
    <xf borderId="0" fillId="4" fontId="89" numFmtId="0" xfId="0" applyAlignment="1" applyFont="1">
      <alignment horizontal="center" vertical="center"/>
    </xf>
    <xf borderId="5" fillId="4" fontId="97" numFmtId="0" xfId="0" applyAlignment="1" applyBorder="1" applyFont="1">
      <alignment horizontal="center" vertical="bottom"/>
    </xf>
    <xf borderId="9" fillId="6" fontId="97" numFmtId="0" xfId="0" applyAlignment="1" applyBorder="1" applyFont="1">
      <alignment horizontal="center" readingOrder="0" vertical="center"/>
    </xf>
    <xf borderId="81" fillId="6" fontId="6" numFmtId="0" xfId="0" applyAlignment="1" applyBorder="1" applyFont="1">
      <alignment horizontal="left" readingOrder="0" vertical="center"/>
    </xf>
    <xf borderId="0" fillId="6" fontId="22" numFmtId="0" xfId="0" applyAlignment="1" applyFont="1">
      <alignment vertical="center"/>
    </xf>
    <xf borderId="0" fillId="15" fontId="22" numFmtId="0" xfId="0" applyAlignment="1" applyFont="1">
      <alignment vertical="center"/>
    </xf>
    <xf borderId="0" fillId="6" fontId="22" numFmtId="0" xfId="0" applyAlignment="1" applyFont="1">
      <alignment readingOrder="0" vertical="center"/>
    </xf>
    <xf borderId="0" fillId="6" fontId="22" numFmtId="0" xfId="0" applyAlignment="1" applyFont="1">
      <alignment horizontal="center" vertical="center"/>
    </xf>
    <xf borderId="65" fillId="6" fontId="6" numFmtId="0" xfId="0" applyAlignment="1" applyBorder="1" applyFont="1">
      <alignment vertical="center"/>
    </xf>
    <xf borderId="0" fillId="6" fontId="6" numFmtId="0" xfId="0" applyAlignment="1" applyFont="1">
      <alignment vertical="center"/>
    </xf>
    <xf borderId="36" fillId="4" fontId="119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left" readingOrder="0" vertical="center"/>
    </xf>
    <xf borderId="5" fillId="5" fontId="9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horizontal="left" readingOrder="0" vertical="bottom"/>
    </xf>
    <xf borderId="8" fillId="15" fontId="62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horizontal="center" vertical="bottom"/>
    </xf>
    <xf borderId="5" fillId="4" fontId="130" numFmtId="0" xfId="0" applyAlignment="1" applyBorder="1" applyFont="1">
      <alignment horizontal="right" vertical="center"/>
    </xf>
    <xf borderId="6" fillId="4" fontId="102" numFmtId="0" xfId="0" applyAlignment="1" applyBorder="1" applyFont="1">
      <alignment horizontal="center" vertical="bottom"/>
    </xf>
    <xf borderId="39" fillId="4" fontId="9" numFmtId="0" xfId="0" applyAlignment="1" applyBorder="1" applyFont="1">
      <alignment vertical="bottom"/>
    </xf>
    <xf borderId="69" fillId="4" fontId="9" numFmtId="0" xfId="0" applyAlignment="1" applyBorder="1" applyFont="1">
      <alignment vertical="bottom"/>
    </xf>
    <xf borderId="62" fillId="6" fontId="62" numFmtId="182" xfId="0" applyAlignment="1" applyBorder="1" applyFont="1" applyNumberFormat="1">
      <alignment horizontal="center" readingOrder="0" vertical="bottom"/>
    </xf>
    <xf borderId="81" fillId="6" fontId="73" numFmtId="0" xfId="0" applyAlignment="1" applyBorder="1" applyFont="1">
      <alignment horizontal="left" readingOrder="0" vertical="center"/>
    </xf>
    <xf borderId="0" fillId="6" fontId="80" numFmtId="0" xfId="0" applyAlignment="1" applyFont="1">
      <alignment vertical="center"/>
    </xf>
    <xf borderId="0" fillId="6" fontId="5" numFmtId="0" xfId="0" applyAlignment="1" applyFont="1">
      <alignment vertical="center"/>
    </xf>
    <xf borderId="65" fillId="6" fontId="102" numFmtId="0" xfId="0" applyAlignment="1" applyBorder="1" applyFont="1">
      <alignment horizontal="center" vertical="bottom"/>
    </xf>
    <xf borderId="37" fillId="4" fontId="66" numFmtId="0" xfId="0" applyAlignment="1" applyBorder="1" applyFont="1">
      <alignment horizontal="center" readingOrder="0" vertical="bottom"/>
    </xf>
    <xf borderId="5" fillId="4" fontId="102" numFmtId="0" xfId="0" applyAlignment="1" applyBorder="1" applyFont="1">
      <alignment horizontal="center" vertical="center"/>
    </xf>
    <xf borderId="51" fillId="15" fontId="62" numFmtId="0" xfId="0" applyAlignment="1" applyBorder="1" applyFont="1">
      <alignment horizontal="center" readingOrder="0" vertical="center"/>
    </xf>
    <xf borderId="51" fillId="15" fontId="134" numFmtId="0" xfId="0" applyAlignment="1" applyBorder="1" applyFont="1">
      <alignment horizontal="center" readingOrder="0" vertical="center"/>
    </xf>
    <xf borderId="8" fillId="4" fontId="9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51" fillId="6" fontId="9" numFmtId="0" xfId="0" applyAlignment="1" applyBorder="1" applyFont="1">
      <alignment readingOrder="0" vertical="center"/>
    </xf>
    <xf borderId="8" fillId="4" fontId="9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shrinkToFit="0" vertical="center" wrapText="0"/>
    </xf>
    <xf borderId="51" fillId="5" fontId="6" numFmtId="0" xfId="0" applyAlignment="1" applyBorder="1" applyFont="1">
      <alignment horizontal="center" readingOrder="0" vertical="center"/>
    </xf>
    <xf borderId="5" fillId="15" fontId="89" numFmtId="0" xfId="0" applyAlignment="1" applyBorder="1" applyFont="1">
      <alignment horizontal="center" readingOrder="0" vertical="center"/>
    </xf>
    <xf borderId="5" fillId="4" fontId="86" numFmtId="0" xfId="0" applyAlignment="1" applyBorder="1" applyFont="1">
      <alignment horizontal="center" readingOrder="0" vertical="center"/>
    </xf>
    <xf borderId="5" fillId="20" fontId="9" numFmtId="0" xfId="0" applyAlignment="1" applyBorder="1" applyFont="1">
      <alignment vertical="center"/>
    </xf>
    <xf borderId="5" fillId="6" fontId="9" numFmtId="0" xfId="0" applyAlignment="1" applyBorder="1" applyFont="1">
      <alignment horizontal="left" readingOrder="0" shrinkToFit="0" vertical="center" wrapText="1"/>
    </xf>
    <xf borderId="5" fillId="4" fontId="51" numFmtId="0" xfId="0" applyAlignment="1" applyBorder="1" applyFont="1">
      <alignment horizontal="center" readingOrder="0" vertical="center"/>
    </xf>
    <xf borderId="5" fillId="2" fontId="33" numFmtId="0" xfId="0" applyAlignment="1" applyBorder="1" applyFont="1">
      <alignment horizontal="center" readingOrder="0" vertical="center"/>
    </xf>
    <xf borderId="5" fillId="0" fontId="51" numFmtId="0" xfId="0" applyAlignment="1" applyBorder="1" applyFont="1">
      <alignment horizontal="center" readingOrder="0" vertical="center"/>
    </xf>
    <xf borderId="5" fillId="2" fontId="33" numFmtId="3" xfId="0" applyAlignment="1" applyBorder="1" applyFont="1" applyNumberFormat="1">
      <alignment horizontal="center" readingOrder="0" vertical="center"/>
    </xf>
    <xf borderId="37" fillId="2" fontId="33" numFmtId="0" xfId="0" applyAlignment="1" applyBorder="1" applyFont="1">
      <alignment horizontal="center" readingOrder="0" vertical="center"/>
    </xf>
    <xf borderId="37" fillId="0" fontId="51" numFmtId="0" xfId="0" applyAlignment="1" applyBorder="1" applyFont="1">
      <alignment horizontal="center" vertical="center"/>
    </xf>
    <xf borderId="5" fillId="5" fontId="33" numFmtId="3" xfId="0" applyAlignment="1" applyBorder="1" applyFont="1" applyNumberFormat="1">
      <alignment horizontal="center" readingOrder="0" vertical="center"/>
    </xf>
    <xf borderId="5" fillId="0" fontId="51" numFmtId="0" xfId="0" applyAlignment="1" applyBorder="1" applyFont="1">
      <alignment horizontal="center" vertical="center"/>
    </xf>
    <xf borderId="5" fillId="5" fontId="33" numFmtId="0" xfId="0" applyAlignment="1" applyBorder="1" applyFont="1">
      <alignment horizontal="center" readingOrder="0" vertical="center"/>
    </xf>
    <xf borderId="5" fillId="4" fontId="51" numFmtId="0" xfId="0" applyAlignment="1" applyBorder="1" applyFont="1">
      <alignment horizontal="center" vertical="center"/>
    </xf>
    <xf borderId="5" fillId="5" fontId="33" numFmtId="0" xfId="0" applyAlignment="1" applyBorder="1" applyFont="1">
      <alignment readingOrder="0" vertical="center"/>
    </xf>
    <xf borderId="0" fillId="20" fontId="11" numFmtId="0" xfId="0" applyAlignment="1" applyFont="1">
      <alignment vertical="center"/>
    </xf>
    <xf borderId="5" fillId="20" fontId="9" numFmtId="0" xfId="0" applyAlignment="1" applyBorder="1" applyFont="1">
      <alignment readingOrder="0" vertical="center"/>
    </xf>
    <xf borderId="0" fillId="4" fontId="6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right" readingOrder="0" vertical="bottom"/>
    </xf>
    <xf borderId="5" fillId="15" fontId="66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vertical="bottom"/>
    </xf>
    <xf borderId="6" fillId="4" fontId="6" numFmtId="0" xfId="0" applyAlignment="1" applyBorder="1" applyFont="1">
      <alignment vertical="bottom"/>
    </xf>
    <xf borderId="40" fillId="4" fontId="62" numFmtId="1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center"/>
    </xf>
    <xf borderId="0" fillId="0" fontId="139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6" fillId="4" fontId="6" numFmtId="180" xfId="0" applyAlignment="1" applyBorder="1" applyFont="1" applyNumberFormat="1">
      <alignment horizontal="center" vertical="bottom"/>
    </xf>
    <xf borderId="5" fillId="4" fontId="6" numFmtId="180" xfId="0" applyAlignment="1" applyBorder="1" applyFont="1" applyNumberFormat="1">
      <alignment horizontal="center" vertical="bottom"/>
    </xf>
    <xf borderId="0" fillId="0" fontId="9" numFmtId="0" xfId="0" applyAlignment="1" applyFont="1">
      <alignment horizontal="right" readingOrder="0" vertical="center"/>
    </xf>
    <xf borderId="0" fillId="0" fontId="73" numFmtId="0" xfId="0" applyAlignment="1" applyFont="1">
      <alignment vertical="center"/>
    </xf>
    <xf borderId="0" fillId="4" fontId="73" numFmtId="0" xfId="0" applyAlignment="1" applyFont="1">
      <alignment vertical="center"/>
    </xf>
    <xf borderId="8" fillId="4" fontId="70" numFmtId="0" xfId="0" applyAlignment="1" applyBorder="1" applyFont="1">
      <alignment horizontal="center" readingOrder="0" vertical="bottom"/>
    </xf>
    <xf borderId="0" fillId="4" fontId="73" numFmtId="0" xfId="0" applyAlignment="1" applyFont="1">
      <alignment horizontal="center" vertical="center"/>
    </xf>
    <xf borderId="0" fillId="0" fontId="102" numFmtId="0" xfId="0" applyAlignment="1" applyFont="1">
      <alignment vertical="center"/>
    </xf>
    <xf borderId="0" fillId="4" fontId="102" numFmtId="0" xfId="0" applyAlignment="1" applyFont="1">
      <alignment vertical="center"/>
    </xf>
    <xf borderId="0" fillId="4" fontId="71" numFmtId="0" xfId="0" applyAlignment="1" applyFont="1">
      <alignment vertical="center"/>
    </xf>
    <xf borderId="0" fillId="4" fontId="70" numFmtId="0" xfId="0" applyAlignment="1" applyFont="1">
      <alignment vertical="center"/>
    </xf>
    <xf borderId="0" fillId="0" fontId="71" numFmtId="0" xfId="0" applyAlignment="1" applyFont="1">
      <alignment vertical="center"/>
    </xf>
    <xf borderId="0" fillId="0" fontId="70" numFmtId="0" xfId="0" applyAlignment="1" applyFont="1">
      <alignment vertical="center"/>
    </xf>
    <xf borderId="0" fillId="4" fontId="80" numFmtId="0" xfId="0" applyAlignment="1" applyFont="1">
      <alignment horizontal="center" vertical="center"/>
    </xf>
    <xf borderId="5" fillId="4" fontId="70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readingOrder="0" vertical="bottom"/>
    </xf>
    <xf borderId="0" fillId="4" fontId="22" numFmtId="0" xfId="0" applyAlignment="1" applyFont="1">
      <alignment horizontal="center" vertical="center"/>
    </xf>
    <xf borderId="48" fillId="4" fontId="6" numFmtId="0" xfId="0" applyAlignment="1" applyBorder="1" applyFont="1">
      <alignment horizontal="center" vertical="bottom"/>
    </xf>
    <xf borderId="61" fillId="6" fontId="62" numFmtId="0" xfId="0" applyAlignment="1" applyBorder="1" applyFont="1">
      <alignment horizontal="center" readingOrder="0" vertical="bottom"/>
    </xf>
    <xf borderId="62" fillId="0" fontId="16" numFmtId="0" xfId="0" applyAlignment="1" applyBorder="1" applyFont="1">
      <alignment vertical="center"/>
    </xf>
    <xf borderId="62" fillId="6" fontId="58" numFmtId="175" xfId="0" applyAlignment="1" applyBorder="1" applyFont="1" applyNumberFormat="1">
      <alignment horizontal="left" readingOrder="0" vertical="bottom"/>
    </xf>
    <xf borderId="62" fillId="6" fontId="58" numFmtId="175" xfId="0" applyAlignment="1" applyBorder="1" applyFont="1" applyNumberFormat="1">
      <alignment horizontal="center" readingOrder="0" vertical="center"/>
    </xf>
    <xf borderId="63" fillId="6" fontId="73" numFmtId="0" xfId="0" applyAlignment="1" applyBorder="1" applyFont="1">
      <alignment horizontal="left" readingOrder="0" vertical="center"/>
    </xf>
    <xf borderId="37" fillId="4" fontId="97" numFmtId="0" xfId="0" applyAlignment="1" applyBorder="1" applyFont="1">
      <alignment horizontal="center" readingOrder="0" vertical="center"/>
    </xf>
    <xf borderId="37" fillId="4" fontId="94" numFmtId="0" xfId="0" applyAlignment="1" applyBorder="1" applyFont="1">
      <alignment horizontal="center" readingOrder="0" vertical="center"/>
    </xf>
    <xf borderId="37" fillId="4" fontId="6" numFmtId="0" xfId="0" applyAlignment="1" applyBorder="1" applyFont="1">
      <alignment horizontal="center" vertical="center"/>
    </xf>
    <xf borderId="9" fillId="6" fontId="56" numFmtId="0" xfId="0" applyAlignment="1" applyBorder="1" applyFont="1">
      <alignment horizontal="center" readingOrder="0" vertical="bottom"/>
    </xf>
    <xf borderId="65" fillId="6" fontId="97" numFmtId="172" xfId="0" applyAlignment="1" applyBorder="1" applyFont="1" applyNumberFormat="1">
      <alignment horizontal="left" readingOrder="0" vertical="bottom"/>
    </xf>
    <xf borderId="81" fillId="6" fontId="56" numFmtId="0" xfId="0" applyAlignment="1" applyBorder="1" applyFont="1">
      <alignment horizontal="left" readingOrder="0" vertical="bottom"/>
    </xf>
    <xf borderId="46" fillId="6" fontId="56" numFmtId="0" xfId="0" applyAlignment="1" applyBorder="1" applyFont="1">
      <alignment horizontal="center" vertical="bottom"/>
    </xf>
    <xf borderId="6" fillId="4" fontId="102" numFmtId="3" xfId="0" applyAlignment="1" applyBorder="1" applyFont="1" applyNumberFormat="1">
      <alignment horizontal="center" vertical="bottom"/>
    </xf>
    <xf borderId="65" fillId="6" fontId="56" numFmtId="0" xfId="0" applyAlignment="1" applyBorder="1" applyFont="1">
      <alignment horizontal="center" vertical="bottom"/>
    </xf>
    <xf borderId="0" fillId="6" fontId="56" numFmtId="0" xfId="0" applyAlignment="1" applyFont="1">
      <alignment horizontal="center" vertical="bottom"/>
    </xf>
    <xf borderId="5" fillId="0" fontId="56" numFmtId="0" xfId="0" applyAlignment="1" applyBorder="1" applyFont="1">
      <alignment horizontal="center" readingOrder="0" vertical="bottom"/>
    </xf>
    <xf borderId="5" fillId="0" fontId="97" numFmtId="0" xfId="0" applyAlignment="1" applyBorder="1" applyFont="1">
      <alignment readingOrder="0" vertical="bottom"/>
    </xf>
    <xf borderId="6" fillId="20" fontId="97" numFmtId="0" xfId="0" applyAlignment="1" applyBorder="1" applyFont="1">
      <alignment horizontal="center" readingOrder="0" vertical="bottom"/>
    </xf>
    <xf borderId="6" fillId="5" fontId="97" numFmtId="0" xfId="0" applyAlignment="1" applyBorder="1" applyFont="1">
      <alignment horizontal="center" readingOrder="0" vertical="bottom"/>
    </xf>
    <xf borderId="8" fillId="4" fontId="62" numFmtId="0" xfId="0" applyAlignment="1" applyBorder="1" applyFont="1">
      <alignment readingOrder="0" vertical="bottom"/>
    </xf>
    <xf borderId="37" fillId="0" fontId="9" numFmtId="0" xfId="0" applyAlignment="1" applyBorder="1" applyFont="1">
      <alignment horizontal="center" readingOrder="0" vertical="center"/>
    </xf>
    <xf borderId="7" fillId="4" fontId="6" numFmtId="3" xfId="0" applyAlignment="1" applyBorder="1" applyFont="1" applyNumberFormat="1">
      <alignment horizontal="center" readingOrder="0" vertical="bottom"/>
    </xf>
    <xf borderId="5" fillId="22" fontId="100" numFmtId="0" xfId="0" applyAlignment="1" applyBorder="1" applyFont="1">
      <alignment horizontal="center" readingOrder="0" vertical="center"/>
    </xf>
    <xf borderId="8" fillId="4" fontId="134" numFmtId="0" xfId="0" applyAlignment="1" applyBorder="1" applyFont="1">
      <alignment readingOrder="0" vertical="bottom"/>
    </xf>
    <xf borderId="5" fillId="20" fontId="9" numFmtId="0" xfId="0" applyAlignment="1" applyBorder="1" applyFont="1">
      <alignment vertical="bottom"/>
    </xf>
    <xf borderId="6" fillId="15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horizontal="left" readingOrder="0" shrinkToFit="0" vertical="center" wrapText="1"/>
    </xf>
    <xf borderId="5" fillId="4" fontId="97" numFmtId="0" xfId="0" applyAlignment="1" applyBorder="1" applyFont="1">
      <alignment horizontal="center" vertical="center"/>
    </xf>
    <xf borderId="5" fillId="4" fontId="134" numFmtId="0" xfId="0" applyAlignment="1" applyBorder="1" applyFont="1">
      <alignment readingOrder="0" vertical="bottom"/>
    </xf>
    <xf borderId="6" fillId="15" fontId="134" numFmtId="0" xfId="0" applyAlignment="1" applyBorder="1" applyFont="1">
      <alignment readingOrder="0" vertical="bottom"/>
    </xf>
    <xf borderId="51" fillId="34" fontId="9" numFmtId="0" xfId="0" applyAlignment="1" applyBorder="1" applyFont="1">
      <alignment horizontal="center" readingOrder="0" vertical="center"/>
    </xf>
    <xf borderId="51" fillId="4" fontId="51" numFmtId="0" xfId="0" applyAlignment="1" applyBorder="1" applyFont="1">
      <alignment horizontal="center" readingOrder="0" vertical="center"/>
    </xf>
    <xf borderId="5" fillId="0" fontId="135" numFmtId="0" xfId="0" applyAlignment="1" applyBorder="1" applyFont="1">
      <alignment horizontal="right" readingOrder="0" vertical="bottom"/>
    </xf>
    <xf borderId="5" fillId="2" fontId="135" numFmtId="0" xfId="0" applyAlignment="1" applyBorder="1" applyFont="1">
      <alignment horizontal="right" readingOrder="0" vertical="bottom"/>
    </xf>
    <xf borderId="5" fillId="2" fontId="135" numFmtId="0" xfId="0" applyAlignment="1" applyBorder="1" applyFont="1">
      <alignment horizontal="right" vertical="bottom"/>
    </xf>
    <xf borderId="5" fillId="0" fontId="135" numFmtId="0" xfId="0" applyAlignment="1" applyBorder="1" applyFont="1">
      <alignment horizontal="right" vertical="bottom"/>
    </xf>
    <xf borderId="0" fillId="4" fontId="58" numFmtId="0" xfId="0" applyAlignment="1" applyFont="1">
      <alignment horizontal="center" vertical="bottom"/>
    </xf>
    <xf borderId="0" fillId="4" fontId="56" numFmtId="14" xfId="0" applyAlignment="1" applyFont="1" applyNumberFormat="1">
      <alignment horizontal="center" readingOrder="0" vertical="bottom"/>
    </xf>
    <xf borderId="0" fillId="4" fontId="115" numFmtId="0" xfId="0" applyAlignment="1" applyFont="1">
      <alignment vertical="center"/>
    </xf>
    <xf borderId="0" fillId="4" fontId="115" numFmtId="0" xfId="0" applyAlignment="1" applyFont="1">
      <alignment horizontal="center" vertical="center"/>
    </xf>
    <xf borderId="17" fillId="0" fontId="56" numFmtId="0" xfId="0" applyAlignment="1" applyBorder="1" applyFont="1">
      <alignment horizontal="center" readingOrder="0" vertical="bottom"/>
    </xf>
    <xf borderId="0" fillId="4" fontId="97" numFmtId="14" xfId="0" applyAlignment="1" applyFont="1" applyNumberFormat="1">
      <alignment horizontal="left" readingOrder="0" vertical="bottom"/>
    </xf>
    <xf borderId="5" fillId="4" fontId="56" numFmtId="0" xfId="0" applyAlignment="1" applyBorder="1" applyFont="1">
      <alignment horizontal="center" readingOrder="0" vertical="bottom"/>
    </xf>
    <xf borderId="5" fillId="4" fontId="97" numFmtId="0" xfId="0" applyAlignment="1" applyBorder="1" applyFont="1">
      <alignment readingOrder="0" vertical="bottom"/>
    </xf>
    <xf borderId="5" fillId="4" fontId="9" numFmtId="0" xfId="0" applyAlignment="1" applyBorder="1" applyFont="1">
      <alignment horizontal="left" vertical="bottom"/>
    </xf>
    <xf borderId="6" fillId="0" fontId="102" numFmtId="0" xfId="0" applyAlignment="1" applyBorder="1" applyFont="1">
      <alignment horizontal="center" vertical="center"/>
    </xf>
    <xf borderId="6" fillId="20" fontId="102" numFmtId="0" xfId="0" applyAlignment="1" applyBorder="1" applyFont="1">
      <alignment horizontal="center" readingOrder="0" vertical="center"/>
    </xf>
    <xf borderId="6" fillId="0" fontId="10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8" fillId="4" fontId="70" numFmtId="0" xfId="0" applyAlignment="1" applyBorder="1" applyFont="1">
      <alignment horizontal="center" readingOrder="0" vertical="center"/>
    </xf>
    <xf borderId="50" fillId="4" fontId="6" numFmtId="0" xfId="0" applyAlignment="1" applyBorder="1" applyFont="1">
      <alignment horizontal="center" readingOrder="0" vertical="bottom"/>
    </xf>
    <xf borderId="61" fillId="6" fontId="97" numFmtId="0" xfId="0" applyAlignment="1" applyBorder="1" applyFont="1">
      <alignment horizontal="center" readingOrder="0" vertical="center"/>
    </xf>
    <xf borderId="62" fillId="6" fontId="97" numFmtId="182" xfId="0" applyAlignment="1" applyBorder="1" applyFont="1" applyNumberFormat="1">
      <alignment horizontal="center" readingOrder="0" vertical="center"/>
    </xf>
    <xf borderId="63" fillId="6" fontId="102" numFmtId="0" xfId="0" applyAlignment="1" applyBorder="1" applyFont="1">
      <alignment horizontal="left" readingOrder="0" vertical="center"/>
    </xf>
    <xf borderId="0" fillId="6" fontId="115" numFmtId="0" xfId="0" applyAlignment="1" applyFont="1">
      <alignment vertical="center"/>
    </xf>
    <xf borderId="0" fillId="6" fontId="12" numFmtId="0" xfId="0" applyAlignment="1" applyFont="1">
      <alignment horizontal="center" vertical="center"/>
    </xf>
    <xf borderId="65" fillId="6" fontId="102" numFmtId="0" xfId="0" applyAlignment="1" applyBorder="1" applyFont="1">
      <alignment horizontal="center" vertical="center"/>
    </xf>
    <xf borderId="36" fillId="4" fontId="97" numFmtId="0" xfId="0" applyAlignment="1" applyBorder="1" applyFont="1">
      <alignment horizontal="center" readingOrder="0" vertical="center"/>
    </xf>
    <xf borderId="0" fillId="4" fontId="80" numFmtId="0" xfId="0" applyAlignment="1" applyFont="1">
      <alignment vertical="center"/>
    </xf>
    <xf borderId="37" fillId="4" fontId="102" numFmtId="0" xfId="0" applyAlignment="1" applyBorder="1" applyFont="1">
      <alignment horizontal="center" vertical="center"/>
    </xf>
    <xf borderId="0" fillId="20" fontId="80" numFmtId="0" xfId="0" applyAlignment="1" applyFont="1">
      <alignment vertical="center"/>
    </xf>
    <xf borderId="0" fillId="20" fontId="115" numFmtId="0" xfId="0" applyAlignment="1" applyFont="1">
      <alignment vertical="center"/>
    </xf>
    <xf borderId="0" fillId="20" fontId="80" numFmtId="0" xfId="0" applyAlignment="1" applyFont="1">
      <alignment horizontal="center" vertical="center"/>
    </xf>
    <xf borderId="0" fillId="20" fontId="80" numFmtId="0" xfId="0" applyAlignment="1" applyFont="1">
      <alignment readingOrder="0" vertical="center"/>
    </xf>
    <xf borderId="0" fillId="0" fontId="80" numFmtId="0" xfId="0" applyAlignment="1" applyFont="1">
      <alignment readingOrder="0" vertical="center"/>
    </xf>
    <xf borderId="0" fillId="20" fontId="6" numFmtId="0" xfId="0" applyAlignment="1" applyFont="1">
      <alignment horizontal="center" readingOrder="0" vertical="center"/>
    </xf>
    <xf borderId="62" fillId="6" fontId="62" numFmtId="172" xfId="0" applyAlignment="1" applyBorder="1" applyFont="1" applyNumberFormat="1">
      <alignment horizontal="center" readingOrder="0" vertical="bottom"/>
    </xf>
    <xf borderId="63" fillId="6" fontId="71" numFmtId="0" xfId="0" applyAlignment="1" applyBorder="1" applyFont="1">
      <alignment horizontal="left" readingOrder="0" vertical="center"/>
    </xf>
    <xf borderId="0" fillId="6" fontId="12" numFmtId="0" xfId="0" applyAlignment="1" applyFont="1">
      <alignment vertical="center"/>
    </xf>
    <xf borderId="65" fillId="6" fontId="71" numFmtId="0" xfId="0" applyAlignment="1" applyBorder="1" applyFont="1">
      <alignment vertical="bottom"/>
    </xf>
    <xf borderId="67" fillId="6" fontId="71" numFmtId="0" xfId="0" applyAlignment="1" applyBorder="1" applyFont="1">
      <alignment vertical="bottom"/>
    </xf>
    <xf borderId="37" fillId="4" fontId="71" numFmtId="0" xfId="0" applyAlignment="1" applyBorder="1" applyFont="1">
      <alignment horizontal="center" vertical="center"/>
    </xf>
    <xf borderId="5" fillId="34" fontId="6" numFmtId="0" xfId="0" applyAlignment="1" applyBorder="1" applyFont="1">
      <alignment horizontal="center" readingOrder="0" vertical="center"/>
    </xf>
    <xf borderId="6" fillId="4" fontId="70" numFmtId="0" xfId="0" applyAlignment="1" applyBorder="1" applyFont="1">
      <alignment horizontal="center" vertical="center"/>
    </xf>
    <xf borderId="0" fillId="4" fontId="97" numFmtId="0" xfId="0" applyAlignment="1" applyFont="1">
      <alignment horizontal="center" readingOrder="0" vertical="center"/>
    </xf>
    <xf borderId="51" fillId="0" fontId="9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readingOrder="0" vertical="center"/>
    </xf>
    <xf borderId="6" fillId="0" fontId="102" numFmtId="3" xfId="0" applyAlignment="1" applyBorder="1" applyFont="1" applyNumberFormat="1">
      <alignment horizontal="center" vertical="center"/>
    </xf>
    <xf borderId="5" fillId="34" fontId="6" numFmtId="0" xfId="0" applyAlignment="1" applyBorder="1" applyFont="1">
      <alignment horizontal="center" readingOrder="0" vertical="bottom"/>
    </xf>
    <xf borderId="5" fillId="15" fontId="132" numFmtId="0" xfId="0" applyAlignment="1" applyBorder="1" applyFont="1">
      <alignment horizontal="center" readingOrder="0" vertical="center"/>
    </xf>
    <xf borderId="5" fillId="4" fontId="89" numFmtId="0" xfId="0" applyAlignment="1" applyBorder="1" applyFont="1">
      <alignment horizontal="center" readingOrder="0" vertical="center"/>
    </xf>
    <xf borderId="0" fillId="15" fontId="64" numFmtId="0" xfId="0" applyAlignment="1" applyFont="1">
      <alignment horizontal="center" readingOrder="0" vertical="center"/>
    </xf>
    <xf borderId="6" fillId="4" fontId="89" numFmtId="0" xfId="0" applyAlignment="1" applyBorder="1" applyFont="1">
      <alignment horizontal="center" readingOrder="0" vertical="center"/>
    </xf>
    <xf borderId="37" fillId="15" fontId="66" numFmtId="0" xfId="0" applyAlignment="1" applyBorder="1" applyFont="1">
      <alignment horizontal="center" readingOrder="0" vertical="center"/>
    </xf>
    <xf borderId="5" fillId="4" fontId="62" numFmtId="0" xfId="0" applyAlignment="1" applyBorder="1" applyFont="1">
      <alignment horizontal="center" readingOrder="0" vertical="center"/>
    </xf>
    <xf borderId="0" fillId="20" fontId="139" numFmtId="0" xfId="0" applyAlignment="1" applyFont="1">
      <alignment horizontal="right" readingOrder="0" vertical="bottom"/>
    </xf>
    <xf borderId="0" fillId="20" fontId="139" numFmtId="0" xfId="0" applyAlignment="1" applyFont="1">
      <alignment horizontal="right" vertical="bottom"/>
    </xf>
    <xf borderId="0" fillId="20" fontId="9" numFmtId="0" xfId="0" applyAlignment="1" applyFont="1">
      <alignment vertical="center"/>
    </xf>
    <xf borderId="0" fillId="20" fontId="6" numFmtId="0" xfId="0" applyAlignment="1" applyFont="1">
      <alignment vertical="center"/>
    </xf>
    <xf borderId="7" fillId="4" fontId="70" numFmtId="0" xfId="0" applyAlignment="1" applyBorder="1" applyFont="1">
      <alignment horizontal="center" readingOrder="0" vertical="bottom"/>
    </xf>
    <xf borderId="6" fillId="4" fontId="140" numFmtId="0" xfId="0" applyAlignment="1" applyBorder="1" applyFont="1">
      <alignment horizontal="center" vertical="bottom"/>
    </xf>
    <xf borderId="5" fillId="4" fontId="89" numFmtId="0" xfId="0" applyAlignment="1" applyBorder="1" applyFont="1">
      <alignment readingOrder="0" vertical="center"/>
    </xf>
    <xf borderId="6" fillId="4" fontId="140" numFmtId="0" xfId="0" applyAlignment="1" applyBorder="1" applyFont="1">
      <alignment horizontal="center" readingOrder="0" vertical="bottom"/>
    </xf>
    <xf borderId="6" fillId="0" fontId="140" numFmtId="0" xfId="0" applyAlignment="1" applyBorder="1" applyFont="1">
      <alignment horizontal="center" readingOrder="0" vertical="bottom"/>
    </xf>
    <xf borderId="7" fillId="4" fontId="6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5" fillId="4" fontId="70" numFmtId="0" xfId="0" applyAlignment="1" applyBorder="1" applyFont="1">
      <alignment horizontal="left" vertical="bottom"/>
    </xf>
    <xf borderId="5" fillId="2" fontId="70" numFmtId="0" xfId="0" applyAlignment="1" applyBorder="1" applyFont="1">
      <alignment horizontal="center" vertical="bottom"/>
    </xf>
    <xf borderId="6" fillId="4" fontId="70" numFmtId="180" xfId="0" applyAlignment="1" applyBorder="1" applyFont="1" applyNumberFormat="1">
      <alignment vertical="bottom"/>
    </xf>
    <xf borderId="5" fillId="4" fontId="70" numFmtId="180" xfId="0" applyAlignment="1" applyBorder="1" applyFont="1" applyNumberFormat="1">
      <alignment vertical="bottom"/>
    </xf>
    <xf borderId="0" fillId="4" fontId="71" numFmtId="0" xfId="0" applyAlignment="1" applyFont="1">
      <alignment horizontal="right" vertical="center"/>
    </xf>
    <xf borderId="0" fillId="4" fontId="74" numFmtId="0" xfId="0" applyAlignment="1" applyFont="1">
      <alignment vertical="center"/>
    </xf>
    <xf borderId="0" fillId="4" fontId="74" numFmtId="0" xfId="0" applyAlignment="1" applyFont="1">
      <alignment horizontal="center" vertical="center"/>
    </xf>
    <xf borderId="48" fillId="4" fontId="71" numFmtId="0" xfId="0" applyAlignment="1" applyBorder="1" applyFont="1">
      <alignment vertical="bottom"/>
    </xf>
    <xf borderId="18" fillId="4" fontId="97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0" fillId="4" fontId="141" numFmtId="0" xfId="0" applyAlignment="1" applyFont="1">
      <alignment horizontal="center" vertical="center"/>
    </xf>
    <xf borderId="48" fillId="4" fontId="56" numFmtId="0" xfId="0" applyAlignment="1" applyBorder="1" applyFont="1">
      <alignment horizontal="center" vertical="center"/>
    </xf>
    <xf borderId="6" fillId="0" fontId="70" numFmtId="0" xfId="0" applyAlignment="1" applyBorder="1" applyFont="1">
      <alignment horizontal="center" readingOrder="0" vertical="center"/>
    </xf>
    <xf borderId="6" fillId="4" fontId="71" numFmtId="0" xfId="0" applyAlignment="1" applyBorder="1" applyFont="1">
      <alignment horizontal="center" readingOrder="0" vertical="center"/>
    </xf>
    <xf borderId="8" fillId="4" fontId="62" numFmtId="0" xfId="0" applyAlignment="1" applyBorder="1" applyFont="1">
      <alignment horizontal="center" vertical="bottom"/>
    </xf>
    <xf borderId="39" fillId="0" fontId="6" numFmtId="0" xfId="0" applyAlignment="1" applyBorder="1" applyFont="1">
      <alignment horizontal="center" vertical="bottom"/>
    </xf>
    <xf borderId="0" fillId="4" fontId="8" numFmtId="0" xfId="0" applyAlignment="1" applyFont="1">
      <alignment horizontal="center" vertical="center"/>
    </xf>
    <xf borderId="0" fillId="4" fontId="89" numFmtId="0" xfId="0" applyAlignment="1" applyFont="1">
      <alignment vertical="center"/>
    </xf>
    <xf borderId="0" fillId="4" fontId="7" numFmtId="0" xfId="0" applyAlignment="1" applyFont="1">
      <alignment readingOrder="0" vertical="center"/>
    </xf>
    <xf borderId="49" fillId="0" fontId="6" numFmtId="0" xfId="0" applyAlignment="1" applyBorder="1" applyFont="1">
      <alignment horizontal="right" vertical="bottom"/>
    </xf>
    <xf borderId="61" fillId="6" fontId="142" numFmtId="0" xfId="0" applyAlignment="1" applyBorder="1" applyFont="1">
      <alignment horizontal="center" vertical="bottom"/>
    </xf>
    <xf borderId="62" fillId="6" fontId="143" numFmtId="172" xfId="0" applyAlignment="1" applyBorder="1" applyFont="1" applyNumberFormat="1">
      <alignment readingOrder="0" vertical="bottom"/>
    </xf>
    <xf borderId="63" fillId="6" fontId="142" numFmtId="0" xfId="0" applyAlignment="1" applyBorder="1" applyFont="1">
      <alignment readingOrder="0" vertical="bottom"/>
    </xf>
    <xf borderId="64" fillId="6" fontId="144" numFmtId="0" xfId="0" applyAlignment="1" applyBorder="1" applyFont="1">
      <alignment horizontal="center" readingOrder="0" vertical="center"/>
    </xf>
    <xf borderId="65" fillId="6" fontId="9" numFmtId="0" xfId="0" applyAlignment="1" applyBorder="1" applyFont="1">
      <alignment readingOrder="0" vertical="bottom"/>
    </xf>
    <xf borderId="65" fillId="6" fontId="97" numFmtId="0" xfId="0" applyAlignment="1" applyBorder="1" applyFont="1">
      <alignment readingOrder="0" vertical="bottom"/>
    </xf>
    <xf borderId="0" fillId="6" fontId="6" numFmtId="0" xfId="0" applyAlignment="1" applyFont="1">
      <alignment readingOrder="0" vertical="bottom"/>
    </xf>
    <xf borderId="50" fillId="6" fontId="97" numFmtId="0" xfId="0" applyAlignment="1" applyBorder="1" applyFont="1">
      <alignment readingOrder="0" vertical="bottom"/>
    </xf>
    <xf borderId="0" fillId="6" fontId="120" numFmtId="0" xfId="0" applyAlignment="1" applyFont="1">
      <alignment readingOrder="0" vertical="center"/>
    </xf>
    <xf borderId="85" fillId="6" fontId="145" numFmtId="0" xfId="0" applyAlignment="1" applyBorder="1" applyFont="1">
      <alignment horizontal="center" readingOrder="0" vertical="center"/>
    </xf>
    <xf borderId="0" fillId="6" fontId="146" numFmtId="0" xfId="0" applyAlignment="1" applyFont="1">
      <alignment horizontal="center" readingOrder="0" vertical="center"/>
    </xf>
    <xf borderId="65" fillId="6" fontId="6" numFmtId="0" xfId="0" applyAlignment="1" applyBorder="1" applyFont="1">
      <alignment horizontal="center" vertical="bottom"/>
    </xf>
    <xf borderId="0" fillId="6" fontId="6" numFmtId="0" xfId="0" applyAlignment="1" applyFont="1">
      <alignment horizontal="center" vertical="bottom"/>
    </xf>
    <xf borderId="51" fillId="4" fontId="56" numFmtId="0" xfId="0" applyAlignment="1" applyBorder="1" applyFont="1">
      <alignment horizontal="center" readingOrder="0" vertical="bottom"/>
    </xf>
    <xf borderId="51" fillId="4" fontId="97" numFmtId="0" xfId="0" applyAlignment="1" applyBorder="1" applyFont="1">
      <alignment readingOrder="0" vertical="bottom"/>
    </xf>
    <xf borderId="37" fillId="4" fontId="97" numFmtId="0" xfId="0" applyAlignment="1" applyBorder="1" applyFont="1">
      <alignment readingOrder="0" vertical="bottom"/>
    </xf>
    <xf borderId="8" fillId="15" fontId="62" numFmtId="0" xfId="0" applyAlignment="1" applyBorder="1" applyFont="1">
      <alignment readingOrder="0" vertical="bottom"/>
    </xf>
    <xf borderId="5" fillId="2" fontId="9" numFmtId="0" xfId="0" applyAlignment="1" applyBorder="1" applyFont="1">
      <alignment horizontal="center" readingOrder="0" vertical="bottom"/>
    </xf>
    <xf borderId="37" fillId="2" fontId="33" numFmtId="0" xfId="0" applyAlignment="1" applyBorder="1" applyFont="1">
      <alignment horizontal="center" vertical="bottom"/>
    </xf>
    <xf borderId="37" fillId="4" fontId="33" numFmtId="0" xfId="0" applyAlignment="1" applyBorder="1" applyFont="1">
      <alignment horizontal="center" readingOrder="0" vertical="bottom"/>
    </xf>
    <xf borderId="37" fillId="4" fontId="33" numFmtId="0" xfId="0" applyAlignment="1" applyBorder="1" applyFont="1">
      <alignment horizontal="center" vertical="bottom"/>
    </xf>
    <xf borderId="0" fillId="4" fontId="33" numFmtId="0" xfId="0" applyAlignment="1" applyFont="1">
      <alignment horizontal="center" vertical="bottom"/>
    </xf>
    <xf borderId="51" fillId="4" fontId="62" numFmtId="0" xfId="0" applyAlignment="1" applyBorder="1" applyFont="1">
      <alignment readingOrder="0" vertical="bottom"/>
    </xf>
    <xf borderId="8" fillId="4" fontId="94" numFmtId="0" xfId="0" applyAlignment="1" applyBorder="1" applyFont="1">
      <alignment horizontal="center" readingOrder="0" vertical="bottom"/>
    </xf>
    <xf borderId="5" fillId="0" fontId="9" numFmtId="3" xfId="0" applyAlignment="1" applyBorder="1" applyFont="1" applyNumberFormat="1">
      <alignment horizontal="center" vertical="bottom"/>
    </xf>
    <xf borderId="37" fillId="2" fontId="33" numFmtId="3" xfId="0" applyAlignment="1" applyBorder="1" applyFont="1" applyNumberFormat="1">
      <alignment horizontal="center" vertical="bottom"/>
    </xf>
    <xf borderId="6" fillId="4" fontId="140" numFmtId="3" xfId="0" applyAlignment="1" applyBorder="1" applyFont="1" applyNumberFormat="1">
      <alignment horizontal="center" vertical="bottom"/>
    </xf>
    <xf borderId="0" fillId="0" fontId="115" numFmtId="0" xfId="0" applyAlignment="1" applyFont="1">
      <alignment vertical="center"/>
    </xf>
    <xf borderId="0" fillId="20" fontId="12" numFmtId="0" xfId="0" applyAlignment="1" applyFont="1">
      <alignment readingOrder="0" vertical="center"/>
    </xf>
    <xf borderId="51" fillId="6" fontId="9" numFmtId="0" xfId="0" applyAlignment="1" applyBorder="1" applyFont="1">
      <alignment shrinkToFit="0" vertical="bottom" wrapText="1"/>
    </xf>
    <xf borderId="61" fillId="6" fontId="97" numFmtId="0" xfId="0" applyAlignment="1" applyBorder="1" applyFont="1">
      <alignment horizontal="center" readingOrder="0" vertical="bottom"/>
    </xf>
    <xf borderId="62" fillId="6" fontId="97" numFmtId="172" xfId="0" applyAlignment="1" applyBorder="1" applyFont="1" applyNumberFormat="1">
      <alignment horizontal="left" readingOrder="0" vertical="bottom"/>
    </xf>
    <xf borderId="62" fillId="6" fontId="97" numFmtId="172" xfId="0" applyAlignment="1" applyBorder="1" applyFont="1" applyNumberFormat="1">
      <alignment horizontal="center" readingOrder="0" vertical="center"/>
    </xf>
    <xf borderId="63" fillId="6" fontId="6" numFmtId="0" xfId="0" applyAlignment="1" applyBorder="1" applyFont="1">
      <alignment horizontal="left" readingOrder="0" vertical="center"/>
    </xf>
    <xf borderId="65" fillId="6" fontId="70" numFmtId="0" xfId="0" applyAlignment="1" applyBorder="1" applyFont="1">
      <alignment vertical="bottom"/>
    </xf>
    <xf borderId="6" fillId="4" fontId="147" numFmtId="0" xfId="0" applyAlignment="1" applyBorder="1" applyFont="1">
      <alignment horizontal="center" vertical="bottom"/>
    </xf>
    <xf borderId="75" fillId="5" fontId="33" numFmtId="0" xfId="0" applyAlignment="1" applyBorder="1" applyFont="1">
      <alignment horizontal="center" readingOrder="0" vertical="center"/>
    </xf>
    <xf borderId="74" fillId="5" fontId="33" numFmtId="0" xfId="0" applyAlignment="1" applyBorder="1" applyFont="1">
      <alignment horizontal="center" readingOrder="0" vertical="center"/>
    </xf>
    <xf borderId="51" fillId="5" fontId="33" numFmtId="0" xfId="0" applyAlignment="1" applyBorder="1" applyFont="1">
      <alignment horizontal="center" readingOrder="0" vertical="center"/>
    </xf>
    <xf borderId="37" fillId="4" fontId="51" numFmtId="0" xfId="0" applyAlignment="1" applyBorder="1" applyFont="1">
      <alignment horizontal="center" readingOrder="0" vertical="center"/>
    </xf>
    <xf borderId="37" fillId="5" fontId="33" numFmtId="0" xfId="0" applyAlignment="1" applyBorder="1" applyFont="1">
      <alignment horizontal="center" readingOrder="0" vertical="center"/>
    </xf>
    <xf borderId="37" fillId="2" fontId="33" numFmtId="0" xfId="0" applyAlignment="1" applyBorder="1" applyFont="1">
      <alignment horizontal="center" readingOrder="0" vertical="center"/>
    </xf>
    <xf borderId="37" fillId="0" fontId="51" numFmtId="0" xfId="0" applyAlignment="1" applyBorder="1" applyFont="1">
      <alignment horizontal="center" readingOrder="0" vertical="center"/>
    </xf>
    <xf borderId="51" fillId="20" fontId="9" numFmtId="0" xfId="0" applyAlignment="1" applyBorder="1" applyFont="1">
      <alignment readingOrder="0" vertical="bottom"/>
    </xf>
    <xf borderId="5" fillId="2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vertical="center"/>
    </xf>
    <xf borderId="5" fillId="20" fontId="9" numFmtId="0" xfId="0" applyAlignment="1" applyBorder="1" applyFont="1">
      <alignment readingOrder="0" vertical="bottom"/>
    </xf>
    <xf borderId="51" fillId="2" fontId="51" numFmtId="0" xfId="0" applyAlignment="1" applyBorder="1" applyFont="1">
      <alignment horizontal="center" readingOrder="0" vertical="center"/>
    </xf>
    <xf borderId="6" fillId="4" fontId="71" numFmtId="0" xfId="0" applyAlignment="1" applyBorder="1" applyFont="1">
      <alignment horizontal="center" vertical="center"/>
    </xf>
    <xf borderId="5" fillId="20" fontId="33" numFmtId="0" xfId="0" applyAlignment="1" applyBorder="1" applyFont="1">
      <alignment horizontal="center" readingOrder="0" vertical="center"/>
    </xf>
    <xf borderId="6" fillId="4" fontId="70" numFmtId="3" xfId="0" applyAlignment="1" applyBorder="1" applyFont="1" applyNumberFormat="1">
      <alignment horizontal="center" vertical="center"/>
    </xf>
    <xf borderId="0" fillId="20" fontId="115" numFmtId="0" xfId="0" applyAlignment="1" applyFont="1">
      <alignment readingOrder="0" vertical="center"/>
    </xf>
    <xf borderId="24" fillId="4" fontId="33" numFmtId="0" xfId="0" applyAlignment="1" applyBorder="1" applyFont="1">
      <alignment readingOrder="0" vertical="bottom"/>
    </xf>
    <xf borderId="86" fillId="6" fontId="62" numFmtId="172" xfId="0" applyAlignment="1" applyBorder="1" applyFont="1" applyNumberFormat="1">
      <alignment horizontal="center" readingOrder="0" vertical="center"/>
    </xf>
    <xf borderId="0" fillId="4" fontId="62" numFmtId="0" xfId="0" applyAlignment="1" applyFont="1">
      <alignment horizontal="center" readingOrder="0" vertical="center"/>
    </xf>
    <xf borderId="0" fillId="4" fontId="33" numFmtId="0" xfId="0" applyAlignment="1" applyFont="1">
      <alignment readingOrder="0" vertical="bottom"/>
    </xf>
    <xf borderId="0" fillId="6" fontId="71" numFmtId="0" xfId="0" applyAlignment="1" applyFont="1">
      <alignment vertical="bottom"/>
    </xf>
    <xf borderId="0" fillId="4" fontId="56" numFmtId="0" xfId="0" applyAlignment="1" applyFont="1">
      <alignment horizontal="center" readingOrder="0" vertical="bottom"/>
    </xf>
    <xf borderId="37" fillId="0" fontId="56" numFmtId="0" xfId="0" applyAlignment="1" applyBorder="1" applyFont="1">
      <alignment horizontal="center" readingOrder="0" vertical="bottom"/>
    </xf>
    <xf borderId="51" fillId="4" fontId="71" numFmtId="0" xfId="0" applyAlignment="1" applyBorder="1" applyFont="1">
      <alignment horizontal="center" vertical="center"/>
    </xf>
    <xf borderId="51" fillId="2" fontId="71" numFmtId="0" xfId="0" applyAlignment="1" applyBorder="1" applyFont="1">
      <alignment horizontal="center" vertical="center"/>
    </xf>
    <xf borderId="5" fillId="4" fontId="71" numFmtId="0" xfId="0" applyAlignment="1" applyBorder="1" applyFont="1">
      <alignment horizontal="center" vertical="center"/>
    </xf>
    <xf borderId="5" fillId="2" fontId="71" numFmtId="0" xfId="0" applyAlignment="1" applyBorder="1" applyFont="1">
      <alignment horizontal="center" vertical="center"/>
    </xf>
    <xf borderId="5" fillId="4" fontId="71" numFmtId="0" xfId="0" applyAlignment="1" applyBorder="1" applyFont="1">
      <alignment readingOrder="0" vertical="bottom"/>
    </xf>
    <xf borderId="6" fillId="4" fontId="111" numFmtId="0" xfId="0" applyAlignment="1" applyBorder="1" applyFont="1">
      <alignment horizontal="center" vertical="center"/>
    </xf>
    <xf borderId="6" fillId="20" fontId="136" numFmtId="0" xfId="0" applyAlignment="1" applyBorder="1" applyFont="1">
      <alignment horizontal="center" readingOrder="0" vertical="bottom"/>
    </xf>
    <xf borderId="8" fillId="4" fontId="71" numFmtId="0" xfId="0" applyAlignment="1" applyBorder="1" applyFont="1">
      <alignment horizontal="center" readingOrder="0" vertical="center"/>
    </xf>
    <xf borderId="8" fillId="2" fontId="71" numFmtId="0" xfId="0" applyAlignment="1" applyBorder="1" applyFont="1">
      <alignment horizontal="center" readingOrder="0" vertical="center"/>
    </xf>
    <xf borderId="50" fillId="0" fontId="6" numFmtId="3" xfId="0" applyAlignment="1" applyBorder="1" applyFont="1" applyNumberFormat="1">
      <alignment horizontal="center" readingOrder="0" vertical="center"/>
    </xf>
    <xf borderId="5" fillId="6" fontId="33" numFmtId="0" xfId="0" applyAlignment="1" applyBorder="1" applyFont="1">
      <alignment vertical="center"/>
    </xf>
    <xf borderId="8" fillId="4" fontId="71" numFmtId="0" xfId="0" applyAlignment="1" applyBorder="1" applyFont="1">
      <alignment horizontal="center" vertical="center"/>
    </xf>
    <xf borderId="8" fillId="2" fontId="71" numFmtId="0" xfId="0" applyAlignment="1" applyBorder="1" applyFont="1">
      <alignment horizontal="center" vertical="center"/>
    </xf>
    <xf borderId="37" fillId="4" fontId="66" numFmtId="0" xfId="0" applyAlignment="1" applyBorder="1" applyFont="1">
      <alignment horizontal="center" readingOrder="0" vertical="center"/>
    </xf>
    <xf borderId="6" fillId="4" fontId="148" numFmtId="0" xfId="0" applyAlignment="1" applyBorder="1" applyFont="1">
      <alignment horizontal="center" readingOrder="0" vertical="center"/>
    </xf>
    <xf borderId="8" fillId="2" fontId="71" numFmtId="0" xfId="0" applyAlignment="1" applyBorder="1" applyFont="1">
      <alignment horizontal="center" readingOrder="0" vertical="center"/>
    </xf>
    <xf borderId="65" fillId="6" fontId="62" numFmtId="0" xfId="0" applyAlignment="1" applyBorder="1" applyFont="1">
      <alignment horizontal="center" readingOrder="0" vertical="bottom"/>
    </xf>
    <xf borderId="46" fillId="6" fontId="62" numFmtId="172" xfId="0" applyAlignment="1" applyBorder="1" applyFont="1" applyNumberFormat="1">
      <alignment horizontal="center" readingOrder="0" vertical="bottom"/>
    </xf>
    <xf borderId="46" fillId="6" fontId="62" numFmtId="172" xfId="0" applyAlignment="1" applyBorder="1" applyFont="1" applyNumberFormat="1">
      <alignment horizontal="left" readingOrder="0" vertical="bottom"/>
    </xf>
    <xf borderId="81" fillId="6" fontId="9" numFmtId="0" xfId="0" applyAlignment="1" applyBorder="1" applyFont="1">
      <alignment horizontal="left" readingOrder="0" vertical="center"/>
    </xf>
    <xf borderId="0" fillId="15" fontId="89" numFmtId="0" xfId="0" applyAlignment="1" applyFont="1">
      <alignment horizontal="center" readingOrder="0" vertical="center"/>
    </xf>
    <xf borderId="5" fillId="15" fontId="66" numFmtId="0" xfId="0" applyAlignment="1" applyBorder="1" applyFont="1">
      <alignment horizontal="center" readingOrder="0" vertical="bottom"/>
    </xf>
    <xf borderId="87" fillId="2" fontId="9" numFmtId="3" xfId="0" applyAlignment="1" applyBorder="1" applyFont="1" applyNumberFormat="1">
      <alignment horizontal="center" readingOrder="0" vertical="center"/>
    </xf>
    <xf borderId="8" fillId="20" fontId="6" numFmtId="3" xfId="0" applyAlignment="1" applyBorder="1" applyFont="1" applyNumberFormat="1">
      <alignment horizontal="center" readingOrder="0" vertical="center"/>
    </xf>
    <xf borderId="37" fillId="15" fontId="62" numFmtId="0" xfId="0" applyAlignment="1" applyBorder="1" applyFont="1">
      <alignment horizontal="center" readingOrder="0" vertical="center"/>
    </xf>
    <xf borderId="8" fillId="2" fontId="7" numFmtId="3" xfId="0" applyAlignment="1" applyBorder="1" applyFont="1" applyNumberFormat="1">
      <alignment horizontal="center" readingOrder="0" vertical="center"/>
    </xf>
    <xf borderId="5" fillId="0" fontId="9" numFmtId="3" xfId="0" applyAlignment="1" applyBorder="1" applyFont="1" applyNumberFormat="1">
      <alignment horizontal="center" readingOrder="0" vertical="center"/>
    </xf>
    <xf borderId="5" fillId="4" fontId="71" numFmtId="3" xfId="0" applyAlignment="1" applyBorder="1" applyFont="1" applyNumberFormat="1">
      <alignment horizontal="center" vertical="center"/>
    </xf>
    <xf borderId="5" fillId="2" fontId="71" numFmtId="3" xfId="0" applyAlignment="1" applyBorder="1" applyFont="1" applyNumberFormat="1">
      <alignment horizontal="center" vertical="center"/>
    </xf>
    <xf borderId="37" fillId="2" fontId="9" numFmtId="3" xfId="0" applyAlignment="1" applyBorder="1" applyFont="1" applyNumberFormat="1">
      <alignment horizontal="center" vertical="bottom"/>
    </xf>
    <xf borderId="20" fillId="4" fontId="9" numFmtId="0" xfId="0" applyAlignment="1" applyBorder="1" applyFont="1">
      <alignment vertical="bottom"/>
    </xf>
    <xf borderId="5" fillId="0" fontId="149" numFmtId="0" xfId="0" applyAlignment="1" applyBorder="1" applyFont="1">
      <alignment horizontal="center" readingOrder="0" vertical="center"/>
    </xf>
    <xf borderId="5" fillId="5" fontId="11" numFmtId="0" xfId="0" applyAlignment="1" applyBorder="1" applyFont="1">
      <alignment vertical="center"/>
    </xf>
    <xf borderId="37" fillId="2" fontId="9" numFmtId="0" xfId="0" applyAlignment="1" applyBorder="1" applyFont="1">
      <alignment horizontal="center" vertical="bottom"/>
    </xf>
    <xf borderId="6" fillId="0" fontId="136" numFmtId="3" xfId="0" applyAlignment="1" applyBorder="1" applyFont="1" applyNumberFormat="1">
      <alignment horizontal="center" readingOrder="0" vertical="bottom"/>
    </xf>
    <xf borderId="5" fillId="2" fontId="71" numFmtId="0" xfId="0" applyAlignment="1" applyBorder="1" applyFont="1">
      <alignment horizontal="center" readingOrder="0" vertical="center"/>
    </xf>
    <xf borderId="5" fillId="15" fontId="86" numFmtId="0" xfId="0" applyAlignment="1" applyBorder="1" applyFont="1">
      <alignment horizontal="center" readingOrder="0" vertical="bottom"/>
    </xf>
    <xf borderId="8" fillId="4" fontId="9" numFmtId="0" xfId="0" applyAlignment="1" applyBorder="1" applyFont="1">
      <alignment vertical="center"/>
    </xf>
    <xf borderId="0" fillId="15" fontId="64" numFmtId="0" xfId="0" applyAlignment="1" applyFont="1">
      <alignment horizontal="center" readingOrder="0" vertical="center"/>
    </xf>
    <xf borderId="5" fillId="5" fontId="33" numFmtId="0" xfId="0" applyAlignment="1" applyBorder="1" applyFont="1">
      <alignment horizontal="center" vertical="center"/>
    </xf>
    <xf borderId="5" fillId="2" fontId="33" numFmtId="0" xfId="0" applyAlignment="1" applyBorder="1" applyFont="1">
      <alignment horizontal="center" vertical="center"/>
    </xf>
    <xf borderId="5" fillId="15" fontId="97" numFmtId="0" xfId="0" applyAlignment="1" applyBorder="1" applyFont="1">
      <alignment horizontal="center" readingOrder="0" vertical="center"/>
    </xf>
    <xf borderId="8" fillId="4" fontId="150" numFmtId="0" xfId="0" applyAlignment="1" applyBorder="1" applyFont="1">
      <alignment horizontal="center" readingOrder="0" vertical="bottom"/>
    </xf>
    <xf borderId="5" fillId="4" fontId="150" numFmtId="0" xfId="0" applyAlignment="1" applyBorder="1" applyFont="1">
      <alignment horizontal="center" readingOrder="0" vertical="bottom"/>
    </xf>
    <xf borderId="5" fillId="15" fontId="77" numFmtId="0" xfId="0" applyAlignment="1" applyBorder="1" applyFont="1">
      <alignment horizontal="center" readingOrder="0" vertical="bottom"/>
    </xf>
    <xf borderId="51" fillId="20" fontId="51" numFmtId="0" xfId="0" applyAlignment="1" applyBorder="1" applyFont="1">
      <alignment horizontal="center" readingOrder="0" vertical="center"/>
    </xf>
    <xf borderId="5" fillId="0" fontId="33" numFmtId="3" xfId="0" applyAlignment="1" applyBorder="1" applyFont="1" applyNumberFormat="1">
      <alignment horizontal="center" readingOrder="0" vertical="center"/>
    </xf>
    <xf borderId="0" fillId="4" fontId="33" numFmtId="0" xfId="0" applyAlignment="1" applyFont="1">
      <alignment vertical="bottom"/>
    </xf>
    <xf borderId="5" fillId="20" fontId="71" numFmtId="0" xfId="0" applyAlignment="1" applyBorder="1" applyFont="1">
      <alignment readingOrder="0" vertical="center"/>
    </xf>
    <xf borderId="74" fillId="2" fontId="9" numFmtId="3" xfId="0" applyAlignment="1" applyBorder="1" applyFont="1" applyNumberFormat="1">
      <alignment horizontal="center" readingOrder="0" vertical="center"/>
    </xf>
    <xf borderId="5" fillId="4" fontId="97" numFmtId="0" xfId="0" applyAlignment="1" applyBorder="1" applyFont="1">
      <alignment horizontal="center" readingOrder="0" vertical="center"/>
    </xf>
    <xf borderId="51" fillId="2" fontId="9" numFmtId="3" xfId="0" applyAlignment="1" applyBorder="1" applyFont="1" applyNumberFormat="1">
      <alignment horizontal="center" readingOrder="0" vertical="center"/>
    </xf>
    <xf borderId="5" fillId="0" fontId="71" numFmtId="0" xfId="0" applyAlignment="1" applyBorder="1" applyFont="1">
      <alignment readingOrder="0" vertical="center"/>
    </xf>
    <xf borderId="5" fillId="2" fontId="73" numFmtId="0" xfId="0" applyAlignment="1" applyBorder="1" applyFont="1">
      <alignment horizontal="center" vertical="center"/>
    </xf>
    <xf borderId="5" fillId="4" fontId="70" numFmtId="0" xfId="0" applyAlignment="1" applyBorder="1" applyFont="1">
      <alignment horizontal="center" vertical="bottom"/>
    </xf>
    <xf borderId="5" fillId="4" fontId="70" numFmtId="0" xfId="0" applyAlignment="1" applyBorder="1" applyFont="1">
      <alignment horizontal="right" vertical="bottom"/>
    </xf>
    <xf borderId="0" fillId="4" fontId="70" numFmtId="0" xfId="0" applyAlignment="1" applyFont="1">
      <alignment readingOrder="0" vertical="center"/>
    </xf>
    <xf borderId="5" fillId="15" fontId="64" numFmtId="0" xfId="0" applyAlignment="1" applyBorder="1" applyFont="1">
      <alignment horizontal="center" readingOrder="0" vertical="center"/>
    </xf>
    <xf borderId="0" fillId="4" fontId="24" numFmtId="0" xfId="0" applyAlignment="1" applyFont="1">
      <alignment vertical="center"/>
    </xf>
    <xf borderId="0" fillId="4" fontId="56" numFmtId="0" xfId="0" applyAlignment="1" applyFont="1">
      <alignment horizontal="center" vertical="center"/>
    </xf>
    <xf borderId="6" fillId="0" fontId="140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readingOrder="0" vertical="center"/>
    </xf>
    <xf borderId="5" fillId="4" fontId="64" numFmtId="0" xfId="0" applyAlignment="1" applyBorder="1" applyFont="1">
      <alignment readingOrder="0" vertical="center"/>
    </xf>
    <xf borderId="0" fillId="20" fontId="9" numFmtId="0" xfId="0" applyAlignment="1" applyFont="1">
      <alignment readingOrder="0" vertical="center"/>
    </xf>
    <xf borderId="5" fillId="0" fontId="58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6" fillId="4" fontId="9" numFmtId="0" xfId="0" applyAlignment="1" applyBorder="1" applyFont="1">
      <alignment horizontal="center" readingOrder="0" vertical="bottom"/>
    </xf>
    <xf borderId="6" fillId="4" fontId="9" numFmtId="0" xfId="0" applyAlignment="1" applyBorder="1" applyFont="1">
      <alignment readingOrder="0" vertical="center"/>
    </xf>
    <xf borderId="5" fillId="0" fontId="9" numFmtId="3" xfId="0" applyAlignment="1" applyBorder="1" applyFont="1" applyNumberFormat="1">
      <alignment horizontal="left" readingOrder="0" vertical="bottom"/>
    </xf>
    <xf borderId="5" fillId="2" fontId="6" numFmtId="3" xfId="0" applyAlignment="1" applyBorder="1" applyFont="1" applyNumberFormat="1">
      <alignment horizontal="center" vertical="bottom"/>
    </xf>
    <xf borderId="5" fillId="0" fontId="22" numFmtId="180" xfId="0" applyAlignment="1" applyBorder="1" applyFont="1" applyNumberFormat="1">
      <alignment vertical="center"/>
    </xf>
    <xf borderId="6" fillId="4" fontId="24" numFmtId="0" xfId="0" applyAlignment="1" applyBorder="1" applyFont="1">
      <alignment horizontal="center" vertical="center"/>
    </xf>
    <xf borderId="0" fillId="4" fontId="24" numFmtId="0" xfId="0" applyAlignment="1" applyFont="1">
      <alignment horizontal="center" vertical="center"/>
    </xf>
    <xf borderId="0" fillId="4" fontId="24" numFmtId="0" xfId="0" applyAlignment="1" applyFont="1">
      <alignment horizontal="center" readingOrder="0" vertical="center"/>
    </xf>
    <xf borderId="8" fillId="4" fontId="102" numFmtId="0" xfId="0" applyAlignment="1" applyBorder="1" applyFont="1">
      <alignment horizontal="center" readingOrder="0" vertical="bottom"/>
    </xf>
    <xf borderId="40" fillId="4" fontId="147" numFmtId="3" xfId="0" applyAlignment="1" applyBorder="1" applyFont="1" applyNumberFormat="1">
      <alignment horizontal="center" vertical="center"/>
    </xf>
    <xf borderId="40" fillId="4" fontId="147" numFmtId="3" xfId="0" applyAlignment="1" applyBorder="1" applyFont="1" applyNumberFormat="1">
      <alignment horizontal="center" readingOrder="0" vertical="center"/>
    </xf>
    <xf borderId="6" fillId="4" fontId="147" numFmtId="3" xfId="0" applyAlignment="1" applyBorder="1" applyFont="1" applyNumberFormat="1">
      <alignment horizontal="center" readingOrder="0" vertical="center"/>
    </xf>
    <xf borderId="40" fillId="4" fontId="147" numFmtId="0" xfId="0" applyAlignment="1" applyBorder="1" applyFont="1">
      <alignment horizontal="center" readingOrder="0" vertical="center"/>
    </xf>
    <xf borderId="6" fillId="4" fontId="147" numFmtId="0" xfId="0" applyAlignment="1" applyBorder="1" applyFont="1">
      <alignment horizontal="center" readingOrder="0" vertical="center"/>
    </xf>
    <xf borderId="6" fillId="0" fontId="147" numFmtId="0" xfId="0" applyAlignment="1" applyBorder="1" applyFont="1">
      <alignment horizontal="center" readingOrder="0" vertical="center"/>
    </xf>
    <xf borderId="40" fillId="4" fontId="147" numFmtId="3" xfId="0" applyAlignment="1" applyBorder="1" applyFont="1" applyNumberFormat="1">
      <alignment horizontal="center" vertical="bottom"/>
    </xf>
    <xf borderId="0" fillId="4" fontId="22" numFmtId="168" xfId="0" applyAlignment="1" applyFont="1" applyNumberFormat="1">
      <alignment horizontal="left" vertical="center"/>
    </xf>
    <xf borderId="40" fillId="0" fontId="147" numFmtId="0" xfId="0" applyAlignment="1" applyBorder="1" applyFont="1">
      <alignment horizontal="center" vertical="center"/>
    </xf>
    <xf borderId="40" fillId="0" fontId="147" numFmtId="0" xfId="0" applyAlignment="1" applyBorder="1" applyFont="1">
      <alignment horizontal="center" readingOrder="0" vertical="center"/>
    </xf>
    <xf borderId="40" fillId="0" fontId="147" numFmtId="3" xfId="0" applyAlignment="1" applyBorder="1" applyFont="1" applyNumberFormat="1">
      <alignment horizontal="center" vertical="center"/>
    </xf>
    <xf borderId="40" fillId="4" fontId="147" numFmtId="0" xfId="0" applyAlignment="1" applyBorder="1" applyFont="1">
      <alignment horizontal="center" vertical="bottom"/>
    </xf>
    <xf borderId="40" fillId="4" fontId="147" numFmtId="0" xfId="0" applyAlignment="1" applyBorder="1" applyFont="1">
      <alignment horizontal="center" vertical="center"/>
    </xf>
    <xf borderId="6" fillId="4" fontId="148" numFmtId="0" xfId="0" applyAlignment="1" applyBorder="1" applyFont="1">
      <alignment horizontal="center" readingOrder="0" vertical="bottom"/>
    </xf>
    <xf borderId="6" fillId="4" fontId="9" numFmtId="3" xfId="0" applyAlignment="1" applyBorder="1" applyFont="1" applyNumberFormat="1">
      <alignment horizontal="center" readingOrder="0" vertical="bottom"/>
    </xf>
    <xf borderId="6" fillId="0" fontId="140" numFmtId="0" xfId="0" applyAlignment="1" applyBorder="1" applyFont="1">
      <alignment horizontal="center" vertical="bottom"/>
    </xf>
    <xf borderId="6" fillId="0" fontId="111" numFmtId="0" xfId="0" applyAlignment="1" applyBorder="1" applyFont="1">
      <alignment horizontal="center" readingOrder="0" vertical="center"/>
    </xf>
    <xf borderId="18" fillId="4" fontId="58" numFmtId="0" xfId="0" applyAlignment="1" applyBorder="1" applyFont="1">
      <alignment horizontal="center" vertical="bottom"/>
    </xf>
    <xf borderId="0" fillId="0" fontId="136" numFmtId="0" xfId="0" applyAlignment="1" applyFont="1">
      <alignment horizontal="center" vertical="bottom"/>
    </xf>
    <xf borderId="80" fillId="6" fontId="151" numFmtId="0" xfId="0" applyAlignment="1" applyBorder="1" applyFont="1">
      <alignment horizontal="center" readingOrder="0" vertical="center"/>
    </xf>
    <xf borderId="65" fillId="6" fontId="152" numFmtId="0" xfId="0" applyAlignment="1" applyBorder="1" applyFont="1">
      <alignment horizontal="center" vertical="center"/>
    </xf>
    <xf borderId="81" fillId="6" fontId="153" numFmtId="0" xfId="0" applyAlignment="1" applyBorder="1" applyFont="1">
      <alignment horizontal="center" vertical="center"/>
    </xf>
    <xf borderId="46" fillId="6" fontId="6" numFmtId="0" xfId="0" applyAlignment="1" applyBorder="1" applyFont="1">
      <alignment horizontal="center" vertical="bottom"/>
    </xf>
    <xf borderId="6" fillId="4" fontId="51" numFmtId="0" xfId="0" applyAlignment="1" applyBorder="1" applyFont="1">
      <alignment vertical="bottom"/>
    </xf>
    <xf borderId="6" fillId="2" fontId="51" numFmtId="0" xfId="0" applyAlignment="1" applyBorder="1" applyFont="1">
      <alignment vertical="bottom"/>
    </xf>
    <xf borderId="37" fillId="4" fontId="9" numFmtId="0" xfId="0" applyAlignment="1" applyBorder="1" applyFont="1">
      <alignment horizontal="center" readingOrder="0" vertical="bottom"/>
    </xf>
    <xf borderId="37" fillId="4" fontId="9" numFmtId="0" xfId="0" applyAlignment="1" applyBorder="1" applyFont="1">
      <alignment horizontal="center" vertical="bottom"/>
    </xf>
    <xf borderId="8" fillId="4" fontId="58" numFmtId="0" xfId="0" applyAlignment="1" applyBorder="1" applyFont="1">
      <alignment readingOrder="0" vertical="bottom"/>
    </xf>
    <xf borderId="5" fillId="4" fontId="9" numFmtId="0" xfId="0" applyAlignment="1" applyBorder="1" applyFont="1">
      <alignment horizontal="center" vertical="bottom"/>
    </xf>
    <xf borderId="5" fillId="4" fontId="11" numFmtId="0" xfId="0" applyAlignment="1" applyBorder="1" applyFont="1">
      <alignment vertical="center"/>
    </xf>
    <xf borderId="5" fillId="2" fontId="7" numFmtId="0" xfId="0" applyAlignment="1" applyBorder="1" applyFont="1">
      <alignment horizontal="center" readingOrder="0" vertical="center"/>
    </xf>
    <xf borderId="6" fillId="4" fontId="111" numFmtId="3" xfId="0" applyAlignment="1" applyBorder="1" applyFont="1" applyNumberFormat="1">
      <alignment horizontal="center" vertical="center"/>
    </xf>
    <xf borderId="6" fillId="4" fontId="148" numFmtId="3" xfId="0" applyAlignment="1" applyBorder="1" applyFont="1" applyNumberFormat="1">
      <alignment horizontal="center" readingOrder="0" vertical="bottom"/>
    </xf>
    <xf borderId="0" fillId="4" fontId="5" numFmtId="0" xfId="0" applyAlignment="1" applyFont="1">
      <alignment horizontal="center" vertical="center"/>
    </xf>
    <xf borderId="0" fillId="0" fontId="102" numFmtId="0" xfId="0" applyAlignment="1" applyFont="1">
      <alignment horizontal="center" readingOrder="0" vertical="center"/>
    </xf>
    <xf borderId="0" fillId="4" fontId="5" numFmtId="0" xfId="0" applyAlignment="1" applyFont="1">
      <alignment vertical="center"/>
    </xf>
    <xf borderId="0" fillId="20" fontId="102" numFmtId="0" xfId="0" applyAlignment="1" applyFont="1">
      <alignment horizontal="left" readingOrder="0" vertical="bottom"/>
    </xf>
    <xf borderId="0" fillId="0" fontId="102" numFmtId="0" xfId="0" applyAlignment="1" applyFont="1">
      <alignment horizontal="left" readingOrder="0" vertical="bottom"/>
    </xf>
    <xf borderId="0" fillId="0" fontId="89" numFmtId="0" xfId="0" applyAlignment="1" applyFont="1">
      <alignment horizontal="center" vertical="center"/>
    </xf>
    <xf borderId="7" fillId="20" fontId="102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vertical="center"/>
    </xf>
    <xf borderId="61" fillId="6" fontId="6" numFmtId="0" xfId="0" applyAlignment="1" applyBorder="1" applyFont="1">
      <alignment horizontal="center" readingOrder="0" vertical="bottom"/>
    </xf>
    <xf borderId="34" fillId="6" fontId="6" numFmtId="0" xfId="0" applyAlignment="1" applyBorder="1" applyFont="1">
      <alignment horizontal="center" readingOrder="0" vertical="center"/>
    </xf>
    <xf borderId="35" fillId="6" fontId="6" numFmtId="172" xfId="0" applyAlignment="1" applyBorder="1" applyFont="1" applyNumberFormat="1">
      <alignment horizontal="left" readingOrder="0" vertical="center"/>
    </xf>
    <xf borderId="65" fillId="6" fontId="70" numFmtId="0" xfId="0" applyAlignment="1" applyBorder="1" applyFont="1">
      <alignment horizontal="left" readingOrder="0" vertical="center"/>
    </xf>
    <xf borderId="81" fillId="6" fontId="70" numFmtId="0" xfId="0" applyAlignment="1" applyBorder="1" applyFont="1">
      <alignment horizontal="left" readingOrder="0" vertical="center"/>
    </xf>
    <xf borderId="37" fillId="4" fontId="6" numFmtId="180" xfId="0" applyAlignment="1" applyBorder="1" applyFont="1" applyNumberFormat="1">
      <alignment horizontal="center" vertical="bottom"/>
    </xf>
    <xf borderId="0" fillId="6" fontId="97" numFmtId="0" xfId="0" applyAlignment="1" applyFont="1">
      <alignment vertical="bottom"/>
    </xf>
    <xf borderId="51" fillId="6" fontId="9" numFmtId="3" xfId="0" applyAlignment="1" applyBorder="1" applyFont="1" applyNumberFormat="1">
      <alignment horizontal="left" readingOrder="0" vertical="center"/>
    </xf>
    <xf borderId="87" fillId="5" fontId="9" numFmtId="3" xfId="0" applyAlignment="1" applyBorder="1" applyFont="1" applyNumberFormat="1">
      <alignment horizontal="center" readingOrder="0" vertical="center"/>
    </xf>
    <xf borderId="8" fillId="0" fontId="6" numFmtId="3" xfId="0" applyAlignment="1" applyBorder="1" applyFont="1" applyNumberFormat="1">
      <alignment horizontal="center" readingOrder="0" vertical="center"/>
    </xf>
    <xf borderId="8" fillId="5" fontId="7" numFmtId="3" xfId="0" applyAlignment="1" applyBorder="1" applyFont="1" applyNumberFormat="1">
      <alignment horizontal="center" readingOrder="0" vertical="center"/>
    </xf>
    <xf borderId="5" fillId="2" fontId="9" numFmtId="3" xfId="0" applyAlignment="1" applyBorder="1" applyFont="1" applyNumberFormat="1">
      <alignment horizontal="center" vertical="bottom"/>
    </xf>
    <xf borderId="0" fillId="0" fontId="130" numFmtId="0" xfId="0" applyAlignment="1" applyFont="1">
      <alignment vertical="bottom"/>
    </xf>
    <xf borderId="6" fillId="0" fontId="114" numFmtId="0" xfId="0" applyAlignment="1" applyBorder="1" applyFont="1">
      <alignment horizontal="center" vertical="bottom"/>
    </xf>
    <xf borderId="7" fillId="0" fontId="114" numFmtId="0" xfId="0" applyAlignment="1" applyBorder="1" applyFont="1">
      <alignment horizontal="center" vertical="bottom"/>
    </xf>
    <xf borderId="6" fillId="20" fontId="114" numFmtId="0" xfId="0" applyAlignment="1" applyBorder="1" applyFont="1">
      <alignment horizontal="center" vertical="bottom"/>
    </xf>
    <xf borderId="6" fillId="20" fontId="114" numFmtId="0" xfId="0" applyAlignment="1" applyBorder="1" applyFont="1">
      <alignment horizontal="center" readingOrder="0" vertical="bottom"/>
    </xf>
    <xf borderId="75" fillId="5" fontId="9" numFmtId="3" xfId="0" applyAlignment="1" applyBorder="1" applyFont="1" applyNumberFormat="1">
      <alignment horizontal="center" readingOrder="0" vertical="center"/>
    </xf>
    <xf borderId="6" fillId="6" fontId="33" numFmtId="0" xfId="0" applyAlignment="1" applyBorder="1" applyFont="1">
      <alignment horizontal="left" readingOrder="0" vertical="center"/>
    </xf>
    <xf borderId="6" fillId="6" fontId="9" numFmtId="3" xfId="0" applyAlignment="1" applyBorder="1" applyFont="1" applyNumberFormat="1">
      <alignment horizontal="left" readingOrder="0" vertical="center"/>
    </xf>
    <xf borderId="6" fillId="4" fontId="9" numFmtId="0" xfId="0" applyAlignment="1" applyBorder="1" applyFont="1">
      <alignment horizontal="center" readingOrder="0" vertical="center"/>
    </xf>
    <xf borderId="37" fillId="0" fontId="51" numFmtId="0" xfId="0" applyAlignment="1" applyBorder="1" applyFont="1">
      <alignment horizontal="center" readingOrder="0" vertical="center"/>
    </xf>
    <xf borderId="5" fillId="4" fontId="96" numFmtId="0" xfId="0" applyAlignment="1" applyBorder="1" applyFont="1">
      <alignment horizontal="center" readingOrder="0" vertical="center"/>
    </xf>
    <xf borderId="5" fillId="15" fontId="154" numFmtId="0" xfId="0" applyAlignment="1" applyBorder="1" applyFont="1">
      <alignment horizontal="center" readingOrder="0" vertical="center"/>
    </xf>
    <xf borderId="5" fillId="15" fontId="150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bottom"/>
    </xf>
    <xf borderId="8" fillId="2" fontId="9" numFmtId="0" xfId="0" applyAlignment="1" applyBorder="1" applyFont="1">
      <alignment horizontal="center" vertical="bottom"/>
    </xf>
    <xf borderId="6" fillId="4" fontId="150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vertical="bottom"/>
    </xf>
    <xf borderId="5" fillId="0" fontId="6" numFmtId="180" xfId="0" applyAlignment="1" applyBorder="1" applyFont="1" applyNumberFormat="1">
      <alignment vertical="bottom"/>
    </xf>
    <xf borderId="84" fillId="4" fontId="9" numFmtId="0" xfId="0" applyAlignment="1" applyBorder="1" applyFont="1">
      <alignment vertical="bottom"/>
    </xf>
    <xf borderId="0" fillId="0" fontId="136" numFmtId="0" xfId="0" applyAlignment="1" applyFont="1">
      <alignment vertical="bottom"/>
    </xf>
    <xf borderId="17" fillId="0" fontId="6" numFmtId="0" xfId="0" applyAlignment="1" applyBorder="1" applyFont="1">
      <alignment horizontal="center" readingOrder="0" vertical="bottom"/>
    </xf>
    <xf borderId="0" fillId="4" fontId="6" numFmtId="14" xfId="0" applyAlignment="1" applyFont="1" applyNumberFormat="1">
      <alignment horizontal="center" readingOrder="0" vertical="center"/>
    </xf>
    <xf borderId="0" fillId="0" fontId="24" numFmtId="0" xfId="0" applyAlignment="1" applyFont="1">
      <alignment vertical="center"/>
    </xf>
    <xf borderId="0" fillId="20" fontId="24" numFmtId="0" xfId="0" applyAlignment="1" applyFont="1">
      <alignment vertical="center"/>
    </xf>
    <xf borderId="0" fillId="0" fontId="24" numFmtId="0" xfId="0" applyAlignment="1" applyFont="1">
      <alignment horizontal="center" vertical="center"/>
    </xf>
    <xf borderId="18" fillId="0" fontId="97" numFmtId="0" xfId="0" applyAlignment="1" applyBorder="1" applyFont="1">
      <alignment horizontal="center" readingOrder="0" vertical="center"/>
    </xf>
    <xf borderId="5" fillId="4" fontId="108" numFmtId="0" xfId="0" applyAlignment="1" applyBorder="1" applyFont="1">
      <alignment horizontal="center" readingOrder="0" vertical="center"/>
    </xf>
    <xf borderId="6" fillId="0" fontId="114" numFmtId="3" xfId="0" applyAlignment="1" applyBorder="1" applyFont="1" applyNumberFormat="1">
      <alignment horizontal="center" vertical="bottom"/>
    </xf>
    <xf borderId="7" fillId="0" fontId="114" numFmtId="3" xfId="0" applyAlignment="1" applyBorder="1" applyFont="1" applyNumberFormat="1">
      <alignment horizontal="center" vertical="bottom"/>
    </xf>
    <xf borderId="6" fillId="20" fontId="114" numFmtId="3" xfId="0" applyAlignment="1" applyBorder="1" applyFont="1" applyNumberFormat="1">
      <alignment horizontal="center" vertical="bottom"/>
    </xf>
    <xf borderId="6" fillId="20" fontId="114" numFmtId="3" xfId="0" applyAlignment="1" applyBorder="1" applyFont="1" applyNumberFormat="1">
      <alignment horizontal="center" readingOrder="0" vertical="bottom"/>
    </xf>
    <xf borderId="18" fillId="0" fontId="9" numFmtId="0" xfId="0" applyAlignment="1" applyBorder="1" applyFont="1">
      <alignment horizontal="center" vertical="bottom"/>
    </xf>
    <xf borderId="6" fillId="0" fontId="147" numFmtId="3" xfId="0" applyAlignment="1" applyBorder="1" applyFont="1" applyNumberFormat="1">
      <alignment horizontal="center" readingOrder="0" vertical="bottom"/>
    </xf>
    <xf borderId="6" fillId="0" fontId="147" numFmtId="3" xfId="0" applyAlignment="1" applyBorder="1" applyFont="1" applyNumberFormat="1">
      <alignment horizontal="center" vertical="bottom"/>
    </xf>
    <xf borderId="6" fillId="0" fontId="147" numFmtId="0" xfId="0" applyAlignment="1" applyBorder="1" applyFont="1">
      <alignment horizontal="center" vertical="bottom"/>
    </xf>
    <xf borderId="6" fillId="0" fontId="147" numFmtId="0" xfId="0" applyAlignment="1" applyBorder="1" applyFont="1">
      <alignment horizontal="center" readingOrder="0" vertical="bottom"/>
    </xf>
    <xf borderId="5" fillId="0" fontId="102" numFmtId="3" xfId="0" applyAlignment="1" applyBorder="1" applyFont="1" applyNumberFormat="1">
      <alignment horizontal="center" vertical="bottom"/>
    </xf>
    <xf borderId="0" fillId="4" fontId="70" numFmtId="164" xfId="0" applyAlignment="1" applyFont="1" applyNumberFormat="1">
      <alignment horizontal="left" vertical="bottom"/>
    </xf>
    <xf borderId="5" fillId="0" fontId="102" numFmtId="0" xfId="0" applyAlignment="1" applyBorder="1" applyFont="1">
      <alignment horizontal="center" vertical="bottom"/>
    </xf>
    <xf borderId="0" fillId="0" fontId="130" numFmtId="0" xfId="0" applyAlignment="1" applyFont="1">
      <alignment horizontal="center" readingOrder="0" vertical="bottom"/>
    </xf>
    <xf borderId="0" fillId="0" fontId="155" numFmtId="0" xfId="0" applyAlignment="1" applyFont="1">
      <alignment vertical="center"/>
    </xf>
    <xf borderId="5" fillId="4" fontId="89" numFmtId="0" xfId="0" applyAlignment="1" applyBorder="1" applyFont="1">
      <alignment horizontal="center" readingOrder="0" vertical="center"/>
    </xf>
    <xf borderId="5" fillId="4" fontId="64" numFmtId="0" xfId="0" applyAlignment="1" applyBorder="1" applyFont="1">
      <alignment horizontal="center" vertical="center"/>
    </xf>
    <xf borderId="0" fillId="0" fontId="136" numFmtId="0" xfId="0" applyAlignment="1" applyFont="1">
      <alignment horizontal="center" readingOrder="0" vertical="bottom"/>
    </xf>
    <xf borderId="35" fillId="6" fontId="97" numFmtId="175" xfId="0" applyAlignment="1" applyBorder="1" applyFont="1" applyNumberFormat="1">
      <alignment horizontal="left" readingOrder="0" vertical="bottom"/>
    </xf>
    <xf borderId="35" fillId="6" fontId="97" numFmtId="175" xfId="0" applyAlignment="1" applyBorder="1" applyFont="1" applyNumberFormat="1">
      <alignment horizontal="center" readingOrder="0" vertical="center"/>
    </xf>
    <xf borderId="5" fillId="4" fontId="56" numFmtId="0" xfId="0" applyAlignment="1" applyBorder="1" applyFont="1">
      <alignment horizontal="center" readingOrder="0" vertical="center"/>
    </xf>
    <xf borderId="5" fillId="4" fontId="58" numFmtId="0" xfId="0" applyAlignment="1" applyBorder="1" applyFont="1">
      <alignment horizontal="center" vertical="center"/>
    </xf>
    <xf borderId="5" fillId="34" fontId="56" numFmtId="0" xfId="0" applyAlignment="1" applyBorder="1" applyFont="1">
      <alignment horizontal="center" readingOrder="0" vertical="center"/>
    </xf>
    <xf borderId="8" fillId="4" fontId="62" numFmtId="0" xfId="0" applyAlignment="1" applyBorder="1" applyFont="1">
      <alignment vertical="bottom"/>
    </xf>
    <xf borderId="6" fillId="0" fontId="56" numFmtId="0" xfId="0" applyAlignment="1" applyBorder="1" applyFont="1">
      <alignment horizontal="left" readingOrder="0" vertical="center"/>
    </xf>
    <xf borderId="6" fillId="2" fontId="56" numFmtId="0" xfId="0" applyAlignment="1" applyBorder="1" applyFont="1">
      <alignment horizontal="left" readingOrder="0" vertical="center"/>
    </xf>
    <xf borderId="6" fillId="4" fontId="56" numFmtId="0" xfId="0" applyAlignment="1" applyBorder="1" applyFont="1">
      <alignment horizontal="center" vertical="center"/>
    </xf>
    <xf borderId="5" fillId="2" fontId="56" numFmtId="0" xfId="0" applyAlignment="1" applyBorder="1" applyFont="1">
      <alignment horizontal="center" readingOrder="0" vertical="center"/>
    </xf>
    <xf borderId="18" fillId="4" fontId="62" numFmtId="0" xfId="0" applyAlignment="1" applyBorder="1" applyFont="1">
      <alignment horizontal="center" readingOrder="0" vertical="bottom"/>
    </xf>
    <xf borderId="5" fillId="0" fontId="33" numFmtId="0" xfId="0" applyAlignment="1" applyBorder="1" applyFont="1">
      <alignment vertical="center"/>
    </xf>
    <xf borderId="39" fillId="4" fontId="58" numFmtId="0" xfId="0" applyAlignment="1" applyBorder="1" applyFont="1">
      <alignment horizontal="center" vertical="bottom"/>
    </xf>
    <xf borderId="39" fillId="4" fontId="62" numFmtId="0" xfId="0" applyAlignment="1" applyBorder="1" applyFont="1">
      <alignment vertical="bottom"/>
    </xf>
    <xf borderId="39" fillId="4" fontId="9" numFmtId="0" xfId="0" applyAlignment="1" applyBorder="1" applyFont="1">
      <alignment horizontal="right" vertical="bottom"/>
    </xf>
    <xf borderId="39" fillId="0" fontId="7" numFmtId="0" xfId="0" applyAlignment="1" applyBorder="1" applyFont="1">
      <alignment vertical="center"/>
    </xf>
    <xf borderId="5" fillId="2" fontId="9" numFmtId="180" xfId="0" applyAlignment="1" applyBorder="1" applyFont="1" applyNumberFormat="1">
      <alignment horizontal="center" readingOrder="0" vertical="center"/>
    </xf>
    <xf borderId="8" fillId="4" fontId="77" numFmtId="0" xfId="0" applyAlignment="1" applyBorder="1" applyFont="1">
      <alignment horizontal="center" readingOrder="0" vertical="bottom"/>
    </xf>
    <xf borderId="49" fillId="0" fontId="6" numFmtId="0" xfId="0" applyAlignment="1" applyBorder="1" applyFont="1">
      <alignment horizontal="center" vertical="bottom"/>
    </xf>
    <xf borderId="5" fillId="4" fontId="77" numFmtId="0" xfId="0" applyAlignment="1" applyBorder="1" applyFont="1">
      <alignment horizontal="center" readingOrder="0" vertical="center"/>
    </xf>
    <xf borderId="6" fillId="0" fontId="33" numFmtId="0" xfId="0" applyAlignment="1" applyBorder="1" applyFont="1">
      <alignment vertical="center"/>
    </xf>
    <xf borderId="6" fillId="0" fontId="102" numFmtId="0" xfId="0" applyAlignment="1" applyBorder="1" applyFont="1">
      <alignment horizontal="center" vertical="bottom"/>
    </xf>
    <xf borderId="0" fillId="0" fontId="156" numFmtId="0" xfId="0" applyAlignment="1" applyFont="1">
      <alignment horizontal="center" vertical="center"/>
    </xf>
    <xf borderId="0" fillId="0" fontId="156" numFmtId="0" xfId="0" applyAlignment="1" applyFont="1">
      <alignment vertical="center"/>
    </xf>
    <xf borderId="37" fillId="0" fontId="9" numFmtId="0" xfId="0" applyAlignment="1" applyBorder="1" applyFont="1">
      <alignment horizontal="center" readingOrder="0" vertical="bottom"/>
    </xf>
    <xf borderId="37" fillId="0" fontId="9" numFmtId="49" xfId="0" applyAlignment="1" applyBorder="1" applyFont="1" applyNumberFormat="1">
      <alignment horizontal="center" readingOrder="0" vertical="bottom"/>
    </xf>
    <xf borderId="0" fillId="0" fontId="9" numFmtId="49" xfId="0" applyAlignment="1" applyFont="1" applyNumberFormat="1">
      <alignment horizontal="center" readingOrder="0" vertical="bottom"/>
    </xf>
    <xf borderId="5" fillId="2" fontId="33" numFmtId="0" xfId="0" applyAlignment="1" applyBorder="1" applyFont="1">
      <alignment readingOrder="0" vertical="center"/>
    </xf>
    <xf borderId="5" fillId="2" fontId="33" numFmtId="3" xfId="0" applyAlignment="1" applyBorder="1" applyFont="1" applyNumberFormat="1">
      <alignment readingOrder="0" vertical="center"/>
    </xf>
    <xf borderId="37" fillId="2" fontId="33" numFmtId="0" xfId="0" applyAlignment="1" applyBorder="1" applyFont="1">
      <alignment readingOrder="0" vertical="center"/>
    </xf>
    <xf borderId="5" fillId="5" fontId="33" numFmtId="3" xfId="0" applyAlignment="1" applyBorder="1" applyFont="1" applyNumberFormat="1">
      <alignment readingOrder="0" vertical="center"/>
    </xf>
    <xf borderId="5" fillId="0" fontId="136" numFmtId="3" xfId="0" applyAlignment="1" applyBorder="1" applyFont="1" applyNumberFormat="1">
      <alignment horizontal="center" vertical="bottom"/>
    </xf>
    <xf borderId="39" fillId="0" fontId="11" numFmtId="0" xfId="0" applyAlignment="1" applyBorder="1" applyFont="1">
      <alignment horizontal="center" vertical="center"/>
    </xf>
    <xf borderId="32" fillId="4" fontId="9" numFmtId="0" xfId="0" applyAlignment="1" applyBorder="1" applyFont="1">
      <alignment horizontal="center" readingOrder="0" vertical="center"/>
    </xf>
    <xf borderId="30" fillId="4" fontId="66" numFmtId="0" xfId="0" applyAlignment="1" applyBorder="1" applyFont="1">
      <alignment horizontal="center" vertical="center"/>
    </xf>
    <xf borderId="39" fillId="4" fontId="89" numFmtId="0" xfId="0" applyAlignment="1" applyBorder="1" applyFont="1">
      <alignment horizontal="center" vertical="center"/>
    </xf>
    <xf borderId="39" fillId="0" fontId="6" numFmtId="0" xfId="0" applyAlignment="1" applyBorder="1" applyFont="1">
      <alignment vertical="bottom"/>
    </xf>
    <xf borderId="39" fillId="0" fontId="22" numFmtId="0" xfId="0" applyAlignment="1" applyBorder="1" applyFont="1">
      <alignment vertical="center"/>
    </xf>
    <xf borderId="39" fillId="20" fontId="22" numFmtId="0" xfId="0" applyAlignment="1" applyBorder="1" applyFont="1">
      <alignment vertical="center"/>
    </xf>
    <xf borderId="39" fillId="4" fontId="22" numFmtId="0" xfId="0" applyAlignment="1" applyBorder="1" applyFont="1">
      <alignment vertical="center"/>
    </xf>
    <xf borderId="39" fillId="0" fontId="6" numFmtId="0" xfId="0" applyAlignment="1" applyBorder="1" applyFont="1">
      <alignment horizontal="left" readingOrder="0" vertical="bottom"/>
    </xf>
    <xf borderId="33" fillId="20" fontId="6" numFmtId="0" xfId="0" applyAlignment="1" applyBorder="1" applyFont="1">
      <alignment horizontal="left" readingOrder="0" vertical="bottom"/>
    </xf>
    <xf borderId="49" fillId="20" fontId="6" numFmtId="0" xfId="0" applyAlignment="1" applyBorder="1" applyFont="1">
      <alignment horizontal="left" readingOrder="0" vertical="bottom"/>
    </xf>
    <xf borderId="30" fillId="0" fontId="102" numFmtId="0" xfId="0" applyAlignment="1" applyBorder="1" applyFont="1">
      <alignment horizontal="center" vertical="bottom"/>
    </xf>
    <xf borderId="8" fillId="4" fontId="97" numFmtId="0" xfId="0" applyAlignment="1" applyBorder="1" applyFont="1">
      <alignment readingOrder="0" vertical="bottom"/>
    </xf>
    <xf borderId="0" fillId="0" fontId="64" numFmtId="0" xfId="0" applyAlignment="1" applyFont="1">
      <alignment horizontal="center" vertical="center"/>
    </xf>
    <xf borderId="5" fillId="4" fontId="6" numFmtId="3" xfId="0" applyAlignment="1" applyBorder="1" applyFont="1" applyNumberFormat="1">
      <alignment horizontal="center" vertical="bottom"/>
    </xf>
    <xf borderId="0" fillId="20" fontId="94" numFmtId="172" xfId="0" applyAlignment="1" applyFont="1" applyNumberFormat="1">
      <alignment horizontal="center" readingOrder="0" vertical="center"/>
    </xf>
    <xf borderId="0" fillId="20" fontId="157" numFmtId="0" xfId="0" applyAlignment="1" applyFont="1">
      <alignment horizontal="center" readingOrder="0" vertical="center"/>
    </xf>
    <xf borderId="0" fillId="20" fontId="158" numFmtId="0" xfId="0" applyAlignment="1" applyFont="1">
      <alignment horizontal="center" readingOrder="0" vertical="center"/>
    </xf>
    <xf borderId="0" fillId="20" fontId="6" numFmtId="0" xfId="0" applyAlignment="1" applyFont="1">
      <alignment vertical="bottom"/>
    </xf>
    <xf borderId="0" fillId="20" fontId="97" numFmtId="0" xfId="0" applyAlignment="1" applyFont="1">
      <alignment vertical="bottom"/>
    </xf>
    <xf borderId="0" fillId="20" fontId="94" numFmtId="0" xfId="0" applyAlignment="1" applyFont="1">
      <alignment horizontal="center" vertical="center"/>
    </xf>
    <xf borderId="0" fillId="20" fontId="97" numFmtId="0" xfId="0" applyAlignment="1" applyFont="1">
      <alignment horizontal="center" vertical="center"/>
    </xf>
    <xf borderId="0" fillId="20" fontId="97" numFmtId="0" xfId="0" applyAlignment="1" applyFont="1">
      <alignment horizontal="center" vertical="bottom"/>
    </xf>
    <xf borderId="0" fillId="20" fontId="66" numFmtId="0" xfId="0" applyAlignment="1" applyFont="1">
      <alignment horizontal="center" readingOrder="0" vertical="center"/>
    </xf>
    <xf borderId="0" fillId="20" fontId="62" numFmtId="0" xfId="0" applyAlignment="1" applyFont="1">
      <alignment horizontal="center" vertical="center"/>
    </xf>
    <xf borderId="0" fillId="20" fontId="70" numFmtId="0" xfId="0" applyAlignment="1" applyFont="1">
      <alignment horizontal="center" readingOrder="0" vertical="bottom"/>
    </xf>
    <xf borderId="0" fillId="4" fontId="71" numFmtId="0" xfId="0" applyAlignment="1" applyFont="1">
      <alignment horizontal="center" readingOrder="0" vertical="bottom"/>
    </xf>
    <xf borderId="0" fillId="20" fontId="71" numFmtId="0" xfId="0" applyAlignment="1" applyFont="1">
      <alignment horizontal="left" vertical="bottom"/>
    </xf>
    <xf borderId="0" fillId="20" fontId="71" numFmtId="0" xfId="0" applyAlignment="1" applyFont="1">
      <alignment horizontal="center" vertical="bottom"/>
    </xf>
    <xf borderId="0" fillId="20" fontId="130" numFmtId="0" xfId="0" applyAlignment="1" applyFont="1">
      <alignment horizontal="center" vertical="bottom"/>
    </xf>
    <xf borderId="0" fillId="20" fontId="130" numFmtId="0" xfId="0" applyAlignment="1" applyFont="1">
      <alignment vertical="bottom"/>
    </xf>
    <xf borderId="0" fillId="20" fontId="62" numFmtId="0" xfId="0" applyAlignment="1" applyFont="1">
      <alignment vertical="bottom"/>
    </xf>
    <xf borderId="0" fillId="20" fontId="159" numFmtId="0" xfId="0" applyAlignment="1" applyFont="1">
      <alignment horizontal="center" readingOrder="0" vertical="center"/>
    </xf>
    <xf borderId="0" fillId="20" fontId="62" numFmtId="0" xfId="0" applyAlignment="1" applyFont="1">
      <alignment horizontal="center" readingOrder="0" vertical="center"/>
    </xf>
    <xf borderId="40" fillId="4" fontId="140" numFmtId="3" xfId="0" applyAlignment="1" applyBorder="1" applyFont="1" applyNumberFormat="1">
      <alignment horizontal="center" vertical="center"/>
    </xf>
    <xf borderId="40" fillId="4" fontId="140" numFmtId="3" xfId="0" applyAlignment="1" applyBorder="1" applyFont="1" applyNumberFormat="1">
      <alignment horizontal="center" readingOrder="0" vertical="center"/>
    </xf>
    <xf borderId="6" fillId="20" fontId="9" numFmtId="0" xfId="0" applyAlignment="1" applyBorder="1" applyFont="1">
      <alignment readingOrder="0" vertical="bottom"/>
    </xf>
    <xf borderId="0" fillId="20" fontId="70" numFmtId="0" xfId="0" applyAlignment="1" applyFont="1">
      <alignment horizontal="center" readingOrder="0" vertical="center"/>
    </xf>
    <xf borderId="6" fillId="4" fontId="140" numFmtId="3" xfId="0" applyAlignment="1" applyBorder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40" fillId="4" fontId="140" numFmtId="0" xfId="0" applyAlignment="1" applyBorder="1" applyFont="1">
      <alignment horizontal="center" readingOrder="0" vertical="center"/>
    </xf>
    <xf borderId="84" fillId="5" fontId="6" numFmtId="0" xfId="0" applyAlignment="1" applyBorder="1" applyFont="1">
      <alignment vertical="bottom"/>
    </xf>
    <xf borderId="6" fillId="4" fontId="140" numFmtId="0" xfId="0" applyAlignment="1" applyBorder="1" applyFont="1">
      <alignment horizontal="center" readingOrder="0" vertical="center"/>
    </xf>
    <xf borderId="40" fillId="4" fontId="140" numFmtId="3" xfId="0" applyAlignment="1" applyBorder="1" applyFont="1" applyNumberFormat="1">
      <alignment horizontal="center" vertical="bottom"/>
    </xf>
    <xf borderId="40" fillId="4" fontId="140" numFmtId="0" xfId="0" applyAlignment="1" applyBorder="1" applyFont="1">
      <alignment horizontal="center" vertical="center"/>
    </xf>
    <xf borderId="51" fillId="0" fontId="100" numFmtId="0" xfId="0" applyAlignment="1" applyBorder="1" applyFont="1">
      <alignment horizontal="center" readingOrder="0" vertical="center"/>
    </xf>
    <xf borderId="40" fillId="4" fontId="140" numFmtId="0" xfId="0" applyAlignment="1" applyBorder="1" applyFont="1">
      <alignment horizontal="center" vertical="bottom"/>
    </xf>
    <xf borderId="6" fillId="20" fontId="96" numFmtId="0" xfId="0" applyAlignment="1" applyBorder="1" applyFont="1">
      <alignment readingOrder="0" vertical="bottom"/>
    </xf>
    <xf borderId="5" fillId="5" fontId="11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left" readingOrder="0" vertical="bottom"/>
    </xf>
    <xf borderId="0" fillId="20" fontId="9" numFmtId="0" xfId="0" applyAlignment="1" applyFont="1">
      <alignment horizontal="right" vertical="bottom"/>
    </xf>
    <xf borderId="0" fillId="4" fontId="140" numFmtId="0" xfId="0" applyAlignment="1" applyFont="1">
      <alignment vertical="bottom"/>
    </xf>
    <xf borderId="0" fillId="4" fontId="160" numFmtId="0" xfId="0" applyAlignment="1" applyFont="1">
      <alignment vertical="bottom"/>
    </xf>
    <xf borderId="0" fillId="0" fontId="160" numFmtId="0" xfId="0" applyAlignment="1" applyFont="1">
      <alignment vertical="bottom"/>
    </xf>
    <xf borderId="0" fillId="0" fontId="140" numFmtId="0" xfId="0" applyAlignment="1" applyFont="1">
      <alignment vertical="bottom"/>
    </xf>
    <xf borderId="0" fillId="4" fontId="58" numFmtId="0" xfId="0" applyAlignment="1" applyFont="1">
      <alignment horizontal="center" readingOrder="0" vertical="bottom"/>
    </xf>
    <xf borderId="6" fillId="20" fontId="97" numFmtId="0" xfId="0" applyAlignment="1" applyBorder="1" applyFont="1">
      <alignment horizontal="center" readingOrder="0" vertical="center"/>
    </xf>
    <xf borderId="40" fillId="0" fontId="6" numFmtId="0" xfId="0" applyAlignment="1" applyBorder="1" applyFont="1">
      <alignment horizontal="center" vertical="bottom"/>
    </xf>
    <xf borderId="37" fillId="0" fontId="9" numFmtId="0" xfId="0" applyAlignment="1" applyBorder="1" applyFont="1">
      <alignment horizontal="center" readingOrder="0" vertical="bottom"/>
    </xf>
    <xf borderId="8" fillId="4" fontId="131" numFmtId="0" xfId="0" applyAlignment="1" applyBorder="1" applyFont="1">
      <alignment readingOrder="0" vertical="bottom"/>
    </xf>
    <xf borderId="6" fillId="20" fontId="9" numFmtId="0" xfId="0" applyAlignment="1" applyBorder="1" applyFont="1">
      <alignment vertical="bottom"/>
    </xf>
    <xf borderId="27" fillId="4" fontId="150" numFmtId="0" xfId="0" applyAlignment="1" applyBorder="1" applyFont="1">
      <alignment horizontal="center" readingOrder="0" vertical="bottom"/>
    </xf>
    <xf borderId="27" fillId="4" fontId="62" numFmtId="0" xfId="0" applyAlignment="1" applyBorder="1" applyFont="1">
      <alignment readingOrder="0" vertical="bottom"/>
    </xf>
    <xf borderId="22" fillId="4" fontId="62" numFmtId="0" xfId="0" applyAlignment="1" applyBorder="1" applyFont="1">
      <alignment readingOrder="0" vertical="bottom"/>
    </xf>
    <xf borderId="23" fillId="20" fontId="9" numFmtId="0" xfId="0" applyAlignment="1" applyBorder="1" applyFont="1">
      <alignment readingOrder="0" vertical="bottom"/>
    </xf>
    <xf borderId="22" fillId="20" fontId="100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horizontal="center" readingOrder="0" vertical="bottom"/>
    </xf>
    <xf borderId="6" fillId="20" fontId="9" numFmtId="0" xfId="0" applyAlignment="1" applyBorder="1" applyFont="1">
      <alignment horizontal="left" readingOrder="0" vertical="center"/>
    </xf>
    <xf borderId="5" fillId="4" fontId="72" numFmtId="0" xfId="0" applyAlignment="1" applyBorder="1" applyFont="1">
      <alignment horizontal="center" readingOrder="0" vertical="bottom"/>
    </xf>
    <xf borderId="51" fillId="20" fontId="9" numFmtId="0" xfId="0" applyAlignment="1" applyBorder="1" applyFont="1">
      <alignment horizontal="center" readingOrder="0" vertical="center"/>
    </xf>
    <xf borderId="0" fillId="34" fontId="33" numFmtId="0" xfId="0" applyAlignment="1" applyFont="1">
      <alignment horizontal="center" readingOrder="0" vertical="center"/>
    </xf>
    <xf borderId="5" fillId="0" fontId="58" numFmtId="0" xfId="0" applyAlignment="1" applyBorder="1" applyFont="1">
      <alignment horizontal="center" vertical="center"/>
    </xf>
    <xf borderId="6" fillId="20" fontId="6" numFmtId="0" xfId="0" applyAlignment="1" applyBorder="1" applyFont="1">
      <alignment horizontal="center" readingOrder="0" vertical="center"/>
    </xf>
    <xf borderId="0" fillId="0" fontId="102" numFmtId="0" xfId="0" applyAlignment="1" applyFont="1">
      <alignment horizontal="center" vertical="center"/>
    </xf>
    <xf borderId="6" fillId="0" fontId="136" numFmtId="0" xfId="0" applyAlignment="1" applyBorder="1" applyFont="1">
      <alignment horizontal="center" readingOrder="0" vertical="center"/>
    </xf>
    <xf borderId="0" fillId="0" fontId="9" numFmtId="164" xfId="0" applyAlignment="1" applyFont="1" applyNumberFormat="1">
      <alignment horizontal="center" vertical="bottom"/>
    </xf>
    <xf borderId="39" fillId="0" fontId="70" numFmtId="0" xfId="0" applyAlignment="1" applyBorder="1" applyFont="1">
      <alignment horizontal="center" readingOrder="0" vertical="bottom"/>
    </xf>
    <xf borderId="49" fillId="0" fontId="97" numFmtId="0" xfId="0" applyAlignment="1" applyBorder="1" applyFont="1">
      <alignment horizontal="left" vertical="bottom"/>
    </xf>
    <xf borderId="23" fillId="0" fontId="6" numFmtId="3" xfId="0" applyAlignment="1" applyBorder="1" applyFont="1" applyNumberFormat="1">
      <alignment horizontal="center" vertical="bottom"/>
    </xf>
    <xf borderId="27" fillId="0" fontId="16" numFmtId="0" xfId="0" applyAlignment="1" applyBorder="1" applyFont="1">
      <alignment vertical="center"/>
    </xf>
    <xf borderId="0" fillId="0" fontId="7" numFmtId="0" xfId="0" applyAlignment="1" applyFont="1">
      <alignment horizontal="right" vertical="center"/>
    </xf>
    <xf borderId="88" fillId="31" fontId="161" numFmtId="0" xfId="0" applyAlignment="1" applyBorder="1" applyFont="1">
      <alignment horizontal="center" readingOrder="0" vertical="center"/>
    </xf>
    <xf borderId="89" fillId="31" fontId="161" numFmtId="0" xfId="0" applyAlignment="1" applyBorder="1" applyFont="1">
      <alignment horizontal="center" readingOrder="0" vertical="center"/>
    </xf>
    <xf borderId="90" fillId="31" fontId="161" numFmtId="0" xfId="0" applyAlignment="1" applyBorder="1" applyFont="1">
      <alignment horizontal="center" readingOrder="0" vertical="center"/>
    </xf>
    <xf borderId="88" fillId="31" fontId="22" numFmtId="0" xfId="0" applyAlignment="1" applyBorder="1" applyFont="1">
      <alignment horizontal="center" readingOrder="0" vertical="center"/>
    </xf>
    <xf borderId="89" fillId="0" fontId="16" numFmtId="0" xfId="0" applyAlignment="1" applyBorder="1" applyFont="1">
      <alignment vertical="center"/>
    </xf>
    <xf borderId="90" fillId="0" fontId="16" numFmtId="0" xfId="0" applyAlignment="1" applyBorder="1" applyFont="1">
      <alignment vertical="center"/>
    </xf>
    <xf borderId="91" fillId="31" fontId="161" numFmtId="0" xfId="0" applyAlignment="1" applyBorder="1" applyFont="1">
      <alignment horizontal="center" readingOrder="0" vertical="center"/>
    </xf>
    <xf borderId="8" fillId="10" fontId="161" numFmtId="0" xfId="0" applyAlignment="1" applyBorder="1" applyFont="1">
      <alignment horizontal="center" readingOrder="0" vertical="center"/>
    </xf>
    <xf borderId="5" fillId="10" fontId="161" numFmtId="0" xfId="0" applyAlignment="1" applyBorder="1" applyFont="1">
      <alignment horizontal="center" readingOrder="0" vertical="center"/>
    </xf>
    <xf borderId="6" fillId="10" fontId="161" numFmtId="0" xfId="0" applyAlignment="1" applyBorder="1" applyFont="1">
      <alignment horizontal="left" readingOrder="0" shrinkToFit="0" vertical="bottom" wrapText="0"/>
    </xf>
    <xf borderId="5" fillId="10" fontId="162" numFmtId="49" xfId="0" applyAlignment="1" applyBorder="1" applyFont="1" applyNumberFormat="1">
      <alignment horizontal="center" readingOrder="0" shrinkToFit="0" vertical="center" wrapText="1"/>
    </xf>
    <xf borderId="91" fillId="10" fontId="11" numFmtId="0" xfId="0" applyAlignment="1" applyBorder="1" applyFont="1">
      <alignment horizontal="center" readingOrder="0" vertical="center"/>
    </xf>
    <xf borderId="5" fillId="10" fontId="11" numFmtId="0" xfId="0" applyAlignment="1" applyBorder="1" applyFont="1">
      <alignment horizontal="center" readingOrder="0" vertical="center"/>
    </xf>
    <xf borderId="92" fillId="10" fontId="11" numFmtId="0" xfId="0" applyAlignment="1" applyBorder="1" applyFont="1">
      <alignment horizontal="center" readingOrder="0" vertical="center"/>
    </xf>
    <xf borderId="91" fillId="31" fontId="161" numFmtId="0" xfId="0" applyAlignment="1" applyBorder="1" applyFont="1">
      <alignment horizontal="center" readingOrder="0" vertical="center"/>
    </xf>
    <xf borderId="8" fillId="0" fontId="163" numFmtId="0" xfId="0" applyAlignment="1" applyBorder="1" applyFont="1">
      <alignment horizontal="center" readingOrder="0" shrinkToFit="0" vertical="center" wrapText="0"/>
    </xf>
    <xf borderId="5" fillId="0" fontId="163" numFmtId="0" xfId="0" applyAlignment="1" applyBorder="1" applyFont="1">
      <alignment horizontal="left" readingOrder="0" shrinkToFit="0" vertical="center" wrapText="0"/>
    </xf>
    <xf borderId="6" fillId="0" fontId="73" numFmtId="0" xfId="0" applyAlignment="1" applyBorder="1" applyFont="1">
      <alignment horizontal="left" readingOrder="0" shrinkToFit="0" vertical="bottom" wrapText="0"/>
    </xf>
    <xf borderId="91" fillId="0" fontId="11" numFmtId="0" xfId="0" applyAlignment="1" applyBorder="1" applyFont="1">
      <alignment horizontal="right" readingOrder="0" vertical="center"/>
    </xf>
    <xf borderId="92" fillId="0" fontId="11" numFmtId="0" xfId="0" applyAlignment="1" applyBorder="1" applyFont="1">
      <alignment readingOrder="0" shrinkToFit="0" vertical="center" wrapText="1"/>
    </xf>
    <xf borderId="91" fillId="4" fontId="58" numFmtId="0" xfId="0" applyAlignment="1" applyBorder="1" applyFont="1">
      <alignment horizontal="right" readingOrder="0" vertical="bottom"/>
    </xf>
    <xf borderId="5" fillId="4" fontId="58" numFmtId="0" xfId="0" applyAlignment="1" applyBorder="1" applyFont="1">
      <alignment horizontal="center" readingOrder="0" vertical="bottom"/>
    </xf>
    <xf borderId="92" fillId="4" fontId="9" numFmtId="0" xfId="0" applyAlignment="1" applyBorder="1" applyFont="1">
      <alignment readingOrder="0" vertical="center"/>
    </xf>
    <xf borderId="91" fillId="0" fontId="58" numFmtId="0" xfId="0" applyAlignment="1" applyBorder="1" applyFont="1">
      <alignment horizontal="right" readingOrder="0" shrinkToFit="0" vertical="bottom" wrapText="0"/>
    </xf>
    <xf borderId="5" fillId="0" fontId="58" numFmtId="0" xfId="0" applyAlignment="1" applyBorder="1" applyFont="1">
      <alignment horizontal="center" readingOrder="0" shrinkToFit="0" vertical="bottom" wrapText="0"/>
    </xf>
    <xf borderId="92" fillId="0" fontId="11" numFmtId="0" xfId="0" applyAlignment="1" applyBorder="1" applyFont="1">
      <alignment readingOrder="0" vertical="center"/>
    </xf>
    <xf borderId="91" fillId="0" fontId="9" numFmtId="0" xfId="0" applyAlignment="1" applyBorder="1" applyFont="1">
      <alignment horizontal="right" readingOrder="0" vertical="center"/>
    </xf>
    <xf borderId="5" fillId="0" fontId="9" numFmtId="0" xfId="0" applyAlignment="1" applyBorder="1" applyFont="1">
      <alignment horizontal="center" readingOrder="0" vertical="center"/>
    </xf>
    <xf borderId="92" fillId="0" fontId="9" numFmtId="0" xfId="0" applyAlignment="1" applyBorder="1" applyFont="1">
      <alignment readingOrder="0" vertical="center"/>
    </xf>
    <xf borderId="6" fillId="20" fontId="73" numFmtId="0" xfId="0" applyAlignment="1" applyBorder="1" applyFont="1">
      <alignment horizontal="left" readingOrder="0" shrinkToFit="0" vertical="bottom" wrapText="1"/>
    </xf>
    <xf borderId="5" fillId="20" fontId="11" numFmtId="0" xfId="0" applyAlignment="1" applyBorder="1" applyFont="1">
      <alignment readingOrder="0" vertical="center"/>
    </xf>
    <xf borderId="6" fillId="20" fontId="73" numFmtId="0" xfId="0" applyAlignment="1" applyBorder="1" applyFont="1">
      <alignment horizontal="left" readingOrder="0" shrinkToFit="0" vertical="bottom" wrapText="0"/>
    </xf>
    <xf borderId="93" fillId="0" fontId="11" numFmtId="0" xfId="0" applyAlignment="1" applyBorder="1" applyFont="1">
      <alignment horizontal="right" readingOrder="0" vertical="center"/>
    </xf>
    <xf borderId="94" fillId="0" fontId="11" numFmtId="0" xfId="0" applyAlignment="1" applyBorder="1" applyFont="1">
      <alignment readingOrder="0" vertical="center"/>
    </xf>
    <xf borderId="95" fillId="0" fontId="11" numFmtId="0" xfId="0" applyAlignment="1" applyBorder="1" applyFont="1">
      <alignment horizontal="right" readingOrder="0" vertical="center"/>
    </xf>
    <xf borderId="96" fillId="0" fontId="11" numFmtId="0" xfId="0" applyAlignment="1" applyBorder="1" applyFont="1">
      <alignment horizontal="center" readingOrder="0" vertical="center"/>
    </xf>
    <xf borderId="97" fillId="0" fontId="11" numFmtId="0" xfId="0" applyAlignment="1" applyBorder="1" applyFont="1">
      <alignment readingOrder="0" vertical="center"/>
    </xf>
    <xf borderId="92" fillId="4" fontId="58" numFmtId="0" xfId="0" applyAlignment="1" applyBorder="1" applyFont="1">
      <alignment readingOrder="0" vertical="bottom"/>
    </xf>
    <xf borderId="5" fillId="20" fontId="11" numFmtId="0" xfId="0" applyAlignment="1" applyBorder="1" applyFont="1">
      <alignment vertical="center"/>
    </xf>
    <xf borderId="98" fillId="0" fontId="11" numFmtId="0" xfId="0" applyAlignment="1" applyBorder="1" applyFont="1">
      <alignment horizontal="right" readingOrder="0" vertical="center"/>
    </xf>
    <xf borderId="99" fillId="0" fontId="11" numFmtId="0" xfId="0" applyAlignment="1" applyBorder="1" applyFont="1">
      <alignment horizontal="center" readingOrder="0" vertical="center"/>
    </xf>
    <xf borderId="100" fillId="0" fontId="11" numFmtId="0" xfId="0" applyAlignment="1" applyBorder="1" applyFont="1">
      <alignment horizontal="left" readingOrder="0" vertical="center"/>
    </xf>
    <xf borderId="92" fillId="0" fontId="58" numFmtId="0" xfId="0" applyAlignment="1" applyBorder="1" applyFont="1">
      <alignment readingOrder="0" shrinkToFit="0" vertical="bottom" wrapText="0"/>
    </xf>
    <xf borderId="91" fillId="0" fontId="58" numFmtId="0" xfId="0" applyAlignment="1" applyBorder="1" applyFont="1">
      <alignment horizontal="right" shrinkToFit="0" vertical="bottom" wrapText="0"/>
    </xf>
    <xf borderId="95" fillId="0" fontId="58" numFmtId="0" xfId="0" applyAlignment="1" applyBorder="1" applyFont="1">
      <alignment horizontal="right" shrinkToFit="0" vertical="bottom" wrapText="0"/>
    </xf>
    <xf borderId="96" fillId="0" fontId="58" numFmtId="0" xfId="0" applyAlignment="1" applyBorder="1" applyFont="1">
      <alignment horizontal="center" readingOrder="0" shrinkToFit="0" vertical="bottom" wrapText="0"/>
    </xf>
    <xf borderId="97" fillId="0" fontId="58" numFmtId="0" xfId="0" applyAlignment="1" applyBorder="1" applyFont="1">
      <alignment readingOrder="0" shrinkToFit="0" vertical="bottom" wrapText="0"/>
    </xf>
    <xf borderId="5" fillId="20" fontId="164" numFmtId="0" xfId="0" applyAlignment="1" applyBorder="1" applyFont="1">
      <alignment vertical="center"/>
    </xf>
    <xf borderId="98" fillId="10" fontId="11" numFmtId="0" xfId="0" applyAlignment="1" applyBorder="1" applyFont="1">
      <alignment horizontal="center" readingOrder="0" vertical="center"/>
    </xf>
    <xf borderId="99" fillId="10" fontId="11" numFmtId="0" xfId="0" applyAlignment="1" applyBorder="1" applyFont="1">
      <alignment horizontal="center" readingOrder="0" vertical="center"/>
    </xf>
    <xf borderId="100" fillId="10" fontId="11" numFmtId="0" xfId="0" applyAlignment="1" applyBorder="1" applyFont="1">
      <alignment horizontal="center" readingOrder="0" vertical="center"/>
    </xf>
    <xf borderId="91" fillId="4" fontId="11" numFmtId="0" xfId="0" applyAlignment="1" applyBorder="1" applyFont="1">
      <alignment horizontal="center" readingOrder="0" vertical="center"/>
    </xf>
    <xf borderId="5" fillId="4" fontId="11" numFmtId="0" xfId="0" applyAlignment="1" applyBorder="1" applyFont="1">
      <alignment horizontal="center" readingOrder="0" vertical="center"/>
    </xf>
    <xf borderId="92" fillId="4" fontId="11" numFmtId="0" xfId="0" applyAlignment="1" applyBorder="1" applyFont="1">
      <alignment readingOrder="0" vertical="center"/>
    </xf>
    <xf borderId="95" fillId="0" fontId="11" numFmtId="0" xfId="0" applyAlignment="1" applyBorder="1" applyFont="1">
      <alignment horizontal="center" readingOrder="0" vertical="center"/>
    </xf>
    <xf borderId="6" fillId="20" fontId="79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center" readingOrder="0" vertical="center"/>
    </xf>
    <xf borderId="5" fillId="20" fontId="11" numFmtId="0" xfId="0" applyAlignment="1" applyBorder="1" applyFont="1">
      <alignment readingOrder="0" shrinkToFit="0" vertical="center" wrapText="1"/>
    </xf>
    <xf borderId="8" fillId="4" fontId="61" numFmtId="0" xfId="0" applyAlignment="1" applyBorder="1" applyFont="1">
      <alignment horizontal="center" readingOrder="0" vertical="center"/>
    </xf>
    <xf borderId="5" fillId="4" fontId="61" numFmtId="0" xfId="0" applyAlignment="1" applyBorder="1" applyFont="1">
      <alignment horizontal="left" readingOrder="0" vertical="center"/>
    </xf>
    <xf borderId="6" fillId="4" fontId="73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vertical="center"/>
    </xf>
    <xf borderId="6" fillId="4" fontId="5" numFmtId="0" xfId="0" applyAlignment="1" applyBorder="1" applyFont="1">
      <alignment horizontal="left" readingOrder="0" shrinkToFit="0" vertical="center" wrapText="1"/>
    </xf>
    <xf borderId="8" fillId="4" fontId="63" numFmtId="0" xfId="0" applyAlignment="1" applyBorder="1" applyFont="1">
      <alignment horizontal="center" readingOrder="0" shrinkToFit="0" vertical="bottom" wrapText="0"/>
    </xf>
    <xf borderId="5" fillId="4" fontId="63" numFmtId="0" xfId="0" applyAlignment="1" applyBorder="1" applyFont="1">
      <alignment horizontal="left" readingOrder="0" shrinkToFit="0" vertical="bottom" wrapText="0"/>
    </xf>
    <xf borderId="93" fillId="31" fontId="161" numFmtId="0" xfId="0" applyAlignment="1" applyBorder="1" applyFont="1">
      <alignment horizontal="center" readingOrder="0" vertical="center"/>
    </xf>
    <xf borderId="27" fillId="4" fontId="63" numFmtId="0" xfId="0" applyAlignment="1" applyBorder="1" applyFont="1">
      <alignment horizontal="center" readingOrder="0" shrinkToFit="0" vertical="bottom" wrapText="0"/>
    </xf>
    <xf borderId="22" fillId="4" fontId="63" numFmtId="0" xfId="0" applyAlignment="1" applyBorder="1" applyFont="1">
      <alignment horizontal="left" readingOrder="0" shrinkToFit="0" vertical="bottom" wrapText="0"/>
    </xf>
    <xf borderId="23" fillId="0" fontId="5" numFmtId="0" xfId="0" applyAlignment="1" applyBorder="1" applyFont="1">
      <alignment horizontal="left" readingOrder="0" vertical="center"/>
    </xf>
    <xf borderId="5" fillId="31" fontId="161" numFmtId="0" xfId="0" applyAlignment="1" applyBorder="1" applyFont="1">
      <alignment horizontal="center" readingOrder="0" vertical="center"/>
    </xf>
    <xf borderId="5" fillId="4" fontId="63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left" readingOrder="0" vertical="center"/>
    </xf>
    <xf borderId="5" fillId="31" fontId="22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left" vertical="center"/>
    </xf>
    <xf borderId="0" fillId="4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6" fillId="0" fontId="165" numFmtId="0" xfId="0" applyAlignment="1" applyBorder="1" applyFont="1">
      <alignment horizontal="center" shrinkToFit="0" vertical="bottom" wrapText="1"/>
    </xf>
    <xf borderId="5" fillId="0" fontId="165" numFmtId="0" xfId="0" applyAlignment="1" applyBorder="1" applyFont="1">
      <alignment horizontal="center" shrinkToFit="0" vertical="center" wrapText="1"/>
    </xf>
    <xf borderId="0" fillId="0" fontId="165" numFmtId="0" xfId="0" applyAlignment="1" applyFont="1">
      <alignment shrinkToFit="0" vertical="bottom" wrapText="1"/>
    </xf>
    <xf borderId="65" fillId="0" fontId="9" numFmtId="0" xfId="0" applyAlignment="1" applyBorder="1" applyFont="1">
      <alignment vertical="center"/>
    </xf>
    <xf borderId="67" fillId="0" fontId="9" numFmtId="0" xfId="0" applyAlignment="1" applyBorder="1" applyFont="1">
      <alignment vertical="center"/>
    </xf>
    <xf borderId="5" fillId="0" fontId="32" numFmtId="0" xfId="0" applyAlignment="1" applyBorder="1" applyFont="1">
      <alignment horizontal="center" vertical="bottom"/>
    </xf>
    <xf borderId="6" fillId="0" fontId="5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bottom"/>
    </xf>
    <xf borderId="6" fillId="35" fontId="52" numFmtId="0" xfId="0" applyAlignment="1" applyBorder="1" applyFont="1">
      <alignment horizontal="center" shrinkToFit="0" vertical="bottom" wrapText="1"/>
    </xf>
    <xf borderId="8" fillId="0" fontId="9" numFmtId="0" xfId="0" applyAlignment="1" applyBorder="1" applyFont="1">
      <alignment vertical="bottom"/>
    </xf>
    <xf borderId="5" fillId="0" fontId="52" numFmtId="0" xfId="0" applyAlignment="1" applyBorder="1" applyFont="1">
      <alignment horizontal="center" shrinkToFit="0" vertical="bottom" wrapText="1"/>
    </xf>
    <xf borderId="5" fillId="0" fontId="52" numFmtId="0" xfId="0" applyAlignment="1" applyBorder="1" applyFont="1">
      <alignment horizontal="center" shrinkToFit="0" vertical="bottom" wrapText="1"/>
    </xf>
    <xf borderId="5" fillId="0" fontId="52" numFmtId="0" xfId="0" applyAlignment="1" applyBorder="1" applyFont="1">
      <alignment horizontal="center" shrinkToFit="0" vertical="center" wrapText="1"/>
    </xf>
    <xf borderId="5" fillId="0" fontId="52" numFmtId="0" xfId="0" applyAlignment="1" applyBorder="1" applyFont="1">
      <alignment horizontal="center" vertical="bottom"/>
    </xf>
    <xf borderId="0" fillId="0" fontId="52" numFmtId="0" xfId="0" applyAlignment="1" applyFont="1">
      <alignment horizontal="center" shrinkToFit="0" vertical="bottom" wrapText="1"/>
    </xf>
    <xf borderId="5" fillId="6" fontId="32" numFmtId="0" xfId="0" applyAlignment="1" applyBorder="1" applyFont="1">
      <alignment horizontal="center" vertical="bottom"/>
    </xf>
    <xf borderId="5" fillId="10" fontId="32" numFmtId="0" xfId="0" applyAlignment="1" applyBorder="1" applyFont="1">
      <alignment horizontal="center" vertical="bottom"/>
    </xf>
    <xf borderId="5" fillId="0" fontId="32" numFmtId="0" xfId="0" applyAlignment="1" applyBorder="1" applyFont="1">
      <alignment horizontal="center" vertical="bottom"/>
    </xf>
    <xf borderId="5" fillId="2" fontId="3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32" numFmtId="0" xfId="0" applyAlignment="1" applyBorder="1" applyFont="1">
      <alignment horizontal="center" vertical="bottom"/>
    </xf>
    <xf borderId="22" fillId="0" fontId="32" numFmtId="0" xfId="0" applyAlignment="1" applyBorder="1" applyFont="1">
      <alignment horizontal="center" vertical="center"/>
    </xf>
    <xf borderId="0" fillId="0" fontId="32" numFmtId="0" xfId="0" applyAlignment="1" applyFont="1">
      <alignment vertical="bottom"/>
    </xf>
    <xf borderId="22" fillId="0" fontId="32" numFmtId="0" xfId="0" applyAlignment="1" applyBorder="1" applyFont="1">
      <alignment horizontal="center" shrinkToFit="0" vertical="center" wrapText="1"/>
    </xf>
    <xf borderId="5" fillId="14" fontId="32" numFmtId="0" xfId="0" applyAlignment="1" applyBorder="1" applyFont="1">
      <alignment horizontal="center" vertical="bottom"/>
    </xf>
    <xf borderId="5" fillId="13" fontId="32" numFmtId="0" xfId="0" applyAlignment="1" applyBorder="1" applyFont="1">
      <alignment horizontal="center" vertical="bottom"/>
    </xf>
    <xf borderId="5" fillId="21" fontId="32" numFmtId="0" xfId="0" applyAlignment="1" applyBorder="1" applyFont="1">
      <alignment horizontal="center" vertical="bottom"/>
    </xf>
    <xf borderId="5" fillId="23" fontId="32" numFmtId="0" xfId="0" applyAlignment="1" applyBorder="1" applyFont="1">
      <alignment horizontal="center" vertical="bottom"/>
    </xf>
    <xf borderId="6" fillId="38" fontId="52" numFmtId="0" xfId="0" applyAlignment="1" applyBorder="1" applyFill="1" applyFont="1">
      <alignment horizontal="center" vertical="bottom"/>
    </xf>
    <xf borderId="5" fillId="25" fontId="3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0" fillId="0" fontId="56" numFmtId="164" xfId="0" applyAlignment="1" applyFont="1" applyNumberFormat="1">
      <alignment vertical="bottom"/>
    </xf>
    <xf borderId="5" fillId="36" fontId="32" numFmtId="0" xfId="0" applyAlignment="1" applyBorder="1" applyFont="1">
      <alignment horizontal="center" vertical="bottom"/>
    </xf>
    <xf borderId="0" fillId="0" fontId="6" numFmtId="166" xfId="0" applyAlignment="1" applyFont="1" applyNumberFormat="1">
      <alignment horizontal="right" vertical="bottom"/>
    </xf>
    <xf borderId="0" fillId="0" fontId="7" numFmtId="168" xfId="0" applyAlignment="1" applyFont="1" applyNumberFormat="1">
      <alignment readingOrder="0" vertical="center"/>
    </xf>
    <xf borderId="48" fillId="0" fontId="9" numFmtId="0" xfId="0" applyAlignment="1" applyBorder="1" applyFont="1">
      <alignment horizontal="center" vertical="center"/>
    </xf>
    <xf borderId="5" fillId="28" fontId="32" numFmtId="0" xfId="0" applyAlignment="1" applyBorder="1" applyFont="1">
      <alignment horizontal="center" vertical="bottom"/>
    </xf>
    <xf borderId="22" fillId="0" fontId="3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bottom" wrapText="1"/>
    </xf>
    <xf borderId="0" fillId="14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bottom" wrapText="1"/>
    </xf>
    <xf borderId="0" fillId="10" fontId="1" numFmtId="0" xfId="0" applyAlignment="1" applyFont="1">
      <alignment horizontal="center" vertical="bottom"/>
    </xf>
    <xf borderId="0" fillId="23" fontId="1" numFmtId="0" xfId="0" applyAlignment="1" applyFont="1">
      <alignment horizontal="center" vertical="bottom"/>
    </xf>
    <xf borderId="0" fillId="13" fontId="1" numFmtId="0" xfId="0" applyAlignment="1" applyFont="1">
      <alignment horizontal="center" vertical="bottom"/>
    </xf>
    <xf borderId="50" fillId="0" fontId="1" numFmtId="0" xfId="0" applyAlignment="1" applyBorder="1" applyFont="1">
      <alignment vertical="bottom"/>
    </xf>
    <xf borderId="50" fillId="4" fontId="1" numFmtId="0" xfId="0" applyAlignment="1" applyBorder="1" applyFont="1">
      <alignment vertical="bottom"/>
    </xf>
    <xf borderId="50" fillId="4" fontId="1" numFmtId="0" xfId="0" applyAlignment="1" applyBorder="1" applyFont="1">
      <alignment vertical="bottom"/>
    </xf>
    <xf borderId="50" fillId="0" fontId="1" numFmtId="0" xfId="0" applyAlignment="1" applyBorder="1" applyFont="1">
      <alignment vertical="bottom"/>
    </xf>
    <xf borderId="50" fillId="0" fontId="1" numFmtId="0" xfId="0" applyAlignment="1" applyBorder="1" applyFont="1">
      <alignment vertical="center"/>
    </xf>
    <xf borderId="40" fillId="0" fontId="165" numFmtId="0" xfId="0" applyAlignment="1" applyBorder="1" applyFont="1">
      <alignment horizontal="center" shrinkToFit="0" vertical="bottom" wrapText="1"/>
    </xf>
    <xf borderId="51" fillId="0" fontId="165" numFmtId="0" xfId="0" applyAlignment="1" applyBorder="1" applyFont="1">
      <alignment horizontal="center" shrinkToFit="0" vertical="center" wrapText="1"/>
    </xf>
    <xf borderId="50" fillId="0" fontId="165" numFmtId="0" xfId="0" applyAlignment="1" applyBorder="1" applyFont="1">
      <alignment horizontal="center" shrinkToFit="0" vertical="bottom" wrapText="1"/>
    </xf>
    <xf borderId="37" fillId="0" fontId="33" numFmtId="0" xfId="0" applyAlignment="1" applyBorder="1" applyFont="1">
      <alignment vertical="bottom"/>
    </xf>
    <xf borderId="50" fillId="0" fontId="52" numFmtId="0" xfId="0" applyAlignment="1" applyBorder="1" applyFont="1">
      <alignment horizontal="center" shrinkToFit="0" vertical="bottom" wrapText="1"/>
    </xf>
    <xf borderId="51" fillId="0" fontId="1" numFmtId="0" xfId="0" applyAlignment="1" applyBorder="1" applyFont="1">
      <alignment vertical="center"/>
    </xf>
    <xf borderId="50" fillId="0" fontId="52" numFmtId="0" xfId="0" applyAlignment="1" applyBorder="1" applyFont="1">
      <alignment horizontal="center" shrinkToFit="0" vertical="bottom" wrapText="1"/>
    </xf>
    <xf borderId="40" fillId="35" fontId="52" numFmtId="0" xfId="0" applyAlignment="1" applyBorder="1" applyFont="1">
      <alignment horizontal="center" shrinkToFit="0" vertical="bottom" wrapText="1"/>
    </xf>
    <xf borderId="37" fillId="0" fontId="52" numFmtId="0" xfId="0" applyAlignment="1" applyBorder="1" applyFont="1">
      <alignment horizontal="center" shrinkToFit="0" vertical="bottom" wrapText="1"/>
    </xf>
    <xf borderId="51" fillId="0" fontId="52" numFmtId="0" xfId="0" applyAlignment="1" applyBorder="1" applyFont="1">
      <alignment horizontal="center" shrinkToFit="0" vertical="bottom" wrapText="1"/>
    </xf>
    <xf borderId="51" fillId="0" fontId="52" numFmtId="0" xfId="0" applyAlignment="1" applyBorder="1" applyFont="1">
      <alignment horizontal="center" shrinkToFit="0" vertical="bottom" wrapText="1"/>
    </xf>
    <xf borderId="5" fillId="0" fontId="52" numFmtId="0" xfId="0" applyAlignment="1" applyBorder="1" applyFont="1">
      <alignment horizontal="center" shrinkToFit="0" vertical="center" wrapText="1"/>
    </xf>
    <xf borderId="5" fillId="0" fontId="52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37" fillId="10" fontId="32" numFmtId="0" xfId="0" applyAlignment="1" applyBorder="1" applyFont="1">
      <alignment horizontal="center" vertical="bottom"/>
    </xf>
    <xf borderId="51" fillId="10" fontId="32" numFmtId="0" xfId="0" applyAlignment="1" applyBorder="1" applyFont="1">
      <alignment horizontal="center" vertical="bottom"/>
    </xf>
    <xf borderId="51" fillId="0" fontId="32" numFmtId="0" xfId="0" applyAlignment="1" applyBorder="1" applyFont="1">
      <alignment horizontal="center" vertical="bottom"/>
    </xf>
    <xf borderId="51" fillId="36" fontId="32" numFmtId="0" xfId="0" applyAlignment="1" applyBorder="1" applyFont="1">
      <alignment horizontal="center" vertical="bottom"/>
    </xf>
    <xf borderId="51" fillId="0" fontId="33" numFmtId="0" xfId="0" applyAlignment="1" applyBorder="1" applyFont="1">
      <alignment vertical="bottom"/>
    </xf>
    <xf borderId="51" fillId="0" fontId="33" numFmtId="0" xfId="0" applyAlignment="1" applyBorder="1" applyFont="1">
      <alignment horizontal="center" vertical="bottom"/>
    </xf>
    <xf borderId="83" fillId="0" fontId="32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37" fillId="14" fontId="32" numFmtId="0" xfId="0" applyAlignment="1" applyBorder="1" applyFont="1">
      <alignment horizontal="center" vertical="bottom"/>
    </xf>
    <xf borderId="51" fillId="14" fontId="32" numFmtId="0" xfId="0" applyAlignment="1" applyBorder="1" applyFont="1">
      <alignment horizontal="center" vertical="bottom"/>
    </xf>
    <xf borderId="51" fillId="0" fontId="1" numFmtId="0" xfId="0" applyAlignment="1" applyBorder="1" applyFont="1">
      <alignment vertical="bottom"/>
    </xf>
    <xf borderId="83" fillId="0" fontId="16" numFmtId="0" xfId="0" applyAlignment="1" applyBorder="1" applyFont="1">
      <alignment vertical="center"/>
    </xf>
    <xf borderId="50" fillId="0" fontId="32" numFmtId="0" xfId="0" applyAlignment="1" applyBorder="1" applyFont="1">
      <alignment horizontal="center" vertical="bottom"/>
    </xf>
    <xf borderId="5" fillId="0" fontId="33" numFmtId="0" xfId="0" applyAlignment="1" applyBorder="1" applyFont="1">
      <alignment vertical="bottom"/>
    </xf>
    <xf borderId="37" fillId="23" fontId="32" numFmtId="0" xfId="0" applyAlignment="1" applyBorder="1" applyFont="1">
      <alignment horizontal="center" shrinkToFit="0" vertical="bottom" wrapText="1"/>
    </xf>
    <xf borderId="51" fillId="23" fontId="32" numFmtId="0" xfId="0" applyAlignment="1" applyBorder="1" applyFont="1">
      <alignment horizontal="center" vertical="bottom"/>
    </xf>
    <xf borderId="51" fillId="13" fontId="32" numFmtId="0" xfId="0" applyAlignment="1" applyBorder="1" applyFont="1">
      <alignment horizontal="center" vertical="bottom"/>
    </xf>
    <xf borderId="37" fillId="0" fontId="1" numFmtId="0" xfId="0" applyAlignment="1" applyBorder="1" applyFont="1">
      <alignment vertical="bottom"/>
    </xf>
    <xf borderId="51" fillId="0" fontId="1" numFmtId="0" xfId="0" applyAlignment="1" applyBorder="1" applyFont="1">
      <alignment vertical="center"/>
    </xf>
    <xf borderId="40" fillId="38" fontId="52" numFmtId="0" xfId="0" applyAlignment="1" applyBorder="1" applyFont="1">
      <alignment horizontal="center" vertical="bottom"/>
    </xf>
    <xf borderId="37" fillId="0" fontId="52" numFmtId="0" xfId="0" applyAlignment="1" applyBorder="1" applyFont="1">
      <alignment horizontal="center" shrinkToFit="0" vertical="bottom" wrapText="1"/>
    </xf>
    <xf borderId="5" fillId="0" fontId="52" numFmtId="0" xfId="0" applyAlignment="1" applyBorder="1" applyFont="1">
      <alignment horizontal="center" shrinkToFit="0" vertical="bottom" wrapText="1"/>
    </xf>
    <xf borderId="5" fillId="0" fontId="52" numFmtId="0" xfId="0" applyAlignment="1" applyBorder="1" applyFont="1">
      <alignment horizontal="center" shrinkToFit="0" vertical="center" wrapText="1"/>
    </xf>
    <xf borderId="37" fillId="23" fontId="32" numFmtId="0" xfId="0" applyAlignment="1" applyBorder="1" applyFont="1">
      <alignment horizontal="center" vertical="bottom"/>
    </xf>
    <xf borderId="51" fillId="25" fontId="32" numFmtId="0" xfId="0" applyAlignment="1" applyBorder="1" applyFont="1">
      <alignment horizontal="center" vertical="bottom"/>
    </xf>
    <xf borderId="37" fillId="10" fontId="32" numFmtId="0" xfId="0" applyAlignment="1" applyBorder="1" applyFont="1">
      <alignment horizontal="center" vertical="bottom"/>
    </xf>
    <xf borderId="5" fillId="0" fontId="33" numFmtId="0" xfId="0" applyAlignment="1" applyBorder="1" applyFont="1">
      <alignment horizontal="center" vertical="bottom"/>
    </xf>
    <xf borderId="37" fillId="28" fontId="32" numFmtId="0" xfId="0" applyAlignment="1" applyBorder="1" applyFont="1">
      <alignment horizontal="center" vertical="bottom"/>
    </xf>
    <xf borderId="51" fillId="28" fontId="32" numFmtId="0" xfId="0" applyAlignment="1" applyBorder="1" applyFont="1">
      <alignment horizontal="center" vertical="bottom"/>
    </xf>
    <xf borderId="51" fillId="2" fontId="32" numFmtId="0" xfId="0" applyAlignment="1" applyBorder="1" applyFont="1">
      <alignment horizontal="center" vertical="bottom"/>
    </xf>
    <xf borderId="5" fillId="6" fontId="11" numFmtId="0" xfId="0" applyAlignment="1" applyBorder="1" applyFont="1">
      <alignment horizontal="right" vertical="center"/>
    </xf>
    <xf borderId="5" fillId="6" fontId="11" numFmtId="175" xfId="0" applyAlignment="1" applyBorder="1" applyFont="1" applyNumberFormat="1">
      <alignment vertical="center"/>
    </xf>
    <xf borderId="83" fillId="0" fontId="32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vertical="center"/>
    </xf>
    <xf borderId="0" fillId="0" fontId="11" numFmtId="168" xfId="0" applyAlignment="1" applyFont="1" applyNumberFormat="1">
      <alignment vertical="center"/>
    </xf>
    <xf borderId="0" fillId="2" fontId="11" numFmtId="0" xfId="0" applyAlignment="1" applyFont="1">
      <alignment horizontal="center" vertical="center"/>
    </xf>
    <xf borderId="50" fillId="0" fontId="33" numFmtId="0" xfId="0" applyAlignment="1" applyBorder="1" applyFont="1">
      <alignment vertical="bottom"/>
    </xf>
    <xf borderId="0" fillId="2" fontId="22" numFmtId="164" xfId="0" applyAlignment="1" applyFont="1" applyNumberFormat="1">
      <alignment vertical="center"/>
    </xf>
    <xf borderId="0" fillId="0" fontId="11" numFmtId="164" xfId="0" applyAlignment="1" applyFont="1" applyNumberFormat="1">
      <alignment horizontal="center" vertical="center"/>
    </xf>
    <xf borderId="5" fillId="39" fontId="22" numFmtId="0" xfId="0" applyAlignment="1" applyBorder="1" applyFill="1" applyFont="1">
      <alignment horizontal="center" readingOrder="0" vertical="center"/>
    </xf>
    <xf borderId="5" fillId="0" fontId="22" numFmtId="0" xfId="0" applyAlignment="1" applyBorder="1" applyFont="1">
      <alignment horizontal="center" vertical="center"/>
    </xf>
    <xf borderId="5" fillId="3" fontId="22" numFmtId="0" xfId="0" applyAlignment="1" applyBorder="1" applyFont="1">
      <alignment horizontal="center" readingOrder="0" vertical="center"/>
    </xf>
    <xf borderId="37" fillId="21" fontId="32" numFmtId="0" xfId="0" applyAlignment="1" applyBorder="1" applyFont="1">
      <alignment horizontal="center" vertical="bottom"/>
    </xf>
    <xf borderId="5" fillId="2" fontId="22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2" numFmtId="0" xfId="0" applyAlignment="1" applyFont="1">
      <alignment horizontal="center" vertical="bottom"/>
    </xf>
    <xf borderId="0" fillId="0" fontId="52" numFmtId="0" xfId="0" applyAlignment="1" applyFont="1">
      <alignment horizontal="center" vertical="center"/>
    </xf>
    <xf borderId="0" fillId="0" fontId="32" numFmtId="0" xfId="0" applyAlignment="1" applyFont="1">
      <alignment horizontal="center" vertical="bottom"/>
    </xf>
    <xf borderId="5" fillId="0" fontId="11" numFmtId="168" xfId="0" applyAlignment="1" applyBorder="1" applyFont="1" applyNumberFormat="1">
      <alignment vertical="center"/>
    </xf>
    <xf borderId="0" fillId="14" fontId="32" numFmtId="0" xfId="0" applyAlignment="1" applyFont="1">
      <alignment horizontal="center" vertical="bottom"/>
    </xf>
    <xf borderId="0" fillId="2" fontId="32" numFmtId="0" xfId="0" applyAlignment="1" applyFont="1">
      <alignment horizontal="center" vertical="bottom"/>
    </xf>
    <xf borderId="5" fillId="2" fontId="11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horizontal="center" shrinkToFit="0" vertical="bottom" wrapText="1"/>
    </xf>
    <xf borderId="5" fillId="2" fontId="11" numFmtId="164" xfId="0" applyAlignment="1" applyBorder="1" applyFont="1" applyNumberFormat="1">
      <alignment vertical="center"/>
    </xf>
    <xf borderId="0" fillId="10" fontId="32" numFmtId="0" xfId="0" applyAlignment="1" applyFont="1">
      <alignment horizontal="center" vertical="bottom"/>
    </xf>
    <xf borderId="0" fillId="25" fontId="32" numFmtId="0" xfId="0" applyAlignment="1" applyFont="1">
      <alignment horizontal="center" vertical="bottom"/>
    </xf>
    <xf borderId="5" fillId="0" fontId="11" numFmtId="0" xfId="0" applyAlignment="1" applyBorder="1" applyFont="1">
      <alignment horizontal="center" readingOrder="0" vertical="center"/>
    </xf>
    <xf borderId="0" fillId="23" fontId="32" numFmtId="0" xfId="0" applyAlignment="1" applyFont="1">
      <alignment horizontal="center" vertical="bottom"/>
    </xf>
    <xf borderId="0" fillId="36" fontId="32" numFmtId="0" xfId="0" applyAlignment="1" applyFont="1">
      <alignment horizontal="center" vertical="bottom"/>
    </xf>
    <xf borderId="0" fillId="28" fontId="33" numFmtId="0" xfId="0" applyAlignment="1" applyFont="1">
      <alignment horizontal="center" vertical="bottom"/>
    </xf>
    <xf borderId="0" fillId="13" fontId="32" numFmtId="0" xfId="0" applyAlignment="1" applyFont="1">
      <alignment horizontal="center" vertical="bottom"/>
    </xf>
    <xf borderId="5" fillId="2" fontId="11" numFmtId="3" xfId="0" applyAlignment="1" applyBorder="1" applyFont="1" applyNumberFormat="1">
      <alignment horizontal="center" vertical="center"/>
    </xf>
    <xf borderId="0" fillId="2" fontId="11" numFmtId="0" xfId="0" applyAlignment="1" applyFont="1">
      <alignment vertical="center"/>
    </xf>
    <xf borderId="5" fillId="2" fontId="11" numFmtId="0" xfId="0" applyAlignment="1" applyBorder="1" applyFont="1">
      <alignment vertical="center"/>
    </xf>
    <xf borderId="5" fillId="2" fontId="11" numFmtId="172" xfId="0" applyAlignment="1" applyBorder="1" applyFont="1" applyNumberFormat="1">
      <alignment vertical="center"/>
    </xf>
    <xf borderId="5" fillId="0" fontId="11" numFmtId="3" xfId="0" applyAlignment="1" applyBorder="1" applyFont="1" applyNumberFormat="1">
      <alignment vertical="center"/>
    </xf>
    <xf borderId="5" fillId="25" fontId="11" numFmtId="0" xfId="0" applyAlignment="1" applyBorder="1" applyFont="1">
      <alignment vertical="center"/>
    </xf>
    <xf borderId="5" fillId="25" fontId="11" numFmtId="175" xfId="0" applyAlignment="1" applyBorder="1" applyFont="1" applyNumberFormat="1">
      <alignment vertical="center"/>
    </xf>
    <xf borderId="5" fillId="14" fontId="11" numFmtId="0" xfId="0" applyAlignment="1" applyBorder="1" applyFont="1">
      <alignment vertical="center"/>
    </xf>
    <xf borderId="5" fillId="14" fontId="11" numFmtId="172" xfId="0" applyAlignment="1" applyBorder="1" applyFont="1" applyNumberFormat="1">
      <alignment vertical="center"/>
    </xf>
    <xf borderId="5" fillId="36" fontId="11" numFmtId="0" xfId="0" applyAlignment="1" applyBorder="1" applyFont="1">
      <alignment vertical="center"/>
    </xf>
    <xf borderId="5" fillId="36" fontId="11" numFmtId="175" xfId="0" applyAlignment="1" applyBorder="1" applyFont="1" applyNumberFormat="1">
      <alignment vertical="center"/>
    </xf>
    <xf borderId="5" fillId="6" fontId="11" numFmtId="172" xfId="0" applyAlignment="1" applyBorder="1" applyFont="1" applyNumberFormat="1">
      <alignment vertical="center"/>
    </xf>
    <xf borderId="0" fillId="2" fontId="22" numFmtId="0" xfId="0" applyAlignment="1" applyFont="1">
      <alignment vertical="center"/>
    </xf>
    <xf borderId="5" fillId="0" fontId="11" numFmtId="0" xfId="0" applyAlignment="1" applyBorder="1" applyFont="1">
      <alignment horizontal="center" vertical="center"/>
    </xf>
    <xf borderId="0" fillId="0" fontId="11" numFmtId="14" xfId="0" applyAlignment="1" applyFont="1" applyNumberFormat="1">
      <alignment readingOrder="0" vertical="center"/>
    </xf>
    <xf borderId="5" fillId="0" fontId="11" numFmtId="164" xfId="0" applyAlignment="1" applyBorder="1" applyFont="1" applyNumberFormat="1">
      <alignment readingOrder="0" vertical="center"/>
    </xf>
    <xf borderId="5" fillId="0" fontId="11" numFmtId="164" xfId="0" applyAlignment="1" applyBorder="1" applyFont="1" applyNumberFormat="1">
      <alignment vertical="center"/>
    </xf>
    <xf borderId="0" fillId="0" fontId="11" numFmtId="164" xfId="0" applyAlignment="1" applyFont="1" applyNumberFormat="1">
      <alignment readingOrder="0" vertical="center"/>
    </xf>
    <xf borderId="0" fillId="14" fontId="11" numFmtId="0" xfId="0" applyAlignment="1" applyFont="1">
      <alignment readingOrder="0" vertical="center"/>
    </xf>
    <xf borderId="0" fillId="14" fontId="11" numFmtId="164" xfId="0" applyAlignment="1" applyFont="1" applyNumberFormat="1">
      <alignment vertical="center"/>
    </xf>
    <xf borderId="0" fillId="0" fontId="33" numFmtId="14" xfId="0" applyAlignment="1" applyFont="1" applyNumberFormat="1">
      <alignment horizontal="right" vertical="center"/>
    </xf>
    <xf borderId="5" fillId="0" fontId="33" numFmtId="164" xfId="0" applyAlignment="1" applyBorder="1" applyFont="1" applyNumberFormat="1">
      <alignment vertical="center"/>
    </xf>
    <xf borderId="0" fillId="0" fontId="33" numFmtId="14" xfId="0" applyAlignment="1" applyFont="1" applyNumberFormat="1">
      <alignment horizontal="right" readingOrder="0" vertical="center"/>
    </xf>
    <xf borderId="5" fillId="0" fontId="33" numFmtId="164" xfId="0" applyAlignment="1" applyBorder="1" applyFont="1" applyNumberFormat="1">
      <alignment horizontal="right" readingOrder="0" vertical="center"/>
    </xf>
    <xf borderId="0" fillId="0" fontId="11" numFmtId="172" xfId="0" applyAlignment="1" applyFont="1" applyNumberFormat="1">
      <alignment readingOrder="0" vertical="center"/>
    </xf>
    <xf borderId="5" fillId="0" fontId="11" numFmtId="0" xfId="0" applyAlignment="1" applyBorder="1" applyFont="1">
      <alignment readingOrder="0" vertical="center"/>
    </xf>
    <xf borderId="5" fillId="25" fontId="11" numFmtId="172" xfId="0" applyAlignment="1" applyBorder="1" applyFont="1" applyNumberFormat="1">
      <alignment vertical="center"/>
    </xf>
    <xf borderId="5" fillId="25" fontId="11" numFmtId="182" xfId="0" applyAlignment="1" applyBorder="1" applyFont="1" applyNumberFormat="1">
      <alignment vertical="center"/>
    </xf>
    <xf borderId="5" fillId="3" fontId="11" numFmtId="0" xfId="0" applyAlignment="1" applyBorder="1" applyFont="1">
      <alignment vertical="center"/>
    </xf>
    <xf borderId="5" fillId="0" fontId="11" numFmtId="0" xfId="0" applyAlignment="1" applyBorder="1" applyFont="1">
      <alignment vertical="center"/>
    </xf>
    <xf borderId="5" fillId="36" fontId="11" numFmtId="172" xfId="0" applyAlignment="1" applyBorder="1" applyFont="1" applyNumberFormat="1">
      <alignment vertical="center"/>
    </xf>
    <xf borderId="0" fillId="0" fontId="141" numFmtId="175" xfId="0" applyAlignment="1" applyFont="1" applyNumberFormat="1">
      <alignment readingOrder="0" vertical="center"/>
    </xf>
    <xf borderId="0" fillId="0" fontId="141" numFmtId="0" xfId="0" applyAlignment="1" applyFont="1">
      <alignment horizontal="center" readingOrder="0" vertical="center"/>
    </xf>
    <xf borderId="0" fillId="17" fontId="141" numFmtId="0" xfId="0" applyAlignment="1" applyFont="1">
      <alignment horizontal="center" readingOrder="0" vertical="center"/>
    </xf>
    <xf borderId="0" fillId="0" fontId="141" numFmtId="0" xfId="0" applyAlignment="1" applyFont="1">
      <alignment readingOrder="0" vertical="center"/>
    </xf>
    <xf borderId="0" fillId="4" fontId="141" numFmtId="0" xfId="0" applyAlignment="1" applyFont="1">
      <alignment horizontal="center" readingOrder="0" vertical="center"/>
    </xf>
    <xf borderId="0" fillId="4" fontId="141" numFmtId="0" xfId="0" applyAlignment="1" applyFont="1">
      <alignment readingOrder="0" vertical="center"/>
    </xf>
    <xf borderId="0" fillId="4" fontId="141" numFmtId="0" xfId="0" applyAlignment="1" applyFont="1">
      <alignment vertical="center"/>
    </xf>
    <xf borderId="0" fillId="0" fontId="141" numFmtId="0" xfId="0" applyAlignment="1" applyFont="1">
      <alignment vertical="center"/>
    </xf>
    <xf borderId="0" fillId="3" fontId="5" numFmtId="175" xfId="0" applyAlignment="1" applyFont="1" applyNumberFormat="1">
      <alignment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5" numFmtId="3" xfId="0" applyAlignment="1" applyFont="1" applyNumberFormat="1">
      <alignment horizontal="center" vertical="center"/>
    </xf>
    <xf borderId="0" fillId="17" fontId="5" numFmtId="0" xfId="0" applyAlignment="1" applyFont="1">
      <alignment horizontal="center" vertical="center"/>
    </xf>
    <xf borderId="0" fillId="3" fontId="5" numFmtId="4" xfId="0" applyAlignment="1" applyFont="1" applyNumberFormat="1">
      <alignment horizontal="center" vertical="center"/>
    </xf>
    <xf borderId="0" fillId="3" fontId="5" numFmtId="4" xfId="0" applyAlignment="1" applyFont="1" applyNumberFormat="1">
      <alignment vertical="center"/>
    </xf>
    <xf borderId="0" fillId="4" fontId="11" numFmtId="10" xfId="0" applyAlignment="1" applyFont="1" applyNumberFormat="1">
      <alignment horizontal="center" vertical="center"/>
    </xf>
    <xf borderId="0" fillId="4" fontId="11" numFmtId="2" xfId="0" applyAlignment="1" applyFont="1" applyNumberFormat="1">
      <alignment vertical="center"/>
    </xf>
    <xf borderId="0" fillId="3" fontId="11" numFmtId="0" xfId="0" applyAlignment="1" applyFont="1">
      <alignment vertical="center"/>
    </xf>
    <xf borderId="0" fillId="17" fontId="5" numFmtId="3" xfId="0" applyAlignment="1" applyFont="1" applyNumberFormat="1">
      <alignment horizontal="center" vertical="center"/>
    </xf>
    <xf borderId="0" fillId="25" fontId="5" numFmtId="175" xfId="0" applyAlignment="1" applyFont="1" applyNumberFormat="1">
      <alignment vertical="center"/>
    </xf>
    <xf borderId="0" fillId="25" fontId="5" numFmtId="0" xfId="0" applyAlignment="1" applyFont="1">
      <alignment horizontal="center" vertical="center"/>
    </xf>
    <xf borderId="0" fillId="25" fontId="5" numFmtId="0" xfId="0" applyAlignment="1" applyFont="1">
      <alignment horizontal="center" vertical="center"/>
    </xf>
    <xf borderId="0" fillId="25" fontId="5" numFmtId="3" xfId="0" applyAlignment="1" applyFont="1" applyNumberFormat="1">
      <alignment horizontal="center" vertical="center"/>
    </xf>
    <xf borderId="0" fillId="25" fontId="5" numFmtId="4" xfId="0" applyAlignment="1" applyFont="1" applyNumberFormat="1">
      <alignment horizontal="center" vertical="center"/>
    </xf>
    <xf borderId="0" fillId="25" fontId="5" numFmtId="4" xfId="0" applyAlignment="1" applyFont="1" applyNumberFormat="1">
      <alignment vertical="center"/>
    </xf>
    <xf borderId="0" fillId="25" fontId="11" numFmtId="0" xfId="0" applyAlignment="1" applyFont="1">
      <alignment vertical="center"/>
    </xf>
    <xf borderId="0" fillId="36" fontId="5" numFmtId="175" xfId="0" applyAlignment="1" applyFont="1" applyNumberFormat="1">
      <alignment vertical="center"/>
    </xf>
    <xf borderId="0" fillId="36" fontId="5" numFmtId="0" xfId="0" applyAlignment="1" applyFont="1">
      <alignment horizontal="center" vertical="center"/>
    </xf>
    <xf borderId="0" fillId="36" fontId="5" numFmtId="0" xfId="0" applyAlignment="1" applyFont="1">
      <alignment horizontal="center" vertical="center"/>
    </xf>
    <xf borderId="0" fillId="36" fontId="5" numFmtId="3" xfId="0" applyAlignment="1" applyFont="1" applyNumberFormat="1">
      <alignment horizontal="center" vertical="center"/>
    </xf>
    <xf borderId="0" fillId="36" fontId="5" numFmtId="4" xfId="0" applyAlignment="1" applyFont="1" applyNumberFormat="1">
      <alignment horizontal="center" vertical="center"/>
    </xf>
    <xf borderId="0" fillId="36" fontId="5" numFmtId="4" xfId="0" applyAlignment="1" applyFont="1" applyNumberFormat="1">
      <alignment vertical="center"/>
    </xf>
    <xf borderId="0" fillId="36" fontId="11" numFmtId="0" xfId="0" applyAlignment="1" applyFont="1">
      <alignment vertical="center"/>
    </xf>
    <xf borderId="0" fillId="0" fontId="5" numFmtId="175" xfId="0" applyAlignment="1" applyFont="1" applyNumberFormat="1">
      <alignment readingOrder="0" vertical="center"/>
    </xf>
    <xf borderId="0" fillId="40" fontId="5" numFmtId="0" xfId="0" applyAlignment="1" applyFill="1" applyFont="1">
      <alignment horizontal="center" vertical="center"/>
    </xf>
    <xf borderId="0" fillId="40" fontId="5" numFmtId="3" xfId="0" applyAlignment="1" applyFont="1" applyNumberFormat="1">
      <alignment horizontal="center" vertical="center"/>
    </xf>
    <xf borderId="0" fillId="40" fontId="5" numFmtId="0" xfId="0" applyAlignment="1" applyFont="1">
      <alignment horizontal="center" readingOrder="0" vertical="center"/>
    </xf>
    <xf borderId="0" fillId="40" fontId="5" numFmtId="4" xfId="0" applyAlignment="1" applyFont="1" applyNumberFormat="1">
      <alignment horizontal="center" readingOrder="0" vertical="center"/>
    </xf>
    <xf borderId="0" fillId="40" fontId="5" numFmtId="4" xfId="0" applyAlignment="1" applyFont="1" applyNumberFormat="1">
      <alignment readingOrder="0" vertical="center"/>
    </xf>
    <xf borderId="0" fillId="40" fontId="5" numFmtId="4" xfId="0" applyAlignment="1" applyFont="1" applyNumberFormat="1">
      <alignment horizontal="center" vertical="center"/>
    </xf>
    <xf borderId="0" fillId="40" fontId="5" numFmtId="4" xfId="0" applyAlignment="1" applyFont="1" applyNumberFormat="1">
      <alignment vertical="center"/>
    </xf>
    <xf borderId="0" fillId="40" fontId="5" numFmtId="0" xfId="0" applyAlignment="1" applyFont="1">
      <alignment vertical="center"/>
    </xf>
    <xf borderId="0" fillId="3" fontId="5" numFmtId="175" xfId="0" applyAlignment="1" applyFont="1" applyNumberFormat="1">
      <alignment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4" xfId="0" applyAlignment="1" applyFont="1" applyNumberFormat="1">
      <alignment horizontal="center" readingOrder="0" vertical="center"/>
    </xf>
    <xf borderId="0" fillId="3" fontId="5" numFmtId="4" xfId="0" applyAlignment="1" applyFont="1" applyNumberFormat="1">
      <alignment readingOrder="0" vertical="center"/>
    </xf>
    <xf borderId="0" fillId="3" fontId="5" numFmtId="0" xfId="0" applyAlignment="1" applyFont="1">
      <alignment vertical="center"/>
    </xf>
    <xf borderId="0" fillId="21" fontId="5" numFmtId="175" xfId="0" applyAlignment="1" applyFont="1" applyNumberFormat="1">
      <alignment readingOrder="0" vertical="center"/>
    </xf>
    <xf borderId="0" fillId="21" fontId="5" numFmtId="0" xfId="0" applyAlignment="1" applyFont="1">
      <alignment horizontal="center" vertical="center"/>
    </xf>
    <xf borderId="0" fillId="21" fontId="5" numFmtId="0" xfId="0" applyAlignment="1" applyFont="1">
      <alignment vertical="center"/>
    </xf>
    <xf borderId="0" fillId="13" fontId="5" numFmtId="175" xfId="0" applyAlignment="1" applyFont="1" applyNumberFormat="1">
      <alignment readingOrder="0" vertical="center"/>
    </xf>
    <xf borderId="0" fillId="13" fontId="5" numFmtId="0" xfId="0" applyAlignment="1" applyFont="1">
      <alignment horizontal="center" vertical="center"/>
    </xf>
    <xf borderId="0" fillId="13" fontId="5" numFmtId="0" xfId="0" applyAlignment="1" applyFont="1">
      <alignment vertical="center"/>
    </xf>
    <xf borderId="0" fillId="2" fontId="5" numFmtId="175" xfId="0" applyAlignment="1" applyFont="1" applyNumberFormat="1">
      <alignment readingOrder="0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13" fontId="11" numFmtId="0" xfId="0" applyAlignment="1" applyFont="1">
      <alignment horizontal="center" vertical="center"/>
    </xf>
    <xf borderId="0" fillId="13" fontId="11" numFmtId="0" xfId="0" applyAlignment="1" applyFont="1">
      <alignment vertical="center"/>
    </xf>
    <xf borderId="0" fillId="20" fontId="5" numFmtId="175" xfId="0" applyAlignment="1" applyFont="1" applyNumberFormat="1">
      <alignment readingOrder="0" vertical="center"/>
    </xf>
    <xf borderId="0" fillId="0" fontId="11" numFmtId="175" xfId="0" applyAlignment="1" applyFont="1" applyNumberFormat="1">
      <alignment vertical="center"/>
    </xf>
    <xf borderId="0" fillId="17" fontId="11" numFmtId="0" xfId="0" applyAlignment="1" applyFont="1">
      <alignment horizontal="center" vertical="center"/>
    </xf>
    <xf borderId="0" fillId="0" fontId="115" numFmtId="0" xfId="0" applyAlignment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right" readingOrder="0" vertical="center"/>
    </xf>
    <xf borderId="5" fillId="0" fontId="11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1F1F1F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Динамика загрузки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</xdr:row>
      <xdr:rowOff>180975</xdr:rowOff>
    </xdr:from>
    <xdr:ext cx="990600" cy="419100"/>
    <xdr:grpSp>
      <xdr:nvGrpSpPr>
        <xdr:cNvPr id="2" name="Shape 2" title="Рисунок"/>
        <xdr:cNvGrpSpPr/>
      </xdr:nvGrpSpPr>
      <xdr:grpSpPr>
        <a:xfrm>
          <a:off x="153250" y="110550"/>
          <a:ext cx="974400" cy="400200"/>
          <a:chOff x="153250" y="110550"/>
          <a:chExt cx="974400" cy="400200"/>
        </a:xfrm>
      </xdr:grpSpPr>
      <xdr:sp>
        <xdr:nvSpPr>
          <xdr:cNvPr id="3" name="Shape 3"/>
          <xdr:cNvSpPr/>
        </xdr:nvSpPr>
        <xdr:spPr>
          <a:xfrm>
            <a:off x="153250" y="153300"/>
            <a:ext cx="974400" cy="314700"/>
          </a:xfrm>
          <a:prstGeom prst="roundRect">
            <a:avLst>
              <a:gd fmla="val 16667" name="adj"/>
            </a:avLst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15700" y="110550"/>
            <a:ext cx="649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скан</a:t>
            </a:r>
            <a:endParaRPr sz="1400"/>
          </a:p>
        </xdr:txBody>
      </xdr:sp>
    </xdr:grp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005" displayName="Table_1" name="Table_1" id="1">
  <tableColumns count="1">
    <tableColumn name="Дата " id="1"/>
  </tableColumns>
  <tableStyleInfo name="Динамика загрузк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vito.ru/tyumen/oborudovanie_dlya_biznesa/pishevoe/neitralnoe/moecnoe_oborudovanie-ASgBAgICA0TqAvpPkKUU5vaOA6ylFPj3jgM?q=%D0%B2%D0%B0%D0%BD%D0%BD%D0%B0+%D0%BC%D0%BE%D0%B5%D1%87%D0%BD%D0%B0%D1%8F+70" TargetMode="External"/><Relationship Id="rId10" Type="http://schemas.openxmlformats.org/officeDocument/2006/relationships/hyperlink" Target="https://www.avito.ru/ryazan/bytovaya_tehnika/blinnyy_apparat_sikom_7309630210" TargetMode="External"/><Relationship Id="rId13" Type="http://schemas.openxmlformats.org/officeDocument/2006/relationships/hyperlink" Target="https://www.avito.ru/tyumen/oborudovanie_dlya_biznesa/vesy_napolnye_elektronnye_torgovye_7509978347?segment=avitoForBusiness&amp;utm_campaign=native&amp;utm_medium=item_page_android&amp;utm_source=soc_sharing" TargetMode="External"/><Relationship Id="rId12" Type="http://schemas.openxmlformats.org/officeDocument/2006/relationships/hyperlink" Target="https://polyfacture.ru/catalog/zhirouloviteli-avtosbor/23355/" TargetMode="External"/><Relationship Id="rId1" Type="http://schemas.openxmlformats.org/officeDocument/2006/relationships/hyperlink" Target="https://www.avito.ru/kirovskaya_oblast_kirov/oborudovanie_dlya_biznesa/skovoroda_oprokidyvayuschayasya_tula_sesm-03n_4167586681?context=H4sIAAAAAAAA_wE_AMD_YToyOntzOjEzOiJsb2NhbFByaW9yaXR5IjtiOjA7czoxOiJ4IjtzOjE2OiJzRUtOdmRzT0cyZnNXUWhPIjt9leFoFz8AAAA" TargetMode="External"/><Relationship Id="rId2" Type="http://schemas.openxmlformats.org/officeDocument/2006/relationships/hyperlink" Target="https://abat.ru/catalog/testomesy/spiralnyy-testomes-tms-60nn-1r-serii-light/" TargetMode="External"/><Relationship Id="rId3" Type="http://schemas.openxmlformats.org/officeDocument/2006/relationships/hyperlink" Target="https://www.avito.ru/sankt-peterburg/bytovaya_tehnika/myasorubka_mim-600_7269946449?slocation=659020&amp;context=H4sIAAAAAAAA_wE_AMD_YToyOntzOjEzOiJsb2NhbFByaW9yaXR5IjtiOjE7czoxOiJ4IjtzOjE2OiI4QlZRbWxyWHpSd2dDREF1Ijt9SgdCXT8AAAA" TargetMode="External"/><Relationship Id="rId4" Type="http://schemas.openxmlformats.org/officeDocument/2006/relationships/hyperlink" Target="https://www.avito.ru/samara/oborudovanie_dlya_biznesa/ovoscherezka_robot_coupe_cl50e_s_diskami_4605343063?segment=avitoForBusiness&amp;slocation=659020&amp;context=H4sIAAAAAAAA_wGDAHz_YTo0OntzOjk6ImZyb21TcGFjZSI7czoxNjoiYXZpdG9Gb3JCdXNpbmVzcyI7czoxMzoibG9jYWxQcmlvcml0eSI7YjoxO3M6Mzoic3JjIjtzOjEwOiJhZmJfc2VhcmNoIjtzOjE6IngiO3M6MTY6ImtjdlZxbkR6WkFQRzZoMmEiO31KVkvkgwAAAA" TargetMode="External"/><Relationship Id="rId9" Type="http://schemas.openxmlformats.org/officeDocument/2006/relationships/hyperlink" Target="https://www.avito.ru/tyumen?q=%D1%81%D1%82%D0%BE%D0%BB+%D0%BD%D0%B5%D1%80%D0%B6%D0%B0%D0%B2%D0%B5%D0%B9%D0%BA%D0%B0+1200+%D1%85+700" TargetMode="External"/><Relationship Id="rId15" Type="http://schemas.openxmlformats.org/officeDocument/2006/relationships/hyperlink" Target="https://www.avito.ru/ekaterinburg/oborudovanie_dlya_biznesa/kotel_varochnyy_abat_kpem-160-o_4254362678?utm_campaign=native&amp;utm_medium=item_page_android&amp;utm_source=soc_sharing" TargetMode="External"/><Relationship Id="rId14" Type="http://schemas.openxmlformats.org/officeDocument/2006/relationships/hyperlink" Target="https://www.avito.ru/tyumen/oborudovanie_dlya_biznesa/mikser_planetarnyy_foodatlas_b-20ba_eco20l_4679194856?utm_campaign=native&amp;utm_medium=item_page_android&amp;utm_source=soc_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vito.ru/tyumen/oborudovanie_dlya_biznesa/plita_induktsionnaya_indokor_in3500_4613302168?context=H4sIAAAAAAAA_wE_AMD_YToyOntzOjEzOiJsb2NhbFByaW9yaXR5IjtiOjE7czoxOiJ4IjtzOjE2OiJPQ2JtbUtuWFpMUGdtZ3piIjt9gk7aRj8AAAA" TargetMode="External"/><Relationship Id="rId6" Type="http://schemas.openxmlformats.org/officeDocument/2006/relationships/hyperlink" Target="https://vodni-standart.ru/?utm_source=yandex&amp;utm_medium=cpc&amp;utm_campaign=115908423&amp;utm_term=---autotargeting&amp;utm_banner=1859837756768689779&amp;utm_phrase=53670918000&amp;utm_content=premium/5&amp;calltouch_tm=yd_c:115908423_gb:5512460668_ad:1859837756768689779_ph:53670918000_st:search_pt:premium_p:5_s:none_dt:desktop_reg:55_ret:53670918000_apt:none&amp;yclid=9140691686113411071" TargetMode="External"/><Relationship Id="rId7" Type="http://schemas.openxmlformats.org/officeDocument/2006/relationships/hyperlink" Target="https://www.avito.ru/tyumen/oborudovanie_dlya_biznesa/holodilnyy_shkaf_polair_07_3875580478?context=H4sIAAAAAAAA_wE_AMD_YToyOntzOjEzOiJsb2NhbFByaW9yaXR5IjtiOjE7czoxOiJ4IjtzOjE2OiJOQnRNcWE2cWZpbVBTazd6Ijt9_C3HcD8AAAA" TargetMode="External"/><Relationship Id="rId8" Type="http://schemas.openxmlformats.org/officeDocument/2006/relationships/hyperlink" Target="https://www.avito.ru/tyumen?cd=1&amp;context=H4sIAAAAAAAA_0SRwXKbMBCG38XXHrLYdVycycERkSIiKRXjgOBmRIJxMEktgcCdvntHtWd6hF3tfP_379bB-rdZB7Ce6c_T6U3b5rOb3Zn17XdYz2hnNT3iQ0XaoWxd89K6Rh9TVxJ8KFLXMOyaQu39d5-r5KucLzU9fGlqUQXskOxDFAD7KYcmkkOFAvX06jh5dMAW0ghCgQ1ysOQBclcDu5FDOwY8ethzgRbAIjmEZANsldQViSh_PkH-lNQWfQNman_DVn5eSiPQBEzJvkK3wDY13746LggW541zJ9MrPPYQ38jB-nkkbYg8Q9JMUVILz_ie1CFaQX729x3kzM-kFf7fj9r9GjwDAraS_XTJAnkkrd9lTNoKLYGdpEGbUWw3jgqCaaQd588r1l48aTLu83lqi2wJCtFbheKmyMahCq4eSXreZVWfHtNJz__7Lo_hVGbYsAybQsX-rVEoNrtsedKB37ErheKpUDgolPh3-y1wjVZpq7v22od3zHz-FRUoBKZ87rl3YazP38neIkejx4BHUbLfasfxhask4eHabZxg17wc8uBlu5n4E3gOKNT-mofJznpHZ-8j9P3XlvArry1U8lnOkwtPJ0aNw0W5iD_yLm7zzLa6DT92WfVVYde8p0FI6_v72d2fvwEAAP__xFx2vaECAAA&amp;q=%D1%81%D1%82%D0%BE%D0%BB+%D0%BD%D0%B5%D1%80%D0%B6%D0%B0%D0%B2%D0%B5%D0%B9%D0%BA%D0%B0+1500+%D1%85+7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45.44"/>
    <col customWidth="1" min="3" max="3" width="6.89"/>
    <col customWidth="1" min="4" max="4" width="5.0"/>
    <col customWidth="1" min="5" max="5" width="7.11"/>
    <col customWidth="1" min="6" max="6" width="11.22"/>
    <col customWidth="1" min="7" max="7" width="12.89"/>
  </cols>
  <sheetData>
    <row r="1">
      <c r="A1" s="1"/>
      <c r="B1" s="1"/>
      <c r="C1" s="3" t="s">
        <v>1</v>
      </c>
      <c r="E1" s="5"/>
      <c r="F1" s="7" t="s">
        <v>5</v>
      </c>
      <c r="G1" s="7">
        <f>SUM(G3:G202)</f>
        <v>1195960</v>
      </c>
      <c r="H1" s="1"/>
    </row>
    <row r="2">
      <c r="A2" s="3" t="s">
        <v>10</v>
      </c>
      <c r="B2" s="3" t="s">
        <v>0</v>
      </c>
      <c r="C2" s="16" t="s">
        <v>12</v>
      </c>
      <c r="D2" s="7" t="s">
        <v>15</v>
      </c>
      <c r="E2" s="18" t="s">
        <v>17</v>
      </c>
      <c r="F2" s="18" t="s">
        <v>19</v>
      </c>
      <c r="G2" s="3" t="s">
        <v>20</v>
      </c>
      <c r="H2" s="3" t="s">
        <v>22</v>
      </c>
    </row>
    <row r="3">
      <c r="A3" s="4">
        <v>1.0</v>
      </c>
      <c r="B3" s="1" t="s">
        <v>24</v>
      </c>
      <c r="C3" s="22">
        <v>2.0</v>
      </c>
      <c r="D3" s="24">
        <v>1.0</v>
      </c>
      <c r="E3" s="29">
        <f t="shared" ref="E3:E15" si="1">C3-D3</f>
        <v>1</v>
      </c>
      <c r="F3" s="30">
        <v>74000.0</v>
      </c>
      <c r="G3" s="30">
        <f t="shared" ref="G3:G15" si="2">E3*F3</f>
        <v>74000</v>
      </c>
      <c r="H3" s="39" t="s">
        <v>38</v>
      </c>
    </row>
    <row r="4">
      <c r="A4" s="4">
        <v>2.0</v>
      </c>
      <c r="B4" s="1" t="s">
        <v>52</v>
      </c>
      <c r="C4" s="22">
        <v>1.0</v>
      </c>
      <c r="D4" s="24">
        <v>1.0</v>
      </c>
      <c r="E4" s="29">
        <f t="shared" si="1"/>
        <v>0</v>
      </c>
      <c r="F4" s="30">
        <v>157000.0</v>
      </c>
      <c r="G4" s="30">
        <f t="shared" si="2"/>
        <v>0</v>
      </c>
      <c r="H4" s="39" t="s">
        <v>54</v>
      </c>
    </row>
    <row r="5">
      <c r="A5" s="4">
        <v>3.0</v>
      </c>
      <c r="B5" s="46" t="s">
        <v>60</v>
      </c>
      <c r="C5" s="22">
        <v>1.0</v>
      </c>
      <c r="D5" s="24">
        <v>0.0</v>
      </c>
      <c r="E5" s="29">
        <f t="shared" si="1"/>
        <v>1</v>
      </c>
      <c r="F5" s="30">
        <v>157000.0</v>
      </c>
      <c r="G5" s="30">
        <f t="shared" si="2"/>
        <v>157000</v>
      </c>
      <c r="H5" s="1"/>
    </row>
    <row r="6">
      <c r="A6" s="4">
        <v>4.0</v>
      </c>
      <c r="B6" s="1" t="s">
        <v>63</v>
      </c>
      <c r="C6" s="22">
        <v>1.0</v>
      </c>
      <c r="D6" s="24">
        <v>0.0</v>
      </c>
      <c r="E6" s="29">
        <f t="shared" si="1"/>
        <v>1</v>
      </c>
      <c r="F6" s="30">
        <v>30000.0</v>
      </c>
      <c r="G6" s="30">
        <f t="shared" si="2"/>
        <v>30000</v>
      </c>
      <c r="H6" s="39" t="s">
        <v>64</v>
      </c>
    </row>
    <row r="7">
      <c r="A7" s="4">
        <v>5.0</v>
      </c>
      <c r="B7" s="1" t="s">
        <v>73</v>
      </c>
      <c r="C7" s="22">
        <v>1.0</v>
      </c>
      <c r="D7" s="24">
        <v>0.0</v>
      </c>
      <c r="E7" s="29">
        <f t="shared" si="1"/>
        <v>1</v>
      </c>
      <c r="F7" s="30">
        <v>75000.0</v>
      </c>
      <c r="G7" s="30">
        <f t="shared" si="2"/>
        <v>75000</v>
      </c>
      <c r="H7" s="39" t="s">
        <v>75</v>
      </c>
    </row>
    <row r="8">
      <c r="A8" s="4">
        <v>6.0</v>
      </c>
      <c r="B8" s="1" t="s">
        <v>81</v>
      </c>
      <c r="C8" s="22">
        <v>7.0</v>
      </c>
      <c r="D8" s="24">
        <v>4.0</v>
      </c>
      <c r="E8" s="29">
        <f t="shared" si="1"/>
        <v>3</v>
      </c>
      <c r="F8" s="30">
        <v>17000.0</v>
      </c>
      <c r="G8" s="30">
        <f t="shared" si="2"/>
        <v>51000</v>
      </c>
      <c r="H8" s="39" t="s">
        <v>83</v>
      </c>
    </row>
    <row r="9">
      <c r="A9" s="4">
        <v>7.0</v>
      </c>
      <c r="B9" s="1" t="s">
        <v>88</v>
      </c>
      <c r="C9" s="22">
        <v>1.0</v>
      </c>
      <c r="D9" s="24">
        <v>0.0</v>
      </c>
      <c r="E9" s="29">
        <f t="shared" si="1"/>
        <v>1</v>
      </c>
      <c r="F9" s="30">
        <v>40000.0</v>
      </c>
      <c r="G9" s="30">
        <f t="shared" si="2"/>
        <v>40000</v>
      </c>
      <c r="H9" s="39" t="s">
        <v>91</v>
      </c>
    </row>
    <row r="10">
      <c r="A10" s="4">
        <v>8.0</v>
      </c>
      <c r="B10" s="1" t="s">
        <v>101</v>
      </c>
      <c r="C10" s="22">
        <v>8.0</v>
      </c>
      <c r="D10" s="24">
        <v>6.0</v>
      </c>
      <c r="E10" s="29">
        <f t="shared" si="1"/>
        <v>2</v>
      </c>
      <c r="F10" s="30">
        <v>30000.0</v>
      </c>
      <c r="G10" s="30">
        <f t="shared" si="2"/>
        <v>60000</v>
      </c>
      <c r="H10" s="39" t="s">
        <v>103</v>
      </c>
    </row>
    <row r="11">
      <c r="A11" s="4">
        <v>9.0</v>
      </c>
      <c r="B11" s="1" t="s">
        <v>112</v>
      </c>
      <c r="C11" s="22">
        <v>26.0</v>
      </c>
      <c r="D11" s="24">
        <v>8.0</v>
      </c>
      <c r="E11" s="29">
        <f t="shared" si="1"/>
        <v>18</v>
      </c>
      <c r="F11" s="30">
        <v>10100.0</v>
      </c>
      <c r="G11" s="30">
        <f t="shared" si="2"/>
        <v>181800</v>
      </c>
      <c r="H11" s="126" t="s">
        <v>115</v>
      </c>
    </row>
    <row r="12">
      <c r="A12" s="4">
        <v>10.0</v>
      </c>
      <c r="B12" s="1" t="s">
        <v>148</v>
      </c>
      <c r="C12" s="22">
        <v>11.0</v>
      </c>
      <c r="D12" s="24">
        <v>7.0</v>
      </c>
      <c r="E12" s="29">
        <f t="shared" si="1"/>
        <v>4</v>
      </c>
      <c r="F12" s="30">
        <v>9400.0</v>
      </c>
      <c r="G12" s="30">
        <f t="shared" si="2"/>
        <v>37600</v>
      </c>
      <c r="H12" s="39" t="s">
        <v>151</v>
      </c>
    </row>
    <row r="13">
      <c r="A13" s="4">
        <v>11.0</v>
      </c>
      <c r="B13" s="1" t="s">
        <v>160</v>
      </c>
      <c r="C13" s="22">
        <v>2.0</v>
      </c>
      <c r="D13" s="24">
        <v>6.0</v>
      </c>
      <c r="E13" s="29">
        <f t="shared" si="1"/>
        <v>-4</v>
      </c>
      <c r="F13" s="30">
        <v>5000.0</v>
      </c>
      <c r="G13" s="30">
        <f t="shared" si="2"/>
        <v>-20000</v>
      </c>
      <c r="H13" s="1" t="s">
        <v>163</v>
      </c>
    </row>
    <row r="14">
      <c r="A14" s="4">
        <v>12.0</v>
      </c>
      <c r="B14" s="1" t="s">
        <v>164</v>
      </c>
      <c r="C14" s="22">
        <v>1.0</v>
      </c>
      <c r="D14" s="24">
        <v>1.0</v>
      </c>
      <c r="E14" s="29">
        <f t="shared" si="1"/>
        <v>0</v>
      </c>
      <c r="F14" s="30">
        <v>230000.0</v>
      </c>
      <c r="G14" s="30">
        <f t="shared" si="2"/>
        <v>0</v>
      </c>
      <c r="H14" s="39" t="s">
        <v>165</v>
      </c>
    </row>
    <row r="15">
      <c r="A15" s="4">
        <v>13.0</v>
      </c>
      <c r="B15" s="1" t="s">
        <v>174</v>
      </c>
      <c r="C15" s="22">
        <v>6.0</v>
      </c>
      <c r="D15" s="24">
        <v>2.0</v>
      </c>
      <c r="E15" s="29">
        <f t="shared" si="1"/>
        <v>4</v>
      </c>
      <c r="F15" s="30">
        <v>9000.0</v>
      </c>
      <c r="G15" s="30">
        <f t="shared" si="2"/>
        <v>36000</v>
      </c>
      <c r="H15" s="39" t="s">
        <v>178</v>
      </c>
    </row>
    <row r="16">
      <c r="A16" s="4">
        <v>14.0</v>
      </c>
      <c r="B16" s="1" t="s">
        <v>189</v>
      </c>
      <c r="C16" s="22">
        <v>3.0</v>
      </c>
      <c r="D16" s="24">
        <v>3.0</v>
      </c>
      <c r="E16" s="164"/>
      <c r="F16" s="165"/>
      <c r="G16" s="165"/>
      <c r="H16" s="1"/>
    </row>
    <row r="17">
      <c r="A17" s="4">
        <v>15.0</v>
      </c>
      <c r="B17" s="1" t="s">
        <v>194</v>
      </c>
      <c r="C17" s="22">
        <v>4.0</v>
      </c>
      <c r="D17" s="24">
        <v>0.0</v>
      </c>
      <c r="E17" s="29">
        <f t="shared" ref="E17:E32" si="3">C17-D17</f>
        <v>4</v>
      </c>
      <c r="F17" s="30">
        <v>49500.0</v>
      </c>
      <c r="G17" s="30">
        <f t="shared" ref="G17:G32" si="4">E17*F17</f>
        <v>198000</v>
      </c>
      <c r="H17" s="39" t="s">
        <v>206</v>
      </c>
    </row>
    <row r="18">
      <c r="A18" s="4">
        <v>16.0</v>
      </c>
      <c r="B18" s="1" t="s">
        <v>210</v>
      </c>
      <c r="C18" s="22">
        <v>8.0</v>
      </c>
      <c r="D18" s="24">
        <v>4.0</v>
      </c>
      <c r="E18" s="29">
        <f t="shared" si="3"/>
        <v>4</v>
      </c>
      <c r="F18" s="30">
        <v>16390.0</v>
      </c>
      <c r="G18" s="30">
        <f t="shared" si="4"/>
        <v>65560</v>
      </c>
      <c r="H18" s="1" t="s">
        <v>217</v>
      </c>
    </row>
    <row r="19">
      <c r="A19" s="4">
        <v>17.0</v>
      </c>
      <c r="B19" s="1" t="s">
        <v>219</v>
      </c>
      <c r="C19" s="22">
        <v>5.0</v>
      </c>
      <c r="D19" s="24">
        <v>0.0</v>
      </c>
      <c r="E19" s="29">
        <f t="shared" si="3"/>
        <v>5</v>
      </c>
      <c r="F19" s="165"/>
      <c r="G19" s="30">
        <f t="shared" si="4"/>
        <v>0</v>
      </c>
      <c r="H19" s="1"/>
    </row>
    <row r="20">
      <c r="A20" s="4">
        <v>18.0</v>
      </c>
      <c r="B20" s="1" t="s">
        <v>221</v>
      </c>
      <c r="C20" s="22">
        <v>3.0</v>
      </c>
      <c r="D20" s="24">
        <v>1.0</v>
      </c>
      <c r="E20" s="29">
        <f t="shared" si="3"/>
        <v>2</v>
      </c>
      <c r="F20" s="30">
        <v>25000.0</v>
      </c>
      <c r="G20" s="30">
        <f t="shared" si="4"/>
        <v>50000</v>
      </c>
      <c r="H20" s="1"/>
    </row>
    <row r="21">
      <c r="A21" s="4">
        <v>19.0</v>
      </c>
      <c r="B21" s="1" t="s">
        <v>225</v>
      </c>
      <c r="C21" s="22">
        <v>8.0</v>
      </c>
      <c r="D21" s="24">
        <v>4.0</v>
      </c>
      <c r="E21" s="29">
        <f t="shared" si="3"/>
        <v>4</v>
      </c>
      <c r="F21" s="165"/>
      <c r="G21" s="30">
        <f t="shared" si="4"/>
        <v>0</v>
      </c>
      <c r="H21" s="1"/>
    </row>
    <row r="22">
      <c r="A22" s="4">
        <v>20.0</v>
      </c>
      <c r="B22" s="1" t="s">
        <v>229</v>
      </c>
      <c r="C22" s="22">
        <v>6.0</v>
      </c>
      <c r="D22" s="24">
        <v>5.0</v>
      </c>
      <c r="E22" s="29">
        <f t="shared" si="3"/>
        <v>1</v>
      </c>
      <c r="F22" s="182">
        <v>5000.0</v>
      </c>
      <c r="G22" s="30">
        <f t="shared" si="4"/>
        <v>5000</v>
      </c>
      <c r="H22" s="196" t="s">
        <v>234</v>
      </c>
    </row>
    <row r="23">
      <c r="A23" s="4">
        <v>21.0</v>
      </c>
      <c r="B23" s="1" t="s">
        <v>252</v>
      </c>
      <c r="C23" s="22">
        <v>8.0</v>
      </c>
      <c r="D23" s="24">
        <v>4.0</v>
      </c>
      <c r="E23" s="29">
        <f t="shared" si="3"/>
        <v>4</v>
      </c>
      <c r="F23" s="165"/>
      <c r="G23" s="30">
        <f t="shared" si="4"/>
        <v>0</v>
      </c>
      <c r="H23" s="1"/>
    </row>
    <row r="24">
      <c r="A24" s="4">
        <v>22.0</v>
      </c>
      <c r="B24" s="1" t="s">
        <v>259</v>
      </c>
      <c r="C24" s="22">
        <v>1.0</v>
      </c>
      <c r="D24" s="24">
        <v>0.0</v>
      </c>
      <c r="E24" s="29">
        <f t="shared" si="3"/>
        <v>1</v>
      </c>
      <c r="F24" s="30">
        <v>70000.0</v>
      </c>
      <c r="G24" s="30">
        <f t="shared" si="4"/>
        <v>70000</v>
      </c>
      <c r="H24" s="1"/>
    </row>
    <row r="25">
      <c r="A25" s="4">
        <v>23.0</v>
      </c>
      <c r="B25" s="1" t="s">
        <v>260</v>
      </c>
      <c r="C25" s="22">
        <v>1.0</v>
      </c>
      <c r="D25" s="24">
        <v>1.0</v>
      </c>
      <c r="E25" s="29">
        <f t="shared" si="3"/>
        <v>0</v>
      </c>
      <c r="F25" s="30">
        <v>270000.0</v>
      </c>
      <c r="G25" s="30">
        <f t="shared" si="4"/>
        <v>0</v>
      </c>
      <c r="H25" s="201"/>
    </row>
    <row r="26">
      <c r="A26" s="4">
        <v>24.0</v>
      </c>
      <c r="B26" s="1" t="s">
        <v>266</v>
      </c>
      <c r="C26" s="22">
        <v>1.0</v>
      </c>
      <c r="D26" s="24">
        <v>0.0</v>
      </c>
      <c r="E26" s="29">
        <f t="shared" si="3"/>
        <v>1</v>
      </c>
      <c r="F26" s="30">
        <v>25000.0</v>
      </c>
      <c r="G26" s="30">
        <f t="shared" si="4"/>
        <v>25000</v>
      </c>
      <c r="H26" s="1"/>
    </row>
    <row r="27">
      <c r="A27" s="4">
        <v>25.0</v>
      </c>
      <c r="B27" s="1" t="s">
        <v>270</v>
      </c>
      <c r="C27" s="22">
        <v>1.0</v>
      </c>
      <c r="D27" s="24">
        <v>0.0</v>
      </c>
      <c r="E27" s="29">
        <f t="shared" si="3"/>
        <v>1</v>
      </c>
      <c r="F27" s="30">
        <v>20000.0</v>
      </c>
      <c r="G27" s="30">
        <f t="shared" si="4"/>
        <v>20000</v>
      </c>
      <c r="H27" s="1"/>
    </row>
    <row r="28">
      <c r="A28" s="4">
        <v>26.0</v>
      </c>
      <c r="B28" s="1" t="s">
        <v>273</v>
      </c>
      <c r="C28" s="22">
        <v>1.0</v>
      </c>
      <c r="D28" s="24">
        <v>0.0</v>
      </c>
      <c r="E28" s="29">
        <f t="shared" si="3"/>
        <v>1</v>
      </c>
      <c r="F28" s="30">
        <v>5000.0</v>
      </c>
      <c r="G28" s="30">
        <f t="shared" si="4"/>
        <v>5000</v>
      </c>
      <c r="H28" s="1"/>
    </row>
    <row r="29">
      <c r="A29" s="4">
        <v>27.0</v>
      </c>
      <c r="B29" s="1" t="s">
        <v>275</v>
      </c>
      <c r="C29" s="22">
        <v>1.0</v>
      </c>
      <c r="D29" s="24">
        <v>0.0</v>
      </c>
      <c r="E29" s="29">
        <f t="shared" si="3"/>
        <v>1</v>
      </c>
      <c r="F29" s="182">
        <v>35000.0</v>
      </c>
      <c r="G29" s="30">
        <f t="shared" si="4"/>
        <v>35000</v>
      </c>
      <c r="H29" s="196" t="s">
        <v>279</v>
      </c>
    </row>
    <row r="30">
      <c r="A30" s="201">
        <v>28.0</v>
      </c>
      <c r="B30" s="201" t="s">
        <v>285</v>
      </c>
      <c r="C30" s="213">
        <v>1.0</v>
      </c>
      <c r="D30" s="215"/>
      <c r="E30" s="29">
        <f t="shared" si="3"/>
        <v>1</v>
      </c>
      <c r="F30" s="165"/>
      <c r="G30" s="30">
        <f t="shared" si="4"/>
        <v>0</v>
      </c>
      <c r="H30" s="196" t="s">
        <v>288</v>
      </c>
    </row>
    <row r="31">
      <c r="A31" s="201">
        <v>29.0</v>
      </c>
      <c r="B31" s="201" t="s">
        <v>291</v>
      </c>
      <c r="C31" s="221"/>
      <c r="D31" s="215"/>
      <c r="E31" s="29">
        <f t="shared" si="3"/>
        <v>0</v>
      </c>
      <c r="F31" s="165"/>
      <c r="G31" s="30">
        <f t="shared" si="4"/>
        <v>0</v>
      </c>
      <c r="H31" s="1"/>
    </row>
    <row r="32">
      <c r="A32" s="1"/>
      <c r="B32" s="1"/>
      <c r="C32" s="221"/>
      <c r="D32" s="215"/>
      <c r="E32" s="29">
        <f t="shared" si="3"/>
        <v>0</v>
      </c>
      <c r="F32" s="165"/>
      <c r="G32" s="30">
        <f t="shared" si="4"/>
        <v>0</v>
      </c>
      <c r="H32" s="1"/>
    </row>
    <row r="33">
      <c r="A33" s="1"/>
      <c r="B33" s="1"/>
      <c r="C33" s="1"/>
      <c r="D33" s="165"/>
      <c r="E33" s="165"/>
      <c r="F33" s="165"/>
      <c r="G33" s="30">
        <f>C33*F33</f>
        <v>0</v>
      </c>
      <c r="H33" s="1"/>
    </row>
  </sheetData>
  <mergeCells count="1">
    <mergeCell ref="C1:D1"/>
  </mergeCells>
  <hyperlinks>
    <hyperlink r:id="rId1" ref="H3"/>
    <hyperlink r:id="rId2" ref="H4"/>
    <hyperlink r:id="rId3" ref="H6"/>
    <hyperlink r:id="rId4" ref="H7"/>
    <hyperlink r:id="rId5" ref="H8"/>
    <hyperlink r:id="rId6" location="rec837852192" ref="H9"/>
    <hyperlink r:id="rId7" ref="H10"/>
    <hyperlink r:id="rId8" ref="H11"/>
    <hyperlink r:id="rId9" ref="H12"/>
    <hyperlink r:id="rId10" ref="H14"/>
    <hyperlink r:id="rId11" ref="H15"/>
    <hyperlink r:id="rId12" ref="H17"/>
    <hyperlink r:id="rId13" ref="H22"/>
    <hyperlink r:id="rId14" ref="H29"/>
    <hyperlink r:id="rId15" ref="H30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9.89"/>
  </cols>
  <sheetData>
    <row r="1">
      <c r="A1" s="2" t="s">
        <v>0</v>
      </c>
      <c r="B1" s="2" t="s">
        <v>1</v>
      </c>
    </row>
    <row r="2">
      <c r="A2" s="1" t="s">
        <v>2</v>
      </c>
      <c r="B2" s="4">
        <v>1.0</v>
      </c>
    </row>
    <row r="3">
      <c r="A3" s="10" t="s">
        <v>4</v>
      </c>
      <c r="B3" s="12">
        <v>3.0</v>
      </c>
    </row>
    <row r="4">
      <c r="A4" s="10" t="s">
        <v>6</v>
      </c>
      <c r="B4" s="12">
        <v>2.0</v>
      </c>
    </row>
    <row r="5">
      <c r="A5" s="10" t="s">
        <v>7</v>
      </c>
      <c r="B5" s="12">
        <v>3.0</v>
      </c>
    </row>
    <row r="6">
      <c r="A6" s="10" t="s">
        <v>8</v>
      </c>
      <c r="B6" s="12">
        <v>1.0</v>
      </c>
    </row>
    <row r="7">
      <c r="A7" s="1"/>
      <c r="B7" s="1"/>
    </row>
    <row r="8">
      <c r="A8" s="1" t="s">
        <v>9</v>
      </c>
      <c r="B8" s="4">
        <v>2.0</v>
      </c>
    </row>
    <row r="9">
      <c r="A9" s="10" t="s">
        <v>11</v>
      </c>
      <c r="B9" s="12">
        <v>8.0</v>
      </c>
    </row>
    <row r="10">
      <c r="A10" s="1" t="s">
        <v>13</v>
      </c>
      <c r="B10" s="4">
        <v>1.0</v>
      </c>
    </row>
    <row r="11">
      <c r="A11" s="10" t="s">
        <v>14</v>
      </c>
      <c r="B11" s="12">
        <v>7.0</v>
      </c>
    </row>
    <row r="12">
      <c r="A12" s="1" t="s">
        <v>16</v>
      </c>
      <c r="B12" s="4">
        <v>1.0</v>
      </c>
    </row>
    <row r="13">
      <c r="A13" s="1" t="s">
        <v>18</v>
      </c>
      <c r="B13" s="4">
        <v>1.0</v>
      </c>
    </row>
    <row r="14">
      <c r="A14" s="1" t="s">
        <v>21</v>
      </c>
      <c r="B14" s="4">
        <v>2.0</v>
      </c>
    </row>
    <row r="15">
      <c r="A15" s="1" t="s">
        <v>23</v>
      </c>
      <c r="B15" s="4">
        <v>4.0</v>
      </c>
    </row>
    <row r="16">
      <c r="A16" s="10" t="s">
        <v>25</v>
      </c>
      <c r="B16" s="12">
        <v>4.0</v>
      </c>
    </row>
    <row r="17">
      <c r="A17" s="1"/>
      <c r="B17" s="1"/>
    </row>
    <row r="18">
      <c r="A18" s="1" t="s">
        <v>26</v>
      </c>
      <c r="B18" s="4">
        <v>2.0</v>
      </c>
    </row>
    <row r="19">
      <c r="A19" s="1" t="s">
        <v>27</v>
      </c>
      <c r="B19" s="4">
        <v>2.0</v>
      </c>
    </row>
    <row r="20">
      <c r="A20" s="1" t="s">
        <v>28</v>
      </c>
      <c r="B20" s="4">
        <v>2.0</v>
      </c>
    </row>
    <row r="21">
      <c r="A21" s="1" t="s">
        <v>29</v>
      </c>
      <c r="B21" s="4">
        <v>2.0</v>
      </c>
    </row>
    <row r="22">
      <c r="A22" s="1"/>
      <c r="B22" s="1"/>
    </row>
    <row r="23">
      <c r="A23" s="1" t="s">
        <v>31</v>
      </c>
      <c r="B23" s="4">
        <v>2.0</v>
      </c>
    </row>
    <row r="24">
      <c r="A24" s="10" t="s">
        <v>32</v>
      </c>
      <c r="B24" s="12">
        <v>6.0</v>
      </c>
    </row>
    <row r="25">
      <c r="A25" s="1" t="s">
        <v>33</v>
      </c>
      <c r="B25" s="4">
        <v>1.0</v>
      </c>
    </row>
    <row r="26">
      <c r="A26" s="1"/>
      <c r="B26" s="1"/>
    </row>
    <row r="27">
      <c r="A27" s="1" t="s">
        <v>34</v>
      </c>
      <c r="B27" s="4">
        <v>1.0</v>
      </c>
    </row>
    <row r="28">
      <c r="A28" s="1" t="s">
        <v>35</v>
      </c>
      <c r="B28" s="4">
        <v>1.0</v>
      </c>
    </row>
    <row r="29">
      <c r="A29" s="1" t="s">
        <v>36</v>
      </c>
      <c r="B29" s="4">
        <v>1.0</v>
      </c>
    </row>
    <row r="30">
      <c r="A30" s="1" t="s">
        <v>37</v>
      </c>
      <c r="B30" s="4">
        <v>1.0</v>
      </c>
    </row>
    <row r="31">
      <c r="A31" s="10" t="s">
        <v>39</v>
      </c>
      <c r="B31" s="12">
        <v>1.0</v>
      </c>
    </row>
    <row r="32">
      <c r="A32" s="1"/>
      <c r="B32" s="1"/>
    </row>
    <row r="33">
      <c r="A33" s="10" t="s">
        <v>40</v>
      </c>
      <c r="B33" s="12">
        <v>1.0</v>
      </c>
    </row>
    <row r="34">
      <c r="A34" s="1" t="s">
        <v>41</v>
      </c>
      <c r="B34" s="4">
        <v>1.0</v>
      </c>
    </row>
    <row r="35">
      <c r="A35" s="10" t="s">
        <v>42</v>
      </c>
      <c r="B35" s="12">
        <v>1.0</v>
      </c>
    </row>
    <row r="36">
      <c r="A36" s="1"/>
      <c r="B36" s="1"/>
    </row>
    <row r="37">
      <c r="A37" s="1" t="s">
        <v>43</v>
      </c>
      <c r="B37" s="4">
        <v>1.0</v>
      </c>
    </row>
    <row r="38">
      <c r="A38" s="1"/>
      <c r="B38" s="1"/>
    </row>
    <row r="39">
      <c r="A39" s="10" t="s">
        <v>44</v>
      </c>
      <c r="B39" s="12">
        <v>1.0</v>
      </c>
    </row>
    <row r="40">
      <c r="A40" s="1" t="s">
        <v>45</v>
      </c>
      <c r="B40" s="4">
        <v>1.0</v>
      </c>
    </row>
    <row r="41">
      <c r="A41" s="10" t="s">
        <v>46</v>
      </c>
      <c r="B41" s="12">
        <v>1.0</v>
      </c>
    </row>
    <row r="42">
      <c r="A42" s="1"/>
      <c r="B42" s="1"/>
    </row>
    <row r="43">
      <c r="A43" s="1" t="s">
        <v>47</v>
      </c>
      <c r="B43" s="4">
        <v>3.0</v>
      </c>
    </row>
    <row r="44">
      <c r="A44" s="1" t="s">
        <v>48</v>
      </c>
      <c r="B44" s="4">
        <v>2.0</v>
      </c>
    </row>
    <row r="45">
      <c r="A45" s="1"/>
      <c r="B45" s="1"/>
    </row>
    <row r="46">
      <c r="A46" s="1" t="s">
        <v>51</v>
      </c>
      <c r="B46" s="4">
        <v>1.0</v>
      </c>
    </row>
    <row r="47">
      <c r="A47" s="1"/>
      <c r="B47" s="1"/>
    </row>
    <row r="48">
      <c r="A48" s="1" t="s">
        <v>53</v>
      </c>
      <c r="B48" s="4">
        <v>1.0</v>
      </c>
    </row>
    <row r="49">
      <c r="A49" s="1" t="s">
        <v>55</v>
      </c>
      <c r="B49" s="4">
        <v>1.0</v>
      </c>
    </row>
    <row r="50">
      <c r="A50" s="1" t="s">
        <v>57</v>
      </c>
      <c r="B50" s="4">
        <v>1.0</v>
      </c>
    </row>
    <row r="51">
      <c r="A51" s="1" t="s">
        <v>58</v>
      </c>
      <c r="B51" s="4">
        <v>1.0</v>
      </c>
    </row>
    <row r="52">
      <c r="A52" s="1" t="s">
        <v>59</v>
      </c>
      <c r="B52" s="4">
        <v>2.0</v>
      </c>
    </row>
    <row r="53">
      <c r="A53" s="1"/>
      <c r="B53" s="1"/>
    </row>
    <row r="54">
      <c r="A54" s="1" t="s">
        <v>61</v>
      </c>
      <c r="B54" s="4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4.33"/>
    <col customWidth="1" min="2" max="2" width="16.56"/>
    <col customWidth="1" min="3" max="3" width="29.0"/>
    <col customWidth="1" min="4" max="4" width="12.78"/>
    <col customWidth="1" min="5" max="5" width="14.67"/>
    <col customWidth="1" min="6" max="6" width="13.56"/>
    <col customWidth="1" min="7" max="7" width="15.33"/>
    <col customWidth="1" min="8" max="8" width="7.11"/>
    <col customWidth="1" min="9" max="10" width="6.78"/>
    <col customWidth="1" min="11" max="11" width="8.56"/>
    <col customWidth="1" min="12" max="12" width="12.44"/>
    <col customWidth="1" min="13" max="28" width="6.78"/>
  </cols>
  <sheetData>
    <row r="1">
      <c r="A1" s="6" t="s">
        <v>3</v>
      </c>
      <c r="B1" s="8"/>
      <c r="C1" s="8"/>
      <c r="D1" s="1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20"/>
      <c r="B2" s="8"/>
      <c r="C2" s="8"/>
      <c r="D2" s="23"/>
      <c r="E2" s="23"/>
      <c r="F2" s="23"/>
      <c r="G2" s="23"/>
      <c r="H2" s="23"/>
    </row>
    <row r="3">
      <c r="A3" s="26" t="s">
        <v>30</v>
      </c>
      <c r="B3" s="8"/>
      <c r="C3" s="8"/>
      <c r="D3" s="23"/>
      <c r="E3" s="23"/>
      <c r="F3" s="23"/>
      <c r="G3" s="23"/>
      <c r="H3" s="23"/>
    </row>
    <row r="4">
      <c r="A4" s="36"/>
      <c r="B4" s="8"/>
      <c r="C4" s="8"/>
      <c r="D4" s="23"/>
      <c r="E4" s="23"/>
      <c r="F4" s="23"/>
      <c r="G4" s="23"/>
      <c r="H4" s="23"/>
    </row>
    <row r="5">
      <c r="A5" s="40" t="s">
        <v>50</v>
      </c>
      <c r="B5" s="8"/>
      <c r="C5" s="8"/>
      <c r="D5" s="23"/>
      <c r="E5" s="23"/>
      <c r="F5" s="23"/>
      <c r="G5" s="23"/>
      <c r="H5" s="23"/>
    </row>
    <row r="6">
      <c r="A6" s="41"/>
      <c r="B6" s="8"/>
      <c r="C6" s="8"/>
      <c r="D6" s="23"/>
      <c r="E6" s="23"/>
      <c r="F6" s="23"/>
      <c r="G6" s="23"/>
      <c r="H6" s="43"/>
    </row>
    <row r="7">
      <c r="A7" s="40" t="s">
        <v>56</v>
      </c>
      <c r="B7" s="8"/>
      <c r="C7" s="8"/>
      <c r="D7" s="23"/>
      <c r="E7" s="23"/>
      <c r="F7" s="23"/>
      <c r="G7" s="23"/>
      <c r="H7" s="23"/>
      <c r="L7" s="45"/>
      <c r="M7" s="45"/>
    </row>
    <row r="8">
      <c r="A8" s="41"/>
      <c r="B8" s="8"/>
      <c r="C8" s="8"/>
      <c r="D8" s="23"/>
      <c r="E8" s="23"/>
      <c r="F8" s="23"/>
      <c r="G8" s="23"/>
      <c r="H8" s="43"/>
      <c r="L8" s="45"/>
      <c r="M8" s="45"/>
    </row>
    <row r="9">
      <c r="A9" s="48" t="s">
        <v>62</v>
      </c>
      <c r="B9" s="8"/>
      <c r="C9" s="8"/>
      <c r="D9" s="23"/>
      <c r="E9" s="23"/>
      <c r="F9" s="23"/>
      <c r="G9" s="23"/>
      <c r="H9" s="23"/>
      <c r="L9" s="50"/>
      <c r="M9" s="51"/>
    </row>
    <row r="10">
      <c r="A10" s="53"/>
      <c r="B10" s="8"/>
      <c r="C10" s="8"/>
      <c r="D10" s="23"/>
      <c r="E10" s="23"/>
      <c r="F10" s="23"/>
      <c r="G10" s="23"/>
      <c r="H10" s="55"/>
      <c r="L10" s="45"/>
      <c r="M10" s="45"/>
    </row>
    <row r="11">
      <c r="A11" s="58" t="s">
        <v>68</v>
      </c>
      <c r="B11" s="60" t="s">
        <v>69</v>
      </c>
      <c r="C11" s="58" t="s">
        <v>71</v>
      </c>
      <c r="D11" s="62" t="s">
        <v>72</v>
      </c>
      <c r="E11" s="23"/>
      <c r="F11" s="23"/>
      <c r="G11" s="23"/>
      <c r="H11" s="55"/>
      <c r="L11" s="63"/>
      <c r="M11" s="65"/>
    </row>
    <row r="12">
      <c r="A12" s="67" t="s">
        <v>76</v>
      </c>
      <c r="B12" s="68"/>
      <c r="C12" s="68"/>
      <c r="D12" s="69"/>
      <c r="E12" s="70"/>
      <c r="F12" s="70"/>
      <c r="G12" s="70"/>
      <c r="H12" s="55"/>
      <c r="L12" s="50"/>
      <c r="M12" s="72"/>
    </row>
    <row r="13">
      <c r="A13" s="73" t="s">
        <v>82</v>
      </c>
      <c r="B13" s="75">
        <v>24.0</v>
      </c>
      <c r="C13" s="75">
        <v>33.0</v>
      </c>
      <c r="D13" s="77"/>
      <c r="E13" s="23"/>
      <c r="F13" s="70"/>
      <c r="G13" s="70"/>
      <c r="H13" s="55"/>
    </row>
    <row r="14">
      <c r="A14" s="73" t="s">
        <v>85</v>
      </c>
      <c r="B14" s="75">
        <v>72.0</v>
      </c>
      <c r="C14" s="75">
        <v>36.0</v>
      </c>
      <c r="D14" s="80"/>
      <c r="E14" s="23"/>
      <c r="F14" s="23"/>
      <c r="G14" s="23"/>
      <c r="H14" s="55"/>
      <c r="L14" s="45"/>
      <c r="M14" s="45"/>
    </row>
    <row r="15">
      <c r="A15" s="73" t="s">
        <v>87</v>
      </c>
      <c r="B15" s="75">
        <v>24.0</v>
      </c>
      <c r="C15" s="75">
        <v>22.0</v>
      </c>
      <c r="D15" s="80"/>
      <c r="E15" s="23"/>
      <c r="F15" s="23"/>
      <c r="G15" s="23"/>
      <c r="H15" s="55"/>
      <c r="L15" s="63"/>
      <c r="M15" s="65"/>
    </row>
    <row r="16">
      <c r="A16" s="73" t="s">
        <v>90</v>
      </c>
      <c r="B16" s="75">
        <v>72.0</v>
      </c>
      <c r="C16" s="75">
        <v>26.0</v>
      </c>
      <c r="D16" s="80"/>
      <c r="E16" s="23"/>
      <c r="F16" s="23"/>
      <c r="G16" s="23"/>
      <c r="H16" s="55"/>
    </row>
    <row r="17">
      <c r="A17" s="73" t="s">
        <v>92</v>
      </c>
      <c r="B17" s="75">
        <v>72.0</v>
      </c>
      <c r="C17" s="75">
        <v>44.0</v>
      </c>
      <c r="D17" s="80"/>
      <c r="E17" s="23"/>
      <c r="F17" s="23"/>
      <c r="G17" s="23"/>
      <c r="H17" s="55"/>
    </row>
    <row r="18">
      <c r="A18" s="73" t="s">
        <v>94</v>
      </c>
      <c r="B18" s="75">
        <v>24.0</v>
      </c>
      <c r="C18" s="75">
        <v>40.0</v>
      </c>
      <c r="D18" s="80"/>
      <c r="E18" s="23"/>
      <c r="F18" s="23"/>
      <c r="G18" s="23"/>
      <c r="H18" s="55"/>
    </row>
    <row r="19">
      <c r="A19" s="73" t="s">
        <v>95</v>
      </c>
      <c r="B19" s="75">
        <v>72.0</v>
      </c>
      <c r="C19" s="75">
        <v>40.0</v>
      </c>
      <c r="D19" s="80"/>
      <c r="E19" s="23"/>
      <c r="F19" s="23"/>
      <c r="G19" s="23"/>
      <c r="H19" s="55"/>
    </row>
    <row r="20">
      <c r="A20" s="73" t="s">
        <v>96</v>
      </c>
      <c r="B20" s="75">
        <v>24.0</v>
      </c>
      <c r="C20" s="75">
        <v>27.0</v>
      </c>
      <c r="D20" s="80"/>
      <c r="E20" s="23"/>
      <c r="F20" s="23"/>
      <c r="G20" s="23"/>
      <c r="H20" s="55"/>
    </row>
    <row r="21" ht="15.75" customHeight="1">
      <c r="A21" s="73" t="s">
        <v>98</v>
      </c>
      <c r="B21" s="75">
        <v>24.0</v>
      </c>
      <c r="C21" s="75">
        <v>32.0</v>
      </c>
      <c r="D21" s="80"/>
      <c r="E21" s="23"/>
      <c r="F21" s="23"/>
      <c r="G21" s="23"/>
      <c r="H21" s="55"/>
    </row>
    <row r="22" ht="15.75" customHeight="1">
      <c r="A22" s="67" t="s">
        <v>99</v>
      </c>
      <c r="B22" s="68"/>
      <c r="C22" s="68"/>
      <c r="D22" s="69"/>
      <c r="E22" s="23"/>
      <c r="F22" s="23"/>
      <c r="G22" s="23"/>
      <c r="H22" s="55"/>
    </row>
    <row r="23" ht="15.75" customHeight="1">
      <c r="A23" s="73" t="s">
        <v>100</v>
      </c>
      <c r="B23" s="75">
        <v>24.0</v>
      </c>
      <c r="C23" s="75">
        <v>39.0</v>
      </c>
      <c r="D23" s="80"/>
      <c r="E23" s="23"/>
      <c r="F23" s="23"/>
      <c r="G23" s="23"/>
      <c r="H23" s="55"/>
    </row>
    <row r="24" ht="15.75" customHeight="1">
      <c r="A24" s="73" t="s">
        <v>102</v>
      </c>
      <c r="B24" s="75">
        <v>72.0</v>
      </c>
      <c r="C24" s="75">
        <v>44.0</v>
      </c>
      <c r="D24" s="95"/>
    </row>
    <row r="25" ht="15.75" customHeight="1">
      <c r="A25" s="73" t="s">
        <v>104</v>
      </c>
      <c r="B25" s="75">
        <v>72.0</v>
      </c>
      <c r="C25" s="75">
        <v>29.0</v>
      </c>
      <c r="D25" s="95"/>
    </row>
    <row r="26" ht="15.75" customHeight="1">
      <c r="A26" s="73" t="s">
        <v>105</v>
      </c>
      <c r="B26" s="75">
        <v>24.0</v>
      </c>
      <c r="C26" s="75">
        <v>37.0</v>
      </c>
      <c r="D26" s="95"/>
    </row>
    <row r="27" ht="15.75" customHeight="1">
      <c r="A27" s="73" t="s">
        <v>106</v>
      </c>
      <c r="B27" s="75">
        <v>72.0</v>
      </c>
      <c r="C27" s="75">
        <v>40.0</v>
      </c>
      <c r="D27" s="95"/>
    </row>
    <row r="28" ht="15.75" customHeight="1">
      <c r="A28" s="73" t="s">
        <v>107</v>
      </c>
      <c r="B28" s="75">
        <v>24.0</v>
      </c>
      <c r="C28" s="75">
        <v>40.0</v>
      </c>
      <c r="D28" s="95"/>
    </row>
    <row r="29" ht="15.75" customHeight="1">
      <c r="A29" s="73" t="s">
        <v>108</v>
      </c>
      <c r="B29" s="75">
        <v>96.0</v>
      </c>
      <c r="C29" s="75">
        <v>47.0</v>
      </c>
      <c r="D29" s="95"/>
    </row>
    <row r="30" ht="15.75" customHeight="1">
      <c r="A30" s="73" t="s">
        <v>110</v>
      </c>
      <c r="B30" s="75">
        <v>96.0</v>
      </c>
      <c r="C30" s="75">
        <v>29.0</v>
      </c>
      <c r="D30" s="95"/>
    </row>
    <row r="31" ht="15.75" customHeight="1">
      <c r="A31" s="73" t="s">
        <v>114</v>
      </c>
      <c r="B31" s="75">
        <v>96.0</v>
      </c>
      <c r="C31" s="75">
        <v>32.0</v>
      </c>
      <c r="D31" s="95"/>
    </row>
    <row r="32" ht="15.75" customHeight="1">
      <c r="A32" s="73" t="s">
        <v>116</v>
      </c>
      <c r="B32" s="75">
        <v>24.0</v>
      </c>
      <c r="C32" s="75">
        <v>38.0</v>
      </c>
      <c r="D32" s="95"/>
    </row>
    <row r="33" ht="15.75" customHeight="1">
      <c r="A33" s="73" t="s">
        <v>117</v>
      </c>
      <c r="B33" s="75">
        <v>72.0</v>
      </c>
      <c r="C33" s="75">
        <v>45.0</v>
      </c>
      <c r="D33" s="95"/>
    </row>
    <row r="34" ht="15.75" customHeight="1">
      <c r="A34" s="73" t="s">
        <v>118</v>
      </c>
      <c r="B34" s="75">
        <v>72.0</v>
      </c>
      <c r="C34" s="75">
        <v>38.0</v>
      </c>
      <c r="D34" s="95"/>
    </row>
    <row r="35" ht="15.75" customHeight="1">
      <c r="A35" s="73" t="s">
        <v>121</v>
      </c>
      <c r="B35" s="75">
        <v>96.0</v>
      </c>
      <c r="C35" s="75">
        <v>36.0</v>
      </c>
      <c r="D35" s="95"/>
    </row>
    <row r="36" ht="15.75" customHeight="1">
      <c r="A36" s="73" t="s">
        <v>123</v>
      </c>
      <c r="B36" s="75">
        <v>24.0</v>
      </c>
      <c r="C36" s="75">
        <v>33.0</v>
      </c>
      <c r="D36" s="95"/>
    </row>
    <row r="37" ht="15.75" customHeight="1">
      <c r="A37" s="114" t="s">
        <v>129</v>
      </c>
      <c r="B37" s="75">
        <v>72.0</v>
      </c>
      <c r="C37" s="75">
        <v>38.0</v>
      </c>
      <c r="D37" s="95"/>
    </row>
    <row r="38" ht="15.75" customHeight="1">
      <c r="A38" s="67" t="s">
        <v>134</v>
      </c>
      <c r="B38" s="68"/>
      <c r="C38" s="68"/>
      <c r="D38" s="69"/>
    </row>
    <row r="39" ht="15.75" customHeight="1">
      <c r="A39" s="73" t="s">
        <v>137</v>
      </c>
      <c r="B39" s="75">
        <v>96.0</v>
      </c>
      <c r="C39" s="75">
        <v>74.0</v>
      </c>
      <c r="D39" s="95"/>
    </row>
    <row r="40" ht="15.75" customHeight="1">
      <c r="A40" s="73" t="s">
        <v>139</v>
      </c>
      <c r="B40" s="75">
        <v>24.0</v>
      </c>
      <c r="C40" s="75">
        <v>32.0</v>
      </c>
      <c r="D40" s="95"/>
    </row>
    <row r="41" ht="15.75" customHeight="1">
      <c r="A41" s="73" t="s">
        <v>140</v>
      </c>
      <c r="B41" s="75">
        <v>72.0</v>
      </c>
      <c r="C41" s="75">
        <v>36.0</v>
      </c>
      <c r="D41" s="95"/>
    </row>
    <row r="42" ht="15.75" customHeight="1">
      <c r="A42" s="73" t="s">
        <v>142</v>
      </c>
      <c r="B42" s="75">
        <v>24.0</v>
      </c>
      <c r="C42" s="75">
        <v>62.0</v>
      </c>
      <c r="D42" s="95"/>
    </row>
    <row r="43" ht="15.75" customHeight="1">
      <c r="A43" s="73" t="s">
        <v>143</v>
      </c>
      <c r="B43" s="75">
        <v>72.0</v>
      </c>
      <c r="C43" s="75">
        <v>68.0</v>
      </c>
      <c r="D43" s="95"/>
    </row>
    <row r="44" ht="15.75" customHeight="1">
      <c r="A44" s="73" t="s">
        <v>144</v>
      </c>
      <c r="B44" s="75">
        <v>24.0</v>
      </c>
      <c r="C44" s="75">
        <v>43.0</v>
      </c>
      <c r="D44" s="95"/>
    </row>
    <row r="45" ht="15.75" customHeight="1">
      <c r="A45" s="73" t="s">
        <v>146</v>
      </c>
      <c r="B45" s="75">
        <v>72.0</v>
      </c>
      <c r="C45" s="75">
        <v>45.0</v>
      </c>
      <c r="D45" s="95"/>
    </row>
    <row r="46" ht="15.75" customHeight="1">
      <c r="A46" s="73" t="s">
        <v>147</v>
      </c>
      <c r="B46" s="75">
        <v>96.0</v>
      </c>
      <c r="C46" s="75">
        <v>38.0</v>
      </c>
      <c r="D46" s="95"/>
    </row>
    <row r="47" ht="15.75" customHeight="1">
      <c r="A47" s="67" t="s">
        <v>150</v>
      </c>
      <c r="B47" s="68"/>
      <c r="C47" s="68"/>
      <c r="D47" s="69"/>
    </row>
    <row r="48" ht="15.75" customHeight="1">
      <c r="A48" s="73" t="s">
        <v>153</v>
      </c>
      <c r="B48" s="75">
        <v>72.0</v>
      </c>
      <c r="C48" s="75">
        <v>35.0</v>
      </c>
      <c r="D48" s="95"/>
    </row>
    <row r="49" ht="15.75" customHeight="1">
      <c r="A49" s="73" t="s">
        <v>154</v>
      </c>
      <c r="B49" s="75">
        <v>72.0</v>
      </c>
      <c r="C49" s="75">
        <v>40.0</v>
      </c>
      <c r="D49" s="95"/>
    </row>
    <row r="50" ht="15.75" customHeight="1">
      <c r="A50" s="73" t="s">
        <v>156</v>
      </c>
      <c r="B50" s="75">
        <v>72.0</v>
      </c>
      <c r="C50" s="75">
        <v>33.0</v>
      </c>
      <c r="D50" s="95"/>
    </row>
    <row r="51" ht="15.75" customHeight="1">
      <c r="A51" s="73" t="s">
        <v>157</v>
      </c>
      <c r="B51" s="75">
        <v>72.0</v>
      </c>
      <c r="C51" s="75">
        <v>65.0</v>
      </c>
      <c r="D51" s="95"/>
    </row>
    <row r="52" ht="15.75" customHeight="1">
      <c r="A52" s="67" t="s">
        <v>158</v>
      </c>
      <c r="B52" s="68"/>
      <c r="C52" s="68"/>
      <c r="D52" s="69"/>
    </row>
    <row r="53" ht="15.75" customHeight="1">
      <c r="A53" s="140" t="s">
        <v>162</v>
      </c>
      <c r="B53" s="75">
        <v>72.0</v>
      </c>
      <c r="C53" s="75">
        <v>24.0</v>
      </c>
      <c r="D53" s="145">
        <v>280.0</v>
      </c>
    </row>
    <row r="54" ht="15.75" customHeight="1">
      <c r="A54" s="73" t="s">
        <v>167</v>
      </c>
      <c r="B54" s="75">
        <v>72.0</v>
      </c>
      <c r="C54" s="75">
        <v>25.0</v>
      </c>
      <c r="D54" s="95"/>
      <c r="F54" s="50" t="s">
        <v>169</v>
      </c>
    </row>
    <row r="55" ht="15.75" customHeight="1">
      <c r="A55" s="140" t="s">
        <v>171</v>
      </c>
      <c r="B55" s="75">
        <v>120.0</v>
      </c>
      <c r="C55" s="75">
        <v>25.0</v>
      </c>
      <c r="D55" s="145">
        <v>280.0</v>
      </c>
    </row>
    <row r="56" ht="15.75" customHeight="1">
      <c r="A56" s="140" t="s">
        <v>172</v>
      </c>
      <c r="B56" s="75">
        <v>72.0</v>
      </c>
      <c r="C56" s="75">
        <v>34.0</v>
      </c>
      <c r="D56" s="145">
        <v>280.0</v>
      </c>
    </row>
    <row r="57" ht="15.75" customHeight="1">
      <c r="A57" s="73" t="s">
        <v>173</v>
      </c>
      <c r="B57" s="75">
        <v>72.0</v>
      </c>
      <c r="C57" s="75">
        <v>28.0</v>
      </c>
      <c r="D57" s="95"/>
    </row>
    <row r="58" ht="15.75" customHeight="1">
      <c r="A58" s="73" t="s">
        <v>175</v>
      </c>
      <c r="B58" s="75">
        <v>72.0</v>
      </c>
      <c r="C58" s="75">
        <v>41.0</v>
      </c>
      <c r="D58" s="95"/>
    </row>
    <row r="59" ht="15.75" customHeight="1">
      <c r="A59" s="73" t="s">
        <v>179</v>
      </c>
      <c r="B59" s="75">
        <v>72.0</v>
      </c>
      <c r="C59" s="75">
        <v>29.0</v>
      </c>
      <c r="D59" s="95"/>
    </row>
    <row r="60" ht="15.75" customHeight="1">
      <c r="A60" s="140" t="s">
        <v>181</v>
      </c>
      <c r="B60" s="75">
        <v>72.0</v>
      </c>
      <c r="C60" s="75">
        <v>31.0</v>
      </c>
      <c r="D60" s="145">
        <v>280.0</v>
      </c>
    </row>
    <row r="61" ht="15.75" customHeight="1">
      <c r="A61" s="67" t="s">
        <v>183</v>
      </c>
      <c r="B61" s="68"/>
      <c r="C61" s="68"/>
      <c r="D61" s="69"/>
    </row>
    <row r="62" ht="15.75" customHeight="1">
      <c r="A62" s="73" t="s">
        <v>186</v>
      </c>
      <c r="B62" s="75">
        <v>72.0</v>
      </c>
      <c r="C62" s="75">
        <v>30.0</v>
      </c>
      <c r="D62" s="95"/>
    </row>
    <row r="63" ht="15.75" customHeight="1">
      <c r="A63" s="73" t="s">
        <v>187</v>
      </c>
      <c r="B63" s="75">
        <v>72.0</v>
      </c>
      <c r="C63" s="75">
        <v>39.0</v>
      </c>
      <c r="D63" s="95"/>
    </row>
    <row r="64" ht="15.75" customHeight="1">
      <c r="A64" s="73" t="s">
        <v>190</v>
      </c>
      <c r="B64" s="75">
        <v>72.0</v>
      </c>
      <c r="C64" s="75">
        <v>43.0</v>
      </c>
      <c r="D64" s="95"/>
    </row>
    <row r="65" ht="15.75" customHeight="1">
      <c r="A65" s="73" t="s">
        <v>193</v>
      </c>
      <c r="B65" s="75">
        <v>24.0</v>
      </c>
      <c r="C65" s="75">
        <v>40.0</v>
      </c>
      <c r="D65" s="95"/>
    </row>
    <row r="66" ht="15.75" customHeight="1">
      <c r="A66" s="73" t="s">
        <v>195</v>
      </c>
      <c r="B66" s="75">
        <v>72.0</v>
      </c>
      <c r="C66" s="75">
        <v>41.0</v>
      </c>
      <c r="D66" s="95"/>
    </row>
    <row r="67" ht="15.75" customHeight="1">
      <c r="A67" s="140" t="s">
        <v>198</v>
      </c>
      <c r="B67" s="75">
        <v>72.0</v>
      </c>
      <c r="C67" s="75">
        <v>43.0</v>
      </c>
      <c r="D67" s="95"/>
    </row>
    <row r="68" ht="15.75" customHeight="1">
      <c r="A68" s="73" t="s">
        <v>200</v>
      </c>
      <c r="B68" s="75">
        <v>72.0</v>
      </c>
      <c r="C68" s="75">
        <v>41.0</v>
      </c>
      <c r="D68" s="145">
        <v>280.0</v>
      </c>
    </row>
    <row r="69" ht="15.75" customHeight="1">
      <c r="A69" s="140" t="s">
        <v>202</v>
      </c>
      <c r="B69" s="171">
        <v>72.0</v>
      </c>
      <c r="C69" s="75">
        <v>48.0</v>
      </c>
      <c r="D69" s="145">
        <v>280.0</v>
      </c>
    </row>
    <row r="70" ht="15.75" customHeight="1">
      <c r="A70" s="174" t="s">
        <v>207</v>
      </c>
      <c r="B70" s="68"/>
      <c r="C70" s="68"/>
      <c r="D70" s="69"/>
    </row>
    <row r="71" ht="15.75" customHeight="1">
      <c r="A71" s="73" t="s">
        <v>213</v>
      </c>
      <c r="B71" s="75">
        <v>72.0</v>
      </c>
      <c r="C71" s="75">
        <v>54.0</v>
      </c>
      <c r="D71" s="95"/>
    </row>
    <row r="72" ht="15.75" customHeight="1">
      <c r="A72" s="73" t="s">
        <v>214</v>
      </c>
      <c r="B72" s="75">
        <v>72.0</v>
      </c>
      <c r="C72" s="75">
        <v>26.0</v>
      </c>
      <c r="D72" s="95"/>
    </row>
    <row r="73" ht="15.75" customHeight="1">
      <c r="A73" s="174" t="s">
        <v>218</v>
      </c>
      <c r="B73" s="68"/>
      <c r="C73" s="68"/>
      <c r="D73" s="69"/>
    </row>
    <row r="74" ht="15.75" customHeight="1">
      <c r="A74" s="73" t="s">
        <v>223</v>
      </c>
      <c r="B74" s="58" t="s">
        <v>224</v>
      </c>
      <c r="C74" s="75">
        <v>76.0</v>
      </c>
      <c r="D74" s="95"/>
    </row>
    <row r="75" ht="15.75" customHeight="1">
      <c r="A75" s="140" t="s">
        <v>226</v>
      </c>
      <c r="B75" s="171" t="s">
        <v>224</v>
      </c>
      <c r="C75" s="75">
        <v>40.0</v>
      </c>
      <c r="D75" s="145">
        <v>280.0</v>
      </c>
    </row>
    <row r="76" ht="15.75" customHeight="1">
      <c r="A76" s="73" t="s">
        <v>230</v>
      </c>
      <c r="B76" s="171" t="s">
        <v>224</v>
      </c>
      <c r="C76" s="75">
        <v>54.0</v>
      </c>
      <c r="D76" s="95"/>
    </row>
    <row r="77" ht="15.75" customHeight="1">
      <c r="A77" s="174" t="s">
        <v>232</v>
      </c>
      <c r="B77" s="68"/>
      <c r="C77" s="68"/>
      <c r="D77" s="69"/>
    </row>
    <row r="78" ht="15.75" customHeight="1">
      <c r="A78" s="73" t="s">
        <v>237</v>
      </c>
      <c r="B78" s="171" t="s">
        <v>238</v>
      </c>
      <c r="C78" s="75">
        <v>75.0</v>
      </c>
      <c r="D78" s="95"/>
    </row>
    <row r="79" ht="15.75" customHeight="1">
      <c r="A79" s="73" t="s">
        <v>239</v>
      </c>
      <c r="B79" s="171" t="s">
        <v>238</v>
      </c>
      <c r="C79" s="75">
        <v>81.0</v>
      </c>
      <c r="D79" s="95"/>
    </row>
    <row r="80" ht="15.75" customHeight="1">
      <c r="A80" s="73" t="s">
        <v>240</v>
      </c>
      <c r="B80" s="58" t="s">
        <v>241</v>
      </c>
      <c r="C80" s="75">
        <v>64.0</v>
      </c>
      <c r="D80" s="95"/>
    </row>
    <row r="81" ht="15.75" customHeight="1">
      <c r="A81" s="191"/>
      <c r="B81" s="193"/>
      <c r="C81" s="193"/>
      <c r="D81" s="195"/>
    </row>
    <row r="82" ht="15.75" customHeight="1">
      <c r="A82" s="193"/>
      <c r="B82" s="193"/>
      <c r="C82" s="193"/>
      <c r="D82" s="195"/>
    </row>
    <row r="83" ht="15.75" customHeight="1">
      <c r="A83" s="193"/>
      <c r="B83" s="193"/>
      <c r="C83" s="193"/>
      <c r="D83" s="195"/>
    </row>
    <row r="84" ht="15.75" customHeight="1">
      <c r="A84" s="193"/>
      <c r="B84" s="193"/>
      <c r="C84" s="193"/>
      <c r="D84" s="195"/>
    </row>
    <row r="85" ht="15.75" customHeight="1">
      <c r="A85" s="193"/>
      <c r="B85" s="193"/>
      <c r="C85" s="193"/>
      <c r="D85" s="195"/>
    </row>
    <row r="86" ht="15.75" customHeight="1">
      <c r="A86" s="193"/>
      <c r="B86" s="193"/>
      <c r="C86" s="193"/>
      <c r="D86" s="195"/>
    </row>
    <row r="87" ht="15.75" customHeight="1">
      <c r="A87" s="193"/>
      <c r="B87" s="193"/>
      <c r="C87" s="193"/>
      <c r="D87" s="195"/>
    </row>
    <row r="88" ht="15.75" customHeight="1">
      <c r="A88" s="193"/>
      <c r="B88" s="193"/>
      <c r="C88" s="193"/>
      <c r="D88" s="195"/>
    </row>
    <row r="89" ht="15.75" customHeight="1">
      <c r="A89" s="193"/>
      <c r="B89" s="193"/>
      <c r="C89" s="193"/>
      <c r="D89" s="195"/>
    </row>
    <row r="90" ht="15.75" customHeight="1">
      <c r="A90" s="193"/>
      <c r="B90" s="193"/>
      <c r="C90" s="193"/>
      <c r="D90" s="195"/>
    </row>
    <row r="91" ht="15.75" customHeight="1">
      <c r="A91" s="193"/>
      <c r="B91" s="193"/>
      <c r="C91" s="193"/>
      <c r="D91" s="195"/>
    </row>
    <row r="92" ht="15.75" customHeight="1">
      <c r="A92" s="193"/>
      <c r="B92" s="193"/>
      <c r="C92" s="193"/>
      <c r="D92" s="195"/>
    </row>
    <row r="93" ht="15.75" customHeight="1">
      <c r="A93" s="193"/>
      <c r="B93" s="193"/>
      <c r="C93" s="193"/>
      <c r="D93" s="195"/>
    </row>
    <row r="94" ht="15.75" customHeight="1">
      <c r="A94" s="193"/>
      <c r="B94" s="193"/>
      <c r="C94" s="193"/>
      <c r="D94" s="195"/>
    </row>
    <row r="95" ht="15.75" customHeight="1">
      <c r="A95" s="193"/>
      <c r="B95" s="193"/>
      <c r="C95" s="193"/>
      <c r="D95" s="195"/>
    </row>
    <row r="96" ht="15.75" customHeight="1">
      <c r="A96" s="193"/>
      <c r="B96" s="193"/>
      <c r="C96" s="193"/>
      <c r="D96" s="195"/>
    </row>
    <row r="97" ht="15.75" customHeight="1">
      <c r="A97" s="193"/>
      <c r="B97" s="193"/>
      <c r="C97" s="193"/>
      <c r="D97" s="195"/>
    </row>
    <row r="98" ht="15.75" customHeight="1">
      <c r="A98" s="193"/>
      <c r="B98" s="193"/>
      <c r="C98" s="193"/>
      <c r="D98" s="195"/>
    </row>
    <row r="99" ht="15.75" customHeight="1">
      <c r="A99" s="193"/>
      <c r="B99" s="193"/>
      <c r="C99" s="193"/>
      <c r="D99" s="195"/>
    </row>
    <row r="100" ht="15.75" customHeight="1">
      <c r="A100" s="193"/>
      <c r="B100" s="193"/>
      <c r="C100" s="193"/>
      <c r="D100" s="195"/>
    </row>
    <row r="101" ht="15.75" customHeight="1">
      <c r="A101" s="193"/>
      <c r="B101" s="193"/>
      <c r="C101" s="193"/>
      <c r="D101" s="195"/>
    </row>
    <row r="102" ht="15.75" customHeight="1">
      <c r="A102" s="193"/>
      <c r="B102" s="193"/>
      <c r="C102" s="193"/>
      <c r="D102" s="195"/>
    </row>
    <row r="103" ht="15.75" customHeight="1">
      <c r="A103" s="193"/>
      <c r="B103" s="193"/>
      <c r="C103" s="193"/>
      <c r="D103" s="195"/>
    </row>
    <row r="104" ht="15.75" customHeight="1">
      <c r="A104" s="193"/>
      <c r="B104" s="193"/>
      <c r="C104" s="193"/>
      <c r="D104" s="195"/>
    </row>
    <row r="105" ht="15.75" customHeight="1">
      <c r="A105" s="193"/>
      <c r="B105" s="193"/>
      <c r="C105" s="193"/>
      <c r="D105" s="195"/>
    </row>
    <row r="106" ht="15.75" customHeight="1">
      <c r="A106" s="193"/>
      <c r="B106" s="193"/>
      <c r="C106" s="193"/>
      <c r="D106" s="195"/>
    </row>
    <row r="107" ht="15.75" customHeight="1">
      <c r="A107" s="193"/>
      <c r="B107" s="193"/>
      <c r="C107" s="193"/>
      <c r="D107" s="195"/>
    </row>
    <row r="108" ht="15.75" customHeight="1">
      <c r="A108" s="193"/>
      <c r="B108" s="193"/>
      <c r="C108" s="193"/>
      <c r="D108" s="195"/>
    </row>
    <row r="109" ht="15.75" customHeight="1">
      <c r="A109" s="193"/>
      <c r="B109" s="193"/>
      <c r="C109" s="193"/>
      <c r="D109" s="195"/>
    </row>
    <row r="110" ht="15.75" customHeight="1">
      <c r="A110" s="193"/>
      <c r="B110" s="193"/>
      <c r="C110" s="193"/>
      <c r="D110" s="195"/>
    </row>
    <row r="111" ht="15.75" customHeight="1">
      <c r="A111" s="193"/>
      <c r="B111" s="193"/>
      <c r="C111" s="193"/>
      <c r="D111" s="195"/>
    </row>
    <row r="112" ht="15.75" customHeight="1">
      <c r="A112" s="193"/>
      <c r="B112" s="193"/>
      <c r="C112" s="193"/>
      <c r="D112" s="195"/>
    </row>
    <row r="113" ht="15.75" customHeight="1">
      <c r="A113" s="193"/>
      <c r="B113" s="193"/>
      <c r="C113" s="193"/>
      <c r="D113" s="195"/>
    </row>
    <row r="114" ht="15.75" customHeight="1">
      <c r="A114" s="193"/>
      <c r="B114" s="193"/>
      <c r="C114" s="193"/>
      <c r="D114" s="195"/>
    </row>
    <row r="115" ht="15.75" customHeight="1">
      <c r="A115" s="193"/>
      <c r="B115" s="193"/>
      <c r="C115" s="193"/>
      <c r="D115" s="195"/>
    </row>
    <row r="116" ht="15.75" customHeight="1">
      <c r="A116" s="193"/>
      <c r="B116" s="193"/>
      <c r="C116" s="193"/>
      <c r="D116" s="195"/>
    </row>
    <row r="117" ht="15.75" customHeight="1">
      <c r="A117" s="193"/>
      <c r="B117" s="193"/>
      <c r="C117" s="193"/>
      <c r="D117" s="195"/>
    </row>
    <row r="118" ht="15.75" customHeight="1">
      <c r="A118" s="193"/>
      <c r="B118" s="193"/>
      <c r="C118" s="193"/>
      <c r="D118" s="195"/>
    </row>
    <row r="119" ht="15.75" customHeight="1">
      <c r="A119" s="193"/>
      <c r="B119" s="193"/>
      <c r="C119" s="193"/>
      <c r="D119" s="195"/>
    </row>
    <row r="120" ht="15.75" customHeight="1">
      <c r="A120" s="193"/>
      <c r="B120" s="193"/>
      <c r="C120" s="193"/>
      <c r="D120" s="195"/>
    </row>
    <row r="121" ht="15.75" customHeight="1">
      <c r="A121" s="193"/>
      <c r="B121" s="193"/>
      <c r="C121" s="193"/>
      <c r="D121" s="195"/>
    </row>
    <row r="122" ht="15.75" customHeight="1">
      <c r="A122" s="193"/>
      <c r="B122" s="193"/>
      <c r="C122" s="193"/>
      <c r="D122" s="195"/>
    </row>
    <row r="123" ht="15.75" customHeight="1">
      <c r="A123" s="193"/>
      <c r="B123" s="193"/>
      <c r="C123" s="193"/>
      <c r="D123" s="195"/>
    </row>
    <row r="124" ht="15.75" customHeight="1">
      <c r="A124" s="193"/>
      <c r="B124" s="193"/>
      <c r="C124" s="193"/>
      <c r="D124" s="195"/>
    </row>
    <row r="125" ht="15.75" customHeight="1">
      <c r="A125" s="193"/>
      <c r="B125" s="193"/>
      <c r="C125" s="193"/>
      <c r="D125" s="195"/>
    </row>
    <row r="126" ht="15.75" customHeight="1">
      <c r="A126" s="193"/>
      <c r="B126" s="193"/>
      <c r="C126" s="193"/>
      <c r="D126" s="195"/>
    </row>
    <row r="127" ht="15.75" customHeight="1">
      <c r="A127" s="193"/>
      <c r="B127" s="193"/>
      <c r="C127" s="193"/>
      <c r="D127" s="195"/>
    </row>
    <row r="128" ht="15.75" customHeight="1">
      <c r="A128" s="193"/>
      <c r="B128" s="193"/>
      <c r="C128" s="193"/>
      <c r="D128" s="195"/>
    </row>
    <row r="129" ht="15.75" customHeight="1">
      <c r="A129" s="193"/>
      <c r="B129" s="193"/>
      <c r="C129" s="193"/>
      <c r="D129" s="195"/>
    </row>
    <row r="130" ht="15.75" customHeight="1">
      <c r="A130" s="193"/>
      <c r="B130" s="193"/>
      <c r="C130" s="193"/>
      <c r="D130" s="195"/>
    </row>
    <row r="131" ht="15.75" customHeight="1">
      <c r="A131" s="193"/>
      <c r="B131" s="193"/>
      <c r="C131" s="193"/>
      <c r="D131" s="195"/>
    </row>
    <row r="132" ht="15.75" customHeight="1">
      <c r="A132" s="193"/>
      <c r="B132" s="193"/>
      <c r="C132" s="193"/>
      <c r="D132" s="195"/>
    </row>
    <row r="133" ht="15.75" customHeight="1">
      <c r="A133" s="193"/>
      <c r="B133" s="193"/>
      <c r="C133" s="193"/>
      <c r="D133" s="195"/>
    </row>
    <row r="134" ht="15.75" customHeight="1">
      <c r="A134" s="193"/>
      <c r="B134" s="193"/>
      <c r="C134" s="193"/>
      <c r="D134" s="195"/>
    </row>
    <row r="135" ht="15.75" customHeight="1">
      <c r="A135" s="193"/>
      <c r="B135" s="193"/>
      <c r="C135" s="193"/>
      <c r="D135" s="195"/>
    </row>
    <row r="136" ht="15.75" customHeight="1">
      <c r="A136" s="193"/>
      <c r="B136" s="193"/>
      <c r="C136" s="193"/>
      <c r="D136" s="195"/>
    </row>
    <row r="137" ht="15.75" customHeight="1">
      <c r="A137" s="193"/>
      <c r="B137" s="193"/>
      <c r="C137" s="193"/>
      <c r="D137" s="195"/>
    </row>
    <row r="138" ht="15.75" customHeight="1">
      <c r="A138" s="193"/>
      <c r="B138" s="193"/>
      <c r="C138" s="193"/>
      <c r="D138" s="195"/>
    </row>
    <row r="139" ht="15.75" customHeight="1">
      <c r="A139" s="193"/>
      <c r="B139" s="193"/>
      <c r="C139" s="193"/>
      <c r="D139" s="195"/>
    </row>
    <row r="140" ht="15.75" customHeight="1">
      <c r="A140" s="193"/>
      <c r="B140" s="193"/>
      <c r="C140" s="193"/>
      <c r="D140" s="195"/>
    </row>
    <row r="141" ht="15.75" customHeight="1">
      <c r="A141" s="193"/>
      <c r="B141" s="193"/>
      <c r="C141" s="193"/>
      <c r="D141" s="195"/>
    </row>
    <row r="142" ht="15.75" customHeight="1">
      <c r="A142" s="193"/>
      <c r="B142" s="193"/>
      <c r="C142" s="193"/>
      <c r="D142" s="195"/>
    </row>
    <row r="143" ht="15.75" customHeight="1">
      <c r="A143" s="193"/>
      <c r="B143" s="193"/>
      <c r="C143" s="193"/>
      <c r="D143" s="195"/>
    </row>
    <row r="144" ht="15.75" customHeight="1">
      <c r="A144" s="193"/>
      <c r="B144" s="193"/>
      <c r="C144" s="193"/>
      <c r="D144" s="195"/>
    </row>
    <row r="145" ht="15.75" customHeight="1">
      <c r="A145" s="193"/>
      <c r="B145" s="193"/>
      <c r="C145" s="193"/>
      <c r="D145" s="195"/>
    </row>
    <row r="146" ht="15.75" customHeight="1">
      <c r="A146" s="193"/>
      <c r="B146" s="193"/>
      <c r="C146" s="193"/>
      <c r="D146" s="195"/>
    </row>
    <row r="147" ht="15.75" customHeight="1">
      <c r="A147" s="193"/>
      <c r="B147" s="193"/>
      <c r="C147" s="193"/>
      <c r="D147" s="195"/>
    </row>
    <row r="148" ht="15.75" customHeight="1">
      <c r="A148" s="193"/>
      <c r="B148" s="193"/>
      <c r="C148" s="193"/>
      <c r="D148" s="195"/>
    </row>
    <row r="149" ht="15.75" customHeight="1">
      <c r="A149" s="193"/>
      <c r="B149" s="193"/>
      <c r="C149" s="193"/>
      <c r="D149" s="195"/>
    </row>
    <row r="150" ht="15.75" customHeight="1">
      <c r="A150" s="193"/>
      <c r="B150" s="193"/>
      <c r="C150" s="193"/>
      <c r="D150" s="195"/>
    </row>
    <row r="151" ht="15.75" customHeight="1">
      <c r="A151" s="193"/>
      <c r="B151" s="193"/>
      <c r="C151" s="193"/>
      <c r="D151" s="195"/>
    </row>
    <row r="152" ht="15.75" customHeight="1">
      <c r="A152" s="193"/>
      <c r="B152" s="193"/>
      <c r="C152" s="193"/>
      <c r="D152" s="195"/>
    </row>
    <row r="153" ht="15.75" customHeight="1">
      <c r="A153" s="193"/>
      <c r="B153" s="193"/>
      <c r="C153" s="193"/>
      <c r="D153" s="195"/>
    </row>
    <row r="154" ht="15.75" customHeight="1">
      <c r="A154" s="193"/>
      <c r="B154" s="193"/>
      <c r="C154" s="193"/>
      <c r="D154" s="195"/>
    </row>
    <row r="155" ht="15.75" customHeight="1">
      <c r="A155" s="193"/>
      <c r="B155" s="193"/>
      <c r="C155" s="193"/>
      <c r="D155" s="195"/>
    </row>
    <row r="156" ht="15.75" customHeight="1">
      <c r="A156" s="193"/>
      <c r="B156" s="193"/>
      <c r="C156" s="193"/>
      <c r="D156" s="195"/>
    </row>
    <row r="157" ht="15.75" customHeight="1">
      <c r="A157" s="193"/>
      <c r="B157" s="193"/>
      <c r="C157" s="193"/>
      <c r="D157" s="195"/>
    </row>
    <row r="158" ht="15.75" customHeight="1">
      <c r="A158" s="193"/>
      <c r="B158" s="193"/>
      <c r="C158" s="193"/>
      <c r="D158" s="195"/>
    </row>
    <row r="159" ht="15.75" customHeight="1">
      <c r="A159" s="193"/>
      <c r="B159" s="193"/>
      <c r="C159" s="193"/>
      <c r="D159" s="195"/>
    </row>
    <row r="160" ht="15.75" customHeight="1">
      <c r="A160" s="193"/>
      <c r="B160" s="193"/>
      <c r="C160" s="193"/>
      <c r="D160" s="195"/>
    </row>
    <row r="161" ht="15.75" customHeight="1">
      <c r="A161" s="193"/>
      <c r="B161" s="193"/>
      <c r="C161" s="193"/>
      <c r="D161" s="195"/>
    </row>
    <row r="162" ht="15.75" customHeight="1">
      <c r="A162" s="193"/>
      <c r="B162" s="193"/>
      <c r="C162" s="193"/>
      <c r="D162" s="195"/>
    </row>
    <row r="163" ht="15.75" customHeight="1">
      <c r="A163" s="193"/>
      <c r="B163" s="193"/>
      <c r="C163" s="193"/>
      <c r="D163" s="195"/>
    </row>
    <row r="164" ht="15.75" customHeight="1">
      <c r="A164" s="193"/>
      <c r="B164" s="193"/>
      <c r="C164" s="193"/>
      <c r="D164" s="195"/>
    </row>
    <row r="165" ht="15.75" customHeight="1">
      <c r="A165" s="193"/>
      <c r="B165" s="193"/>
      <c r="C165" s="193"/>
      <c r="D165" s="195"/>
    </row>
    <row r="166" ht="15.75" customHeight="1">
      <c r="A166" s="193"/>
      <c r="B166" s="193"/>
      <c r="C166" s="193"/>
      <c r="D166" s="195"/>
    </row>
    <row r="167" ht="15.75" customHeight="1">
      <c r="A167" s="193"/>
      <c r="B167" s="193"/>
      <c r="C167" s="193"/>
      <c r="D167" s="195"/>
    </row>
    <row r="168" ht="15.75" customHeight="1">
      <c r="A168" s="193"/>
      <c r="B168" s="193"/>
      <c r="C168" s="193"/>
      <c r="D168" s="195"/>
    </row>
    <row r="169" ht="15.75" customHeight="1">
      <c r="A169" s="193"/>
      <c r="B169" s="193"/>
      <c r="C169" s="193"/>
      <c r="D169" s="195"/>
    </row>
    <row r="170" ht="15.75" customHeight="1">
      <c r="A170" s="193"/>
      <c r="B170" s="193"/>
      <c r="C170" s="193"/>
      <c r="D170" s="195"/>
    </row>
    <row r="171" ht="15.75" customHeight="1">
      <c r="A171" s="193"/>
      <c r="B171" s="193"/>
      <c r="C171" s="193"/>
      <c r="D171" s="195"/>
    </row>
    <row r="172" ht="15.75" customHeight="1">
      <c r="A172" s="193"/>
      <c r="B172" s="193"/>
      <c r="C172" s="193"/>
      <c r="D172" s="195"/>
    </row>
    <row r="173" ht="15.75" customHeight="1">
      <c r="A173" s="193"/>
      <c r="B173" s="193"/>
      <c r="C173" s="193"/>
      <c r="D173" s="195"/>
    </row>
    <row r="174" ht="15.75" customHeight="1">
      <c r="A174" s="193"/>
      <c r="B174" s="193"/>
      <c r="C174" s="193"/>
      <c r="D174" s="195"/>
    </row>
    <row r="175" ht="15.75" customHeight="1">
      <c r="A175" s="193"/>
      <c r="B175" s="193"/>
      <c r="C175" s="193"/>
      <c r="D175" s="195"/>
    </row>
    <row r="176" ht="15.75" customHeight="1">
      <c r="A176" s="193"/>
      <c r="B176" s="193"/>
      <c r="C176" s="193"/>
      <c r="D176" s="195"/>
    </row>
    <row r="177" ht="15.75" customHeight="1">
      <c r="A177" s="193"/>
      <c r="B177" s="193"/>
      <c r="C177" s="193"/>
      <c r="D177" s="195"/>
    </row>
    <row r="178" ht="15.75" customHeight="1">
      <c r="A178" s="193"/>
      <c r="B178" s="193"/>
      <c r="C178" s="193"/>
      <c r="D178" s="195"/>
    </row>
    <row r="179" ht="15.75" customHeight="1">
      <c r="A179" s="193"/>
      <c r="B179" s="193"/>
      <c r="C179" s="193"/>
      <c r="D179" s="195"/>
    </row>
    <row r="180" ht="15.75" customHeight="1">
      <c r="A180" s="193"/>
      <c r="B180" s="193"/>
      <c r="C180" s="193"/>
      <c r="D180" s="195"/>
    </row>
    <row r="181" ht="15.75" customHeight="1">
      <c r="A181" s="193"/>
      <c r="B181" s="193"/>
      <c r="C181" s="193"/>
      <c r="D181" s="195"/>
    </row>
    <row r="182" ht="15.75" customHeight="1">
      <c r="A182" s="193"/>
      <c r="B182" s="193"/>
      <c r="C182" s="193"/>
      <c r="D182" s="195"/>
    </row>
    <row r="183" ht="15.75" customHeight="1">
      <c r="A183" s="193"/>
      <c r="B183" s="193"/>
      <c r="C183" s="193"/>
      <c r="D183" s="195"/>
    </row>
    <row r="184" ht="15.75" customHeight="1">
      <c r="A184" s="193"/>
      <c r="B184" s="193"/>
      <c r="C184" s="193"/>
      <c r="D184" s="195"/>
    </row>
    <row r="185" ht="15.75" customHeight="1">
      <c r="A185" s="193"/>
      <c r="B185" s="193"/>
      <c r="C185" s="193"/>
      <c r="D185" s="195"/>
    </row>
    <row r="186" ht="15.75" customHeight="1">
      <c r="A186" s="193"/>
      <c r="B186" s="193"/>
      <c r="C186" s="193"/>
      <c r="D186" s="195"/>
    </row>
    <row r="187" ht="15.75" customHeight="1">
      <c r="A187" s="193"/>
      <c r="B187" s="193"/>
      <c r="C187" s="193"/>
      <c r="D187" s="195"/>
    </row>
    <row r="188" ht="15.75" customHeight="1">
      <c r="A188" s="193"/>
      <c r="B188" s="193"/>
      <c r="C188" s="193"/>
      <c r="D188" s="195"/>
    </row>
    <row r="189" ht="15.75" customHeight="1">
      <c r="A189" s="193"/>
      <c r="B189" s="193"/>
      <c r="C189" s="193"/>
      <c r="D189" s="195"/>
    </row>
    <row r="190" ht="15.75" customHeight="1">
      <c r="A190" s="193"/>
      <c r="B190" s="193"/>
      <c r="C190" s="193"/>
      <c r="D190" s="195"/>
    </row>
    <row r="191" ht="15.75" customHeight="1">
      <c r="A191" s="193"/>
      <c r="B191" s="193"/>
      <c r="C191" s="193"/>
      <c r="D191" s="195"/>
    </row>
    <row r="192" ht="15.75" customHeight="1">
      <c r="A192" s="193"/>
      <c r="B192" s="193"/>
      <c r="C192" s="193"/>
      <c r="D192" s="195"/>
    </row>
    <row r="193" ht="15.75" customHeight="1">
      <c r="A193" s="193"/>
      <c r="B193" s="193"/>
      <c r="C193" s="193"/>
      <c r="D193" s="195"/>
    </row>
    <row r="194" ht="15.75" customHeight="1">
      <c r="A194" s="193"/>
      <c r="B194" s="193"/>
      <c r="C194" s="193"/>
      <c r="D194" s="195"/>
    </row>
    <row r="195" ht="15.75" customHeight="1">
      <c r="A195" s="193"/>
      <c r="B195" s="193"/>
      <c r="C195" s="193"/>
      <c r="D195" s="195"/>
    </row>
    <row r="196" ht="15.75" customHeight="1">
      <c r="A196" s="193"/>
      <c r="B196" s="193"/>
      <c r="C196" s="193"/>
      <c r="D196" s="195"/>
    </row>
    <row r="197" ht="15.75" customHeight="1">
      <c r="A197" s="193"/>
      <c r="B197" s="193"/>
      <c r="C197" s="193"/>
      <c r="D197" s="195"/>
    </row>
    <row r="198" ht="15.75" customHeight="1">
      <c r="A198" s="193"/>
      <c r="B198" s="193"/>
      <c r="C198" s="193"/>
      <c r="D198" s="195"/>
    </row>
    <row r="199" ht="15.75" customHeight="1">
      <c r="A199" s="193"/>
      <c r="B199" s="193"/>
      <c r="C199" s="193"/>
      <c r="D199" s="195"/>
    </row>
    <row r="200" ht="15.75" customHeight="1">
      <c r="A200" s="193"/>
      <c r="B200" s="193"/>
      <c r="C200" s="193"/>
      <c r="D200" s="195"/>
    </row>
    <row r="201" ht="15.75" customHeight="1">
      <c r="A201" s="193"/>
      <c r="B201" s="193"/>
      <c r="C201" s="193"/>
      <c r="D201" s="195"/>
    </row>
    <row r="202" ht="15.75" customHeight="1">
      <c r="A202" s="193"/>
      <c r="B202" s="193"/>
      <c r="C202" s="193"/>
      <c r="D202" s="195"/>
    </row>
    <row r="203" ht="15.75" customHeight="1">
      <c r="A203" s="193"/>
      <c r="B203" s="193"/>
      <c r="C203" s="193"/>
      <c r="D203" s="195"/>
    </row>
    <row r="204" ht="15.75" customHeight="1">
      <c r="A204" s="193"/>
      <c r="B204" s="193"/>
      <c r="C204" s="193"/>
      <c r="D204" s="195"/>
    </row>
    <row r="205" ht="15.75" customHeight="1">
      <c r="A205" s="193"/>
      <c r="B205" s="193"/>
      <c r="C205" s="193"/>
      <c r="D205" s="195"/>
    </row>
    <row r="206" ht="15.75" customHeight="1">
      <c r="A206" s="193"/>
      <c r="B206" s="193"/>
      <c r="C206" s="193"/>
      <c r="D206" s="195"/>
    </row>
    <row r="207" ht="15.75" customHeight="1">
      <c r="A207" s="193"/>
      <c r="B207" s="193"/>
      <c r="C207" s="193"/>
      <c r="D207" s="195"/>
    </row>
    <row r="208" ht="15.75" customHeight="1">
      <c r="A208" s="193"/>
      <c r="B208" s="193"/>
      <c r="C208" s="193"/>
      <c r="D208" s="195"/>
    </row>
    <row r="209" ht="15.75" customHeight="1">
      <c r="A209" s="193"/>
      <c r="B209" s="193"/>
      <c r="C209" s="193"/>
      <c r="D209" s="195"/>
    </row>
    <row r="210" ht="15.75" customHeight="1">
      <c r="A210" s="193"/>
      <c r="B210" s="193"/>
      <c r="C210" s="193"/>
      <c r="D210" s="195"/>
    </row>
    <row r="211" ht="15.75" customHeight="1">
      <c r="A211" s="193"/>
      <c r="B211" s="193"/>
      <c r="C211" s="193"/>
      <c r="D211" s="195"/>
    </row>
    <row r="212" ht="15.75" customHeight="1">
      <c r="A212" s="193"/>
      <c r="B212" s="193"/>
      <c r="C212" s="193"/>
      <c r="D212" s="195"/>
    </row>
    <row r="213" ht="15.75" customHeight="1">
      <c r="A213" s="193"/>
      <c r="B213" s="193"/>
      <c r="C213" s="193"/>
      <c r="D213" s="195"/>
    </row>
    <row r="214" ht="15.75" customHeight="1">
      <c r="A214" s="193"/>
      <c r="B214" s="193"/>
      <c r="C214" s="193"/>
      <c r="D214" s="195"/>
    </row>
    <row r="215" ht="15.75" customHeight="1">
      <c r="A215" s="193"/>
      <c r="B215" s="193"/>
      <c r="C215" s="193"/>
      <c r="D215" s="195"/>
    </row>
    <row r="216" ht="15.75" customHeight="1">
      <c r="A216" s="193"/>
      <c r="B216" s="193"/>
      <c r="C216" s="193"/>
      <c r="D216" s="195"/>
    </row>
    <row r="217" ht="15.75" customHeight="1">
      <c r="A217" s="193"/>
      <c r="B217" s="193"/>
      <c r="C217" s="193"/>
      <c r="D217" s="195"/>
    </row>
    <row r="218" ht="15.75" customHeight="1">
      <c r="A218" s="193"/>
      <c r="B218" s="193"/>
      <c r="C218" s="193"/>
      <c r="D218" s="195"/>
    </row>
    <row r="219" ht="15.75" customHeight="1">
      <c r="A219" s="193"/>
      <c r="B219" s="193"/>
      <c r="C219" s="193"/>
      <c r="D219" s="195"/>
    </row>
    <row r="220" ht="15.75" customHeight="1">
      <c r="A220" s="193"/>
      <c r="B220" s="193"/>
      <c r="C220" s="193"/>
      <c r="D220" s="195"/>
    </row>
    <row r="221" ht="15.75" customHeight="1">
      <c r="A221" s="193"/>
      <c r="B221" s="193"/>
      <c r="C221" s="193"/>
      <c r="D221" s="195"/>
    </row>
    <row r="222" ht="15.75" customHeight="1">
      <c r="A222" s="193"/>
      <c r="B222" s="193"/>
      <c r="C222" s="193"/>
      <c r="D222" s="195"/>
    </row>
    <row r="223" ht="15.75" customHeight="1">
      <c r="A223" s="193"/>
      <c r="B223" s="193"/>
      <c r="C223" s="193"/>
      <c r="D223" s="195"/>
    </row>
    <row r="224" ht="15.75" customHeight="1">
      <c r="A224" s="193"/>
      <c r="B224" s="193"/>
      <c r="C224" s="193"/>
      <c r="D224" s="195"/>
    </row>
    <row r="225" ht="15.75" customHeight="1">
      <c r="A225" s="193"/>
      <c r="B225" s="193"/>
      <c r="C225" s="193"/>
      <c r="D225" s="195"/>
    </row>
    <row r="226" ht="15.75" customHeight="1">
      <c r="A226" s="193"/>
      <c r="B226" s="193"/>
      <c r="C226" s="193"/>
      <c r="D226" s="195"/>
    </row>
    <row r="227" ht="15.75" customHeight="1">
      <c r="A227" s="193"/>
      <c r="B227" s="193"/>
      <c r="C227" s="193"/>
      <c r="D227" s="195"/>
    </row>
    <row r="228" ht="15.75" customHeight="1">
      <c r="A228" s="193"/>
      <c r="B228" s="193"/>
      <c r="C228" s="193"/>
      <c r="D228" s="195"/>
    </row>
    <row r="229" ht="15.75" customHeight="1">
      <c r="A229" s="193"/>
      <c r="B229" s="193"/>
      <c r="C229" s="193"/>
      <c r="D229" s="195"/>
    </row>
    <row r="230" ht="15.75" customHeight="1">
      <c r="A230" s="193"/>
      <c r="B230" s="193"/>
      <c r="C230" s="193"/>
      <c r="D230" s="195"/>
    </row>
    <row r="231" ht="15.75" customHeight="1">
      <c r="A231" s="193"/>
      <c r="B231" s="193"/>
      <c r="C231" s="193"/>
      <c r="D231" s="195"/>
    </row>
    <row r="232" ht="15.75" customHeight="1">
      <c r="A232" s="193"/>
      <c r="B232" s="193"/>
      <c r="C232" s="193"/>
      <c r="D232" s="195"/>
    </row>
    <row r="233" ht="15.75" customHeight="1">
      <c r="A233" s="193"/>
      <c r="B233" s="193"/>
      <c r="C233" s="193"/>
      <c r="D233" s="195"/>
    </row>
    <row r="234" ht="15.75" customHeight="1">
      <c r="A234" s="193"/>
      <c r="B234" s="193"/>
      <c r="C234" s="193"/>
      <c r="D234" s="195"/>
    </row>
    <row r="235" ht="15.75" customHeight="1">
      <c r="A235" s="193"/>
      <c r="B235" s="193"/>
      <c r="C235" s="193"/>
      <c r="D235" s="195"/>
    </row>
    <row r="236" ht="15.75" customHeight="1">
      <c r="A236" s="193"/>
      <c r="B236" s="193"/>
      <c r="C236" s="193"/>
      <c r="D236" s="195"/>
    </row>
    <row r="237" ht="15.75" customHeight="1">
      <c r="A237" s="193"/>
      <c r="B237" s="193"/>
      <c r="C237" s="193"/>
      <c r="D237" s="195"/>
    </row>
    <row r="238" ht="15.75" customHeight="1">
      <c r="A238" s="193"/>
      <c r="B238" s="193"/>
      <c r="C238" s="193"/>
      <c r="D238" s="195"/>
    </row>
    <row r="239" ht="15.75" customHeight="1">
      <c r="A239" s="193"/>
      <c r="B239" s="193"/>
      <c r="C239" s="193"/>
      <c r="D239" s="195"/>
    </row>
    <row r="240" ht="15.75" customHeight="1">
      <c r="A240" s="193"/>
      <c r="B240" s="193"/>
      <c r="C240" s="193"/>
      <c r="D240" s="195"/>
    </row>
    <row r="241" ht="15.75" customHeight="1">
      <c r="A241" s="193"/>
      <c r="B241" s="193"/>
      <c r="C241" s="193"/>
      <c r="D241" s="195"/>
    </row>
    <row r="242" ht="15.75" customHeight="1">
      <c r="A242" s="193"/>
      <c r="B242" s="193"/>
      <c r="C242" s="193"/>
      <c r="D242" s="195"/>
    </row>
    <row r="243" ht="15.75" customHeight="1">
      <c r="A243" s="193"/>
      <c r="B243" s="193"/>
      <c r="C243" s="193"/>
      <c r="D243" s="195"/>
    </row>
    <row r="244" ht="15.75" customHeight="1">
      <c r="A244" s="193"/>
      <c r="B244" s="193"/>
      <c r="C244" s="193"/>
      <c r="D244" s="195"/>
    </row>
    <row r="245" ht="15.75" customHeight="1">
      <c r="A245" s="193"/>
      <c r="B245" s="193"/>
      <c r="C245" s="193"/>
      <c r="D245" s="195"/>
    </row>
    <row r="246" ht="15.75" customHeight="1">
      <c r="A246" s="193"/>
      <c r="B246" s="193"/>
      <c r="C246" s="193"/>
      <c r="D246" s="195"/>
    </row>
    <row r="247" ht="15.75" customHeight="1">
      <c r="A247" s="193"/>
      <c r="B247" s="193"/>
      <c r="C247" s="193"/>
      <c r="D247" s="195"/>
    </row>
    <row r="248" ht="15.75" customHeight="1">
      <c r="A248" s="193"/>
      <c r="B248" s="193"/>
      <c r="C248" s="193"/>
      <c r="D248" s="195"/>
    </row>
    <row r="249" ht="15.75" customHeight="1">
      <c r="A249" s="193"/>
      <c r="B249" s="193"/>
      <c r="C249" s="193"/>
      <c r="D249" s="195"/>
    </row>
    <row r="250" ht="15.75" customHeight="1">
      <c r="A250" s="193"/>
      <c r="B250" s="193"/>
      <c r="C250" s="193"/>
      <c r="D250" s="195"/>
    </row>
    <row r="251" ht="15.75" customHeight="1">
      <c r="A251" s="193"/>
      <c r="B251" s="193"/>
      <c r="C251" s="193"/>
      <c r="D251" s="195"/>
    </row>
    <row r="252" ht="15.75" customHeight="1">
      <c r="A252" s="193"/>
      <c r="B252" s="193"/>
      <c r="C252" s="193"/>
      <c r="D252" s="195"/>
    </row>
    <row r="253" ht="15.75" customHeight="1">
      <c r="A253" s="193"/>
      <c r="B253" s="193"/>
      <c r="C253" s="193"/>
      <c r="D253" s="195"/>
    </row>
    <row r="254" ht="15.75" customHeight="1">
      <c r="A254" s="193"/>
      <c r="B254" s="193"/>
      <c r="C254" s="193"/>
      <c r="D254" s="195"/>
    </row>
    <row r="255" ht="15.75" customHeight="1">
      <c r="A255" s="193"/>
      <c r="B255" s="193"/>
      <c r="C255" s="193"/>
      <c r="D255" s="195"/>
    </row>
    <row r="256" ht="15.75" customHeight="1">
      <c r="A256" s="193"/>
      <c r="B256" s="193"/>
      <c r="C256" s="193"/>
      <c r="D256" s="195"/>
    </row>
    <row r="257" ht="15.75" customHeight="1">
      <c r="A257" s="193"/>
      <c r="B257" s="193"/>
      <c r="C257" s="193"/>
      <c r="D257" s="195"/>
    </row>
    <row r="258" ht="15.75" customHeight="1">
      <c r="A258" s="193"/>
      <c r="B258" s="193"/>
      <c r="C258" s="193"/>
      <c r="D258" s="195"/>
    </row>
    <row r="259" ht="15.75" customHeight="1">
      <c r="A259" s="193"/>
      <c r="B259" s="193"/>
      <c r="C259" s="193"/>
      <c r="D259" s="195"/>
    </row>
    <row r="260" ht="15.75" customHeight="1">
      <c r="A260" s="193"/>
      <c r="B260" s="193"/>
      <c r="C260" s="193"/>
      <c r="D260" s="195"/>
    </row>
    <row r="261" ht="15.75" customHeight="1">
      <c r="A261" s="193"/>
      <c r="B261" s="193"/>
      <c r="C261" s="193"/>
      <c r="D261" s="195"/>
    </row>
    <row r="262" ht="15.75" customHeight="1">
      <c r="A262" s="193"/>
      <c r="B262" s="193"/>
      <c r="C262" s="193"/>
      <c r="D262" s="195"/>
    </row>
    <row r="263" ht="15.75" customHeight="1">
      <c r="A263" s="193"/>
      <c r="B263" s="193"/>
      <c r="C263" s="193"/>
      <c r="D263" s="195"/>
    </row>
    <row r="264" ht="15.75" customHeight="1">
      <c r="A264" s="193"/>
      <c r="B264" s="193"/>
      <c r="C264" s="193"/>
      <c r="D264" s="195"/>
    </row>
    <row r="265" ht="15.75" customHeight="1">
      <c r="A265" s="193"/>
      <c r="B265" s="193"/>
      <c r="C265" s="193"/>
      <c r="D265" s="195"/>
    </row>
    <row r="266" ht="15.75" customHeight="1">
      <c r="A266" s="193"/>
      <c r="B266" s="193"/>
      <c r="C266" s="193"/>
      <c r="D266" s="195"/>
    </row>
    <row r="267" ht="15.75" customHeight="1">
      <c r="A267" s="193"/>
      <c r="B267" s="193"/>
      <c r="C267" s="193"/>
      <c r="D267" s="195"/>
    </row>
    <row r="268" ht="15.75" customHeight="1">
      <c r="A268" s="193"/>
      <c r="B268" s="193"/>
      <c r="C268" s="193"/>
      <c r="D268" s="195"/>
    </row>
    <row r="269" ht="15.75" customHeight="1">
      <c r="A269" s="193"/>
      <c r="B269" s="193"/>
      <c r="C269" s="193"/>
      <c r="D269" s="195"/>
    </row>
    <row r="270" ht="15.75" customHeight="1">
      <c r="A270" s="193"/>
      <c r="B270" s="193"/>
      <c r="C270" s="193"/>
      <c r="D270" s="195"/>
    </row>
    <row r="271" ht="15.75" customHeight="1">
      <c r="A271" s="193"/>
      <c r="B271" s="193"/>
      <c r="C271" s="193"/>
      <c r="D271" s="195"/>
    </row>
    <row r="272" ht="15.75" customHeight="1">
      <c r="A272" s="193"/>
      <c r="B272" s="193"/>
      <c r="C272" s="193"/>
      <c r="D272" s="195"/>
    </row>
    <row r="273" ht="15.75" customHeight="1">
      <c r="A273" s="193"/>
      <c r="B273" s="193"/>
      <c r="C273" s="193"/>
      <c r="D273" s="195"/>
    </row>
    <row r="274" ht="15.75" customHeight="1">
      <c r="A274" s="193"/>
      <c r="B274" s="193"/>
      <c r="C274" s="193"/>
      <c r="D274" s="195"/>
    </row>
    <row r="275" ht="15.75" customHeight="1">
      <c r="A275" s="193"/>
      <c r="B275" s="193"/>
      <c r="C275" s="193"/>
      <c r="D275" s="195"/>
    </row>
    <row r="276" ht="15.75" customHeight="1">
      <c r="A276" s="193"/>
      <c r="B276" s="193"/>
      <c r="C276" s="193"/>
      <c r="D276" s="195"/>
    </row>
    <row r="277" ht="15.75" customHeight="1">
      <c r="A277" s="193"/>
      <c r="B277" s="193"/>
      <c r="C277" s="193"/>
      <c r="D277" s="195"/>
    </row>
    <row r="278" ht="15.75" customHeight="1">
      <c r="A278" s="193"/>
      <c r="B278" s="193"/>
      <c r="C278" s="193"/>
      <c r="D278" s="195"/>
    </row>
    <row r="279" ht="15.75" customHeight="1">
      <c r="A279" s="193"/>
      <c r="B279" s="193"/>
      <c r="C279" s="193"/>
      <c r="D279" s="195"/>
    </row>
    <row r="280" ht="15.75" customHeight="1">
      <c r="A280" s="193"/>
      <c r="B280" s="193"/>
      <c r="C280" s="193"/>
      <c r="D280" s="195"/>
    </row>
    <row r="281" ht="15.75" customHeight="1">
      <c r="A281" s="193"/>
      <c r="B281" s="193"/>
      <c r="C281" s="193"/>
      <c r="D281" s="195"/>
    </row>
    <row r="282" ht="15.75" customHeight="1">
      <c r="A282" s="193"/>
      <c r="B282" s="193"/>
      <c r="C282" s="193"/>
      <c r="D282" s="195"/>
    </row>
    <row r="283" ht="15.75" customHeight="1">
      <c r="A283" s="193"/>
      <c r="B283" s="193"/>
      <c r="C283" s="193"/>
      <c r="D283" s="195"/>
    </row>
    <row r="284" ht="15.75" customHeight="1">
      <c r="A284" s="193"/>
      <c r="B284" s="193"/>
      <c r="C284" s="193"/>
      <c r="D284" s="195"/>
    </row>
    <row r="285" ht="15.75" customHeight="1">
      <c r="A285" s="193"/>
      <c r="B285" s="193"/>
      <c r="C285" s="193"/>
      <c r="D285" s="195"/>
    </row>
    <row r="286" ht="15.75" customHeight="1">
      <c r="A286" s="193"/>
      <c r="B286" s="193"/>
      <c r="C286" s="193"/>
      <c r="D286" s="195"/>
    </row>
    <row r="287" ht="15.75" customHeight="1">
      <c r="A287" s="193"/>
      <c r="B287" s="193"/>
      <c r="C287" s="193"/>
      <c r="D287" s="195"/>
    </row>
    <row r="288" ht="15.75" customHeight="1">
      <c r="A288" s="193"/>
      <c r="B288" s="193"/>
      <c r="C288" s="193"/>
      <c r="D288" s="195"/>
    </row>
    <row r="289" ht="15.75" customHeight="1">
      <c r="A289" s="193"/>
      <c r="B289" s="193"/>
      <c r="C289" s="193"/>
      <c r="D289" s="195"/>
    </row>
    <row r="290" ht="15.75" customHeight="1">
      <c r="A290" s="193"/>
      <c r="B290" s="193"/>
      <c r="C290" s="193"/>
      <c r="D290" s="195"/>
    </row>
    <row r="291" ht="15.75" customHeight="1">
      <c r="A291" s="193"/>
      <c r="B291" s="193"/>
      <c r="C291" s="193"/>
      <c r="D291" s="195"/>
    </row>
    <row r="292" ht="15.75" customHeight="1">
      <c r="A292" s="193"/>
      <c r="B292" s="193"/>
      <c r="C292" s="193"/>
      <c r="D292" s="195"/>
    </row>
    <row r="293" ht="15.75" customHeight="1">
      <c r="A293" s="193"/>
      <c r="B293" s="193"/>
      <c r="C293" s="193"/>
      <c r="D293" s="195"/>
    </row>
    <row r="294" ht="15.75" customHeight="1">
      <c r="A294" s="193"/>
      <c r="B294" s="193"/>
      <c r="C294" s="193"/>
      <c r="D294" s="195"/>
    </row>
    <row r="295" ht="15.75" customHeight="1">
      <c r="A295" s="193"/>
      <c r="B295" s="193"/>
      <c r="C295" s="193"/>
      <c r="D295" s="195"/>
    </row>
    <row r="296" ht="15.75" customHeight="1">
      <c r="A296" s="193"/>
      <c r="B296" s="193"/>
      <c r="C296" s="193"/>
      <c r="D296" s="195"/>
    </row>
    <row r="297" ht="15.75" customHeight="1">
      <c r="A297" s="193"/>
      <c r="B297" s="193"/>
      <c r="C297" s="193"/>
      <c r="D297" s="195"/>
    </row>
    <row r="298" ht="15.75" customHeight="1">
      <c r="A298" s="193"/>
      <c r="B298" s="193"/>
      <c r="C298" s="193"/>
      <c r="D298" s="195"/>
    </row>
    <row r="299" ht="15.75" customHeight="1">
      <c r="A299" s="193"/>
      <c r="B299" s="193"/>
      <c r="C299" s="193"/>
      <c r="D299" s="195"/>
    </row>
    <row r="300" ht="15.75" customHeight="1">
      <c r="A300" s="193"/>
      <c r="B300" s="193"/>
      <c r="C300" s="193"/>
      <c r="D300" s="195"/>
    </row>
    <row r="301" ht="15.75" customHeight="1">
      <c r="A301" s="193"/>
      <c r="B301" s="193"/>
      <c r="C301" s="193"/>
      <c r="D301" s="195"/>
    </row>
    <row r="302" ht="15.75" customHeight="1">
      <c r="A302" s="193"/>
      <c r="B302" s="193"/>
      <c r="C302" s="193"/>
      <c r="D302" s="195"/>
    </row>
    <row r="303" ht="15.75" customHeight="1">
      <c r="A303" s="193"/>
      <c r="B303" s="193"/>
      <c r="C303" s="193"/>
      <c r="D303" s="195"/>
    </row>
    <row r="304" ht="15.75" customHeight="1">
      <c r="A304" s="193"/>
      <c r="B304" s="193"/>
      <c r="C304" s="193"/>
      <c r="D304" s="195"/>
    </row>
    <row r="305" ht="15.75" customHeight="1">
      <c r="A305" s="193"/>
      <c r="B305" s="193"/>
      <c r="C305" s="193"/>
      <c r="D305" s="195"/>
    </row>
    <row r="306" ht="15.75" customHeight="1">
      <c r="A306" s="193"/>
      <c r="B306" s="193"/>
      <c r="C306" s="193"/>
      <c r="D306" s="195"/>
    </row>
    <row r="307" ht="15.75" customHeight="1">
      <c r="A307" s="193"/>
      <c r="B307" s="193"/>
      <c r="C307" s="193"/>
      <c r="D307" s="195"/>
    </row>
    <row r="308" ht="15.75" customHeight="1">
      <c r="A308" s="193"/>
      <c r="B308" s="193"/>
      <c r="C308" s="193"/>
      <c r="D308" s="195"/>
    </row>
    <row r="309" ht="15.75" customHeight="1">
      <c r="A309" s="193"/>
      <c r="B309" s="193"/>
      <c r="C309" s="193"/>
      <c r="D309" s="195"/>
    </row>
    <row r="310" ht="15.75" customHeight="1">
      <c r="A310" s="193"/>
      <c r="B310" s="193"/>
      <c r="C310" s="193"/>
      <c r="D310" s="195"/>
    </row>
    <row r="311" ht="15.75" customHeight="1">
      <c r="A311" s="193"/>
      <c r="B311" s="193"/>
      <c r="C311" s="193"/>
      <c r="D311" s="195"/>
    </row>
    <row r="312" ht="15.75" customHeight="1">
      <c r="A312" s="193"/>
      <c r="B312" s="193"/>
      <c r="C312" s="193"/>
      <c r="D312" s="195"/>
    </row>
    <row r="313" ht="15.75" customHeight="1">
      <c r="A313" s="193"/>
      <c r="B313" s="193"/>
      <c r="C313" s="193"/>
      <c r="D313" s="195"/>
    </row>
    <row r="314" ht="15.75" customHeight="1">
      <c r="A314" s="193"/>
      <c r="B314" s="193"/>
      <c r="C314" s="193"/>
      <c r="D314" s="195"/>
    </row>
    <row r="315" ht="15.75" customHeight="1">
      <c r="A315" s="193"/>
      <c r="B315" s="193"/>
      <c r="C315" s="193"/>
      <c r="D315" s="195"/>
    </row>
    <row r="316" ht="15.75" customHeight="1">
      <c r="A316" s="193"/>
      <c r="B316" s="193"/>
      <c r="C316" s="193"/>
      <c r="D316" s="195"/>
    </row>
    <row r="317" ht="15.75" customHeight="1">
      <c r="A317" s="193"/>
      <c r="B317" s="193"/>
      <c r="C317" s="193"/>
      <c r="D317" s="195"/>
    </row>
    <row r="318" ht="15.75" customHeight="1">
      <c r="A318" s="193"/>
      <c r="B318" s="193"/>
      <c r="C318" s="193"/>
      <c r="D318" s="195"/>
    </row>
    <row r="319" ht="15.75" customHeight="1">
      <c r="A319" s="193"/>
      <c r="B319" s="193"/>
      <c r="C319" s="193"/>
      <c r="D319" s="195"/>
    </row>
    <row r="320" ht="15.75" customHeight="1">
      <c r="A320" s="193"/>
      <c r="B320" s="193"/>
      <c r="C320" s="193"/>
      <c r="D320" s="195"/>
    </row>
    <row r="321" ht="15.75" customHeight="1">
      <c r="A321" s="193"/>
      <c r="B321" s="193"/>
      <c r="C321" s="193"/>
      <c r="D321" s="195"/>
    </row>
    <row r="322" ht="15.75" customHeight="1">
      <c r="A322" s="193"/>
      <c r="B322" s="193"/>
      <c r="C322" s="193"/>
      <c r="D322" s="195"/>
    </row>
    <row r="323" ht="15.75" customHeight="1">
      <c r="A323" s="193"/>
      <c r="B323" s="193"/>
      <c r="C323" s="193"/>
      <c r="D323" s="195"/>
    </row>
    <row r="324" ht="15.75" customHeight="1">
      <c r="A324" s="193"/>
      <c r="B324" s="193"/>
      <c r="C324" s="193"/>
      <c r="D324" s="195"/>
    </row>
    <row r="325" ht="15.75" customHeight="1">
      <c r="A325" s="193"/>
      <c r="B325" s="193"/>
      <c r="C325" s="193"/>
      <c r="D325" s="195"/>
    </row>
    <row r="326" ht="15.75" customHeight="1">
      <c r="A326" s="193"/>
      <c r="B326" s="193"/>
      <c r="C326" s="193"/>
      <c r="D326" s="195"/>
    </row>
    <row r="327" ht="15.75" customHeight="1">
      <c r="A327" s="193"/>
      <c r="B327" s="193"/>
      <c r="C327" s="193"/>
      <c r="D327" s="195"/>
    </row>
    <row r="328" ht="15.75" customHeight="1">
      <c r="A328" s="193"/>
      <c r="B328" s="193"/>
      <c r="C328" s="193"/>
      <c r="D328" s="195"/>
    </row>
    <row r="329" ht="15.75" customHeight="1">
      <c r="A329" s="193"/>
      <c r="B329" s="193"/>
      <c r="C329" s="193"/>
      <c r="D329" s="195"/>
    </row>
    <row r="330" ht="15.75" customHeight="1">
      <c r="A330" s="193"/>
      <c r="B330" s="193"/>
      <c r="C330" s="193"/>
      <c r="D330" s="195"/>
    </row>
    <row r="331" ht="15.75" customHeight="1">
      <c r="A331" s="193"/>
      <c r="B331" s="193"/>
      <c r="C331" s="193"/>
      <c r="D331" s="195"/>
    </row>
    <row r="332" ht="15.75" customHeight="1">
      <c r="A332" s="193"/>
      <c r="B332" s="193"/>
      <c r="C332" s="193"/>
      <c r="D332" s="195"/>
    </row>
    <row r="333" ht="15.75" customHeight="1">
      <c r="A333" s="193"/>
      <c r="B333" s="193"/>
      <c r="C333" s="193"/>
      <c r="D333" s="195"/>
    </row>
    <row r="334" ht="15.75" customHeight="1">
      <c r="A334" s="193"/>
      <c r="B334" s="193"/>
      <c r="C334" s="193"/>
      <c r="D334" s="195"/>
    </row>
    <row r="335" ht="15.75" customHeight="1">
      <c r="A335" s="193"/>
      <c r="B335" s="193"/>
      <c r="C335" s="193"/>
      <c r="D335" s="195"/>
    </row>
    <row r="336" ht="15.75" customHeight="1">
      <c r="A336" s="193"/>
      <c r="B336" s="193"/>
      <c r="C336" s="193"/>
      <c r="D336" s="195"/>
    </row>
    <row r="337" ht="15.75" customHeight="1">
      <c r="A337" s="193"/>
      <c r="B337" s="193"/>
      <c r="C337" s="193"/>
      <c r="D337" s="195"/>
    </row>
    <row r="338" ht="15.75" customHeight="1">
      <c r="A338" s="193"/>
      <c r="B338" s="193"/>
      <c r="C338" s="193"/>
      <c r="D338" s="195"/>
    </row>
    <row r="339" ht="15.75" customHeight="1">
      <c r="A339" s="193"/>
      <c r="B339" s="193"/>
      <c r="C339" s="193"/>
      <c r="D339" s="195"/>
    </row>
    <row r="340" ht="15.75" customHeight="1">
      <c r="A340" s="193"/>
      <c r="B340" s="193"/>
      <c r="C340" s="193"/>
      <c r="D340" s="195"/>
    </row>
    <row r="341" ht="15.75" customHeight="1">
      <c r="A341" s="193"/>
      <c r="B341" s="193"/>
      <c r="C341" s="193"/>
      <c r="D341" s="195"/>
    </row>
    <row r="342" ht="15.75" customHeight="1">
      <c r="A342" s="193"/>
      <c r="B342" s="193"/>
      <c r="C342" s="193"/>
      <c r="D342" s="195"/>
    </row>
    <row r="343" ht="15.75" customHeight="1">
      <c r="A343" s="193"/>
      <c r="B343" s="193"/>
      <c r="C343" s="193"/>
      <c r="D343" s="195"/>
    </row>
    <row r="344" ht="15.75" customHeight="1">
      <c r="A344" s="193"/>
      <c r="B344" s="193"/>
      <c r="C344" s="193"/>
      <c r="D344" s="195"/>
    </row>
    <row r="345" ht="15.75" customHeight="1">
      <c r="A345" s="193"/>
      <c r="B345" s="193"/>
      <c r="C345" s="193"/>
      <c r="D345" s="195"/>
    </row>
    <row r="346" ht="15.75" customHeight="1">
      <c r="A346" s="193"/>
      <c r="B346" s="193"/>
      <c r="C346" s="193"/>
      <c r="D346" s="195"/>
    </row>
    <row r="347" ht="15.75" customHeight="1">
      <c r="A347" s="193"/>
      <c r="B347" s="193"/>
      <c r="C347" s="193"/>
      <c r="D347" s="195"/>
    </row>
    <row r="348" ht="15.75" customHeight="1">
      <c r="A348" s="193"/>
      <c r="B348" s="193"/>
      <c r="C348" s="193"/>
      <c r="D348" s="195"/>
    </row>
    <row r="349" ht="15.75" customHeight="1">
      <c r="A349" s="193"/>
      <c r="B349" s="193"/>
      <c r="C349" s="193"/>
      <c r="D349" s="195"/>
    </row>
    <row r="350" ht="15.75" customHeight="1">
      <c r="A350" s="193"/>
      <c r="B350" s="193"/>
      <c r="C350" s="193"/>
      <c r="D350" s="195"/>
    </row>
    <row r="351" ht="15.75" customHeight="1">
      <c r="A351" s="193"/>
      <c r="B351" s="193"/>
      <c r="C351" s="193"/>
      <c r="D351" s="195"/>
    </row>
    <row r="352" ht="15.75" customHeight="1">
      <c r="A352" s="193"/>
      <c r="B352" s="193"/>
      <c r="C352" s="193"/>
      <c r="D352" s="195"/>
    </row>
    <row r="353" ht="15.75" customHeight="1">
      <c r="A353" s="193"/>
      <c r="B353" s="193"/>
      <c r="C353" s="193"/>
      <c r="D353" s="195"/>
    </row>
    <row r="354" ht="15.75" customHeight="1">
      <c r="A354" s="193"/>
      <c r="B354" s="193"/>
      <c r="C354" s="193"/>
      <c r="D354" s="195"/>
    </row>
    <row r="355" ht="15.75" customHeight="1">
      <c r="A355" s="193"/>
      <c r="B355" s="193"/>
      <c r="C355" s="193"/>
      <c r="D355" s="195"/>
    </row>
    <row r="356" ht="15.75" customHeight="1">
      <c r="A356" s="193"/>
      <c r="B356" s="193"/>
      <c r="C356" s="193"/>
      <c r="D356" s="195"/>
    </row>
    <row r="357" ht="15.75" customHeight="1">
      <c r="A357" s="193"/>
      <c r="B357" s="193"/>
      <c r="C357" s="193"/>
      <c r="D357" s="195"/>
    </row>
    <row r="358" ht="15.75" customHeight="1">
      <c r="A358" s="193"/>
      <c r="B358" s="193"/>
      <c r="C358" s="193"/>
      <c r="D358" s="195"/>
    </row>
    <row r="359" ht="15.75" customHeight="1">
      <c r="A359" s="193"/>
      <c r="B359" s="193"/>
      <c r="C359" s="193"/>
      <c r="D359" s="195"/>
    </row>
    <row r="360" ht="15.75" customHeight="1">
      <c r="A360" s="193"/>
      <c r="B360" s="193"/>
      <c r="C360" s="193"/>
      <c r="D360" s="195"/>
    </row>
    <row r="361" ht="15.75" customHeight="1">
      <c r="A361" s="193"/>
      <c r="B361" s="193"/>
      <c r="C361" s="193"/>
      <c r="D361" s="195"/>
    </row>
    <row r="362" ht="15.75" customHeight="1">
      <c r="A362" s="193"/>
      <c r="B362" s="193"/>
      <c r="C362" s="193"/>
      <c r="D362" s="195"/>
    </row>
    <row r="363" ht="15.75" customHeight="1">
      <c r="A363" s="193"/>
      <c r="B363" s="193"/>
      <c r="C363" s="193"/>
      <c r="D363" s="195"/>
    </row>
    <row r="364" ht="15.75" customHeight="1">
      <c r="A364" s="193"/>
      <c r="B364" s="193"/>
      <c r="C364" s="193"/>
      <c r="D364" s="195"/>
    </row>
    <row r="365" ht="15.75" customHeight="1">
      <c r="A365" s="193"/>
      <c r="B365" s="193"/>
      <c r="C365" s="193"/>
      <c r="D365" s="195"/>
    </row>
    <row r="366" ht="15.75" customHeight="1">
      <c r="A366" s="193"/>
      <c r="B366" s="193"/>
      <c r="C366" s="193"/>
      <c r="D366" s="195"/>
    </row>
    <row r="367" ht="15.75" customHeight="1">
      <c r="A367" s="193"/>
      <c r="B367" s="193"/>
      <c r="C367" s="193"/>
      <c r="D367" s="195"/>
    </row>
    <row r="368" ht="15.75" customHeight="1">
      <c r="A368" s="193"/>
      <c r="B368" s="193"/>
      <c r="C368" s="193"/>
      <c r="D368" s="195"/>
    </row>
    <row r="369" ht="15.75" customHeight="1">
      <c r="A369" s="193"/>
      <c r="B369" s="193"/>
      <c r="C369" s="193"/>
      <c r="D369" s="195"/>
    </row>
    <row r="370" ht="15.75" customHeight="1">
      <c r="A370" s="193"/>
      <c r="B370" s="193"/>
      <c r="C370" s="193"/>
      <c r="D370" s="195"/>
    </row>
    <row r="371" ht="15.75" customHeight="1">
      <c r="A371" s="193"/>
      <c r="B371" s="193"/>
      <c r="C371" s="193"/>
      <c r="D371" s="195"/>
    </row>
    <row r="372" ht="15.75" customHeight="1">
      <c r="A372" s="193"/>
      <c r="B372" s="193"/>
      <c r="C372" s="193"/>
      <c r="D372" s="195"/>
    </row>
    <row r="373" ht="15.75" customHeight="1">
      <c r="A373" s="193"/>
      <c r="B373" s="193"/>
      <c r="C373" s="193"/>
      <c r="D373" s="195"/>
    </row>
    <row r="374" ht="15.75" customHeight="1">
      <c r="A374" s="193"/>
      <c r="B374" s="193"/>
      <c r="C374" s="193"/>
      <c r="D374" s="195"/>
    </row>
    <row r="375" ht="15.75" customHeight="1">
      <c r="A375" s="193"/>
      <c r="B375" s="193"/>
      <c r="C375" s="193"/>
      <c r="D375" s="195"/>
    </row>
    <row r="376" ht="15.75" customHeight="1">
      <c r="A376" s="193"/>
      <c r="B376" s="193"/>
      <c r="C376" s="193"/>
      <c r="D376" s="195"/>
    </row>
    <row r="377" ht="15.75" customHeight="1">
      <c r="A377" s="193"/>
      <c r="B377" s="193"/>
      <c r="C377" s="193"/>
      <c r="D377" s="195"/>
    </row>
    <row r="378" ht="15.75" customHeight="1">
      <c r="A378" s="193"/>
      <c r="B378" s="193"/>
      <c r="C378" s="193"/>
      <c r="D378" s="195"/>
    </row>
    <row r="379" ht="15.75" customHeight="1">
      <c r="A379" s="193"/>
      <c r="B379" s="193"/>
      <c r="C379" s="193"/>
      <c r="D379" s="195"/>
    </row>
    <row r="380" ht="15.75" customHeight="1">
      <c r="A380" s="193"/>
      <c r="B380" s="193"/>
      <c r="C380" s="193"/>
      <c r="D380" s="195"/>
    </row>
    <row r="381" ht="15.75" customHeight="1">
      <c r="A381" s="193"/>
      <c r="B381" s="193"/>
      <c r="C381" s="193"/>
      <c r="D381" s="195"/>
    </row>
    <row r="382" ht="15.75" customHeight="1">
      <c r="A382" s="193"/>
      <c r="B382" s="193"/>
      <c r="C382" s="193"/>
      <c r="D382" s="195"/>
    </row>
    <row r="383" ht="15.75" customHeight="1">
      <c r="A383" s="193"/>
      <c r="B383" s="193"/>
      <c r="C383" s="193"/>
      <c r="D383" s="195"/>
    </row>
    <row r="384" ht="15.75" customHeight="1">
      <c r="A384" s="193"/>
      <c r="B384" s="193"/>
      <c r="C384" s="193"/>
      <c r="D384" s="195"/>
    </row>
    <row r="385" ht="15.75" customHeight="1">
      <c r="A385" s="193"/>
      <c r="B385" s="193"/>
      <c r="C385" s="193"/>
      <c r="D385" s="195"/>
    </row>
    <row r="386" ht="15.75" customHeight="1">
      <c r="A386" s="193"/>
      <c r="B386" s="193"/>
      <c r="C386" s="193"/>
      <c r="D386" s="195"/>
    </row>
    <row r="387" ht="15.75" customHeight="1">
      <c r="A387" s="193"/>
      <c r="B387" s="193"/>
      <c r="C387" s="193"/>
      <c r="D387" s="195"/>
    </row>
    <row r="388" ht="15.75" customHeight="1">
      <c r="A388" s="193"/>
      <c r="B388" s="193"/>
      <c r="C388" s="193"/>
      <c r="D388" s="195"/>
    </row>
    <row r="389" ht="15.75" customHeight="1">
      <c r="A389" s="193"/>
      <c r="B389" s="193"/>
      <c r="C389" s="193"/>
      <c r="D389" s="195"/>
    </row>
    <row r="390" ht="15.75" customHeight="1">
      <c r="A390" s="193"/>
      <c r="B390" s="193"/>
      <c r="C390" s="193"/>
      <c r="D390" s="195"/>
    </row>
    <row r="391" ht="15.75" customHeight="1">
      <c r="A391" s="193"/>
      <c r="B391" s="193"/>
      <c r="C391" s="193"/>
      <c r="D391" s="195"/>
    </row>
    <row r="392" ht="15.75" customHeight="1">
      <c r="A392" s="193"/>
      <c r="B392" s="193"/>
      <c r="C392" s="193"/>
      <c r="D392" s="195"/>
    </row>
    <row r="393" ht="15.75" customHeight="1">
      <c r="A393" s="193"/>
      <c r="B393" s="193"/>
      <c r="C393" s="193"/>
      <c r="D393" s="195"/>
    </row>
    <row r="394" ht="15.75" customHeight="1">
      <c r="A394" s="193"/>
      <c r="B394" s="193"/>
      <c r="C394" s="193"/>
      <c r="D394" s="195"/>
    </row>
    <row r="395" ht="15.75" customHeight="1">
      <c r="A395" s="193"/>
      <c r="B395" s="193"/>
      <c r="C395" s="193"/>
      <c r="D395" s="195"/>
    </row>
    <row r="396" ht="15.75" customHeight="1">
      <c r="A396" s="193"/>
      <c r="B396" s="193"/>
      <c r="C396" s="193"/>
      <c r="D396" s="195"/>
    </row>
    <row r="397" ht="15.75" customHeight="1">
      <c r="A397" s="193"/>
      <c r="B397" s="193"/>
      <c r="C397" s="193"/>
      <c r="D397" s="195"/>
    </row>
    <row r="398" ht="15.75" customHeight="1">
      <c r="A398" s="193"/>
      <c r="B398" s="193"/>
      <c r="C398" s="193"/>
      <c r="D398" s="195"/>
    </row>
    <row r="399" ht="15.75" customHeight="1">
      <c r="A399" s="193"/>
      <c r="B399" s="193"/>
      <c r="C399" s="193"/>
      <c r="D399" s="195"/>
    </row>
    <row r="400" ht="15.75" customHeight="1">
      <c r="A400" s="193"/>
      <c r="B400" s="193"/>
      <c r="C400" s="193"/>
      <c r="D400" s="195"/>
    </row>
    <row r="401" ht="15.75" customHeight="1">
      <c r="A401" s="193"/>
      <c r="B401" s="193"/>
      <c r="C401" s="193"/>
      <c r="D401" s="195"/>
    </row>
    <row r="402" ht="15.75" customHeight="1">
      <c r="A402" s="193"/>
      <c r="B402" s="193"/>
      <c r="C402" s="193"/>
      <c r="D402" s="195"/>
    </row>
    <row r="403" ht="15.75" customHeight="1">
      <c r="A403" s="193"/>
      <c r="B403" s="193"/>
      <c r="C403" s="193"/>
      <c r="D403" s="195"/>
    </row>
    <row r="404" ht="15.75" customHeight="1">
      <c r="A404" s="193"/>
      <c r="B404" s="193"/>
      <c r="C404" s="193"/>
      <c r="D404" s="195"/>
    </row>
    <row r="405" ht="15.75" customHeight="1">
      <c r="A405" s="193"/>
      <c r="B405" s="193"/>
      <c r="C405" s="193"/>
      <c r="D405" s="195"/>
    </row>
    <row r="406" ht="15.75" customHeight="1">
      <c r="A406" s="193"/>
      <c r="B406" s="193"/>
      <c r="C406" s="193"/>
      <c r="D406" s="195"/>
    </row>
    <row r="407" ht="15.75" customHeight="1">
      <c r="A407" s="193"/>
      <c r="B407" s="193"/>
      <c r="C407" s="193"/>
      <c r="D407" s="195"/>
    </row>
    <row r="408" ht="15.75" customHeight="1">
      <c r="A408" s="193"/>
      <c r="B408" s="193"/>
      <c r="C408" s="193"/>
      <c r="D408" s="195"/>
    </row>
    <row r="409" ht="15.75" customHeight="1">
      <c r="A409" s="193"/>
      <c r="B409" s="193"/>
      <c r="C409" s="193"/>
      <c r="D409" s="195"/>
    </row>
    <row r="410" ht="15.75" customHeight="1">
      <c r="A410" s="193"/>
      <c r="B410" s="193"/>
      <c r="C410" s="193"/>
      <c r="D410" s="195"/>
    </row>
    <row r="411" ht="15.75" customHeight="1">
      <c r="A411" s="193"/>
      <c r="B411" s="193"/>
      <c r="C411" s="193"/>
      <c r="D411" s="195"/>
    </row>
    <row r="412" ht="15.75" customHeight="1">
      <c r="A412" s="193"/>
      <c r="B412" s="193"/>
      <c r="C412" s="193"/>
      <c r="D412" s="195"/>
    </row>
    <row r="413" ht="15.75" customHeight="1">
      <c r="A413" s="193"/>
      <c r="B413" s="193"/>
      <c r="C413" s="193"/>
      <c r="D413" s="195"/>
    </row>
    <row r="414" ht="15.75" customHeight="1">
      <c r="A414" s="193"/>
      <c r="B414" s="193"/>
      <c r="C414" s="193"/>
      <c r="D414" s="195"/>
    </row>
    <row r="415" ht="15.75" customHeight="1">
      <c r="A415" s="193"/>
      <c r="B415" s="193"/>
      <c r="C415" s="193"/>
      <c r="D415" s="195"/>
    </row>
    <row r="416" ht="15.75" customHeight="1">
      <c r="A416" s="193"/>
      <c r="B416" s="193"/>
      <c r="C416" s="193"/>
      <c r="D416" s="195"/>
    </row>
    <row r="417" ht="15.75" customHeight="1">
      <c r="A417" s="193"/>
      <c r="B417" s="193"/>
      <c r="C417" s="193"/>
      <c r="D417" s="195"/>
    </row>
    <row r="418" ht="15.75" customHeight="1">
      <c r="A418" s="193"/>
      <c r="B418" s="193"/>
      <c r="C418" s="193"/>
      <c r="D418" s="195"/>
    </row>
    <row r="419" ht="15.75" customHeight="1">
      <c r="A419" s="193"/>
      <c r="B419" s="193"/>
      <c r="C419" s="193"/>
      <c r="D419" s="195"/>
    </row>
    <row r="420" ht="15.75" customHeight="1">
      <c r="A420" s="193"/>
      <c r="B420" s="193"/>
      <c r="C420" s="193"/>
      <c r="D420" s="195"/>
    </row>
    <row r="421" ht="15.75" customHeight="1">
      <c r="A421" s="193"/>
      <c r="B421" s="193"/>
      <c r="C421" s="193"/>
      <c r="D421" s="195"/>
    </row>
    <row r="422" ht="15.75" customHeight="1">
      <c r="A422" s="193"/>
      <c r="B422" s="193"/>
      <c r="C422" s="193"/>
      <c r="D422" s="195"/>
    </row>
    <row r="423" ht="15.75" customHeight="1">
      <c r="A423" s="193"/>
      <c r="B423" s="193"/>
      <c r="C423" s="193"/>
      <c r="D423" s="195"/>
    </row>
    <row r="424" ht="15.75" customHeight="1">
      <c r="A424" s="193"/>
      <c r="B424" s="193"/>
      <c r="C424" s="193"/>
      <c r="D424" s="195"/>
    </row>
    <row r="425" ht="15.75" customHeight="1">
      <c r="A425" s="193"/>
      <c r="B425" s="193"/>
      <c r="C425" s="193"/>
      <c r="D425" s="195"/>
    </row>
    <row r="426" ht="15.75" customHeight="1">
      <c r="A426" s="193"/>
      <c r="B426" s="193"/>
      <c r="C426" s="193"/>
      <c r="D426" s="195"/>
    </row>
    <row r="427" ht="15.75" customHeight="1">
      <c r="A427" s="193"/>
      <c r="B427" s="193"/>
      <c r="C427" s="193"/>
      <c r="D427" s="195"/>
    </row>
    <row r="428" ht="15.75" customHeight="1">
      <c r="A428" s="193"/>
      <c r="B428" s="193"/>
      <c r="C428" s="193"/>
      <c r="D428" s="195"/>
    </row>
    <row r="429" ht="15.75" customHeight="1">
      <c r="A429" s="193"/>
      <c r="B429" s="193"/>
      <c r="C429" s="193"/>
      <c r="D429" s="195"/>
    </row>
    <row r="430" ht="15.75" customHeight="1">
      <c r="A430" s="193"/>
      <c r="B430" s="193"/>
      <c r="C430" s="193"/>
      <c r="D430" s="195"/>
    </row>
    <row r="431" ht="15.75" customHeight="1">
      <c r="A431" s="193"/>
      <c r="B431" s="193"/>
      <c r="C431" s="193"/>
      <c r="D431" s="195"/>
    </row>
    <row r="432" ht="15.75" customHeight="1">
      <c r="A432" s="193"/>
      <c r="B432" s="193"/>
      <c r="C432" s="193"/>
      <c r="D432" s="195"/>
    </row>
    <row r="433" ht="15.75" customHeight="1">
      <c r="A433" s="193"/>
      <c r="B433" s="193"/>
      <c r="C433" s="193"/>
      <c r="D433" s="195"/>
    </row>
    <row r="434" ht="15.75" customHeight="1">
      <c r="A434" s="193"/>
      <c r="B434" s="193"/>
      <c r="C434" s="193"/>
      <c r="D434" s="195"/>
    </row>
    <row r="435" ht="15.75" customHeight="1">
      <c r="A435" s="193"/>
      <c r="B435" s="193"/>
      <c r="C435" s="193"/>
      <c r="D435" s="195"/>
    </row>
    <row r="436" ht="15.75" customHeight="1">
      <c r="A436" s="193"/>
      <c r="B436" s="193"/>
      <c r="C436" s="193"/>
      <c r="D436" s="195"/>
    </row>
    <row r="437" ht="15.75" customHeight="1">
      <c r="A437" s="193"/>
      <c r="B437" s="193"/>
      <c r="C437" s="193"/>
      <c r="D437" s="195"/>
    </row>
    <row r="438" ht="15.75" customHeight="1">
      <c r="A438" s="193"/>
      <c r="B438" s="193"/>
      <c r="C438" s="193"/>
      <c r="D438" s="195"/>
    </row>
    <row r="439" ht="15.75" customHeight="1">
      <c r="A439" s="193"/>
      <c r="B439" s="193"/>
      <c r="C439" s="193"/>
      <c r="D439" s="195"/>
    </row>
    <row r="440" ht="15.75" customHeight="1">
      <c r="A440" s="193"/>
      <c r="B440" s="193"/>
      <c r="C440" s="193"/>
      <c r="D440" s="195"/>
    </row>
    <row r="441" ht="15.75" customHeight="1">
      <c r="A441" s="193"/>
      <c r="B441" s="193"/>
      <c r="C441" s="193"/>
      <c r="D441" s="195"/>
    </row>
    <row r="442" ht="15.75" customHeight="1">
      <c r="A442" s="193"/>
      <c r="B442" s="193"/>
      <c r="C442" s="193"/>
      <c r="D442" s="195"/>
    </row>
    <row r="443" ht="15.75" customHeight="1">
      <c r="A443" s="193"/>
      <c r="B443" s="193"/>
      <c r="C443" s="193"/>
      <c r="D443" s="195"/>
    </row>
    <row r="444" ht="15.75" customHeight="1">
      <c r="A444" s="193"/>
      <c r="B444" s="193"/>
      <c r="C444" s="193"/>
      <c r="D444" s="195"/>
    </row>
    <row r="445" ht="15.75" customHeight="1">
      <c r="A445" s="193"/>
      <c r="B445" s="193"/>
      <c r="C445" s="193"/>
      <c r="D445" s="195"/>
    </row>
    <row r="446" ht="15.75" customHeight="1">
      <c r="A446" s="193"/>
      <c r="B446" s="193"/>
      <c r="C446" s="193"/>
      <c r="D446" s="195"/>
    </row>
    <row r="447" ht="15.75" customHeight="1">
      <c r="A447" s="193"/>
      <c r="B447" s="193"/>
      <c r="C447" s="193"/>
      <c r="D447" s="195"/>
    </row>
    <row r="448" ht="15.75" customHeight="1">
      <c r="A448" s="193"/>
      <c r="B448" s="193"/>
      <c r="C448" s="193"/>
      <c r="D448" s="195"/>
    </row>
    <row r="449" ht="15.75" customHeight="1">
      <c r="A449" s="193"/>
      <c r="B449" s="193"/>
      <c r="C449" s="193"/>
      <c r="D449" s="195"/>
    </row>
    <row r="450" ht="15.75" customHeight="1">
      <c r="A450" s="193"/>
      <c r="B450" s="193"/>
      <c r="C450" s="193"/>
      <c r="D450" s="195"/>
    </row>
    <row r="451" ht="15.75" customHeight="1">
      <c r="A451" s="193"/>
      <c r="B451" s="193"/>
      <c r="C451" s="193"/>
      <c r="D451" s="195"/>
    </row>
    <row r="452" ht="15.75" customHeight="1">
      <c r="A452" s="193"/>
      <c r="B452" s="193"/>
      <c r="C452" s="193"/>
      <c r="D452" s="195"/>
    </row>
    <row r="453" ht="15.75" customHeight="1">
      <c r="A453" s="193"/>
      <c r="B453" s="193"/>
      <c r="C453" s="193"/>
      <c r="D453" s="195"/>
    </row>
    <row r="454" ht="15.75" customHeight="1">
      <c r="A454" s="193"/>
      <c r="B454" s="193"/>
      <c r="C454" s="193"/>
      <c r="D454" s="195"/>
    </row>
    <row r="455" ht="15.75" customHeight="1">
      <c r="A455" s="193"/>
      <c r="B455" s="193"/>
      <c r="C455" s="193"/>
      <c r="D455" s="195"/>
    </row>
    <row r="456" ht="15.75" customHeight="1">
      <c r="A456" s="193"/>
      <c r="B456" s="193"/>
      <c r="C456" s="193"/>
      <c r="D456" s="195"/>
    </row>
    <row r="457" ht="15.75" customHeight="1">
      <c r="A457" s="193"/>
      <c r="B457" s="193"/>
      <c r="C457" s="193"/>
      <c r="D457" s="195"/>
    </row>
    <row r="458" ht="15.75" customHeight="1">
      <c r="A458" s="193"/>
      <c r="B458" s="193"/>
      <c r="C458" s="193"/>
      <c r="D458" s="195"/>
    </row>
    <row r="459" ht="15.75" customHeight="1">
      <c r="A459" s="193"/>
      <c r="B459" s="193"/>
      <c r="C459" s="193"/>
      <c r="D459" s="195"/>
    </row>
    <row r="460" ht="15.75" customHeight="1">
      <c r="A460" s="193"/>
      <c r="B460" s="193"/>
      <c r="C460" s="193"/>
      <c r="D460" s="195"/>
    </row>
    <row r="461" ht="15.75" customHeight="1">
      <c r="A461" s="193"/>
      <c r="B461" s="193"/>
      <c r="C461" s="193"/>
      <c r="D461" s="195"/>
    </row>
    <row r="462" ht="15.75" customHeight="1">
      <c r="A462" s="193"/>
      <c r="B462" s="193"/>
      <c r="C462" s="193"/>
      <c r="D462" s="195"/>
    </row>
    <row r="463" ht="15.75" customHeight="1">
      <c r="A463" s="193"/>
      <c r="B463" s="193"/>
      <c r="C463" s="193"/>
      <c r="D463" s="195"/>
    </row>
    <row r="464" ht="15.75" customHeight="1">
      <c r="A464" s="193"/>
      <c r="B464" s="193"/>
      <c r="C464" s="193"/>
      <c r="D464" s="195"/>
    </row>
    <row r="465" ht="15.75" customHeight="1">
      <c r="A465" s="193"/>
      <c r="B465" s="193"/>
      <c r="C465" s="193"/>
      <c r="D465" s="195"/>
    </row>
    <row r="466" ht="15.75" customHeight="1">
      <c r="A466" s="193"/>
      <c r="B466" s="193"/>
      <c r="C466" s="193"/>
      <c r="D466" s="195"/>
    </row>
    <row r="467" ht="15.75" customHeight="1">
      <c r="A467" s="193"/>
      <c r="B467" s="193"/>
      <c r="C467" s="193"/>
      <c r="D467" s="195"/>
    </row>
    <row r="468" ht="15.75" customHeight="1">
      <c r="A468" s="193"/>
      <c r="B468" s="193"/>
      <c r="C468" s="193"/>
      <c r="D468" s="195"/>
    </row>
    <row r="469" ht="15.75" customHeight="1">
      <c r="A469" s="193"/>
      <c r="B469" s="193"/>
      <c r="C469" s="193"/>
      <c r="D469" s="195"/>
    </row>
    <row r="470" ht="15.75" customHeight="1">
      <c r="A470" s="193"/>
      <c r="B470" s="193"/>
      <c r="C470" s="193"/>
      <c r="D470" s="195"/>
    </row>
    <row r="471" ht="15.75" customHeight="1">
      <c r="A471" s="193"/>
      <c r="B471" s="193"/>
      <c r="C471" s="193"/>
      <c r="D471" s="195"/>
    </row>
    <row r="472" ht="15.75" customHeight="1">
      <c r="A472" s="193"/>
      <c r="B472" s="193"/>
      <c r="C472" s="193"/>
      <c r="D472" s="195"/>
    </row>
    <row r="473" ht="15.75" customHeight="1">
      <c r="A473" s="193"/>
      <c r="B473" s="193"/>
      <c r="C473" s="193"/>
      <c r="D473" s="195"/>
    </row>
    <row r="474" ht="15.75" customHeight="1">
      <c r="A474" s="193"/>
      <c r="B474" s="193"/>
      <c r="C474" s="193"/>
      <c r="D474" s="195"/>
    </row>
    <row r="475" ht="15.75" customHeight="1">
      <c r="A475" s="193"/>
      <c r="B475" s="193"/>
      <c r="C475" s="193"/>
      <c r="D475" s="195"/>
    </row>
    <row r="476" ht="15.75" customHeight="1">
      <c r="A476" s="193"/>
      <c r="B476" s="193"/>
      <c r="C476" s="193"/>
      <c r="D476" s="195"/>
    </row>
    <row r="477" ht="15.75" customHeight="1">
      <c r="A477" s="193"/>
      <c r="B477" s="193"/>
      <c r="C477" s="193"/>
      <c r="D477" s="195"/>
    </row>
    <row r="478" ht="15.75" customHeight="1">
      <c r="A478" s="193"/>
      <c r="B478" s="193"/>
      <c r="C478" s="193"/>
      <c r="D478" s="195"/>
    </row>
    <row r="479" ht="15.75" customHeight="1">
      <c r="A479" s="193"/>
      <c r="B479" s="193"/>
      <c r="C479" s="193"/>
      <c r="D479" s="195"/>
    </row>
    <row r="480" ht="15.75" customHeight="1">
      <c r="A480" s="193"/>
      <c r="B480" s="193"/>
      <c r="C480" s="193"/>
      <c r="D480" s="195"/>
    </row>
    <row r="481" ht="15.75" customHeight="1">
      <c r="A481" s="193"/>
      <c r="B481" s="193"/>
      <c r="C481" s="193"/>
      <c r="D481" s="195"/>
    </row>
    <row r="482" ht="15.75" customHeight="1">
      <c r="A482" s="193"/>
      <c r="B482" s="193"/>
      <c r="C482" s="193"/>
      <c r="D482" s="195"/>
    </row>
    <row r="483" ht="15.75" customHeight="1">
      <c r="A483" s="193"/>
      <c r="B483" s="193"/>
      <c r="C483" s="193"/>
      <c r="D483" s="195"/>
    </row>
    <row r="484" ht="15.75" customHeight="1">
      <c r="A484" s="193"/>
      <c r="B484" s="193"/>
      <c r="C484" s="193"/>
      <c r="D484" s="195"/>
    </row>
    <row r="485" ht="15.75" customHeight="1">
      <c r="A485" s="193"/>
      <c r="B485" s="193"/>
      <c r="C485" s="193"/>
      <c r="D485" s="195"/>
    </row>
    <row r="486" ht="15.75" customHeight="1">
      <c r="A486" s="193"/>
      <c r="B486" s="193"/>
      <c r="C486" s="193"/>
      <c r="D486" s="195"/>
    </row>
    <row r="487" ht="15.75" customHeight="1">
      <c r="A487" s="193"/>
      <c r="B487" s="193"/>
      <c r="C487" s="193"/>
      <c r="D487" s="195"/>
    </row>
    <row r="488" ht="15.75" customHeight="1">
      <c r="A488" s="193"/>
      <c r="B488" s="193"/>
      <c r="C488" s="193"/>
      <c r="D488" s="195"/>
    </row>
    <row r="489" ht="15.75" customHeight="1">
      <c r="A489" s="193"/>
      <c r="B489" s="193"/>
      <c r="C489" s="193"/>
      <c r="D489" s="195"/>
    </row>
    <row r="490" ht="15.75" customHeight="1">
      <c r="A490" s="193"/>
      <c r="B490" s="193"/>
      <c r="C490" s="193"/>
      <c r="D490" s="195"/>
    </row>
    <row r="491" ht="15.75" customHeight="1">
      <c r="A491" s="193"/>
      <c r="B491" s="193"/>
      <c r="C491" s="193"/>
      <c r="D491" s="195"/>
    </row>
    <row r="492" ht="15.75" customHeight="1">
      <c r="A492" s="193"/>
      <c r="B492" s="193"/>
      <c r="C492" s="193"/>
      <c r="D492" s="195"/>
    </row>
    <row r="493" ht="15.75" customHeight="1">
      <c r="A493" s="193"/>
      <c r="B493" s="193"/>
      <c r="C493" s="193"/>
      <c r="D493" s="195"/>
    </row>
    <row r="494" ht="15.75" customHeight="1">
      <c r="A494" s="193"/>
      <c r="B494" s="193"/>
      <c r="C494" s="193"/>
      <c r="D494" s="195"/>
    </row>
    <row r="495" ht="15.75" customHeight="1">
      <c r="A495" s="193"/>
      <c r="B495" s="193"/>
      <c r="C495" s="193"/>
      <c r="D495" s="195"/>
    </row>
    <row r="496" ht="15.75" customHeight="1">
      <c r="A496" s="193"/>
      <c r="B496" s="193"/>
      <c r="C496" s="193"/>
      <c r="D496" s="195"/>
    </row>
    <row r="497" ht="15.75" customHeight="1">
      <c r="A497" s="193"/>
      <c r="B497" s="193"/>
      <c r="C497" s="193"/>
      <c r="D497" s="195"/>
    </row>
    <row r="498" ht="15.75" customHeight="1">
      <c r="A498" s="193"/>
      <c r="B498" s="193"/>
      <c r="C498" s="193"/>
      <c r="D498" s="195"/>
    </row>
    <row r="499" ht="15.75" customHeight="1">
      <c r="A499" s="193"/>
      <c r="B499" s="193"/>
      <c r="C499" s="193"/>
      <c r="D499" s="195"/>
    </row>
    <row r="500" ht="15.75" customHeight="1">
      <c r="A500" s="193"/>
      <c r="B500" s="193"/>
      <c r="C500" s="193"/>
      <c r="D500" s="195"/>
    </row>
    <row r="501" ht="15.75" customHeight="1">
      <c r="A501" s="193"/>
      <c r="B501" s="193"/>
      <c r="C501" s="193"/>
      <c r="D501" s="195"/>
    </row>
    <row r="502" ht="15.75" customHeight="1">
      <c r="A502" s="193"/>
      <c r="B502" s="193"/>
      <c r="C502" s="193"/>
      <c r="D502" s="195"/>
    </row>
    <row r="503" ht="15.75" customHeight="1">
      <c r="A503" s="193"/>
      <c r="B503" s="193"/>
      <c r="C503" s="193"/>
      <c r="D503" s="195"/>
    </row>
    <row r="504" ht="15.75" customHeight="1">
      <c r="A504" s="193"/>
      <c r="B504" s="193"/>
      <c r="C504" s="193"/>
      <c r="D504" s="195"/>
    </row>
    <row r="505" ht="15.75" customHeight="1">
      <c r="A505" s="193"/>
      <c r="B505" s="193"/>
      <c r="C505" s="193"/>
      <c r="D505" s="195"/>
    </row>
    <row r="506" ht="15.75" customHeight="1">
      <c r="A506" s="193"/>
      <c r="B506" s="193"/>
      <c r="C506" s="193"/>
      <c r="D506" s="195"/>
    </row>
    <row r="507" ht="15.75" customHeight="1">
      <c r="A507" s="193"/>
      <c r="B507" s="193"/>
      <c r="C507" s="193"/>
      <c r="D507" s="195"/>
    </row>
    <row r="508" ht="15.75" customHeight="1">
      <c r="A508" s="193"/>
      <c r="B508" s="193"/>
      <c r="C508" s="193"/>
      <c r="D508" s="195"/>
    </row>
    <row r="509" ht="15.75" customHeight="1">
      <c r="A509" s="193"/>
      <c r="B509" s="193"/>
      <c r="C509" s="193"/>
      <c r="D509" s="195"/>
    </row>
    <row r="510" ht="15.75" customHeight="1">
      <c r="A510" s="193"/>
      <c r="B510" s="193"/>
      <c r="C510" s="193"/>
      <c r="D510" s="195"/>
    </row>
    <row r="511" ht="15.75" customHeight="1">
      <c r="A511" s="193"/>
      <c r="B511" s="193"/>
      <c r="C511" s="193"/>
      <c r="D511" s="195"/>
    </row>
    <row r="512" ht="15.75" customHeight="1">
      <c r="A512" s="193"/>
      <c r="B512" s="193"/>
      <c r="C512" s="193"/>
      <c r="D512" s="195"/>
    </row>
    <row r="513" ht="15.75" customHeight="1">
      <c r="A513" s="193"/>
      <c r="B513" s="193"/>
      <c r="C513" s="193"/>
      <c r="D513" s="195"/>
    </row>
    <row r="514" ht="15.75" customHeight="1">
      <c r="A514" s="193"/>
      <c r="B514" s="193"/>
      <c r="C514" s="193"/>
      <c r="D514" s="195"/>
    </row>
    <row r="515" ht="15.75" customHeight="1">
      <c r="A515" s="193"/>
      <c r="B515" s="193"/>
      <c r="C515" s="193"/>
      <c r="D515" s="195"/>
    </row>
    <row r="516" ht="15.75" customHeight="1">
      <c r="A516" s="193"/>
      <c r="B516" s="193"/>
      <c r="C516" s="193"/>
      <c r="D516" s="195"/>
    </row>
    <row r="517" ht="15.75" customHeight="1">
      <c r="A517" s="193"/>
      <c r="B517" s="193"/>
      <c r="C517" s="193"/>
      <c r="D517" s="195"/>
    </row>
    <row r="518" ht="15.75" customHeight="1">
      <c r="A518" s="193"/>
      <c r="B518" s="193"/>
      <c r="C518" s="193"/>
      <c r="D518" s="195"/>
    </row>
    <row r="519" ht="15.75" customHeight="1">
      <c r="A519" s="193"/>
      <c r="B519" s="193"/>
      <c r="C519" s="193"/>
      <c r="D519" s="195"/>
    </row>
    <row r="520" ht="15.75" customHeight="1">
      <c r="A520" s="193"/>
      <c r="B520" s="193"/>
      <c r="C520" s="193"/>
      <c r="D520" s="195"/>
    </row>
    <row r="521" ht="15.75" customHeight="1">
      <c r="A521" s="193"/>
      <c r="B521" s="193"/>
      <c r="C521" s="193"/>
      <c r="D521" s="195"/>
    </row>
    <row r="522" ht="15.75" customHeight="1">
      <c r="A522" s="193"/>
      <c r="B522" s="193"/>
      <c r="C522" s="193"/>
      <c r="D522" s="195"/>
    </row>
    <row r="523" ht="15.75" customHeight="1">
      <c r="A523" s="193"/>
      <c r="B523" s="193"/>
      <c r="C523" s="193"/>
      <c r="D523" s="195"/>
    </row>
    <row r="524" ht="15.75" customHeight="1">
      <c r="A524" s="193"/>
      <c r="B524" s="193"/>
      <c r="C524" s="193"/>
      <c r="D524" s="195"/>
    </row>
    <row r="525" ht="15.75" customHeight="1">
      <c r="A525" s="193"/>
      <c r="B525" s="193"/>
      <c r="C525" s="193"/>
      <c r="D525" s="195"/>
    </row>
    <row r="526" ht="15.75" customHeight="1">
      <c r="A526" s="193"/>
      <c r="B526" s="193"/>
      <c r="C526" s="193"/>
      <c r="D526" s="195"/>
    </row>
    <row r="527" ht="15.75" customHeight="1">
      <c r="A527" s="193"/>
      <c r="B527" s="193"/>
      <c r="C527" s="193"/>
      <c r="D527" s="195"/>
    </row>
    <row r="528" ht="15.75" customHeight="1">
      <c r="A528" s="193"/>
      <c r="B528" s="193"/>
      <c r="C528" s="193"/>
      <c r="D528" s="195"/>
    </row>
    <row r="529" ht="15.75" customHeight="1">
      <c r="A529" s="193"/>
      <c r="B529" s="193"/>
      <c r="C529" s="193"/>
      <c r="D529" s="195"/>
    </row>
    <row r="530" ht="15.75" customHeight="1">
      <c r="A530" s="193"/>
      <c r="B530" s="193"/>
      <c r="C530" s="193"/>
      <c r="D530" s="195"/>
    </row>
    <row r="531" ht="15.75" customHeight="1">
      <c r="A531" s="193"/>
      <c r="B531" s="193"/>
      <c r="C531" s="193"/>
      <c r="D531" s="195"/>
    </row>
    <row r="532" ht="15.75" customHeight="1">
      <c r="A532" s="193"/>
      <c r="B532" s="193"/>
      <c r="C532" s="193"/>
      <c r="D532" s="195"/>
    </row>
    <row r="533" ht="15.75" customHeight="1">
      <c r="A533" s="193"/>
      <c r="B533" s="193"/>
      <c r="C533" s="193"/>
      <c r="D533" s="195"/>
    </row>
    <row r="534" ht="15.75" customHeight="1">
      <c r="A534" s="193"/>
      <c r="B534" s="193"/>
      <c r="C534" s="193"/>
      <c r="D534" s="195"/>
    </row>
    <row r="535" ht="15.75" customHeight="1">
      <c r="A535" s="193"/>
      <c r="B535" s="193"/>
      <c r="C535" s="193"/>
      <c r="D535" s="195"/>
    </row>
    <row r="536" ht="15.75" customHeight="1">
      <c r="A536" s="193"/>
      <c r="B536" s="193"/>
      <c r="C536" s="193"/>
      <c r="D536" s="195"/>
    </row>
    <row r="537" ht="15.75" customHeight="1">
      <c r="A537" s="193"/>
      <c r="B537" s="193"/>
      <c r="C537" s="193"/>
      <c r="D537" s="195"/>
    </row>
    <row r="538" ht="15.75" customHeight="1">
      <c r="A538" s="193"/>
      <c r="B538" s="193"/>
      <c r="C538" s="193"/>
      <c r="D538" s="195"/>
    </row>
    <row r="539" ht="15.75" customHeight="1">
      <c r="A539" s="193"/>
      <c r="B539" s="193"/>
      <c r="C539" s="193"/>
      <c r="D539" s="195"/>
    </row>
    <row r="540" ht="15.75" customHeight="1">
      <c r="A540" s="193"/>
      <c r="B540" s="193"/>
      <c r="C540" s="193"/>
      <c r="D540" s="195"/>
    </row>
    <row r="541" ht="15.75" customHeight="1">
      <c r="A541" s="193"/>
      <c r="B541" s="193"/>
      <c r="C541" s="193"/>
      <c r="D541" s="195"/>
    </row>
    <row r="542" ht="15.75" customHeight="1">
      <c r="A542" s="193"/>
      <c r="B542" s="193"/>
      <c r="C542" s="193"/>
      <c r="D542" s="195"/>
    </row>
    <row r="543" ht="15.75" customHeight="1">
      <c r="A543" s="193"/>
      <c r="B543" s="193"/>
      <c r="C543" s="193"/>
      <c r="D543" s="195"/>
    </row>
    <row r="544" ht="15.75" customHeight="1">
      <c r="A544" s="193"/>
      <c r="B544" s="193"/>
      <c r="C544" s="193"/>
      <c r="D544" s="195"/>
    </row>
    <row r="545" ht="15.75" customHeight="1">
      <c r="A545" s="193"/>
      <c r="B545" s="193"/>
      <c r="C545" s="193"/>
      <c r="D545" s="195"/>
    </row>
    <row r="546" ht="15.75" customHeight="1">
      <c r="A546" s="193"/>
      <c r="B546" s="193"/>
      <c r="C546" s="193"/>
      <c r="D546" s="195"/>
    </row>
    <row r="547" ht="15.75" customHeight="1">
      <c r="A547" s="193"/>
      <c r="B547" s="193"/>
      <c r="C547" s="193"/>
      <c r="D547" s="195"/>
    </row>
    <row r="548" ht="15.75" customHeight="1">
      <c r="A548" s="193"/>
      <c r="B548" s="193"/>
      <c r="C548" s="193"/>
      <c r="D548" s="195"/>
    </row>
    <row r="549" ht="15.75" customHeight="1">
      <c r="A549" s="193"/>
      <c r="B549" s="193"/>
      <c r="C549" s="193"/>
      <c r="D549" s="195"/>
    </row>
    <row r="550" ht="15.75" customHeight="1">
      <c r="A550" s="193"/>
      <c r="B550" s="193"/>
      <c r="C550" s="193"/>
      <c r="D550" s="195"/>
    </row>
    <row r="551" ht="15.75" customHeight="1">
      <c r="A551" s="193"/>
      <c r="B551" s="193"/>
      <c r="C551" s="193"/>
      <c r="D551" s="195"/>
    </row>
    <row r="552" ht="15.75" customHeight="1">
      <c r="A552" s="193"/>
      <c r="B552" s="193"/>
      <c r="C552" s="193"/>
      <c r="D552" s="195"/>
    </row>
    <row r="553" ht="15.75" customHeight="1">
      <c r="A553" s="193"/>
      <c r="B553" s="193"/>
      <c r="C553" s="193"/>
      <c r="D553" s="195"/>
    </row>
    <row r="554" ht="15.75" customHeight="1">
      <c r="A554" s="193"/>
      <c r="B554" s="193"/>
      <c r="C554" s="193"/>
      <c r="D554" s="195"/>
    </row>
    <row r="555" ht="15.75" customHeight="1">
      <c r="A555" s="193"/>
      <c r="B555" s="193"/>
      <c r="C555" s="193"/>
      <c r="D555" s="195"/>
    </row>
    <row r="556" ht="15.75" customHeight="1">
      <c r="A556" s="193"/>
      <c r="B556" s="193"/>
      <c r="C556" s="193"/>
      <c r="D556" s="195"/>
    </row>
    <row r="557" ht="15.75" customHeight="1">
      <c r="A557" s="193"/>
      <c r="B557" s="193"/>
      <c r="C557" s="193"/>
      <c r="D557" s="195"/>
    </row>
    <row r="558" ht="15.75" customHeight="1">
      <c r="A558" s="193"/>
      <c r="B558" s="193"/>
      <c r="C558" s="193"/>
      <c r="D558" s="195"/>
    </row>
    <row r="559" ht="15.75" customHeight="1">
      <c r="A559" s="193"/>
      <c r="B559" s="193"/>
      <c r="C559" s="193"/>
      <c r="D559" s="195"/>
    </row>
    <row r="560" ht="15.75" customHeight="1">
      <c r="A560" s="193"/>
      <c r="B560" s="193"/>
      <c r="C560" s="193"/>
      <c r="D560" s="195"/>
    </row>
    <row r="561" ht="15.75" customHeight="1">
      <c r="A561" s="193"/>
      <c r="B561" s="193"/>
      <c r="C561" s="193"/>
      <c r="D561" s="195"/>
    </row>
    <row r="562" ht="15.75" customHeight="1">
      <c r="A562" s="193"/>
      <c r="B562" s="193"/>
      <c r="C562" s="193"/>
      <c r="D562" s="195"/>
    </row>
    <row r="563" ht="15.75" customHeight="1">
      <c r="A563" s="193"/>
      <c r="B563" s="193"/>
      <c r="C563" s="193"/>
      <c r="D563" s="195"/>
    </row>
    <row r="564" ht="15.75" customHeight="1">
      <c r="A564" s="193"/>
      <c r="B564" s="193"/>
      <c r="C564" s="193"/>
      <c r="D564" s="195"/>
    </row>
    <row r="565" ht="15.75" customHeight="1">
      <c r="A565" s="193"/>
      <c r="B565" s="193"/>
      <c r="C565" s="193"/>
      <c r="D565" s="195"/>
    </row>
    <row r="566" ht="15.75" customHeight="1">
      <c r="A566" s="193"/>
      <c r="B566" s="193"/>
      <c r="C566" s="193"/>
      <c r="D566" s="195"/>
    </row>
    <row r="567" ht="15.75" customHeight="1">
      <c r="A567" s="193"/>
      <c r="B567" s="193"/>
      <c r="C567" s="193"/>
      <c r="D567" s="195"/>
    </row>
    <row r="568" ht="15.75" customHeight="1">
      <c r="A568" s="193"/>
      <c r="B568" s="193"/>
      <c r="C568" s="193"/>
      <c r="D568" s="195"/>
    </row>
    <row r="569" ht="15.75" customHeight="1">
      <c r="A569" s="193"/>
      <c r="B569" s="193"/>
      <c r="C569" s="193"/>
      <c r="D569" s="195"/>
    </row>
    <row r="570" ht="15.75" customHeight="1">
      <c r="A570" s="193"/>
      <c r="B570" s="193"/>
      <c r="C570" s="193"/>
      <c r="D570" s="195"/>
    </row>
    <row r="571" ht="15.75" customHeight="1">
      <c r="A571" s="193"/>
      <c r="B571" s="193"/>
      <c r="C571" s="193"/>
      <c r="D571" s="195"/>
    </row>
    <row r="572" ht="15.75" customHeight="1">
      <c r="A572" s="193"/>
      <c r="B572" s="193"/>
      <c r="C572" s="193"/>
      <c r="D572" s="195"/>
    </row>
    <row r="573" ht="15.75" customHeight="1">
      <c r="A573" s="193"/>
      <c r="B573" s="193"/>
      <c r="C573" s="193"/>
      <c r="D573" s="195"/>
    </row>
    <row r="574" ht="15.75" customHeight="1">
      <c r="A574" s="193"/>
      <c r="B574" s="193"/>
      <c r="C574" s="193"/>
      <c r="D574" s="195"/>
    </row>
    <row r="575" ht="15.75" customHeight="1">
      <c r="A575" s="193"/>
      <c r="B575" s="193"/>
      <c r="C575" s="193"/>
      <c r="D575" s="195"/>
    </row>
    <row r="576" ht="15.75" customHeight="1">
      <c r="A576" s="193"/>
      <c r="B576" s="193"/>
      <c r="C576" s="193"/>
      <c r="D576" s="195"/>
    </row>
    <row r="577" ht="15.75" customHeight="1">
      <c r="A577" s="193"/>
      <c r="B577" s="193"/>
      <c r="C577" s="193"/>
      <c r="D577" s="195"/>
    </row>
    <row r="578" ht="15.75" customHeight="1">
      <c r="A578" s="193"/>
      <c r="B578" s="193"/>
      <c r="C578" s="193"/>
      <c r="D578" s="195"/>
    </row>
    <row r="579" ht="15.75" customHeight="1">
      <c r="A579" s="193"/>
      <c r="B579" s="193"/>
      <c r="C579" s="193"/>
      <c r="D579" s="195"/>
    </row>
    <row r="580" ht="15.75" customHeight="1">
      <c r="A580" s="193"/>
      <c r="B580" s="193"/>
      <c r="C580" s="193"/>
      <c r="D580" s="195"/>
    </row>
    <row r="581" ht="15.75" customHeight="1">
      <c r="A581" s="193"/>
      <c r="B581" s="193"/>
      <c r="C581" s="193"/>
      <c r="D581" s="195"/>
    </row>
    <row r="582" ht="15.75" customHeight="1">
      <c r="A582" s="193"/>
      <c r="B582" s="193"/>
      <c r="C582" s="193"/>
      <c r="D582" s="195"/>
    </row>
    <row r="583" ht="15.75" customHeight="1">
      <c r="A583" s="193"/>
      <c r="B583" s="193"/>
      <c r="C583" s="193"/>
      <c r="D583" s="195"/>
    </row>
    <row r="584" ht="15.75" customHeight="1">
      <c r="A584" s="193"/>
      <c r="B584" s="193"/>
      <c r="C584" s="193"/>
      <c r="D584" s="195"/>
    </row>
    <row r="585" ht="15.75" customHeight="1">
      <c r="A585" s="193"/>
      <c r="B585" s="193"/>
      <c r="C585" s="193"/>
      <c r="D585" s="195"/>
    </row>
    <row r="586" ht="15.75" customHeight="1">
      <c r="A586" s="193"/>
      <c r="B586" s="193"/>
      <c r="C586" s="193"/>
      <c r="D586" s="195"/>
    </row>
    <row r="587" ht="15.75" customHeight="1">
      <c r="A587" s="193"/>
      <c r="B587" s="193"/>
      <c r="C587" s="193"/>
      <c r="D587" s="195"/>
    </row>
    <row r="588" ht="15.75" customHeight="1">
      <c r="A588" s="193"/>
      <c r="B588" s="193"/>
      <c r="C588" s="193"/>
      <c r="D588" s="195"/>
    </row>
    <row r="589" ht="15.75" customHeight="1">
      <c r="A589" s="193"/>
      <c r="B589" s="193"/>
      <c r="C589" s="193"/>
      <c r="D589" s="195"/>
    </row>
    <row r="590" ht="15.75" customHeight="1">
      <c r="A590" s="193"/>
      <c r="B590" s="193"/>
      <c r="C590" s="193"/>
      <c r="D590" s="195"/>
    </row>
    <row r="591" ht="15.75" customHeight="1">
      <c r="A591" s="193"/>
      <c r="B591" s="193"/>
      <c r="C591" s="193"/>
      <c r="D591" s="195"/>
    </row>
    <row r="592" ht="15.75" customHeight="1">
      <c r="A592" s="193"/>
      <c r="B592" s="193"/>
      <c r="C592" s="193"/>
      <c r="D592" s="195"/>
    </row>
    <row r="593" ht="15.75" customHeight="1">
      <c r="A593" s="193"/>
      <c r="B593" s="193"/>
      <c r="C593" s="193"/>
      <c r="D593" s="195"/>
    </row>
    <row r="594" ht="15.75" customHeight="1">
      <c r="A594" s="193"/>
      <c r="B594" s="193"/>
      <c r="C594" s="193"/>
      <c r="D594" s="195"/>
    </row>
    <row r="595" ht="15.75" customHeight="1">
      <c r="A595" s="193"/>
      <c r="B595" s="193"/>
      <c r="C595" s="193"/>
      <c r="D595" s="195"/>
    </row>
    <row r="596" ht="15.75" customHeight="1">
      <c r="A596" s="193"/>
      <c r="B596" s="193"/>
      <c r="C596" s="193"/>
      <c r="D596" s="195"/>
    </row>
    <row r="597" ht="15.75" customHeight="1">
      <c r="A597" s="193"/>
      <c r="B597" s="193"/>
      <c r="C597" s="193"/>
      <c r="D597" s="195"/>
    </row>
    <row r="598" ht="15.75" customHeight="1">
      <c r="A598" s="193"/>
      <c r="B598" s="193"/>
      <c r="C598" s="193"/>
      <c r="D598" s="195"/>
    </row>
    <row r="599" ht="15.75" customHeight="1">
      <c r="A599" s="193"/>
      <c r="B599" s="193"/>
      <c r="C599" s="193"/>
      <c r="D599" s="195"/>
    </row>
    <row r="600" ht="15.75" customHeight="1">
      <c r="A600" s="193"/>
      <c r="B600" s="193"/>
      <c r="C600" s="193"/>
      <c r="D600" s="195"/>
    </row>
    <row r="601" ht="15.75" customHeight="1">
      <c r="A601" s="193"/>
      <c r="B601" s="193"/>
      <c r="C601" s="193"/>
      <c r="D601" s="195"/>
    </row>
    <row r="602" ht="15.75" customHeight="1">
      <c r="A602" s="193"/>
      <c r="B602" s="193"/>
      <c r="C602" s="193"/>
      <c r="D602" s="195"/>
    </row>
    <row r="603" ht="15.75" customHeight="1">
      <c r="A603" s="193"/>
      <c r="B603" s="193"/>
      <c r="C603" s="193"/>
      <c r="D603" s="195"/>
    </row>
    <row r="604" ht="15.75" customHeight="1">
      <c r="A604" s="193"/>
      <c r="B604" s="193"/>
      <c r="C604" s="193"/>
      <c r="D604" s="195"/>
    </row>
    <row r="605" ht="15.75" customHeight="1">
      <c r="A605" s="193"/>
      <c r="B605" s="193"/>
      <c r="C605" s="193"/>
      <c r="D605" s="195"/>
    </row>
    <row r="606" ht="15.75" customHeight="1">
      <c r="A606" s="193"/>
      <c r="B606" s="193"/>
      <c r="C606" s="193"/>
      <c r="D606" s="195"/>
    </row>
    <row r="607" ht="15.75" customHeight="1">
      <c r="A607" s="193"/>
      <c r="B607" s="193"/>
      <c r="C607" s="193"/>
      <c r="D607" s="195"/>
    </row>
    <row r="608" ht="15.75" customHeight="1">
      <c r="A608" s="193"/>
      <c r="B608" s="193"/>
      <c r="C608" s="193"/>
      <c r="D608" s="195"/>
    </row>
    <row r="609" ht="15.75" customHeight="1">
      <c r="A609" s="193"/>
      <c r="B609" s="193"/>
      <c r="C609" s="193"/>
      <c r="D609" s="195"/>
    </row>
    <row r="610" ht="15.75" customHeight="1">
      <c r="A610" s="193"/>
      <c r="B610" s="193"/>
      <c r="C610" s="193"/>
      <c r="D610" s="195"/>
    </row>
    <row r="611" ht="15.75" customHeight="1">
      <c r="A611" s="193"/>
      <c r="B611" s="193"/>
      <c r="C611" s="193"/>
      <c r="D611" s="195"/>
    </row>
    <row r="612" ht="15.75" customHeight="1">
      <c r="A612" s="193"/>
      <c r="B612" s="193"/>
      <c r="C612" s="193"/>
      <c r="D612" s="195"/>
    </row>
    <row r="613" ht="15.75" customHeight="1">
      <c r="A613" s="193"/>
      <c r="B613" s="193"/>
      <c r="C613" s="193"/>
      <c r="D613" s="195"/>
    </row>
    <row r="614" ht="15.75" customHeight="1">
      <c r="A614" s="193"/>
      <c r="B614" s="193"/>
      <c r="C614" s="193"/>
      <c r="D614" s="195"/>
    </row>
    <row r="615" ht="15.75" customHeight="1">
      <c r="A615" s="193"/>
      <c r="B615" s="193"/>
      <c r="C615" s="193"/>
      <c r="D615" s="195"/>
    </row>
    <row r="616" ht="15.75" customHeight="1">
      <c r="A616" s="193"/>
      <c r="B616" s="193"/>
      <c r="C616" s="193"/>
      <c r="D616" s="195"/>
    </row>
    <row r="617" ht="15.75" customHeight="1">
      <c r="A617" s="193"/>
      <c r="B617" s="193"/>
      <c r="C617" s="193"/>
      <c r="D617" s="195"/>
    </row>
    <row r="618" ht="15.75" customHeight="1">
      <c r="A618" s="193"/>
      <c r="B618" s="193"/>
      <c r="C618" s="193"/>
      <c r="D618" s="195"/>
    </row>
    <row r="619" ht="15.75" customHeight="1">
      <c r="A619" s="193"/>
      <c r="B619" s="193"/>
      <c r="C619" s="193"/>
      <c r="D619" s="195"/>
    </row>
    <row r="620" ht="15.75" customHeight="1">
      <c r="A620" s="193"/>
      <c r="B620" s="193"/>
      <c r="C620" s="193"/>
      <c r="D620" s="195"/>
    </row>
    <row r="621" ht="15.75" customHeight="1">
      <c r="A621" s="193"/>
      <c r="B621" s="193"/>
      <c r="C621" s="193"/>
      <c r="D621" s="195"/>
    </row>
    <row r="622" ht="15.75" customHeight="1">
      <c r="A622" s="193"/>
      <c r="B622" s="193"/>
      <c r="C622" s="193"/>
      <c r="D622" s="195"/>
    </row>
    <row r="623" ht="15.75" customHeight="1">
      <c r="A623" s="193"/>
      <c r="B623" s="193"/>
      <c r="C623" s="193"/>
      <c r="D623" s="195"/>
    </row>
    <row r="624" ht="15.75" customHeight="1">
      <c r="A624" s="193"/>
      <c r="B624" s="193"/>
      <c r="C624" s="193"/>
      <c r="D624" s="195"/>
    </row>
    <row r="625" ht="15.75" customHeight="1">
      <c r="A625" s="193"/>
      <c r="B625" s="193"/>
      <c r="C625" s="193"/>
      <c r="D625" s="195"/>
    </row>
    <row r="626" ht="15.75" customHeight="1">
      <c r="A626" s="193"/>
      <c r="B626" s="193"/>
      <c r="C626" s="193"/>
      <c r="D626" s="195"/>
    </row>
    <row r="627" ht="15.75" customHeight="1">
      <c r="A627" s="193"/>
      <c r="B627" s="193"/>
      <c r="C627" s="193"/>
      <c r="D627" s="195"/>
    </row>
    <row r="628" ht="15.75" customHeight="1">
      <c r="A628" s="193"/>
      <c r="B628" s="193"/>
      <c r="C628" s="193"/>
      <c r="D628" s="195"/>
    </row>
    <row r="629" ht="15.75" customHeight="1">
      <c r="A629" s="193"/>
      <c r="B629" s="193"/>
      <c r="C629" s="193"/>
      <c r="D629" s="195"/>
    </row>
    <row r="630" ht="15.75" customHeight="1">
      <c r="A630" s="193"/>
      <c r="B630" s="193"/>
      <c r="C630" s="193"/>
      <c r="D630" s="195"/>
    </row>
    <row r="631" ht="15.75" customHeight="1">
      <c r="A631" s="193"/>
      <c r="B631" s="193"/>
      <c r="C631" s="193"/>
      <c r="D631" s="195"/>
    </row>
    <row r="632" ht="15.75" customHeight="1">
      <c r="A632" s="193"/>
      <c r="B632" s="193"/>
      <c r="C632" s="193"/>
      <c r="D632" s="195"/>
    </row>
    <row r="633" ht="15.75" customHeight="1">
      <c r="A633" s="193"/>
      <c r="B633" s="193"/>
      <c r="C633" s="193"/>
      <c r="D633" s="195"/>
    </row>
    <row r="634" ht="15.75" customHeight="1">
      <c r="A634" s="193"/>
      <c r="B634" s="193"/>
      <c r="C634" s="193"/>
      <c r="D634" s="195"/>
    </row>
    <row r="635" ht="15.75" customHeight="1">
      <c r="A635" s="193"/>
      <c r="B635" s="193"/>
      <c r="C635" s="193"/>
      <c r="D635" s="195"/>
    </row>
    <row r="636" ht="15.75" customHeight="1">
      <c r="A636" s="193"/>
      <c r="B636" s="193"/>
      <c r="C636" s="193"/>
      <c r="D636" s="195"/>
    </row>
    <row r="637" ht="15.75" customHeight="1">
      <c r="A637" s="193"/>
      <c r="B637" s="193"/>
      <c r="C637" s="193"/>
      <c r="D637" s="195"/>
    </row>
    <row r="638" ht="15.75" customHeight="1">
      <c r="A638" s="193"/>
      <c r="B638" s="193"/>
      <c r="C638" s="193"/>
      <c r="D638" s="195"/>
    </row>
    <row r="639" ht="15.75" customHeight="1">
      <c r="A639" s="193"/>
      <c r="B639" s="193"/>
      <c r="C639" s="193"/>
      <c r="D639" s="195"/>
    </row>
    <row r="640" ht="15.75" customHeight="1">
      <c r="A640" s="193"/>
      <c r="B640" s="193"/>
      <c r="C640" s="193"/>
      <c r="D640" s="195"/>
    </row>
    <row r="641" ht="15.75" customHeight="1">
      <c r="A641" s="193"/>
      <c r="B641" s="193"/>
      <c r="C641" s="193"/>
      <c r="D641" s="195"/>
    </row>
    <row r="642" ht="15.75" customHeight="1">
      <c r="A642" s="193"/>
      <c r="B642" s="193"/>
      <c r="C642" s="193"/>
      <c r="D642" s="195"/>
    </row>
    <row r="643" ht="15.75" customHeight="1">
      <c r="A643" s="193"/>
      <c r="B643" s="193"/>
      <c r="C643" s="193"/>
      <c r="D643" s="195"/>
    </row>
    <row r="644" ht="15.75" customHeight="1">
      <c r="A644" s="193"/>
      <c r="B644" s="193"/>
      <c r="C644" s="193"/>
      <c r="D644" s="195"/>
    </row>
    <row r="645" ht="15.75" customHeight="1">
      <c r="A645" s="193"/>
      <c r="B645" s="193"/>
      <c r="C645" s="193"/>
      <c r="D645" s="195"/>
    </row>
    <row r="646" ht="15.75" customHeight="1">
      <c r="A646" s="193"/>
      <c r="B646" s="193"/>
      <c r="C646" s="193"/>
      <c r="D646" s="195"/>
    </row>
    <row r="647" ht="15.75" customHeight="1">
      <c r="A647" s="193"/>
      <c r="B647" s="193"/>
      <c r="C647" s="193"/>
      <c r="D647" s="195"/>
    </row>
    <row r="648" ht="15.75" customHeight="1">
      <c r="A648" s="193"/>
      <c r="B648" s="193"/>
      <c r="C648" s="193"/>
      <c r="D648" s="195"/>
    </row>
    <row r="649" ht="15.75" customHeight="1">
      <c r="A649" s="193"/>
      <c r="B649" s="193"/>
      <c r="C649" s="193"/>
      <c r="D649" s="195"/>
    </row>
    <row r="650" ht="15.75" customHeight="1">
      <c r="A650" s="193"/>
      <c r="B650" s="193"/>
      <c r="C650" s="193"/>
      <c r="D650" s="195"/>
    </row>
    <row r="651" ht="15.75" customHeight="1">
      <c r="A651" s="193"/>
      <c r="B651" s="193"/>
      <c r="C651" s="193"/>
      <c r="D651" s="195"/>
    </row>
    <row r="652" ht="15.75" customHeight="1">
      <c r="A652" s="193"/>
      <c r="B652" s="193"/>
      <c r="C652" s="193"/>
      <c r="D652" s="195"/>
    </row>
    <row r="653" ht="15.75" customHeight="1">
      <c r="A653" s="193"/>
      <c r="B653" s="193"/>
      <c r="C653" s="193"/>
      <c r="D653" s="195"/>
    </row>
    <row r="654" ht="15.75" customHeight="1">
      <c r="A654" s="193"/>
      <c r="B654" s="193"/>
      <c r="C654" s="193"/>
      <c r="D654" s="195"/>
    </row>
    <row r="655" ht="15.75" customHeight="1">
      <c r="A655" s="193"/>
      <c r="B655" s="193"/>
      <c r="C655" s="193"/>
      <c r="D655" s="195"/>
    </row>
    <row r="656" ht="15.75" customHeight="1">
      <c r="A656" s="193"/>
      <c r="B656" s="193"/>
      <c r="C656" s="193"/>
      <c r="D656" s="195"/>
    </row>
    <row r="657" ht="15.75" customHeight="1">
      <c r="A657" s="193"/>
      <c r="B657" s="193"/>
      <c r="C657" s="193"/>
      <c r="D657" s="195"/>
    </row>
    <row r="658" ht="15.75" customHeight="1">
      <c r="A658" s="193"/>
      <c r="B658" s="193"/>
      <c r="C658" s="193"/>
      <c r="D658" s="195"/>
    </row>
    <row r="659" ht="15.75" customHeight="1">
      <c r="A659" s="193"/>
      <c r="B659" s="193"/>
      <c r="C659" s="193"/>
      <c r="D659" s="195"/>
    </row>
    <row r="660" ht="15.75" customHeight="1">
      <c r="A660" s="193"/>
      <c r="B660" s="193"/>
      <c r="C660" s="193"/>
      <c r="D660" s="195"/>
    </row>
    <row r="661" ht="15.75" customHeight="1">
      <c r="A661" s="193"/>
      <c r="B661" s="193"/>
      <c r="C661" s="193"/>
      <c r="D661" s="195"/>
    </row>
    <row r="662" ht="15.75" customHeight="1">
      <c r="A662" s="193"/>
      <c r="B662" s="193"/>
      <c r="C662" s="193"/>
      <c r="D662" s="195"/>
    </row>
    <row r="663" ht="15.75" customHeight="1">
      <c r="A663" s="193"/>
      <c r="B663" s="193"/>
      <c r="C663" s="193"/>
      <c r="D663" s="195"/>
    </row>
    <row r="664" ht="15.75" customHeight="1">
      <c r="A664" s="193"/>
      <c r="B664" s="193"/>
      <c r="C664" s="193"/>
      <c r="D664" s="195"/>
    </row>
    <row r="665" ht="15.75" customHeight="1">
      <c r="A665" s="193"/>
      <c r="B665" s="193"/>
      <c r="C665" s="193"/>
      <c r="D665" s="195"/>
    </row>
    <row r="666" ht="15.75" customHeight="1">
      <c r="A666" s="193"/>
      <c r="B666" s="193"/>
      <c r="C666" s="193"/>
      <c r="D666" s="195"/>
    </row>
    <row r="667" ht="15.75" customHeight="1">
      <c r="A667" s="193"/>
      <c r="B667" s="193"/>
      <c r="C667" s="193"/>
      <c r="D667" s="195"/>
    </row>
    <row r="668" ht="15.75" customHeight="1">
      <c r="A668" s="193"/>
      <c r="B668" s="193"/>
      <c r="C668" s="193"/>
      <c r="D668" s="195"/>
    </row>
    <row r="669" ht="15.75" customHeight="1">
      <c r="A669" s="193"/>
      <c r="B669" s="193"/>
      <c r="C669" s="193"/>
      <c r="D669" s="195"/>
    </row>
    <row r="670" ht="15.75" customHeight="1">
      <c r="A670" s="193"/>
      <c r="B670" s="193"/>
      <c r="C670" s="193"/>
      <c r="D670" s="195"/>
    </row>
    <row r="671" ht="15.75" customHeight="1">
      <c r="A671" s="193"/>
      <c r="B671" s="193"/>
      <c r="C671" s="193"/>
      <c r="D671" s="195"/>
    </row>
    <row r="672" ht="15.75" customHeight="1">
      <c r="A672" s="193"/>
      <c r="B672" s="193"/>
      <c r="C672" s="193"/>
      <c r="D672" s="195"/>
    </row>
    <row r="673" ht="15.75" customHeight="1">
      <c r="A673" s="193"/>
      <c r="B673" s="193"/>
      <c r="C673" s="193"/>
      <c r="D673" s="195"/>
    </row>
    <row r="674" ht="15.75" customHeight="1">
      <c r="A674" s="193"/>
      <c r="B674" s="193"/>
      <c r="C674" s="193"/>
      <c r="D674" s="195"/>
    </row>
    <row r="675" ht="15.75" customHeight="1">
      <c r="A675" s="193"/>
      <c r="B675" s="193"/>
      <c r="C675" s="193"/>
      <c r="D675" s="195"/>
    </row>
    <row r="676" ht="15.75" customHeight="1">
      <c r="A676" s="193"/>
      <c r="B676" s="193"/>
      <c r="C676" s="193"/>
      <c r="D676" s="195"/>
    </row>
    <row r="677" ht="15.75" customHeight="1">
      <c r="A677" s="193"/>
      <c r="B677" s="193"/>
      <c r="C677" s="193"/>
      <c r="D677" s="195"/>
    </row>
    <row r="678" ht="15.75" customHeight="1">
      <c r="A678" s="193"/>
      <c r="B678" s="193"/>
      <c r="C678" s="193"/>
      <c r="D678" s="195"/>
    </row>
    <row r="679" ht="15.75" customHeight="1">
      <c r="A679" s="193"/>
      <c r="B679" s="193"/>
      <c r="C679" s="193"/>
      <c r="D679" s="195"/>
    </row>
    <row r="680" ht="15.75" customHeight="1">
      <c r="A680" s="193"/>
      <c r="B680" s="193"/>
      <c r="C680" s="193"/>
      <c r="D680" s="195"/>
    </row>
    <row r="681" ht="15.75" customHeight="1">
      <c r="A681" s="193"/>
      <c r="B681" s="193"/>
      <c r="C681" s="193"/>
      <c r="D681" s="195"/>
    </row>
    <row r="682" ht="15.75" customHeight="1">
      <c r="A682" s="193"/>
      <c r="B682" s="193"/>
      <c r="C682" s="193"/>
      <c r="D682" s="195"/>
    </row>
    <row r="683" ht="15.75" customHeight="1">
      <c r="A683" s="193"/>
      <c r="B683" s="193"/>
      <c r="C683" s="193"/>
      <c r="D683" s="195"/>
    </row>
    <row r="684" ht="15.75" customHeight="1">
      <c r="A684" s="193"/>
      <c r="B684" s="193"/>
      <c r="C684" s="193"/>
      <c r="D684" s="195"/>
    </row>
    <row r="685" ht="15.75" customHeight="1">
      <c r="A685" s="193"/>
      <c r="B685" s="193"/>
      <c r="C685" s="193"/>
      <c r="D685" s="195"/>
    </row>
    <row r="686" ht="15.75" customHeight="1">
      <c r="A686" s="193"/>
      <c r="B686" s="193"/>
      <c r="C686" s="193"/>
      <c r="D686" s="195"/>
    </row>
    <row r="687" ht="15.75" customHeight="1">
      <c r="A687" s="193"/>
      <c r="B687" s="193"/>
      <c r="C687" s="193"/>
      <c r="D687" s="195"/>
    </row>
    <row r="688" ht="15.75" customHeight="1">
      <c r="A688" s="193"/>
      <c r="B688" s="193"/>
      <c r="C688" s="193"/>
      <c r="D688" s="195"/>
    </row>
    <row r="689" ht="15.75" customHeight="1">
      <c r="A689" s="193"/>
      <c r="B689" s="193"/>
      <c r="C689" s="193"/>
      <c r="D689" s="195"/>
    </row>
    <row r="690" ht="15.75" customHeight="1">
      <c r="A690" s="193"/>
      <c r="B690" s="193"/>
      <c r="C690" s="193"/>
      <c r="D690" s="195"/>
    </row>
    <row r="691" ht="15.75" customHeight="1">
      <c r="A691" s="193"/>
      <c r="B691" s="193"/>
      <c r="C691" s="193"/>
      <c r="D691" s="195"/>
    </row>
    <row r="692" ht="15.75" customHeight="1">
      <c r="A692" s="193"/>
      <c r="B692" s="193"/>
      <c r="C692" s="193"/>
      <c r="D692" s="195"/>
    </row>
    <row r="693" ht="15.75" customHeight="1">
      <c r="A693" s="193"/>
      <c r="B693" s="193"/>
      <c r="C693" s="193"/>
      <c r="D693" s="195"/>
    </row>
    <row r="694" ht="15.75" customHeight="1">
      <c r="A694" s="193"/>
      <c r="B694" s="193"/>
      <c r="C694" s="193"/>
      <c r="D694" s="195"/>
    </row>
    <row r="695" ht="15.75" customHeight="1">
      <c r="A695" s="193"/>
      <c r="B695" s="193"/>
      <c r="C695" s="193"/>
      <c r="D695" s="195"/>
    </row>
    <row r="696" ht="15.75" customHeight="1">
      <c r="A696" s="193"/>
      <c r="B696" s="193"/>
      <c r="C696" s="193"/>
      <c r="D696" s="195"/>
    </row>
    <row r="697" ht="15.75" customHeight="1">
      <c r="A697" s="193"/>
      <c r="B697" s="193"/>
      <c r="C697" s="193"/>
      <c r="D697" s="195"/>
    </row>
    <row r="698" ht="15.75" customHeight="1">
      <c r="A698" s="193"/>
      <c r="B698" s="193"/>
      <c r="C698" s="193"/>
      <c r="D698" s="195"/>
    </row>
    <row r="699" ht="15.75" customHeight="1">
      <c r="A699" s="193"/>
      <c r="B699" s="193"/>
      <c r="C699" s="193"/>
      <c r="D699" s="195"/>
    </row>
    <row r="700" ht="15.75" customHeight="1">
      <c r="A700" s="193"/>
      <c r="B700" s="193"/>
      <c r="C700" s="193"/>
      <c r="D700" s="195"/>
    </row>
    <row r="701" ht="15.75" customHeight="1">
      <c r="A701" s="193"/>
      <c r="B701" s="193"/>
      <c r="C701" s="193"/>
      <c r="D701" s="195"/>
    </row>
    <row r="702" ht="15.75" customHeight="1">
      <c r="A702" s="193"/>
      <c r="B702" s="193"/>
      <c r="C702" s="193"/>
      <c r="D702" s="195"/>
    </row>
    <row r="703" ht="15.75" customHeight="1">
      <c r="A703" s="193"/>
      <c r="B703" s="193"/>
      <c r="C703" s="193"/>
      <c r="D703" s="195"/>
    </row>
    <row r="704" ht="15.75" customHeight="1">
      <c r="A704" s="193"/>
      <c r="B704" s="193"/>
      <c r="C704" s="193"/>
      <c r="D704" s="195"/>
    </row>
    <row r="705" ht="15.75" customHeight="1">
      <c r="A705" s="193"/>
      <c r="B705" s="193"/>
      <c r="C705" s="193"/>
      <c r="D705" s="195"/>
    </row>
    <row r="706" ht="15.75" customHeight="1">
      <c r="A706" s="193"/>
      <c r="B706" s="193"/>
      <c r="C706" s="193"/>
      <c r="D706" s="195"/>
    </row>
    <row r="707" ht="15.75" customHeight="1">
      <c r="A707" s="193"/>
      <c r="B707" s="193"/>
      <c r="C707" s="193"/>
      <c r="D707" s="195"/>
    </row>
    <row r="708" ht="15.75" customHeight="1">
      <c r="A708" s="193"/>
      <c r="B708" s="193"/>
      <c r="C708" s="193"/>
      <c r="D708" s="195"/>
    </row>
    <row r="709" ht="15.75" customHeight="1">
      <c r="A709" s="193"/>
      <c r="B709" s="193"/>
      <c r="C709" s="193"/>
      <c r="D709" s="195"/>
    </row>
    <row r="710" ht="15.75" customHeight="1">
      <c r="A710" s="193"/>
      <c r="B710" s="193"/>
      <c r="C710" s="193"/>
      <c r="D710" s="195"/>
    </row>
    <row r="711" ht="15.75" customHeight="1">
      <c r="A711" s="193"/>
      <c r="B711" s="193"/>
      <c r="C711" s="193"/>
      <c r="D711" s="195"/>
    </row>
    <row r="712" ht="15.75" customHeight="1">
      <c r="A712" s="193"/>
      <c r="B712" s="193"/>
      <c r="C712" s="193"/>
      <c r="D712" s="195"/>
    </row>
    <row r="713" ht="15.75" customHeight="1">
      <c r="A713" s="193"/>
      <c r="B713" s="193"/>
      <c r="C713" s="193"/>
      <c r="D713" s="195"/>
    </row>
    <row r="714" ht="15.75" customHeight="1">
      <c r="A714" s="193"/>
      <c r="B714" s="193"/>
      <c r="C714" s="193"/>
      <c r="D714" s="195"/>
    </row>
    <row r="715" ht="15.75" customHeight="1">
      <c r="A715" s="193"/>
      <c r="B715" s="193"/>
      <c r="C715" s="193"/>
      <c r="D715" s="195"/>
    </row>
    <row r="716" ht="15.75" customHeight="1">
      <c r="A716" s="193"/>
      <c r="B716" s="193"/>
      <c r="C716" s="193"/>
      <c r="D716" s="195"/>
    </row>
    <row r="717" ht="15.75" customHeight="1">
      <c r="A717" s="193"/>
      <c r="B717" s="193"/>
      <c r="C717" s="193"/>
      <c r="D717" s="195"/>
    </row>
    <row r="718" ht="15.75" customHeight="1">
      <c r="A718" s="193"/>
      <c r="B718" s="193"/>
      <c r="C718" s="193"/>
      <c r="D718" s="195"/>
    </row>
    <row r="719" ht="15.75" customHeight="1">
      <c r="A719" s="193"/>
      <c r="B719" s="193"/>
      <c r="C719" s="193"/>
      <c r="D719" s="195"/>
    </row>
    <row r="720" ht="15.75" customHeight="1">
      <c r="A720" s="193"/>
      <c r="B720" s="193"/>
      <c r="C720" s="193"/>
      <c r="D720" s="195"/>
    </row>
    <row r="721" ht="15.75" customHeight="1">
      <c r="A721" s="193"/>
      <c r="B721" s="193"/>
      <c r="C721" s="193"/>
      <c r="D721" s="195"/>
    </row>
    <row r="722" ht="15.75" customHeight="1">
      <c r="A722" s="193"/>
      <c r="B722" s="193"/>
      <c r="C722" s="193"/>
      <c r="D722" s="195"/>
    </row>
    <row r="723" ht="15.75" customHeight="1">
      <c r="A723" s="193"/>
      <c r="B723" s="193"/>
      <c r="C723" s="193"/>
      <c r="D723" s="195"/>
    </row>
    <row r="724" ht="15.75" customHeight="1">
      <c r="A724" s="193"/>
      <c r="B724" s="193"/>
      <c r="C724" s="193"/>
      <c r="D724" s="195"/>
    </row>
    <row r="725" ht="15.75" customHeight="1">
      <c r="A725" s="193"/>
      <c r="B725" s="193"/>
      <c r="C725" s="193"/>
      <c r="D725" s="195"/>
    </row>
    <row r="726" ht="15.75" customHeight="1">
      <c r="A726" s="193"/>
      <c r="B726" s="193"/>
      <c r="C726" s="193"/>
      <c r="D726" s="195"/>
    </row>
    <row r="727" ht="15.75" customHeight="1">
      <c r="A727" s="193"/>
      <c r="B727" s="193"/>
      <c r="C727" s="193"/>
      <c r="D727" s="195"/>
    </row>
    <row r="728" ht="15.75" customHeight="1">
      <c r="A728" s="193"/>
      <c r="B728" s="193"/>
      <c r="C728" s="193"/>
      <c r="D728" s="195"/>
    </row>
    <row r="729" ht="15.75" customHeight="1">
      <c r="A729" s="193"/>
      <c r="B729" s="193"/>
      <c r="C729" s="193"/>
      <c r="D729" s="195"/>
    </row>
    <row r="730" ht="15.75" customHeight="1">
      <c r="A730" s="193"/>
      <c r="B730" s="193"/>
      <c r="C730" s="193"/>
      <c r="D730" s="195"/>
    </row>
    <row r="731" ht="15.75" customHeight="1">
      <c r="A731" s="193"/>
      <c r="B731" s="193"/>
      <c r="C731" s="193"/>
      <c r="D731" s="195"/>
    </row>
    <row r="732" ht="15.75" customHeight="1">
      <c r="A732" s="193"/>
      <c r="B732" s="193"/>
      <c r="C732" s="193"/>
      <c r="D732" s="195"/>
    </row>
    <row r="733" ht="15.75" customHeight="1">
      <c r="A733" s="193"/>
      <c r="B733" s="193"/>
      <c r="C733" s="193"/>
      <c r="D733" s="195"/>
    </row>
    <row r="734" ht="15.75" customHeight="1">
      <c r="A734" s="193"/>
      <c r="B734" s="193"/>
      <c r="C734" s="193"/>
      <c r="D734" s="195"/>
    </row>
    <row r="735" ht="15.75" customHeight="1">
      <c r="A735" s="193"/>
      <c r="B735" s="193"/>
      <c r="C735" s="193"/>
      <c r="D735" s="195"/>
    </row>
    <row r="736" ht="15.75" customHeight="1">
      <c r="A736" s="193"/>
      <c r="B736" s="193"/>
      <c r="C736" s="193"/>
      <c r="D736" s="195"/>
    </row>
    <row r="737" ht="15.75" customHeight="1">
      <c r="A737" s="193"/>
      <c r="B737" s="193"/>
      <c r="C737" s="193"/>
      <c r="D737" s="195"/>
    </row>
    <row r="738" ht="15.75" customHeight="1">
      <c r="A738" s="193"/>
      <c r="B738" s="193"/>
      <c r="C738" s="193"/>
      <c r="D738" s="195"/>
    </row>
    <row r="739" ht="15.75" customHeight="1">
      <c r="A739" s="193"/>
      <c r="B739" s="193"/>
      <c r="C739" s="193"/>
      <c r="D739" s="195"/>
    </row>
    <row r="740" ht="15.75" customHeight="1">
      <c r="A740" s="193"/>
      <c r="B740" s="193"/>
      <c r="C740" s="193"/>
      <c r="D740" s="195"/>
    </row>
    <row r="741" ht="15.75" customHeight="1">
      <c r="A741" s="193"/>
      <c r="B741" s="193"/>
      <c r="C741" s="193"/>
      <c r="D741" s="195"/>
    </row>
    <row r="742" ht="15.75" customHeight="1">
      <c r="A742" s="193"/>
      <c r="B742" s="193"/>
      <c r="C742" s="193"/>
      <c r="D742" s="195"/>
    </row>
    <row r="743" ht="15.75" customHeight="1">
      <c r="A743" s="193"/>
      <c r="B743" s="193"/>
      <c r="C743" s="193"/>
      <c r="D743" s="195"/>
    </row>
    <row r="744" ht="15.75" customHeight="1">
      <c r="A744" s="193"/>
      <c r="B744" s="193"/>
      <c r="C744" s="193"/>
      <c r="D744" s="195"/>
    </row>
    <row r="745" ht="15.75" customHeight="1">
      <c r="A745" s="193"/>
      <c r="B745" s="193"/>
      <c r="C745" s="193"/>
      <c r="D745" s="195"/>
    </row>
    <row r="746" ht="15.75" customHeight="1">
      <c r="A746" s="193"/>
      <c r="B746" s="193"/>
      <c r="C746" s="193"/>
      <c r="D746" s="195"/>
    </row>
    <row r="747" ht="15.75" customHeight="1">
      <c r="A747" s="193"/>
      <c r="B747" s="193"/>
      <c r="C747" s="193"/>
      <c r="D747" s="195"/>
    </row>
    <row r="748" ht="15.75" customHeight="1">
      <c r="A748" s="193"/>
      <c r="B748" s="193"/>
      <c r="C748" s="193"/>
      <c r="D748" s="195"/>
    </row>
    <row r="749" ht="15.75" customHeight="1">
      <c r="A749" s="193"/>
      <c r="B749" s="193"/>
      <c r="C749" s="193"/>
      <c r="D749" s="195"/>
    </row>
    <row r="750" ht="15.75" customHeight="1">
      <c r="A750" s="193"/>
      <c r="B750" s="193"/>
      <c r="C750" s="193"/>
      <c r="D750" s="195"/>
    </row>
    <row r="751" ht="15.75" customHeight="1">
      <c r="A751" s="193"/>
      <c r="B751" s="193"/>
      <c r="C751" s="193"/>
      <c r="D751" s="195"/>
    </row>
    <row r="752" ht="15.75" customHeight="1">
      <c r="A752" s="193"/>
      <c r="B752" s="193"/>
      <c r="C752" s="193"/>
      <c r="D752" s="195"/>
    </row>
    <row r="753" ht="15.75" customHeight="1">
      <c r="A753" s="193"/>
      <c r="B753" s="193"/>
      <c r="C753" s="193"/>
      <c r="D753" s="195"/>
    </row>
    <row r="754" ht="15.75" customHeight="1">
      <c r="A754" s="193"/>
      <c r="B754" s="193"/>
      <c r="C754" s="193"/>
      <c r="D754" s="195"/>
    </row>
    <row r="755" ht="15.75" customHeight="1">
      <c r="A755" s="193"/>
      <c r="B755" s="193"/>
      <c r="C755" s="193"/>
      <c r="D755" s="195"/>
    </row>
    <row r="756" ht="15.75" customHeight="1">
      <c r="A756" s="193"/>
      <c r="B756" s="193"/>
      <c r="C756" s="193"/>
      <c r="D756" s="195"/>
    </row>
    <row r="757" ht="15.75" customHeight="1">
      <c r="A757" s="193"/>
      <c r="B757" s="193"/>
      <c r="C757" s="193"/>
      <c r="D757" s="195"/>
    </row>
    <row r="758" ht="15.75" customHeight="1">
      <c r="A758" s="193"/>
      <c r="B758" s="193"/>
      <c r="C758" s="193"/>
      <c r="D758" s="195"/>
    </row>
    <row r="759" ht="15.75" customHeight="1">
      <c r="A759" s="193"/>
      <c r="B759" s="193"/>
      <c r="C759" s="193"/>
      <c r="D759" s="195"/>
    </row>
    <row r="760" ht="15.75" customHeight="1">
      <c r="A760" s="193"/>
      <c r="B760" s="193"/>
      <c r="C760" s="193"/>
      <c r="D760" s="195"/>
    </row>
    <row r="761" ht="15.75" customHeight="1">
      <c r="A761" s="193"/>
      <c r="B761" s="193"/>
      <c r="C761" s="193"/>
      <c r="D761" s="195"/>
    </row>
    <row r="762" ht="15.75" customHeight="1">
      <c r="A762" s="193"/>
      <c r="B762" s="193"/>
      <c r="C762" s="193"/>
      <c r="D762" s="195"/>
    </row>
    <row r="763" ht="15.75" customHeight="1">
      <c r="A763" s="193"/>
      <c r="B763" s="193"/>
      <c r="C763" s="193"/>
      <c r="D763" s="195"/>
    </row>
    <row r="764" ht="15.75" customHeight="1">
      <c r="A764" s="193"/>
      <c r="B764" s="193"/>
      <c r="C764" s="193"/>
      <c r="D764" s="195"/>
    </row>
    <row r="765" ht="15.75" customHeight="1">
      <c r="A765" s="193"/>
      <c r="B765" s="193"/>
      <c r="C765" s="193"/>
      <c r="D765" s="195"/>
    </row>
    <row r="766" ht="15.75" customHeight="1">
      <c r="A766" s="193"/>
      <c r="B766" s="193"/>
      <c r="C766" s="193"/>
      <c r="D766" s="195"/>
    </row>
    <row r="767" ht="15.75" customHeight="1">
      <c r="A767" s="193"/>
      <c r="B767" s="193"/>
      <c r="C767" s="193"/>
      <c r="D767" s="195"/>
    </row>
    <row r="768" ht="15.75" customHeight="1">
      <c r="A768" s="193"/>
      <c r="B768" s="193"/>
      <c r="C768" s="193"/>
      <c r="D768" s="195"/>
    </row>
    <row r="769" ht="15.75" customHeight="1">
      <c r="A769" s="193"/>
      <c r="B769" s="193"/>
      <c r="C769" s="193"/>
      <c r="D769" s="195"/>
    </row>
    <row r="770" ht="15.75" customHeight="1">
      <c r="A770" s="193"/>
      <c r="B770" s="193"/>
      <c r="C770" s="193"/>
      <c r="D770" s="195"/>
    </row>
    <row r="771" ht="15.75" customHeight="1">
      <c r="A771" s="193"/>
      <c r="B771" s="193"/>
      <c r="C771" s="193"/>
      <c r="D771" s="195"/>
    </row>
    <row r="772" ht="15.75" customHeight="1">
      <c r="A772" s="193"/>
      <c r="B772" s="193"/>
      <c r="C772" s="193"/>
      <c r="D772" s="195"/>
    </row>
    <row r="773" ht="15.75" customHeight="1">
      <c r="A773" s="193"/>
      <c r="B773" s="193"/>
      <c r="C773" s="193"/>
      <c r="D773" s="195"/>
    </row>
    <row r="774" ht="15.75" customHeight="1">
      <c r="A774" s="193"/>
      <c r="B774" s="193"/>
      <c r="C774" s="193"/>
      <c r="D774" s="195"/>
    </row>
    <row r="775" ht="15.75" customHeight="1">
      <c r="A775" s="193"/>
      <c r="B775" s="193"/>
      <c r="C775" s="193"/>
      <c r="D775" s="195"/>
    </row>
    <row r="776" ht="15.75" customHeight="1">
      <c r="A776" s="193"/>
      <c r="B776" s="193"/>
      <c r="C776" s="193"/>
      <c r="D776" s="195"/>
    </row>
    <row r="777" ht="15.75" customHeight="1">
      <c r="A777" s="193"/>
      <c r="B777" s="193"/>
      <c r="C777" s="193"/>
      <c r="D777" s="195"/>
    </row>
    <row r="778" ht="15.75" customHeight="1">
      <c r="A778" s="193"/>
      <c r="B778" s="193"/>
      <c r="C778" s="193"/>
      <c r="D778" s="195"/>
    </row>
    <row r="779" ht="15.75" customHeight="1">
      <c r="A779" s="193"/>
      <c r="B779" s="193"/>
      <c r="C779" s="193"/>
      <c r="D779" s="195"/>
    </row>
    <row r="780" ht="15.75" customHeight="1">
      <c r="A780" s="193"/>
      <c r="B780" s="193"/>
      <c r="C780" s="193"/>
      <c r="D780" s="195"/>
    </row>
    <row r="781" ht="15.75" customHeight="1">
      <c r="A781" s="193"/>
      <c r="B781" s="193"/>
      <c r="C781" s="193"/>
      <c r="D781" s="195"/>
    </row>
    <row r="782" ht="15.75" customHeight="1">
      <c r="A782" s="193"/>
      <c r="B782" s="193"/>
      <c r="C782" s="193"/>
      <c r="D782" s="195"/>
    </row>
    <row r="783" ht="15.75" customHeight="1">
      <c r="A783" s="193"/>
      <c r="B783" s="193"/>
      <c r="C783" s="193"/>
      <c r="D783" s="195"/>
    </row>
    <row r="784" ht="15.75" customHeight="1">
      <c r="A784" s="193"/>
      <c r="B784" s="193"/>
      <c r="C784" s="193"/>
      <c r="D784" s="195"/>
    </row>
    <row r="785" ht="15.75" customHeight="1">
      <c r="A785" s="193"/>
      <c r="B785" s="193"/>
      <c r="C785" s="193"/>
      <c r="D785" s="195"/>
    </row>
    <row r="786" ht="15.75" customHeight="1">
      <c r="A786" s="193"/>
      <c r="B786" s="193"/>
      <c r="C786" s="193"/>
      <c r="D786" s="195"/>
    </row>
    <row r="787" ht="15.75" customHeight="1">
      <c r="A787" s="193"/>
      <c r="B787" s="193"/>
      <c r="C787" s="193"/>
      <c r="D787" s="195"/>
    </row>
    <row r="788" ht="15.75" customHeight="1">
      <c r="A788" s="193"/>
      <c r="B788" s="193"/>
      <c r="C788" s="193"/>
      <c r="D788" s="195"/>
    </row>
    <row r="789" ht="15.75" customHeight="1">
      <c r="A789" s="193"/>
      <c r="B789" s="193"/>
      <c r="C789" s="193"/>
      <c r="D789" s="195"/>
    </row>
    <row r="790" ht="15.75" customHeight="1">
      <c r="A790" s="193"/>
      <c r="B790" s="193"/>
      <c r="C790" s="193"/>
      <c r="D790" s="195"/>
    </row>
    <row r="791" ht="15.75" customHeight="1">
      <c r="A791" s="193"/>
      <c r="B791" s="193"/>
      <c r="C791" s="193"/>
      <c r="D791" s="195"/>
    </row>
    <row r="792" ht="15.75" customHeight="1">
      <c r="A792" s="193"/>
      <c r="B792" s="193"/>
      <c r="C792" s="193"/>
      <c r="D792" s="195"/>
    </row>
    <row r="793" ht="15.75" customHeight="1">
      <c r="A793" s="193"/>
      <c r="B793" s="193"/>
      <c r="C793" s="193"/>
      <c r="D793" s="195"/>
    </row>
    <row r="794" ht="15.75" customHeight="1">
      <c r="A794" s="193"/>
      <c r="B794" s="193"/>
      <c r="C794" s="193"/>
      <c r="D794" s="195"/>
    </row>
    <row r="795" ht="15.75" customHeight="1">
      <c r="A795" s="193"/>
      <c r="B795" s="193"/>
      <c r="C795" s="193"/>
      <c r="D795" s="195"/>
    </row>
    <row r="796" ht="15.75" customHeight="1">
      <c r="A796" s="193"/>
      <c r="B796" s="193"/>
      <c r="C796" s="193"/>
      <c r="D796" s="195"/>
    </row>
    <row r="797" ht="15.75" customHeight="1">
      <c r="A797" s="193"/>
      <c r="B797" s="193"/>
      <c r="C797" s="193"/>
      <c r="D797" s="195"/>
    </row>
    <row r="798" ht="15.75" customHeight="1">
      <c r="A798" s="193"/>
      <c r="B798" s="193"/>
      <c r="C798" s="193"/>
      <c r="D798" s="195"/>
    </row>
    <row r="799" ht="15.75" customHeight="1">
      <c r="A799" s="193"/>
      <c r="B799" s="193"/>
      <c r="C799" s="193"/>
      <c r="D799" s="195"/>
    </row>
    <row r="800" ht="15.75" customHeight="1">
      <c r="A800" s="193"/>
      <c r="B800" s="193"/>
      <c r="C800" s="193"/>
      <c r="D800" s="195"/>
    </row>
    <row r="801" ht="15.75" customHeight="1">
      <c r="A801" s="193"/>
      <c r="B801" s="193"/>
      <c r="C801" s="193"/>
      <c r="D801" s="195"/>
    </row>
    <row r="802" ht="15.75" customHeight="1">
      <c r="A802" s="193"/>
      <c r="B802" s="193"/>
      <c r="C802" s="193"/>
      <c r="D802" s="195"/>
    </row>
    <row r="803" ht="15.75" customHeight="1">
      <c r="A803" s="193"/>
      <c r="B803" s="193"/>
      <c r="C803" s="193"/>
      <c r="D803" s="195"/>
    </row>
    <row r="804" ht="15.75" customHeight="1">
      <c r="A804" s="193"/>
      <c r="B804" s="193"/>
      <c r="C804" s="193"/>
      <c r="D804" s="195"/>
    </row>
    <row r="805" ht="15.75" customHeight="1">
      <c r="A805" s="193"/>
      <c r="B805" s="193"/>
      <c r="C805" s="193"/>
      <c r="D805" s="195"/>
    </row>
    <row r="806" ht="15.75" customHeight="1">
      <c r="A806" s="193"/>
      <c r="B806" s="193"/>
      <c r="C806" s="193"/>
      <c r="D806" s="195"/>
    </row>
    <row r="807" ht="15.75" customHeight="1">
      <c r="A807" s="193"/>
      <c r="B807" s="193"/>
      <c r="C807" s="193"/>
      <c r="D807" s="195"/>
    </row>
    <row r="808" ht="15.75" customHeight="1">
      <c r="A808" s="193"/>
      <c r="B808" s="193"/>
      <c r="C808" s="193"/>
      <c r="D808" s="195"/>
    </row>
    <row r="809" ht="15.75" customHeight="1">
      <c r="A809" s="193"/>
      <c r="B809" s="193"/>
      <c r="C809" s="193"/>
      <c r="D809" s="195"/>
    </row>
    <row r="810" ht="15.75" customHeight="1">
      <c r="A810" s="193"/>
      <c r="B810" s="193"/>
      <c r="C810" s="193"/>
      <c r="D810" s="195"/>
    </row>
    <row r="811" ht="15.75" customHeight="1">
      <c r="A811" s="193"/>
      <c r="B811" s="193"/>
      <c r="C811" s="193"/>
      <c r="D811" s="195"/>
    </row>
    <row r="812" ht="15.75" customHeight="1">
      <c r="A812" s="193"/>
      <c r="B812" s="193"/>
      <c r="C812" s="193"/>
      <c r="D812" s="195"/>
    </row>
    <row r="813" ht="15.75" customHeight="1">
      <c r="A813" s="193"/>
      <c r="B813" s="193"/>
      <c r="C813" s="193"/>
      <c r="D813" s="195"/>
    </row>
    <row r="814" ht="15.75" customHeight="1">
      <c r="A814" s="193"/>
      <c r="B814" s="193"/>
      <c r="C814" s="193"/>
      <c r="D814" s="195"/>
    </row>
    <row r="815" ht="15.75" customHeight="1">
      <c r="A815" s="193"/>
      <c r="B815" s="193"/>
      <c r="C815" s="193"/>
      <c r="D815" s="195"/>
    </row>
    <row r="816" ht="15.75" customHeight="1">
      <c r="A816" s="193"/>
      <c r="B816" s="193"/>
      <c r="C816" s="193"/>
      <c r="D816" s="195"/>
    </row>
    <row r="817" ht="15.75" customHeight="1">
      <c r="A817" s="193"/>
      <c r="B817" s="193"/>
      <c r="C817" s="193"/>
      <c r="D817" s="195"/>
    </row>
    <row r="818" ht="15.75" customHeight="1">
      <c r="A818" s="193"/>
      <c r="B818" s="193"/>
      <c r="C818" s="193"/>
      <c r="D818" s="195"/>
    </row>
    <row r="819" ht="15.75" customHeight="1">
      <c r="A819" s="193"/>
      <c r="B819" s="193"/>
      <c r="C819" s="193"/>
      <c r="D819" s="195"/>
    </row>
    <row r="820" ht="15.75" customHeight="1">
      <c r="A820" s="193"/>
      <c r="B820" s="193"/>
      <c r="C820" s="193"/>
      <c r="D820" s="195"/>
    </row>
    <row r="821" ht="15.75" customHeight="1">
      <c r="A821" s="193"/>
      <c r="B821" s="193"/>
      <c r="C821" s="193"/>
      <c r="D821" s="195"/>
    </row>
    <row r="822" ht="15.75" customHeight="1">
      <c r="A822" s="193"/>
      <c r="B822" s="193"/>
      <c r="C822" s="193"/>
      <c r="D822" s="195"/>
    </row>
    <row r="823" ht="15.75" customHeight="1">
      <c r="A823" s="193"/>
      <c r="B823" s="193"/>
      <c r="C823" s="193"/>
      <c r="D823" s="195"/>
    </row>
    <row r="824" ht="15.75" customHeight="1">
      <c r="A824" s="193"/>
      <c r="B824" s="193"/>
      <c r="C824" s="193"/>
      <c r="D824" s="195"/>
    </row>
    <row r="825" ht="15.75" customHeight="1">
      <c r="A825" s="193"/>
      <c r="B825" s="193"/>
      <c r="C825" s="193"/>
      <c r="D825" s="195"/>
    </row>
    <row r="826" ht="15.75" customHeight="1">
      <c r="A826" s="193"/>
      <c r="B826" s="193"/>
      <c r="C826" s="193"/>
      <c r="D826" s="195"/>
    </row>
    <row r="827" ht="15.75" customHeight="1">
      <c r="A827" s="193"/>
      <c r="B827" s="193"/>
      <c r="C827" s="193"/>
      <c r="D827" s="195"/>
    </row>
    <row r="828" ht="15.75" customHeight="1">
      <c r="A828" s="193"/>
      <c r="B828" s="193"/>
      <c r="C828" s="193"/>
      <c r="D828" s="195"/>
    </row>
    <row r="829" ht="15.75" customHeight="1">
      <c r="A829" s="193"/>
      <c r="B829" s="193"/>
      <c r="C829" s="193"/>
      <c r="D829" s="195"/>
    </row>
    <row r="830" ht="15.75" customHeight="1">
      <c r="A830" s="193"/>
      <c r="B830" s="193"/>
      <c r="C830" s="193"/>
      <c r="D830" s="195"/>
    </row>
    <row r="831" ht="15.75" customHeight="1">
      <c r="A831" s="193"/>
      <c r="B831" s="193"/>
      <c r="C831" s="193"/>
      <c r="D831" s="195"/>
    </row>
    <row r="832" ht="15.75" customHeight="1">
      <c r="A832" s="193"/>
      <c r="B832" s="193"/>
      <c r="C832" s="193"/>
      <c r="D832" s="195"/>
    </row>
    <row r="833" ht="15.75" customHeight="1">
      <c r="A833" s="193"/>
      <c r="B833" s="193"/>
      <c r="C833" s="193"/>
      <c r="D833" s="195"/>
    </row>
    <row r="834" ht="15.75" customHeight="1">
      <c r="A834" s="193"/>
      <c r="B834" s="193"/>
      <c r="C834" s="193"/>
      <c r="D834" s="195"/>
    </row>
    <row r="835" ht="15.75" customHeight="1">
      <c r="A835" s="193"/>
      <c r="B835" s="193"/>
      <c r="C835" s="193"/>
      <c r="D835" s="195"/>
    </row>
    <row r="836" ht="15.75" customHeight="1">
      <c r="A836" s="193"/>
      <c r="B836" s="193"/>
      <c r="C836" s="193"/>
      <c r="D836" s="195"/>
    </row>
    <row r="837" ht="15.75" customHeight="1">
      <c r="A837" s="193"/>
      <c r="B837" s="193"/>
      <c r="C837" s="193"/>
      <c r="D837" s="195"/>
    </row>
    <row r="838" ht="15.75" customHeight="1">
      <c r="A838" s="193"/>
      <c r="B838" s="193"/>
      <c r="C838" s="193"/>
      <c r="D838" s="195"/>
    </row>
    <row r="839" ht="15.75" customHeight="1">
      <c r="A839" s="193"/>
      <c r="B839" s="193"/>
      <c r="C839" s="193"/>
      <c r="D839" s="195"/>
    </row>
    <row r="840" ht="15.75" customHeight="1">
      <c r="A840" s="193"/>
      <c r="B840" s="193"/>
      <c r="C840" s="193"/>
      <c r="D840" s="195"/>
    </row>
    <row r="841" ht="15.75" customHeight="1">
      <c r="A841" s="193"/>
      <c r="B841" s="193"/>
      <c r="C841" s="193"/>
      <c r="D841" s="195"/>
    </row>
    <row r="842" ht="15.75" customHeight="1">
      <c r="A842" s="193"/>
      <c r="B842" s="193"/>
      <c r="C842" s="193"/>
      <c r="D842" s="195"/>
    </row>
    <row r="843" ht="15.75" customHeight="1">
      <c r="A843" s="193"/>
      <c r="B843" s="193"/>
      <c r="C843" s="193"/>
      <c r="D843" s="195"/>
    </row>
    <row r="844" ht="15.75" customHeight="1">
      <c r="A844" s="193"/>
      <c r="B844" s="193"/>
      <c r="C844" s="193"/>
      <c r="D844" s="195"/>
    </row>
    <row r="845" ht="15.75" customHeight="1">
      <c r="A845" s="193"/>
      <c r="B845" s="193"/>
      <c r="C845" s="193"/>
      <c r="D845" s="195"/>
    </row>
    <row r="846" ht="15.75" customHeight="1">
      <c r="A846" s="193"/>
      <c r="B846" s="193"/>
      <c r="C846" s="193"/>
      <c r="D846" s="195"/>
    </row>
    <row r="847" ht="15.75" customHeight="1">
      <c r="A847" s="193"/>
      <c r="B847" s="193"/>
      <c r="C847" s="193"/>
      <c r="D847" s="195"/>
    </row>
    <row r="848" ht="15.75" customHeight="1">
      <c r="A848" s="193"/>
      <c r="B848" s="193"/>
      <c r="C848" s="193"/>
      <c r="D848" s="195"/>
    </row>
    <row r="849" ht="15.75" customHeight="1">
      <c r="A849" s="193"/>
      <c r="B849" s="193"/>
      <c r="C849" s="193"/>
      <c r="D849" s="195"/>
    </row>
    <row r="850" ht="15.75" customHeight="1">
      <c r="A850" s="193"/>
      <c r="B850" s="193"/>
      <c r="C850" s="193"/>
      <c r="D850" s="195"/>
    </row>
    <row r="851" ht="15.75" customHeight="1">
      <c r="A851" s="193"/>
      <c r="B851" s="193"/>
      <c r="C851" s="193"/>
      <c r="D851" s="195"/>
    </row>
    <row r="852" ht="15.75" customHeight="1">
      <c r="A852" s="193"/>
      <c r="B852" s="193"/>
      <c r="C852" s="193"/>
      <c r="D852" s="195"/>
    </row>
    <row r="853" ht="15.75" customHeight="1">
      <c r="A853" s="193"/>
      <c r="B853" s="193"/>
      <c r="C853" s="193"/>
      <c r="D853" s="195"/>
    </row>
    <row r="854" ht="15.75" customHeight="1">
      <c r="A854" s="193"/>
      <c r="B854" s="193"/>
      <c r="C854" s="193"/>
      <c r="D854" s="195"/>
    </row>
    <row r="855" ht="15.75" customHeight="1">
      <c r="A855" s="193"/>
      <c r="B855" s="193"/>
      <c r="C855" s="193"/>
      <c r="D855" s="195"/>
    </row>
    <row r="856" ht="15.75" customHeight="1">
      <c r="A856" s="193"/>
      <c r="B856" s="193"/>
      <c r="C856" s="193"/>
      <c r="D856" s="195"/>
    </row>
    <row r="857" ht="15.75" customHeight="1">
      <c r="A857" s="193"/>
      <c r="B857" s="193"/>
      <c r="C857" s="193"/>
      <c r="D857" s="195"/>
    </row>
    <row r="858" ht="15.75" customHeight="1">
      <c r="A858" s="193"/>
      <c r="B858" s="193"/>
      <c r="C858" s="193"/>
      <c r="D858" s="195"/>
    </row>
    <row r="859" ht="15.75" customHeight="1">
      <c r="A859" s="193"/>
      <c r="B859" s="193"/>
      <c r="C859" s="193"/>
      <c r="D859" s="195"/>
    </row>
    <row r="860" ht="15.75" customHeight="1">
      <c r="A860" s="193"/>
      <c r="B860" s="193"/>
      <c r="C860" s="193"/>
      <c r="D860" s="195"/>
    </row>
    <row r="861" ht="15.75" customHeight="1">
      <c r="A861" s="193"/>
      <c r="B861" s="193"/>
      <c r="C861" s="193"/>
      <c r="D861" s="195"/>
    </row>
    <row r="862" ht="15.75" customHeight="1">
      <c r="A862" s="193"/>
      <c r="B862" s="193"/>
      <c r="C862" s="193"/>
      <c r="D862" s="195"/>
    </row>
    <row r="863" ht="15.75" customHeight="1">
      <c r="A863" s="193"/>
      <c r="B863" s="193"/>
      <c r="C863" s="193"/>
      <c r="D863" s="195"/>
    </row>
    <row r="864" ht="15.75" customHeight="1">
      <c r="A864" s="193"/>
      <c r="B864" s="193"/>
      <c r="C864" s="193"/>
      <c r="D864" s="195"/>
    </row>
    <row r="865" ht="15.75" customHeight="1">
      <c r="A865" s="193"/>
      <c r="B865" s="193"/>
      <c r="C865" s="193"/>
      <c r="D865" s="195"/>
    </row>
    <row r="866" ht="15.75" customHeight="1">
      <c r="A866" s="193"/>
      <c r="B866" s="193"/>
      <c r="C866" s="193"/>
      <c r="D866" s="195"/>
    </row>
    <row r="867" ht="15.75" customHeight="1">
      <c r="A867" s="193"/>
      <c r="B867" s="193"/>
      <c r="C867" s="193"/>
      <c r="D867" s="195"/>
    </row>
    <row r="868" ht="15.75" customHeight="1">
      <c r="A868" s="193"/>
      <c r="B868" s="193"/>
      <c r="C868" s="193"/>
      <c r="D868" s="195"/>
    </row>
    <row r="869" ht="15.75" customHeight="1">
      <c r="A869" s="193"/>
      <c r="B869" s="193"/>
      <c r="C869" s="193"/>
      <c r="D869" s="195"/>
    </row>
    <row r="870" ht="15.75" customHeight="1">
      <c r="A870" s="193"/>
      <c r="B870" s="193"/>
      <c r="C870" s="193"/>
      <c r="D870" s="195"/>
    </row>
    <row r="871" ht="15.75" customHeight="1">
      <c r="A871" s="193"/>
      <c r="B871" s="193"/>
      <c r="C871" s="193"/>
      <c r="D871" s="195"/>
    </row>
    <row r="872" ht="15.75" customHeight="1">
      <c r="A872" s="193"/>
      <c r="B872" s="193"/>
      <c r="C872" s="193"/>
      <c r="D872" s="195"/>
    </row>
    <row r="873" ht="15.75" customHeight="1">
      <c r="A873" s="193"/>
      <c r="B873" s="193"/>
      <c r="C873" s="193"/>
      <c r="D873" s="195"/>
    </row>
    <row r="874" ht="15.75" customHeight="1">
      <c r="A874" s="193"/>
      <c r="B874" s="193"/>
      <c r="C874" s="193"/>
      <c r="D874" s="195"/>
    </row>
    <row r="875" ht="15.75" customHeight="1">
      <c r="A875" s="193"/>
      <c r="B875" s="193"/>
      <c r="C875" s="193"/>
      <c r="D875" s="195"/>
    </row>
    <row r="876" ht="15.75" customHeight="1">
      <c r="A876" s="193"/>
      <c r="B876" s="193"/>
      <c r="C876" s="193"/>
      <c r="D876" s="195"/>
    </row>
    <row r="877" ht="15.75" customHeight="1">
      <c r="A877" s="193"/>
      <c r="B877" s="193"/>
      <c r="C877" s="193"/>
      <c r="D877" s="195"/>
    </row>
    <row r="878" ht="15.75" customHeight="1">
      <c r="A878" s="193"/>
      <c r="B878" s="193"/>
      <c r="C878" s="193"/>
      <c r="D878" s="195"/>
    </row>
    <row r="879" ht="15.75" customHeight="1">
      <c r="A879" s="193"/>
      <c r="B879" s="193"/>
      <c r="C879" s="193"/>
      <c r="D879" s="195"/>
    </row>
    <row r="880" ht="15.75" customHeight="1">
      <c r="A880" s="193"/>
      <c r="B880" s="193"/>
      <c r="C880" s="193"/>
      <c r="D880" s="195"/>
    </row>
    <row r="881" ht="15.75" customHeight="1">
      <c r="A881" s="193"/>
      <c r="B881" s="193"/>
      <c r="C881" s="193"/>
      <c r="D881" s="195"/>
    </row>
    <row r="882" ht="15.75" customHeight="1">
      <c r="A882" s="193"/>
      <c r="B882" s="193"/>
      <c r="C882" s="193"/>
      <c r="D882" s="195"/>
    </row>
    <row r="883" ht="15.75" customHeight="1">
      <c r="A883" s="193"/>
      <c r="B883" s="193"/>
      <c r="C883" s="193"/>
      <c r="D883" s="195"/>
    </row>
    <row r="884" ht="15.75" customHeight="1">
      <c r="A884" s="193"/>
      <c r="B884" s="193"/>
      <c r="C884" s="193"/>
      <c r="D884" s="195"/>
    </row>
    <row r="885" ht="15.75" customHeight="1">
      <c r="A885" s="193"/>
      <c r="B885" s="193"/>
      <c r="C885" s="193"/>
      <c r="D885" s="195"/>
    </row>
    <row r="886" ht="15.75" customHeight="1">
      <c r="A886" s="193"/>
      <c r="B886" s="193"/>
      <c r="C886" s="193"/>
      <c r="D886" s="195"/>
    </row>
    <row r="887" ht="15.75" customHeight="1">
      <c r="A887" s="193"/>
      <c r="B887" s="193"/>
      <c r="C887" s="193"/>
      <c r="D887" s="195"/>
    </row>
    <row r="888" ht="15.75" customHeight="1">
      <c r="A888" s="193"/>
      <c r="B888" s="193"/>
      <c r="C888" s="193"/>
      <c r="D888" s="195"/>
    </row>
    <row r="889" ht="15.75" customHeight="1">
      <c r="A889" s="193"/>
      <c r="B889" s="193"/>
      <c r="C889" s="193"/>
      <c r="D889" s="195"/>
    </row>
    <row r="890" ht="15.75" customHeight="1">
      <c r="A890" s="193"/>
      <c r="B890" s="193"/>
      <c r="C890" s="193"/>
      <c r="D890" s="195"/>
    </row>
    <row r="891" ht="15.75" customHeight="1">
      <c r="A891" s="193"/>
      <c r="B891" s="193"/>
      <c r="C891" s="193"/>
      <c r="D891" s="195"/>
    </row>
    <row r="892" ht="15.75" customHeight="1">
      <c r="A892" s="193"/>
      <c r="B892" s="193"/>
      <c r="C892" s="193"/>
      <c r="D892" s="195"/>
    </row>
    <row r="893" ht="15.75" customHeight="1">
      <c r="A893" s="193"/>
      <c r="B893" s="193"/>
      <c r="C893" s="193"/>
      <c r="D893" s="195"/>
    </row>
    <row r="894" ht="15.75" customHeight="1">
      <c r="A894" s="193"/>
      <c r="B894" s="193"/>
      <c r="C894" s="193"/>
      <c r="D894" s="195"/>
    </row>
    <row r="895" ht="15.75" customHeight="1">
      <c r="A895" s="193"/>
      <c r="B895" s="193"/>
      <c r="C895" s="193"/>
      <c r="D895" s="195"/>
    </row>
    <row r="896" ht="15.75" customHeight="1">
      <c r="A896" s="193"/>
      <c r="B896" s="193"/>
      <c r="C896" s="193"/>
      <c r="D896" s="195"/>
    </row>
    <row r="897" ht="15.75" customHeight="1">
      <c r="A897" s="193"/>
      <c r="B897" s="193"/>
      <c r="C897" s="193"/>
      <c r="D897" s="195"/>
    </row>
    <row r="898" ht="15.75" customHeight="1">
      <c r="A898" s="193"/>
      <c r="B898" s="193"/>
      <c r="C898" s="193"/>
      <c r="D898" s="195"/>
    </row>
    <row r="899" ht="15.75" customHeight="1">
      <c r="A899" s="193"/>
      <c r="B899" s="193"/>
      <c r="C899" s="193"/>
      <c r="D899" s="195"/>
    </row>
    <row r="900" ht="15.75" customHeight="1">
      <c r="A900" s="193"/>
      <c r="B900" s="193"/>
      <c r="C900" s="193"/>
      <c r="D900" s="195"/>
    </row>
    <row r="901" ht="15.75" customHeight="1">
      <c r="A901" s="193"/>
      <c r="B901" s="193"/>
      <c r="C901" s="193"/>
      <c r="D901" s="195"/>
    </row>
    <row r="902" ht="15.75" customHeight="1">
      <c r="A902" s="193"/>
      <c r="B902" s="193"/>
      <c r="C902" s="193"/>
      <c r="D902" s="195"/>
    </row>
    <row r="903" ht="15.75" customHeight="1">
      <c r="A903" s="193"/>
      <c r="B903" s="193"/>
      <c r="C903" s="193"/>
      <c r="D903" s="195"/>
    </row>
    <row r="904" ht="15.75" customHeight="1">
      <c r="A904" s="193"/>
      <c r="B904" s="193"/>
      <c r="C904" s="193"/>
      <c r="D904" s="195"/>
    </row>
    <row r="905" ht="15.75" customHeight="1">
      <c r="A905" s="193"/>
      <c r="B905" s="193"/>
      <c r="C905" s="193"/>
      <c r="D905" s="195"/>
    </row>
    <row r="906" ht="15.75" customHeight="1">
      <c r="A906" s="193"/>
      <c r="B906" s="193"/>
      <c r="C906" s="193"/>
      <c r="D906" s="195"/>
    </row>
    <row r="907" ht="15.75" customHeight="1">
      <c r="A907" s="193"/>
      <c r="B907" s="193"/>
      <c r="C907" s="193"/>
      <c r="D907" s="195"/>
    </row>
    <row r="908" ht="15.75" customHeight="1">
      <c r="A908" s="193"/>
      <c r="B908" s="193"/>
      <c r="C908" s="193"/>
      <c r="D908" s="195"/>
    </row>
    <row r="909" ht="15.75" customHeight="1">
      <c r="A909" s="193"/>
      <c r="B909" s="193"/>
      <c r="C909" s="193"/>
      <c r="D909" s="195"/>
    </row>
    <row r="910" ht="15.75" customHeight="1">
      <c r="A910" s="193"/>
      <c r="B910" s="193"/>
      <c r="C910" s="193"/>
      <c r="D910" s="195"/>
    </row>
    <row r="911" ht="15.75" customHeight="1">
      <c r="A911" s="193"/>
      <c r="B911" s="193"/>
      <c r="C911" s="193"/>
      <c r="D911" s="195"/>
    </row>
    <row r="912" ht="15.75" customHeight="1">
      <c r="A912" s="193"/>
      <c r="B912" s="193"/>
      <c r="C912" s="193"/>
      <c r="D912" s="195"/>
    </row>
    <row r="913" ht="15.75" customHeight="1">
      <c r="A913" s="193"/>
      <c r="B913" s="193"/>
      <c r="C913" s="193"/>
      <c r="D913" s="195"/>
    </row>
    <row r="914" ht="15.75" customHeight="1">
      <c r="A914" s="193"/>
      <c r="B914" s="193"/>
      <c r="C914" s="193"/>
      <c r="D914" s="195"/>
    </row>
    <row r="915" ht="15.75" customHeight="1">
      <c r="A915" s="193"/>
      <c r="B915" s="193"/>
      <c r="C915" s="193"/>
      <c r="D915" s="195"/>
    </row>
    <row r="916" ht="15.75" customHeight="1">
      <c r="A916" s="193"/>
      <c r="B916" s="193"/>
      <c r="C916" s="193"/>
      <c r="D916" s="195"/>
    </row>
    <row r="917" ht="15.75" customHeight="1">
      <c r="A917" s="193"/>
      <c r="B917" s="193"/>
      <c r="C917" s="193"/>
      <c r="D917" s="195"/>
    </row>
    <row r="918" ht="15.75" customHeight="1">
      <c r="A918" s="193"/>
      <c r="B918" s="193"/>
      <c r="C918" s="193"/>
      <c r="D918" s="195"/>
    </row>
    <row r="919" ht="15.75" customHeight="1">
      <c r="A919" s="193"/>
      <c r="B919" s="193"/>
      <c r="C919" s="193"/>
      <c r="D919" s="195"/>
    </row>
    <row r="920" ht="15.75" customHeight="1">
      <c r="A920" s="193"/>
      <c r="B920" s="193"/>
      <c r="C920" s="193"/>
      <c r="D920" s="195"/>
    </row>
    <row r="921" ht="15.75" customHeight="1">
      <c r="A921" s="193"/>
      <c r="B921" s="193"/>
      <c r="C921" s="193"/>
      <c r="D921" s="195"/>
    </row>
    <row r="922" ht="15.75" customHeight="1">
      <c r="A922" s="193"/>
      <c r="B922" s="193"/>
      <c r="C922" s="193"/>
      <c r="D922" s="195"/>
    </row>
    <row r="923" ht="15.75" customHeight="1">
      <c r="A923" s="193"/>
      <c r="B923" s="193"/>
      <c r="C923" s="193"/>
      <c r="D923" s="195"/>
    </row>
    <row r="924" ht="15.75" customHeight="1">
      <c r="A924" s="193"/>
      <c r="B924" s="193"/>
      <c r="C924" s="193"/>
      <c r="D924" s="195"/>
    </row>
    <row r="925" ht="15.75" customHeight="1">
      <c r="A925" s="193"/>
      <c r="B925" s="193"/>
      <c r="C925" s="193"/>
      <c r="D925" s="195"/>
    </row>
    <row r="926" ht="15.75" customHeight="1">
      <c r="A926" s="193"/>
      <c r="B926" s="193"/>
      <c r="C926" s="193"/>
      <c r="D926" s="195"/>
    </row>
    <row r="927" ht="15.75" customHeight="1">
      <c r="A927" s="193"/>
      <c r="B927" s="193"/>
      <c r="C927" s="193"/>
      <c r="D927" s="195"/>
    </row>
    <row r="928" ht="15.75" customHeight="1">
      <c r="A928" s="193"/>
      <c r="B928" s="193"/>
      <c r="C928" s="193"/>
      <c r="D928" s="195"/>
    </row>
    <row r="929" ht="15.75" customHeight="1">
      <c r="A929" s="193"/>
      <c r="B929" s="193"/>
      <c r="C929" s="193"/>
      <c r="D929" s="195"/>
    </row>
    <row r="930" ht="15.75" customHeight="1">
      <c r="A930" s="193"/>
      <c r="B930" s="193"/>
      <c r="C930" s="193"/>
      <c r="D930" s="195"/>
    </row>
    <row r="931" ht="15.75" customHeight="1">
      <c r="A931" s="193"/>
      <c r="B931" s="193"/>
      <c r="C931" s="193"/>
      <c r="D931" s="195"/>
    </row>
    <row r="932" ht="15.75" customHeight="1">
      <c r="A932" s="193"/>
      <c r="B932" s="193"/>
      <c r="C932" s="193"/>
      <c r="D932" s="195"/>
    </row>
    <row r="933" ht="15.75" customHeight="1">
      <c r="A933" s="193"/>
      <c r="B933" s="193"/>
      <c r="C933" s="193"/>
      <c r="D933" s="195"/>
    </row>
    <row r="934" ht="15.75" customHeight="1">
      <c r="A934" s="193"/>
      <c r="B934" s="193"/>
      <c r="C934" s="193"/>
      <c r="D934" s="195"/>
    </row>
    <row r="935" ht="15.75" customHeight="1">
      <c r="A935" s="193"/>
      <c r="B935" s="193"/>
      <c r="C935" s="193"/>
      <c r="D935" s="195"/>
    </row>
    <row r="936" ht="15.75" customHeight="1">
      <c r="A936" s="193"/>
      <c r="B936" s="193"/>
      <c r="C936" s="193"/>
      <c r="D936" s="195"/>
    </row>
    <row r="937" ht="15.75" customHeight="1">
      <c r="A937" s="193"/>
      <c r="B937" s="193"/>
      <c r="C937" s="193"/>
      <c r="D937" s="195"/>
    </row>
    <row r="938" ht="15.75" customHeight="1">
      <c r="A938" s="193"/>
      <c r="B938" s="193"/>
      <c r="C938" s="193"/>
      <c r="D938" s="195"/>
    </row>
    <row r="939" ht="15.75" customHeight="1">
      <c r="A939" s="193"/>
      <c r="B939" s="193"/>
      <c r="C939" s="193"/>
      <c r="D939" s="195"/>
    </row>
    <row r="940" ht="15.75" customHeight="1">
      <c r="A940" s="193"/>
      <c r="B940" s="193"/>
      <c r="C940" s="193"/>
      <c r="D940" s="195"/>
    </row>
    <row r="941" ht="15.75" customHeight="1">
      <c r="A941" s="193"/>
      <c r="B941" s="193"/>
      <c r="C941" s="193"/>
      <c r="D941" s="195"/>
    </row>
    <row r="942" ht="15.75" customHeight="1">
      <c r="A942" s="193"/>
      <c r="B942" s="193"/>
      <c r="C942" s="193"/>
      <c r="D942" s="195"/>
    </row>
    <row r="943" ht="15.75" customHeight="1">
      <c r="A943" s="193"/>
      <c r="B943" s="193"/>
      <c r="C943" s="193"/>
      <c r="D943" s="195"/>
    </row>
    <row r="944" ht="15.75" customHeight="1">
      <c r="A944" s="193"/>
      <c r="B944" s="193"/>
      <c r="C944" s="193"/>
      <c r="D944" s="195"/>
    </row>
    <row r="945" ht="15.75" customHeight="1">
      <c r="A945" s="193"/>
      <c r="B945" s="193"/>
      <c r="C945" s="193"/>
      <c r="D945" s="195"/>
    </row>
    <row r="946" ht="15.75" customHeight="1">
      <c r="A946" s="193"/>
      <c r="B946" s="193"/>
      <c r="C946" s="193"/>
      <c r="D946" s="195"/>
    </row>
    <row r="947" ht="15.75" customHeight="1">
      <c r="A947" s="193"/>
      <c r="B947" s="193"/>
      <c r="C947" s="193"/>
      <c r="D947" s="195"/>
    </row>
    <row r="948" ht="15.75" customHeight="1">
      <c r="A948" s="193"/>
      <c r="B948" s="193"/>
      <c r="C948" s="193"/>
      <c r="D948" s="195"/>
    </row>
    <row r="949" ht="15.75" customHeight="1">
      <c r="A949" s="193"/>
      <c r="B949" s="193"/>
      <c r="C949" s="193"/>
      <c r="D949" s="195"/>
    </row>
    <row r="950" ht="15.75" customHeight="1">
      <c r="A950" s="193"/>
      <c r="B950" s="193"/>
      <c r="C950" s="193"/>
      <c r="D950" s="195"/>
    </row>
    <row r="951" ht="15.75" customHeight="1">
      <c r="A951" s="193"/>
      <c r="B951" s="193"/>
      <c r="C951" s="193"/>
      <c r="D951" s="195"/>
    </row>
    <row r="952" ht="15.75" customHeight="1">
      <c r="A952" s="193"/>
      <c r="B952" s="193"/>
      <c r="C952" s="193"/>
      <c r="D952" s="195"/>
    </row>
    <row r="953" ht="15.75" customHeight="1">
      <c r="A953" s="193"/>
      <c r="B953" s="193"/>
      <c r="C953" s="193"/>
      <c r="D953" s="195"/>
    </row>
    <row r="954" ht="15.75" customHeight="1">
      <c r="A954" s="193"/>
      <c r="B954" s="193"/>
      <c r="C954" s="193"/>
      <c r="D954" s="195"/>
    </row>
    <row r="955" ht="15.75" customHeight="1">
      <c r="A955" s="193"/>
      <c r="B955" s="193"/>
      <c r="C955" s="193"/>
      <c r="D955" s="195"/>
    </row>
    <row r="956" ht="15.75" customHeight="1">
      <c r="A956" s="193"/>
      <c r="B956" s="193"/>
      <c r="C956" s="193"/>
      <c r="D956" s="195"/>
    </row>
    <row r="957" ht="15.75" customHeight="1">
      <c r="A957" s="193"/>
      <c r="B957" s="193"/>
      <c r="C957" s="193"/>
      <c r="D957" s="195"/>
    </row>
    <row r="958" ht="15.75" customHeight="1">
      <c r="A958" s="193"/>
      <c r="B958" s="193"/>
      <c r="C958" s="193"/>
      <c r="D958" s="195"/>
    </row>
    <row r="959" ht="15.75" customHeight="1">
      <c r="A959" s="193"/>
      <c r="B959" s="193"/>
      <c r="C959" s="193"/>
      <c r="D959" s="195"/>
    </row>
    <row r="960" ht="15.75" customHeight="1">
      <c r="A960" s="193"/>
      <c r="B960" s="193"/>
      <c r="C960" s="193"/>
      <c r="D960" s="195"/>
    </row>
    <row r="961" ht="15.75" customHeight="1">
      <c r="A961" s="193"/>
      <c r="B961" s="193"/>
      <c r="C961" s="193"/>
      <c r="D961" s="195"/>
    </row>
    <row r="962" ht="15.75" customHeight="1">
      <c r="A962" s="193"/>
      <c r="B962" s="193"/>
      <c r="C962" s="193"/>
      <c r="D962" s="195"/>
    </row>
    <row r="963" ht="15.75" customHeight="1">
      <c r="A963" s="193"/>
      <c r="B963" s="193"/>
      <c r="C963" s="193"/>
      <c r="D963" s="195"/>
    </row>
    <row r="964" ht="15.75" customHeight="1">
      <c r="A964" s="193"/>
      <c r="B964" s="193"/>
      <c r="C964" s="193"/>
      <c r="D964" s="195"/>
    </row>
    <row r="965" ht="15.75" customHeight="1">
      <c r="A965" s="193"/>
      <c r="B965" s="193"/>
      <c r="C965" s="193"/>
      <c r="D965" s="195"/>
    </row>
    <row r="966" ht="15.75" customHeight="1">
      <c r="A966" s="193"/>
      <c r="B966" s="193"/>
      <c r="C966" s="193"/>
      <c r="D966" s="195"/>
    </row>
    <row r="967" ht="15.75" customHeight="1">
      <c r="A967" s="193"/>
      <c r="B967" s="193"/>
      <c r="C967" s="193"/>
      <c r="D967" s="195"/>
    </row>
    <row r="968" ht="15.75" customHeight="1">
      <c r="A968" s="193"/>
      <c r="B968" s="193"/>
      <c r="C968" s="193"/>
      <c r="D968" s="195"/>
    </row>
    <row r="969" ht="15.75" customHeight="1">
      <c r="A969" s="193"/>
      <c r="B969" s="193"/>
      <c r="C969" s="193"/>
      <c r="D969" s="195"/>
    </row>
    <row r="970" ht="15.75" customHeight="1">
      <c r="A970" s="193"/>
      <c r="B970" s="193"/>
      <c r="C970" s="193"/>
      <c r="D970" s="195"/>
    </row>
    <row r="971" ht="15.75" customHeight="1">
      <c r="A971" s="193"/>
      <c r="B971" s="193"/>
      <c r="C971" s="193"/>
      <c r="D971" s="195"/>
    </row>
    <row r="972" ht="15.75" customHeight="1">
      <c r="A972" s="193"/>
      <c r="B972" s="193"/>
      <c r="C972" s="193"/>
      <c r="D972" s="195"/>
    </row>
    <row r="973" ht="15.75" customHeight="1">
      <c r="A973" s="193"/>
      <c r="B973" s="193"/>
      <c r="C973" s="193"/>
      <c r="D973" s="195"/>
    </row>
    <row r="974" ht="15.75" customHeight="1">
      <c r="A974" s="193"/>
      <c r="B974" s="193"/>
      <c r="C974" s="193"/>
      <c r="D974" s="195"/>
    </row>
    <row r="975" ht="15.75" customHeight="1">
      <c r="A975" s="193"/>
      <c r="B975" s="193"/>
      <c r="C975" s="193"/>
      <c r="D975" s="195"/>
    </row>
    <row r="976" ht="15.75" customHeight="1">
      <c r="A976" s="193"/>
      <c r="B976" s="193"/>
      <c r="C976" s="193"/>
      <c r="D976" s="195"/>
    </row>
    <row r="977" ht="15.75" customHeight="1">
      <c r="A977" s="193"/>
      <c r="B977" s="193"/>
      <c r="C977" s="193"/>
      <c r="D977" s="195"/>
    </row>
    <row r="978" ht="15.75" customHeight="1">
      <c r="A978" s="193"/>
      <c r="B978" s="193"/>
      <c r="C978" s="193"/>
      <c r="D978" s="195"/>
    </row>
    <row r="979" ht="15.75" customHeight="1">
      <c r="A979" s="193"/>
      <c r="B979" s="193"/>
      <c r="C979" s="193"/>
      <c r="D979" s="195"/>
    </row>
    <row r="980" ht="15.75" customHeight="1">
      <c r="A980" s="193"/>
      <c r="B980" s="193"/>
      <c r="C980" s="193"/>
      <c r="D980" s="195"/>
    </row>
    <row r="981" ht="15.75" customHeight="1">
      <c r="A981" s="193"/>
      <c r="B981" s="193"/>
      <c r="C981" s="193"/>
      <c r="D981" s="195"/>
    </row>
    <row r="982" ht="15.75" customHeight="1">
      <c r="A982" s="193"/>
      <c r="B982" s="193"/>
      <c r="C982" s="193"/>
      <c r="D982" s="195"/>
    </row>
    <row r="983" ht="15.75" customHeight="1">
      <c r="A983" s="193"/>
      <c r="B983" s="193"/>
      <c r="C983" s="193"/>
      <c r="D983" s="195"/>
    </row>
    <row r="984" ht="15.75" customHeight="1">
      <c r="A984" s="193"/>
      <c r="B984" s="193"/>
      <c r="C984" s="193"/>
      <c r="D984" s="195"/>
    </row>
    <row r="985" ht="15.75" customHeight="1">
      <c r="A985" s="193"/>
      <c r="B985" s="193"/>
      <c r="C985" s="193"/>
      <c r="D985" s="195"/>
    </row>
    <row r="986" ht="15.75" customHeight="1">
      <c r="A986" s="193"/>
      <c r="B986" s="193"/>
      <c r="C986" s="193"/>
      <c r="D986" s="195"/>
    </row>
    <row r="987" ht="15.75" customHeight="1">
      <c r="A987" s="193"/>
      <c r="B987" s="193"/>
      <c r="C987" s="193"/>
      <c r="D987" s="195"/>
    </row>
    <row r="988" ht="15.75" customHeight="1">
      <c r="A988" s="193"/>
      <c r="B988" s="193"/>
      <c r="C988" s="193"/>
      <c r="D988" s="195"/>
    </row>
    <row r="989" ht="15.75" customHeight="1">
      <c r="A989" s="193"/>
      <c r="B989" s="193"/>
      <c r="C989" s="193"/>
      <c r="D989" s="195"/>
    </row>
    <row r="990" ht="15.75" customHeight="1">
      <c r="A990" s="193"/>
      <c r="B990" s="193"/>
      <c r="C990" s="193"/>
      <c r="D990" s="195"/>
    </row>
    <row r="991" ht="15.75" customHeight="1">
      <c r="A991" s="193"/>
      <c r="B991" s="193"/>
      <c r="C991" s="193"/>
      <c r="D991" s="195"/>
    </row>
    <row r="992" ht="15.75" customHeight="1">
      <c r="A992" s="193"/>
      <c r="B992" s="193"/>
      <c r="C992" s="193"/>
      <c r="D992" s="195"/>
    </row>
    <row r="993" ht="15.75" customHeight="1">
      <c r="A993" s="193"/>
      <c r="B993" s="193"/>
      <c r="C993" s="193"/>
      <c r="D993" s="195"/>
    </row>
    <row r="994" ht="15.75" customHeight="1">
      <c r="A994" s="193"/>
      <c r="B994" s="193"/>
      <c r="C994" s="193"/>
      <c r="D994" s="195"/>
    </row>
    <row r="995" ht="15.75" customHeight="1">
      <c r="A995" s="193"/>
      <c r="B995" s="193"/>
      <c r="C995" s="193"/>
      <c r="D995" s="195"/>
    </row>
    <row r="996" ht="15.75" customHeight="1">
      <c r="A996" s="193"/>
      <c r="B996" s="193"/>
      <c r="C996" s="193"/>
      <c r="D996" s="195"/>
    </row>
    <row r="997" ht="15.75" customHeight="1">
      <c r="A997" s="193"/>
      <c r="B997" s="193"/>
      <c r="C997" s="193"/>
      <c r="D997" s="195"/>
    </row>
    <row r="998" ht="15.75" customHeight="1">
      <c r="A998" s="193"/>
      <c r="B998" s="193"/>
      <c r="C998" s="193"/>
      <c r="D998" s="195"/>
    </row>
    <row r="999" ht="15.75" customHeight="1">
      <c r="A999" s="193"/>
      <c r="B999" s="193"/>
      <c r="C999" s="193"/>
      <c r="D999" s="195"/>
    </row>
    <row r="1000" ht="15.75" customHeight="1">
      <c r="A1000" s="193"/>
      <c r="B1000" s="193"/>
      <c r="C1000" s="193"/>
      <c r="D1000" s="195"/>
    </row>
  </sheetData>
  <mergeCells count="9">
    <mergeCell ref="A73:D73"/>
    <mergeCell ref="A77:D77"/>
    <mergeCell ref="A12:D12"/>
    <mergeCell ref="A22:D22"/>
    <mergeCell ref="A38:D38"/>
    <mergeCell ref="A47:D47"/>
    <mergeCell ref="A52:D52"/>
    <mergeCell ref="A61:D61"/>
    <mergeCell ref="A70:D7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89"/>
    <col customWidth="1" min="2" max="2" width="4.44"/>
    <col customWidth="1" min="3" max="3" width="5.67"/>
    <col customWidth="1" min="4" max="4" width="27.0"/>
    <col customWidth="1" min="5" max="5" width="4.67"/>
    <col customWidth="1" min="6" max="6" width="5.56"/>
    <col customWidth="1" min="7" max="7" width="29.33"/>
    <col customWidth="1" min="8" max="8" width="4.11"/>
    <col customWidth="1" min="9" max="9" width="6.11"/>
    <col customWidth="1" min="10" max="10" width="16.11"/>
    <col customWidth="1" min="11" max="11" width="4.67"/>
    <col customWidth="1" min="12" max="12" width="5.44"/>
    <col customWidth="1" min="13" max="13" width="36.22"/>
    <col customWidth="1" min="14" max="14" width="6.0"/>
    <col customWidth="1" min="15" max="15" width="5.33"/>
    <col customWidth="1" min="16" max="16" width="22.78"/>
    <col customWidth="1" min="17" max="17" width="5.0"/>
    <col customWidth="1" min="18" max="18" width="5.67"/>
    <col customWidth="1" min="19" max="19" width="22.56"/>
    <col customWidth="1" min="20" max="20" width="3.89"/>
    <col customWidth="1" min="21" max="21" width="4.78"/>
    <col customWidth="1" min="22" max="22" width="17.0"/>
    <col customWidth="1" min="23" max="23" width="5.44"/>
    <col customWidth="1" min="24" max="24" width="8.67"/>
    <col customWidth="1" min="25" max="25" width="249.67"/>
  </cols>
  <sheetData>
    <row r="1" ht="15.75" customHeight="1">
      <c r="A1" s="9"/>
      <c r="B1" s="14"/>
      <c r="C1" s="15"/>
      <c r="D1" s="17"/>
      <c r="E1" s="19"/>
      <c r="F1" s="21"/>
      <c r="G1" s="25"/>
      <c r="H1" s="27"/>
      <c r="I1" s="28"/>
      <c r="J1" s="31"/>
      <c r="K1" s="28"/>
      <c r="L1" s="32"/>
      <c r="M1" s="33"/>
      <c r="N1" s="27"/>
      <c r="O1" s="27"/>
      <c r="P1" s="17"/>
      <c r="Q1" s="28"/>
      <c r="R1" s="28"/>
      <c r="S1" s="34"/>
      <c r="T1" s="35"/>
      <c r="U1" s="14"/>
      <c r="V1" s="14"/>
      <c r="W1" s="14"/>
      <c r="X1" s="14"/>
      <c r="Y1" s="37"/>
    </row>
    <row r="2" ht="15.75" customHeight="1">
      <c r="A2" s="38"/>
      <c r="B2" s="42" t="s">
        <v>49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7"/>
      <c r="T2" s="35"/>
      <c r="U2" s="14"/>
      <c r="V2" s="14"/>
      <c r="W2" s="14"/>
      <c r="X2" s="14"/>
      <c r="Y2" s="49"/>
    </row>
    <row r="3" ht="18.75" customHeight="1">
      <c r="A3" s="38"/>
      <c r="B3" s="52"/>
      <c r="C3" s="54" t="s">
        <v>65</v>
      </c>
      <c r="D3" s="56" t="s">
        <v>66</v>
      </c>
      <c r="E3" s="57" t="s">
        <v>67</v>
      </c>
      <c r="F3" s="59" t="s">
        <v>65</v>
      </c>
      <c r="G3" s="59" t="s">
        <v>70</v>
      </c>
      <c r="H3" s="61" t="s">
        <v>67</v>
      </c>
      <c r="I3" s="59" t="s">
        <v>65</v>
      </c>
      <c r="J3" s="64" t="s">
        <v>74</v>
      </c>
      <c r="K3" s="61" t="s">
        <v>67</v>
      </c>
      <c r="L3" s="59" t="s">
        <v>65</v>
      </c>
      <c r="M3" s="66" t="s">
        <v>77</v>
      </c>
      <c r="N3" s="61" t="s">
        <v>67</v>
      </c>
      <c r="O3" s="61" t="s">
        <v>65</v>
      </c>
      <c r="P3" s="61" t="s">
        <v>78</v>
      </c>
      <c r="Q3" s="61" t="s">
        <v>67</v>
      </c>
      <c r="R3" s="59" t="s">
        <v>65</v>
      </c>
      <c r="S3" s="66" t="s">
        <v>79</v>
      </c>
      <c r="T3" s="61" t="s">
        <v>67</v>
      </c>
      <c r="U3" s="71" t="s">
        <v>65</v>
      </c>
      <c r="V3" s="71" t="s">
        <v>80</v>
      </c>
      <c r="W3" s="71" t="s">
        <v>67</v>
      </c>
      <c r="X3" s="14"/>
      <c r="Y3" s="49"/>
    </row>
    <row r="4" ht="30.75" customHeight="1">
      <c r="A4" s="74">
        <v>46145.0</v>
      </c>
      <c r="B4" s="76" t="s">
        <v>84</v>
      </c>
      <c r="C4" s="78">
        <v>385.0</v>
      </c>
      <c r="D4" s="79" t="s">
        <v>86</v>
      </c>
      <c r="E4" s="81">
        <v>83.0</v>
      </c>
      <c r="F4" s="82">
        <v>3076.0</v>
      </c>
      <c r="G4" s="83" t="s">
        <v>89</v>
      </c>
      <c r="H4" s="84">
        <v>98.0</v>
      </c>
      <c r="I4" s="82">
        <v>793.0</v>
      </c>
      <c r="J4" s="85" t="s">
        <v>93</v>
      </c>
      <c r="K4" s="86">
        <v>106.0</v>
      </c>
      <c r="L4" s="82">
        <v>4013.0</v>
      </c>
      <c r="M4" s="87" t="s">
        <v>97</v>
      </c>
      <c r="N4" s="88">
        <v>187.0</v>
      </c>
      <c r="O4" s="89"/>
      <c r="P4" s="90"/>
      <c r="Q4" s="91"/>
      <c r="R4" s="92"/>
      <c r="S4" s="94"/>
      <c r="T4" s="96"/>
      <c r="U4" s="97"/>
      <c r="V4" s="99"/>
      <c r="W4" s="100"/>
      <c r="X4" s="101" t="s">
        <v>111</v>
      </c>
      <c r="Y4" s="103"/>
    </row>
    <row r="5" ht="29.25" customHeight="1">
      <c r="B5" s="105"/>
      <c r="C5" s="107">
        <v>4036.0</v>
      </c>
      <c r="D5" s="109" t="s">
        <v>119</v>
      </c>
      <c r="E5" s="111">
        <v>114.0</v>
      </c>
      <c r="F5" s="113">
        <v>4009.0</v>
      </c>
      <c r="G5" s="115" t="s">
        <v>131</v>
      </c>
      <c r="H5" s="116">
        <v>98.0</v>
      </c>
      <c r="I5" s="113">
        <v>822.0</v>
      </c>
      <c r="J5" s="119" t="s">
        <v>136</v>
      </c>
      <c r="K5" s="121">
        <v>5.0</v>
      </c>
      <c r="L5" s="113">
        <v>4014.0</v>
      </c>
      <c r="M5" s="123" t="s">
        <v>141</v>
      </c>
      <c r="N5" s="88">
        <v>205.0</v>
      </c>
      <c r="O5" s="113"/>
      <c r="P5" s="124"/>
      <c r="Q5" s="121"/>
      <c r="R5" s="125"/>
      <c r="S5" s="128"/>
      <c r="T5" s="129"/>
      <c r="U5" s="131"/>
      <c r="V5" s="132"/>
      <c r="W5" s="134"/>
      <c r="X5" s="136" t="s">
        <v>155</v>
      </c>
      <c r="Y5" s="103"/>
    </row>
    <row r="6" ht="18.75" customHeight="1">
      <c r="B6" s="105"/>
      <c r="C6" s="107"/>
      <c r="D6" s="109"/>
      <c r="E6" s="111"/>
      <c r="F6" s="113"/>
      <c r="G6" s="115"/>
      <c r="H6" s="116"/>
      <c r="I6" s="113"/>
      <c r="J6" s="119"/>
      <c r="K6" s="121"/>
      <c r="L6" s="113"/>
      <c r="M6" s="138"/>
      <c r="N6" s="116"/>
      <c r="O6" s="113"/>
      <c r="P6" s="119"/>
      <c r="Q6" s="121"/>
      <c r="R6" s="125"/>
      <c r="S6" s="141"/>
      <c r="T6" s="142"/>
      <c r="U6" s="144"/>
      <c r="V6" s="147"/>
      <c r="W6" s="148"/>
      <c r="X6" s="150" t="s">
        <v>170</v>
      </c>
      <c r="Y6" s="103"/>
    </row>
    <row r="7" ht="29.25" customHeight="1">
      <c r="B7" s="105"/>
      <c r="C7" s="152"/>
      <c r="D7" s="154"/>
      <c r="E7" s="156"/>
      <c r="F7" s="157"/>
      <c r="G7" s="158"/>
      <c r="H7" s="159"/>
      <c r="I7" s="113"/>
      <c r="J7" s="119"/>
      <c r="K7" s="121"/>
      <c r="L7" s="113"/>
      <c r="M7" s="124"/>
      <c r="N7" s="116"/>
      <c r="O7" s="113"/>
      <c r="P7" s="119"/>
      <c r="Q7" s="121"/>
      <c r="R7" s="125"/>
      <c r="S7" s="115"/>
      <c r="T7" s="160"/>
      <c r="U7" s="131"/>
      <c r="V7" s="132"/>
      <c r="W7" s="161"/>
      <c r="X7" s="163" t="s">
        <v>188</v>
      </c>
      <c r="Y7" s="49"/>
    </row>
    <row r="8" ht="18.75" customHeight="1">
      <c r="A8" s="38"/>
      <c r="B8" s="105"/>
      <c r="C8" s="152"/>
      <c r="D8" s="154"/>
      <c r="E8" s="156"/>
      <c r="F8" s="157"/>
      <c r="G8" s="166"/>
      <c r="H8" s="159"/>
      <c r="I8" s="113"/>
      <c r="J8" s="119"/>
      <c r="K8" s="121"/>
      <c r="L8" s="113"/>
      <c r="M8" s="167"/>
      <c r="N8" s="160"/>
      <c r="O8" s="113"/>
      <c r="P8" s="119"/>
      <c r="Q8" s="121"/>
      <c r="R8" s="125"/>
      <c r="S8" s="115"/>
      <c r="T8" s="168"/>
      <c r="U8" s="169"/>
      <c r="V8" s="141"/>
      <c r="W8" s="161"/>
      <c r="X8" s="170" t="s">
        <v>203</v>
      </c>
      <c r="Y8" s="49"/>
    </row>
    <row r="9" ht="18.75" customHeight="1">
      <c r="A9" s="38"/>
      <c r="B9" s="105"/>
      <c r="C9" s="152"/>
      <c r="D9" s="154"/>
      <c r="E9" s="156"/>
      <c r="F9" s="157"/>
      <c r="G9" s="166"/>
      <c r="H9" s="159"/>
      <c r="I9" s="113"/>
      <c r="J9" s="119"/>
      <c r="K9" s="121"/>
      <c r="L9" s="113"/>
      <c r="M9" s="172"/>
      <c r="N9" s="173"/>
      <c r="O9" s="113"/>
      <c r="P9" s="119"/>
      <c r="Q9" s="121"/>
      <c r="R9" s="125"/>
      <c r="S9" s="115"/>
      <c r="T9" s="168"/>
      <c r="U9" s="169"/>
      <c r="V9" s="141"/>
      <c r="W9" s="161"/>
      <c r="X9" s="175"/>
      <c r="Y9" s="49"/>
    </row>
    <row r="10" ht="18.75" customHeight="1">
      <c r="A10" s="38"/>
      <c r="B10" s="105"/>
      <c r="C10" s="152"/>
      <c r="D10" s="154"/>
      <c r="E10" s="156"/>
      <c r="F10" s="157"/>
      <c r="G10" s="166"/>
      <c r="H10" s="159"/>
      <c r="I10" s="113"/>
      <c r="J10" s="119"/>
      <c r="K10" s="121"/>
      <c r="L10" s="113"/>
      <c r="M10" s="176"/>
      <c r="N10" s="116"/>
      <c r="O10" s="113"/>
      <c r="P10" s="119"/>
      <c r="Q10" s="121"/>
      <c r="R10" s="125"/>
      <c r="S10" s="115"/>
      <c r="T10" s="168"/>
      <c r="U10" s="169"/>
      <c r="V10" s="141"/>
      <c r="W10" s="161"/>
      <c r="X10" s="175"/>
      <c r="Y10" s="49"/>
    </row>
    <row r="11" ht="18.75" customHeight="1">
      <c r="A11" s="38"/>
      <c r="B11" s="177"/>
      <c r="C11" s="178"/>
      <c r="D11" s="179"/>
      <c r="E11" s="180"/>
      <c r="F11" s="181"/>
      <c r="G11" s="183"/>
      <c r="H11" s="184"/>
      <c r="I11" s="185"/>
      <c r="J11" s="186"/>
      <c r="K11" s="188"/>
      <c r="L11" s="185"/>
      <c r="M11" s="186"/>
      <c r="N11" s="189"/>
      <c r="O11" s="185"/>
      <c r="P11" s="186"/>
      <c r="Q11" s="188"/>
      <c r="R11" s="192"/>
      <c r="S11" s="194"/>
      <c r="T11" s="197"/>
      <c r="U11" s="198"/>
      <c r="V11" s="199"/>
      <c r="W11" s="200"/>
      <c r="X11" s="175"/>
      <c r="Y11" s="49"/>
    </row>
    <row r="12" ht="18.75" customHeight="1">
      <c r="A12" s="38"/>
      <c r="B12" s="52"/>
      <c r="C12" s="54" t="s">
        <v>65</v>
      </c>
      <c r="D12" s="56" t="s">
        <v>66</v>
      </c>
      <c r="E12" s="57" t="s">
        <v>67</v>
      </c>
      <c r="F12" s="59" t="s">
        <v>65</v>
      </c>
      <c r="G12" s="59" t="s">
        <v>70</v>
      </c>
      <c r="H12" s="61" t="s">
        <v>67</v>
      </c>
      <c r="I12" s="59" t="s">
        <v>65</v>
      </c>
      <c r="J12" s="64" t="s">
        <v>74</v>
      </c>
      <c r="K12" s="61" t="s">
        <v>67</v>
      </c>
      <c r="L12" s="59" t="s">
        <v>65</v>
      </c>
      <c r="M12" s="66" t="s">
        <v>77</v>
      </c>
      <c r="N12" s="61" t="s">
        <v>67</v>
      </c>
      <c r="O12" s="61" t="s">
        <v>65</v>
      </c>
      <c r="P12" s="61" t="s">
        <v>78</v>
      </c>
      <c r="Q12" s="61" t="s">
        <v>67</v>
      </c>
      <c r="R12" s="59" t="s">
        <v>65</v>
      </c>
      <c r="S12" s="66" t="s">
        <v>79</v>
      </c>
      <c r="T12" s="61" t="s">
        <v>67</v>
      </c>
      <c r="U12" s="71" t="s">
        <v>65</v>
      </c>
      <c r="V12" s="71" t="s">
        <v>80</v>
      </c>
      <c r="W12" s="71" t="s">
        <v>67</v>
      </c>
      <c r="X12" s="14"/>
      <c r="Y12" s="49"/>
    </row>
    <row r="13" ht="33.75" customHeight="1">
      <c r="A13" s="74">
        <v>46146.0</v>
      </c>
      <c r="B13" s="202" t="s">
        <v>263</v>
      </c>
      <c r="C13" s="78">
        <v>2730.0</v>
      </c>
      <c r="D13" s="203" t="s">
        <v>267</v>
      </c>
      <c r="E13" s="81"/>
      <c r="F13" s="204">
        <v>4024.0</v>
      </c>
      <c r="G13" s="83" t="s">
        <v>271</v>
      </c>
      <c r="H13" s="205"/>
      <c r="I13" s="89">
        <v>8.0</v>
      </c>
      <c r="J13" s="85" t="s">
        <v>272</v>
      </c>
      <c r="K13" s="91"/>
      <c r="L13" s="204">
        <v>48.0</v>
      </c>
      <c r="M13" s="207" t="s">
        <v>274</v>
      </c>
      <c r="N13" s="160"/>
      <c r="O13" s="89">
        <v>3435.0</v>
      </c>
      <c r="P13" s="90" t="s">
        <v>276</v>
      </c>
      <c r="Q13" s="91"/>
      <c r="R13" s="92">
        <v>654.0</v>
      </c>
      <c r="S13" s="94" t="s">
        <v>277</v>
      </c>
      <c r="T13" s="96"/>
      <c r="U13" s="97">
        <v>2943.0</v>
      </c>
      <c r="V13" s="99" t="s">
        <v>278</v>
      </c>
      <c r="W13" s="100"/>
      <c r="X13" s="14"/>
      <c r="Y13" s="49"/>
    </row>
    <row r="14" ht="33.75" customHeight="1">
      <c r="B14" s="105"/>
      <c r="C14" s="107">
        <v>1550.0</v>
      </c>
      <c r="D14" s="208" t="s">
        <v>280</v>
      </c>
      <c r="E14" s="111"/>
      <c r="F14" s="125">
        <v>3379.0</v>
      </c>
      <c r="G14" s="115" t="s">
        <v>281</v>
      </c>
      <c r="H14" s="209"/>
      <c r="I14" s="113"/>
      <c r="J14" s="119"/>
      <c r="K14" s="121"/>
      <c r="L14" s="210">
        <v>4026.0</v>
      </c>
      <c r="M14" s="211" t="s">
        <v>282</v>
      </c>
      <c r="N14" s="160"/>
      <c r="O14" s="113">
        <v>3455.0</v>
      </c>
      <c r="P14" s="124" t="s">
        <v>283</v>
      </c>
      <c r="Q14" s="121"/>
      <c r="R14" s="125">
        <v>2083.0</v>
      </c>
      <c r="S14" s="128" t="s">
        <v>284</v>
      </c>
      <c r="T14" s="160"/>
      <c r="U14" s="131"/>
      <c r="V14" s="132"/>
      <c r="W14" s="134"/>
      <c r="X14" s="14"/>
      <c r="Y14" s="49"/>
    </row>
    <row r="15" ht="30.0" customHeight="1">
      <c r="B15" s="105"/>
      <c r="C15" s="212"/>
      <c r="D15" s="214"/>
      <c r="E15" s="111"/>
      <c r="F15" s="125">
        <v>3244.0</v>
      </c>
      <c r="G15" s="115" t="s">
        <v>286</v>
      </c>
      <c r="H15" s="209"/>
      <c r="I15" s="113">
        <v>822.0</v>
      </c>
      <c r="J15" s="119" t="s">
        <v>136</v>
      </c>
      <c r="K15" s="121"/>
      <c r="L15" s="125">
        <v>4030.0</v>
      </c>
      <c r="M15" s="123" t="s">
        <v>287</v>
      </c>
      <c r="N15" s="160"/>
      <c r="O15" s="113"/>
      <c r="P15" s="119"/>
      <c r="Q15" s="216"/>
      <c r="R15" s="125"/>
      <c r="S15" s="128"/>
      <c r="T15" s="129"/>
      <c r="U15" s="131">
        <v>4000.0</v>
      </c>
      <c r="V15" s="147" t="s">
        <v>289</v>
      </c>
      <c r="W15" s="161"/>
      <c r="X15" s="14"/>
      <c r="Y15" s="49"/>
    </row>
    <row r="16" ht="18.75" customHeight="1">
      <c r="B16" s="105"/>
      <c r="C16" s="107"/>
      <c r="D16" s="119"/>
      <c r="E16" s="217"/>
      <c r="F16" s="125">
        <v>3343.0</v>
      </c>
      <c r="G16" s="218" t="s">
        <v>290</v>
      </c>
      <c r="H16" s="209"/>
      <c r="I16" s="219"/>
      <c r="J16" s="220"/>
      <c r="K16" s="222"/>
      <c r="L16" s="125">
        <v>859.0</v>
      </c>
      <c r="M16" s="123" t="s">
        <v>292</v>
      </c>
      <c r="N16" s="173" t="s">
        <v>293</v>
      </c>
      <c r="O16" s="113"/>
      <c r="P16" s="119"/>
      <c r="Q16" s="216"/>
      <c r="R16" s="125"/>
      <c r="S16" s="115"/>
      <c r="T16" s="160"/>
      <c r="U16" s="169"/>
      <c r="V16" s="141"/>
      <c r="W16" s="161"/>
      <c r="X16" s="14"/>
      <c r="Y16" s="49"/>
    </row>
    <row r="17" ht="18.75" customHeight="1">
      <c r="A17" s="38"/>
      <c r="B17" s="105"/>
      <c r="C17" s="107"/>
      <c r="D17" s="119"/>
      <c r="E17" s="217"/>
      <c r="F17" s="125"/>
      <c r="G17" s="115"/>
      <c r="H17" s="209"/>
      <c r="I17" s="113"/>
      <c r="J17" s="119"/>
      <c r="K17" s="121"/>
      <c r="L17" s="125">
        <v>958.0</v>
      </c>
      <c r="M17" s="223" t="s">
        <v>294</v>
      </c>
      <c r="N17" s="160"/>
      <c r="O17" s="113"/>
      <c r="P17" s="119"/>
      <c r="Q17" s="216"/>
      <c r="R17" s="125"/>
      <c r="S17" s="115"/>
      <c r="T17" s="160"/>
      <c r="U17" s="169"/>
      <c r="V17" s="141"/>
      <c r="W17" s="161"/>
      <c r="X17" s="14"/>
      <c r="Y17" s="49"/>
    </row>
    <row r="18" ht="18.75" customHeight="1">
      <c r="A18" s="38"/>
      <c r="B18" s="105"/>
      <c r="C18" s="107"/>
      <c r="D18" s="119"/>
      <c r="E18" s="217"/>
      <c r="F18" s="125"/>
      <c r="G18" s="115"/>
      <c r="H18" s="209"/>
      <c r="I18" s="113"/>
      <c r="J18" s="119"/>
      <c r="K18" s="121"/>
      <c r="L18" s="224">
        <v>4029.0</v>
      </c>
      <c r="M18" s="225" t="s">
        <v>295</v>
      </c>
      <c r="N18" s="173" t="s">
        <v>293</v>
      </c>
      <c r="O18" s="113"/>
      <c r="P18" s="119"/>
      <c r="Q18" s="216"/>
      <c r="R18" s="125"/>
      <c r="S18" s="115"/>
      <c r="T18" s="160"/>
      <c r="U18" s="169"/>
      <c r="V18" s="141"/>
      <c r="W18" s="161"/>
      <c r="X18" s="14"/>
      <c r="Y18" s="49"/>
    </row>
    <row r="19" ht="18.75" customHeight="1">
      <c r="A19" s="38"/>
      <c r="B19" s="105"/>
      <c r="C19" s="107"/>
      <c r="D19" s="119"/>
      <c r="E19" s="217"/>
      <c r="F19" s="125"/>
      <c r="G19" s="115"/>
      <c r="H19" s="209"/>
      <c r="I19" s="113"/>
      <c r="J19" s="119"/>
      <c r="K19" s="121"/>
      <c r="L19" s="125">
        <v>238.0</v>
      </c>
      <c r="M19" s="226" t="s">
        <v>296</v>
      </c>
      <c r="N19" s="160" t="s">
        <v>297</v>
      </c>
      <c r="O19" s="113"/>
      <c r="P19" s="119"/>
      <c r="Q19" s="216"/>
      <c r="R19" s="125"/>
      <c r="S19" s="115"/>
      <c r="T19" s="160"/>
      <c r="U19" s="169"/>
      <c r="V19" s="141"/>
      <c r="W19" s="161"/>
      <c r="X19" s="14"/>
      <c r="Y19" s="49"/>
    </row>
    <row r="20" ht="18.75" customHeight="1">
      <c r="A20" s="38"/>
      <c r="B20" s="177"/>
      <c r="C20" s="227"/>
      <c r="D20" s="186"/>
      <c r="E20" s="228"/>
      <c r="F20" s="192"/>
      <c r="G20" s="194"/>
      <c r="H20" s="229"/>
      <c r="I20" s="185"/>
      <c r="J20" s="186"/>
      <c r="K20" s="188"/>
      <c r="L20" s="192"/>
      <c r="M20" s="230"/>
      <c r="N20" s="231"/>
      <c r="O20" s="185"/>
      <c r="P20" s="186"/>
      <c r="Q20" s="232"/>
      <c r="R20" s="192"/>
      <c r="S20" s="194"/>
      <c r="T20" s="231"/>
      <c r="U20" s="198"/>
      <c r="V20" s="199"/>
      <c r="W20" s="200"/>
      <c r="X20" s="14"/>
      <c r="Y20" s="49"/>
    </row>
    <row r="21" ht="18.75" customHeight="1">
      <c r="A21" s="38"/>
      <c r="B21" s="52"/>
      <c r="C21" s="54" t="s">
        <v>65</v>
      </c>
      <c r="D21" s="56" t="s">
        <v>66</v>
      </c>
      <c r="E21" s="57" t="s">
        <v>67</v>
      </c>
      <c r="F21" s="59" t="s">
        <v>65</v>
      </c>
      <c r="G21" s="59" t="s">
        <v>70</v>
      </c>
      <c r="H21" s="61" t="s">
        <v>67</v>
      </c>
      <c r="I21" s="59" t="s">
        <v>65</v>
      </c>
      <c r="J21" s="64" t="s">
        <v>74</v>
      </c>
      <c r="K21" s="61" t="s">
        <v>67</v>
      </c>
      <c r="L21" s="59" t="s">
        <v>65</v>
      </c>
      <c r="M21" s="66" t="s">
        <v>77</v>
      </c>
      <c r="N21" s="61" t="s">
        <v>67</v>
      </c>
      <c r="O21" s="61" t="s">
        <v>65</v>
      </c>
      <c r="P21" s="61" t="s">
        <v>78</v>
      </c>
      <c r="Q21" s="61" t="s">
        <v>67</v>
      </c>
      <c r="R21" s="59" t="s">
        <v>65</v>
      </c>
      <c r="S21" s="66" t="s">
        <v>79</v>
      </c>
      <c r="T21" s="61" t="s">
        <v>67</v>
      </c>
      <c r="U21" s="71" t="s">
        <v>65</v>
      </c>
      <c r="V21" s="71" t="s">
        <v>80</v>
      </c>
      <c r="W21" s="71" t="s">
        <v>67</v>
      </c>
      <c r="X21" s="14"/>
      <c r="Y21" s="49"/>
    </row>
    <row r="22" ht="30.0" customHeight="1">
      <c r="A22" s="74">
        <v>46147.0</v>
      </c>
      <c r="B22" s="76" t="s">
        <v>298</v>
      </c>
      <c r="C22" s="78">
        <v>4035.0</v>
      </c>
      <c r="D22" s="79" t="s">
        <v>299</v>
      </c>
      <c r="E22" s="81"/>
      <c r="F22" s="204">
        <v>3233.0</v>
      </c>
      <c r="G22" s="83" t="s">
        <v>131</v>
      </c>
      <c r="H22" s="205"/>
      <c r="I22" s="233">
        <v>386.0</v>
      </c>
      <c r="J22" s="234" t="s">
        <v>300</v>
      </c>
      <c r="K22" s="91"/>
      <c r="L22" s="204">
        <v>761.0</v>
      </c>
      <c r="M22" s="87" t="s">
        <v>301</v>
      </c>
      <c r="N22" s="209"/>
      <c r="O22" s="82">
        <v>3375.0</v>
      </c>
      <c r="P22" s="235" t="s">
        <v>302</v>
      </c>
      <c r="Q22" s="86"/>
      <c r="R22" s="204">
        <v>3486.0</v>
      </c>
      <c r="S22" s="94" t="s">
        <v>303</v>
      </c>
      <c r="T22" s="96"/>
      <c r="U22" s="97">
        <v>3722.0</v>
      </c>
      <c r="V22" s="99" t="s">
        <v>304</v>
      </c>
      <c r="W22" s="100"/>
      <c r="X22" s="14"/>
      <c r="Y22" s="49"/>
    </row>
    <row r="23" ht="32.25" customHeight="1">
      <c r="B23" s="105"/>
      <c r="C23" s="107">
        <v>4036.0</v>
      </c>
      <c r="D23" s="109" t="s">
        <v>119</v>
      </c>
      <c r="E23" s="111"/>
      <c r="F23" s="236">
        <v>3301.0</v>
      </c>
      <c r="G23" s="115" t="s">
        <v>305</v>
      </c>
      <c r="H23" s="237"/>
      <c r="I23" s="157">
        <v>822.0</v>
      </c>
      <c r="J23" s="238" t="s">
        <v>136</v>
      </c>
      <c r="K23" s="121"/>
      <c r="L23" s="125">
        <v>4172.0</v>
      </c>
      <c r="M23" s="123" t="s">
        <v>306</v>
      </c>
      <c r="N23" s="209"/>
      <c r="O23" s="239"/>
      <c r="P23" s="240"/>
      <c r="Q23" s="121"/>
      <c r="R23" s="125">
        <v>2782.0</v>
      </c>
      <c r="S23" s="115" t="s">
        <v>307</v>
      </c>
      <c r="T23" s="160"/>
      <c r="U23" s="131"/>
      <c r="V23" s="132"/>
      <c r="W23" s="134"/>
      <c r="X23" s="14"/>
      <c r="Y23" s="49"/>
    </row>
    <row r="24" ht="30.0" customHeight="1">
      <c r="B24" s="105"/>
      <c r="C24" s="107">
        <v>3045.0</v>
      </c>
      <c r="D24" s="109" t="s">
        <v>308</v>
      </c>
      <c r="E24" s="111"/>
      <c r="F24" s="125">
        <v>4038.0</v>
      </c>
      <c r="G24" s="115" t="s">
        <v>309</v>
      </c>
      <c r="H24" s="209"/>
      <c r="I24" s="113"/>
      <c r="J24" s="119"/>
      <c r="K24" s="121"/>
      <c r="L24" s="125">
        <v>4031.0</v>
      </c>
      <c r="M24" s="241" t="s">
        <v>310</v>
      </c>
      <c r="N24" s="209" t="s">
        <v>311</v>
      </c>
      <c r="O24" s="239"/>
      <c r="P24" s="240"/>
      <c r="Q24" s="121"/>
      <c r="R24" s="125"/>
      <c r="S24" s="128"/>
      <c r="T24" s="160"/>
      <c r="U24" s="131">
        <v>3997.0</v>
      </c>
      <c r="V24" s="132" t="s">
        <v>312</v>
      </c>
      <c r="W24" s="161"/>
      <c r="X24" s="14"/>
      <c r="Y24" s="49"/>
    </row>
    <row r="25" ht="39.0" customHeight="1">
      <c r="B25" s="105"/>
      <c r="C25" s="107"/>
      <c r="D25" s="242"/>
      <c r="E25" s="243"/>
      <c r="F25" s="125"/>
      <c r="G25" s="119"/>
      <c r="H25" s="244"/>
      <c r="I25" s="113"/>
      <c r="J25" s="119"/>
      <c r="K25" s="121"/>
      <c r="L25" s="125">
        <v>3437.0</v>
      </c>
      <c r="M25" s="123" t="s">
        <v>313</v>
      </c>
      <c r="N25" s="173" t="s">
        <v>297</v>
      </c>
      <c r="O25" s="113"/>
      <c r="P25" s="119"/>
      <c r="Q25" s="121"/>
      <c r="R25" s="125"/>
      <c r="S25" s="115"/>
      <c r="T25" s="245"/>
      <c r="U25" s="131"/>
      <c r="V25" s="246"/>
      <c r="W25" s="247"/>
      <c r="X25" s="14"/>
      <c r="Y25" s="49"/>
    </row>
    <row r="26" ht="29.25" customHeight="1">
      <c r="A26" s="38"/>
      <c r="B26" s="105"/>
      <c r="C26" s="107"/>
      <c r="D26" s="119"/>
      <c r="E26" s="156"/>
      <c r="F26" s="125">
        <v>4034.0</v>
      </c>
      <c r="G26" s="248" t="s">
        <v>314</v>
      </c>
      <c r="H26" s="244"/>
      <c r="I26" s="113"/>
      <c r="J26" s="119"/>
      <c r="K26" s="121"/>
      <c r="L26" s="125">
        <v>763.0</v>
      </c>
      <c r="M26" s="123" t="s">
        <v>315</v>
      </c>
      <c r="N26" s="173" t="s">
        <v>293</v>
      </c>
      <c r="O26" s="113"/>
      <c r="P26" s="119"/>
      <c r="Q26" s="121"/>
      <c r="R26" s="125"/>
      <c r="S26" s="115"/>
      <c r="T26" s="160"/>
      <c r="U26" s="169"/>
      <c r="V26" s="141"/>
      <c r="W26" s="161"/>
      <c r="X26" s="14"/>
      <c r="Y26" s="49"/>
    </row>
    <row r="27" ht="18.75" customHeight="1">
      <c r="A27" s="38"/>
      <c r="B27" s="105"/>
      <c r="C27" s="107"/>
      <c r="D27" s="119"/>
      <c r="E27" s="156"/>
      <c r="F27" s="125"/>
      <c r="G27" s="115"/>
      <c r="H27" s="244"/>
      <c r="I27" s="113"/>
      <c r="J27" s="119"/>
      <c r="K27" s="121"/>
      <c r="L27" s="125"/>
      <c r="M27" s="109"/>
      <c r="N27" s="209"/>
      <c r="O27" s="113"/>
      <c r="P27" s="119"/>
      <c r="Q27" s="121"/>
      <c r="R27" s="125"/>
      <c r="S27" s="115"/>
      <c r="T27" s="160"/>
      <c r="U27" s="169"/>
      <c r="V27" s="141"/>
      <c r="W27" s="161"/>
      <c r="X27" s="14"/>
      <c r="Y27" s="49"/>
    </row>
    <row r="28" ht="18.75" customHeight="1">
      <c r="A28" s="38"/>
      <c r="B28" s="105"/>
      <c r="C28" s="107"/>
      <c r="D28" s="119"/>
      <c r="E28" s="156"/>
      <c r="F28" s="125"/>
      <c r="G28" s="115"/>
      <c r="H28" s="244"/>
      <c r="I28" s="113"/>
      <c r="J28" s="119"/>
      <c r="K28" s="121"/>
      <c r="L28" s="249">
        <v>3827.0</v>
      </c>
      <c r="M28" s="250" t="s">
        <v>316</v>
      </c>
      <c r="N28" s="209"/>
      <c r="O28" s="113"/>
      <c r="P28" s="119"/>
      <c r="Q28" s="121"/>
      <c r="R28" s="125"/>
      <c r="S28" s="115"/>
      <c r="T28" s="160"/>
      <c r="U28" s="169"/>
      <c r="V28" s="141"/>
      <c r="W28" s="161"/>
      <c r="X28" s="14"/>
      <c r="Y28" s="49"/>
    </row>
    <row r="29" ht="18.75" customHeight="1">
      <c r="A29" s="38"/>
      <c r="B29" s="177"/>
      <c r="C29" s="227"/>
      <c r="D29" s="186"/>
      <c r="E29" s="180"/>
      <c r="F29" s="192"/>
      <c r="G29" s="194"/>
      <c r="H29" s="251"/>
      <c r="I29" s="185"/>
      <c r="J29" s="186"/>
      <c r="K29" s="188"/>
      <c r="L29" s="192">
        <v>3883.0</v>
      </c>
      <c r="M29" s="252" t="s">
        <v>317</v>
      </c>
      <c r="N29" s="209"/>
      <c r="O29" s="185"/>
      <c r="P29" s="186"/>
      <c r="Q29" s="188"/>
      <c r="R29" s="192"/>
      <c r="S29" s="194"/>
      <c r="T29" s="231"/>
      <c r="U29" s="198"/>
      <c r="V29" s="199"/>
      <c r="W29" s="200"/>
      <c r="X29" s="14"/>
      <c r="Y29" s="49"/>
    </row>
    <row r="30" ht="18.75" customHeight="1">
      <c r="A30" s="38"/>
      <c r="B30" s="52"/>
      <c r="C30" s="54" t="s">
        <v>65</v>
      </c>
      <c r="D30" s="56" t="s">
        <v>66</v>
      </c>
      <c r="E30" s="57" t="s">
        <v>67</v>
      </c>
      <c r="F30" s="59" t="s">
        <v>65</v>
      </c>
      <c r="G30" s="59" t="s">
        <v>70</v>
      </c>
      <c r="H30" s="61" t="s">
        <v>67</v>
      </c>
      <c r="I30" s="59" t="s">
        <v>65</v>
      </c>
      <c r="J30" s="64" t="s">
        <v>74</v>
      </c>
      <c r="K30" s="61" t="s">
        <v>67</v>
      </c>
      <c r="L30" s="59" t="s">
        <v>65</v>
      </c>
      <c r="M30" s="66" t="s">
        <v>77</v>
      </c>
      <c r="N30" s="61" t="s">
        <v>67</v>
      </c>
      <c r="O30" s="61" t="s">
        <v>65</v>
      </c>
      <c r="P30" s="61" t="s">
        <v>78</v>
      </c>
      <c r="Q30" s="61" t="s">
        <v>67</v>
      </c>
      <c r="R30" s="59" t="s">
        <v>65</v>
      </c>
      <c r="S30" s="66" t="s">
        <v>79</v>
      </c>
      <c r="T30" s="61" t="s">
        <v>67</v>
      </c>
      <c r="U30" s="71" t="s">
        <v>65</v>
      </c>
      <c r="V30" s="71" t="s">
        <v>80</v>
      </c>
      <c r="W30" s="71" t="s">
        <v>67</v>
      </c>
      <c r="X30" s="14"/>
      <c r="Y30" s="49"/>
    </row>
    <row r="31" ht="32.25" customHeight="1">
      <c r="A31" s="74">
        <v>46148.0</v>
      </c>
      <c r="B31" s="254" t="s">
        <v>319</v>
      </c>
      <c r="C31" s="78">
        <v>4045.0</v>
      </c>
      <c r="D31" s="203" t="s">
        <v>320</v>
      </c>
      <c r="E31" s="81"/>
      <c r="F31" s="257">
        <v>4048.0</v>
      </c>
      <c r="G31" s="259" t="s">
        <v>322</v>
      </c>
      <c r="H31" s="205"/>
      <c r="I31" s="260">
        <v>380.0</v>
      </c>
      <c r="J31" s="261" t="s">
        <v>323</v>
      </c>
      <c r="K31" s="91"/>
      <c r="L31" s="82">
        <v>4120.0</v>
      </c>
      <c r="M31" s="87" t="s">
        <v>324</v>
      </c>
      <c r="N31" s="209" t="s">
        <v>297</v>
      </c>
      <c r="O31" s="263">
        <v>3527.0</v>
      </c>
      <c r="P31" s="264" t="s">
        <v>329</v>
      </c>
      <c r="Q31" s="86"/>
      <c r="R31" s="204">
        <v>3330.0</v>
      </c>
      <c r="S31" s="94" t="s">
        <v>330</v>
      </c>
      <c r="T31" s="96"/>
      <c r="U31" s="97">
        <v>3723.0</v>
      </c>
      <c r="V31" s="99" t="s">
        <v>331</v>
      </c>
      <c r="W31" s="100"/>
      <c r="X31" s="266"/>
      <c r="Y31" s="49"/>
    </row>
    <row r="32" ht="31.5" customHeight="1">
      <c r="B32" s="105"/>
      <c r="C32" s="107">
        <v>4056.0</v>
      </c>
      <c r="D32" s="269" t="s">
        <v>334</v>
      </c>
      <c r="E32" s="111"/>
      <c r="F32" s="125">
        <v>4053.0</v>
      </c>
      <c r="G32" s="271" t="s">
        <v>337</v>
      </c>
      <c r="H32" s="209"/>
      <c r="I32" s="273">
        <v>3752.0</v>
      </c>
      <c r="J32" s="275" t="s">
        <v>339</v>
      </c>
      <c r="K32" s="121"/>
      <c r="L32" s="113">
        <v>1873.0</v>
      </c>
      <c r="M32" s="138" t="s">
        <v>343</v>
      </c>
      <c r="N32" s="209"/>
      <c r="O32" s="276">
        <v>3454.0</v>
      </c>
      <c r="P32" s="277" t="s">
        <v>346</v>
      </c>
      <c r="Q32" s="121"/>
      <c r="R32" s="125">
        <v>4051.0</v>
      </c>
      <c r="S32" s="115" t="s">
        <v>350</v>
      </c>
      <c r="T32" s="160"/>
      <c r="U32" s="131"/>
      <c r="V32" s="132"/>
      <c r="W32" s="134"/>
      <c r="X32" s="14"/>
      <c r="Y32" s="49"/>
    </row>
    <row r="33" ht="27.75" customHeight="1">
      <c r="B33" s="105"/>
      <c r="C33" s="107"/>
      <c r="D33" s="109"/>
      <c r="E33" s="111"/>
      <c r="F33" s="125">
        <v>4055.0</v>
      </c>
      <c r="G33" s="269" t="s">
        <v>355</v>
      </c>
      <c r="H33" s="209"/>
      <c r="I33" s="278">
        <v>822.0</v>
      </c>
      <c r="J33" s="119" t="s">
        <v>136</v>
      </c>
      <c r="K33" s="121"/>
      <c r="L33" s="279">
        <v>1151.0</v>
      </c>
      <c r="M33" s="280" t="s">
        <v>359</v>
      </c>
      <c r="N33" s="209" t="s">
        <v>297</v>
      </c>
      <c r="O33" s="113">
        <v>2079.0</v>
      </c>
      <c r="P33" s="282" t="s">
        <v>361</v>
      </c>
      <c r="Q33" s="283">
        <v>200.0</v>
      </c>
      <c r="R33" s="125"/>
      <c r="S33" s="132"/>
      <c r="T33" s="284"/>
      <c r="U33" s="286">
        <v>1474.0</v>
      </c>
      <c r="V33" s="132" t="s">
        <v>364</v>
      </c>
      <c r="W33" s="161"/>
      <c r="X33" s="14"/>
      <c r="Y33" s="49"/>
    </row>
    <row r="34" ht="26.25" customHeight="1">
      <c r="B34" s="105"/>
      <c r="C34" s="107"/>
      <c r="D34" s="109"/>
      <c r="E34" s="156"/>
      <c r="F34" s="125">
        <v>3339.0</v>
      </c>
      <c r="G34" s="176" t="s">
        <v>366</v>
      </c>
      <c r="H34" s="244"/>
      <c r="I34" s="278"/>
      <c r="J34" s="119"/>
      <c r="K34" s="121"/>
      <c r="L34" s="279">
        <v>1073.0</v>
      </c>
      <c r="M34" s="167" t="s">
        <v>368</v>
      </c>
      <c r="N34" s="84"/>
      <c r="O34" s="113"/>
      <c r="P34" s="109"/>
      <c r="Q34" s="289"/>
      <c r="R34" s="125"/>
      <c r="S34" s="290"/>
      <c r="T34" s="245"/>
      <c r="U34" s="131"/>
      <c r="V34" s="246"/>
      <c r="W34" s="247"/>
      <c r="X34" s="14"/>
      <c r="Y34" s="49"/>
    </row>
    <row r="35" ht="18.75" customHeight="1">
      <c r="A35" s="38"/>
      <c r="B35" s="105"/>
      <c r="C35" s="107"/>
      <c r="D35" s="119"/>
      <c r="E35" s="156"/>
      <c r="F35" s="125"/>
      <c r="G35" s="119"/>
      <c r="H35" s="244"/>
      <c r="I35" s="113"/>
      <c r="J35" s="220"/>
      <c r="K35" s="222"/>
      <c r="L35" s="279">
        <v>3663.0</v>
      </c>
      <c r="M35" s="167" t="s">
        <v>372</v>
      </c>
      <c r="N35" s="173" t="s">
        <v>293</v>
      </c>
      <c r="O35" s="113"/>
      <c r="P35" s="119"/>
      <c r="Q35" s="216"/>
      <c r="R35" s="125"/>
      <c r="S35" s="115"/>
      <c r="T35" s="160"/>
      <c r="U35" s="169"/>
      <c r="V35" s="141"/>
      <c r="W35" s="161"/>
      <c r="X35" s="14"/>
      <c r="Y35" s="49"/>
    </row>
    <row r="36" ht="18.75" customHeight="1">
      <c r="A36" s="38"/>
      <c r="B36" s="105"/>
      <c r="C36" s="107"/>
      <c r="D36" s="119"/>
      <c r="E36" s="156"/>
      <c r="F36" s="125"/>
      <c r="G36" s="119"/>
      <c r="H36" s="244"/>
      <c r="I36" s="113"/>
      <c r="J36" s="119"/>
      <c r="K36" s="160"/>
      <c r="L36" s="291"/>
      <c r="M36" s="292"/>
      <c r="N36" s="209"/>
      <c r="O36" s="113"/>
      <c r="P36" s="119"/>
      <c r="Q36" s="216"/>
      <c r="R36" s="125"/>
      <c r="S36" s="115"/>
      <c r="T36" s="160"/>
      <c r="U36" s="169"/>
      <c r="V36" s="141"/>
      <c r="W36" s="161"/>
      <c r="X36" s="14"/>
      <c r="Y36" s="49"/>
    </row>
    <row r="37" ht="18.75" customHeight="1">
      <c r="A37" s="38"/>
      <c r="B37" s="105"/>
      <c r="C37" s="107"/>
      <c r="D37" s="119"/>
      <c r="E37" s="156"/>
      <c r="F37" s="125"/>
      <c r="G37" s="119"/>
      <c r="H37" s="244"/>
      <c r="I37" s="113"/>
      <c r="J37" s="119"/>
      <c r="K37" s="121"/>
      <c r="L37" s="279">
        <v>4032.0</v>
      </c>
      <c r="M37" s="295" t="s">
        <v>375</v>
      </c>
      <c r="N37" s="159"/>
      <c r="O37" s="113"/>
      <c r="P37" s="119"/>
      <c r="Q37" s="216"/>
      <c r="R37" s="125"/>
      <c r="S37" s="115"/>
      <c r="T37" s="160"/>
      <c r="U37" s="169"/>
      <c r="V37" s="141"/>
      <c r="W37" s="161"/>
      <c r="X37" s="14"/>
      <c r="Y37" s="49"/>
    </row>
    <row r="38" ht="18.75" customHeight="1">
      <c r="A38" s="38"/>
      <c r="B38" s="177"/>
      <c r="C38" s="227"/>
      <c r="D38" s="186"/>
      <c r="E38" s="180"/>
      <c r="F38" s="192"/>
      <c r="G38" s="186"/>
      <c r="H38" s="251"/>
      <c r="I38" s="185"/>
      <c r="J38" s="186"/>
      <c r="K38" s="188"/>
      <c r="L38" s="296"/>
      <c r="M38" s="297"/>
      <c r="N38" s="184"/>
      <c r="O38" s="185"/>
      <c r="P38" s="186"/>
      <c r="Q38" s="232"/>
      <c r="R38" s="192"/>
      <c r="S38" s="194"/>
      <c r="T38" s="231"/>
      <c r="U38" s="198"/>
      <c r="V38" s="199"/>
      <c r="W38" s="200"/>
      <c r="X38" s="14"/>
      <c r="Y38" s="49"/>
    </row>
    <row r="39" ht="18.75" customHeight="1">
      <c r="A39" s="38"/>
      <c r="B39" s="52"/>
      <c r="C39" s="54" t="s">
        <v>65</v>
      </c>
      <c r="D39" s="56" t="s">
        <v>66</v>
      </c>
      <c r="E39" s="57" t="s">
        <v>67</v>
      </c>
      <c r="F39" s="59" t="s">
        <v>65</v>
      </c>
      <c r="G39" s="59" t="s">
        <v>70</v>
      </c>
      <c r="H39" s="61" t="s">
        <v>67</v>
      </c>
      <c r="I39" s="59" t="s">
        <v>65</v>
      </c>
      <c r="J39" s="64" t="s">
        <v>74</v>
      </c>
      <c r="K39" s="61" t="s">
        <v>67</v>
      </c>
      <c r="L39" s="59" t="s">
        <v>65</v>
      </c>
      <c r="M39" s="66" t="s">
        <v>77</v>
      </c>
      <c r="N39" s="61" t="s">
        <v>67</v>
      </c>
      <c r="O39" s="61" t="s">
        <v>65</v>
      </c>
      <c r="P39" s="61" t="s">
        <v>78</v>
      </c>
      <c r="Q39" s="61" t="s">
        <v>67</v>
      </c>
      <c r="R39" s="59" t="s">
        <v>65</v>
      </c>
      <c r="S39" s="66" t="s">
        <v>79</v>
      </c>
      <c r="T39" s="61" t="s">
        <v>67</v>
      </c>
      <c r="U39" s="71" t="s">
        <v>65</v>
      </c>
      <c r="V39" s="71" t="s">
        <v>80</v>
      </c>
      <c r="W39" s="71" t="s">
        <v>67</v>
      </c>
      <c r="X39" s="14"/>
      <c r="Y39" s="49"/>
    </row>
    <row r="40" ht="33.0" customHeight="1">
      <c r="A40" s="74">
        <v>46149.0</v>
      </c>
      <c r="B40" s="76" t="s">
        <v>376</v>
      </c>
      <c r="C40" s="78">
        <v>2951.0</v>
      </c>
      <c r="D40" s="203" t="s">
        <v>377</v>
      </c>
      <c r="E40" s="81"/>
      <c r="F40" s="204">
        <v>3323.0</v>
      </c>
      <c r="G40" s="83" t="s">
        <v>378</v>
      </c>
      <c r="H40" s="205"/>
      <c r="I40" s="82">
        <v>2288.0</v>
      </c>
      <c r="J40" s="85" t="s">
        <v>379</v>
      </c>
      <c r="K40" s="91"/>
      <c r="L40" s="298"/>
      <c r="M40" s="87"/>
      <c r="N40" s="205"/>
      <c r="O40" s="82">
        <v>3528.0</v>
      </c>
      <c r="P40" s="235" t="s">
        <v>380</v>
      </c>
      <c r="Q40" s="91"/>
      <c r="R40" s="204">
        <v>3223.0</v>
      </c>
      <c r="S40" s="94" t="s">
        <v>381</v>
      </c>
      <c r="T40" s="96"/>
      <c r="U40" s="97">
        <v>3996.0</v>
      </c>
      <c r="V40" s="99" t="s">
        <v>382</v>
      </c>
      <c r="W40" s="100"/>
      <c r="X40" s="14"/>
      <c r="Y40" s="49"/>
    </row>
    <row r="41" ht="33.0" customHeight="1">
      <c r="B41" s="105"/>
      <c r="C41" s="107">
        <v>4037.0</v>
      </c>
      <c r="D41" s="119" t="s">
        <v>383</v>
      </c>
      <c r="E41" s="111"/>
      <c r="F41" s="125">
        <v>4058.0</v>
      </c>
      <c r="G41" s="115" t="s">
        <v>384</v>
      </c>
      <c r="H41" s="209"/>
      <c r="I41" s="113">
        <v>822.0</v>
      </c>
      <c r="J41" s="119" t="s">
        <v>136</v>
      </c>
      <c r="K41" s="121"/>
      <c r="L41" s="299">
        <v>4069.0</v>
      </c>
      <c r="M41" s="300" t="s">
        <v>385</v>
      </c>
      <c r="N41" s="209" t="s">
        <v>386</v>
      </c>
      <c r="O41" s="113"/>
      <c r="P41" s="119"/>
      <c r="Q41" s="216"/>
      <c r="R41" s="125">
        <v>5.0</v>
      </c>
      <c r="S41" s="115" t="s">
        <v>387</v>
      </c>
      <c r="T41" s="160"/>
      <c r="U41" s="131">
        <v>3021.0</v>
      </c>
      <c r="V41" s="132" t="s">
        <v>388</v>
      </c>
      <c r="W41" s="134"/>
      <c r="X41" s="14"/>
      <c r="Y41" s="49"/>
    </row>
    <row r="42" ht="30.75" customHeight="1">
      <c r="B42" s="105"/>
      <c r="C42" s="107">
        <v>4070.0</v>
      </c>
      <c r="D42" s="109" t="s">
        <v>389</v>
      </c>
      <c r="E42" s="111"/>
      <c r="F42" s="301">
        <v>2706.0</v>
      </c>
      <c r="G42" s="302" t="s">
        <v>390</v>
      </c>
      <c r="H42" s="237"/>
      <c r="I42" s="113"/>
      <c r="J42" s="119"/>
      <c r="K42" s="121"/>
      <c r="L42" s="303">
        <v>4067.0</v>
      </c>
      <c r="M42" s="304" t="s">
        <v>391</v>
      </c>
      <c r="N42" s="209" t="s">
        <v>392</v>
      </c>
      <c r="O42" s="113"/>
      <c r="P42" s="119"/>
      <c r="Q42" s="216"/>
      <c r="R42" s="125"/>
      <c r="S42" s="305"/>
      <c r="T42" s="160"/>
      <c r="U42" s="131"/>
      <c r="V42" s="132"/>
      <c r="W42" s="161"/>
      <c r="X42" s="14"/>
      <c r="Y42" s="49"/>
    </row>
    <row r="43" ht="30.75" customHeight="1">
      <c r="B43" s="105"/>
      <c r="C43" s="107"/>
      <c r="D43" s="109"/>
      <c r="E43" s="217"/>
      <c r="F43" s="301">
        <v>3823.0</v>
      </c>
      <c r="G43" s="158" t="s">
        <v>393</v>
      </c>
      <c r="H43" s="306"/>
      <c r="I43" s="113"/>
      <c r="J43" s="220"/>
      <c r="K43" s="222"/>
      <c r="L43" s="125">
        <v>4068.0</v>
      </c>
      <c r="M43" s="307" t="s">
        <v>394</v>
      </c>
      <c r="N43" s="209" t="s">
        <v>395</v>
      </c>
      <c r="O43" s="113"/>
      <c r="P43" s="119"/>
      <c r="Q43" s="289"/>
      <c r="R43" s="125"/>
      <c r="S43" s="115"/>
      <c r="T43" s="245"/>
      <c r="U43" s="169"/>
      <c r="V43" s="308"/>
      <c r="W43" s="247"/>
      <c r="X43" s="14"/>
      <c r="Y43" s="49"/>
    </row>
    <row r="44" ht="18.75" customHeight="1">
      <c r="A44" s="38"/>
      <c r="B44" s="105"/>
      <c r="C44" s="309"/>
      <c r="D44" s="310"/>
      <c r="E44" s="156"/>
      <c r="F44" s="125"/>
      <c r="G44" s="115"/>
      <c r="H44" s="311"/>
      <c r="I44" s="312"/>
      <c r="J44" s="313"/>
      <c r="K44" s="314"/>
      <c r="L44" s="125">
        <v>547.0</v>
      </c>
      <c r="M44" s="123" t="s">
        <v>396</v>
      </c>
      <c r="N44" s="160"/>
      <c r="O44" s="315"/>
      <c r="P44" s="316"/>
      <c r="Q44" s="317"/>
      <c r="R44" s="301"/>
      <c r="S44" s="166"/>
      <c r="T44" s="168"/>
      <c r="U44" s="318"/>
      <c r="V44" s="319"/>
      <c r="W44" s="320"/>
      <c r="X44" s="14"/>
      <c r="Y44" s="49"/>
    </row>
    <row r="45" ht="18.75" customHeight="1">
      <c r="A45" s="38"/>
      <c r="B45" s="105"/>
      <c r="C45" s="309"/>
      <c r="D45" s="310"/>
      <c r="E45" s="156"/>
      <c r="F45" s="125"/>
      <c r="G45" s="115"/>
      <c r="H45" s="311"/>
      <c r="I45" s="312"/>
      <c r="J45" s="313"/>
      <c r="K45" s="314"/>
      <c r="L45" s="125">
        <v>26.0</v>
      </c>
      <c r="M45" s="123" t="s">
        <v>397</v>
      </c>
      <c r="N45" s="160"/>
      <c r="O45" s="315"/>
      <c r="P45" s="316"/>
      <c r="Q45" s="317"/>
      <c r="R45" s="321"/>
      <c r="S45" s="322"/>
      <c r="T45" s="168"/>
      <c r="U45" s="318"/>
      <c r="V45" s="319"/>
      <c r="W45" s="320"/>
      <c r="X45" s="14"/>
      <c r="Y45" s="49"/>
    </row>
    <row r="46" ht="18.75" customHeight="1">
      <c r="A46" s="38"/>
      <c r="B46" s="105"/>
      <c r="C46" s="309"/>
      <c r="D46" s="310"/>
      <c r="E46" s="156"/>
      <c r="F46" s="125"/>
      <c r="G46" s="115"/>
      <c r="H46" s="311"/>
      <c r="I46" s="312"/>
      <c r="J46" s="313"/>
      <c r="K46" s="314"/>
      <c r="L46" s="125"/>
      <c r="M46" s="119"/>
      <c r="N46" s="160"/>
      <c r="O46" s="315"/>
      <c r="P46" s="316"/>
      <c r="Q46" s="317"/>
      <c r="R46" s="321"/>
      <c r="S46" s="322"/>
      <c r="T46" s="168"/>
      <c r="U46" s="318"/>
      <c r="V46" s="319"/>
      <c r="W46" s="320"/>
      <c r="X46" s="14"/>
      <c r="Y46" s="49"/>
    </row>
    <row r="47" ht="18.75" customHeight="1">
      <c r="A47" s="38"/>
      <c r="B47" s="177"/>
      <c r="C47" s="323"/>
      <c r="D47" s="324"/>
      <c r="E47" s="180"/>
      <c r="F47" s="192"/>
      <c r="G47" s="194"/>
      <c r="H47" s="325"/>
      <c r="I47" s="326"/>
      <c r="J47" s="327"/>
      <c r="K47" s="328"/>
      <c r="L47" s="192">
        <v>3328.0</v>
      </c>
      <c r="M47" s="329" t="s">
        <v>398</v>
      </c>
      <c r="N47" s="231"/>
      <c r="O47" s="330"/>
      <c r="P47" s="331"/>
      <c r="Q47" s="332"/>
      <c r="R47" s="333"/>
      <c r="S47" s="334"/>
      <c r="T47" s="197"/>
      <c r="U47" s="335"/>
      <c r="V47" s="336"/>
      <c r="W47" s="337"/>
      <c r="X47" s="14"/>
      <c r="Y47" s="49"/>
    </row>
    <row r="48" ht="15.75" customHeight="1">
      <c r="A48" s="38"/>
      <c r="B48" s="14"/>
      <c r="C48" s="15"/>
      <c r="D48" s="17"/>
      <c r="E48" s="19"/>
      <c r="F48" s="21"/>
      <c r="G48" s="338"/>
      <c r="H48" s="27"/>
      <c r="I48" s="28"/>
      <c r="J48" s="31"/>
      <c r="K48" s="28"/>
      <c r="L48" s="21"/>
      <c r="M48" s="339"/>
      <c r="N48" s="340" t="s">
        <v>399</v>
      </c>
      <c r="O48" s="27"/>
      <c r="P48" s="17"/>
      <c r="Q48" s="28"/>
      <c r="R48" s="28"/>
      <c r="S48" s="34"/>
      <c r="T48" s="35"/>
      <c r="U48" s="14"/>
      <c r="V48" s="14"/>
      <c r="W48" s="14"/>
      <c r="X48" s="14"/>
      <c r="Y48" s="49"/>
    </row>
    <row r="49" ht="15.75" customHeight="1">
      <c r="A49" s="38"/>
      <c r="B49" s="341" t="s">
        <v>400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7"/>
      <c r="U49" s="14"/>
      <c r="V49" s="14"/>
      <c r="W49" s="14"/>
      <c r="X49" s="14"/>
      <c r="Y49" s="49"/>
    </row>
    <row r="50" ht="18.75" customHeight="1">
      <c r="A50" s="38"/>
      <c r="B50" s="52"/>
      <c r="C50" s="54" t="s">
        <v>65</v>
      </c>
      <c r="D50" s="56" t="s">
        <v>66</v>
      </c>
      <c r="E50" s="57" t="s">
        <v>67</v>
      </c>
      <c r="F50" s="59" t="s">
        <v>65</v>
      </c>
      <c r="G50" s="59" t="s">
        <v>70</v>
      </c>
      <c r="H50" s="61" t="s">
        <v>67</v>
      </c>
      <c r="I50" s="59" t="s">
        <v>65</v>
      </c>
      <c r="J50" s="64" t="s">
        <v>74</v>
      </c>
      <c r="K50" s="61" t="s">
        <v>67</v>
      </c>
      <c r="L50" s="59"/>
      <c r="M50" s="342" t="s">
        <v>77</v>
      </c>
      <c r="N50" s="61" t="s">
        <v>67</v>
      </c>
      <c r="O50" s="61" t="s">
        <v>65</v>
      </c>
      <c r="P50" s="61" t="s">
        <v>78</v>
      </c>
      <c r="Q50" s="61" t="s">
        <v>67</v>
      </c>
      <c r="R50" s="59" t="s">
        <v>65</v>
      </c>
      <c r="S50" s="66" t="s">
        <v>79</v>
      </c>
      <c r="T50" s="61" t="s">
        <v>67</v>
      </c>
      <c r="U50" s="71" t="s">
        <v>65</v>
      </c>
      <c r="V50" s="71" t="s">
        <v>80</v>
      </c>
      <c r="W50" s="71" t="s">
        <v>67</v>
      </c>
      <c r="X50" s="14"/>
      <c r="Y50" s="49"/>
    </row>
    <row r="51" ht="32.25" customHeight="1">
      <c r="A51" s="74">
        <v>46152.0</v>
      </c>
      <c r="B51" s="76" t="s">
        <v>84</v>
      </c>
      <c r="C51" s="78">
        <v>3290.0</v>
      </c>
      <c r="D51" s="79" t="s">
        <v>401</v>
      </c>
      <c r="E51" s="343">
        <v>137.0</v>
      </c>
      <c r="F51" s="82">
        <v>2686.0</v>
      </c>
      <c r="G51" s="83" t="s">
        <v>402</v>
      </c>
      <c r="H51" s="84">
        <v>217.0</v>
      </c>
      <c r="I51" s="344">
        <v>793.0</v>
      </c>
      <c r="J51" s="234" t="s">
        <v>93</v>
      </c>
      <c r="K51" s="96">
        <v>209.0</v>
      </c>
      <c r="L51" s="345">
        <v>3737.0</v>
      </c>
      <c r="M51" s="346" t="s">
        <v>403</v>
      </c>
      <c r="N51" s="84" t="s">
        <v>297</v>
      </c>
      <c r="O51" s="204"/>
      <c r="P51" s="235"/>
      <c r="Q51" s="96">
        <v>206.0</v>
      </c>
      <c r="R51" s="82">
        <v>3.0</v>
      </c>
      <c r="S51" s="94" t="s">
        <v>404</v>
      </c>
      <c r="T51" s="91">
        <v>94.0</v>
      </c>
      <c r="U51" s="97"/>
      <c r="V51" s="99"/>
      <c r="W51" s="100">
        <v>91.0</v>
      </c>
      <c r="X51" s="101" t="s">
        <v>111</v>
      </c>
      <c r="Y51" s="103"/>
    </row>
    <row r="52" ht="30.75" customHeight="1">
      <c r="B52" s="105"/>
      <c r="C52" s="107">
        <v>3045.0</v>
      </c>
      <c r="D52" s="109" t="s">
        <v>308</v>
      </c>
      <c r="E52" s="111">
        <v>142.0</v>
      </c>
      <c r="F52" s="157">
        <v>3147.0</v>
      </c>
      <c r="G52" s="166" t="s">
        <v>405</v>
      </c>
      <c r="H52" s="116">
        <v>200.0</v>
      </c>
      <c r="I52" s="301">
        <v>822.0</v>
      </c>
      <c r="J52" s="238" t="s">
        <v>136</v>
      </c>
      <c r="K52" s="160"/>
      <c r="L52" s="113">
        <v>1009.0</v>
      </c>
      <c r="M52" s="138" t="s">
        <v>406</v>
      </c>
      <c r="N52" s="116">
        <v>106.0</v>
      </c>
      <c r="O52" s="125"/>
      <c r="P52" s="124"/>
      <c r="Q52" s="160">
        <v>25.0</v>
      </c>
      <c r="R52" s="113">
        <v>2364.0</v>
      </c>
      <c r="S52" s="115" t="s">
        <v>407</v>
      </c>
      <c r="T52" s="121">
        <v>99.0</v>
      </c>
      <c r="U52" s="131"/>
      <c r="V52" s="132"/>
      <c r="W52" s="134"/>
      <c r="X52" s="347" t="s">
        <v>155</v>
      </c>
      <c r="Y52" s="103"/>
    </row>
    <row r="53" ht="29.25" customHeight="1">
      <c r="B53" s="105"/>
      <c r="C53" s="107"/>
      <c r="D53" s="109"/>
      <c r="E53" s="111">
        <v>79.0</v>
      </c>
      <c r="F53" s="157"/>
      <c r="G53" s="166"/>
      <c r="H53" s="116">
        <v>132.0</v>
      </c>
      <c r="I53" s="301"/>
      <c r="J53" s="348"/>
      <c r="K53" s="160"/>
      <c r="L53" s="113">
        <v>546.0</v>
      </c>
      <c r="M53" s="123" t="s">
        <v>408</v>
      </c>
      <c r="N53" s="116" t="s">
        <v>297</v>
      </c>
      <c r="O53" s="125"/>
      <c r="P53" s="119"/>
      <c r="Q53" s="160"/>
      <c r="R53" s="113"/>
      <c r="S53" s="141"/>
      <c r="T53" s="216"/>
      <c r="U53" s="131">
        <v>3996.0</v>
      </c>
      <c r="V53" s="132" t="s">
        <v>382</v>
      </c>
      <c r="W53" s="134"/>
      <c r="X53" s="150" t="s">
        <v>170</v>
      </c>
      <c r="Y53" s="103"/>
    </row>
    <row r="54" ht="29.25" customHeight="1">
      <c r="B54" s="105"/>
      <c r="C54" s="349"/>
      <c r="D54" s="350"/>
      <c r="E54" s="217"/>
      <c r="F54" s="291"/>
      <c r="G54" s="351"/>
      <c r="H54" s="352">
        <v>57.0</v>
      </c>
      <c r="I54" s="301"/>
      <c r="J54" s="238"/>
      <c r="K54" s="245"/>
      <c r="L54" s="113"/>
      <c r="M54" s="109"/>
      <c r="N54" s="352">
        <v>108.0</v>
      </c>
      <c r="O54" s="125"/>
      <c r="P54" s="119"/>
      <c r="Q54" s="245"/>
      <c r="R54" s="113"/>
      <c r="S54" s="290"/>
      <c r="T54" s="289"/>
      <c r="U54" s="131"/>
      <c r="V54" s="246"/>
      <c r="W54" s="247"/>
      <c r="X54" s="163" t="s">
        <v>188</v>
      </c>
      <c r="Y54" s="49"/>
    </row>
    <row r="55" ht="18.0" customHeight="1">
      <c r="A55" s="38"/>
      <c r="B55" s="105"/>
      <c r="C55" s="349"/>
      <c r="D55" s="350"/>
      <c r="E55" s="217"/>
      <c r="F55" s="353"/>
      <c r="G55" s="354"/>
      <c r="H55" s="352"/>
      <c r="I55" s="301"/>
      <c r="J55" s="238"/>
      <c r="K55" s="160"/>
      <c r="L55" s="113"/>
      <c r="M55" s="119"/>
      <c r="N55" s="352" t="s">
        <v>297</v>
      </c>
      <c r="O55" s="125"/>
      <c r="P55" s="119"/>
      <c r="Q55" s="160"/>
      <c r="R55" s="113"/>
      <c r="S55" s="115"/>
      <c r="T55" s="216"/>
      <c r="U55" s="169"/>
      <c r="V55" s="141"/>
      <c r="W55" s="161"/>
      <c r="X55" s="170" t="s">
        <v>203</v>
      </c>
      <c r="Y55" s="49"/>
    </row>
    <row r="56" ht="18.0" customHeight="1">
      <c r="A56" s="38"/>
      <c r="B56" s="105"/>
      <c r="C56" s="349"/>
      <c r="D56" s="350"/>
      <c r="E56" s="217"/>
      <c r="F56" s="353"/>
      <c r="G56" s="354"/>
      <c r="H56" s="352"/>
      <c r="I56" s="301"/>
      <c r="J56" s="238"/>
      <c r="K56" s="160"/>
      <c r="L56" s="113"/>
      <c r="M56" s="355"/>
      <c r="N56" s="352"/>
      <c r="O56" s="125"/>
      <c r="P56" s="119"/>
      <c r="Q56" s="160"/>
      <c r="R56" s="113"/>
      <c r="S56" s="115"/>
      <c r="T56" s="216"/>
      <c r="U56" s="169"/>
      <c r="V56" s="141"/>
      <c r="W56" s="161"/>
      <c r="X56" s="356"/>
      <c r="Y56" s="49"/>
    </row>
    <row r="57" ht="18.0" customHeight="1">
      <c r="A57" s="38"/>
      <c r="B57" s="177"/>
      <c r="C57" s="357"/>
      <c r="D57" s="358"/>
      <c r="E57" s="228"/>
      <c r="F57" s="359"/>
      <c r="G57" s="360"/>
      <c r="H57" s="361"/>
      <c r="I57" s="362"/>
      <c r="J57" s="363"/>
      <c r="K57" s="231"/>
      <c r="L57" s="185"/>
      <c r="M57" s="364"/>
      <c r="N57" s="361">
        <v>75.0</v>
      </c>
      <c r="O57" s="192"/>
      <c r="P57" s="186"/>
      <c r="Q57" s="231"/>
      <c r="R57" s="185"/>
      <c r="S57" s="194"/>
      <c r="T57" s="232"/>
      <c r="U57" s="198"/>
      <c r="V57" s="199"/>
      <c r="W57" s="200"/>
      <c r="X57" s="356"/>
      <c r="Y57" s="49"/>
    </row>
    <row r="58" ht="18.0" customHeight="1">
      <c r="A58" s="38"/>
      <c r="B58" s="66"/>
      <c r="C58" s="365"/>
      <c r="D58" s="366"/>
      <c r="E58" s="367"/>
      <c r="F58" s="368"/>
      <c r="G58" s="369"/>
      <c r="H58" s="370"/>
      <c r="I58" s="371"/>
      <c r="J58" s="372"/>
      <c r="K58" s="21"/>
      <c r="L58" s="21"/>
      <c r="M58" s="17"/>
      <c r="N58" s="370"/>
      <c r="O58" s="21"/>
      <c r="P58" s="339"/>
      <c r="Q58" s="21"/>
      <c r="R58" s="21"/>
      <c r="S58" s="338"/>
      <c r="T58" s="35"/>
      <c r="U58" s="49"/>
      <c r="V58" s="49"/>
      <c r="W58" s="373"/>
      <c r="X58" s="356"/>
      <c r="Y58" s="49"/>
    </row>
    <row r="59" ht="18.75" customHeight="1">
      <c r="A59" s="38"/>
      <c r="B59" s="52"/>
      <c r="C59" s="54" t="s">
        <v>65</v>
      </c>
      <c r="D59" s="56" t="s">
        <v>66</v>
      </c>
      <c r="E59" s="57" t="s">
        <v>67</v>
      </c>
      <c r="F59" s="59" t="s">
        <v>65</v>
      </c>
      <c r="G59" s="59" t="s">
        <v>70</v>
      </c>
      <c r="H59" s="61" t="s">
        <v>67</v>
      </c>
      <c r="I59" s="59" t="s">
        <v>65</v>
      </c>
      <c r="J59" s="64" t="s">
        <v>74</v>
      </c>
      <c r="K59" s="61" t="s">
        <v>67</v>
      </c>
      <c r="L59" s="59" t="s">
        <v>65</v>
      </c>
      <c r="M59" s="66" t="s">
        <v>77</v>
      </c>
      <c r="N59" s="61" t="s">
        <v>67</v>
      </c>
      <c r="O59" s="61" t="s">
        <v>65</v>
      </c>
      <c r="P59" s="61" t="s">
        <v>78</v>
      </c>
      <c r="Q59" s="61" t="s">
        <v>67</v>
      </c>
      <c r="R59" s="59" t="s">
        <v>65</v>
      </c>
      <c r="S59" s="66" t="s">
        <v>79</v>
      </c>
      <c r="T59" s="61" t="s">
        <v>67</v>
      </c>
      <c r="U59" s="71" t="s">
        <v>65</v>
      </c>
      <c r="V59" s="71" t="s">
        <v>80</v>
      </c>
      <c r="W59" s="71" t="s">
        <v>67</v>
      </c>
      <c r="X59" s="14"/>
      <c r="Y59" s="49"/>
    </row>
    <row r="60" ht="33.75" customHeight="1">
      <c r="A60" s="374">
        <v>46153.0</v>
      </c>
      <c r="B60" s="254" t="s">
        <v>409</v>
      </c>
      <c r="C60" s="78">
        <v>1287.0</v>
      </c>
      <c r="D60" s="79" t="s">
        <v>410</v>
      </c>
      <c r="E60" s="81">
        <v>110.0</v>
      </c>
      <c r="F60" s="82">
        <v>3080.0</v>
      </c>
      <c r="G60" s="83" t="s">
        <v>411</v>
      </c>
      <c r="H60" s="84">
        <v>159.0</v>
      </c>
      <c r="I60" s="344">
        <v>1394.0</v>
      </c>
      <c r="J60" s="234" t="s">
        <v>412</v>
      </c>
      <c r="K60" s="96">
        <v>181.0</v>
      </c>
      <c r="L60" s="82">
        <v>4080.0</v>
      </c>
      <c r="M60" s="375" t="s">
        <v>413</v>
      </c>
      <c r="N60" s="84" t="s">
        <v>297</v>
      </c>
      <c r="O60" s="82">
        <v>3455.0</v>
      </c>
      <c r="P60" s="235" t="s">
        <v>283</v>
      </c>
      <c r="Q60" s="86">
        <v>20.0</v>
      </c>
      <c r="R60" s="204">
        <v>4050.0</v>
      </c>
      <c r="S60" s="376" t="s">
        <v>414</v>
      </c>
      <c r="T60" s="377">
        <v>84.0</v>
      </c>
      <c r="U60" s="97">
        <v>2929.0</v>
      </c>
      <c r="V60" s="378" t="s">
        <v>415</v>
      </c>
      <c r="W60" s="379">
        <v>76.0</v>
      </c>
      <c r="X60" s="49"/>
      <c r="Y60" s="49"/>
    </row>
    <row r="61" ht="34.5" customHeight="1">
      <c r="B61" s="105"/>
      <c r="C61" s="107">
        <v>3426.0</v>
      </c>
      <c r="D61" s="109" t="s">
        <v>416</v>
      </c>
      <c r="E61" s="111">
        <v>94.0</v>
      </c>
      <c r="F61" s="157">
        <v>2175.0</v>
      </c>
      <c r="G61" s="166" t="s">
        <v>417</v>
      </c>
      <c r="H61" s="116">
        <v>159.0</v>
      </c>
      <c r="I61" s="301">
        <v>3782.0</v>
      </c>
      <c r="J61" s="238" t="s">
        <v>418</v>
      </c>
      <c r="K61" s="160">
        <v>25.0</v>
      </c>
      <c r="L61" s="113">
        <v>1939.0</v>
      </c>
      <c r="M61" s="380" t="s">
        <v>419</v>
      </c>
      <c r="N61" s="159">
        <v>194.0</v>
      </c>
      <c r="O61" s="113">
        <v>3435.0</v>
      </c>
      <c r="P61" s="124" t="s">
        <v>276</v>
      </c>
      <c r="Q61" s="121">
        <v>25.0</v>
      </c>
      <c r="R61" s="125">
        <v>2904.0</v>
      </c>
      <c r="S61" s="115" t="s">
        <v>420</v>
      </c>
      <c r="T61" s="160">
        <v>114.0</v>
      </c>
      <c r="U61" s="131">
        <v>3996.0</v>
      </c>
      <c r="V61" s="132" t="s">
        <v>382</v>
      </c>
      <c r="W61" s="134">
        <v>61.0</v>
      </c>
      <c r="X61" s="14"/>
      <c r="Y61" s="49"/>
    </row>
    <row r="62" ht="30.0" customHeight="1">
      <c r="B62" s="105"/>
      <c r="C62" s="107">
        <v>4098.0</v>
      </c>
      <c r="D62" s="109" t="s">
        <v>421</v>
      </c>
      <c r="E62" s="111">
        <v>69.0</v>
      </c>
      <c r="F62" s="113">
        <v>3814.0</v>
      </c>
      <c r="G62" s="115" t="s">
        <v>422</v>
      </c>
      <c r="H62" s="116">
        <v>158.0</v>
      </c>
      <c r="I62" s="301"/>
      <c r="J62" s="238"/>
      <c r="K62" s="160"/>
      <c r="L62" s="113">
        <v>1982.0</v>
      </c>
      <c r="M62" s="123" t="s">
        <v>423</v>
      </c>
      <c r="N62" s="121" t="s">
        <v>297</v>
      </c>
      <c r="O62" s="113">
        <v>2079.0</v>
      </c>
      <c r="P62" s="119" t="s">
        <v>361</v>
      </c>
      <c r="Q62" s="121"/>
      <c r="R62" s="125"/>
      <c r="S62" s="115"/>
      <c r="T62" s="160"/>
      <c r="U62" s="131">
        <v>3998.0</v>
      </c>
      <c r="V62" s="132" t="s">
        <v>388</v>
      </c>
      <c r="W62" s="161"/>
      <c r="X62" s="14"/>
      <c r="Y62" s="49"/>
    </row>
    <row r="63" ht="30.75" customHeight="1">
      <c r="B63" s="105"/>
      <c r="C63" s="107"/>
      <c r="D63" s="109"/>
      <c r="E63" s="217"/>
      <c r="F63" s="113">
        <v>3327.0</v>
      </c>
      <c r="G63" s="218" t="s">
        <v>424</v>
      </c>
      <c r="H63" s="352">
        <v>82.0</v>
      </c>
      <c r="I63" s="301"/>
      <c r="J63" s="381"/>
      <c r="K63" s="245"/>
      <c r="L63" s="113">
        <v>1267.0</v>
      </c>
      <c r="M63" s="123" t="s">
        <v>425</v>
      </c>
      <c r="N63" s="352" t="s">
        <v>297</v>
      </c>
      <c r="O63" s="113"/>
      <c r="P63" s="119"/>
      <c r="Q63" s="382"/>
      <c r="R63" s="125"/>
      <c r="S63" s="115"/>
      <c r="T63" s="160"/>
      <c r="U63" s="131"/>
      <c r="V63" s="141"/>
      <c r="W63" s="161"/>
      <c r="X63" s="14"/>
      <c r="Y63" s="49"/>
    </row>
    <row r="64" ht="18.0" customHeight="1">
      <c r="A64" s="383"/>
      <c r="B64" s="105"/>
      <c r="C64" s="107"/>
      <c r="D64" s="109"/>
      <c r="E64" s="217"/>
      <c r="F64" s="113"/>
      <c r="G64" s="115"/>
      <c r="H64" s="352"/>
      <c r="I64" s="301"/>
      <c r="J64" s="238"/>
      <c r="K64" s="160"/>
      <c r="L64" s="113">
        <v>2976.0</v>
      </c>
      <c r="M64" s="123" t="s">
        <v>426</v>
      </c>
      <c r="N64" s="352">
        <v>41.0</v>
      </c>
      <c r="O64" s="113"/>
      <c r="P64" s="119"/>
      <c r="Q64" s="382"/>
      <c r="R64" s="125"/>
      <c r="S64" s="115"/>
      <c r="T64" s="160"/>
      <c r="U64" s="169"/>
      <c r="V64" s="141"/>
      <c r="W64" s="161"/>
      <c r="X64" s="14"/>
      <c r="Y64" s="49"/>
    </row>
    <row r="65" ht="18.0" customHeight="1">
      <c r="A65" s="383"/>
      <c r="B65" s="105"/>
      <c r="C65" s="107"/>
      <c r="D65" s="109"/>
      <c r="E65" s="217"/>
      <c r="F65" s="113"/>
      <c r="G65" s="115"/>
      <c r="H65" s="352"/>
      <c r="I65" s="301"/>
      <c r="J65" s="238"/>
      <c r="K65" s="160"/>
      <c r="L65" s="113"/>
      <c r="M65" s="384"/>
      <c r="N65" s="352"/>
      <c r="O65" s="113"/>
      <c r="P65" s="119"/>
      <c r="Q65" s="382"/>
      <c r="R65" s="125"/>
      <c r="S65" s="115"/>
      <c r="T65" s="160"/>
      <c r="U65" s="169"/>
      <c r="V65" s="141"/>
      <c r="W65" s="161"/>
      <c r="X65" s="14"/>
      <c r="Y65" s="49"/>
    </row>
    <row r="66" ht="18.0" customHeight="1">
      <c r="A66" s="383"/>
      <c r="B66" s="177"/>
      <c r="C66" s="227"/>
      <c r="D66" s="385"/>
      <c r="E66" s="228"/>
      <c r="F66" s="185"/>
      <c r="G66" s="194"/>
      <c r="H66" s="361"/>
      <c r="I66" s="362"/>
      <c r="J66" s="363"/>
      <c r="K66" s="231"/>
      <c r="L66" s="185">
        <v>3266.0</v>
      </c>
      <c r="M66" s="364" t="s">
        <v>427</v>
      </c>
      <c r="N66" s="361">
        <v>55.0</v>
      </c>
      <c r="O66" s="185"/>
      <c r="P66" s="186"/>
      <c r="Q66" s="386"/>
      <c r="R66" s="192"/>
      <c r="S66" s="194"/>
      <c r="T66" s="231"/>
      <c r="U66" s="198"/>
      <c r="V66" s="199"/>
      <c r="W66" s="200"/>
      <c r="X66" s="14"/>
      <c r="Y66" s="49"/>
    </row>
    <row r="67" ht="18.0" customHeight="1">
      <c r="A67" s="383"/>
      <c r="B67" s="387"/>
      <c r="C67" s="388"/>
      <c r="D67" s="389"/>
      <c r="E67" s="367"/>
      <c r="F67" s="21"/>
      <c r="G67" s="390"/>
      <c r="H67" s="370"/>
      <c r="I67" s="371"/>
      <c r="J67" s="372"/>
      <c r="K67" s="21"/>
      <c r="L67" s="21"/>
      <c r="M67" s="391"/>
      <c r="N67" s="370"/>
      <c r="O67" s="21"/>
      <c r="P67" s="339"/>
      <c r="Q67" s="66"/>
      <c r="R67" s="21"/>
      <c r="S67" s="338"/>
      <c r="T67" s="21"/>
      <c r="U67" s="49"/>
      <c r="V67" s="49"/>
      <c r="W67" s="373"/>
      <c r="X67" s="14"/>
      <c r="Y67" s="49"/>
    </row>
    <row r="68" ht="18.75" customHeight="1">
      <c r="A68" s="38"/>
      <c r="B68" s="52"/>
      <c r="C68" s="54" t="s">
        <v>65</v>
      </c>
      <c r="D68" s="56" t="s">
        <v>66</v>
      </c>
      <c r="E68" s="57" t="s">
        <v>67</v>
      </c>
      <c r="F68" s="59" t="s">
        <v>65</v>
      </c>
      <c r="G68" s="59" t="s">
        <v>70</v>
      </c>
      <c r="H68" s="61" t="s">
        <v>67</v>
      </c>
      <c r="I68" s="59" t="s">
        <v>65</v>
      </c>
      <c r="J68" s="64" t="s">
        <v>74</v>
      </c>
      <c r="K68" s="61" t="s">
        <v>67</v>
      </c>
      <c r="L68" s="59" t="s">
        <v>65</v>
      </c>
      <c r="M68" s="66" t="s">
        <v>77</v>
      </c>
      <c r="N68" s="61" t="s">
        <v>67</v>
      </c>
      <c r="O68" s="61" t="s">
        <v>65</v>
      </c>
      <c r="P68" s="61" t="s">
        <v>78</v>
      </c>
      <c r="Q68" s="61" t="s">
        <v>67</v>
      </c>
      <c r="R68" s="59" t="s">
        <v>65</v>
      </c>
      <c r="S68" s="66" t="s">
        <v>79</v>
      </c>
      <c r="T68" s="61" t="s">
        <v>67</v>
      </c>
      <c r="U68" s="71" t="s">
        <v>65</v>
      </c>
      <c r="V68" s="71" t="s">
        <v>80</v>
      </c>
      <c r="W68" s="71" t="s">
        <v>67</v>
      </c>
      <c r="X68" s="14"/>
      <c r="Y68" s="49"/>
    </row>
    <row r="69" ht="45.75" customHeight="1">
      <c r="A69" s="374">
        <v>46154.0</v>
      </c>
      <c r="B69" s="76" t="s">
        <v>298</v>
      </c>
      <c r="C69" s="78"/>
      <c r="D69" s="79" t="s">
        <v>428</v>
      </c>
      <c r="E69" s="392"/>
      <c r="F69" s="204">
        <v>3189.0</v>
      </c>
      <c r="G69" s="83" t="s">
        <v>429</v>
      </c>
      <c r="H69" s="205"/>
      <c r="I69" s="233">
        <v>2288.0</v>
      </c>
      <c r="J69" s="393" t="s">
        <v>379</v>
      </c>
      <c r="K69" s="86"/>
      <c r="L69" s="82">
        <v>813.0</v>
      </c>
      <c r="M69" s="87" t="s">
        <v>430</v>
      </c>
      <c r="N69" s="86"/>
      <c r="O69" s="204">
        <v>3375.0</v>
      </c>
      <c r="P69" s="235" t="s">
        <v>302</v>
      </c>
      <c r="Q69" s="377">
        <v>20.0</v>
      </c>
      <c r="R69" s="82">
        <v>4051.0</v>
      </c>
      <c r="S69" s="83" t="s">
        <v>350</v>
      </c>
      <c r="T69" s="86"/>
      <c r="U69" s="394">
        <v>4086.0</v>
      </c>
      <c r="V69" s="395" t="s">
        <v>431</v>
      </c>
      <c r="W69" s="379" t="s">
        <v>432</v>
      </c>
      <c r="X69" s="14"/>
      <c r="Y69" s="49"/>
    </row>
    <row r="70">
      <c r="B70" s="105"/>
      <c r="C70" s="107">
        <v>3253.0</v>
      </c>
      <c r="D70" s="109" t="s">
        <v>433</v>
      </c>
      <c r="E70" s="111"/>
      <c r="F70" s="125">
        <v>3216.0</v>
      </c>
      <c r="G70" s="115" t="s">
        <v>434</v>
      </c>
      <c r="H70" s="209"/>
      <c r="I70" s="157"/>
      <c r="J70" s="238"/>
      <c r="K70" s="121"/>
      <c r="L70" s="113">
        <v>4105.0</v>
      </c>
      <c r="M70" s="396" t="s">
        <v>435</v>
      </c>
      <c r="N70" s="116"/>
      <c r="O70" s="125"/>
      <c r="P70" s="119"/>
      <c r="Q70" s="168"/>
      <c r="R70" s="113">
        <v>3140.0</v>
      </c>
      <c r="S70" s="115" t="s">
        <v>436</v>
      </c>
      <c r="T70" s="121"/>
      <c r="U70" s="286"/>
      <c r="V70" s="132"/>
      <c r="W70" s="134">
        <v>78.0</v>
      </c>
      <c r="X70" s="14"/>
      <c r="Y70" s="49"/>
    </row>
    <row r="71" ht="31.5" customHeight="1">
      <c r="B71" s="105"/>
      <c r="C71" s="107"/>
      <c r="D71" s="109"/>
      <c r="E71" s="217"/>
      <c r="F71" s="301">
        <v>2303.0</v>
      </c>
      <c r="G71" s="166" t="s">
        <v>437</v>
      </c>
      <c r="H71" s="209"/>
      <c r="I71" s="157"/>
      <c r="J71" s="238"/>
      <c r="K71" s="121"/>
      <c r="L71" s="291">
        <v>26.0</v>
      </c>
      <c r="M71" s="397" t="s">
        <v>397</v>
      </c>
      <c r="N71" s="116" t="s">
        <v>297</v>
      </c>
      <c r="O71" s="125"/>
      <c r="P71" s="119"/>
      <c r="Q71" s="168"/>
      <c r="R71" s="113">
        <v>4000.0</v>
      </c>
      <c r="S71" s="115" t="s">
        <v>289</v>
      </c>
      <c r="T71" s="121"/>
      <c r="U71" s="132"/>
      <c r="W71" s="161"/>
      <c r="X71" s="14"/>
      <c r="Y71" s="49"/>
    </row>
    <row r="72" ht="33.0" customHeight="1">
      <c r="B72" s="105"/>
      <c r="C72" s="107"/>
      <c r="D72" s="109"/>
      <c r="E72" s="217"/>
      <c r="F72" s="398">
        <v>4089.0</v>
      </c>
      <c r="G72" s="399" t="s">
        <v>438</v>
      </c>
      <c r="H72" s="400"/>
      <c r="I72" s="157"/>
      <c r="J72" s="238"/>
      <c r="K72" s="121"/>
      <c r="L72" s="401">
        <v>4100.0</v>
      </c>
      <c r="M72" s="402" t="s">
        <v>439</v>
      </c>
      <c r="N72" s="352" t="s">
        <v>440</v>
      </c>
      <c r="O72" s="125"/>
      <c r="P72" s="119"/>
      <c r="Q72" s="168"/>
      <c r="R72" s="113"/>
      <c r="S72" s="115"/>
      <c r="T72" s="121"/>
      <c r="U72" s="286"/>
      <c r="V72" s="132"/>
      <c r="W72" s="161"/>
      <c r="X72" s="14"/>
      <c r="Y72" s="49"/>
    </row>
    <row r="73" ht="18.0" customHeight="1">
      <c r="A73" s="383"/>
      <c r="B73" s="105"/>
      <c r="C73" s="107"/>
      <c r="D73" s="119"/>
      <c r="E73" s="217"/>
      <c r="F73" s="398"/>
      <c r="G73" s="350"/>
      <c r="H73" s="400"/>
      <c r="I73" s="157"/>
      <c r="J73" s="238"/>
      <c r="K73" s="121"/>
      <c r="L73" s="401">
        <v>3474.0</v>
      </c>
      <c r="M73" s="396" t="s">
        <v>441</v>
      </c>
      <c r="N73" s="352" t="s">
        <v>311</v>
      </c>
      <c r="O73" s="125"/>
      <c r="P73" s="119"/>
      <c r="Q73" s="168"/>
      <c r="R73" s="113"/>
      <c r="S73" s="115"/>
      <c r="T73" s="121"/>
      <c r="U73" s="403"/>
      <c r="V73" s="141"/>
      <c r="W73" s="161"/>
      <c r="X73" s="14"/>
      <c r="Y73" s="49"/>
    </row>
    <row r="74" ht="18.0" customHeight="1">
      <c r="A74" s="383"/>
      <c r="B74" s="105"/>
      <c r="C74" s="107"/>
      <c r="D74" s="119"/>
      <c r="E74" s="217"/>
      <c r="F74" s="398"/>
      <c r="G74" s="350"/>
      <c r="H74" s="400"/>
      <c r="I74" s="157"/>
      <c r="J74" s="238"/>
      <c r="K74" s="121"/>
      <c r="L74" s="401">
        <v>3872.0</v>
      </c>
      <c r="M74" s="404" t="s">
        <v>442</v>
      </c>
      <c r="N74" s="352"/>
      <c r="O74" s="125"/>
      <c r="P74" s="119"/>
      <c r="Q74" s="168"/>
      <c r="R74" s="113"/>
      <c r="S74" s="115"/>
      <c r="T74" s="121"/>
      <c r="U74" s="403"/>
      <c r="V74" s="141"/>
      <c r="W74" s="161"/>
      <c r="X74" s="14"/>
      <c r="Y74" s="49"/>
    </row>
    <row r="75" ht="18.0" customHeight="1">
      <c r="A75" s="383"/>
      <c r="B75" s="177"/>
      <c r="C75" s="227"/>
      <c r="D75" s="186"/>
      <c r="E75" s="228"/>
      <c r="F75" s="405"/>
      <c r="G75" s="358"/>
      <c r="H75" s="406"/>
      <c r="I75" s="181"/>
      <c r="J75" s="363"/>
      <c r="K75" s="188"/>
      <c r="L75" s="407">
        <v>4102.0</v>
      </c>
      <c r="M75" s="408" t="s">
        <v>443</v>
      </c>
      <c r="N75" s="361"/>
      <c r="O75" s="192"/>
      <c r="P75" s="186"/>
      <c r="Q75" s="197"/>
      <c r="R75" s="185"/>
      <c r="S75" s="194"/>
      <c r="T75" s="188"/>
      <c r="U75" s="409"/>
      <c r="V75" s="199"/>
      <c r="W75" s="200"/>
      <c r="X75" s="14"/>
      <c r="Y75" s="49"/>
    </row>
    <row r="76" ht="18.0" customHeight="1">
      <c r="A76" s="383"/>
      <c r="B76" s="66"/>
      <c r="C76" s="388"/>
      <c r="D76" s="339"/>
      <c r="E76" s="367"/>
      <c r="F76" s="410"/>
      <c r="G76" s="366"/>
      <c r="H76" s="370"/>
      <c r="I76" s="371"/>
      <c r="J76" s="372"/>
      <c r="K76" s="21"/>
      <c r="L76" s="370"/>
      <c r="M76" s="339"/>
      <c r="N76" s="370"/>
      <c r="O76" s="21"/>
      <c r="P76" s="339"/>
      <c r="Q76" s="35"/>
      <c r="R76" s="21"/>
      <c r="S76" s="338"/>
      <c r="T76" s="21"/>
      <c r="U76" s="49"/>
      <c r="V76" s="49"/>
      <c r="W76" s="373"/>
      <c r="X76" s="14"/>
      <c r="Y76" s="49"/>
    </row>
    <row r="77" ht="18.75" customHeight="1">
      <c r="A77" s="38"/>
      <c r="B77" s="52"/>
      <c r="C77" s="54" t="s">
        <v>65</v>
      </c>
      <c r="D77" s="56" t="s">
        <v>66</v>
      </c>
      <c r="E77" s="57" t="s">
        <v>67</v>
      </c>
      <c r="F77" s="59" t="s">
        <v>65</v>
      </c>
      <c r="G77" s="59" t="s">
        <v>70</v>
      </c>
      <c r="H77" s="61" t="s">
        <v>67</v>
      </c>
      <c r="I77" s="59" t="s">
        <v>65</v>
      </c>
      <c r="J77" s="64" t="s">
        <v>74</v>
      </c>
      <c r="K77" s="61" t="s">
        <v>67</v>
      </c>
      <c r="L77" s="59" t="s">
        <v>65</v>
      </c>
      <c r="M77" s="66" t="s">
        <v>77</v>
      </c>
      <c r="N77" s="61" t="s">
        <v>67</v>
      </c>
      <c r="O77" s="61" t="s">
        <v>65</v>
      </c>
      <c r="P77" s="61" t="s">
        <v>78</v>
      </c>
      <c r="Q77" s="61" t="s">
        <v>67</v>
      </c>
      <c r="R77" s="59" t="s">
        <v>65</v>
      </c>
      <c r="S77" s="66" t="s">
        <v>79</v>
      </c>
      <c r="T77" s="61" t="s">
        <v>67</v>
      </c>
      <c r="U77" s="71" t="s">
        <v>65</v>
      </c>
      <c r="V77" s="71" t="s">
        <v>80</v>
      </c>
      <c r="W77" s="71" t="s">
        <v>67</v>
      </c>
      <c r="X77" s="14"/>
      <c r="Y77" s="49"/>
    </row>
    <row r="78" ht="33.0" customHeight="1">
      <c r="A78" s="74">
        <v>46043.0</v>
      </c>
      <c r="B78" s="411" t="s">
        <v>319</v>
      </c>
      <c r="C78" s="78">
        <v>3014.0</v>
      </c>
      <c r="D78" s="79" t="s">
        <v>444</v>
      </c>
      <c r="E78" s="81">
        <v>94.0</v>
      </c>
      <c r="F78" s="82">
        <v>4088.0</v>
      </c>
      <c r="G78" s="83" t="s">
        <v>445</v>
      </c>
      <c r="H78" s="84"/>
      <c r="I78" s="260">
        <v>380.0</v>
      </c>
      <c r="J78" s="261" t="s">
        <v>323</v>
      </c>
      <c r="K78" s="91"/>
      <c r="L78" s="82">
        <v>3889.0</v>
      </c>
      <c r="M78" s="87" t="s">
        <v>446</v>
      </c>
      <c r="N78" s="84"/>
      <c r="O78" s="263">
        <v>3454.0</v>
      </c>
      <c r="P78" s="412" t="s">
        <v>346</v>
      </c>
      <c r="Q78" s="413"/>
      <c r="R78" s="82">
        <v>2083.0</v>
      </c>
      <c r="S78" s="94" t="s">
        <v>284</v>
      </c>
      <c r="T78" s="86"/>
      <c r="U78" s="97">
        <v>3738.0</v>
      </c>
      <c r="V78" s="99" t="s">
        <v>447</v>
      </c>
      <c r="W78" s="379">
        <v>70.0</v>
      </c>
      <c r="X78" s="14"/>
      <c r="Y78" s="49"/>
    </row>
    <row r="79" ht="30.75" customHeight="1">
      <c r="B79" s="414"/>
      <c r="C79" s="107">
        <v>2980.0</v>
      </c>
      <c r="D79" s="109" t="s">
        <v>448</v>
      </c>
      <c r="E79" s="111">
        <v>124.0</v>
      </c>
      <c r="F79" s="113">
        <v>1160.0</v>
      </c>
      <c r="G79" s="115" t="s">
        <v>449</v>
      </c>
      <c r="H79" s="116"/>
      <c r="I79" s="415">
        <v>3799.0</v>
      </c>
      <c r="J79" s="416" t="s">
        <v>450</v>
      </c>
      <c r="K79" s="121"/>
      <c r="L79" s="113">
        <v>1899.0</v>
      </c>
      <c r="M79" s="417" t="s">
        <v>451</v>
      </c>
      <c r="N79" s="116"/>
      <c r="O79" s="276">
        <v>3527.0</v>
      </c>
      <c r="P79" s="418" t="s">
        <v>329</v>
      </c>
      <c r="Q79" s="289"/>
      <c r="R79" s="113">
        <v>2782.0</v>
      </c>
      <c r="S79" s="115" t="s">
        <v>307</v>
      </c>
      <c r="T79" s="222"/>
      <c r="U79" s="131">
        <v>2079.0</v>
      </c>
      <c r="V79" s="132" t="s">
        <v>361</v>
      </c>
      <c r="W79" s="419"/>
      <c r="X79" s="14"/>
      <c r="Y79" s="49"/>
    </row>
    <row r="80" ht="29.25" customHeight="1">
      <c r="B80" s="414"/>
      <c r="C80" s="107">
        <v>2423.0</v>
      </c>
      <c r="D80" s="109" t="s">
        <v>452</v>
      </c>
      <c r="E80" s="111">
        <v>84.0</v>
      </c>
      <c r="F80" s="157">
        <v>31.0</v>
      </c>
      <c r="G80" s="166" t="s">
        <v>453</v>
      </c>
      <c r="H80" s="116"/>
      <c r="I80" s="113"/>
      <c r="J80" s="119"/>
      <c r="K80" s="121"/>
      <c r="L80" s="113">
        <v>965.0</v>
      </c>
      <c r="M80" s="420" t="s">
        <v>454</v>
      </c>
      <c r="N80" s="116" t="s">
        <v>297</v>
      </c>
      <c r="O80" s="276">
        <v>2079.0</v>
      </c>
      <c r="P80" s="418" t="s">
        <v>361</v>
      </c>
      <c r="Q80" s="421"/>
      <c r="R80" s="113"/>
      <c r="S80" s="115"/>
      <c r="T80" s="422"/>
      <c r="U80" s="131">
        <v>3999.0</v>
      </c>
      <c r="V80" s="132" t="s">
        <v>364</v>
      </c>
      <c r="W80" s="148"/>
      <c r="X80" s="14"/>
      <c r="Y80" s="49"/>
    </row>
    <row r="81" ht="18.0" customHeight="1">
      <c r="B81" s="414"/>
      <c r="C81" s="423"/>
      <c r="D81" s="424"/>
      <c r="E81" s="217"/>
      <c r="F81" s="157">
        <v>3306.0</v>
      </c>
      <c r="G81" s="399" t="s">
        <v>455</v>
      </c>
      <c r="H81" s="352"/>
      <c r="I81" s="113"/>
      <c r="J81" s="220"/>
      <c r="K81" s="222"/>
      <c r="L81" s="113">
        <v>1168.0</v>
      </c>
      <c r="M81" s="123" t="s">
        <v>456</v>
      </c>
      <c r="N81" s="425"/>
      <c r="O81" s="276"/>
      <c r="P81" s="426"/>
      <c r="Q81" s="427"/>
      <c r="R81" s="113"/>
      <c r="S81" s="115"/>
      <c r="T81" s="427"/>
      <c r="U81" s="169"/>
      <c r="V81" s="141"/>
      <c r="W81" s="427"/>
      <c r="X81" s="14"/>
      <c r="Y81" s="49"/>
    </row>
    <row r="82" ht="18.0" customHeight="1">
      <c r="A82" s="383"/>
      <c r="B82" s="414"/>
      <c r="C82" s="423"/>
      <c r="D82" s="428"/>
      <c r="E82" s="217"/>
      <c r="F82" s="157"/>
      <c r="G82" s="238"/>
      <c r="H82" s="352"/>
      <c r="I82" s="113"/>
      <c r="J82" s="119"/>
      <c r="K82" s="121"/>
      <c r="L82" s="113">
        <v>4099.0</v>
      </c>
      <c r="M82" s="402" t="s">
        <v>457</v>
      </c>
      <c r="N82" s="116" t="s">
        <v>440</v>
      </c>
      <c r="O82" s="276"/>
      <c r="P82" s="426"/>
      <c r="Q82" s="216"/>
      <c r="R82" s="113"/>
      <c r="S82" s="115"/>
      <c r="T82" s="121"/>
      <c r="U82" s="169"/>
      <c r="V82" s="141"/>
      <c r="W82" s="161"/>
      <c r="X82" s="14"/>
      <c r="Y82" s="49"/>
    </row>
    <row r="83" ht="18.0" customHeight="1">
      <c r="A83" s="383"/>
      <c r="B83" s="414"/>
      <c r="C83" s="423"/>
      <c r="D83" s="428"/>
      <c r="E83" s="217"/>
      <c r="F83" s="157"/>
      <c r="G83" s="238"/>
      <c r="H83" s="352"/>
      <c r="I83" s="113"/>
      <c r="J83" s="119"/>
      <c r="K83" s="121"/>
      <c r="L83" s="113">
        <v>2631.0</v>
      </c>
      <c r="M83" s="429" t="s">
        <v>458</v>
      </c>
      <c r="N83" s="116" t="s">
        <v>297</v>
      </c>
      <c r="O83" s="276"/>
      <c r="P83" s="426"/>
      <c r="Q83" s="216"/>
      <c r="R83" s="113"/>
      <c r="S83" s="115"/>
      <c r="T83" s="121"/>
      <c r="U83" s="169"/>
      <c r="V83" s="141"/>
      <c r="W83" s="161"/>
      <c r="X83" s="14"/>
      <c r="Y83" s="49"/>
    </row>
    <row r="84" ht="18.0" customHeight="1">
      <c r="A84" s="383"/>
      <c r="B84" s="414"/>
      <c r="C84" s="423"/>
      <c r="D84" s="428"/>
      <c r="E84" s="217"/>
      <c r="F84" s="157"/>
      <c r="G84" s="238"/>
      <c r="H84" s="352"/>
      <c r="I84" s="113"/>
      <c r="J84" s="119"/>
      <c r="K84" s="121"/>
      <c r="L84" s="113">
        <v>4104.0</v>
      </c>
      <c r="M84" s="351" t="s">
        <v>459</v>
      </c>
      <c r="N84" s="116"/>
      <c r="O84" s="276"/>
      <c r="P84" s="426"/>
      <c r="Q84" s="216"/>
      <c r="R84" s="113"/>
      <c r="S84" s="115"/>
      <c r="T84" s="121"/>
      <c r="U84" s="169"/>
      <c r="V84" s="141"/>
      <c r="W84" s="161"/>
      <c r="X84" s="14"/>
      <c r="Y84" s="49"/>
    </row>
    <row r="85" ht="18.0" customHeight="1">
      <c r="A85" s="383"/>
      <c r="B85" s="430"/>
      <c r="C85" s="431"/>
      <c r="D85" s="432"/>
      <c r="E85" s="228"/>
      <c r="F85" s="181"/>
      <c r="G85" s="363"/>
      <c r="H85" s="361"/>
      <c r="I85" s="185"/>
      <c r="J85" s="186"/>
      <c r="K85" s="188"/>
      <c r="L85" s="185"/>
      <c r="M85" s="433"/>
      <c r="N85" s="189"/>
      <c r="O85" s="434"/>
      <c r="P85" s="435"/>
      <c r="Q85" s="232"/>
      <c r="R85" s="185"/>
      <c r="S85" s="194"/>
      <c r="T85" s="188"/>
      <c r="U85" s="198"/>
      <c r="V85" s="199"/>
      <c r="W85" s="200"/>
      <c r="X85" s="14"/>
      <c r="Y85" s="49"/>
    </row>
    <row r="86" ht="18.75" customHeight="1">
      <c r="A86" s="38"/>
      <c r="B86" s="52"/>
      <c r="C86" s="54" t="s">
        <v>65</v>
      </c>
      <c r="D86" s="56" t="s">
        <v>66</v>
      </c>
      <c r="E86" s="57" t="s">
        <v>67</v>
      </c>
      <c r="F86" s="59" t="s">
        <v>65</v>
      </c>
      <c r="G86" s="59" t="s">
        <v>70</v>
      </c>
      <c r="H86" s="61" t="s">
        <v>67</v>
      </c>
      <c r="I86" s="59" t="s">
        <v>65</v>
      </c>
      <c r="J86" s="64" t="s">
        <v>74</v>
      </c>
      <c r="K86" s="61" t="s">
        <v>67</v>
      </c>
      <c r="L86" s="59" t="s">
        <v>65</v>
      </c>
      <c r="M86" s="66" t="s">
        <v>77</v>
      </c>
      <c r="N86" s="61" t="s">
        <v>67</v>
      </c>
      <c r="O86" s="61" t="s">
        <v>65</v>
      </c>
      <c r="P86" s="61" t="s">
        <v>78</v>
      </c>
      <c r="Q86" s="61" t="s">
        <v>67</v>
      </c>
      <c r="R86" s="59" t="s">
        <v>65</v>
      </c>
      <c r="S86" s="66" t="s">
        <v>79</v>
      </c>
      <c r="T86" s="61" t="s">
        <v>67</v>
      </c>
      <c r="U86" s="71" t="s">
        <v>65</v>
      </c>
      <c r="V86" s="71" t="s">
        <v>80</v>
      </c>
      <c r="W86" s="71" t="s">
        <v>67</v>
      </c>
      <c r="X86" s="14"/>
      <c r="Y86" s="49"/>
    </row>
    <row r="87" ht="31.5" customHeight="1">
      <c r="A87" s="74">
        <v>46044.0</v>
      </c>
      <c r="B87" s="436" t="s">
        <v>376</v>
      </c>
      <c r="C87" s="78">
        <v>89.0</v>
      </c>
      <c r="D87" s="79" t="s">
        <v>460</v>
      </c>
      <c r="E87" s="392"/>
      <c r="F87" s="82">
        <v>3654.0</v>
      </c>
      <c r="G87" s="83" t="s">
        <v>461</v>
      </c>
      <c r="H87" s="84"/>
      <c r="I87" s="82">
        <v>8.0</v>
      </c>
      <c r="J87" s="203" t="s">
        <v>272</v>
      </c>
      <c r="K87" s="86"/>
      <c r="L87" s="82">
        <v>3768.0</v>
      </c>
      <c r="M87" s="207" t="s">
        <v>462</v>
      </c>
      <c r="N87" s="84"/>
      <c r="O87" s="82">
        <v>3528.0</v>
      </c>
      <c r="P87" s="235" t="s">
        <v>463</v>
      </c>
      <c r="Q87" s="413"/>
      <c r="R87" s="82">
        <v>5.0</v>
      </c>
      <c r="S87" s="83" t="s">
        <v>387</v>
      </c>
      <c r="T87" s="86"/>
      <c r="U87" s="97">
        <v>3996.0</v>
      </c>
      <c r="V87" s="378" t="s">
        <v>382</v>
      </c>
      <c r="W87" s="379">
        <v>70.0</v>
      </c>
      <c r="X87" s="14"/>
      <c r="Y87" s="49"/>
    </row>
    <row r="88" ht="30.0" customHeight="1">
      <c r="B88" s="414"/>
      <c r="C88" s="212">
        <v>4111.0</v>
      </c>
      <c r="D88" s="238" t="s">
        <v>465</v>
      </c>
      <c r="E88" s="111"/>
      <c r="F88" s="113">
        <v>3180.0</v>
      </c>
      <c r="G88" s="115" t="s">
        <v>466</v>
      </c>
      <c r="H88" s="116"/>
      <c r="I88" s="113"/>
      <c r="J88" s="119"/>
      <c r="K88" s="121"/>
      <c r="L88" s="113">
        <v>3770.0</v>
      </c>
      <c r="M88" s="241" t="s">
        <v>467</v>
      </c>
      <c r="N88" s="116"/>
      <c r="O88" s="113"/>
      <c r="P88" s="119"/>
      <c r="Q88" s="216"/>
      <c r="R88" s="113">
        <v>3330.0</v>
      </c>
      <c r="S88" s="115" t="s">
        <v>330</v>
      </c>
      <c r="T88" s="121"/>
      <c r="U88" s="131">
        <v>3998.0</v>
      </c>
      <c r="V88" s="132" t="s">
        <v>388</v>
      </c>
      <c r="W88" s="134"/>
      <c r="X88" s="14"/>
      <c r="Y88" s="49"/>
    </row>
    <row r="89" ht="18.0" customHeight="1">
      <c r="B89" s="414"/>
      <c r="C89" s="107">
        <v>2936.0</v>
      </c>
      <c r="D89" s="109" t="s">
        <v>468</v>
      </c>
      <c r="E89" s="217"/>
      <c r="F89" s="113">
        <v>3141.0</v>
      </c>
      <c r="G89" s="115" t="s">
        <v>469</v>
      </c>
      <c r="H89" s="116"/>
      <c r="I89" s="157"/>
      <c r="J89" s="119"/>
      <c r="K89" s="121"/>
      <c r="L89" s="113">
        <v>3769.0</v>
      </c>
      <c r="M89" s="241" t="s">
        <v>470</v>
      </c>
      <c r="N89" s="116"/>
      <c r="O89" s="113"/>
      <c r="P89" s="119"/>
      <c r="Q89" s="216"/>
      <c r="R89" s="113"/>
      <c r="S89" s="115"/>
      <c r="T89" s="284"/>
      <c r="U89" s="169"/>
      <c r="V89" s="132"/>
      <c r="W89" s="134"/>
      <c r="X89" s="14"/>
      <c r="Y89" s="49"/>
    </row>
    <row r="90" ht="18.0" customHeight="1">
      <c r="B90" s="414"/>
      <c r="C90" s="107"/>
      <c r="D90" s="109"/>
      <c r="E90" s="156"/>
      <c r="F90" s="444">
        <v>2067.0</v>
      </c>
      <c r="G90" s="158" t="s">
        <v>472</v>
      </c>
      <c r="H90" s="446"/>
      <c r="I90" s="157"/>
      <c r="J90" s="119"/>
      <c r="K90" s="121"/>
      <c r="L90" s="113">
        <v>2859.0</v>
      </c>
      <c r="M90" s="396" t="s">
        <v>474</v>
      </c>
      <c r="N90" s="159"/>
      <c r="O90" s="113"/>
      <c r="P90" s="119"/>
      <c r="Q90" s="216"/>
      <c r="R90" s="113"/>
      <c r="S90" s="115"/>
      <c r="T90" s="284"/>
      <c r="U90" s="169"/>
      <c r="V90" s="132"/>
      <c r="W90" s="134"/>
      <c r="X90" s="14"/>
      <c r="Y90" s="49"/>
    </row>
    <row r="91" ht="30.0" customHeight="1">
      <c r="A91" s="383"/>
      <c r="B91" s="414"/>
      <c r="C91" s="107"/>
      <c r="D91" s="119"/>
      <c r="E91" s="156"/>
      <c r="F91" s="449"/>
      <c r="G91" s="450"/>
      <c r="H91" s="159"/>
      <c r="I91" s="157"/>
      <c r="J91" s="238"/>
      <c r="K91" s="121"/>
      <c r="L91" s="113">
        <v>898.0</v>
      </c>
      <c r="M91" s="123" t="s">
        <v>485</v>
      </c>
      <c r="N91" s="159"/>
      <c r="O91" s="113"/>
      <c r="P91" s="119"/>
      <c r="Q91" s="216"/>
      <c r="R91" s="113"/>
      <c r="S91" s="115"/>
      <c r="T91" s="284"/>
      <c r="U91" s="169"/>
      <c r="V91" s="141"/>
      <c r="W91" s="161"/>
      <c r="X91" s="14"/>
      <c r="Y91" s="49"/>
    </row>
    <row r="92" ht="18.0" customHeight="1">
      <c r="A92" s="383"/>
      <c r="B92" s="414"/>
      <c r="C92" s="107"/>
      <c r="D92" s="119"/>
      <c r="E92" s="156"/>
      <c r="F92" s="449"/>
      <c r="G92" s="450"/>
      <c r="H92" s="159"/>
      <c r="I92" s="157"/>
      <c r="J92" s="238"/>
      <c r="K92" s="121"/>
      <c r="L92" s="113">
        <v>763.0</v>
      </c>
      <c r="M92" s="123" t="s">
        <v>315</v>
      </c>
      <c r="N92" s="159">
        <v>111.0</v>
      </c>
      <c r="O92" s="113"/>
      <c r="P92" s="119"/>
      <c r="Q92" s="216"/>
      <c r="R92" s="113"/>
      <c r="S92" s="115"/>
      <c r="T92" s="284"/>
      <c r="U92" s="169"/>
      <c r="V92" s="141"/>
      <c r="W92" s="161"/>
      <c r="X92" s="14"/>
      <c r="Y92" s="49"/>
    </row>
    <row r="93" ht="18.0" customHeight="1">
      <c r="A93" s="383"/>
      <c r="B93" s="414"/>
      <c r="C93" s="107"/>
      <c r="D93" s="119"/>
      <c r="E93" s="156"/>
      <c r="F93" s="449"/>
      <c r="G93" s="450"/>
      <c r="H93" s="159"/>
      <c r="I93" s="157"/>
      <c r="J93" s="238"/>
      <c r="K93" s="121"/>
      <c r="L93" s="113">
        <v>3798.0</v>
      </c>
      <c r="M93" s="119" t="s">
        <v>490</v>
      </c>
      <c r="N93" s="159"/>
      <c r="O93" s="113"/>
      <c r="P93" s="119"/>
      <c r="Q93" s="216"/>
      <c r="R93" s="113"/>
      <c r="S93" s="115"/>
      <c r="T93" s="284"/>
      <c r="U93" s="169"/>
      <c r="V93" s="141"/>
      <c r="W93" s="161"/>
      <c r="X93" s="14"/>
      <c r="Y93" s="49"/>
    </row>
    <row r="94" ht="18.0" customHeight="1">
      <c r="A94" s="383"/>
      <c r="B94" s="430"/>
      <c r="C94" s="227"/>
      <c r="D94" s="186"/>
      <c r="E94" s="180"/>
      <c r="F94" s="456"/>
      <c r="G94" s="457"/>
      <c r="H94" s="184"/>
      <c r="I94" s="181"/>
      <c r="J94" s="363"/>
      <c r="K94" s="188"/>
      <c r="L94" s="185"/>
      <c r="M94" s="458"/>
      <c r="N94" s="184"/>
      <c r="O94" s="185"/>
      <c r="P94" s="186"/>
      <c r="Q94" s="232"/>
      <c r="R94" s="185"/>
      <c r="S94" s="194"/>
      <c r="T94" s="459"/>
      <c r="U94" s="198"/>
      <c r="V94" s="199"/>
      <c r="W94" s="200"/>
      <c r="X94" s="14"/>
      <c r="Y94" s="49"/>
    </row>
    <row r="95" ht="15.75" customHeight="1">
      <c r="A95" s="38"/>
      <c r="B95" s="14"/>
      <c r="C95" s="15"/>
      <c r="D95" s="17"/>
      <c r="E95" s="19"/>
      <c r="F95" s="28"/>
      <c r="G95" s="34"/>
      <c r="H95" s="56"/>
      <c r="L95" s="21"/>
      <c r="M95" s="339"/>
      <c r="N95" s="27"/>
      <c r="O95" s="27"/>
      <c r="P95" s="17"/>
      <c r="Q95" s="28"/>
      <c r="R95" s="28"/>
      <c r="S95" s="34"/>
      <c r="T95" s="35"/>
      <c r="U95" s="14"/>
      <c r="V95" s="14"/>
      <c r="W95" s="14"/>
      <c r="X95" s="14"/>
      <c r="Y95" s="49"/>
    </row>
    <row r="96" ht="15.75" customHeight="1">
      <c r="A96" s="38"/>
      <c r="B96" s="42" t="s">
        <v>506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7"/>
      <c r="T96" s="35"/>
      <c r="U96" s="14"/>
      <c r="V96" s="14"/>
      <c r="W96" s="14"/>
      <c r="X96" s="14"/>
      <c r="Y96" s="49"/>
    </row>
    <row r="97" ht="18.75" customHeight="1">
      <c r="A97" s="460"/>
      <c r="B97" s="56"/>
      <c r="C97" s="54" t="s">
        <v>65</v>
      </c>
      <c r="D97" s="56" t="s">
        <v>66</v>
      </c>
      <c r="E97" s="57" t="s">
        <v>67</v>
      </c>
      <c r="F97" s="59" t="s">
        <v>65</v>
      </c>
      <c r="G97" s="59" t="s">
        <v>70</v>
      </c>
      <c r="H97" s="61" t="s">
        <v>67</v>
      </c>
      <c r="I97" s="59" t="s">
        <v>65</v>
      </c>
      <c r="J97" s="66" t="s">
        <v>74</v>
      </c>
      <c r="K97" s="61" t="s">
        <v>67</v>
      </c>
      <c r="L97" s="59" t="s">
        <v>65</v>
      </c>
      <c r="M97" s="66" t="s">
        <v>77</v>
      </c>
      <c r="N97" s="61" t="s">
        <v>67</v>
      </c>
      <c r="O97" s="61" t="s">
        <v>65</v>
      </c>
      <c r="P97" s="61" t="s">
        <v>78</v>
      </c>
      <c r="Q97" s="61" t="s">
        <v>67</v>
      </c>
      <c r="R97" s="59" t="s">
        <v>65</v>
      </c>
      <c r="S97" s="66" t="s">
        <v>79</v>
      </c>
      <c r="T97" s="61" t="s">
        <v>67</v>
      </c>
      <c r="U97" s="71" t="s">
        <v>65</v>
      </c>
      <c r="V97" s="71" t="s">
        <v>80</v>
      </c>
      <c r="W97" s="71" t="s">
        <v>67</v>
      </c>
      <c r="X97" s="27"/>
      <c r="Y97" s="373"/>
    </row>
    <row r="98" ht="31.5" customHeight="1">
      <c r="A98" s="74">
        <v>46103.0</v>
      </c>
      <c r="B98" s="76" t="s">
        <v>84</v>
      </c>
      <c r="C98" s="78">
        <v>3341.0</v>
      </c>
      <c r="D98" s="79" t="s">
        <v>515</v>
      </c>
      <c r="E98" s="81">
        <v>113.0</v>
      </c>
      <c r="F98" s="82">
        <v>3076.0</v>
      </c>
      <c r="G98" s="83" t="s">
        <v>89</v>
      </c>
      <c r="H98" s="84">
        <v>172.0</v>
      </c>
      <c r="I98" s="82">
        <v>793.0</v>
      </c>
      <c r="J98" s="85" t="s">
        <v>93</v>
      </c>
      <c r="K98" s="86">
        <v>177.0</v>
      </c>
      <c r="L98" s="82">
        <v>4013.0</v>
      </c>
      <c r="M98" s="87" t="s">
        <v>517</v>
      </c>
      <c r="N98" s="88">
        <v>118.0</v>
      </c>
      <c r="O98" s="89">
        <v>3518.0</v>
      </c>
      <c r="P98" s="461" t="s">
        <v>518</v>
      </c>
      <c r="Q98" s="91">
        <v>0.0</v>
      </c>
      <c r="R98" s="92">
        <v>2364.0</v>
      </c>
      <c r="S98" s="94" t="s">
        <v>407</v>
      </c>
      <c r="T98" s="96">
        <v>119.0</v>
      </c>
      <c r="U98" s="97">
        <v>3998.0</v>
      </c>
      <c r="V98" s="99" t="s">
        <v>388</v>
      </c>
      <c r="W98" s="100">
        <v>110.0</v>
      </c>
      <c r="X98" s="101" t="s">
        <v>111</v>
      </c>
      <c r="Y98" s="103"/>
    </row>
    <row r="99" ht="30.0" customHeight="1">
      <c r="B99" s="105"/>
      <c r="C99" s="107">
        <v>4019.0</v>
      </c>
      <c r="D99" s="109" t="s">
        <v>521</v>
      </c>
      <c r="E99" s="111">
        <v>90.0</v>
      </c>
      <c r="F99" s="113">
        <v>4009.0</v>
      </c>
      <c r="G99" s="115" t="s">
        <v>522</v>
      </c>
      <c r="H99" s="116">
        <v>174.0</v>
      </c>
      <c r="I99" s="113"/>
      <c r="J99" s="119" t="s">
        <v>136</v>
      </c>
      <c r="K99" s="121">
        <v>42.0</v>
      </c>
      <c r="L99" s="113">
        <v>4014.0</v>
      </c>
      <c r="M99" s="123" t="s">
        <v>492</v>
      </c>
      <c r="N99" s="116" t="s">
        <v>297</v>
      </c>
      <c r="O99" s="113">
        <v>2079.0</v>
      </c>
      <c r="P99" s="462" t="s">
        <v>361</v>
      </c>
      <c r="Q99" s="121"/>
      <c r="R99" s="125">
        <v>33.0</v>
      </c>
      <c r="S99" s="128" t="s">
        <v>524</v>
      </c>
      <c r="T99" s="129">
        <v>122.0</v>
      </c>
      <c r="U99" s="131">
        <v>3630.0</v>
      </c>
      <c r="V99" s="132" t="s">
        <v>525</v>
      </c>
      <c r="W99" s="134">
        <v>91.0</v>
      </c>
      <c r="X99" s="347" t="s">
        <v>155</v>
      </c>
      <c r="Y99" s="103"/>
    </row>
    <row r="100" ht="29.25" customHeight="1">
      <c r="B100" s="105"/>
      <c r="C100" s="107">
        <v>3446.0</v>
      </c>
      <c r="D100" s="119" t="s">
        <v>527</v>
      </c>
      <c r="E100" s="111">
        <v>118.0</v>
      </c>
      <c r="F100" s="113">
        <v>3170.0</v>
      </c>
      <c r="G100" s="464" t="s">
        <v>528</v>
      </c>
      <c r="H100" s="116">
        <v>182.0</v>
      </c>
      <c r="I100" s="113"/>
      <c r="J100" s="119"/>
      <c r="K100" s="121"/>
      <c r="L100" s="113">
        <v>3054.0</v>
      </c>
      <c r="M100" s="167" t="s">
        <v>529</v>
      </c>
      <c r="N100" s="116" t="s">
        <v>297</v>
      </c>
      <c r="O100" s="113"/>
      <c r="P100" s="119"/>
      <c r="Q100" s="121"/>
      <c r="R100" s="125"/>
      <c r="S100" s="141"/>
      <c r="T100" s="142"/>
      <c r="U100" s="144"/>
      <c r="V100" s="147"/>
      <c r="W100" s="148"/>
      <c r="X100" s="150" t="s">
        <v>170</v>
      </c>
      <c r="Y100" s="103"/>
    </row>
    <row r="101" ht="31.5" customHeight="1">
      <c r="B101" s="105"/>
      <c r="C101" s="152"/>
      <c r="D101" s="154"/>
      <c r="E101" s="156"/>
      <c r="F101" s="157">
        <v>2621.0</v>
      </c>
      <c r="G101" s="465" t="s">
        <v>531</v>
      </c>
      <c r="H101" s="159">
        <v>66.0</v>
      </c>
      <c r="I101" s="113"/>
      <c r="J101" s="119"/>
      <c r="K101" s="121"/>
      <c r="L101" s="113">
        <v>4015.0</v>
      </c>
      <c r="M101" s="138" t="s">
        <v>97</v>
      </c>
      <c r="N101" s="116" t="s">
        <v>297</v>
      </c>
      <c r="O101" s="113"/>
      <c r="P101" s="119"/>
      <c r="Q101" s="121"/>
      <c r="R101" s="125"/>
      <c r="S101" s="115"/>
      <c r="T101" s="160"/>
      <c r="U101" s="169"/>
      <c r="V101" s="141"/>
      <c r="W101" s="161"/>
      <c r="X101" s="163" t="s">
        <v>188</v>
      </c>
      <c r="Y101" s="49"/>
    </row>
    <row r="102" ht="18.75" customHeight="1">
      <c r="A102" s="38"/>
      <c r="B102" s="105"/>
      <c r="C102" s="152"/>
      <c r="D102" s="154"/>
      <c r="E102" s="156"/>
      <c r="F102" s="157"/>
      <c r="G102" s="166"/>
      <c r="H102" s="159"/>
      <c r="I102" s="113"/>
      <c r="J102" s="119"/>
      <c r="K102" s="121"/>
      <c r="L102" s="113"/>
      <c r="M102" s="119"/>
      <c r="N102" s="116"/>
      <c r="O102" s="113"/>
      <c r="P102" s="119"/>
      <c r="Q102" s="121"/>
      <c r="R102" s="125"/>
      <c r="S102" s="115"/>
      <c r="T102" s="168"/>
      <c r="U102" s="169"/>
      <c r="V102" s="141"/>
      <c r="W102" s="161"/>
      <c r="X102" s="170" t="s">
        <v>203</v>
      </c>
      <c r="Y102" s="49"/>
    </row>
    <row r="103" ht="18.75" customHeight="1">
      <c r="A103" s="38"/>
      <c r="B103" s="105"/>
      <c r="C103" s="152"/>
      <c r="D103" s="154"/>
      <c r="E103" s="156"/>
      <c r="F103" s="157"/>
      <c r="G103" s="166"/>
      <c r="H103" s="159"/>
      <c r="I103" s="113"/>
      <c r="J103" s="119"/>
      <c r="K103" s="121"/>
      <c r="L103" s="113">
        <v>4016.0</v>
      </c>
      <c r="M103" s="468" t="s">
        <v>499</v>
      </c>
      <c r="N103" s="224"/>
      <c r="O103" s="113"/>
      <c r="P103" s="119"/>
      <c r="Q103" s="121"/>
      <c r="R103" s="125"/>
      <c r="S103" s="115"/>
      <c r="T103" s="168"/>
      <c r="U103" s="169"/>
      <c r="V103" s="141"/>
      <c r="W103" s="161"/>
      <c r="X103" s="469" t="s">
        <v>537</v>
      </c>
      <c r="Y103" s="49"/>
    </row>
    <row r="104" ht="18.75" customHeight="1">
      <c r="A104" s="38"/>
      <c r="B104" s="105"/>
      <c r="C104" s="152"/>
      <c r="D104" s="154"/>
      <c r="E104" s="156"/>
      <c r="F104" s="157"/>
      <c r="G104" s="166"/>
      <c r="H104" s="159"/>
      <c r="I104" s="113"/>
      <c r="J104" s="119"/>
      <c r="K104" s="121"/>
      <c r="L104" s="113">
        <v>2931.0</v>
      </c>
      <c r="M104" s="471" t="s">
        <v>508</v>
      </c>
      <c r="N104" s="116">
        <v>76.0</v>
      </c>
      <c r="O104" s="113"/>
      <c r="P104" s="119"/>
      <c r="Q104" s="121"/>
      <c r="R104" s="125"/>
      <c r="S104" s="115"/>
      <c r="T104" s="168"/>
      <c r="U104" s="169"/>
      <c r="V104" s="141"/>
      <c r="W104" s="161"/>
      <c r="X104" s="472"/>
      <c r="Y104" s="49"/>
    </row>
    <row r="105" ht="18.75" customHeight="1">
      <c r="A105" s="38"/>
      <c r="B105" s="177"/>
      <c r="C105" s="178"/>
      <c r="D105" s="179"/>
      <c r="E105" s="180"/>
      <c r="F105" s="181">
        <v>1050.0</v>
      </c>
      <c r="G105" s="183" t="s">
        <v>542</v>
      </c>
      <c r="H105" s="184"/>
      <c r="I105" s="185"/>
      <c r="J105" s="186"/>
      <c r="K105" s="188"/>
      <c r="L105" s="185"/>
      <c r="M105" s="186"/>
      <c r="N105" s="189"/>
      <c r="O105" s="185"/>
      <c r="P105" s="186"/>
      <c r="Q105" s="188"/>
      <c r="R105" s="192"/>
      <c r="S105" s="194"/>
      <c r="T105" s="197"/>
      <c r="U105" s="198"/>
      <c r="V105" s="199"/>
      <c r="W105" s="200"/>
      <c r="X105" s="472"/>
      <c r="Y105" s="49"/>
    </row>
    <row r="106" ht="18.75" customHeight="1">
      <c r="A106" s="38"/>
      <c r="B106" s="52"/>
      <c r="C106" s="54" t="s">
        <v>65</v>
      </c>
      <c r="D106" s="56" t="s">
        <v>66</v>
      </c>
      <c r="E106" s="57" t="s">
        <v>67</v>
      </c>
      <c r="F106" s="59" t="s">
        <v>65</v>
      </c>
      <c r="G106" s="59" t="s">
        <v>70</v>
      </c>
      <c r="H106" s="61" t="s">
        <v>67</v>
      </c>
      <c r="I106" s="59" t="s">
        <v>65</v>
      </c>
      <c r="J106" s="64" t="s">
        <v>74</v>
      </c>
      <c r="K106" s="61" t="s">
        <v>67</v>
      </c>
      <c r="L106" s="59" t="s">
        <v>65</v>
      </c>
      <c r="M106" s="66" t="s">
        <v>77</v>
      </c>
      <c r="N106" s="61" t="s">
        <v>67</v>
      </c>
      <c r="O106" s="61"/>
      <c r="P106" s="61"/>
      <c r="Q106" s="61" t="s">
        <v>67</v>
      </c>
      <c r="R106" s="59" t="s">
        <v>65</v>
      </c>
      <c r="S106" s="66" t="s">
        <v>79</v>
      </c>
      <c r="T106" s="61" t="s">
        <v>67</v>
      </c>
      <c r="U106" s="71" t="s">
        <v>65</v>
      </c>
      <c r="V106" s="71" t="s">
        <v>80</v>
      </c>
      <c r="W106" s="71" t="s">
        <v>67</v>
      </c>
      <c r="X106" s="14"/>
      <c r="Y106" s="49"/>
    </row>
    <row r="107" ht="33.0" customHeight="1">
      <c r="A107" s="74">
        <v>46104.0</v>
      </c>
      <c r="B107" s="473" t="s">
        <v>263</v>
      </c>
      <c r="C107" s="78">
        <v>2730.0</v>
      </c>
      <c r="D107" s="203" t="s">
        <v>267</v>
      </c>
      <c r="E107" s="81">
        <v>118.0</v>
      </c>
      <c r="F107" s="204">
        <v>4024.0</v>
      </c>
      <c r="G107" s="83" t="s">
        <v>271</v>
      </c>
      <c r="H107" s="205">
        <v>180.0</v>
      </c>
      <c r="I107" s="89">
        <v>8.0</v>
      </c>
      <c r="J107" s="85" t="s">
        <v>272</v>
      </c>
      <c r="K107" s="91">
        <v>182.0</v>
      </c>
      <c r="L107" s="204">
        <v>48.0</v>
      </c>
      <c r="M107" s="207" t="s">
        <v>274</v>
      </c>
      <c r="N107" s="116"/>
      <c r="O107" s="89">
        <v>3435.0</v>
      </c>
      <c r="P107" s="461" t="s">
        <v>276</v>
      </c>
      <c r="Q107" s="91">
        <v>25.0</v>
      </c>
      <c r="R107" s="92">
        <v>3330.0</v>
      </c>
      <c r="S107" s="94" t="s">
        <v>330</v>
      </c>
      <c r="T107" s="96">
        <v>118.0</v>
      </c>
      <c r="U107" s="97">
        <v>4000.0</v>
      </c>
      <c r="V107" s="99" t="s">
        <v>289</v>
      </c>
      <c r="W107" s="100">
        <v>118.0</v>
      </c>
      <c r="Y107" s="49"/>
    </row>
    <row r="108" ht="31.5" customHeight="1">
      <c r="B108" s="105"/>
      <c r="C108" s="107">
        <v>1550.0</v>
      </c>
      <c r="D108" s="242" t="s">
        <v>280</v>
      </c>
      <c r="E108" s="111">
        <v>72.0</v>
      </c>
      <c r="F108" s="125">
        <v>3379.0</v>
      </c>
      <c r="G108" s="115" t="s">
        <v>281</v>
      </c>
      <c r="H108" s="209">
        <v>194.0</v>
      </c>
      <c r="I108" s="113"/>
      <c r="J108" s="119"/>
      <c r="K108" s="121"/>
      <c r="L108" s="210">
        <v>4026.0</v>
      </c>
      <c r="M108" s="211" t="s">
        <v>282</v>
      </c>
      <c r="N108" s="160">
        <v>119.0</v>
      </c>
      <c r="O108" s="113">
        <v>3455.0</v>
      </c>
      <c r="P108" s="462" t="s">
        <v>283</v>
      </c>
      <c r="Q108" s="121">
        <v>25.0</v>
      </c>
      <c r="R108" s="125">
        <v>54.0</v>
      </c>
      <c r="S108" s="128" t="s">
        <v>554</v>
      </c>
      <c r="T108" s="160">
        <v>117.0</v>
      </c>
      <c r="U108" s="131">
        <v>2943.0</v>
      </c>
      <c r="V108" s="132" t="s">
        <v>278</v>
      </c>
      <c r="W108" s="134">
        <v>83.0</v>
      </c>
      <c r="X108" s="14"/>
      <c r="Y108" s="49"/>
    </row>
    <row r="109" ht="32.25" customHeight="1">
      <c r="B109" s="105"/>
      <c r="C109" s="212"/>
      <c r="D109" s="214"/>
      <c r="E109" s="111">
        <v>136.0</v>
      </c>
      <c r="F109" s="125">
        <v>3244.0</v>
      </c>
      <c r="G109" s="115" t="s">
        <v>286</v>
      </c>
      <c r="H109" s="209">
        <v>173.0</v>
      </c>
      <c r="I109" s="113"/>
      <c r="J109" s="119"/>
      <c r="K109" s="121"/>
      <c r="L109" s="125">
        <v>4030.0</v>
      </c>
      <c r="M109" s="123" t="s">
        <v>287</v>
      </c>
      <c r="N109" s="116"/>
      <c r="O109" s="113"/>
      <c r="P109" s="119"/>
      <c r="Q109" s="121">
        <v>150.0</v>
      </c>
      <c r="R109" s="125"/>
      <c r="S109" s="128"/>
      <c r="T109" s="129"/>
      <c r="U109" s="131"/>
      <c r="V109" s="147"/>
      <c r="W109" s="161"/>
      <c r="X109" s="14"/>
      <c r="Y109" s="49"/>
    </row>
    <row r="110" ht="18.75" customHeight="1">
      <c r="B110" s="105"/>
      <c r="C110" s="107"/>
      <c r="D110" s="119"/>
      <c r="E110" s="217"/>
      <c r="F110" s="125">
        <v>3343.0</v>
      </c>
      <c r="G110" s="474" t="s">
        <v>290</v>
      </c>
      <c r="H110" s="209">
        <v>87.0</v>
      </c>
      <c r="I110" s="219"/>
      <c r="J110" s="220"/>
      <c r="K110" s="222"/>
      <c r="L110" s="125">
        <v>4025.0</v>
      </c>
      <c r="M110" s="123" t="s">
        <v>561</v>
      </c>
      <c r="N110" s="475" t="s">
        <v>297</v>
      </c>
      <c r="O110" s="113"/>
      <c r="P110" s="119"/>
      <c r="Q110" s="216"/>
      <c r="R110" s="125"/>
      <c r="S110" s="115"/>
      <c r="T110" s="160"/>
      <c r="U110" s="131"/>
      <c r="V110" s="132"/>
      <c r="W110" s="161"/>
      <c r="X110" s="14"/>
      <c r="Y110" s="49"/>
    </row>
    <row r="111" ht="18.75" customHeight="1">
      <c r="A111" s="38"/>
      <c r="B111" s="105"/>
      <c r="C111" s="107"/>
      <c r="D111" s="119"/>
      <c r="E111" s="217"/>
      <c r="F111" s="125"/>
      <c r="G111" s="115"/>
      <c r="H111" s="209"/>
      <c r="I111" s="113"/>
      <c r="J111" s="119"/>
      <c r="K111" s="121"/>
      <c r="L111" s="125">
        <v>958.0</v>
      </c>
      <c r="M111" s="223" t="s">
        <v>294</v>
      </c>
      <c r="N111" s="476" t="s">
        <v>297</v>
      </c>
      <c r="O111" s="113"/>
      <c r="P111" s="119"/>
      <c r="Q111" s="216"/>
      <c r="R111" s="125"/>
      <c r="S111" s="115"/>
      <c r="T111" s="160"/>
      <c r="U111" s="169"/>
      <c r="V111" s="141"/>
      <c r="W111" s="161"/>
      <c r="X111" s="14"/>
      <c r="Y111" s="49"/>
    </row>
    <row r="112" ht="18.75" customHeight="1">
      <c r="A112" s="38"/>
      <c r="B112" s="105"/>
      <c r="C112" s="107"/>
      <c r="D112" s="119"/>
      <c r="E112" s="217"/>
      <c r="F112" s="125"/>
      <c r="G112" s="115"/>
      <c r="H112" s="209"/>
      <c r="I112" s="113"/>
      <c r="J112" s="119"/>
      <c r="K112" s="121"/>
      <c r="L112" s="224"/>
      <c r="M112" s="132"/>
      <c r="N112" s="160"/>
      <c r="O112" s="113"/>
      <c r="P112" s="119"/>
      <c r="Q112" s="216"/>
      <c r="R112" s="125"/>
      <c r="S112" s="115"/>
      <c r="T112" s="160"/>
      <c r="U112" s="169"/>
      <c r="V112" s="141"/>
      <c r="W112" s="161"/>
      <c r="X112" s="14"/>
      <c r="Y112" s="49"/>
    </row>
    <row r="113" ht="18.75" customHeight="1">
      <c r="A113" s="38"/>
      <c r="B113" s="105"/>
      <c r="C113" s="107"/>
      <c r="D113" s="119"/>
      <c r="E113" s="217"/>
      <c r="F113" s="125"/>
      <c r="G113" s="115"/>
      <c r="H113" s="209"/>
      <c r="I113" s="113"/>
      <c r="J113" s="119"/>
      <c r="K113" s="121"/>
      <c r="L113" s="125">
        <v>4029.0</v>
      </c>
      <c r="M113" s="477" t="s">
        <v>295</v>
      </c>
      <c r="N113" s="475" t="s">
        <v>297</v>
      </c>
      <c r="O113" s="113"/>
      <c r="P113" s="119"/>
      <c r="Q113" s="216"/>
      <c r="R113" s="125"/>
      <c r="S113" s="115"/>
      <c r="T113" s="160"/>
      <c r="U113" s="169"/>
      <c r="V113" s="141"/>
      <c r="W113" s="161"/>
      <c r="X113" s="14"/>
      <c r="Y113" s="49"/>
    </row>
    <row r="114" ht="18.75" customHeight="1">
      <c r="A114" s="38"/>
      <c r="B114" s="177"/>
      <c r="C114" s="227"/>
      <c r="D114" s="186"/>
      <c r="E114" s="228"/>
      <c r="F114" s="192"/>
      <c r="G114" s="194"/>
      <c r="H114" s="229"/>
      <c r="I114" s="185"/>
      <c r="J114" s="186"/>
      <c r="K114" s="188"/>
      <c r="L114" s="192">
        <v>238.0</v>
      </c>
      <c r="M114" s="478" t="s">
        <v>296</v>
      </c>
      <c r="N114" s="231">
        <v>92.0</v>
      </c>
      <c r="O114" s="185"/>
      <c r="P114" s="186"/>
      <c r="Q114" s="232"/>
      <c r="R114" s="192"/>
      <c r="S114" s="194"/>
      <c r="T114" s="231"/>
      <c r="U114" s="198"/>
      <c r="V114" s="199"/>
      <c r="W114" s="200"/>
      <c r="X114" s="14"/>
      <c r="Y114" s="49"/>
    </row>
    <row r="115" ht="18.75" customHeight="1">
      <c r="A115" s="38"/>
      <c r="B115" s="52"/>
      <c r="C115" s="54" t="s">
        <v>65</v>
      </c>
      <c r="D115" s="56" t="s">
        <v>66</v>
      </c>
      <c r="E115" s="57" t="s">
        <v>67</v>
      </c>
      <c r="F115" s="59" t="s">
        <v>65</v>
      </c>
      <c r="G115" s="59" t="s">
        <v>70</v>
      </c>
      <c r="H115" s="61" t="s">
        <v>67</v>
      </c>
      <c r="I115" s="59" t="s">
        <v>65</v>
      </c>
      <c r="J115" s="64" t="s">
        <v>74</v>
      </c>
      <c r="K115" s="61" t="s">
        <v>67</v>
      </c>
      <c r="L115" s="59" t="s">
        <v>65</v>
      </c>
      <c r="M115" s="66" t="s">
        <v>77</v>
      </c>
      <c r="N115" s="61" t="s">
        <v>67</v>
      </c>
      <c r="O115" s="61" t="s">
        <v>65</v>
      </c>
      <c r="P115" s="61" t="s">
        <v>78</v>
      </c>
      <c r="Q115" s="61" t="s">
        <v>67</v>
      </c>
      <c r="R115" s="59" t="s">
        <v>65</v>
      </c>
      <c r="S115" s="66" t="s">
        <v>79</v>
      </c>
      <c r="T115" s="61" t="s">
        <v>67</v>
      </c>
      <c r="U115" s="71" t="s">
        <v>65</v>
      </c>
      <c r="V115" s="71" t="s">
        <v>80</v>
      </c>
      <c r="W115" s="71" t="s">
        <v>67</v>
      </c>
      <c r="X115" s="14"/>
      <c r="Y115" s="49"/>
    </row>
    <row r="116" ht="33.0" customHeight="1">
      <c r="A116" s="74">
        <v>46105.0</v>
      </c>
      <c r="B116" s="254" t="s">
        <v>298</v>
      </c>
      <c r="C116" s="78">
        <v>4035.0</v>
      </c>
      <c r="D116" s="79" t="s">
        <v>299</v>
      </c>
      <c r="E116" s="81">
        <v>125.0</v>
      </c>
      <c r="F116" s="204"/>
      <c r="G116" s="83" t="s">
        <v>575</v>
      </c>
      <c r="H116" s="205">
        <v>140.0</v>
      </c>
      <c r="I116" s="233">
        <v>386.0</v>
      </c>
      <c r="J116" s="234" t="s">
        <v>300</v>
      </c>
      <c r="K116" s="91">
        <v>161.0</v>
      </c>
      <c r="L116" s="204">
        <v>761.0</v>
      </c>
      <c r="M116" s="87" t="s">
        <v>301</v>
      </c>
      <c r="N116" s="377"/>
      <c r="O116" s="82">
        <v>3375.0</v>
      </c>
      <c r="P116" s="479" t="s">
        <v>302</v>
      </c>
      <c r="Q116" s="86">
        <v>20.0</v>
      </c>
      <c r="R116" s="204">
        <v>3486.0</v>
      </c>
      <c r="S116" s="94" t="s">
        <v>303</v>
      </c>
      <c r="T116" s="96">
        <v>109.0</v>
      </c>
      <c r="U116" s="97"/>
      <c r="V116" s="99" t="s">
        <v>364</v>
      </c>
      <c r="W116" s="100">
        <v>108.0</v>
      </c>
      <c r="X116" s="14"/>
      <c r="Y116" s="49"/>
    </row>
    <row r="117" ht="28.5" customHeight="1">
      <c r="B117" s="105"/>
      <c r="C117" s="107">
        <v>4036.0</v>
      </c>
      <c r="D117" s="109" t="s">
        <v>119</v>
      </c>
      <c r="E117" s="111">
        <v>82.0</v>
      </c>
      <c r="F117" s="236">
        <v>3301.0</v>
      </c>
      <c r="G117" s="115" t="s">
        <v>305</v>
      </c>
      <c r="H117" s="237">
        <v>175.0</v>
      </c>
      <c r="I117" s="157"/>
      <c r="J117" s="238"/>
      <c r="K117" s="121">
        <v>41.0</v>
      </c>
      <c r="L117" s="125">
        <v>4172.0</v>
      </c>
      <c r="M117" s="123" t="s">
        <v>306</v>
      </c>
      <c r="N117" s="209">
        <v>140.0</v>
      </c>
      <c r="O117" s="239"/>
      <c r="P117" s="240"/>
      <c r="Q117" s="121"/>
      <c r="R117" s="125">
        <v>3140.0</v>
      </c>
      <c r="S117" s="115" t="s">
        <v>436</v>
      </c>
      <c r="T117" s="160">
        <v>79.0</v>
      </c>
      <c r="U117" s="131">
        <v>3723.0</v>
      </c>
      <c r="V117" s="132" t="s">
        <v>331</v>
      </c>
      <c r="W117" s="134">
        <v>82.0</v>
      </c>
      <c r="X117" s="14"/>
      <c r="Y117" s="49"/>
    </row>
    <row r="118" ht="18.75" customHeight="1">
      <c r="B118" s="105"/>
      <c r="C118" s="107">
        <v>3045.0</v>
      </c>
      <c r="D118" s="109" t="s">
        <v>308</v>
      </c>
      <c r="E118" s="111">
        <v>97.0</v>
      </c>
      <c r="F118" s="125">
        <v>4038.0</v>
      </c>
      <c r="G118" s="115" t="s">
        <v>309</v>
      </c>
      <c r="H118" s="209">
        <v>170.0</v>
      </c>
      <c r="I118" s="113"/>
      <c r="J118" s="119"/>
      <c r="K118" s="121"/>
      <c r="L118" s="125">
        <v>4031.0</v>
      </c>
      <c r="M118" s="241" t="s">
        <v>310</v>
      </c>
      <c r="N118" s="116" t="s">
        <v>297</v>
      </c>
      <c r="O118" s="239"/>
      <c r="P118" s="240"/>
      <c r="Q118" s="121"/>
      <c r="R118" s="125"/>
      <c r="S118" s="128"/>
      <c r="T118" s="160"/>
      <c r="U118" s="131"/>
      <c r="V118" s="132"/>
      <c r="W118" s="161"/>
      <c r="X118" s="14"/>
      <c r="Y118" s="49"/>
    </row>
    <row r="119" ht="28.5" customHeight="1">
      <c r="B119" s="105"/>
      <c r="C119" s="107"/>
      <c r="D119" s="480"/>
      <c r="E119" s="156"/>
      <c r="F119" s="125"/>
      <c r="G119" s="471" t="s">
        <v>582</v>
      </c>
      <c r="H119" s="244">
        <v>57.0</v>
      </c>
      <c r="I119" s="113"/>
      <c r="J119" s="119"/>
      <c r="K119" s="121"/>
      <c r="L119" s="125">
        <v>3437.0</v>
      </c>
      <c r="M119" s="123" t="s">
        <v>313</v>
      </c>
      <c r="N119" s="476" t="s">
        <v>293</v>
      </c>
      <c r="O119" s="113"/>
      <c r="P119" s="119"/>
      <c r="Q119" s="121"/>
      <c r="R119" s="125"/>
      <c r="S119" s="115"/>
      <c r="T119" s="245"/>
      <c r="U119" s="169"/>
      <c r="V119" s="308"/>
      <c r="W119" s="247"/>
      <c r="X119" s="14"/>
      <c r="Y119" s="49"/>
    </row>
    <row r="120" ht="33.0" customHeight="1">
      <c r="A120" s="38"/>
      <c r="B120" s="105"/>
      <c r="C120" s="107"/>
      <c r="D120" s="119"/>
      <c r="E120" s="156"/>
      <c r="F120" s="125"/>
      <c r="G120" s="481"/>
      <c r="H120" s="244"/>
      <c r="I120" s="113"/>
      <c r="J120" s="119"/>
      <c r="K120" s="121"/>
      <c r="L120" s="125">
        <v>763.0</v>
      </c>
      <c r="M120" s="123" t="s">
        <v>315</v>
      </c>
      <c r="N120" s="483" t="s">
        <v>293</v>
      </c>
      <c r="O120" s="113"/>
      <c r="P120" s="119"/>
      <c r="Q120" s="121"/>
      <c r="R120" s="125"/>
      <c r="S120" s="115"/>
      <c r="T120" s="160"/>
      <c r="U120" s="169"/>
      <c r="V120" s="141"/>
      <c r="W120" s="161"/>
      <c r="X120" s="14"/>
      <c r="Y120" s="49"/>
    </row>
    <row r="121" ht="18.75" customHeight="1">
      <c r="A121" s="38"/>
      <c r="B121" s="105"/>
      <c r="C121" s="107"/>
      <c r="D121" s="119"/>
      <c r="E121" s="156"/>
      <c r="F121" s="125"/>
      <c r="G121" s="115"/>
      <c r="H121" s="244"/>
      <c r="I121" s="113"/>
      <c r="J121" s="119"/>
      <c r="K121" s="121"/>
      <c r="L121" s="125"/>
      <c r="M121" s="123" t="s">
        <v>586</v>
      </c>
      <c r="N121" s="209"/>
      <c r="O121" s="113"/>
      <c r="P121" s="119"/>
      <c r="Q121" s="121"/>
      <c r="R121" s="125"/>
      <c r="S121" s="115"/>
      <c r="T121" s="160"/>
      <c r="U121" s="169"/>
      <c r="V121" s="141"/>
      <c r="W121" s="161"/>
      <c r="X121" s="14"/>
      <c r="Y121" s="49"/>
    </row>
    <row r="122" ht="18.75" customHeight="1">
      <c r="A122" s="38"/>
      <c r="B122" s="105"/>
      <c r="C122" s="107"/>
      <c r="D122" s="119"/>
      <c r="E122" s="156"/>
      <c r="F122" s="125"/>
      <c r="G122" s="115"/>
      <c r="H122" s="244"/>
      <c r="I122" s="113"/>
      <c r="J122" s="119"/>
      <c r="K122" s="121"/>
      <c r="L122" s="249">
        <v>18.0</v>
      </c>
      <c r="M122" s="485" t="s">
        <v>588</v>
      </c>
      <c r="N122" s="209">
        <v>59.0</v>
      </c>
      <c r="O122" s="113"/>
      <c r="P122" s="119"/>
      <c r="Q122" s="121"/>
      <c r="R122" s="125"/>
      <c r="S122" s="115"/>
      <c r="T122" s="160"/>
      <c r="U122" s="169"/>
      <c r="V122" s="141"/>
      <c r="W122" s="161"/>
      <c r="X122" s="14"/>
      <c r="Y122" s="49"/>
    </row>
    <row r="123" ht="18.75" customHeight="1">
      <c r="A123" s="38"/>
      <c r="B123" s="177"/>
      <c r="C123" s="227"/>
      <c r="D123" s="186"/>
      <c r="E123" s="180"/>
      <c r="F123" s="192"/>
      <c r="G123" s="194"/>
      <c r="H123" s="251"/>
      <c r="I123" s="185"/>
      <c r="J123" s="186"/>
      <c r="K123" s="188"/>
      <c r="L123" s="192">
        <v>3883.0</v>
      </c>
      <c r="M123" s="486" t="s">
        <v>317</v>
      </c>
      <c r="N123" s="229"/>
      <c r="O123" s="185"/>
      <c r="P123" s="186"/>
      <c r="Q123" s="188"/>
      <c r="R123" s="192"/>
      <c r="S123" s="194"/>
      <c r="T123" s="231"/>
      <c r="U123" s="198"/>
      <c r="V123" s="199"/>
      <c r="W123" s="200"/>
      <c r="X123" s="14"/>
      <c r="Y123" s="49"/>
    </row>
    <row r="124" ht="18.75" customHeight="1">
      <c r="A124" s="38"/>
      <c r="B124" s="52"/>
      <c r="C124" s="54" t="s">
        <v>65</v>
      </c>
      <c r="D124" s="56" t="s">
        <v>66</v>
      </c>
      <c r="E124" s="57" t="s">
        <v>67</v>
      </c>
      <c r="F124" s="59" t="s">
        <v>65</v>
      </c>
      <c r="G124" s="59" t="s">
        <v>70</v>
      </c>
      <c r="H124" s="61" t="s">
        <v>67</v>
      </c>
      <c r="I124" s="59" t="s">
        <v>65</v>
      </c>
      <c r="J124" s="64" t="s">
        <v>74</v>
      </c>
      <c r="K124" s="61" t="s">
        <v>67</v>
      </c>
      <c r="L124" s="59" t="s">
        <v>65</v>
      </c>
      <c r="M124" s="66" t="s">
        <v>77</v>
      </c>
      <c r="N124" s="61" t="s">
        <v>67</v>
      </c>
      <c r="O124" s="61" t="s">
        <v>65</v>
      </c>
      <c r="P124" s="61" t="s">
        <v>78</v>
      </c>
      <c r="Q124" s="61" t="s">
        <v>67</v>
      </c>
      <c r="R124" s="59" t="s">
        <v>65</v>
      </c>
      <c r="S124" s="66" t="s">
        <v>79</v>
      </c>
      <c r="T124" s="61" t="s">
        <v>67</v>
      </c>
      <c r="U124" s="71" t="s">
        <v>65</v>
      </c>
      <c r="V124" s="71" t="s">
        <v>80</v>
      </c>
      <c r="W124" s="71" t="s">
        <v>67</v>
      </c>
      <c r="X124" s="14"/>
      <c r="Y124" s="49"/>
    </row>
    <row r="125" ht="46.5" customHeight="1">
      <c r="A125" s="74">
        <v>46106.0</v>
      </c>
      <c r="B125" s="76" t="s">
        <v>319</v>
      </c>
      <c r="C125" s="78">
        <v>4045.0</v>
      </c>
      <c r="D125" s="203" t="s">
        <v>320</v>
      </c>
      <c r="E125" s="81">
        <v>95.0</v>
      </c>
      <c r="F125" s="257">
        <v>4048.0</v>
      </c>
      <c r="G125" s="487" t="s">
        <v>322</v>
      </c>
      <c r="H125" s="205">
        <v>162.0</v>
      </c>
      <c r="I125" s="260">
        <v>380.0</v>
      </c>
      <c r="J125" s="261" t="s">
        <v>323</v>
      </c>
      <c r="K125" s="91">
        <v>141.0</v>
      </c>
      <c r="L125" s="204">
        <v>3612.0</v>
      </c>
      <c r="M125" s="488" t="s">
        <v>598</v>
      </c>
      <c r="N125" s="116"/>
      <c r="O125" s="263">
        <v>3527.0</v>
      </c>
      <c r="P125" s="489" t="s">
        <v>329</v>
      </c>
      <c r="Q125" s="86">
        <v>35.0</v>
      </c>
      <c r="R125" s="204">
        <v>2782.0</v>
      </c>
      <c r="S125" s="94" t="s">
        <v>307</v>
      </c>
      <c r="T125" s="96">
        <v>112.0</v>
      </c>
      <c r="U125" s="97">
        <v>4173.0</v>
      </c>
      <c r="V125" s="99" t="s">
        <v>601</v>
      </c>
      <c r="W125" s="100"/>
      <c r="X125" s="266"/>
      <c r="Y125" s="49"/>
    </row>
    <row r="126" ht="30.0" customHeight="1">
      <c r="B126" s="105"/>
      <c r="C126" s="107">
        <v>4056.0</v>
      </c>
      <c r="D126" s="109" t="s">
        <v>334</v>
      </c>
      <c r="E126" s="111">
        <v>92.0</v>
      </c>
      <c r="F126" s="125">
        <v>4053.0</v>
      </c>
      <c r="G126" s="115" t="s">
        <v>337</v>
      </c>
      <c r="H126" s="209">
        <v>157.0</v>
      </c>
      <c r="I126" s="273">
        <v>3752.0</v>
      </c>
      <c r="J126" s="275" t="s">
        <v>339</v>
      </c>
      <c r="K126" s="121"/>
      <c r="L126" s="125">
        <v>1873.0</v>
      </c>
      <c r="M126" s="123" t="s">
        <v>343</v>
      </c>
      <c r="N126" s="116"/>
      <c r="O126" s="276">
        <v>3454.0</v>
      </c>
      <c r="P126" s="490" t="s">
        <v>346</v>
      </c>
      <c r="Q126" s="121">
        <v>20.0</v>
      </c>
      <c r="R126" s="125">
        <v>654.0</v>
      </c>
      <c r="S126" s="115" t="s">
        <v>277</v>
      </c>
      <c r="T126" s="160"/>
      <c r="U126" s="131">
        <v>3722.0</v>
      </c>
      <c r="V126" s="132" t="s">
        <v>304</v>
      </c>
      <c r="W126" s="134"/>
      <c r="X126" s="14"/>
      <c r="Y126" s="49"/>
    </row>
    <row r="127" ht="30.0" customHeight="1">
      <c r="B127" s="105"/>
      <c r="C127" s="107">
        <v>2769.0</v>
      </c>
      <c r="D127" s="109" t="s">
        <v>608</v>
      </c>
      <c r="E127" s="111">
        <v>133.0</v>
      </c>
      <c r="F127" s="125">
        <v>4055.0</v>
      </c>
      <c r="G127" s="119" t="s">
        <v>355</v>
      </c>
      <c r="H127" s="209">
        <v>152.0</v>
      </c>
      <c r="I127" s="278"/>
      <c r="J127" s="119"/>
      <c r="K127" s="121"/>
      <c r="L127" s="125">
        <v>1151.0</v>
      </c>
      <c r="M127" s="241" t="s">
        <v>359</v>
      </c>
      <c r="N127" s="116" t="s">
        <v>297</v>
      </c>
      <c r="O127" s="113">
        <v>2079.0</v>
      </c>
      <c r="P127" s="468" t="s">
        <v>361</v>
      </c>
      <c r="Q127" s="134">
        <v>170.0</v>
      </c>
      <c r="R127" s="125"/>
      <c r="S127" s="141"/>
      <c r="T127" s="284"/>
      <c r="U127" s="403"/>
      <c r="V127" s="141"/>
      <c r="W127" s="161"/>
      <c r="X127" s="14"/>
      <c r="Y127" s="49"/>
    </row>
    <row r="128" ht="30.75" customHeight="1">
      <c r="B128" s="105"/>
      <c r="C128" s="107"/>
      <c r="D128" s="109"/>
      <c r="E128" s="156"/>
      <c r="F128" s="125">
        <v>3339.0</v>
      </c>
      <c r="G128" s="471" t="s">
        <v>366</v>
      </c>
      <c r="H128" s="244">
        <v>77.0</v>
      </c>
      <c r="I128" s="278"/>
      <c r="J128" s="119"/>
      <c r="K128" s="121"/>
      <c r="L128" s="210">
        <v>3663.0</v>
      </c>
      <c r="M128" s="211" t="s">
        <v>372</v>
      </c>
      <c r="N128" s="116" t="s">
        <v>297</v>
      </c>
      <c r="O128" s="113"/>
      <c r="P128" s="109"/>
      <c r="Q128" s="289"/>
      <c r="R128" s="125"/>
      <c r="S128" s="290"/>
      <c r="T128" s="245"/>
      <c r="U128" s="169"/>
      <c r="V128" s="308"/>
      <c r="W128" s="247"/>
      <c r="X128" s="491"/>
      <c r="Y128" s="49"/>
    </row>
    <row r="129" ht="18.75" customHeight="1">
      <c r="A129" s="38"/>
      <c r="B129" s="105"/>
      <c r="C129" s="107"/>
      <c r="D129" s="119"/>
      <c r="E129" s="156"/>
      <c r="F129" s="125"/>
      <c r="G129" s="119"/>
      <c r="H129" s="244"/>
      <c r="I129" s="113"/>
      <c r="J129" s="220"/>
      <c r="K129" s="222"/>
      <c r="L129" s="210"/>
      <c r="M129" s="119"/>
      <c r="N129" s="244"/>
      <c r="O129" s="113"/>
      <c r="P129" s="119"/>
      <c r="Q129" s="216"/>
      <c r="R129" s="125"/>
      <c r="S129" s="115"/>
      <c r="T129" s="160"/>
      <c r="U129" s="169"/>
      <c r="V129" s="141"/>
      <c r="W129" s="161"/>
      <c r="X129" s="491"/>
      <c r="Y129" s="49"/>
    </row>
    <row r="130" ht="18.75" customHeight="1">
      <c r="A130" s="38"/>
      <c r="B130" s="105"/>
      <c r="C130" s="107"/>
      <c r="D130" s="119"/>
      <c r="E130" s="156"/>
      <c r="F130" s="125"/>
      <c r="G130" s="119"/>
      <c r="H130" s="244"/>
      <c r="I130" s="113"/>
      <c r="J130" s="119"/>
      <c r="K130" s="121"/>
      <c r="L130" s="210"/>
      <c r="M130" s="123" t="s">
        <v>324</v>
      </c>
      <c r="N130" s="244" t="s">
        <v>311</v>
      </c>
      <c r="O130" s="113"/>
      <c r="P130" s="119"/>
      <c r="Q130" s="216"/>
      <c r="R130" s="125"/>
      <c r="S130" s="115"/>
      <c r="T130" s="160"/>
      <c r="U130" s="169"/>
      <c r="V130" s="141"/>
      <c r="W130" s="161"/>
      <c r="X130" s="491"/>
      <c r="Y130" s="49"/>
    </row>
    <row r="131" ht="18.75" customHeight="1">
      <c r="A131" s="38"/>
      <c r="B131" s="105"/>
      <c r="C131" s="107"/>
      <c r="D131" s="119"/>
      <c r="E131" s="156"/>
      <c r="F131" s="125"/>
      <c r="G131" s="119"/>
      <c r="H131" s="244"/>
      <c r="I131" s="113"/>
      <c r="J131" s="119"/>
      <c r="K131" s="121"/>
      <c r="L131" s="210">
        <v>4032.0</v>
      </c>
      <c r="M131" s="492" t="s">
        <v>375</v>
      </c>
      <c r="N131" s="244"/>
      <c r="O131" s="113"/>
      <c r="P131" s="119"/>
      <c r="Q131" s="216"/>
      <c r="R131" s="125"/>
      <c r="S131" s="115"/>
      <c r="T131" s="160"/>
      <c r="U131" s="169"/>
      <c r="V131" s="141"/>
      <c r="W131" s="161"/>
      <c r="X131" s="491"/>
      <c r="Y131" s="49"/>
    </row>
    <row r="132" ht="18.75" customHeight="1">
      <c r="A132" s="38"/>
      <c r="B132" s="177"/>
      <c r="C132" s="227"/>
      <c r="D132" s="186"/>
      <c r="E132" s="180"/>
      <c r="F132" s="192"/>
      <c r="G132" s="186"/>
      <c r="H132" s="251"/>
      <c r="I132" s="185"/>
      <c r="J132" s="186"/>
      <c r="K132" s="188"/>
      <c r="L132" s="493"/>
      <c r="M132" s="297"/>
      <c r="N132" s="251"/>
      <c r="O132" s="185"/>
      <c r="P132" s="186"/>
      <c r="Q132" s="232"/>
      <c r="R132" s="192"/>
      <c r="S132" s="194"/>
      <c r="T132" s="231"/>
      <c r="U132" s="198"/>
      <c r="V132" s="199"/>
      <c r="W132" s="200"/>
      <c r="X132" s="491"/>
      <c r="Y132" s="49"/>
    </row>
    <row r="133" ht="18.75" customHeight="1">
      <c r="A133" s="38"/>
      <c r="B133" s="52"/>
      <c r="C133" s="54" t="s">
        <v>65</v>
      </c>
      <c r="D133" s="56" t="s">
        <v>66</v>
      </c>
      <c r="E133" s="57" t="s">
        <v>67</v>
      </c>
      <c r="F133" s="59" t="s">
        <v>65</v>
      </c>
      <c r="G133" s="59" t="s">
        <v>70</v>
      </c>
      <c r="H133" s="61" t="s">
        <v>67</v>
      </c>
      <c r="I133" s="59" t="s">
        <v>65</v>
      </c>
      <c r="J133" s="64" t="s">
        <v>74</v>
      </c>
      <c r="K133" s="61" t="s">
        <v>67</v>
      </c>
      <c r="L133" s="59" t="s">
        <v>65</v>
      </c>
      <c r="M133" s="66" t="s">
        <v>77</v>
      </c>
      <c r="N133" s="61" t="s">
        <v>67</v>
      </c>
      <c r="O133" s="61" t="s">
        <v>65</v>
      </c>
      <c r="P133" s="61" t="s">
        <v>78</v>
      </c>
      <c r="Q133" s="61" t="s">
        <v>67</v>
      </c>
      <c r="R133" s="59" t="s">
        <v>65</v>
      </c>
      <c r="S133" s="66" t="s">
        <v>79</v>
      </c>
      <c r="T133" s="61" t="s">
        <v>67</v>
      </c>
      <c r="U133" s="71" t="s">
        <v>65</v>
      </c>
      <c r="V133" s="71" t="s">
        <v>80</v>
      </c>
      <c r="W133" s="71" t="s">
        <v>67</v>
      </c>
      <c r="X133" s="14"/>
      <c r="Y133" s="49"/>
    </row>
    <row r="134" ht="30.0" customHeight="1">
      <c r="A134" s="74">
        <v>46107.0</v>
      </c>
      <c r="B134" s="254" t="s">
        <v>376</v>
      </c>
      <c r="C134" s="78">
        <v>2951.0</v>
      </c>
      <c r="D134" s="79" t="s">
        <v>377</v>
      </c>
      <c r="E134" s="81"/>
      <c r="F134" s="204">
        <v>3323.0</v>
      </c>
      <c r="G134" s="83" t="s">
        <v>378</v>
      </c>
      <c r="H134" s="205"/>
      <c r="I134" s="82">
        <v>2288.0</v>
      </c>
      <c r="J134" s="85" t="s">
        <v>379</v>
      </c>
      <c r="K134" s="91"/>
      <c r="L134" s="82">
        <v>4069.0</v>
      </c>
      <c r="M134" s="494" t="s">
        <v>385</v>
      </c>
      <c r="N134" s="495"/>
      <c r="O134" s="82">
        <v>3528.0</v>
      </c>
      <c r="P134" s="479" t="s">
        <v>463</v>
      </c>
      <c r="Q134" s="91">
        <v>20.0</v>
      </c>
      <c r="R134" s="204">
        <v>3.0</v>
      </c>
      <c r="S134" s="94" t="s">
        <v>404</v>
      </c>
      <c r="T134" s="496"/>
      <c r="U134" s="97">
        <v>3997.0</v>
      </c>
      <c r="V134" s="99" t="s">
        <v>312</v>
      </c>
      <c r="W134" s="100"/>
      <c r="X134" s="14"/>
      <c r="Y134" s="49"/>
    </row>
    <row r="135" ht="31.5" customHeight="1">
      <c r="B135" s="105"/>
      <c r="C135" s="107">
        <v>4037.0</v>
      </c>
      <c r="D135" s="109" t="s">
        <v>383</v>
      </c>
      <c r="E135" s="111"/>
      <c r="F135" s="125">
        <v>4058.0</v>
      </c>
      <c r="G135" s="115" t="s">
        <v>384</v>
      </c>
      <c r="H135" s="209"/>
      <c r="I135" s="113">
        <v>822.0</v>
      </c>
      <c r="J135" s="119" t="s">
        <v>136</v>
      </c>
      <c r="K135" s="121"/>
      <c r="L135" s="497">
        <v>4067.0</v>
      </c>
      <c r="M135" s="498" t="s">
        <v>391</v>
      </c>
      <c r="N135" s="499"/>
      <c r="O135" s="113"/>
      <c r="P135" s="119"/>
      <c r="Q135" s="216"/>
      <c r="R135" s="125">
        <v>5.0</v>
      </c>
      <c r="S135" s="115" t="s">
        <v>387</v>
      </c>
      <c r="T135" s="168"/>
      <c r="U135" s="131"/>
      <c r="V135" s="132"/>
      <c r="W135" s="134"/>
      <c r="X135" s="14"/>
      <c r="Y135" s="49"/>
    </row>
    <row r="136" ht="31.5" customHeight="1">
      <c r="B136" s="105"/>
      <c r="C136" s="107">
        <v>385.0</v>
      </c>
      <c r="D136" s="109" t="s">
        <v>86</v>
      </c>
      <c r="E136" s="217"/>
      <c r="F136" s="301">
        <v>2706.0</v>
      </c>
      <c r="G136" s="166" t="s">
        <v>390</v>
      </c>
      <c r="H136" s="237"/>
      <c r="I136" s="113"/>
      <c r="J136" s="119"/>
      <c r="K136" s="121"/>
      <c r="L136" s="500">
        <v>4068.0</v>
      </c>
      <c r="M136" s="501" t="s">
        <v>394</v>
      </c>
      <c r="N136" s="499"/>
      <c r="O136" s="113"/>
      <c r="P136" s="119"/>
      <c r="Q136" s="216"/>
      <c r="R136" s="125"/>
      <c r="S136" s="115"/>
      <c r="T136" s="160"/>
      <c r="U136" s="169"/>
      <c r="V136" s="141"/>
      <c r="W136" s="161"/>
      <c r="X136" s="14"/>
      <c r="Y136" s="49"/>
    </row>
    <row r="137" ht="30.75" customHeight="1">
      <c r="B137" s="105"/>
      <c r="C137" s="107"/>
      <c r="D137" s="109"/>
      <c r="E137" s="217"/>
      <c r="F137" s="398">
        <v>3823.0</v>
      </c>
      <c r="G137" s="465" t="s">
        <v>393</v>
      </c>
      <c r="H137" s="306"/>
      <c r="I137" s="113"/>
      <c r="J137" s="220"/>
      <c r="K137" s="222"/>
      <c r="L137" s="113">
        <v>3494.0</v>
      </c>
      <c r="M137" s="502" t="s">
        <v>611</v>
      </c>
      <c r="N137" s="499"/>
      <c r="O137" s="113"/>
      <c r="P137" s="119"/>
      <c r="Q137" s="289"/>
      <c r="R137" s="125"/>
      <c r="S137" s="290"/>
      <c r="T137" s="245"/>
      <c r="U137" s="169"/>
      <c r="V137" s="308"/>
      <c r="W137" s="247"/>
      <c r="X137" s="14"/>
      <c r="Y137" s="49"/>
    </row>
    <row r="138" ht="18.75" customHeight="1">
      <c r="A138" s="38"/>
      <c r="B138" s="105"/>
      <c r="C138" s="309"/>
      <c r="D138" s="310"/>
      <c r="E138" s="156"/>
      <c r="F138" s="125"/>
      <c r="G138" s="115"/>
      <c r="H138" s="311"/>
      <c r="I138" s="312"/>
      <c r="J138" s="313"/>
      <c r="K138" s="314"/>
      <c r="L138" s="113">
        <v>26.0</v>
      </c>
      <c r="M138" s="502" t="s">
        <v>397</v>
      </c>
      <c r="N138" s="503"/>
      <c r="O138" s="315"/>
      <c r="P138" s="316"/>
      <c r="Q138" s="317"/>
      <c r="R138" s="321"/>
      <c r="S138" s="322"/>
      <c r="T138" s="168"/>
      <c r="U138" s="318"/>
      <c r="V138" s="319"/>
      <c r="W138" s="320"/>
      <c r="X138" s="14"/>
      <c r="Y138" s="49"/>
    </row>
    <row r="139" ht="18.75" customHeight="1">
      <c r="A139" s="38"/>
      <c r="B139" s="105"/>
      <c r="C139" s="309"/>
      <c r="D139" s="310"/>
      <c r="E139" s="156"/>
      <c r="F139" s="125"/>
      <c r="G139" s="115"/>
      <c r="H139" s="311"/>
      <c r="I139" s="312"/>
      <c r="J139" s="313"/>
      <c r="K139" s="314"/>
      <c r="L139" s="113">
        <v>3740.0</v>
      </c>
      <c r="M139" s="502" t="s">
        <v>613</v>
      </c>
      <c r="N139" s="503"/>
      <c r="O139" s="315"/>
      <c r="P139" s="316"/>
      <c r="Q139" s="317"/>
      <c r="R139" s="321"/>
      <c r="S139" s="322"/>
      <c r="T139" s="168"/>
      <c r="U139" s="318"/>
      <c r="V139" s="319"/>
      <c r="W139" s="320"/>
      <c r="X139" s="14"/>
      <c r="Y139" s="49"/>
    </row>
    <row r="140" ht="18.75" customHeight="1">
      <c r="A140" s="38"/>
      <c r="B140" s="105"/>
      <c r="C140" s="309"/>
      <c r="D140" s="310"/>
      <c r="E140" s="156"/>
      <c r="F140" s="125"/>
      <c r="G140" s="115"/>
      <c r="H140" s="311"/>
      <c r="I140" s="312"/>
      <c r="J140" s="313"/>
      <c r="K140" s="314"/>
      <c r="L140" s="113"/>
      <c r="M140" s="504"/>
      <c r="N140" s="503"/>
      <c r="O140" s="315"/>
      <c r="P140" s="316"/>
      <c r="Q140" s="317"/>
      <c r="R140" s="321"/>
      <c r="S140" s="322"/>
      <c r="T140" s="168"/>
      <c r="U140" s="318"/>
      <c r="V140" s="319"/>
      <c r="W140" s="320"/>
      <c r="X140" s="14"/>
      <c r="Y140" s="49"/>
    </row>
    <row r="141" ht="18.75" customHeight="1">
      <c r="A141" s="38"/>
      <c r="B141" s="177"/>
      <c r="C141" s="323"/>
      <c r="D141" s="324"/>
      <c r="E141" s="180"/>
      <c r="F141" s="192"/>
      <c r="G141" s="194"/>
      <c r="H141" s="325"/>
      <c r="I141" s="326"/>
      <c r="J141" s="327"/>
      <c r="K141" s="328"/>
      <c r="L141" s="185">
        <v>3328.0</v>
      </c>
      <c r="M141" s="506" t="s">
        <v>398</v>
      </c>
      <c r="N141" s="508"/>
      <c r="O141" s="330"/>
      <c r="P141" s="331"/>
      <c r="Q141" s="332"/>
      <c r="R141" s="333"/>
      <c r="S141" s="334"/>
      <c r="T141" s="197"/>
      <c r="U141" s="335"/>
      <c r="V141" s="336"/>
      <c r="W141" s="337"/>
      <c r="X141" s="14"/>
      <c r="Y141" s="49"/>
    </row>
    <row r="142" ht="18.75" customHeight="1">
      <c r="A142" s="38"/>
      <c r="B142" s="14"/>
      <c r="C142" s="15"/>
      <c r="D142" s="17"/>
      <c r="E142" s="19"/>
      <c r="F142" s="28"/>
      <c r="G142" s="34"/>
      <c r="H142" s="27"/>
      <c r="I142" s="28"/>
      <c r="J142" s="31"/>
      <c r="K142" s="28"/>
      <c r="L142" s="21"/>
      <c r="M142" s="339"/>
      <c r="N142" s="27"/>
      <c r="O142" s="27"/>
      <c r="P142" s="17"/>
      <c r="Q142" s="28"/>
      <c r="R142" s="28"/>
      <c r="S142" s="34"/>
      <c r="T142" s="35"/>
      <c r="U142" s="14"/>
      <c r="V142" s="14"/>
      <c r="W142" s="14"/>
      <c r="X142" s="14"/>
      <c r="Y142" s="49"/>
    </row>
    <row r="143" ht="15.75" customHeight="1">
      <c r="A143" s="38"/>
      <c r="B143" s="14"/>
      <c r="C143" s="15"/>
      <c r="D143" s="17"/>
      <c r="E143" s="19"/>
      <c r="F143" s="21"/>
      <c r="G143" s="338"/>
      <c r="H143" s="27"/>
      <c r="I143" s="28"/>
      <c r="J143" s="31"/>
      <c r="K143" s="28"/>
      <c r="L143" s="21"/>
      <c r="M143" s="339"/>
      <c r="N143" s="27"/>
      <c r="O143" s="27"/>
      <c r="P143" s="17"/>
      <c r="Q143" s="28"/>
      <c r="R143" s="28"/>
      <c r="S143" s="34"/>
      <c r="T143" s="35"/>
      <c r="U143" s="14"/>
      <c r="V143" s="14"/>
      <c r="W143" s="14"/>
      <c r="X143" s="14"/>
      <c r="Y143" s="49"/>
    </row>
    <row r="144" ht="15.75" customHeight="1">
      <c r="A144" s="38"/>
      <c r="B144" s="42" t="s">
        <v>690</v>
      </c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7"/>
      <c r="U144" s="14"/>
      <c r="V144" s="14"/>
      <c r="W144" s="14"/>
      <c r="X144" s="14"/>
      <c r="Y144" s="49"/>
    </row>
    <row r="145" ht="18.75" customHeight="1">
      <c r="A145" s="38"/>
      <c r="B145" s="52"/>
      <c r="C145" s="54" t="s">
        <v>65</v>
      </c>
      <c r="D145" s="56" t="s">
        <v>66</v>
      </c>
      <c r="E145" s="57" t="s">
        <v>67</v>
      </c>
      <c r="F145" s="59" t="s">
        <v>65</v>
      </c>
      <c r="G145" s="59" t="s">
        <v>70</v>
      </c>
      <c r="H145" s="61" t="s">
        <v>67</v>
      </c>
      <c r="I145" s="59" t="s">
        <v>65</v>
      </c>
      <c r="J145" s="64" t="s">
        <v>74</v>
      </c>
      <c r="K145" s="61" t="s">
        <v>67</v>
      </c>
      <c r="L145" s="59" t="s">
        <v>65</v>
      </c>
      <c r="M145" s="66" t="s">
        <v>77</v>
      </c>
      <c r="N145" s="61" t="s">
        <v>67</v>
      </c>
      <c r="O145" s="61" t="s">
        <v>65</v>
      </c>
      <c r="P145" s="61" t="s">
        <v>78</v>
      </c>
      <c r="Q145" s="61" t="s">
        <v>67</v>
      </c>
      <c r="R145" s="59" t="s">
        <v>65</v>
      </c>
      <c r="S145" s="66" t="s">
        <v>79</v>
      </c>
      <c r="T145" s="61" t="s">
        <v>67</v>
      </c>
      <c r="U145" s="71" t="s">
        <v>65</v>
      </c>
      <c r="V145" s="71" t="s">
        <v>80</v>
      </c>
      <c r="W145" s="71" t="s">
        <v>67</v>
      </c>
      <c r="X145" s="14"/>
      <c r="Y145" s="49"/>
    </row>
    <row r="146" ht="29.25" customHeight="1">
      <c r="A146" s="74">
        <v>46166.0</v>
      </c>
      <c r="B146" s="511" t="s">
        <v>84</v>
      </c>
      <c r="C146" s="78">
        <v>2762.0</v>
      </c>
      <c r="D146" s="79" t="s">
        <v>719</v>
      </c>
      <c r="E146" s="81">
        <v>131.0</v>
      </c>
      <c r="F146" s="204">
        <v>3147.0</v>
      </c>
      <c r="G146" s="83" t="s">
        <v>405</v>
      </c>
      <c r="H146" s="205">
        <v>237.0</v>
      </c>
      <c r="I146" s="82">
        <v>793.0</v>
      </c>
      <c r="J146" s="85" t="s">
        <v>93</v>
      </c>
      <c r="K146" s="91">
        <v>176.0</v>
      </c>
      <c r="L146" s="82">
        <v>4175.0</v>
      </c>
      <c r="M146" s="512" t="s">
        <v>565</v>
      </c>
      <c r="N146" s="503" t="s">
        <v>297</v>
      </c>
      <c r="O146" s="82">
        <v>3518.0</v>
      </c>
      <c r="P146" s="479" t="s">
        <v>518</v>
      </c>
      <c r="Q146" s="91">
        <v>15.0</v>
      </c>
      <c r="R146" s="204">
        <v>3584.0</v>
      </c>
      <c r="S146" s="94" t="s">
        <v>726</v>
      </c>
      <c r="T146" s="96">
        <v>107.0</v>
      </c>
      <c r="U146" s="97">
        <v>3998.0</v>
      </c>
      <c r="V146" s="99" t="s">
        <v>388</v>
      </c>
      <c r="W146" s="100">
        <v>112.0</v>
      </c>
      <c r="X146" s="101" t="s">
        <v>111</v>
      </c>
      <c r="Y146" s="49"/>
    </row>
    <row r="147" ht="28.5" customHeight="1">
      <c r="B147" s="105"/>
      <c r="C147" s="107">
        <v>1076.0</v>
      </c>
      <c r="D147" s="109" t="s">
        <v>729</v>
      </c>
      <c r="E147" s="111">
        <v>137.0</v>
      </c>
      <c r="F147" s="125">
        <v>3165.0</v>
      </c>
      <c r="G147" s="115" t="s">
        <v>731</v>
      </c>
      <c r="H147" s="209">
        <v>224.0</v>
      </c>
      <c r="I147" s="113">
        <v>3819.0</v>
      </c>
      <c r="J147" s="119" t="s">
        <v>732</v>
      </c>
      <c r="K147" s="121">
        <v>54.0</v>
      </c>
      <c r="L147" s="497">
        <v>980.0</v>
      </c>
      <c r="M147" s="513" t="s">
        <v>563</v>
      </c>
      <c r="N147" s="499">
        <v>110.0</v>
      </c>
      <c r="O147" s="113">
        <v>2079.0</v>
      </c>
      <c r="P147" s="462" t="s">
        <v>361</v>
      </c>
      <c r="Q147" s="121">
        <v>170.0</v>
      </c>
      <c r="R147" s="125">
        <v>33.0</v>
      </c>
      <c r="S147" s="115" t="s">
        <v>524</v>
      </c>
      <c r="T147" s="160">
        <v>102.0</v>
      </c>
      <c r="U147" s="131">
        <v>3857.0</v>
      </c>
      <c r="V147" s="132" t="s">
        <v>738</v>
      </c>
      <c r="W147" s="134">
        <v>100.0</v>
      </c>
      <c r="X147" s="347" t="s">
        <v>155</v>
      </c>
      <c r="Y147" s="49"/>
    </row>
    <row r="148" ht="30.0" customHeight="1">
      <c r="B148" s="105"/>
      <c r="C148" s="107">
        <v>3856.0</v>
      </c>
      <c r="D148" s="109" t="s">
        <v>743</v>
      </c>
      <c r="E148" s="111">
        <v>95.0</v>
      </c>
      <c r="F148" s="301">
        <v>2686.0</v>
      </c>
      <c r="G148" s="166" t="s">
        <v>402</v>
      </c>
      <c r="H148" s="237">
        <v>130.0</v>
      </c>
      <c r="I148" s="113">
        <v>822.0</v>
      </c>
      <c r="J148" s="119" t="s">
        <v>136</v>
      </c>
      <c r="K148" s="121"/>
      <c r="L148" s="500">
        <v>3737.0</v>
      </c>
      <c r="M148" s="172" t="s">
        <v>403</v>
      </c>
      <c r="N148" s="503" t="s">
        <v>297</v>
      </c>
      <c r="O148" s="113"/>
      <c r="P148" s="119"/>
      <c r="Q148" s="216"/>
      <c r="R148" s="125"/>
      <c r="S148" s="115"/>
      <c r="T148" s="160"/>
      <c r="U148" s="169"/>
      <c r="V148" s="141"/>
      <c r="W148" s="161"/>
      <c r="X148" s="150" t="s">
        <v>170</v>
      </c>
      <c r="Y148" s="49"/>
    </row>
    <row r="149" ht="31.5" customHeight="1">
      <c r="B149" s="105"/>
      <c r="C149" s="107"/>
      <c r="D149" s="109"/>
      <c r="E149" s="217"/>
      <c r="F149" s="301">
        <v>4184.0</v>
      </c>
      <c r="G149" s="465" t="s">
        <v>750</v>
      </c>
      <c r="H149" s="306">
        <v>61.0</v>
      </c>
      <c r="I149" s="113"/>
      <c r="J149" s="220"/>
      <c r="K149" s="222"/>
      <c r="L149" s="113">
        <v>1009.0</v>
      </c>
      <c r="M149" s="514" t="s">
        <v>406</v>
      </c>
      <c r="N149" s="499" t="s">
        <v>440</v>
      </c>
      <c r="O149" s="113"/>
      <c r="P149" s="119"/>
      <c r="Q149" s="289"/>
      <c r="R149" s="125"/>
      <c r="S149" s="290"/>
      <c r="T149" s="245"/>
      <c r="U149" s="169"/>
      <c r="V149" s="308"/>
      <c r="W149" s="247"/>
      <c r="X149" s="163" t="s">
        <v>188</v>
      </c>
      <c r="Y149" s="49"/>
    </row>
    <row r="150" ht="16.5" customHeight="1">
      <c r="A150" s="38"/>
      <c r="B150" s="105"/>
      <c r="C150" s="309"/>
      <c r="D150" s="310"/>
      <c r="E150" s="156"/>
      <c r="F150" s="125"/>
      <c r="G150" s="115"/>
      <c r="H150" s="311"/>
      <c r="I150" s="515"/>
      <c r="J150" s="517"/>
      <c r="K150" s="314"/>
      <c r="L150" s="113">
        <v>2841.0</v>
      </c>
      <c r="M150" s="519" t="s">
        <v>567</v>
      </c>
      <c r="N150" s="503"/>
      <c r="O150" s="315"/>
      <c r="P150" s="316"/>
      <c r="Q150" s="317"/>
      <c r="R150" s="321"/>
      <c r="S150" s="322"/>
      <c r="T150" s="168"/>
      <c r="U150" s="318"/>
      <c r="V150" s="319"/>
      <c r="W150" s="320"/>
      <c r="X150" s="170" t="s">
        <v>203</v>
      </c>
      <c r="Y150" s="49"/>
    </row>
    <row r="151" ht="16.5" customHeight="1">
      <c r="A151" s="38"/>
      <c r="B151" s="105"/>
      <c r="C151" s="309"/>
      <c r="D151" s="310"/>
      <c r="E151" s="156"/>
      <c r="F151" s="125"/>
      <c r="G151" s="115"/>
      <c r="H151" s="311"/>
      <c r="I151" s="312"/>
      <c r="J151" s="313"/>
      <c r="K151" s="314"/>
      <c r="L151" s="113"/>
      <c r="M151" s="504"/>
      <c r="N151" s="503"/>
      <c r="O151" s="315"/>
      <c r="P151" s="316"/>
      <c r="Q151" s="317"/>
      <c r="R151" s="321"/>
      <c r="S151" s="322"/>
      <c r="T151" s="168"/>
      <c r="U151" s="318"/>
      <c r="V151" s="319"/>
      <c r="W151" s="320"/>
      <c r="X151" s="469" t="s">
        <v>537</v>
      </c>
      <c r="Y151" s="49"/>
    </row>
    <row r="152" ht="16.5" customHeight="1">
      <c r="A152" s="38"/>
      <c r="B152" s="105"/>
      <c r="C152" s="309"/>
      <c r="D152" s="310"/>
      <c r="E152" s="156"/>
      <c r="F152" s="125"/>
      <c r="G152" s="115"/>
      <c r="H152" s="311"/>
      <c r="I152" s="312"/>
      <c r="J152" s="313"/>
      <c r="K152" s="314"/>
      <c r="L152" s="113">
        <v>4118.0</v>
      </c>
      <c r="M152" s="520" t="s">
        <v>767</v>
      </c>
      <c r="N152" s="503"/>
      <c r="O152" s="315"/>
      <c r="P152" s="316"/>
      <c r="Q152" s="317"/>
      <c r="R152" s="321"/>
      <c r="S152" s="322"/>
      <c r="T152" s="168"/>
      <c r="U152" s="318"/>
      <c r="V152" s="319"/>
      <c r="W152" s="320"/>
      <c r="X152" s="175"/>
      <c r="Y152" s="49"/>
    </row>
    <row r="153" ht="16.5" customHeight="1">
      <c r="A153" s="38"/>
      <c r="B153" s="177"/>
      <c r="C153" s="323"/>
      <c r="D153" s="324"/>
      <c r="E153" s="180"/>
      <c r="F153" s="192"/>
      <c r="G153" s="194"/>
      <c r="H153" s="325"/>
      <c r="I153" s="326"/>
      <c r="J153" s="327"/>
      <c r="K153" s="328"/>
      <c r="L153" s="185"/>
      <c r="M153" s="521"/>
      <c r="N153" s="508"/>
      <c r="O153" s="330"/>
      <c r="P153" s="331"/>
      <c r="Q153" s="332"/>
      <c r="R153" s="333"/>
      <c r="S153" s="334"/>
      <c r="T153" s="197"/>
      <c r="U153" s="335"/>
      <c r="V153" s="336"/>
      <c r="W153" s="337"/>
      <c r="X153" s="175"/>
      <c r="Y153" s="49"/>
    </row>
    <row r="154" ht="18.75" customHeight="1">
      <c r="A154" s="38"/>
      <c r="B154" s="52"/>
      <c r="C154" s="54" t="s">
        <v>65</v>
      </c>
      <c r="D154" s="56" t="s">
        <v>66</v>
      </c>
      <c r="E154" s="57" t="s">
        <v>67</v>
      </c>
      <c r="F154" s="59" t="s">
        <v>65</v>
      </c>
      <c r="G154" s="59" t="s">
        <v>70</v>
      </c>
      <c r="H154" s="61" t="s">
        <v>67</v>
      </c>
      <c r="I154" s="59" t="s">
        <v>65</v>
      </c>
      <c r="J154" s="64" t="s">
        <v>74</v>
      </c>
      <c r="K154" s="61" t="s">
        <v>67</v>
      </c>
      <c r="L154" s="59" t="s">
        <v>65</v>
      </c>
      <c r="M154" s="66" t="s">
        <v>77</v>
      </c>
      <c r="N154" s="61" t="s">
        <v>67</v>
      </c>
      <c r="O154" s="61" t="s">
        <v>65</v>
      </c>
      <c r="P154" s="61" t="s">
        <v>78</v>
      </c>
      <c r="Q154" s="61" t="s">
        <v>67</v>
      </c>
      <c r="R154" s="59" t="s">
        <v>65</v>
      </c>
      <c r="S154" s="66" t="s">
        <v>79</v>
      </c>
      <c r="T154" s="61" t="s">
        <v>67</v>
      </c>
      <c r="U154" s="71" t="s">
        <v>65</v>
      </c>
      <c r="V154" s="71" t="s">
        <v>80</v>
      </c>
      <c r="W154" s="71" t="s">
        <v>67</v>
      </c>
      <c r="X154" s="14"/>
      <c r="Y154" s="49"/>
    </row>
    <row r="155" ht="32.25" customHeight="1">
      <c r="A155" s="74">
        <v>46167.0</v>
      </c>
      <c r="B155" s="254" t="s">
        <v>409</v>
      </c>
      <c r="C155" s="78">
        <v>1287.0</v>
      </c>
      <c r="D155" s="79" t="s">
        <v>410</v>
      </c>
      <c r="E155" s="81">
        <v>149.0</v>
      </c>
      <c r="F155" s="204">
        <v>3379.0</v>
      </c>
      <c r="G155" s="83" t="s">
        <v>281</v>
      </c>
      <c r="H155" s="205" t="s">
        <v>311</v>
      </c>
      <c r="I155" s="233">
        <v>1394.0</v>
      </c>
      <c r="J155" s="234" t="s">
        <v>412</v>
      </c>
      <c r="K155" s="91">
        <v>194.0</v>
      </c>
      <c r="L155" s="204">
        <v>4080.0</v>
      </c>
      <c r="M155" s="375" t="s">
        <v>413</v>
      </c>
      <c r="N155" s="377">
        <v>110.0</v>
      </c>
      <c r="O155" s="82">
        <v>3455.0</v>
      </c>
      <c r="P155" s="479" t="s">
        <v>283</v>
      </c>
      <c r="Q155" s="86">
        <v>20.0</v>
      </c>
      <c r="R155" s="204">
        <v>4050.0</v>
      </c>
      <c r="S155" s="94" t="s">
        <v>414</v>
      </c>
      <c r="T155" s="96">
        <v>120.0</v>
      </c>
      <c r="U155" s="97">
        <v>2929.0</v>
      </c>
      <c r="V155" s="99" t="s">
        <v>415</v>
      </c>
      <c r="W155" s="100">
        <v>82.0</v>
      </c>
      <c r="X155" s="14"/>
      <c r="Y155" s="49"/>
    </row>
    <row r="156" ht="34.5" customHeight="1">
      <c r="B156" s="105"/>
      <c r="C156" s="107">
        <v>3426.0</v>
      </c>
      <c r="D156" s="109" t="s">
        <v>416</v>
      </c>
      <c r="E156" s="111">
        <v>120.0</v>
      </c>
      <c r="F156" s="236">
        <v>2175.0</v>
      </c>
      <c r="G156" s="115" t="s">
        <v>417</v>
      </c>
      <c r="H156" s="209">
        <v>187.0</v>
      </c>
      <c r="I156" s="157">
        <v>4185.0</v>
      </c>
      <c r="J156" s="238" t="s">
        <v>780</v>
      </c>
      <c r="K156" s="121"/>
      <c r="L156" s="125">
        <v>1939.0</v>
      </c>
      <c r="M156" s="417" t="s">
        <v>419</v>
      </c>
      <c r="N156" s="209">
        <v>156.0</v>
      </c>
      <c r="O156" s="239">
        <v>3435.0</v>
      </c>
      <c r="P156" s="522" t="s">
        <v>276</v>
      </c>
      <c r="Q156" s="121">
        <v>10.0</v>
      </c>
      <c r="R156" s="125">
        <v>2904.0</v>
      </c>
      <c r="S156" s="115" t="s">
        <v>420</v>
      </c>
      <c r="T156" s="160">
        <v>149.0</v>
      </c>
      <c r="U156" s="131">
        <v>4173.0</v>
      </c>
      <c r="V156" s="132" t="s">
        <v>601</v>
      </c>
      <c r="W156" s="134">
        <v>88.0</v>
      </c>
      <c r="X156" s="14"/>
      <c r="Y156" s="49"/>
    </row>
    <row r="157" ht="16.5" customHeight="1">
      <c r="B157" s="105"/>
      <c r="C157" s="107">
        <v>3679.0</v>
      </c>
      <c r="D157" s="109" t="s">
        <v>784</v>
      </c>
      <c r="E157" s="111">
        <v>95.0</v>
      </c>
      <c r="F157" s="125">
        <v>3814.0</v>
      </c>
      <c r="G157" s="115" t="s">
        <v>422</v>
      </c>
      <c r="H157" s="209">
        <v>188.0</v>
      </c>
      <c r="I157" s="113"/>
      <c r="J157" s="119"/>
      <c r="K157" s="121"/>
      <c r="L157" s="125">
        <v>1982.0</v>
      </c>
      <c r="M157" s="123" t="s">
        <v>423</v>
      </c>
      <c r="N157" s="503" t="s">
        <v>297</v>
      </c>
      <c r="O157" s="239">
        <v>3179.0</v>
      </c>
      <c r="P157" s="240" t="s">
        <v>786</v>
      </c>
      <c r="Q157" s="121"/>
      <c r="R157" s="125"/>
      <c r="S157" s="128"/>
      <c r="T157" s="160"/>
      <c r="U157" s="169"/>
      <c r="V157" s="141"/>
      <c r="W157" s="161"/>
      <c r="X157" s="14"/>
      <c r="Y157" s="49"/>
    </row>
    <row r="158" ht="16.5" customHeight="1">
      <c r="B158" s="105"/>
      <c r="C158" s="107"/>
      <c r="D158" s="480"/>
      <c r="E158" s="156"/>
      <c r="F158" s="125"/>
      <c r="G158" s="471"/>
      <c r="H158" s="244">
        <v>109.0</v>
      </c>
      <c r="I158" s="113"/>
      <c r="J158" s="119"/>
      <c r="K158" s="121"/>
      <c r="L158" s="125">
        <v>1267.0</v>
      </c>
      <c r="M158" s="123" t="s">
        <v>425</v>
      </c>
      <c r="N158" s="209" t="s">
        <v>297</v>
      </c>
      <c r="O158" s="113"/>
      <c r="P158" s="119"/>
      <c r="Q158" s="121"/>
      <c r="R158" s="125"/>
      <c r="S158" s="115"/>
      <c r="T158" s="245"/>
      <c r="U158" s="169"/>
      <c r="V158" s="308"/>
      <c r="W158" s="247"/>
      <c r="X158" s="529"/>
      <c r="Y158" s="531"/>
    </row>
    <row r="159" ht="16.5" customHeight="1">
      <c r="A159" s="535"/>
      <c r="B159" s="105"/>
      <c r="C159" s="107"/>
      <c r="D159" s="119"/>
      <c r="E159" s="156"/>
      <c r="F159" s="125">
        <v>3080.0</v>
      </c>
      <c r="G159" s="132" t="s">
        <v>411</v>
      </c>
      <c r="H159" s="538" t="s">
        <v>297</v>
      </c>
      <c r="I159" s="113"/>
      <c r="J159" s="119"/>
      <c r="K159" s="121"/>
      <c r="L159" s="125">
        <v>2976.0</v>
      </c>
      <c r="M159" s="123" t="s">
        <v>426</v>
      </c>
      <c r="N159" s="209" t="s">
        <v>297</v>
      </c>
      <c r="O159" s="113"/>
      <c r="P159" s="119"/>
      <c r="Q159" s="121"/>
      <c r="R159" s="125"/>
      <c r="S159" s="115"/>
      <c r="T159" s="160"/>
      <c r="U159" s="169"/>
      <c r="V159" s="141"/>
      <c r="W159" s="161"/>
      <c r="X159" s="529"/>
      <c r="Y159" s="531"/>
    </row>
    <row r="160" ht="16.5" customHeight="1">
      <c r="A160" s="535"/>
      <c r="B160" s="105"/>
      <c r="C160" s="107"/>
      <c r="D160" s="119"/>
      <c r="E160" s="156"/>
      <c r="F160" s="125"/>
      <c r="G160" s="115"/>
      <c r="H160" s="244"/>
      <c r="I160" s="113"/>
      <c r="J160" s="119"/>
      <c r="K160" s="121"/>
      <c r="L160" s="125">
        <v>967.0</v>
      </c>
      <c r="M160" s="123" t="s">
        <v>573</v>
      </c>
      <c r="N160" s="209">
        <v>128.0</v>
      </c>
      <c r="O160" s="113"/>
      <c r="P160" s="119"/>
      <c r="Q160" s="121"/>
      <c r="R160" s="125"/>
      <c r="S160" s="115"/>
      <c r="T160" s="160"/>
      <c r="U160" s="169"/>
      <c r="V160" s="141"/>
      <c r="W160" s="161"/>
      <c r="X160" s="529"/>
      <c r="Y160" s="531"/>
    </row>
    <row r="161" ht="16.5" customHeight="1">
      <c r="A161" s="535"/>
      <c r="B161" s="105"/>
      <c r="C161" s="107"/>
      <c r="D161" s="119"/>
      <c r="E161" s="156"/>
      <c r="F161" s="125"/>
      <c r="G161" s="115"/>
      <c r="H161" s="244"/>
      <c r="I161" s="113"/>
      <c r="J161" s="119"/>
      <c r="K161" s="121"/>
      <c r="L161" s="543">
        <v>4119.0</v>
      </c>
      <c r="M161" s="250" t="s">
        <v>773</v>
      </c>
      <c r="N161" s="209"/>
      <c r="O161" s="113"/>
      <c r="P161" s="119"/>
      <c r="Q161" s="121"/>
      <c r="R161" s="125"/>
      <c r="S161" s="115"/>
      <c r="T161" s="160"/>
      <c r="U161" s="169"/>
      <c r="V161" s="141"/>
      <c r="W161" s="161"/>
      <c r="X161" s="529"/>
      <c r="Y161" s="531"/>
    </row>
    <row r="162" ht="16.5" customHeight="1">
      <c r="A162" s="535"/>
      <c r="B162" s="177"/>
      <c r="C162" s="227"/>
      <c r="D162" s="186"/>
      <c r="E162" s="180"/>
      <c r="F162" s="192"/>
      <c r="G162" s="194"/>
      <c r="H162" s="251"/>
      <c r="I162" s="185"/>
      <c r="J162" s="186"/>
      <c r="K162" s="188"/>
      <c r="L162" s="192"/>
      <c r="M162" s="297"/>
      <c r="N162" s="229">
        <v>87.0</v>
      </c>
      <c r="O162" s="185"/>
      <c r="P162" s="186"/>
      <c r="Q162" s="188"/>
      <c r="R162" s="192"/>
      <c r="S162" s="194"/>
      <c r="T162" s="231"/>
      <c r="U162" s="198"/>
      <c r="V162" s="199"/>
      <c r="W162" s="200"/>
      <c r="X162" s="529"/>
      <c r="Y162" s="531"/>
    </row>
    <row r="163" ht="18.75" customHeight="1">
      <c r="A163" s="38"/>
      <c r="B163" s="52"/>
      <c r="C163" s="54" t="s">
        <v>65</v>
      </c>
      <c r="D163" s="56" t="s">
        <v>66</v>
      </c>
      <c r="E163" s="57" t="s">
        <v>67</v>
      </c>
      <c r="F163" s="59" t="s">
        <v>65</v>
      </c>
      <c r="G163" s="59" t="s">
        <v>70</v>
      </c>
      <c r="H163" s="61" t="s">
        <v>67</v>
      </c>
      <c r="I163" s="59" t="s">
        <v>65</v>
      </c>
      <c r="J163" s="64" t="s">
        <v>74</v>
      </c>
      <c r="K163" s="61" t="s">
        <v>67</v>
      </c>
      <c r="L163" s="59" t="s">
        <v>65</v>
      </c>
      <c r="M163" s="66" t="s">
        <v>77</v>
      </c>
      <c r="N163" s="61" t="s">
        <v>67</v>
      </c>
      <c r="O163" s="61" t="s">
        <v>65</v>
      </c>
      <c r="P163" s="61" t="s">
        <v>78</v>
      </c>
      <c r="Q163" s="61" t="s">
        <v>67</v>
      </c>
      <c r="R163" s="59" t="s">
        <v>65</v>
      </c>
      <c r="S163" s="66" t="s">
        <v>79</v>
      </c>
      <c r="T163" s="61" t="s">
        <v>67</v>
      </c>
      <c r="U163" s="71" t="s">
        <v>65</v>
      </c>
      <c r="V163" s="71" t="s">
        <v>80</v>
      </c>
      <c r="W163" s="71" t="s">
        <v>67</v>
      </c>
      <c r="X163" s="14"/>
      <c r="Y163" s="49"/>
    </row>
    <row r="164" ht="31.5" customHeight="1">
      <c r="A164" s="74">
        <v>46168.0</v>
      </c>
      <c r="B164" s="76" t="s">
        <v>298</v>
      </c>
      <c r="C164" s="78">
        <v>4079.0</v>
      </c>
      <c r="D164" s="79" t="s">
        <v>428</v>
      </c>
      <c r="E164" s="81"/>
      <c r="F164" s="204">
        <v>3189.0</v>
      </c>
      <c r="G164" s="83" t="s">
        <v>429</v>
      </c>
      <c r="H164" s="205"/>
      <c r="I164" s="233">
        <v>2288.0</v>
      </c>
      <c r="J164" s="234" t="s">
        <v>379</v>
      </c>
      <c r="K164" s="91"/>
      <c r="L164" s="204">
        <v>813.0</v>
      </c>
      <c r="M164" s="87" t="s">
        <v>430</v>
      </c>
      <c r="N164" s="209" t="s">
        <v>297</v>
      </c>
      <c r="O164" s="82">
        <v>3375.0</v>
      </c>
      <c r="P164" s="479" t="s">
        <v>302</v>
      </c>
      <c r="Q164" s="86">
        <v>20.0</v>
      </c>
      <c r="R164" s="204">
        <v>4051.0</v>
      </c>
      <c r="S164" s="94" t="s">
        <v>350</v>
      </c>
      <c r="T164" s="96"/>
      <c r="U164" s="97">
        <v>4086.0</v>
      </c>
      <c r="V164" s="99" t="s">
        <v>431</v>
      </c>
      <c r="W164" s="100">
        <v>70.0</v>
      </c>
      <c r="X164" s="14"/>
      <c r="Y164" s="49"/>
    </row>
    <row r="165" ht="31.5" customHeight="1">
      <c r="B165" s="105"/>
      <c r="C165" s="107">
        <v>3253.0</v>
      </c>
      <c r="D165" s="109" t="s">
        <v>433</v>
      </c>
      <c r="E165" s="111"/>
      <c r="F165" s="236">
        <v>3216.0</v>
      </c>
      <c r="G165" s="115" t="s">
        <v>434</v>
      </c>
      <c r="H165" s="209"/>
      <c r="I165" s="157">
        <v>3799.0</v>
      </c>
      <c r="J165" s="238" t="s">
        <v>450</v>
      </c>
      <c r="K165" s="121"/>
      <c r="L165" s="125">
        <v>4105.0</v>
      </c>
      <c r="M165" s="138" t="s">
        <v>435</v>
      </c>
      <c r="N165" s="209"/>
      <c r="O165" s="239"/>
      <c r="P165" s="240"/>
      <c r="Q165" s="121"/>
      <c r="R165" s="125">
        <v>3140.0</v>
      </c>
      <c r="S165" s="115" t="s">
        <v>436</v>
      </c>
      <c r="T165" s="160"/>
      <c r="U165" s="131">
        <v>3999.0</v>
      </c>
      <c r="V165" s="132" t="s">
        <v>364</v>
      </c>
      <c r="W165" s="134"/>
      <c r="X165" s="529"/>
      <c r="Y165" s="531"/>
    </row>
    <row r="166" ht="33.75" customHeight="1">
      <c r="B166" s="105"/>
      <c r="C166" s="107"/>
      <c r="D166" s="109"/>
      <c r="E166" s="111"/>
      <c r="F166" s="125">
        <v>2303.0</v>
      </c>
      <c r="G166" s="115" t="s">
        <v>437</v>
      </c>
      <c r="H166" s="209"/>
      <c r="I166" s="113"/>
      <c r="J166" s="119"/>
      <c r="K166" s="121"/>
      <c r="L166" s="125">
        <v>26.0</v>
      </c>
      <c r="M166" s="123" t="s">
        <v>397</v>
      </c>
      <c r="N166" s="209"/>
      <c r="O166" s="239"/>
      <c r="P166" s="240"/>
      <c r="Q166" s="121"/>
      <c r="R166" s="125"/>
      <c r="S166" s="128"/>
      <c r="T166" s="160"/>
      <c r="U166" s="131"/>
      <c r="V166" s="132"/>
      <c r="W166" s="161"/>
      <c r="X166" s="14"/>
      <c r="Y166" s="49"/>
    </row>
    <row r="167" ht="32.25" customHeight="1">
      <c r="B167" s="105"/>
      <c r="C167" s="107"/>
      <c r="D167" s="480"/>
      <c r="E167" s="156"/>
      <c r="F167" s="125">
        <v>4089.0</v>
      </c>
      <c r="G167" s="471" t="s">
        <v>438</v>
      </c>
      <c r="H167" s="244"/>
      <c r="I167" s="113"/>
      <c r="J167" s="119"/>
      <c r="K167" s="121"/>
      <c r="L167" s="125">
        <v>4100.0</v>
      </c>
      <c r="M167" s="123" t="s">
        <v>439</v>
      </c>
      <c r="N167" s="209"/>
      <c r="O167" s="113"/>
      <c r="P167" s="119"/>
      <c r="Q167" s="121"/>
      <c r="R167" s="125"/>
      <c r="S167" s="115"/>
      <c r="T167" s="245"/>
      <c r="U167" s="169"/>
      <c r="V167" s="308"/>
      <c r="W167" s="247"/>
      <c r="X167" s="14"/>
      <c r="Y167" s="49"/>
    </row>
    <row r="168" ht="16.5" customHeight="1">
      <c r="A168" s="535"/>
      <c r="B168" s="105"/>
      <c r="C168" s="107"/>
      <c r="D168" s="119"/>
      <c r="E168" s="156"/>
      <c r="F168" s="125"/>
      <c r="G168" s="481"/>
      <c r="H168" s="244"/>
      <c r="I168" s="113"/>
      <c r="J168" s="119"/>
      <c r="K168" s="121"/>
      <c r="L168" s="125">
        <v>3474.0</v>
      </c>
      <c r="M168" s="138" t="s">
        <v>441</v>
      </c>
      <c r="N168" s="209" t="s">
        <v>297</v>
      </c>
      <c r="O168" s="113"/>
      <c r="P168" s="119"/>
      <c r="Q168" s="121"/>
      <c r="R168" s="125"/>
      <c r="S168" s="115"/>
      <c r="T168" s="160"/>
      <c r="U168" s="169"/>
      <c r="V168" s="141"/>
      <c r="W168" s="161"/>
      <c r="X168" s="14"/>
      <c r="Y168" s="49"/>
    </row>
    <row r="169" ht="16.5" customHeight="1">
      <c r="A169" s="535"/>
      <c r="B169" s="105"/>
      <c r="C169" s="107"/>
      <c r="D169" s="119"/>
      <c r="E169" s="156"/>
      <c r="F169" s="125"/>
      <c r="G169" s="115"/>
      <c r="H169" s="244"/>
      <c r="I169" s="113"/>
      <c r="J169" s="119"/>
      <c r="K169" s="121"/>
      <c r="L169" s="125"/>
      <c r="M169" s="119"/>
      <c r="N169" s="209"/>
      <c r="O169" s="113"/>
      <c r="P169" s="119"/>
      <c r="Q169" s="121"/>
      <c r="R169" s="125"/>
      <c r="S169" s="115"/>
      <c r="T169" s="160"/>
      <c r="U169" s="169"/>
      <c r="V169" s="141"/>
      <c r="W169" s="161"/>
      <c r="X169" s="14"/>
      <c r="Y169" s="49"/>
    </row>
    <row r="170" ht="16.5" customHeight="1">
      <c r="A170" s="535"/>
      <c r="B170" s="105"/>
      <c r="C170" s="107"/>
      <c r="D170" s="119"/>
      <c r="E170" s="156"/>
      <c r="F170" s="125"/>
      <c r="G170" s="115"/>
      <c r="H170" s="244"/>
      <c r="I170" s="113"/>
      <c r="J170" s="119"/>
      <c r="K170" s="121"/>
      <c r="L170" s="249"/>
      <c r="M170" s="572"/>
      <c r="N170" s="209"/>
      <c r="O170" s="113"/>
      <c r="P170" s="119"/>
      <c r="Q170" s="121"/>
      <c r="R170" s="125"/>
      <c r="S170" s="115"/>
      <c r="T170" s="160"/>
      <c r="U170" s="169"/>
      <c r="V170" s="141"/>
      <c r="W170" s="161"/>
      <c r="X170" s="14"/>
      <c r="Y170" s="49"/>
    </row>
    <row r="171" ht="16.5" customHeight="1">
      <c r="A171" s="535"/>
      <c r="B171" s="177"/>
      <c r="C171" s="227"/>
      <c r="D171" s="186"/>
      <c r="E171" s="180"/>
      <c r="F171" s="192"/>
      <c r="G171" s="194"/>
      <c r="H171" s="251"/>
      <c r="I171" s="185"/>
      <c r="J171" s="186"/>
      <c r="K171" s="188"/>
      <c r="L171" s="192">
        <v>4186.0</v>
      </c>
      <c r="M171" s="578" t="s">
        <v>775</v>
      </c>
      <c r="N171" s="229"/>
      <c r="O171" s="185"/>
      <c r="P171" s="186"/>
      <c r="Q171" s="188"/>
      <c r="R171" s="192"/>
      <c r="S171" s="194"/>
      <c r="T171" s="231"/>
      <c r="U171" s="198"/>
      <c r="V171" s="199"/>
      <c r="W171" s="200"/>
      <c r="X171" s="14"/>
      <c r="Y171" s="49"/>
    </row>
    <row r="172" ht="18.75" customHeight="1">
      <c r="A172" s="38"/>
      <c r="B172" s="52"/>
      <c r="C172" s="54" t="s">
        <v>65</v>
      </c>
      <c r="D172" s="56" t="s">
        <v>66</v>
      </c>
      <c r="E172" s="57" t="s">
        <v>67</v>
      </c>
      <c r="F172" s="59" t="s">
        <v>65</v>
      </c>
      <c r="G172" s="59" t="s">
        <v>70</v>
      </c>
      <c r="H172" s="61" t="s">
        <v>67</v>
      </c>
      <c r="I172" s="59" t="s">
        <v>65</v>
      </c>
      <c r="J172" s="64" t="s">
        <v>74</v>
      </c>
      <c r="K172" s="61" t="s">
        <v>67</v>
      </c>
      <c r="L172" s="59" t="s">
        <v>65</v>
      </c>
      <c r="M172" s="66" t="s">
        <v>77</v>
      </c>
      <c r="N172" s="61" t="s">
        <v>67</v>
      </c>
      <c r="O172" s="61" t="s">
        <v>65</v>
      </c>
      <c r="P172" s="61" t="s">
        <v>78</v>
      </c>
      <c r="Q172" s="61" t="s">
        <v>67</v>
      </c>
      <c r="R172" s="59" t="s">
        <v>65</v>
      </c>
      <c r="S172" s="66" t="s">
        <v>79</v>
      </c>
      <c r="T172" s="61" t="s">
        <v>67</v>
      </c>
      <c r="U172" s="71" t="s">
        <v>65</v>
      </c>
      <c r="V172" s="71" t="s">
        <v>80</v>
      </c>
      <c r="W172" s="71" t="s">
        <v>67</v>
      </c>
      <c r="X172" s="14"/>
      <c r="Y172" s="49"/>
    </row>
    <row r="173" ht="30.0" customHeight="1">
      <c r="A173" s="74">
        <v>46169.0</v>
      </c>
      <c r="B173" s="254" t="s">
        <v>319</v>
      </c>
      <c r="C173" s="78">
        <v>3014.0</v>
      </c>
      <c r="D173" s="79" t="s">
        <v>444</v>
      </c>
      <c r="E173" s="81"/>
      <c r="F173" s="204">
        <v>4088.0</v>
      </c>
      <c r="G173" s="83" t="s">
        <v>445</v>
      </c>
      <c r="H173" s="205"/>
      <c r="I173" s="233">
        <v>380.0</v>
      </c>
      <c r="J173" s="234" t="s">
        <v>323</v>
      </c>
      <c r="K173" s="91"/>
      <c r="L173" s="204">
        <v>3889.0</v>
      </c>
      <c r="M173" s="87" t="s">
        <v>446</v>
      </c>
      <c r="N173" s="209"/>
      <c r="O173" s="82">
        <v>3454.0</v>
      </c>
      <c r="P173" s="479" t="s">
        <v>346</v>
      </c>
      <c r="Q173" s="86">
        <v>20.0</v>
      </c>
      <c r="R173" s="204">
        <v>2083.0</v>
      </c>
      <c r="S173" s="94" t="s">
        <v>284</v>
      </c>
      <c r="T173" s="96"/>
      <c r="U173" s="97">
        <v>3630.0</v>
      </c>
      <c r="V173" s="99" t="s">
        <v>525</v>
      </c>
      <c r="W173" s="100">
        <v>70.0</v>
      </c>
      <c r="X173" s="14"/>
      <c r="Y173" s="49"/>
    </row>
    <row r="174" ht="30.75" customHeight="1">
      <c r="B174" s="105"/>
      <c r="C174" s="107">
        <v>3290.0</v>
      </c>
      <c r="D174" s="109" t="s">
        <v>401</v>
      </c>
      <c r="E174" s="111"/>
      <c r="F174" s="236">
        <v>1160.0</v>
      </c>
      <c r="G174" s="115" t="s">
        <v>449</v>
      </c>
      <c r="H174" s="209"/>
      <c r="I174" s="157"/>
      <c r="J174" s="238"/>
      <c r="K174" s="121"/>
      <c r="L174" s="125">
        <v>1899.0</v>
      </c>
      <c r="M174" s="167" t="s">
        <v>451</v>
      </c>
      <c r="N174" s="209"/>
      <c r="O174" s="239">
        <v>3527.0</v>
      </c>
      <c r="P174" s="522" t="s">
        <v>329</v>
      </c>
      <c r="Q174" s="121">
        <v>28.0</v>
      </c>
      <c r="R174" s="125">
        <v>4113.0</v>
      </c>
      <c r="S174" s="115" t="s">
        <v>859</v>
      </c>
      <c r="T174" s="160"/>
      <c r="U174" s="131">
        <v>3997.0</v>
      </c>
      <c r="V174" s="132" t="s">
        <v>312</v>
      </c>
      <c r="W174" s="134"/>
      <c r="X174" s="14"/>
      <c r="Y174" s="49"/>
    </row>
    <row r="175" ht="31.5" customHeight="1">
      <c r="B175" s="105"/>
      <c r="C175" s="107">
        <v>2423.0</v>
      </c>
      <c r="D175" s="109" t="s">
        <v>452</v>
      </c>
      <c r="E175" s="111"/>
      <c r="F175" s="125">
        <v>31.0</v>
      </c>
      <c r="G175" s="115" t="s">
        <v>453</v>
      </c>
      <c r="H175" s="209"/>
      <c r="I175" s="113"/>
      <c r="J175" s="119"/>
      <c r="K175" s="121"/>
      <c r="L175" s="125">
        <v>965.0</v>
      </c>
      <c r="M175" s="138" t="s">
        <v>454</v>
      </c>
      <c r="N175" s="209" t="s">
        <v>297</v>
      </c>
      <c r="O175" s="239">
        <v>2079.0</v>
      </c>
      <c r="P175" s="522" t="s">
        <v>361</v>
      </c>
      <c r="Q175" s="121"/>
      <c r="R175" s="125"/>
      <c r="S175" s="128"/>
      <c r="T175" s="160"/>
      <c r="U175" s="169"/>
      <c r="V175" s="141"/>
      <c r="W175" s="161"/>
      <c r="X175" s="14"/>
      <c r="Y175" s="49"/>
    </row>
    <row r="176" ht="28.5" customHeight="1">
      <c r="B176" s="105"/>
      <c r="C176" s="107"/>
      <c r="D176" s="480"/>
      <c r="E176" s="156"/>
      <c r="F176" s="125">
        <v>3306.0</v>
      </c>
      <c r="G176" s="471" t="s">
        <v>455</v>
      </c>
      <c r="H176" s="244"/>
      <c r="I176" s="113"/>
      <c r="J176" s="119"/>
      <c r="K176" s="121"/>
      <c r="L176" s="125">
        <v>2029.0</v>
      </c>
      <c r="M176" s="167" t="s">
        <v>868</v>
      </c>
      <c r="N176" s="209" t="s">
        <v>297</v>
      </c>
      <c r="O176" s="113"/>
      <c r="P176" s="119"/>
      <c r="Q176" s="121"/>
      <c r="R176" s="125"/>
      <c r="S176" s="115"/>
      <c r="T176" s="245"/>
      <c r="U176" s="169"/>
      <c r="V176" s="308"/>
      <c r="W176" s="247"/>
      <c r="X176" s="14"/>
      <c r="Y176" s="49"/>
    </row>
    <row r="177" ht="16.5" customHeight="1">
      <c r="A177" s="535"/>
      <c r="B177" s="105"/>
      <c r="C177" s="107"/>
      <c r="D177" s="119"/>
      <c r="E177" s="156"/>
      <c r="F177" s="125"/>
      <c r="G177" s="481"/>
      <c r="H177" s="244"/>
      <c r="I177" s="113"/>
      <c r="J177" s="119"/>
      <c r="K177" s="121"/>
      <c r="L177" s="125">
        <v>4099.0</v>
      </c>
      <c r="M177" s="123" t="s">
        <v>457</v>
      </c>
      <c r="N177" s="209"/>
      <c r="O177" s="113"/>
      <c r="P177" s="119"/>
      <c r="Q177" s="121"/>
      <c r="R177" s="125"/>
      <c r="S177" s="115"/>
      <c r="T177" s="160"/>
      <c r="U177" s="169"/>
      <c r="V177" s="141"/>
      <c r="W177" s="161"/>
      <c r="X177" s="14"/>
      <c r="Y177" s="49"/>
    </row>
    <row r="178" ht="24.0" customHeight="1">
      <c r="A178" s="535"/>
      <c r="B178" s="105"/>
      <c r="C178" s="107"/>
      <c r="D178" s="119"/>
      <c r="E178" s="156"/>
      <c r="F178" s="125"/>
      <c r="G178" s="115"/>
      <c r="H178" s="244"/>
      <c r="I178" s="113"/>
      <c r="J178" s="119"/>
      <c r="K178" s="121"/>
      <c r="L178" s="125">
        <v>4176.0</v>
      </c>
      <c r="M178" s="123" t="s">
        <v>594</v>
      </c>
      <c r="N178" s="209" t="s">
        <v>297</v>
      </c>
      <c r="O178" s="113"/>
      <c r="P178" s="119"/>
      <c r="Q178" s="121"/>
      <c r="R178" s="125"/>
      <c r="S178" s="115"/>
      <c r="T178" s="160"/>
      <c r="U178" s="169"/>
      <c r="V178" s="141"/>
      <c r="W178" s="161"/>
      <c r="X178" s="14"/>
      <c r="Y178" s="49"/>
    </row>
    <row r="179" ht="16.5" customHeight="1">
      <c r="A179" s="535"/>
      <c r="B179" s="105"/>
      <c r="C179" s="107"/>
      <c r="D179" s="119"/>
      <c r="E179" s="156"/>
      <c r="F179" s="125"/>
      <c r="G179" s="115"/>
      <c r="H179" s="244"/>
      <c r="I179" s="113"/>
      <c r="J179" s="119"/>
      <c r="K179" s="121"/>
      <c r="L179" s="249"/>
      <c r="M179" s="572"/>
      <c r="N179" s="209"/>
      <c r="O179" s="113"/>
      <c r="P179" s="119"/>
      <c r="Q179" s="121"/>
      <c r="R179" s="125"/>
      <c r="S179" s="115"/>
      <c r="T179" s="160"/>
      <c r="U179" s="169"/>
      <c r="V179" s="141"/>
      <c r="W179" s="161"/>
      <c r="X179" s="14"/>
      <c r="Y179" s="49"/>
    </row>
    <row r="180" ht="16.5" customHeight="1">
      <c r="A180" s="535"/>
      <c r="B180" s="177"/>
      <c r="C180" s="227"/>
      <c r="D180" s="186"/>
      <c r="E180" s="180"/>
      <c r="F180" s="192"/>
      <c r="G180" s="194"/>
      <c r="H180" s="251"/>
      <c r="I180" s="185"/>
      <c r="J180" s="186"/>
      <c r="K180" s="188"/>
      <c r="L180" s="192">
        <v>4192.0</v>
      </c>
      <c r="M180" s="458" t="s">
        <v>777</v>
      </c>
      <c r="N180" s="229"/>
      <c r="O180" s="185"/>
      <c r="P180" s="186"/>
      <c r="Q180" s="188"/>
      <c r="R180" s="192"/>
      <c r="S180" s="194"/>
      <c r="T180" s="231"/>
      <c r="U180" s="198"/>
      <c r="V180" s="199"/>
      <c r="W180" s="200"/>
      <c r="X180" s="14"/>
      <c r="Y180" s="49"/>
    </row>
    <row r="181" ht="18.75" customHeight="1">
      <c r="A181" s="38"/>
      <c r="B181" s="52"/>
      <c r="C181" s="54" t="s">
        <v>65</v>
      </c>
      <c r="D181" s="56" t="s">
        <v>66</v>
      </c>
      <c r="E181" s="57" t="s">
        <v>67</v>
      </c>
      <c r="F181" s="59" t="s">
        <v>65</v>
      </c>
      <c r="G181" s="59" t="s">
        <v>70</v>
      </c>
      <c r="H181" s="61" t="s">
        <v>67</v>
      </c>
      <c r="I181" s="59" t="s">
        <v>65</v>
      </c>
      <c r="J181" s="64" t="s">
        <v>74</v>
      </c>
      <c r="K181" s="61" t="s">
        <v>67</v>
      </c>
      <c r="L181" s="59" t="s">
        <v>65</v>
      </c>
      <c r="M181" s="66" t="s">
        <v>77</v>
      </c>
      <c r="N181" s="61" t="s">
        <v>67</v>
      </c>
      <c r="O181" s="61" t="s">
        <v>65</v>
      </c>
      <c r="P181" s="61" t="s">
        <v>78</v>
      </c>
      <c r="Q181" s="61" t="s">
        <v>67</v>
      </c>
      <c r="R181" s="59" t="s">
        <v>65</v>
      </c>
      <c r="S181" s="66" t="s">
        <v>79</v>
      </c>
      <c r="T181" s="61" t="s">
        <v>67</v>
      </c>
      <c r="U181" s="71" t="s">
        <v>65</v>
      </c>
      <c r="V181" s="71" t="s">
        <v>80</v>
      </c>
      <c r="W181" s="71" t="s">
        <v>67</v>
      </c>
      <c r="X181" s="14"/>
      <c r="Y181" s="49"/>
    </row>
    <row r="182" ht="33.0" customHeight="1">
      <c r="A182" s="74">
        <v>46170.0</v>
      </c>
      <c r="B182" s="76" t="s">
        <v>376</v>
      </c>
      <c r="C182" s="78">
        <v>89.0</v>
      </c>
      <c r="D182" s="79" t="s">
        <v>460</v>
      </c>
      <c r="E182" s="81"/>
      <c r="F182" s="204">
        <v>3654.0</v>
      </c>
      <c r="G182" s="83" t="s">
        <v>461</v>
      </c>
      <c r="H182" s="205"/>
      <c r="I182" s="233">
        <v>8.0</v>
      </c>
      <c r="J182" s="234" t="s">
        <v>272</v>
      </c>
      <c r="K182" s="91"/>
      <c r="L182" s="204">
        <v>3768.0</v>
      </c>
      <c r="M182" s="623" t="s">
        <v>462</v>
      </c>
      <c r="N182" s="209" t="s">
        <v>297</v>
      </c>
      <c r="O182" s="82">
        <v>3528.0</v>
      </c>
      <c r="P182" s="479" t="s">
        <v>463</v>
      </c>
      <c r="Q182" s="86"/>
      <c r="R182" s="204">
        <v>5.0</v>
      </c>
      <c r="S182" s="94" t="s">
        <v>387</v>
      </c>
      <c r="T182" s="96"/>
      <c r="U182" s="97">
        <v>4000.0</v>
      </c>
      <c r="V182" s="99" t="s">
        <v>289</v>
      </c>
      <c r="W182" s="100">
        <v>70.0</v>
      </c>
      <c r="X182" s="14"/>
      <c r="Y182" s="49"/>
    </row>
    <row r="183" ht="33.0" customHeight="1">
      <c r="B183" s="105"/>
      <c r="C183" s="107">
        <v>4111.0</v>
      </c>
      <c r="D183" s="109" t="s">
        <v>465</v>
      </c>
      <c r="E183" s="111"/>
      <c r="F183" s="236">
        <v>3180.0</v>
      </c>
      <c r="G183" s="115" t="s">
        <v>466</v>
      </c>
      <c r="H183" s="209"/>
      <c r="I183" s="157"/>
      <c r="J183" s="238"/>
      <c r="K183" s="121"/>
      <c r="L183" s="125">
        <v>3770.0</v>
      </c>
      <c r="M183" s="307" t="s">
        <v>467</v>
      </c>
      <c r="N183" s="209" t="s">
        <v>297</v>
      </c>
      <c r="O183" s="239">
        <v>1158.0</v>
      </c>
      <c r="P183" s="240" t="s">
        <v>709</v>
      </c>
      <c r="Q183" s="121"/>
      <c r="R183" s="125">
        <v>3330.0</v>
      </c>
      <c r="S183" s="115" t="s">
        <v>330</v>
      </c>
      <c r="T183" s="160"/>
      <c r="U183" s="131">
        <v>4197.0</v>
      </c>
      <c r="V183" s="132" t="s">
        <v>897</v>
      </c>
      <c r="W183" s="134"/>
      <c r="X183" s="14"/>
      <c r="Y183" s="49"/>
    </row>
    <row r="184" ht="48.0" customHeight="1">
      <c r="B184" s="105"/>
      <c r="C184" s="107">
        <v>2936.0</v>
      </c>
      <c r="D184" s="109" t="s">
        <v>468</v>
      </c>
      <c r="E184" s="111"/>
      <c r="F184" s="125">
        <v>3141.0</v>
      </c>
      <c r="G184" s="115" t="s">
        <v>469</v>
      </c>
      <c r="H184" s="209"/>
      <c r="I184" s="113"/>
      <c r="J184" s="119"/>
      <c r="K184" s="121"/>
      <c r="L184" s="125">
        <v>3769.0</v>
      </c>
      <c r="M184" s="307" t="s">
        <v>470</v>
      </c>
      <c r="N184" s="209" t="s">
        <v>297</v>
      </c>
      <c r="O184" s="239"/>
      <c r="P184" s="240"/>
      <c r="Q184" s="121"/>
      <c r="R184" s="125"/>
      <c r="S184" s="128"/>
      <c r="T184" s="160"/>
      <c r="U184" s="131"/>
      <c r="V184" s="132"/>
      <c r="W184" s="161"/>
      <c r="X184" s="14"/>
      <c r="Y184" s="49"/>
    </row>
    <row r="185" ht="16.5" customHeight="1">
      <c r="B185" s="105"/>
      <c r="C185" s="107"/>
      <c r="D185" s="480"/>
      <c r="E185" s="156"/>
      <c r="F185" s="125">
        <v>2067.0</v>
      </c>
      <c r="G185" s="471" t="s">
        <v>472</v>
      </c>
      <c r="H185" s="244"/>
      <c r="I185" s="113"/>
      <c r="J185" s="119"/>
      <c r="K185" s="121"/>
      <c r="L185" s="125">
        <v>2859.0</v>
      </c>
      <c r="M185" s="123" t="s">
        <v>474</v>
      </c>
      <c r="N185" s="209"/>
      <c r="O185" s="113"/>
      <c r="P185" s="119"/>
      <c r="Q185" s="121"/>
      <c r="R185" s="125"/>
      <c r="S185" s="115"/>
      <c r="T185" s="245"/>
      <c r="U185" s="131"/>
      <c r="V185" s="246"/>
      <c r="W185" s="247"/>
      <c r="X185" s="14"/>
      <c r="Y185" s="49"/>
    </row>
    <row r="186" ht="16.5" customHeight="1">
      <c r="A186" s="535"/>
      <c r="B186" s="105"/>
      <c r="C186" s="107"/>
      <c r="D186" s="119"/>
      <c r="E186" s="156"/>
      <c r="F186" s="125"/>
      <c r="G186" s="481"/>
      <c r="H186" s="244"/>
      <c r="I186" s="113"/>
      <c r="J186" s="119"/>
      <c r="K186" s="121"/>
      <c r="L186" s="125">
        <v>475.0</v>
      </c>
      <c r="M186" s="123" t="s">
        <v>782</v>
      </c>
      <c r="N186" s="209"/>
      <c r="O186" s="113"/>
      <c r="P186" s="119"/>
      <c r="Q186" s="121"/>
      <c r="R186" s="125"/>
      <c r="S186" s="115"/>
      <c r="T186" s="160"/>
      <c r="U186" s="169"/>
      <c r="V186" s="141"/>
      <c r="W186" s="161"/>
      <c r="X186" s="14"/>
      <c r="Y186" s="49"/>
    </row>
    <row r="187" ht="16.5" customHeight="1">
      <c r="A187" s="535"/>
      <c r="B187" s="105"/>
      <c r="C187" s="107"/>
      <c r="D187" s="119"/>
      <c r="E187" s="156"/>
      <c r="F187" s="125"/>
      <c r="G187" s="115"/>
      <c r="H187" s="244"/>
      <c r="I187" s="113"/>
      <c r="J187" s="119"/>
      <c r="K187" s="121"/>
      <c r="L187" s="125">
        <v>1327.0</v>
      </c>
      <c r="M187" s="644" t="s">
        <v>548</v>
      </c>
      <c r="N187" s="209">
        <v>150.0</v>
      </c>
      <c r="O187" s="113"/>
      <c r="P187" s="119"/>
      <c r="Q187" s="121"/>
      <c r="R187" s="125"/>
      <c r="S187" s="115"/>
      <c r="T187" s="160"/>
      <c r="U187" s="169"/>
      <c r="V187" s="141"/>
      <c r="W187" s="161"/>
      <c r="X187" s="14"/>
      <c r="Y187" s="49"/>
    </row>
    <row r="188" ht="16.5" customHeight="1">
      <c r="A188" s="535"/>
      <c r="B188" s="105"/>
      <c r="C188" s="107"/>
      <c r="D188" s="119"/>
      <c r="E188" s="156"/>
      <c r="F188" s="125"/>
      <c r="G188" s="115"/>
      <c r="H188" s="244"/>
      <c r="I188" s="113"/>
      <c r="J188" s="119"/>
      <c r="K188" s="121"/>
      <c r="L188" s="249">
        <v>4193.0</v>
      </c>
      <c r="M188" s="648" t="s">
        <v>779</v>
      </c>
      <c r="N188" s="209"/>
      <c r="O188" s="113"/>
      <c r="P188" s="119"/>
      <c r="Q188" s="121"/>
      <c r="R188" s="125"/>
      <c r="S188" s="115"/>
      <c r="T188" s="160"/>
      <c r="U188" s="169"/>
      <c r="V188" s="141"/>
      <c r="W188" s="161"/>
      <c r="X188" s="14"/>
      <c r="Y188" s="49"/>
    </row>
    <row r="189" ht="16.5" customHeight="1">
      <c r="A189" s="535"/>
      <c r="B189" s="177"/>
      <c r="C189" s="227"/>
      <c r="D189" s="186"/>
      <c r="E189" s="180"/>
      <c r="F189" s="192"/>
      <c r="G189" s="194"/>
      <c r="H189" s="251"/>
      <c r="I189" s="185"/>
      <c r="J189" s="186"/>
      <c r="K189" s="188"/>
      <c r="L189" s="192">
        <v>3266.0</v>
      </c>
      <c r="M189" s="652" t="s">
        <v>427</v>
      </c>
      <c r="N189" s="229"/>
      <c r="O189" s="185"/>
      <c r="P189" s="186"/>
      <c r="Q189" s="188"/>
      <c r="R189" s="192"/>
      <c r="S189" s="194"/>
      <c r="T189" s="231"/>
      <c r="U189" s="198"/>
      <c r="V189" s="199"/>
      <c r="W189" s="200"/>
      <c r="X189" s="14"/>
      <c r="Y189" s="49"/>
    </row>
    <row r="190" ht="16.5" customHeight="1">
      <c r="A190" s="38"/>
      <c r="B190" s="14"/>
      <c r="C190" s="15"/>
      <c r="D190" s="17"/>
      <c r="E190" s="655"/>
      <c r="F190" s="371"/>
      <c r="G190" s="657"/>
      <c r="H190" s="27"/>
      <c r="I190" s="28"/>
      <c r="J190" s="31"/>
      <c r="K190" s="28"/>
      <c r="L190" s="21"/>
      <c r="M190" s="339"/>
      <c r="N190" s="27"/>
      <c r="O190" s="27"/>
      <c r="P190" s="17"/>
      <c r="Q190" s="17"/>
      <c r="R190" s="27"/>
      <c r="S190" s="17"/>
      <c r="T190" s="35"/>
      <c r="U190" s="14"/>
      <c r="V190" s="14"/>
      <c r="W190" s="14"/>
      <c r="X190" s="14"/>
      <c r="Y190" s="49"/>
    </row>
    <row r="191" ht="15.75" customHeight="1">
      <c r="A191" s="38"/>
      <c r="B191" s="49"/>
      <c r="C191" s="15"/>
      <c r="D191" s="663"/>
      <c r="E191" s="664"/>
      <c r="F191" s="665"/>
      <c r="G191" s="539"/>
      <c r="H191" s="373"/>
      <c r="I191" s="665"/>
      <c r="J191" s="666"/>
      <c r="K191" s="665"/>
      <c r="L191" s="667"/>
      <c r="M191" s="668"/>
      <c r="N191" s="373"/>
      <c r="O191" s="373"/>
      <c r="P191" s="670"/>
      <c r="Q191" s="665"/>
      <c r="R191" s="665"/>
      <c r="S191" s="539"/>
      <c r="T191" s="672"/>
      <c r="U191" s="49"/>
      <c r="V191" s="49"/>
      <c r="W191" s="49"/>
      <c r="X191" s="49"/>
      <c r="Y191" s="49"/>
    </row>
    <row r="192" ht="15.75" customHeight="1">
      <c r="A192" s="38"/>
      <c r="B192" s="49"/>
      <c r="C192" s="15"/>
      <c r="D192" s="663"/>
      <c r="E192" s="664"/>
      <c r="F192" s="665"/>
      <c r="G192" s="539"/>
      <c r="H192" s="373"/>
      <c r="I192" s="665"/>
      <c r="J192" s="666"/>
      <c r="K192" s="665"/>
      <c r="L192" s="667"/>
      <c r="M192" s="668"/>
      <c r="N192" s="373"/>
      <c r="O192" s="373"/>
      <c r="P192" s="670"/>
      <c r="Q192" s="665"/>
      <c r="R192" s="665"/>
      <c r="S192" s="539"/>
      <c r="T192" s="672"/>
      <c r="U192" s="49"/>
      <c r="V192" s="49"/>
      <c r="W192" s="49"/>
      <c r="X192" s="49"/>
      <c r="Y192" s="49"/>
    </row>
    <row r="193" ht="15.75" customHeight="1">
      <c r="A193" s="38"/>
      <c r="B193" s="49"/>
      <c r="C193" s="15"/>
      <c r="D193" s="663"/>
      <c r="E193" s="664"/>
      <c r="F193" s="665"/>
      <c r="G193" s="539"/>
      <c r="H193" s="373"/>
      <c r="I193" s="665"/>
      <c r="J193" s="666"/>
      <c r="K193" s="665"/>
      <c r="L193" s="667"/>
      <c r="M193" s="668"/>
      <c r="N193" s="373"/>
      <c r="O193" s="373"/>
      <c r="P193" s="670"/>
      <c r="Q193" s="665"/>
      <c r="R193" s="665"/>
      <c r="S193" s="539"/>
      <c r="T193" s="672"/>
      <c r="U193" s="49"/>
      <c r="V193" s="49"/>
      <c r="W193" s="49"/>
      <c r="X193" s="49"/>
      <c r="Y193" s="49"/>
    </row>
    <row r="194" ht="15.75" customHeight="1">
      <c r="A194" s="38"/>
      <c r="B194" s="49"/>
      <c r="C194" s="15"/>
      <c r="D194" s="663"/>
      <c r="E194" s="664"/>
      <c r="F194" s="665"/>
      <c r="G194" s="539"/>
      <c r="H194" s="373"/>
      <c r="I194" s="665"/>
      <c r="J194" s="666"/>
      <c r="K194" s="665"/>
      <c r="L194" s="667"/>
      <c r="M194" s="668"/>
      <c r="N194" s="373"/>
      <c r="O194" s="373"/>
      <c r="P194" s="670"/>
      <c r="Q194" s="665"/>
      <c r="R194" s="665"/>
      <c r="S194" s="539"/>
      <c r="T194" s="672"/>
      <c r="U194" s="49"/>
      <c r="V194" s="49"/>
      <c r="W194" s="49"/>
      <c r="X194" s="49"/>
      <c r="Y194" s="49"/>
    </row>
    <row r="195" ht="15.75" customHeight="1">
      <c r="A195" s="38"/>
      <c r="B195" s="49"/>
      <c r="C195" s="15"/>
      <c r="D195" s="663"/>
      <c r="E195" s="664"/>
      <c r="F195" s="665"/>
      <c r="G195" s="539"/>
      <c r="H195" s="373"/>
      <c r="I195" s="665"/>
      <c r="J195" s="666"/>
      <c r="K195" s="665"/>
      <c r="L195" s="667"/>
      <c r="M195" s="668"/>
      <c r="N195" s="373"/>
      <c r="O195" s="373"/>
      <c r="P195" s="670"/>
      <c r="Q195" s="665"/>
      <c r="R195" s="665"/>
      <c r="S195" s="539"/>
      <c r="T195" s="672"/>
      <c r="U195" s="49"/>
      <c r="V195" s="49"/>
      <c r="W195" s="49"/>
      <c r="X195" s="49"/>
      <c r="Y195" s="49"/>
    </row>
    <row r="196" ht="15.75" customHeight="1">
      <c r="A196" s="38"/>
      <c r="B196" s="49"/>
      <c r="C196" s="15"/>
      <c r="D196" s="663"/>
      <c r="E196" s="664"/>
      <c r="F196" s="665"/>
      <c r="G196" s="539"/>
      <c r="H196" s="373"/>
      <c r="I196" s="665"/>
      <c r="J196" s="666"/>
      <c r="K196" s="665"/>
      <c r="L196" s="667"/>
      <c r="M196" s="668"/>
      <c r="N196" s="373"/>
      <c r="O196" s="373"/>
      <c r="P196" s="670"/>
      <c r="Q196" s="665"/>
      <c r="R196" s="665"/>
      <c r="S196" s="539"/>
      <c r="T196" s="672"/>
      <c r="U196" s="49"/>
      <c r="V196" s="49"/>
      <c r="W196" s="49"/>
      <c r="X196" s="49"/>
      <c r="Y196" s="49"/>
    </row>
    <row r="197" ht="15.75" customHeight="1">
      <c r="A197" s="38"/>
      <c r="B197" s="49"/>
      <c r="C197" s="15"/>
      <c r="D197" s="663"/>
      <c r="E197" s="664"/>
      <c r="F197" s="665"/>
      <c r="G197" s="539"/>
      <c r="H197" s="373"/>
      <c r="I197" s="665"/>
      <c r="J197" s="666"/>
      <c r="K197" s="665"/>
      <c r="L197" s="667"/>
      <c r="M197" s="668"/>
      <c r="N197" s="373"/>
      <c r="O197" s="373"/>
      <c r="P197" s="670"/>
      <c r="Q197" s="665"/>
      <c r="R197" s="665"/>
      <c r="S197" s="539"/>
      <c r="T197" s="672"/>
      <c r="U197" s="49"/>
      <c r="V197" s="49"/>
      <c r="W197" s="49"/>
      <c r="X197" s="49"/>
      <c r="Y197" s="49"/>
    </row>
    <row r="198" ht="15.75" customHeight="1">
      <c r="A198" s="38"/>
      <c r="B198" s="49"/>
      <c r="C198" s="15"/>
      <c r="D198" s="663"/>
      <c r="E198" s="664"/>
      <c r="F198" s="665"/>
      <c r="G198" s="539"/>
      <c r="H198" s="373"/>
      <c r="I198" s="665"/>
      <c r="J198" s="666"/>
      <c r="K198" s="665"/>
      <c r="L198" s="667"/>
      <c r="M198" s="668"/>
      <c r="N198" s="373"/>
      <c r="O198" s="373"/>
      <c r="P198" s="670"/>
      <c r="Q198" s="665"/>
      <c r="R198" s="665"/>
      <c r="S198" s="539"/>
      <c r="T198" s="672"/>
      <c r="U198" s="49"/>
      <c r="V198" s="49"/>
      <c r="W198" s="49"/>
      <c r="X198" s="49"/>
      <c r="Y198" s="49"/>
    </row>
    <row r="199" ht="15.75" customHeight="1">
      <c r="A199" s="38"/>
      <c r="B199" s="49"/>
      <c r="C199" s="15"/>
      <c r="D199" s="663"/>
      <c r="E199" s="664"/>
      <c r="F199" s="665"/>
      <c r="G199" s="539"/>
      <c r="H199" s="373"/>
      <c r="I199" s="665"/>
      <c r="J199" s="666"/>
      <c r="K199" s="665"/>
      <c r="L199" s="667"/>
      <c r="M199" s="668"/>
      <c r="N199" s="373"/>
      <c r="O199" s="373"/>
      <c r="P199" s="670"/>
      <c r="Q199" s="665"/>
      <c r="R199" s="665"/>
      <c r="S199" s="539"/>
      <c r="T199" s="672"/>
      <c r="U199" s="49"/>
      <c r="V199" s="49"/>
      <c r="W199" s="49"/>
      <c r="X199" s="49"/>
      <c r="Y199" s="49"/>
    </row>
    <row r="200" ht="15.75" customHeight="1">
      <c r="A200" s="38"/>
      <c r="B200" s="49"/>
      <c r="C200" s="15"/>
      <c r="D200" s="663"/>
      <c r="E200" s="664"/>
      <c r="F200" s="665"/>
      <c r="G200" s="539"/>
      <c r="H200" s="373"/>
      <c r="I200" s="665"/>
      <c r="J200" s="666"/>
      <c r="K200" s="665"/>
      <c r="L200" s="667"/>
      <c r="M200" s="668"/>
      <c r="N200" s="373"/>
      <c r="O200" s="373"/>
      <c r="P200" s="670"/>
      <c r="Q200" s="665"/>
      <c r="R200" s="665"/>
      <c r="S200" s="539"/>
      <c r="T200" s="672"/>
      <c r="U200" s="49"/>
      <c r="V200" s="49"/>
      <c r="W200" s="49"/>
      <c r="X200" s="49"/>
      <c r="Y200" s="49"/>
    </row>
    <row r="201" ht="15.75" customHeight="1">
      <c r="A201" s="38"/>
      <c r="B201" s="49"/>
      <c r="C201" s="15"/>
      <c r="D201" s="663"/>
      <c r="E201" s="664"/>
      <c r="F201" s="665"/>
      <c r="G201" s="539"/>
      <c r="H201" s="373"/>
      <c r="I201" s="665"/>
      <c r="J201" s="666"/>
      <c r="K201" s="665"/>
      <c r="L201" s="667"/>
      <c r="M201" s="668"/>
      <c r="N201" s="373"/>
      <c r="O201" s="373"/>
      <c r="P201" s="670"/>
      <c r="Q201" s="665"/>
      <c r="R201" s="665"/>
      <c r="S201" s="539"/>
      <c r="T201" s="672"/>
      <c r="U201" s="49"/>
      <c r="V201" s="49"/>
      <c r="W201" s="49"/>
      <c r="X201" s="49"/>
      <c r="Y201" s="49"/>
    </row>
    <row r="202" ht="15.75" customHeight="1">
      <c r="A202" s="38"/>
      <c r="B202" s="49"/>
      <c r="C202" s="15"/>
      <c r="D202" s="663"/>
      <c r="E202" s="664"/>
      <c r="F202" s="665"/>
      <c r="G202" s="539"/>
      <c r="H202" s="373"/>
      <c r="I202" s="665"/>
      <c r="J202" s="666"/>
      <c r="K202" s="665"/>
      <c r="L202" s="667"/>
      <c r="M202" s="668"/>
      <c r="N202" s="373"/>
      <c r="O202" s="373"/>
      <c r="P202" s="670"/>
      <c r="Q202" s="665"/>
      <c r="R202" s="665"/>
      <c r="S202" s="539"/>
      <c r="T202" s="672"/>
      <c r="U202" s="49"/>
      <c r="V202" s="49"/>
      <c r="W202" s="49"/>
      <c r="X202" s="49"/>
      <c r="Y202" s="49"/>
    </row>
    <row r="203" ht="15.75" customHeight="1">
      <c r="A203" s="38"/>
      <c r="B203" s="49"/>
      <c r="C203" s="15"/>
      <c r="D203" s="663"/>
      <c r="E203" s="664"/>
      <c r="F203" s="665"/>
      <c r="G203" s="539"/>
      <c r="H203" s="373"/>
      <c r="I203" s="665"/>
      <c r="J203" s="666"/>
      <c r="K203" s="665"/>
      <c r="L203" s="667"/>
      <c r="M203" s="668"/>
      <c r="N203" s="373"/>
      <c r="O203" s="373"/>
      <c r="P203" s="670"/>
      <c r="Q203" s="665"/>
      <c r="R203" s="665"/>
      <c r="S203" s="539"/>
      <c r="T203" s="672"/>
      <c r="U203" s="49"/>
      <c r="V203" s="49"/>
      <c r="W203" s="49"/>
      <c r="X203" s="49"/>
      <c r="Y203" s="49"/>
    </row>
    <row r="204" ht="15.75" customHeight="1">
      <c r="A204" s="38"/>
      <c r="B204" s="49"/>
      <c r="C204" s="15"/>
      <c r="D204" s="663"/>
      <c r="E204" s="664"/>
      <c r="F204" s="665"/>
      <c r="G204" s="539"/>
      <c r="H204" s="373"/>
      <c r="I204" s="665"/>
      <c r="J204" s="666"/>
      <c r="K204" s="665"/>
      <c r="L204" s="667"/>
      <c r="M204" s="668"/>
      <c r="N204" s="373"/>
      <c r="O204" s="373"/>
      <c r="P204" s="670"/>
      <c r="Q204" s="665"/>
      <c r="R204" s="665"/>
      <c r="S204" s="539"/>
      <c r="T204" s="672"/>
      <c r="U204" s="49"/>
      <c r="V204" s="49"/>
      <c r="W204" s="49"/>
      <c r="X204" s="49"/>
      <c r="Y204" s="49"/>
    </row>
    <row r="205" ht="15.75" customHeight="1">
      <c r="A205" s="38"/>
      <c r="B205" s="49"/>
      <c r="C205" s="15"/>
      <c r="D205" s="663"/>
      <c r="E205" s="664"/>
      <c r="F205" s="665"/>
      <c r="G205" s="539"/>
      <c r="H205" s="373"/>
      <c r="I205" s="665"/>
      <c r="J205" s="666"/>
      <c r="K205" s="665"/>
      <c r="L205" s="667"/>
      <c r="M205" s="668"/>
      <c r="N205" s="373"/>
      <c r="O205" s="373"/>
      <c r="P205" s="670"/>
      <c r="Q205" s="665"/>
      <c r="R205" s="665"/>
      <c r="S205" s="539"/>
      <c r="T205" s="672"/>
      <c r="U205" s="49"/>
      <c r="V205" s="49"/>
      <c r="W205" s="49"/>
      <c r="X205" s="49"/>
      <c r="Y205" s="49"/>
    </row>
    <row r="206" ht="15.75" customHeight="1">
      <c r="A206" s="38"/>
      <c r="B206" s="49"/>
      <c r="C206" s="15"/>
      <c r="D206" s="663"/>
      <c r="E206" s="664"/>
      <c r="F206" s="665"/>
      <c r="G206" s="539"/>
      <c r="H206" s="373"/>
      <c r="I206" s="665"/>
      <c r="J206" s="666"/>
      <c r="K206" s="665"/>
      <c r="L206" s="667"/>
      <c r="M206" s="668"/>
      <c r="N206" s="373"/>
      <c r="O206" s="373"/>
      <c r="P206" s="670"/>
      <c r="Q206" s="665"/>
      <c r="R206" s="665"/>
      <c r="S206" s="539"/>
      <c r="T206" s="672"/>
      <c r="U206" s="49"/>
      <c r="V206" s="49"/>
      <c r="W206" s="49"/>
      <c r="X206" s="49"/>
      <c r="Y206" s="49"/>
    </row>
    <row r="207" ht="15.75" customHeight="1">
      <c r="A207" s="38"/>
      <c r="B207" s="49"/>
      <c r="C207" s="15"/>
      <c r="D207" s="663"/>
      <c r="E207" s="664"/>
      <c r="F207" s="665"/>
      <c r="G207" s="539"/>
      <c r="H207" s="373"/>
      <c r="I207" s="665"/>
      <c r="J207" s="666"/>
      <c r="K207" s="665"/>
      <c r="L207" s="667"/>
      <c r="M207" s="668"/>
      <c r="N207" s="373"/>
      <c r="O207" s="373"/>
      <c r="P207" s="670"/>
      <c r="Q207" s="665"/>
      <c r="R207" s="665"/>
      <c r="S207" s="539"/>
      <c r="T207" s="672"/>
      <c r="U207" s="49"/>
      <c r="V207" s="49"/>
      <c r="W207" s="49"/>
      <c r="X207" s="49"/>
      <c r="Y207" s="49"/>
    </row>
    <row r="208" ht="15.75" customHeight="1">
      <c r="A208" s="38"/>
      <c r="B208" s="49"/>
      <c r="C208" s="15"/>
      <c r="D208" s="663"/>
      <c r="E208" s="664"/>
      <c r="F208" s="665"/>
      <c r="G208" s="539"/>
      <c r="H208" s="373"/>
      <c r="I208" s="665"/>
      <c r="J208" s="666"/>
      <c r="K208" s="665"/>
      <c r="L208" s="667"/>
      <c r="M208" s="668"/>
      <c r="N208" s="373"/>
      <c r="O208" s="373"/>
      <c r="P208" s="670"/>
      <c r="Q208" s="665"/>
      <c r="R208" s="665"/>
      <c r="S208" s="539"/>
      <c r="T208" s="672"/>
      <c r="U208" s="49"/>
      <c r="V208" s="49"/>
      <c r="W208" s="49"/>
      <c r="X208" s="49"/>
      <c r="Y208" s="49"/>
    </row>
    <row r="209" ht="15.75" customHeight="1">
      <c r="A209" s="38"/>
      <c r="B209" s="49"/>
      <c r="C209" s="15"/>
      <c r="D209" s="663"/>
      <c r="E209" s="664"/>
      <c r="F209" s="665"/>
      <c r="G209" s="539"/>
      <c r="H209" s="373"/>
      <c r="I209" s="665"/>
      <c r="J209" s="666"/>
      <c r="K209" s="665"/>
      <c r="L209" s="667"/>
      <c r="M209" s="668"/>
      <c r="N209" s="373"/>
      <c r="O209" s="373"/>
      <c r="P209" s="670"/>
      <c r="Q209" s="665"/>
      <c r="R209" s="665"/>
      <c r="S209" s="539"/>
      <c r="T209" s="672"/>
      <c r="U209" s="49"/>
      <c r="V209" s="49"/>
      <c r="W209" s="49"/>
      <c r="X209" s="49"/>
      <c r="Y209" s="49"/>
    </row>
    <row r="210" ht="15.75" customHeight="1">
      <c r="A210" s="38"/>
      <c r="B210" s="49"/>
      <c r="C210" s="15"/>
      <c r="D210" s="663"/>
      <c r="E210" s="664"/>
      <c r="F210" s="665"/>
      <c r="G210" s="539"/>
      <c r="H210" s="373"/>
      <c r="I210" s="665"/>
      <c r="J210" s="666"/>
      <c r="K210" s="665"/>
      <c r="L210" s="667"/>
      <c r="M210" s="668"/>
      <c r="N210" s="373"/>
      <c r="O210" s="373"/>
      <c r="P210" s="670"/>
      <c r="Q210" s="665"/>
      <c r="R210" s="665"/>
      <c r="S210" s="539"/>
      <c r="T210" s="672"/>
      <c r="U210" s="49"/>
      <c r="V210" s="49"/>
      <c r="W210" s="49"/>
      <c r="X210" s="49"/>
      <c r="Y210" s="49"/>
    </row>
    <row r="211" ht="15.75" customHeight="1">
      <c r="A211" s="38"/>
      <c r="B211" s="49"/>
      <c r="C211" s="15"/>
      <c r="D211" s="663"/>
      <c r="E211" s="664"/>
      <c r="F211" s="665"/>
      <c r="G211" s="539"/>
      <c r="H211" s="373"/>
      <c r="I211" s="665"/>
      <c r="J211" s="666"/>
      <c r="K211" s="665"/>
      <c r="L211" s="667"/>
      <c r="M211" s="668"/>
      <c r="N211" s="373"/>
      <c r="O211" s="373"/>
      <c r="P211" s="670"/>
      <c r="Q211" s="665"/>
      <c r="R211" s="665"/>
      <c r="S211" s="539"/>
      <c r="T211" s="672"/>
      <c r="U211" s="49"/>
      <c r="V211" s="49"/>
      <c r="W211" s="49"/>
      <c r="X211" s="49"/>
      <c r="Y211" s="49"/>
    </row>
    <row r="212" ht="15.75" customHeight="1">
      <c r="A212" s="38"/>
      <c r="B212" s="49"/>
      <c r="C212" s="15"/>
      <c r="D212" s="663"/>
      <c r="E212" s="664"/>
      <c r="F212" s="665"/>
      <c r="G212" s="539"/>
      <c r="H212" s="373"/>
      <c r="I212" s="665"/>
      <c r="J212" s="666"/>
      <c r="K212" s="665"/>
      <c r="L212" s="667"/>
      <c r="M212" s="668"/>
      <c r="N212" s="373"/>
      <c r="O212" s="373"/>
      <c r="P212" s="670"/>
      <c r="Q212" s="665"/>
      <c r="R212" s="665"/>
      <c r="S212" s="539"/>
      <c r="T212" s="672"/>
      <c r="U212" s="49"/>
      <c r="V212" s="49"/>
      <c r="W212" s="49"/>
      <c r="X212" s="49"/>
      <c r="Y212" s="49"/>
    </row>
    <row r="213" ht="15.75" customHeight="1">
      <c r="A213" s="38"/>
      <c r="B213" s="49"/>
      <c r="C213" s="15"/>
      <c r="D213" s="663"/>
      <c r="E213" s="664"/>
      <c r="F213" s="665"/>
      <c r="G213" s="539"/>
      <c r="H213" s="373"/>
      <c r="I213" s="665"/>
      <c r="J213" s="666"/>
      <c r="K213" s="665"/>
      <c r="L213" s="667"/>
      <c r="M213" s="668"/>
      <c r="N213" s="373"/>
      <c r="O213" s="373"/>
      <c r="P213" s="670"/>
      <c r="Q213" s="665"/>
      <c r="R213" s="665"/>
      <c r="S213" s="539"/>
      <c r="T213" s="672"/>
      <c r="U213" s="49"/>
      <c r="V213" s="49"/>
      <c r="W213" s="49"/>
      <c r="X213" s="49"/>
      <c r="Y213" s="49"/>
    </row>
    <row r="214" ht="15.75" customHeight="1">
      <c r="A214" s="38"/>
      <c r="B214" s="49"/>
      <c r="C214" s="15"/>
      <c r="D214" s="663"/>
      <c r="E214" s="664"/>
      <c r="F214" s="665"/>
      <c r="G214" s="539"/>
      <c r="H214" s="373"/>
      <c r="I214" s="665"/>
      <c r="J214" s="666"/>
      <c r="K214" s="665"/>
      <c r="L214" s="667"/>
      <c r="M214" s="668"/>
      <c r="N214" s="373"/>
      <c r="O214" s="373"/>
      <c r="P214" s="670"/>
      <c r="Q214" s="665"/>
      <c r="R214" s="665"/>
      <c r="S214" s="539"/>
      <c r="T214" s="672"/>
      <c r="U214" s="49"/>
      <c r="V214" s="49"/>
      <c r="W214" s="49"/>
      <c r="X214" s="49"/>
      <c r="Y214" s="49"/>
    </row>
    <row r="215" ht="15.75" customHeight="1">
      <c r="A215" s="38"/>
      <c r="B215" s="49"/>
      <c r="C215" s="15"/>
      <c r="D215" s="663"/>
      <c r="E215" s="664"/>
      <c r="F215" s="665"/>
      <c r="G215" s="539"/>
      <c r="H215" s="373"/>
      <c r="I215" s="665"/>
      <c r="J215" s="666"/>
      <c r="K215" s="665"/>
      <c r="L215" s="667"/>
      <c r="M215" s="668"/>
      <c r="N215" s="373"/>
      <c r="O215" s="373"/>
      <c r="P215" s="670"/>
      <c r="Q215" s="665"/>
      <c r="R215" s="665"/>
      <c r="S215" s="539"/>
      <c r="T215" s="672"/>
      <c r="U215" s="49"/>
      <c r="V215" s="49"/>
      <c r="W215" s="49"/>
      <c r="X215" s="49"/>
      <c r="Y215" s="49"/>
    </row>
    <row r="216" ht="15.75" customHeight="1">
      <c r="A216" s="38"/>
      <c r="B216" s="49"/>
      <c r="C216" s="15"/>
      <c r="D216" s="663"/>
      <c r="E216" s="664"/>
      <c r="F216" s="665"/>
      <c r="G216" s="539"/>
      <c r="H216" s="373"/>
      <c r="I216" s="665"/>
      <c r="J216" s="666"/>
      <c r="K216" s="665"/>
      <c r="L216" s="667"/>
      <c r="M216" s="668"/>
      <c r="N216" s="373"/>
      <c r="O216" s="373"/>
      <c r="P216" s="670"/>
      <c r="Q216" s="665"/>
      <c r="R216" s="665"/>
      <c r="S216" s="539"/>
      <c r="T216" s="672"/>
      <c r="U216" s="49"/>
      <c r="V216" s="49"/>
      <c r="W216" s="49"/>
      <c r="X216" s="49"/>
      <c r="Y216" s="49"/>
    </row>
    <row r="217" ht="15.75" customHeight="1">
      <c r="A217" s="38"/>
      <c r="B217" s="49"/>
      <c r="C217" s="15"/>
      <c r="D217" s="663"/>
      <c r="E217" s="664"/>
      <c r="F217" s="665"/>
      <c r="G217" s="539"/>
      <c r="H217" s="373"/>
      <c r="I217" s="665"/>
      <c r="J217" s="666"/>
      <c r="K217" s="665"/>
      <c r="L217" s="667"/>
      <c r="M217" s="668"/>
      <c r="N217" s="373"/>
      <c r="O217" s="373"/>
      <c r="P217" s="670"/>
      <c r="Q217" s="665"/>
      <c r="R217" s="665"/>
      <c r="S217" s="539"/>
      <c r="T217" s="672"/>
      <c r="U217" s="49"/>
      <c r="V217" s="49"/>
      <c r="W217" s="49"/>
      <c r="X217" s="49"/>
      <c r="Y217" s="49"/>
    </row>
    <row r="218" ht="15.75" customHeight="1">
      <c r="A218" s="38"/>
      <c r="B218" s="49"/>
      <c r="C218" s="15"/>
      <c r="D218" s="663"/>
      <c r="E218" s="664"/>
      <c r="F218" s="665"/>
      <c r="G218" s="539"/>
      <c r="H218" s="373"/>
      <c r="I218" s="665"/>
      <c r="J218" s="666"/>
      <c r="K218" s="665"/>
      <c r="L218" s="667"/>
      <c r="M218" s="668"/>
      <c r="N218" s="373"/>
      <c r="O218" s="373"/>
      <c r="P218" s="670"/>
      <c r="Q218" s="665"/>
      <c r="R218" s="665"/>
      <c r="S218" s="539"/>
      <c r="T218" s="672"/>
      <c r="U218" s="49"/>
      <c r="V218" s="49"/>
      <c r="W218" s="49"/>
      <c r="X218" s="49"/>
      <c r="Y218" s="49"/>
    </row>
    <row r="219" ht="15.75" customHeight="1">
      <c r="A219" s="38"/>
      <c r="B219" s="49"/>
      <c r="C219" s="15"/>
      <c r="D219" s="663"/>
      <c r="E219" s="664"/>
      <c r="F219" s="665"/>
      <c r="G219" s="539"/>
      <c r="H219" s="373"/>
      <c r="I219" s="665"/>
      <c r="J219" s="666"/>
      <c r="K219" s="665"/>
      <c r="L219" s="667"/>
      <c r="M219" s="668"/>
      <c r="N219" s="373"/>
      <c r="O219" s="373"/>
      <c r="P219" s="670"/>
      <c r="Q219" s="665"/>
      <c r="R219" s="665"/>
      <c r="S219" s="539"/>
      <c r="T219" s="672"/>
      <c r="U219" s="49"/>
      <c r="V219" s="49"/>
      <c r="W219" s="49"/>
      <c r="X219" s="49"/>
      <c r="Y219" s="49"/>
    </row>
    <row r="220" ht="15.75" customHeight="1">
      <c r="A220" s="38"/>
      <c r="B220" s="49"/>
      <c r="C220" s="15"/>
      <c r="D220" s="663"/>
      <c r="E220" s="664"/>
      <c r="F220" s="665"/>
      <c r="G220" s="539"/>
      <c r="H220" s="373"/>
      <c r="I220" s="665"/>
      <c r="J220" s="666"/>
      <c r="K220" s="665"/>
      <c r="L220" s="667"/>
      <c r="M220" s="668"/>
      <c r="N220" s="373"/>
      <c r="O220" s="373"/>
      <c r="P220" s="670"/>
      <c r="Q220" s="665"/>
      <c r="R220" s="665"/>
      <c r="S220" s="539"/>
      <c r="T220" s="672"/>
      <c r="U220" s="49"/>
      <c r="V220" s="49"/>
      <c r="W220" s="49"/>
      <c r="X220" s="49"/>
      <c r="Y220" s="49"/>
    </row>
    <row r="221" ht="15.75" customHeight="1">
      <c r="A221" s="38"/>
      <c r="B221" s="49"/>
      <c r="C221" s="15"/>
      <c r="D221" s="663"/>
      <c r="E221" s="664"/>
      <c r="F221" s="665"/>
      <c r="G221" s="539"/>
      <c r="H221" s="373"/>
      <c r="I221" s="665"/>
      <c r="J221" s="666"/>
      <c r="K221" s="665"/>
      <c r="L221" s="667"/>
      <c r="M221" s="668"/>
      <c r="N221" s="373"/>
      <c r="O221" s="373"/>
      <c r="P221" s="670"/>
      <c r="Q221" s="665"/>
      <c r="R221" s="665"/>
      <c r="S221" s="539"/>
      <c r="T221" s="672"/>
      <c r="U221" s="49"/>
      <c r="V221" s="49"/>
      <c r="W221" s="49"/>
      <c r="X221" s="49"/>
      <c r="Y221" s="49"/>
    </row>
    <row r="222" ht="15.75" customHeight="1">
      <c r="A222" s="38"/>
      <c r="B222" s="49"/>
      <c r="C222" s="15"/>
      <c r="D222" s="663"/>
      <c r="E222" s="664"/>
      <c r="F222" s="665"/>
      <c r="G222" s="539"/>
      <c r="H222" s="373"/>
      <c r="I222" s="665"/>
      <c r="J222" s="666"/>
      <c r="K222" s="665"/>
      <c r="L222" s="667"/>
      <c r="M222" s="668"/>
      <c r="N222" s="373"/>
      <c r="O222" s="373"/>
      <c r="P222" s="670"/>
      <c r="Q222" s="665"/>
      <c r="R222" s="665"/>
      <c r="S222" s="539"/>
      <c r="T222" s="672"/>
      <c r="U222" s="49"/>
      <c r="V222" s="49"/>
      <c r="W222" s="49"/>
      <c r="X222" s="49"/>
      <c r="Y222" s="49"/>
    </row>
    <row r="223" ht="15.75" customHeight="1">
      <c r="A223" s="38"/>
      <c r="B223" s="49"/>
      <c r="C223" s="15"/>
      <c r="D223" s="663"/>
      <c r="E223" s="664"/>
      <c r="F223" s="665"/>
      <c r="G223" s="539"/>
      <c r="H223" s="373"/>
      <c r="I223" s="665"/>
      <c r="J223" s="666"/>
      <c r="K223" s="665"/>
      <c r="L223" s="667"/>
      <c r="M223" s="668"/>
      <c r="N223" s="373"/>
      <c r="O223" s="373"/>
      <c r="P223" s="670"/>
      <c r="Q223" s="665"/>
      <c r="R223" s="665"/>
      <c r="S223" s="539"/>
      <c r="T223" s="672"/>
      <c r="U223" s="49"/>
      <c r="V223" s="49"/>
      <c r="W223" s="49"/>
      <c r="X223" s="49"/>
      <c r="Y223" s="49"/>
    </row>
    <row r="224" ht="15.75" customHeight="1">
      <c r="A224" s="38"/>
      <c r="B224" s="49"/>
      <c r="C224" s="15"/>
      <c r="D224" s="663"/>
      <c r="E224" s="664"/>
      <c r="F224" s="665"/>
      <c r="G224" s="539"/>
      <c r="H224" s="373"/>
      <c r="I224" s="665"/>
      <c r="J224" s="666"/>
      <c r="K224" s="665"/>
      <c r="L224" s="667"/>
      <c r="M224" s="668"/>
      <c r="N224" s="373"/>
      <c r="O224" s="373"/>
      <c r="P224" s="670"/>
      <c r="Q224" s="665"/>
      <c r="R224" s="665"/>
      <c r="S224" s="539"/>
      <c r="T224" s="672"/>
      <c r="U224" s="49"/>
      <c r="V224" s="49"/>
      <c r="W224" s="49"/>
      <c r="X224" s="49"/>
      <c r="Y224" s="49"/>
    </row>
    <row r="225" ht="15.75" customHeight="1">
      <c r="A225" s="38"/>
      <c r="B225" s="49"/>
      <c r="C225" s="15"/>
      <c r="D225" s="663"/>
      <c r="E225" s="664"/>
      <c r="F225" s="665"/>
      <c r="G225" s="539"/>
      <c r="H225" s="373"/>
      <c r="I225" s="665"/>
      <c r="J225" s="666"/>
      <c r="K225" s="665"/>
      <c r="L225" s="667"/>
      <c r="M225" s="668"/>
      <c r="N225" s="373"/>
      <c r="O225" s="373"/>
      <c r="P225" s="670"/>
      <c r="Q225" s="665"/>
      <c r="R225" s="665"/>
      <c r="S225" s="539"/>
      <c r="T225" s="672"/>
      <c r="U225" s="49"/>
      <c r="V225" s="49"/>
      <c r="W225" s="49"/>
      <c r="X225" s="49"/>
      <c r="Y225" s="49"/>
    </row>
    <row r="226" ht="15.75" customHeight="1">
      <c r="A226" s="38"/>
      <c r="B226" s="49"/>
      <c r="C226" s="15"/>
      <c r="D226" s="663"/>
      <c r="E226" s="664"/>
      <c r="F226" s="665"/>
      <c r="G226" s="539"/>
      <c r="H226" s="373"/>
      <c r="I226" s="665"/>
      <c r="J226" s="666"/>
      <c r="K226" s="665"/>
      <c r="L226" s="667"/>
      <c r="M226" s="668"/>
      <c r="N226" s="373"/>
      <c r="O226" s="373"/>
      <c r="P226" s="670"/>
      <c r="Q226" s="665"/>
      <c r="R226" s="665"/>
      <c r="S226" s="539"/>
      <c r="T226" s="672"/>
      <c r="U226" s="49"/>
      <c r="V226" s="49"/>
      <c r="W226" s="49"/>
      <c r="X226" s="49"/>
      <c r="Y226" s="49"/>
    </row>
    <row r="227" ht="15.75" customHeight="1">
      <c r="A227" s="38"/>
      <c r="B227" s="49"/>
      <c r="C227" s="15"/>
      <c r="D227" s="663"/>
      <c r="E227" s="664"/>
      <c r="F227" s="665"/>
      <c r="G227" s="539"/>
      <c r="H227" s="373"/>
      <c r="I227" s="665"/>
      <c r="J227" s="666"/>
      <c r="K227" s="665"/>
      <c r="L227" s="667"/>
      <c r="M227" s="668"/>
      <c r="N227" s="373"/>
      <c r="O227" s="373"/>
      <c r="P227" s="670"/>
      <c r="Q227" s="665"/>
      <c r="R227" s="665"/>
      <c r="S227" s="539"/>
      <c r="T227" s="672"/>
      <c r="U227" s="49"/>
      <c r="V227" s="49"/>
      <c r="W227" s="49"/>
      <c r="X227" s="49"/>
      <c r="Y227" s="49"/>
    </row>
    <row r="228" ht="15.75" customHeight="1">
      <c r="A228" s="38"/>
      <c r="B228" s="49"/>
      <c r="C228" s="15"/>
      <c r="D228" s="663"/>
      <c r="E228" s="664"/>
      <c r="F228" s="665"/>
      <c r="G228" s="539"/>
      <c r="H228" s="373"/>
      <c r="I228" s="665"/>
      <c r="J228" s="666"/>
      <c r="K228" s="665"/>
      <c r="L228" s="667"/>
      <c r="M228" s="668"/>
      <c r="N228" s="373"/>
      <c r="O228" s="373"/>
      <c r="P228" s="670"/>
      <c r="Q228" s="665"/>
      <c r="R228" s="665"/>
      <c r="S228" s="539"/>
      <c r="T228" s="672"/>
      <c r="U228" s="49"/>
      <c r="V228" s="49"/>
      <c r="W228" s="49"/>
      <c r="X228" s="49"/>
      <c r="Y228" s="49"/>
    </row>
    <row r="229" ht="15.75" customHeight="1">
      <c r="A229" s="38"/>
      <c r="B229" s="49"/>
      <c r="C229" s="15"/>
      <c r="D229" s="663"/>
      <c r="E229" s="664"/>
      <c r="F229" s="665"/>
      <c r="G229" s="539"/>
      <c r="H229" s="373"/>
      <c r="I229" s="665"/>
      <c r="J229" s="666"/>
      <c r="K229" s="665"/>
      <c r="L229" s="667"/>
      <c r="M229" s="668"/>
      <c r="N229" s="373"/>
      <c r="O229" s="373"/>
      <c r="P229" s="670"/>
      <c r="Q229" s="665"/>
      <c r="R229" s="665"/>
      <c r="S229" s="539"/>
      <c r="T229" s="672"/>
      <c r="U229" s="49"/>
      <c r="V229" s="49"/>
      <c r="W229" s="49"/>
      <c r="X229" s="49"/>
      <c r="Y229" s="49"/>
    </row>
    <row r="230" ht="15.75" customHeight="1">
      <c r="A230" s="38"/>
      <c r="B230" s="49"/>
      <c r="C230" s="15"/>
      <c r="D230" s="663"/>
      <c r="E230" s="664"/>
      <c r="F230" s="665"/>
      <c r="G230" s="539"/>
      <c r="H230" s="373"/>
      <c r="I230" s="665"/>
      <c r="J230" s="666"/>
      <c r="K230" s="665"/>
      <c r="L230" s="667"/>
      <c r="M230" s="668"/>
      <c r="N230" s="373"/>
      <c r="O230" s="373"/>
      <c r="P230" s="670"/>
      <c r="Q230" s="665"/>
      <c r="R230" s="665"/>
      <c r="S230" s="539"/>
      <c r="T230" s="672"/>
      <c r="U230" s="49"/>
      <c r="V230" s="49"/>
      <c r="W230" s="49"/>
      <c r="X230" s="49"/>
      <c r="Y230" s="49"/>
    </row>
    <row r="231" ht="15.75" customHeight="1">
      <c r="A231" s="38"/>
      <c r="B231" s="49"/>
      <c r="C231" s="15"/>
      <c r="D231" s="663"/>
      <c r="E231" s="664"/>
      <c r="F231" s="665"/>
      <c r="G231" s="539"/>
      <c r="H231" s="373"/>
      <c r="I231" s="665"/>
      <c r="J231" s="666"/>
      <c r="K231" s="665"/>
      <c r="L231" s="667"/>
      <c r="M231" s="668"/>
      <c r="N231" s="373"/>
      <c r="O231" s="373"/>
      <c r="P231" s="670"/>
      <c r="Q231" s="665"/>
      <c r="R231" s="665"/>
      <c r="S231" s="539"/>
      <c r="T231" s="672"/>
      <c r="U231" s="49"/>
      <c r="V231" s="49"/>
      <c r="W231" s="49"/>
      <c r="X231" s="49"/>
      <c r="Y231" s="49"/>
    </row>
    <row r="232" ht="15.75" customHeight="1">
      <c r="A232" s="38"/>
      <c r="B232" s="49"/>
      <c r="C232" s="15"/>
      <c r="D232" s="663"/>
      <c r="E232" s="664"/>
      <c r="F232" s="665"/>
      <c r="G232" s="539"/>
      <c r="H232" s="373"/>
      <c r="I232" s="665"/>
      <c r="J232" s="666"/>
      <c r="K232" s="665"/>
      <c r="L232" s="667"/>
      <c r="M232" s="668"/>
      <c r="N232" s="373"/>
      <c r="O232" s="373"/>
      <c r="P232" s="670"/>
      <c r="Q232" s="665"/>
      <c r="R232" s="665"/>
      <c r="S232" s="539"/>
      <c r="T232" s="672"/>
      <c r="U232" s="49"/>
      <c r="V232" s="49"/>
      <c r="W232" s="49"/>
      <c r="X232" s="49"/>
      <c r="Y232" s="49"/>
    </row>
    <row r="233" ht="15.75" customHeight="1">
      <c r="A233" s="38"/>
      <c r="B233" s="49"/>
      <c r="C233" s="15"/>
      <c r="D233" s="663"/>
      <c r="E233" s="664"/>
      <c r="F233" s="665"/>
      <c r="G233" s="539"/>
      <c r="H233" s="373"/>
      <c r="I233" s="665"/>
      <c r="J233" s="666"/>
      <c r="K233" s="665"/>
      <c r="L233" s="667"/>
      <c r="M233" s="668"/>
      <c r="N233" s="373"/>
      <c r="O233" s="373"/>
      <c r="P233" s="670"/>
      <c r="Q233" s="665"/>
      <c r="R233" s="665"/>
      <c r="S233" s="539"/>
      <c r="T233" s="672"/>
      <c r="U233" s="49"/>
      <c r="V233" s="49"/>
      <c r="W233" s="49"/>
      <c r="X233" s="49"/>
      <c r="Y233" s="49"/>
    </row>
    <row r="234" ht="15.75" customHeight="1">
      <c r="A234" s="38"/>
      <c r="B234" s="49"/>
      <c r="C234" s="15"/>
      <c r="D234" s="663"/>
      <c r="E234" s="664"/>
      <c r="F234" s="665"/>
      <c r="G234" s="539"/>
      <c r="H234" s="373"/>
      <c r="I234" s="665"/>
      <c r="J234" s="666"/>
      <c r="K234" s="665"/>
      <c r="L234" s="667"/>
      <c r="M234" s="668"/>
      <c r="N234" s="373"/>
      <c r="O234" s="373"/>
      <c r="P234" s="670"/>
      <c r="Q234" s="665"/>
      <c r="R234" s="665"/>
      <c r="S234" s="539"/>
      <c r="T234" s="672"/>
      <c r="U234" s="49"/>
      <c r="V234" s="49"/>
      <c r="W234" s="49"/>
      <c r="X234" s="49"/>
      <c r="Y234" s="49"/>
    </row>
    <row r="235" ht="15.75" customHeight="1">
      <c r="A235" s="38"/>
      <c r="B235" s="49"/>
      <c r="C235" s="15"/>
      <c r="D235" s="663"/>
      <c r="E235" s="664"/>
      <c r="F235" s="665"/>
      <c r="G235" s="539"/>
      <c r="H235" s="373"/>
      <c r="I235" s="665"/>
      <c r="J235" s="666"/>
      <c r="K235" s="665"/>
      <c r="L235" s="667"/>
      <c r="M235" s="668"/>
      <c r="N235" s="373"/>
      <c r="O235" s="373"/>
      <c r="P235" s="670"/>
      <c r="Q235" s="665"/>
      <c r="R235" s="665"/>
      <c r="S235" s="539"/>
      <c r="T235" s="672"/>
      <c r="U235" s="49"/>
      <c r="V235" s="49"/>
      <c r="W235" s="49"/>
      <c r="X235" s="49"/>
      <c r="Y235" s="49"/>
    </row>
    <row r="236" ht="15.75" customHeight="1">
      <c r="A236" s="38"/>
      <c r="B236" s="49"/>
      <c r="C236" s="15"/>
      <c r="D236" s="663"/>
      <c r="E236" s="664"/>
      <c r="F236" s="665"/>
      <c r="G236" s="539"/>
      <c r="H236" s="373"/>
      <c r="I236" s="665"/>
      <c r="J236" s="666"/>
      <c r="K236" s="665"/>
      <c r="L236" s="667"/>
      <c r="M236" s="668"/>
      <c r="N236" s="373"/>
      <c r="O236" s="373"/>
      <c r="P236" s="670"/>
      <c r="Q236" s="665"/>
      <c r="R236" s="665"/>
      <c r="S236" s="539"/>
      <c r="T236" s="672"/>
      <c r="U236" s="49"/>
      <c r="V236" s="49"/>
      <c r="W236" s="49"/>
      <c r="X236" s="49"/>
      <c r="Y236" s="49"/>
    </row>
    <row r="237" ht="15.75" customHeight="1">
      <c r="A237" s="38"/>
      <c r="B237" s="49"/>
      <c r="C237" s="15"/>
      <c r="D237" s="663"/>
      <c r="E237" s="664"/>
      <c r="F237" s="665"/>
      <c r="G237" s="539"/>
      <c r="H237" s="373"/>
      <c r="I237" s="665"/>
      <c r="J237" s="666"/>
      <c r="K237" s="665"/>
      <c r="L237" s="667"/>
      <c r="M237" s="668"/>
      <c r="N237" s="373"/>
      <c r="O237" s="373"/>
      <c r="P237" s="670"/>
      <c r="Q237" s="665"/>
      <c r="R237" s="665"/>
      <c r="S237" s="539"/>
      <c r="T237" s="672"/>
      <c r="U237" s="49"/>
      <c r="V237" s="49"/>
      <c r="W237" s="49"/>
      <c r="X237" s="49"/>
      <c r="Y237" s="49"/>
    </row>
    <row r="238" ht="15.75" customHeight="1">
      <c r="A238" s="38"/>
      <c r="B238" s="49"/>
      <c r="C238" s="15"/>
      <c r="D238" s="663"/>
      <c r="E238" s="664"/>
      <c r="F238" s="665"/>
      <c r="G238" s="539"/>
      <c r="H238" s="373"/>
      <c r="I238" s="665"/>
      <c r="J238" s="666"/>
      <c r="K238" s="665"/>
      <c r="L238" s="667"/>
      <c r="M238" s="668"/>
      <c r="N238" s="373"/>
      <c r="O238" s="373"/>
      <c r="P238" s="670"/>
      <c r="Q238" s="665"/>
      <c r="R238" s="665"/>
      <c r="S238" s="539"/>
      <c r="T238" s="672"/>
      <c r="U238" s="49"/>
      <c r="V238" s="49"/>
      <c r="W238" s="49"/>
      <c r="X238" s="49"/>
      <c r="Y238" s="49"/>
    </row>
    <row r="239" ht="15.75" customHeight="1">
      <c r="A239" s="38"/>
      <c r="B239" s="49"/>
      <c r="C239" s="15"/>
      <c r="D239" s="663"/>
      <c r="E239" s="664"/>
      <c r="F239" s="665"/>
      <c r="G239" s="539"/>
      <c r="H239" s="373"/>
      <c r="I239" s="665"/>
      <c r="J239" s="666"/>
      <c r="K239" s="665"/>
      <c r="L239" s="667"/>
      <c r="M239" s="668"/>
      <c r="N239" s="373"/>
      <c r="O239" s="373"/>
      <c r="P239" s="670"/>
      <c r="Q239" s="665"/>
      <c r="R239" s="665"/>
      <c r="S239" s="539"/>
      <c r="T239" s="672"/>
      <c r="U239" s="49"/>
      <c r="V239" s="49"/>
      <c r="W239" s="49"/>
      <c r="X239" s="49"/>
      <c r="Y239" s="49"/>
    </row>
    <row r="240" ht="15.75" customHeight="1">
      <c r="A240" s="38"/>
      <c r="B240" s="49"/>
      <c r="C240" s="15"/>
      <c r="D240" s="663"/>
      <c r="E240" s="664"/>
      <c r="F240" s="665"/>
      <c r="G240" s="539"/>
      <c r="H240" s="373"/>
      <c r="I240" s="665"/>
      <c r="J240" s="666"/>
      <c r="K240" s="665"/>
      <c r="L240" s="667"/>
      <c r="M240" s="668"/>
      <c r="N240" s="373"/>
      <c r="O240" s="373"/>
      <c r="P240" s="670"/>
      <c r="Q240" s="665"/>
      <c r="R240" s="665"/>
      <c r="S240" s="539"/>
      <c r="T240" s="672"/>
      <c r="U240" s="49"/>
      <c r="V240" s="49"/>
      <c r="W240" s="49"/>
      <c r="X240" s="49"/>
      <c r="Y240" s="49"/>
    </row>
    <row r="241" ht="15.75" customHeight="1">
      <c r="A241" s="38"/>
      <c r="B241" s="49"/>
      <c r="C241" s="15"/>
      <c r="D241" s="663"/>
      <c r="E241" s="664"/>
      <c r="F241" s="665"/>
      <c r="G241" s="539"/>
      <c r="H241" s="373"/>
      <c r="I241" s="665"/>
      <c r="J241" s="666"/>
      <c r="K241" s="665"/>
      <c r="L241" s="667"/>
      <c r="M241" s="668"/>
      <c r="N241" s="373"/>
      <c r="O241" s="373"/>
      <c r="P241" s="670"/>
      <c r="Q241" s="665"/>
      <c r="R241" s="665"/>
      <c r="S241" s="539"/>
      <c r="T241" s="672"/>
      <c r="U241" s="49"/>
      <c r="V241" s="49"/>
      <c r="W241" s="49"/>
      <c r="X241" s="49"/>
      <c r="Y241" s="49"/>
    </row>
    <row r="242" ht="15.75" customHeight="1">
      <c r="A242" s="38"/>
      <c r="B242" s="49"/>
      <c r="C242" s="15"/>
      <c r="D242" s="663"/>
      <c r="E242" s="664"/>
      <c r="F242" s="665"/>
      <c r="G242" s="539"/>
      <c r="H242" s="373"/>
      <c r="I242" s="665"/>
      <c r="J242" s="666"/>
      <c r="K242" s="665"/>
      <c r="L242" s="667"/>
      <c r="M242" s="668"/>
      <c r="N242" s="373"/>
      <c r="O242" s="373"/>
      <c r="P242" s="670"/>
      <c r="Q242" s="665"/>
      <c r="R242" s="665"/>
      <c r="S242" s="539"/>
      <c r="T242" s="672"/>
      <c r="U242" s="49"/>
      <c r="V242" s="49"/>
      <c r="W242" s="49"/>
      <c r="X242" s="49"/>
      <c r="Y242" s="49"/>
    </row>
    <row r="243" ht="15.75" customHeight="1">
      <c r="A243" s="38"/>
      <c r="B243" s="49"/>
      <c r="C243" s="15"/>
      <c r="D243" s="663"/>
      <c r="E243" s="664"/>
      <c r="F243" s="665"/>
      <c r="G243" s="539"/>
      <c r="H243" s="373"/>
      <c r="I243" s="665"/>
      <c r="J243" s="666"/>
      <c r="K243" s="665"/>
      <c r="L243" s="667"/>
      <c r="M243" s="668"/>
      <c r="N243" s="373"/>
      <c r="O243" s="373"/>
      <c r="P243" s="670"/>
      <c r="Q243" s="665"/>
      <c r="R243" s="665"/>
      <c r="S243" s="539"/>
      <c r="T243" s="672"/>
      <c r="U243" s="49"/>
      <c r="V243" s="49"/>
      <c r="W243" s="49"/>
      <c r="X243" s="49"/>
      <c r="Y243" s="49"/>
    </row>
    <row r="244" ht="15.75" customHeight="1">
      <c r="A244" s="38"/>
      <c r="B244" s="49"/>
      <c r="C244" s="15"/>
      <c r="D244" s="663"/>
      <c r="E244" s="664"/>
      <c r="F244" s="665"/>
      <c r="G244" s="539"/>
      <c r="H244" s="373"/>
      <c r="I244" s="665"/>
      <c r="J244" s="666"/>
      <c r="K244" s="665"/>
      <c r="L244" s="667"/>
      <c r="M244" s="668"/>
      <c r="N244" s="373"/>
      <c r="O244" s="373"/>
      <c r="P244" s="670"/>
      <c r="Q244" s="665"/>
      <c r="R244" s="665"/>
      <c r="S244" s="539"/>
      <c r="T244" s="672"/>
      <c r="U244" s="49"/>
      <c r="V244" s="49"/>
      <c r="W244" s="49"/>
      <c r="X244" s="49"/>
      <c r="Y244" s="49"/>
    </row>
    <row r="245" ht="15.75" customHeight="1">
      <c r="A245" s="38"/>
      <c r="B245" s="49"/>
      <c r="C245" s="15"/>
      <c r="D245" s="663"/>
      <c r="E245" s="664"/>
      <c r="F245" s="665"/>
      <c r="G245" s="539"/>
      <c r="H245" s="373"/>
      <c r="I245" s="665"/>
      <c r="J245" s="666"/>
      <c r="K245" s="665"/>
      <c r="L245" s="667"/>
      <c r="M245" s="668"/>
      <c r="N245" s="373"/>
      <c r="O245" s="373"/>
      <c r="P245" s="670"/>
      <c r="Q245" s="665"/>
      <c r="R245" s="665"/>
      <c r="S245" s="539"/>
      <c r="T245" s="672"/>
      <c r="U245" s="49"/>
      <c r="V245" s="49"/>
      <c r="W245" s="49"/>
      <c r="X245" s="49"/>
      <c r="Y245" s="49"/>
    </row>
    <row r="246" ht="15.75" customHeight="1">
      <c r="A246" s="38"/>
      <c r="B246" s="49"/>
      <c r="C246" s="15"/>
      <c r="D246" s="663"/>
      <c r="E246" s="664"/>
      <c r="F246" s="665"/>
      <c r="G246" s="539"/>
      <c r="H246" s="373"/>
      <c r="I246" s="665"/>
      <c r="J246" s="666"/>
      <c r="K246" s="665"/>
      <c r="L246" s="667"/>
      <c r="M246" s="668"/>
      <c r="N246" s="373"/>
      <c r="O246" s="373"/>
      <c r="P246" s="670"/>
      <c r="Q246" s="665"/>
      <c r="R246" s="665"/>
      <c r="S246" s="539"/>
      <c r="T246" s="672"/>
      <c r="U246" s="49"/>
      <c r="V246" s="49"/>
      <c r="W246" s="49"/>
      <c r="X246" s="49"/>
      <c r="Y246" s="49"/>
    </row>
    <row r="247" ht="15.75" customHeight="1">
      <c r="A247" s="38"/>
      <c r="B247" s="49"/>
      <c r="C247" s="15"/>
      <c r="D247" s="663"/>
      <c r="E247" s="664"/>
      <c r="F247" s="665"/>
      <c r="G247" s="539"/>
      <c r="H247" s="373"/>
      <c r="I247" s="665"/>
      <c r="J247" s="666"/>
      <c r="K247" s="665"/>
      <c r="L247" s="667"/>
      <c r="M247" s="668"/>
      <c r="N247" s="373"/>
      <c r="O247" s="373"/>
      <c r="P247" s="670"/>
      <c r="Q247" s="665"/>
      <c r="R247" s="665"/>
      <c r="S247" s="539"/>
      <c r="T247" s="672"/>
      <c r="U247" s="49"/>
      <c r="V247" s="49"/>
      <c r="W247" s="49"/>
      <c r="X247" s="49"/>
      <c r="Y247" s="49"/>
    </row>
    <row r="248" ht="15.75" customHeight="1">
      <c r="A248" s="38"/>
      <c r="B248" s="49"/>
      <c r="C248" s="15"/>
      <c r="D248" s="663"/>
      <c r="E248" s="664"/>
      <c r="F248" s="665"/>
      <c r="G248" s="539"/>
      <c r="H248" s="373"/>
      <c r="I248" s="665"/>
      <c r="J248" s="666"/>
      <c r="K248" s="665"/>
      <c r="L248" s="667"/>
      <c r="M248" s="668"/>
      <c r="N248" s="373"/>
      <c r="O248" s="373"/>
      <c r="P248" s="670"/>
      <c r="Q248" s="665"/>
      <c r="R248" s="665"/>
      <c r="S248" s="539"/>
      <c r="T248" s="672"/>
      <c r="U248" s="49"/>
      <c r="V248" s="49"/>
      <c r="W248" s="49"/>
      <c r="X248" s="49"/>
      <c r="Y248" s="49"/>
    </row>
    <row r="249" ht="15.75" customHeight="1">
      <c r="A249" s="38"/>
      <c r="B249" s="49"/>
      <c r="C249" s="15"/>
      <c r="D249" s="663"/>
      <c r="E249" s="664"/>
      <c r="F249" s="665"/>
      <c r="G249" s="539"/>
      <c r="H249" s="373"/>
      <c r="I249" s="665"/>
      <c r="J249" s="666"/>
      <c r="K249" s="665"/>
      <c r="L249" s="667"/>
      <c r="M249" s="668"/>
      <c r="N249" s="373"/>
      <c r="O249" s="373"/>
      <c r="P249" s="670"/>
      <c r="Q249" s="665"/>
      <c r="R249" s="665"/>
      <c r="S249" s="539"/>
      <c r="T249" s="672"/>
      <c r="U249" s="49"/>
      <c r="V249" s="49"/>
      <c r="W249" s="49"/>
      <c r="X249" s="49"/>
      <c r="Y249" s="49"/>
    </row>
    <row r="250" ht="15.75" customHeight="1">
      <c r="A250" s="38"/>
      <c r="B250" s="49"/>
      <c r="C250" s="15"/>
      <c r="D250" s="663"/>
      <c r="E250" s="664"/>
      <c r="F250" s="665"/>
      <c r="G250" s="539"/>
      <c r="H250" s="373"/>
      <c r="I250" s="665"/>
      <c r="J250" s="666"/>
      <c r="K250" s="665"/>
      <c r="L250" s="667"/>
      <c r="M250" s="668"/>
      <c r="N250" s="373"/>
      <c r="O250" s="373"/>
      <c r="P250" s="670"/>
      <c r="Q250" s="665"/>
      <c r="R250" s="665"/>
      <c r="S250" s="539"/>
      <c r="T250" s="672"/>
      <c r="U250" s="49"/>
      <c r="V250" s="49"/>
      <c r="W250" s="49"/>
      <c r="X250" s="49"/>
      <c r="Y250" s="49"/>
    </row>
    <row r="251" ht="15.75" customHeight="1">
      <c r="A251" s="38"/>
      <c r="B251" s="49"/>
      <c r="C251" s="15"/>
      <c r="D251" s="663"/>
      <c r="E251" s="664"/>
      <c r="F251" s="665"/>
      <c r="G251" s="539"/>
      <c r="H251" s="373"/>
      <c r="I251" s="665"/>
      <c r="J251" s="666"/>
      <c r="K251" s="665"/>
      <c r="L251" s="667"/>
      <c r="M251" s="668"/>
      <c r="N251" s="373"/>
      <c r="O251" s="373"/>
      <c r="P251" s="670"/>
      <c r="Q251" s="665"/>
      <c r="R251" s="665"/>
      <c r="S251" s="539"/>
      <c r="T251" s="672"/>
      <c r="U251" s="49"/>
      <c r="V251" s="49"/>
      <c r="W251" s="49"/>
      <c r="X251" s="49"/>
      <c r="Y251" s="49"/>
    </row>
    <row r="252" ht="15.75" customHeight="1">
      <c r="A252" s="38"/>
      <c r="B252" s="49"/>
      <c r="C252" s="15"/>
      <c r="D252" s="663"/>
      <c r="E252" s="664"/>
      <c r="F252" s="665"/>
      <c r="G252" s="539"/>
      <c r="H252" s="373"/>
      <c r="I252" s="665"/>
      <c r="J252" s="666"/>
      <c r="K252" s="665"/>
      <c r="L252" s="667"/>
      <c r="M252" s="668"/>
      <c r="N252" s="373"/>
      <c r="O252" s="373"/>
      <c r="P252" s="670"/>
      <c r="Q252" s="665"/>
      <c r="R252" s="665"/>
      <c r="S252" s="539"/>
      <c r="T252" s="672"/>
      <c r="U252" s="49"/>
      <c r="V252" s="49"/>
      <c r="W252" s="49"/>
      <c r="X252" s="49"/>
      <c r="Y252" s="49"/>
    </row>
    <row r="253" ht="15.75" customHeight="1">
      <c r="A253" s="38"/>
      <c r="B253" s="49"/>
      <c r="C253" s="15"/>
      <c r="D253" s="663"/>
      <c r="E253" s="664"/>
      <c r="F253" s="665"/>
      <c r="G253" s="539"/>
      <c r="H253" s="373"/>
      <c r="I253" s="665"/>
      <c r="J253" s="666"/>
      <c r="K253" s="665"/>
      <c r="L253" s="667"/>
      <c r="M253" s="668"/>
      <c r="N253" s="373"/>
      <c r="O253" s="373"/>
      <c r="P253" s="670"/>
      <c r="Q253" s="665"/>
      <c r="R253" s="665"/>
      <c r="S253" s="539"/>
      <c r="T253" s="672"/>
      <c r="U253" s="49"/>
      <c r="V253" s="49"/>
      <c r="W253" s="49"/>
      <c r="X253" s="49"/>
      <c r="Y253" s="49"/>
    </row>
    <row r="254" ht="15.75" customHeight="1">
      <c r="A254" s="38"/>
      <c r="B254" s="49"/>
      <c r="C254" s="15"/>
      <c r="D254" s="663"/>
      <c r="E254" s="664"/>
      <c r="F254" s="665"/>
      <c r="G254" s="539"/>
      <c r="H254" s="373"/>
      <c r="I254" s="665"/>
      <c r="J254" s="666"/>
      <c r="K254" s="665"/>
      <c r="L254" s="667"/>
      <c r="M254" s="668"/>
      <c r="N254" s="373"/>
      <c r="O254" s="373"/>
      <c r="P254" s="670"/>
      <c r="Q254" s="665"/>
      <c r="R254" s="665"/>
      <c r="S254" s="539"/>
      <c r="T254" s="672"/>
      <c r="U254" s="49"/>
      <c r="V254" s="49"/>
      <c r="W254" s="49"/>
      <c r="X254" s="49"/>
      <c r="Y254" s="49"/>
    </row>
    <row r="255" ht="15.75" customHeight="1">
      <c r="A255" s="38"/>
      <c r="B255" s="49"/>
      <c r="C255" s="15"/>
      <c r="D255" s="663"/>
      <c r="E255" s="664"/>
      <c r="F255" s="665"/>
      <c r="G255" s="539"/>
      <c r="H255" s="373"/>
      <c r="I255" s="665"/>
      <c r="J255" s="666"/>
      <c r="K255" s="665"/>
      <c r="L255" s="667"/>
      <c r="M255" s="668"/>
      <c r="N255" s="373"/>
      <c r="O255" s="373"/>
      <c r="P255" s="670"/>
      <c r="Q255" s="665"/>
      <c r="R255" s="665"/>
      <c r="S255" s="539"/>
      <c r="T255" s="672"/>
      <c r="U255" s="49"/>
      <c r="V255" s="49"/>
      <c r="W255" s="49"/>
      <c r="X255" s="49"/>
      <c r="Y255" s="49"/>
    </row>
    <row r="256" ht="15.75" customHeight="1">
      <c r="A256" s="38"/>
      <c r="B256" s="49"/>
      <c r="C256" s="15"/>
      <c r="D256" s="663"/>
      <c r="E256" s="664"/>
      <c r="F256" s="665"/>
      <c r="G256" s="539"/>
      <c r="H256" s="373"/>
      <c r="I256" s="665"/>
      <c r="J256" s="666"/>
      <c r="K256" s="665"/>
      <c r="L256" s="667"/>
      <c r="M256" s="668"/>
      <c r="N256" s="373"/>
      <c r="O256" s="373"/>
      <c r="P256" s="670"/>
      <c r="Q256" s="665"/>
      <c r="R256" s="665"/>
      <c r="S256" s="539"/>
      <c r="T256" s="672"/>
      <c r="U256" s="49"/>
      <c r="V256" s="49"/>
      <c r="W256" s="49"/>
      <c r="X256" s="49"/>
      <c r="Y256" s="49"/>
    </row>
    <row r="257" ht="15.75" customHeight="1">
      <c r="A257" s="38"/>
      <c r="B257" s="49"/>
      <c r="C257" s="15"/>
      <c r="D257" s="663"/>
      <c r="E257" s="664"/>
      <c r="F257" s="665"/>
      <c r="G257" s="539"/>
      <c r="H257" s="373"/>
      <c r="I257" s="665"/>
      <c r="J257" s="666"/>
      <c r="K257" s="665"/>
      <c r="L257" s="667"/>
      <c r="M257" s="668"/>
      <c r="N257" s="373"/>
      <c r="O257" s="373"/>
      <c r="P257" s="670"/>
      <c r="Q257" s="665"/>
      <c r="R257" s="665"/>
      <c r="S257" s="539"/>
      <c r="T257" s="672"/>
      <c r="U257" s="49"/>
      <c r="V257" s="49"/>
      <c r="W257" s="49"/>
      <c r="X257" s="49"/>
      <c r="Y257" s="49"/>
    </row>
    <row r="258" ht="15.75" customHeight="1">
      <c r="A258" s="38"/>
      <c r="B258" s="49"/>
      <c r="C258" s="15"/>
      <c r="D258" s="663"/>
      <c r="E258" s="664"/>
      <c r="F258" s="665"/>
      <c r="G258" s="539"/>
      <c r="H258" s="373"/>
      <c r="I258" s="665"/>
      <c r="J258" s="666"/>
      <c r="K258" s="665"/>
      <c r="L258" s="667"/>
      <c r="M258" s="668"/>
      <c r="N258" s="373"/>
      <c r="O258" s="373"/>
      <c r="P258" s="670"/>
      <c r="Q258" s="665"/>
      <c r="R258" s="665"/>
      <c r="S258" s="539"/>
      <c r="T258" s="672"/>
      <c r="U258" s="49"/>
      <c r="V258" s="49"/>
      <c r="W258" s="49"/>
      <c r="X258" s="49"/>
      <c r="Y258" s="49"/>
    </row>
    <row r="259" ht="15.75" customHeight="1">
      <c r="A259" s="38"/>
      <c r="B259" s="49"/>
      <c r="C259" s="15"/>
      <c r="D259" s="663"/>
      <c r="E259" s="664"/>
      <c r="F259" s="665"/>
      <c r="G259" s="539"/>
      <c r="H259" s="373"/>
      <c r="I259" s="665"/>
      <c r="J259" s="666"/>
      <c r="K259" s="665"/>
      <c r="L259" s="667"/>
      <c r="M259" s="668"/>
      <c r="N259" s="373"/>
      <c r="O259" s="373"/>
      <c r="P259" s="670"/>
      <c r="Q259" s="665"/>
      <c r="R259" s="665"/>
      <c r="S259" s="539"/>
      <c r="T259" s="672"/>
      <c r="U259" s="49"/>
      <c r="V259" s="49"/>
      <c r="W259" s="49"/>
      <c r="X259" s="49"/>
      <c r="Y259" s="49"/>
    </row>
    <row r="260" ht="15.75" customHeight="1">
      <c r="A260" s="38"/>
      <c r="B260" s="49"/>
      <c r="C260" s="15"/>
      <c r="D260" s="663"/>
      <c r="E260" s="664"/>
      <c r="F260" s="665"/>
      <c r="G260" s="539"/>
      <c r="H260" s="373"/>
      <c r="I260" s="665"/>
      <c r="J260" s="666"/>
      <c r="K260" s="665"/>
      <c r="L260" s="667"/>
      <c r="M260" s="668"/>
      <c r="N260" s="373"/>
      <c r="O260" s="373"/>
      <c r="P260" s="670"/>
      <c r="Q260" s="665"/>
      <c r="R260" s="665"/>
      <c r="S260" s="539"/>
      <c r="T260" s="672"/>
      <c r="U260" s="49"/>
      <c r="V260" s="49"/>
      <c r="W260" s="49"/>
      <c r="X260" s="49"/>
      <c r="Y260" s="49"/>
    </row>
    <row r="261" ht="15.75" customHeight="1">
      <c r="A261" s="38"/>
      <c r="B261" s="49"/>
      <c r="C261" s="15"/>
      <c r="D261" s="663"/>
      <c r="E261" s="664"/>
      <c r="F261" s="665"/>
      <c r="G261" s="539"/>
      <c r="H261" s="373"/>
      <c r="I261" s="665"/>
      <c r="J261" s="666"/>
      <c r="K261" s="665"/>
      <c r="L261" s="667"/>
      <c r="M261" s="668"/>
      <c r="N261" s="373"/>
      <c r="O261" s="373"/>
      <c r="P261" s="670"/>
      <c r="Q261" s="665"/>
      <c r="R261" s="665"/>
      <c r="S261" s="539"/>
      <c r="T261" s="672"/>
      <c r="U261" s="49"/>
      <c r="V261" s="49"/>
      <c r="W261" s="49"/>
      <c r="X261" s="49"/>
      <c r="Y261" s="49"/>
    </row>
    <row r="262" ht="15.75" customHeight="1">
      <c r="A262" s="38"/>
      <c r="B262" s="49"/>
      <c r="C262" s="15"/>
      <c r="D262" s="663"/>
      <c r="E262" s="664"/>
      <c r="F262" s="665"/>
      <c r="G262" s="539"/>
      <c r="H262" s="373"/>
      <c r="I262" s="665"/>
      <c r="J262" s="666"/>
      <c r="K262" s="665"/>
      <c r="L262" s="667"/>
      <c r="M262" s="668"/>
      <c r="N262" s="373"/>
      <c r="O262" s="373"/>
      <c r="P262" s="670"/>
      <c r="Q262" s="665"/>
      <c r="R262" s="665"/>
      <c r="S262" s="539"/>
      <c r="T262" s="672"/>
      <c r="U262" s="49"/>
      <c r="V262" s="49"/>
      <c r="W262" s="49"/>
      <c r="X262" s="49"/>
      <c r="Y262" s="49"/>
    </row>
    <row r="263" ht="15.75" customHeight="1">
      <c r="A263" s="38"/>
      <c r="B263" s="49"/>
      <c r="C263" s="15"/>
      <c r="D263" s="663"/>
      <c r="E263" s="664"/>
      <c r="F263" s="665"/>
      <c r="G263" s="539"/>
      <c r="H263" s="373"/>
      <c r="I263" s="665"/>
      <c r="J263" s="666"/>
      <c r="K263" s="665"/>
      <c r="L263" s="667"/>
      <c r="M263" s="668"/>
      <c r="N263" s="373"/>
      <c r="O263" s="373"/>
      <c r="P263" s="670"/>
      <c r="Q263" s="665"/>
      <c r="R263" s="665"/>
      <c r="S263" s="539"/>
      <c r="T263" s="672"/>
      <c r="U263" s="49"/>
      <c r="V263" s="49"/>
      <c r="W263" s="49"/>
      <c r="X263" s="49"/>
      <c r="Y263" s="49"/>
    </row>
    <row r="264" ht="15.75" customHeight="1">
      <c r="A264" s="38"/>
      <c r="B264" s="49"/>
      <c r="C264" s="15"/>
      <c r="D264" s="663"/>
      <c r="E264" s="664"/>
      <c r="F264" s="665"/>
      <c r="G264" s="539"/>
      <c r="H264" s="373"/>
      <c r="I264" s="665"/>
      <c r="J264" s="666"/>
      <c r="K264" s="665"/>
      <c r="L264" s="667"/>
      <c r="M264" s="668"/>
      <c r="N264" s="373"/>
      <c r="O264" s="373"/>
      <c r="P264" s="670"/>
      <c r="Q264" s="665"/>
      <c r="R264" s="665"/>
      <c r="S264" s="539"/>
      <c r="T264" s="672"/>
      <c r="U264" s="49"/>
      <c r="V264" s="49"/>
      <c r="W264" s="49"/>
      <c r="X264" s="49"/>
      <c r="Y264" s="49"/>
    </row>
    <row r="265" ht="15.75" customHeight="1">
      <c r="A265" s="38"/>
      <c r="B265" s="49"/>
      <c r="C265" s="15"/>
      <c r="D265" s="663"/>
      <c r="E265" s="664"/>
      <c r="F265" s="665"/>
      <c r="G265" s="539"/>
      <c r="H265" s="373"/>
      <c r="I265" s="665"/>
      <c r="J265" s="666"/>
      <c r="K265" s="665"/>
      <c r="L265" s="667"/>
      <c r="M265" s="668"/>
      <c r="N265" s="373"/>
      <c r="O265" s="373"/>
      <c r="P265" s="670"/>
      <c r="Q265" s="665"/>
      <c r="R265" s="665"/>
      <c r="S265" s="539"/>
      <c r="T265" s="672"/>
      <c r="U265" s="49"/>
      <c r="V265" s="49"/>
      <c r="W265" s="49"/>
      <c r="X265" s="49"/>
      <c r="Y265" s="49"/>
    </row>
    <row r="266" ht="15.75" customHeight="1">
      <c r="A266" s="38"/>
      <c r="B266" s="49"/>
      <c r="C266" s="15"/>
      <c r="D266" s="663"/>
      <c r="E266" s="664"/>
      <c r="F266" s="665"/>
      <c r="G266" s="539"/>
      <c r="H266" s="373"/>
      <c r="I266" s="665"/>
      <c r="J266" s="666"/>
      <c r="K266" s="665"/>
      <c r="L266" s="667"/>
      <c r="M266" s="668"/>
      <c r="N266" s="373"/>
      <c r="O266" s="373"/>
      <c r="P266" s="670"/>
      <c r="Q266" s="665"/>
      <c r="R266" s="665"/>
      <c r="S266" s="539"/>
      <c r="T266" s="672"/>
      <c r="U266" s="49"/>
      <c r="V266" s="49"/>
      <c r="W266" s="49"/>
      <c r="X266" s="49"/>
      <c r="Y266" s="49"/>
    </row>
    <row r="267" ht="15.75" customHeight="1">
      <c r="A267" s="38"/>
      <c r="B267" s="49"/>
      <c r="C267" s="15"/>
      <c r="D267" s="663"/>
      <c r="E267" s="664"/>
      <c r="F267" s="665"/>
      <c r="G267" s="539"/>
      <c r="H267" s="373"/>
      <c r="I267" s="665"/>
      <c r="J267" s="666"/>
      <c r="K267" s="665"/>
      <c r="L267" s="667"/>
      <c r="M267" s="668"/>
      <c r="N267" s="373"/>
      <c r="O267" s="373"/>
      <c r="P267" s="670"/>
      <c r="Q267" s="665"/>
      <c r="R267" s="665"/>
      <c r="S267" s="539"/>
      <c r="T267" s="672"/>
      <c r="U267" s="49"/>
      <c r="V267" s="49"/>
      <c r="W267" s="49"/>
      <c r="X267" s="49"/>
      <c r="Y267" s="49"/>
    </row>
    <row r="268" ht="15.75" customHeight="1">
      <c r="A268" s="38"/>
      <c r="B268" s="49"/>
      <c r="C268" s="15"/>
      <c r="D268" s="663"/>
      <c r="E268" s="664"/>
      <c r="F268" s="665"/>
      <c r="G268" s="539"/>
      <c r="H268" s="373"/>
      <c r="I268" s="665"/>
      <c r="J268" s="666"/>
      <c r="K268" s="665"/>
      <c r="L268" s="667"/>
      <c r="M268" s="668"/>
      <c r="N268" s="373"/>
      <c r="O268" s="373"/>
      <c r="P268" s="670"/>
      <c r="Q268" s="665"/>
      <c r="R268" s="665"/>
      <c r="S268" s="539"/>
      <c r="T268" s="672"/>
      <c r="U268" s="49"/>
      <c r="V268" s="49"/>
      <c r="W268" s="49"/>
      <c r="X268" s="49"/>
      <c r="Y268" s="49"/>
    </row>
    <row r="269" ht="15.75" customHeight="1">
      <c r="A269" s="38"/>
      <c r="B269" s="49"/>
      <c r="C269" s="15"/>
      <c r="D269" s="663"/>
      <c r="E269" s="664"/>
      <c r="F269" s="665"/>
      <c r="G269" s="539"/>
      <c r="H269" s="373"/>
      <c r="I269" s="665"/>
      <c r="J269" s="666"/>
      <c r="K269" s="665"/>
      <c r="L269" s="667"/>
      <c r="M269" s="668"/>
      <c r="N269" s="373"/>
      <c r="O269" s="373"/>
      <c r="P269" s="670"/>
      <c r="Q269" s="665"/>
      <c r="R269" s="665"/>
      <c r="S269" s="539"/>
      <c r="T269" s="672"/>
      <c r="U269" s="49"/>
      <c r="V269" s="49"/>
      <c r="W269" s="49"/>
      <c r="X269" s="49"/>
      <c r="Y269" s="49"/>
    </row>
    <row r="270" ht="15.75" customHeight="1">
      <c r="A270" s="38"/>
      <c r="B270" s="49"/>
      <c r="C270" s="15"/>
      <c r="D270" s="663"/>
      <c r="E270" s="664"/>
      <c r="F270" s="665"/>
      <c r="G270" s="539"/>
      <c r="H270" s="373"/>
      <c r="I270" s="665"/>
      <c r="J270" s="666"/>
      <c r="K270" s="665"/>
      <c r="L270" s="667"/>
      <c r="M270" s="668"/>
      <c r="N270" s="373"/>
      <c r="O270" s="373"/>
      <c r="P270" s="670"/>
      <c r="Q270" s="665"/>
      <c r="R270" s="665"/>
      <c r="S270" s="539"/>
      <c r="T270" s="672"/>
      <c r="U270" s="49"/>
      <c r="V270" s="49"/>
      <c r="W270" s="49"/>
      <c r="X270" s="49"/>
      <c r="Y270" s="49"/>
    </row>
    <row r="271" ht="15.75" customHeight="1">
      <c r="A271" s="38"/>
      <c r="B271" s="49"/>
      <c r="C271" s="15"/>
      <c r="D271" s="663"/>
      <c r="E271" s="664"/>
      <c r="F271" s="665"/>
      <c r="G271" s="539"/>
      <c r="H271" s="373"/>
      <c r="I271" s="665"/>
      <c r="J271" s="666"/>
      <c r="K271" s="665"/>
      <c r="L271" s="667"/>
      <c r="M271" s="668"/>
      <c r="N271" s="373"/>
      <c r="O271" s="373"/>
      <c r="P271" s="670"/>
      <c r="Q271" s="665"/>
      <c r="R271" s="665"/>
      <c r="S271" s="539"/>
      <c r="T271" s="672"/>
      <c r="U271" s="49"/>
      <c r="V271" s="49"/>
      <c r="W271" s="49"/>
      <c r="X271" s="49"/>
      <c r="Y271" s="49"/>
    </row>
    <row r="272" ht="15.75" customHeight="1">
      <c r="A272" s="38"/>
      <c r="B272" s="49"/>
      <c r="C272" s="15"/>
      <c r="D272" s="663"/>
      <c r="E272" s="664"/>
      <c r="F272" s="665"/>
      <c r="G272" s="539"/>
      <c r="H272" s="373"/>
      <c r="I272" s="665"/>
      <c r="J272" s="666"/>
      <c r="K272" s="665"/>
      <c r="L272" s="667"/>
      <c r="M272" s="668"/>
      <c r="N272" s="373"/>
      <c r="O272" s="373"/>
      <c r="P272" s="670"/>
      <c r="Q272" s="665"/>
      <c r="R272" s="665"/>
      <c r="S272" s="539"/>
      <c r="T272" s="672"/>
      <c r="U272" s="49"/>
      <c r="V272" s="49"/>
      <c r="W272" s="49"/>
      <c r="X272" s="49"/>
      <c r="Y272" s="49"/>
    </row>
    <row r="273" ht="15.75" customHeight="1">
      <c r="A273" s="38"/>
      <c r="B273" s="49"/>
      <c r="C273" s="15"/>
      <c r="D273" s="663"/>
      <c r="E273" s="664"/>
      <c r="F273" s="665"/>
      <c r="G273" s="539"/>
      <c r="H273" s="373"/>
      <c r="I273" s="665"/>
      <c r="J273" s="666"/>
      <c r="K273" s="665"/>
      <c r="L273" s="667"/>
      <c r="M273" s="668"/>
      <c r="N273" s="373"/>
      <c r="O273" s="373"/>
      <c r="P273" s="670"/>
      <c r="Q273" s="665"/>
      <c r="R273" s="665"/>
      <c r="S273" s="539"/>
      <c r="T273" s="672"/>
      <c r="U273" s="49"/>
      <c r="V273" s="49"/>
      <c r="W273" s="49"/>
      <c r="X273" s="49"/>
      <c r="Y273" s="49"/>
    </row>
    <row r="274" ht="15.75" customHeight="1">
      <c r="A274" s="38"/>
      <c r="B274" s="49"/>
      <c r="C274" s="15"/>
      <c r="D274" s="663"/>
      <c r="E274" s="664"/>
      <c r="F274" s="665"/>
      <c r="G274" s="539"/>
      <c r="H274" s="373"/>
      <c r="I274" s="665"/>
      <c r="J274" s="666"/>
      <c r="K274" s="665"/>
      <c r="L274" s="667"/>
      <c r="M274" s="668"/>
      <c r="N274" s="373"/>
      <c r="O274" s="373"/>
      <c r="P274" s="670"/>
      <c r="Q274" s="665"/>
      <c r="R274" s="665"/>
      <c r="S274" s="539"/>
      <c r="T274" s="672"/>
      <c r="U274" s="49"/>
      <c r="V274" s="49"/>
      <c r="W274" s="49"/>
      <c r="X274" s="49"/>
      <c r="Y274" s="49"/>
    </row>
    <row r="275" ht="15.75" customHeight="1">
      <c r="A275" s="38"/>
      <c r="B275" s="49"/>
      <c r="C275" s="15"/>
      <c r="D275" s="663"/>
      <c r="E275" s="664"/>
      <c r="F275" s="665"/>
      <c r="G275" s="539"/>
      <c r="H275" s="373"/>
      <c r="I275" s="665"/>
      <c r="J275" s="666"/>
      <c r="K275" s="665"/>
      <c r="L275" s="667"/>
      <c r="M275" s="668"/>
      <c r="N275" s="373"/>
      <c r="O275" s="373"/>
      <c r="P275" s="670"/>
      <c r="Q275" s="665"/>
      <c r="R275" s="665"/>
      <c r="S275" s="539"/>
      <c r="T275" s="672"/>
      <c r="U275" s="49"/>
      <c r="V275" s="49"/>
      <c r="W275" s="49"/>
      <c r="X275" s="49"/>
      <c r="Y275" s="49"/>
    </row>
    <row r="276" ht="15.75" customHeight="1">
      <c r="A276" s="38"/>
      <c r="B276" s="49"/>
      <c r="C276" s="15"/>
      <c r="D276" s="663"/>
      <c r="E276" s="664"/>
      <c r="F276" s="665"/>
      <c r="G276" s="539"/>
      <c r="H276" s="373"/>
      <c r="I276" s="665"/>
      <c r="J276" s="666"/>
      <c r="K276" s="665"/>
      <c r="L276" s="667"/>
      <c r="M276" s="668"/>
      <c r="N276" s="373"/>
      <c r="O276" s="373"/>
      <c r="P276" s="670"/>
      <c r="Q276" s="665"/>
      <c r="R276" s="665"/>
      <c r="S276" s="539"/>
      <c r="T276" s="672"/>
      <c r="U276" s="49"/>
      <c r="V276" s="49"/>
      <c r="W276" s="49"/>
      <c r="X276" s="49"/>
      <c r="Y276" s="49"/>
    </row>
    <row r="277" ht="15.75" customHeight="1">
      <c r="A277" s="38"/>
      <c r="B277" s="49"/>
      <c r="C277" s="15"/>
      <c r="D277" s="663"/>
      <c r="E277" s="664"/>
      <c r="F277" s="665"/>
      <c r="G277" s="539"/>
      <c r="H277" s="373"/>
      <c r="I277" s="665"/>
      <c r="J277" s="666"/>
      <c r="K277" s="665"/>
      <c r="L277" s="667"/>
      <c r="M277" s="668"/>
      <c r="N277" s="373"/>
      <c r="O277" s="373"/>
      <c r="P277" s="670"/>
      <c r="Q277" s="665"/>
      <c r="R277" s="665"/>
      <c r="S277" s="539"/>
      <c r="T277" s="672"/>
      <c r="U277" s="49"/>
      <c r="V277" s="49"/>
      <c r="W277" s="49"/>
      <c r="X277" s="49"/>
      <c r="Y277" s="49"/>
    </row>
    <row r="278" ht="15.75" customHeight="1">
      <c r="A278" s="38"/>
      <c r="B278" s="49"/>
      <c r="C278" s="15"/>
      <c r="D278" s="663"/>
      <c r="E278" s="664"/>
      <c r="F278" s="665"/>
      <c r="G278" s="539"/>
      <c r="H278" s="373"/>
      <c r="I278" s="665"/>
      <c r="J278" s="666"/>
      <c r="K278" s="665"/>
      <c r="L278" s="667"/>
      <c r="M278" s="668"/>
      <c r="N278" s="373"/>
      <c r="O278" s="373"/>
      <c r="P278" s="670"/>
      <c r="Q278" s="665"/>
      <c r="R278" s="665"/>
      <c r="S278" s="539"/>
      <c r="T278" s="672"/>
      <c r="U278" s="49"/>
      <c r="V278" s="49"/>
      <c r="W278" s="49"/>
      <c r="X278" s="49"/>
      <c r="Y278" s="49"/>
    </row>
    <row r="279" ht="15.75" customHeight="1">
      <c r="A279" s="38"/>
      <c r="B279" s="49"/>
      <c r="C279" s="15"/>
      <c r="D279" s="663"/>
      <c r="E279" s="664"/>
      <c r="F279" s="665"/>
      <c r="G279" s="539"/>
      <c r="H279" s="373"/>
      <c r="I279" s="665"/>
      <c r="J279" s="666"/>
      <c r="K279" s="665"/>
      <c r="L279" s="667"/>
      <c r="M279" s="668"/>
      <c r="N279" s="373"/>
      <c r="O279" s="373"/>
      <c r="P279" s="670"/>
      <c r="Q279" s="665"/>
      <c r="R279" s="665"/>
      <c r="S279" s="539"/>
      <c r="T279" s="672"/>
      <c r="U279" s="49"/>
      <c r="V279" s="49"/>
      <c r="W279" s="49"/>
      <c r="X279" s="49"/>
      <c r="Y279" s="49"/>
    </row>
    <row r="280" ht="15.75" customHeight="1">
      <c r="A280" s="38"/>
      <c r="B280" s="49"/>
      <c r="C280" s="15"/>
      <c r="D280" s="663"/>
      <c r="E280" s="664"/>
      <c r="F280" s="665"/>
      <c r="G280" s="539"/>
      <c r="H280" s="373"/>
      <c r="I280" s="665"/>
      <c r="J280" s="666"/>
      <c r="K280" s="665"/>
      <c r="L280" s="667"/>
      <c r="M280" s="668"/>
      <c r="N280" s="373"/>
      <c r="O280" s="373"/>
      <c r="P280" s="670"/>
      <c r="Q280" s="665"/>
      <c r="R280" s="665"/>
      <c r="S280" s="539"/>
      <c r="T280" s="672"/>
      <c r="U280" s="49"/>
      <c r="V280" s="49"/>
      <c r="W280" s="49"/>
      <c r="X280" s="49"/>
      <c r="Y280" s="49"/>
    </row>
    <row r="281" ht="15.75" customHeight="1">
      <c r="A281" s="38"/>
      <c r="B281" s="49"/>
      <c r="C281" s="15"/>
      <c r="D281" s="663"/>
      <c r="E281" s="664"/>
      <c r="F281" s="665"/>
      <c r="G281" s="539"/>
      <c r="H281" s="373"/>
      <c r="I281" s="665"/>
      <c r="J281" s="666"/>
      <c r="K281" s="665"/>
      <c r="L281" s="667"/>
      <c r="M281" s="668"/>
      <c r="N281" s="373"/>
      <c r="O281" s="373"/>
      <c r="P281" s="670"/>
      <c r="Q281" s="665"/>
      <c r="R281" s="665"/>
      <c r="S281" s="539"/>
      <c r="T281" s="672"/>
      <c r="U281" s="49"/>
      <c r="V281" s="49"/>
      <c r="W281" s="49"/>
      <c r="X281" s="49"/>
      <c r="Y281" s="49"/>
    </row>
    <row r="282" ht="15.75" customHeight="1">
      <c r="A282" s="38"/>
      <c r="B282" s="49"/>
      <c r="C282" s="15"/>
      <c r="D282" s="663"/>
      <c r="E282" s="664"/>
      <c r="F282" s="665"/>
      <c r="G282" s="539"/>
      <c r="H282" s="373"/>
      <c r="I282" s="665"/>
      <c r="J282" s="666"/>
      <c r="K282" s="665"/>
      <c r="L282" s="667"/>
      <c r="M282" s="668"/>
      <c r="N282" s="373"/>
      <c r="O282" s="373"/>
      <c r="P282" s="670"/>
      <c r="Q282" s="665"/>
      <c r="R282" s="665"/>
      <c r="S282" s="539"/>
      <c r="T282" s="672"/>
      <c r="U282" s="49"/>
      <c r="V282" s="49"/>
      <c r="W282" s="49"/>
      <c r="X282" s="49"/>
      <c r="Y282" s="49"/>
    </row>
    <row r="283" ht="15.75" customHeight="1">
      <c r="A283" s="38"/>
      <c r="B283" s="49"/>
      <c r="C283" s="15"/>
      <c r="D283" s="663"/>
      <c r="E283" s="664"/>
      <c r="F283" s="665"/>
      <c r="G283" s="539"/>
      <c r="H283" s="373"/>
      <c r="I283" s="665"/>
      <c r="J283" s="666"/>
      <c r="K283" s="665"/>
      <c r="L283" s="667"/>
      <c r="M283" s="668"/>
      <c r="N283" s="373"/>
      <c r="O283" s="373"/>
      <c r="P283" s="670"/>
      <c r="Q283" s="665"/>
      <c r="R283" s="665"/>
      <c r="S283" s="539"/>
      <c r="T283" s="672"/>
      <c r="U283" s="49"/>
      <c r="V283" s="49"/>
      <c r="W283" s="49"/>
      <c r="X283" s="49"/>
      <c r="Y283" s="49"/>
    </row>
    <row r="284" ht="15.75" customHeight="1">
      <c r="A284" s="38"/>
      <c r="B284" s="49"/>
      <c r="C284" s="15"/>
      <c r="D284" s="663"/>
      <c r="E284" s="664"/>
      <c r="F284" s="665"/>
      <c r="G284" s="539"/>
      <c r="H284" s="373"/>
      <c r="I284" s="665"/>
      <c r="J284" s="666"/>
      <c r="K284" s="665"/>
      <c r="L284" s="667"/>
      <c r="M284" s="668"/>
      <c r="N284" s="373"/>
      <c r="O284" s="373"/>
      <c r="P284" s="670"/>
      <c r="Q284" s="665"/>
      <c r="R284" s="665"/>
      <c r="S284" s="539"/>
      <c r="T284" s="672"/>
      <c r="U284" s="49"/>
      <c r="V284" s="49"/>
      <c r="W284" s="49"/>
      <c r="X284" s="49"/>
      <c r="Y284" s="49"/>
    </row>
    <row r="285" ht="15.75" customHeight="1">
      <c r="A285" s="38"/>
      <c r="B285" s="49"/>
      <c r="C285" s="15"/>
      <c r="D285" s="663"/>
      <c r="E285" s="664"/>
      <c r="F285" s="665"/>
      <c r="G285" s="539"/>
      <c r="H285" s="373"/>
      <c r="I285" s="665"/>
      <c r="J285" s="666"/>
      <c r="K285" s="665"/>
      <c r="L285" s="667"/>
      <c r="M285" s="668"/>
      <c r="N285" s="373"/>
      <c r="O285" s="373"/>
      <c r="P285" s="670"/>
      <c r="Q285" s="665"/>
      <c r="R285" s="665"/>
      <c r="S285" s="539"/>
      <c r="T285" s="672"/>
      <c r="U285" s="49"/>
      <c r="V285" s="49"/>
      <c r="W285" s="49"/>
      <c r="X285" s="49"/>
      <c r="Y285" s="49"/>
    </row>
    <row r="286" ht="15.75" customHeight="1">
      <c r="A286" s="38"/>
      <c r="B286" s="49"/>
      <c r="C286" s="15"/>
      <c r="D286" s="663"/>
      <c r="E286" s="664"/>
      <c r="F286" s="665"/>
      <c r="G286" s="539"/>
      <c r="H286" s="373"/>
      <c r="I286" s="665"/>
      <c r="J286" s="666"/>
      <c r="K286" s="665"/>
      <c r="L286" s="667"/>
      <c r="M286" s="668"/>
      <c r="N286" s="373"/>
      <c r="O286" s="373"/>
      <c r="P286" s="670"/>
      <c r="Q286" s="665"/>
      <c r="R286" s="665"/>
      <c r="S286" s="539"/>
      <c r="T286" s="672"/>
      <c r="U286" s="49"/>
      <c r="V286" s="49"/>
      <c r="W286" s="49"/>
      <c r="X286" s="49"/>
      <c r="Y286" s="49"/>
    </row>
    <row r="287" ht="15.75" customHeight="1">
      <c r="A287" s="38"/>
      <c r="B287" s="49"/>
      <c r="C287" s="15"/>
      <c r="D287" s="663"/>
      <c r="E287" s="664"/>
      <c r="F287" s="665"/>
      <c r="G287" s="539"/>
      <c r="H287" s="373"/>
      <c r="I287" s="665"/>
      <c r="J287" s="666"/>
      <c r="K287" s="665"/>
      <c r="L287" s="667"/>
      <c r="M287" s="668"/>
      <c r="N287" s="373"/>
      <c r="O287" s="373"/>
      <c r="P287" s="670"/>
      <c r="Q287" s="665"/>
      <c r="R287" s="665"/>
      <c r="S287" s="539"/>
      <c r="T287" s="672"/>
      <c r="U287" s="49"/>
      <c r="V287" s="49"/>
      <c r="W287" s="49"/>
      <c r="X287" s="49"/>
      <c r="Y287" s="49"/>
    </row>
    <row r="288" ht="15.75" customHeight="1">
      <c r="A288" s="38"/>
      <c r="B288" s="49"/>
      <c r="C288" s="15"/>
      <c r="D288" s="663"/>
      <c r="E288" s="664"/>
      <c r="F288" s="665"/>
      <c r="G288" s="539"/>
      <c r="H288" s="373"/>
      <c r="I288" s="665"/>
      <c r="J288" s="666"/>
      <c r="K288" s="665"/>
      <c r="L288" s="667"/>
      <c r="M288" s="668"/>
      <c r="N288" s="373"/>
      <c r="O288" s="373"/>
      <c r="P288" s="670"/>
      <c r="Q288" s="665"/>
      <c r="R288" s="665"/>
      <c r="S288" s="539"/>
      <c r="T288" s="672"/>
      <c r="U288" s="49"/>
      <c r="V288" s="49"/>
      <c r="W288" s="49"/>
      <c r="X288" s="49"/>
      <c r="Y288" s="49"/>
    </row>
    <row r="289" ht="15.75" customHeight="1">
      <c r="A289" s="38"/>
      <c r="B289" s="49"/>
      <c r="C289" s="15"/>
      <c r="D289" s="663"/>
      <c r="E289" s="664"/>
      <c r="F289" s="665"/>
      <c r="G289" s="539"/>
      <c r="H289" s="373"/>
      <c r="I289" s="665"/>
      <c r="J289" s="666"/>
      <c r="K289" s="665"/>
      <c r="L289" s="667"/>
      <c r="M289" s="668"/>
      <c r="N289" s="373"/>
      <c r="O289" s="373"/>
      <c r="P289" s="670"/>
      <c r="Q289" s="665"/>
      <c r="R289" s="665"/>
      <c r="S289" s="539"/>
      <c r="T289" s="672"/>
      <c r="U289" s="49"/>
      <c r="V289" s="49"/>
      <c r="W289" s="49"/>
      <c r="X289" s="49"/>
      <c r="Y289" s="49"/>
    </row>
    <row r="290" ht="15.75" customHeight="1">
      <c r="A290" s="38"/>
      <c r="B290" s="49"/>
      <c r="C290" s="15"/>
      <c r="D290" s="663"/>
      <c r="E290" s="664"/>
      <c r="F290" s="665"/>
      <c r="G290" s="539"/>
      <c r="H290" s="373"/>
      <c r="I290" s="665"/>
      <c r="J290" s="666"/>
      <c r="K290" s="665"/>
      <c r="L290" s="667"/>
      <c r="M290" s="668"/>
      <c r="N290" s="373"/>
      <c r="O290" s="373"/>
      <c r="P290" s="670"/>
      <c r="Q290" s="665"/>
      <c r="R290" s="665"/>
      <c r="S290" s="539"/>
      <c r="T290" s="672"/>
      <c r="U290" s="49"/>
      <c r="V290" s="49"/>
      <c r="W290" s="49"/>
      <c r="X290" s="49"/>
      <c r="Y290" s="49"/>
    </row>
    <row r="291" ht="15.75" customHeight="1">
      <c r="A291" s="38"/>
      <c r="B291" s="49"/>
      <c r="C291" s="15"/>
      <c r="D291" s="663"/>
      <c r="E291" s="664"/>
      <c r="F291" s="665"/>
      <c r="G291" s="539"/>
      <c r="H291" s="373"/>
      <c r="I291" s="665"/>
      <c r="J291" s="666"/>
      <c r="K291" s="665"/>
      <c r="L291" s="667"/>
      <c r="M291" s="668"/>
      <c r="N291" s="373"/>
      <c r="O291" s="373"/>
      <c r="P291" s="670"/>
      <c r="Q291" s="665"/>
      <c r="R291" s="665"/>
      <c r="S291" s="539"/>
      <c r="T291" s="672"/>
      <c r="U291" s="49"/>
      <c r="V291" s="49"/>
      <c r="W291" s="49"/>
      <c r="X291" s="49"/>
      <c r="Y291" s="49"/>
    </row>
    <row r="292" ht="15.75" customHeight="1">
      <c r="A292" s="38"/>
      <c r="B292" s="49"/>
      <c r="C292" s="15"/>
      <c r="D292" s="663"/>
      <c r="E292" s="664"/>
      <c r="F292" s="665"/>
      <c r="G292" s="539"/>
      <c r="H292" s="373"/>
      <c r="I292" s="665"/>
      <c r="J292" s="666"/>
      <c r="K292" s="665"/>
      <c r="L292" s="667"/>
      <c r="M292" s="668"/>
      <c r="N292" s="373"/>
      <c r="O292" s="373"/>
      <c r="P292" s="670"/>
      <c r="Q292" s="665"/>
      <c r="R292" s="665"/>
      <c r="S292" s="539"/>
      <c r="T292" s="672"/>
      <c r="U292" s="49"/>
      <c r="V292" s="49"/>
      <c r="W292" s="49"/>
      <c r="X292" s="49"/>
      <c r="Y292" s="49"/>
    </row>
    <row r="293" ht="15.75" customHeight="1">
      <c r="A293" s="38"/>
      <c r="B293" s="49"/>
      <c r="C293" s="15"/>
      <c r="D293" s="663"/>
      <c r="E293" s="664"/>
      <c r="F293" s="665"/>
      <c r="G293" s="539"/>
      <c r="H293" s="373"/>
      <c r="I293" s="665"/>
      <c r="J293" s="666"/>
      <c r="K293" s="665"/>
      <c r="L293" s="667"/>
      <c r="M293" s="668"/>
      <c r="N293" s="373"/>
      <c r="O293" s="373"/>
      <c r="P293" s="670"/>
      <c r="Q293" s="665"/>
      <c r="R293" s="665"/>
      <c r="S293" s="539"/>
      <c r="T293" s="672"/>
      <c r="U293" s="49"/>
      <c r="V293" s="49"/>
      <c r="W293" s="49"/>
      <c r="X293" s="49"/>
      <c r="Y293" s="49"/>
    </row>
    <row r="294" ht="15.75" customHeight="1">
      <c r="A294" s="38"/>
      <c r="B294" s="49"/>
      <c r="C294" s="15"/>
      <c r="D294" s="663"/>
      <c r="E294" s="664"/>
      <c r="F294" s="665"/>
      <c r="G294" s="539"/>
      <c r="H294" s="373"/>
      <c r="I294" s="665"/>
      <c r="J294" s="666"/>
      <c r="K294" s="665"/>
      <c r="L294" s="667"/>
      <c r="M294" s="668"/>
      <c r="N294" s="373"/>
      <c r="O294" s="373"/>
      <c r="P294" s="670"/>
      <c r="Q294" s="665"/>
      <c r="R294" s="665"/>
      <c r="S294" s="539"/>
      <c r="T294" s="672"/>
      <c r="U294" s="49"/>
      <c r="V294" s="49"/>
      <c r="W294" s="49"/>
      <c r="X294" s="49"/>
      <c r="Y294" s="49"/>
    </row>
    <row r="295" ht="15.75" customHeight="1">
      <c r="A295" s="38"/>
      <c r="B295" s="49"/>
      <c r="C295" s="15"/>
      <c r="D295" s="663"/>
      <c r="E295" s="664"/>
      <c r="F295" s="665"/>
      <c r="G295" s="539"/>
      <c r="H295" s="373"/>
      <c r="I295" s="665"/>
      <c r="J295" s="666"/>
      <c r="K295" s="665"/>
      <c r="L295" s="667"/>
      <c r="M295" s="668"/>
      <c r="N295" s="373"/>
      <c r="O295" s="373"/>
      <c r="P295" s="670"/>
      <c r="Q295" s="665"/>
      <c r="R295" s="665"/>
      <c r="S295" s="539"/>
      <c r="T295" s="672"/>
      <c r="U295" s="49"/>
      <c r="V295" s="49"/>
      <c r="W295" s="49"/>
      <c r="X295" s="49"/>
      <c r="Y295" s="49"/>
    </row>
    <row r="296" ht="15.75" customHeight="1">
      <c r="A296" s="38"/>
      <c r="B296" s="49"/>
      <c r="C296" s="15"/>
      <c r="D296" s="663"/>
      <c r="E296" s="664"/>
      <c r="F296" s="665"/>
      <c r="G296" s="539"/>
      <c r="H296" s="373"/>
      <c r="I296" s="665"/>
      <c r="J296" s="666"/>
      <c r="K296" s="665"/>
      <c r="L296" s="667"/>
      <c r="M296" s="668"/>
      <c r="N296" s="373"/>
      <c r="O296" s="373"/>
      <c r="P296" s="670"/>
      <c r="Q296" s="665"/>
      <c r="R296" s="665"/>
      <c r="S296" s="539"/>
      <c r="T296" s="672"/>
      <c r="U296" s="49"/>
      <c r="V296" s="49"/>
      <c r="W296" s="49"/>
      <c r="X296" s="49"/>
      <c r="Y296" s="49"/>
    </row>
    <row r="297" ht="15.75" customHeight="1">
      <c r="A297" s="38"/>
      <c r="B297" s="49"/>
      <c r="C297" s="15"/>
      <c r="D297" s="663"/>
      <c r="E297" s="664"/>
      <c r="F297" s="665"/>
      <c r="G297" s="539"/>
      <c r="H297" s="373"/>
      <c r="I297" s="665"/>
      <c r="J297" s="666"/>
      <c r="K297" s="665"/>
      <c r="L297" s="667"/>
      <c r="M297" s="668"/>
      <c r="N297" s="373"/>
      <c r="O297" s="373"/>
      <c r="P297" s="670"/>
      <c r="Q297" s="665"/>
      <c r="R297" s="665"/>
      <c r="S297" s="539"/>
      <c r="T297" s="672"/>
      <c r="U297" s="49"/>
      <c r="V297" s="49"/>
      <c r="W297" s="49"/>
      <c r="X297" s="49"/>
      <c r="Y297" s="49"/>
    </row>
    <row r="298" ht="15.75" customHeight="1">
      <c r="A298" s="38"/>
      <c r="B298" s="49"/>
      <c r="C298" s="15"/>
      <c r="D298" s="663"/>
      <c r="E298" s="664"/>
      <c r="F298" s="665"/>
      <c r="G298" s="539"/>
      <c r="H298" s="373"/>
      <c r="I298" s="665"/>
      <c r="J298" s="666"/>
      <c r="K298" s="665"/>
      <c r="L298" s="667"/>
      <c r="M298" s="668"/>
      <c r="N298" s="373"/>
      <c r="O298" s="373"/>
      <c r="P298" s="670"/>
      <c r="Q298" s="665"/>
      <c r="R298" s="665"/>
      <c r="S298" s="539"/>
      <c r="T298" s="672"/>
      <c r="U298" s="49"/>
      <c r="V298" s="49"/>
      <c r="W298" s="49"/>
      <c r="X298" s="49"/>
      <c r="Y298" s="49"/>
    </row>
    <row r="299" ht="15.75" customHeight="1">
      <c r="A299" s="38"/>
      <c r="B299" s="49"/>
      <c r="C299" s="15"/>
      <c r="D299" s="663"/>
      <c r="E299" s="664"/>
      <c r="F299" s="665"/>
      <c r="G299" s="539"/>
      <c r="H299" s="373"/>
      <c r="I299" s="665"/>
      <c r="J299" s="666"/>
      <c r="K299" s="665"/>
      <c r="L299" s="667"/>
      <c r="M299" s="668"/>
      <c r="N299" s="373"/>
      <c r="O299" s="373"/>
      <c r="P299" s="670"/>
      <c r="Q299" s="665"/>
      <c r="R299" s="665"/>
      <c r="S299" s="539"/>
      <c r="T299" s="672"/>
      <c r="U299" s="49"/>
      <c r="V299" s="49"/>
      <c r="W299" s="49"/>
      <c r="X299" s="49"/>
      <c r="Y299" s="49"/>
    </row>
    <row r="300" ht="15.75" customHeight="1">
      <c r="A300" s="38"/>
      <c r="B300" s="49"/>
      <c r="C300" s="15"/>
      <c r="D300" s="663"/>
      <c r="E300" s="664"/>
      <c r="F300" s="665"/>
      <c r="G300" s="539"/>
      <c r="H300" s="373"/>
      <c r="I300" s="665"/>
      <c r="J300" s="666"/>
      <c r="K300" s="665"/>
      <c r="L300" s="667"/>
      <c r="M300" s="668"/>
      <c r="N300" s="373"/>
      <c r="O300" s="373"/>
      <c r="P300" s="670"/>
      <c r="Q300" s="665"/>
      <c r="R300" s="665"/>
      <c r="S300" s="539"/>
      <c r="T300" s="672"/>
      <c r="U300" s="49"/>
      <c r="V300" s="49"/>
      <c r="W300" s="49"/>
      <c r="X300" s="49"/>
      <c r="Y300" s="49"/>
    </row>
    <row r="301" ht="15.75" customHeight="1">
      <c r="A301" s="38"/>
      <c r="B301" s="49"/>
      <c r="C301" s="15"/>
      <c r="D301" s="663"/>
      <c r="E301" s="664"/>
      <c r="F301" s="665"/>
      <c r="G301" s="539"/>
      <c r="H301" s="373"/>
      <c r="I301" s="665"/>
      <c r="J301" s="666"/>
      <c r="K301" s="665"/>
      <c r="L301" s="667"/>
      <c r="M301" s="668"/>
      <c r="N301" s="373"/>
      <c r="O301" s="373"/>
      <c r="P301" s="670"/>
      <c r="Q301" s="665"/>
      <c r="R301" s="665"/>
      <c r="S301" s="539"/>
      <c r="T301" s="672"/>
      <c r="U301" s="49"/>
      <c r="V301" s="49"/>
      <c r="W301" s="49"/>
      <c r="X301" s="49"/>
      <c r="Y301" s="49"/>
    </row>
    <row r="302" ht="15.75" customHeight="1">
      <c r="A302" s="38"/>
      <c r="B302" s="49"/>
      <c r="C302" s="15"/>
      <c r="D302" s="663"/>
      <c r="E302" s="664"/>
      <c r="F302" s="665"/>
      <c r="G302" s="539"/>
      <c r="H302" s="373"/>
      <c r="I302" s="665"/>
      <c r="J302" s="666"/>
      <c r="K302" s="665"/>
      <c r="L302" s="667"/>
      <c r="M302" s="668"/>
      <c r="N302" s="373"/>
      <c r="O302" s="373"/>
      <c r="P302" s="670"/>
      <c r="Q302" s="665"/>
      <c r="R302" s="665"/>
      <c r="S302" s="539"/>
      <c r="T302" s="672"/>
      <c r="U302" s="49"/>
      <c r="V302" s="49"/>
      <c r="W302" s="49"/>
      <c r="X302" s="49"/>
      <c r="Y302" s="49"/>
    </row>
    <row r="303" ht="15.75" customHeight="1">
      <c r="A303" s="38"/>
      <c r="B303" s="49"/>
      <c r="C303" s="15"/>
      <c r="D303" s="663"/>
      <c r="E303" s="664"/>
      <c r="F303" s="665"/>
      <c r="G303" s="539"/>
      <c r="H303" s="373"/>
      <c r="I303" s="665"/>
      <c r="J303" s="666"/>
      <c r="K303" s="665"/>
      <c r="L303" s="667"/>
      <c r="M303" s="668"/>
      <c r="N303" s="373"/>
      <c r="O303" s="373"/>
      <c r="P303" s="670"/>
      <c r="Q303" s="665"/>
      <c r="R303" s="665"/>
      <c r="S303" s="539"/>
      <c r="T303" s="672"/>
      <c r="U303" s="49"/>
      <c r="V303" s="49"/>
      <c r="W303" s="49"/>
      <c r="X303" s="49"/>
      <c r="Y303" s="49"/>
    </row>
    <row r="304" ht="15.75" customHeight="1">
      <c r="A304" s="38"/>
      <c r="B304" s="49"/>
      <c r="C304" s="15"/>
      <c r="D304" s="663"/>
      <c r="E304" s="664"/>
      <c r="F304" s="665"/>
      <c r="G304" s="539"/>
      <c r="H304" s="373"/>
      <c r="I304" s="665"/>
      <c r="J304" s="666"/>
      <c r="K304" s="665"/>
      <c r="L304" s="667"/>
      <c r="M304" s="668"/>
      <c r="N304" s="373"/>
      <c r="O304" s="373"/>
      <c r="P304" s="670"/>
      <c r="Q304" s="665"/>
      <c r="R304" s="665"/>
      <c r="S304" s="539"/>
      <c r="T304" s="672"/>
      <c r="U304" s="49"/>
      <c r="V304" s="49"/>
      <c r="W304" s="49"/>
      <c r="X304" s="49"/>
      <c r="Y304" s="49"/>
    </row>
    <row r="305" ht="15.75" customHeight="1">
      <c r="A305" s="38"/>
      <c r="B305" s="49"/>
      <c r="C305" s="15"/>
      <c r="D305" s="663"/>
      <c r="E305" s="664"/>
      <c r="F305" s="665"/>
      <c r="G305" s="539"/>
      <c r="H305" s="373"/>
      <c r="I305" s="665"/>
      <c r="J305" s="666"/>
      <c r="K305" s="665"/>
      <c r="L305" s="667"/>
      <c r="M305" s="668"/>
      <c r="N305" s="373"/>
      <c r="O305" s="373"/>
      <c r="P305" s="670"/>
      <c r="Q305" s="665"/>
      <c r="R305" s="665"/>
      <c r="S305" s="539"/>
      <c r="T305" s="672"/>
      <c r="U305" s="49"/>
      <c r="V305" s="49"/>
      <c r="W305" s="49"/>
      <c r="X305" s="49"/>
      <c r="Y305" s="49"/>
    </row>
    <row r="306" ht="15.75" customHeight="1">
      <c r="A306" s="38"/>
      <c r="B306" s="49"/>
      <c r="C306" s="15"/>
      <c r="D306" s="663"/>
      <c r="E306" s="664"/>
      <c r="F306" s="665"/>
      <c r="G306" s="539"/>
      <c r="H306" s="373"/>
      <c r="I306" s="665"/>
      <c r="J306" s="666"/>
      <c r="K306" s="665"/>
      <c r="L306" s="667"/>
      <c r="M306" s="668"/>
      <c r="N306" s="373"/>
      <c r="O306" s="373"/>
      <c r="P306" s="670"/>
      <c r="Q306" s="665"/>
      <c r="R306" s="665"/>
      <c r="S306" s="539"/>
      <c r="T306" s="672"/>
      <c r="U306" s="49"/>
      <c r="V306" s="49"/>
      <c r="W306" s="49"/>
      <c r="X306" s="49"/>
      <c r="Y306" s="49"/>
    </row>
    <row r="307" ht="15.75" customHeight="1">
      <c r="A307" s="38"/>
      <c r="B307" s="49"/>
      <c r="C307" s="15"/>
      <c r="D307" s="663"/>
      <c r="E307" s="664"/>
      <c r="F307" s="665"/>
      <c r="G307" s="539"/>
      <c r="H307" s="373"/>
      <c r="I307" s="665"/>
      <c r="J307" s="666"/>
      <c r="K307" s="665"/>
      <c r="L307" s="667"/>
      <c r="M307" s="668"/>
      <c r="N307" s="373"/>
      <c r="O307" s="373"/>
      <c r="P307" s="670"/>
      <c r="Q307" s="665"/>
      <c r="R307" s="665"/>
      <c r="S307" s="539"/>
      <c r="T307" s="672"/>
      <c r="U307" s="49"/>
      <c r="V307" s="49"/>
      <c r="W307" s="49"/>
      <c r="X307" s="49"/>
      <c r="Y307" s="49"/>
    </row>
    <row r="308" ht="15.75" customHeight="1">
      <c r="A308" s="38"/>
      <c r="B308" s="49"/>
      <c r="C308" s="15"/>
      <c r="D308" s="663"/>
      <c r="E308" s="664"/>
      <c r="F308" s="665"/>
      <c r="G308" s="539"/>
      <c r="H308" s="373"/>
      <c r="I308" s="665"/>
      <c r="J308" s="666"/>
      <c r="K308" s="665"/>
      <c r="L308" s="667"/>
      <c r="M308" s="668"/>
      <c r="N308" s="373"/>
      <c r="O308" s="373"/>
      <c r="P308" s="670"/>
      <c r="Q308" s="665"/>
      <c r="R308" s="665"/>
      <c r="S308" s="539"/>
      <c r="T308" s="672"/>
      <c r="U308" s="49"/>
      <c r="V308" s="49"/>
      <c r="W308" s="49"/>
      <c r="X308" s="49"/>
      <c r="Y308" s="49"/>
    </row>
    <row r="309" ht="15.75" customHeight="1">
      <c r="A309" s="38"/>
      <c r="B309" s="49"/>
      <c r="C309" s="15"/>
      <c r="D309" s="663"/>
      <c r="E309" s="664"/>
      <c r="F309" s="665"/>
      <c r="G309" s="539"/>
      <c r="H309" s="373"/>
      <c r="I309" s="665"/>
      <c r="J309" s="666"/>
      <c r="K309" s="665"/>
      <c r="L309" s="667"/>
      <c r="M309" s="668"/>
      <c r="N309" s="373"/>
      <c r="O309" s="373"/>
      <c r="P309" s="670"/>
      <c r="Q309" s="665"/>
      <c r="R309" s="665"/>
      <c r="S309" s="539"/>
      <c r="T309" s="672"/>
      <c r="U309" s="49"/>
      <c r="V309" s="49"/>
      <c r="W309" s="49"/>
      <c r="X309" s="49"/>
      <c r="Y309" s="49"/>
    </row>
    <row r="310" ht="15.75" customHeight="1">
      <c r="A310" s="38"/>
      <c r="B310" s="49"/>
      <c r="C310" s="15"/>
      <c r="D310" s="663"/>
      <c r="E310" s="664"/>
      <c r="F310" s="665"/>
      <c r="G310" s="539"/>
      <c r="H310" s="373"/>
      <c r="I310" s="665"/>
      <c r="J310" s="666"/>
      <c r="K310" s="665"/>
      <c r="L310" s="667"/>
      <c r="M310" s="668"/>
      <c r="N310" s="373"/>
      <c r="O310" s="373"/>
      <c r="P310" s="670"/>
      <c r="Q310" s="665"/>
      <c r="R310" s="665"/>
      <c r="S310" s="539"/>
      <c r="T310" s="672"/>
      <c r="U310" s="49"/>
      <c r="V310" s="49"/>
      <c r="W310" s="49"/>
      <c r="X310" s="49"/>
      <c r="Y310" s="49"/>
    </row>
    <row r="311" ht="15.75" customHeight="1">
      <c r="A311" s="38"/>
      <c r="B311" s="49"/>
      <c r="C311" s="15"/>
      <c r="D311" s="663"/>
      <c r="E311" s="664"/>
      <c r="F311" s="665"/>
      <c r="G311" s="539"/>
      <c r="H311" s="373"/>
      <c r="I311" s="665"/>
      <c r="J311" s="666"/>
      <c r="K311" s="665"/>
      <c r="L311" s="667"/>
      <c r="M311" s="668"/>
      <c r="N311" s="373"/>
      <c r="O311" s="373"/>
      <c r="P311" s="670"/>
      <c r="Q311" s="665"/>
      <c r="R311" s="665"/>
      <c r="S311" s="539"/>
      <c r="T311" s="672"/>
      <c r="U311" s="49"/>
      <c r="V311" s="49"/>
      <c r="W311" s="49"/>
      <c r="X311" s="49"/>
      <c r="Y311" s="49"/>
    </row>
    <row r="312" ht="15.75" customHeight="1">
      <c r="A312" s="38"/>
      <c r="B312" s="49"/>
      <c r="C312" s="15"/>
      <c r="D312" s="663"/>
      <c r="E312" s="664"/>
      <c r="F312" s="665"/>
      <c r="G312" s="539"/>
      <c r="H312" s="373"/>
      <c r="I312" s="665"/>
      <c r="J312" s="666"/>
      <c r="K312" s="665"/>
      <c r="L312" s="667"/>
      <c r="M312" s="668"/>
      <c r="N312" s="373"/>
      <c r="O312" s="373"/>
      <c r="P312" s="670"/>
      <c r="Q312" s="665"/>
      <c r="R312" s="665"/>
      <c r="S312" s="539"/>
      <c r="T312" s="672"/>
      <c r="U312" s="49"/>
      <c r="V312" s="49"/>
      <c r="W312" s="49"/>
      <c r="X312" s="49"/>
      <c r="Y312" s="49"/>
    </row>
    <row r="313" ht="15.75" customHeight="1">
      <c r="A313" s="38"/>
      <c r="B313" s="49"/>
      <c r="C313" s="15"/>
      <c r="D313" s="663"/>
      <c r="E313" s="664"/>
      <c r="F313" s="665"/>
      <c r="G313" s="539"/>
      <c r="H313" s="373"/>
      <c r="I313" s="665"/>
      <c r="J313" s="666"/>
      <c r="K313" s="665"/>
      <c r="L313" s="667"/>
      <c r="M313" s="668"/>
      <c r="N313" s="373"/>
      <c r="O313" s="373"/>
      <c r="P313" s="670"/>
      <c r="Q313" s="665"/>
      <c r="R313" s="665"/>
      <c r="S313" s="539"/>
      <c r="T313" s="672"/>
      <c r="U313" s="49"/>
      <c r="V313" s="49"/>
      <c r="W313" s="49"/>
      <c r="X313" s="49"/>
      <c r="Y313" s="49"/>
    </row>
    <row r="314" ht="15.75" customHeight="1">
      <c r="A314" s="38"/>
      <c r="B314" s="49"/>
      <c r="C314" s="15"/>
      <c r="D314" s="663"/>
      <c r="E314" s="664"/>
      <c r="F314" s="665"/>
      <c r="G314" s="539"/>
      <c r="H314" s="373"/>
      <c r="I314" s="665"/>
      <c r="J314" s="666"/>
      <c r="K314" s="665"/>
      <c r="L314" s="667"/>
      <c r="M314" s="668"/>
      <c r="N314" s="373"/>
      <c r="O314" s="373"/>
      <c r="P314" s="670"/>
      <c r="Q314" s="665"/>
      <c r="R314" s="665"/>
      <c r="S314" s="539"/>
      <c r="T314" s="672"/>
      <c r="U314" s="49"/>
      <c r="V314" s="49"/>
      <c r="W314" s="49"/>
      <c r="X314" s="49"/>
      <c r="Y314" s="49"/>
    </row>
    <row r="315" ht="15.75" customHeight="1">
      <c r="A315" s="38"/>
      <c r="B315" s="49"/>
      <c r="C315" s="15"/>
      <c r="D315" s="663"/>
      <c r="E315" s="664"/>
      <c r="F315" s="665"/>
      <c r="G315" s="539"/>
      <c r="H315" s="373"/>
      <c r="I315" s="665"/>
      <c r="J315" s="666"/>
      <c r="K315" s="665"/>
      <c r="L315" s="667"/>
      <c r="M315" s="668"/>
      <c r="N315" s="373"/>
      <c r="O315" s="373"/>
      <c r="P315" s="670"/>
      <c r="Q315" s="665"/>
      <c r="R315" s="665"/>
      <c r="S315" s="539"/>
      <c r="T315" s="672"/>
      <c r="U315" s="49"/>
      <c r="V315" s="49"/>
      <c r="W315" s="49"/>
      <c r="X315" s="49"/>
      <c r="Y315" s="49"/>
    </row>
    <row r="316" ht="15.75" customHeight="1">
      <c r="A316" s="38"/>
      <c r="B316" s="49"/>
      <c r="C316" s="15"/>
      <c r="D316" s="663"/>
      <c r="E316" s="664"/>
      <c r="F316" s="665"/>
      <c r="G316" s="539"/>
      <c r="H316" s="373"/>
      <c r="I316" s="665"/>
      <c r="J316" s="666"/>
      <c r="K316" s="665"/>
      <c r="L316" s="667"/>
      <c r="M316" s="668"/>
      <c r="N316" s="373"/>
      <c r="O316" s="373"/>
      <c r="P316" s="670"/>
      <c r="Q316" s="665"/>
      <c r="R316" s="665"/>
      <c r="S316" s="539"/>
      <c r="T316" s="672"/>
      <c r="U316" s="49"/>
      <c r="V316" s="49"/>
      <c r="W316" s="49"/>
      <c r="X316" s="49"/>
      <c r="Y316" s="49"/>
    </row>
    <row r="317" ht="15.75" customHeight="1">
      <c r="A317" s="38"/>
      <c r="B317" s="49"/>
      <c r="C317" s="15"/>
      <c r="D317" s="663"/>
      <c r="E317" s="664"/>
      <c r="F317" s="665"/>
      <c r="G317" s="539"/>
      <c r="H317" s="373"/>
      <c r="I317" s="665"/>
      <c r="J317" s="666"/>
      <c r="K317" s="665"/>
      <c r="L317" s="667"/>
      <c r="M317" s="668"/>
      <c r="N317" s="373"/>
      <c r="O317" s="373"/>
      <c r="P317" s="670"/>
      <c r="Q317" s="665"/>
      <c r="R317" s="665"/>
      <c r="S317" s="539"/>
      <c r="T317" s="672"/>
      <c r="U317" s="49"/>
      <c r="V317" s="49"/>
      <c r="W317" s="49"/>
      <c r="X317" s="49"/>
      <c r="Y317" s="49"/>
    </row>
    <row r="318" ht="15.75" customHeight="1">
      <c r="A318" s="38"/>
      <c r="B318" s="49"/>
      <c r="C318" s="15"/>
      <c r="D318" s="663"/>
      <c r="E318" s="664"/>
      <c r="F318" s="665"/>
      <c r="G318" s="539"/>
      <c r="H318" s="373"/>
      <c r="I318" s="665"/>
      <c r="J318" s="666"/>
      <c r="K318" s="665"/>
      <c r="L318" s="667"/>
      <c r="M318" s="668"/>
      <c r="N318" s="373"/>
      <c r="O318" s="373"/>
      <c r="P318" s="670"/>
      <c r="Q318" s="665"/>
      <c r="R318" s="665"/>
      <c r="S318" s="539"/>
      <c r="T318" s="672"/>
      <c r="U318" s="49"/>
      <c r="V318" s="49"/>
      <c r="W318" s="49"/>
      <c r="X318" s="49"/>
      <c r="Y318" s="49"/>
    </row>
    <row r="319" ht="15.75" customHeight="1">
      <c r="A319" s="38"/>
      <c r="B319" s="49"/>
      <c r="C319" s="15"/>
      <c r="D319" s="663"/>
      <c r="E319" s="664"/>
      <c r="F319" s="665"/>
      <c r="G319" s="539"/>
      <c r="H319" s="373"/>
      <c r="I319" s="665"/>
      <c r="J319" s="666"/>
      <c r="K319" s="665"/>
      <c r="L319" s="667"/>
      <c r="M319" s="668"/>
      <c r="N319" s="373"/>
      <c r="O319" s="373"/>
      <c r="P319" s="670"/>
      <c r="Q319" s="665"/>
      <c r="R319" s="665"/>
      <c r="S319" s="539"/>
      <c r="T319" s="672"/>
      <c r="U319" s="49"/>
      <c r="V319" s="49"/>
      <c r="W319" s="49"/>
      <c r="X319" s="49"/>
      <c r="Y319" s="49"/>
    </row>
    <row r="320" ht="15.75" customHeight="1">
      <c r="A320" s="38"/>
      <c r="B320" s="49"/>
      <c r="C320" s="15"/>
      <c r="D320" s="663"/>
      <c r="E320" s="664"/>
      <c r="F320" s="665"/>
      <c r="G320" s="539"/>
      <c r="H320" s="373"/>
      <c r="I320" s="665"/>
      <c r="J320" s="666"/>
      <c r="K320" s="665"/>
      <c r="L320" s="667"/>
      <c r="M320" s="668"/>
      <c r="N320" s="373"/>
      <c r="O320" s="373"/>
      <c r="P320" s="670"/>
      <c r="Q320" s="665"/>
      <c r="R320" s="665"/>
      <c r="S320" s="539"/>
      <c r="T320" s="672"/>
      <c r="U320" s="49"/>
      <c r="V320" s="49"/>
      <c r="W320" s="49"/>
      <c r="X320" s="49"/>
      <c r="Y320" s="49"/>
    </row>
    <row r="321" ht="15.75" customHeight="1">
      <c r="A321" s="38"/>
      <c r="B321" s="49"/>
      <c r="C321" s="15"/>
      <c r="D321" s="663"/>
      <c r="E321" s="664"/>
      <c r="F321" s="665"/>
      <c r="G321" s="539"/>
      <c r="H321" s="373"/>
      <c r="I321" s="665"/>
      <c r="J321" s="666"/>
      <c r="K321" s="665"/>
      <c r="L321" s="667"/>
      <c r="M321" s="668"/>
      <c r="N321" s="373"/>
      <c r="O321" s="373"/>
      <c r="P321" s="670"/>
      <c r="Q321" s="665"/>
      <c r="R321" s="665"/>
      <c r="S321" s="539"/>
      <c r="T321" s="672"/>
      <c r="U321" s="49"/>
      <c r="V321" s="49"/>
      <c r="W321" s="49"/>
      <c r="X321" s="49"/>
      <c r="Y321" s="49"/>
    </row>
    <row r="322" ht="15.75" customHeight="1">
      <c r="A322" s="38"/>
      <c r="B322" s="49"/>
      <c r="C322" s="15"/>
      <c r="D322" s="663"/>
      <c r="E322" s="664"/>
      <c r="F322" s="665"/>
      <c r="G322" s="539"/>
      <c r="H322" s="373"/>
      <c r="I322" s="665"/>
      <c r="J322" s="666"/>
      <c r="K322" s="665"/>
      <c r="L322" s="667"/>
      <c r="M322" s="668"/>
      <c r="N322" s="373"/>
      <c r="O322" s="373"/>
      <c r="P322" s="670"/>
      <c r="Q322" s="665"/>
      <c r="R322" s="665"/>
      <c r="S322" s="539"/>
      <c r="T322" s="672"/>
      <c r="U322" s="49"/>
      <c r="V322" s="49"/>
      <c r="W322" s="49"/>
      <c r="X322" s="49"/>
      <c r="Y322" s="49"/>
    </row>
    <row r="323" ht="15.75" customHeight="1">
      <c r="A323" s="38"/>
      <c r="B323" s="49"/>
      <c r="C323" s="15"/>
      <c r="D323" s="663"/>
      <c r="E323" s="664"/>
      <c r="F323" s="665"/>
      <c r="G323" s="539"/>
      <c r="H323" s="373"/>
      <c r="I323" s="665"/>
      <c r="J323" s="666"/>
      <c r="K323" s="665"/>
      <c r="L323" s="667"/>
      <c r="M323" s="668"/>
      <c r="N323" s="373"/>
      <c r="O323" s="373"/>
      <c r="P323" s="670"/>
      <c r="Q323" s="665"/>
      <c r="R323" s="665"/>
      <c r="S323" s="539"/>
      <c r="T323" s="672"/>
      <c r="U323" s="49"/>
      <c r="V323" s="49"/>
      <c r="W323" s="49"/>
      <c r="X323" s="49"/>
      <c r="Y323" s="49"/>
    </row>
    <row r="324" ht="15.75" customHeight="1">
      <c r="A324" s="38"/>
      <c r="B324" s="49"/>
      <c r="C324" s="15"/>
      <c r="D324" s="663"/>
      <c r="E324" s="664"/>
      <c r="F324" s="665"/>
      <c r="G324" s="539"/>
      <c r="H324" s="373"/>
      <c r="I324" s="665"/>
      <c r="J324" s="666"/>
      <c r="K324" s="665"/>
      <c r="L324" s="667"/>
      <c r="M324" s="668"/>
      <c r="N324" s="373"/>
      <c r="O324" s="373"/>
      <c r="P324" s="670"/>
      <c r="Q324" s="665"/>
      <c r="R324" s="665"/>
      <c r="S324" s="539"/>
      <c r="T324" s="672"/>
      <c r="U324" s="49"/>
      <c r="V324" s="49"/>
      <c r="W324" s="49"/>
      <c r="X324" s="49"/>
      <c r="Y324" s="49"/>
    </row>
    <row r="325" ht="15.75" customHeight="1">
      <c r="A325" s="38"/>
      <c r="B325" s="49"/>
      <c r="C325" s="15"/>
      <c r="D325" s="663"/>
      <c r="E325" s="664"/>
      <c r="F325" s="665"/>
      <c r="G325" s="539"/>
      <c r="H325" s="373"/>
      <c r="I325" s="665"/>
      <c r="J325" s="666"/>
      <c r="K325" s="665"/>
      <c r="L325" s="667"/>
      <c r="M325" s="668"/>
      <c r="N325" s="373"/>
      <c r="O325" s="373"/>
      <c r="P325" s="670"/>
      <c r="Q325" s="665"/>
      <c r="R325" s="665"/>
      <c r="S325" s="539"/>
      <c r="T325" s="672"/>
      <c r="U325" s="49"/>
      <c r="V325" s="49"/>
      <c r="W325" s="49"/>
      <c r="X325" s="49"/>
      <c r="Y325" s="49"/>
    </row>
    <row r="326" ht="15.75" customHeight="1">
      <c r="A326" s="38"/>
      <c r="B326" s="49"/>
      <c r="C326" s="15"/>
      <c r="D326" s="663"/>
      <c r="E326" s="664"/>
      <c r="F326" s="665"/>
      <c r="G326" s="539"/>
      <c r="H326" s="373"/>
      <c r="I326" s="665"/>
      <c r="J326" s="666"/>
      <c r="K326" s="665"/>
      <c r="L326" s="667"/>
      <c r="M326" s="668"/>
      <c r="N326" s="373"/>
      <c r="O326" s="373"/>
      <c r="P326" s="670"/>
      <c r="Q326" s="665"/>
      <c r="R326" s="665"/>
      <c r="S326" s="539"/>
      <c r="T326" s="665"/>
      <c r="U326" s="49"/>
      <c r="V326" s="49"/>
      <c r="W326" s="49"/>
      <c r="X326" s="49"/>
      <c r="Y326" s="49"/>
    </row>
    <row r="327" ht="15.75" customHeight="1">
      <c r="A327" s="38"/>
      <c r="B327" s="49"/>
      <c r="C327" s="15"/>
      <c r="D327" s="663"/>
      <c r="E327" s="664"/>
      <c r="F327" s="665"/>
      <c r="G327" s="539"/>
      <c r="H327" s="373"/>
      <c r="I327" s="665"/>
      <c r="J327" s="666"/>
      <c r="K327" s="665"/>
      <c r="L327" s="667"/>
      <c r="M327" s="668"/>
      <c r="N327" s="373"/>
      <c r="O327" s="373"/>
      <c r="P327" s="670"/>
      <c r="Q327" s="665"/>
      <c r="R327" s="665"/>
      <c r="S327" s="539"/>
      <c r="T327" s="665"/>
      <c r="U327" s="49"/>
      <c r="V327" s="49"/>
      <c r="W327" s="49"/>
      <c r="X327" s="49"/>
      <c r="Y327" s="49"/>
    </row>
    <row r="328" ht="15.75" customHeight="1">
      <c r="A328" s="38"/>
      <c r="B328" s="49"/>
      <c r="C328" s="15"/>
      <c r="D328" s="663"/>
      <c r="E328" s="664"/>
      <c r="F328" s="665"/>
      <c r="G328" s="539"/>
      <c r="H328" s="373"/>
      <c r="I328" s="665"/>
      <c r="J328" s="666"/>
      <c r="K328" s="665"/>
      <c r="L328" s="667"/>
      <c r="M328" s="668"/>
      <c r="N328" s="373"/>
      <c r="O328" s="373"/>
      <c r="P328" s="670"/>
      <c r="Q328" s="665"/>
      <c r="R328" s="665"/>
      <c r="S328" s="539"/>
      <c r="T328" s="665"/>
      <c r="U328" s="49"/>
      <c r="V328" s="49"/>
      <c r="W328" s="49"/>
      <c r="X328" s="49"/>
      <c r="Y328" s="49"/>
    </row>
    <row r="329" ht="15.75" customHeight="1">
      <c r="A329" s="38"/>
      <c r="B329" s="49"/>
      <c r="C329" s="15"/>
      <c r="D329" s="663"/>
      <c r="E329" s="664"/>
      <c r="F329" s="665"/>
      <c r="G329" s="539"/>
      <c r="H329" s="373"/>
      <c r="I329" s="665"/>
      <c r="J329" s="666"/>
      <c r="K329" s="665"/>
      <c r="L329" s="667"/>
      <c r="M329" s="668"/>
      <c r="N329" s="373"/>
      <c r="O329" s="373"/>
      <c r="P329" s="670"/>
      <c r="Q329" s="665"/>
      <c r="R329" s="665"/>
      <c r="S329" s="539"/>
      <c r="T329" s="665"/>
      <c r="U329" s="49"/>
      <c r="V329" s="49"/>
      <c r="W329" s="49"/>
      <c r="X329" s="49"/>
      <c r="Y329" s="49"/>
    </row>
    <row r="330" ht="15.75" customHeight="1">
      <c r="A330" s="38"/>
      <c r="B330" s="49"/>
      <c r="C330" s="15"/>
      <c r="D330" s="663"/>
      <c r="E330" s="664"/>
      <c r="F330" s="665"/>
      <c r="G330" s="539"/>
      <c r="H330" s="373"/>
      <c r="I330" s="665"/>
      <c r="J330" s="666"/>
      <c r="K330" s="665"/>
      <c r="L330" s="667"/>
      <c r="M330" s="668"/>
      <c r="N330" s="373"/>
      <c r="O330" s="373"/>
      <c r="P330" s="670"/>
      <c r="Q330" s="665"/>
      <c r="R330" s="665"/>
      <c r="S330" s="539"/>
      <c r="T330" s="665"/>
      <c r="U330" s="49"/>
      <c r="V330" s="49"/>
      <c r="W330" s="49"/>
      <c r="X330" s="49"/>
      <c r="Y330" s="49"/>
    </row>
    <row r="331" ht="15.75" customHeight="1">
      <c r="A331" s="38"/>
      <c r="B331" s="49"/>
      <c r="C331" s="15"/>
      <c r="D331" s="663"/>
      <c r="E331" s="664"/>
      <c r="F331" s="665"/>
      <c r="G331" s="539"/>
      <c r="H331" s="373"/>
      <c r="I331" s="665"/>
      <c r="J331" s="666"/>
      <c r="K331" s="665"/>
      <c r="L331" s="667"/>
      <c r="M331" s="668"/>
      <c r="N331" s="373"/>
      <c r="O331" s="373"/>
      <c r="P331" s="670"/>
      <c r="Q331" s="665"/>
      <c r="R331" s="665"/>
      <c r="S331" s="539"/>
      <c r="T331" s="665"/>
      <c r="U331" s="49"/>
      <c r="V331" s="49"/>
      <c r="W331" s="49"/>
      <c r="X331" s="49"/>
      <c r="Y331" s="49"/>
    </row>
    <row r="332" ht="15.75" customHeight="1">
      <c r="A332" s="38"/>
      <c r="B332" s="49"/>
      <c r="C332" s="15"/>
      <c r="D332" s="663"/>
      <c r="E332" s="664"/>
      <c r="F332" s="665"/>
      <c r="G332" s="539"/>
      <c r="H332" s="373"/>
      <c r="I332" s="665"/>
      <c r="J332" s="666"/>
      <c r="K332" s="665"/>
      <c r="L332" s="667"/>
      <c r="M332" s="668"/>
      <c r="N332" s="373"/>
      <c r="O332" s="373"/>
      <c r="P332" s="670"/>
      <c r="Q332" s="665"/>
      <c r="R332" s="665"/>
      <c r="S332" s="539"/>
      <c r="T332" s="665"/>
      <c r="U332" s="49"/>
      <c r="V332" s="49"/>
      <c r="W332" s="49"/>
      <c r="X332" s="49"/>
      <c r="Y332" s="49"/>
    </row>
    <row r="333" ht="15.75" customHeight="1">
      <c r="A333" s="38"/>
      <c r="B333" s="49"/>
      <c r="C333" s="15"/>
      <c r="D333" s="663"/>
      <c r="E333" s="664"/>
      <c r="F333" s="665"/>
      <c r="G333" s="539"/>
      <c r="H333" s="373"/>
      <c r="I333" s="665"/>
      <c r="J333" s="666"/>
      <c r="K333" s="665"/>
      <c r="L333" s="667"/>
      <c r="M333" s="668"/>
      <c r="N333" s="373"/>
      <c r="O333" s="373"/>
      <c r="P333" s="670"/>
      <c r="Q333" s="665"/>
      <c r="R333" s="665"/>
      <c r="S333" s="539"/>
      <c r="T333" s="665"/>
      <c r="U333" s="49"/>
      <c r="V333" s="49"/>
      <c r="W333" s="49"/>
      <c r="X333" s="49"/>
      <c r="Y333" s="49"/>
    </row>
    <row r="334" ht="15.75" customHeight="1">
      <c r="A334" s="38"/>
      <c r="B334" s="49"/>
      <c r="C334" s="15"/>
      <c r="D334" s="663"/>
      <c r="E334" s="664"/>
      <c r="F334" s="665"/>
      <c r="G334" s="539"/>
      <c r="H334" s="373"/>
      <c r="I334" s="665"/>
      <c r="J334" s="666"/>
      <c r="K334" s="665"/>
      <c r="L334" s="667"/>
      <c r="M334" s="668"/>
      <c r="N334" s="373"/>
      <c r="O334" s="373"/>
      <c r="P334" s="670"/>
      <c r="Q334" s="665"/>
      <c r="R334" s="665"/>
      <c r="S334" s="539"/>
      <c r="T334" s="665"/>
      <c r="U334" s="49"/>
      <c r="V334" s="49"/>
      <c r="W334" s="49"/>
      <c r="X334" s="49"/>
      <c r="Y334" s="49"/>
    </row>
    <row r="335" ht="15.75" customHeight="1">
      <c r="A335" s="38"/>
      <c r="B335" s="49"/>
      <c r="C335" s="15"/>
      <c r="D335" s="663"/>
      <c r="E335" s="664"/>
      <c r="F335" s="665"/>
      <c r="G335" s="539"/>
      <c r="H335" s="373"/>
      <c r="I335" s="665"/>
      <c r="J335" s="666"/>
      <c r="K335" s="665"/>
      <c r="L335" s="667"/>
      <c r="M335" s="668"/>
      <c r="N335" s="373"/>
      <c r="O335" s="373"/>
      <c r="P335" s="670"/>
      <c r="Q335" s="665"/>
      <c r="R335" s="665"/>
      <c r="S335" s="539"/>
      <c r="T335" s="665"/>
      <c r="U335" s="49"/>
      <c r="V335" s="49"/>
      <c r="W335" s="49"/>
      <c r="X335" s="49"/>
      <c r="Y335" s="49"/>
    </row>
    <row r="336" ht="15.75" customHeight="1">
      <c r="A336" s="38"/>
      <c r="B336" s="49"/>
      <c r="C336" s="15"/>
      <c r="D336" s="663"/>
      <c r="E336" s="664"/>
      <c r="F336" s="665"/>
      <c r="G336" s="539"/>
      <c r="H336" s="373"/>
      <c r="I336" s="665"/>
      <c r="J336" s="666"/>
      <c r="K336" s="665"/>
      <c r="L336" s="667"/>
      <c r="M336" s="668"/>
      <c r="N336" s="373"/>
      <c r="O336" s="373"/>
      <c r="P336" s="670"/>
      <c r="Q336" s="665"/>
      <c r="R336" s="665"/>
      <c r="S336" s="539"/>
      <c r="T336" s="665"/>
      <c r="U336" s="49"/>
      <c r="V336" s="49"/>
      <c r="W336" s="49"/>
      <c r="X336" s="49"/>
      <c r="Y336" s="49"/>
    </row>
    <row r="337" ht="15.75" customHeight="1">
      <c r="A337" s="38"/>
      <c r="B337" s="49"/>
      <c r="C337" s="15"/>
      <c r="D337" s="663"/>
      <c r="E337" s="664"/>
      <c r="F337" s="665"/>
      <c r="G337" s="539"/>
      <c r="H337" s="373"/>
      <c r="I337" s="665"/>
      <c r="J337" s="666"/>
      <c r="K337" s="665"/>
      <c r="L337" s="667"/>
      <c r="M337" s="668"/>
      <c r="N337" s="373"/>
      <c r="O337" s="373"/>
      <c r="P337" s="670"/>
      <c r="Q337" s="665"/>
      <c r="R337" s="665"/>
      <c r="S337" s="539"/>
      <c r="T337" s="665"/>
      <c r="U337" s="49"/>
      <c r="V337" s="49"/>
      <c r="W337" s="49"/>
      <c r="X337" s="49"/>
      <c r="Y337" s="49"/>
    </row>
    <row r="338" ht="15.75" customHeight="1">
      <c r="A338" s="38"/>
      <c r="B338" s="49"/>
      <c r="C338" s="15"/>
      <c r="D338" s="663"/>
      <c r="E338" s="664"/>
      <c r="F338" s="665"/>
      <c r="G338" s="539"/>
      <c r="H338" s="373"/>
      <c r="I338" s="665"/>
      <c r="J338" s="666"/>
      <c r="K338" s="665"/>
      <c r="L338" s="667"/>
      <c r="M338" s="668"/>
      <c r="N338" s="373"/>
      <c r="O338" s="373"/>
      <c r="P338" s="670"/>
      <c r="Q338" s="665"/>
      <c r="R338" s="665"/>
      <c r="S338" s="539"/>
      <c r="T338" s="665"/>
      <c r="U338" s="49"/>
      <c r="V338" s="49"/>
      <c r="W338" s="49"/>
      <c r="X338" s="49"/>
      <c r="Y338" s="49"/>
    </row>
    <row r="339" ht="15.75" customHeight="1">
      <c r="A339" s="38"/>
      <c r="B339" s="49"/>
      <c r="C339" s="15"/>
      <c r="D339" s="663"/>
      <c r="E339" s="664"/>
      <c r="F339" s="665"/>
      <c r="G339" s="539"/>
      <c r="H339" s="373"/>
      <c r="I339" s="665"/>
      <c r="J339" s="666"/>
      <c r="K339" s="665"/>
      <c r="L339" s="667"/>
      <c r="M339" s="668"/>
      <c r="N339" s="373"/>
      <c r="O339" s="373"/>
      <c r="P339" s="670"/>
      <c r="Q339" s="665"/>
      <c r="R339" s="665"/>
      <c r="S339" s="539"/>
      <c r="T339" s="665"/>
      <c r="U339" s="49"/>
      <c r="V339" s="49"/>
      <c r="W339" s="49"/>
      <c r="X339" s="49"/>
      <c r="Y339" s="49"/>
    </row>
    <row r="340" ht="15.75" customHeight="1">
      <c r="A340" s="38"/>
      <c r="B340" s="49"/>
      <c r="C340" s="15"/>
      <c r="D340" s="663"/>
      <c r="E340" s="664"/>
      <c r="F340" s="665"/>
      <c r="G340" s="539"/>
      <c r="H340" s="373"/>
      <c r="I340" s="665"/>
      <c r="J340" s="666"/>
      <c r="K340" s="665"/>
      <c r="L340" s="667"/>
      <c r="M340" s="668"/>
      <c r="N340" s="373"/>
      <c r="O340" s="373"/>
      <c r="P340" s="670"/>
      <c r="Q340" s="665"/>
      <c r="R340" s="665"/>
      <c r="S340" s="539"/>
      <c r="T340" s="665"/>
      <c r="U340" s="49"/>
      <c r="V340" s="49"/>
      <c r="W340" s="49"/>
      <c r="X340" s="49"/>
      <c r="Y340" s="49"/>
    </row>
    <row r="341" ht="15.75" customHeight="1">
      <c r="A341" s="38"/>
      <c r="B341" s="49"/>
      <c r="C341" s="15"/>
      <c r="D341" s="663"/>
      <c r="E341" s="664"/>
      <c r="F341" s="665"/>
      <c r="G341" s="539"/>
      <c r="H341" s="373"/>
      <c r="I341" s="665"/>
      <c r="J341" s="666"/>
      <c r="K341" s="665"/>
      <c r="L341" s="667"/>
      <c r="M341" s="668"/>
      <c r="N341" s="373"/>
      <c r="O341" s="373"/>
      <c r="P341" s="670"/>
      <c r="Q341" s="665"/>
      <c r="R341" s="665"/>
      <c r="S341" s="539"/>
      <c r="T341" s="665"/>
      <c r="U341" s="49"/>
      <c r="V341" s="49"/>
      <c r="W341" s="49"/>
      <c r="X341" s="49"/>
      <c r="Y341" s="49"/>
    </row>
    <row r="342" ht="15.75" customHeight="1">
      <c r="A342" s="38"/>
      <c r="B342" s="49"/>
      <c r="C342" s="15"/>
      <c r="D342" s="663"/>
      <c r="E342" s="664"/>
      <c r="F342" s="665"/>
      <c r="G342" s="539"/>
      <c r="H342" s="373"/>
      <c r="I342" s="665"/>
      <c r="J342" s="666"/>
      <c r="K342" s="665"/>
      <c r="L342" s="667"/>
      <c r="M342" s="668"/>
      <c r="N342" s="373"/>
      <c r="O342" s="373"/>
      <c r="P342" s="670"/>
      <c r="Q342" s="665"/>
      <c r="R342" s="665"/>
      <c r="S342" s="539"/>
      <c r="T342" s="665"/>
      <c r="U342" s="49"/>
      <c r="V342" s="49"/>
      <c r="W342" s="49"/>
      <c r="X342" s="49"/>
      <c r="Y342" s="49"/>
    </row>
    <row r="343" ht="15.75" customHeight="1">
      <c r="A343" s="38"/>
      <c r="B343" s="49"/>
      <c r="C343" s="15"/>
      <c r="D343" s="663"/>
      <c r="E343" s="664"/>
      <c r="F343" s="665"/>
      <c r="G343" s="539"/>
      <c r="H343" s="373"/>
      <c r="I343" s="665"/>
      <c r="J343" s="666"/>
      <c r="K343" s="665"/>
      <c r="L343" s="667"/>
      <c r="M343" s="668"/>
      <c r="N343" s="373"/>
      <c r="O343" s="373"/>
      <c r="P343" s="670"/>
      <c r="Q343" s="665"/>
      <c r="R343" s="665"/>
      <c r="S343" s="539"/>
      <c r="T343" s="665"/>
      <c r="U343" s="49"/>
      <c r="V343" s="49"/>
      <c r="W343" s="49"/>
      <c r="X343" s="49"/>
      <c r="Y343" s="49"/>
    </row>
    <row r="344" ht="15.75" customHeight="1">
      <c r="A344" s="38"/>
      <c r="B344" s="49"/>
      <c r="C344" s="15"/>
      <c r="D344" s="663"/>
      <c r="E344" s="664"/>
      <c r="F344" s="665"/>
      <c r="G344" s="539"/>
      <c r="H344" s="373"/>
      <c r="I344" s="665"/>
      <c r="J344" s="666"/>
      <c r="K344" s="665"/>
      <c r="L344" s="667"/>
      <c r="M344" s="668"/>
      <c r="N344" s="373"/>
      <c r="O344" s="373"/>
      <c r="P344" s="670"/>
      <c r="Q344" s="665"/>
      <c r="R344" s="665"/>
      <c r="S344" s="539"/>
      <c r="T344" s="665"/>
      <c r="U344" s="49"/>
      <c r="V344" s="49"/>
      <c r="W344" s="49"/>
      <c r="X344" s="49"/>
      <c r="Y344" s="49"/>
    </row>
    <row r="345" ht="15.75" customHeight="1">
      <c r="A345" s="38"/>
      <c r="B345" s="49"/>
      <c r="C345" s="15"/>
      <c r="D345" s="663"/>
      <c r="E345" s="664"/>
      <c r="F345" s="665"/>
      <c r="G345" s="539"/>
      <c r="H345" s="373"/>
      <c r="I345" s="665"/>
      <c r="J345" s="666"/>
      <c r="K345" s="665"/>
      <c r="L345" s="667"/>
      <c r="M345" s="668"/>
      <c r="N345" s="373"/>
      <c r="O345" s="373"/>
      <c r="P345" s="670"/>
      <c r="Q345" s="665"/>
      <c r="R345" s="665"/>
      <c r="S345" s="539"/>
      <c r="T345" s="665"/>
      <c r="U345" s="49"/>
      <c r="V345" s="49"/>
      <c r="W345" s="49"/>
      <c r="X345" s="49"/>
      <c r="Y345" s="49"/>
    </row>
    <row r="346" ht="15.75" customHeight="1">
      <c r="A346" s="38"/>
      <c r="B346" s="49"/>
      <c r="C346" s="15"/>
      <c r="D346" s="663"/>
      <c r="E346" s="664"/>
      <c r="F346" s="665"/>
      <c r="G346" s="539"/>
      <c r="H346" s="373"/>
      <c r="I346" s="665"/>
      <c r="J346" s="666"/>
      <c r="K346" s="665"/>
      <c r="L346" s="667"/>
      <c r="M346" s="668"/>
      <c r="N346" s="373"/>
      <c r="O346" s="373"/>
      <c r="P346" s="670"/>
      <c r="Q346" s="665"/>
      <c r="R346" s="665"/>
      <c r="S346" s="539"/>
      <c r="T346" s="665"/>
      <c r="U346" s="49"/>
      <c r="V346" s="49"/>
      <c r="W346" s="49"/>
      <c r="X346" s="49"/>
      <c r="Y346" s="49"/>
    </row>
    <row r="347" ht="15.75" customHeight="1">
      <c r="A347" s="38"/>
      <c r="B347" s="49"/>
      <c r="C347" s="15"/>
      <c r="D347" s="663"/>
      <c r="E347" s="664"/>
      <c r="F347" s="665"/>
      <c r="G347" s="539"/>
      <c r="H347" s="373"/>
      <c r="I347" s="665"/>
      <c r="J347" s="666"/>
      <c r="K347" s="665"/>
      <c r="L347" s="667"/>
      <c r="M347" s="668"/>
      <c r="N347" s="373"/>
      <c r="O347" s="373"/>
      <c r="P347" s="670"/>
      <c r="Q347" s="665"/>
      <c r="R347" s="665"/>
      <c r="S347" s="539"/>
      <c r="T347" s="665"/>
      <c r="U347" s="49"/>
      <c r="V347" s="49"/>
      <c r="W347" s="49"/>
      <c r="X347" s="49"/>
      <c r="Y347" s="49"/>
    </row>
    <row r="348" ht="15.75" customHeight="1">
      <c r="A348" s="38"/>
      <c r="B348" s="49"/>
      <c r="C348" s="15"/>
      <c r="D348" s="663"/>
      <c r="E348" s="664"/>
      <c r="F348" s="665"/>
      <c r="G348" s="539"/>
      <c r="H348" s="373"/>
      <c r="I348" s="665"/>
      <c r="J348" s="666"/>
      <c r="K348" s="665"/>
      <c r="L348" s="667"/>
      <c r="M348" s="668"/>
      <c r="N348" s="373"/>
      <c r="O348" s="373"/>
      <c r="P348" s="670"/>
      <c r="Q348" s="665"/>
      <c r="R348" s="665"/>
      <c r="S348" s="539"/>
      <c r="T348" s="665"/>
      <c r="U348" s="49"/>
      <c r="V348" s="49"/>
      <c r="W348" s="49"/>
      <c r="X348" s="49"/>
      <c r="Y348" s="49"/>
    </row>
    <row r="349" ht="15.75" customHeight="1">
      <c r="A349" s="38"/>
      <c r="B349" s="49"/>
      <c r="C349" s="15"/>
      <c r="D349" s="663"/>
      <c r="E349" s="664"/>
      <c r="F349" s="665"/>
      <c r="G349" s="539"/>
      <c r="H349" s="373"/>
      <c r="I349" s="665"/>
      <c r="J349" s="666"/>
      <c r="K349" s="665"/>
      <c r="L349" s="667"/>
      <c r="M349" s="668"/>
      <c r="N349" s="373"/>
      <c r="O349" s="373"/>
      <c r="P349" s="670"/>
      <c r="Q349" s="665"/>
      <c r="R349" s="665"/>
      <c r="S349" s="539"/>
      <c r="T349" s="665"/>
      <c r="U349" s="49"/>
      <c r="V349" s="49"/>
      <c r="W349" s="49"/>
      <c r="X349" s="49"/>
      <c r="Y349" s="49"/>
    </row>
    <row r="350" ht="15.75" customHeight="1">
      <c r="A350" s="38"/>
      <c r="B350" s="49"/>
      <c r="C350" s="15"/>
      <c r="D350" s="663"/>
      <c r="E350" s="664"/>
      <c r="F350" s="665"/>
      <c r="G350" s="539"/>
      <c r="H350" s="373"/>
      <c r="I350" s="665"/>
      <c r="J350" s="666"/>
      <c r="K350" s="665"/>
      <c r="L350" s="667"/>
      <c r="M350" s="668"/>
      <c r="N350" s="373"/>
      <c r="O350" s="373"/>
      <c r="P350" s="670"/>
      <c r="Q350" s="665"/>
      <c r="R350" s="665"/>
      <c r="S350" s="539"/>
      <c r="T350" s="665"/>
      <c r="U350" s="49"/>
      <c r="V350" s="49"/>
      <c r="W350" s="49"/>
      <c r="X350" s="49"/>
      <c r="Y350" s="49"/>
    </row>
    <row r="351" ht="15.75" customHeight="1">
      <c r="A351" s="38"/>
      <c r="B351" s="49"/>
      <c r="C351" s="15"/>
      <c r="D351" s="663"/>
      <c r="E351" s="664"/>
      <c r="F351" s="665"/>
      <c r="G351" s="539"/>
      <c r="H351" s="373"/>
      <c r="I351" s="665"/>
      <c r="J351" s="666"/>
      <c r="K351" s="665"/>
      <c r="L351" s="667"/>
      <c r="M351" s="668"/>
      <c r="N351" s="373"/>
      <c r="O351" s="373"/>
      <c r="P351" s="670"/>
      <c r="Q351" s="665"/>
      <c r="R351" s="665"/>
      <c r="S351" s="539"/>
      <c r="T351" s="665"/>
      <c r="U351" s="49"/>
      <c r="V351" s="49"/>
      <c r="W351" s="49"/>
      <c r="X351" s="49"/>
      <c r="Y351" s="49"/>
    </row>
    <row r="352" ht="15.75" customHeight="1">
      <c r="A352" s="38"/>
      <c r="B352" s="49"/>
      <c r="C352" s="15"/>
      <c r="D352" s="663"/>
      <c r="E352" s="664"/>
      <c r="F352" s="665"/>
      <c r="G352" s="539"/>
      <c r="H352" s="373"/>
      <c r="I352" s="665"/>
      <c r="J352" s="666"/>
      <c r="K352" s="665"/>
      <c r="L352" s="667"/>
      <c r="M352" s="668"/>
      <c r="N352" s="373"/>
      <c r="O352" s="373"/>
      <c r="P352" s="670"/>
      <c r="Q352" s="665"/>
      <c r="R352" s="665"/>
      <c r="S352" s="539"/>
      <c r="T352" s="665"/>
      <c r="U352" s="49"/>
      <c r="V352" s="49"/>
      <c r="W352" s="49"/>
      <c r="X352" s="49"/>
      <c r="Y352" s="49"/>
    </row>
    <row r="353" ht="15.75" customHeight="1">
      <c r="A353" s="38"/>
      <c r="B353" s="49"/>
      <c r="C353" s="15"/>
      <c r="D353" s="663"/>
      <c r="E353" s="664"/>
      <c r="F353" s="665"/>
      <c r="G353" s="539"/>
      <c r="H353" s="373"/>
      <c r="I353" s="665"/>
      <c r="J353" s="666"/>
      <c r="K353" s="665"/>
      <c r="L353" s="667"/>
      <c r="M353" s="668"/>
      <c r="N353" s="373"/>
      <c r="O353" s="373"/>
      <c r="P353" s="670"/>
      <c r="Q353" s="665"/>
      <c r="R353" s="665"/>
      <c r="S353" s="539"/>
      <c r="T353" s="665"/>
      <c r="U353" s="49"/>
      <c r="V353" s="49"/>
      <c r="W353" s="49"/>
      <c r="X353" s="49"/>
      <c r="Y353" s="49"/>
    </row>
    <row r="354" ht="15.75" customHeight="1">
      <c r="A354" s="38"/>
      <c r="B354" s="49"/>
      <c r="C354" s="15"/>
      <c r="D354" s="663"/>
      <c r="E354" s="664"/>
      <c r="F354" s="665"/>
      <c r="G354" s="539"/>
      <c r="H354" s="373"/>
      <c r="I354" s="665"/>
      <c r="J354" s="666"/>
      <c r="K354" s="665"/>
      <c r="L354" s="667"/>
      <c r="M354" s="668"/>
      <c r="N354" s="373"/>
      <c r="O354" s="373"/>
      <c r="P354" s="670"/>
      <c r="Q354" s="665"/>
      <c r="R354" s="665"/>
      <c r="S354" s="539"/>
      <c r="T354" s="665"/>
      <c r="U354" s="49"/>
      <c r="V354" s="49"/>
      <c r="W354" s="49"/>
      <c r="X354" s="49"/>
      <c r="Y354" s="49"/>
    </row>
    <row r="355" ht="15.75" customHeight="1">
      <c r="A355" s="38"/>
      <c r="B355" s="49"/>
      <c r="C355" s="15"/>
      <c r="D355" s="663"/>
      <c r="E355" s="664"/>
      <c r="F355" s="665"/>
      <c r="G355" s="539"/>
      <c r="H355" s="373"/>
      <c r="I355" s="665"/>
      <c r="J355" s="666"/>
      <c r="K355" s="665"/>
      <c r="L355" s="667"/>
      <c r="M355" s="668"/>
      <c r="N355" s="373"/>
      <c r="O355" s="373"/>
      <c r="P355" s="670"/>
      <c r="Q355" s="665"/>
      <c r="R355" s="665"/>
      <c r="S355" s="539"/>
      <c r="T355" s="665"/>
      <c r="U355" s="49"/>
      <c r="V355" s="49"/>
      <c r="W355" s="49"/>
      <c r="X355" s="49"/>
      <c r="Y355" s="49"/>
    </row>
    <row r="356" ht="15.75" customHeight="1">
      <c r="A356" s="38"/>
      <c r="B356" s="49"/>
      <c r="C356" s="15"/>
      <c r="D356" s="663"/>
      <c r="E356" s="664"/>
      <c r="F356" s="665"/>
      <c r="G356" s="539"/>
      <c r="H356" s="373"/>
      <c r="I356" s="665"/>
      <c r="J356" s="666"/>
      <c r="K356" s="665"/>
      <c r="L356" s="667"/>
      <c r="M356" s="668"/>
      <c r="N356" s="373"/>
      <c r="O356" s="373"/>
      <c r="P356" s="670"/>
      <c r="Q356" s="665"/>
      <c r="R356" s="665"/>
      <c r="S356" s="539"/>
      <c r="T356" s="665"/>
      <c r="U356" s="49"/>
      <c r="V356" s="49"/>
      <c r="W356" s="49"/>
      <c r="X356" s="49"/>
      <c r="Y356" s="49"/>
    </row>
    <row r="357" ht="15.75" customHeight="1">
      <c r="A357" s="38"/>
      <c r="B357" s="49"/>
      <c r="C357" s="15"/>
      <c r="D357" s="663"/>
      <c r="E357" s="664"/>
      <c r="F357" s="665"/>
      <c r="G357" s="539"/>
      <c r="H357" s="373"/>
      <c r="I357" s="665"/>
      <c r="J357" s="666"/>
      <c r="K357" s="665"/>
      <c r="L357" s="667"/>
      <c r="M357" s="668"/>
      <c r="N357" s="373"/>
      <c r="O357" s="373"/>
      <c r="P357" s="670"/>
      <c r="Q357" s="665"/>
      <c r="R357" s="665"/>
      <c r="S357" s="539"/>
      <c r="T357" s="665"/>
      <c r="U357" s="49"/>
      <c r="V357" s="49"/>
      <c r="W357" s="49"/>
      <c r="X357" s="49"/>
      <c r="Y357" s="49"/>
    </row>
    <row r="358" ht="15.75" customHeight="1">
      <c r="A358" s="38"/>
      <c r="B358" s="49"/>
      <c r="C358" s="15"/>
      <c r="D358" s="663"/>
      <c r="E358" s="664"/>
      <c r="F358" s="665"/>
      <c r="G358" s="539"/>
      <c r="H358" s="373"/>
      <c r="I358" s="665"/>
      <c r="J358" s="666"/>
      <c r="K358" s="665"/>
      <c r="L358" s="667"/>
      <c r="M358" s="668"/>
      <c r="N358" s="373"/>
      <c r="O358" s="373"/>
      <c r="P358" s="670"/>
      <c r="Q358" s="665"/>
      <c r="R358" s="665"/>
      <c r="S358" s="539"/>
      <c r="T358" s="665"/>
      <c r="U358" s="49"/>
      <c r="V358" s="49"/>
      <c r="W358" s="49"/>
      <c r="X358" s="49"/>
      <c r="Y358" s="49"/>
    </row>
    <row r="359" ht="15.75" customHeight="1">
      <c r="A359" s="38"/>
      <c r="B359" s="49"/>
      <c r="C359" s="15"/>
      <c r="D359" s="663"/>
      <c r="E359" s="664"/>
      <c r="F359" s="665"/>
      <c r="G359" s="539"/>
      <c r="H359" s="373"/>
      <c r="I359" s="665"/>
      <c r="J359" s="666"/>
      <c r="K359" s="665"/>
      <c r="L359" s="667"/>
      <c r="M359" s="668"/>
      <c r="N359" s="373"/>
      <c r="O359" s="373"/>
      <c r="P359" s="670"/>
      <c r="Q359" s="665"/>
      <c r="R359" s="665"/>
      <c r="S359" s="539"/>
      <c r="T359" s="665"/>
      <c r="U359" s="49"/>
      <c r="V359" s="49"/>
      <c r="W359" s="49"/>
      <c r="X359" s="49"/>
      <c r="Y359" s="49"/>
    </row>
    <row r="360" ht="15.75" customHeight="1">
      <c r="A360" s="38"/>
      <c r="B360" s="49"/>
      <c r="C360" s="15"/>
      <c r="D360" s="663"/>
      <c r="E360" s="664"/>
      <c r="F360" s="665"/>
      <c r="G360" s="539"/>
      <c r="H360" s="373"/>
      <c r="I360" s="665"/>
      <c r="J360" s="666"/>
      <c r="K360" s="665"/>
      <c r="L360" s="667"/>
      <c r="M360" s="668"/>
      <c r="N360" s="373"/>
      <c r="O360" s="373"/>
      <c r="P360" s="670"/>
      <c r="Q360" s="665"/>
      <c r="R360" s="665"/>
      <c r="S360" s="539"/>
      <c r="T360" s="665"/>
      <c r="U360" s="49"/>
      <c r="V360" s="49"/>
      <c r="W360" s="49"/>
      <c r="X360" s="49"/>
      <c r="Y360" s="49"/>
    </row>
    <row r="361" ht="15.75" customHeight="1">
      <c r="A361" s="38"/>
      <c r="B361" s="49"/>
      <c r="C361" s="15"/>
      <c r="D361" s="663"/>
      <c r="E361" s="664"/>
      <c r="F361" s="665"/>
      <c r="G361" s="539"/>
      <c r="H361" s="373"/>
      <c r="I361" s="665"/>
      <c r="J361" s="666"/>
      <c r="K361" s="665"/>
      <c r="L361" s="667"/>
      <c r="M361" s="668"/>
      <c r="N361" s="373"/>
      <c r="O361" s="373"/>
      <c r="P361" s="670"/>
      <c r="Q361" s="665"/>
      <c r="R361" s="665"/>
      <c r="S361" s="539"/>
      <c r="T361" s="665"/>
      <c r="U361" s="49"/>
      <c r="V361" s="49"/>
      <c r="W361" s="49"/>
      <c r="X361" s="49"/>
      <c r="Y361" s="49"/>
    </row>
    <row r="362" ht="15.75" customHeight="1">
      <c r="A362" s="38"/>
      <c r="B362" s="49"/>
      <c r="C362" s="15"/>
      <c r="D362" s="663"/>
      <c r="E362" s="664"/>
      <c r="F362" s="665"/>
      <c r="G362" s="539"/>
      <c r="H362" s="373"/>
      <c r="I362" s="665"/>
      <c r="J362" s="666"/>
      <c r="K362" s="665"/>
      <c r="L362" s="667"/>
      <c r="M362" s="668"/>
      <c r="N362" s="373"/>
      <c r="O362" s="373"/>
      <c r="P362" s="670"/>
      <c r="Q362" s="665"/>
      <c r="R362" s="665"/>
      <c r="S362" s="539"/>
      <c r="T362" s="665"/>
      <c r="U362" s="49"/>
      <c r="V362" s="49"/>
      <c r="W362" s="49"/>
      <c r="X362" s="49"/>
      <c r="Y362" s="49"/>
    </row>
    <row r="363" ht="15.75" customHeight="1">
      <c r="A363" s="38"/>
      <c r="B363" s="49"/>
      <c r="C363" s="15"/>
      <c r="D363" s="663"/>
      <c r="E363" s="664"/>
      <c r="F363" s="665"/>
      <c r="G363" s="539"/>
      <c r="H363" s="373"/>
      <c r="I363" s="665"/>
      <c r="J363" s="666"/>
      <c r="K363" s="665"/>
      <c r="L363" s="667"/>
      <c r="M363" s="668"/>
      <c r="N363" s="373"/>
      <c r="O363" s="373"/>
      <c r="P363" s="670"/>
      <c r="Q363" s="665"/>
      <c r="R363" s="665"/>
      <c r="S363" s="539"/>
      <c r="T363" s="665"/>
      <c r="U363" s="49"/>
      <c r="V363" s="49"/>
      <c r="W363" s="49"/>
      <c r="X363" s="49"/>
      <c r="Y363" s="49"/>
    </row>
    <row r="364" ht="15.75" customHeight="1">
      <c r="A364" s="38"/>
      <c r="B364" s="49"/>
      <c r="C364" s="15"/>
      <c r="D364" s="663"/>
      <c r="E364" s="664"/>
      <c r="F364" s="665"/>
      <c r="G364" s="539"/>
      <c r="H364" s="373"/>
      <c r="I364" s="665"/>
      <c r="J364" s="666"/>
      <c r="K364" s="665"/>
      <c r="L364" s="667"/>
      <c r="M364" s="668"/>
      <c r="N364" s="373"/>
      <c r="O364" s="373"/>
      <c r="P364" s="670"/>
      <c r="Q364" s="665"/>
      <c r="R364" s="665"/>
      <c r="S364" s="539"/>
      <c r="T364" s="665"/>
      <c r="U364" s="49"/>
      <c r="V364" s="49"/>
      <c r="W364" s="49"/>
      <c r="X364" s="49"/>
      <c r="Y364" s="49"/>
    </row>
    <row r="365" ht="15.75" customHeight="1">
      <c r="A365" s="38"/>
      <c r="B365" s="49"/>
      <c r="C365" s="15"/>
      <c r="D365" s="663"/>
      <c r="E365" s="664"/>
      <c r="F365" s="665"/>
      <c r="G365" s="539"/>
      <c r="H365" s="373"/>
      <c r="I365" s="665"/>
      <c r="J365" s="666"/>
      <c r="K365" s="665"/>
      <c r="L365" s="667"/>
      <c r="M365" s="668"/>
      <c r="N365" s="373"/>
      <c r="O365" s="373"/>
      <c r="P365" s="670"/>
      <c r="Q365" s="665"/>
      <c r="R365" s="665"/>
      <c r="S365" s="539"/>
      <c r="T365" s="665"/>
      <c r="U365" s="49"/>
      <c r="V365" s="49"/>
      <c r="W365" s="49"/>
      <c r="X365" s="49"/>
      <c r="Y365" s="49"/>
    </row>
    <row r="366" ht="15.75" customHeight="1">
      <c r="A366" s="38"/>
      <c r="B366" s="49"/>
      <c r="C366" s="15"/>
      <c r="D366" s="663"/>
      <c r="E366" s="664"/>
      <c r="F366" s="665"/>
      <c r="G366" s="539"/>
      <c r="H366" s="373"/>
      <c r="I366" s="665"/>
      <c r="J366" s="666"/>
      <c r="K366" s="665"/>
      <c r="L366" s="667"/>
      <c r="M366" s="668"/>
      <c r="N366" s="373"/>
      <c r="O366" s="373"/>
      <c r="P366" s="670"/>
      <c r="Q366" s="665"/>
      <c r="R366" s="665"/>
      <c r="S366" s="539"/>
      <c r="T366" s="665"/>
      <c r="U366" s="49"/>
      <c r="V366" s="49"/>
      <c r="W366" s="49"/>
      <c r="X366" s="49"/>
      <c r="Y366" s="49"/>
    </row>
    <row r="367" ht="15.75" customHeight="1">
      <c r="A367" s="38"/>
      <c r="B367" s="49"/>
      <c r="C367" s="15"/>
      <c r="D367" s="663"/>
      <c r="E367" s="664"/>
      <c r="F367" s="665"/>
      <c r="G367" s="539"/>
      <c r="H367" s="373"/>
      <c r="I367" s="665"/>
      <c r="J367" s="666"/>
      <c r="K367" s="665"/>
      <c r="L367" s="667"/>
      <c r="M367" s="668"/>
      <c r="N367" s="373"/>
      <c r="O367" s="373"/>
      <c r="P367" s="670"/>
      <c r="Q367" s="665"/>
      <c r="R367" s="665"/>
      <c r="S367" s="539"/>
      <c r="T367" s="665"/>
      <c r="U367" s="49"/>
      <c r="V367" s="49"/>
      <c r="W367" s="49"/>
      <c r="X367" s="49"/>
      <c r="Y367" s="49"/>
    </row>
    <row r="368" ht="15.75" customHeight="1">
      <c r="A368" s="38"/>
      <c r="B368" s="49"/>
      <c r="C368" s="15"/>
      <c r="D368" s="663"/>
      <c r="E368" s="664"/>
      <c r="F368" s="665"/>
      <c r="G368" s="539"/>
      <c r="H368" s="373"/>
      <c r="I368" s="665"/>
      <c r="J368" s="666"/>
      <c r="K368" s="665"/>
      <c r="L368" s="667"/>
      <c r="M368" s="668"/>
      <c r="N368" s="373"/>
      <c r="O368" s="373"/>
      <c r="P368" s="670"/>
      <c r="Q368" s="665"/>
      <c r="R368" s="665"/>
      <c r="S368" s="539"/>
      <c r="T368" s="665"/>
      <c r="U368" s="49"/>
      <c r="V368" s="49"/>
      <c r="W368" s="49"/>
      <c r="X368" s="49"/>
      <c r="Y368" s="49"/>
    </row>
    <row r="369" ht="15.75" customHeight="1">
      <c r="A369" s="38"/>
      <c r="B369" s="49"/>
      <c r="C369" s="15"/>
      <c r="D369" s="663"/>
      <c r="E369" s="664"/>
      <c r="F369" s="665"/>
      <c r="G369" s="539"/>
      <c r="H369" s="373"/>
      <c r="I369" s="665"/>
      <c r="J369" s="666"/>
      <c r="K369" s="665"/>
      <c r="L369" s="667"/>
      <c r="M369" s="668"/>
      <c r="N369" s="373"/>
      <c r="O369" s="373"/>
      <c r="P369" s="670"/>
      <c r="Q369" s="665"/>
      <c r="R369" s="665"/>
      <c r="S369" s="539"/>
      <c r="T369" s="665"/>
      <c r="U369" s="49"/>
      <c r="V369" s="49"/>
      <c r="W369" s="49"/>
      <c r="X369" s="49"/>
      <c r="Y369" s="49"/>
    </row>
    <row r="370" ht="15.75" customHeight="1">
      <c r="A370" s="38"/>
      <c r="B370" s="49"/>
      <c r="C370" s="15"/>
      <c r="D370" s="663"/>
      <c r="E370" s="664"/>
      <c r="F370" s="665"/>
      <c r="G370" s="539"/>
      <c r="H370" s="373"/>
      <c r="I370" s="665"/>
      <c r="J370" s="666"/>
      <c r="K370" s="665"/>
      <c r="L370" s="667"/>
      <c r="M370" s="668"/>
      <c r="N370" s="373"/>
      <c r="O370" s="373"/>
      <c r="P370" s="670"/>
      <c r="Q370" s="665"/>
      <c r="R370" s="665"/>
      <c r="S370" s="539"/>
      <c r="T370" s="665"/>
      <c r="U370" s="49"/>
      <c r="V370" s="49"/>
      <c r="W370" s="49"/>
      <c r="X370" s="49"/>
      <c r="Y370" s="49"/>
    </row>
    <row r="371" ht="15.75" customHeight="1">
      <c r="A371" s="38"/>
      <c r="B371" s="49"/>
      <c r="C371" s="15"/>
      <c r="D371" s="663"/>
      <c r="E371" s="664"/>
      <c r="F371" s="665"/>
      <c r="G371" s="539"/>
      <c r="H371" s="373"/>
      <c r="I371" s="665"/>
      <c r="J371" s="666"/>
      <c r="K371" s="665"/>
      <c r="L371" s="667"/>
      <c r="M371" s="668"/>
      <c r="N371" s="373"/>
      <c r="O371" s="373"/>
      <c r="P371" s="670"/>
      <c r="Q371" s="665"/>
      <c r="R371" s="665"/>
      <c r="S371" s="539"/>
      <c r="T371" s="665"/>
      <c r="U371" s="49"/>
      <c r="V371" s="49"/>
      <c r="W371" s="49"/>
      <c r="X371" s="49"/>
      <c r="Y371" s="49"/>
    </row>
    <row r="372" ht="15.75" customHeight="1">
      <c r="A372" s="38"/>
      <c r="B372" s="49"/>
      <c r="C372" s="15"/>
      <c r="D372" s="663"/>
      <c r="E372" s="664"/>
      <c r="F372" s="665"/>
      <c r="G372" s="539"/>
      <c r="H372" s="373"/>
      <c r="I372" s="665"/>
      <c r="J372" s="666"/>
      <c r="K372" s="665"/>
      <c r="L372" s="667"/>
      <c r="M372" s="668"/>
      <c r="N372" s="373"/>
      <c r="O372" s="373"/>
      <c r="P372" s="670"/>
      <c r="Q372" s="665"/>
      <c r="R372" s="665"/>
      <c r="S372" s="539"/>
      <c r="T372" s="665"/>
      <c r="U372" s="49"/>
      <c r="V372" s="49"/>
      <c r="W372" s="49"/>
      <c r="X372" s="49"/>
      <c r="Y372" s="49"/>
    </row>
    <row r="373" ht="15.75" customHeight="1">
      <c r="A373" s="38"/>
      <c r="B373" s="49"/>
      <c r="C373" s="15"/>
      <c r="D373" s="663"/>
      <c r="E373" s="664"/>
      <c r="F373" s="665"/>
      <c r="G373" s="539"/>
      <c r="H373" s="373"/>
      <c r="I373" s="665"/>
      <c r="J373" s="666"/>
      <c r="K373" s="665"/>
      <c r="L373" s="667"/>
      <c r="M373" s="668"/>
      <c r="N373" s="373"/>
      <c r="O373" s="373"/>
      <c r="P373" s="670"/>
      <c r="Q373" s="665"/>
      <c r="R373" s="665"/>
      <c r="S373" s="539"/>
      <c r="T373" s="665"/>
      <c r="U373" s="49"/>
      <c r="V373" s="49"/>
      <c r="W373" s="49"/>
      <c r="X373" s="49"/>
      <c r="Y373" s="49"/>
    </row>
    <row r="374" ht="15.75" customHeight="1">
      <c r="A374" s="38"/>
      <c r="B374" s="49"/>
      <c r="C374" s="15"/>
      <c r="D374" s="663"/>
      <c r="E374" s="664"/>
      <c r="F374" s="665"/>
      <c r="G374" s="539"/>
      <c r="H374" s="373"/>
      <c r="I374" s="665"/>
      <c r="J374" s="666"/>
      <c r="K374" s="665"/>
      <c r="L374" s="667"/>
      <c r="M374" s="668"/>
      <c r="N374" s="373"/>
      <c r="O374" s="373"/>
      <c r="P374" s="670"/>
      <c r="Q374" s="665"/>
      <c r="R374" s="665"/>
      <c r="S374" s="539"/>
      <c r="T374" s="665"/>
      <c r="U374" s="49"/>
      <c r="V374" s="49"/>
      <c r="W374" s="49"/>
      <c r="X374" s="49"/>
      <c r="Y374" s="49"/>
    </row>
    <row r="375" ht="15.75" customHeight="1">
      <c r="A375" s="38"/>
      <c r="B375" s="49"/>
      <c r="C375" s="15"/>
      <c r="D375" s="663"/>
      <c r="E375" s="664"/>
      <c r="F375" s="665"/>
      <c r="G375" s="539"/>
      <c r="H375" s="373"/>
      <c r="I375" s="665"/>
      <c r="J375" s="666"/>
      <c r="K375" s="665"/>
      <c r="L375" s="667"/>
      <c r="M375" s="668"/>
      <c r="N375" s="373"/>
      <c r="O375" s="373"/>
      <c r="P375" s="670"/>
      <c r="Q375" s="665"/>
      <c r="R375" s="665"/>
      <c r="S375" s="539"/>
      <c r="T375" s="665"/>
      <c r="U375" s="49"/>
      <c r="V375" s="49"/>
      <c r="W375" s="49"/>
      <c r="X375" s="49"/>
      <c r="Y375" s="49"/>
    </row>
    <row r="376" ht="15.75" customHeight="1">
      <c r="A376" s="38"/>
      <c r="B376" s="49"/>
      <c r="C376" s="15"/>
      <c r="D376" s="663"/>
      <c r="E376" s="664"/>
      <c r="F376" s="665"/>
      <c r="G376" s="539"/>
      <c r="H376" s="373"/>
      <c r="I376" s="665"/>
      <c r="J376" s="666"/>
      <c r="K376" s="665"/>
      <c r="L376" s="667"/>
      <c r="M376" s="668"/>
      <c r="N376" s="373"/>
      <c r="O376" s="373"/>
      <c r="P376" s="670"/>
      <c r="Q376" s="665"/>
      <c r="R376" s="665"/>
      <c r="S376" s="539"/>
      <c r="T376" s="665"/>
      <c r="U376" s="49"/>
      <c r="V376" s="49"/>
      <c r="W376" s="49"/>
      <c r="X376" s="49"/>
      <c r="Y376" s="49"/>
    </row>
    <row r="377" ht="15.75" customHeight="1">
      <c r="A377" s="38"/>
      <c r="B377" s="49"/>
      <c r="C377" s="15"/>
      <c r="D377" s="663"/>
      <c r="E377" s="664"/>
      <c r="F377" s="665"/>
      <c r="G377" s="539"/>
      <c r="H377" s="373"/>
      <c r="I377" s="665"/>
      <c r="J377" s="666"/>
      <c r="K377" s="665"/>
      <c r="L377" s="667"/>
      <c r="M377" s="668"/>
      <c r="N377" s="373"/>
      <c r="O377" s="373"/>
      <c r="P377" s="670"/>
      <c r="Q377" s="665"/>
      <c r="R377" s="665"/>
      <c r="S377" s="539"/>
      <c r="T377" s="665"/>
      <c r="U377" s="49"/>
      <c r="V377" s="49"/>
      <c r="W377" s="49"/>
      <c r="X377" s="49"/>
      <c r="Y377" s="49"/>
    </row>
    <row r="378" ht="15.75" customHeight="1">
      <c r="A378" s="38"/>
      <c r="B378" s="49"/>
      <c r="C378" s="15"/>
      <c r="D378" s="663"/>
      <c r="E378" s="664"/>
      <c r="F378" s="665"/>
      <c r="G378" s="539"/>
      <c r="H378" s="373"/>
      <c r="I378" s="665"/>
      <c r="J378" s="666"/>
      <c r="K378" s="665"/>
      <c r="L378" s="667"/>
      <c r="M378" s="668"/>
      <c r="N378" s="373"/>
      <c r="O378" s="373"/>
      <c r="P378" s="670"/>
      <c r="Q378" s="665"/>
      <c r="R378" s="665"/>
      <c r="S378" s="539"/>
      <c r="T378" s="665"/>
      <c r="U378" s="49"/>
      <c r="V378" s="49"/>
      <c r="W378" s="49"/>
      <c r="X378" s="49"/>
      <c r="Y378" s="49"/>
    </row>
    <row r="379" ht="15.75" customHeight="1">
      <c r="A379" s="38"/>
      <c r="B379" s="49"/>
      <c r="C379" s="15"/>
      <c r="D379" s="663"/>
      <c r="E379" s="664"/>
      <c r="F379" s="665"/>
      <c r="G379" s="539"/>
      <c r="H379" s="373"/>
      <c r="I379" s="665"/>
      <c r="J379" s="666"/>
      <c r="K379" s="665"/>
      <c r="L379" s="667"/>
      <c r="M379" s="668"/>
      <c r="N379" s="373"/>
      <c r="O379" s="373"/>
      <c r="P379" s="670"/>
      <c r="Q379" s="665"/>
      <c r="R379" s="665"/>
      <c r="S379" s="539"/>
      <c r="T379" s="665"/>
      <c r="U379" s="49"/>
      <c r="V379" s="49"/>
      <c r="W379" s="49"/>
      <c r="X379" s="49"/>
      <c r="Y379" s="49"/>
    </row>
    <row r="380" ht="15.75" customHeight="1">
      <c r="A380" s="38"/>
      <c r="B380" s="49"/>
      <c r="C380" s="15"/>
      <c r="D380" s="663"/>
      <c r="E380" s="664"/>
      <c r="F380" s="665"/>
      <c r="G380" s="539"/>
      <c r="H380" s="373"/>
      <c r="I380" s="665"/>
      <c r="J380" s="666"/>
      <c r="K380" s="665"/>
      <c r="L380" s="667"/>
      <c r="M380" s="668"/>
      <c r="N380" s="373"/>
      <c r="O380" s="373"/>
      <c r="P380" s="670"/>
      <c r="Q380" s="665"/>
      <c r="R380" s="665"/>
      <c r="S380" s="539"/>
      <c r="T380" s="665"/>
      <c r="U380" s="49"/>
      <c r="V380" s="49"/>
      <c r="W380" s="49"/>
      <c r="X380" s="49"/>
      <c r="Y380" s="49"/>
    </row>
    <row r="381" ht="15.75" customHeight="1">
      <c r="A381" s="38"/>
      <c r="B381" s="49"/>
      <c r="C381" s="15"/>
      <c r="D381" s="663"/>
      <c r="E381" s="664"/>
      <c r="F381" s="665"/>
      <c r="G381" s="539"/>
      <c r="H381" s="373"/>
      <c r="I381" s="665"/>
      <c r="J381" s="666"/>
      <c r="K381" s="665"/>
      <c r="L381" s="667"/>
      <c r="M381" s="668"/>
      <c r="N381" s="373"/>
      <c r="O381" s="373"/>
      <c r="P381" s="670"/>
      <c r="Q381" s="665"/>
      <c r="R381" s="665"/>
      <c r="S381" s="539"/>
      <c r="T381" s="665"/>
      <c r="U381" s="49"/>
      <c r="V381" s="49"/>
      <c r="W381" s="49"/>
      <c r="X381" s="49"/>
      <c r="Y381" s="49"/>
    </row>
    <row r="382" ht="15.75" customHeight="1">
      <c r="A382" s="38"/>
      <c r="B382" s="49"/>
      <c r="C382" s="15"/>
      <c r="D382" s="663"/>
      <c r="E382" s="664"/>
      <c r="F382" s="665"/>
      <c r="G382" s="539"/>
      <c r="H382" s="373"/>
      <c r="I382" s="665"/>
      <c r="J382" s="666"/>
      <c r="K382" s="665"/>
      <c r="L382" s="667"/>
      <c r="M382" s="668"/>
      <c r="N382" s="373"/>
      <c r="O382" s="373"/>
      <c r="P382" s="670"/>
      <c r="Q382" s="665"/>
      <c r="R382" s="665"/>
      <c r="S382" s="539"/>
      <c r="T382" s="665"/>
      <c r="U382" s="49"/>
      <c r="V382" s="49"/>
      <c r="W382" s="49"/>
      <c r="X382" s="49"/>
      <c r="Y382" s="49"/>
    </row>
    <row r="383" ht="15.75" customHeight="1">
      <c r="A383" s="38"/>
      <c r="B383" s="49"/>
      <c r="C383" s="15"/>
      <c r="D383" s="663"/>
      <c r="E383" s="664"/>
      <c r="F383" s="665"/>
      <c r="G383" s="539"/>
      <c r="H383" s="373"/>
      <c r="I383" s="665"/>
      <c r="J383" s="666"/>
      <c r="K383" s="665"/>
      <c r="L383" s="667"/>
      <c r="M383" s="668"/>
      <c r="N383" s="373"/>
      <c r="O383" s="373"/>
      <c r="P383" s="670"/>
      <c r="Q383" s="665"/>
      <c r="R383" s="665"/>
      <c r="S383" s="539"/>
      <c r="T383" s="665"/>
      <c r="U383" s="49"/>
      <c r="V383" s="49"/>
      <c r="W383" s="49"/>
      <c r="X383" s="49"/>
      <c r="Y383" s="49"/>
    </row>
    <row r="384" ht="15.75" customHeight="1">
      <c r="A384" s="38"/>
      <c r="B384" s="49"/>
      <c r="C384" s="15"/>
      <c r="D384" s="663"/>
      <c r="E384" s="664"/>
      <c r="F384" s="665"/>
      <c r="G384" s="539"/>
      <c r="H384" s="373"/>
      <c r="I384" s="665"/>
      <c r="J384" s="666"/>
      <c r="K384" s="665"/>
      <c r="L384" s="667"/>
      <c r="M384" s="668"/>
      <c r="N384" s="373"/>
      <c r="O384" s="373"/>
      <c r="P384" s="670"/>
      <c r="Q384" s="665"/>
      <c r="R384" s="665"/>
      <c r="S384" s="539"/>
      <c r="T384" s="665"/>
      <c r="U384" s="49"/>
      <c r="V384" s="49"/>
      <c r="W384" s="49"/>
      <c r="X384" s="49"/>
      <c r="Y384" s="49"/>
    </row>
    <row r="385" ht="15.75" customHeight="1">
      <c r="A385" s="38"/>
      <c r="B385" s="49"/>
      <c r="C385" s="15"/>
      <c r="D385" s="663"/>
      <c r="E385" s="664"/>
      <c r="F385" s="665"/>
      <c r="G385" s="539"/>
      <c r="H385" s="373"/>
      <c r="I385" s="665"/>
      <c r="J385" s="666"/>
      <c r="K385" s="665"/>
      <c r="L385" s="667"/>
      <c r="M385" s="668"/>
      <c r="N385" s="373"/>
      <c r="O385" s="373"/>
      <c r="P385" s="670"/>
      <c r="Q385" s="665"/>
      <c r="R385" s="665"/>
      <c r="S385" s="539"/>
      <c r="T385" s="665"/>
      <c r="U385" s="49"/>
      <c r="V385" s="49"/>
      <c r="W385" s="49"/>
      <c r="X385" s="49"/>
      <c r="Y385" s="49"/>
    </row>
    <row r="386" ht="15.75" customHeight="1">
      <c r="A386" s="38"/>
      <c r="B386" s="49"/>
      <c r="C386" s="15"/>
      <c r="D386" s="663"/>
      <c r="E386" s="664"/>
      <c r="F386" s="665"/>
      <c r="G386" s="539"/>
      <c r="H386" s="373"/>
      <c r="I386" s="665"/>
      <c r="J386" s="666"/>
      <c r="K386" s="665"/>
      <c r="L386" s="667"/>
      <c r="M386" s="668"/>
      <c r="N386" s="373"/>
      <c r="O386" s="373"/>
      <c r="P386" s="670"/>
      <c r="Q386" s="665"/>
      <c r="R386" s="665"/>
      <c r="S386" s="539"/>
      <c r="T386" s="665"/>
      <c r="U386" s="49"/>
      <c r="V386" s="49"/>
      <c r="W386" s="49"/>
      <c r="X386" s="49"/>
      <c r="Y386" s="49"/>
    </row>
    <row r="387" ht="15.75" customHeight="1">
      <c r="A387" s="38"/>
      <c r="B387" s="49"/>
      <c r="C387" s="15"/>
      <c r="D387" s="663"/>
      <c r="E387" s="664"/>
      <c r="F387" s="665"/>
      <c r="G387" s="539"/>
      <c r="H387" s="373"/>
      <c r="I387" s="665"/>
      <c r="J387" s="666"/>
      <c r="K387" s="665"/>
      <c r="L387" s="667"/>
      <c r="M387" s="668"/>
      <c r="N387" s="373"/>
      <c r="O387" s="373"/>
      <c r="P387" s="670"/>
      <c r="Q387" s="665"/>
      <c r="R387" s="665"/>
      <c r="S387" s="539"/>
      <c r="T387" s="665"/>
      <c r="U387" s="49"/>
      <c r="V387" s="49"/>
      <c r="W387" s="49"/>
      <c r="X387" s="49"/>
      <c r="Y387" s="49"/>
    </row>
    <row r="388" ht="15.75" customHeight="1">
      <c r="A388" s="38"/>
      <c r="B388" s="49"/>
      <c r="C388" s="15"/>
      <c r="D388" s="663"/>
      <c r="E388" s="664"/>
      <c r="F388" s="665"/>
      <c r="G388" s="539"/>
      <c r="H388" s="373"/>
      <c r="I388" s="665"/>
      <c r="J388" s="666"/>
      <c r="K388" s="665"/>
      <c r="L388" s="667"/>
      <c r="M388" s="668"/>
      <c r="N388" s="373"/>
      <c r="O388" s="373"/>
      <c r="P388" s="670"/>
      <c r="Q388" s="665"/>
      <c r="R388" s="665"/>
      <c r="S388" s="539"/>
      <c r="T388" s="665"/>
      <c r="U388" s="49"/>
      <c r="V388" s="49"/>
      <c r="W388" s="49"/>
      <c r="X388" s="49"/>
      <c r="Y388" s="49"/>
    </row>
    <row r="389" ht="15.75" customHeight="1">
      <c r="A389" s="38"/>
      <c r="B389" s="49"/>
      <c r="C389" s="15"/>
      <c r="D389" s="663"/>
      <c r="E389" s="664"/>
      <c r="F389" s="665"/>
      <c r="G389" s="539"/>
      <c r="H389" s="373"/>
      <c r="I389" s="665"/>
      <c r="J389" s="666"/>
      <c r="K389" s="665"/>
      <c r="L389" s="667"/>
      <c r="M389" s="668"/>
      <c r="N389" s="373"/>
      <c r="O389" s="373"/>
      <c r="P389" s="670"/>
      <c r="Q389" s="665"/>
      <c r="R389" s="665"/>
      <c r="S389" s="539"/>
      <c r="T389" s="665"/>
      <c r="U389" s="49"/>
      <c r="V389" s="49"/>
      <c r="W389" s="49"/>
      <c r="X389" s="49"/>
      <c r="Y389" s="49"/>
    </row>
    <row r="390" ht="15.75" customHeight="1">
      <c r="A390" s="38"/>
      <c r="B390" s="49"/>
      <c r="C390" s="15"/>
      <c r="D390" s="663"/>
      <c r="E390" s="664"/>
      <c r="F390" s="665"/>
      <c r="G390" s="539"/>
      <c r="H390" s="373"/>
      <c r="I390" s="665"/>
      <c r="J390" s="666"/>
      <c r="K390" s="665"/>
      <c r="L390" s="667"/>
      <c r="M390" s="668"/>
      <c r="N390" s="373"/>
      <c r="O390" s="373"/>
      <c r="P390" s="670"/>
      <c r="Q390" s="665"/>
      <c r="R390" s="665"/>
      <c r="S390" s="539"/>
      <c r="T390" s="665"/>
      <c r="U390" s="49"/>
      <c r="V390" s="49"/>
      <c r="W390" s="49"/>
      <c r="X390" s="49"/>
      <c r="Y390" s="49"/>
    </row>
    <row r="391" ht="15.75" customHeight="1">
      <c r="A391" s="38"/>
      <c r="B391" s="49"/>
      <c r="C391" s="15"/>
      <c r="D391" s="663"/>
      <c r="E391" s="664"/>
      <c r="F391" s="665"/>
      <c r="G391" s="539"/>
      <c r="H391" s="373"/>
      <c r="I391" s="665"/>
      <c r="J391" s="666"/>
      <c r="K391" s="665"/>
      <c r="L391" s="667"/>
      <c r="M391" s="668"/>
      <c r="N391" s="373"/>
      <c r="O391" s="373"/>
      <c r="P391" s="670"/>
      <c r="Q391" s="665"/>
      <c r="R391" s="665"/>
      <c r="S391" s="539"/>
      <c r="T391" s="665"/>
      <c r="U391" s="49"/>
      <c r="V391" s="49"/>
      <c r="W391" s="49"/>
      <c r="X391" s="49"/>
      <c r="Y391" s="49"/>
    </row>
    <row r="392" ht="15.75" customHeight="1">
      <c r="A392" s="38"/>
      <c r="B392" s="49"/>
      <c r="C392" s="15"/>
      <c r="D392" s="663"/>
      <c r="E392" s="664"/>
      <c r="F392" s="665"/>
      <c r="G392" s="539"/>
      <c r="H392" s="373"/>
      <c r="I392" s="665"/>
      <c r="J392" s="666"/>
      <c r="K392" s="665"/>
      <c r="L392" s="667"/>
      <c r="M392" s="668"/>
      <c r="N392" s="373"/>
      <c r="O392" s="373"/>
      <c r="P392" s="670"/>
      <c r="Q392" s="665"/>
      <c r="R392" s="665"/>
      <c r="S392" s="539"/>
      <c r="T392" s="665"/>
      <c r="U392" s="49"/>
      <c r="V392" s="49"/>
      <c r="W392" s="49"/>
      <c r="X392" s="49"/>
      <c r="Y392" s="49"/>
    </row>
    <row r="393" ht="15.75" customHeight="1">
      <c r="A393" s="38"/>
      <c r="B393" s="49"/>
      <c r="C393" s="15"/>
      <c r="D393" s="663"/>
      <c r="E393" s="664"/>
      <c r="F393" s="665"/>
      <c r="G393" s="539"/>
      <c r="H393" s="373"/>
      <c r="I393" s="665"/>
      <c r="J393" s="666"/>
      <c r="K393" s="665"/>
      <c r="L393" s="667"/>
      <c r="M393" s="668"/>
      <c r="N393" s="373"/>
      <c r="O393" s="373"/>
      <c r="P393" s="670"/>
      <c r="Q393" s="665"/>
      <c r="R393" s="665"/>
      <c r="S393" s="539"/>
      <c r="T393" s="665"/>
      <c r="U393" s="49"/>
      <c r="V393" s="49"/>
      <c r="W393" s="49"/>
      <c r="X393" s="49"/>
      <c r="Y393" s="49"/>
    </row>
    <row r="394" ht="15.75" customHeight="1">
      <c r="A394" s="38"/>
      <c r="B394" s="49"/>
      <c r="C394" s="15"/>
      <c r="D394" s="663"/>
      <c r="E394" s="664"/>
      <c r="F394" s="665"/>
      <c r="G394" s="539"/>
      <c r="H394" s="373"/>
      <c r="I394" s="665"/>
      <c r="J394" s="666"/>
      <c r="K394" s="665"/>
      <c r="L394" s="667"/>
      <c r="M394" s="668"/>
      <c r="N394" s="373"/>
      <c r="O394" s="373"/>
      <c r="P394" s="670"/>
      <c r="Q394" s="665"/>
      <c r="R394" s="665"/>
      <c r="S394" s="539"/>
      <c r="T394" s="665"/>
      <c r="U394" s="49"/>
      <c r="V394" s="49"/>
      <c r="W394" s="49"/>
      <c r="X394" s="49"/>
      <c r="Y394" s="49"/>
    </row>
    <row r="395" ht="15.75" customHeight="1">
      <c r="A395" s="38"/>
      <c r="B395" s="49"/>
      <c r="C395" s="15"/>
      <c r="D395" s="663"/>
      <c r="E395" s="664"/>
      <c r="F395" s="665"/>
      <c r="G395" s="539"/>
      <c r="H395" s="373"/>
      <c r="I395" s="665"/>
      <c r="J395" s="666"/>
      <c r="K395" s="665"/>
      <c r="L395" s="667"/>
      <c r="M395" s="668"/>
      <c r="N395" s="373"/>
      <c r="O395" s="373"/>
      <c r="P395" s="670"/>
      <c r="Q395" s="665"/>
      <c r="R395" s="665"/>
      <c r="S395" s="539"/>
      <c r="T395" s="665"/>
      <c r="U395" s="49"/>
      <c r="V395" s="49"/>
      <c r="W395" s="49"/>
      <c r="X395" s="49"/>
      <c r="Y395" s="49"/>
    </row>
    <row r="396" ht="15.75" customHeight="1">
      <c r="A396" s="38"/>
      <c r="B396" s="49"/>
      <c r="C396" s="15"/>
      <c r="D396" s="663"/>
      <c r="E396" s="664"/>
      <c r="F396" s="665"/>
      <c r="G396" s="539"/>
      <c r="H396" s="373"/>
      <c r="I396" s="665"/>
      <c r="J396" s="666"/>
      <c r="K396" s="665"/>
      <c r="L396" s="667"/>
      <c r="M396" s="668"/>
      <c r="N396" s="373"/>
      <c r="O396" s="373"/>
      <c r="P396" s="670"/>
      <c r="Q396" s="665"/>
      <c r="R396" s="665"/>
      <c r="S396" s="539"/>
      <c r="T396" s="665"/>
      <c r="U396" s="49"/>
      <c r="V396" s="49"/>
      <c r="W396" s="49"/>
      <c r="X396" s="49"/>
      <c r="Y396" s="49"/>
    </row>
    <row r="397" ht="15.75" customHeight="1">
      <c r="A397" s="38"/>
      <c r="B397" s="49"/>
      <c r="C397" s="15"/>
      <c r="D397" s="663"/>
      <c r="E397" s="664"/>
      <c r="F397" s="665"/>
      <c r="G397" s="539"/>
      <c r="H397" s="373"/>
      <c r="I397" s="665"/>
      <c r="J397" s="666"/>
      <c r="K397" s="665"/>
      <c r="L397" s="667"/>
      <c r="M397" s="668"/>
      <c r="N397" s="373"/>
      <c r="O397" s="373"/>
      <c r="P397" s="670"/>
      <c r="Q397" s="665"/>
      <c r="R397" s="665"/>
      <c r="S397" s="539"/>
      <c r="T397" s="665"/>
      <c r="U397" s="49"/>
      <c r="V397" s="49"/>
      <c r="W397" s="49"/>
      <c r="X397" s="49"/>
      <c r="Y397" s="49"/>
    </row>
    <row r="398" ht="15.75" customHeight="1">
      <c r="A398" s="38"/>
      <c r="B398" s="49"/>
      <c r="C398" s="15"/>
      <c r="D398" s="663"/>
      <c r="E398" s="664"/>
      <c r="F398" s="665"/>
      <c r="G398" s="539"/>
      <c r="H398" s="373"/>
      <c r="I398" s="665"/>
      <c r="J398" s="666"/>
      <c r="K398" s="665"/>
      <c r="L398" s="667"/>
      <c r="M398" s="668"/>
      <c r="N398" s="373"/>
      <c r="O398" s="373"/>
      <c r="P398" s="670"/>
      <c r="Q398" s="665"/>
      <c r="R398" s="665"/>
      <c r="S398" s="539"/>
      <c r="T398" s="665"/>
      <c r="U398" s="49"/>
      <c r="V398" s="49"/>
      <c r="W398" s="49"/>
      <c r="X398" s="49"/>
      <c r="Y398" s="49"/>
    </row>
    <row r="399" ht="15.75" customHeight="1">
      <c r="A399" s="38"/>
      <c r="B399" s="49"/>
      <c r="C399" s="15"/>
      <c r="D399" s="663"/>
      <c r="E399" s="664"/>
      <c r="F399" s="665"/>
      <c r="G399" s="539"/>
      <c r="H399" s="373"/>
      <c r="I399" s="665"/>
      <c r="J399" s="666"/>
      <c r="K399" s="665"/>
      <c r="L399" s="667"/>
      <c r="M399" s="668"/>
      <c r="N399" s="373"/>
      <c r="O399" s="373"/>
      <c r="P399" s="670"/>
      <c r="Q399" s="665"/>
      <c r="R399" s="665"/>
      <c r="S399" s="539"/>
      <c r="T399" s="665"/>
      <c r="U399" s="49"/>
      <c r="V399" s="49"/>
      <c r="W399" s="49"/>
      <c r="X399" s="49"/>
      <c r="Y399" s="49"/>
    </row>
    <row r="400" ht="15.75" customHeight="1">
      <c r="A400" s="38"/>
      <c r="B400" s="49"/>
      <c r="C400" s="15"/>
      <c r="D400" s="663"/>
      <c r="E400" s="664"/>
      <c r="F400" s="665"/>
      <c r="G400" s="539"/>
      <c r="H400" s="373"/>
      <c r="I400" s="665"/>
      <c r="J400" s="666"/>
      <c r="K400" s="665"/>
      <c r="L400" s="667"/>
      <c r="M400" s="668"/>
      <c r="N400" s="373"/>
      <c r="O400" s="373"/>
      <c r="P400" s="670"/>
      <c r="Q400" s="665"/>
      <c r="R400" s="665"/>
      <c r="S400" s="539"/>
      <c r="T400" s="665"/>
      <c r="U400" s="49"/>
      <c r="V400" s="49"/>
      <c r="W400" s="49"/>
      <c r="X400" s="49"/>
      <c r="Y400" s="49"/>
    </row>
    <row r="401" ht="15.75" customHeight="1">
      <c r="A401" s="38"/>
      <c r="B401" s="49"/>
      <c r="C401" s="15"/>
      <c r="D401" s="663"/>
      <c r="E401" s="664"/>
      <c r="F401" s="665"/>
      <c r="G401" s="539"/>
      <c r="H401" s="373"/>
      <c r="I401" s="665"/>
      <c r="J401" s="666"/>
      <c r="K401" s="665"/>
      <c r="L401" s="667"/>
      <c r="M401" s="668"/>
      <c r="N401" s="373"/>
      <c r="O401" s="373"/>
      <c r="P401" s="670"/>
      <c r="Q401" s="665"/>
      <c r="R401" s="665"/>
      <c r="S401" s="539"/>
      <c r="T401" s="665"/>
      <c r="U401" s="49"/>
      <c r="V401" s="49"/>
      <c r="W401" s="49"/>
      <c r="X401" s="49"/>
      <c r="Y401" s="49"/>
    </row>
    <row r="402" ht="15.75" customHeight="1">
      <c r="A402" s="38"/>
      <c r="B402" s="49"/>
      <c r="C402" s="15"/>
      <c r="D402" s="663"/>
      <c r="E402" s="664"/>
      <c r="F402" s="665"/>
      <c r="G402" s="539"/>
      <c r="H402" s="373"/>
      <c r="I402" s="665"/>
      <c r="J402" s="666"/>
      <c r="K402" s="665"/>
      <c r="L402" s="667"/>
      <c r="M402" s="668"/>
      <c r="N402" s="373"/>
      <c r="O402" s="373"/>
      <c r="P402" s="670"/>
      <c r="Q402" s="665"/>
      <c r="R402" s="665"/>
      <c r="S402" s="539"/>
      <c r="T402" s="665"/>
      <c r="U402" s="49"/>
      <c r="V402" s="49"/>
      <c r="W402" s="49"/>
      <c r="X402" s="49"/>
      <c r="Y402" s="49"/>
    </row>
    <row r="403" ht="15.75" customHeight="1">
      <c r="A403" s="38"/>
      <c r="B403" s="49"/>
      <c r="C403" s="15"/>
      <c r="D403" s="663"/>
      <c r="E403" s="664"/>
      <c r="F403" s="665"/>
      <c r="G403" s="539"/>
      <c r="H403" s="373"/>
      <c r="I403" s="665"/>
      <c r="J403" s="666"/>
      <c r="K403" s="665"/>
      <c r="L403" s="667"/>
      <c r="M403" s="668"/>
      <c r="N403" s="373"/>
      <c r="O403" s="373"/>
      <c r="P403" s="670"/>
      <c r="Q403" s="665"/>
      <c r="R403" s="665"/>
      <c r="S403" s="539"/>
      <c r="T403" s="665"/>
      <c r="U403" s="49"/>
      <c r="V403" s="49"/>
      <c r="W403" s="49"/>
      <c r="X403" s="49"/>
      <c r="Y403" s="49"/>
    </row>
    <row r="404" ht="15.75" customHeight="1">
      <c r="A404" s="38"/>
      <c r="B404" s="49"/>
      <c r="C404" s="15"/>
      <c r="D404" s="663"/>
      <c r="E404" s="664"/>
      <c r="F404" s="665"/>
      <c r="G404" s="539"/>
      <c r="H404" s="373"/>
      <c r="I404" s="665"/>
      <c r="J404" s="666"/>
      <c r="K404" s="665"/>
      <c r="L404" s="667"/>
      <c r="M404" s="668"/>
      <c r="N404" s="373"/>
      <c r="O404" s="373"/>
      <c r="P404" s="670"/>
      <c r="Q404" s="665"/>
      <c r="R404" s="665"/>
      <c r="S404" s="539"/>
      <c r="T404" s="665"/>
      <c r="U404" s="49"/>
      <c r="V404" s="49"/>
      <c r="W404" s="49"/>
      <c r="X404" s="49"/>
      <c r="Y404" s="49"/>
    </row>
    <row r="405" ht="15.75" customHeight="1">
      <c r="A405" s="38"/>
      <c r="B405" s="49"/>
      <c r="C405" s="15"/>
      <c r="D405" s="663"/>
      <c r="E405" s="664"/>
      <c r="F405" s="665"/>
      <c r="G405" s="539"/>
      <c r="H405" s="373"/>
      <c r="I405" s="665"/>
      <c r="J405" s="666"/>
      <c r="K405" s="665"/>
      <c r="L405" s="667"/>
      <c r="M405" s="668"/>
      <c r="N405" s="373"/>
      <c r="O405" s="373"/>
      <c r="P405" s="670"/>
      <c r="Q405" s="665"/>
      <c r="R405" s="665"/>
      <c r="S405" s="539"/>
      <c r="T405" s="665"/>
      <c r="U405" s="49"/>
      <c r="V405" s="49"/>
      <c r="W405" s="49"/>
      <c r="X405" s="49"/>
      <c r="Y405" s="49"/>
    </row>
    <row r="406" ht="15.75" customHeight="1">
      <c r="A406" s="38"/>
      <c r="B406" s="49"/>
      <c r="C406" s="15"/>
      <c r="D406" s="663"/>
      <c r="E406" s="664"/>
      <c r="F406" s="665"/>
      <c r="G406" s="539"/>
      <c r="H406" s="373"/>
      <c r="I406" s="665"/>
      <c r="J406" s="666"/>
      <c r="K406" s="665"/>
      <c r="L406" s="667"/>
      <c r="M406" s="668"/>
      <c r="N406" s="373"/>
      <c r="O406" s="373"/>
      <c r="P406" s="670"/>
      <c r="Q406" s="665"/>
      <c r="R406" s="665"/>
      <c r="S406" s="539"/>
      <c r="T406" s="665"/>
      <c r="U406" s="49"/>
      <c r="V406" s="49"/>
      <c r="W406" s="49"/>
      <c r="X406" s="49"/>
      <c r="Y406" s="49"/>
    </row>
    <row r="407" ht="15.75" customHeight="1">
      <c r="A407" s="38"/>
      <c r="B407" s="49"/>
      <c r="C407" s="15"/>
      <c r="D407" s="663"/>
      <c r="E407" s="664"/>
      <c r="F407" s="665"/>
      <c r="G407" s="539"/>
      <c r="H407" s="373"/>
      <c r="I407" s="665"/>
      <c r="J407" s="666"/>
      <c r="K407" s="665"/>
      <c r="L407" s="667"/>
      <c r="M407" s="668"/>
      <c r="N407" s="373"/>
      <c r="O407" s="373"/>
      <c r="P407" s="670"/>
      <c r="Q407" s="665"/>
      <c r="R407" s="665"/>
      <c r="S407" s="539"/>
      <c r="T407" s="665"/>
      <c r="U407" s="49"/>
      <c r="V407" s="49"/>
      <c r="W407" s="49"/>
      <c r="X407" s="49"/>
      <c r="Y407" s="49"/>
    </row>
    <row r="408" ht="15.75" customHeight="1">
      <c r="A408" s="38"/>
      <c r="B408" s="49"/>
      <c r="C408" s="15"/>
      <c r="D408" s="663"/>
      <c r="E408" s="664"/>
      <c r="F408" s="665"/>
      <c r="G408" s="539"/>
      <c r="H408" s="373"/>
      <c r="I408" s="665"/>
      <c r="J408" s="666"/>
      <c r="K408" s="665"/>
      <c r="L408" s="667"/>
      <c r="M408" s="668"/>
      <c r="N408" s="373"/>
      <c r="O408" s="373"/>
      <c r="P408" s="670"/>
      <c r="Q408" s="665"/>
      <c r="R408" s="665"/>
      <c r="S408" s="539"/>
      <c r="T408" s="665"/>
      <c r="U408" s="49"/>
      <c r="V408" s="49"/>
      <c r="W408" s="49"/>
      <c r="X408" s="49"/>
      <c r="Y408" s="49"/>
    </row>
    <row r="409" ht="15.75" customHeight="1">
      <c r="A409" s="38"/>
      <c r="B409" s="49"/>
      <c r="C409" s="15"/>
      <c r="D409" s="663"/>
      <c r="E409" s="664"/>
      <c r="F409" s="665"/>
      <c r="G409" s="539"/>
      <c r="H409" s="373"/>
      <c r="I409" s="665"/>
      <c r="J409" s="666"/>
      <c r="K409" s="665"/>
      <c r="L409" s="667"/>
      <c r="M409" s="668"/>
      <c r="N409" s="373"/>
      <c r="O409" s="373"/>
      <c r="P409" s="670"/>
      <c r="Q409" s="665"/>
      <c r="R409" s="665"/>
      <c r="S409" s="539"/>
      <c r="T409" s="665"/>
      <c r="U409" s="49"/>
      <c r="V409" s="49"/>
      <c r="W409" s="49"/>
      <c r="X409" s="49"/>
      <c r="Y409" s="49"/>
    </row>
    <row r="410" ht="15.75" customHeight="1">
      <c r="A410" s="38"/>
      <c r="B410" s="49"/>
      <c r="C410" s="15"/>
      <c r="D410" s="663"/>
      <c r="E410" s="664"/>
      <c r="F410" s="665"/>
      <c r="G410" s="539"/>
      <c r="H410" s="373"/>
      <c r="I410" s="665"/>
      <c r="J410" s="666"/>
      <c r="K410" s="665"/>
      <c r="L410" s="667"/>
      <c r="M410" s="668"/>
      <c r="N410" s="373"/>
      <c r="O410" s="373"/>
      <c r="P410" s="670"/>
      <c r="Q410" s="665"/>
      <c r="R410" s="665"/>
      <c r="S410" s="539"/>
      <c r="T410" s="665"/>
      <c r="U410" s="49"/>
      <c r="V410" s="49"/>
      <c r="W410" s="49"/>
      <c r="X410" s="49"/>
      <c r="Y410" s="49"/>
    </row>
    <row r="411" ht="15.75" customHeight="1">
      <c r="A411" s="38"/>
      <c r="B411" s="49"/>
      <c r="C411" s="15"/>
      <c r="D411" s="663"/>
      <c r="E411" s="664"/>
      <c r="F411" s="665"/>
      <c r="G411" s="539"/>
      <c r="H411" s="373"/>
      <c r="I411" s="665"/>
      <c r="J411" s="666"/>
      <c r="K411" s="665"/>
      <c r="L411" s="667"/>
      <c r="M411" s="668"/>
      <c r="N411" s="373"/>
      <c r="O411" s="373"/>
      <c r="P411" s="670"/>
      <c r="Q411" s="665"/>
      <c r="R411" s="665"/>
      <c r="S411" s="539"/>
      <c r="T411" s="665"/>
      <c r="U411" s="49"/>
      <c r="V411" s="49"/>
      <c r="W411" s="49"/>
      <c r="X411" s="49"/>
      <c r="Y411" s="49"/>
    </row>
    <row r="412" ht="15.75" customHeight="1">
      <c r="A412" s="38"/>
      <c r="B412" s="49"/>
      <c r="C412" s="15"/>
      <c r="D412" s="663"/>
      <c r="E412" s="664"/>
      <c r="F412" s="665"/>
      <c r="G412" s="539"/>
      <c r="H412" s="373"/>
      <c r="I412" s="665"/>
      <c r="J412" s="666"/>
      <c r="K412" s="665"/>
      <c r="L412" s="667"/>
      <c r="M412" s="668"/>
      <c r="N412" s="373"/>
      <c r="O412" s="373"/>
      <c r="P412" s="670"/>
      <c r="Q412" s="665"/>
      <c r="R412" s="665"/>
      <c r="S412" s="539"/>
      <c r="T412" s="665"/>
      <c r="U412" s="49"/>
      <c r="V412" s="49"/>
      <c r="W412" s="49"/>
      <c r="X412" s="49"/>
      <c r="Y412" s="49"/>
    </row>
    <row r="413" ht="15.75" customHeight="1">
      <c r="A413" s="38"/>
      <c r="B413" s="49"/>
      <c r="C413" s="15"/>
      <c r="D413" s="663"/>
      <c r="E413" s="664"/>
      <c r="F413" s="665"/>
      <c r="G413" s="539"/>
      <c r="H413" s="373"/>
      <c r="I413" s="665"/>
      <c r="J413" s="666"/>
      <c r="K413" s="665"/>
      <c r="L413" s="667"/>
      <c r="M413" s="668"/>
      <c r="N413" s="373"/>
      <c r="O413" s="373"/>
      <c r="P413" s="670"/>
      <c r="Q413" s="665"/>
      <c r="R413" s="665"/>
      <c r="S413" s="539"/>
      <c r="T413" s="665"/>
      <c r="U413" s="49"/>
      <c r="V413" s="49"/>
      <c r="W413" s="49"/>
      <c r="X413" s="49"/>
      <c r="Y413" s="49"/>
    </row>
    <row r="414" ht="15.75" customHeight="1">
      <c r="A414" s="38"/>
      <c r="B414" s="49"/>
      <c r="C414" s="15"/>
      <c r="D414" s="663"/>
      <c r="E414" s="664"/>
      <c r="F414" s="665"/>
      <c r="G414" s="539"/>
      <c r="H414" s="373"/>
      <c r="I414" s="665"/>
      <c r="J414" s="666"/>
      <c r="K414" s="665"/>
      <c r="L414" s="667"/>
      <c r="M414" s="668"/>
      <c r="N414" s="373"/>
      <c r="O414" s="373"/>
      <c r="P414" s="670"/>
      <c r="Q414" s="665"/>
      <c r="R414" s="665"/>
      <c r="S414" s="539"/>
      <c r="T414" s="665"/>
      <c r="U414" s="49"/>
      <c r="V414" s="49"/>
      <c r="W414" s="49"/>
      <c r="X414" s="49"/>
      <c r="Y414" s="49"/>
    </row>
    <row r="415" ht="15.75" customHeight="1">
      <c r="A415" s="38"/>
      <c r="B415" s="49"/>
      <c r="C415" s="15"/>
      <c r="D415" s="663"/>
      <c r="E415" s="664"/>
      <c r="F415" s="665"/>
      <c r="G415" s="539"/>
      <c r="H415" s="373"/>
      <c r="I415" s="665"/>
      <c r="J415" s="666"/>
      <c r="K415" s="665"/>
      <c r="L415" s="667"/>
      <c r="M415" s="668"/>
      <c r="N415" s="373"/>
      <c r="O415" s="373"/>
      <c r="P415" s="670"/>
      <c r="Q415" s="665"/>
      <c r="R415" s="665"/>
      <c r="S415" s="539"/>
      <c r="T415" s="665"/>
      <c r="U415" s="49"/>
      <c r="V415" s="49"/>
      <c r="W415" s="49"/>
      <c r="X415" s="49"/>
      <c r="Y415" s="49"/>
    </row>
    <row r="416" ht="15.75" customHeight="1">
      <c r="A416" s="38"/>
      <c r="B416" s="49"/>
      <c r="C416" s="15"/>
      <c r="D416" s="663"/>
      <c r="E416" s="664"/>
      <c r="F416" s="665"/>
      <c r="G416" s="539"/>
      <c r="H416" s="373"/>
      <c r="I416" s="665"/>
      <c r="J416" s="666"/>
      <c r="K416" s="665"/>
      <c r="L416" s="667"/>
      <c r="M416" s="668"/>
      <c r="N416" s="373"/>
      <c r="O416" s="373"/>
      <c r="P416" s="670"/>
      <c r="Q416" s="665"/>
      <c r="R416" s="665"/>
      <c r="S416" s="539"/>
      <c r="T416" s="665"/>
      <c r="U416" s="49"/>
      <c r="V416" s="49"/>
      <c r="W416" s="49"/>
      <c r="X416" s="49"/>
      <c r="Y416" s="49"/>
    </row>
    <row r="417" ht="15.75" customHeight="1">
      <c r="A417" s="38"/>
      <c r="B417" s="49"/>
      <c r="C417" s="15"/>
      <c r="D417" s="663"/>
      <c r="E417" s="664"/>
      <c r="F417" s="665"/>
      <c r="G417" s="539"/>
      <c r="H417" s="373"/>
      <c r="I417" s="665"/>
      <c r="J417" s="666"/>
      <c r="K417" s="665"/>
      <c r="L417" s="667"/>
      <c r="M417" s="668"/>
      <c r="N417" s="373"/>
      <c r="O417" s="373"/>
      <c r="P417" s="670"/>
      <c r="Q417" s="665"/>
      <c r="R417" s="665"/>
      <c r="S417" s="539"/>
      <c r="T417" s="665"/>
      <c r="U417" s="49"/>
      <c r="V417" s="49"/>
      <c r="W417" s="49"/>
      <c r="X417" s="49"/>
      <c r="Y417" s="49"/>
    </row>
    <row r="418" ht="15.75" customHeight="1">
      <c r="A418" s="38"/>
      <c r="B418" s="49"/>
      <c r="C418" s="15"/>
      <c r="D418" s="663"/>
      <c r="E418" s="664"/>
      <c r="F418" s="665"/>
      <c r="G418" s="539"/>
      <c r="H418" s="373"/>
      <c r="I418" s="665"/>
      <c r="J418" s="666"/>
      <c r="K418" s="665"/>
      <c r="L418" s="667"/>
      <c r="M418" s="668"/>
      <c r="N418" s="373"/>
      <c r="O418" s="373"/>
      <c r="P418" s="670"/>
      <c r="Q418" s="665"/>
      <c r="R418" s="665"/>
      <c r="S418" s="539"/>
      <c r="T418" s="665"/>
      <c r="U418" s="49"/>
      <c r="V418" s="49"/>
      <c r="W418" s="49"/>
      <c r="X418" s="49"/>
      <c r="Y418" s="49"/>
    </row>
    <row r="419" ht="15.75" customHeight="1">
      <c r="A419" s="38"/>
      <c r="B419" s="49"/>
      <c r="C419" s="15"/>
      <c r="D419" s="663"/>
      <c r="E419" s="664"/>
      <c r="F419" s="665"/>
      <c r="G419" s="539"/>
      <c r="H419" s="373"/>
      <c r="I419" s="665"/>
      <c r="J419" s="666"/>
      <c r="K419" s="665"/>
      <c r="L419" s="667"/>
      <c r="M419" s="668"/>
      <c r="N419" s="373"/>
      <c r="O419" s="373"/>
      <c r="P419" s="670"/>
      <c r="Q419" s="665"/>
      <c r="R419" s="665"/>
      <c r="S419" s="539"/>
      <c r="T419" s="665"/>
      <c r="U419" s="49"/>
      <c r="V419" s="49"/>
      <c r="W419" s="49"/>
      <c r="X419" s="49"/>
      <c r="Y419" s="49"/>
    </row>
    <row r="420" ht="15.75" customHeight="1">
      <c r="A420" s="38"/>
      <c r="B420" s="49"/>
      <c r="C420" s="15"/>
      <c r="D420" s="663"/>
      <c r="E420" s="664"/>
      <c r="F420" s="665"/>
      <c r="G420" s="539"/>
      <c r="H420" s="373"/>
      <c r="I420" s="665"/>
      <c r="J420" s="666"/>
      <c r="K420" s="665"/>
      <c r="L420" s="667"/>
      <c r="M420" s="668"/>
      <c r="N420" s="373"/>
      <c r="O420" s="373"/>
      <c r="P420" s="670"/>
      <c r="Q420" s="665"/>
      <c r="R420" s="665"/>
      <c r="S420" s="539"/>
      <c r="T420" s="665"/>
      <c r="U420" s="49"/>
      <c r="V420" s="49"/>
      <c r="W420" s="49"/>
      <c r="X420" s="49"/>
      <c r="Y420" s="49"/>
    </row>
    <row r="421" ht="15.75" customHeight="1">
      <c r="A421" s="38"/>
      <c r="B421" s="49"/>
      <c r="C421" s="15"/>
      <c r="D421" s="663"/>
      <c r="E421" s="664"/>
      <c r="F421" s="665"/>
      <c r="G421" s="539"/>
      <c r="H421" s="373"/>
      <c r="I421" s="665"/>
      <c r="J421" s="666"/>
      <c r="K421" s="665"/>
      <c r="L421" s="667"/>
      <c r="M421" s="668"/>
      <c r="N421" s="373"/>
      <c r="O421" s="373"/>
      <c r="P421" s="670"/>
      <c r="Q421" s="665"/>
      <c r="R421" s="665"/>
      <c r="S421" s="539"/>
      <c r="T421" s="665"/>
      <c r="U421" s="49"/>
      <c r="V421" s="49"/>
      <c r="W421" s="49"/>
      <c r="X421" s="49"/>
      <c r="Y421" s="49"/>
    </row>
    <row r="422" ht="15.75" customHeight="1">
      <c r="A422" s="38"/>
      <c r="B422" s="49"/>
      <c r="C422" s="15"/>
      <c r="D422" s="663"/>
      <c r="E422" s="664"/>
      <c r="F422" s="665"/>
      <c r="G422" s="539"/>
      <c r="H422" s="373"/>
      <c r="I422" s="665"/>
      <c r="J422" s="666"/>
      <c r="K422" s="665"/>
      <c r="L422" s="667"/>
      <c r="M422" s="668"/>
      <c r="N422" s="373"/>
      <c r="O422" s="373"/>
      <c r="P422" s="670"/>
      <c r="Q422" s="665"/>
      <c r="R422" s="665"/>
      <c r="S422" s="539"/>
      <c r="T422" s="665"/>
      <c r="U422" s="49"/>
      <c r="V422" s="49"/>
      <c r="W422" s="49"/>
      <c r="X422" s="49"/>
      <c r="Y422" s="49"/>
    </row>
    <row r="423" ht="15.75" customHeight="1">
      <c r="A423" s="38"/>
      <c r="B423" s="49"/>
      <c r="C423" s="15"/>
      <c r="D423" s="663"/>
      <c r="E423" s="664"/>
      <c r="F423" s="665"/>
      <c r="G423" s="539"/>
      <c r="H423" s="373"/>
      <c r="I423" s="665"/>
      <c r="J423" s="666"/>
      <c r="K423" s="665"/>
      <c r="L423" s="667"/>
      <c r="M423" s="668"/>
      <c r="N423" s="373"/>
      <c r="O423" s="373"/>
      <c r="P423" s="670"/>
      <c r="Q423" s="665"/>
      <c r="R423" s="665"/>
      <c r="S423" s="539"/>
      <c r="T423" s="665"/>
      <c r="U423" s="49"/>
      <c r="V423" s="49"/>
      <c r="W423" s="49"/>
      <c r="X423" s="49"/>
      <c r="Y423" s="49"/>
    </row>
    <row r="424" ht="15.75" customHeight="1">
      <c r="A424" s="38"/>
      <c r="B424" s="49"/>
      <c r="C424" s="15"/>
      <c r="D424" s="663"/>
      <c r="E424" s="664"/>
      <c r="F424" s="665"/>
      <c r="G424" s="539"/>
      <c r="H424" s="373"/>
      <c r="I424" s="665"/>
      <c r="J424" s="666"/>
      <c r="K424" s="665"/>
      <c r="L424" s="667"/>
      <c r="M424" s="668"/>
      <c r="N424" s="373"/>
      <c r="O424" s="373"/>
      <c r="P424" s="670"/>
      <c r="Q424" s="665"/>
      <c r="R424" s="665"/>
      <c r="S424" s="539"/>
      <c r="T424" s="665"/>
      <c r="U424" s="49"/>
      <c r="V424" s="49"/>
      <c r="W424" s="49"/>
      <c r="X424" s="49"/>
      <c r="Y424" s="49"/>
    </row>
    <row r="425" ht="15.75" customHeight="1">
      <c r="A425" s="38"/>
      <c r="B425" s="49"/>
      <c r="C425" s="15"/>
      <c r="D425" s="663"/>
      <c r="E425" s="664"/>
      <c r="F425" s="665"/>
      <c r="G425" s="539"/>
      <c r="H425" s="373"/>
      <c r="I425" s="665"/>
      <c r="J425" s="666"/>
      <c r="K425" s="665"/>
      <c r="L425" s="667"/>
      <c r="M425" s="668"/>
      <c r="N425" s="373"/>
      <c r="O425" s="373"/>
      <c r="P425" s="670"/>
      <c r="Q425" s="665"/>
      <c r="R425" s="665"/>
      <c r="S425" s="539"/>
      <c r="T425" s="665"/>
      <c r="U425" s="49"/>
      <c r="V425" s="49"/>
      <c r="W425" s="49"/>
      <c r="X425" s="49"/>
      <c r="Y425" s="49"/>
    </row>
    <row r="426" ht="15.75" customHeight="1">
      <c r="A426" s="38"/>
      <c r="B426" s="49"/>
      <c r="C426" s="15"/>
      <c r="D426" s="663"/>
      <c r="E426" s="664"/>
      <c r="F426" s="665"/>
      <c r="G426" s="539"/>
      <c r="H426" s="373"/>
      <c r="I426" s="665"/>
      <c r="J426" s="666"/>
      <c r="K426" s="665"/>
      <c r="L426" s="667"/>
      <c r="M426" s="668"/>
      <c r="N426" s="373"/>
      <c r="O426" s="373"/>
      <c r="P426" s="670"/>
      <c r="Q426" s="665"/>
      <c r="R426" s="665"/>
      <c r="S426" s="539"/>
      <c r="T426" s="665"/>
      <c r="U426" s="49"/>
      <c r="V426" s="49"/>
      <c r="W426" s="49"/>
      <c r="X426" s="49"/>
      <c r="Y426" s="49"/>
    </row>
    <row r="427" ht="15.75" customHeight="1">
      <c r="A427" s="38"/>
      <c r="B427" s="49"/>
      <c r="C427" s="15"/>
      <c r="D427" s="663"/>
      <c r="E427" s="664"/>
      <c r="F427" s="665"/>
      <c r="G427" s="539"/>
      <c r="H427" s="373"/>
      <c r="I427" s="665"/>
      <c r="J427" s="666"/>
      <c r="K427" s="665"/>
      <c r="L427" s="667"/>
      <c r="M427" s="668"/>
      <c r="N427" s="373"/>
      <c r="O427" s="373"/>
      <c r="P427" s="670"/>
      <c r="Q427" s="665"/>
      <c r="R427" s="665"/>
      <c r="S427" s="539"/>
      <c r="T427" s="665"/>
      <c r="U427" s="49"/>
      <c r="V427" s="49"/>
      <c r="W427" s="49"/>
      <c r="X427" s="49"/>
      <c r="Y427" s="49"/>
    </row>
    <row r="428" ht="15.75" customHeight="1">
      <c r="A428" s="38"/>
      <c r="B428" s="49"/>
      <c r="C428" s="15"/>
      <c r="D428" s="663"/>
      <c r="E428" s="664"/>
      <c r="F428" s="665"/>
      <c r="G428" s="539"/>
      <c r="H428" s="373"/>
      <c r="I428" s="665"/>
      <c r="J428" s="666"/>
      <c r="K428" s="665"/>
      <c r="L428" s="667"/>
      <c r="M428" s="668"/>
      <c r="N428" s="373"/>
      <c r="O428" s="373"/>
      <c r="P428" s="670"/>
      <c r="Q428" s="665"/>
      <c r="R428" s="665"/>
      <c r="S428" s="539"/>
      <c r="T428" s="665"/>
      <c r="U428" s="49"/>
      <c r="V428" s="49"/>
      <c r="W428" s="49"/>
      <c r="X428" s="49"/>
      <c r="Y428" s="49"/>
    </row>
    <row r="429" ht="15.75" customHeight="1">
      <c r="A429" s="38"/>
      <c r="B429" s="49"/>
      <c r="C429" s="15"/>
      <c r="D429" s="663"/>
      <c r="E429" s="664"/>
      <c r="F429" s="665"/>
      <c r="G429" s="539"/>
      <c r="H429" s="373"/>
      <c r="I429" s="665"/>
      <c r="J429" s="666"/>
      <c r="K429" s="665"/>
      <c r="L429" s="667"/>
      <c r="M429" s="668"/>
      <c r="N429" s="373"/>
      <c r="O429" s="373"/>
      <c r="P429" s="670"/>
      <c r="Q429" s="665"/>
      <c r="R429" s="665"/>
      <c r="S429" s="539"/>
      <c r="T429" s="665"/>
      <c r="U429" s="49"/>
      <c r="V429" s="49"/>
      <c r="W429" s="49"/>
      <c r="X429" s="49"/>
      <c r="Y429" s="49"/>
    </row>
    <row r="430" ht="15.75" customHeight="1">
      <c r="A430" s="38"/>
      <c r="B430" s="49"/>
      <c r="C430" s="15"/>
      <c r="D430" s="663"/>
      <c r="E430" s="664"/>
      <c r="F430" s="665"/>
      <c r="G430" s="539"/>
      <c r="H430" s="373"/>
      <c r="I430" s="665"/>
      <c r="J430" s="666"/>
      <c r="K430" s="665"/>
      <c r="L430" s="667"/>
      <c r="M430" s="668"/>
      <c r="N430" s="373"/>
      <c r="O430" s="373"/>
      <c r="P430" s="670"/>
      <c r="Q430" s="665"/>
      <c r="R430" s="665"/>
      <c r="S430" s="539"/>
      <c r="T430" s="665"/>
      <c r="U430" s="49"/>
      <c r="V430" s="49"/>
      <c r="W430" s="49"/>
      <c r="X430" s="49"/>
      <c r="Y430" s="49"/>
    </row>
    <row r="431" ht="15.75" customHeight="1">
      <c r="A431" s="38"/>
      <c r="B431" s="49"/>
      <c r="C431" s="15"/>
      <c r="D431" s="663"/>
      <c r="E431" s="664"/>
      <c r="F431" s="665"/>
      <c r="G431" s="539"/>
      <c r="H431" s="373"/>
      <c r="I431" s="665"/>
      <c r="J431" s="666"/>
      <c r="K431" s="665"/>
      <c r="L431" s="667"/>
      <c r="M431" s="668"/>
      <c r="N431" s="373"/>
      <c r="O431" s="373"/>
      <c r="P431" s="670"/>
      <c r="Q431" s="665"/>
      <c r="R431" s="665"/>
      <c r="S431" s="539"/>
      <c r="T431" s="665"/>
      <c r="U431" s="49"/>
      <c r="V431" s="49"/>
      <c r="W431" s="49"/>
      <c r="X431" s="49"/>
      <c r="Y431" s="49"/>
    </row>
    <row r="432" ht="15.75" customHeight="1">
      <c r="A432" s="38"/>
      <c r="B432" s="49"/>
      <c r="C432" s="15"/>
      <c r="D432" s="663"/>
      <c r="E432" s="664"/>
      <c r="F432" s="665"/>
      <c r="G432" s="539"/>
      <c r="H432" s="373"/>
      <c r="I432" s="665"/>
      <c r="J432" s="666"/>
      <c r="K432" s="665"/>
      <c r="L432" s="667"/>
      <c r="M432" s="668"/>
      <c r="N432" s="373"/>
      <c r="O432" s="373"/>
      <c r="P432" s="670"/>
      <c r="Q432" s="665"/>
      <c r="R432" s="665"/>
      <c r="S432" s="539"/>
      <c r="T432" s="665"/>
      <c r="U432" s="49"/>
      <c r="V432" s="49"/>
      <c r="W432" s="49"/>
      <c r="X432" s="49"/>
      <c r="Y432" s="49"/>
    </row>
    <row r="433" ht="15.75" customHeight="1">
      <c r="A433" s="38"/>
      <c r="B433" s="49"/>
      <c r="C433" s="15"/>
      <c r="D433" s="663"/>
      <c r="E433" s="664"/>
      <c r="F433" s="665"/>
      <c r="G433" s="539"/>
      <c r="H433" s="373"/>
      <c r="I433" s="665"/>
      <c r="J433" s="666"/>
      <c r="K433" s="665"/>
      <c r="L433" s="667"/>
      <c r="M433" s="668"/>
      <c r="N433" s="373"/>
      <c r="O433" s="373"/>
      <c r="P433" s="670"/>
      <c r="Q433" s="665"/>
      <c r="R433" s="665"/>
      <c r="S433" s="539"/>
      <c r="T433" s="665"/>
      <c r="U433" s="49"/>
      <c r="V433" s="49"/>
      <c r="W433" s="49"/>
      <c r="X433" s="49"/>
      <c r="Y433" s="49"/>
    </row>
    <row r="434" ht="15.75" customHeight="1">
      <c r="A434" s="38"/>
      <c r="B434" s="49"/>
      <c r="C434" s="15"/>
      <c r="D434" s="663"/>
      <c r="E434" s="664"/>
      <c r="F434" s="665"/>
      <c r="G434" s="539"/>
      <c r="H434" s="373"/>
      <c r="I434" s="665"/>
      <c r="J434" s="666"/>
      <c r="K434" s="665"/>
      <c r="L434" s="667"/>
      <c r="M434" s="668"/>
      <c r="N434" s="373"/>
      <c r="O434" s="373"/>
      <c r="P434" s="670"/>
      <c r="Q434" s="665"/>
      <c r="R434" s="665"/>
      <c r="S434" s="539"/>
      <c r="T434" s="665"/>
      <c r="U434" s="49"/>
      <c r="V434" s="49"/>
      <c r="W434" s="49"/>
      <c r="X434" s="49"/>
      <c r="Y434" s="49"/>
    </row>
    <row r="435" ht="15.75" customHeight="1">
      <c r="A435" s="38"/>
      <c r="B435" s="49"/>
      <c r="C435" s="15"/>
      <c r="D435" s="663"/>
      <c r="E435" s="664"/>
      <c r="F435" s="665"/>
      <c r="G435" s="539"/>
      <c r="H435" s="373"/>
      <c r="I435" s="665"/>
      <c r="J435" s="666"/>
      <c r="K435" s="665"/>
      <c r="L435" s="667"/>
      <c r="M435" s="668"/>
      <c r="N435" s="373"/>
      <c r="O435" s="373"/>
      <c r="P435" s="670"/>
      <c r="Q435" s="665"/>
      <c r="R435" s="665"/>
      <c r="S435" s="539"/>
      <c r="T435" s="665"/>
      <c r="U435" s="49"/>
      <c r="V435" s="49"/>
      <c r="W435" s="49"/>
      <c r="X435" s="49"/>
      <c r="Y435" s="49"/>
    </row>
    <row r="436" ht="15.75" customHeight="1">
      <c r="A436" s="38"/>
      <c r="B436" s="49"/>
      <c r="C436" s="15"/>
      <c r="D436" s="663"/>
      <c r="E436" s="664"/>
      <c r="F436" s="665"/>
      <c r="G436" s="539"/>
      <c r="H436" s="373"/>
      <c r="I436" s="665"/>
      <c r="J436" s="666"/>
      <c r="K436" s="665"/>
      <c r="L436" s="667"/>
      <c r="M436" s="668"/>
      <c r="N436" s="373"/>
      <c r="O436" s="373"/>
      <c r="P436" s="670"/>
      <c r="Q436" s="665"/>
      <c r="R436" s="665"/>
      <c r="S436" s="539"/>
      <c r="T436" s="665"/>
      <c r="U436" s="49"/>
      <c r="V436" s="49"/>
      <c r="W436" s="49"/>
      <c r="X436" s="49"/>
      <c r="Y436" s="49"/>
    </row>
    <row r="437" ht="15.75" customHeight="1">
      <c r="A437" s="38"/>
      <c r="B437" s="49"/>
      <c r="C437" s="15"/>
      <c r="D437" s="663"/>
      <c r="E437" s="664"/>
      <c r="F437" s="665"/>
      <c r="G437" s="539"/>
      <c r="H437" s="373"/>
      <c r="I437" s="665"/>
      <c r="J437" s="666"/>
      <c r="K437" s="665"/>
      <c r="L437" s="667"/>
      <c r="M437" s="668"/>
      <c r="N437" s="373"/>
      <c r="O437" s="373"/>
      <c r="P437" s="670"/>
      <c r="Q437" s="665"/>
      <c r="R437" s="665"/>
      <c r="S437" s="539"/>
      <c r="T437" s="665"/>
      <c r="U437" s="49"/>
      <c r="V437" s="49"/>
      <c r="W437" s="49"/>
      <c r="X437" s="49"/>
      <c r="Y437" s="49"/>
    </row>
    <row r="438" ht="15.75" customHeight="1">
      <c r="A438" s="38"/>
      <c r="B438" s="49"/>
      <c r="C438" s="15"/>
      <c r="D438" s="663"/>
      <c r="E438" s="664"/>
      <c r="F438" s="665"/>
      <c r="G438" s="539"/>
      <c r="H438" s="373"/>
      <c r="I438" s="665"/>
      <c r="J438" s="666"/>
      <c r="K438" s="665"/>
      <c r="L438" s="667"/>
      <c r="M438" s="668"/>
      <c r="N438" s="373"/>
      <c r="O438" s="373"/>
      <c r="P438" s="670"/>
      <c r="Q438" s="665"/>
      <c r="R438" s="665"/>
      <c r="S438" s="539"/>
      <c r="T438" s="665"/>
      <c r="U438" s="49"/>
      <c r="V438" s="49"/>
      <c r="W438" s="49"/>
      <c r="X438" s="49"/>
      <c r="Y438" s="49"/>
    </row>
    <row r="439" ht="15.75" customHeight="1">
      <c r="A439" s="38"/>
      <c r="B439" s="49"/>
      <c r="C439" s="15"/>
      <c r="D439" s="663"/>
      <c r="E439" s="664"/>
      <c r="F439" s="665"/>
      <c r="G439" s="539"/>
      <c r="H439" s="373"/>
      <c r="I439" s="665"/>
      <c r="J439" s="666"/>
      <c r="K439" s="665"/>
      <c r="L439" s="667"/>
      <c r="M439" s="668"/>
      <c r="N439" s="373"/>
      <c r="O439" s="373"/>
      <c r="P439" s="670"/>
      <c r="Q439" s="665"/>
      <c r="R439" s="665"/>
      <c r="S439" s="539"/>
      <c r="T439" s="665"/>
      <c r="U439" s="49"/>
      <c r="V439" s="49"/>
      <c r="W439" s="49"/>
      <c r="X439" s="49"/>
      <c r="Y439" s="49"/>
    </row>
    <row r="440" ht="15.75" customHeight="1">
      <c r="A440" s="38"/>
      <c r="B440" s="49"/>
      <c r="C440" s="15"/>
      <c r="D440" s="663"/>
      <c r="E440" s="664"/>
      <c r="F440" s="665"/>
      <c r="G440" s="539"/>
      <c r="H440" s="373"/>
      <c r="I440" s="665"/>
      <c r="J440" s="666"/>
      <c r="K440" s="665"/>
      <c r="L440" s="667"/>
      <c r="M440" s="668"/>
      <c r="N440" s="373"/>
      <c r="O440" s="373"/>
      <c r="P440" s="670"/>
      <c r="Q440" s="665"/>
      <c r="R440" s="665"/>
      <c r="S440" s="539"/>
      <c r="T440" s="665"/>
      <c r="U440" s="49"/>
      <c r="V440" s="49"/>
      <c r="W440" s="49"/>
      <c r="X440" s="49"/>
      <c r="Y440" s="49"/>
    </row>
    <row r="441" ht="15.75" customHeight="1">
      <c r="A441" s="38"/>
      <c r="B441" s="49"/>
      <c r="C441" s="15"/>
      <c r="D441" s="663"/>
      <c r="E441" s="664"/>
      <c r="F441" s="665"/>
      <c r="G441" s="539"/>
      <c r="H441" s="373"/>
      <c r="I441" s="665"/>
      <c r="J441" s="666"/>
      <c r="K441" s="665"/>
      <c r="L441" s="667"/>
      <c r="M441" s="668"/>
      <c r="N441" s="373"/>
      <c r="O441" s="373"/>
      <c r="P441" s="670"/>
      <c r="Q441" s="665"/>
      <c r="R441" s="665"/>
      <c r="S441" s="539"/>
      <c r="T441" s="665"/>
      <c r="U441" s="49"/>
      <c r="V441" s="49"/>
      <c r="W441" s="49"/>
      <c r="X441" s="49"/>
      <c r="Y441" s="49"/>
    </row>
    <row r="442" ht="15.75" customHeight="1">
      <c r="A442" s="38"/>
      <c r="B442" s="49"/>
      <c r="C442" s="15"/>
      <c r="D442" s="663"/>
      <c r="E442" s="664"/>
      <c r="F442" s="665"/>
      <c r="G442" s="539"/>
      <c r="H442" s="373"/>
      <c r="I442" s="665"/>
      <c r="J442" s="666"/>
      <c r="K442" s="665"/>
      <c r="L442" s="667"/>
      <c r="M442" s="668"/>
      <c r="N442" s="373"/>
      <c r="O442" s="373"/>
      <c r="P442" s="670"/>
      <c r="Q442" s="665"/>
      <c r="R442" s="665"/>
      <c r="S442" s="539"/>
      <c r="T442" s="665"/>
      <c r="U442" s="49"/>
      <c r="V442" s="49"/>
      <c r="W442" s="49"/>
      <c r="X442" s="49"/>
      <c r="Y442" s="49"/>
    </row>
    <row r="443" ht="15.75" customHeight="1">
      <c r="A443" s="38"/>
      <c r="B443" s="49"/>
      <c r="C443" s="15"/>
      <c r="D443" s="663"/>
      <c r="E443" s="664"/>
      <c r="F443" s="665"/>
      <c r="G443" s="539"/>
      <c r="H443" s="373"/>
      <c r="I443" s="665"/>
      <c r="J443" s="666"/>
      <c r="K443" s="665"/>
      <c r="L443" s="667"/>
      <c r="M443" s="668"/>
      <c r="N443" s="373"/>
      <c r="O443" s="373"/>
      <c r="P443" s="670"/>
      <c r="Q443" s="665"/>
      <c r="R443" s="665"/>
      <c r="S443" s="539"/>
      <c r="T443" s="665"/>
      <c r="U443" s="49"/>
      <c r="V443" s="49"/>
      <c r="W443" s="49"/>
      <c r="X443" s="49"/>
      <c r="Y443" s="49"/>
    </row>
    <row r="444" ht="15.75" customHeight="1">
      <c r="A444" s="38"/>
      <c r="B444" s="49"/>
      <c r="C444" s="15"/>
      <c r="D444" s="663"/>
      <c r="E444" s="664"/>
      <c r="F444" s="665"/>
      <c r="G444" s="539"/>
      <c r="H444" s="373"/>
      <c r="I444" s="665"/>
      <c r="J444" s="666"/>
      <c r="K444" s="665"/>
      <c r="L444" s="667"/>
      <c r="M444" s="668"/>
      <c r="N444" s="373"/>
      <c r="O444" s="373"/>
      <c r="P444" s="670"/>
      <c r="Q444" s="665"/>
      <c r="R444" s="665"/>
      <c r="S444" s="539"/>
      <c r="T444" s="665"/>
      <c r="U444" s="49"/>
      <c r="V444" s="49"/>
      <c r="W444" s="49"/>
      <c r="X444" s="49"/>
      <c r="Y444" s="49"/>
    </row>
    <row r="445" ht="15.75" customHeight="1">
      <c r="A445" s="38"/>
      <c r="B445" s="49"/>
      <c r="C445" s="15"/>
      <c r="D445" s="663"/>
      <c r="E445" s="664"/>
      <c r="F445" s="665"/>
      <c r="G445" s="539"/>
      <c r="H445" s="373"/>
      <c r="I445" s="665"/>
      <c r="J445" s="666"/>
      <c r="K445" s="665"/>
      <c r="L445" s="667"/>
      <c r="M445" s="668"/>
      <c r="N445" s="373"/>
      <c r="O445" s="373"/>
      <c r="P445" s="670"/>
      <c r="Q445" s="665"/>
      <c r="R445" s="665"/>
      <c r="S445" s="539"/>
      <c r="T445" s="665"/>
      <c r="U445" s="49"/>
      <c r="V445" s="49"/>
      <c r="W445" s="49"/>
      <c r="X445" s="49"/>
      <c r="Y445" s="49"/>
    </row>
    <row r="446" ht="15.75" customHeight="1">
      <c r="A446" s="38"/>
      <c r="B446" s="49"/>
      <c r="C446" s="15"/>
      <c r="D446" s="663"/>
      <c r="E446" s="664"/>
      <c r="F446" s="665"/>
      <c r="G446" s="539"/>
      <c r="H446" s="373"/>
      <c r="I446" s="665"/>
      <c r="J446" s="666"/>
      <c r="K446" s="665"/>
      <c r="L446" s="667"/>
      <c r="M446" s="668"/>
      <c r="N446" s="373"/>
      <c r="O446" s="373"/>
      <c r="P446" s="670"/>
      <c r="Q446" s="665"/>
      <c r="R446" s="665"/>
      <c r="S446" s="539"/>
      <c r="T446" s="665"/>
      <c r="U446" s="49"/>
      <c r="V446" s="49"/>
      <c r="W446" s="49"/>
      <c r="X446" s="49"/>
      <c r="Y446" s="49"/>
    </row>
    <row r="447" ht="15.75" customHeight="1">
      <c r="A447" s="38"/>
      <c r="B447" s="49"/>
      <c r="C447" s="15"/>
      <c r="D447" s="663"/>
      <c r="E447" s="664"/>
      <c r="F447" s="665"/>
      <c r="G447" s="539"/>
      <c r="H447" s="373"/>
      <c r="I447" s="665"/>
      <c r="J447" s="666"/>
      <c r="K447" s="665"/>
      <c r="L447" s="667"/>
      <c r="M447" s="668"/>
      <c r="N447" s="373"/>
      <c r="O447" s="373"/>
      <c r="P447" s="670"/>
      <c r="Q447" s="665"/>
      <c r="R447" s="665"/>
      <c r="S447" s="539"/>
      <c r="T447" s="665"/>
      <c r="U447" s="49"/>
      <c r="V447" s="49"/>
      <c r="W447" s="49"/>
      <c r="X447" s="49"/>
      <c r="Y447" s="49"/>
    </row>
    <row r="448" ht="15.75" customHeight="1">
      <c r="A448" s="38"/>
      <c r="B448" s="49"/>
      <c r="C448" s="15"/>
      <c r="D448" s="663"/>
      <c r="E448" s="664"/>
      <c r="F448" s="665"/>
      <c r="G448" s="539"/>
      <c r="H448" s="373"/>
      <c r="I448" s="665"/>
      <c r="J448" s="666"/>
      <c r="K448" s="665"/>
      <c r="L448" s="667"/>
      <c r="M448" s="668"/>
      <c r="N448" s="373"/>
      <c r="O448" s="373"/>
      <c r="P448" s="670"/>
      <c r="Q448" s="665"/>
      <c r="R448" s="665"/>
      <c r="S448" s="539"/>
      <c r="T448" s="665"/>
      <c r="U448" s="49"/>
      <c r="V448" s="49"/>
      <c r="W448" s="49"/>
      <c r="X448" s="49"/>
      <c r="Y448" s="49"/>
    </row>
    <row r="449" ht="15.75" customHeight="1">
      <c r="A449" s="38"/>
      <c r="B449" s="49"/>
      <c r="C449" s="15"/>
      <c r="D449" s="663"/>
      <c r="E449" s="664"/>
      <c r="F449" s="665"/>
      <c r="G449" s="539"/>
      <c r="H449" s="373"/>
      <c r="I449" s="665"/>
      <c r="J449" s="666"/>
      <c r="K449" s="665"/>
      <c r="L449" s="667"/>
      <c r="M449" s="668"/>
      <c r="N449" s="373"/>
      <c r="O449" s="373"/>
      <c r="P449" s="670"/>
      <c r="Q449" s="665"/>
      <c r="R449" s="665"/>
      <c r="S449" s="539"/>
      <c r="T449" s="665"/>
      <c r="U449" s="49"/>
      <c r="V449" s="49"/>
      <c r="W449" s="49"/>
      <c r="X449" s="49"/>
      <c r="Y449" s="49"/>
    </row>
    <row r="450" ht="15.75" customHeight="1">
      <c r="A450" s="38"/>
      <c r="B450" s="49"/>
      <c r="C450" s="15"/>
      <c r="D450" s="663"/>
      <c r="E450" s="664"/>
      <c r="F450" s="665"/>
      <c r="G450" s="539"/>
      <c r="H450" s="373"/>
      <c r="I450" s="665"/>
      <c r="J450" s="666"/>
      <c r="K450" s="665"/>
      <c r="L450" s="667"/>
      <c r="M450" s="668"/>
      <c r="N450" s="373"/>
      <c r="O450" s="373"/>
      <c r="P450" s="670"/>
      <c r="Q450" s="665"/>
      <c r="R450" s="665"/>
      <c r="S450" s="539"/>
      <c r="T450" s="665"/>
      <c r="U450" s="49"/>
      <c r="V450" s="49"/>
      <c r="W450" s="49"/>
      <c r="X450" s="49"/>
      <c r="Y450" s="49"/>
    </row>
    <row r="451" ht="15.75" customHeight="1">
      <c r="A451" s="38"/>
      <c r="B451" s="49"/>
      <c r="C451" s="15"/>
      <c r="D451" s="663"/>
      <c r="E451" s="664"/>
      <c r="F451" s="665"/>
      <c r="G451" s="539"/>
      <c r="H451" s="373"/>
      <c r="I451" s="665"/>
      <c r="J451" s="666"/>
      <c r="K451" s="665"/>
      <c r="L451" s="667"/>
      <c r="M451" s="668"/>
      <c r="N451" s="373"/>
      <c r="O451" s="373"/>
      <c r="P451" s="670"/>
      <c r="Q451" s="665"/>
      <c r="R451" s="665"/>
      <c r="S451" s="539"/>
      <c r="T451" s="665"/>
      <c r="U451" s="49"/>
      <c r="V451" s="49"/>
      <c r="W451" s="49"/>
      <c r="X451" s="49"/>
      <c r="Y451" s="49"/>
    </row>
    <row r="452" ht="15.75" customHeight="1">
      <c r="A452" s="38"/>
      <c r="B452" s="49"/>
      <c r="C452" s="15"/>
      <c r="D452" s="663"/>
      <c r="E452" s="664"/>
      <c r="F452" s="665"/>
      <c r="G452" s="539"/>
      <c r="H452" s="373"/>
      <c r="I452" s="665"/>
      <c r="J452" s="666"/>
      <c r="K452" s="665"/>
      <c r="L452" s="667"/>
      <c r="M452" s="668"/>
      <c r="N452" s="373"/>
      <c r="O452" s="373"/>
      <c r="P452" s="670"/>
      <c r="Q452" s="665"/>
      <c r="R452" s="665"/>
      <c r="S452" s="539"/>
      <c r="T452" s="665"/>
      <c r="U452" s="49"/>
      <c r="V452" s="49"/>
      <c r="W452" s="49"/>
      <c r="X452" s="49"/>
      <c r="Y452" s="49"/>
    </row>
    <row r="453" ht="15.75" customHeight="1">
      <c r="A453" s="38"/>
      <c r="B453" s="49"/>
      <c r="C453" s="15"/>
      <c r="D453" s="663"/>
      <c r="E453" s="664"/>
      <c r="F453" s="665"/>
      <c r="G453" s="539"/>
      <c r="H453" s="373"/>
      <c r="I453" s="665"/>
      <c r="J453" s="666"/>
      <c r="K453" s="665"/>
      <c r="L453" s="667"/>
      <c r="M453" s="668"/>
      <c r="N453" s="373"/>
      <c r="O453" s="373"/>
      <c r="P453" s="670"/>
      <c r="Q453" s="665"/>
      <c r="R453" s="665"/>
      <c r="S453" s="539"/>
      <c r="T453" s="665"/>
      <c r="U453" s="49"/>
      <c r="V453" s="49"/>
      <c r="W453" s="49"/>
      <c r="X453" s="49"/>
      <c r="Y453" s="49"/>
    </row>
    <row r="454" ht="15.75" customHeight="1">
      <c r="A454" s="38"/>
      <c r="B454" s="49"/>
      <c r="C454" s="15"/>
      <c r="D454" s="663"/>
      <c r="E454" s="664"/>
      <c r="F454" s="665"/>
      <c r="G454" s="539"/>
      <c r="H454" s="373"/>
      <c r="I454" s="665"/>
      <c r="J454" s="666"/>
      <c r="K454" s="665"/>
      <c r="L454" s="667"/>
      <c r="M454" s="668"/>
      <c r="N454" s="373"/>
      <c r="O454" s="373"/>
      <c r="P454" s="670"/>
      <c r="Q454" s="665"/>
      <c r="R454" s="665"/>
      <c r="S454" s="539"/>
      <c r="T454" s="665"/>
      <c r="U454" s="49"/>
      <c r="V454" s="49"/>
      <c r="W454" s="49"/>
      <c r="X454" s="49"/>
      <c r="Y454" s="49"/>
    </row>
    <row r="455" ht="15.75" customHeight="1">
      <c r="A455" s="38"/>
      <c r="B455" s="49"/>
      <c r="C455" s="15"/>
      <c r="D455" s="663"/>
      <c r="E455" s="664"/>
      <c r="F455" s="665"/>
      <c r="G455" s="539"/>
      <c r="H455" s="373"/>
      <c r="I455" s="665"/>
      <c r="J455" s="666"/>
      <c r="K455" s="665"/>
      <c r="L455" s="667"/>
      <c r="M455" s="668"/>
      <c r="N455" s="373"/>
      <c r="O455" s="373"/>
      <c r="P455" s="670"/>
      <c r="Q455" s="665"/>
      <c r="R455" s="665"/>
      <c r="S455" s="539"/>
      <c r="T455" s="665"/>
      <c r="U455" s="49"/>
      <c r="V455" s="49"/>
      <c r="W455" s="49"/>
      <c r="X455" s="49"/>
      <c r="Y455" s="49"/>
    </row>
    <row r="456" ht="15.75" customHeight="1">
      <c r="A456" s="38"/>
      <c r="B456" s="49"/>
      <c r="C456" s="15"/>
      <c r="D456" s="663"/>
      <c r="E456" s="664"/>
      <c r="F456" s="665"/>
      <c r="G456" s="539"/>
      <c r="H456" s="373"/>
      <c r="I456" s="665"/>
      <c r="J456" s="666"/>
      <c r="K456" s="665"/>
      <c r="L456" s="667"/>
      <c r="M456" s="668"/>
      <c r="N456" s="373"/>
      <c r="O456" s="373"/>
      <c r="P456" s="670"/>
      <c r="Q456" s="665"/>
      <c r="R456" s="665"/>
      <c r="S456" s="539"/>
      <c r="T456" s="665"/>
      <c r="U456" s="49"/>
      <c r="V456" s="49"/>
      <c r="W456" s="49"/>
      <c r="X456" s="49"/>
      <c r="Y456" s="49"/>
    </row>
    <row r="457" ht="15.75" customHeight="1">
      <c r="A457" s="38"/>
      <c r="B457" s="49"/>
      <c r="C457" s="15"/>
      <c r="D457" s="663"/>
      <c r="E457" s="664"/>
      <c r="F457" s="665"/>
      <c r="G457" s="539"/>
      <c r="H457" s="373"/>
      <c r="I457" s="665"/>
      <c r="J457" s="666"/>
      <c r="K457" s="665"/>
      <c r="L457" s="667"/>
      <c r="M457" s="668"/>
      <c r="N457" s="373"/>
      <c r="O457" s="373"/>
      <c r="P457" s="670"/>
      <c r="Q457" s="665"/>
      <c r="R457" s="665"/>
      <c r="S457" s="539"/>
      <c r="T457" s="665"/>
      <c r="U457" s="49"/>
      <c r="V457" s="49"/>
      <c r="W457" s="49"/>
      <c r="X457" s="49"/>
      <c r="Y457" s="49"/>
    </row>
    <row r="458" ht="15.75" customHeight="1">
      <c r="A458" s="38"/>
      <c r="B458" s="49"/>
      <c r="C458" s="15"/>
      <c r="D458" s="663"/>
      <c r="E458" s="664"/>
      <c r="F458" s="665"/>
      <c r="G458" s="539"/>
      <c r="H458" s="373"/>
      <c r="I458" s="665"/>
      <c r="J458" s="666"/>
      <c r="K458" s="665"/>
      <c r="L458" s="667"/>
      <c r="M458" s="668"/>
      <c r="N458" s="373"/>
      <c r="O458" s="373"/>
      <c r="P458" s="670"/>
      <c r="Q458" s="665"/>
      <c r="R458" s="665"/>
      <c r="S458" s="539"/>
      <c r="T458" s="665"/>
      <c r="U458" s="49"/>
      <c r="V458" s="49"/>
      <c r="W458" s="49"/>
      <c r="X458" s="49"/>
      <c r="Y458" s="49"/>
    </row>
    <row r="459" ht="15.75" customHeight="1">
      <c r="A459" s="38"/>
      <c r="B459" s="49"/>
      <c r="C459" s="15"/>
      <c r="D459" s="663"/>
      <c r="E459" s="664"/>
      <c r="F459" s="665"/>
      <c r="G459" s="539"/>
      <c r="H459" s="373"/>
      <c r="I459" s="665"/>
      <c r="J459" s="666"/>
      <c r="K459" s="665"/>
      <c r="L459" s="667"/>
      <c r="M459" s="668"/>
      <c r="N459" s="373"/>
      <c r="O459" s="373"/>
      <c r="P459" s="670"/>
      <c r="Q459" s="665"/>
      <c r="R459" s="665"/>
      <c r="S459" s="539"/>
      <c r="T459" s="665"/>
      <c r="U459" s="49"/>
      <c r="V459" s="49"/>
      <c r="W459" s="49"/>
      <c r="X459" s="49"/>
      <c r="Y459" s="49"/>
    </row>
    <row r="460" ht="15.75" customHeight="1">
      <c r="A460" s="38"/>
      <c r="B460" s="49"/>
      <c r="C460" s="15"/>
      <c r="D460" s="663"/>
      <c r="E460" s="664"/>
      <c r="F460" s="665"/>
      <c r="G460" s="539"/>
      <c r="H460" s="373"/>
      <c r="I460" s="665"/>
      <c r="J460" s="666"/>
      <c r="K460" s="665"/>
      <c r="L460" s="667"/>
      <c r="M460" s="668"/>
      <c r="N460" s="373"/>
      <c r="O460" s="373"/>
      <c r="P460" s="670"/>
      <c r="Q460" s="665"/>
      <c r="R460" s="665"/>
      <c r="S460" s="539"/>
      <c r="T460" s="665"/>
      <c r="U460" s="49"/>
      <c r="V460" s="49"/>
      <c r="W460" s="49"/>
      <c r="X460" s="49"/>
      <c r="Y460" s="49"/>
    </row>
    <row r="461" ht="15.75" customHeight="1">
      <c r="A461" s="38"/>
      <c r="B461" s="49"/>
      <c r="C461" s="15"/>
      <c r="D461" s="663"/>
      <c r="E461" s="664"/>
      <c r="F461" s="665"/>
      <c r="G461" s="539"/>
      <c r="H461" s="373"/>
      <c r="I461" s="665"/>
      <c r="J461" s="666"/>
      <c r="K461" s="665"/>
      <c r="L461" s="667"/>
      <c r="M461" s="668"/>
      <c r="N461" s="373"/>
      <c r="O461" s="373"/>
      <c r="P461" s="670"/>
      <c r="Q461" s="665"/>
      <c r="R461" s="665"/>
      <c r="S461" s="539"/>
      <c r="T461" s="665"/>
      <c r="U461" s="49"/>
      <c r="V461" s="49"/>
      <c r="W461" s="49"/>
      <c r="X461" s="49"/>
      <c r="Y461" s="49"/>
    </row>
    <row r="462" ht="15.75" customHeight="1">
      <c r="A462" s="38"/>
      <c r="B462" s="49"/>
      <c r="C462" s="15"/>
      <c r="D462" s="663"/>
      <c r="E462" s="664"/>
      <c r="F462" s="665"/>
      <c r="G462" s="539"/>
      <c r="H462" s="373"/>
      <c r="I462" s="665"/>
      <c r="J462" s="666"/>
      <c r="K462" s="665"/>
      <c r="L462" s="667"/>
      <c r="M462" s="668"/>
      <c r="N462" s="373"/>
      <c r="O462" s="373"/>
      <c r="P462" s="670"/>
      <c r="Q462" s="665"/>
      <c r="R462" s="665"/>
      <c r="S462" s="539"/>
      <c r="T462" s="665"/>
      <c r="U462" s="49"/>
      <c r="V462" s="49"/>
      <c r="W462" s="49"/>
      <c r="X462" s="49"/>
      <c r="Y462" s="49"/>
    </row>
    <row r="463" ht="15.75" customHeight="1">
      <c r="A463" s="38"/>
      <c r="B463" s="49"/>
      <c r="C463" s="15"/>
      <c r="D463" s="663"/>
      <c r="E463" s="664"/>
      <c r="F463" s="665"/>
      <c r="G463" s="539"/>
      <c r="H463" s="373"/>
      <c r="I463" s="665"/>
      <c r="J463" s="666"/>
      <c r="K463" s="665"/>
      <c r="L463" s="667"/>
      <c r="M463" s="668"/>
      <c r="N463" s="373"/>
      <c r="O463" s="373"/>
      <c r="P463" s="670"/>
      <c r="Q463" s="665"/>
      <c r="R463" s="665"/>
      <c r="S463" s="539"/>
      <c r="T463" s="665"/>
      <c r="U463" s="49"/>
      <c r="V463" s="49"/>
      <c r="W463" s="49"/>
      <c r="X463" s="49"/>
      <c r="Y463" s="49"/>
    </row>
    <row r="464" ht="15.75" customHeight="1">
      <c r="A464" s="38"/>
      <c r="B464" s="49"/>
      <c r="C464" s="15"/>
      <c r="D464" s="663"/>
      <c r="E464" s="664"/>
      <c r="F464" s="665"/>
      <c r="G464" s="539"/>
      <c r="H464" s="373"/>
      <c r="I464" s="665"/>
      <c r="J464" s="666"/>
      <c r="K464" s="665"/>
      <c r="L464" s="667"/>
      <c r="M464" s="668"/>
      <c r="N464" s="373"/>
      <c r="O464" s="373"/>
      <c r="P464" s="670"/>
      <c r="Q464" s="665"/>
      <c r="R464" s="665"/>
      <c r="S464" s="539"/>
      <c r="T464" s="665"/>
      <c r="U464" s="49"/>
      <c r="V464" s="49"/>
      <c r="W464" s="49"/>
      <c r="X464" s="49"/>
      <c r="Y464" s="49"/>
    </row>
    <row r="465" ht="15.75" customHeight="1">
      <c r="A465" s="38"/>
      <c r="B465" s="49"/>
      <c r="C465" s="15"/>
      <c r="D465" s="663"/>
      <c r="E465" s="664"/>
      <c r="F465" s="665"/>
      <c r="G465" s="539"/>
      <c r="H465" s="373"/>
      <c r="I465" s="665"/>
      <c r="J465" s="666"/>
      <c r="K465" s="665"/>
      <c r="L465" s="667"/>
      <c r="M465" s="668"/>
      <c r="N465" s="373"/>
      <c r="O465" s="373"/>
      <c r="P465" s="670"/>
      <c r="Q465" s="665"/>
      <c r="R465" s="665"/>
      <c r="S465" s="539"/>
      <c r="T465" s="665"/>
      <c r="U465" s="49"/>
      <c r="V465" s="49"/>
      <c r="W465" s="49"/>
      <c r="X465" s="49"/>
      <c r="Y465" s="49"/>
    </row>
    <row r="466" ht="15.75" customHeight="1">
      <c r="A466" s="38"/>
      <c r="B466" s="49"/>
      <c r="C466" s="15"/>
      <c r="D466" s="663"/>
      <c r="E466" s="664"/>
      <c r="F466" s="665"/>
      <c r="G466" s="539"/>
      <c r="H466" s="373"/>
      <c r="I466" s="665"/>
      <c r="J466" s="666"/>
      <c r="K466" s="665"/>
      <c r="L466" s="667"/>
      <c r="M466" s="668"/>
      <c r="N466" s="373"/>
      <c r="O466" s="373"/>
      <c r="P466" s="670"/>
      <c r="Q466" s="665"/>
      <c r="R466" s="665"/>
      <c r="S466" s="539"/>
      <c r="T466" s="665"/>
      <c r="U466" s="49"/>
      <c r="V466" s="49"/>
      <c r="W466" s="49"/>
      <c r="X466" s="49"/>
      <c r="Y466" s="49"/>
    </row>
    <row r="467" ht="15.75" customHeight="1">
      <c r="A467" s="38"/>
      <c r="B467" s="49"/>
      <c r="C467" s="15"/>
      <c r="D467" s="663"/>
      <c r="E467" s="664"/>
      <c r="F467" s="665"/>
      <c r="G467" s="539"/>
      <c r="H467" s="373"/>
      <c r="I467" s="665"/>
      <c r="J467" s="666"/>
      <c r="K467" s="665"/>
      <c r="L467" s="667"/>
      <c r="M467" s="668"/>
      <c r="N467" s="373"/>
      <c r="O467" s="373"/>
      <c r="P467" s="670"/>
      <c r="Q467" s="665"/>
      <c r="R467" s="665"/>
      <c r="S467" s="539"/>
      <c r="T467" s="665"/>
      <c r="U467" s="49"/>
      <c r="V467" s="49"/>
      <c r="W467" s="49"/>
      <c r="X467" s="49"/>
      <c r="Y467" s="49"/>
    </row>
    <row r="468" ht="15.75" customHeight="1">
      <c r="A468" s="38"/>
      <c r="B468" s="49"/>
      <c r="C468" s="15"/>
      <c r="D468" s="663"/>
      <c r="E468" s="664"/>
      <c r="F468" s="665"/>
      <c r="G468" s="539"/>
      <c r="H468" s="373"/>
      <c r="I468" s="665"/>
      <c r="J468" s="666"/>
      <c r="K468" s="665"/>
      <c r="L468" s="667"/>
      <c r="M468" s="668"/>
      <c r="N468" s="373"/>
      <c r="O468" s="373"/>
      <c r="P468" s="670"/>
      <c r="Q468" s="665"/>
      <c r="R468" s="665"/>
      <c r="S468" s="539"/>
      <c r="T468" s="665"/>
      <c r="U468" s="49"/>
      <c r="V468" s="49"/>
      <c r="W468" s="49"/>
      <c r="X468" s="49"/>
      <c r="Y468" s="49"/>
    </row>
    <row r="469" ht="15.75" customHeight="1">
      <c r="A469" s="38"/>
      <c r="B469" s="49"/>
      <c r="C469" s="15"/>
      <c r="D469" s="663"/>
      <c r="E469" s="664"/>
      <c r="F469" s="665"/>
      <c r="G469" s="539"/>
      <c r="H469" s="373"/>
      <c r="I469" s="665"/>
      <c r="J469" s="666"/>
      <c r="K469" s="665"/>
      <c r="L469" s="667"/>
      <c r="M469" s="668"/>
      <c r="N469" s="373"/>
      <c r="O469" s="373"/>
      <c r="P469" s="670"/>
      <c r="Q469" s="665"/>
      <c r="R469" s="665"/>
      <c r="S469" s="539"/>
      <c r="T469" s="665"/>
      <c r="U469" s="49"/>
      <c r="V469" s="49"/>
      <c r="W469" s="49"/>
      <c r="X469" s="49"/>
      <c r="Y469" s="49"/>
    </row>
    <row r="470" ht="15.75" customHeight="1">
      <c r="A470" s="38"/>
      <c r="B470" s="49"/>
      <c r="C470" s="15"/>
      <c r="D470" s="663"/>
      <c r="E470" s="664"/>
      <c r="F470" s="665"/>
      <c r="G470" s="539"/>
      <c r="H470" s="373"/>
      <c r="I470" s="665"/>
      <c r="J470" s="666"/>
      <c r="K470" s="665"/>
      <c r="L470" s="667"/>
      <c r="M470" s="668"/>
      <c r="N470" s="373"/>
      <c r="O470" s="373"/>
      <c r="P470" s="670"/>
      <c r="Q470" s="665"/>
      <c r="R470" s="665"/>
      <c r="S470" s="539"/>
      <c r="T470" s="665"/>
      <c r="U470" s="49"/>
      <c r="V470" s="49"/>
      <c r="W470" s="49"/>
      <c r="X470" s="49"/>
      <c r="Y470" s="49"/>
    </row>
    <row r="471" ht="15.75" customHeight="1">
      <c r="A471" s="38"/>
      <c r="B471" s="49"/>
      <c r="C471" s="15"/>
      <c r="D471" s="663"/>
      <c r="E471" s="664"/>
      <c r="F471" s="665"/>
      <c r="G471" s="539"/>
      <c r="H471" s="373"/>
      <c r="I471" s="665"/>
      <c r="J471" s="666"/>
      <c r="K471" s="665"/>
      <c r="L471" s="667"/>
      <c r="M471" s="668"/>
      <c r="N471" s="373"/>
      <c r="O471" s="373"/>
      <c r="P471" s="670"/>
      <c r="Q471" s="665"/>
      <c r="R471" s="665"/>
      <c r="S471" s="539"/>
      <c r="T471" s="665"/>
      <c r="U471" s="49"/>
      <c r="V471" s="49"/>
      <c r="W471" s="49"/>
      <c r="X471" s="49"/>
      <c r="Y471" s="49"/>
    </row>
    <row r="472" ht="15.75" customHeight="1">
      <c r="A472" s="38"/>
      <c r="B472" s="49"/>
      <c r="C472" s="15"/>
      <c r="D472" s="663"/>
      <c r="E472" s="664"/>
      <c r="F472" s="665"/>
      <c r="G472" s="539"/>
      <c r="H472" s="373"/>
      <c r="I472" s="665"/>
      <c r="J472" s="666"/>
      <c r="K472" s="665"/>
      <c r="L472" s="667"/>
      <c r="M472" s="668"/>
      <c r="N472" s="373"/>
      <c r="O472" s="373"/>
      <c r="P472" s="670"/>
      <c r="Q472" s="665"/>
      <c r="R472" s="665"/>
      <c r="S472" s="539"/>
      <c r="T472" s="665"/>
      <c r="U472" s="49"/>
      <c r="V472" s="49"/>
      <c r="W472" s="49"/>
      <c r="X472" s="49"/>
      <c r="Y472" s="49"/>
    </row>
    <row r="473" ht="15.75" customHeight="1">
      <c r="A473" s="38"/>
      <c r="B473" s="49"/>
      <c r="C473" s="15"/>
      <c r="D473" s="663"/>
      <c r="E473" s="664"/>
      <c r="F473" s="665"/>
      <c r="G473" s="539"/>
      <c r="H473" s="373"/>
      <c r="I473" s="665"/>
      <c r="J473" s="666"/>
      <c r="K473" s="665"/>
      <c r="L473" s="667"/>
      <c r="M473" s="668"/>
      <c r="N473" s="373"/>
      <c r="O473" s="373"/>
      <c r="P473" s="670"/>
      <c r="Q473" s="665"/>
      <c r="R473" s="665"/>
      <c r="S473" s="539"/>
      <c r="T473" s="665"/>
      <c r="U473" s="49"/>
      <c r="V473" s="49"/>
      <c r="W473" s="49"/>
      <c r="X473" s="49"/>
      <c r="Y473" s="49"/>
    </row>
    <row r="474" ht="15.75" customHeight="1">
      <c r="A474" s="38"/>
      <c r="B474" s="49"/>
      <c r="C474" s="15"/>
      <c r="D474" s="663"/>
      <c r="E474" s="664"/>
      <c r="F474" s="665"/>
      <c r="G474" s="539"/>
      <c r="H474" s="373"/>
      <c r="I474" s="665"/>
      <c r="J474" s="666"/>
      <c r="K474" s="665"/>
      <c r="L474" s="667"/>
      <c r="M474" s="668"/>
      <c r="N474" s="373"/>
      <c r="O474" s="373"/>
      <c r="P474" s="670"/>
      <c r="Q474" s="665"/>
      <c r="R474" s="665"/>
      <c r="S474" s="539"/>
      <c r="T474" s="665"/>
      <c r="U474" s="49"/>
      <c r="V474" s="49"/>
      <c r="W474" s="49"/>
      <c r="X474" s="49"/>
      <c r="Y474" s="49"/>
    </row>
    <row r="475" ht="15.75" customHeight="1">
      <c r="A475" s="38"/>
      <c r="B475" s="49"/>
      <c r="C475" s="15"/>
      <c r="D475" s="663"/>
      <c r="E475" s="664"/>
      <c r="F475" s="665"/>
      <c r="G475" s="539"/>
      <c r="H475" s="373"/>
      <c r="I475" s="665"/>
      <c r="J475" s="666"/>
      <c r="K475" s="665"/>
      <c r="L475" s="667"/>
      <c r="M475" s="668"/>
      <c r="N475" s="373"/>
      <c r="O475" s="373"/>
      <c r="P475" s="670"/>
      <c r="Q475" s="665"/>
      <c r="R475" s="665"/>
      <c r="S475" s="539"/>
      <c r="T475" s="665"/>
      <c r="U475" s="49"/>
      <c r="V475" s="49"/>
      <c r="W475" s="49"/>
      <c r="X475" s="49"/>
      <c r="Y475" s="49"/>
    </row>
    <row r="476" ht="15.75" customHeight="1">
      <c r="A476" s="38"/>
      <c r="B476" s="49"/>
      <c r="C476" s="15"/>
      <c r="D476" s="663"/>
      <c r="E476" s="664"/>
      <c r="F476" s="665"/>
      <c r="G476" s="539"/>
      <c r="H476" s="373"/>
      <c r="I476" s="665"/>
      <c r="J476" s="666"/>
      <c r="K476" s="665"/>
      <c r="L476" s="667"/>
      <c r="M476" s="668"/>
      <c r="N476" s="373"/>
      <c r="O476" s="373"/>
      <c r="P476" s="670"/>
      <c r="Q476" s="665"/>
      <c r="R476" s="665"/>
      <c r="S476" s="539"/>
      <c r="T476" s="665"/>
      <c r="U476" s="49"/>
      <c r="V476" s="49"/>
      <c r="W476" s="49"/>
      <c r="X476" s="49"/>
      <c r="Y476" s="49"/>
    </row>
    <row r="477" ht="15.75" customHeight="1">
      <c r="A477" s="38"/>
      <c r="B477" s="49"/>
      <c r="C477" s="15"/>
      <c r="D477" s="663"/>
      <c r="E477" s="664"/>
      <c r="F477" s="665"/>
      <c r="G477" s="539"/>
      <c r="H477" s="373"/>
      <c r="I477" s="665"/>
      <c r="J477" s="666"/>
      <c r="K477" s="665"/>
      <c r="L477" s="667"/>
      <c r="M477" s="668"/>
      <c r="N477" s="373"/>
      <c r="O477" s="373"/>
      <c r="P477" s="670"/>
      <c r="Q477" s="665"/>
      <c r="R477" s="665"/>
      <c r="S477" s="539"/>
      <c r="T477" s="665"/>
      <c r="U477" s="49"/>
      <c r="V477" s="49"/>
      <c r="W477" s="49"/>
      <c r="X477" s="49"/>
      <c r="Y477" s="49"/>
    </row>
    <row r="478" ht="15.75" customHeight="1">
      <c r="A478" s="38"/>
      <c r="B478" s="49"/>
      <c r="C478" s="15"/>
      <c r="D478" s="663"/>
      <c r="E478" s="664"/>
      <c r="F478" s="665"/>
      <c r="G478" s="539"/>
      <c r="H478" s="373"/>
      <c r="I478" s="665"/>
      <c r="J478" s="666"/>
      <c r="K478" s="665"/>
      <c r="L478" s="667"/>
      <c r="M478" s="668"/>
      <c r="N478" s="373"/>
      <c r="O478" s="373"/>
      <c r="P478" s="670"/>
      <c r="Q478" s="665"/>
      <c r="R478" s="665"/>
      <c r="S478" s="539"/>
      <c r="T478" s="665"/>
      <c r="U478" s="49"/>
      <c r="V478" s="49"/>
      <c r="W478" s="49"/>
      <c r="X478" s="49"/>
      <c r="Y478" s="49"/>
    </row>
    <row r="479" ht="15.75" customHeight="1">
      <c r="A479" s="38"/>
      <c r="B479" s="49"/>
      <c r="C479" s="15"/>
      <c r="D479" s="663"/>
      <c r="E479" s="664"/>
      <c r="F479" s="665"/>
      <c r="G479" s="539"/>
      <c r="H479" s="373"/>
      <c r="I479" s="665"/>
      <c r="J479" s="666"/>
      <c r="K479" s="665"/>
      <c r="L479" s="667"/>
      <c r="M479" s="668"/>
      <c r="N479" s="373"/>
      <c r="O479" s="373"/>
      <c r="P479" s="670"/>
      <c r="Q479" s="665"/>
      <c r="R479" s="665"/>
      <c r="S479" s="539"/>
      <c r="T479" s="665"/>
      <c r="U479" s="49"/>
      <c r="V479" s="49"/>
      <c r="W479" s="49"/>
      <c r="X479" s="49"/>
      <c r="Y479" s="49"/>
    </row>
    <row r="480" ht="15.75" customHeight="1">
      <c r="A480" s="38"/>
      <c r="B480" s="49"/>
      <c r="C480" s="15"/>
      <c r="D480" s="663"/>
      <c r="E480" s="664"/>
      <c r="F480" s="665"/>
      <c r="G480" s="539"/>
      <c r="H480" s="373"/>
      <c r="I480" s="665"/>
      <c r="J480" s="666"/>
      <c r="K480" s="665"/>
      <c r="L480" s="667"/>
      <c r="M480" s="668"/>
      <c r="N480" s="373"/>
      <c r="O480" s="373"/>
      <c r="P480" s="670"/>
      <c r="Q480" s="665"/>
      <c r="R480" s="665"/>
      <c r="S480" s="539"/>
      <c r="T480" s="665"/>
      <c r="U480" s="49"/>
      <c r="V480" s="49"/>
      <c r="W480" s="49"/>
      <c r="X480" s="49"/>
      <c r="Y480" s="49"/>
    </row>
    <row r="481" ht="15.75" customHeight="1">
      <c r="A481" s="38"/>
      <c r="B481" s="49"/>
      <c r="C481" s="15"/>
      <c r="D481" s="663"/>
      <c r="E481" s="664"/>
      <c r="F481" s="665"/>
      <c r="G481" s="539"/>
      <c r="H481" s="373"/>
      <c r="I481" s="665"/>
      <c r="J481" s="666"/>
      <c r="K481" s="665"/>
      <c r="L481" s="667"/>
      <c r="M481" s="668"/>
      <c r="N481" s="373"/>
      <c r="O481" s="373"/>
      <c r="P481" s="670"/>
      <c r="Q481" s="665"/>
      <c r="R481" s="665"/>
      <c r="S481" s="539"/>
      <c r="T481" s="665"/>
      <c r="U481" s="49"/>
      <c r="V481" s="49"/>
      <c r="W481" s="49"/>
      <c r="X481" s="49"/>
      <c r="Y481" s="49"/>
    </row>
    <row r="482" ht="15.75" customHeight="1">
      <c r="A482" s="38"/>
      <c r="B482" s="49"/>
      <c r="C482" s="15"/>
      <c r="D482" s="663"/>
      <c r="E482" s="664"/>
      <c r="F482" s="665"/>
      <c r="G482" s="539"/>
      <c r="H482" s="373"/>
      <c r="I482" s="665"/>
      <c r="J482" s="666"/>
      <c r="K482" s="665"/>
      <c r="L482" s="667"/>
      <c r="M482" s="668"/>
      <c r="N482" s="373"/>
      <c r="O482" s="373"/>
      <c r="P482" s="670"/>
      <c r="Q482" s="665"/>
      <c r="R482" s="665"/>
      <c r="S482" s="539"/>
      <c r="T482" s="665"/>
      <c r="U482" s="49"/>
      <c r="V482" s="49"/>
      <c r="W482" s="49"/>
      <c r="X482" s="49"/>
      <c r="Y482" s="49"/>
    </row>
    <row r="483" ht="15.75" customHeight="1">
      <c r="A483" s="38"/>
      <c r="B483" s="49"/>
      <c r="C483" s="15"/>
      <c r="D483" s="663"/>
      <c r="E483" s="664"/>
      <c r="F483" s="665"/>
      <c r="G483" s="539"/>
      <c r="H483" s="373"/>
      <c r="I483" s="665"/>
      <c r="J483" s="666"/>
      <c r="K483" s="665"/>
      <c r="L483" s="667"/>
      <c r="M483" s="668"/>
      <c r="N483" s="373"/>
      <c r="O483" s="373"/>
      <c r="P483" s="670"/>
      <c r="Q483" s="665"/>
      <c r="R483" s="665"/>
      <c r="S483" s="539"/>
      <c r="T483" s="665"/>
      <c r="U483" s="49"/>
      <c r="V483" s="49"/>
      <c r="W483" s="49"/>
      <c r="X483" s="49"/>
      <c r="Y483" s="49"/>
    </row>
    <row r="484" ht="15.75" customHeight="1">
      <c r="A484" s="38"/>
      <c r="B484" s="49"/>
      <c r="C484" s="15"/>
      <c r="D484" s="663"/>
      <c r="E484" s="664"/>
      <c r="F484" s="665"/>
      <c r="G484" s="539"/>
      <c r="H484" s="373"/>
      <c r="I484" s="665"/>
      <c r="J484" s="666"/>
      <c r="K484" s="665"/>
      <c r="L484" s="667"/>
      <c r="M484" s="668"/>
      <c r="N484" s="373"/>
      <c r="O484" s="373"/>
      <c r="P484" s="670"/>
      <c r="Q484" s="665"/>
      <c r="R484" s="665"/>
      <c r="S484" s="539"/>
      <c r="T484" s="665"/>
      <c r="U484" s="49"/>
      <c r="V484" s="49"/>
      <c r="W484" s="49"/>
      <c r="X484" s="49"/>
      <c r="Y484" s="49"/>
    </row>
    <row r="485" ht="15.75" customHeight="1">
      <c r="A485" s="38"/>
      <c r="B485" s="49"/>
      <c r="C485" s="15"/>
      <c r="D485" s="663"/>
      <c r="E485" s="664"/>
      <c r="F485" s="665"/>
      <c r="G485" s="539"/>
      <c r="H485" s="373"/>
      <c r="I485" s="665"/>
      <c r="J485" s="666"/>
      <c r="K485" s="665"/>
      <c r="L485" s="667"/>
      <c r="M485" s="668"/>
      <c r="N485" s="373"/>
      <c r="O485" s="373"/>
      <c r="P485" s="670"/>
      <c r="Q485" s="665"/>
      <c r="R485" s="665"/>
      <c r="S485" s="539"/>
      <c r="T485" s="665"/>
      <c r="U485" s="49"/>
      <c r="V485" s="49"/>
      <c r="W485" s="49"/>
      <c r="X485" s="49"/>
      <c r="Y485" s="49"/>
    </row>
    <row r="486" ht="15.75" customHeight="1">
      <c r="A486" s="38"/>
      <c r="B486" s="49"/>
      <c r="C486" s="15"/>
      <c r="D486" s="663"/>
      <c r="E486" s="664"/>
      <c r="F486" s="665"/>
      <c r="G486" s="539"/>
      <c r="H486" s="373"/>
      <c r="I486" s="665"/>
      <c r="J486" s="666"/>
      <c r="K486" s="665"/>
      <c r="L486" s="667"/>
      <c r="M486" s="668"/>
      <c r="N486" s="373"/>
      <c r="O486" s="373"/>
      <c r="P486" s="670"/>
      <c r="Q486" s="665"/>
      <c r="R486" s="665"/>
      <c r="S486" s="539"/>
      <c r="T486" s="665"/>
      <c r="U486" s="49"/>
      <c r="V486" s="49"/>
      <c r="W486" s="49"/>
      <c r="X486" s="49"/>
      <c r="Y486" s="49"/>
    </row>
    <row r="487" ht="15.75" customHeight="1">
      <c r="A487" s="38"/>
      <c r="B487" s="49"/>
      <c r="C487" s="15"/>
      <c r="D487" s="663"/>
      <c r="E487" s="664"/>
      <c r="F487" s="665"/>
      <c r="G487" s="539"/>
      <c r="H487" s="373"/>
      <c r="I487" s="665"/>
      <c r="J487" s="666"/>
      <c r="K487" s="665"/>
      <c r="L487" s="667"/>
      <c r="M487" s="668"/>
      <c r="N487" s="373"/>
      <c r="O487" s="373"/>
      <c r="P487" s="670"/>
      <c r="Q487" s="665"/>
      <c r="R487" s="665"/>
      <c r="S487" s="539"/>
      <c r="T487" s="665"/>
      <c r="U487" s="49"/>
      <c r="V487" s="49"/>
      <c r="W487" s="49"/>
      <c r="X487" s="49"/>
      <c r="Y487" s="49"/>
    </row>
    <row r="488" ht="15.75" customHeight="1">
      <c r="A488" s="38"/>
      <c r="B488" s="49"/>
      <c r="C488" s="15"/>
      <c r="D488" s="663"/>
      <c r="E488" s="664"/>
      <c r="F488" s="665"/>
      <c r="G488" s="539"/>
      <c r="H488" s="373"/>
      <c r="I488" s="665"/>
      <c r="J488" s="666"/>
      <c r="K488" s="665"/>
      <c r="L488" s="667"/>
      <c r="M488" s="668"/>
      <c r="N488" s="373"/>
      <c r="O488" s="373"/>
      <c r="P488" s="670"/>
      <c r="Q488" s="665"/>
      <c r="R488" s="665"/>
      <c r="S488" s="539"/>
      <c r="T488" s="665"/>
      <c r="U488" s="49"/>
      <c r="V488" s="49"/>
      <c r="W488" s="49"/>
      <c r="X488" s="49"/>
      <c r="Y488" s="49"/>
    </row>
    <row r="489" ht="15.75" customHeight="1">
      <c r="A489" s="38"/>
      <c r="B489" s="49"/>
      <c r="C489" s="15"/>
      <c r="D489" s="663"/>
      <c r="E489" s="664"/>
      <c r="F489" s="665"/>
      <c r="G489" s="539"/>
      <c r="H489" s="373"/>
      <c r="I489" s="665"/>
      <c r="J489" s="666"/>
      <c r="K489" s="665"/>
      <c r="L489" s="667"/>
      <c r="M489" s="668"/>
      <c r="N489" s="373"/>
      <c r="O489" s="373"/>
      <c r="P489" s="670"/>
      <c r="Q489" s="665"/>
      <c r="R489" s="665"/>
      <c r="S489" s="539"/>
      <c r="T489" s="665"/>
      <c r="U489" s="49"/>
      <c r="V489" s="49"/>
      <c r="W489" s="49"/>
      <c r="X489" s="49"/>
      <c r="Y489" s="49"/>
    </row>
    <row r="490" ht="15.75" customHeight="1">
      <c r="A490" s="38"/>
      <c r="B490" s="49"/>
      <c r="C490" s="15"/>
      <c r="D490" s="663"/>
      <c r="E490" s="664"/>
      <c r="F490" s="665"/>
      <c r="G490" s="539"/>
      <c r="H490" s="373"/>
      <c r="I490" s="665"/>
      <c r="J490" s="666"/>
      <c r="K490" s="665"/>
      <c r="L490" s="667"/>
      <c r="M490" s="668"/>
      <c r="N490" s="373"/>
      <c r="O490" s="373"/>
      <c r="P490" s="670"/>
      <c r="Q490" s="665"/>
      <c r="R490" s="665"/>
      <c r="S490" s="539"/>
      <c r="T490" s="665"/>
      <c r="U490" s="49"/>
      <c r="V490" s="49"/>
      <c r="W490" s="49"/>
      <c r="X490" s="49"/>
      <c r="Y490" s="49"/>
    </row>
    <row r="491" ht="15.75" customHeight="1">
      <c r="A491" s="38"/>
      <c r="B491" s="49"/>
      <c r="C491" s="15"/>
      <c r="D491" s="663"/>
      <c r="E491" s="664"/>
      <c r="F491" s="665"/>
      <c r="G491" s="539"/>
      <c r="H491" s="373"/>
      <c r="I491" s="665"/>
      <c r="J491" s="666"/>
      <c r="K491" s="665"/>
      <c r="L491" s="667"/>
      <c r="M491" s="668"/>
      <c r="N491" s="373"/>
      <c r="O491" s="373"/>
      <c r="P491" s="670"/>
      <c r="Q491" s="665"/>
      <c r="R491" s="665"/>
      <c r="S491" s="539"/>
      <c r="T491" s="665"/>
      <c r="U491" s="49"/>
      <c r="V491" s="49"/>
      <c r="W491" s="49"/>
      <c r="X491" s="49"/>
      <c r="Y491" s="49"/>
    </row>
    <row r="492" ht="15.75" customHeight="1">
      <c r="A492" s="38"/>
      <c r="B492" s="49"/>
      <c r="C492" s="15"/>
      <c r="D492" s="663"/>
      <c r="E492" s="664"/>
      <c r="F492" s="665"/>
      <c r="G492" s="539"/>
      <c r="H492" s="373"/>
      <c r="I492" s="665"/>
      <c r="J492" s="666"/>
      <c r="K492" s="665"/>
      <c r="L492" s="667"/>
      <c r="M492" s="668"/>
      <c r="N492" s="373"/>
      <c r="O492" s="373"/>
      <c r="P492" s="670"/>
      <c r="Q492" s="665"/>
      <c r="R492" s="665"/>
      <c r="S492" s="539"/>
      <c r="T492" s="665"/>
      <c r="U492" s="49"/>
      <c r="V492" s="49"/>
      <c r="W492" s="49"/>
      <c r="X492" s="49"/>
      <c r="Y492" s="49"/>
    </row>
    <row r="493" ht="15.75" customHeight="1">
      <c r="A493" s="38"/>
      <c r="B493" s="49"/>
      <c r="C493" s="15"/>
      <c r="D493" s="663"/>
      <c r="E493" s="664"/>
      <c r="F493" s="665"/>
      <c r="G493" s="539"/>
      <c r="H493" s="373"/>
      <c r="I493" s="665"/>
      <c r="J493" s="666"/>
      <c r="K493" s="665"/>
      <c r="L493" s="667"/>
      <c r="M493" s="668"/>
      <c r="N493" s="373"/>
      <c r="O493" s="373"/>
      <c r="P493" s="670"/>
      <c r="Q493" s="665"/>
      <c r="R493" s="665"/>
      <c r="S493" s="539"/>
      <c r="T493" s="665"/>
      <c r="U493" s="49"/>
      <c r="V493" s="49"/>
      <c r="W493" s="49"/>
      <c r="X493" s="49"/>
      <c r="Y493" s="49"/>
    </row>
    <row r="494" ht="15.75" customHeight="1">
      <c r="A494" s="38"/>
      <c r="B494" s="49"/>
      <c r="C494" s="15"/>
      <c r="D494" s="663"/>
      <c r="E494" s="664"/>
      <c r="F494" s="665"/>
      <c r="G494" s="539"/>
      <c r="H494" s="373"/>
      <c r="I494" s="665"/>
      <c r="J494" s="666"/>
      <c r="K494" s="665"/>
      <c r="L494" s="667"/>
      <c r="M494" s="668"/>
      <c r="N494" s="373"/>
      <c r="O494" s="373"/>
      <c r="P494" s="670"/>
      <c r="Q494" s="665"/>
      <c r="R494" s="665"/>
      <c r="S494" s="539"/>
      <c r="T494" s="665"/>
      <c r="U494" s="49"/>
      <c r="V494" s="49"/>
      <c r="W494" s="49"/>
      <c r="X494" s="49"/>
      <c r="Y494" s="49"/>
    </row>
    <row r="495" ht="15.75" customHeight="1">
      <c r="A495" s="38"/>
      <c r="B495" s="49"/>
      <c r="C495" s="15"/>
      <c r="D495" s="663"/>
      <c r="E495" s="664"/>
      <c r="F495" s="665"/>
      <c r="G495" s="539"/>
      <c r="H495" s="373"/>
      <c r="I495" s="665"/>
      <c r="J495" s="666"/>
      <c r="K495" s="665"/>
      <c r="L495" s="667"/>
      <c r="M495" s="668"/>
      <c r="N495" s="373"/>
      <c r="O495" s="373"/>
      <c r="P495" s="670"/>
      <c r="Q495" s="665"/>
      <c r="R495" s="665"/>
      <c r="S495" s="539"/>
      <c r="T495" s="665"/>
      <c r="U495" s="49"/>
      <c r="V495" s="49"/>
      <c r="W495" s="49"/>
      <c r="X495" s="49"/>
      <c r="Y495" s="49"/>
    </row>
    <row r="496" ht="15.75" customHeight="1">
      <c r="A496" s="38"/>
      <c r="B496" s="49"/>
      <c r="C496" s="15"/>
      <c r="D496" s="663"/>
      <c r="E496" s="664"/>
      <c r="F496" s="665"/>
      <c r="G496" s="539"/>
      <c r="H496" s="373"/>
      <c r="I496" s="665"/>
      <c r="J496" s="666"/>
      <c r="K496" s="665"/>
      <c r="L496" s="667"/>
      <c r="M496" s="668"/>
      <c r="N496" s="373"/>
      <c r="O496" s="373"/>
      <c r="P496" s="670"/>
      <c r="Q496" s="665"/>
      <c r="R496" s="665"/>
      <c r="S496" s="539"/>
      <c r="T496" s="665"/>
      <c r="U496" s="49"/>
      <c r="V496" s="49"/>
      <c r="W496" s="49"/>
      <c r="X496" s="49"/>
      <c r="Y496" s="49"/>
    </row>
    <row r="497" ht="15.75" customHeight="1">
      <c r="A497" s="38"/>
      <c r="B497" s="49"/>
      <c r="C497" s="15"/>
      <c r="D497" s="663"/>
      <c r="E497" s="664"/>
      <c r="F497" s="665"/>
      <c r="G497" s="539"/>
      <c r="H497" s="373"/>
      <c r="I497" s="665"/>
      <c r="J497" s="666"/>
      <c r="K497" s="665"/>
      <c r="L497" s="667"/>
      <c r="M497" s="668"/>
      <c r="N497" s="373"/>
      <c r="O497" s="373"/>
      <c r="P497" s="670"/>
      <c r="Q497" s="665"/>
      <c r="R497" s="665"/>
      <c r="S497" s="539"/>
      <c r="T497" s="665"/>
      <c r="U497" s="49"/>
      <c r="V497" s="49"/>
      <c r="W497" s="49"/>
      <c r="X497" s="49"/>
      <c r="Y497" s="49"/>
    </row>
    <row r="498" ht="15.75" customHeight="1">
      <c r="A498" s="38"/>
      <c r="B498" s="49"/>
      <c r="C498" s="15"/>
      <c r="D498" s="663"/>
      <c r="E498" s="664"/>
      <c r="F498" s="665"/>
      <c r="G498" s="539"/>
      <c r="H498" s="373"/>
      <c r="I498" s="665"/>
      <c r="J498" s="666"/>
      <c r="K498" s="665"/>
      <c r="L498" s="667"/>
      <c r="M498" s="668"/>
      <c r="N498" s="373"/>
      <c r="O498" s="373"/>
      <c r="P498" s="670"/>
      <c r="Q498" s="665"/>
      <c r="R498" s="665"/>
      <c r="S498" s="539"/>
      <c r="T498" s="665"/>
      <c r="U498" s="49"/>
      <c r="V498" s="49"/>
      <c r="W498" s="49"/>
      <c r="X498" s="49"/>
      <c r="Y498" s="49"/>
    </row>
    <row r="499" ht="15.75" customHeight="1">
      <c r="A499" s="38"/>
      <c r="B499" s="49"/>
      <c r="C499" s="15"/>
      <c r="D499" s="663"/>
      <c r="E499" s="664"/>
      <c r="F499" s="665"/>
      <c r="G499" s="539"/>
      <c r="H499" s="373"/>
      <c r="I499" s="665"/>
      <c r="J499" s="666"/>
      <c r="K499" s="665"/>
      <c r="L499" s="667"/>
      <c r="M499" s="668"/>
      <c r="N499" s="373"/>
      <c r="O499" s="373"/>
      <c r="P499" s="670"/>
      <c r="Q499" s="665"/>
      <c r="R499" s="665"/>
      <c r="S499" s="539"/>
      <c r="T499" s="665"/>
      <c r="U499" s="49"/>
      <c r="V499" s="49"/>
      <c r="W499" s="49"/>
      <c r="X499" s="49"/>
      <c r="Y499" s="49"/>
    </row>
    <row r="500" ht="15.75" customHeight="1">
      <c r="A500" s="38"/>
      <c r="B500" s="49"/>
      <c r="C500" s="15"/>
      <c r="D500" s="663"/>
      <c r="E500" s="664"/>
      <c r="F500" s="665"/>
      <c r="G500" s="539"/>
      <c r="H500" s="373"/>
      <c r="I500" s="665"/>
      <c r="J500" s="666"/>
      <c r="K500" s="665"/>
      <c r="L500" s="667"/>
      <c r="M500" s="668"/>
      <c r="N500" s="373"/>
      <c r="O500" s="373"/>
      <c r="P500" s="670"/>
      <c r="Q500" s="665"/>
      <c r="R500" s="665"/>
      <c r="S500" s="539"/>
      <c r="T500" s="665"/>
      <c r="U500" s="49"/>
      <c r="V500" s="49"/>
      <c r="W500" s="49"/>
      <c r="X500" s="49"/>
      <c r="Y500" s="49"/>
    </row>
    <row r="501" ht="15.75" customHeight="1">
      <c r="A501" s="38"/>
      <c r="B501" s="49"/>
      <c r="C501" s="15"/>
      <c r="D501" s="663"/>
      <c r="E501" s="664"/>
      <c r="F501" s="665"/>
      <c r="G501" s="539"/>
      <c r="H501" s="373"/>
      <c r="I501" s="665"/>
      <c r="J501" s="666"/>
      <c r="K501" s="665"/>
      <c r="L501" s="667"/>
      <c r="M501" s="668"/>
      <c r="N501" s="373"/>
      <c r="O501" s="373"/>
      <c r="P501" s="670"/>
      <c r="Q501" s="665"/>
      <c r="R501" s="665"/>
      <c r="S501" s="539"/>
      <c r="T501" s="665"/>
      <c r="U501" s="49"/>
      <c r="V501" s="49"/>
      <c r="W501" s="49"/>
      <c r="X501" s="49"/>
      <c r="Y501" s="49"/>
    </row>
    <row r="502" ht="15.75" customHeight="1">
      <c r="A502" s="38"/>
      <c r="B502" s="49"/>
      <c r="C502" s="15"/>
      <c r="D502" s="663"/>
      <c r="E502" s="664"/>
      <c r="F502" s="665"/>
      <c r="G502" s="539"/>
      <c r="H502" s="373"/>
      <c r="I502" s="665"/>
      <c r="J502" s="666"/>
      <c r="K502" s="665"/>
      <c r="L502" s="667"/>
      <c r="M502" s="668"/>
      <c r="N502" s="373"/>
      <c r="O502" s="373"/>
      <c r="P502" s="670"/>
      <c r="Q502" s="665"/>
      <c r="R502" s="665"/>
      <c r="S502" s="539"/>
      <c r="T502" s="665"/>
      <c r="U502" s="49"/>
      <c r="V502" s="49"/>
      <c r="W502" s="49"/>
      <c r="X502" s="49"/>
      <c r="Y502" s="49"/>
    </row>
    <row r="503" ht="15.75" customHeight="1">
      <c r="A503" s="38"/>
      <c r="B503" s="49"/>
      <c r="C503" s="15"/>
      <c r="D503" s="663"/>
      <c r="E503" s="664"/>
      <c r="F503" s="665"/>
      <c r="G503" s="539"/>
      <c r="H503" s="373"/>
      <c r="I503" s="665"/>
      <c r="J503" s="666"/>
      <c r="K503" s="665"/>
      <c r="L503" s="667"/>
      <c r="M503" s="668"/>
      <c r="N503" s="373"/>
      <c r="O503" s="373"/>
      <c r="P503" s="670"/>
      <c r="Q503" s="665"/>
      <c r="R503" s="665"/>
      <c r="S503" s="539"/>
      <c r="T503" s="665"/>
      <c r="U503" s="49"/>
      <c r="V503" s="49"/>
      <c r="W503" s="49"/>
      <c r="X503" s="49"/>
      <c r="Y503" s="49"/>
    </row>
    <row r="504" ht="15.75" customHeight="1">
      <c r="A504" s="38"/>
      <c r="B504" s="49"/>
      <c r="C504" s="15"/>
      <c r="D504" s="663"/>
      <c r="E504" s="664"/>
      <c r="F504" s="665"/>
      <c r="G504" s="539"/>
      <c r="H504" s="373"/>
      <c r="I504" s="665"/>
      <c r="J504" s="666"/>
      <c r="K504" s="665"/>
      <c r="L504" s="667"/>
      <c r="M504" s="668"/>
      <c r="N504" s="373"/>
      <c r="O504" s="373"/>
      <c r="P504" s="670"/>
      <c r="Q504" s="665"/>
      <c r="R504" s="665"/>
      <c r="S504" s="539"/>
      <c r="T504" s="665"/>
      <c r="U504" s="49"/>
      <c r="V504" s="49"/>
      <c r="W504" s="49"/>
      <c r="X504" s="49"/>
      <c r="Y504" s="49"/>
    </row>
    <row r="505" ht="15.75" customHeight="1">
      <c r="A505" s="38"/>
      <c r="B505" s="49"/>
      <c r="C505" s="15"/>
      <c r="D505" s="663"/>
      <c r="E505" s="664"/>
      <c r="F505" s="665"/>
      <c r="G505" s="539"/>
      <c r="H505" s="373"/>
      <c r="I505" s="665"/>
      <c r="J505" s="666"/>
      <c r="K505" s="665"/>
      <c r="L505" s="667"/>
      <c r="M505" s="668"/>
      <c r="N505" s="373"/>
      <c r="O505" s="373"/>
      <c r="P505" s="670"/>
      <c r="Q505" s="665"/>
      <c r="R505" s="665"/>
      <c r="S505" s="539"/>
      <c r="T505" s="665"/>
      <c r="U505" s="49"/>
      <c r="V505" s="49"/>
      <c r="W505" s="49"/>
      <c r="X505" s="49"/>
      <c r="Y505" s="49"/>
    </row>
    <row r="506" ht="15.75" customHeight="1">
      <c r="A506" s="38"/>
      <c r="B506" s="49"/>
      <c r="C506" s="15"/>
      <c r="D506" s="663"/>
      <c r="E506" s="664"/>
      <c r="F506" s="665"/>
      <c r="G506" s="539"/>
      <c r="H506" s="373"/>
      <c r="I506" s="665"/>
      <c r="J506" s="666"/>
      <c r="K506" s="665"/>
      <c r="L506" s="667"/>
      <c r="M506" s="668"/>
      <c r="N506" s="373"/>
      <c r="O506" s="373"/>
      <c r="P506" s="670"/>
      <c r="Q506" s="665"/>
      <c r="R506" s="665"/>
      <c r="S506" s="539"/>
      <c r="T506" s="665"/>
      <c r="U506" s="49"/>
      <c r="V506" s="49"/>
      <c r="W506" s="49"/>
      <c r="X506" s="49"/>
      <c r="Y506" s="49"/>
    </row>
    <row r="507" ht="15.75" customHeight="1">
      <c r="A507" s="38"/>
      <c r="B507" s="49"/>
      <c r="C507" s="15"/>
      <c r="D507" s="663"/>
      <c r="E507" s="664"/>
      <c r="F507" s="665"/>
      <c r="G507" s="539"/>
      <c r="H507" s="373"/>
      <c r="I507" s="665"/>
      <c r="J507" s="666"/>
      <c r="K507" s="665"/>
      <c r="L507" s="667"/>
      <c r="M507" s="668"/>
      <c r="N507" s="373"/>
      <c r="O507" s="373"/>
      <c r="P507" s="670"/>
      <c r="Q507" s="665"/>
      <c r="R507" s="665"/>
      <c r="S507" s="539"/>
      <c r="T507" s="665"/>
      <c r="U507" s="49"/>
      <c r="V507" s="49"/>
      <c r="W507" s="49"/>
      <c r="X507" s="49"/>
      <c r="Y507" s="49"/>
    </row>
    <row r="508" ht="15.75" customHeight="1">
      <c r="A508" s="38"/>
      <c r="B508" s="49"/>
      <c r="C508" s="15"/>
      <c r="D508" s="663"/>
      <c r="E508" s="664"/>
      <c r="F508" s="665"/>
      <c r="G508" s="539"/>
      <c r="H508" s="373"/>
      <c r="I508" s="665"/>
      <c r="J508" s="666"/>
      <c r="K508" s="665"/>
      <c r="L508" s="667"/>
      <c r="M508" s="668"/>
      <c r="N508" s="373"/>
      <c r="O508" s="373"/>
      <c r="P508" s="670"/>
      <c r="Q508" s="665"/>
      <c r="R508" s="665"/>
      <c r="S508" s="539"/>
      <c r="T508" s="665"/>
      <c r="U508" s="49"/>
      <c r="V508" s="49"/>
      <c r="W508" s="49"/>
      <c r="X508" s="49"/>
      <c r="Y508" s="49"/>
    </row>
    <row r="509" ht="15.75" customHeight="1">
      <c r="A509" s="38"/>
      <c r="B509" s="49"/>
      <c r="C509" s="15"/>
      <c r="D509" s="663"/>
      <c r="E509" s="664"/>
      <c r="F509" s="665"/>
      <c r="G509" s="539"/>
      <c r="H509" s="373"/>
      <c r="I509" s="665"/>
      <c r="J509" s="666"/>
      <c r="K509" s="665"/>
      <c r="L509" s="667"/>
      <c r="M509" s="668"/>
      <c r="N509" s="373"/>
      <c r="O509" s="373"/>
      <c r="P509" s="670"/>
      <c r="Q509" s="665"/>
      <c r="R509" s="665"/>
      <c r="S509" s="539"/>
      <c r="T509" s="665"/>
      <c r="U509" s="49"/>
      <c r="V509" s="49"/>
      <c r="W509" s="49"/>
      <c r="X509" s="49"/>
      <c r="Y509" s="49"/>
    </row>
    <row r="510" ht="15.75" customHeight="1">
      <c r="A510" s="38"/>
      <c r="B510" s="49"/>
      <c r="C510" s="15"/>
      <c r="D510" s="663"/>
      <c r="E510" s="664"/>
      <c r="F510" s="665"/>
      <c r="G510" s="539"/>
      <c r="H510" s="373"/>
      <c r="I510" s="665"/>
      <c r="J510" s="666"/>
      <c r="K510" s="665"/>
      <c r="L510" s="667"/>
      <c r="M510" s="668"/>
      <c r="N510" s="373"/>
      <c r="O510" s="373"/>
      <c r="P510" s="670"/>
      <c r="Q510" s="665"/>
      <c r="R510" s="665"/>
      <c r="S510" s="539"/>
      <c r="T510" s="665"/>
      <c r="U510" s="49"/>
      <c r="V510" s="49"/>
      <c r="W510" s="49"/>
      <c r="X510" s="49"/>
      <c r="Y510" s="49"/>
    </row>
    <row r="511" ht="15.75" customHeight="1">
      <c r="A511" s="38"/>
      <c r="B511" s="49"/>
      <c r="C511" s="15"/>
      <c r="D511" s="663"/>
      <c r="E511" s="664"/>
      <c r="F511" s="665"/>
      <c r="G511" s="539"/>
      <c r="H511" s="373"/>
      <c r="I511" s="665"/>
      <c r="J511" s="666"/>
      <c r="K511" s="665"/>
      <c r="L511" s="667"/>
      <c r="M511" s="668"/>
      <c r="N511" s="373"/>
      <c r="O511" s="373"/>
      <c r="P511" s="670"/>
      <c r="Q511" s="665"/>
      <c r="R511" s="665"/>
      <c r="S511" s="539"/>
      <c r="T511" s="665"/>
      <c r="U511" s="49"/>
      <c r="V511" s="49"/>
      <c r="W511" s="49"/>
      <c r="X511" s="49"/>
      <c r="Y511" s="49"/>
    </row>
    <row r="512" ht="15.75" customHeight="1">
      <c r="A512" s="38"/>
      <c r="B512" s="49"/>
      <c r="C512" s="15"/>
      <c r="D512" s="663"/>
      <c r="E512" s="664"/>
      <c r="F512" s="665"/>
      <c r="G512" s="539"/>
      <c r="H512" s="373"/>
      <c r="I512" s="665"/>
      <c r="J512" s="666"/>
      <c r="K512" s="665"/>
      <c r="L512" s="667"/>
      <c r="M512" s="668"/>
      <c r="N512" s="373"/>
      <c r="O512" s="373"/>
      <c r="P512" s="670"/>
      <c r="Q512" s="665"/>
      <c r="R512" s="665"/>
      <c r="S512" s="539"/>
      <c r="T512" s="665"/>
      <c r="U512" s="49"/>
      <c r="V512" s="49"/>
      <c r="W512" s="49"/>
      <c r="X512" s="49"/>
      <c r="Y512" s="49"/>
    </row>
    <row r="513" ht="15.75" customHeight="1">
      <c r="A513" s="38"/>
      <c r="B513" s="49"/>
      <c r="C513" s="15"/>
      <c r="D513" s="663"/>
      <c r="E513" s="664"/>
      <c r="F513" s="665"/>
      <c r="G513" s="539"/>
      <c r="H513" s="373"/>
      <c r="I513" s="665"/>
      <c r="J513" s="666"/>
      <c r="K513" s="665"/>
      <c r="L513" s="667"/>
      <c r="M513" s="668"/>
      <c r="N513" s="373"/>
      <c r="O513" s="373"/>
      <c r="P513" s="670"/>
      <c r="Q513" s="665"/>
      <c r="R513" s="665"/>
      <c r="S513" s="539"/>
      <c r="T513" s="665"/>
      <c r="U513" s="49"/>
      <c r="V513" s="49"/>
      <c r="W513" s="49"/>
      <c r="X513" s="49"/>
      <c r="Y513" s="49"/>
    </row>
    <row r="514" ht="15.75" customHeight="1">
      <c r="A514" s="38"/>
      <c r="B514" s="49"/>
      <c r="C514" s="15"/>
      <c r="D514" s="663"/>
      <c r="E514" s="664"/>
      <c r="F514" s="665"/>
      <c r="G514" s="539"/>
      <c r="H514" s="373"/>
      <c r="I514" s="665"/>
      <c r="J514" s="666"/>
      <c r="K514" s="665"/>
      <c r="L514" s="667"/>
      <c r="M514" s="668"/>
      <c r="N514" s="373"/>
      <c r="O514" s="373"/>
      <c r="P514" s="670"/>
      <c r="Q514" s="665"/>
      <c r="R514" s="665"/>
      <c r="S514" s="539"/>
      <c r="T514" s="665"/>
      <c r="U514" s="49"/>
      <c r="V514" s="49"/>
      <c r="W514" s="49"/>
      <c r="X514" s="49"/>
      <c r="Y514" s="49"/>
    </row>
    <row r="515" ht="15.75" customHeight="1">
      <c r="A515" s="38"/>
      <c r="B515" s="49"/>
      <c r="C515" s="15"/>
      <c r="D515" s="663"/>
      <c r="E515" s="664"/>
      <c r="F515" s="665"/>
      <c r="G515" s="539"/>
      <c r="H515" s="373"/>
      <c r="I515" s="665"/>
      <c r="J515" s="666"/>
      <c r="K515" s="665"/>
      <c r="L515" s="667"/>
      <c r="M515" s="668"/>
      <c r="N515" s="373"/>
      <c r="O515" s="373"/>
      <c r="P515" s="670"/>
      <c r="Q515" s="665"/>
      <c r="R515" s="665"/>
      <c r="S515" s="539"/>
      <c r="T515" s="665"/>
      <c r="U515" s="49"/>
      <c r="V515" s="49"/>
      <c r="W515" s="49"/>
      <c r="X515" s="49"/>
      <c r="Y515" s="49"/>
    </row>
    <row r="516" ht="15.75" customHeight="1">
      <c r="A516" s="38"/>
      <c r="B516" s="49"/>
      <c r="C516" s="15"/>
      <c r="D516" s="663"/>
      <c r="E516" s="664"/>
      <c r="F516" s="665"/>
      <c r="G516" s="539"/>
      <c r="H516" s="373"/>
      <c r="I516" s="665"/>
      <c r="J516" s="666"/>
      <c r="K516" s="665"/>
      <c r="L516" s="667"/>
      <c r="M516" s="668"/>
      <c r="N516" s="373"/>
      <c r="O516" s="373"/>
      <c r="P516" s="670"/>
      <c r="Q516" s="665"/>
      <c r="R516" s="665"/>
      <c r="S516" s="539"/>
      <c r="T516" s="665"/>
      <c r="U516" s="49"/>
      <c r="V516" s="49"/>
      <c r="W516" s="49"/>
      <c r="X516" s="49"/>
      <c r="Y516" s="49"/>
    </row>
    <row r="517" ht="15.75" customHeight="1">
      <c r="A517" s="38"/>
      <c r="B517" s="49"/>
      <c r="C517" s="15"/>
      <c r="D517" s="663"/>
      <c r="E517" s="664"/>
      <c r="F517" s="665"/>
      <c r="G517" s="539"/>
      <c r="H517" s="373"/>
      <c r="I517" s="665"/>
      <c r="J517" s="666"/>
      <c r="K517" s="665"/>
      <c r="L517" s="667"/>
      <c r="M517" s="668"/>
      <c r="N517" s="373"/>
      <c r="O517" s="373"/>
      <c r="P517" s="670"/>
      <c r="Q517" s="665"/>
      <c r="R517" s="665"/>
      <c r="S517" s="539"/>
      <c r="T517" s="665"/>
      <c r="U517" s="49"/>
      <c r="V517" s="49"/>
      <c r="W517" s="49"/>
      <c r="X517" s="49"/>
      <c r="Y517" s="49"/>
    </row>
    <row r="518" ht="15.75" customHeight="1">
      <c r="A518" s="38"/>
      <c r="B518" s="49"/>
      <c r="C518" s="15"/>
      <c r="D518" s="663"/>
      <c r="E518" s="664"/>
      <c r="F518" s="665"/>
      <c r="G518" s="539"/>
      <c r="H518" s="373"/>
      <c r="I518" s="665"/>
      <c r="J518" s="666"/>
      <c r="K518" s="665"/>
      <c r="L518" s="667"/>
      <c r="M518" s="668"/>
      <c r="N518" s="373"/>
      <c r="O518" s="373"/>
      <c r="P518" s="670"/>
      <c r="Q518" s="665"/>
      <c r="R518" s="665"/>
      <c r="S518" s="539"/>
      <c r="T518" s="665"/>
      <c r="U518" s="49"/>
      <c r="V518" s="49"/>
      <c r="W518" s="49"/>
      <c r="X518" s="49"/>
      <c r="Y518" s="49"/>
    </row>
    <row r="519" ht="15.75" customHeight="1">
      <c r="A519" s="38"/>
      <c r="B519" s="49"/>
      <c r="C519" s="15"/>
      <c r="D519" s="663"/>
      <c r="E519" s="664"/>
      <c r="F519" s="665"/>
      <c r="G519" s="539"/>
      <c r="H519" s="373"/>
      <c r="I519" s="665"/>
      <c r="J519" s="666"/>
      <c r="K519" s="665"/>
      <c r="L519" s="667"/>
      <c r="M519" s="668"/>
      <c r="N519" s="373"/>
      <c r="O519" s="373"/>
      <c r="P519" s="670"/>
      <c r="Q519" s="665"/>
      <c r="R519" s="665"/>
      <c r="S519" s="539"/>
      <c r="T519" s="665"/>
      <c r="U519" s="49"/>
      <c r="V519" s="49"/>
      <c r="W519" s="49"/>
      <c r="X519" s="49"/>
      <c r="Y519" s="49"/>
    </row>
    <row r="520" ht="15.75" customHeight="1">
      <c r="A520" s="38"/>
      <c r="B520" s="49"/>
      <c r="C520" s="15"/>
      <c r="D520" s="663"/>
      <c r="E520" s="664"/>
      <c r="F520" s="665"/>
      <c r="G520" s="539"/>
      <c r="H520" s="373"/>
      <c r="I520" s="665"/>
      <c r="J520" s="666"/>
      <c r="K520" s="665"/>
      <c r="L520" s="667"/>
      <c r="M520" s="668"/>
      <c r="N520" s="373"/>
      <c r="O520" s="373"/>
      <c r="P520" s="670"/>
      <c r="Q520" s="665"/>
      <c r="R520" s="665"/>
      <c r="S520" s="539"/>
      <c r="T520" s="665"/>
      <c r="U520" s="49"/>
      <c r="V520" s="49"/>
      <c r="W520" s="49"/>
      <c r="X520" s="49"/>
      <c r="Y520" s="49"/>
    </row>
    <row r="521" ht="15.75" customHeight="1">
      <c r="A521" s="38"/>
      <c r="B521" s="49"/>
      <c r="C521" s="15"/>
      <c r="D521" s="663"/>
      <c r="E521" s="664"/>
      <c r="F521" s="665"/>
      <c r="G521" s="539"/>
      <c r="H521" s="373"/>
      <c r="I521" s="665"/>
      <c r="J521" s="666"/>
      <c r="K521" s="665"/>
      <c r="L521" s="667"/>
      <c r="M521" s="668"/>
      <c r="N521" s="373"/>
      <c r="O521" s="373"/>
      <c r="P521" s="670"/>
      <c r="Q521" s="665"/>
      <c r="R521" s="665"/>
      <c r="S521" s="539"/>
      <c r="T521" s="665"/>
      <c r="U521" s="49"/>
      <c r="V521" s="49"/>
      <c r="W521" s="49"/>
      <c r="X521" s="49"/>
      <c r="Y521" s="49"/>
    </row>
    <row r="522" ht="15.75" customHeight="1">
      <c r="A522" s="38"/>
      <c r="B522" s="49"/>
      <c r="C522" s="15"/>
      <c r="D522" s="663"/>
      <c r="E522" s="664"/>
      <c r="F522" s="665"/>
      <c r="G522" s="539"/>
      <c r="H522" s="373"/>
      <c r="I522" s="665"/>
      <c r="J522" s="666"/>
      <c r="K522" s="665"/>
      <c r="L522" s="667"/>
      <c r="M522" s="668"/>
      <c r="N522" s="373"/>
      <c r="O522" s="373"/>
      <c r="P522" s="670"/>
      <c r="Q522" s="665"/>
      <c r="R522" s="665"/>
      <c r="S522" s="539"/>
      <c r="T522" s="665"/>
      <c r="U522" s="49"/>
      <c r="V522" s="49"/>
      <c r="W522" s="49"/>
      <c r="X522" s="49"/>
      <c r="Y522" s="49"/>
    </row>
    <row r="523" ht="15.75" customHeight="1">
      <c r="A523" s="38"/>
      <c r="B523" s="49"/>
      <c r="C523" s="15"/>
      <c r="D523" s="663"/>
      <c r="E523" s="664"/>
      <c r="F523" s="665"/>
      <c r="G523" s="539"/>
      <c r="H523" s="373"/>
      <c r="I523" s="665"/>
      <c r="J523" s="666"/>
      <c r="K523" s="665"/>
      <c r="L523" s="667"/>
      <c r="M523" s="668"/>
      <c r="N523" s="373"/>
      <c r="O523" s="373"/>
      <c r="P523" s="670"/>
      <c r="Q523" s="665"/>
      <c r="R523" s="665"/>
      <c r="S523" s="539"/>
      <c r="T523" s="665"/>
      <c r="U523" s="49"/>
      <c r="V523" s="49"/>
      <c r="W523" s="49"/>
      <c r="X523" s="49"/>
      <c r="Y523" s="49"/>
    </row>
    <row r="524" ht="15.75" customHeight="1">
      <c r="A524" s="38"/>
      <c r="B524" s="49"/>
      <c r="C524" s="15"/>
      <c r="D524" s="663"/>
      <c r="E524" s="664"/>
      <c r="F524" s="665"/>
      <c r="G524" s="539"/>
      <c r="H524" s="373"/>
      <c r="I524" s="665"/>
      <c r="J524" s="666"/>
      <c r="K524" s="665"/>
      <c r="L524" s="667"/>
      <c r="M524" s="668"/>
      <c r="N524" s="373"/>
      <c r="O524" s="373"/>
      <c r="P524" s="670"/>
      <c r="Q524" s="665"/>
      <c r="R524" s="665"/>
      <c r="S524" s="539"/>
      <c r="T524" s="665"/>
      <c r="U524" s="49"/>
      <c r="V524" s="49"/>
      <c r="W524" s="49"/>
      <c r="X524" s="49"/>
      <c r="Y524" s="49"/>
    </row>
    <row r="525" ht="15.75" customHeight="1">
      <c r="A525" s="38"/>
      <c r="B525" s="49"/>
      <c r="C525" s="15"/>
      <c r="D525" s="663"/>
      <c r="E525" s="664"/>
      <c r="F525" s="665"/>
      <c r="G525" s="539"/>
      <c r="H525" s="373"/>
      <c r="I525" s="665"/>
      <c r="J525" s="666"/>
      <c r="K525" s="665"/>
      <c r="L525" s="667"/>
      <c r="M525" s="668"/>
      <c r="N525" s="373"/>
      <c r="O525" s="373"/>
      <c r="P525" s="670"/>
      <c r="Q525" s="665"/>
      <c r="R525" s="665"/>
      <c r="S525" s="539"/>
      <c r="T525" s="665"/>
      <c r="U525" s="49"/>
      <c r="V525" s="49"/>
      <c r="W525" s="49"/>
      <c r="X525" s="49"/>
      <c r="Y525" s="49"/>
    </row>
    <row r="526" ht="15.75" customHeight="1">
      <c r="A526" s="38"/>
      <c r="B526" s="49"/>
      <c r="C526" s="15"/>
      <c r="D526" s="663"/>
      <c r="E526" s="664"/>
      <c r="F526" s="665"/>
      <c r="G526" s="539"/>
      <c r="H526" s="373"/>
      <c r="I526" s="665"/>
      <c r="J526" s="666"/>
      <c r="K526" s="665"/>
      <c r="L526" s="667"/>
      <c r="M526" s="668"/>
      <c r="N526" s="373"/>
      <c r="O526" s="373"/>
      <c r="P526" s="670"/>
      <c r="Q526" s="665"/>
      <c r="R526" s="665"/>
      <c r="S526" s="539"/>
      <c r="T526" s="665"/>
      <c r="U526" s="49"/>
      <c r="V526" s="49"/>
      <c r="W526" s="49"/>
      <c r="X526" s="49"/>
      <c r="Y526" s="49"/>
    </row>
    <row r="527" ht="15.75" customHeight="1">
      <c r="A527" s="38"/>
      <c r="B527" s="49"/>
      <c r="C527" s="15"/>
      <c r="D527" s="663"/>
      <c r="E527" s="664"/>
      <c r="F527" s="665"/>
      <c r="G527" s="539"/>
      <c r="H527" s="373"/>
      <c r="I527" s="665"/>
      <c r="J527" s="666"/>
      <c r="K527" s="665"/>
      <c r="L527" s="667"/>
      <c r="M527" s="668"/>
      <c r="N527" s="373"/>
      <c r="O527" s="373"/>
      <c r="P527" s="670"/>
      <c r="Q527" s="665"/>
      <c r="R527" s="665"/>
      <c r="S527" s="539"/>
      <c r="T527" s="665"/>
      <c r="U527" s="49"/>
      <c r="V527" s="49"/>
      <c r="W527" s="49"/>
      <c r="X527" s="49"/>
      <c r="Y527" s="49"/>
    </row>
    <row r="528" ht="15.75" customHeight="1">
      <c r="A528" s="38"/>
      <c r="B528" s="49"/>
      <c r="C528" s="15"/>
      <c r="D528" s="663"/>
      <c r="E528" s="664"/>
      <c r="F528" s="665"/>
      <c r="G528" s="539"/>
      <c r="H528" s="373"/>
      <c r="I528" s="665"/>
      <c r="J528" s="666"/>
      <c r="K528" s="665"/>
      <c r="L528" s="667"/>
      <c r="M528" s="668"/>
      <c r="N528" s="373"/>
      <c r="O528" s="373"/>
      <c r="P528" s="670"/>
      <c r="Q528" s="665"/>
      <c r="R528" s="665"/>
      <c r="S528" s="539"/>
      <c r="T528" s="665"/>
      <c r="U528" s="49"/>
      <c r="V528" s="49"/>
      <c r="W528" s="49"/>
      <c r="X528" s="49"/>
      <c r="Y528" s="49"/>
    </row>
    <row r="529" ht="15.75" customHeight="1">
      <c r="A529" s="38"/>
      <c r="B529" s="49"/>
      <c r="C529" s="15"/>
      <c r="D529" s="663"/>
      <c r="E529" s="664"/>
      <c r="F529" s="665"/>
      <c r="G529" s="539"/>
      <c r="H529" s="373"/>
      <c r="I529" s="665"/>
      <c r="J529" s="666"/>
      <c r="K529" s="665"/>
      <c r="L529" s="667"/>
      <c r="M529" s="668"/>
      <c r="N529" s="373"/>
      <c r="O529" s="373"/>
      <c r="P529" s="670"/>
      <c r="Q529" s="665"/>
      <c r="R529" s="665"/>
      <c r="S529" s="539"/>
      <c r="T529" s="665"/>
      <c r="U529" s="49"/>
      <c r="V529" s="49"/>
      <c r="W529" s="49"/>
      <c r="X529" s="49"/>
      <c r="Y529" s="49"/>
    </row>
    <row r="530" ht="15.75" customHeight="1">
      <c r="A530" s="38"/>
      <c r="B530" s="49"/>
      <c r="C530" s="15"/>
      <c r="D530" s="663"/>
      <c r="E530" s="664"/>
      <c r="F530" s="665"/>
      <c r="G530" s="539"/>
      <c r="H530" s="373"/>
      <c r="I530" s="665"/>
      <c r="J530" s="666"/>
      <c r="K530" s="665"/>
      <c r="L530" s="667"/>
      <c r="M530" s="668"/>
      <c r="N530" s="373"/>
      <c r="O530" s="373"/>
      <c r="P530" s="670"/>
      <c r="Q530" s="665"/>
      <c r="R530" s="665"/>
      <c r="S530" s="539"/>
      <c r="T530" s="665"/>
      <c r="U530" s="49"/>
      <c r="V530" s="49"/>
      <c r="W530" s="49"/>
      <c r="X530" s="49"/>
      <c r="Y530" s="49"/>
    </row>
    <row r="531" ht="15.75" customHeight="1">
      <c r="A531" s="38"/>
      <c r="B531" s="49"/>
      <c r="C531" s="15"/>
      <c r="D531" s="663"/>
      <c r="E531" s="664"/>
      <c r="F531" s="665"/>
      <c r="G531" s="539"/>
      <c r="H531" s="373"/>
      <c r="I531" s="665"/>
      <c r="J531" s="666"/>
      <c r="K531" s="665"/>
      <c r="L531" s="667"/>
      <c r="M531" s="668"/>
      <c r="N531" s="373"/>
      <c r="O531" s="373"/>
      <c r="P531" s="670"/>
      <c r="Q531" s="665"/>
      <c r="R531" s="665"/>
      <c r="S531" s="539"/>
      <c r="T531" s="665"/>
      <c r="U531" s="49"/>
      <c r="V531" s="49"/>
      <c r="W531" s="49"/>
      <c r="X531" s="49"/>
      <c r="Y531" s="49"/>
    </row>
    <row r="532" ht="15.75" customHeight="1">
      <c r="A532" s="38"/>
      <c r="B532" s="49"/>
      <c r="C532" s="15"/>
      <c r="D532" s="663"/>
      <c r="E532" s="664"/>
      <c r="F532" s="665"/>
      <c r="G532" s="539"/>
      <c r="H532" s="373"/>
      <c r="I532" s="665"/>
      <c r="J532" s="666"/>
      <c r="K532" s="665"/>
      <c r="L532" s="667"/>
      <c r="M532" s="668"/>
      <c r="N532" s="373"/>
      <c r="O532" s="373"/>
      <c r="P532" s="670"/>
      <c r="Q532" s="665"/>
      <c r="R532" s="665"/>
      <c r="S532" s="539"/>
      <c r="T532" s="665"/>
      <c r="U532" s="49"/>
      <c r="V532" s="49"/>
      <c r="W532" s="49"/>
      <c r="X532" s="49"/>
      <c r="Y532" s="49"/>
    </row>
    <row r="533" ht="15.75" customHeight="1">
      <c r="A533" s="38"/>
      <c r="B533" s="49"/>
      <c r="C533" s="15"/>
      <c r="D533" s="663"/>
      <c r="E533" s="664"/>
      <c r="F533" s="665"/>
      <c r="G533" s="539"/>
      <c r="H533" s="373"/>
      <c r="I533" s="665"/>
      <c r="J533" s="666"/>
      <c r="K533" s="665"/>
      <c r="L533" s="667"/>
      <c r="M533" s="668"/>
      <c r="N533" s="373"/>
      <c r="O533" s="373"/>
      <c r="P533" s="670"/>
      <c r="Q533" s="665"/>
      <c r="R533" s="665"/>
      <c r="S533" s="539"/>
      <c r="T533" s="665"/>
      <c r="U533" s="49"/>
      <c r="V533" s="49"/>
      <c r="W533" s="49"/>
      <c r="X533" s="49"/>
      <c r="Y533" s="49"/>
    </row>
    <row r="534" ht="15.75" customHeight="1">
      <c r="A534" s="38"/>
      <c r="B534" s="49"/>
      <c r="C534" s="15"/>
      <c r="D534" s="663"/>
      <c r="E534" s="664"/>
      <c r="F534" s="665"/>
      <c r="G534" s="539"/>
      <c r="H534" s="373"/>
      <c r="I534" s="665"/>
      <c r="J534" s="666"/>
      <c r="K534" s="665"/>
      <c r="L534" s="667"/>
      <c r="M534" s="668"/>
      <c r="N534" s="373"/>
      <c r="O534" s="373"/>
      <c r="P534" s="670"/>
      <c r="Q534" s="665"/>
      <c r="R534" s="665"/>
      <c r="S534" s="539"/>
      <c r="T534" s="665"/>
      <c r="U534" s="49"/>
      <c r="V534" s="49"/>
      <c r="W534" s="49"/>
      <c r="X534" s="49"/>
      <c r="Y534" s="49"/>
    </row>
    <row r="535" ht="15.75" customHeight="1">
      <c r="A535" s="38"/>
      <c r="B535" s="49"/>
      <c r="C535" s="15"/>
      <c r="D535" s="663"/>
      <c r="E535" s="664"/>
      <c r="F535" s="665"/>
      <c r="G535" s="539"/>
      <c r="H535" s="373"/>
      <c r="I535" s="665"/>
      <c r="J535" s="666"/>
      <c r="K535" s="665"/>
      <c r="L535" s="667"/>
      <c r="M535" s="668"/>
      <c r="N535" s="373"/>
      <c r="O535" s="373"/>
      <c r="P535" s="670"/>
      <c r="Q535" s="665"/>
      <c r="R535" s="665"/>
      <c r="S535" s="539"/>
      <c r="T535" s="665"/>
      <c r="U535" s="49"/>
      <c r="V535" s="49"/>
      <c r="W535" s="49"/>
      <c r="X535" s="49"/>
      <c r="Y535" s="49"/>
    </row>
    <row r="536" ht="15.75" customHeight="1">
      <c r="A536" s="38"/>
      <c r="B536" s="49"/>
      <c r="C536" s="15"/>
      <c r="D536" s="663"/>
      <c r="E536" s="664"/>
      <c r="F536" s="665"/>
      <c r="G536" s="539"/>
      <c r="H536" s="373"/>
      <c r="I536" s="665"/>
      <c r="J536" s="666"/>
      <c r="K536" s="665"/>
      <c r="L536" s="667"/>
      <c r="M536" s="668"/>
      <c r="N536" s="373"/>
      <c r="O536" s="373"/>
      <c r="P536" s="670"/>
      <c r="Q536" s="665"/>
      <c r="R536" s="665"/>
      <c r="S536" s="539"/>
      <c r="T536" s="665"/>
      <c r="U536" s="49"/>
      <c r="V536" s="49"/>
      <c r="W536" s="49"/>
      <c r="X536" s="49"/>
      <c r="Y536" s="49"/>
    </row>
    <row r="537" ht="15.75" customHeight="1">
      <c r="A537" s="38"/>
      <c r="B537" s="49"/>
      <c r="C537" s="15"/>
      <c r="D537" s="663"/>
      <c r="E537" s="664"/>
      <c r="F537" s="665"/>
      <c r="G537" s="539"/>
      <c r="H537" s="373"/>
      <c r="I537" s="665"/>
      <c r="J537" s="666"/>
      <c r="K537" s="665"/>
      <c r="L537" s="667"/>
      <c r="M537" s="668"/>
      <c r="N537" s="373"/>
      <c r="O537" s="373"/>
      <c r="P537" s="670"/>
      <c r="Q537" s="665"/>
      <c r="R537" s="665"/>
      <c r="S537" s="539"/>
      <c r="T537" s="665"/>
      <c r="U537" s="49"/>
      <c r="V537" s="49"/>
      <c r="W537" s="49"/>
      <c r="X537" s="49"/>
      <c r="Y537" s="49"/>
    </row>
    <row r="538" ht="15.75" customHeight="1">
      <c r="A538" s="38"/>
      <c r="B538" s="49"/>
      <c r="C538" s="15"/>
      <c r="D538" s="663"/>
      <c r="E538" s="664"/>
      <c r="F538" s="665"/>
      <c r="G538" s="539"/>
      <c r="H538" s="373"/>
      <c r="I538" s="665"/>
      <c r="J538" s="666"/>
      <c r="K538" s="665"/>
      <c r="L538" s="667"/>
      <c r="M538" s="668"/>
      <c r="N538" s="373"/>
      <c r="O538" s="373"/>
      <c r="P538" s="670"/>
      <c r="Q538" s="665"/>
      <c r="R538" s="665"/>
      <c r="S538" s="539"/>
      <c r="T538" s="665"/>
      <c r="U538" s="49"/>
      <c r="V538" s="49"/>
      <c r="W538" s="49"/>
      <c r="X538" s="49"/>
      <c r="Y538" s="49"/>
    </row>
    <row r="539" ht="15.75" customHeight="1">
      <c r="A539" s="38"/>
      <c r="B539" s="49"/>
      <c r="C539" s="15"/>
      <c r="D539" s="663"/>
      <c r="E539" s="664"/>
      <c r="F539" s="665"/>
      <c r="G539" s="539"/>
      <c r="H539" s="373"/>
      <c r="I539" s="665"/>
      <c r="J539" s="666"/>
      <c r="K539" s="665"/>
      <c r="L539" s="667"/>
      <c r="M539" s="668"/>
      <c r="N539" s="373"/>
      <c r="O539" s="373"/>
      <c r="P539" s="670"/>
      <c r="Q539" s="665"/>
      <c r="R539" s="665"/>
      <c r="S539" s="539"/>
      <c r="T539" s="665"/>
      <c r="U539" s="49"/>
      <c r="V539" s="49"/>
      <c r="W539" s="49"/>
      <c r="X539" s="49"/>
      <c r="Y539" s="49"/>
    </row>
    <row r="540" ht="15.75" customHeight="1">
      <c r="A540" s="38"/>
      <c r="B540" s="49"/>
      <c r="C540" s="15"/>
      <c r="D540" s="663"/>
      <c r="E540" s="664"/>
      <c r="F540" s="665"/>
      <c r="G540" s="539"/>
      <c r="H540" s="373"/>
      <c r="I540" s="665"/>
      <c r="J540" s="666"/>
      <c r="K540" s="665"/>
      <c r="L540" s="667"/>
      <c r="M540" s="668"/>
      <c r="N540" s="373"/>
      <c r="O540" s="373"/>
      <c r="P540" s="670"/>
      <c r="Q540" s="665"/>
      <c r="R540" s="665"/>
      <c r="S540" s="539"/>
      <c r="T540" s="665"/>
      <c r="U540" s="49"/>
      <c r="V540" s="49"/>
      <c r="W540" s="49"/>
      <c r="X540" s="49"/>
      <c r="Y540" s="49"/>
    </row>
    <row r="541" ht="15.75" customHeight="1">
      <c r="A541" s="38"/>
      <c r="B541" s="49"/>
      <c r="C541" s="15"/>
      <c r="D541" s="663"/>
      <c r="E541" s="664"/>
      <c r="F541" s="665"/>
      <c r="G541" s="539"/>
      <c r="H541" s="373"/>
      <c r="I541" s="665"/>
      <c r="J541" s="666"/>
      <c r="K541" s="665"/>
      <c r="L541" s="667"/>
      <c r="M541" s="668"/>
      <c r="N541" s="373"/>
      <c r="O541" s="373"/>
      <c r="P541" s="670"/>
      <c r="Q541" s="665"/>
      <c r="R541" s="665"/>
      <c r="S541" s="539"/>
      <c r="T541" s="665"/>
      <c r="U541" s="49"/>
      <c r="V541" s="49"/>
      <c r="W541" s="49"/>
      <c r="X541" s="49"/>
      <c r="Y541" s="49"/>
    </row>
    <row r="542" ht="15.75" customHeight="1">
      <c r="A542" s="38"/>
      <c r="B542" s="49"/>
      <c r="C542" s="15"/>
      <c r="D542" s="663"/>
      <c r="E542" s="664"/>
      <c r="F542" s="665"/>
      <c r="G542" s="539"/>
      <c r="H542" s="373"/>
      <c r="I542" s="665"/>
      <c r="J542" s="666"/>
      <c r="K542" s="665"/>
      <c r="L542" s="667"/>
      <c r="M542" s="668"/>
      <c r="N542" s="373"/>
      <c r="O542" s="373"/>
      <c r="P542" s="670"/>
      <c r="Q542" s="665"/>
      <c r="R542" s="665"/>
      <c r="S542" s="539"/>
      <c r="T542" s="665"/>
      <c r="U542" s="49"/>
      <c r="V542" s="49"/>
      <c r="W542" s="49"/>
      <c r="X542" s="49"/>
      <c r="Y542" s="49"/>
    </row>
    <row r="543" ht="15.75" customHeight="1">
      <c r="A543" s="38"/>
      <c r="B543" s="49"/>
      <c r="C543" s="15"/>
      <c r="D543" s="663"/>
      <c r="E543" s="664"/>
      <c r="F543" s="665"/>
      <c r="G543" s="539"/>
      <c r="H543" s="373"/>
      <c r="I543" s="665"/>
      <c r="J543" s="666"/>
      <c r="K543" s="665"/>
      <c r="L543" s="667"/>
      <c r="M543" s="668"/>
      <c r="N543" s="373"/>
      <c r="O543" s="373"/>
      <c r="P543" s="670"/>
      <c r="Q543" s="665"/>
      <c r="R543" s="665"/>
      <c r="S543" s="539"/>
      <c r="T543" s="665"/>
      <c r="U543" s="49"/>
      <c r="V543" s="49"/>
      <c r="W543" s="49"/>
      <c r="X543" s="49"/>
      <c r="Y543" s="49"/>
    </row>
    <row r="544" ht="15.75" customHeight="1">
      <c r="A544" s="38"/>
      <c r="B544" s="49"/>
      <c r="C544" s="15"/>
      <c r="D544" s="663"/>
      <c r="E544" s="664"/>
      <c r="F544" s="665"/>
      <c r="G544" s="539"/>
      <c r="H544" s="373"/>
      <c r="I544" s="665"/>
      <c r="J544" s="666"/>
      <c r="K544" s="665"/>
      <c r="L544" s="667"/>
      <c r="M544" s="668"/>
      <c r="N544" s="373"/>
      <c r="O544" s="373"/>
      <c r="P544" s="670"/>
      <c r="Q544" s="665"/>
      <c r="R544" s="665"/>
      <c r="S544" s="539"/>
      <c r="T544" s="665"/>
      <c r="U544" s="49"/>
      <c r="V544" s="49"/>
      <c r="W544" s="49"/>
      <c r="X544" s="49"/>
      <c r="Y544" s="49"/>
    </row>
    <row r="545" ht="15.75" customHeight="1">
      <c r="A545" s="38"/>
      <c r="B545" s="49"/>
      <c r="C545" s="15"/>
      <c r="D545" s="663"/>
      <c r="E545" s="664"/>
      <c r="F545" s="665"/>
      <c r="G545" s="539"/>
      <c r="H545" s="373"/>
      <c r="I545" s="665"/>
      <c r="J545" s="666"/>
      <c r="K545" s="665"/>
      <c r="L545" s="667"/>
      <c r="M545" s="668"/>
      <c r="N545" s="373"/>
      <c r="O545" s="373"/>
      <c r="P545" s="670"/>
      <c r="Q545" s="665"/>
      <c r="R545" s="665"/>
      <c r="S545" s="539"/>
      <c r="T545" s="665"/>
      <c r="U545" s="49"/>
      <c r="V545" s="49"/>
      <c r="W545" s="49"/>
      <c r="X545" s="49"/>
      <c r="Y545" s="49"/>
    </row>
    <row r="546" ht="15.75" customHeight="1">
      <c r="A546" s="38"/>
      <c r="B546" s="49"/>
      <c r="C546" s="15"/>
      <c r="D546" s="663"/>
      <c r="E546" s="664"/>
      <c r="F546" s="665"/>
      <c r="G546" s="539"/>
      <c r="H546" s="373"/>
      <c r="I546" s="665"/>
      <c r="J546" s="666"/>
      <c r="K546" s="665"/>
      <c r="L546" s="667"/>
      <c r="M546" s="668"/>
      <c r="N546" s="373"/>
      <c r="O546" s="373"/>
      <c r="P546" s="670"/>
      <c r="Q546" s="665"/>
      <c r="R546" s="665"/>
      <c r="S546" s="539"/>
      <c r="T546" s="665"/>
      <c r="U546" s="49"/>
      <c r="V546" s="49"/>
      <c r="W546" s="49"/>
      <c r="X546" s="49"/>
      <c r="Y546" s="49"/>
    </row>
    <row r="547" ht="15.75" customHeight="1">
      <c r="A547" s="38"/>
      <c r="B547" s="49"/>
      <c r="C547" s="15"/>
      <c r="D547" s="663"/>
      <c r="E547" s="664"/>
      <c r="F547" s="665"/>
      <c r="G547" s="539"/>
      <c r="H547" s="373"/>
      <c r="I547" s="665"/>
      <c r="J547" s="666"/>
      <c r="K547" s="665"/>
      <c r="L547" s="667"/>
      <c r="M547" s="668"/>
      <c r="N547" s="373"/>
      <c r="O547" s="373"/>
      <c r="P547" s="670"/>
      <c r="Q547" s="665"/>
      <c r="R547" s="665"/>
      <c r="S547" s="539"/>
      <c r="T547" s="665"/>
      <c r="U547" s="49"/>
      <c r="V547" s="49"/>
      <c r="W547" s="49"/>
      <c r="X547" s="49"/>
      <c r="Y547" s="49"/>
    </row>
    <row r="548" ht="15.75" customHeight="1">
      <c r="A548" s="38"/>
      <c r="B548" s="49"/>
      <c r="C548" s="15"/>
      <c r="D548" s="663"/>
      <c r="E548" s="664"/>
      <c r="F548" s="665"/>
      <c r="G548" s="539"/>
      <c r="H548" s="373"/>
      <c r="I548" s="665"/>
      <c r="J548" s="666"/>
      <c r="K548" s="665"/>
      <c r="L548" s="667"/>
      <c r="M548" s="668"/>
      <c r="N548" s="373"/>
      <c r="O548" s="373"/>
      <c r="P548" s="670"/>
      <c r="Q548" s="665"/>
      <c r="R548" s="665"/>
      <c r="S548" s="539"/>
      <c r="T548" s="665"/>
      <c r="U548" s="49"/>
      <c r="V548" s="49"/>
      <c r="W548" s="49"/>
      <c r="X548" s="49"/>
      <c r="Y548" s="49"/>
    </row>
    <row r="549" ht="15.75" customHeight="1">
      <c r="A549" s="38"/>
      <c r="B549" s="49"/>
      <c r="C549" s="15"/>
      <c r="D549" s="663"/>
      <c r="E549" s="664"/>
      <c r="F549" s="665"/>
      <c r="G549" s="539"/>
      <c r="H549" s="373"/>
      <c r="I549" s="665"/>
      <c r="J549" s="666"/>
      <c r="K549" s="665"/>
      <c r="L549" s="667"/>
      <c r="M549" s="668"/>
      <c r="N549" s="373"/>
      <c r="O549" s="373"/>
      <c r="P549" s="670"/>
      <c r="Q549" s="665"/>
      <c r="R549" s="665"/>
      <c r="S549" s="539"/>
      <c r="T549" s="665"/>
      <c r="U549" s="49"/>
      <c r="V549" s="49"/>
      <c r="W549" s="49"/>
      <c r="X549" s="49"/>
      <c r="Y549" s="49"/>
    </row>
    <row r="550" ht="15.75" customHeight="1">
      <c r="A550" s="38"/>
      <c r="B550" s="49"/>
      <c r="C550" s="15"/>
      <c r="D550" s="663"/>
      <c r="E550" s="664"/>
      <c r="F550" s="665"/>
      <c r="G550" s="539"/>
      <c r="H550" s="373"/>
      <c r="I550" s="665"/>
      <c r="J550" s="666"/>
      <c r="K550" s="665"/>
      <c r="L550" s="667"/>
      <c r="M550" s="668"/>
      <c r="N550" s="373"/>
      <c r="O550" s="373"/>
      <c r="P550" s="670"/>
      <c r="Q550" s="665"/>
      <c r="R550" s="665"/>
      <c r="S550" s="539"/>
      <c r="T550" s="665"/>
      <c r="U550" s="49"/>
      <c r="V550" s="49"/>
      <c r="W550" s="49"/>
      <c r="X550" s="49"/>
      <c r="Y550" s="49"/>
    </row>
    <row r="551" ht="15.75" customHeight="1">
      <c r="A551" s="38"/>
      <c r="B551" s="49"/>
      <c r="C551" s="15"/>
      <c r="D551" s="663"/>
      <c r="E551" s="664"/>
      <c r="F551" s="665"/>
      <c r="G551" s="539"/>
      <c r="H551" s="373"/>
      <c r="I551" s="665"/>
      <c r="J551" s="666"/>
      <c r="K551" s="665"/>
      <c r="L551" s="667"/>
      <c r="M551" s="668"/>
      <c r="N551" s="373"/>
      <c r="O551" s="373"/>
      <c r="P551" s="670"/>
      <c r="Q551" s="665"/>
      <c r="R551" s="665"/>
      <c r="S551" s="539"/>
      <c r="T551" s="665"/>
      <c r="U551" s="49"/>
      <c r="V551" s="49"/>
      <c r="W551" s="49"/>
      <c r="X551" s="49"/>
      <c r="Y551" s="49"/>
    </row>
    <row r="552" ht="15.75" customHeight="1">
      <c r="A552" s="38"/>
      <c r="B552" s="49"/>
      <c r="C552" s="15"/>
      <c r="D552" s="663"/>
      <c r="E552" s="664"/>
      <c r="F552" s="665"/>
      <c r="G552" s="539"/>
      <c r="H552" s="373"/>
      <c r="I552" s="665"/>
      <c r="J552" s="666"/>
      <c r="K552" s="665"/>
      <c r="L552" s="667"/>
      <c r="M552" s="668"/>
      <c r="N552" s="373"/>
      <c r="O552" s="373"/>
      <c r="P552" s="670"/>
      <c r="Q552" s="665"/>
      <c r="R552" s="665"/>
      <c r="S552" s="539"/>
      <c r="T552" s="665"/>
      <c r="U552" s="49"/>
      <c r="V552" s="49"/>
      <c r="W552" s="49"/>
      <c r="X552" s="49"/>
      <c r="Y552" s="49"/>
    </row>
    <row r="553" ht="15.75" customHeight="1">
      <c r="A553" s="38"/>
      <c r="B553" s="49"/>
      <c r="C553" s="15"/>
      <c r="D553" s="663"/>
      <c r="E553" s="664"/>
      <c r="F553" s="665"/>
      <c r="G553" s="539"/>
      <c r="H553" s="373"/>
      <c r="I553" s="665"/>
      <c r="J553" s="666"/>
      <c r="K553" s="665"/>
      <c r="L553" s="667"/>
      <c r="M553" s="668"/>
      <c r="N553" s="373"/>
      <c r="O553" s="373"/>
      <c r="P553" s="670"/>
      <c r="Q553" s="665"/>
      <c r="R553" s="665"/>
      <c r="S553" s="539"/>
      <c r="T553" s="665"/>
      <c r="U553" s="49"/>
      <c r="V553" s="49"/>
      <c r="W553" s="49"/>
      <c r="X553" s="49"/>
      <c r="Y553" s="49"/>
    </row>
    <row r="554" ht="15.75" customHeight="1">
      <c r="A554" s="38"/>
      <c r="B554" s="49"/>
      <c r="C554" s="15"/>
      <c r="D554" s="663"/>
      <c r="E554" s="664"/>
      <c r="F554" s="665"/>
      <c r="G554" s="539"/>
      <c r="H554" s="373"/>
      <c r="I554" s="665"/>
      <c r="J554" s="666"/>
      <c r="K554" s="665"/>
      <c r="L554" s="667"/>
      <c r="M554" s="668"/>
      <c r="N554" s="373"/>
      <c r="O554" s="373"/>
      <c r="P554" s="670"/>
      <c r="Q554" s="665"/>
      <c r="R554" s="665"/>
      <c r="S554" s="539"/>
      <c r="T554" s="665"/>
      <c r="U554" s="49"/>
      <c r="V554" s="49"/>
      <c r="W554" s="49"/>
      <c r="X554" s="49"/>
      <c r="Y554" s="49"/>
    </row>
    <row r="555" ht="15.75" customHeight="1">
      <c r="A555" s="38"/>
      <c r="B555" s="49"/>
      <c r="C555" s="15"/>
      <c r="D555" s="663"/>
      <c r="E555" s="664"/>
      <c r="F555" s="665"/>
      <c r="G555" s="539"/>
      <c r="H555" s="373"/>
      <c r="I555" s="665"/>
      <c r="J555" s="666"/>
      <c r="K555" s="665"/>
      <c r="L555" s="667"/>
      <c r="M555" s="668"/>
      <c r="N555" s="373"/>
      <c r="O555" s="373"/>
      <c r="P555" s="670"/>
      <c r="Q555" s="665"/>
      <c r="R555" s="665"/>
      <c r="S555" s="539"/>
      <c r="T555" s="665"/>
      <c r="U555" s="49"/>
      <c r="V555" s="49"/>
      <c r="W555" s="49"/>
      <c r="X555" s="49"/>
      <c r="Y555" s="49"/>
    </row>
    <row r="556" ht="15.75" customHeight="1">
      <c r="A556" s="38"/>
      <c r="B556" s="49"/>
      <c r="C556" s="15"/>
      <c r="D556" s="663"/>
      <c r="E556" s="664"/>
      <c r="F556" s="665"/>
      <c r="G556" s="539"/>
      <c r="H556" s="373"/>
      <c r="I556" s="665"/>
      <c r="J556" s="666"/>
      <c r="K556" s="665"/>
      <c r="L556" s="667"/>
      <c r="M556" s="668"/>
      <c r="N556" s="373"/>
      <c r="O556" s="373"/>
      <c r="P556" s="670"/>
      <c r="Q556" s="665"/>
      <c r="R556" s="665"/>
      <c r="S556" s="539"/>
      <c r="T556" s="665"/>
      <c r="U556" s="49"/>
      <c r="V556" s="49"/>
      <c r="W556" s="49"/>
      <c r="X556" s="49"/>
      <c r="Y556" s="49"/>
    </row>
    <row r="557" ht="15.75" customHeight="1">
      <c r="A557" s="38"/>
      <c r="B557" s="49"/>
      <c r="C557" s="15"/>
      <c r="D557" s="663"/>
      <c r="E557" s="664"/>
      <c r="F557" s="665"/>
      <c r="G557" s="539"/>
      <c r="H557" s="373"/>
      <c r="I557" s="665"/>
      <c r="J557" s="666"/>
      <c r="K557" s="665"/>
      <c r="L557" s="667"/>
      <c r="M557" s="668"/>
      <c r="N557" s="373"/>
      <c r="O557" s="373"/>
      <c r="P557" s="670"/>
      <c r="Q557" s="665"/>
      <c r="R557" s="665"/>
      <c r="S557" s="539"/>
      <c r="T557" s="665"/>
      <c r="U557" s="49"/>
      <c r="V557" s="49"/>
      <c r="W557" s="49"/>
      <c r="X557" s="49"/>
      <c r="Y557" s="49"/>
    </row>
    <row r="558" ht="15.75" customHeight="1">
      <c r="A558" s="38"/>
      <c r="B558" s="49"/>
      <c r="C558" s="15"/>
      <c r="D558" s="663"/>
      <c r="E558" s="664"/>
      <c r="F558" s="665"/>
      <c r="G558" s="539"/>
      <c r="H558" s="373"/>
      <c r="I558" s="665"/>
      <c r="J558" s="666"/>
      <c r="K558" s="665"/>
      <c r="L558" s="667"/>
      <c r="M558" s="668"/>
      <c r="N558" s="373"/>
      <c r="O558" s="373"/>
      <c r="P558" s="670"/>
      <c r="Q558" s="665"/>
      <c r="R558" s="665"/>
      <c r="S558" s="539"/>
      <c r="T558" s="665"/>
      <c r="U558" s="49"/>
      <c r="V558" s="49"/>
      <c r="W558" s="49"/>
      <c r="X558" s="49"/>
      <c r="Y558" s="49"/>
    </row>
    <row r="559" ht="15.75" customHeight="1">
      <c r="A559" s="38"/>
      <c r="B559" s="49"/>
      <c r="C559" s="15"/>
      <c r="D559" s="663"/>
      <c r="E559" s="664"/>
      <c r="F559" s="665"/>
      <c r="G559" s="539"/>
      <c r="H559" s="373"/>
      <c r="I559" s="665"/>
      <c r="J559" s="666"/>
      <c r="K559" s="665"/>
      <c r="L559" s="667"/>
      <c r="M559" s="668"/>
      <c r="N559" s="373"/>
      <c r="O559" s="373"/>
      <c r="P559" s="670"/>
      <c r="Q559" s="665"/>
      <c r="R559" s="665"/>
      <c r="S559" s="539"/>
      <c r="T559" s="665"/>
      <c r="U559" s="49"/>
      <c r="V559" s="49"/>
      <c r="W559" s="49"/>
      <c r="X559" s="49"/>
      <c r="Y559" s="49"/>
    </row>
    <row r="560" ht="15.75" customHeight="1">
      <c r="A560" s="38"/>
      <c r="B560" s="49"/>
      <c r="C560" s="15"/>
      <c r="D560" s="663"/>
      <c r="E560" s="664"/>
      <c r="F560" s="665"/>
      <c r="G560" s="539"/>
      <c r="H560" s="373"/>
      <c r="I560" s="665"/>
      <c r="J560" s="666"/>
      <c r="K560" s="665"/>
      <c r="L560" s="667"/>
      <c r="M560" s="668"/>
      <c r="N560" s="373"/>
      <c r="O560" s="373"/>
      <c r="P560" s="670"/>
      <c r="Q560" s="665"/>
      <c r="R560" s="665"/>
      <c r="S560" s="539"/>
      <c r="T560" s="665"/>
      <c r="U560" s="49"/>
      <c r="V560" s="49"/>
      <c r="W560" s="49"/>
      <c r="X560" s="49"/>
      <c r="Y560" s="49"/>
    </row>
    <row r="561" ht="15.75" customHeight="1">
      <c r="A561" s="38"/>
      <c r="B561" s="49"/>
      <c r="C561" s="15"/>
      <c r="D561" s="663"/>
      <c r="E561" s="664"/>
      <c r="F561" s="665"/>
      <c r="G561" s="539"/>
      <c r="H561" s="373"/>
      <c r="I561" s="665"/>
      <c r="J561" s="666"/>
      <c r="K561" s="665"/>
      <c r="L561" s="667"/>
      <c r="M561" s="668"/>
      <c r="N561" s="373"/>
      <c r="O561" s="373"/>
      <c r="P561" s="670"/>
      <c r="Q561" s="665"/>
      <c r="R561" s="665"/>
      <c r="S561" s="539"/>
      <c r="T561" s="665"/>
      <c r="U561" s="49"/>
      <c r="V561" s="49"/>
      <c r="W561" s="49"/>
      <c r="X561" s="49"/>
      <c r="Y561" s="49"/>
    </row>
    <row r="562" ht="15.75" customHeight="1">
      <c r="A562" s="38"/>
      <c r="B562" s="49"/>
      <c r="C562" s="15"/>
      <c r="D562" s="663"/>
      <c r="E562" s="664"/>
      <c r="F562" s="665"/>
      <c r="G562" s="539"/>
      <c r="H562" s="373"/>
      <c r="I562" s="665"/>
      <c r="J562" s="666"/>
      <c r="K562" s="665"/>
      <c r="L562" s="667"/>
      <c r="M562" s="668"/>
      <c r="N562" s="373"/>
      <c r="O562" s="373"/>
      <c r="P562" s="670"/>
      <c r="Q562" s="665"/>
      <c r="R562" s="665"/>
      <c r="S562" s="539"/>
      <c r="T562" s="665"/>
      <c r="U562" s="49"/>
      <c r="V562" s="49"/>
      <c r="W562" s="49"/>
      <c r="X562" s="49"/>
      <c r="Y562" s="49"/>
    </row>
    <row r="563" ht="15.75" customHeight="1">
      <c r="A563" s="38"/>
      <c r="B563" s="49"/>
      <c r="C563" s="15"/>
      <c r="D563" s="663"/>
      <c r="E563" s="664"/>
      <c r="F563" s="665"/>
      <c r="G563" s="539"/>
      <c r="H563" s="373"/>
      <c r="I563" s="665"/>
      <c r="J563" s="666"/>
      <c r="K563" s="665"/>
      <c r="L563" s="667"/>
      <c r="M563" s="668"/>
      <c r="N563" s="373"/>
      <c r="O563" s="373"/>
      <c r="P563" s="670"/>
      <c r="Q563" s="665"/>
      <c r="R563" s="665"/>
      <c r="S563" s="539"/>
      <c r="T563" s="665"/>
      <c r="U563" s="49"/>
      <c r="V563" s="49"/>
      <c r="W563" s="49"/>
      <c r="X563" s="49"/>
      <c r="Y563" s="49"/>
    </row>
    <row r="564" ht="15.75" customHeight="1">
      <c r="A564" s="38"/>
      <c r="B564" s="49"/>
      <c r="C564" s="15"/>
      <c r="D564" s="663"/>
      <c r="E564" s="664"/>
      <c r="F564" s="665"/>
      <c r="G564" s="539"/>
      <c r="H564" s="373"/>
      <c r="I564" s="665"/>
      <c r="J564" s="666"/>
      <c r="K564" s="665"/>
      <c r="L564" s="667"/>
      <c r="M564" s="668"/>
      <c r="N564" s="373"/>
      <c r="O564" s="373"/>
      <c r="P564" s="670"/>
      <c r="Q564" s="665"/>
      <c r="R564" s="665"/>
      <c r="S564" s="539"/>
      <c r="T564" s="665"/>
      <c r="U564" s="49"/>
      <c r="V564" s="49"/>
      <c r="W564" s="49"/>
      <c r="X564" s="49"/>
      <c r="Y564" s="49"/>
    </row>
    <row r="565" ht="15.75" customHeight="1">
      <c r="A565" s="38"/>
      <c r="B565" s="49"/>
      <c r="C565" s="15"/>
      <c r="D565" s="663"/>
      <c r="E565" s="664"/>
      <c r="F565" s="665"/>
      <c r="G565" s="539"/>
      <c r="H565" s="373"/>
      <c r="I565" s="665"/>
      <c r="J565" s="666"/>
      <c r="K565" s="665"/>
      <c r="L565" s="667"/>
      <c r="M565" s="668"/>
      <c r="N565" s="373"/>
      <c r="O565" s="373"/>
      <c r="P565" s="670"/>
      <c r="Q565" s="665"/>
      <c r="R565" s="665"/>
      <c r="S565" s="539"/>
      <c r="T565" s="665"/>
      <c r="U565" s="49"/>
      <c r="V565" s="49"/>
      <c r="W565" s="49"/>
      <c r="X565" s="49"/>
      <c r="Y565" s="49"/>
    </row>
    <row r="566" ht="15.75" customHeight="1">
      <c r="A566" s="38"/>
      <c r="B566" s="49"/>
      <c r="C566" s="15"/>
      <c r="D566" s="663"/>
      <c r="E566" s="664"/>
      <c r="F566" s="665"/>
      <c r="G566" s="539"/>
      <c r="H566" s="373"/>
      <c r="I566" s="665"/>
      <c r="J566" s="666"/>
      <c r="K566" s="665"/>
      <c r="L566" s="667"/>
      <c r="M566" s="668"/>
      <c r="N566" s="373"/>
      <c r="O566" s="373"/>
      <c r="P566" s="670"/>
      <c r="Q566" s="665"/>
      <c r="R566" s="665"/>
      <c r="S566" s="539"/>
      <c r="T566" s="665"/>
      <c r="U566" s="49"/>
      <c r="V566" s="49"/>
      <c r="W566" s="49"/>
      <c r="X566" s="49"/>
      <c r="Y566" s="49"/>
    </row>
    <row r="567" ht="15.75" customHeight="1">
      <c r="A567" s="38"/>
      <c r="B567" s="49"/>
      <c r="C567" s="15"/>
      <c r="D567" s="663"/>
      <c r="E567" s="664"/>
      <c r="F567" s="665"/>
      <c r="G567" s="539"/>
      <c r="H567" s="373"/>
      <c r="I567" s="665"/>
      <c r="J567" s="666"/>
      <c r="K567" s="665"/>
      <c r="L567" s="667"/>
      <c r="M567" s="668"/>
      <c r="N567" s="373"/>
      <c r="O567" s="373"/>
      <c r="P567" s="670"/>
      <c r="Q567" s="665"/>
      <c r="R567" s="665"/>
      <c r="S567" s="539"/>
      <c r="T567" s="665"/>
      <c r="U567" s="49"/>
      <c r="V567" s="49"/>
      <c r="W567" s="49"/>
      <c r="X567" s="49"/>
      <c r="Y567" s="49"/>
    </row>
    <row r="568" ht="15.75" customHeight="1">
      <c r="A568" s="38"/>
      <c r="B568" s="49"/>
      <c r="C568" s="15"/>
      <c r="D568" s="663"/>
      <c r="E568" s="664"/>
      <c r="F568" s="665"/>
      <c r="G568" s="539"/>
      <c r="H568" s="373"/>
      <c r="I568" s="665"/>
      <c r="J568" s="666"/>
      <c r="K568" s="665"/>
      <c r="L568" s="667"/>
      <c r="M568" s="668"/>
      <c r="N568" s="373"/>
      <c r="O568" s="373"/>
      <c r="P568" s="670"/>
      <c r="Q568" s="665"/>
      <c r="R568" s="665"/>
      <c r="S568" s="539"/>
      <c r="T568" s="665"/>
      <c r="U568" s="49"/>
      <c r="V568" s="49"/>
      <c r="W568" s="49"/>
      <c r="X568" s="49"/>
      <c r="Y568" s="49"/>
    </row>
    <row r="569" ht="15.75" customHeight="1">
      <c r="A569" s="38"/>
      <c r="B569" s="49"/>
      <c r="C569" s="15"/>
      <c r="D569" s="663"/>
      <c r="E569" s="664"/>
      <c r="F569" s="665"/>
      <c r="G569" s="539"/>
      <c r="H569" s="373"/>
      <c r="I569" s="665"/>
      <c r="J569" s="666"/>
      <c r="K569" s="665"/>
      <c r="L569" s="667"/>
      <c r="M569" s="668"/>
      <c r="N569" s="373"/>
      <c r="O569" s="373"/>
      <c r="P569" s="670"/>
      <c r="Q569" s="665"/>
      <c r="R569" s="665"/>
      <c r="S569" s="539"/>
      <c r="T569" s="665"/>
      <c r="U569" s="49"/>
      <c r="V569" s="49"/>
      <c r="W569" s="49"/>
      <c r="X569" s="49"/>
      <c r="Y569" s="49"/>
    </row>
    <row r="570" ht="15.75" customHeight="1">
      <c r="A570" s="38"/>
      <c r="B570" s="49"/>
      <c r="C570" s="15"/>
      <c r="D570" s="663"/>
      <c r="E570" s="664"/>
      <c r="F570" s="665"/>
      <c r="G570" s="539"/>
      <c r="H570" s="373"/>
      <c r="I570" s="665"/>
      <c r="J570" s="666"/>
      <c r="K570" s="665"/>
      <c r="L570" s="667"/>
      <c r="M570" s="668"/>
      <c r="N570" s="373"/>
      <c r="O570" s="373"/>
      <c r="P570" s="670"/>
      <c r="Q570" s="665"/>
      <c r="R570" s="665"/>
      <c r="S570" s="539"/>
      <c r="T570" s="665"/>
      <c r="U570" s="49"/>
      <c r="V570" s="49"/>
      <c r="W570" s="49"/>
      <c r="X570" s="49"/>
      <c r="Y570" s="49"/>
    </row>
    <row r="571" ht="15.75" customHeight="1">
      <c r="A571" s="38"/>
      <c r="B571" s="49"/>
      <c r="C571" s="15"/>
      <c r="D571" s="663"/>
      <c r="E571" s="664"/>
      <c r="F571" s="665"/>
      <c r="G571" s="539"/>
      <c r="H571" s="373"/>
      <c r="I571" s="665"/>
      <c r="J571" s="666"/>
      <c r="K571" s="665"/>
      <c r="L571" s="667"/>
      <c r="M571" s="668"/>
      <c r="N571" s="373"/>
      <c r="O571" s="373"/>
      <c r="P571" s="670"/>
      <c r="Q571" s="665"/>
      <c r="R571" s="665"/>
      <c r="S571" s="539"/>
      <c r="T571" s="665"/>
      <c r="U571" s="49"/>
      <c r="V571" s="49"/>
      <c r="W571" s="49"/>
      <c r="X571" s="49"/>
      <c r="Y571" s="49"/>
    </row>
    <row r="572" ht="15.75" customHeight="1">
      <c r="A572" s="38"/>
      <c r="B572" s="49"/>
      <c r="C572" s="15"/>
      <c r="D572" s="663"/>
      <c r="E572" s="664"/>
      <c r="F572" s="665"/>
      <c r="G572" s="539"/>
      <c r="H572" s="373"/>
      <c r="I572" s="665"/>
      <c r="J572" s="666"/>
      <c r="K572" s="665"/>
      <c r="L572" s="667"/>
      <c r="M572" s="668"/>
      <c r="N572" s="373"/>
      <c r="O572" s="373"/>
      <c r="P572" s="670"/>
      <c r="Q572" s="665"/>
      <c r="R572" s="665"/>
      <c r="S572" s="539"/>
      <c r="T572" s="665"/>
      <c r="U572" s="49"/>
      <c r="V572" s="49"/>
      <c r="W572" s="49"/>
      <c r="X572" s="49"/>
      <c r="Y572" s="49"/>
    </row>
    <row r="573" ht="15.75" customHeight="1">
      <c r="A573" s="38"/>
      <c r="B573" s="49"/>
      <c r="C573" s="15"/>
      <c r="D573" s="663"/>
      <c r="E573" s="664"/>
      <c r="F573" s="665"/>
      <c r="G573" s="539"/>
      <c r="H573" s="373"/>
      <c r="I573" s="665"/>
      <c r="J573" s="666"/>
      <c r="K573" s="665"/>
      <c r="L573" s="667"/>
      <c r="M573" s="668"/>
      <c r="N573" s="373"/>
      <c r="O573" s="373"/>
      <c r="P573" s="670"/>
      <c r="Q573" s="665"/>
      <c r="R573" s="665"/>
      <c r="S573" s="539"/>
      <c r="T573" s="665"/>
      <c r="U573" s="49"/>
      <c r="V573" s="49"/>
      <c r="W573" s="49"/>
      <c r="X573" s="49"/>
      <c r="Y573" s="49"/>
    </row>
    <row r="574" ht="15.75" customHeight="1">
      <c r="A574" s="38"/>
      <c r="B574" s="49"/>
      <c r="C574" s="15"/>
      <c r="D574" s="663"/>
      <c r="E574" s="664"/>
      <c r="F574" s="665"/>
      <c r="G574" s="539"/>
      <c r="H574" s="373"/>
      <c r="I574" s="665"/>
      <c r="J574" s="666"/>
      <c r="K574" s="665"/>
      <c r="L574" s="667"/>
      <c r="M574" s="668"/>
      <c r="N574" s="373"/>
      <c r="O574" s="373"/>
      <c r="P574" s="670"/>
      <c r="Q574" s="665"/>
      <c r="R574" s="665"/>
      <c r="S574" s="539"/>
      <c r="T574" s="665"/>
      <c r="U574" s="49"/>
      <c r="V574" s="49"/>
      <c r="W574" s="49"/>
      <c r="X574" s="49"/>
      <c r="Y574" s="49"/>
    </row>
    <row r="575" ht="15.75" customHeight="1">
      <c r="A575" s="38"/>
      <c r="B575" s="49"/>
      <c r="C575" s="15"/>
      <c r="D575" s="663"/>
      <c r="E575" s="664"/>
      <c r="F575" s="665"/>
      <c r="G575" s="539"/>
      <c r="H575" s="373"/>
      <c r="I575" s="665"/>
      <c r="J575" s="666"/>
      <c r="K575" s="665"/>
      <c r="L575" s="667"/>
      <c r="M575" s="668"/>
      <c r="N575" s="373"/>
      <c r="O575" s="373"/>
      <c r="P575" s="670"/>
      <c r="Q575" s="665"/>
      <c r="R575" s="665"/>
      <c r="S575" s="539"/>
      <c r="T575" s="665"/>
      <c r="U575" s="49"/>
      <c r="V575" s="49"/>
      <c r="W575" s="49"/>
      <c r="X575" s="49"/>
      <c r="Y575" s="49"/>
    </row>
    <row r="576" ht="15.75" customHeight="1">
      <c r="A576" s="38"/>
      <c r="B576" s="49"/>
      <c r="C576" s="15"/>
      <c r="D576" s="663"/>
      <c r="E576" s="664"/>
      <c r="F576" s="665"/>
      <c r="G576" s="539"/>
      <c r="H576" s="373"/>
      <c r="I576" s="665"/>
      <c r="J576" s="666"/>
      <c r="K576" s="665"/>
      <c r="L576" s="667"/>
      <c r="M576" s="668"/>
      <c r="N576" s="373"/>
      <c r="O576" s="373"/>
      <c r="P576" s="670"/>
      <c r="Q576" s="665"/>
      <c r="R576" s="665"/>
      <c r="S576" s="539"/>
      <c r="T576" s="665"/>
      <c r="U576" s="49"/>
      <c r="V576" s="49"/>
      <c r="W576" s="49"/>
      <c r="X576" s="49"/>
      <c r="Y576" s="49"/>
    </row>
    <row r="577" ht="15.75" customHeight="1">
      <c r="A577" s="38"/>
      <c r="B577" s="49"/>
      <c r="C577" s="15"/>
      <c r="D577" s="663"/>
      <c r="E577" s="664"/>
      <c r="F577" s="665"/>
      <c r="G577" s="539"/>
      <c r="H577" s="373"/>
      <c r="I577" s="665"/>
      <c r="J577" s="666"/>
      <c r="K577" s="665"/>
      <c r="L577" s="667"/>
      <c r="M577" s="668"/>
      <c r="N577" s="373"/>
      <c r="O577" s="373"/>
      <c r="P577" s="670"/>
      <c r="Q577" s="665"/>
      <c r="R577" s="665"/>
      <c r="S577" s="539"/>
      <c r="T577" s="665"/>
      <c r="U577" s="49"/>
      <c r="V577" s="49"/>
      <c r="W577" s="49"/>
      <c r="X577" s="49"/>
      <c r="Y577" s="49"/>
    </row>
    <row r="578" ht="15.75" customHeight="1">
      <c r="A578" s="38"/>
      <c r="B578" s="49"/>
      <c r="C578" s="15"/>
      <c r="D578" s="663"/>
      <c r="E578" s="664"/>
      <c r="F578" s="665"/>
      <c r="G578" s="539"/>
      <c r="H578" s="373"/>
      <c r="I578" s="665"/>
      <c r="J578" s="666"/>
      <c r="K578" s="665"/>
      <c r="L578" s="667"/>
      <c r="M578" s="668"/>
      <c r="N578" s="373"/>
      <c r="O578" s="373"/>
      <c r="P578" s="670"/>
      <c r="Q578" s="665"/>
      <c r="R578" s="665"/>
      <c r="S578" s="539"/>
      <c r="T578" s="665"/>
      <c r="U578" s="49"/>
      <c r="V578" s="49"/>
      <c r="W578" s="49"/>
      <c r="X578" s="49"/>
      <c r="Y578" s="49"/>
    </row>
    <row r="579" ht="15.75" customHeight="1">
      <c r="A579" s="38"/>
      <c r="B579" s="49"/>
      <c r="C579" s="15"/>
      <c r="D579" s="663"/>
      <c r="E579" s="664"/>
      <c r="F579" s="665"/>
      <c r="G579" s="539"/>
      <c r="H579" s="373"/>
      <c r="I579" s="665"/>
      <c r="J579" s="666"/>
      <c r="K579" s="665"/>
      <c r="L579" s="667"/>
      <c r="M579" s="668"/>
      <c r="N579" s="373"/>
      <c r="O579" s="373"/>
      <c r="P579" s="670"/>
      <c r="Q579" s="665"/>
      <c r="R579" s="665"/>
      <c r="S579" s="539"/>
      <c r="T579" s="665"/>
      <c r="U579" s="49"/>
      <c r="V579" s="49"/>
      <c r="W579" s="49"/>
      <c r="X579" s="49"/>
      <c r="Y579" s="49"/>
    </row>
    <row r="580" ht="15.75" customHeight="1">
      <c r="A580" s="38"/>
      <c r="B580" s="49"/>
      <c r="C580" s="15"/>
      <c r="D580" s="663"/>
      <c r="E580" s="664"/>
      <c r="F580" s="665"/>
      <c r="G580" s="539"/>
      <c r="H580" s="373"/>
      <c r="I580" s="665"/>
      <c r="J580" s="666"/>
      <c r="K580" s="665"/>
      <c r="L580" s="667"/>
      <c r="M580" s="668"/>
      <c r="N580" s="373"/>
      <c r="O580" s="373"/>
      <c r="P580" s="670"/>
      <c r="Q580" s="665"/>
      <c r="R580" s="665"/>
      <c r="S580" s="539"/>
      <c r="T580" s="665"/>
      <c r="U580" s="49"/>
      <c r="V580" s="49"/>
      <c r="W580" s="49"/>
      <c r="X580" s="49"/>
      <c r="Y580" s="49"/>
    </row>
    <row r="581" ht="15.75" customHeight="1">
      <c r="A581" s="38"/>
      <c r="B581" s="49"/>
      <c r="C581" s="15"/>
      <c r="D581" s="663"/>
      <c r="E581" s="664"/>
      <c r="F581" s="665"/>
      <c r="G581" s="539"/>
      <c r="H581" s="373"/>
      <c r="I581" s="665"/>
      <c r="J581" s="666"/>
      <c r="K581" s="665"/>
      <c r="L581" s="667"/>
      <c r="M581" s="668"/>
      <c r="N581" s="373"/>
      <c r="O581" s="373"/>
      <c r="P581" s="670"/>
      <c r="Q581" s="665"/>
      <c r="R581" s="665"/>
      <c r="S581" s="539"/>
      <c r="T581" s="665"/>
      <c r="U581" s="49"/>
      <c r="V581" s="49"/>
      <c r="W581" s="49"/>
      <c r="X581" s="49"/>
      <c r="Y581" s="49"/>
    </row>
    <row r="582" ht="15.75" customHeight="1">
      <c r="A582" s="38"/>
      <c r="B582" s="49"/>
      <c r="C582" s="15"/>
      <c r="D582" s="663"/>
      <c r="E582" s="664"/>
      <c r="F582" s="665"/>
      <c r="G582" s="539"/>
      <c r="H582" s="373"/>
      <c r="I582" s="665"/>
      <c r="J582" s="666"/>
      <c r="K582" s="665"/>
      <c r="L582" s="667"/>
      <c r="M582" s="668"/>
      <c r="N582" s="373"/>
      <c r="O582" s="373"/>
      <c r="P582" s="670"/>
      <c r="Q582" s="665"/>
      <c r="R582" s="665"/>
      <c r="S582" s="539"/>
      <c r="T582" s="665"/>
      <c r="U582" s="49"/>
      <c r="V582" s="49"/>
      <c r="W582" s="49"/>
      <c r="X582" s="49"/>
      <c r="Y582" s="49"/>
    </row>
    <row r="583" ht="15.75" customHeight="1">
      <c r="A583" s="38"/>
      <c r="B583" s="49"/>
      <c r="C583" s="15"/>
      <c r="D583" s="663"/>
      <c r="E583" s="664"/>
      <c r="F583" s="665"/>
      <c r="G583" s="539"/>
      <c r="H583" s="373"/>
      <c r="I583" s="665"/>
      <c r="J583" s="666"/>
      <c r="K583" s="665"/>
      <c r="L583" s="667"/>
      <c r="M583" s="668"/>
      <c r="N583" s="373"/>
      <c r="O583" s="373"/>
      <c r="P583" s="670"/>
      <c r="Q583" s="665"/>
      <c r="R583" s="665"/>
      <c r="S583" s="539"/>
      <c r="T583" s="665"/>
      <c r="U583" s="49"/>
      <c r="V583" s="49"/>
      <c r="W583" s="49"/>
      <c r="X583" s="49"/>
      <c r="Y583" s="49"/>
    </row>
    <row r="584" ht="15.75" customHeight="1">
      <c r="A584" s="38"/>
      <c r="B584" s="49"/>
      <c r="C584" s="15"/>
      <c r="D584" s="663"/>
      <c r="E584" s="664"/>
      <c r="F584" s="665"/>
      <c r="G584" s="539"/>
      <c r="H584" s="373"/>
      <c r="I584" s="665"/>
      <c r="J584" s="666"/>
      <c r="K584" s="665"/>
      <c r="L584" s="667"/>
      <c r="M584" s="668"/>
      <c r="N584" s="373"/>
      <c r="O584" s="373"/>
      <c r="P584" s="670"/>
      <c r="Q584" s="665"/>
      <c r="R584" s="665"/>
      <c r="S584" s="539"/>
      <c r="T584" s="665"/>
      <c r="U584" s="49"/>
      <c r="V584" s="49"/>
      <c r="W584" s="49"/>
      <c r="X584" s="49"/>
      <c r="Y584" s="49"/>
    </row>
    <row r="585" ht="15.75" customHeight="1">
      <c r="A585" s="38"/>
      <c r="B585" s="49"/>
      <c r="C585" s="15"/>
      <c r="D585" s="663"/>
      <c r="E585" s="664"/>
      <c r="F585" s="665"/>
      <c r="G585" s="539"/>
      <c r="H585" s="373"/>
      <c r="I585" s="665"/>
      <c r="J585" s="666"/>
      <c r="K585" s="665"/>
      <c r="L585" s="667"/>
      <c r="M585" s="668"/>
      <c r="N585" s="373"/>
      <c r="O585" s="373"/>
      <c r="P585" s="670"/>
      <c r="Q585" s="665"/>
      <c r="R585" s="665"/>
      <c r="S585" s="539"/>
      <c r="T585" s="665"/>
      <c r="U585" s="49"/>
      <c r="V585" s="49"/>
      <c r="W585" s="49"/>
      <c r="X585" s="49"/>
      <c r="Y585" s="49"/>
    </row>
    <row r="586" ht="15.75" customHeight="1">
      <c r="A586" s="38"/>
      <c r="B586" s="49"/>
      <c r="C586" s="15"/>
      <c r="D586" s="663"/>
      <c r="E586" s="664"/>
      <c r="F586" s="665"/>
      <c r="G586" s="539"/>
      <c r="H586" s="373"/>
      <c r="I586" s="665"/>
      <c r="J586" s="666"/>
      <c r="K586" s="665"/>
      <c r="L586" s="667"/>
      <c r="M586" s="668"/>
      <c r="N586" s="373"/>
      <c r="O586" s="373"/>
      <c r="P586" s="670"/>
      <c r="Q586" s="665"/>
      <c r="R586" s="665"/>
      <c r="S586" s="539"/>
      <c r="T586" s="665"/>
      <c r="U586" s="49"/>
      <c r="V586" s="49"/>
      <c r="W586" s="49"/>
      <c r="X586" s="49"/>
      <c r="Y586" s="49"/>
    </row>
    <row r="587" ht="15.75" customHeight="1">
      <c r="A587" s="38"/>
      <c r="B587" s="49"/>
      <c r="C587" s="15"/>
      <c r="D587" s="663"/>
      <c r="E587" s="664"/>
      <c r="F587" s="665"/>
      <c r="G587" s="539"/>
      <c r="H587" s="373"/>
      <c r="I587" s="665"/>
      <c r="J587" s="666"/>
      <c r="K587" s="665"/>
      <c r="L587" s="667"/>
      <c r="M587" s="668"/>
      <c r="N587" s="373"/>
      <c r="O587" s="373"/>
      <c r="P587" s="670"/>
      <c r="Q587" s="665"/>
      <c r="R587" s="665"/>
      <c r="S587" s="539"/>
      <c r="T587" s="665"/>
      <c r="U587" s="49"/>
      <c r="V587" s="49"/>
      <c r="W587" s="49"/>
      <c r="X587" s="49"/>
      <c r="Y587" s="49"/>
    </row>
    <row r="588" ht="15.75" customHeight="1">
      <c r="A588" s="38"/>
      <c r="B588" s="49"/>
      <c r="C588" s="15"/>
      <c r="D588" s="663"/>
      <c r="E588" s="664"/>
      <c r="F588" s="665"/>
      <c r="G588" s="539"/>
      <c r="H588" s="373"/>
      <c r="I588" s="665"/>
      <c r="J588" s="666"/>
      <c r="K588" s="665"/>
      <c r="L588" s="667"/>
      <c r="M588" s="668"/>
      <c r="N588" s="373"/>
      <c r="O588" s="373"/>
      <c r="P588" s="670"/>
      <c r="Q588" s="665"/>
      <c r="R588" s="665"/>
      <c r="S588" s="539"/>
      <c r="T588" s="665"/>
      <c r="U588" s="49"/>
      <c r="V588" s="49"/>
      <c r="W588" s="49"/>
      <c r="X588" s="49"/>
      <c r="Y588" s="49"/>
    </row>
    <row r="589" ht="15.75" customHeight="1">
      <c r="A589" s="38"/>
      <c r="B589" s="49"/>
      <c r="C589" s="15"/>
      <c r="D589" s="663"/>
      <c r="E589" s="664"/>
      <c r="F589" s="665"/>
      <c r="G589" s="539"/>
      <c r="H589" s="373"/>
      <c r="I589" s="665"/>
      <c r="J589" s="666"/>
      <c r="K589" s="665"/>
      <c r="L589" s="667"/>
      <c r="M589" s="668"/>
      <c r="N589" s="373"/>
      <c r="O589" s="373"/>
      <c r="P589" s="670"/>
      <c r="Q589" s="665"/>
      <c r="R589" s="665"/>
      <c r="S589" s="539"/>
      <c r="T589" s="665"/>
      <c r="U589" s="49"/>
      <c r="V589" s="49"/>
      <c r="W589" s="49"/>
      <c r="X589" s="49"/>
      <c r="Y589" s="49"/>
    </row>
    <row r="590" ht="15.75" customHeight="1">
      <c r="A590" s="38"/>
      <c r="B590" s="49"/>
      <c r="C590" s="15"/>
      <c r="D590" s="663"/>
      <c r="E590" s="664"/>
      <c r="F590" s="665"/>
      <c r="G590" s="539"/>
      <c r="H590" s="373"/>
      <c r="I590" s="665"/>
      <c r="J590" s="666"/>
      <c r="K590" s="665"/>
      <c r="L590" s="667"/>
      <c r="M590" s="668"/>
      <c r="N590" s="373"/>
      <c r="O590" s="373"/>
      <c r="P590" s="670"/>
      <c r="Q590" s="665"/>
      <c r="R590" s="665"/>
      <c r="S590" s="539"/>
      <c r="T590" s="665"/>
      <c r="U590" s="49"/>
      <c r="V590" s="49"/>
      <c r="W590" s="49"/>
      <c r="X590" s="49"/>
      <c r="Y590" s="49"/>
    </row>
    <row r="591" ht="15.75" customHeight="1">
      <c r="A591" s="38"/>
      <c r="B591" s="49"/>
      <c r="C591" s="15"/>
      <c r="D591" s="663"/>
      <c r="E591" s="664"/>
      <c r="F591" s="665"/>
      <c r="G591" s="539"/>
      <c r="H591" s="373"/>
      <c r="I591" s="665"/>
      <c r="J591" s="666"/>
      <c r="K591" s="665"/>
      <c r="L591" s="667"/>
      <c r="M591" s="668"/>
      <c r="N591" s="373"/>
      <c r="O591" s="373"/>
      <c r="P591" s="670"/>
      <c r="Q591" s="665"/>
      <c r="R591" s="665"/>
      <c r="S591" s="539"/>
      <c r="T591" s="665"/>
      <c r="U591" s="49"/>
      <c r="V591" s="49"/>
      <c r="W591" s="49"/>
      <c r="X591" s="49"/>
      <c r="Y591" s="49"/>
    </row>
    <row r="592" ht="15.75" customHeight="1">
      <c r="A592" s="38"/>
      <c r="B592" s="49"/>
      <c r="C592" s="15"/>
      <c r="D592" s="663"/>
      <c r="E592" s="664"/>
      <c r="F592" s="665"/>
      <c r="G592" s="539"/>
      <c r="H592" s="373"/>
      <c r="I592" s="665"/>
      <c r="J592" s="666"/>
      <c r="K592" s="665"/>
      <c r="L592" s="667"/>
      <c r="M592" s="668"/>
      <c r="N592" s="373"/>
      <c r="O592" s="373"/>
      <c r="P592" s="670"/>
      <c r="Q592" s="665"/>
      <c r="R592" s="665"/>
      <c r="S592" s="539"/>
      <c r="T592" s="665"/>
      <c r="U592" s="49"/>
      <c r="V592" s="49"/>
      <c r="W592" s="49"/>
      <c r="X592" s="49"/>
      <c r="Y592" s="49"/>
    </row>
    <row r="593" ht="15.75" customHeight="1">
      <c r="A593" s="38"/>
      <c r="B593" s="49"/>
      <c r="C593" s="15"/>
      <c r="D593" s="663"/>
      <c r="E593" s="664"/>
      <c r="F593" s="665"/>
      <c r="G593" s="539"/>
      <c r="H593" s="373"/>
      <c r="I593" s="665"/>
      <c r="J593" s="666"/>
      <c r="K593" s="665"/>
      <c r="L593" s="667"/>
      <c r="M593" s="668"/>
      <c r="N593" s="373"/>
      <c r="O593" s="373"/>
      <c r="P593" s="670"/>
      <c r="Q593" s="665"/>
      <c r="R593" s="665"/>
      <c r="S593" s="539"/>
      <c r="T593" s="665"/>
      <c r="U593" s="49"/>
      <c r="V593" s="49"/>
      <c r="W593" s="49"/>
      <c r="X593" s="49"/>
      <c r="Y593" s="49"/>
    </row>
    <row r="594" ht="15.75" customHeight="1">
      <c r="A594" s="38"/>
      <c r="B594" s="49"/>
      <c r="C594" s="15"/>
      <c r="D594" s="663"/>
      <c r="E594" s="664"/>
      <c r="F594" s="665"/>
      <c r="G594" s="539"/>
      <c r="H594" s="373"/>
      <c r="I594" s="665"/>
      <c r="J594" s="666"/>
      <c r="K594" s="665"/>
      <c r="L594" s="667"/>
      <c r="M594" s="668"/>
      <c r="N594" s="373"/>
      <c r="O594" s="373"/>
      <c r="P594" s="670"/>
      <c r="Q594" s="665"/>
      <c r="R594" s="665"/>
      <c r="S594" s="539"/>
      <c r="T594" s="665"/>
      <c r="U594" s="49"/>
      <c r="V594" s="49"/>
      <c r="W594" s="49"/>
      <c r="X594" s="49"/>
      <c r="Y594" s="49"/>
    </row>
    <row r="595" ht="15.75" customHeight="1">
      <c r="A595" s="38"/>
      <c r="B595" s="49"/>
      <c r="C595" s="15"/>
      <c r="D595" s="663"/>
      <c r="E595" s="664"/>
      <c r="F595" s="665"/>
      <c r="G595" s="539"/>
      <c r="H595" s="373"/>
      <c r="I595" s="665"/>
      <c r="J595" s="666"/>
      <c r="K595" s="665"/>
      <c r="L595" s="667"/>
      <c r="M595" s="668"/>
      <c r="N595" s="373"/>
      <c r="O595" s="373"/>
      <c r="P595" s="670"/>
      <c r="Q595" s="665"/>
      <c r="R595" s="665"/>
      <c r="S595" s="539"/>
      <c r="T595" s="665"/>
      <c r="U595" s="49"/>
      <c r="V595" s="49"/>
      <c r="W595" s="49"/>
      <c r="X595" s="49"/>
      <c r="Y595" s="49"/>
    </row>
    <row r="596" ht="15.75" customHeight="1">
      <c r="A596" s="38"/>
      <c r="B596" s="49"/>
      <c r="C596" s="15"/>
      <c r="D596" s="663"/>
      <c r="E596" s="664"/>
      <c r="F596" s="665"/>
      <c r="G596" s="539"/>
      <c r="H596" s="373"/>
      <c r="I596" s="665"/>
      <c r="J596" s="666"/>
      <c r="K596" s="665"/>
      <c r="L596" s="667"/>
      <c r="M596" s="668"/>
      <c r="N596" s="373"/>
      <c r="O596" s="373"/>
      <c r="P596" s="670"/>
      <c r="Q596" s="665"/>
      <c r="R596" s="665"/>
      <c r="S596" s="539"/>
      <c r="T596" s="665"/>
      <c r="U596" s="49"/>
      <c r="V596" s="49"/>
      <c r="W596" s="49"/>
      <c r="X596" s="49"/>
      <c r="Y596" s="49"/>
    </row>
    <row r="597" ht="15.75" customHeight="1">
      <c r="A597" s="38"/>
      <c r="B597" s="49"/>
      <c r="C597" s="15"/>
      <c r="D597" s="663"/>
      <c r="E597" s="664"/>
      <c r="F597" s="665"/>
      <c r="G597" s="539"/>
      <c r="H597" s="373"/>
      <c r="I597" s="665"/>
      <c r="J597" s="666"/>
      <c r="K597" s="665"/>
      <c r="L597" s="667"/>
      <c r="M597" s="668"/>
      <c r="N597" s="373"/>
      <c r="O597" s="373"/>
      <c r="P597" s="670"/>
      <c r="Q597" s="665"/>
      <c r="R597" s="665"/>
      <c r="S597" s="539"/>
      <c r="T597" s="665"/>
      <c r="U597" s="49"/>
      <c r="V597" s="49"/>
      <c r="W597" s="49"/>
      <c r="X597" s="49"/>
      <c r="Y597" s="49"/>
    </row>
    <row r="598" ht="15.75" customHeight="1">
      <c r="A598" s="38"/>
      <c r="B598" s="49"/>
      <c r="C598" s="15"/>
      <c r="D598" s="663"/>
      <c r="E598" s="664"/>
      <c r="F598" s="665"/>
      <c r="G598" s="539"/>
      <c r="H598" s="373"/>
      <c r="I598" s="665"/>
      <c r="J598" s="666"/>
      <c r="K598" s="665"/>
      <c r="L598" s="667"/>
      <c r="M598" s="668"/>
      <c r="N598" s="373"/>
      <c r="O598" s="373"/>
      <c r="P598" s="670"/>
      <c r="Q598" s="665"/>
      <c r="R598" s="665"/>
      <c r="S598" s="539"/>
      <c r="T598" s="665"/>
      <c r="U598" s="49"/>
      <c r="V598" s="49"/>
      <c r="W598" s="49"/>
      <c r="X598" s="49"/>
      <c r="Y598" s="49"/>
    </row>
    <row r="599" ht="15.75" customHeight="1">
      <c r="A599" s="38"/>
      <c r="B599" s="49"/>
      <c r="C599" s="15"/>
      <c r="D599" s="663"/>
      <c r="E599" s="664"/>
      <c r="F599" s="665"/>
      <c r="G599" s="539"/>
      <c r="H599" s="373"/>
      <c r="I599" s="665"/>
      <c r="J599" s="666"/>
      <c r="K599" s="665"/>
      <c r="L599" s="667"/>
      <c r="M599" s="668"/>
      <c r="N599" s="373"/>
      <c r="O599" s="373"/>
      <c r="P599" s="670"/>
      <c r="Q599" s="665"/>
      <c r="R599" s="665"/>
      <c r="S599" s="539"/>
      <c r="T599" s="665"/>
      <c r="U599" s="49"/>
      <c r="V599" s="49"/>
      <c r="W599" s="49"/>
      <c r="X599" s="49"/>
      <c r="Y599" s="49"/>
    </row>
    <row r="600" ht="15.75" customHeight="1">
      <c r="A600" s="38"/>
      <c r="B600" s="49"/>
      <c r="C600" s="15"/>
      <c r="D600" s="663"/>
      <c r="E600" s="664"/>
      <c r="F600" s="665"/>
      <c r="G600" s="539"/>
      <c r="H600" s="373"/>
      <c r="I600" s="665"/>
      <c r="J600" s="666"/>
      <c r="K600" s="665"/>
      <c r="L600" s="667"/>
      <c r="M600" s="668"/>
      <c r="N600" s="373"/>
      <c r="O600" s="373"/>
      <c r="P600" s="670"/>
      <c r="Q600" s="665"/>
      <c r="R600" s="665"/>
      <c r="S600" s="539"/>
      <c r="T600" s="665"/>
      <c r="U600" s="49"/>
      <c r="V600" s="49"/>
      <c r="W600" s="49"/>
      <c r="X600" s="49"/>
      <c r="Y600" s="49"/>
    </row>
    <row r="601" ht="15.75" customHeight="1">
      <c r="A601" s="38"/>
      <c r="B601" s="49"/>
      <c r="C601" s="15"/>
      <c r="D601" s="663"/>
      <c r="E601" s="664"/>
      <c r="F601" s="665"/>
      <c r="G601" s="539"/>
      <c r="H601" s="373"/>
      <c r="I601" s="665"/>
      <c r="J601" s="666"/>
      <c r="K601" s="665"/>
      <c r="L601" s="667"/>
      <c r="M601" s="668"/>
      <c r="N601" s="373"/>
      <c r="O601" s="373"/>
      <c r="P601" s="670"/>
      <c r="Q601" s="665"/>
      <c r="R601" s="665"/>
      <c r="S601" s="539"/>
      <c r="T601" s="665"/>
      <c r="U601" s="49"/>
      <c r="V601" s="49"/>
      <c r="W601" s="49"/>
      <c r="X601" s="49"/>
      <c r="Y601" s="49"/>
    </row>
    <row r="602" ht="15.75" customHeight="1">
      <c r="A602" s="38"/>
      <c r="B602" s="49"/>
      <c r="C602" s="15"/>
      <c r="D602" s="663"/>
      <c r="E602" s="664"/>
      <c r="F602" s="665"/>
      <c r="G602" s="539"/>
      <c r="H602" s="373"/>
      <c r="I602" s="665"/>
      <c r="J602" s="666"/>
      <c r="K602" s="665"/>
      <c r="L602" s="667"/>
      <c r="M602" s="668"/>
      <c r="N602" s="373"/>
      <c r="O602" s="373"/>
      <c r="P602" s="670"/>
      <c r="Q602" s="665"/>
      <c r="R602" s="665"/>
      <c r="S602" s="539"/>
      <c r="T602" s="665"/>
      <c r="U602" s="49"/>
      <c r="V602" s="49"/>
      <c r="W602" s="49"/>
      <c r="X602" s="49"/>
      <c r="Y602" s="49"/>
    </row>
    <row r="603" ht="15.75" customHeight="1">
      <c r="A603" s="38"/>
      <c r="B603" s="49"/>
      <c r="C603" s="15"/>
      <c r="D603" s="663"/>
      <c r="E603" s="664"/>
      <c r="F603" s="665"/>
      <c r="G603" s="539"/>
      <c r="H603" s="373"/>
      <c r="I603" s="665"/>
      <c r="J603" s="666"/>
      <c r="K603" s="665"/>
      <c r="L603" s="667"/>
      <c r="M603" s="668"/>
      <c r="N603" s="373"/>
      <c r="O603" s="373"/>
      <c r="P603" s="670"/>
      <c r="Q603" s="665"/>
      <c r="R603" s="665"/>
      <c r="S603" s="539"/>
      <c r="T603" s="665"/>
      <c r="U603" s="49"/>
      <c r="V603" s="49"/>
      <c r="W603" s="49"/>
      <c r="X603" s="49"/>
      <c r="Y603" s="49"/>
    </row>
    <row r="604" ht="15.75" customHeight="1">
      <c r="A604" s="38"/>
      <c r="B604" s="49"/>
      <c r="C604" s="15"/>
      <c r="D604" s="663"/>
      <c r="E604" s="664"/>
      <c r="F604" s="665"/>
      <c r="G604" s="539"/>
      <c r="H604" s="373"/>
      <c r="I604" s="665"/>
      <c r="J604" s="666"/>
      <c r="K604" s="665"/>
      <c r="L604" s="667"/>
      <c r="M604" s="668"/>
      <c r="N604" s="373"/>
      <c r="O604" s="373"/>
      <c r="P604" s="670"/>
      <c r="Q604" s="665"/>
      <c r="R604" s="665"/>
      <c r="S604" s="539"/>
      <c r="T604" s="665"/>
      <c r="U604" s="49"/>
      <c r="V604" s="49"/>
      <c r="W604" s="49"/>
      <c r="X604" s="49"/>
      <c r="Y604" s="49"/>
    </row>
    <row r="605" ht="15.75" customHeight="1">
      <c r="A605" s="38"/>
      <c r="B605" s="49"/>
      <c r="C605" s="15"/>
      <c r="D605" s="663"/>
      <c r="E605" s="664"/>
      <c r="F605" s="665"/>
      <c r="G605" s="539"/>
      <c r="H605" s="373"/>
      <c r="I605" s="665"/>
      <c r="J605" s="666"/>
      <c r="K605" s="665"/>
      <c r="L605" s="667"/>
      <c r="M605" s="668"/>
      <c r="N605" s="373"/>
      <c r="O605" s="373"/>
      <c r="P605" s="670"/>
      <c r="Q605" s="665"/>
      <c r="R605" s="665"/>
      <c r="S605" s="539"/>
      <c r="T605" s="665"/>
      <c r="U605" s="49"/>
      <c r="V605" s="49"/>
      <c r="W605" s="49"/>
      <c r="X605" s="49"/>
      <c r="Y605" s="49"/>
    </row>
    <row r="606" ht="15.75" customHeight="1">
      <c r="A606" s="38"/>
      <c r="B606" s="49"/>
      <c r="C606" s="15"/>
      <c r="D606" s="663"/>
      <c r="E606" s="664"/>
      <c r="F606" s="665"/>
      <c r="G606" s="539"/>
      <c r="H606" s="373"/>
      <c r="I606" s="665"/>
      <c r="J606" s="666"/>
      <c r="K606" s="665"/>
      <c r="L606" s="667"/>
      <c r="M606" s="668"/>
      <c r="N606" s="373"/>
      <c r="O606" s="373"/>
      <c r="P606" s="670"/>
      <c r="Q606" s="665"/>
      <c r="R606" s="665"/>
      <c r="S606" s="539"/>
      <c r="T606" s="665"/>
      <c r="U606" s="49"/>
      <c r="V606" s="49"/>
      <c r="W606" s="49"/>
      <c r="X606" s="49"/>
      <c r="Y606" s="49"/>
    </row>
    <row r="607" ht="15.75" customHeight="1">
      <c r="A607" s="38"/>
      <c r="B607" s="49"/>
      <c r="C607" s="15"/>
      <c r="D607" s="663"/>
      <c r="E607" s="664"/>
      <c r="F607" s="665"/>
      <c r="G607" s="539"/>
      <c r="H607" s="373"/>
      <c r="I607" s="665"/>
      <c r="J607" s="666"/>
      <c r="K607" s="665"/>
      <c r="L607" s="667"/>
      <c r="M607" s="668"/>
      <c r="N607" s="373"/>
      <c r="O607" s="373"/>
      <c r="P607" s="670"/>
      <c r="Q607" s="665"/>
      <c r="R607" s="665"/>
      <c r="S607" s="539"/>
      <c r="T607" s="665"/>
      <c r="U607" s="49"/>
      <c r="V607" s="49"/>
      <c r="W607" s="49"/>
      <c r="X607" s="49"/>
      <c r="Y607" s="49"/>
    </row>
    <row r="608" ht="15.75" customHeight="1">
      <c r="A608" s="38"/>
      <c r="B608" s="49"/>
      <c r="C608" s="15"/>
      <c r="D608" s="663"/>
      <c r="E608" s="664"/>
      <c r="F608" s="665"/>
      <c r="G608" s="539"/>
      <c r="H608" s="373"/>
      <c r="I608" s="665"/>
      <c r="J608" s="666"/>
      <c r="K608" s="665"/>
      <c r="L608" s="667"/>
      <c r="M608" s="668"/>
      <c r="N608" s="373"/>
      <c r="O608" s="373"/>
      <c r="P608" s="670"/>
      <c r="Q608" s="665"/>
      <c r="R608" s="665"/>
      <c r="S608" s="539"/>
      <c r="T608" s="665"/>
      <c r="U608" s="49"/>
      <c r="V608" s="49"/>
      <c r="W608" s="49"/>
      <c r="X608" s="49"/>
      <c r="Y608" s="49"/>
    </row>
    <row r="609" ht="15.75" customHeight="1">
      <c r="A609" s="38"/>
      <c r="B609" s="49"/>
      <c r="C609" s="15"/>
      <c r="D609" s="663"/>
      <c r="E609" s="664"/>
      <c r="F609" s="665"/>
      <c r="G609" s="539"/>
      <c r="H609" s="373"/>
      <c r="I609" s="665"/>
      <c r="J609" s="666"/>
      <c r="K609" s="665"/>
      <c r="L609" s="667"/>
      <c r="M609" s="668"/>
      <c r="N609" s="373"/>
      <c r="O609" s="373"/>
      <c r="P609" s="670"/>
      <c r="Q609" s="665"/>
      <c r="R609" s="665"/>
      <c r="S609" s="539"/>
      <c r="T609" s="665"/>
      <c r="U609" s="49"/>
      <c r="V609" s="49"/>
      <c r="W609" s="49"/>
      <c r="X609" s="49"/>
      <c r="Y609" s="49"/>
    </row>
    <row r="610" ht="15.75" customHeight="1">
      <c r="A610" s="38"/>
      <c r="B610" s="49"/>
      <c r="C610" s="15"/>
      <c r="D610" s="663"/>
      <c r="E610" s="664"/>
      <c r="F610" s="665"/>
      <c r="G610" s="539"/>
      <c r="H610" s="373"/>
      <c r="I610" s="665"/>
      <c r="J610" s="666"/>
      <c r="K610" s="665"/>
      <c r="L610" s="667"/>
      <c r="M610" s="668"/>
      <c r="N610" s="373"/>
      <c r="O610" s="373"/>
      <c r="P610" s="670"/>
      <c r="Q610" s="665"/>
      <c r="R610" s="665"/>
      <c r="S610" s="539"/>
      <c r="T610" s="665"/>
      <c r="U610" s="49"/>
      <c r="V610" s="49"/>
      <c r="W610" s="49"/>
      <c r="X610" s="49"/>
      <c r="Y610" s="49"/>
    </row>
    <row r="611" ht="15.75" customHeight="1">
      <c r="A611" s="38"/>
      <c r="B611" s="49"/>
      <c r="C611" s="15"/>
      <c r="D611" s="663"/>
      <c r="E611" s="664"/>
      <c r="F611" s="665"/>
      <c r="G611" s="539"/>
      <c r="H611" s="373"/>
      <c r="I611" s="665"/>
      <c r="J611" s="666"/>
      <c r="K611" s="665"/>
      <c r="L611" s="667"/>
      <c r="M611" s="668"/>
      <c r="N611" s="373"/>
      <c r="O611" s="373"/>
      <c r="P611" s="670"/>
      <c r="Q611" s="665"/>
      <c r="R611" s="665"/>
      <c r="S611" s="539"/>
      <c r="T611" s="665"/>
      <c r="U611" s="49"/>
      <c r="V611" s="49"/>
      <c r="W611" s="49"/>
      <c r="X611" s="49"/>
      <c r="Y611" s="49"/>
    </row>
    <row r="612" ht="15.75" customHeight="1">
      <c r="A612" s="38"/>
      <c r="B612" s="49"/>
      <c r="C612" s="15"/>
      <c r="D612" s="663"/>
      <c r="E612" s="664"/>
      <c r="F612" s="665"/>
      <c r="G612" s="539"/>
      <c r="H612" s="373"/>
      <c r="I612" s="665"/>
      <c r="J612" s="666"/>
      <c r="K612" s="665"/>
      <c r="L612" s="667"/>
      <c r="M612" s="668"/>
      <c r="N612" s="373"/>
      <c r="O612" s="373"/>
      <c r="P612" s="670"/>
      <c r="Q612" s="665"/>
      <c r="R612" s="665"/>
      <c r="S612" s="539"/>
      <c r="T612" s="665"/>
      <c r="U612" s="49"/>
      <c r="V612" s="49"/>
      <c r="W612" s="49"/>
      <c r="X612" s="49"/>
      <c r="Y612" s="49"/>
    </row>
    <row r="613" ht="15.75" customHeight="1">
      <c r="A613" s="38"/>
      <c r="B613" s="49"/>
      <c r="C613" s="15"/>
      <c r="D613" s="663"/>
      <c r="E613" s="664"/>
      <c r="F613" s="665"/>
      <c r="G613" s="539"/>
      <c r="H613" s="373"/>
      <c r="I613" s="665"/>
      <c r="J613" s="666"/>
      <c r="K613" s="665"/>
      <c r="L613" s="667"/>
      <c r="M613" s="668"/>
      <c r="N613" s="373"/>
      <c r="O613" s="373"/>
      <c r="P613" s="670"/>
      <c r="Q613" s="665"/>
      <c r="R613" s="665"/>
      <c r="S613" s="539"/>
      <c r="T613" s="665"/>
      <c r="U613" s="49"/>
      <c r="V613" s="49"/>
      <c r="W613" s="49"/>
      <c r="X613" s="49"/>
      <c r="Y613" s="49"/>
    </row>
    <row r="614" ht="15.75" customHeight="1">
      <c r="A614" s="38"/>
      <c r="B614" s="49"/>
      <c r="C614" s="15"/>
      <c r="D614" s="663"/>
      <c r="E614" s="664"/>
      <c r="F614" s="665"/>
      <c r="G614" s="539"/>
      <c r="H614" s="373"/>
      <c r="I614" s="665"/>
      <c r="J614" s="666"/>
      <c r="K614" s="665"/>
      <c r="L614" s="667"/>
      <c r="M614" s="668"/>
      <c r="N614" s="373"/>
      <c r="O614" s="373"/>
      <c r="P614" s="670"/>
      <c r="Q614" s="665"/>
      <c r="R614" s="665"/>
      <c r="S614" s="539"/>
      <c r="T614" s="665"/>
      <c r="U614" s="49"/>
      <c r="V614" s="49"/>
      <c r="W614" s="49"/>
      <c r="X614" s="49"/>
      <c r="Y614" s="49"/>
    </row>
    <row r="615" ht="15.75" customHeight="1">
      <c r="A615" s="38"/>
      <c r="B615" s="49"/>
      <c r="C615" s="15"/>
      <c r="D615" s="663"/>
      <c r="E615" s="664"/>
      <c r="F615" s="665"/>
      <c r="G615" s="539"/>
      <c r="H615" s="373"/>
      <c r="I615" s="665"/>
      <c r="J615" s="666"/>
      <c r="K615" s="665"/>
      <c r="L615" s="667"/>
      <c r="M615" s="668"/>
      <c r="N615" s="373"/>
      <c r="O615" s="373"/>
      <c r="P615" s="670"/>
      <c r="Q615" s="665"/>
      <c r="R615" s="665"/>
      <c r="S615" s="539"/>
      <c r="T615" s="665"/>
      <c r="U615" s="49"/>
      <c r="V615" s="49"/>
      <c r="W615" s="49"/>
      <c r="X615" s="49"/>
      <c r="Y615" s="49"/>
    </row>
    <row r="616" ht="15.75" customHeight="1">
      <c r="A616" s="38"/>
      <c r="B616" s="49"/>
      <c r="C616" s="15"/>
      <c r="D616" s="663"/>
      <c r="E616" s="664"/>
      <c r="F616" s="665"/>
      <c r="G616" s="539"/>
      <c r="H616" s="373"/>
      <c r="I616" s="665"/>
      <c r="J616" s="666"/>
      <c r="K616" s="665"/>
      <c r="L616" s="667"/>
      <c r="M616" s="668"/>
      <c r="N616" s="373"/>
      <c r="O616" s="373"/>
      <c r="P616" s="670"/>
      <c r="Q616" s="665"/>
      <c r="R616" s="665"/>
      <c r="S616" s="539"/>
      <c r="T616" s="665"/>
      <c r="U616" s="49"/>
      <c r="V616" s="49"/>
      <c r="W616" s="49"/>
      <c r="X616" s="49"/>
      <c r="Y616" s="49"/>
    </row>
    <row r="617" ht="15.75" customHeight="1">
      <c r="A617" s="38"/>
      <c r="B617" s="49"/>
      <c r="C617" s="15"/>
      <c r="D617" s="663"/>
      <c r="E617" s="664"/>
      <c r="F617" s="665"/>
      <c r="G617" s="539"/>
      <c r="H617" s="373"/>
      <c r="I617" s="665"/>
      <c r="J617" s="666"/>
      <c r="K617" s="665"/>
      <c r="L617" s="667"/>
      <c r="M617" s="668"/>
      <c r="N617" s="373"/>
      <c r="O617" s="373"/>
      <c r="P617" s="670"/>
      <c r="Q617" s="665"/>
      <c r="R617" s="665"/>
      <c r="S617" s="539"/>
      <c r="T617" s="665"/>
      <c r="U617" s="49"/>
      <c r="V617" s="49"/>
      <c r="W617" s="49"/>
      <c r="X617" s="49"/>
      <c r="Y617" s="49"/>
    </row>
    <row r="618" ht="15.75" customHeight="1">
      <c r="A618" s="38"/>
      <c r="B618" s="49"/>
      <c r="C618" s="15"/>
      <c r="D618" s="663"/>
      <c r="E618" s="664"/>
      <c r="F618" s="665"/>
      <c r="G618" s="539"/>
      <c r="H618" s="373"/>
      <c r="I618" s="665"/>
      <c r="J618" s="666"/>
      <c r="K618" s="665"/>
      <c r="L618" s="667"/>
      <c r="M618" s="668"/>
      <c r="N618" s="373"/>
      <c r="O618" s="373"/>
      <c r="P618" s="670"/>
      <c r="Q618" s="665"/>
      <c r="R618" s="665"/>
      <c r="S618" s="539"/>
      <c r="T618" s="665"/>
      <c r="U618" s="49"/>
      <c r="V618" s="49"/>
      <c r="W618" s="49"/>
      <c r="X618" s="49"/>
      <c r="Y618" s="49"/>
    </row>
    <row r="619" ht="15.75" customHeight="1">
      <c r="A619" s="38"/>
      <c r="B619" s="49"/>
      <c r="C619" s="15"/>
      <c r="D619" s="663"/>
      <c r="E619" s="664"/>
      <c r="F619" s="665"/>
      <c r="G619" s="539"/>
      <c r="H619" s="373"/>
      <c r="I619" s="665"/>
      <c r="J619" s="666"/>
      <c r="K619" s="665"/>
      <c r="L619" s="667"/>
      <c r="M619" s="668"/>
      <c r="N619" s="373"/>
      <c r="O619" s="373"/>
      <c r="P619" s="670"/>
      <c r="Q619" s="665"/>
      <c r="R619" s="665"/>
      <c r="S619" s="539"/>
      <c r="T619" s="665"/>
      <c r="U619" s="49"/>
      <c r="V619" s="49"/>
      <c r="W619" s="49"/>
      <c r="X619" s="49"/>
      <c r="Y619" s="49"/>
    </row>
    <row r="620" ht="15.75" customHeight="1">
      <c r="A620" s="38"/>
      <c r="B620" s="49"/>
      <c r="C620" s="15"/>
      <c r="D620" s="663"/>
      <c r="E620" s="664"/>
      <c r="F620" s="665"/>
      <c r="G620" s="539"/>
      <c r="H620" s="373"/>
      <c r="I620" s="665"/>
      <c r="J620" s="666"/>
      <c r="K620" s="665"/>
      <c r="L620" s="667"/>
      <c r="M620" s="668"/>
      <c r="N620" s="373"/>
      <c r="O620" s="373"/>
      <c r="P620" s="670"/>
      <c r="Q620" s="665"/>
      <c r="R620" s="665"/>
      <c r="S620" s="539"/>
      <c r="T620" s="665"/>
      <c r="U620" s="49"/>
      <c r="V620" s="49"/>
      <c r="W620" s="49"/>
      <c r="X620" s="49"/>
      <c r="Y620" s="49"/>
    </row>
    <row r="621" ht="15.75" customHeight="1">
      <c r="A621" s="38"/>
      <c r="B621" s="49"/>
      <c r="C621" s="15"/>
      <c r="D621" s="663"/>
      <c r="E621" s="664"/>
      <c r="F621" s="665"/>
      <c r="G621" s="539"/>
      <c r="H621" s="373"/>
      <c r="I621" s="665"/>
      <c r="J621" s="666"/>
      <c r="K621" s="665"/>
      <c r="L621" s="667"/>
      <c r="M621" s="668"/>
      <c r="N621" s="373"/>
      <c r="O621" s="373"/>
      <c r="P621" s="670"/>
      <c r="Q621" s="665"/>
      <c r="R621" s="665"/>
      <c r="S621" s="539"/>
      <c r="T621" s="665"/>
      <c r="U621" s="49"/>
      <c r="V621" s="49"/>
      <c r="W621" s="49"/>
      <c r="X621" s="49"/>
      <c r="Y621" s="49"/>
    </row>
    <row r="622" ht="15.75" customHeight="1">
      <c r="A622" s="38"/>
      <c r="B622" s="49"/>
      <c r="C622" s="15"/>
      <c r="D622" s="663"/>
      <c r="E622" s="664"/>
      <c r="F622" s="665"/>
      <c r="G622" s="539"/>
      <c r="H622" s="373"/>
      <c r="I622" s="665"/>
      <c r="J622" s="666"/>
      <c r="K622" s="665"/>
      <c r="L622" s="667"/>
      <c r="M622" s="668"/>
      <c r="N622" s="373"/>
      <c r="O622" s="373"/>
      <c r="P622" s="670"/>
      <c r="Q622" s="665"/>
      <c r="R622" s="665"/>
      <c r="S622" s="539"/>
      <c r="T622" s="665"/>
      <c r="U622" s="49"/>
      <c r="V622" s="49"/>
      <c r="W622" s="49"/>
      <c r="X622" s="49"/>
      <c r="Y622" s="49"/>
    </row>
    <row r="623" ht="15.75" customHeight="1">
      <c r="A623" s="38"/>
      <c r="B623" s="49"/>
      <c r="C623" s="15"/>
      <c r="D623" s="663"/>
      <c r="E623" s="664"/>
      <c r="F623" s="665"/>
      <c r="G623" s="539"/>
      <c r="H623" s="373"/>
      <c r="I623" s="665"/>
      <c r="J623" s="666"/>
      <c r="K623" s="665"/>
      <c r="L623" s="667"/>
      <c r="M623" s="668"/>
      <c r="N623" s="373"/>
      <c r="O623" s="373"/>
      <c r="P623" s="670"/>
      <c r="Q623" s="665"/>
      <c r="R623" s="665"/>
      <c r="S623" s="539"/>
      <c r="T623" s="665"/>
      <c r="U623" s="49"/>
      <c r="V623" s="49"/>
      <c r="W623" s="49"/>
      <c r="X623" s="49"/>
      <c r="Y623" s="49"/>
    </row>
    <row r="624" ht="15.75" customHeight="1">
      <c r="A624" s="38"/>
      <c r="B624" s="49"/>
      <c r="C624" s="15"/>
      <c r="D624" s="663"/>
      <c r="E624" s="664"/>
      <c r="F624" s="665"/>
      <c r="G624" s="539"/>
      <c r="H624" s="373"/>
      <c r="I624" s="665"/>
      <c r="J624" s="666"/>
      <c r="K624" s="665"/>
      <c r="L624" s="667"/>
      <c r="M624" s="668"/>
      <c r="N624" s="373"/>
      <c r="O624" s="373"/>
      <c r="P624" s="670"/>
      <c r="Q624" s="665"/>
      <c r="R624" s="665"/>
      <c r="S624" s="539"/>
      <c r="T624" s="665"/>
      <c r="U624" s="49"/>
      <c r="V624" s="49"/>
      <c r="W624" s="49"/>
      <c r="X624" s="49"/>
      <c r="Y624" s="49"/>
    </row>
    <row r="625" ht="15.75" customHeight="1">
      <c r="A625" s="38"/>
      <c r="B625" s="49"/>
      <c r="C625" s="15"/>
      <c r="D625" s="663"/>
      <c r="E625" s="664"/>
      <c r="F625" s="665"/>
      <c r="G625" s="539"/>
      <c r="H625" s="373"/>
      <c r="I625" s="665"/>
      <c r="J625" s="666"/>
      <c r="K625" s="665"/>
      <c r="L625" s="667"/>
      <c r="M625" s="668"/>
      <c r="N625" s="373"/>
      <c r="O625" s="373"/>
      <c r="P625" s="670"/>
      <c r="Q625" s="665"/>
      <c r="R625" s="665"/>
      <c r="S625" s="539"/>
      <c r="T625" s="665"/>
      <c r="U625" s="49"/>
      <c r="V625" s="49"/>
      <c r="W625" s="49"/>
      <c r="X625" s="49"/>
      <c r="Y625" s="49"/>
    </row>
    <row r="626" ht="15.75" customHeight="1">
      <c r="A626" s="38"/>
      <c r="B626" s="49"/>
      <c r="C626" s="15"/>
      <c r="D626" s="663"/>
      <c r="E626" s="664"/>
      <c r="F626" s="665"/>
      <c r="G626" s="539"/>
      <c r="H626" s="373"/>
      <c r="I626" s="665"/>
      <c r="J626" s="666"/>
      <c r="K626" s="665"/>
      <c r="L626" s="667"/>
      <c r="M626" s="668"/>
      <c r="N626" s="373"/>
      <c r="O626" s="373"/>
      <c r="P626" s="670"/>
      <c r="Q626" s="665"/>
      <c r="R626" s="665"/>
      <c r="S626" s="539"/>
      <c r="T626" s="665"/>
      <c r="U626" s="49"/>
      <c r="V626" s="49"/>
      <c r="W626" s="49"/>
      <c r="X626" s="49"/>
      <c r="Y626" s="49"/>
    </row>
    <row r="627" ht="15.75" customHeight="1">
      <c r="A627" s="38"/>
      <c r="B627" s="49"/>
      <c r="C627" s="15"/>
      <c r="D627" s="663"/>
      <c r="E627" s="664"/>
      <c r="F627" s="665"/>
      <c r="G627" s="539"/>
      <c r="H627" s="373"/>
      <c r="I627" s="665"/>
      <c r="J627" s="666"/>
      <c r="K627" s="665"/>
      <c r="L627" s="667"/>
      <c r="M627" s="668"/>
      <c r="N627" s="373"/>
      <c r="O627" s="373"/>
      <c r="P627" s="670"/>
      <c r="Q627" s="665"/>
      <c r="R627" s="665"/>
      <c r="S627" s="539"/>
      <c r="T627" s="665"/>
      <c r="U627" s="49"/>
      <c r="V627" s="49"/>
      <c r="W627" s="49"/>
      <c r="X627" s="49"/>
      <c r="Y627" s="49"/>
    </row>
    <row r="628" ht="15.75" customHeight="1">
      <c r="A628" s="38"/>
      <c r="B628" s="49"/>
      <c r="C628" s="15"/>
      <c r="D628" s="663"/>
      <c r="E628" s="664"/>
      <c r="F628" s="665"/>
      <c r="G628" s="539"/>
      <c r="H628" s="373"/>
      <c r="I628" s="665"/>
      <c r="J628" s="666"/>
      <c r="K628" s="665"/>
      <c r="L628" s="667"/>
      <c r="M628" s="668"/>
      <c r="N628" s="373"/>
      <c r="O628" s="373"/>
      <c r="P628" s="670"/>
      <c r="Q628" s="665"/>
      <c r="R628" s="665"/>
      <c r="S628" s="539"/>
      <c r="T628" s="665"/>
      <c r="U628" s="49"/>
      <c r="V628" s="49"/>
      <c r="W628" s="49"/>
      <c r="X628" s="49"/>
      <c r="Y628" s="49"/>
    </row>
    <row r="629" ht="15.75" customHeight="1">
      <c r="A629" s="38"/>
      <c r="B629" s="49"/>
      <c r="C629" s="15"/>
      <c r="D629" s="663"/>
      <c r="E629" s="664"/>
      <c r="F629" s="665"/>
      <c r="G629" s="539"/>
      <c r="H629" s="373"/>
      <c r="I629" s="665"/>
      <c r="J629" s="666"/>
      <c r="K629" s="665"/>
      <c r="L629" s="667"/>
      <c r="M629" s="668"/>
      <c r="N629" s="373"/>
      <c r="O629" s="373"/>
      <c r="P629" s="670"/>
      <c r="Q629" s="665"/>
      <c r="R629" s="665"/>
      <c r="S629" s="539"/>
      <c r="T629" s="665"/>
      <c r="U629" s="49"/>
      <c r="V629" s="49"/>
      <c r="W629" s="49"/>
      <c r="X629" s="49"/>
      <c r="Y629" s="49"/>
    </row>
    <row r="630" ht="15.75" customHeight="1">
      <c r="A630" s="38"/>
      <c r="B630" s="49"/>
      <c r="C630" s="15"/>
      <c r="D630" s="663"/>
      <c r="E630" s="664"/>
      <c r="F630" s="665"/>
      <c r="G630" s="539"/>
      <c r="H630" s="373"/>
      <c r="I630" s="665"/>
      <c r="J630" s="666"/>
      <c r="K630" s="665"/>
      <c r="L630" s="667"/>
      <c r="M630" s="668"/>
      <c r="N630" s="373"/>
      <c r="O630" s="373"/>
      <c r="P630" s="670"/>
      <c r="Q630" s="665"/>
      <c r="R630" s="665"/>
      <c r="S630" s="539"/>
      <c r="T630" s="665"/>
      <c r="U630" s="49"/>
      <c r="V630" s="49"/>
      <c r="W630" s="49"/>
      <c r="X630" s="49"/>
      <c r="Y630" s="49"/>
    </row>
    <row r="631" ht="15.75" customHeight="1">
      <c r="A631" s="38"/>
      <c r="B631" s="49"/>
      <c r="C631" s="15"/>
      <c r="D631" s="663"/>
      <c r="E631" s="664"/>
      <c r="F631" s="665"/>
      <c r="G631" s="539"/>
      <c r="H631" s="373"/>
      <c r="I631" s="665"/>
      <c r="J631" s="666"/>
      <c r="K631" s="665"/>
      <c r="L631" s="667"/>
      <c r="M631" s="668"/>
      <c r="N631" s="373"/>
      <c r="O631" s="373"/>
      <c r="P631" s="670"/>
      <c r="Q631" s="665"/>
      <c r="R631" s="665"/>
      <c r="S631" s="539"/>
      <c r="T631" s="665"/>
      <c r="U631" s="49"/>
      <c r="V631" s="49"/>
      <c r="W631" s="49"/>
      <c r="X631" s="49"/>
      <c r="Y631" s="49"/>
    </row>
    <row r="632" ht="15.75" customHeight="1">
      <c r="A632" s="38"/>
      <c r="B632" s="49"/>
      <c r="C632" s="15"/>
      <c r="D632" s="663"/>
      <c r="E632" s="664"/>
      <c r="F632" s="665"/>
      <c r="G632" s="539"/>
      <c r="H632" s="373"/>
      <c r="I632" s="665"/>
      <c r="J632" s="666"/>
      <c r="K632" s="665"/>
      <c r="L632" s="667"/>
      <c r="M632" s="668"/>
      <c r="N632" s="373"/>
      <c r="O632" s="373"/>
      <c r="P632" s="670"/>
      <c r="Q632" s="665"/>
      <c r="R632" s="665"/>
      <c r="S632" s="539"/>
      <c r="T632" s="665"/>
      <c r="U632" s="49"/>
      <c r="V632" s="49"/>
      <c r="W632" s="49"/>
      <c r="X632" s="49"/>
      <c r="Y632" s="49"/>
    </row>
    <row r="633" ht="15.75" customHeight="1">
      <c r="A633" s="38"/>
      <c r="B633" s="49"/>
      <c r="C633" s="15"/>
      <c r="D633" s="663"/>
      <c r="E633" s="664"/>
      <c r="F633" s="665"/>
      <c r="G633" s="539"/>
      <c r="H633" s="373"/>
      <c r="I633" s="665"/>
      <c r="J633" s="666"/>
      <c r="K633" s="665"/>
      <c r="L633" s="667"/>
      <c r="M633" s="668"/>
      <c r="N633" s="373"/>
      <c r="O633" s="373"/>
      <c r="P633" s="670"/>
      <c r="Q633" s="665"/>
      <c r="R633" s="665"/>
      <c r="S633" s="539"/>
      <c r="T633" s="665"/>
      <c r="U633" s="49"/>
      <c r="V633" s="49"/>
      <c r="W633" s="49"/>
      <c r="X633" s="49"/>
      <c r="Y633" s="49"/>
    </row>
    <row r="634" ht="15.75" customHeight="1">
      <c r="A634" s="38"/>
      <c r="B634" s="49"/>
      <c r="C634" s="15"/>
      <c r="D634" s="663"/>
      <c r="E634" s="664"/>
      <c r="F634" s="665"/>
      <c r="G634" s="539"/>
      <c r="H634" s="373"/>
      <c r="I634" s="665"/>
      <c r="J634" s="666"/>
      <c r="K634" s="665"/>
      <c r="L634" s="667"/>
      <c r="M634" s="668"/>
      <c r="N634" s="373"/>
      <c r="O634" s="373"/>
      <c r="P634" s="670"/>
      <c r="Q634" s="665"/>
      <c r="R634" s="665"/>
      <c r="S634" s="539"/>
      <c r="T634" s="665"/>
      <c r="U634" s="49"/>
      <c r="V634" s="49"/>
      <c r="W634" s="49"/>
      <c r="X634" s="49"/>
      <c r="Y634" s="49"/>
    </row>
    <row r="635" ht="15.75" customHeight="1">
      <c r="A635" s="38"/>
      <c r="B635" s="49"/>
      <c r="C635" s="15"/>
      <c r="D635" s="663"/>
      <c r="E635" s="664"/>
      <c r="F635" s="665"/>
      <c r="G635" s="539"/>
      <c r="H635" s="373"/>
      <c r="I635" s="665"/>
      <c r="J635" s="666"/>
      <c r="K635" s="665"/>
      <c r="L635" s="667"/>
      <c r="M635" s="668"/>
      <c r="N635" s="373"/>
      <c r="O635" s="373"/>
      <c r="P635" s="670"/>
      <c r="Q635" s="665"/>
      <c r="R635" s="665"/>
      <c r="S635" s="539"/>
      <c r="T635" s="665"/>
      <c r="U635" s="49"/>
      <c r="V635" s="49"/>
      <c r="W635" s="49"/>
      <c r="X635" s="49"/>
      <c r="Y635" s="49"/>
    </row>
    <row r="636" ht="15.75" customHeight="1">
      <c r="A636" s="38"/>
      <c r="B636" s="49"/>
      <c r="C636" s="15"/>
      <c r="D636" s="663"/>
      <c r="E636" s="664"/>
      <c r="F636" s="665"/>
      <c r="G636" s="539"/>
      <c r="H636" s="373"/>
      <c r="I636" s="665"/>
      <c r="J636" s="666"/>
      <c r="K636" s="665"/>
      <c r="L636" s="667"/>
      <c r="M636" s="668"/>
      <c r="N636" s="373"/>
      <c r="O636" s="373"/>
      <c r="P636" s="670"/>
      <c r="Q636" s="665"/>
      <c r="R636" s="665"/>
      <c r="S636" s="539"/>
      <c r="T636" s="665"/>
      <c r="U636" s="49"/>
      <c r="V636" s="49"/>
      <c r="W636" s="49"/>
      <c r="X636" s="49"/>
      <c r="Y636" s="49"/>
    </row>
    <row r="637" ht="15.75" customHeight="1">
      <c r="A637" s="38"/>
      <c r="B637" s="49"/>
      <c r="C637" s="15"/>
      <c r="D637" s="663"/>
      <c r="E637" s="664"/>
      <c r="F637" s="665"/>
      <c r="G637" s="539"/>
      <c r="H637" s="373"/>
      <c r="I637" s="665"/>
      <c r="J637" s="666"/>
      <c r="K637" s="665"/>
      <c r="L637" s="667"/>
      <c r="M637" s="668"/>
      <c r="N637" s="373"/>
      <c r="O637" s="373"/>
      <c r="P637" s="670"/>
      <c r="Q637" s="665"/>
      <c r="R637" s="665"/>
      <c r="S637" s="539"/>
      <c r="T637" s="665"/>
      <c r="U637" s="49"/>
      <c r="V637" s="49"/>
      <c r="W637" s="49"/>
      <c r="X637" s="49"/>
      <c r="Y637" s="49"/>
    </row>
    <row r="638" ht="15.75" customHeight="1">
      <c r="A638" s="38"/>
      <c r="B638" s="49"/>
      <c r="C638" s="15"/>
      <c r="D638" s="663"/>
      <c r="E638" s="664"/>
      <c r="F638" s="665"/>
      <c r="G638" s="539"/>
      <c r="H638" s="373"/>
      <c r="I638" s="665"/>
      <c r="J638" s="666"/>
      <c r="K638" s="665"/>
      <c r="L638" s="667"/>
      <c r="M638" s="668"/>
      <c r="N638" s="373"/>
      <c r="O638" s="373"/>
      <c r="P638" s="670"/>
      <c r="Q638" s="665"/>
      <c r="R638" s="665"/>
      <c r="S638" s="539"/>
      <c r="T638" s="665"/>
      <c r="U638" s="49"/>
      <c r="V638" s="49"/>
      <c r="W638" s="49"/>
      <c r="X638" s="49"/>
      <c r="Y638" s="49"/>
    </row>
    <row r="639" ht="15.75" customHeight="1">
      <c r="A639" s="38"/>
      <c r="B639" s="49"/>
      <c r="C639" s="15"/>
      <c r="D639" s="663"/>
      <c r="E639" s="664"/>
      <c r="F639" s="665"/>
      <c r="G639" s="539"/>
      <c r="H639" s="373"/>
      <c r="I639" s="665"/>
      <c r="J639" s="666"/>
      <c r="K639" s="665"/>
      <c r="L639" s="667"/>
      <c r="M639" s="668"/>
      <c r="N639" s="373"/>
      <c r="O639" s="373"/>
      <c r="P639" s="670"/>
      <c r="Q639" s="665"/>
      <c r="R639" s="665"/>
      <c r="S639" s="539"/>
      <c r="T639" s="665"/>
      <c r="U639" s="49"/>
      <c r="V639" s="49"/>
      <c r="W639" s="49"/>
      <c r="X639" s="49"/>
      <c r="Y639" s="49"/>
    </row>
    <row r="640" ht="15.75" customHeight="1">
      <c r="A640" s="38"/>
      <c r="B640" s="49"/>
      <c r="C640" s="15"/>
      <c r="D640" s="663"/>
      <c r="E640" s="664"/>
      <c r="F640" s="665"/>
      <c r="G640" s="539"/>
      <c r="H640" s="373"/>
      <c r="I640" s="665"/>
      <c r="J640" s="666"/>
      <c r="K640" s="665"/>
      <c r="L640" s="667"/>
      <c r="M640" s="668"/>
      <c r="N640" s="373"/>
      <c r="O640" s="373"/>
      <c r="P640" s="670"/>
      <c r="Q640" s="665"/>
      <c r="R640" s="665"/>
      <c r="S640" s="539"/>
      <c r="T640" s="665"/>
      <c r="U640" s="49"/>
      <c r="V640" s="49"/>
      <c r="W640" s="49"/>
      <c r="X640" s="49"/>
      <c r="Y640" s="49"/>
    </row>
    <row r="641" ht="15.75" customHeight="1">
      <c r="A641" s="38"/>
      <c r="B641" s="49"/>
      <c r="C641" s="15"/>
      <c r="D641" s="663"/>
      <c r="E641" s="664"/>
      <c r="F641" s="665"/>
      <c r="G641" s="539"/>
      <c r="H641" s="373"/>
      <c r="I641" s="665"/>
      <c r="J641" s="666"/>
      <c r="K641" s="665"/>
      <c r="L641" s="667"/>
      <c r="M641" s="668"/>
      <c r="N641" s="373"/>
      <c r="O641" s="373"/>
      <c r="P641" s="670"/>
      <c r="Q641" s="665"/>
      <c r="R641" s="665"/>
      <c r="S641" s="539"/>
      <c r="T641" s="665"/>
      <c r="U641" s="49"/>
      <c r="V641" s="49"/>
      <c r="W641" s="49"/>
      <c r="X641" s="49"/>
      <c r="Y641" s="49"/>
    </row>
    <row r="642" ht="15.75" customHeight="1">
      <c r="A642" s="38"/>
      <c r="B642" s="49"/>
      <c r="C642" s="15"/>
      <c r="D642" s="663"/>
      <c r="E642" s="664"/>
      <c r="F642" s="665"/>
      <c r="G642" s="539"/>
      <c r="H642" s="373"/>
      <c r="I642" s="665"/>
      <c r="J642" s="666"/>
      <c r="K642" s="665"/>
      <c r="L642" s="667"/>
      <c r="M642" s="668"/>
      <c r="N642" s="373"/>
      <c r="O642" s="373"/>
      <c r="P642" s="670"/>
      <c r="Q642" s="665"/>
      <c r="R642" s="665"/>
      <c r="S642" s="539"/>
      <c r="T642" s="665"/>
      <c r="U642" s="49"/>
      <c r="V642" s="49"/>
      <c r="W642" s="49"/>
      <c r="X642" s="49"/>
      <c r="Y642" s="49"/>
    </row>
    <row r="643" ht="15.75" customHeight="1">
      <c r="A643" s="38"/>
      <c r="B643" s="49"/>
      <c r="C643" s="15"/>
      <c r="D643" s="663"/>
      <c r="E643" s="664"/>
      <c r="F643" s="665"/>
      <c r="G643" s="539"/>
      <c r="H643" s="373"/>
      <c r="I643" s="665"/>
      <c r="J643" s="666"/>
      <c r="K643" s="665"/>
      <c r="L643" s="667"/>
      <c r="M643" s="668"/>
      <c r="N643" s="373"/>
      <c r="O643" s="373"/>
      <c r="P643" s="670"/>
      <c r="Q643" s="665"/>
      <c r="R643" s="665"/>
      <c r="S643" s="539"/>
      <c r="T643" s="665"/>
      <c r="U643" s="49"/>
      <c r="V643" s="49"/>
      <c r="W643" s="49"/>
      <c r="X643" s="49"/>
      <c r="Y643" s="49"/>
    </row>
    <row r="644" ht="15.75" customHeight="1">
      <c r="A644" s="38"/>
      <c r="B644" s="49"/>
      <c r="C644" s="15"/>
      <c r="D644" s="663"/>
      <c r="E644" s="664"/>
      <c r="F644" s="665"/>
      <c r="G644" s="539"/>
      <c r="H644" s="373"/>
      <c r="I644" s="665"/>
      <c r="J644" s="666"/>
      <c r="K644" s="665"/>
      <c r="L644" s="667"/>
      <c r="M644" s="668"/>
      <c r="N644" s="373"/>
      <c r="O644" s="373"/>
      <c r="P644" s="670"/>
      <c r="Q644" s="665"/>
      <c r="R644" s="665"/>
      <c r="S644" s="539"/>
      <c r="T644" s="665"/>
      <c r="U644" s="49"/>
      <c r="V644" s="49"/>
      <c r="W644" s="49"/>
      <c r="X644" s="49"/>
      <c r="Y644" s="49"/>
    </row>
    <row r="645" ht="15.75" customHeight="1">
      <c r="A645" s="38"/>
      <c r="B645" s="49"/>
      <c r="C645" s="15"/>
      <c r="D645" s="663"/>
      <c r="E645" s="664"/>
      <c r="F645" s="665"/>
      <c r="G645" s="539"/>
      <c r="H645" s="373"/>
      <c r="I645" s="665"/>
      <c r="J645" s="666"/>
      <c r="K645" s="665"/>
      <c r="L645" s="667"/>
      <c r="M645" s="668"/>
      <c r="N645" s="373"/>
      <c r="O645" s="373"/>
      <c r="P645" s="670"/>
      <c r="Q645" s="665"/>
      <c r="R645" s="665"/>
      <c r="S645" s="539"/>
      <c r="T645" s="665"/>
      <c r="U645" s="49"/>
      <c r="V645" s="49"/>
      <c r="W645" s="49"/>
      <c r="X645" s="49"/>
      <c r="Y645" s="49"/>
    </row>
    <row r="646" ht="15.75" customHeight="1">
      <c r="A646" s="38"/>
      <c r="B646" s="49"/>
      <c r="C646" s="15"/>
      <c r="D646" s="663"/>
      <c r="E646" s="664"/>
      <c r="F646" s="665"/>
      <c r="G646" s="539"/>
      <c r="H646" s="373"/>
      <c r="I646" s="665"/>
      <c r="J646" s="666"/>
      <c r="K646" s="665"/>
      <c r="L646" s="667"/>
      <c r="M646" s="668"/>
      <c r="N646" s="373"/>
      <c r="O646" s="373"/>
      <c r="P646" s="670"/>
      <c r="Q646" s="665"/>
      <c r="R646" s="665"/>
      <c r="S646" s="539"/>
      <c r="T646" s="665"/>
      <c r="U646" s="49"/>
      <c r="V646" s="49"/>
      <c r="W646" s="49"/>
      <c r="X646" s="49"/>
      <c r="Y646" s="49"/>
    </row>
    <row r="647" ht="15.75" customHeight="1">
      <c r="A647" s="38"/>
      <c r="B647" s="49"/>
      <c r="C647" s="15"/>
      <c r="D647" s="663"/>
      <c r="E647" s="664"/>
      <c r="F647" s="665"/>
      <c r="G647" s="539"/>
      <c r="H647" s="373"/>
      <c r="I647" s="665"/>
      <c r="J647" s="666"/>
      <c r="K647" s="665"/>
      <c r="L647" s="667"/>
      <c r="M647" s="668"/>
      <c r="N647" s="373"/>
      <c r="O647" s="373"/>
      <c r="P647" s="670"/>
      <c r="Q647" s="665"/>
      <c r="R647" s="665"/>
      <c r="S647" s="539"/>
      <c r="T647" s="665"/>
      <c r="U647" s="49"/>
      <c r="V647" s="49"/>
      <c r="W647" s="49"/>
      <c r="X647" s="49"/>
      <c r="Y647" s="49"/>
    </row>
    <row r="648" ht="15.75" customHeight="1">
      <c r="A648" s="38"/>
      <c r="B648" s="49"/>
      <c r="C648" s="15"/>
      <c r="D648" s="663"/>
      <c r="E648" s="664"/>
      <c r="F648" s="665"/>
      <c r="G648" s="539"/>
      <c r="H648" s="373"/>
      <c r="I648" s="665"/>
      <c r="J648" s="666"/>
      <c r="K648" s="665"/>
      <c r="L648" s="667"/>
      <c r="M648" s="668"/>
      <c r="N648" s="373"/>
      <c r="O648" s="373"/>
      <c r="P648" s="670"/>
      <c r="Q648" s="665"/>
      <c r="R648" s="665"/>
      <c r="S648" s="539"/>
      <c r="T648" s="665"/>
      <c r="U648" s="49"/>
      <c r="V648" s="49"/>
      <c r="W648" s="49"/>
      <c r="X648" s="49"/>
      <c r="Y648" s="49"/>
    </row>
    <row r="649" ht="15.75" customHeight="1">
      <c r="A649" s="38"/>
      <c r="B649" s="49"/>
      <c r="C649" s="15"/>
      <c r="D649" s="663"/>
      <c r="E649" s="664"/>
      <c r="F649" s="665"/>
      <c r="G649" s="539"/>
      <c r="H649" s="373"/>
      <c r="I649" s="665"/>
      <c r="J649" s="666"/>
      <c r="K649" s="665"/>
      <c r="L649" s="667"/>
      <c r="M649" s="668"/>
      <c r="N649" s="373"/>
      <c r="O649" s="373"/>
      <c r="P649" s="670"/>
      <c r="Q649" s="665"/>
      <c r="R649" s="665"/>
      <c r="S649" s="539"/>
      <c r="T649" s="665"/>
      <c r="U649" s="49"/>
      <c r="V649" s="49"/>
      <c r="W649" s="49"/>
      <c r="X649" s="49"/>
      <c r="Y649" s="49"/>
    </row>
    <row r="650" ht="15.75" customHeight="1">
      <c r="A650" s="38"/>
      <c r="B650" s="49"/>
      <c r="C650" s="15"/>
      <c r="D650" s="663"/>
      <c r="E650" s="664"/>
      <c r="F650" s="665"/>
      <c r="G650" s="539"/>
      <c r="H650" s="373"/>
      <c r="I650" s="665"/>
      <c r="J650" s="666"/>
      <c r="K650" s="665"/>
      <c r="L650" s="667"/>
      <c r="M650" s="668"/>
      <c r="N650" s="373"/>
      <c r="O650" s="373"/>
      <c r="P650" s="670"/>
      <c r="Q650" s="665"/>
      <c r="R650" s="665"/>
      <c r="S650" s="539"/>
      <c r="T650" s="665"/>
      <c r="U650" s="49"/>
      <c r="V650" s="49"/>
      <c r="W650" s="49"/>
      <c r="X650" s="49"/>
      <c r="Y650" s="49"/>
    </row>
    <row r="651" ht="15.75" customHeight="1">
      <c r="A651" s="38"/>
      <c r="B651" s="49"/>
      <c r="C651" s="15"/>
      <c r="D651" s="663"/>
      <c r="E651" s="664"/>
      <c r="F651" s="665"/>
      <c r="G651" s="539"/>
      <c r="H651" s="373"/>
      <c r="I651" s="665"/>
      <c r="J651" s="666"/>
      <c r="K651" s="665"/>
      <c r="L651" s="667"/>
      <c r="M651" s="668"/>
      <c r="N651" s="373"/>
      <c r="O651" s="373"/>
      <c r="P651" s="670"/>
      <c r="Q651" s="665"/>
      <c r="R651" s="665"/>
      <c r="S651" s="539"/>
      <c r="T651" s="665"/>
      <c r="U651" s="49"/>
      <c r="V651" s="49"/>
      <c r="W651" s="49"/>
      <c r="X651" s="49"/>
      <c r="Y651" s="49"/>
    </row>
    <row r="652" ht="15.75" customHeight="1">
      <c r="A652" s="38"/>
      <c r="B652" s="49"/>
      <c r="C652" s="15"/>
      <c r="D652" s="663"/>
      <c r="E652" s="664"/>
      <c r="F652" s="665"/>
      <c r="G652" s="539"/>
      <c r="H652" s="373"/>
      <c r="I652" s="665"/>
      <c r="J652" s="666"/>
      <c r="K652" s="665"/>
      <c r="L652" s="667"/>
      <c r="M652" s="668"/>
      <c r="N652" s="373"/>
      <c r="O652" s="373"/>
      <c r="P652" s="670"/>
      <c r="Q652" s="665"/>
      <c r="R652" s="665"/>
      <c r="S652" s="539"/>
      <c r="T652" s="665"/>
      <c r="U652" s="49"/>
      <c r="V652" s="49"/>
      <c r="W652" s="49"/>
      <c r="X652" s="49"/>
      <c r="Y652" s="49"/>
    </row>
    <row r="653" ht="15.75" customHeight="1">
      <c r="A653" s="38"/>
      <c r="B653" s="49"/>
      <c r="C653" s="15"/>
      <c r="D653" s="663"/>
      <c r="E653" s="664"/>
      <c r="F653" s="665"/>
      <c r="G653" s="539"/>
      <c r="H653" s="373"/>
      <c r="I653" s="665"/>
      <c r="J653" s="666"/>
      <c r="K653" s="665"/>
      <c r="L653" s="667"/>
      <c r="M653" s="668"/>
      <c r="N653" s="373"/>
      <c r="O653" s="373"/>
      <c r="P653" s="670"/>
      <c r="Q653" s="665"/>
      <c r="R653" s="665"/>
      <c r="S653" s="539"/>
      <c r="T653" s="665"/>
      <c r="U653" s="49"/>
      <c r="V653" s="49"/>
      <c r="W653" s="49"/>
      <c r="X653" s="49"/>
      <c r="Y653" s="49"/>
    </row>
    <row r="654" ht="15.75" customHeight="1">
      <c r="A654" s="38"/>
      <c r="B654" s="49"/>
      <c r="C654" s="15"/>
      <c r="D654" s="663"/>
      <c r="E654" s="664"/>
      <c r="F654" s="665"/>
      <c r="G654" s="539"/>
      <c r="H654" s="373"/>
      <c r="I654" s="665"/>
      <c r="J654" s="666"/>
      <c r="K654" s="665"/>
      <c r="L654" s="667"/>
      <c r="M654" s="668"/>
      <c r="N654" s="373"/>
      <c r="O654" s="373"/>
      <c r="P654" s="670"/>
      <c r="Q654" s="665"/>
      <c r="R654" s="665"/>
      <c r="S654" s="539"/>
      <c r="T654" s="665"/>
      <c r="U654" s="49"/>
      <c r="V654" s="49"/>
      <c r="W654" s="49"/>
      <c r="X654" s="49"/>
      <c r="Y654" s="49"/>
    </row>
    <row r="655" ht="15.75" customHeight="1">
      <c r="A655" s="38"/>
      <c r="B655" s="49"/>
      <c r="C655" s="15"/>
      <c r="D655" s="663"/>
      <c r="E655" s="664"/>
      <c r="F655" s="665"/>
      <c r="G655" s="539"/>
      <c r="H655" s="373"/>
      <c r="I655" s="665"/>
      <c r="J655" s="666"/>
      <c r="K655" s="665"/>
      <c r="L655" s="667"/>
      <c r="M655" s="668"/>
      <c r="N655" s="373"/>
      <c r="O655" s="373"/>
      <c r="P655" s="670"/>
      <c r="Q655" s="665"/>
      <c r="R655" s="665"/>
      <c r="S655" s="539"/>
      <c r="T655" s="665"/>
      <c r="U655" s="49"/>
      <c r="V655" s="49"/>
      <c r="W655" s="49"/>
      <c r="X655" s="49"/>
      <c r="Y655" s="49"/>
    </row>
    <row r="656" ht="15.75" customHeight="1">
      <c r="A656" s="38"/>
      <c r="B656" s="49"/>
      <c r="C656" s="15"/>
      <c r="D656" s="663"/>
      <c r="E656" s="664"/>
      <c r="F656" s="665"/>
      <c r="G656" s="539"/>
      <c r="H656" s="373"/>
      <c r="I656" s="665"/>
      <c r="J656" s="666"/>
      <c r="K656" s="665"/>
      <c r="L656" s="667"/>
      <c r="M656" s="668"/>
      <c r="N656" s="373"/>
      <c r="O656" s="373"/>
      <c r="P656" s="670"/>
      <c r="Q656" s="665"/>
      <c r="R656" s="665"/>
      <c r="S656" s="539"/>
      <c r="T656" s="665"/>
      <c r="U656" s="49"/>
      <c r="V656" s="49"/>
      <c r="W656" s="49"/>
      <c r="X656" s="49"/>
      <c r="Y656" s="49"/>
    </row>
    <row r="657" ht="15.75" customHeight="1">
      <c r="A657" s="38"/>
      <c r="B657" s="49"/>
      <c r="C657" s="15"/>
      <c r="D657" s="663"/>
      <c r="E657" s="664"/>
      <c r="F657" s="665"/>
      <c r="G657" s="539"/>
      <c r="H657" s="373"/>
      <c r="I657" s="665"/>
      <c r="J657" s="666"/>
      <c r="K657" s="665"/>
      <c r="L657" s="667"/>
      <c r="M657" s="668"/>
      <c r="N657" s="373"/>
      <c r="O657" s="373"/>
      <c r="P657" s="670"/>
      <c r="Q657" s="665"/>
      <c r="R657" s="665"/>
      <c r="S657" s="539"/>
      <c r="T657" s="665"/>
      <c r="U657" s="49"/>
      <c r="V657" s="49"/>
      <c r="W657" s="49"/>
      <c r="X657" s="49"/>
      <c r="Y657" s="49"/>
    </row>
    <row r="658" ht="15.75" customHeight="1">
      <c r="A658" s="38"/>
      <c r="B658" s="49"/>
      <c r="C658" s="15"/>
      <c r="D658" s="663"/>
      <c r="E658" s="664"/>
      <c r="F658" s="665"/>
      <c r="G658" s="539"/>
      <c r="H658" s="373"/>
      <c r="I658" s="665"/>
      <c r="J658" s="666"/>
      <c r="K658" s="665"/>
      <c r="L658" s="667"/>
      <c r="M658" s="668"/>
      <c r="N658" s="373"/>
      <c r="O658" s="373"/>
      <c r="P658" s="670"/>
      <c r="Q658" s="665"/>
      <c r="R658" s="665"/>
      <c r="S658" s="539"/>
      <c r="T658" s="665"/>
      <c r="U658" s="49"/>
      <c r="V658" s="49"/>
      <c r="W658" s="49"/>
      <c r="X658" s="49"/>
      <c r="Y658" s="49"/>
    </row>
    <row r="659" ht="15.75" customHeight="1">
      <c r="A659" s="38"/>
      <c r="B659" s="49"/>
      <c r="C659" s="15"/>
      <c r="D659" s="663"/>
      <c r="E659" s="664"/>
      <c r="F659" s="665"/>
      <c r="G659" s="539"/>
      <c r="H659" s="373"/>
      <c r="I659" s="665"/>
      <c r="J659" s="666"/>
      <c r="K659" s="665"/>
      <c r="L659" s="667"/>
      <c r="M659" s="668"/>
      <c r="N659" s="373"/>
      <c r="O659" s="373"/>
      <c r="P659" s="670"/>
      <c r="Q659" s="665"/>
      <c r="R659" s="665"/>
      <c r="S659" s="539"/>
      <c r="T659" s="665"/>
      <c r="U659" s="49"/>
      <c r="V659" s="49"/>
      <c r="W659" s="49"/>
      <c r="X659" s="49"/>
      <c r="Y659" s="49"/>
    </row>
    <row r="660" ht="15.75" customHeight="1">
      <c r="A660" s="38"/>
      <c r="B660" s="49"/>
      <c r="C660" s="15"/>
      <c r="D660" s="663"/>
      <c r="E660" s="664"/>
      <c r="F660" s="665"/>
      <c r="G660" s="539"/>
      <c r="H660" s="373"/>
      <c r="I660" s="665"/>
      <c r="J660" s="666"/>
      <c r="K660" s="665"/>
      <c r="L660" s="667"/>
      <c r="M660" s="668"/>
      <c r="N660" s="373"/>
      <c r="O660" s="373"/>
      <c r="P660" s="670"/>
      <c r="Q660" s="665"/>
      <c r="R660" s="665"/>
      <c r="S660" s="539"/>
      <c r="T660" s="665"/>
      <c r="U660" s="49"/>
      <c r="V660" s="49"/>
      <c r="W660" s="49"/>
      <c r="X660" s="49"/>
      <c r="Y660" s="49"/>
    </row>
    <row r="661" ht="15.75" customHeight="1">
      <c r="A661" s="38"/>
      <c r="B661" s="49"/>
      <c r="C661" s="15"/>
      <c r="D661" s="663"/>
      <c r="E661" s="664"/>
      <c r="F661" s="665"/>
      <c r="G661" s="539"/>
      <c r="H661" s="373"/>
      <c r="I661" s="665"/>
      <c r="J661" s="666"/>
      <c r="K661" s="665"/>
      <c r="L661" s="667"/>
      <c r="M661" s="668"/>
      <c r="N661" s="373"/>
      <c r="O661" s="373"/>
      <c r="P661" s="670"/>
      <c r="Q661" s="665"/>
      <c r="R661" s="665"/>
      <c r="S661" s="539"/>
      <c r="T661" s="665"/>
      <c r="U661" s="49"/>
      <c r="V661" s="49"/>
      <c r="W661" s="49"/>
      <c r="X661" s="49"/>
      <c r="Y661" s="49"/>
    </row>
    <row r="662" ht="15.75" customHeight="1">
      <c r="A662" s="38"/>
      <c r="B662" s="49"/>
      <c r="C662" s="15"/>
      <c r="D662" s="663"/>
      <c r="E662" s="664"/>
      <c r="F662" s="665"/>
      <c r="G662" s="539"/>
      <c r="H662" s="373"/>
      <c r="I662" s="665"/>
      <c r="J662" s="666"/>
      <c r="K662" s="665"/>
      <c r="L662" s="667"/>
      <c r="M662" s="668"/>
      <c r="N662" s="373"/>
      <c r="O662" s="373"/>
      <c r="P662" s="670"/>
      <c r="Q662" s="665"/>
      <c r="R662" s="665"/>
      <c r="S662" s="539"/>
      <c r="T662" s="665"/>
      <c r="U662" s="49"/>
      <c r="V662" s="49"/>
      <c r="W662" s="49"/>
      <c r="X662" s="49"/>
      <c r="Y662" s="49"/>
    </row>
    <row r="663" ht="15.75" customHeight="1">
      <c r="A663" s="38"/>
      <c r="B663" s="49"/>
      <c r="C663" s="15"/>
      <c r="D663" s="663"/>
      <c r="E663" s="664"/>
      <c r="F663" s="665"/>
      <c r="G663" s="539"/>
      <c r="H663" s="373"/>
      <c r="I663" s="665"/>
      <c r="J663" s="666"/>
      <c r="K663" s="665"/>
      <c r="L663" s="667"/>
      <c r="M663" s="668"/>
      <c r="N663" s="373"/>
      <c r="O663" s="373"/>
      <c r="P663" s="670"/>
      <c r="Q663" s="665"/>
      <c r="R663" s="665"/>
      <c r="S663" s="539"/>
      <c r="T663" s="665"/>
      <c r="U663" s="49"/>
      <c r="V663" s="49"/>
      <c r="W663" s="49"/>
      <c r="X663" s="49"/>
      <c r="Y663" s="49"/>
    </row>
    <row r="664" ht="15.75" customHeight="1">
      <c r="A664" s="38"/>
      <c r="B664" s="49"/>
      <c r="C664" s="15"/>
      <c r="D664" s="663"/>
      <c r="E664" s="664"/>
      <c r="F664" s="665"/>
      <c r="G664" s="539"/>
      <c r="H664" s="373"/>
      <c r="I664" s="665"/>
      <c r="J664" s="666"/>
      <c r="K664" s="665"/>
      <c r="L664" s="667"/>
      <c r="M664" s="668"/>
      <c r="N664" s="373"/>
      <c r="O664" s="373"/>
      <c r="P664" s="670"/>
      <c r="Q664" s="665"/>
      <c r="R664" s="665"/>
      <c r="S664" s="539"/>
      <c r="T664" s="665"/>
      <c r="U664" s="49"/>
      <c r="V664" s="49"/>
      <c r="W664" s="49"/>
      <c r="X664" s="49"/>
      <c r="Y664" s="49"/>
    </row>
    <row r="665" ht="15.75" customHeight="1">
      <c r="A665" s="38"/>
      <c r="B665" s="49"/>
      <c r="C665" s="15"/>
      <c r="D665" s="663"/>
      <c r="E665" s="664"/>
      <c r="F665" s="665"/>
      <c r="G665" s="539"/>
      <c r="H665" s="373"/>
      <c r="I665" s="665"/>
      <c r="J665" s="666"/>
      <c r="K665" s="665"/>
      <c r="L665" s="667"/>
      <c r="M665" s="668"/>
      <c r="N665" s="373"/>
      <c r="O665" s="373"/>
      <c r="P665" s="670"/>
      <c r="Q665" s="665"/>
      <c r="R665" s="665"/>
      <c r="S665" s="539"/>
      <c r="T665" s="665"/>
      <c r="U665" s="49"/>
      <c r="V665" s="49"/>
      <c r="W665" s="49"/>
      <c r="X665" s="49"/>
      <c r="Y665" s="49"/>
    </row>
    <row r="666" ht="15.75" customHeight="1">
      <c r="A666" s="38"/>
      <c r="B666" s="49"/>
      <c r="C666" s="15"/>
      <c r="D666" s="663"/>
      <c r="E666" s="664"/>
      <c r="F666" s="665"/>
      <c r="G666" s="539"/>
      <c r="H666" s="373"/>
      <c r="I666" s="665"/>
      <c r="J666" s="666"/>
      <c r="K666" s="665"/>
      <c r="L666" s="667"/>
      <c r="M666" s="668"/>
      <c r="N666" s="373"/>
      <c r="O666" s="373"/>
      <c r="P666" s="670"/>
      <c r="Q666" s="665"/>
      <c r="R666" s="665"/>
      <c r="S666" s="539"/>
      <c r="T666" s="665"/>
      <c r="U666" s="49"/>
      <c r="V666" s="49"/>
      <c r="W666" s="49"/>
      <c r="X666" s="49"/>
      <c r="Y666" s="49"/>
    </row>
    <row r="667" ht="15.75" customHeight="1">
      <c r="A667" s="38"/>
      <c r="B667" s="49"/>
      <c r="C667" s="15"/>
      <c r="D667" s="663"/>
      <c r="E667" s="664"/>
      <c r="F667" s="665"/>
      <c r="G667" s="539"/>
      <c r="H667" s="373"/>
      <c r="I667" s="665"/>
      <c r="J667" s="666"/>
      <c r="K667" s="665"/>
      <c r="L667" s="667"/>
      <c r="M667" s="668"/>
      <c r="N667" s="373"/>
      <c r="O667" s="373"/>
      <c r="P667" s="670"/>
      <c r="Q667" s="665"/>
      <c r="R667" s="665"/>
      <c r="S667" s="539"/>
      <c r="T667" s="665"/>
      <c r="U667" s="49"/>
      <c r="V667" s="49"/>
      <c r="W667" s="49"/>
      <c r="X667" s="49"/>
      <c r="Y667" s="49"/>
    </row>
    <row r="668" ht="15.75" customHeight="1">
      <c r="A668" s="38"/>
      <c r="B668" s="49"/>
      <c r="C668" s="15"/>
      <c r="D668" s="663"/>
      <c r="E668" s="664"/>
      <c r="F668" s="665"/>
      <c r="G668" s="539"/>
      <c r="H668" s="373"/>
      <c r="I668" s="665"/>
      <c r="J668" s="666"/>
      <c r="K668" s="665"/>
      <c r="L668" s="667"/>
      <c r="M668" s="668"/>
      <c r="N668" s="373"/>
      <c r="O668" s="373"/>
      <c r="P668" s="670"/>
      <c r="Q668" s="665"/>
      <c r="R668" s="665"/>
      <c r="S668" s="539"/>
      <c r="T668" s="665"/>
      <c r="U668" s="49"/>
      <c r="V668" s="49"/>
      <c r="W668" s="49"/>
      <c r="X668" s="49"/>
      <c r="Y668" s="49"/>
    </row>
    <row r="669" ht="15.75" customHeight="1">
      <c r="A669" s="38"/>
      <c r="B669" s="49"/>
      <c r="C669" s="15"/>
      <c r="D669" s="663"/>
      <c r="E669" s="664"/>
      <c r="F669" s="665"/>
      <c r="G669" s="539"/>
      <c r="H669" s="373"/>
      <c r="I669" s="665"/>
      <c r="J669" s="666"/>
      <c r="K669" s="665"/>
      <c r="L669" s="667"/>
      <c r="M669" s="668"/>
      <c r="N669" s="373"/>
      <c r="O669" s="373"/>
      <c r="P669" s="670"/>
      <c r="Q669" s="665"/>
      <c r="R669" s="665"/>
      <c r="S669" s="539"/>
      <c r="T669" s="665"/>
      <c r="U669" s="49"/>
      <c r="V669" s="49"/>
      <c r="W669" s="49"/>
      <c r="X669" s="49"/>
      <c r="Y669" s="49"/>
    </row>
    <row r="670" ht="15.75" customHeight="1">
      <c r="A670" s="38"/>
      <c r="B670" s="49"/>
      <c r="C670" s="15"/>
      <c r="D670" s="663"/>
      <c r="E670" s="664"/>
      <c r="F670" s="665"/>
      <c r="G670" s="539"/>
      <c r="H670" s="373"/>
      <c r="I670" s="665"/>
      <c r="J670" s="666"/>
      <c r="K670" s="665"/>
      <c r="L670" s="667"/>
      <c r="M670" s="668"/>
      <c r="N670" s="373"/>
      <c r="O670" s="373"/>
      <c r="P670" s="670"/>
      <c r="Q670" s="665"/>
      <c r="R670" s="665"/>
      <c r="S670" s="539"/>
      <c r="T670" s="665"/>
      <c r="U670" s="49"/>
      <c r="V670" s="49"/>
      <c r="W670" s="49"/>
      <c r="X670" s="49"/>
      <c r="Y670" s="49"/>
    </row>
    <row r="671" ht="15.75" customHeight="1">
      <c r="A671" s="38"/>
      <c r="B671" s="49"/>
      <c r="C671" s="15"/>
      <c r="D671" s="663"/>
      <c r="E671" s="664"/>
      <c r="F671" s="665"/>
      <c r="G671" s="539"/>
      <c r="H671" s="373"/>
      <c r="I671" s="665"/>
      <c r="J671" s="666"/>
      <c r="K671" s="665"/>
      <c r="L671" s="667"/>
      <c r="M671" s="668"/>
      <c r="N671" s="373"/>
      <c r="O671" s="373"/>
      <c r="P671" s="670"/>
      <c r="Q671" s="665"/>
      <c r="R671" s="665"/>
      <c r="S671" s="539"/>
      <c r="T671" s="665"/>
      <c r="U671" s="49"/>
      <c r="V671" s="49"/>
      <c r="W671" s="49"/>
      <c r="X671" s="49"/>
      <c r="Y671" s="49"/>
    </row>
    <row r="672" ht="15.75" customHeight="1">
      <c r="A672" s="38"/>
      <c r="B672" s="49"/>
      <c r="C672" s="15"/>
      <c r="D672" s="663"/>
      <c r="E672" s="664"/>
      <c r="F672" s="665"/>
      <c r="G672" s="539"/>
      <c r="H672" s="373"/>
      <c r="I672" s="665"/>
      <c r="J672" s="666"/>
      <c r="K672" s="665"/>
      <c r="L672" s="667"/>
      <c r="M672" s="668"/>
      <c r="N672" s="373"/>
      <c r="O672" s="373"/>
      <c r="P672" s="670"/>
      <c r="Q672" s="665"/>
      <c r="R672" s="665"/>
      <c r="S672" s="539"/>
      <c r="T672" s="665"/>
      <c r="U672" s="49"/>
      <c r="V672" s="49"/>
      <c r="W672" s="49"/>
      <c r="X672" s="49"/>
      <c r="Y672" s="49"/>
    </row>
    <row r="673" ht="15.75" customHeight="1">
      <c r="A673" s="38"/>
      <c r="B673" s="49"/>
      <c r="C673" s="15"/>
      <c r="D673" s="663"/>
      <c r="E673" s="664"/>
      <c r="F673" s="665"/>
      <c r="G673" s="539"/>
      <c r="H673" s="373"/>
      <c r="I673" s="665"/>
      <c r="J673" s="666"/>
      <c r="K673" s="665"/>
      <c r="L673" s="667"/>
      <c r="M673" s="668"/>
      <c r="N673" s="373"/>
      <c r="O673" s="373"/>
      <c r="P673" s="670"/>
      <c r="Q673" s="665"/>
      <c r="R673" s="665"/>
      <c r="S673" s="539"/>
      <c r="T673" s="665"/>
      <c r="U673" s="49"/>
      <c r="V673" s="49"/>
      <c r="W673" s="49"/>
      <c r="X673" s="49"/>
      <c r="Y673" s="49"/>
    </row>
    <row r="674" ht="15.75" customHeight="1">
      <c r="A674" s="38"/>
      <c r="B674" s="49"/>
      <c r="C674" s="15"/>
      <c r="D674" s="663"/>
      <c r="E674" s="664"/>
      <c r="F674" s="665"/>
      <c r="G674" s="539"/>
      <c r="H674" s="373"/>
      <c r="I674" s="665"/>
      <c r="J674" s="666"/>
      <c r="K674" s="665"/>
      <c r="L674" s="667"/>
      <c r="M674" s="668"/>
      <c r="N674" s="373"/>
      <c r="O674" s="373"/>
      <c r="P674" s="670"/>
      <c r="Q674" s="665"/>
      <c r="R674" s="665"/>
      <c r="S674" s="539"/>
      <c r="T674" s="665"/>
      <c r="U674" s="49"/>
      <c r="V674" s="49"/>
      <c r="W674" s="49"/>
      <c r="X674" s="49"/>
      <c r="Y674" s="49"/>
    </row>
    <row r="675" ht="15.75" customHeight="1">
      <c r="A675" s="38"/>
      <c r="B675" s="49"/>
      <c r="C675" s="15"/>
      <c r="D675" s="663"/>
      <c r="E675" s="664"/>
      <c r="F675" s="665"/>
      <c r="G675" s="539"/>
      <c r="H675" s="373"/>
      <c r="I675" s="665"/>
      <c r="J675" s="666"/>
      <c r="K675" s="665"/>
      <c r="L675" s="667"/>
      <c r="M675" s="668"/>
      <c r="N675" s="373"/>
      <c r="O675" s="373"/>
      <c r="P675" s="670"/>
      <c r="Q675" s="665"/>
      <c r="R675" s="665"/>
      <c r="S675" s="539"/>
      <c r="T675" s="665"/>
      <c r="U675" s="49"/>
      <c r="V675" s="49"/>
      <c r="W675" s="49"/>
      <c r="X675" s="49"/>
      <c r="Y675" s="49"/>
    </row>
    <row r="676" ht="15.75" customHeight="1">
      <c r="A676" s="38"/>
      <c r="B676" s="49"/>
      <c r="C676" s="15"/>
      <c r="D676" s="663"/>
      <c r="E676" s="664"/>
      <c r="F676" s="665"/>
      <c r="G676" s="539"/>
      <c r="H676" s="373"/>
      <c r="I676" s="665"/>
      <c r="J676" s="666"/>
      <c r="K676" s="665"/>
      <c r="L676" s="667"/>
      <c r="M676" s="668"/>
      <c r="N676" s="373"/>
      <c r="O676" s="373"/>
      <c r="P676" s="670"/>
      <c r="Q676" s="665"/>
      <c r="R676" s="665"/>
      <c r="S676" s="539"/>
      <c r="T676" s="665"/>
      <c r="U676" s="49"/>
      <c r="V676" s="49"/>
      <c r="W676" s="49"/>
      <c r="X676" s="49"/>
      <c r="Y676" s="49"/>
    </row>
    <row r="677" ht="15.75" customHeight="1">
      <c r="A677" s="38"/>
      <c r="B677" s="49"/>
      <c r="C677" s="15"/>
      <c r="D677" s="663"/>
      <c r="E677" s="664"/>
      <c r="F677" s="665"/>
      <c r="G677" s="539"/>
      <c r="H677" s="373"/>
      <c r="I677" s="665"/>
      <c r="J677" s="666"/>
      <c r="K677" s="665"/>
      <c r="L677" s="667"/>
      <c r="M677" s="668"/>
      <c r="N677" s="373"/>
      <c r="O677" s="373"/>
      <c r="P677" s="670"/>
      <c r="Q677" s="665"/>
      <c r="R677" s="665"/>
      <c r="S677" s="539"/>
      <c r="T677" s="665"/>
      <c r="U677" s="49"/>
      <c r="V677" s="49"/>
      <c r="W677" s="49"/>
      <c r="X677" s="49"/>
      <c r="Y677" s="49"/>
    </row>
    <row r="678" ht="15.75" customHeight="1">
      <c r="A678" s="38"/>
      <c r="B678" s="49"/>
      <c r="C678" s="15"/>
      <c r="D678" s="663"/>
      <c r="E678" s="664"/>
      <c r="F678" s="665"/>
      <c r="G678" s="539"/>
      <c r="H678" s="373"/>
      <c r="I678" s="665"/>
      <c r="J678" s="666"/>
      <c r="K678" s="665"/>
      <c r="L678" s="667"/>
      <c r="M678" s="668"/>
      <c r="N678" s="373"/>
      <c r="O678" s="373"/>
      <c r="P678" s="670"/>
      <c r="Q678" s="665"/>
      <c r="R678" s="665"/>
      <c r="S678" s="539"/>
      <c r="T678" s="665"/>
      <c r="U678" s="49"/>
      <c r="V678" s="49"/>
      <c r="W678" s="49"/>
      <c r="X678" s="49"/>
      <c r="Y678" s="49"/>
    </row>
    <row r="679" ht="15.75" customHeight="1">
      <c r="A679" s="38"/>
      <c r="B679" s="49"/>
      <c r="C679" s="15"/>
      <c r="D679" s="663"/>
      <c r="E679" s="664"/>
      <c r="F679" s="665"/>
      <c r="G679" s="539"/>
      <c r="H679" s="373"/>
      <c r="I679" s="665"/>
      <c r="J679" s="666"/>
      <c r="K679" s="665"/>
      <c r="L679" s="667"/>
      <c r="M679" s="668"/>
      <c r="N679" s="373"/>
      <c r="O679" s="373"/>
      <c r="P679" s="670"/>
      <c r="Q679" s="665"/>
      <c r="R679" s="665"/>
      <c r="S679" s="539"/>
      <c r="T679" s="665"/>
      <c r="U679" s="49"/>
      <c r="V679" s="49"/>
      <c r="W679" s="49"/>
      <c r="X679" s="49"/>
      <c r="Y679" s="49"/>
    </row>
    <row r="680" ht="15.75" customHeight="1">
      <c r="A680" s="38"/>
      <c r="B680" s="49"/>
      <c r="C680" s="15"/>
      <c r="D680" s="663"/>
      <c r="E680" s="664"/>
      <c r="F680" s="665"/>
      <c r="G680" s="539"/>
      <c r="H680" s="373"/>
      <c r="I680" s="665"/>
      <c r="J680" s="666"/>
      <c r="K680" s="665"/>
      <c r="L680" s="667"/>
      <c r="M680" s="668"/>
      <c r="N680" s="373"/>
      <c r="O680" s="373"/>
      <c r="P680" s="670"/>
      <c r="Q680" s="665"/>
      <c r="R680" s="665"/>
      <c r="S680" s="539"/>
      <c r="T680" s="665"/>
      <c r="U680" s="49"/>
      <c r="V680" s="49"/>
      <c r="W680" s="49"/>
      <c r="X680" s="49"/>
      <c r="Y680" s="49"/>
    </row>
    <row r="681" ht="15.75" customHeight="1">
      <c r="A681" s="38"/>
      <c r="B681" s="49"/>
      <c r="C681" s="15"/>
      <c r="D681" s="663"/>
      <c r="E681" s="664"/>
      <c r="F681" s="665"/>
      <c r="G681" s="539"/>
      <c r="H681" s="373"/>
      <c r="I681" s="665"/>
      <c r="J681" s="666"/>
      <c r="K681" s="665"/>
      <c r="L681" s="667"/>
      <c r="M681" s="668"/>
      <c r="N681" s="373"/>
      <c r="O681" s="373"/>
      <c r="P681" s="670"/>
      <c r="Q681" s="665"/>
      <c r="R681" s="665"/>
      <c r="S681" s="539"/>
      <c r="T681" s="665"/>
      <c r="U681" s="49"/>
      <c r="V681" s="49"/>
      <c r="W681" s="49"/>
      <c r="X681" s="49"/>
      <c r="Y681" s="49"/>
    </row>
    <row r="682" ht="15.75" customHeight="1">
      <c r="A682" s="38"/>
      <c r="B682" s="49"/>
      <c r="C682" s="15"/>
      <c r="D682" s="663"/>
      <c r="E682" s="664"/>
      <c r="F682" s="665"/>
      <c r="G682" s="539"/>
      <c r="H682" s="373"/>
      <c r="I682" s="665"/>
      <c r="J682" s="666"/>
      <c r="K682" s="665"/>
      <c r="L682" s="667"/>
      <c r="M682" s="668"/>
      <c r="N682" s="373"/>
      <c r="O682" s="373"/>
      <c r="P682" s="670"/>
      <c r="Q682" s="665"/>
      <c r="R682" s="665"/>
      <c r="S682" s="539"/>
      <c r="T682" s="665"/>
      <c r="U682" s="49"/>
      <c r="V682" s="49"/>
      <c r="W682" s="49"/>
      <c r="X682" s="49"/>
      <c r="Y682" s="49"/>
    </row>
    <row r="683" ht="15.75" customHeight="1">
      <c r="A683" s="38"/>
      <c r="B683" s="49"/>
      <c r="C683" s="15"/>
      <c r="D683" s="663"/>
      <c r="E683" s="664"/>
      <c r="F683" s="665"/>
      <c r="G683" s="539"/>
      <c r="H683" s="373"/>
      <c r="I683" s="665"/>
      <c r="J683" s="666"/>
      <c r="K683" s="665"/>
      <c r="L683" s="667"/>
      <c r="M683" s="668"/>
      <c r="N683" s="373"/>
      <c r="O683" s="373"/>
      <c r="P683" s="670"/>
      <c r="Q683" s="665"/>
      <c r="R683" s="665"/>
      <c r="S683" s="539"/>
      <c r="T683" s="665"/>
      <c r="U683" s="49"/>
      <c r="V683" s="49"/>
      <c r="W683" s="49"/>
      <c r="X683" s="49"/>
      <c r="Y683" s="49"/>
    </row>
    <row r="684" ht="15.75" customHeight="1">
      <c r="A684" s="38"/>
      <c r="B684" s="49"/>
      <c r="C684" s="15"/>
      <c r="D684" s="663"/>
      <c r="E684" s="664"/>
      <c r="F684" s="665"/>
      <c r="G684" s="539"/>
      <c r="H684" s="373"/>
      <c r="I684" s="665"/>
      <c r="J684" s="666"/>
      <c r="K684" s="665"/>
      <c r="L684" s="667"/>
      <c r="M684" s="668"/>
      <c r="N684" s="373"/>
      <c r="O684" s="373"/>
      <c r="P684" s="670"/>
      <c r="Q684" s="665"/>
      <c r="R684" s="665"/>
      <c r="S684" s="539"/>
      <c r="T684" s="665"/>
      <c r="U684" s="49"/>
      <c r="V684" s="49"/>
      <c r="W684" s="49"/>
      <c r="X684" s="49"/>
      <c r="Y684" s="49"/>
    </row>
    <row r="685" ht="15.75" customHeight="1">
      <c r="A685" s="38"/>
      <c r="B685" s="49"/>
      <c r="C685" s="15"/>
      <c r="D685" s="663"/>
      <c r="E685" s="664"/>
      <c r="F685" s="665"/>
      <c r="G685" s="539"/>
      <c r="H685" s="373"/>
      <c r="I685" s="665"/>
      <c r="J685" s="666"/>
      <c r="K685" s="665"/>
      <c r="L685" s="667"/>
      <c r="M685" s="668"/>
      <c r="N685" s="373"/>
      <c r="O685" s="373"/>
      <c r="P685" s="670"/>
      <c r="Q685" s="665"/>
      <c r="R685" s="665"/>
      <c r="S685" s="539"/>
      <c r="T685" s="665"/>
      <c r="U685" s="49"/>
      <c r="V685" s="49"/>
      <c r="W685" s="49"/>
      <c r="X685" s="49"/>
      <c r="Y685" s="49"/>
    </row>
    <row r="686" ht="15.75" customHeight="1">
      <c r="A686" s="38"/>
      <c r="B686" s="49"/>
      <c r="C686" s="15"/>
      <c r="D686" s="663"/>
      <c r="E686" s="664"/>
      <c r="F686" s="665"/>
      <c r="G686" s="539"/>
      <c r="H686" s="373"/>
      <c r="I686" s="665"/>
      <c r="J686" s="666"/>
      <c r="K686" s="665"/>
      <c r="L686" s="667"/>
      <c r="M686" s="668"/>
      <c r="N686" s="373"/>
      <c r="O686" s="373"/>
      <c r="P686" s="670"/>
      <c r="Q686" s="665"/>
      <c r="R686" s="665"/>
      <c r="S686" s="539"/>
      <c r="T686" s="665"/>
      <c r="U686" s="49"/>
      <c r="V686" s="49"/>
      <c r="W686" s="49"/>
      <c r="X686" s="49"/>
      <c r="Y686" s="49"/>
    </row>
    <row r="687" ht="15.75" customHeight="1">
      <c r="A687" s="38"/>
      <c r="B687" s="49"/>
      <c r="C687" s="15"/>
      <c r="D687" s="663"/>
      <c r="E687" s="664"/>
      <c r="F687" s="665"/>
      <c r="G687" s="539"/>
      <c r="H687" s="373"/>
      <c r="I687" s="665"/>
      <c r="J687" s="666"/>
      <c r="K687" s="665"/>
      <c r="L687" s="667"/>
      <c r="M687" s="668"/>
      <c r="N687" s="373"/>
      <c r="O687" s="373"/>
      <c r="P687" s="670"/>
      <c r="Q687" s="665"/>
      <c r="R687" s="665"/>
      <c r="S687" s="539"/>
      <c r="T687" s="665"/>
      <c r="U687" s="49"/>
      <c r="V687" s="49"/>
      <c r="W687" s="49"/>
      <c r="X687" s="49"/>
      <c r="Y687" s="49"/>
    </row>
    <row r="688" ht="15.75" customHeight="1">
      <c r="A688" s="38"/>
      <c r="B688" s="49"/>
      <c r="C688" s="15"/>
      <c r="D688" s="663"/>
      <c r="E688" s="664"/>
      <c r="F688" s="665"/>
      <c r="G688" s="539"/>
      <c r="H688" s="373"/>
      <c r="I688" s="665"/>
      <c r="J688" s="666"/>
      <c r="K688" s="665"/>
      <c r="L688" s="667"/>
      <c r="M688" s="668"/>
      <c r="N688" s="373"/>
      <c r="O688" s="373"/>
      <c r="P688" s="670"/>
      <c r="Q688" s="665"/>
      <c r="R688" s="665"/>
      <c r="S688" s="539"/>
      <c r="T688" s="665"/>
      <c r="U688" s="49"/>
      <c r="V688" s="49"/>
      <c r="W688" s="49"/>
      <c r="X688" s="49"/>
      <c r="Y688" s="49"/>
    </row>
    <row r="689" ht="15.75" customHeight="1">
      <c r="A689" s="38"/>
      <c r="B689" s="49"/>
      <c r="C689" s="15"/>
      <c r="D689" s="663"/>
      <c r="E689" s="664"/>
      <c r="F689" s="665"/>
      <c r="G689" s="539"/>
      <c r="H689" s="373"/>
      <c r="I689" s="665"/>
      <c r="J689" s="666"/>
      <c r="K689" s="665"/>
      <c r="L689" s="667"/>
      <c r="M689" s="668"/>
      <c r="N689" s="373"/>
      <c r="O689" s="373"/>
      <c r="P689" s="670"/>
      <c r="Q689" s="665"/>
      <c r="R689" s="665"/>
      <c r="S689" s="539"/>
      <c r="T689" s="665"/>
      <c r="U689" s="49"/>
      <c r="V689" s="49"/>
      <c r="W689" s="49"/>
      <c r="X689" s="49"/>
      <c r="Y689" s="49"/>
    </row>
    <row r="690" ht="15.75" customHeight="1">
      <c r="A690" s="38"/>
      <c r="B690" s="49"/>
      <c r="C690" s="15"/>
      <c r="D690" s="663"/>
      <c r="E690" s="664"/>
      <c r="F690" s="665"/>
      <c r="G690" s="539"/>
      <c r="H690" s="373"/>
      <c r="I690" s="665"/>
      <c r="J690" s="666"/>
      <c r="K690" s="665"/>
      <c r="L690" s="667"/>
      <c r="M690" s="668"/>
      <c r="N690" s="373"/>
      <c r="O690" s="373"/>
      <c r="P690" s="670"/>
      <c r="Q690" s="665"/>
      <c r="R690" s="665"/>
      <c r="S690" s="539"/>
      <c r="T690" s="665"/>
      <c r="U690" s="49"/>
      <c r="V690" s="49"/>
      <c r="W690" s="49"/>
      <c r="X690" s="49"/>
      <c r="Y690" s="49"/>
    </row>
    <row r="691" ht="15.75" customHeight="1">
      <c r="A691" s="38"/>
      <c r="B691" s="49"/>
      <c r="C691" s="15"/>
      <c r="D691" s="663"/>
      <c r="E691" s="664"/>
      <c r="F691" s="665"/>
      <c r="G691" s="539"/>
      <c r="H691" s="373"/>
      <c r="I691" s="665"/>
      <c r="J691" s="666"/>
      <c r="K691" s="665"/>
      <c r="L691" s="667"/>
      <c r="M691" s="668"/>
      <c r="N691" s="373"/>
      <c r="O691" s="373"/>
      <c r="P691" s="670"/>
      <c r="Q691" s="665"/>
      <c r="R691" s="665"/>
      <c r="S691" s="539"/>
      <c r="T691" s="665"/>
      <c r="U691" s="49"/>
      <c r="V691" s="49"/>
      <c r="W691" s="49"/>
      <c r="X691" s="49"/>
      <c r="Y691" s="49"/>
    </row>
    <row r="692" ht="15.75" customHeight="1">
      <c r="A692" s="38"/>
      <c r="B692" s="49"/>
      <c r="C692" s="15"/>
      <c r="D692" s="663"/>
      <c r="E692" s="664"/>
      <c r="F692" s="665"/>
      <c r="G692" s="539"/>
      <c r="H692" s="373"/>
      <c r="I692" s="665"/>
      <c r="J692" s="666"/>
      <c r="K692" s="665"/>
      <c r="L692" s="667"/>
      <c r="M692" s="668"/>
      <c r="N692" s="373"/>
      <c r="O692" s="373"/>
      <c r="P692" s="670"/>
      <c r="Q692" s="665"/>
      <c r="R692" s="665"/>
      <c r="S692" s="539"/>
      <c r="T692" s="665"/>
      <c r="U692" s="49"/>
      <c r="V692" s="49"/>
      <c r="W692" s="49"/>
      <c r="X692" s="49"/>
      <c r="Y692" s="49"/>
    </row>
    <row r="693" ht="15.75" customHeight="1">
      <c r="A693" s="38"/>
      <c r="B693" s="49"/>
      <c r="C693" s="15"/>
      <c r="D693" s="663"/>
      <c r="E693" s="664"/>
      <c r="F693" s="665"/>
      <c r="G693" s="539"/>
      <c r="H693" s="373"/>
      <c r="I693" s="665"/>
      <c r="J693" s="666"/>
      <c r="K693" s="665"/>
      <c r="L693" s="667"/>
      <c r="M693" s="668"/>
      <c r="N693" s="373"/>
      <c r="O693" s="373"/>
      <c r="P693" s="670"/>
      <c r="Q693" s="665"/>
      <c r="R693" s="665"/>
      <c r="S693" s="539"/>
      <c r="T693" s="665"/>
      <c r="U693" s="49"/>
      <c r="V693" s="49"/>
      <c r="W693" s="49"/>
      <c r="X693" s="49"/>
      <c r="Y693" s="49"/>
    </row>
    <row r="694" ht="15.75" customHeight="1">
      <c r="A694" s="38"/>
      <c r="B694" s="49"/>
      <c r="C694" s="15"/>
      <c r="D694" s="663"/>
      <c r="E694" s="664"/>
      <c r="F694" s="665"/>
      <c r="G694" s="539"/>
      <c r="H694" s="373"/>
      <c r="I694" s="665"/>
      <c r="J694" s="666"/>
      <c r="K694" s="665"/>
      <c r="L694" s="667"/>
      <c r="M694" s="668"/>
      <c r="N694" s="373"/>
      <c r="O694" s="373"/>
      <c r="P694" s="670"/>
      <c r="Q694" s="665"/>
      <c r="R694" s="665"/>
      <c r="S694" s="539"/>
      <c r="T694" s="665"/>
      <c r="U694" s="49"/>
      <c r="V694" s="49"/>
      <c r="W694" s="49"/>
      <c r="X694" s="49"/>
      <c r="Y694" s="49"/>
    </row>
    <row r="695" ht="15.75" customHeight="1">
      <c r="A695" s="38"/>
      <c r="B695" s="49"/>
      <c r="C695" s="15"/>
      <c r="D695" s="663"/>
      <c r="E695" s="664"/>
      <c r="F695" s="665"/>
      <c r="G695" s="539"/>
      <c r="H695" s="373"/>
      <c r="I695" s="665"/>
      <c r="J695" s="666"/>
      <c r="K695" s="665"/>
      <c r="L695" s="667"/>
      <c r="M695" s="668"/>
      <c r="N695" s="373"/>
      <c r="O695" s="373"/>
      <c r="P695" s="670"/>
      <c r="Q695" s="665"/>
      <c r="R695" s="665"/>
      <c r="S695" s="539"/>
      <c r="T695" s="665"/>
      <c r="U695" s="49"/>
      <c r="V695" s="49"/>
      <c r="W695" s="49"/>
      <c r="X695" s="49"/>
      <c r="Y695" s="49"/>
    </row>
    <row r="696" ht="15.75" customHeight="1">
      <c r="A696" s="38"/>
      <c r="B696" s="49"/>
      <c r="C696" s="15"/>
      <c r="D696" s="663"/>
      <c r="E696" s="664"/>
      <c r="F696" s="665"/>
      <c r="G696" s="539"/>
      <c r="H696" s="373"/>
      <c r="I696" s="665"/>
      <c r="J696" s="666"/>
      <c r="K696" s="665"/>
      <c r="L696" s="667"/>
      <c r="M696" s="668"/>
      <c r="N696" s="373"/>
      <c r="O696" s="373"/>
      <c r="P696" s="670"/>
      <c r="Q696" s="665"/>
      <c r="R696" s="665"/>
      <c r="S696" s="539"/>
      <c r="T696" s="665"/>
      <c r="U696" s="49"/>
      <c r="V696" s="49"/>
      <c r="W696" s="49"/>
      <c r="X696" s="49"/>
      <c r="Y696" s="49"/>
    </row>
    <row r="697" ht="15.75" customHeight="1">
      <c r="A697" s="38"/>
      <c r="B697" s="49"/>
      <c r="C697" s="15"/>
      <c r="D697" s="663"/>
      <c r="E697" s="664"/>
      <c r="F697" s="665"/>
      <c r="G697" s="539"/>
      <c r="H697" s="373"/>
      <c r="I697" s="665"/>
      <c r="J697" s="666"/>
      <c r="K697" s="665"/>
      <c r="L697" s="667"/>
      <c r="M697" s="668"/>
      <c r="N697" s="373"/>
      <c r="O697" s="373"/>
      <c r="P697" s="670"/>
      <c r="Q697" s="665"/>
      <c r="R697" s="665"/>
      <c r="S697" s="539"/>
      <c r="T697" s="665"/>
      <c r="U697" s="49"/>
      <c r="V697" s="49"/>
      <c r="W697" s="49"/>
      <c r="X697" s="49"/>
      <c r="Y697" s="49"/>
    </row>
    <row r="698" ht="15.75" customHeight="1">
      <c r="A698" s="38"/>
      <c r="B698" s="49"/>
      <c r="C698" s="15"/>
      <c r="D698" s="663"/>
      <c r="E698" s="664"/>
      <c r="F698" s="665"/>
      <c r="G698" s="539"/>
      <c r="H698" s="373"/>
      <c r="I698" s="665"/>
      <c r="J698" s="666"/>
      <c r="K698" s="665"/>
      <c r="L698" s="667"/>
      <c r="M698" s="668"/>
      <c r="N698" s="373"/>
      <c r="O698" s="373"/>
      <c r="P698" s="670"/>
      <c r="Q698" s="665"/>
      <c r="R698" s="665"/>
      <c r="S698" s="539"/>
      <c r="T698" s="665"/>
      <c r="U698" s="49"/>
      <c r="V698" s="49"/>
      <c r="W698" s="49"/>
      <c r="X698" s="49"/>
      <c r="Y698" s="49"/>
    </row>
    <row r="699" ht="15.75" customHeight="1">
      <c r="A699" s="38"/>
      <c r="B699" s="49"/>
      <c r="C699" s="15"/>
      <c r="D699" s="663"/>
      <c r="E699" s="664"/>
      <c r="F699" s="665"/>
      <c r="G699" s="539"/>
      <c r="H699" s="373"/>
      <c r="I699" s="665"/>
      <c r="J699" s="666"/>
      <c r="K699" s="665"/>
      <c r="L699" s="667"/>
      <c r="M699" s="668"/>
      <c r="N699" s="373"/>
      <c r="O699" s="373"/>
      <c r="P699" s="670"/>
      <c r="Q699" s="665"/>
      <c r="R699" s="665"/>
      <c r="S699" s="539"/>
      <c r="T699" s="665"/>
      <c r="U699" s="49"/>
      <c r="V699" s="49"/>
      <c r="W699" s="49"/>
      <c r="X699" s="49"/>
      <c r="Y699" s="49"/>
    </row>
    <row r="700" ht="15.75" customHeight="1">
      <c r="A700" s="38"/>
      <c r="B700" s="49"/>
      <c r="C700" s="15"/>
      <c r="D700" s="663"/>
      <c r="E700" s="664"/>
      <c r="F700" s="665"/>
      <c r="G700" s="539"/>
      <c r="H700" s="373"/>
      <c r="I700" s="665"/>
      <c r="J700" s="666"/>
      <c r="K700" s="665"/>
      <c r="L700" s="667"/>
      <c r="M700" s="668"/>
      <c r="N700" s="373"/>
      <c r="O700" s="373"/>
      <c r="P700" s="670"/>
      <c r="Q700" s="665"/>
      <c r="R700" s="665"/>
      <c r="S700" s="539"/>
      <c r="T700" s="665"/>
      <c r="U700" s="49"/>
      <c r="V700" s="49"/>
      <c r="W700" s="49"/>
      <c r="X700" s="49"/>
      <c r="Y700" s="49"/>
    </row>
    <row r="701" ht="15.75" customHeight="1">
      <c r="A701" s="38"/>
      <c r="B701" s="49"/>
      <c r="C701" s="15"/>
      <c r="D701" s="663"/>
      <c r="E701" s="664"/>
      <c r="F701" s="665"/>
      <c r="G701" s="539"/>
      <c r="H701" s="373"/>
      <c r="I701" s="665"/>
      <c r="J701" s="666"/>
      <c r="K701" s="665"/>
      <c r="L701" s="667"/>
      <c r="M701" s="668"/>
      <c r="N701" s="373"/>
      <c r="O701" s="373"/>
      <c r="P701" s="670"/>
      <c r="Q701" s="665"/>
      <c r="R701" s="665"/>
      <c r="S701" s="539"/>
      <c r="T701" s="665"/>
      <c r="U701" s="49"/>
      <c r="V701" s="49"/>
      <c r="W701" s="49"/>
      <c r="X701" s="49"/>
      <c r="Y701" s="49"/>
    </row>
    <row r="702" ht="15.75" customHeight="1">
      <c r="A702" s="38"/>
      <c r="B702" s="49"/>
      <c r="C702" s="15"/>
      <c r="D702" s="663"/>
      <c r="E702" s="664"/>
      <c r="F702" s="665"/>
      <c r="G702" s="539"/>
      <c r="H702" s="373"/>
      <c r="I702" s="665"/>
      <c r="J702" s="666"/>
      <c r="K702" s="665"/>
      <c r="L702" s="667"/>
      <c r="M702" s="668"/>
      <c r="N702" s="373"/>
      <c r="O702" s="373"/>
      <c r="P702" s="670"/>
      <c r="Q702" s="665"/>
      <c r="R702" s="665"/>
      <c r="S702" s="539"/>
      <c r="T702" s="665"/>
      <c r="U702" s="49"/>
      <c r="V702" s="49"/>
      <c r="W702" s="49"/>
      <c r="X702" s="49"/>
      <c r="Y702" s="49"/>
    </row>
    <row r="703" ht="15.75" customHeight="1">
      <c r="A703" s="38"/>
      <c r="B703" s="49"/>
      <c r="C703" s="15"/>
      <c r="D703" s="663"/>
      <c r="E703" s="664"/>
      <c r="F703" s="665"/>
      <c r="G703" s="539"/>
      <c r="H703" s="373"/>
      <c r="I703" s="665"/>
      <c r="J703" s="666"/>
      <c r="K703" s="665"/>
      <c r="L703" s="667"/>
      <c r="M703" s="668"/>
      <c r="N703" s="373"/>
      <c r="O703" s="373"/>
      <c r="P703" s="670"/>
      <c r="Q703" s="665"/>
      <c r="R703" s="665"/>
      <c r="S703" s="539"/>
      <c r="T703" s="665"/>
      <c r="U703" s="49"/>
      <c r="V703" s="49"/>
      <c r="W703" s="49"/>
      <c r="X703" s="49"/>
      <c r="Y703" s="49"/>
    </row>
    <row r="704" ht="15.75" customHeight="1">
      <c r="A704" s="38"/>
      <c r="B704" s="49"/>
      <c r="C704" s="15"/>
      <c r="D704" s="663"/>
      <c r="E704" s="664"/>
      <c r="F704" s="665"/>
      <c r="G704" s="539"/>
      <c r="H704" s="373"/>
      <c r="I704" s="665"/>
      <c r="J704" s="666"/>
      <c r="K704" s="665"/>
      <c r="L704" s="667"/>
      <c r="M704" s="668"/>
      <c r="N704" s="373"/>
      <c r="O704" s="373"/>
      <c r="P704" s="670"/>
      <c r="Q704" s="665"/>
      <c r="R704" s="665"/>
      <c r="S704" s="539"/>
      <c r="T704" s="665"/>
      <c r="U704" s="49"/>
      <c r="V704" s="49"/>
      <c r="W704" s="49"/>
      <c r="X704" s="49"/>
      <c r="Y704" s="49"/>
    </row>
    <row r="705" ht="15.75" customHeight="1">
      <c r="A705" s="38"/>
      <c r="B705" s="49"/>
      <c r="C705" s="15"/>
      <c r="D705" s="663"/>
      <c r="E705" s="664"/>
      <c r="F705" s="665"/>
      <c r="G705" s="539"/>
      <c r="H705" s="373"/>
      <c r="I705" s="665"/>
      <c r="J705" s="666"/>
      <c r="K705" s="665"/>
      <c r="L705" s="667"/>
      <c r="M705" s="668"/>
      <c r="N705" s="373"/>
      <c r="O705" s="373"/>
      <c r="P705" s="670"/>
      <c r="Q705" s="665"/>
      <c r="R705" s="665"/>
      <c r="S705" s="539"/>
      <c r="T705" s="665"/>
      <c r="U705" s="49"/>
      <c r="V705" s="49"/>
      <c r="W705" s="49"/>
      <c r="X705" s="49"/>
      <c r="Y705" s="49"/>
    </row>
    <row r="706" ht="15.75" customHeight="1">
      <c r="A706" s="38"/>
      <c r="B706" s="49"/>
      <c r="C706" s="15"/>
      <c r="D706" s="663"/>
      <c r="E706" s="664"/>
      <c r="F706" s="665"/>
      <c r="G706" s="539"/>
      <c r="H706" s="373"/>
      <c r="I706" s="665"/>
      <c r="J706" s="666"/>
      <c r="K706" s="665"/>
      <c r="L706" s="667"/>
      <c r="M706" s="668"/>
      <c r="N706" s="373"/>
      <c r="O706" s="373"/>
      <c r="P706" s="670"/>
      <c r="Q706" s="665"/>
      <c r="R706" s="665"/>
      <c r="S706" s="539"/>
      <c r="T706" s="665"/>
      <c r="U706" s="49"/>
      <c r="V706" s="49"/>
      <c r="W706" s="49"/>
      <c r="X706" s="49"/>
      <c r="Y706" s="49"/>
    </row>
    <row r="707" ht="15.75" customHeight="1">
      <c r="A707" s="38"/>
      <c r="B707" s="49"/>
      <c r="C707" s="15"/>
      <c r="D707" s="663"/>
      <c r="E707" s="664"/>
      <c r="F707" s="665"/>
      <c r="G707" s="539"/>
      <c r="H707" s="373"/>
      <c r="I707" s="665"/>
      <c r="J707" s="666"/>
      <c r="K707" s="665"/>
      <c r="L707" s="667"/>
      <c r="M707" s="668"/>
      <c r="N707" s="373"/>
      <c r="O707" s="373"/>
      <c r="P707" s="670"/>
      <c r="Q707" s="665"/>
      <c r="R707" s="665"/>
      <c r="S707" s="539"/>
      <c r="T707" s="665"/>
      <c r="U707" s="49"/>
      <c r="V707" s="49"/>
      <c r="W707" s="49"/>
      <c r="X707" s="49"/>
      <c r="Y707" s="49"/>
    </row>
    <row r="708" ht="15.75" customHeight="1">
      <c r="A708" s="38"/>
      <c r="B708" s="49"/>
      <c r="C708" s="15"/>
      <c r="D708" s="663"/>
      <c r="E708" s="664"/>
      <c r="F708" s="665"/>
      <c r="G708" s="539"/>
      <c r="H708" s="373"/>
      <c r="I708" s="665"/>
      <c r="J708" s="666"/>
      <c r="K708" s="665"/>
      <c r="L708" s="667"/>
      <c r="M708" s="668"/>
      <c r="N708" s="373"/>
      <c r="O708" s="373"/>
      <c r="P708" s="670"/>
      <c r="Q708" s="665"/>
      <c r="R708" s="665"/>
      <c r="S708" s="539"/>
      <c r="T708" s="665"/>
      <c r="U708" s="49"/>
      <c r="V708" s="49"/>
      <c r="W708" s="49"/>
      <c r="X708" s="49"/>
      <c r="Y708" s="49"/>
    </row>
    <row r="709" ht="15.75" customHeight="1">
      <c r="A709" s="38"/>
      <c r="B709" s="49"/>
      <c r="C709" s="15"/>
      <c r="D709" s="663"/>
      <c r="E709" s="664"/>
      <c r="F709" s="665"/>
      <c r="G709" s="539"/>
      <c r="H709" s="373"/>
      <c r="I709" s="665"/>
      <c r="J709" s="666"/>
      <c r="K709" s="665"/>
      <c r="L709" s="667"/>
      <c r="M709" s="668"/>
      <c r="N709" s="373"/>
      <c r="O709" s="373"/>
      <c r="P709" s="670"/>
      <c r="Q709" s="665"/>
      <c r="R709" s="665"/>
      <c r="S709" s="539"/>
      <c r="T709" s="665"/>
      <c r="U709" s="49"/>
      <c r="V709" s="49"/>
      <c r="W709" s="49"/>
      <c r="X709" s="49"/>
      <c r="Y709" s="49"/>
    </row>
    <row r="710" ht="15.75" customHeight="1">
      <c r="A710" s="38"/>
      <c r="B710" s="49"/>
      <c r="C710" s="15"/>
      <c r="D710" s="663"/>
      <c r="E710" s="664"/>
      <c r="F710" s="665"/>
      <c r="G710" s="539"/>
      <c r="H710" s="373"/>
      <c r="I710" s="665"/>
      <c r="J710" s="666"/>
      <c r="K710" s="665"/>
      <c r="L710" s="667"/>
      <c r="M710" s="668"/>
      <c r="N710" s="373"/>
      <c r="O710" s="373"/>
      <c r="P710" s="670"/>
      <c r="Q710" s="665"/>
      <c r="R710" s="665"/>
      <c r="S710" s="539"/>
      <c r="T710" s="665"/>
      <c r="U710" s="49"/>
      <c r="V710" s="49"/>
      <c r="W710" s="49"/>
      <c r="X710" s="49"/>
      <c r="Y710" s="49"/>
    </row>
    <row r="711" ht="15.75" customHeight="1">
      <c r="A711" s="38"/>
      <c r="B711" s="49"/>
      <c r="C711" s="15"/>
      <c r="D711" s="663"/>
      <c r="E711" s="664"/>
      <c r="F711" s="665"/>
      <c r="G711" s="539"/>
      <c r="H711" s="373"/>
      <c r="I711" s="665"/>
      <c r="J711" s="666"/>
      <c r="K711" s="665"/>
      <c r="L711" s="667"/>
      <c r="M711" s="668"/>
      <c r="N711" s="373"/>
      <c r="O711" s="373"/>
      <c r="P711" s="670"/>
      <c r="Q711" s="665"/>
      <c r="R711" s="665"/>
      <c r="S711" s="539"/>
      <c r="T711" s="665"/>
      <c r="U711" s="49"/>
      <c r="V711" s="49"/>
      <c r="W711" s="49"/>
      <c r="X711" s="49"/>
      <c r="Y711" s="49"/>
    </row>
    <row r="712" ht="15.75" customHeight="1">
      <c r="A712" s="38"/>
      <c r="B712" s="49"/>
      <c r="C712" s="15"/>
      <c r="D712" s="663"/>
      <c r="E712" s="664"/>
      <c r="F712" s="665"/>
      <c r="G712" s="539"/>
      <c r="H712" s="373"/>
      <c r="I712" s="665"/>
      <c r="J712" s="666"/>
      <c r="K712" s="665"/>
      <c r="L712" s="667"/>
      <c r="M712" s="668"/>
      <c r="N712" s="373"/>
      <c r="O712" s="373"/>
      <c r="P712" s="670"/>
      <c r="Q712" s="665"/>
      <c r="R712" s="665"/>
      <c r="S712" s="539"/>
      <c r="T712" s="665"/>
      <c r="U712" s="49"/>
      <c r="V712" s="49"/>
      <c r="W712" s="49"/>
      <c r="X712" s="49"/>
      <c r="Y712" s="49"/>
    </row>
    <row r="713" ht="15.75" customHeight="1">
      <c r="A713" s="38"/>
      <c r="B713" s="49"/>
      <c r="C713" s="15"/>
      <c r="D713" s="663"/>
      <c r="E713" s="664"/>
      <c r="F713" s="665"/>
      <c r="G713" s="539"/>
      <c r="H713" s="373"/>
      <c r="I713" s="665"/>
      <c r="J713" s="666"/>
      <c r="K713" s="665"/>
      <c r="L713" s="667"/>
      <c r="M713" s="668"/>
      <c r="N713" s="373"/>
      <c r="O713" s="373"/>
      <c r="P713" s="670"/>
      <c r="Q713" s="665"/>
      <c r="R713" s="665"/>
      <c r="S713" s="539"/>
      <c r="T713" s="665"/>
      <c r="U713" s="49"/>
      <c r="V713" s="49"/>
      <c r="W713" s="49"/>
      <c r="X713" s="49"/>
      <c r="Y713" s="49"/>
    </row>
    <row r="714" ht="15.75" customHeight="1">
      <c r="A714" s="38"/>
      <c r="B714" s="49"/>
      <c r="C714" s="15"/>
      <c r="D714" s="663"/>
      <c r="E714" s="664"/>
      <c r="F714" s="665"/>
      <c r="G714" s="539"/>
      <c r="H714" s="373"/>
      <c r="I714" s="665"/>
      <c r="J714" s="666"/>
      <c r="K714" s="665"/>
      <c r="L714" s="667"/>
      <c r="M714" s="668"/>
      <c r="N714" s="373"/>
      <c r="O714" s="373"/>
      <c r="P714" s="670"/>
      <c r="Q714" s="665"/>
      <c r="R714" s="665"/>
      <c r="S714" s="539"/>
      <c r="T714" s="665"/>
      <c r="U714" s="49"/>
      <c r="V714" s="49"/>
      <c r="W714" s="49"/>
      <c r="X714" s="49"/>
      <c r="Y714" s="49"/>
    </row>
    <row r="715" ht="15.75" customHeight="1">
      <c r="A715" s="38"/>
      <c r="B715" s="49"/>
      <c r="C715" s="15"/>
      <c r="D715" s="663"/>
      <c r="E715" s="664"/>
      <c r="F715" s="665"/>
      <c r="G715" s="539"/>
      <c r="H715" s="373"/>
      <c r="I715" s="665"/>
      <c r="J715" s="666"/>
      <c r="K715" s="665"/>
      <c r="L715" s="667"/>
      <c r="M715" s="668"/>
      <c r="N715" s="373"/>
      <c r="O715" s="373"/>
      <c r="P715" s="670"/>
      <c r="Q715" s="665"/>
      <c r="R715" s="665"/>
      <c r="S715" s="539"/>
      <c r="T715" s="665"/>
      <c r="U715" s="49"/>
      <c r="V715" s="49"/>
      <c r="W715" s="49"/>
      <c r="X715" s="49"/>
      <c r="Y715" s="49"/>
    </row>
    <row r="716" ht="15.75" customHeight="1">
      <c r="A716" s="38"/>
      <c r="B716" s="49"/>
      <c r="C716" s="15"/>
      <c r="D716" s="663"/>
      <c r="E716" s="664"/>
      <c r="F716" s="665"/>
      <c r="G716" s="539"/>
      <c r="H716" s="373"/>
      <c r="I716" s="665"/>
      <c r="J716" s="666"/>
      <c r="K716" s="665"/>
      <c r="L716" s="667"/>
      <c r="M716" s="668"/>
      <c r="N716" s="373"/>
      <c r="O716" s="373"/>
      <c r="P716" s="670"/>
      <c r="Q716" s="665"/>
      <c r="R716" s="665"/>
      <c r="S716" s="539"/>
      <c r="T716" s="665"/>
      <c r="U716" s="49"/>
      <c r="V716" s="49"/>
      <c r="W716" s="49"/>
      <c r="X716" s="49"/>
      <c r="Y716" s="49"/>
    </row>
    <row r="717" ht="15.75" customHeight="1">
      <c r="A717" s="38"/>
      <c r="B717" s="49"/>
      <c r="C717" s="15"/>
      <c r="D717" s="663"/>
      <c r="E717" s="664"/>
      <c r="F717" s="665"/>
      <c r="G717" s="539"/>
      <c r="H717" s="373"/>
      <c r="I717" s="665"/>
      <c r="J717" s="666"/>
      <c r="K717" s="665"/>
      <c r="L717" s="667"/>
      <c r="M717" s="668"/>
      <c r="N717" s="373"/>
      <c r="O717" s="373"/>
      <c r="P717" s="670"/>
      <c r="Q717" s="665"/>
      <c r="R717" s="665"/>
      <c r="S717" s="539"/>
      <c r="T717" s="665"/>
      <c r="U717" s="49"/>
      <c r="V717" s="49"/>
      <c r="W717" s="49"/>
      <c r="X717" s="49"/>
      <c r="Y717" s="49"/>
    </row>
    <row r="718" ht="15.75" customHeight="1">
      <c r="A718" s="38"/>
      <c r="B718" s="49"/>
      <c r="C718" s="15"/>
      <c r="D718" s="663"/>
      <c r="E718" s="664"/>
      <c r="F718" s="665"/>
      <c r="G718" s="539"/>
      <c r="H718" s="373"/>
      <c r="I718" s="665"/>
      <c r="J718" s="666"/>
      <c r="K718" s="665"/>
      <c r="L718" s="667"/>
      <c r="M718" s="668"/>
      <c r="N718" s="373"/>
      <c r="O718" s="373"/>
      <c r="P718" s="670"/>
      <c r="Q718" s="665"/>
      <c r="R718" s="665"/>
      <c r="S718" s="539"/>
      <c r="T718" s="665"/>
      <c r="U718" s="49"/>
      <c r="V718" s="49"/>
      <c r="W718" s="49"/>
      <c r="X718" s="49"/>
      <c r="Y718" s="49"/>
    </row>
    <row r="719" ht="15.75" customHeight="1">
      <c r="A719" s="38"/>
      <c r="B719" s="49"/>
      <c r="C719" s="15"/>
      <c r="D719" s="663"/>
      <c r="E719" s="664"/>
      <c r="F719" s="665"/>
      <c r="G719" s="539"/>
      <c r="H719" s="373"/>
      <c r="I719" s="665"/>
      <c r="J719" s="666"/>
      <c r="K719" s="665"/>
      <c r="L719" s="667"/>
      <c r="M719" s="668"/>
      <c r="N719" s="373"/>
      <c r="O719" s="373"/>
      <c r="P719" s="670"/>
      <c r="Q719" s="665"/>
      <c r="R719" s="665"/>
      <c r="S719" s="539"/>
      <c r="T719" s="665"/>
      <c r="U719" s="49"/>
      <c r="V719" s="49"/>
      <c r="W719" s="49"/>
      <c r="X719" s="49"/>
      <c r="Y719" s="49"/>
    </row>
    <row r="720" ht="15.75" customHeight="1">
      <c r="A720" s="38"/>
      <c r="B720" s="49"/>
      <c r="C720" s="15"/>
      <c r="D720" s="663"/>
      <c r="E720" s="664"/>
      <c r="F720" s="665"/>
      <c r="G720" s="539"/>
      <c r="H720" s="373"/>
      <c r="I720" s="665"/>
      <c r="J720" s="666"/>
      <c r="K720" s="665"/>
      <c r="L720" s="667"/>
      <c r="M720" s="668"/>
      <c r="N720" s="373"/>
      <c r="O720" s="373"/>
      <c r="P720" s="670"/>
      <c r="Q720" s="665"/>
      <c r="R720" s="665"/>
      <c r="S720" s="539"/>
      <c r="T720" s="665"/>
      <c r="U720" s="49"/>
      <c r="V720" s="49"/>
      <c r="W720" s="49"/>
      <c r="X720" s="49"/>
      <c r="Y720" s="49"/>
    </row>
    <row r="721" ht="15.75" customHeight="1">
      <c r="A721" s="38"/>
      <c r="B721" s="49"/>
      <c r="C721" s="15"/>
      <c r="D721" s="663"/>
      <c r="E721" s="664"/>
      <c r="F721" s="665"/>
      <c r="G721" s="539"/>
      <c r="H721" s="373"/>
      <c r="I721" s="665"/>
      <c r="J721" s="666"/>
      <c r="K721" s="665"/>
      <c r="L721" s="667"/>
      <c r="M721" s="668"/>
      <c r="N721" s="373"/>
      <c r="O721" s="373"/>
      <c r="P721" s="670"/>
      <c r="Q721" s="665"/>
      <c r="R721" s="665"/>
      <c r="S721" s="539"/>
      <c r="T721" s="665"/>
      <c r="U721" s="49"/>
      <c r="V721" s="49"/>
      <c r="W721" s="49"/>
      <c r="X721" s="49"/>
      <c r="Y721" s="49"/>
    </row>
    <row r="722" ht="15.75" customHeight="1">
      <c r="A722" s="38"/>
      <c r="B722" s="49"/>
      <c r="C722" s="15"/>
      <c r="D722" s="663"/>
      <c r="E722" s="664"/>
      <c r="F722" s="665"/>
      <c r="G722" s="539"/>
      <c r="H722" s="373"/>
      <c r="I722" s="665"/>
      <c r="J722" s="666"/>
      <c r="K722" s="665"/>
      <c r="L722" s="667"/>
      <c r="M722" s="668"/>
      <c r="N722" s="373"/>
      <c r="O722" s="373"/>
      <c r="P722" s="670"/>
      <c r="Q722" s="665"/>
      <c r="R722" s="665"/>
      <c r="S722" s="539"/>
      <c r="T722" s="665"/>
      <c r="U722" s="49"/>
      <c r="V722" s="49"/>
      <c r="W722" s="49"/>
      <c r="X722" s="49"/>
      <c r="Y722" s="49"/>
    </row>
    <row r="723" ht="15.75" customHeight="1">
      <c r="A723" s="38"/>
      <c r="B723" s="49"/>
      <c r="C723" s="15"/>
      <c r="D723" s="663"/>
      <c r="E723" s="664"/>
      <c r="F723" s="665"/>
      <c r="G723" s="539"/>
      <c r="H723" s="373"/>
      <c r="I723" s="665"/>
      <c r="J723" s="666"/>
      <c r="K723" s="665"/>
      <c r="L723" s="667"/>
      <c r="M723" s="668"/>
      <c r="N723" s="373"/>
      <c r="O723" s="373"/>
      <c r="P723" s="670"/>
      <c r="Q723" s="665"/>
      <c r="R723" s="665"/>
      <c r="S723" s="539"/>
      <c r="T723" s="665"/>
      <c r="U723" s="49"/>
      <c r="V723" s="49"/>
      <c r="W723" s="49"/>
      <c r="X723" s="49"/>
      <c r="Y723" s="49"/>
    </row>
    <row r="724" ht="15.75" customHeight="1">
      <c r="A724" s="38"/>
      <c r="B724" s="49"/>
      <c r="C724" s="15"/>
      <c r="D724" s="663"/>
      <c r="E724" s="664"/>
      <c r="F724" s="665"/>
      <c r="G724" s="539"/>
      <c r="H724" s="373"/>
      <c r="I724" s="665"/>
      <c r="J724" s="666"/>
      <c r="K724" s="665"/>
      <c r="L724" s="667"/>
      <c r="M724" s="668"/>
      <c r="N724" s="373"/>
      <c r="O724" s="373"/>
      <c r="P724" s="670"/>
      <c r="Q724" s="665"/>
      <c r="R724" s="665"/>
      <c r="S724" s="539"/>
      <c r="T724" s="665"/>
      <c r="U724" s="49"/>
      <c r="V724" s="49"/>
      <c r="W724" s="49"/>
      <c r="X724" s="49"/>
      <c r="Y724" s="49"/>
    </row>
    <row r="725" ht="15.75" customHeight="1">
      <c r="A725" s="38"/>
      <c r="B725" s="49"/>
      <c r="C725" s="15"/>
      <c r="D725" s="663"/>
      <c r="E725" s="664"/>
      <c r="F725" s="665"/>
      <c r="G725" s="539"/>
      <c r="H725" s="373"/>
      <c r="I725" s="665"/>
      <c r="J725" s="666"/>
      <c r="K725" s="665"/>
      <c r="L725" s="667"/>
      <c r="M725" s="668"/>
      <c r="N725" s="373"/>
      <c r="O725" s="373"/>
      <c r="P725" s="670"/>
      <c r="Q725" s="665"/>
      <c r="R725" s="665"/>
      <c r="S725" s="539"/>
      <c r="T725" s="665"/>
      <c r="U725" s="49"/>
      <c r="V725" s="49"/>
      <c r="W725" s="49"/>
      <c r="X725" s="49"/>
      <c r="Y725" s="49"/>
    </row>
    <row r="726" ht="15.75" customHeight="1">
      <c r="A726" s="38"/>
      <c r="B726" s="49"/>
      <c r="C726" s="15"/>
      <c r="D726" s="663"/>
      <c r="E726" s="664"/>
      <c r="F726" s="665"/>
      <c r="G726" s="539"/>
      <c r="H726" s="373"/>
      <c r="I726" s="665"/>
      <c r="J726" s="666"/>
      <c r="K726" s="665"/>
      <c r="L726" s="667"/>
      <c r="M726" s="668"/>
      <c r="N726" s="373"/>
      <c r="O726" s="373"/>
      <c r="P726" s="670"/>
      <c r="Q726" s="665"/>
      <c r="R726" s="665"/>
      <c r="S726" s="539"/>
      <c r="T726" s="665"/>
      <c r="U726" s="49"/>
      <c r="V726" s="49"/>
      <c r="W726" s="49"/>
      <c r="X726" s="49"/>
      <c r="Y726" s="49"/>
    </row>
    <row r="727" ht="15.75" customHeight="1">
      <c r="A727" s="38"/>
      <c r="B727" s="49"/>
      <c r="C727" s="15"/>
      <c r="D727" s="663"/>
      <c r="E727" s="664"/>
      <c r="F727" s="665"/>
      <c r="G727" s="539"/>
      <c r="H727" s="373"/>
      <c r="I727" s="665"/>
      <c r="J727" s="666"/>
      <c r="K727" s="665"/>
      <c r="L727" s="667"/>
      <c r="M727" s="668"/>
      <c r="N727" s="373"/>
      <c r="O727" s="373"/>
      <c r="P727" s="670"/>
      <c r="Q727" s="665"/>
      <c r="R727" s="665"/>
      <c r="S727" s="539"/>
      <c r="T727" s="665"/>
      <c r="U727" s="49"/>
      <c r="V727" s="49"/>
      <c r="W727" s="49"/>
      <c r="X727" s="49"/>
      <c r="Y727" s="49"/>
    </row>
    <row r="728" ht="15.75" customHeight="1">
      <c r="A728" s="38"/>
      <c r="B728" s="49"/>
      <c r="C728" s="15"/>
      <c r="D728" s="663"/>
      <c r="E728" s="664"/>
      <c r="F728" s="665"/>
      <c r="G728" s="539"/>
      <c r="H728" s="373"/>
      <c r="I728" s="665"/>
      <c r="J728" s="666"/>
      <c r="K728" s="665"/>
      <c r="L728" s="667"/>
      <c r="M728" s="668"/>
      <c r="N728" s="373"/>
      <c r="O728" s="373"/>
      <c r="P728" s="670"/>
      <c r="Q728" s="665"/>
      <c r="R728" s="665"/>
      <c r="S728" s="539"/>
      <c r="T728" s="665"/>
      <c r="U728" s="49"/>
      <c r="V728" s="49"/>
      <c r="W728" s="49"/>
      <c r="X728" s="49"/>
      <c r="Y728" s="49"/>
    </row>
    <row r="729" ht="15.75" customHeight="1">
      <c r="A729" s="38"/>
      <c r="B729" s="49"/>
      <c r="C729" s="15"/>
      <c r="D729" s="663"/>
      <c r="E729" s="664"/>
      <c r="F729" s="665"/>
      <c r="G729" s="539"/>
      <c r="H729" s="373"/>
      <c r="I729" s="665"/>
      <c r="J729" s="666"/>
      <c r="K729" s="665"/>
      <c r="L729" s="667"/>
      <c r="M729" s="668"/>
      <c r="N729" s="373"/>
      <c r="O729" s="373"/>
      <c r="P729" s="670"/>
      <c r="Q729" s="665"/>
      <c r="R729" s="665"/>
      <c r="S729" s="539"/>
      <c r="T729" s="665"/>
      <c r="U729" s="49"/>
      <c r="V729" s="49"/>
      <c r="W729" s="49"/>
      <c r="X729" s="49"/>
      <c r="Y729" s="49"/>
    </row>
    <row r="730" ht="15.75" customHeight="1">
      <c r="A730" s="38"/>
      <c r="B730" s="49"/>
      <c r="C730" s="15"/>
      <c r="D730" s="663"/>
      <c r="E730" s="664"/>
      <c r="F730" s="665"/>
      <c r="G730" s="539"/>
      <c r="H730" s="373"/>
      <c r="I730" s="665"/>
      <c r="J730" s="666"/>
      <c r="K730" s="665"/>
      <c r="L730" s="667"/>
      <c r="M730" s="668"/>
      <c r="N730" s="373"/>
      <c r="O730" s="373"/>
      <c r="P730" s="670"/>
      <c r="Q730" s="665"/>
      <c r="R730" s="665"/>
      <c r="S730" s="539"/>
      <c r="T730" s="665"/>
      <c r="U730" s="49"/>
      <c r="V730" s="49"/>
      <c r="W730" s="49"/>
      <c r="X730" s="49"/>
      <c r="Y730" s="49"/>
    </row>
    <row r="731" ht="15.75" customHeight="1">
      <c r="A731" s="38"/>
      <c r="B731" s="49"/>
      <c r="C731" s="15"/>
      <c r="D731" s="663"/>
      <c r="E731" s="664"/>
      <c r="F731" s="665"/>
      <c r="G731" s="539"/>
      <c r="H731" s="373"/>
      <c r="I731" s="665"/>
      <c r="J731" s="666"/>
      <c r="K731" s="665"/>
      <c r="L731" s="667"/>
      <c r="M731" s="668"/>
      <c r="N731" s="373"/>
      <c r="O731" s="373"/>
      <c r="P731" s="670"/>
      <c r="Q731" s="665"/>
      <c r="R731" s="665"/>
      <c r="S731" s="539"/>
      <c r="T731" s="665"/>
      <c r="U731" s="49"/>
      <c r="V731" s="49"/>
      <c r="W731" s="49"/>
      <c r="X731" s="49"/>
      <c r="Y731" s="49"/>
    </row>
    <row r="732" ht="15.75" customHeight="1">
      <c r="A732" s="38"/>
      <c r="B732" s="49"/>
      <c r="C732" s="15"/>
      <c r="D732" s="663"/>
      <c r="E732" s="664"/>
      <c r="F732" s="665"/>
      <c r="G732" s="539"/>
      <c r="H732" s="373"/>
      <c r="I732" s="665"/>
      <c r="J732" s="666"/>
      <c r="K732" s="665"/>
      <c r="L732" s="667"/>
      <c r="M732" s="668"/>
      <c r="N732" s="373"/>
      <c r="O732" s="373"/>
      <c r="P732" s="670"/>
      <c r="Q732" s="665"/>
      <c r="R732" s="665"/>
      <c r="S732" s="539"/>
      <c r="T732" s="665"/>
      <c r="U732" s="49"/>
      <c r="V732" s="49"/>
      <c r="W732" s="49"/>
      <c r="X732" s="49"/>
      <c r="Y732" s="49"/>
    </row>
    <row r="733" ht="15.75" customHeight="1">
      <c r="A733" s="38"/>
      <c r="B733" s="49"/>
      <c r="C733" s="15"/>
      <c r="D733" s="663"/>
      <c r="E733" s="664"/>
      <c r="F733" s="665"/>
      <c r="G733" s="539"/>
      <c r="H733" s="373"/>
      <c r="I733" s="665"/>
      <c r="J733" s="666"/>
      <c r="K733" s="665"/>
      <c r="L733" s="667"/>
      <c r="M733" s="668"/>
      <c r="N733" s="373"/>
      <c r="O733" s="373"/>
      <c r="P733" s="670"/>
      <c r="Q733" s="665"/>
      <c r="R733" s="665"/>
      <c r="S733" s="539"/>
      <c r="T733" s="665"/>
      <c r="U733" s="49"/>
      <c r="V733" s="49"/>
      <c r="W733" s="49"/>
      <c r="X733" s="49"/>
      <c r="Y733" s="49"/>
    </row>
    <row r="734" ht="15.75" customHeight="1">
      <c r="A734" s="38"/>
      <c r="B734" s="49"/>
      <c r="C734" s="15"/>
      <c r="D734" s="663"/>
      <c r="E734" s="664"/>
      <c r="F734" s="665"/>
      <c r="G734" s="539"/>
      <c r="H734" s="373"/>
      <c r="I734" s="665"/>
      <c r="J734" s="666"/>
      <c r="K734" s="665"/>
      <c r="L734" s="667"/>
      <c r="M734" s="668"/>
      <c r="N734" s="373"/>
      <c r="O734" s="373"/>
      <c r="P734" s="670"/>
      <c r="Q734" s="665"/>
      <c r="R734" s="665"/>
      <c r="S734" s="539"/>
      <c r="T734" s="665"/>
      <c r="U734" s="49"/>
      <c r="V734" s="49"/>
      <c r="W734" s="49"/>
      <c r="X734" s="49"/>
      <c r="Y734" s="49"/>
    </row>
    <row r="735" ht="15.75" customHeight="1">
      <c r="A735" s="38"/>
      <c r="B735" s="49"/>
      <c r="C735" s="15"/>
      <c r="D735" s="663"/>
      <c r="E735" s="664"/>
      <c r="F735" s="665"/>
      <c r="G735" s="539"/>
      <c r="H735" s="373"/>
      <c r="I735" s="665"/>
      <c r="J735" s="666"/>
      <c r="K735" s="665"/>
      <c r="L735" s="667"/>
      <c r="M735" s="668"/>
      <c r="N735" s="373"/>
      <c r="O735" s="373"/>
      <c r="P735" s="670"/>
      <c r="Q735" s="665"/>
      <c r="R735" s="665"/>
      <c r="S735" s="539"/>
      <c r="T735" s="665"/>
      <c r="U735" s="49"/>
      <c r="V735" s="49"/>
      <c r="W735" s="49"/>
      <c r="X735" s="49"/>
      <c r="Y735" s="49"/>
    </row>
    <row r="736" ht="15.75" customHeight="1">
      <c r="A736" s="38"/>
      <c r="B736" s="49"/>
      <c r="C736" s="15"/>
      <c r="D736" s="663"/>
      <c r="E736" s="664"/>
      <c r="F736" s="665"/>
      <c r="G736" s="539"/>
      <c r="H736" s="373"/>
      <c r="I736" s="665"/>
      <c r="J736" s="666"/>
      <c r="K736" s="665"/>
      <c r="L736" s="667"/>
      <c r="M736" s="668"/>
      <c r="N736" s="373"/>
      <c r="O736" s="373"/>
      <c r="P736" s="670"/>
      <c r="Q736" s="665"/>
      <c r="R736" s="665"/>
      <c r="S736" s="539"/>
      <c r="T736" s="665"/>
      <c r="U736" s="49"/>
      <c r="V736" s="49"/>
      <c r="W736" s="49"/>
      <c r="X736" s="49"/>
      <c r="Y736" s="49"/>
    </row>
    <row r="737" ht="15.75" customHeight="1">
      <c r="A737" s="38"/>
      <c r="B737" s="49"/>
      <c r="C737" s="15"/>
      <c r="D737" s="663"/>
      <c r="E737" s="664"/>
      <c r="F737" s="665"/>
      <c r="G737" s="539"/>
      <c r="H737" s="373"/>
      <c r="I737" s="665"/>
      <c r="J737" s="666"/>
      <c r="K737" s="665"/>
      <c r="L737" s="667"/>
      <c r="M737" s="668"/>
      <c r="N737" s="373"/>
      <c r="O737" s="373"/>
      <c r="P737" s="670"/>
      <c r="Q737" s="665"/>
      <c r="R737" s="665"/>
      <c r="S737" s="539"/>
      <c r="T737" s="665"/>
      <c r="U737" s="49"/>
      <c r="V737" s="49"/>
      <c r="W737" s="49"/>
      <c r="X737" s="49"/>
      <c r="Y737" s="49"/>
    </row>
    <row r="738" ht="15.75" customHeight="1">
      <c r="A738" s="38"/>
      <c r="B738" s="49"/>
      <c r="C738" s="15"/>
      <c r="D738" s="663"/>
      <c r="E738" s="664"/>
      <c r="F738" s="665"/>
      <c r="G738" s="539"/>
      <c r="H738" s="373"/>
      <c r="I738" s="665"/>
      <c r="J738" s="666"/>
      <c r="K738" s="665"/>
      <c r="L738" s="667"/>
      <c r="M738" s="668"/>
      <c r="N738" s="373"/>
      <c r="O738" s="373"/>
      <c r="P738" s="670"/>
      <c r="Q738" s="665"/>
      <c r="R738" s="665"/>
      <c r="S738" s="539"/>
      <c r="T738" s="665"/>
      <c r="U738" s="49"/>
      <c r="V738" s="49"/>
      <c r="W738" s="49"/>
      <c r="X738" s="49"/>
      <c r="Y738" s="49"/>
    </row>
    <row r="739" ht="15.75" customHeight="1">
      <c r="A739" s="38"/>
      <c r="B739" s="49"/>
      <c r="C739" s="15"/>
      <c r="D739" s="663"/>
      <c r="E739" s="664"/>
      <c r="F739" s="665"/>
      <c r="G739" s="539"/>
      <c r="H739" s="373"/>
      <c r="I739" s="665"/>
      <c r="J739" s="666"/>
      <c r="K739" s="665"/>
      <c r="L739" s="667"/>
      <c r="M739" s="668"/>
      <c r="N739" s="373"/>
      <c r="O739" s="373"/>
      <c r="P739" s="670"/>
      <c r="Q739" s="665"/>
      <c r="R739" s="665"/>
      <c r="S739" s="539"/>
      <c r="T739" s="665"/>
      <c r="U739" s="49"/>
      <c r="V739" s="49"/>
      <c r="W739" s="49"/>
      <c r="X739" s="49"/>
      <c r="Y739" s="49"/>
    </row>
    <row r="740" ht="15.75" customHeight="1">
      <c r="A740" s="38"/>
      <c r="B740" s="49"/>
      <c r="C740" s="15"/>
      <c r="D740" s="663"/>
      <c r="E740" s="664"/>
      <c r="F740" s="665"/>
      <c r="G740" s="539"/>
      <c r="H740" s="373"/>
      <c r="I740" s="665"/>
      <c r="J740" s="666"/>
      <c r="K740" s="665"/>
      <c r="L740" s="667"/>
      <c r="M740" s="668"/>
      <c r="N740" s="373"/>
      <c r="O740" s="373"/>
      <c r="P740" s="670"/>
      <c r="Q740" s="665"/>
      <c r="R740" s="665"/>
      <c r="S740" s="539"/>
      <c r="T740" s="665"/>
      <c r="U740" s="49"/>
      <c r="V740" s="49"/>
      <c r="W740" s="49"/>
      <c r="X740" s="49"/>
      <c r="Y740" s="49"/>
    </row>
    <row r="741" ht="15.75" customHeight="1">
      <c r="A741" s="38"/>
      <c r="B741" s="49"/>
      <c r="C741" s="15"/>
      <c r="D741" s="663"/>
      <c r="E741" s="664"/>
      <c r="F741" s="665"/>
      <c r="G741" s="539"/>
      <c r="H741" s="373"/>
      <c r="I741" s="665"/>
      <c r="J741" s="666"/>
      <c r="K741" s="665"/>
      <c r="L741" s="667"/>
      <c r="M741" s="668"/>
      <c r="N741" s="373"/>
      <c r="O741" s="373"/>
      <c r="P741" s="670"/>
      <c r="Q741" s="665"/>
      <c r="R741" s="665"/>
      <c r="S741" s="539"/>
      <c r="T741" s="665"/>
      <c r="U741" s="49"/>
      <c r="V741" s="49"/>
      <c r="W741" s="49"/>
      <c r="X741" s="49"/>
      <c r="Y741" s="49"/>
    </row>
    <row r="742" ht="15.75" customHeight="1">
      <c r="A742" s="38"/>
      <c r="B742" s="49"/>
      <c r="C742" s="15"/>
      <c r="D742" s="663"/>
      <c r="E742" s="664"/>
      <c r="F742" s="665"/>
      <c r="G742" s="539"/>
      <c r="H742" s="373"/>
      <c r="I742" s="665"/>
      <c r="J742" s="666"/>
      <c r="K742" s="665"/>
      <c r="L742" s="667"/>
      <c r="M742" s="668"/>
      <c r="N742" s="373"/>
      <c r="O742" s="373"/>
      <c r="P742" s="670"/>
      <c r="Q742" s="665"/>
      <c r="R742" s="665"/>
      <c r="S742" s="539"/>
      <c r="T742" s="665"/>
      <c r="U742" s="49"/>
      <c r="V742" s="49"/>
      <c r="W742" s="49"/>
      <c r="X742" s="49"/>
      <c r="Y742" s="49"/>
    </row>
    <row r="743" ht="15.75" customHeight="1">
      <c r="A743" s="38"/>
      <c r="B743" s="49"/>
      <c r="C743" s="15"/>
      <c r="D743" s="663"/>
      <c r="E743" s="664"/>
      <c r="F743" s="665"/>
      <c r="G743" s="539"/>
      <c r="H743" s="373"/>
      <c r="I743" s="665"/>
      <c r="J743" s="666"/>
      <c r="K743" s="665"/>
      <c r="L743" s="667"/>
      <c r="M743" s="668"/>
      <c r="N743" s="373"/>
      <c r="O743" s="373"/>
      <c r="P743" s="670"/>
      <c r="Q743" s="665"/>
      <c r="R743" s="665"/>
      <c r="S743" s="539"/>
      <c r="T743" s="665"/>
      <c r="U743" s="49"/>
      <c r="V743" s="49"/>
      <c r="W743" s="49"/>
      <c r="X743" s="49"/>
      <c r="Y743" s="49"/>
    </row>
    <row r="744" ht="15.75" customHeight="1">
      <c r="A744" s="38"/>
      <c r="B744" s="49"/>
      <c r="C744" s="15"/>
      <c r="D744" s="663"/>
      <c r="E744" s="664"/>
      <c r="F744" s="665"/>
      <c r="G744" s="539"/>
      <c r="H744" s="373"/>
      <c r="I744" s="665"/>
      <c r="J744" s="666"/>
      <c r="K744" s="665"/>
      <c r="L744" s="667"/>
      <c r="M744" s="668"/>
      <c r="N744" s="373"/>
      <c r="O744" s="373"/>
      <c r="P744" s="670"/>
      <c r="Q744" s="665"/>
      <c r="R744" s="665"/>
      <c r="S744" s="539"/>
      <c r="T744" s="665"/>
      <c r="U744" s="49"/>
      <c r="V744" s="49"/>
      <c r="W744" s="49"/>
      <c r="X744" s="49"/>
      <c r="Y744" s="49"/>
    </row>
    <row r="745" ht="15.75" customHeight="1">
      <c r="A745" s="38"/>
      <c r="B745" s="49"/>
      <c r="C745" s="15"/>
      <c r="D745" s="663"/>
      <c r="E745" s="664"/>
      <c r="F745" s="665"/>
      <c r="G745" s="539"/>
      <c r="H745" s="373"/>
      <c r="I745" s="665"/>
      <c r="J745" s="666"/>
      <c r="K745" s="665"/>
      <c r="L745" s="667"/>
      <c r="M745" s="668"/>
      <c r="N745" s="373"/>
      <c r="O745" s="373"/>
      <c r="P745" s="670"/>
      <c r="Q745" s="665"/>
      <c r="R745" s="665"/>
      <c r="S745" s="539"/>
      <c r="T745" s="665"/>
      <c r="U745" s="49"/>
      <c r="V745" s="49"/>
      <c r="W745" s="49"/>
      <c r="X745" s="49"/>
      <c r="Y745" s="49"/>
    </row>
    <row r="746" ht="15.75" customHeight="1">
      <c r="A746" s="38"/>
      <c r="B746" s="49"/>
      <c r="C746" s="15"/>
      <c r="D746" s="663"/>
      <c r="E746" s="664"/>
      <c r="F746" s="665"/>
      <c r="G746" s="539"/>
      <c r="H746" s="373"/>
      <c r="I746" s="665"/>
      <c r="J746" s="666"/>
      <c r="K746" s="665"/>
      <c r="L746" s="667"/>
      <c r="M746" s="668"/>
      <c r="N746" s="373"/>
      <c r="O746" s="373"/>
      <c r="P746" s="670"/>
      <c r="Q746" s="665"/>
      <c r="R746" s="665"/>
      <c r="S746" s="539"/>
      <c r="T746" s="665"/>
      <c r="U746" s="49"/>
      <c r="V746" s="49"/>
      <c r="W746" s="49"/>
      <c r="X746" s="49"/>
      <c r="Y746" s="49"/>
    </row>
    <row r="747" ht="15.75" customHeight="1">
      <c r="A747" s="38"/>
      <c r="B747" s="49"/>
      <c r="C747" s="15"/>
      <c r="D747" s="663"/>
      <c r="E747" s="664"/>
      <c r="F747" s="665"/>
      <c r="G747" s="539"/>
      <c r="H747" s="373"/>
      <c r="I747" s="665"/>
      <c r="J747" s="666"/>
      <c r="K747" s="665"/>
      <c r="L747" s="667"/>
      <c r="M747" s="668"/>
      <c r="N747" s="373"/>
      <c r="O747" s="373"/>
      <c r="P747" s="670"/>
      <c r="Q747" s="665"/>
      <c r="R747" s="665"/>
      <c r="S747" s="539"/>
      <c r="T747" s="665"/>
      <c r="U747" s="49"/>
      <c r="V747" s="49"/>
      <c r="W747" s="49"/>
      <c r="X747" s="49"/>
      <c r="Y747" s="49"/>
    </row>
    <row r="748" ht="15.75" customHeight="1">
      <c r="A748" s="38"/>
      <c r="B748" s="49"/>
      <c r="C748" s="15"/>
      <c r="D748" s="663"/>
      <c r="E748" s="664"/>
      <c r="F748" s="665"/>
      <c r="G748" s="539"/>
      <c r="H748" s="373"/>
      <c r="I748" s="665"/>
      <c r="J748" s="666"/>
      <c r="K748" s="665"/>
      <c r="L748" s="667"/>
      <c r="M748" s="668"/>
      <c r="N748" s="373"/>
      <c r="O748" s="373"/>
      <c r="P748" s="670"/>
      <c r="Q748" s="665"/>
      <c r="R748" s="665"/>
      <c r="S748" s="539"/>
      <c r="T748" s="665"/>
      <c r="U748" s="49"/>
      <c r="V748" s="49"/>
      <c r="W748" s="49"/>
      <c r="X748" s="49"/>
      <c r="Y748" s="49"/>
    </row>
    <row r="749" ht="15.75" customHeight="1">
      <c r="A749" s="38"/>
      <c r="B749" s="49"/>
      <c r="C749" s="15"/>
      <c r="D749" s="663"/>
      <c r="E749" s="664"/>
      <c r="F749" s="665"/>
      <c r="G749" s="539"/>
      <c r="H749" s="373"/>
      <c r="I749" s="665"/>
      <c r="J749" s="666"/>
      <c r="K749" s="665"/>
      <c r="L749" s="667"/>
      <c r="M749" s="668"/>
      <c r="N749" s="373"/>
      <c r="O749" s="373"/>
      <c r="P749" s="670"/>
      <c r="Q749" s="665"/>
      <c r="R749" s="665"/>
      <c r="S749" s="539"/>
      <c r="T749" s="665"/>
      <c r="U749" s="49"/>
      <c r="V749" s="49"/>
      <c r="W749" s="49"/>
      <c r="X749" s="49"/>
      <c r="Y749" s="49"/>
    </row>
    <row r="750" ht="15.75" customHeight="1">
      <c r="A750" s="38"/>
      <c r="B750" s="49"/>
      <c r="C750" s="15"/>
      <c r="D750" s="663"/>
      <c r="E750" s="664"/>
      <c r="F750" s="665"/>
      <c r="G750" s="539"/>
      <c r="H750" s="373"/>
      <c r="I750" s="665"/>
      <c r="J750" s="666"/>
      <c r="K750" s="665"/>
      <c r="L750" s="667"/>
      <c r="M750" s="668"/>
      <c r="N750" s="373"/>
      <c r="O750" s="373"/>
      <c r="P750" s="670"/>
      <c r="Q750" s="665"/>
      <c r="R750" s="665"/>
      <c r="S750" s="539"/>
      <c r="T750" s="665"/>
      <c r="U750" s="49"/>
      <c r="V750" s="49"/>
      <c r="W750" s="49"/>
      <c r="X750" s="49"/>
      <c r="Y750" s="49"/>
    </row>
    <row r="751" ht="15.75" customHeight="1">
      <c r="A751" s="38"/>
      <c r="B751" s="49"/>
      <c r="C751" s="15"/>
      <c r="D751" s="663"/>
      <c r="E751" s="664"/>
      <c r="F751" s="665"/>
      <c r="G751" s="539"/>
      <c r="H751" s="373"/>
      <c r="I751" s="665"/>
      <c r="J751" s="666"/>
      <c r="K751" s="665"/>
      <c r="L751" s="667"/>
      <c r="M751" s="668"/>
      <c r="N751" s="373"/>
      <c r="O751" s="373"/>
      <c r="P751" s="670"/>
      <c r="Q751" s="665"/>
      <c r="R751" s="665"/>
      <c r="S751" s="539"/>
      <c r="T751" s="665"/>
      <c r="U751" s="49"/>
      <c r="V751" s="49"/>
      <c r="W751" s="49"/>
      <c r="X751" s="49"/>
      <c r="Y751" s="49"/>
    </row>
    <row r="752" ht="15.75" customHeight="1">
      <c r="A752" s="38"/>
      <c r="B752" s="49"/>
      <c r="C752" s="15"/>
      <c r="D752" s="663"/>
      <c r="E752" s="664"/>
      <c r="F752" s="665"/>
      <c r="G752" s="539"/>
      <c r="H752" s="373"/>
      <c r="I752" s="665"/>
      <c r="J752" s="666"/>
      <c r="K752" s="665"/>
      <c r="L752" s="667"/>
      <c r="M752" s="668"/>
      <c r="N752" s="373"/>
      <c r="O752" s="373"/>
      <c r="P752" s="670"/>
      <c r="Q752" s="665"/>
      <c r="R752" s="665"/>
      <c r="S752" s="539"/>
      <c r="T752" s="665"/>
      <c r="U752" s="49"/>
      <c r="V752" s="49"/>
      <c r="W752" s="49"/>
      <c r="X752" s="49"/>
      <c r="Y752" s="49"/>
    </row>
    <row r="753" ht="15.75" customHeight="1">
      <c r="A753" s="38"/>
      <c r="B753" s="49"/>
      <c r="C753" s="15"/>
      <c r="D753" s="663"/>
      <c r="E753" s="664"/>
      <c r="F753" s="665"/>
      <c r="G753" s="539"/>
      <c r="H753" s="373"/>
      <c r="I753" s="665"/>
      <c r="J753" s="666"/>
      <c r="K753" s="665"/>
      <c r="L753" s="667"/>
      <c r="M753" s="668"/>
      <c r="N753" s="373"/>
      <c r="O753" s="373"/>
      <c r="P753" s="670"/>
      <c r="Q753" s="665"/>
      <c r="R753" s="665"/>
      <c r="S753" s="539"/>
      <c r="T753" s="665"/>
      <c r="U753" s="49"/>
      <c r="V753" s="49"/>
      <c r="W753" s="49"/>
      <c r="X753" s="49"/>
      <c r="Y753" s="49"/>
    </row>
    <row r="754" ht="15.75" customHeight="1">
      <c r="A754" s="38"/>
      <c r="B754" s="49"/>
      <c r="C754" s="15"/>
      <c r="D754" s="663"/>
      <c r="E754" s="664"/>
      <c r="F754" s="665"/>
      <c r="G754" s="539"/>
      <c r="H754" s="373"/>
      <c r="I754" s="665"/>
      <c r="J754" s="666"/>
      <c r="K754" s="665"/>
      <c r="L754" s="667"/>
      <c r="M754" s="668"/>
      <c r="N754" s="373"/>
      <c r="O754" s="373"/>
      <c r="P754" s="670"/>
      <c r="Q754" s="665"/>
      <c r="R754" s="665"/>
      <c r="S754" s="539"/>
      <c r="T754" s="665"/>
      <c r="U754" s="49"/>
      <c r="V754" s="49"/>
      <c r="W754" s="49"/>
      <c r="X754" s="49"/>
      <c r="Y754" s="49"/>
    </row>
    <row r="755" ht="15.75" customHeight="1">
      <c r="A755" s="38"/>
      <c r="B755" s="49"/>
      <c r="C755" s="15"/>
      <c r="D755" s="663"/>
      <c r="E755" s="664"/>
      <c r="F755" s="665"/>
      <c r="G755" s="539"/>
      <c r="H755" s="373"/>
      <c r="I755" s="665"/>
      <c r="J755" s="666"/>
      <c r="K755" s="665"/>
      <c r="L755" s="667"/>
      <c r="M755" s="668"/>
      <c r="N755" s="373"/>
      <c r="O755" s="373"/>
      <c r="P755" s="670"/>
      <c r="Q755" s="665"/>
      <c r="R755" s="665"/>
      <c r="S755" s="539"/>
      <c r="T755" s="665"/>
      <c r="U755" s="49"/>
      <c r="V755" s="49"/>
      <c r="W755" s="49"/>
      <c r="X755" s="49"/>
      <c r="Y755" s="49"/>
    </row>
    <row r="756" ht="15.75" customHeight="1">
      <c r="A756" s="38"/>
      <c r="B756" s="49"/>
      <c r="C756" s="15"/>
      <c r="D756" s="663"/>
      <c r="E756" s="664"/>
      <c r="F756" s="665"/>
      <c r="G756" s="539"/>
      <c r="H756" s="373"/>
      <c r="I756" s="665"/>
      <c r="J756" s="666"/>
      <c r="K756" s="665"/>
      <c r="L756" s="667"/>
      <c r="M756" s="668"/>
      <c r="N756" s="373"/>
      <c r="O756" s="373"/>
      <c r="P756" s="670"/>
      <c r="Q756" s="665"/>
      <c r="R756" s="665"/>
      <c r="S756" s="539"/>
      <c r="T756" s="665"/>
      <c r="U756" s="49"/>
      <c r="V756" s="49"/>
      <c r="W756" s="49"/>
      <c r="X756" s="49"/>
      <c r="Y756" s="49"/>
    </row>
    <row r="757" ht="15.75" customHeight="1">
      <c r="A757" s="38"/>
      <c r="B757" s="49"/>
      <c r="C757" s="15"/>
      <c r="D757" s="663"/>
      <c r="E757" s="664"/>
      <c r="F757" s="665"/>
      <c r="G757" s="539"/>
      <c r="H757" s="373"/>
      <c r="I757" s="665"/>
      <c r="J757" s="666"/>
      <c r="K757" s="665"/>
      <c r="L757" s="667"/>
      <c r="M757" s="668"/>
      <c r="N757" s="373"/>
      <c r="O757" s="373"/>
      <c r="P757" s="670"/>
      <c r="Q757" s="665"/>
      <c r="R757" s="665"/>
      <c r="S757" s="539"/>
      <c r="T757" s="665"/>
      <c r="U757" s="49"/>
      <c r="V757" s="49"/>
      <c r="W757" s="49"/>
      <c r="X757" s="49"/>
      <c r="Y757" s="49"/>
    </row>
    <row r="758" ht="15.75" customHeight="1">
      <c r="A758" s="38"/>
      <c r="B758" s="49"/>
      <c r="C758" s="15"/>
      <c r="D758" s="663"/>
      <c r="E758" s="664"/>
      <c r="F758" s="665"/>
      <c r="G758" s="539"/>
      <c r="H758" s="373"/>
      <c r="I758" s="665"/>
      <c r="J758" s="666"/>
      <c r="K758" s="665"/>
      <c r="L758" s="667"/>
      <c r="M758" s="668"/>
      <c r="N758" s="373"/>
      <c r="O758" s="373"/>
      <c r="P758" s="670"/>
      <c r="Q758" s="665"/>
      <c r="R758" s="665"/>
      <c r="S758" s="539"/>
      <c r="T758" s="665"/>
      <c r="U758" s="49"/>
      <c r="V758" s="49"/>
      <c r="W758" s="49"/>
      <c r="X758" s="49"/>
      <c r="Y758" s="49"/>
    </row>
    <row r="759" ht="15.75" customHeight="1">
      <c r="A759" s="38"/>
      <c r="B759" s="49"/>
      <c r="C759" s="15"/>
      <c r="D759" s="663"/>
      <c r="E759" s="664"/>
      <c r="F759" s="665"/>
      <c r="G759" s="539"/>
      <c r="H759" s="373"/>
      <c r="I759" s="665"/>
      <c r="J759" s="666"/>
      <c r="K759" s="665"/>
      <c r="L759" s="667"/>
      <c r="M759" s="668"/>
      <c r="N759" s="373"/>
      <c r="O759" s="373"/>
      <c r="P759" s="670"/>
      <c r="Q759" s="665"/>
      <c r="R759" s="665"/>
      <c r="S759" s="539"/>
      <c r="T759" s="665"/>
      <c r="U759" s="49"/>
      <c r="V759" s="49"/>
      <c r="W759" s="49"/>
      <c r="X759" s="49"/>
      <c r="Y759" s="49"/>
    </row>
    <row r="760" ht="15.75" customHeight="1">
      <c r="A760" s="38"/>
      <c r="B760" s="49"/>
      <c r="C760" s="15"/>
      <c r="D760" s="663"/>
      <c r="E760" s="664"/>
      <c r="F760" s="665"/>
      <c r="G760" s="539"/>
      <c r="H760" s="373"/>
      <c r="I760" s="665"/>
      <c r="J760" s="666"/>
      <c r="K760" s="665"/>
      <c r="L760" s="667"/>
      <c r="M760" s="668"/>
      <c r="N760" s="373"/>
      <c r="O760" s="373"/>
      <c r="P760" s="670"/>
      <c r="Q760" s="665"/>
      <c r="R760" s="665"/>
      <c r="S760" s="539"/>
      <c r="T760" s="665"/>
      <c r="U760" s="49"/>
      <c r="V760" s="49"/>
      <c r="W760" s="49"/>
      <c r="X760" s="49"/>
      <c r="Y760" s="49"/>
    </row>
    <row r="761" ht="15.75" customHeight="1">
      <c r="A761" s="38"/>
      <c r="B761" s="49"/>
      <c r="C761" s="15"/>
      <c r="D761" s="663"/>
      <c r="E761" s="664"/>
      <c r="F761" s="665"/>
      <c r="G761" s="539"/>
      <c r="H761" s="373"/>
      <c r="I761" s="665"/>
      <c r="J761" s="666"/>
      <c r="K761" s="665"/>
      <c r="L761" s="667"/>
      <c r="M761" s="668"/>
      <c r="N761" s="373"/>
      <c r="O761" s="373"/>
      <c r="P761" s="670"/>
      <c r="Q761" s="665"/>
      <c r="R761" s="665"/>
      <c r="S761" s="539"/>
      <c r="T761" s="665"/>
      <c r="U761" s="49"/>
      <c r="V761" s="49"/>
      <c r="W761" s="49"/>
      <c r="X761" s="49"/>
      <c r="Y761" s="49"/>
    </row>
    <row r="762" ht="15.75" customHeight="1">
      <c r="A762" s="38"/>
      <c r="B762" s="49"/>
      <c r="C762" s="15"/>
      <c r="D762" s="663"/>
      <c r="E762" s="664"/>
      <c r="F762" s="665"/>
      <c r="G762" s="539"/>
      <c r="H762" s="373"/>
      <c r="I762" s="665"/>
      <c r="J762" s="666"/>
      <c r="K762" s="665"/>
      <c r="L762" s="667"/>
      <c r="M762" s="668"/>
      <c r="N762" s="373"/>
      <c r="O762" s="373"/>
      <c r="P762" s="670"/>
      <c r="Q762" s="665"/>
      <c r="R762" s="665"/>
      <c r="S762" s="539"/>
      <c r="T762" s="665"/>
      <c r="U762" s="49"/>
      <c r="V762" s="49"/>
      <c r="W762" s="49"/>
      <c r="X762" s="49"/>
      <c r="Y762" s="49"/>
    </row>
    <row r="763" ht="15.75" customHeight="1">
      <c r="A763" s="38"/>
      <c r="B763" s="49"/>
      <c r="C763" s="15"/>
      <c r="D763" s="663"/>
      <c r="E763" s="664"/>
      <c r="F763" s="665"/>
      <c r="G763" s="539"/>
      <c r="H763" s="373"/>
      <c r="I763" s="665"/>
      <c r="J763" s="666"/>
      <c r="K763" s="665"/>
      <c r="L763" s="667"/>
      <c r="M763" s="668"/>
      <c r="N763" s="373"/>
      <c r="O763" s="373"/>
      <c r="P763" s="670"/>
      <c r="Q763" s="665"/>
      <c r="R763" s="665"/>
      <c r="S763" s="539"/>
      <c r="T763" s="665"/>
      <c r="U763" s="49"/>
      <c r="V763" s="49"/>
      <c r="W763" s="49"/>
      <c r="X763" s="49"/>
      <c r="Y763" s="49"/>
    </row>
    <row r="764" ht="15.75" customHeight="1">
      <c r="A764" s="38"/>
      <c r="B764" s="49"/>
      <c r="C764" s="15"/>
      <c r="D764" s="663"/>
      <c r="E764" s="664"/>
      <c r="F764" s="665"/>
      <c r="G764" s="539"/>
      <c r="H764" s="373"/>
      <c r="I764" s="665"/>
      <c r="J764" s="666"/>
      <c r="K764" s="665"/>
      <c r="L764" s="667"/>
      <c r="M764" s="668"/>
      <c r="N764" s="373"/>
      <c r="O764" s="373"/>
      <c r="P764" s="670"/>
      <c r="Q764" s="665"/>
      <c r="R764" s="665"/>
      <c r="S764" s="539"/>
      <c r="T764" s="665"/>
      <c r="U764" s="49"/>
      <c r="V764" s="49"/>
      <c r="W764" s="49"/>
      <c r="X764" s="49"/>
      <c r="Y764" s="49"/>
    </row>
    <row r="765" ht="15.75" customHeight="1">
      <c r="A765" s="38"/>
      <c r="B765" s="49"/>
      <c r="C765" s="15"/>
      <c r="D765" s="663"/>
      <c r="E765" s="664"/>
      <c r="F765" s="665"/>
      <c r="G765" s="539"/>
      <c r="H765" s="373"/>
      <c r="I765" s="665"/>
      <c r="J765" s="666"/>
      <c r="K765" s="665"/>
      <c r="L765" s="667"/>
      <c r="M765" s="668"/>
      <c r="N765" s="373"/>
      <c r="O765" s="373"/>
      <c r="P765" s="670"/>
      <c r="Q765" s="665"/>
      <c r="R765" s="665"/>
      <c r="S765" s="539"/>
      <c r="T765" s="665"/>
      <c r="U765" s="49"/>
      <c r="V765" s="49"/>
      <c r="W765" s="49"/>
      <c r="X765" s="49"/>
      <c r="Y765" s="49"/>
    </row>
    <row r="766" ht="15.75" customHeight="1">
      <c r="A766" s="38"/>
      <c r="B766" s="49"/>
      <c r="C766" s="15"/>
      <c r="D766" s="663"/>
      <c r="E766" s="664"/>
      <c r="F766" s="665"/>
      <c r="G766" s="539"/>
      <c r="H766" s="373"/>
      <c r="I766" s="665"/>
      <c r="J766" s="666"/>
      <c r="K766" s="665"/>
      <c r="L766" s="667"/>
      <c r="M766" s="668"/>
      <c r="N766" s="373"/>
      <c r="O766" s="373"/>
      <c r="P766" s="670"/>
      <c r="Q766" s="665"/>
      <c r="R766" s="665"/>
      <c r="S766" s="539"/>
      <c r="T766" s="665"/>
      <c r="U766" s="49"/>
      <c r="V766" s="49"/>
      <c r="W766" s="49"/>
      <c r="X766" s="49"/>
      <c r="Y766" s="49"/>
    </row>
    <row r="767" ht="15.75" customHeight="1">
      <c r="A767" s="38"/>
      <c r="B767" s="49"/>
      <c r="C767" s="15"/>
      <c r="D767" s="663"/>
      <c r="E767" s="664"/>
      <c r="F767" s="665"/>
      <c r="G767" s="539"/>
      <c r="H767" s="373"/>
      <c r="I767" s="665"/>
      <c r="J767" s="666"/>
      <c r="K767" s="665"/>
      <c r="L767" s="667"/>
      <c r="M767" s="668"/>
      <c r="N767" s="373"/>
      <c r="O767" s="373"/>
      <c r="P767" s="670"/>
      <c r="Q767" s="665"/>
      <c r="R767" s="665"/>
      <c r="S767" s="539"/>
      <c r="T767" s="665"/>
      <c r="U767" s="49"/>
      <c r="V767" s="49"/>
      <c r="W767" s="49"/>
      <c r="X767" s="49"/>
      <c r="Y767" s="49"/>
    </row>
    <row r="768" ht="15.75" customHeight="1">
      <c r="A768" s="38"/>
      <c r="B768" s="49"/>
      <c r="C768" s="15"/>
      <c r="D768" s="663"/>
      <c r="E768" s="664"/>
      <c r="F768" s="665"/>
      <c r="G768" s="539"/>
      <c r="H768" s="373"/>
      <c r="I768" s="665"/>
      <c r="J768" s="666"/>
      <c r="K768" s="665"/>
      <c r="L768" s="667"/>
      <c r="M768" s="668"/>
      <c r="N768" s="373"/>
      <c r="O768" s="373"/>
      <c r="P768" s="670"/>
      <c r="Q768" s="665"/>
      <c r="R768" s="665"/>
      <c r="S768" s="539"/>
      <c r="T768" s="665"/>
      <c r="U768" s="49"/>
      <c r="V768" s="49"/>
      <c r="W768" s="49"/>
      <c r="X768" s="49"/>
      <c r="Y768" s="49"/>
    </row>
    <row r="769" ht="15.75" customHeight="1">
      <c r="A769" s="38"/>
      <c r="B769" s="49"/>
      <c r="C769" s="15"/>
      <c r="D769" s="663"/>
      <c r="E769" s="664"/>
      <c r="F769" s="665"/>
      <c r="G769" s="539"/>
      <c r="H769" s="373"/>
      <c r="I769" s="665"/>
      <c r="J769" s="666"/>
      <c r="K769" s="665"/>
      <c r="L769" s="667"/>
      <c r="M769" s="668"/>
      <c r="N769" s="373"/>
      <c r="O769" s="373"/>
      <c r="P769" s="670"/>
      <c r="Q769" s="665"/>
      <c r="R769" s="665"/>
      <c r="S769" s="539"/>
      <c r="T769" s="665"/>
      <c r="U769" s="49"/>
      <c r="V769" s="49"/>
      <c r="W769" s="49"/>
      <c r="X769" s="49"/>
      <c r="Y769" s="49"/>
    </row>
    <row r="770" ht="15.75" customHeight="1">
      <c r="A770" s="38"/>
      <c r="B770" s="49"/>
      <c r="C770" s="15"/>
      <c r="D770" s="663"/>
      <c r="E770" s="664"/>
      <c r="F770" s="665"/>
      <c r="G770" s="539"/>
      <c r="H770" s="373"/>
      <c r="I770" s="665"/>
      <c r="J770" s="666"/>
      <c r="K770" s="665"/>
      <c r="L770" s="667"/>
      <c r="M770" s="668"/>
      <c r="N770" s="373"/>
      <c r="O770" s="373"/>
      <c r="P770" s="670"/>
      <c r="Q770" s="665"/>
      <c r="R770" s="665"/>
      <c r="S770" s="539"/>
      <c r="T770" s="665"/>
      <c r="U770" s="49"/>
      <c r="V770" s="49"/>
      <c r="W770" s="49"/>
      <c r="X770" s="49"/>
      <c r="Y770" s="49"/>
    </row>
    <row r="771" ht="15.75" customHeight="1">
      <c r="A771" s="38"/>
      <c r="B771" s="49"/>
      <c r="C771" s="15"/>
      <c r="D771" s="663"/>
      <c r="E771" s="664"/>
      <c r="F771" s="665"/>
      <c r="G771" s="539"/>
      <c r="H771" s="373"/>
      <c r="I771" s="665"/>
      <c r="J771" s="666"/>
      <c r="K771" s="665"/>
      <c r="L771" s="667"/>
      <c r="M771" s="668"/>
      <c r="N771" s="373"/>
      <c r="O771" s="373"/>
      <c r="P771" s="670"/>
      <c r="Q771" s="665"/>
      <c r="R771" s="665"/>
      <c r="S771" s="539"/>
      <c r="T771" s="665"/>
      <c r="U771" s="49"/>
      <c r="V771" s="49"/>
      <c r="W771" s="49"/>
      <c r="X771" s="49"/>
      <c r="Y771" s="49"/>
    </row>
    <row r="772" ht="15.75" customHeight="1">
      <c r="A772" s="38"/>
      <c r="B772" s="49"/>
      <c r="C772" s="15"/>
      <c r="D772" s="663"/>
      <c r="E772" s="664"/>
      <c r="F772" s="665"/>
      <c r="G772" s="539"/>
      <c r="H772" s="373"/>
      <c r="I772" s="665"/>
      <c r="J772" s="666"/>
      <c r="K772" s="665"/>
      <c r="L772" s="667"/>
      <c r="M772" s="668"/>
      <c r="N772" s="373"/>
      <c r="O772" s="373"/>
      <c r="P772" s="670"/>
      <c r="Q772" s="665"/>
      <c r="R772" s="665"/>
      <c r="S772" s="539"/>
      <c r="T772" s="665"/>
      <c r="U772" s="49"/>
      <c r="V772" s="49"/>
      <c r="W772" s="49"/>
      <c r="X772" s="49"/>
      <c r="Y772" s="49"/>
    </row>
    <row r="773" ht="15.75" customHeight="1">
      <c r="A773" s="38"/>
      <c r="B773" s="49"/>
      <c r="C773" s="15"/>
      <c r="D773" s="663"/>
      <c r="E773" s="664"/>
      <c r="F773" s="665"/>
      <c r="G773" s="539"/>
      <c r="H773" s="373"/>
      <c r="I773" s="665"/>
      <c r="J773" s="666"/>
      <c r="K773" s="665"/>
      <c r="L773" s="667"/>
      <c r="M773" s="668"/>
      <c r="N773" s="373"/>
      <c r="O773" s="373"/>
      <c r="P773" s="670"/>
      <c r="Q773" s="665"/>
      <c r="R773" s="665"/>
      <c r="S773" s="539"/>
      <c r="T773" s="665"/>
      <c r="U773" s="49"/>
      <c r="V773" s="49"/>
      <c r="W773" s="49"/>
      <c r="X773" s="49"/>
      <c r="Y773" s="49"/>
    </row>
    <row r="774" ht="15.75" customHeight="1">
      <c r="A774" s="38"/>
      <c r="B774" s="49"/>
      <c r="C774" s="15"/>
      <c r="D774" s="663"/>
      <c r="E774" s="664"/>
      <c r="F774" s="665"/>
      <c r="G774" s="539"/>
      <c r="H774" s="373"/>
      <c r="I774" s="665"/>
      <c r="J774" s="666"/>
      <c r="K774" s="665"/>
      <c r="L774" s="667"/>
      <c r="M774" s="668"/>
      <c r="N774" s="373"/>
      <c r="O774" s="373"/>
      <c r="P774" s="670"/>
      <c r="Q774" s="665"/>
      <c r="R774" s="665"/>
      <c r="S774" s="539"/>
      <c r="T774" s="665"/>
      <c r="U774" s="49"/>
      <c r="V774" s="49"/>
      <c r="W774" s="49"/>
      <c r="X774" s="49"/>
      <c r="Y774" s="49"/>
    </row>
    <row r="775" ht="15.75" customHeight="1">
      <c r="A775" s="38"/>
      <c r="B775" s="49"/>
      <c r="C775" s="15"/>
      <c r="D775" s="663"/>
      <c r="E775" s="664"/>
      <c r="F775" s="665"/>
      <c r="G775" s="539"/>
      <c r="H775" s="373"/>
      <c r="I775" s="665"/>
      <c r="J775" s="666"/>
      <c r="K775" s="665"/>
      <c r="L775" s="667"/>
      <c r="M775" s="668"/>
      <c r="N775" s="373"/>
      <c r="O775" s="373"/>
      <c r="P775" s="670"/>
      <c r="Q775" s="665"/>
      <c r="R775" s="665"/>
      <c r="S775" s="539"/>
      <c r="T775" s="665"/>
      <c r="U775" s="49"/>
      <c r="V775" s="49"/>
      <c r="W775" s="49"/>
      <c r="X775" s="49"/>
      <c r="Y775" s="49"/>
    </row>
    <row r="776" ht="15.75" customHeight="1">
      <c r="A776" s="38"/>
      <c r="B776" s="49"/>
      <c r="C776" s="15"/>
      <c r="D776" s="663"/>
      <c r="E776" s="664"/>
      <c r="F776" s="665"/>
      <c r="G776" s="539"/>
      <c r="H776" s="373"/>
      <c r="I776" s="665"/>
      <c r="J776" s="666"/>
      <c r="K776" s="665"/>
      <c r="L776" s="667"/>
      <c r="M776" s="668"/>
      <c r="N776" s="373"/>
      <c r="O776" s="373"/>
      <c r="P776" s="670"/>
      <c r="Q776" s="665"/>
      <c r="R776" s="665"/>
      <c r="S776" s="539"/>
      <c r="T776" s="665"/>
      <c r="U776" s="49"/>
      <c r="V776" s="49"/>
      <c r="W776" s="49"/>
      <c r="X776" s="49"/>
      <c r="Y776" s="49"/>
    </row>
    <row r="777" ht="15.75" customHeight="1">
      <c r="A777" s="38"/>
      <c r="B777" s="49"/>
      <c r="C777" s="15"/>
      <c r="D777" s="663"/>
      <c r="E777" s="664"/>
      <c r="F777" s="665"/>
      <c r="G777" s="539"/>
      <c r="H777" s="373"/>
      <c r="I777" s="665"/>
      <c r="J777" s="666"/>
      <c r="K777" s="665"/>
      <c r="L777" s="667"/>
      <c r="M777" s="668"/>
      <c r="N777" s="373"/>
      <c r="O777" s="373"/>
      <c r="P777" s="670"/>
      <c r="Q777" s="665"/>
      <c r="R777" s="665"/>
      <c r="S777" s="539"/>
      <c r="T777" s="665"/>
      <c r="U777" s="49"/>
      <c r="V777" s="49"/>
      <c r="W777" s="49"/>
      <c r="X777" s="49"/>
      <c r="Y777" s="49"/>
    </row>
    <row r="778" ht="15.75" customHeight="1">
      <c r="A778" s="38"/>
      <c r="B778" s="49"/>
      <c r="C778" s="15"/>
      <c r="D778" s="663"/>
      <c r="E778" s="664"/>
      <c r="F778" s="665"/>
      <c r="G778" s="539"/>
      <c r="H778" s="373"/>
      <c r="I778" s="665"/>
      <c r="J778" s="666"/>
      <c r="K778" s="665"/>
      <c r="L778" s="667"/>
      <c r="M778" s="668"/>
      <c r="N778" s="373"/>
      <c r="O778" s="373"/>
      <c r="P778" s="670"/>
      <c r="Q778" s="665"/>
      <c r="R778" s="665"/>
      <c r="S778" s="539"/>
      <c r="T778" s="665"/>
      <c r="U778" s="49"/>
      <c r="V778" s="49"/>
      <c r="W778" s="49"/>
      <c r="X778" s="49"/>
      <c r="Y778" s="49"/>
    </row>
    <row r="779" ht="15.75" customHeight="1">
      <c r="A779" s="38"/>
      <c r="B779" s="49"/>
      <c r="C779" s="15"/>
      <c r="D779" s="663"/>
      <c r="E779" s="664"/>
      <c r="F779" s="665"/>
      <c r="G779" s="539"/>
      <c r="H779" s="373"/>
      <c r="I779" s="665"/>
      <c r="J779" s="666"/>
      <c r="K779" s="665"/>
      <c r="L779" s="667"/>
      <c r="M779" s="668"/>
      <c r="N779" s="373"/>
      <c r="O779" s="373"/>
      <c r="P779" s="670"/>
      <c r="Q779" s="665"/>
      <c r="R779" s="665"/>
      <c r="S779" s="539"/>
      <c r="T779" s="665"/>
      <c r="U779" s="49"/>
      <c r="V779" s="49"/>
      <c r="W779" s="49"/>
      <c r="X779" s="49"/>
      <c r="Y779" s="49"/>
    </row>
    <row r="780" ht="15.75" customHeight="1">
      <c r="A780" s="38"/>
      <c r="B780" s="49"/>
      <c r="C780" s="15"/>
      <c r="D780" s="663"/>
      <c r="E780" s="664"/>
      <c r="F780" s="665"/>
      <c r="G780" s="539"/>
      <c r="H780" s="373"/>
      <c r="I780" s="665"/>
      <c r="J780" s="666"/>
      <c r="K780" s="665"/>
      <c r="L780" s="667"/>
      <c r="M780" s="668"/>
      <c r="N780" s="373"/>
      <c r="O780" s="373"/>
      <c r="P780" s="670"/>
      <c r="Q780" s="665"/>
      <c r="R780" s="665"/>
      <c r="S780" s="539"/>
      <c r="T780" s="665"/>
      <c r="U780" s="49"/>
      <c r="V780" s="49"/>
      <c r="W780" s="49"/>
      <c r="X780" s="49"/>
      <c r="Y780" s="49"/>
    </row>
    <row r="781" ht="15.75" customHeight="1">
      <c r="A781" s="38"/>
      <c r="B781" s="49"/>
      <c r="C781" s="15"/>
      <c r="D781" s="663"/>
      <c r="E781" s="664"/>
      <c r="F781" s="665"/>
      <c r="G781" s="539"/>
      <c r="H781" s="373"/>
      <c r="I781" s="665"/>
      <c r="J781" s="666"/>
      <c r="K781" s="665"/>
      <c r="L781" s="667"/>
      <c r="M781" s="668"/>
      <c r="N781" s="373"/>
      <c r="O781" s="373"/>
      <c r="P781" s="670"/>
      <c r="Q781" s="665"/>
      <c r="R781" s="665"/>
      <c r="S781" s="539"/>
      <c r="T781" s="665"/>
      <c r="U781" s="49"/>
      <c r="V781" s="49"/>
      <c r="W781" s="49"/>
      <c r="X781" s="49"/>
      <c r="Y781" s="49"/>
    </row>
    <row r="782" ht="15.75" customHeight="1">
      <c r="A782" s="38"/>
      <c r="B782" s="49"/>
      <c r="C782" s="15"/>
      <c r="D782" s="663"/>
      <c r="E782" s="664"/>
      <c r="F782" s="665"/>
      <c r="G782" s="539"/>
      <c r="H782" s="373"/>
      <c r="I782" s="665"/>
      <c r="J782" s="666"/>
      <c r="K782" s="665"/>
      <c r="L782" s="667"/>
      <c r="M782" s="668"/>
      <c r="N782" s="373"/>
      <c r="O782" s="373"/>
      <c r="P782" s="670"/>
      <c r="Q782" s="665"/>
      <c r="R782" s="665"/>
      <c r="S782" s="539"/>
      <c r="T782" s="665"/>
      <c r="U782" s="49"/>
      <c r="V782" s="49"/>
      <c r="W782" s="49"/>
      <c r="X782" s="49"/>
      <c r="Y782" s="49"/>
    </row>
    <row r="783" ht="15.75" customHeight="1">
      <c r="A783" s="38"/>
      <c r="B783" s="49"/>
      <c r="C783" s="15"/>
      <c r="D783" s="663"/>
      <c r="E783" s="664"/>
      <c r="F783" s="665"/>
      <c r="G783" s="539"/>
      <c r="H783" s="373"/>
      <c r="I783" s="665"/>
      <c r="J783" s="666"/>
      <c r="K783" s="665"/>
      <c r="L783" s="667"/>
      <c r="M783" s="668"/>
      <c r="N783" s="373"/>
      <c r="O783" s="373"/>
      <c r="P783" s="670"/>
      <c r="Q783" s="665"/>
      <c r="R783" s="665"/>
      <c r="S783" s="539"/>
      <c r="T783" s="665"/>
      <c r="U783" s="49"/>
      <c r="V783" s="49"/>
      <c r="W783" s="49"/>
      <c r="X783" s="49"/>
      <c r="Y783" s="49"/>
    </row>
    <row r="784" ht="15.75" customHeight="1">
      <c r="A784" s="38"/>
      <c r="B784" s="49"/>
      <c r="C784" s="15"/>
      <c r="D784" s="663"/>
      <c r="E784" s="664"/>
      <c r="F784" s="665"/>
      <c r="G784" s="539"/>
      <c r="H784" s="373"/>
      <c r="I784" s="665"/>
      <c r="J784" s="666"/>
      <c r="K784" s="665"/>
      <c r="L784" s="667"/>
      <c r="M784" s="668"/>
      <c r="N784" s="373"/>
      <c r="O784" s="373"/>
      <c r="P784" s="670"/>
      <c r="Q784" s="665"/>
      <c r="R784" s="665"/>
      <c r="S784" s="539"/>
      <c r="T784" s="665"/>
      <c r="U784" s="49"/>
      <c r="V784" s="49"/>
      <c r="W784" s="49"/>
      <c r="X784" s="49"/>
      <c r="Y784" s="49"/>
    </row>
    <row r="785" ht="15.75" customHeight="1">
      <c r="A785" s="38"/>
      <c r="B785" s="49"/>
      <c r="C785" s="15"/>
      <c r="D785" s="663"/>
      <c r="E785" s="664"/>
      <c r="F785" s="665"/>
      <c r="G785" s="539"/>
      <c r="H785" s="373"/>
      <c r="I785" s="665"/>
      <c r="J785" s="666"/>
      <c r="K785" s="665"/>
      <c r="L785" s="667"/>
      <c r="M785" s="668"/>
      <c r="N785" s="373"/>
      <c r="O785" s="373"/>
      <c r="P785" s="670"/>
      <c r="Q785" s="665"/>
      <c r="R785" s="665"/>
      <c r="S785" s="539"/>
      <c r="T785" s="665"/>
      <c r="U785" s="49"/>
      <c r="V785" s="49"/>
      <c r="W785" s="49"/>
      <c r="X785" s="49"/>
      <c r="Y785" s="49"/>
    </row>
    <row r="786" ht="15.75" customHeight="1">
      <c r="A786" s="38"/>
      <c r="B786" s="49"/>
      <c r="C786" s="15"/>
      <c r="D786" s="663"/>
      <c r="E786" s="664"/>
      <c r="F786" s="665"/>
      <c r="G786" s="539"/>
      <c r="H786" s="373"/>
      <c r="I786" s="665"/>
      <c r="J786" s="666"/>
      <c r="K786" s="665"/>
      <c r="L786" s="667"/>
      <c r="M786" s="668"/>
      <c r="N786" s="373"/>
      <c r="O786" s="373"/>
      <c r="P786" s="670"/>
      <c r="Q786" s="665"/>
      <c r="R786" s="665"/>
      <c r="S786" s="539"/>
      <c r="T786" s="665"/>
      <c r="U786" s="49"/>
      <c r="V786" s="49"/>
      <c r="W786" s="49"/>
      <c r="X786" s="49"/>
      <c r="Y786" s="49"/>
    </row>
    <row r="787" ht="15.75" customHeight="1">
      <c r="A787" s="38"/>
      <c r="B787" s="49"/>
      <c r="C787" s="15"/>
      <c r="D787" s="663"/>
      <c r="E787" s="664"/>
      <c r="F787" s="665"/>
      <c r="G787" s="539"/>
      <c r="H787" s="373"/>
      <c r="I787" s="665"/>
      <c r="J787" s="666"/>
      <c r="K787" s="665"/>
      <c r="L787" s="667"/>
      <c r="M787" s="668"/>
      <c r="N787" s="373"/>
      <c r="O787" s="373"/>
      <c r="P787" s="670"/>
      <c r="Q787" s="665"/>
      <c r="R787" s="665"/>
      <c r="S787" s="539"/>
      <c r="T787" s="665"/>
      <c r="U787" s="49"/>
      <c r="V787" s="49"/>
      <c r="W787" s="49"/>
      <c r="X787" s="49"/>
      <c r="Y787" s="49"/>
    </row>
    <row r="788" ht="15.75" customHeight="1">
      <c r="A788" s="38"/>
      <c r="B788" s="49"/>
      <c r="C788" s="15"/>
      <c r="D788" s="663"/>
      <c r="E788" s="664"/>
      <c r="F788" s="665"/>
      <c r="G788" s="539"/>
      <c r="H788" s="373"/>
      <c r="I788" s="665"/>
      <c r="J788" s="666"/>
      <c r="K788" s="665"/>
      <c r="L788" s="667"/>
      <c r="M788" s="668"/>
      <c r="N788" s="373"/>
      <c r="O788" s="373"/>
      <c r="P788" s="670"/>
      <c r="Q788" s="665"/>
      <c r="R788" s="665"/>
      <c r="S788" s="539"/>
      <c r="T788" s="665"/>
      <c r="U788" s="49"/>
      <c r="V788" s="49"/>
      <c r="W788" s="49"/>
      <c r="X788" s="49"/>
      <c r="Y788" s="49"/>
    </row>
    <row r="789" ht="15.75" customHeight="1">
      <c r="A789" s="38"/>
      <c r="B789" s="49"/>
      <c r="C789" s="15"/>
      <c r="D789" s="663"/>
      <c r="E789" s="664"/>
      <c r="F789" s="665"/>
      <c r="G789" s="539"/>
      <c r="H789" s="373"/>
      <c r="I789" s="665"/>
      <c r="J789" s="666"/>
      <c r="K789" s="665"/>
      <c r="L789" s="667"/>
      <c r="M789" s="668"/>
      <c r="N789" s="373"/>
      <c r="O789" s="373"/>
      <c r="P789" s="670"/>
      <c r="Q789" s="665"/>
      <c r="R789" s="665"/>
      <c r="S789" s="539"/>
      <c r="T789" s="665"/>
      <c r="U789" s="49"/>
      <c r="V789" s="49"/>
      <c r="W789" s="49"/>
      <c r="X789" s="49"/>
      <c r="Y789" s="49"/>
    </row>
    <row r="790" ht="15.75" customHeight="1">
      <c r="A790" s="38"/>
      <c r="B790" s="49"/>
      <c r="C790" s="15"/>
      <c r="D790" s="663"/>
      <c r="E790" s="664"/>
      <c r="F790" s="665"/>
      <c r="G790" s="539"/>
      <c r="H790" s="373"/>
      <c r="I790" s="665"/>
      <c r="J790" s="666"/>
      <c r="K790" s="665"/>
      <c r="L790" s="667"/>
      <c r="M790" s="668"/>
      <c r="N790" s="373"/>
      <c r="O790" s="373"/>
      <c r="P790" s="670"/>
      <c r="Q790" s="665"/>
      <c r="R790" s="665"/>
      <c r="S790" s="539"/>
      <c r="T790" s="665"/>
      <c r="U790" s="49"/>
      <c r="V790" s="49"/>
      <c r="W790" s="49"/>
      <c r="X790" s="49"/>
      <c r="Y790" s="49"/>
    </row>
    <row r="791" ht="15.75" customHeight="1">
      <c r="A791" s="38"/>
      <c r="B791" s="49"/>
      <c r="C791" s="15"/>
      <c r="D791" s="663"/>
      <c r="E791" s="664"/>
      <c r="F791" s="665"/>
      <c r="G791" s="539"/>
      <c r="H791" s="373"/>
      <c r="I791" s="665"/>
      <c r="J791" s="666"/>
      <c r="K791" s="665"/>
      <c r="L791" s="667"/>
      <c r="M791" s="668"/>
      <c r="N791" s="373"/>
      <c r="O791" s="373"/>
      <c r="P791" s="670"/>
      <c r="Q791" s="665"/>
      <c r="R791" s="665"/>
      <c r="S791" s="539"/>
      <c r="T791" s="665"/>
      <c r="U791" s="49"/>
      <c r="V791" s="49"/>
      <c r="W791" s="49"/>
      <c r="X791" s="49"/>
      <c r="Y791" s="49"/>
    </row>
    <row r="792" ht="15.75" customHeight="1">
      <c r="A792" s="38"/>
      <c r="B792" s="49"/>
      <c r="C792" s="15"/>
      <c r="D792" s="663"/>
      <c r="E792" s="664"/>
      <c r="F792" s="665"/>
      <c r="G792" s="539"/>
      <c r="H792" s="373"/>
      <c r="I792" s="665"/>
      <c r="J792" s="666"/>
      <c r="K792" s="665"/>
      <c r="L792" s="667"/>
      <c r="M792" s="668"/>
      <c r="N792" s="373"/>
      <c r="O792" s="373"/>
      <c r="P792" s="670"/>
      <c r="Q792" s="665"/>
      <c r="R792" s="665"/>
      <c r="S792" s="539"/>
      <c r="T792" s="665"/>
      <c r="U792" s="49"/>
      <c r="V792" s="49"/>
      <c r="W792" s="49"/>
      <c r="X792" s="49"/>
      <c r="Y792" s="49"/>
    </row>
    <row r="793" ht="15.75" customHeight="1">
      <c r="A793" s="38"/>
      <c r="B793" s="49"/>
      <c r="C793" s="15"/>
      <c r="D793" s="663"/>
      <c r="E793" s="664"/>
      <c r="F793" s="665"/>
      <c r="G793" s="539"/>
      <c r="H793" s="373"/>
      <c r="I793" s="665"/>
      <c r="J793" s="666"/>
      <c r="K793" s="665"/>
      <c r="L793" s="667"/>
      <c r="M793" s="668"/>
      <c r="N793" s="373"/>
      <c r="O793" s="373"/>
      <c r="P793" s="670"/>
      <c r="Q793" s="665"/>
      <c r="R793" s="665"/>
      <c r="S793" s="539"/>
      <c r="T793" s="665"/>
      <c r="U793" s="49"/>
      <c r="V793" s="49"/>
      <c r="W793" s="49"/>
      <c r="X793" s="49"/>
      <c r="Y793" s="49"/>
    </row>
    <row r="794" ht="15.75" customHeight="1">
      <c r="A794" s="38"/>
      <c r="B794" s="49"/>
      <c r="C794" s="15"/>
      <c r="D794" s="663"/>
      <c r="E794" s="664"/>
      <c r="F794" s="665"/>
      <c r="G794" s="539"/>
      <c r="H794" s="373"/>
      <c r="I794" s="665"/>
      <c r="J794" s="666"/>
      <c r="K794" s="665"/>
      <c r="L794" s="667"/>
      <c r="M794" s="668"/>
      <c r="N794" s="373"/>
      <c r="O794" s="373"/>
      <c r="P794" s="670"/>
      <c r="Q794" s="665"/>
      <c r="R794" s="665"/>
      <c r="S794" s="539"/>
      <c r="T794" s="665"/>
      <c r="U794" s="49"/>
      <c r="V794" s="49"/>
      <c r="W794" s="49"/>
      <c r="X794" s="49"/>
      <c r="Y794" s="49"/>
    </row>
    <row r="795" ht="15.75" customHeight="1">
      <c r="A795" s="38"/>
      <c r="B795" s="49"/>
      <c r="C795" s="15"/>
      <c r="D795" s="663"/>
      <c r="E795" s="664"/>
      <c r="F795" s="665"/>
      <c r="G795" s="539"/>
      <c r="H795" s="373"/>
      <c r="I795" s="665"/>
      <c r="J795" s="666"/>
      <c r="K795" s="665"/>
      <c r="L795" s="667"/>
      <c r="M795" s="668"/>
      <c r="N795" s="373"/>
      <c r="O795" s="373"/>
      <c r="P795" s="670"/>
      <c r="Q795" s="665"/>
      <c r="R795" s="665"/>
      <c r="S795" s="539"/>
      <c r="T795" s="665"/>
      <c r="U795" s="49"/>
      <c r="V795" s="49"/>
      <c r="W795" s="49"/>
      <c r="X795" s="49"/>
      <c r="Y795" s="49"/>
    </row>
    <row r="796" ht="15.75" customHeight="1">
      <c r="A796" s="38"/>
      <c r="B796" s="49"/>
      <c r="C796" s="15"/>
      <c r="D796" s="663"/>
      <c r="E796" s="664"/>
      <c r="F796" s="665"/>
      <c r="G796" s="539"/>
      <c r="H796" s="373"/>
      <c r="I796" s="665"/>
      <c r="J796" s="666"/>
      <c r="K796" s="665"/>
      <c r="L796" s="667"/>
      <c r="M796" s="668"/>
      <c r="N796" s="373"/>
      <c r="O796" s="373"/>
      <c r="P796" s="670"/>
      <c r="Q796" s="665"/>
      <c r="R796" s="665"/>
      <c r="S796" s="539"/>
      <c r="T796" s="665"/>
      <c r="U796" s="49"/>
      <c r="V796" s="49"/>
      <c r="W796" s="49"/>
      <c r="X796" s="49"/>
      <c r="Y796" s="49"/>
    </row>
    <row r="797" ht="15.75" customHeight="1">
      <c r="A797" s="38"/>
      <c r="B797" s="49"/>
      <c r="C797" s="15"/>
      <c r="D797" s="663"/>
      <c r="E797" s="664"/>
      <c r="F797" s="665"/>
      <c r="G797" s="539"/>
      <c r="H797" s="373"/>
      <c r="I797" s="665"/>
      <c r="J797" s="666"/>
      <c r="K797" s="665"/>
      <c r="L797" s="667"/>
      <c r="M797" s="668"/>
      <c r="N797" s="373"/>
      <c r="O797" s="373"/>
      <c r="P797" s="670"/>
      <c r="Q797" s="665"/>
      <c r="R797" s="665"/>
      <c r="S797" s="539"/>
      <c r="T797" s="665"/>
      <c r="U797" s="49"/>
      <c r="V797" s="49"/>
      <c r="W797" s="49"/>
      <c r="X797" s="49"/>
      <c r="Y797" s="49"/>
    </row>
    <row r="798" ht="15.75" customHeight="1">
      <c r="A798" s="38"/>
      <c r="B798" s="49"/>
      <c r="C798" s="15"/>
      <c r="D798" s="663"/>
      <c r="E798" s="664"/>
      <c r="F798" s="665"/>
      <c r="G798" s="539"/>
      <c r="H798" s="373"/>
      <c r="I798" s="665"/>
      <c r="J798" s="666"/>
      <c r="K798" s="665"/>
      <c r="L798" s="667"/>
      <c r="M798" s="668"/>
      <c r="N798" s="373"/>
      <c r="O798" s="373"/>
      <c r="P798" s="670"/>
      <c r="Q798" s="665"/>
      <c r="R798" s="665"/>
      <c r="S798" s="539"/>
      <c r="T798" s="665"/>
      <c r="U798" s="49"/>
      <c r="V798" s="49"/>
      <c r="W798" s="49"/>
      <c r="X798" s="49"/>
      <c r="Y798" s="49"/>
    </row>
    <row r="799" ht="15.75" customHeight="1">
      <c r="A799" s="38"/>
      <c r="B799" s="49"/>
      <c r="C799" s="15"/>
      <c r="D799" s="663"/>
      <c r="E799" s="664"/>
      <c r="F799" s="665"/>
      <c r="G799" s="539"/>
      <c r="H799" s="373"/>
      <c r="I799" s="665"/>
      <c r="J799" s="666"/>
      <c r="K799" s="665"/>
      <c r="L799" s="667"/>
      <c r="M799" s="668"/>
      <c r="N799" s="373"/>
      <c r="O799" s="373"/>
      <c r="P799" s="670"/>
      <c r="Q799" s="665"/>
      <c r="R799" s="665"/>
      <c r="S799" s="539"/>
      <c r="T799" s="665"/>
      <c r="U799" s="49"/>
      <c r="V799" s="49"/>
      <c r="W799" s="49"/>
      <c r="X799" s="49"/>
      <c r="Y799" s="49"/>
    </row>
    <row r="800" ht="15.75" customHeight="1">
      <c r="A800" s="38"/>
      <c r="B800" s="49"/>
      <c r="C800" s="15"/>
      <c r="D800" s="663"/>
      <c r="E800" s="664"/>
      <c r="F800" s="665"/>
      <c r="G800" s="539"/>
      <c r="H800" s="373"/>
      <c r="I800" s="665"/>
      <c r="J800" s="666"/>
      <c r="K800" s="665"/>
      <c r="L800" s="667"/>
      <c r="M800" s="668"/>
      <c r="N800" s="373"/>
      <c r="O800" s="373"/>
      <c r="P800" s="670"/>
      <c r="Q800" s="665"/>
      <c r="R800" s="665"/>
      <c r="S800" s="539"/>
      <c r="T800" s="665"/>
      <c r="U800" s="49"/>
      <c r="V800" s="49"/>
      <c r="W800" s="49"/>
      <c r="X800" s="49"/>
      <c r="Y800" s="49"/>
    </row>
    <row r="801" ht="15.75" customHeight="1">
      <c r="A801" s="38"/>
      <c r="B801" s="49"/>
      <c r="C801" s="15"/>
      <c r="D801" s="663"/>
      <c r="E801" s="664"/>
      <c r="F801" s="665"/>
      <c r="G801" s="539"/>
      <c r="H801" s="373"/>
      <c r="I801" s="665"/>
      <c r="J801" s="666"/>
      <c r="K801" s="665"/>
      <c r="L801" s="667"/>
      <c r="M801" s="668"/>
      <c r="N801" s="373"/>
      <c r="O801" s="373"/>
      <c r="P801" s="670"/>
      <c r="Q801" s="665"/>
      <c r="R801" s="665"/>
      <c r="S801" s="539"/>
      <c r="T801" s="665"/>
      <c r="U801" s="49"/>
      <c r="V801" s="49"/>
      <c r="W801" s="49"/>
      <c r="X801" s="49"/>
      <c r="Y801" s="49"/>
    </row>
    <row r="802" ht="15.75" customHeight="1">
      <c r="A802" s="38"/>
      <c r="B802" s="49"/>
      <c r="C802" s="15"/>
      <c r="D802" s="663"/>
      <c r="E802" s="664"/>
      <c r="F802" s="665"/>
      <c r="G802" s="539"/>
      <c r="H802" s="373"/>
      <c r="I802" s="665"/>
      <c r="J802" s="666"/>
      <c r="K802" s="665"/>
      <c r="L802" s="667"/>
      <c r="M802" s="668"/>
      <c r="N802" s="373"/>
      <c r="O802" s="373"/>
      <c r="P802" s="670"/>
      <c r="Q802" s="665"/>
      <c r="R802" s="665"/>
      <c r="S802" s="539"/>
      <c r="T802" s="665"/>
      <c r="U802" s="49"/>
      <c r="V802" s="49"/>
      <c r="W802" s="49"/>
      <c r="X802" s="49"/>
      <c r="Y802" s="49"/>
    </row>
    <row r="803" ht="15.75" customHeight="1">
      <c r="A803" s="38"/>
      <c r="B803" s="49"/>
      <c r="C803" s="15"/>
      <c r="D803" s="663"/>
      <c r="E803" s="664"/>
      <c r="F803" s="665"/>
      <c r="G803" s="539"/>
      <c r="H803" s="373"/>
      <c r="I803" s="665"/>
      <c r="J803" s="666"/>
      <c r="K803" s="665"/>
      <c r="L803" s="667"/>
      <c r="M803" s="668"/>
      <c r="N803" s="373"/>
      <c r="O803" s="373"/>
      <c r="P803" s="670"/>
      <c r="Q803" s="665"/>
      <c r="R803" s="665"/>
      <c r="S803" s="539"/>
      <c r="T803" s="665"/>
      <c r="U803" s="49"/>
      <c r="V803" s="49"/>
      <c r="W803" s="49"/>
      <c r="X803" s="49"/>
      <c r="Y803" s="49"/>
    </row>
    <row r="804" ht="15.75" customHeight="1">
      <c r="A804" s="38"/>
      <c r="B804" s="49"/>
      <c r="C804" s="15"/>
      <c r="D804" s="663"/>
      <c r="E804" s="664"/>
      <c r="F804" s="665"/>
      <c r="G804" s="539"/>
      <c r="H804" s="373"/>
      <c r="I804" s="665"/>
      <c r="J804" s="666"/>
      <c r="K804" s="665"/>
      <c r="L804" s="667"/>
      <c r="M804" s="668"/>
      <c r="N804" s="373"/>
      <c r="O804" s="373"/>
      <c r="P804" s="670"/>
      <c r="Q804" s="665"/>
      <c r="R804" s="665"/>
      <c r="S804" s="539"/>
      <c r="T804" s="665"/>
      <c r="U804" s="49"/>
      <c r="V804" s="49"/>
      <c r="W804" s="49"/>
      <c r="X804" s="49"/>
      <c r="Y804" s="49"/>
    </row>
    <row r="805" ht="15.75" customHeight="1">
      <c r="A805" s="38"/>
      <c r="B805" s="49"/>
      <c r="C805" s="15"/>
      <c r="D805" s="663"/>
      <c r="E805" s="664"/>
      <c r="F805" s="665"/>
      <c r="G805" s="539"/>
      <c r="H805" s="373"/>
      <c r="I805" s="665"/>
      <c r="J805" s="666"/>
      <c r="K805" s="665"/>
      <c r="L805" s="667"/>
      <c r="M805" s="668"/>
      <c r="N805" s="373"/>
      <c r="O805" s="373"/>
      <c r="P805" s="670"/>
      <c r="Q805" s="665"/>
      <c r="R805" s="665"/>
      <c r="S805" s="539"/>
      <c r="T805" s="665"/>
      <c r="U805" s="49"/>
      <c r="V805" s="49"/>
      <c r="W805" s="49"/>
      <c r="X805" s="49"/>
      <c r="Y805" s="49"/>
    </row>
    <row r="806" ht="15.75" customHeight="1">
      <c r="A806" s="38"/>
      <c r="B806" s="49"/>
      <c r="C806" s="15"/>
      <c r="D806" s="663"/>
      <c r="E806" s="664"/>
      <c r="F806" s="665"/>
      <c r="G806" s="539"/>
      <c r="H806" s="373"/>
      <c r="I806" s="665"/>
      <c r="J806" s="666"/>
      <c r="K806" s="665"/>
      <c r="L806" s="667"/>
      <c r="M806" s="668"/>
      <c r="N806" s="373"/>
      <c r="O806" s="373"/>
      <c r="P806" s="670"/>
      <c r="Q806" s="665"/>
      <c r="R806" s="665"/>
      <c r="S806" s="539"/>
      <c r="T806" s="665"/>
      <c r="U806" s="49"/>
      <c r="V806" s="49"/>
      <c r="W806" s="49"/>
      <c r="X806" s="49"/>
      <c r="Y806" s="49"/>
    </row>
    <row r="807" ht="15.75" customHeight="1">
      <c r="A807" s="38"/>
      <c r="B807" s="49"/>
      <c r="C807" s="15"/>
      <c r="D807" s="663"/>
      <c r="E807" s="664"/>
      <c r="F807" s="665"/>
      <c r="G807" s="539"/>
      <c r="H807" s="373"/>
      <c r="I807" s="665"/>
      <c r="J807" s="666"/>
      <c r="K807" s="665"/>
      <c r="L807" s="667"/>
      <c r="M807" s="668"/>
      <c r="N807" s="373"/>
      <c r="O807" s="373"/>
      <c r="P807" s="670"/>
      <c r="Q807" s="665"/>
      <c r="R807" s="665"/>
      <c r="S807" s="539"/>
      <c r="T807" s="665"/>
      <c r="U807" s="49"/>
      <c r="V807" s="49"/>
      <c r="W807" s="49"/>
      <c r="X807" s="49"/>
      <c r="Y807" s="49"/>
    </row>
    <row r="808" ht="15.75" customHeight="1">
      <c r="A808" s="38"/>
      <c r="B808" s="49"/>
      <c r="C808" s="15"/>
      <c r="D808" s="663"/>
      <c r="E808" s="664"/>
      <c r="F808" s="665"/>
      <c r="G808" s="539"/>
      <c r="H808" s="373"/>
      <c r="I808" s="665"/>
      <c r="J808" s="666"/>
      <c r="K808" s="665"/>
      <c r="L808" s="667"/>
      <c r="M808" s="668"/>
      <c r="N808" s="373"/>
      <c r="O808" s="373"/>
      <c r="P808" s="670"/>
      <c r="Q808" s="665"/>
      <c r="R808" s="665"/>
      <c r="S808" s="539"/>
      <c r="T808" s="665"/>
      <c r="U808" s="49"/>
      <c r="V808" s="49"/>
      <c r="W808" s="49"/>
      <c r="X808" s="49"/>
      <c r="Y808" s="49"/>
    </row>
    <row r="809" ht="15.75" customHeight="1">
      <c r="A809" s="38"/>
      <c r="B809" s="49"/>
      <c r="C809" s="15"/>
      <c r="D809" s="663"/>
      <c r="E809" s="664"/>
      <c r="F809" s="665"/>
      <c r="G809" s="539"/>
      <c r="H809" s="373"/>
      <c r="I809" s="665"/>
      <c r="J809" s="666"/>
      <c r="K809" s="665"/>
      <c r="L809" s="667"/>
      <c r="M809" s="668"/>
      <c r="N809" s="373"/>
      <c r="O809" s="373"/>
      <c r="P809" s="670"/>
      <c r="Q809" s="665"/>
      <c r="R809" s="665"/>
      <c r="S809" s="539"/>
      <c r="T809" s="665"/>
      <c r="U809" s="49"/>
      <c r="V809" s="49"/>
      <c r="W809" s="49"/>
      <c r="X809" s="49"/>
      <c r="Y809" s="49"/>
    </row>
    <row r="810" ht="15.75" customHeight="1">
      <c r="A810" s="38"/>
      <c r="B810" s="49"/>
      <c r="C810" s="15"/>
      <c r="D810" s="663"/>
      <c r="E810" s="664"/>
      <c r="F810" s="665"/>
      <c r="G810" s="539"/>
      <c r="H810" s="373"/>
      <c r="I810" s="665"/>
      <c r="J810" s="666"/>
      <c r="K810" s="665"/>
      <c r="L810" s="667"/>
      <c r="M810" s="668"/>
      <c r="N810" s="373"/>
      <c r="O810" s="373"/>
      <c r="P810" s="670"/>
      <c r="Q810" s="665"/>
      <c r="R810" s="665"/>
      <c r="S810" s="539"/>
      <c r="T810" s="665"/>
      <c r="U810" s="49"/>
      <c r="V810" s="49"/>
      <c r="W810" s="49"/>
      <c r="X810" s="49"/>
      <c r="Y810" s="49"/>
    </row>
    <row r="811" ht="15.75" customHeight="1">
      <c r="A811" s="38"/>
      <c r="B811" s="49"/>
      <c r="C811" s="15"/>
      <c r="D811" s="663"/>
      <c r="E811" s="664"/>
      <c r="F811" s="665"/>
      <c r="G811" s="539"/>
      <c r="H811" s="373"/>
      <c r="I811" s="665"/>
      <c r="J811" s="666"/>
      <c r="K811" s="665"/>
      <c r="L811" s="667"/>
      <c r="M811" s="668"/>
      <c r="N811" s="373"/>
      <c r="O811" s="373"/>
      <c r="P811" s="670"/>
      <c r="Q811" s="665"/>
      <c r="R811" s="665"/>
      <c r="S811" s="539"/>
      <c r="T811" s="665"/>
      <c r="U811" s="49"/>
      <c r="V811" s="49"/>
      <c r="W811" s="49"/>
      <c r="X811" s="49"/>
      <c r="Y811" s="49"/>
    </row>
    <row r="812" ht="15.75" customHeight="1">
      <c r="A812" s="38"/>
      <c r="B812" s="49"/>
      <c r="C812" s="15"/>
      <c r="D812" s="663"/>
      <c r="E812" s="664"/>
      <c r="F812" s="665"/>
      <c r="G812" s="539"/>
      <c r="H812" s="373"/>
      <c r="I812" s="665"/>
      <c r="J812" s="666"/>
      <c r="K812" s="665"/>
      <c r="L812" s="667"/>
      <c r="M812" s="668"/>
      <c r="N812" s="373"/>
      <c r="O812" s="373"/>
      <c r="P812" s="670"/>
      <c r="Q812" s="665"/>
      <c r="R812" s="665"/>
      <c r="S812" s="539"/>
      <c r="T812" s="665"/>
      <c r="U812" s="49"/>
      <c r="V812" s="49"/>
      <c r="W812" s="49"/>
      <c r="X812" s="49"/>
      <c r="Y812" s="49"/>
    </row>
    <row r="813" ht="15.75" customHeight="1">
      <c r="A813" s="38"/>
      <c r="B813" s="49"/>
      <c r="C813" s="15"/>
      <c r="D813" s="663"/>
      <c r="E813" s="664"/>
      <c r="F813" s="665"/>
      <c r="G813" s="539"/>
      <c r="H813" s="373"/>
      <c r="I813" s="665"/>
      <c r="J813" s="666"/>
      <c r="K813" s="665"/>
      <c r="L813" s="667"/>
      <c r="M813" s="668"/>
      <c r="N813" s="373"/>
      <c r="O813" s="373"/>
      <c r="P813" s="670"/>
      <c r="Q813" s="665"/>
      <c r="R813" s="665"/>
      <c r="S813" s="539"/>
      <c r="T813" s="665"/>
      <c r="U813" s="49"/>
      <c r="V813" s="49"/>
      <c r="W813" s="49"/>
      <c r="X813" s="49"/>
      <c r="Y813" s="49"/>
    </row>
    <row r="814" ht="15.75" customHeight="1">
      <c r="A814" s="38"/>
      <c r="B814" s="49"/>
      <c r="C814" s="15"/>
      <c r="D814" s="663"/>
      <c r="E814" s="664"/>
      <c r="F814" s="665"/>
      <c r="G814" s="539"/>
      <c r="H814" s="373"/>
      <c r="I814" s="665"/>
      <c r="J814" s="666"/>
      <c r="K814" s="665"/>
      <c r="L814" s="667"/>
      <c r="M814" s="668"/>
      <c r="N814" s="373"/>
      <c r="O814" s="373"/>
      <c r="P814" s="670"/>
      <c r="Q814" s="665"/>
      <c r="R814" s="665"/>
      <c r="S814" s="539"/>
      <c r="T814" s="665"/>
      <c r="U814" s="49"/>
      <c r="V814" s="49"/>
      <c r="W814" s="49"/>
      <c r="X814" s="49"/>
      <c r="Y814" s="49"/>
    </row>
    <row r="815" ht="15.75" customHeight="1">
      <c r="A815" s="38"/>
      <c r="B815" s="49"/>
      <c r="C815" s="15"/>
      <c r="D815" s="663"/>
      <c r="E815" s="664"/>
      <c r="F815" s="665"/>
      <c r="G815" s="539"/>
      <c r="H815" s="373"/>
      <c r="I815" s="665"/>
      <c r="J815" s="666"/>
      <c r="K815" s="665"/>
      <c r="L815" s="667"/>
      <c r="M815" s="668"/>
      <c r="N815" s="373"/>
      <c r="O815" s="373"/>
      <c r="P815" s="670"/>
      <c r="Q815" s="665"/>
      <c r="R815" s="665"/>
      <c r="S815" s="539"/>
      <c r="T815" s="665"/>
      <c r="U815" s="49"/>
      <c r="V815" s="49"/>
      <c r="W815" s="49"/>
      <c r="X815" s="49"/>
      <c r="Y815" s="49"/>
    </row>
    <row r="816" ht="15.75" customHeight="1">
      <c r="A816" s="38"/>
      <c r="B816" s="49"/>
      <c r="C816" s="15"/>
      <c r="D816" s="663"/>
      <c r="E816" s="664"/>
      <c r="F816" s="665"/>
      <c r="G816" s="539"/>
      <c r="H816" s="373"/>
      <c r="I816" s="665"/>
      <c r="J816" s="666"/>
      <c r="K816" s="665"/>
      <c r="L816" s="667"/>
      <c r="M816" s="668"/>
      <c r="N816" s="373"/>
      <c r="O816" s="373"/>
      <c r="P816" s="670"/>
      <c r="Q816" s="665"/>
      <c r="R816" s="665"/>
      <c r="S816" s="539"/>
      <c r="T816" s="665"/>
      <c r="U816" s="49"/>
      <c r="V816" s="49"/>
      <c r="W816" s="49"/>
      <c r="X816" s="49"/>
      <c r="Y816" s="49"/>
    </row>
    <row r="817" ht="15.75" customHeight="1">
      <c r="A817" s="38"/>
      <c r="B817" s="49"/>
      <c r="C817" s="15"/>
      <c r="D817" s="663"/>
      <c r="E817" s="664"/>
      <c r="F817" s="665"/>
      <c r="G817" s="539"/>
      <c r="H817" s="373"/>
      <c r="I817" s="665"/>
      <c r="J817" s="666"/>
      <c r="K817" s="665"/>
      <c r="L817" s="667"/>
      <c r="M817" s="668"/>
      <c r="N817" s="373"/>
      <c r="O817" s="373"/>
      <c r="P817" s="670"/>
      <c r="Q817" s="665"/>
      <c r="R817" s="665"/>
      <c r="S817" s="539"/>
      <c r="T817" s="665"/>
      <c r="U817" s="49"/>
      <c r="V817" s="49"/>
      <c r="W817" s="49"/>
      <c r="X817" s="49"/>
      <c r="Y817" s="49"/>
    </row>
    <row r="818" ht="15.75" customHeight="1">
      <c r="A818" s="38"/>
      <c r="B818" s="49"/>
      <c r="C818" s="15"/>
      <c r="D818" s="663"/>
      <c r="E818" s="664"/>
      <c r="F818" s="665"/>
      <c r="G818" s="539"/>
      <c r="H818" s="373"/>
      <c r="I818" s="665"/>
      <c r="J818" s="666"/>
      <c r="K818" s="665"/>
      <c r="L818" s="667"/>
      <c r="M818" s="668"/>
      <c r="N818" s="373"/>
      <c r="O818" s="373"/>
      <c r="P818" s="670"/>
      <c r="Q818" s="665"/>
      <c r="R818" s="665"/>
      <c r="S818" s="539"/>
      <c r="T818" s="665"/>
      <c r="U818" s="49"/>
      <c r="V818" s="49"/>
      <c r="W818" s="49"/>
      <c r="X818" s="49"/>
      <c r="Y818" s="49"/>
    </row>
    <row r="819" ht="15.75" customHeight="1">
      <c r="A819" s="38"/>
      <c r="B819" s="49"/>
      <c r="C819" s="15"/>
      <c r="D819" s="663"/>
      <c r="E819" s="664"/>
      <c r="F819" s="665"/>
      <c r="G819" s="539"/>
      <c r="H819" s="373"/>
      <c r="I819" s="665"/>
      <c r="J819" s="666"/>
      <c r="K819" s="665"/>
      <c r="L819" s="667"/>
      <c r="M819" s="668"/>
      <c r="N819" s="373"/>
      <c r="O819" s="373"/>
      <c r="P819" s="670"/>
      <c r="Q819" s="665"/>
      <c r="R819" s="665"/>
      <c r="S819" s="539"/>
      <c r="T819" s="665"/>
      <c r="U819" s="49"/>
      <c r="V819" s="49"/>
      <c r="W819" s="49"/>
      <c r="X819" s="49"/>
      <c r="Y819" s="49"/>
    </row>
    <row r="820" ht="15.75" customHeight="1">
      <c r="A820" s="38"/>
      <c r="B820" s="49"/>
      <c r="C820" s="15"/>
      <c r="D820" s="663"/>
      <c r="E820" s="664"/>
      <c r="F820" s="665"/>
      <c r="G820" s="539"/>
      <c r="H820" s="373"/>
      <c r="I820" s="665"/>
      <c r="J820" s="666"/>
      <c r="K820" s="665"/>
      <c r="L820" s="667"/>
      <c r="M820" s="668"/>
      <c r="N820" s="373"/>
      <c r="O820" s="373"/>
      <c r="P820" s="670"/>
      <c r="Q820" s="665"/>
      <c r="R820" s="665"/>
      <c r="S820" s="539"/>
      <c r="T820" s="665"/>
      <c r="U820" s="49"/>
      <c r="V820" s="49"/>
      <c r="W820" s="49"/>
      <c r="X820" s="49"/>
      <c r="Y820" s="49"/>
    </row>
    <row r="821" ht="15.75" customHeight="1">
      <c r="A821" s="38"/>
      <c r="B821" s="49"/>
      <c r="C821" s="15"/>
      <c r="D821" s="663"/>
      <c r="E821" s="664"/>
      <c r="F821" s="665"/>
      <c r="G821" s="539"/>
      <c r="H821" s="373"/>
      <c r="I821" s="665"/>
      <c r="J821" s="666"/>
      <c r="K821" s="665"/>
      <c r="L821" s="667"/>
      <c r="M821" s="668"/>
      <c r="N821" s="373"/>
      <c r="O821" s="373"/>
      <c r="P821" s="670"/>
      <c r="Q821" s="665"/>
      <c r="R821" s="665"/>
      <c r="S821" s="539"/>
      <c r="T821" s="665"/>
      <c r="U821" s="49"/>
      <c r="V821" s="49"/>
      <c r="W821" s="49"/>
      <c r="X821" s="49"/>
      <c r="Y821" s="49"/>
    </row>
    <row r="822" ht="15.75" customHeight="1">
      <c r="A822" s="38"/>
      <c r="B822" s="49"/>
      <c r="C822" s="15"/>
      <c r="D822" s="663"/>
      <c r="E822" s="664"/>
      <c r="F822" s="665"/>
      <c r="G822" s="539"/>
      <c r="H822" s="373"/>
      <c r="I822" s="665"/>
      <c r="J822" s="666"/>
      <c r="K822" s="665"/>
      <c r="L822" s="667"/>
      <c r="M822" s="668"/>
      <c r="N822" s="373"/>
      <c r="O822" s="373"/>
      <c r="P822" s="670"/>
      <c r="Q822" s="665"/>
      <c r="R822" s="665"/>
      <c r="S822" s="539"/>
      <c r="T822" s="665"/>
      <c r="U822" s="49"/>
      <c r="V822" s="49"/>
      <c r="W822" s="49"/>
      <c r="X822" s="49"/>
      <c r="Y822" s="49"/>
    </row>
    <row r="823" ht="15.75" customHeight="1">
      <c r="A823" s="38"/>
      <c r="B823" s="49"/>
      <c r="C823" s="15"/>
      <c r="D823" s="663"/>
      <c r="E823" s="664"/>
      <c r="F823" s="665"/>
      <c r="G823" s="539"/>
      <c r="H823" s="373"/>
      <c r="I823" s="665"/>
      <c r="J823" s="666"/>
      <c r="K823" s="665"/>
      <c r="L823" s="667"/>
      <c r="M823" s="668"/>
      <c r="N823" s="373"/>
      <c r="O823" s="373"/>
      <c r="P823" s="670"/>
      <c r="Q823" s="665"/>
      <c r="R823" s="665"/>
      <c r="S823" s="539"/>
      <c r="T823" s="665"/>
      <c r="U823" s="49"/>
      <c r="V823" s="49"/>
      <c r="W823" s="49"/>
      <c r="X823" s="49"/>
      <c r="Y823" s="49"/>
    </row>
    <row r="824" ht="15.75" customHeight="1">
      <c r="A824" s="38"/>
      <c r="B824" s="49"/>
      <c r="C824" s="15"/>
      <c r="D824" s="663"/>
      <c r="E824" s="664"/>
      <c r="F824" s="665"/>
      <c r="G824" s="539"/>
      <c r="H824" s="373"/>
      <c r="I824" s="665"/>
      <c r="J824" s="666"/>
      <c r="K824" s="665"/>
      <c r="L824" s="667"/>
      <c r="M824" s="668"/>
      <c r="N824" s="373"/>
      <c r="O824" s="373"/>
      <c r="P824" s="670"/>
      <c r="Q824" s="665"/>
      <c r="R824" s="665"/>
      <c r="S824" s="539"/>
      <c r="T824" s="665"/>
      <c r="U824" s="49"/>
      <c r="V824" s="49"/>
      <c r="W824" s="49"/>
      <c r="X824" s="49"/>
      <c r="Y824" s="49"/>
    </row>
    <row r="825" ht="15.75" customHeight="1">
      <c r="A825" s="38"/>
      <c r="B825" s="49"/>
      <c r="C825" s="15"/>
      <c r="D825" s="663"/>
      <c r="E825" s="664"/>
      <c r="F825" s="665"/>
      <c r="G825" s="539"/>
      <c r="H825" s="373"/>
      <c r="I825" s="665"/>
      <c r="J825" s="666"/>
      <c r="K825" s="665"/>
      <c r="L825" s="667"/>
      <c r="M825" s="668"/>
      <c r="N825" s="373"/>
      <c r="O825" s="373"/>
      <c r="P825" s="670"/>
      <c r="Q825" s="665"/>
      <c r="R825" s="665"/>
      <c r="S825" s="539"/>
      <c r="T825" s="665"/>
      <c r="U825" s="49"/>
      <c r="V825" s="49"/>
      <c r="W825" s="49"/>
      <c r="X825" s="49"/>
      <c r="Y825" s="49"/>
    </row>
    <row r="826" ht="15.75" customHeight="1">
      <c r="A826" s="38"/>
      <c r="B826" s="49"/>
      <c r="C826" s="15"/>
      <c r="D826" s="663"/>
      <c r="E826" s="664"/>
      <c r="F826" s="665"/>
      <c r="G826" s="539"/>
      <c r="H826" s="373"/>
      <c r="I826" s="665"/>
      <c r="J826" s="666"/>
      <c r="K826" s="665"/>
      <c r="L826" s="667"/>
      <c r="M826" s="668"/>
      <c r="N826" s="373"/>
      <c r="O826" s="373"/>
      <c r="P826" s="670"/>
      <c r="Q826" s="665"/>
      <c r="R826" s="665"/>
      <c r="S826" s="539"/>
      <c r="T826" s="665"/>
      <c r="U826" s="49"/>
      <c r="V826" s="49"/>
      <c r="W826" s="49"/>
      <c r="X826" s="49"/>
      <c r="Y826" s="49"/>
    </row>
    <row r="827" ht="15.75" customHeight="1">
      <c r="A827" s="38"/>
      <c r="B827" s="49"/>
      <c r="C827" s="15"/>
      <c r="D827" s="663"/>
      <c r="E827" s="664"/>
      <c r="F827" s="665"/>
      <c r="G827" s="539"/>
      <c r="H827" s="373"/>
      <c r="I827" s="665"/>
      <c r="J827" s="666"/>
      <c r="K827" s="665"/>
      <c r="L827" s="667"/>
      <c r="M827" s="668"/>
      <c r="N827" s="373"/>
      <c r="O827" s="373"/>
      <c r="P827" s="670"/>
      <c r="Q827" s="665"/>
      <c r="R827" s="665"/>
      <c r="S827" s="539"/>
      <c r="T827" s="665"/>
      <c r="U827" s="49"/>
      <c r="V827" s="49"/>
      <c r="W827" s="49"/>
      <c r="X827" s="49"/>
      <c r="Y827" s="49"/>
    </row>
    <row r="828" ht="15.75" customHeight="1">
      <c r="A828" s="38"/>
      <c r="B828" s="49"/>
      <c r="C828" s="15"/>
      <c r="D828" s="663"/>
      <c r="E828" s="664"/>
      <c r="F828" s="665"/>
      <c r="G828" s="539"/>
      <c r="H828" s="373"/>
      <c r="I828" s="665"/>
      <c r="J828" s="666"/>
      <c r="K828" s="665"/>
      <c r="L828" s="667"/>
      <c r="M828" s="668"/>
      <c r="N828" s="373"/>
      <c r="O828" s="373"/>
      <c r="P828" s="670"/>
      <c r="Q828" s="665"/>
      <c r="R828" s="665"/>
      <c r="S828" s="539"/>
      <c r="T828" s="665"/>
      <c r="U828" s="49"/>
      <c r="V828" s="49"/>
      <c r="W828" s="49"/>
      <c r="X828" s="49"/>
      <c r="Y828" s="49"/>
    </row>
    <row r="829" ht="15.75" customHeight="1">
      <c r="A829" s="38"/>
      <c r="B829" s="49"/>
      <c r="C829" s="15"/>
      <c r="D829" s="663"/>
      <c r="E829" s="664"/>
      <c r="F829" s="665"/>
      <c r="G829" s="539"/>
      <c r="H829" s="373"/>
      <c r="I829" s="665"/>
      <c r="J829" s="666"/>
      <c r="K829" s="665"/>
      <c r="L829" s="667"/>
      <c r="M829" s="668"/>
      <c r="N829" s="373"/>
      <c r="O829" s="373"/>
      <c r="P829" s="670"/>
      <c r="Q829" s="665"/>
      <c r="R829" s="665"/>
      <c r="S829" s="539"/>
      <c r="T829" s="665"/>
      <c r="U829" s="49"/>
      <c r="V829" s="49"/>
      <c r="W829" s="49"/>
      <c r="X829" s="49"/>
      <c r="Y829" s="49"/>
    </row>
    <row r="830" ht="15.75" customHeight="1">
      <c r="A830" s="38"/>
      <c r="B830" s="49"/>
      <c r="C830" s="15"/>
      <c r="D830" s="663"/>
      <c r="E830" s="664"/>
      <c r="F830" s="665"/>
      <c r="G830" s="539"/>
      <c r="H830" s="373"/>
      <c r="I830" s="665"/>
      <c r="J830" s="666"/>
      <c r="K830" s="665"/>
      <c r="L830" s="667"/>
      <c r="M830" s="668"/>
      <c r="N830" s="373"/>
      <c r="O830" s="373"/>
      <c r="P830" s="670"/>
      <c r="Q830" s="665"/>
      <c r="R830" s="665"/>
      <c r="S830" s="539"/>
      <c r="T830" s="665"/>
      <c r="U830" s="49"/>
      <c r="V830" s="49"/>
      <c r="W830" s="49"/>
      <c r="X830" s="49"/>
      <c r="Y830" s="49"/>
    </row>
    <row r="831" ht="15.75" customHeight="1">
      <c r="A831" s="38"/>
      <c r="B831" s="49"/>
      <c r="C831" s="15"/>
      <c r="D831" s="663"/>
      <c r="E831" s="664"/>
      <c r="F831" s="665"/>
      <c r="G831" s="539"/>
      <c r="H831" s="373"/>
      <c r="I831" s="665"/>
      <c r="J831" s="666"/>
      <c r="K831" s="665"/>
      <c r="L831" s="667"/>
      <c r="M831" s="668"/>
      <c r="N831" s="373"/>
      <c r="O831" s="373"/>
      <c r="P831" s="670"/>
      <c r="Q831" s="665"/>
      <c r="R831" s="665"/>
      <c r="S831" s="539"/>
      <c r="T831" s="665"/>
      <c r="U831" s="49"/>
      <c r="V831" s="49"/>
      <c r="W831" s="49"/>
      <c r="X831" s="49"/>
      <c r="Y831" s="49"/>
    </row>
    <row r="832" ht="15.75" customHeight="1">
      <c r="A832" s="38"/>
      <c r="B832" s="49"/>
      <c r="C832" s="15"/>
      <c r="D832" s="663"/>
      <c r="E832" s="664"/>
      <c r="F832" s="665"/>
      <c r="G832" s="539"/>
      <c r="H832" s="373"/>
      <c r="I832" s="665"/>
      <c r="J832" s="666"/>
      <c r="K832" s="665"/>
      <c r="L832" s="667"/>
      <c r="M832" s="668"/>
      <c r="N832" s="373"/>
      <c r="O832" s="373"/>
      <c r="P832" s="670"/>
      <c r="Q832" s="665"/>
      <c r="R832" s="665"/>
      <c r="S832" s="539"/>
      <c r="T832" s="665"/>
      <c r="U832" s="49"/>
      <c r="V832" s="49"/>
      <c r="W832" s="49"/>
      <c r="X832" s="49"/>
      <c r="Y832" s="49"/>
    </row>
    <row r="833" ht="15.75" customHeight="1">
      <c r="A833" s="38"/>
      <c r="B833" s="49"/>
      <c r="C833" s="15"/>
      <c r="D833" s="663"/>
      <c r="E833" s="664"/>
      <c r="F833" s="665"/>
      <c r="G833" s="539"/>
      <c r="H833" s="373"/>
      <c r="I833" s="665"/>
      <c r="J833" s="666"/>
      <c r="K833" s="665"/>
      <c r="L833" s="667"/>
      <c r="M833" s="668"/>
      <c r="N833" s="373"/>
      <c r="O833" s="373"/>
      <c r="P833" s="670"/>
      <c r="Q833" s="665"/>
      <c r="R833" s="665"/>
      <c r="S833" s="539"/>
      <c r="T833" s="665"/>
      <c r="U833" s="49"/>
      <c r="V833" s="49"/>
      <c r="W833" s="49"/>
      <c r="X833" s="49"/>
      <c r="Y833" s="49"/>
    </row>
    <row r="834" ht="15.75" customHeight="1">
      <c r="A834" s="38"/>
      <c r="B834" s="49"/>
      <c r="C834" s="15"/>
      <c r="D834" s="663"/>
      <c r="E834" s="664"/>
      <c r="F834" s="665"/>
      <c r="G834" s="539"/>
      <c r="H834" s="373"/>
      <c r="I834" s="665"/>
      <c r="J834" s="666"/>
      <c r="K834" s="665"/>
      <c r="L834" s="667"/>
      <c r="M834" s="668"/>
      <c r="N834" s="373"/>
      <c r="O834" s="373"/>
      <c r="P834" s="670"/>
      <c r="Q834" s="665"/>
      <c r="R834" s="665"/>
      <c r="S834" s="539"/>
      <c r="T834" s="665"/>
      <c r="U834" s="49"/>
      <c r="V834" s="49"/>
      <c r="W834" s="49"/>
      <c r="X834" s="49"/>
      <c r="Y834" s="49"/>
    </row>
    <row r="835" ht="15.75" customHeight="1">
      <c r="A835" s="38"/>
      <c r="B835" s="49"/>
      <c r="C835" s="15"/>
      <c r="D835" s="663"/>
      <c r="E835" s="664"/>
      <c r="F835" s="665"/>
      <c r="G835" s="539"/>
      <c r="H835" s="373"/>
      <c r="I835" s="665"/>
      <c r="J835" s="666"/>
      <c r="K835" s="665"/>
      <c r="L835" s="667"/>
      <c r="M835" s="668"/>
      <c r="N835" s="373"/>
      <c r="O835" s="373"/>
      <c r="P835" s="670"/>
      <c r="Q835" s="665"/>
      <c r="R835" s="665"/>
      <c r="S835" s="539"/>
      <c r="T835" s="665"/>
      <c r="U835" s="49"/>
      <c r="V835" s="49"/>
      <c r="W835" s="49"/>
      <c r="X835" s="49"/>
      <c r="Y835" s="49"/>
    </row>
    <row r="836" ht="15.75" customHeight="1">
      <c r="A836" s="38"/>
      <c r="B836" s="49"/>
      <c r="C836" s="15"/>
      <c r="D836" s="663"/>
      <c r="E836" s="664"/>
      <c r="F836" s="665"/>
      <c r="G836" s="539"/>
      <c r="H836" s="373"/>
      <c r="I836" s="665"/>
      <c r="J836" s="666"/>
      <c r="K836" s="665"/>
      <c r="L836" s="667"/>
      <c r="M836" s="668"/>
      <c r="N836" s="373"/>
      <c r="O836" s="373"/>
      <c r="P836" s="670"/>
      <c r="Q836" s="665"/>
      <c r="R836" s="665"/>
      <c r="S836" s="539"/>
      <c r="T836" s="665"/>
      <c r="U836" s="49"/>
      <c r="V836" s="49"/>
      <c r="W836" s="49"/>
      <c r="X836" s="49"/>
      <c r="Y836" s="49"/>
    </row>
    <row r="837" ht="15.75" customHeight="1">
      <c r="A837" s="38"/>
      <c r="B837" s="49"/>
      <c r="C837" s="15"/>
      <c r="D837" s="663"/>
      <c r="E837" s="664"/>
      <c r="F837" s="665"/>
      <c r="G837" s="539"/>
      <c r="H837" s="373"/>
      <c r="I837" s="665"/>
      <c r="J837" s="666"/>
      <c r="K837" s="665"/>
      <c r="L837" s="667"/>
      <c r="M837" s="668"/>
      <c r="N837" s="373"/>
      <c r="O837" s="373"/>
      <c r="P837" s="670"/>
      <c r="Q837" s="665"/>
      <c r="R837" s="665"/>
      <c r="S837" s="539"/>
      <c r="T837" s="665"/>
      <c r="U837" s="49"/>
      <c r="V837" s="49"/>
      <c r="W837" s="49"/>
      <c r="X837" s="49"/>
      <c r="Y837" s="49"/>
    </row>
    <row r="838" ht="15.75" customHeight="1">
      <c r="A838" s="38"/>
      <c r="B838" s="49"/>
      <c r="C838" s="15"/>
      <c r="D838" s="663"/>
      <c r="E838" s="664"/>
      <c r="F838" s="665"/>
      <c r="G838" s="539"/>
      <c r="H838" s="373"/>
      <c r="I838" s="665"/>
      <c r="J838" s="666"/>
      <c r="K838" s="665"/>
      <c r="L838" s="667"/>
      <c r="M838" s="668"/>
      <c r="N838" s="373"/>
      <c r="O838" s="373"/>
      <c r="P838" s="670"/>
      <c r="Q838" s="665"/>
      <c r="R838" s="665"/>
      <c r="S838" s="539"/>
      <c r="T838" s="665"/>
      <c r="U838" s="49"/>
      <c r="V838" s="49"/>
      <c r="W838" s="49"/>
      <c r="X838" s="49"/>
      <c r="Y838" s="49"/>
    </row>
    <row r="839" ht="15.75" customHeight="1">
      <c r="A839" s="38"/>
      <c r="B839" s="49"/>
      <c r="C839" s="15"/>
      <c r="D839" s="663"/>
      <c r="E839" s="664"/>
      <c r="F839" s="665"/>
      <c r="G839" s="539"/>
      <c r="H839" s="373"/>
      <c r="I839" s="665"/>
      <c r="J839" s="666"/>
      <c r="K839" s="665"/>
      <c r="L839" s="667"/>
      <c r="M839" s="668"/>
      <c r="N839" s="373"/>
      <c r="O839" s="373"/>
      <c r="P839" s="670"/>
      <c r="Q839" s="665"/>
      <c r="R839" s="665"/>
      <c r="S839" s="539"/>
      <c r="T839" s="665"/>
      <c r="U839" s="49"/>
      <c r="V839" s="49"/>
      <c r="W839" s="49"/>
      <c r="X839" s="49"/>
      <c r="Y839" s="49"/>
    </row>
    <row r="840" ht="15.75" customHeight="1">
      <c r="A840" s="38"/>
      <c r="B840" s="49"/>
      <c r="C840" s="15"/>
      <c r="D840" s="663"/>
      <c r="E840" s="664"/>
      <c r="F840" s="665"/>
      <c r="G840" s="539"/>
      <c r="H840" s="373"/>
      <c r="I840" s="665"/>
      <c r="J840" s="666"/>
      <c r="K840" s="665"/>
      <c r="L840" s="667"/>
      <c r="M840" s="668"/>
      <c r="N840" s="373"/>
      <c r="O840" s="373"/>
      <c r="P840" s="670"/>
      <c r="Q840" s="665"/>
      <c r="R840" s="665"/>
      <c r="S840" s="539"/>
      <c r="T840" s="665"/>
      <c r="U840" s="49"/>
      <c r="V840" s="49"/>
      <c r="W840" s="49"/>
      <c r="X840" s="49"/>
      <c r="Y840" s="49"/>
    </row>
    <row r="841" ht="15.75" customHeight="1">
      <c r="A841" s="38"/>
      <c r="B841" s="49"/>
      <c r="C841" s="15"/>
      <c r="D841" s="663"/>
      <c r="E841" s="664"/>
      <c r="F841" s="665"/>
      <c r="G841" s="539"/>
      <c r="H841" s="373"/>
      <c r="I841" s="665"/>
      <c r="J841" s="666"/>
      <c r="K841" s="665"/>
      <c r="L841" s="667"/>
      <c r="M841" s="668"/>
      <c r="N841" s="373"/>
      <c r="O841" s="373"/>
      <c r="P841" s="670"/>
      <c r="Q841" s="665"/>
      <c r="R841" s="665"/>
      <c r="S841" s="539"/>
      <c r="T841" s="665"/>
      <c r="U841" s="49"/>
      <c r="V841" s="49"/>
      <c r="W841" s="49"/>
      <c r="X841" s="49"/>
      <c r="Y841" s="49"/>
    </row>
    <row r="842" ht="15.75" customHeight="1">
      <c r="A842" s="38"/>
      <c r="B842" s="49"/>
      <c r="C842" s="15"/>
      <c r="D842" s="663"/>
      <c r="E842" s="664"/>
      <c r="F842" s="665"/>
      <c r="G842" s="539"/>
      <c r="H842" s="373"/>
      <c r="I842" s="665"/>
      <c r="J842" s="666"/>
      <c r="K842" s="665"/>
      <c r="L842" s="667"/>
      <c r="M842" s="668"/>
      <c r="N842" s="373"/>
      <c r="O842" s="373"/>
      <c r="P842" s="670"/>
      <c r="Q842" s="665"/>
      <c r="R842" s="665"/>
      <c r="S842" s="539"/>
      <c r="T842" s="665"/>
      <c r="U842" s="49"/>
      <c r="V842" s="49"/>
      <c r="W842" s="49"/>
      <c r="X842" s="49"/>
      <c r="Y842" s="49"/>
    </row>
    <row r="843" ht="15.75" customHeight="1">
      <c r="A843" s="38"/>
      <c r="B843" s="49"/>
      <c r="C843" s="15"/>
      <c r="D843" s="663"/>
      <c r="E843" s="664"/>
      <c r="F843" s="665"/>
      <c r="G843" s="539"/>
      <c r="H843" s="373"/>
      <c r="I843" s="665"/>
      <c r="J843" s="666"/>
      <c r="K843" s="665"/>
      <c r="L843" s="667"/>
      <c r="M843" s="668"/>
      <c r="N843" s="373"/>
      <c r="O843" s="373"/>
      <c r="P843" s="670"/>
      <c r="Q843" s="665"/>
      <c r="R843" s="665"/>
      <c r="S843" s="539"/>
      <c r="T843" s="665"/>
      <c r="U843" s="49"/>
      <c r="V843" s="49"/>
      <c r="W843" s="49"/>
      <c r="X843" s="49"/>
      <c r="Y843" s="49"/>
    </row>
    <row r="844" ht="15.75" customHeight="1">
      <c r="A844" s="38"/>
      <c r="B844" s="49"/>
      <c r="C844" s="15"/>
      <c r="D844" s="663"/>
      <c r="E844" s="664"/>
      <c r="F844" s="665"/>
      <c r="G844" s="539"/>
      <c r="H844" s="373"/>
      <c r="I844" s="665"/>
      <c r="J844" s="666"/>
      <c r="K844" s="665"/>
      <c r="L844" s="667"/>
      <c r="M844" s="668"/>
      <c r="N844" s="373"/>
      <c r="O844" s="373"/>
      <c r="P844" s="670"/>
      <c r="Q844" s="665"/>
      <c r="R844" s="665"/>
      <c r="S844" s="539"/>
      <c r="T844" s="665"/>
      <c r="U844" s="49"/>
      <c r="V844" s="49"/>
      <c r="W844" s="49"/>
      <c r="X844" s="49"/>
      <c r="Y844" s="49"/>
    </row>
    <row r="845" ht="15.75" customHeight="1">
      <c r="A845" s="38"/>
      <c r="B845" s="49"/>
      <c r="C845" s="15"/>
      <c r="D845" s="663"/>
      <c r="E845" s="664"/>
      <c r="F845" s="665"/>
      <c r="G845" s="539"/>
      <c r="H845" s="373"/>
      <c r="I845" s="665"/>
      <c r="J845" s="666"/>
      <c r="K845" s="665"/>
      <c r="L845" s="667"/>
      <c r="M845" s="668"/>
      <c r="N845" s="373"/>
      <c r="O845" s="373"/>
      <c r="P845" s="670"/>
      <c r="Q845" s="665"/>
      <c r="R845" s="665"/>
      <c r="S845" s="539"/>
      <c r="T845" s="665"/>
      <c r="U845" s="49"/>
      <c r="V845" s="49"/>
      <c r="W845" s="49"/>
      <c r="X845" s="49"/>
      <c r="Y845" s="49"/>
    </row>
    <row r="846" ht="15.75" customHeight="1">
      <c r="A846" s="38"/>
      <c r="B846" s="49"/>
      <c r="C846" s="15"/>
      <c r="D846" s="663"/>
      <c r="E846" s="664"/>
      <c r="F846" s="665"/>
      <c r="G846" s="539"/>
      <c r="H846" s="373"/>
      <c r="I846" s="665"/>
      <c r="J846" s="666"/>
      <c r="K846" s="665"/>
      <c r="L846" s="667"/>
      <c r="M846" s="668"/>
      <c r="N846" s="373"/>
      <c r="O846" s="373"/>
      <c r="P846" s="670"/>
      <c r="Q846" s="665"/>
      <c r="R846" s="665"/>
      <c r="S846" s="539"/>
      <c r="T846" s="665"/>
      <c r="U846" s="49"/>
      <c r="V846" s="49"/>
      <c r="W846" s="49"/>
      <c r="X846" s="49"/>
      <c r="Y846" s="49"/>
    </row>
    <row r="847" ht="15.75" customHeight="1">
      <c r="A847" s="38"/>
      <c r="B847" s="49"/>
      <c r="C847" s="15"/>
      <c r="D847" s="663"/>
      <c r="E847" s="664"/>
      <c r="F847" s="665"/>
      <c r="G847" s="539"/>
      <c r="H847" s="373"/>
      <c r="I847" s="665"/>
      <c r="J847" s="666"/>
      <c r="K847" s="665"/>
      <c r="L847" s="667"/>
      <c r="M847" s="668"/>
      <c r="N847" s="373"/>
      <c r="O847" s="373"/>
      <c r="P847" s="670"/>
      <c r="Q847" s="665"/>
      <c r="R847" s="665"/>
      <c r="S847" s="539"/>
      <c r="T847" s="665"/>
      <c r="U847" s="49"/>
      <c r="V847" s="49"/>
      <c r="W847" s="49"/>
      <c r="X847" s="49"/>
      <c r="Y847" s="49"/>
    </row>
    <row r="848" ht="15.75" customHeight="1">
      <c r="A848" s="38"/>
      <c r="B848" s="49"/>
      <c r="C848" s="15"/>
      <c r="D848" s="663"/>
      <c r="E848" s="664"/>
      <c r="F848" s="665"/>
      <c r="G848" s="539"/>
      <c r="H848" s="373"/>
      <c r="I848" s="665"/>
      <c r="J848" s="666"/>
      <c r="K848" s="665"/>
      <c r="L848" s="667"/>
      <c r="M848" s="668"/>
      <c r="N848" s="373"/>
      <c r="O848" s="373"/>
      <c r="P848" s="670"/>
      <c r="Q848" s="665"/>
      <c r="R848" s="665"/>
      <c r="S848" s="539"/>
      <c r="T848" s="665"/>
      <c r="U848" s="49"/>
      <c r="V848" s="49"/>
      <c r="W848" s="49"/>
      <c r="X848" s="49"/>
      <c r="Y848" s="49"/>
    </row>
    <row r="849" ht="15.75" customHeight="1">
      <c r="A849" s="38"/>
      <c r="B849" s="49"/>
      <c r="C849" s="15"/>
      <c r="D849" s="663"/>
      <c r="E849" s="664"/>
      <c r="F849" s="665"/>
      <c r="G849" s="539"/>
      <c r="H849" s="373"/>
      <c r="I849" s="665"/>
      <c r="J849" s="666"/>
      <c r="K849" s="665"/>
      <c r="L849" s="667"/>
      <c r="M849" s="668"/>
      <c r="N849" s="373"/>
      <c r="O849" s="373"/>
      <c r="P849" s="670"/>
      <c r="Q849" s="665"/>
      <c r="R849" s="665"/>
      <c r="S849" s="539"/>
      <c r="T849" s="665"/>
      <c r="U849" s="49"/>
      <c r="V849" s="49"/>
      <c r="W849" s="49"/>
      <c r="X849" s="49"/>
      <c r="Y849" s="49"/>
    </row>
    <row r="850" ht="15.75" customHeight="1">
      <c r="A850" s="38"/>
      <c r="B850" s="49"/>
      <c r="C850" s="15"/>
      <c r="D850" s="663"/>
      <c r="E850" s="664"/>
      <c r="F850" s="665"/>
      <c r="G850" s="539"/>
      <c r="H850" s="373"/>
      <c r="I850" s="665"/>
      <c r="J850" s="666"/>
      <c r="K850" s="665"/>
      <c r="L850" s="667"/>
      <c r="M850" s="668"/>
      <c r="N850" s="373"/>
      <c r="O850" s="373"/>
      <c r="P850" s="670"/>
      <c r="Q850" s="665"/>
      <c r="R850" s="665"/>
      <c r="S850" s="539"/>
      <c r="T850" s="665"/>
      <c r="U850" s="49"/>
      <c r="V850" s="49"/>
      <c r="W850" s="49"/>
      <c r="X850" s="49"/>
      <c r="Y850" s="49"/>
    </row>
    <row r="851" ht="15.75" customHeight="1">
      <c r="A851" s="38"/>
      <c r="B851" s="49"/>
      <c r="C851" s="15"/>
      <c r="D851" s="663"/>
      <c r="E851" s="664"/>
      <c r="F851" s="665"/>
      <c r="G851" s="539"/>
      <c r="H851" s="373"/>
      <c r="I851" s="665"/>
      <c r="J851" s="666"/>
      <c r="K851" s="665"/>
      <c r="L851" s="667"/>
      <c r="M851" s="668"/>
      <c r="N851" s="373"/>
      <c r="O851" s="373"/>
      <c r="P851" s="670"/>
      <c r="Q851" s="665"/>
      <c r="R851" s="665"/>
      <c r="S851" s="539"/>
      <c r="T851" s="665"/>
      <c r="U851" s="49"/>
      <c r="V851" s="49"/>
      <c r="W851" s="49"/>
      <c r="X851" s="49"/>
      <c r="Y851" s="49"/>
    </row>
    <row r="852" ht="15.75" customHeight="1">
      <c r="A852" s="38"/>
      <c r="B852" s="49"/>
      <c r="C852" s="15"/>
      <c r="D852" s="663"/>
      <c r="E852" s="664"/>
      <c r="F852" s="665"/>
      <c r="G852" s="539"/>
      <c r="H852" s="373"/>
      <c r="I852" s="665"/>
      <c r="J852" s="666"/>
      <c r="K852" s="665"/>
      <c r="L852" s="667"/>
      <c r="M852" s="668"/>
      <c r="N852" s="373"/>
      <c r="O852" s="373"/>
      <c r="P852" s="670"/>
      <c r="Q852" s="665"/>
      <c r="R852" s="665"/>
      <c r="S852" s="539"/>
      <c r="T852" s="665"/>
      <c r="U852" s="49"/>
      <c r="V852" s="49"/>
      <c r="W852" s="49"/>
      <c r="X852" s="49"/>
      <c r="Y852" s="49"/>
    </row>
    <row r="853" ht="15.75" customHeight="1">
      <c r="A853" s="38"/>
      <c r="B853" s="49"/>
      <c r="C853" s="15"/>
      <c r="D853" s="663"/>
      <c r="E853" s="664"/>
      <c r="F853" s="665"/>
      <c r="G853" s="539"/>
      <c r="H853" s="373"/>
      <c r="I853" s="665"/>
      <c r="J853" s="666"/>
      <c r="K853" s="665"/>
      <c r="L853" s="667"/>
      <c r="M853" s="668"/>
      <c r="N853" s="373"/>
      <c r="O853" s="373"/>
      <c r="P853" s="670"/>
      <c r="Q853" s="665"/>
      <c r="R853" s="665"/>
      <c r="S853" s="539"/>
      <c r="T853" s="665"/>
      <c r="U853" s="49"/>
      <c r="V853" s="49"/>
      <c r="W853" s="49"/>
      <c r="X853" s="49"/>
      <c r="Y853" s="49"/>
    </row>
    <row r="854" ht="15.75" customHeight="1">
      <c r="A854" s="38"/>
      <c r="B854" s="49"/>
      <c r="C854" s="15"/>
      <c r="D854" s="663"/>
      <c r="E854" s="664"/>
      <c r="F854" s="665"/>
      <c r="G854" s="539"/>
      <c r="H854" s="373"/>
      <c r="I854" s="665"/>
      <c r="J854" s="666"/>
      <c r="K854" s="665"/>
      <c r="L854" s="667"/>
      <c r="M854" s="668"/>
      <c r="N854" s="373"/>
      <c r="O854" s="373"/>
      <c r="P854" s="670"/>
      <c r="Q854" s="665"/>
      <c r="R854" s="665"/>
      <c r="S854" s="539"/>
      <c r="T854" s="665"/>
      <c r="U854" s="49"/>
      <c r="V854" s="49"/>
      <c r="W854" s="49"/>
      <c r="X854" s="49"/>
      <c r="Y854" s="49"/>
    </row>
    <row r="855" ht="15.75" customHeight="1">
      <c r="A855" s="38"/>
      <c r="B855" s="49"/>
      <c r="C855" s="15"/>
      <c r="D855" s="663"/>
      <c r="E855" s="664"/>
      <c r="F855" s="665"/>
      <c r="G855" s="539"/>
      <c r="H855" s="373"/>
      <c r="I855" s="665"/>
      <c r="J855" s="666"/>
      <c r="K855" s="665"/>
      <c r="L855" s="667"/>
      <c r="M855" s="668"/>
      <c r="N855" s="373"/>
      <c r="O855" s="373"/>
      <c r="P855" s="670"/>
      <c r="Q855" s="665"/>
      <c r="R855" s="665"/>
      <c r="S855" s="539"/>
      <c r="T855" s="665"/>
      <c r="U855" s="49"/>
      <c r="V855" s="49"/>
      <c r="W855" s="49"/>
      <c r="X855" s="49"/>
      <c r="Y855" s="49"/>
    </row>
    <row r="856" ht="15.75" customHeight="1">
      <c r="A856" s="38"/>
      <c r="B856" s="49"/>
      <c r="C856" s="15"/>
      <c r="D856" s="663"/>
      <c r="E856" s="664"/>
      <c r="F856" s="665"/>
      <c r="G856" s="539"/>
      <c r="H856" s="373"/>
      <c r="I856" s="665"/>
      <c r="J856" s="666"/>
      <c r="K856" s="665"/>
      <c r="L856" s="667"/>
      <c r="M856" s="668"/>
      <c r="N856" s="373"/>
      <c r="O856" s="373"/>
      <c r="P856" s="670"/>
      <c r="Q856" s="665"/>
      <c r="R856" s="665"/>
      <c r="S856" s="539"/>
      <c r="T856" s="665"/>
      <c r="U856" s="49"/>
      <c r="V856" s="49"/>
      <c r="W856" s="49"/>
      <c r="X856" s="49"/>
      <c r="Y856" s="49"/>
    </row>
    <row r="857" ht="15.75" customHeight="1">
      <c r="A857" s="38"/>
      <c r="B857" s="49"/>
      <c r="C857" s="15"/>
      <c r="D857" s="663"/>
      <c r="E857" s="664"/>
      <c r="F857" s="665"/>
      <c r="G857" s="539"/>
      <c r="H857" s="373"/>
      <c r="I857" s="665"/>
      <c r="J857" s="666"/>
      <c r="K857" s="665"/>
      <c r="L857" s="667"/>
      <c r="M857" s="668"/>
      <c r="N857" s="373"/>
      <c r="O857" s="373"/>
      <c r="P857" s="670"/>
      <c r="Q857" s="665"/>
      <c r="R857" s="665"/>
      <c r="S857" s="539"/>
      <c r="T857" s="665"/>
      <c r="U857" s="49"/>
      <c r="V857" s="49"/>
      <c r="W857" s="49"/>
      <c r="X857" s="49"/>
      <c r="Y857" s="49"/>
    </row>
    <row r="858" ht="15.75" customHeight="1">
      <c r="A858" s="38"/>
      <c r="B858" s="49"/>
      <c r="C858" s="15"/>
      <c r="D858" s="663"/>
      <c r="E858" s="664"/>
      <c r="F858" s="665"/>
      <c r="G858" s="539"/>
      <c r="H858" s="373"/>
      <c r="I858" s="665"/>
      <c r="J858" s="666"/>
      <c r="K858" s="665"/>
      <c r="L858" s="667"/>
      <c r="M858" s="668"/>
      <c r="N858" s="373"/>
      <c r="O858" s="373"/>
      <c r="P858" s="670"/>
      <c r="Q858" s="665"/>
      <c r="R858" s="665"/>
      <c r="S858" s="539"/>
      <c r="T858" s="665"/>
      <c r="U858" s="49"/>
      <c r="V858" s="49"/>
      <c r="W858" s="49"/>
      <c r="X858" s="49"/>
      <c r="Y858" s="49"/>
    </row>
    <row r="859" ht="15.75" customHeight="1">
      <c r="A859" s="38"/>
      <c r="B859" s="49"/>
      <c r="C859" s="15"/>
      <c r="D859" s="663"/>
      <c r="E859" s="664"/>
      <c r="F859" s="665"/>
      <c r="G859" s="539"/>
      <c r="H859" s="373"/>
      <c r="I859" s="665"/>
      <c r="J859" s="666"/>
      <c r="K859" s="665"/>
      <c r="L859" s="667"/>
      <c r="M859" s="668"/>
      <c r="N859" s="373"/>
      <c r="O859" s="373"/>
      <c r="P859" s="670"/>
      <c r="Q859" s="665"/>
      <c r="R859" s="665"/>
      <c r="S859" s="539"/>
      <c r="T859" s="665"/>
      <c r="U859" s="49"/>
      <c r="V859" s="49"/>
      <c r="W859" s="49"/>
      <c r="X859" s="49"/>
      <c r="Y859" s="49"/>
    </row>
    <row r="860" ht="15.75" customHeight="1">
      <c r="A860" s="38"/>
      <c r="B860" s="49"/>
      <c r="C860" s="15"/>
      <c r="D860" s="663"/>
      <c r="E860" s="664"/>
      <c r="F860" s="665"/>
      <c r="G860" s="539"/>
      <c r="H860" s="373"/>
      <c r="I860" s="665"/>
      <c r="J860" s="666"/>
      <c r="K860" s="665"/>
      <c r="L860" s="667"/>
      <c r="M860" s="668"/>
      <c r="N860" s="373"/>
      <c r="O860" s="373"/>
      <c r="P860" s="670"/>
      <c r="Q860" s="665"/>
      <c r="R860" s="665"/>
      <c r="S860" s="539"/>
      <c r="T860" s="665"/>
      <c r="U860" s="49"/>
      <c r="V860" s="49"/>
      <c r="W860" s="49"/>
      <c r="X860" s="49"/>
      <c r="Y860" s="49"/>
    </row>
    <row r="861" ht="15.75" customHeight="1">
      <c r="A861" s="38"/>
      <c r="B861" s="49"/>
      <c r="C861" s="15"/>
      <c r="D861" s="663"/>
      <c r="E861" s="664"/>
      <c r="F861" s="665"/>
      <c r="G861" s="539"/>
      <c r="H861" s="373"/>
      <c r="I861" s="665"/>
      <c r="J861" s="666"/>
      <c r="K861" s="665"/>
      <c r="L861" s="667"/>
      <c r="M861" s="668"/>
      <c r="N861" s="373"/>
      <c r="O861" s="373"/>
      <c r="P861" s="670"/>
      <c r="Q861" s="665"/>
      <c r="R861" s="665"/>
      <c r="S861" s="539"/>
      <c r="T861" s="665"/>
      <c r="U861" s="49"/>
      <c r="V861" s="49"/>
      <c r="W861" s="49"/>
      <c r="X861" s="49"/>
      <c r="Y861" s="49"/>
    </row>
    <row r="862" ht="15.75" customHeight="1">
      <c r="A862" s="38"/>
      <c r="B862" s="49"/>
      <c r="C862" s="15"/>
      <c r="D862" s="663"/>
      <c r="E862" s="664"/>
      <c r="F862" s="665"/>
      <c r="G862" s="539"/>
      <c r="H862" s="373"/>
      <c r="I862" s="665"/>
      <c r="J862" s="666"/>
      <c r="K862" s="665"/>
      <c r="L862" s="667"/>
      <c r="M862" s="668"/>
      <c r="N862" s="373"/>
      <c r="O862" s="373"/>
      <c r="P862" s="670"/>
      <c r="Q862" s="665"/>
      <c r="R862" s="665"/>
      <c r="S862" s="539"/>
      <c r="T862" s="665"/>
      <c r="U862" s="49"/>
      <c r="V862" s="49"/>
      <c r="W862" s="49"/>
      <c r="X862" s="49"/>
      <c r="Y862" s="49"/>
    </row>
    <row r="863" ht="15.75" customHeight="1">
      <c r="A863" s="38"/>
      <c r="B863" s="49"/>
      <c r="C863" s="15"/>
      <c r="D863" s="663"/>
      <c r="E863" s="664"/>
      <c r="F863" s="665"/>
      <c r="G863" s="539"/>
      <c r="H863" s="373"/>
      <c r="I863" s="665"/>
      <c r="J863" s="666"/>
      <c r="K863" s="665"/>
      <c r="L863" s="667"/>
      <c r="M863" s="668"/>
      <c r="N863" s="373"/>
      <c r="O863" s="373"/>
      <c r="P863" s="670"/>
      <c r="Q863" s="665"/>
      <c r="R863" s="665"/>
      <c r="S863" s="539"/>
      <c r="T863" s="665"/>
      <c r="U863" s="49"/>
      <c r="V863" s="49"/>
      <c r="W863" s="49"/>
      <c r="X863" s="49"/>
      <c r="Y863" s="49"/>
    </row>
    <row r="864" ht="15.75" customHeight="1">
      <c r="A864" s="38"/>
      <c r="B864" s="49"/>
      <c r="C864" s="15"/>
      <c r="D864" s="663"/>
      <c r="E864" s="664"/>
      <c r="F864" s="665"/>
      <c r="G864" s="539"/>
      <c r="H864" s="373"/>
      <c r="I864" s="665"/>
      <c r="J864" s="666"/>
      <c r="K864" s="665"/>
      <c r="L864" s="667"/>
      <c r="M864" s="668"/>
      <c r="N864" s="373"/>
      <c r="O864" s="373"/>
      <c r="P864" s="670"/>
      <c r="Q864" s="665"/>
      <c r="R864" s="665"/>
      <c r="S864" s="539"/>
      <c r="T864" s="665"/>
      <c r="U864" s="49"/>
      <c r="V864" s="49"/>
      <c r="W864" s="49"/>
      <c r="X864" s="49"/>
      <c r="Y864" s="49"/>
    </row>
    <row r="865" ht="15.75" customHeight="1">
      <c r="A865" s="38"/>
      <c r="B865" s="49"/>
      <c r="C865" s="15"/>
      <c r="D865" s="663"/>
      <c r="E865" s="664"/>
      <c r="F865" s="665"/>
      <c r="G865" s="539"/>
      <c r="H865" s="373"/>
      <c r="I865" s="665"/>
      <c r="J865" s="666"/>
      <c r="K865" s="665"/>
      <c r="L865" s="667"/>
      <c r="M865" s="668"/>
      <c r="N865" s="373"/>
      <c r="O865" s="373"/>
      <c r="P865" s="670"/>
      <c r="Q865" s="665"/>
      <c r="R865" s="665"/>
      <c r="S865" s="539"/>
      <c r="T865" s="665"/>
      <c r="U865" s="49"/>
      <c r="V865" s="49"/>
      <c r="W865" s="49"/>
      <c r="X865" s="49"/>
      <c r="Y865" s="49"/>
    </row>
    <row r="866" ht="15.75" customHeight="1">
      <c r="A866" s="38"/>
      <c r="B866" s="49"/>
      <c r="C866" s="15"/>
      <c r="D866" s="663"/>
      <c r="E866" s="664"/>
      <c r="F866" s="665"/>
      <c r="G866" s="539"/>
      <c r="H866" s="373"/>
      <c r="I866" s="665"/>
      <c r="J866" s="666"/>
      <c r="K866" s="665"/>
      <c r="L866" s="667"/>
      <c r="M866" s="668"/>
      <c r="N866" s="373"/>
      <c r="O866" s="373"/>
      <c r="P866" s="670"/>
      <c r="Q866" s="665"/>
      <c r="R866" s="665"/>
      <c r="S866" s="539"/>
      <c r="T866" s="665"/>
      <c r="U866" s="49"/>
      <c r="V866" s="49"/>
      <c r="W866" s="49"/>
      <c r="X866" s="49"/>
      <c r="Y866" s="49"/>
    </row>
    <row r="867" ht="15.75" customHeight="1">
      <c r="A867" s="38"/>
      <c r="B867" s="49"/>
      <c r="C867" s="15"/>
      <c r="D867" s="663"/>
      <c r="E867" s="664"/>
      <c r="F867" s="665"/>
      <c r="G867" s="539"/>
      <c r="H867" s="373"/>
      <c r="I867" s="665"/>
      <c r="J867" s="666"/>
      <c r="K867" s="665"/>
      <c r="L867" s="667"/>
      <c r="M867" s="668"/>
      <c r="N867" s="373"/>
      <c r="O867" s="373"/>
      <c r="P867" s="670"/>
      <c r="Q867" s="665"/>
      <c r="R867" s="665"/>
      <c r="S867" s="539"/>
      <c r="T867" s="665"/>
      <c r="U867" s="49"/>
      <c r="V867" s="49"/>
      <c r="W867" s="49"/>
      <c r="X867" s="49"/>
      <c r="Y867" s="49"/>
    </row>
    <row r="868" ht="15.75" customHeight="1">
      <c r="A868" s="38"/>
      <c r="B868" s="49"/>
      <c r="C868" s="15"/>
      <c r="D868" s="663"/>
      <c r="E868" s="664"/>
      <c r="F868" s="665"/>
      <c r="G868" s="539"/>
      <c r="H868" s="373"/>
      <c r="I868" s="665"/>
      <c r="J868" s="666"/>
      <c r="K868" s="665"/>
      <c r="L868" s="667"/>
      <c r="M868" s="668"/>
      <c r="N868" s="373"/>
      <c r="O868" s="373"/>
      <c r="P868" s="670"/>
      <c r="Q868" s="665"/>
      <c r="R868" s="665"/>
      <c r="S868" s="539"/>
      <c r="T868" s="665"/>
      <c r="U868" s="49"/>
      <c r="V868" s="49"/>
      <c r="W868" s="49"/>
      <c r="X868" s="49"/>
      <c r="Y868" s="49"/>
    </row>
    <row r="869" ht="15.75" customHeight="1">
      <c r="A869" s="38"/>
      <c r="B869" s="49"/>
      <c r="C869" s="15"/>
      <c r="D869" s="663"/>
      <c r="E869" s="664"/>
      <c r="F869" s="665"/>
      <c r="G869" s="539"/>
      <c r="H869" s="373"/>
      <c r="I869" s="665"/>
      <c r="J869" s="666"/>
      <c r="K869" s="665"/>
      <c r="L869" s="667"/>
      <c r="M869" s="668"/>
      <c r="N869" s="373"/>
      <c r="O869" s="373"/>
      <c r="P869" s="670"/>
      <c r="Q869" s="665"/>
      <c r="R869" s="665"/>
      <c r="S869" s="539"/>
      <c r="T869" s="665"/>
      <c r="U869" s="49"/>
      <c r="V869" s="49"/>
      <c r="W869" s="49"/>
      <c r="X869" s="49"/>
      <c r="Y869" s="49"/>
    </row>
    <row r="870" ht="15.75" customHeight="1">
      <c r="A870" s="38"/>
      <c r="B870" s="49"/>
      <c r="C870" s="15"/>
      <c r="D870" s="663"/>
      <c r="E870" s="664"/>
      <c r="F870" s="665"/>
      <c r="G870" s="539"/>
      <c r="H870" s="373"/>
      <c r="I870" s="665"/>
      <c r="J870" s="666"/>
      <c r="K870" s="665"/>
      <c r="L870" s="667"/>
      <c r="M870" s="668"/>
      <c r="N870" s="373"/>
      <c r="O870" s="373"/>
      <c r="P870" s="670"/>
      <c r="Q870" s="665"/>
      <c r="R870" s="665"/>
      <c r="S870" s="539"/>
      <c r="T870" s="665"/>
      <c r="U870" s="49"/>
      <c r="V870" s="49"/>
      <c r="W870" s="49"/>
      <c r="X870" s="49"/>
      <c r="Y870" s="49"/>
    </row>
    <row r="871" ht="15.75" customHeight="1">
      <c r="A871" s="38"/>
      <c r="B871" s="49"/>
      <c r="C871" s="15"/>
      <c r="D871" s="663"/>
      <c r="E871" s="664"/>
      <c r="F871" s="665"/>
      <c r="G871" s="539"/>
      <c r="H871" s="373"/>
      <c r="I871" s="665"/>
      <c r="J871" s="666"/>
      <c r="K871" s="665"/>
      <c r="L871" s="667"/>
      <c r="M871" s="668"/>
      <c r="N871" s="373"/>
      <c r="O871" s="373"/>
      <c r="P871" s="670"/>
      <c r="Q871" s="665"/>
      <c r="R871" s="665"/>
      <c r="S871" s="539"/>
      <c r="T871" s="665"/>
      <c r="U871" s="49"/>
      <c r="V871" s="49"/>
      <c r="W871" s="49"/>
      <c r="X871" s="49"/>
      <c r="Y871" s="49"/>
    </row>
    <row r="872" ht="15.75" customHeight="1">
      <c r="A872" s="38"/>
      <c r="B872" s="49"/>
      <c r="C872" s="15"/>
      <c r="D872" s="663"/>
      <c r="E872" s="664"/>
      <c r="F872" s="665"/>
      <c r="G872" s="539"/>
      <c r="H872" s="373"/>
      <c r="I872" s="665"/>
      <c r="J872" s="666"/>
      <c r="K872" s="665"/>
      <c r="L872" s="667"/>
      <c r="M872" s="668"/>
      <c r="N872" s="373"/>
      <c r="O872" s="373"/>
      <c r="P872" s="670"/>
      <c r="Q872" s="665"/>
      <c r="R872" s="665"/>
      <c r="S872" s="539"/>
      <c r="T872" s="665"/>
      <c r="U872" s="49"/>
      <c r="V872" s="49"/>
      <c r="W872" s="49"/>
      <c r="X872" s="49"/>
      <c r="Y872" s="49"/>
    </row>
    <row r="873" ht="15.75" customHeight="1">
      <c r="A873" s="38"/>
      <c r="B873" s="49"/>
      <c r="C873" s="15"/>
      <c r="D873" s="663"/>
      <c r="E873" s="664"/>
      <c r="F873" s="665"/>
      <c r="G873" s="539"/>
      <c r="H873" s="373"/>
      <c r="I873" s="665"/>
      <c r="J873" s="666"/>
      <c r="K873" s="665"/>
      <c r="L873" s="667"/>
      <c r="M873" s="668"/>
      <c r="N873" s="373"/>
      <c r="O873" s="373"/>
      <c r="P873" s="670"/>
      <c r="Q873" s="665"/>
      <c r="R873" s="665"/>
      <c r="S873" s="539"/>
      <c r="T873" s="665"/>
      <c r="U873" s="49"/>
      <c r="V873" s="49"/>
      <c r="W873" s="49"/>
      <c r="X873" s="49"/>
      <c r="Y873" s="49"/>
    </row>
    <row r="874" ht="15.75" customHeight="1">
      <c r="A874" s="38"/>
      <c r="B874" s="49"/>
      <c r="C874" s="15"/>
      <c r="D874" s="663"/>
      <c r="E874" s="664"/>
      <c r="F874" s="665"/>
      <c r="G874" s="539"/>
      <c r="H874" s="373"/>
      <c r="I874" s="665"/>
      <c r="J874" s="666"/>
      <c r="K874" s="665"/>
      <c r="L874" s="667"/>
      <c r="M874" s="668"/>
      <c r="N874" s="373"/>
      <c r="O874" s="373"/>
      <c r="P874" s="670"/>
      <c r="Q874" s="665"/>
      <c r="R874" s="665"/>
      <c r="S874" s="539"/>
      <c r="T874" s="665"/>
      <c r="U874" s="49"/>
      <c r="V874" s="49"/>
      <c r="W874" s="49"/>
      <c r="X874" s="49"/>
      <c r="Y874" s="49"/>
    </row>
    <row r="875" ht="15.75" customHeight="1">
      <c r="A875" s="38"/>
      <c r="B875" s="49"/>
      <c r="C875" s="15"/>
      <c r="D875" s="663"/>
      <c r="E875" s="664"/>
      <c r="F875" s="665"/>
      <c r="G875" s="539"/>
      <c r="H875" s="373"/>
      <c r="I875" s="665"/>
      <c r="J875" s="666"/>
      <c r="K875" s="665"/>
      <c r="L875" s="667"/>
      <c r="M875" s="668"/>
      <c r="N875" s="373"/>
      <c r="O875" s="373"/>
      <c r="P875" s="670"/>
      <c r="Q875" s="665"/>
      <c r="R875" s="665"/>
      <c r="S875" s="539"/>
      <c r="T875" s="665"/>
      <c r="U875" s="49"/>
      <c r="V875" s="49"/>
      <c r="W875" s="49"/>
      <c r="X875" s="49"/>
      <c r="Y875" s="49"/>
    </row>
    <row r="876" ht="15.75" customHeight="1">
      <c r="A876" s="38"/>
      <c r="B876" s="49"/>
      <c r="C876" s="15"/>
      <c r="D876" s="663"/>
      <c r="E876" s="664"/>
      <c r="F876" s="665"/>
      <c r="G876" s="539"/>
      <c r="H876" s="373"/>
      <c r="I876" s="665"/>
      <c r="J876" s="666"/>
      <c r="K876" s="665"/>
      <c r="L876" s="667"/>
      <c r="M876" s="668"/>
      <c r="N876" s="373"/>
      <c r="O876" s="373"/>
      <c r="P876" s="670"/>
      <c r="Q876" s="665"/>
      <c r="R876" s="665"/>
      <c r="S876" s="539"/>
      <c r="T876" s="665"/>
      <c r="U876" s="49"/>
      <c r="V876" s="49"/>
      <c r="W876" s="49"/>
      <c r="X876" s="49"/>
      <c r="Y876" s="49"/>
    </row>
    <row r="877" ht="15.75" customHeight="1">
      <c r="A877" s="38"/>
      <c r="B877" s="49"/>
      <c r="C877" s="15"/>
      <c r="D877" s="663"/>
      <c r="E877" s="664"/>
      <c r="F877" s="665"/>
      <c r="G877" s="539"/>
      <c r="H877" s="373"/>
      <c r="I877" s="665"/>
      <c r="J877" s="666"/>
      <c r="K877" s="665"/>
      <c r="L877" s="667"/>
      <c r="M877" s="668"/>
      <c r="N877" s="373"/>
      <c r="O877" s="373"/>
      <c r="P877" s="670"/>
      <c r="Q877" s="665"/>
      <c r="R877" s="665"/>
      <c r="S877" s="539"/>
      <c r="T877" s="665"/>
      <c r="U877" s="49"/>
      <c r="V877" s="49"/>
      <c r="W877" s="49"/>
      <c r="X877" s="49"/>
      <c r="Y877" s="49"/>
    </row>
    <row r="878" ht="15.75" customHeight="1">
      <c r="A878" s="38"/>
      <c r="B878" s="49"/>
      <c r="C878" s="15"/>
      <c r="D878" s="663"/>
      <c r="E878" s="664"/>
      <c r="F878" s="665"/>
      <c r="G878" s="539"/>
      <c r="H878" s="373"/>
      <c r="I878" s="665"/>
      <c r="J878" s="666"/>
      <c r="K878" s="665"/>
      <c r="L878" s="667"/>
      <c r="M878" s="668"/>
      <c r="N878" s="373"/>
      <c r="O878" s="373"/>
      <c r="P878" s="670"/>
      <c r="Q878" s="665"/>
      <c r="R878" s="665"/>
      <c r="S878" s="539"/>
      <c r="T878" s="665"/>
      <c r="U878" s="49"/>
      <c r="V878" s="49"/>
      <c r="W878" s="49"/>
      <c r="X878" s="49"/>
      <c r="Y878" s="49"/>
    </row>
    <row r="879" ht="15.75" customHeight="1">
      <c r="A879" s="38"/>
      <c r="B879" s="49"/>
      <c r="C879" s="15"/>
      <c r="D879" s="663"/>
      <c r="E879" s="664"/>
      <c r="F879" s="665"/>
      <c r="G879" s="539"/>
      <c r="H879" s="373"/>
      <c r="I879" s="665"/>
      <c r="J879" s="666"/>
      <c r="K879" s="665"/>
      <c r="L879" s="667"/>
      <c r="M879" s="668"/>
      <c r="N879" s="373"/>
      <c r="O879" s="373"/>
      <c r="P879" s="670"/>
      <c r="Q879" s="665"/>
      <c r="R879" s="665"/>
      <c r="S879" s="539"/>
      <c r="T879" s="665"/>
      <c r="U879" s="49"/>
      <c r="V879" s="49"/>
      <c r="W879" s="49"/>
      <c r="X879" s="49"/>
      <c r="Y879" s="49"/>
    </row>
    <row r="880" ht="15.75" customHeight="1">
      <c r="A880" s="38"/>
      <c r="B880" s="49"/>
      <c r="C880" s="15"/>
      <c r="D880" s="663"/>
      <c r="E880" s="664"/>
      <c r="F880" s="665"/>
      <c r="G880" s="539"/>
      <c r="H880" s="373"/>
      <c r="I880" s="665"/>
      <c r="J880" s="666"/>
      <c r="K880" s="665"/>
      <c r="L880" s="667"/>
      <c r="M880" s="668"/>
      <c r="N880" s="373"/>
      <c r="O880" s="373"/>
      <c r="P880" s="670"/>
      <c r="Q880" s="665"/>
      <c r="R880" s="665"/>
      <c r="S880" s="539"/>
      <c r="T880" s="665"/>
      <c r="U880" s="49"/>
      <c r="V880" s="49"/>
      <c r="W880" s="49"/>
      <c r="X880" s="49"/>
      <c r="Y880" s="49"/>
    </row>
    <row r="881" ht="15.75" customHeight="1">
      <c r="A881" s="38"/>
      <c r="B881" s="49"/>
      <c r="C881" s="15"/>
      <c r="D881" s="663"/>
      <c r="E881" s="664"/>
      <c r="F881" s="665"/>
      <c r="G881" s="539"/>
      <c r="H881" s="373"/>
      <c r="I881" s="665"/>
      <c r="J881" s="666"/>
      <c r="K881" s="665"/>
      <c r="L881" s="667"/>
      <c r="M881" s="668"/>
      <c r="N881" s="373"/>
      <c r="O881" s="373"/>
      <c r="P881" s="670"/>
      <c r="Q881" s="665"/>
      <c r="R881" s="665"/>
      <c r="S881" s="539"/>
      <c r="T881" s="665"/>
      <c r="U881" s="49"/>
      <c r="V881" s="49"/>
      <c r="W881" s="49"/>
      <c r="X881" s="49"/>
      <c r="Y881" s="49"/>
    </row>
    <row r="882" ht="15.75" customHeight="1">
      <c r="A882" s="38"/>
      <c r="B882" s="49"/>
      <c r="C882" s="15"/>
      <c r="D882" s="663"/>
      <c r="E882" s="664"/>
      <c r="F882" s="665"/>
      <c r="G882" s="539"/>
      <c r="H882" s="373"/>
      <c r="I882" s="665"/>
      <c r="J882" s="666"/>
      <c r="K882" s="665"/>
      <c r="L882" s="667"/>
      <c r="M882" s="668"/>
      <c r="N882" s="373"/>
      <c r="O882" s="373"/>
      <c r="P882" s="670"/>
      <c r="Q882" s="665"/>
      <c r="R882" s="665"/>
      <c r="S882" s="539"/>
      <c r="T882" s="665"/>
      <c r="U882" s="49"/>
      <c r="V882" s="49"/>
      <c r="W882" s="49"/>
      <c r="X882" s="49"/>
      <c r="Y882" s="49"/>
    </row>
    <row r="883" ht="15.75" customHeight="1">
      <c r="A883" s="38"/>
      <c r="B883" s="49"/>
      <c r="C883" s="15"/>
      <c r="D883" s="663"/>
      <c r="E883" s="664"/>
      <c r="F883" s="665"/>
      <c r="G883" s="539"/>
      <c r="H883" s="373"/>
      <c r="I883" s="665"/>
      <c r="J883" s="666"/>
      <c r="K883" s="665"/>
      <c r="L883" s="667"/>
      <c r="M883" s="668"/>
      <c r="N883" s="373"/>
      <c r="O883" s="373"/>
      <c r="P883" s="670"/>
      <c r="Q883" s="665"/>
      <c r="R883" s="665"/>
      <c r="S883" s="539"/>
      <c r="T883" s="665"/>
      <c r="U883" s="49"/>
      <c r="V883" s="49"/>
      <c r="W883" s="49"/>
      <c r="X883" s="49"/>
      <c r="Y883" s="49"/>
    </row>
    <row r="884" ht="15.75" customHeight="1">
      <c r="A884" s="38"/>
      <c r="B884" s="49"/>
      <c r="C884" s="15"/>
      <c r="D884" s="663"/>
      <c r="E884" s="664"/>
      <c r="F884" s="665"/>
      <c r="G884" s="539"/>
      <c r="H884" s="373"/>
      <c r="I884" s="665"/>
      <c r="J884" s="666"/>
      <c r="K884" s="665"/>
      <c r="L884" s="667"/>
      <c r="M884" s="668"/>
      <c r="N884" s="373"/>
      <c r="O884" s="373"/>
      <c r="P884" s="670"/>
      <c r="Q884" s="665"/>
      <c r="R884" s="665"/>
      <c r="S884" s="539"/>
      <c r="T884" s="665"/>
      <c r="U884" s="49"/>
      <c r="V884" s="49"/>
      <c r="W884" s="49"/>
      <c r="X884" s="49"/>
      <c r="Y884" s="49"/>
    </row>
    <row r="885" ht="15.75" customHeight="1">
      <c r="A885" s="38"/>
      <c r="B885" s="49"/>
      <c r="C885" s="15"/>
      <c r="D885" s="663"/>
      <c r="E885" s="664"/>
      <c r="F885" s="665"/>
      <c r="G885" s="539"/>
      <c r="H885" s="373"/>
      <c r="I885" s="665"/>
      <c r="J885" s="666"/>
      <c r="K885" s="665"/>
      <c r="L885" s="667"/>
      <c r="M885" s="668"/>
      <c r="N885" s="373"/>
      <c r="O885" s="373"/>
      <c r="P885" s="670"/>
      <c r="Q885" s="665"/>
      <c r="R885" s="665"/>
      <c r="S885" s="539"/>
      <c r="T885" s="665"/>
      <c r="U885" s="49"/>
      <c r="V885" s="49"/>
      <c r="W885" s="49"/>
      <c r="X885" s="49"/>
      <c r="Y885" s="49"/>
    </row>
    <row r="886" ht="15.75" customHeight="1">
      <c r="A886" s="38"/>
      <c r="B886" s="49"/>
      <c r="C886" s="15"/>
      <c r="D886" s="663"/>
      <c r="E886" s="664"/>
      <c r="F886" s="665"/>
      <c r="G886" s="539"/>
      <c r="H886" s="373"/>
      <c r="I886" s="665"/>
      <c r="J886" s="666"/>
      <c r="K886" s="665"/>
      <c r="L886" s="667"/>
      <c r="M886" s="668"/>
      <c r="N886" s="373"/>
      <c r="O886" s="373"/>
      <c r="P886" s="670"/>
      <c r="Q886" s="665"/>
      <c r="R886" s="665"/>
      <c r="S886" s="539"/>
      <c r="T886" s="665"/>
      <c r="U886" s="49"/>
      <c r="V886" s="49"/>
      <c r="W886" s="49"/>
      <c r="X886" s="49"/>
      <c r="Y886" s="49"/>
    </row>
    <row r="887" ht="15.75" customHeight="1">
      <c r="A887" s="38"/>
      <c r="B887" s="49"/>
      <c r="C887" s="15"/>
      <c r="D887" s="663"/>
      <c r="E887" s="664"/>
      <c r="F887" s="665"/>
      <c r="G887" s="539"/>
      <c r="H887" s="373"/>
      <c r="I887" s="665"/>
      <c r="J887" s="666"/>
      <c r="K887" s="665"/>
      <c r="L887" s="667"/>
      <c r="M887" s="668"/>
      <c r="N887" s="373"/>
      <c r="O887" s="373"/>
      <c r="P887" s="670"/>
      <c r="Q887" s="665"/>
      <c r="R887" s="665"/>
      <c r="S887" s="539"/>
      <c r="T887" s="665"/>
      <c r="U887" s="49"/>
      <c r="V887" s="49"/>
      <c r="W887" s="49"/>
      <c r="X887" s="49"/>
      <c r="Y887" s="49"/>
    </row>
    <row r="888" ht="15.75" customHeight="1">
      <c r="A888" s="38"/>
      <c r="B888" s="49"/>
      <c r="C888" s="15"/>
      <c r="D888" s="663"/>
      <c r="E888" s="664"/>
      <c r="F888" s="665"/>
      <c r="G888" s="539"/>
      <c r="H888" s="373"/>
      <c r="I888" s="665"/>
      <c r="J888" s="666"/>
      <c r="K888" s="665"/>
      <c r="L888" s="667"/>
      <c r="M888" s="668"/>
      <c r="N888" s="373"/>
      <c r="O888" s="373"/>
      <c r="P888" s="670"/>
      <c r="Q888" s="665"/>
      <c r="R888" s="665"/>
      <c r="S888" s="539"/>
      <c r="T888" s="665"/>
      <c r="U888" s="49"/>
      <c r="V888" s="49"/>
      <c r="W888" s="49"/>
      <c r="X888" s="49"/>
      <c r="Y888" s="49"/>
    </row>
    <row r="889" ht="15.75" customHeight="1">
      <c r="A889" s="38"/>
      <c r="B889" s="49"/>
      <c r="C889" s="15"/>
      <c r="D889" s="663"/>
      <c r="E889" s="664"/>
      <c r="F889" s="665"/>
      <c r="G889" s="539"/>
      <c r="H889" s="373"/>
      <c r="I889" s="665"/>
      <c r="J889" s="666"/>
      <c r="K889" s="665"/>
      <c r="L889" s="667"/>
      <c r="M889" s="668"/>
      <c r="N889" s="373"/>
      <c r="O889" s="373"/>
      <c r="P889" s="670"/>
      <c r="Q889" s="665"/>
      <c r="R889" s="665"/>
      <c r="S889" s="539"/>
      <c r="T889" s="665"/>
      <c r="U889" s="49"/>
      <c r="V889" s="49"/>
      <c r="W889" s="49"/>
      <c r="X889" s="49"/>
      <c r="Y889" s="49"/>
    </row>
    <row r="890" ht="15.75" customHeight="1">
      <c r="A890" s="38"/>
      <c r="B890" s="49"/>
      <c r="C890" s="15"/>
      <c r="D890" s="663"/>
      <c r="E890" s="664"/>
      <c r="F890" s="665"/>
      <c r="G890" s="539"/>
      <c r="H890" s="373"/>
      <c r="I890" s="665"/>
      <c r="J890" s="666"/>
      <c r="K890" s="665"/>
      <c r="L890" s="667"/>
      <c r="M890" s="668"/>
      <c r="N890" s="373"/>
      <c r="O890" s="373"/>
      <c r="P890" s="670"/>
      <c r="Q890" s="665"/>
      <c r="R890" s="665"/>
      <c r="S890" s="539"/>
      <c r="T890" s="665"/>
      <c r="U890" s="49"/>
      <c r="V890" s="49"/>
      <c r="W890" s="49"/>
      <c r="X890" s="49"/>
      <c r="Y890" s="49"/>
    </row>
    <row r="891" ht="15.75" customHeight="1">
      <c r="A891" s="38"/>
      <c r="B891" s="49"/>
      <c r="C891" s="15"/>
      <c r="D891" s="663"/>
      <c r="E891" s="664"/>
      <c r="F891" s="665"/>
      <c r="G891" s="539"/>
      <c r="H891" s="373"/>
      <c r="I891" s="665"/>
      <c r="J891" s="666"/>
      <c r="K891" s="665"/>
      <c r="L891" s="667"/>
      <c r="M891" s="668"/>
      <c r="N891" s="373"/>
      <c r="O891" s="373"/>
      <c r="P891" s="670"/>
      <c r="Q891" s="665"/>
      <c r="R891" s="665"/>
      <c r="S891" s="539"/>
      <c r="T891" s="665"/>
      <c r="U891" s="49"/>
      <c r="V891" s="49"/>
      <c r="W891" s="49"/>
      <c r="X891" s="49"/>
      <c r="Y891" s="49"/>
    </row>
    <row r="892" ht="15.75" customHeight="1">
      <c r="A892" s="38"/>
      <c r="B892" s="49"/>
      <c r="C892" s="15"/>
      <c r="D892" s="663"/>
      <c r="E892" s="664"/>
      <c r="F892" s="665"/>
      <c r="G892" s="539"/>
      <c r="H892" s="373"/>
      <c r="I892" s="665"/>
      <c r="J892" s="666"/>
      <c r="K892" s="665"/>
      <c r="L892" s="667"/>
      <c r="M892" s="668"/>
      <c r="N892" s="373"/>
      <c r="O892" s="373"/>
      <c r="P892" s="670"/>
      <c r="Q892" s="665"/>
      <c r="R892" s="665"/>
      <c r="S892" s="539"/>
      <c r="T892" s="665"/>
      <c r="U892" s="49"/>
      <c r="V892" s="49"/>
      <c r="W892" s="49"/>
      <c r="X892" s="49"/>
      <c r="Y892" s="49"/>
    </row>
    <row r="893" ht="15.75" customHeight="1">
      <c r="A893" s="38"/>
      <c r="B893" s="49"/>
      <c r="C893" s="15"/>
      <c r="D893" s="663"/>
      <c r="E893" s="664"/>
      <c r="F893" s="665"/>
      <c r="G893" s="539"/>
      <c r="H893" s="373"/>
      <c r="I893" s="665"/>
      <c r="J893" s="666"/>
      <c r="K893" s="665"/>
      <c r="L893" s="667"/>
      <c r="M893" s="668"/>
      <c r="N893" s="373"/>
      <c r="O893" s="373"/>
      <c r="P893" s="670"/>
      <c r="Q893" s="665"/>
      <c r="R893" s="665"/>
      <c r="S893" s="539"/>
      <c r="T893" s="665"/>
      <c r="U893" s="49"/>
      <c r="V893" s="49"/>
      <c r="W893" s="49"/>
      <c r="X893" s="49"/>
      <c r="Y893" s="49"/>
    </row>
    <row r="894" ht="15.75" customHeight="1">
      <c r="A894" s="38"/>
      <c r="B894" s="49"/>
      <c r="C894" s="15"/>
      <c r="D894" s="663"/>
      <c r="E894" s="664"/>
      <c r="F894" s="665"/>
      <c r="G894" s="539"/>
      <c r="H894" s="373"/>
      <c r="I894" s="665"/>
      <c r="J894" s="666"/>
      <c r="K894" s="665"/>
      <c r="L894" s="667"/>
      <c r="M894" s="668"/>
      <c r="N894" s="373"/>
      <c r="O894" s="373"/>
      <c r="P894" s="670"/>
      <c r="Q894" s="665"/>
      <c r="R894" s="665"/>
      <c r="S894" s="539"/>
      <c r="T894" s="665"/>
      <c r="U894" s="49"/>
      <c r="V894" s="49"/>
      <c r="W894" s="49"/>
      <c r="X894" s="49"/>
      <c r="Y894" s="49"/>
    </row>
    <row r="895" ht="15.75" customHeight="1">
      <c r="A895" s="38"/>
      <c r="B895" s="49"/>
      <c r="C895" s="15"/>
      <c r="D895" s="663"/>
      <c r="E895" s="664"/>
      <c r="F895" s="665"/>
      <c r="G895" s="539"/>
      <c r="H895" s="373"/>
      <c r="I895" s="665"/>
      <c r="J895" s="666"/>
      <c r="K895" s="665"/>
      <c r="L895" s="667"/>
      <c r="M895" s="668"/>
      <c r="N895" s="373"/>
      <c r="O895" s="373"/>
      <c r="P895" s="670"/>
      <c r="Q895" s="665"/>
      <c r="R895" s="665"/>
      <c r="S895" s="539"/>
      <c r="T895" s="665"/>
      <c r="U895" s="49"/>
      <c r="V895" s="49"/>
      <c r="W895" s="49"/>
      <c r="X895" s="49"/>
      <c r="Y895" s="49"/>
    </row>
    <row r="896" ht="15.75" customHeight="1">
      <c r="A896" s="38"/>
      <c r="B896" s="49"/>
      <c r="C896" s="15"/>
      <c r="D896" s="663"/>
      <c r="E896" s="664"/>
      <c r="F896" s="665"/>
      <c r="G896" s="539"/>
      <c r="H896" s="373"/>
      <c r="I896" s="665"/>
      <c r="J896" s="666"/>
      <c r="K896" s="665"/>
      <c r="L896" s="667"/>
      <c r="M896" s="668"/>
      <c r="N896" s="373"/>
      <c r="O896" s="373"/>
      <c r="P896" s="670"/>
      <c r="Q896" s="665"/>
      <c r="R896" s="665"/>
      <c r="S896" s="539"/>
      <c r="T896" s="665"/>
      <c r="U896" s="49"/>
      <c r="V896" s="49"/>
      <c r="W896" s="49"/>
      <c r="X896" s="49"/>
      <c r="Y896" s="49"/>
    </row>
    <row r="897" ht="15.75" customHeight="1">
      <c r="A897" s="38"/>
      <c r="B897" s="49"/>
      <c r="C897" s="15"/>
      <c r="D897" s="663"/>
      <c r="E897" s="664"/>
      <c r="F897" s="665"/>
      <c r="G897" s="539"/>
      <c r="H897" s="373"/>
      <c r="I897" s="665"/>
      <c r="J897" s="666"/>
      <c r="K897" s="665"/>
      <c r="L897" s="667"/>
      <c r="M897" s="668"/>
      <c r="N897" s="373"/>
      <c r="O897" s="373"/>
      <c r="P897" s="670"/>
      <c r="Q897" s="665"/>
      <c r="R897" s="665"/>
      <c r="S897" s="539"/>
      <c r="T897" s="665"/>
      <c r="U897" s="49"/>
      <c r="V897" s="49"/>
      <c r="W897" s="49"/>
      <c r="X897" s="49"/>
      <c r="Y897" s="49"/>
    </row>
    <row r="898" ht="15.75" customHeight="1">
      <c r="A898" s="38"/>
      <c r="B898" s="49"/>
      <c r="C898" s="15"/>
      <c r="D898" s="663"/>
      <c r="E898" s="664"/>
      <c r="F898" s="665"/>
      <c r="G898" s="539"/>
      <c r="H898" s="373"/>
      <c r="I898" s="665"/>
      <c r="J898" s="666"/>
      <c r="K898" s="665"/>
      <c r="L898" s="667"/>
      <c r="M898" s="668"/>
      <c r="N898" s="373"/>
      <c r="O898" s="373"/>
      <c r="P898" s="670"/>
      <c r="Q898" s="665"/>
      <c r="R898" s="665"/>
      <c r="S898" s="539"/>
      <c r="T898" s="665"/>
      <c r="U898" s="49"/>
      <c r="V898" s="49"/>
      <c r="W898" s="49"/>
      <c r="X898" s="49"/>
      <c r="Y898" s="49"/>
    </row>
    <row r="899" ht="15.75" customHeight="1">
      <c r="A899" s="38"/>
      <c r="B899" s="49"/>
      <c r="C899" s="15"/>
      <c r="D899" s="663"/>
      <c r="E899" s="664"/>
      <c r="F899" s="665"/>
      <c r="G899" s="539"/>
      <c r="H899" s="373"/>
      <c r="I899" s="665"/>
      <c r="J899" s="666"/>
      <c r="K899" s="665"/>
      <c r="L899" s="667"/>
      <c r="M899" s="668"/>
      <c r="N899" s="373"/>
      <c r="O899" s="373"/>
      <c r="P899" s="670"/>
      <c r="Q899" s="665"/>
      <c r="R899" s="665"/>
      <c r="S899" s="539"/>
      <c r="T899" s="665"/>
      <c r="U899" s="49"/>
      <c r="V899" s="49"/>
      <c r="W899" s="49"/>
      <c r="X899" s="49"/>
      <c r="Y899" s="49"/>
    </row>
    <row r="900" ht="15.75" customHeight="1">
      <c r="A900" s="38"/>
      <c r="B900" s="49"/>
      <c r="C900" s="15"/>
      <c r="D900" s="663"/>
      <c r="E900" s="664"/>
      <c r="F900" s="665"/>
      <c r="G900" s="539"/>
      <c r="H900" s="373"/>
      <c r="I900" s="665"/>
      <c r="J900" s="666"/>
      <c r="K900" s="665"/>
      <c r="L900" s="667"/>
      <c r="M900" s="668"/>
      <c r="N900" s="373"/>
      <c r="O900" s="373"/>
      <c r="P900" s="670"/>
      <c r="Q900" s="665"/>
      <c r="R900" s="665"/>
      <c r="S900" s="539"/>
      <c r="T900" s="665"/>
      <c r="U900" s="49"/>
      <c r="V900" s="49"/>
      <c r="W900" s="49"/>
      <c r="X900" s="49"/>
      <c r="Y900" s="49"/>
    </row>
    <row r="901" ht="15.75" customHeight="1">
      <c r="A901" s="38"/>
      <c r="B901" s="49"/>
      <c r="C901" s="15"/>
      <c r="D901" s="663"/>
      <c r="E901" s="664"/>
      <c r="F901" s="665"/>
      <c r="G901" s="539"/>
      <c r="H901" s="373"/>
      <c r="I901" s="665"/>
      <c r="J901" s="666"/>
      <c r="K901" s="665"/>
      <c r="L901" s="667"/>
      <c r="M901" s="668"/>
      <c r="N901" s="373"/>
      <c r="O901" s="373"/>
      <c r="P901" s="670"/>
      <c r="Q901" s="665"/>
      <c r="R901" s="665"/>
      <c r="S901" s="539"/>
      <c r="T901" s="665"/>
      <c r="U901" s="49"/>
      <c r="V901" s="49"/>
      <c r="W901" s="49"/>
      <c r="X901" s="49"/>
      <c r="Y901" s="49"/>
    </row>
    <row r="902" ht="15.75" customHeight="1">
      <c r="A902" s="38"/>
      <c r="B902" s="49"/>
      <c r="C902" s="15"/>
      <c r="D902" s="663"/>
      <c r="E902" s="664"/>
      <c r="F902" s="665"/>
      <c r="G902" s="539"/>
      <c r="H902" s="373"/>
      <c r="I902" s="665"/>
      <c r="J902" s="666"/>
      <c r="K902" s="665"/>
      <c r="L902" s="667"/>
      <c r="M902" s="668"/>
      <c r="N902" s="373"/>
      <c r="O902" s="373"/>
      <c r="P902" s="670"/>
      <c r="Q902" s="665"/>
      <c r="R902" s="665"/>
      <c r="S902" s="539"/>
      <c r="T902" s="665"/>
      <c r="U902" s="49"/>
      <c r="V902" s="49"/>
      <c r="W902" s="49"/>
      <c r="X902" s="49"/>
      <c r="Y902" s="49"/>
    </row>
    <row r="903" ht="15.75" customHeight="1">
      <c r="A903" s="38"/>
      <c r="B903" s="49"/>
      <c r="C903" s="15"/>
      <c r="D903" s="663"/>
      <c r="E903" s="664"/>
      <c r="F903" s="665"/>
      <c r="G903" s="539"/>
      <c r="H903" s="373"/>
      <c r="I903" s="665"/>
      <c r="J903" s="666"/>
      <c r="K903" s="665"/>
      <c r="L903" s="667"/>
      <c r="M903" s="668"/>
      <c r="N903" s="373"/>
      <c r="O903" s="373"/>
      <c r="P903" s="670"/>
      <c r="Q903" s="665"/>
      <c r="R903" s="665"/>
      <c r="S903" s="539"/>
      <c r="T903" s="665"/>
      <c r="U903" s="49"/>
      <c r="V903" s="49"/>
      <c r="W903" s="49"/>
      <c r="X903" s="49"/>
      <c r="Y903" s="49"/>
    </row>
    <row r="904" ht="15.75" customHeight="1">
      <c r="A904" s="38"/>
      <c r="B904" s="49"/>
      <c r="C904" s="15"/>
      <c r="D904" s="663"/>
      <c r="E904" s="664"/>
      <c r="F904" s="665"/>
      <c r="G904" s="539"/>
      <c r="H904" s="373"/>
      <c r="I904" s="665"/>
      <c r="J904" s="666"/>
      <c r="K904" s="665"/>
      <c r="L904" s="667"/>
      <c r="M904" s="668"/>
      <c r="N904" s="373"/>
      <c r="O904" s="373"/>
      <c r="P904" s="670"/>
      <c r="Q904" s="665"/>
      <c r="R904" s="665"/>
      <c r="S904" s="539"/>
      <c r="T904" s="665"/>
      <c r="U904" s="49"/>
      <c r="V904" s="49"/>
      <c r="W904" s="49"/>
      <c r="X904" s="49"/>
      <c r="Y904" s="49"/>
    </row>
    <row r="905" ht="15.75" customHeight="1">
      <c r="A905" s="38"/>
      <c r="B905" s="49"/>
      <c r="C905" s="15"/>
      <c r="D905" s="663"/>
      <c r="E905" s="664"/>
      <c r="F905" s="665"/>
      <c r="G905" s="539"/>
      <c r="H905" s="373"/>
      <c r="I905" s="665"/>
      <c r="J905" s="666"/>
      <c r="K905" s="665"/>
      <c r="L905" s="667"/>
      <c r="M905" s="668"/>
      <c r="N905" s="373"/>
      <c r="O905" s="373"/>
      <c r="P905" s="670"/>
      <c r="Q905" s="665"/>
      <c r="R905" s="665"/>
      <c r="S905" s="539"/>
      <c r="T905" s="665"/>
      <c r="U905" s="49"/>
      <c r="V905" s="49"/>
      <c r="W905" s="49"/>
      <c r="X905" s="49"/>
      <c r="Y905" s="49"/>
    </row>
    <row r="906" ht="15.75" customHeight="1">
      <c r="A906" s="38"/>
      <c r="B906" s="49"/>
      <c r="C906" s="15"/>
      <c r="D906" s="663"/>
      <c r="E906" s="664"/>
      <c r="F906" s="665"/>
      <c r="G906" s="539"/>
      <c r="H906" s="373"/>
      <c r="I906" s="665"/>
      <c r="J906" s="666"/>
      <c r="K906" s="665"/>
      <c r="L906" s="667"/>
      <c r="M906" s="668"/>
      <c r="N906" s="373"/>
      <c r="O906" s="373"/>
      <c r="P906" s="670"/>
      <c r="Q906" s="665"/>
      <c r="R906" s="665"/>
      <c r="S906" s="539"/>
      <c r="T906" s="665"/>
      <c r="U906" s="49"/>
      <c r="V906" s="49"/>
      <c r="W906" s="49"/>
      <c r="X906" s="49"/>
      <c r="Y906" s="49"/>
    </row>
    <row r="907" ht="15.75" customHeight="1">
      <c r="A907" s="38"/>
      <c r="B907" s="49"/>
      <c r="C907" s="15"/>
      <c r="D907" s="663"/>
      <c r="E907" s="664"/>
      <c r="F907" s="665"/>
      <c r="G907" s="539"/>
      <c r="H907" s="373"/>
      <c r="I907" s="665"/>
      <c r="J907" s="666"/>
      <c r="K907" s="665"/>
      <c r="L907" s="667"/>
      <c r="M907" s="668"/>
      <c r="N907" s="373"/>
      <c r="O907" s="373"/>
      <c r="P907" s="670"/>
      <c r="Q907" s="665"/>
      <c r="R907" s="665"/>
      <c r="S907" s="539"/>
      <c r="T907" s="665"/>
      <c r="U907" s="49"/>
      <c r="V907" s="49"/>
      <c r="W907" s="49"/>
      <c r="X907" s="49"/>
      <c r="Y907" s="49"/>
    </row>
    <row r="908" ht="15.75" customHeight="1">
      <c r="A908" s="38"/>
      <c r="B908" s="49"/>
      <c r="C908" s="15"/>
      <c r="D908" s="663"/>
      <c r="E908" s="664"/>
      <c r="F908" s="665"/>
      <c r="G908" s="539"/>
      <c r="H908" s="373"/>
      <c r="I908" s="665"/>
      <c r="J908" s="666"/>
      <c r="K908" s="665"/>
      <c r="L908" s="667"/>
      <c r="M908" s="668"/>
      <c r="N908" s="373"/>
      <c r="O908" s="373"/>
      <c r="P908" s="670"/>
      <c r="Q908" s="665"/>
      <c r="R908" s="665"/>
      <c r="S908" s="539"/>
      <c r="T908" s="665"/>
      <c r="U908" s="49"/>
      <c r="V908" s="49"/>
      <c r="W908" s="49"/>
      <c r="X908" s="49"/>
      <c r="Y908" s="49"/>
    </row>
    <row r="909" ht="15.75" customHeight="1">
      <c r="A909" s="38"/>
      <c r="B909" s="49"/>
      <c r="C909" s="15"/>
      <c r="D909" s="663"/>
      <c r="E909" s="664"/>
      <c r="F909" s="665"/>
      <c r="G909" s="539"/>
      <c r="H909" s="373"/>
      <c r="I909" s="665"/>
      <c r="J909" s="666"/>
      <c r="K909" s="665"/>
      <c r="L909" s="667"/>
      <c r="M909" s="668"/>
      <c r="N909" s="373"/>
      <c r="O909" s="373"/>
      <c r="P909" s="670"/>
      <c r="Q909" s="665"/>
      <c r="R909" s="665"/>
      <c r="S909" s="539"/>
      <c r="T909" s="665"/>
      <c r="U909" s="49"/>
      <c r="V909" s="49"/>
      <c r="W909" s="49"/>
      <c r="X909" s="49"/>
      <c r="Y909" s="49"/>
    </row>
    <row r="910" ht="15.75" customHeight="1">
      <c r="A910" s="38"/>
      <c r="B910" s="49"/>
      <c r="C910" s="15"/>
      <c r="D910" s="663"/>
      <c r="E910" s="664"/>
      <c r="F910" s="665"/>
      <c r="G910" s="539"/>
      <c r="H910" s="373"/>
      <c r="I910" s="665"/>
      <c r="J910" s="666"/>
      <c r="K910" s="665"/>
      <c r="L910" s="667"/>
      <c r="M910" s="668"/>
      <c r="N910" s="373"/>
      <c r="O910" s="373"/>
      <c r="P910" s="670"/>
      <c r="Q910" s="665"/>
      <c r="R910" s="665"/>
      <c r="S910" s="539"/>
      <c r="T910" s="665"/>
      <c r="U910" s="49"/>
      <c r="V910" s="49"/>
      <c r="W910" s="49"/>
      <c r="X910" s="49"/>
      <c r="Y910" s="49"/>
    </row>
    <row r="911" ht="15.75" customHeight="1">
      <c r="A911" s="38"/>
      <c r="B911" s="49"/>
      <c r="C911" s="15"/>
      <c r="D911" s="663"/>
      <c r="E911" s="664"/>
      <c r="F911" s="665"/>
      <c r="G911" s="539"/>
      <c r="H911" s="373"/>
      <c r="I911" s="665"/>
      <c r="J911" s="666"/>
      <c r="K911" s="665"/>
      <c r="L911" s="667"/>
      <c r="M911" s="668"/>
      <c r="N911" s="373"/>
      <c r="O911" s="373"/>
      <c r="P911" s="670"/>
      <c r="Q911" s="665"/>
      <c r="R911" s="665"/>
      <c r="S911" s="539"/>
      <c r="T911" s="665"/>
      <c r="U911" s="49"/>
      <c r="V911" s="49"/>
      <c r="W911" s="49"/>
      <c r="X911" s="49"/>
      <c r="Y911" s="49"/>
    </row>
    <row r="912" ht="15.75" customHeight="1">
      <c r="A912" s="38"/>
      <c r="B912" s="49"/>
      <c r="C912" s="15"/>
      <c r="D912" s="663"/>
      <c r="E912" s="664"/>
      <c r="F912" s="665"/>
      <c r="G912" s="539"/>
      <c r="H912" s="373"/>
      <c r="I912" s="665"/>
      <c r="J912" s="666"/>
      <c r="K912" s="665"/>
      <c r="L912" s="667"/>
      <c r="M912" s="668"/>
      <c r="N912" s="373"/>
      <c r="O912" s="373"/>
      <c r="P912" s="670"/>
      <c r="Q912" s="665"/>
      <c r="R912" s="665"/>
      <c r="S912" s="539"/>
      <c r="T912" s="665"/>
      <c r="U912" s="49"/>
      <c r="V912" s="49"/>
      <c r="W912" s="49"/>
      <c r="X912" s="49"/>
      <c r="Y912" s="49"/>
    </row>
    <row r="913" ht="15.75" customHeight="1">
      <c r="A913" s="38"/>
      <c r="B913" s="49"/>
      <c r="C913" s="15"/>
      <c r="D913" s="663"/>
      <c r="E913" s="664"/>
      <c r="F913" s="665"/>
      <c r="G913" s="539"/>
      <c r="H913" s="373"/>
      <c r="I913" s="665"/>
      <c r="J913" s="666"/>
      <c r="K913" s="665"/>
      <c r="L913" s="667"/>
      <c r="M913" s="668"/>
      <c r="N913" s="373"/>
      <c r="O913" s="373"/>
      <c r="P913" s="670"/>
      <c r="Q913" s="665"/>
      <c r="R913" s="665"/>
      <c r="S913" s="539"/>
      <c r="T913" s="665"/>
      <c r="U913" s="49"/>
      <c r="V913" s="49"/>
      <c r="W913" s="49"/>
      <c r="X913" s="49"/>
      <c r="Y913" s="49"/>
    </row>
    <row r="914" ht="15.75" customHeight="1">
      <c r="A914" s="38"/>
      <c r="B914" s="49"/>
      <c r="C914" s="15"/>
      <c r="D914" s="663"/>
      <c r="E914" s="664"/>
      <c r="F914" s="665"/>
      <c r="G914" s="539"/>
      <c r="H914" s="373"/>
      <c r="I914" s="665"/>
      <c r="J914" s="666"/>
      <c r="K914" s="665"/>
      <c r="L914" s="667"/>
      <c r="M914" s="668"/>
      <c r="N914" s="373"/>
      <c r="O914" s="373"/>
      <c r="P914" s="670"/>
      <c r="Q914" s="665"/>
      <c r="R914" s="665"/>
      <c r="S914" s="539"/>
      <c r="T914" s="665"/>
      <c r="U914" s="49"/>
      <c r="V914" s="49"/>
      <c r="W914" s="49"/>
      <c r="X914" s="49"/>
      <c r="Y914" s="49"/>
    </row>
    <row r="915" ht="15.75" customHeight="1">
      <c r="A915" s="38"/>
      <c r="B915" s="49"/>
      <c r="C915" s="15"/>
      <c r="D915" s="663"/>
      <c r="E915" s="664"/>
      <c r="F915" s="665"/>
      <c r="G915" s="539"/>
      <c r="H915" s="373"/>
      <c r="I915" s="665"/>
      <c r="J915" s="666"/>
      <c r="K915" s="665"/>
      <c r="L915" s="667"/>
      <c r="M915" s="668"/>
      <c r="N915" s="373"/>
      <c r="O915" s="373"/>
      <c r="P915" s="670"/>
      <c r="Q915" s="665"/>
      <c r="R915" s="665"/>
      <c r="S915" s="539"/>
      <c r="T915" s="665"/>
      <c r="U915" s="49"/>
      <c r="V915" s="49"/>
      <c r="W915" s="49"/>
      <c r="X915" s="49"/>
      <c r="Y915" s="49"/>
    </row>
    <row r="916" ht="15.75" customHeight="1">
      <c r="A916" s="38"/>
      <c r="B916" s="49"/>
      <c r="C916" s="15"/>
      <c r="D916" s="663"/>
      <c r="E916" s="664"/>
      <c r="F916" s="665"/>
      <c r="G916" s="539"/>
      <c r="H916" s="373"/>
      <c r="I916" s="665"/>
      <c r="J916" s="666"/>
      <c r="K916" s="665"/>
      <c r="L916" s="667"/>
      <c r="M916" s="668"/>
      <c r="N916" s="373"/>
      <c r="O916" s="373"/>
      <c r="P916" s="670"/>
      <c r="Q916" s="665"/>
      <c r="R916" s="665"/>
      <c r="S916" s="539"/>
      <c r="T916" s="665"/>
      <c r="U916" s="49"/>
      <c r="V916" s="49"/>
      <c r="W916" s="49"/>
      <c r="X916" s="49"/>
      <c r="Y916" s="49"/>
    </row>
    <row r="917" ht="15.75" customHeight="1">
      <c r="A917" s="38"/>
      <c r="B917" s="49"/>
      <c r="C917" s="15"/>
      <c r="D917" s="663"/>
      <c r="E917" s="664"/>
      <c r="F917" s="665"/>
      <c r="G917" s="539"/>
      <c r="H917" s="373"/>
      <c r="I917" s="665"/>
      <c r="J917" s="666"/>
      <c r="K917" s="665"/>
      <c r="L917" s="667"/>
      <c r="M917" s="668"/>
      <c r="N917" s="373"/>
      <c r="O917" s="373"/>
      <c r="P917" s="670"/>
      <c r="Q917" s="665"/>
      <c r="R917" s="665"/>
      <c r="S917" s="539"/>
      <c r="T917" s="665"/>
      <c r="U917" s="49"/>
      <c r="V917" s="49"/>
      <c r="W917" s="49"/>
      <c r="X917" s="49"/>
      <c r="Y917" s="49"/>
    </row>
    <row r="918" ht="15.75" customHeight="1">
      <c r="A918" s="38"/>
      <c r="B918" s="49"/>
      <c r="C918" s="15"/>
      <c r="D918" s="663"/>
      <c r="E918" s="664"/>
      <c r="F918" s="665"/>
      <c r="G918" s="539"/>
      <c r="H918" s="373"/>
      <c r="I918" s="665"/>
      <c r="J918" s="666"/>
      <c r="K918" s="665"/>
      <c r="L918" s="667"/>
      <c r="M918" s="668"/>
      <c r="N918" s="373"/>
      <c r="O918" s="373"/>
      <c r="P918" s="670"/>
      <c r="Q918" s="665"/>
      <c r="R918" s="665"/>
      <c r="S918" s="539"/>
      <c r="T918" s="665"/>
      <c r="U918" s="49"/>
      <c r="V918" s="49"/>
      <c r="W918" s="49"/>
      <c r="X918" s="49"/>
      <c r="Y918" s="49"/>
    </row>
    <row r="919" ht="15.75" customHeight="1">
      <c r="A919" s="38"/>
      <c r="B919" s="49"/>
      <c r="C919" s="15"/>
      <c r="D919" s="663"/>
      <c r="E919" s="664"/>
      <c r="F919" s="665"/>
      <c r="G919" s="539"/>
      <c r="H919" s="373"/>
      <c r="I919" s="665"/>
      <c r="J919" s="666"/>
      <c r="K919" s="665"/>
      <c r="L919" s="667"/>
      <c r="M919" s="668"/>
      <c r="N919" s="373"/>
      <c r="O919" s="373"/>
      <c r="P919" s="670"/>
      <c r="Q919" s="665"/>
      <c r="R919" s="665"/>
      <c r="S919" s="539"/>
      <c r="T919" s="665"/>
      <c r="U919" s="49"/>
      <c r="V919" s="49"/>
      <c r="W919" s="49"/>
      <c r="X919" s="49"/>
      <c r="Y919" s="49"/>
    </row>
    <row r="920" ht="15.75" customHeight="1">
      <c r="A920" s="38"/>
      <c r="B920" s="49"/>
      <c r="C920" s="15"/>
      <c r="D920" s="663"/>
      <c r="E920" s="664"/>
      <c r="F920" s="665"/>
      <c r="G920" s="539"/>
      <c r="H920" s="373"/>
      <c r="I920" s="665"/>
      <c r="J920" s="666"/>
      <c r="K920" s="665"/>
      <c r="L920" s="667"/>
      <c r="M920" s="668"/>
      <c r="N920" s="373"/>
      <c r="O920" s="373"/>
      <c r="P920" s="670"/>
      <c r="Q920" s="665"/>
      <c r="R920" s="665"/>
      <c r="S920" s="539"/>
      <c r="T920" s="665"/>
      <c r="U920" s="49"/>
      <c r="V920" s="49"/>
      <c r="W920" s="49"/>
      <c r="X920" s="49"/>
      <c r="Y920" s="49"/>
    </row>
    <row r="921" ht="15.75" customHeight="1">
      <c r="A921" s="38"/>
      <c r="B921" s="49"/>
      <c r="C921" s="15"/>
      <c r="D921" s="663"/>
      <c r="E921" s="664"/>
      <c r="F921" s="665"/>
      <c r="G921" s="539"/>
      <c r="H921" s="373"/>
      <c r="I921" s="665"/>
      <c r="J921" s="666"/>
      <c r="K921" s="665"/>
      <c r="L921" s="667"/>
      <c r="M921" s="668"/>
      <c r="N921" s="373"/>
      <c r="O921" s="373"/>
      <c r="P921" s="670"/>
      <c r="Q921" s="665"/>
      <c r="R921" s="665"/>
      <c r="S921" s="539"/>
      <c r="T921" s="665"/>
      <c r="U921" s="49"/>
      <c r="V921" s="49"/>
      <c r="W921" s="49"/>
      <c r="X921" s="49"/>
      <c r="Y921" s="49"/>
    </row>
    <row r="922" ht="15.75" customHeight="1">
      <c r="A922" s="38"/>
      <c r="B922" s="49"/>
      <c r="C922" s="15"/>
      <c r="D922" s="663"/>
      <c r="E922" s="664"/>
      <c r="F922" s="665"/>
      <c r="G922" s="539"/>
      <c r="H922" s="373"/>
      <c r="I922" s="665"/>
      <c r="J922" s="666"/>
      <c r="K922" s="665"/>
      <c r="L922" s="667"/>
      <c r="M922" s="668"/>
      <c r="N922" s="373"/>
      <c r="O922" s="373"/>
      <c r="P922" s="670"/>
      <c r="Q922" s="665"/>
      <c r="R922" s="665"/>
      <c r="S922" s="539"/>
      <c r="T922" s="665"/>
      <c r="U922" s="49"/>
      <c r="V922" s="49"/>
      <c r="W922" s="49"/>
      <c r="X922" s="49"/>
      <c r="Y922" s="49"/>
    </row>
    <row r="923" ht="15.75" customHeight="1">
      <c r="A923" s="38"/>
      <c r="B923" s="49"/>
      <c r="C923" s="15"/>
      <c r="D923" s="663"/>
      <c r="E923" s="664"/>
      <c r="F923" s="665"/>
      <c r="G923" s="539"/>
      <c r="H923" s="373"/>
      <c r="I923" s="665"/>
      <c r="J923" s="666"/>
      <c r="K923" s="665"/>
      <c r="L923" s="667"/>
      <c r="M923" s="668"/>
      <c r="N923" s="373"/>
      <c r="O923" s="373"/>
      <c r="P923" s="670"/>
      <c r="Q923" s="665"/>
      <c r="R923" s="665"/>
      <c r="S923" s="539"/>
      <c r="T923" s="665"/>
      <c r="U923" s="49"/>
      <c r="V923" s="49"/>
      <c r="W923" s="49"/>
      <c r="X923" s="49"/>
      <c r="Y923" s="49"/>
    </row>
    <row r="924" ht="15.75" customHeight="1">
      <c r="A924" s="38"/>
      <c r="B924" s="49"/>
      <c r="C924" s="15"/>
      <c r="D924" s="663"/>
      <c r="E924" s="664"/>
      <c r="F924" s="665"/>
      <c r="G924" s="539"/>
      <c r="H924" s="373"/>
      <c r="I924" s="665"/>
      <c r="J924" s="666"/>
      <c r="K924" s="665"/>
      <c r="L924" s="667"/>
      <c r="M924" s="668"/>
      <c r="N924" s="373"/>
      <c r="O924" s="373"/>
      <c r="P924" s="670"/>
      <c r="Q924" s="665"/>
      <c r="R924" s="665"/>
      <c r="S924" s="539"/>
      <c r="T924" s="665"/>
      <c r="U924" s="49"/>
      <c r="V924" s="49"/>
      <c r="W924" s="49"/>
      <c r="X924" s="49"/>
      <c r="Y924" s="49"/>
    </row>
    <row r="925" ht="15.75" customHeight="1">
      <c r="A925" s="38"/>
      <c r="B925" s="49"/>
      <c r="C925" s="15"/>
      <c r="D925" s="663"/>
      <c r="E925" s="664"/>
      <c r="F925" s="665"/>
      <c r="G925" s="539"/>
      <c r="H925" s="373"/>
      <c r="I925" s="665"/>
      <c r="J925" s="666"/>
      <c r="K925" s="665"/>
      <c r="L925" s="667"/>
      <c r="M925" s="668"/>
      <c r="N925" s="373"/>
      <c r="O925" s="373"/>
      <c r="P925" s="670"/>
      <c r="Q925" s="665"/>
      <c r="R925" s="665"/>
      <c r="S925" s="539"/>
      <c r="T925" s="665"/>
      <c r="U925" s="49"/>
      <c r="V925" s="49"/>
      <c r="W925" s="49"/>
      <c r="X925" s="49"/>
      <c r="Y925" s="49"/>
    </row>
    <row r="926" ht="15.75" customHeight="1">
      <c r="A926" s="38"/>
      <c r="B926" s="49"/>
      <c r="C926" s="15"/>
      <c r="D926" s="663"/>
      <c r="E926" s="664"/>
      <c r="F926" s="665"/>
      <c r="G926" s="539"/>
      <c r="H926" s="373"/>
      <c r="I926" s="665"/>
      <c r="J926" s="666"/>
      <c r="K926" s="665"/>
      <c r="L926" s="667"/>
      <c r="M926" s="668"/>
      <c r="N926" s="373"/>
      <c r="O926" s="373"/>
      <c r="P926" s="670"/>
      <c r="Q926" s="665"/>
      <c r="R926" s="665"/>
      <c r="S926" s="539"/>
      <c r="T926" s="665"/>
      <c r="U926" s="49"/>
      <c r="V926" s="49"/>
      <c r="W926" s="49"/>
      <c r="X926" s="49"/>
      <c r="Y926" s="49"/>
    </row>
    <row r="927" ht="15.75" customHeight="1">
      <c r="A927" s="38"/>
      <c r="B927" s="49"/>
      <c r="C927" s="15"/>
      <c r="D927" s="663"/>
      <c r="E927" s="664"/>
      <c r="F927" s="665"/>
      <c r="G927" s="539"/>
      <c r="H927" s="373"/>
      <c r="I927" s="665"/>
      <c r="J927" s="666"/>
      <c r="K927" s="665"/>
      <c r="L927" s="667"/>
      <c r="M927" s="668"/>
      <c r="N927" s="373"/>
      <c r="O927" s="373"/>
      <c r="P927" s="670"/>
      <c r="Q927" s="665"/>
      <c r="R927" s="665"/>
      <c r="S927" s="539"/>
      <c r="T927" s="665"/>
      <c r="U927" s="49"/>
      <c r="V927" s="49"/>
      <c r="W927" s="49"/>
      <c r="X927" s="49"/>
      <c r="Y927" s="49"/>
    </row>
    <row r="928" ht="15.75" customHeight="1">
      <c r="A928" s="38"/>
      <c r="B928" s="49"/>
      <c r="C928" s="15"/>
      <c r="D928" s="663"/>
      <c r="E928" s="664"/>
      <c r="F928" s="665"/>
      <c r="G928" s="539"/>
      <c r="H928" s="373"/>
      <c r="I928" s="665"/>
      <c r="J928" s="666"/>
      <c r="K928" s="665"/>
      <c r="L928" s="667"/>
      <c r="M928" s="668"/>
      <c r="N928" s="373"/>
      <c r="O928" s="373"/>
      <c r="P928" s="670"/>
      <c r="Q928" s="665"/>
      <c r="R928" s="665"/>
      <c r="S928" s="539"/>
      <c r="T928" s="665"/>
      <c r="U928" s="49"/>
      <c r="V928" s="49"/>
      <c r="W928" s="49"/>
      <c r="X928" s="49"/>
      <c r="Y928" s="49"/>
    </row>
    <row r="929" ht="15.75" customHeight="1">
      <c r="A929" s="38"/>
      <c r="B929" s="49"/>
      <c r="C929" s="15"/>
      <c r="D929" s="663"/>
      <c r="E929" s="664"/>
      <c r="F929" s="665"/>
      <c r="G929" s="539"/>
      <c r="H929" s="373"/>
      <c r="I929" s="665"/>
      <c r="J929" s="666"/>
      <c r="K929" s="665"/>
      <c r="L929" s="667"/>
      <c r="M929" s="668"/>
      <c r="N929" s="373"/>
      <c r="O929" s="373"/>
      <c r="P929" s="670"/>
      <c r="Q929" s="665"/>
      <c r="R929" s="665"/>
      <c r="S929" s="539"/>
      <c r="T929" s="665"/>
      <c r="U929" s="49"/>
      <c r="V929" s="49"/>
      <c r="W929" s="49"/>
      <c r="X929" s="49"/>
      <c r="Y929" s="49"/>
    </row>
    <row r="930" ht="15.75" customHeight="1">
      <c r="A930" s="38"/>
      <c r="B930" s="49"/>
      <c r="C930" s="15"/>
      <c r="D930" s="663"/>
      <c r="E930" s="664"/>
      <c r="F930" s="665"/>
      <c r="G930" s="539"/>
      <c r="H930" s="373"/>
      <c r="I930" s="665"/>
      <c r="J930" s="666"/>
      <c r="K930" s="665"/>
      <c r="L930" s="667"/>
      <c r="M930" s="668"/>
      <c r="N930" s="373"/>
      <c r="O930" s="373"/>
      <c r="P930" s="670"/>
      <c r="Q930" s="665"/>
      <c r="R930" s="665"/>
      <c r="S930" s="539"/>
      <c r="T930" s="665"/>
      <c r="U930" s="49"/>
      <c r="V930" s="49"/>
      <c r="W930" s="49"/>
      <c r="X930" s="49"/>
      <c r="Y930" s="49"/>
    </row>
    <row r="931" ht="15.75" customHeight="1">
      <c r="A931" s="38"/>
      <c r="B931" s="49"/>
      <c r="C931" s="15"/>
      <c r="D931" s="663"/>
      <c r="E931" s="664"/>
      <c r="F931" s="665"/>
      <c r="G931" s="539"/>
      <c r="H931" s="373"/>
      <c r="I931" s="665"/>
      <c r="J931" s="666"/>
      <c r="K931" s="665"/>
      <c r="L931" s="667"/>
      <c r="M931" s="668"/>
      <c r="N931" s="373"/>
      <c r="O931" s="373"/>
      <c r="P931" s="670"/>
      <c r="Q931" s="665"/>
      <c r="R931" s="665"/>
      <c r="S931" s="539"/>
      <c r="T931" s="665"/>
      <c r="U931" s="49"/>
      <c r="V931" s="49"/>
      <c r="W931" s="49"/>
      <c r="X931" s="49"/>
      <c r="Y931" s="49"/>
    </row>
    <row r="932" ht="15.75" customHeight="1">
      <c r="A932" s="38"/>
      <c r="B932" s="49"/>
      <c r="C932" s="15"/>
      <c r="D932" s="663"/>
      <c r="E932" s="664"/>
      <c r="F932" s="665"/>
      <c r="G932" s="539"/>
      <c r="H932" s="373"/>
      <c r="I932" s="665"/>
      <c r="J932" s="666"/>
      <c r="K932" s="665"/>
      <c r="L932" s="667"/>
      <c r="M932" s="668"/>
      <c r="N932" s="373"/>
      <c r="O932" s="373"/>
      <c r="P932" s="670"/>
      <c r="Q932" s="665"/>
      <c r="R932" s="665"/>
      <c r="S932" s="539"/>
      <c r="T932" s="665"/>
      <c r="U932" s="49"/>
      <c r="V932" s="49"/>
      <c r="W932" s="49"/>
      <c r="X932" s="49"/>
      <c r="Y932" s="49"/>
    </row>
    <row r="933" ht="15.75" customHeight="1">
      <c r="A933" s="38"/>
      <c r="B933" s="49"/>
      <c r="C933" s="15"/>
      <c r="D933" s="663"/>
      <c r="E933" s="664"/>
      <c r="F933" s="665"/>
      <c r="G933" s="539"/>
      <c r="H933" s="373"/>
      <c r="I933" s="665"/>
      <c r="J933" s="666"/>
      <c r="K933" s="665"/>
      <c r="L933" s="667"/>
      <c r="M933" s="668"/>
      <c r="N933" s="373"/>
      <c r="O933" s="373"/>
      <c r="P933" s="670"/>
      <c r="Q933" s="665"/>
      <c r="R933" s="665"/>
      <c r="S933" s="539"/>
      <c r="T933" s="665"/>
      <c r="U933" s="49"/>
      <c r="V933" s="49"/>
      <c r="W933" s="49"/>
      <c r="X933" s="49"/>
      <c r="Y933" s="49"/>
    </row>
    <row r="934" ht="15.75" customHeight="1">
      <c r="A934" s="38"/>
      <c r="B934" s="49"/>
      <c r="C934" s="15"/>
      <c r="D934" s="663"/>
      <c r="E934" s="664"/>
      <c r="F934" s="665"/>
      <c r="G934" s="539"/>
      <c r="H934" s="373"/>
      <c r="I934" s="665"/>
      <c r="J934" s="666"/>
      <c r="K934" s="665"/>
      <c r="L934" s="667"/>
      <c r="M934" s="668"/>
      <c r="N934" s="373"/>
      <c r="O934" s="373"/>
      <c r="P934" s="670"/>
      <c r="Q934" s="665"/>
      <c r="R934" s="665"/>
      <c r="S934" s="539"/>
      <c r="T934" s="665"/>
      <c r="U934" s="49"/>
      <c r="V934" s="49"/>
      <c r="W934" s="49"/>
      <c r="X934" s="49"/>
      <c r="Y934" s="49"/>
    </row>
    <row r="935" ht="15.75" customHeight="1">
      <c r="A935" s="38"/>
      <c r="B935" s="49"/>
      <c r="C935" s="15"/>
      <c r="D935" s="663"/>
      <c r="E935" s="664"/>
      <c r="F935" s="665"/>
      <c r="G935" s="539"/>
      <c r="H935" s="373"/>
      <c r="I935" s="665"/>
      <c r="J935" s="666"/>
      <c r="K935" s="665"/>
      <c r="L935" s="667"/>
      <c r="M935" s="668"/>
      <c r="N935" s="373"/>
      <c r="O935" s="373"/>
      <c r="P935" s="670"/>
      <c r="Q935" s="665"/>
      <c r="R935" s="665"/>
      <c r="S935" s="539"/>
      <c r="T935" s="665"/>
      <c r="U935" s="49"/>
      <c r="V935" s="49"/>
      <c r="W935" s="49"/>
      <c r="X935" s="49"/>
      <c r="Y935" s="49"/>
    </row>
    <row r="936" ht="15.75" customHeight="1">
      <c r="A936" s="38"/>
      <c r="B936" s="49"/>
      <c r="C936" s="15"/>
      <c r="D936" s="663"/>
      <c r="E936" s="664"/>
      <c r="F936" s="665"/>
      <c r="G936" s="539"/>
      <c r="H936" s="373"/>
      <c r="I936" s="665"/>
      <c r="J936" s="666"/>
      <c r="K936" s="665"/>
      <c r="L936" s="667"/>
      <c r="M936" s="668"/>
      <c r="N936" s="373"/>
      <c r="O936" s="373"/>
      <c r="P936" s="670"/>
      <c r="Q936" s="665"/>
      <c r="R936" s="665"/>
      <c r="S936" s="539"/>
      <c r="T936" s="665"/>
      <c r="U936" s="49"/>
      <c r="V936" s="49"/>
      <c r="W936" s="49"/>
      <c r="X936" s="49"/>
      <c r="Y936" s="49"/>
    </row>
    <row r="937" ht="15.75" customHeight="1">
      <c r="A937" s="38"/>
      <c r="B937" s="49"/>
      <c r="C937" s="15"/>
      <c r="D937" s="663"/>
      <c r="E937" s="664"/>
      <c r="F937" s="665"/>
      <c r="G937" s="539"/>
      <c r="H937" s="373"/>
      <c r="I937" s="665"/>
      <c r="J937" s="666"/>
      <c r="K937" s="665"/>
      <c r="L937" s="667"/>
      <c r="M937" s="668"/>
      <c r="N937" s="373"/>
      <c r="O937" s="373"/>
      <c r="P937" s="670"/>
      <c r="Q937" s="665"/>
      <c r="R937" s="665"/>
      <c r="S937" s="539"/>
      <c r="T937" s="665"/>
      <c r="U937" s="49"/>
      <c r="V937" s="49"/>
      <c r="W937" s="49"/>
      <c r="X937" s="49"/>
      <c r="Y937" s="49"/>
    </row>
    <row r="938" ht="15.75" customHeight="1">
      <c r="A938" s="38"/>
      <c r="B938" s="49"/>
      <c r="C938" s="15"/>
      <c r="D938" s="663"/>
      <c r="E938" s="664"/>
      <c r="F938" s="665"/>
      <c r="G938" s="539"/>
      <c r="H938" s="373"/>
      <c r="I938" s="665"/>
      <c r="J938" s="666"/>
      <c r="K938" s="665"/>
      <c r="L938" s="667"/>
      <c r="M938" s="668"/>
      <c r="N938" s="373"/>
      <c r="O938" s="373"/>
      <c r="P938" s="670"/>
      <c r="Q938" s="665"/>
      <c r="R938" s="665"/>
      <c r="S938" s="539"/>
      <c r="T938" s="665"/>
      <c r="U938" s="49"/>
      <c r="V938" s="49"/>
      <c r="W938" s="49"/>
      <c r="X938" s="49"/>
      <c r="Y938" s="49"/>
    </row>
    <row r="939" ht="15.75" customHeight="1">
      <c r="A939" s="38"/>
      <c r="B939" s="49"/>
      <c r="C939" s="15"/>
      <c r="D939" s="663"/>
      <c r="E939" s="664"/>
      <c r="F939" s="665"/>
      <c r="G939" s="539"/>
      <c r="H939" s="373"/>
      <c r="I939" s="665"/>
      <c r="J939" s="666"/>
      <c r="K939" s="665"/>
      <c r="L939" s="667"/>
      <c r="M939" s="668"/>
      <c r="N939" s="373"/>
      <c r="O939" s="373"/>
      <c r="P939" s="670"/>
      <c r="Q939" s="665"/>
      <c r="R939" s="665"/>
      <c r="S939" s="539"/>
      <c r="T939" s="665"/>
      <c r="U939" s="49"/>
      <c r="V939" s="49"/>
      <c r="W939" s="49"/>
      <c r="X939" s="49"/>
      <c r="Y939" s="49"/>
    </row>
    <row r="940" ht="15.75" customHeight="1">
      <c r="A940" s="38"/>
      <c r="B940" s="49"/>
      <c r="C940" s="15"/>
      <c r="D940" s="663"/>
      <c r="E940" s="664"/>
      <c r="F940" s="665"/>
      <c r="G940" s="539"/>
      <c r="H940" s="373"/>
      <c r="I940" s="665"/>
      <c r="J940" s="666"/>
      <c r="K940" s="665"/>
      <c r="L940" s="667"/>
      <c r="M940" s="668"/>
      <c r="N940" s="373"/>
      <c r="O940" s="373"/>
      <c r="P940" s="670"/>
      <c r="Q940" s="665"/>
      <c r="R940" s="665"/>
      <c r="S940" s="539"/>
      <c r="T940" s="665"/>
      <c r="U940" s="49"/>
      <c r="V940" s="49"/>
      <c r="W940" s="49"/>
      <c r="X940" s="49"/>
      <c r="Y940" s="49"/>
    </row>
    <row r="941" ht="15.75" customHeight="1">
      <c r="A941" s="38"/>
      <c r="B941" s="49"/>
      <c r="C941" s="15"/>
      <c r="D941" s="663"/>
      <c r="E941" s="664"/>
      <c r="F941" s="665"/>
      <c r="G941" s="539"/>
      <c r="H941" s="373"/>
      <c r="I941" s="665"/>
      <c r="J941" s="666"/>
      <c r="K941" s="665"/>
      <c r="L941" s="667"/>
      <c r="M941" s="668"/>
      <c r="N941" s="373"/>
      <c r="O941" s="373"/>
      <c r="P941" s="670"/>
      <c r="Q941" s="665"/>
      <c r="R941" s="665"/>
      <c r="S941" s="539"/>
      <c r="T941" s="665"/>
      <c r="U941" s="49"/>
      <c r="V941" s="49"/>
      <c r="W941" s="49"/>
      <c r="X941" s="49"/>
      <c r="Y941" s="49"/>
    </row>
    <row r="942" ht="15.75" customHeight="1">
      <c r="A942" s="38"/>
      <c r="B942" s="49"/>
      <c r="C942" s="15"/>
      <c r="D942" s="663"/>
      <c r="E942" s="664"/>
      <c r="F942" s="665"/>
      <c r="G942" s="539"/>
      <c r="H942" s="373"/>
      <c r="I942" s="665"/>
      <c r="J942" s="666"/>
      <c r="K942" s="665"/>
      <c r="L942" s="667"/>
      <c r="M942" s="668"/>
      <c r="N942" s="373"/>
      <c r="O942" s="373"/>
      <c r="P942" s="670"/>
      <c r="Q942" s="665"/>
      <c r="R942" s="665"/>
      <c r="S942" s="539"/>
      <c r="T942" s="665"/>
      <c r="U942" s="49"/>
      <c r="V942" s="49"/>
      <c r="W942" s="49"/>
      <c r="X942" s="49"/>
      <c r="Y942" s="49"/>
    </row>
    <row r="943" ht="15.75" customHeight="1">
      <c r="A943" s="38"/>
      <c r="B943" s="49"/>
      <c r="C943" s="15"/>
      <c r="D943" s="663"/>
      <c r="E943" s="664"/>
      <c r="F943" s="665"/>
      <c r="G943" s="539"/>
      <c r="H943" s="373"/>
      <c r="I943" s="665"/>
      <c r="J943" s="666"/>
      <c r="K943" s="665"/>
      <c r="L943" s="667"/>
      <c r="M943" s="668"/>
      <c r="N943" s="373"/>
      <c r="O943" s="373"/>
      <c r="P943" s="670"/>
      <c r="Q943" s="665"/>
      <c r="R943" s="665"/>
      <c r="S943" s="539"/>
      <c r="T943" s="665"/>
      <c r="U943" s="49"/>
      <c r="V943" s="49"/>
      <c r="W943" s="49"/>
      <c r="X943" s="49"/>
      <c r="Y943" s="49"/>
    </row>
    <row r="944" ht="15.75" customHeight="1">
      <c r="A944" s="38"/>
      <c r="B944" s="49"/>
      <c r="C944" s="15"/>
      <c r="D944" s="663"/>
      <c r="E944" s="664"/>
      <c r="F944" s="665"/>
      <c r="G944" s="539"/>
      <c r="H944" s="373"/>
      <c r="I944" s="665"/>
      <c r="J944" s="666"/>
      <c r="K944" s="665"/>
      <c r="L944" s="667"/>
      <c r="M944" s="668"/>
      <c r="N944" s="373"/>
      <c r="O944" s="373"/>
      <c r="P944" s="670"/>
      <c r="Q944" s="665"/>
      <c r="R944" s="665"/>
      <c r="S944" s="539"/>
      <c r="T944" s="665"/>
      <c r="U944" s="49"/>
      <c r="V944" s="49"/>
      <c r="W944" s="49"/>
      <c r="X944" s="49"/>
      <c r="Y944" s="49"/>
    </row>
    <row r="945" ht="15.75" customHeight="1">
      <c r="A945" s="38"/>
      <c r="B945" s="49"/>
      <c r="C945" s="15"/>
      <c r="D945" s="663"/>
      <c r="E945" s="664"/>
      <c r="F945" s="665"/>
      <c r="G945" s="539"/>
      <c r="H945" s="373"/>
      <c r="I945" s="665"/>
      <c r="J945" s="666"/>
      <c r="K945" s="665"/>
      <c r="L945" s="667"/>
      <c r="M945" s="668"/>
      <c r="N945" s="373"/>
      <c r="O945" s="373"/>
      <c r="P945" s="670"/>
      <c r="Q945" s="665"/>
      <c r="R945" s="665"/>
      <c r="S945" s="539"/>
      <c r="T945" s="665"/>
      <c r="U945" s="49"/>
      <c r="V945" s="49"/>
      <c r="W945" s="49"/>
      <c r="X945" s="49"/>
      <c r="Y945" s="49"/>
    </row>
    <row r="946" ht="15.75" customHeight="1">
      <c r="A946" s="38"/>
      <c r="B946" s="49"/>
      <c r="C946" s="15"/>
      <c r="D946" s="663"/>
      <c r="E946" s="664"/>
      <c r="F946" s="665"/>
      <c r="G946" s="539"/>
      <c r="H946" s="373"/>
      <c r="I946" s="665"/>
      <c r="J946" s="666"/>
      <c r="K946" s="665"/>
      <c r="L946" s="667"/>
      <c r="M946" s="668"/>
      <c r="N946" s="373"/>
      <c r="O946" s="373"/>
      <c r="P946" s="670"/>
      <c r="Q946" s="665"/>
      <c r="R946" s="665"/>
      <c r="S946" s="539"/>
      <c r="T946" s="665"/>
      <c r="U946" s="49"/>
      <c r="V946" s="49"/>
      <c r="W946" s="49"/>
      <c r="X946" s="49"/>
      <c r="Y946" s="49"/>
    </row>
    <row r="947" ht="15.75" customHeight="1">
      <c r="A947" s="38"/>
      <c r="B947" s="49"/>
      <c r="C947" s="15"/>
      <c r="D947" s="663"/>
      <c r="E947" s="664"/>
      <c r="F947" s="665"/>
      <c r="G947" s="539"/>
      <c r="H947" s="373"/>
      <c r="I947" s="665"/>
      <c r="J947" s="666"/>
      <c r="K947" s="665"/>
      <c r="L947" s="667"/>
      <c r="M947" s="668"/>
      <c r="N947" s="373"/>
      <c r="O947" s="373"/>
      <c r="P947" s="670"/>
      <c r="Q947" s="665"/>
      <c r="R947" s="665"/>
      <c r="S947" s="539"/>
      <c r="T947" s="665"/>
      <c r="U947" s="49"/>
      <c r="V947" s="49"/>
      <c r="W947" s="49"/>
      <c r="X947" s="49"/>
      <c r="Y947" s="49"/>
    </row>
    <row r="948" ht="15.75" customHeight="1">
      <c r="A948" s="38"/>
      <c r="B948" s="49"/>
      <c r="C948" s="15"/>
      <c r="D948" s="663"/>
      <c r="E948" s="664"/>
      <c r="F948" s="665"/>
      <c r="G948" s="539"/>
      <c r="H948" s="373"/>
      <c r="I948" s="665"/>
      <c r="J948" s="666"/>
      <c r="K948" s="665"/>
      <c r="L948" s="667"/>
      <c r="M948" s="668"/>
      <c r="N948" s="373"/>
      <c r="O948" s="373"/>
      <c r="P948" s="670"/>
      <c r="Q948" s="665"/>
      <c r="R948" s="665"/>
      <c r="S948" s="539"/>
      <c r="T948" s="665"/>
      <c r="U948" s="49"/>
      <c r="V948" s="49"/>
      <c r="W948" s="49"/>
      <c r="X948" s="49"/>
      <c r="Y948" s="49"/>
    </row>
    <row r="949" ht="15.75" customHeight="1">
      <c r="A949" s="38"/>
      <c r="B949" s="49"/>
      <c r="C949" s="15"/>
      <c r="D949" s="663"/>
      <c r="E949" s="664"/>
      <c r="F949" s="665"/>
      <c r="G949" s="539"/>
      <c r="H949" s="373"/>
      <c r="I949" s="665"/>
      <c r="J949" s="666"/>
      <c r="K949" s="665"/>
      <c r="L949" s="667"/>
      <c r="M949" s="668"/>
      <c r="N949" s="373"/>
      <c r="O949" s="373"/>
      <c r="P949" s="670"/>
      <c r="Q949" s="665"/>
      <c r="R949" s="665"/>
      <c r="S949" s="539"/>
      <c r="T949" s="665"/>
      <c r="U949" s="49"/>
      <c r="V949" s="49"/>
      <c r="W949" s="49"/>
      <c r="X949" s="49"/>
      <c r="Y949" s="49"/>
    </row>
    <row r="950" ht="15.75" customHeight="1">
      <c r="A950" s="38"/>
      <c r="B950" s="49"/>
      <c r="C950" s="15"/>
      <c r="D950" s="663"/>
      <c r="E950" s="664"/>
      <c r="F950" s="665"/>
      <c r="G950" s="539"/>
      <c r="H950" s="373"/>
      <c r="I950" s="665"/>
      <c r="J950" s="666"/>
      <c r="K950" s="665"/>
      <c r="L950" s="667"/>
      <c r="M950" s="668"/>
      <c r="N950" s="373"/>
      <c r="O950" s="373"/>
      <c r="P950" s="670"/>
      <c r="Q950" s="665"/>
      <c r="R950" s="665"/>
      <c r="S950" s="539"/>
      <c r="T950" s="665"/>
      <c r="U950" s="49"/>
      <c r="V950" s="49"/>
      <c r="W950" s="49"/>
      <c r="X950" s="49"/>
      <c r="Y950" s="49"/>
    </row>
    <row r="951" ht="15.75" customHeight="1">
      <c r="A951" s="38"/>
      <c r="B951" s="49"/>
      <c r="C951" s="15"/>
      <c r="D951" s="663"/>
      <c r="E951" s="664"/>
      <c r="F951" s="665"/>
      <c r="G951" s="539"/>
      <c r="H951" s="373"/>
      <c r="I951" s="665"/>
      <c r="J951" s="666"/>
      <c r="K951" s="665"/>
      <c r="L951" s="667"/>
      <c r="M951" s="668"/>
      <c r="N951" s="373"/>
      <c r="O951" s="373"/>
      <c r="P951" s="670"/>
      <c r="Q951" s="665"/>
      <c r="R951" s="665"/>
      <c r="S951" s="539"/>
      <c r="T951" s="665"/>
      <c r="U951" s="49"/>
      <c r="V951" s="49"/>
      <c r="W951" s="49"/>
      <c r="X951" s="49"/>
      <c r="Y951" s="49"/>
    </row>
    <row r="952" ht="15.75" customHeight="1">
      <c r="A952" s="38"/>
      <c r="B952" s="49"/>
      <c r="C952" s="15"/>
      <c r="D952" s="663"/>
      <c r="E952" s="664"/>
      <c r="F952" s="665"/>
      <c r="G952" s="539"/>
      <c r="H952" s="373"/>
      <c r="I952" s="665"/>
      <c r="J952" s="666"/>
      <c r="K952" s="665"/>
      <c r="L952" s="667"/>
      <c r="M952" s="668"/>
      <c r="N952" s="373"/>
      <c r="O952" s="373"/>
      <c r="P952" s="670"/>
      <c r="Q952" s="665"/>
      <c r="R952" s="665"/>
      <c r="S952" s="539"/>
      <c r="T952" s="665"/>
      <c r="U952" s="49"/>
      <c r="V952" s="49"/>
      <c r="W952" s="49"/>
      <c r="X952" s="49"/>
      <c r="Y952" s="49"/>
    </row>
    <row r="953" ht="15.75" customHeight="1">
      <c r="A953" s="38"/>
      <c r="B953" s="49"/>
      <c r="C953" s="15"/>
      <c r="D953" s="663"/>
      <c r="E953" s="664"/>
      <c r="F953" s="665"/>
      <c r="G953" s="539"/>
      <c r="H953" s="373"/>
      <c r="I953" s="665"/>
      <c r="J953" s="666"/>
      <c r="K953" s="665"/>
      <c r="L953" s="667"/>
      <c r="M953" s="668"/>
      <c r="N953" s="373"/>
      <c r="O953" s="373"/>
      <c r="P953" s="670"/>
      <c r="Q953" s="665"/>
      <c r="R953" s="665"/>
      <c r="S953" s="539"/>
      <c r="T953" s="665"/>
      <c r="U953" s="49"/>
      <c r="V953" s="49"/>
      <c r="W953" s="49"/>
      <c r="X953" s="49"/>
      <c r="Y953" s="49"/>
    </row>
    <row r="954" ht="15.75" customHeight="1">
      <c r="A954" s="38"/>
      <c r="B954" s="49"/>
      <c r="C954" s="15"/>
      <c r="D954" s="663"/>
      <c r="E954" s="664"/>
      <c r="F954" s="665"/>
      <c r="G954" s="539"/>
      <c r="H954" s="373"/>
      <c r="I954" s="665"/>
      <c r="J954" s="666"/>
      <c r="K954" s="665"/>
      <c r="L954" s="667"/>
      <c r="M954" s="668"/>
      <c r="N954" s="373"/>
      <c r="O954" s="373"/>
      <c r="P954" s="670"/>
      <c r="Q954" s="665"/>
      <c r="R954" s="665"/>
      <c r="S954" s="539"/>
      <c r="T954" s="665"/>
      <c r="U954" s="49"/>
      <c r="V954" s="49"/>
      <c r="W954" s="49"/>
      <c r="X954" s="49"/>
      <c r="Y954" s="49"/>
    </row>
    <row r="955" ht="15.75" customHeight="1">
      <c r="A955" s="38"/>
      <c r="B955" s="49"/>
      <c r="C955" s="15"/>
      <c r="D955" s="663"/>
      <c r="E955" s="664"/>
      <c r="F955" s="665"/>
      <c r="G955" s="539"/>
      <c r="H955" s="373"/>
      <c r="I955" s="665"/>
      <c r="J955" s="666"/>
      <c r="K955" s="665"/>
      <c r="L955" s="667"/>
      <c r="M955" s="668"/>
      <c r="N955" s="373"/>
      <c r="O955" s="373"/>
      <c r="P955" s="670"/>
      <c r="Q955" s="665"/>
      <c r="R955" s="665"/>
      <c r="S955" s="539"/>
      <c r="T955" s="665"/>
      <c r="U955" s="49"/>
      <c r="V955" s="49"/>
      <c r="W955" s="49"/>
      <c r="X955" s="49"/>
      <c r="Y955" s="49"/>
    </row>
    <row r="956" ht="15.75" customHeight="1">
      <c r="A956" s="38"/>
      <c r="B956" s="49"/>
      <c r="C956" s="15"/>
      <c r="D956" s="663"/>
      <c r="E956" s="664"/>
      <c r="F956" s="665"/>
      <c r="G956" s="539"/>
      <c r="H956" s="373"/>
      <c r="I956" s="665"/>
      <c r="J956" s="666"/>
      <c r="K956" s="665"/>
      <c r="L956" s="667"/>
      <c r="M956" s="668"/>
      <c r="N956" s="373"/>
      <c r="O956" s="373"/>
      <c r="P956" s="670"/>
      <c r="Q956" s="665"/>
      <c r="R956" s="665"/>
      <c r="S956" s="539"/>
      <c r="T956" s="665"/>
      <c r="U956" s="49"/>
      <c r="V956" s="49"/>
      <c r="W956" s="49"/>
      <c r="X956" s="49"/>
      <c r="Y956" s="49"/>
    </row>
    <row r="957" ht="15.75" customHeight="1">
      <c r="A957" s="38"/>
      <c r="B957" s="49"/>
      <c r="C957" s="15"/>
      <c r="D957" s="663"/>
      <c r="E957" s="664"/>
      <c r="F957" s="665"/>
      <c r="G957" s="539"/>
      <c r="H957" s="373"/>
      <c r="I957" s="665"/>
      <c r="J957" s="666"/>
      <c r="K957" s="665"/>
      <c r="L957" s="667"/>
      <c r="M957" s="668"/>
      <c r="N957" s="373"/>
      <c r="O957" s="373"/>
      <c r="P957" s="670"/>
      <c r="Q957" s="665"/>
      <c r="R957" s="665"/>
      <c r="S957" s="539"/>
      <c r="T957" s="665"/>
      <c r="U957" s="49"/>
      <c r="V957" s="49"/>
      <c r="W957" s="49"/>
      <c r="X957" s="49"/>
      <c r="Y957" s="49"/>
    </row>
    <row r="958" ht="15.75" customHeight="1">
      <c r="A958" s="38"/>
      <c r="B958" s="49"/>
      <c r="C958" s="15"/>
      <c r="D958" s="663"/>
      <c r="E958" s="664"/>
      <c r="F958" s="665"/>
      <c r="G958" s="539"/>
      <c r="H958" s="373"/>
      <c r="I958" s="665"/>
      <c r="J958" s="666"/>
      <c r="K958" s="665"/>
      <c r="L958" s="667"/>
      <c r="M958" s="668"/>
      <c r="N958" s="373"/>
      <c r="O958" s="373"/>
      <c r="P958" s="670"/>
      <c r="Q958" s="665"/>
      <c r="R958" s="665"/>
      <c r="S958" s="539"/>
      <c r="T958" s="665"/>
      <c r="U958" s="49"/>
      <c r="V958" s="49"/>
      <c r="W958" s="49"/>
      <c r="X958" s="49"/>
      <c r="Y958" s="49"/>
    </row>
    <row r="959" ht="15.75" customHeight="1">
      <c r="A959" s="38"/>
      <c r="B959" s="49"/>
      <c r="C959" s="15"/>
      <c r="D959" s="663"/>
      <c r="E959" s="664"/>
      <c r="F959" s="665"/>
      <c r="G959" s="539"/>
      <c r="H959" s="373"/>
      <c r="I959" s="665"/>
      <c r="J959" s="666"/>
      <c r="K959" s="665"/>
      <c r="L959" s="667"/>
      <c r="M959" s="668"/>
      <c r="N959" s="373"/>
      <c r="O959" s="373"/>
      <c r="P959" s="670"/>
      <c r="Q959" s="665"/>
      <c r="R959" s="665"/>
      <c r="S959" s="539"/>
      <c r="T959" s="665"/>
      <c r="U959" s="49"/>
      <c r="V959" s="49"/>
      <c r="W959" s="49"/>
      <c r="X959" s="49"/>
      <c r="Y959" s="49"/>
    </row>
    <row r="960" ht="15.75" customHeight="1">
      <c r="A960" s="38"/>
      <c r="B960" s="49"/>
      <c r="C960" s="15"/>
      <c r="D960" s="663"/>
      <c r="E960" s="664"/>
      <c r="F960" s="665"/>
      <c r="G960" s="539"/>
      <c r="H960" s="373"/>
      <c r="I960" s="665"/>
      <c r="J960" s="666"/>
      <c r="K960" s="665"/>
      <c r="L960" s="667"/>
      <c r="M960" s="668"/>
      <c r="N960" s="373"/>
      <c r="O960" s="373"/>
      <c r="P960" s="670"/>
      <c r="Q960" s="665"/>
      <c r="R960" s="665"/>
      <c r="S960" s="539"/>
      <c r="T960" s="665"/>
      <c r="U960" s="49"/>
      <c r="V960" s="49"/>
      <c r="W960" s="49"/>
      <c r="X960" s="49"/>
      <c r="Y960" s="49"/>
    </row>
    <row r="961" ht="15.75" customHeight="1">
      <c r="A961" s="38"/>
      <c r="B961" s="49"/>
      <c r="C961" s="15"/>
      <c r="D961" s="663"/>
      <c r="E961" s="664"/>
      <c r="F961" s="665"/>
      <c r="G961" s="539"/>
      <c r="H961" s="373"/>
      <c r="I961" s="665"/>
      <c r="J961" s="666"/>
      <c r="K961" s="665"/>
      <c r="L961" s="667"/>
      <c r="M961" s="668"/>
      <c r="N961" s="373"/>
      <c r="O961" s="373"/>
      <c r="P961" s="670"/>
      <c r="Q961" s="665"/>
      <c r="R961" s="665"/>
      <c r="S961" s="539"/>
      <c r="T961" s="665"/>
      <c r="U961" s="49"/>
      <c r="V961" s="49"/>
      <c r="W961" s="49"/>
      <c r="X961" s="49"/>
      <c r="Y961" s="49"/>
    </row>
    <row r="962" ht="15.75" customHeight="1">
      <c r="A962" s="38"/>
      <c r="B962" s="49"/>
      <c r="C962" s="15"/>
      <c r="D962" s="663"/>
      <c r="E962" s="664"/>
      <c r="F962" s="665"/>
      <c r="G962" s="539"/>
      <c r="H962" s="373"/>
      <c r="I962" s="665"/>
      <c r="J962" s="666"/>
      <c r="K962" s="665"/>
      <c r="L962" s="667"/>
      <c r="M962" s="668"/>
      <c r="N962" s="373"/>
      <c r="O962" s="373"/>
      <c r="P962" s="670"/>
      <c r="Q962" s="665"/>
      <c r="R962" s="665"/>
      <c r="S962" s="539"/>
      <c r="T962" s="665"/>
      <c r="U962" s="49"/>
      <c r="V962" s="49"/>
      <c r="W962" s="49"/>
      <c r="X962" s="49"/>
      <c r="Y962" s="49"/>
    </row>
    <row r="963" ht="15.75" customHeight="1">
      <c r="A963" s="38"/>
      <c r="B963" s="49"/>
      <c r="C963" s="15"/>
      <c r="D963" s="663"/>
      <c r="E963" s="664"/>
      <c r="F963" s="665"/>
      <c r="G963" s="539"/>
      <c r="H963" s="373"/>
      <c r="I963" s="665"/>
      <c r="J963" s="666"/>
      <c r="K963" s="665"/>
      <c r="L963" s="667"/>
      <c r="M963" s="668"/>
      <c r="N963" s="373"/>
      <c r="O963" s="373"/>
      <c r="P963" s="670"/>
      <c r="Q963" s="665"/>
      <c r="R963" s="665"/>
      <c r="S963" s="539"/>
      <c r="T963" s="665"/>
      <c r="U963" s="49"/>
      <c r="V963" s="49"/>
      <c r="W963" s="49"/>
      <c r="X963" s="49"/>
      <c r="Y963" s="49"/>
    </row>
    <row r="964" ht="15.75" customHeight="1">
      <c r="A964" s="38"/>
      <c r="B964" s="49"/>
      <c r="C964" s="15"/>
      <c r="D964" s="663"/>
      <c r="E964" s="664"/>
      <c r="F964" s="665"/>
      <c r="G964" s="539"/>
      <c r="H964" s="373"/>
      <c r="I964" s="665"/>
      <c r="J964" s="666"/>
      <c r="K964" s="665"/>
      <c r="L964" s="667"/>
      <c r="M964" s="668"/>
      <c r="N964" s="373"/>
      <c r="O964" s="373"/>
      <c r="P964" s="670"/>
      <c r="Q964" s="665"/>
      <c r="R964" s="665"/>
      <c r="S964" s="539"/>
      <c r="T964" s="665"/>
      <c r="U964" s="49"/>
      <c r="V964" s="49"/>
      <c r="W964" s="49"/>
      <c r="X964" s="49"/>
      <c r="Y964" s="49"/>
    </row>
    <row r="965" ht="15.75" customHeight="1">
      <c r="A965" s="38"/>
      <c r="B965" s="49"/>
      <c r="C965" s="15"/>
      <c r="D965" s="663"/>
      <c r="E965" s="664"/>
      <c r="F965" s="665"/>
      <c r="G965" s="539"/>
      <c r="H965" s="373"/>
      <c r="I965" s="665"/>
      <c r="J965" s="666"/>
      <c r="K965" s="665"/>
      <c r="L965" s="667"/>
      <c r="M965" s="668"/>
      <c r="N965" s="373"/>
      <c r="O965" s="373"/>
      <c r="P965" s="670"/>
      <c r="Q965" s="665"/>
      <c r="R965" s="665"/>
      <c r="S965" s="539"/>
      <c r="T965" s="665"/>
      <c r="U965" s="49"/>
      <c r="V965" s="49"/>
      <c r="W965" s="49"/>
      <c r="X965" s="49"/>
      <c r="Y965" s="49"/>
    </row>
    <row r="966" ht="15.75" customHeight="1">
      <c r="A966" s="38"/>
      <c r="B966" s="49"/>
      <c r="C966" s="15"/>
      <c r="D966" s="663"/>
      <c r="E966" s="664"/>
      <c r="F966" s="665"/>
      <c r="G966" s="539"/>
      <c r="H966" s="373"/>
      <c r="I966" s="665"/>
      <c r="J966" s="666"/>
      <c r="K966" s="665"/>
      <c r="L966" s="667"/>
      <c r="M966" s="668"/>
      <c r="N966" s="373"/>
      <c r="O966" s="373"/>
      <c r="P966" s="670"/>
      <c r="Q966" s="665"/>
      <c r="R966" s="665"/>
      <c r="S966" s="539"/>
      <c r="T966" s="665"/>
      <c r="U966" s="49"/>
      <c r="V966" s="49"/>
      <c r="W966" s="49"/>
      <c r="X966" s="49"/>
      <c r="Y966" s="49"/>
    </row>
    <row r="967" ht="15.75" customHeight="1">
      <c r="A967" s="38"/>
      <c r="B967" s="49"/>
      <c r="C967" s="15"/>
      <c r="D967" s="663"/>
      <c r="E967" s="664"/>
      <c r="F967" s="665"/>
      <c r="G967" s="539"/>
      <c r="H967" s="373"/>
      <c r="I967" s="665"/>
      <c r="J967" s="666"/>
      <c r="K967" s="665"/>
      <c r="L967" s="667"/>
      <c r="M967" s="668"/>
      <c r="N967" s="373"/>
      <c r="O967" s="373"/>
      <c r="P967" s="670"/>
      <c r="Q967" s="665"/>
      <c r="R967" s="665"/>
      <c r="S967" s="539"/>
      <c r="T967" s="665"/>
      <c r="U967" s="49"/>
      <c r="V967" s="49"/>
      <c r="W967" s="49"/>
      <c r="X967" s="49"/>
      <c r="Y967" s="49"/>
    </row>
    <row r="968" ht="15.75" customHeight="1">
      <c r="A968" s="38"/>
      <c r="B968" s="49"/>
      <c r="C968" s="15"/>
      <c r="D968" s="663"/>
      <c r="E968" s="664"/>
      <c r="F968" s="665"/>
      <c r="G968" s="539"/>
      <c r="H968" s="373"/>
      <c r="I968" s="665"/>
      <c r="J968" s="666"/>
      <c r="K968" s="665"/>
      <c r="L968" s="667"/>
      <c r="M968" s="668"/>
      <c r="N968" s="373"/>
      <c r="O968" s="373"/>
      <c r="P968" s="670"/>
      <c r="Q968" s="665"/>
      <c r="R968" s="665"/>
      <c r="S968" s="539"/>
      <c r="T968" s="665"/>
      <c r="U968" s="49"/>
      <c r="V968" s="49"/>
      <c r="W968" s="49"/>
      <c r="X968" s="49"/>
      <c r="Y968" s="49"/>
    </row>
    <row r="969" ht="15.75" customHeight="1">
      <c r="A969" s="38"/>
      <c r="B969" s="49"/>
      <c r="C969" s="15"/>
      <c r="D969" s="663"/>
      <c r="E969" s="664"/>
      <c r="F969" s="665"/>
      <c r="G969" s="539"/>
      <c r="H969" s="373"/>
      <c r="I969" s="665"/>
      <c r="J969" s="666"/>
      <c r="K969" s="665"/>
      <c r="L969" s="667"/>
      <c r="M969" s="668"/>
      <c r="N969" s="373"/>
      <c r="O969" s="373"/>
      <c r="P969" s="670"/>
      <c r="Q969" s="665"/>
      <c r="R969" s="665"/>
      <c r="S969" s="539"/>
      <c r="T969" s="665"/>
      <c r="U969" s="49"/>
      <c r="V969" s="49"/>
      <c r="W969" s="49"/>
      <c r="X969" s="49"/>
      <c r="Y969" s="49"/>
    </row>
    <row r="970" ht="15.75" customHeight="1">
      <c r="A970" s="38"/>
      <c r="B970" s="49"/>
      <c r="C970" s="15"/>
      <c r="D970" s="663"/>
      <c r="E970" s="664"/>
      <c r="F970" s="665"/>
      <c r="G970" s="539"/>
      <c r="H970" s="373"/>
      <c r="I970" s="665"/>
      <c r="J970" s="666"/>
      <c r="K970" s="665"/>
      <c r="L970" s="667"/>
      <c r="M970" s="668"/>
      <c r="N970" s="373"/>
      <c r="O970" s="373"/>
      <c r="P970" s="670"/>
      <c r="Q970" s="665"/>
      <c r="R970" s="665"/>
      <c r="S970" s="539"/>
      <c r="T970" s="665"/>
      <c r="U970" s="49"/>
      <c r="V970" s="49"/>
      <c r="W970" s="49"/>
      <c r="X970" s="49"/>
      <c r="Y970" s="49"/>
    </row>
    <row r="971" ht="15.75" customHeight="1">
      <c r="A971" s="38"/>
      <c r="B971" s="49"/>
      <c r="C971" s="15"/>
      <c r="D971" s="663"/>
      <c r="E971" s="664"/>
      <c r="F971" s="665"/>
      <c r="G971" s="539"/>
      <c r="H971" s="373"/>
      <c r="I971" s="665"/>
      <c r="J971" s="666"/>
      <c r="K971" s="665"/>
      <c r="L971" s="667"/>
      <c r="M971" s="668"/>
      <c r="N971" s="373"/>
      <c r="O971" s="373"/>
      <c r="P971" s="670"/>
      <c r="Q971" s="665"/>
      <c r="R971" s="665"/>
      <c r="S971" s="539"/>
      <c r="T971" s="665"/>
      <c r="U971" s="49"/>
      <c r="V971" s="49"/>
      <c r="W971" s="49"/>
      <c r="X971" s="49"/>
      <c r="Y971" s="49"/>
    </row>
    <row r="972" ht="15.75" customHeight="1">
      <c r="A972" s="38"/>
      <c r="B972" s="49"/>
      <c r="C972" s="15"/>
      <c r="D972" s="663"/>
      <c r="E972" s="664"/>
      <c r="F972" s="665"/>
      <c r="G972" s="539"/>
      <c r="H972" s="373"/>
      <c r="I972" s="665"/>
      <c r="J972" s="666"/>
      <c r="K972" s="665"/>
      <c r="L972" s="667"/>
      <c r="M972" s="668"/>
      <c r="N972" s="373"/>
      <c r="O972" s="373"/>
      <c r="P972" s="670"/>
      <c r="Q972" s="665"/>
      <c r="R972" s="665"/>
      <c r="S972" s="539"/>
      <c r="T972" s="665"/>
      <c r="U972" s="49"/>
      <c r="V972" s="49"/>
      <c r="W972" s="49"/>
      <c r="X972" s="49"/>
      <c r="Y972" s="49"/>
    </row>
    <row r="973" ht="15.75" customHeight="1">
      <c r="A973" s="38"/>
      <c r="B973" s="49"/>
      <c r="C973" s="15"/>
      <c r="D973" s="663"/>
      <c r="E973" s="664"/>
      <c r="F973" s="665"/>
      <c r="G973" s="539"/>
      <c r="H973" s="373"/>
      <c r="I973" s="665"/>
      <c r="J973" s="666"/>
      <c r="K973" s="665"/>
      <c r="L973" s="667"/>
      <c r="M973" s="668"/>
      <c r="N973" s="373"/>
      <c r="O973" s="373"/>
      <c r="P973" s="670"/>
      <c r="Q973" s="665"/>
      <c r="R973" s="665"/>
      <c r="S973" s="539"/>
      <c r="T973" s="665"/>
      <c r="U973" s="49"/>
      <c r="V973" s="49"/>
      <c r="W973" s="49"/>
      <c r="X973" s="49"/>
      <c r="Y973" s="49"/>
    </row>
    <row r="974" ht="15.75" customHeight="1">
      <c r="A974" s="38"/>
      <c r="B974" s="49"/>
      <c r="C974" s="15"/>
      <c r="D974" s="663"/>
      <c r="E974" s="664"/>
      <c r="F974" s="665"/>
      <c r="G974" s="539"/>
      <c r="H974" s="373"/>
      <c r="I974" s="665"/>
      <c r="J974" s="666"/>
      <c r="K974" s="665"/>
      <c r="L974" s="667"/>
      <c r="M974" s="668"/>
      <c r="N974" s="373"/>
      <c r="O974" s="373"/>
      <c r="P974" s="670"/>
      <c r="Q974" s="665"/>
      <c r="R974" s="665"/>
      <c r="S974" s="539"/>
      <c r="T974" s="665"/>
      <c r="U974" s="49"/>
      <c r="V974" s="49"/>
      <c r="W974" s="49"/>
      <c r="X974" s="49"/>
      <c r="Y974" s="49"/>
    </row>
    <row r="975" ht="15.75" customHeight="1">
      <c r="A975" s="38"/>
      <c r="B975" s="49"/>
      <c r="C975" s="15"/>
      <c r="D975" s="663"/>
      <c r="E975" s="664"/>
      <c r="F975" s="665"/>
      <c r="G975" s="539"/>
      <c r="H975" s="373"/>
      <c r="I975" s="665"/>
      <c r="J975" s="666"/>
      <c r="K975" s="665"/>
      <c r="L975" s="667"/>
      <c r="M975" s="668"/>
      <c r="N975" s="373"/>
      <c r="O975" s="373"/>
      <c r="P975" s="670"/>
      <c r="Q975" s="665"/>
      <c r="R975" s="665"/>
      <c r="S975" s="539"/>
      <c r="T975" s="665"/>
      <c r="U975" s="49"/>
      <c r="V975" s="49"/>
      <c r="W975" s="49"/>
      <c r="X975" s="49"/>
      <c r="Y975" s="49"/>
    </row>
    <row r="976" ht="15.75" customHeight="1">
      <c r="A976" s="38"/>
      <c r="B976" s="49"/>
      <c r="C976" s="15"/>
      <c r="D976" s="663"/>
      <c r="E976" s="664"/>
      <c r="F976" s="665"/>
      <c r="G976" s="539"/>
      <c r="H976" s="373"/>
      <c r="I976" s="665"/>
      <c r="J976" s="666"/>
      <c r="K976" s="665"/>
      <c r="L976" s="667"/>
      <c r="M976" s="668"/>
      <c r="N976" s="373"/>
      <c r="O976" s="373"/>
      <c r="P976" s="670"/>
      <c r="Q976" s="665"/>
      <c r="R976" s="665"/>
      <c r="S976" s="539"/>
      <c r="T976" s="665"/>
      <c r="U976" s="49"/>
      <c r="V976" s="49"/>
      <c r="W976" s="49"/>
      <c r="X976" s="49"/>
      <c r="Y976" s="49"/>
    </row>
    <row r="977" ht="15.75" customHeight="1">
      <c r="A977" s="38"/>
      <c r="B977" s="49"/>
      <c r="C977" s="15"/>
      <c r="D977" s="663"/>
      <c r="E977" s="664"/>
      <c r="F977" s="665"/>
      <c r="G977" s="539"/>
      <c r="H977" s="373"/>
      <c r="I977" s="665"/>
      <c r="J977" s="666"/>
      <c r="K977" s="665"/>
      <c r="L977" s="667"/>
      <c r="M977" s="668"/>
      <c r="N977" s="373"/>
      <c r="O977" s="373"/>
      <c r="P977" s="670"/>
      <c r="Q977" s="665"/>
      <c r="R977" s="665"/>
      <c r="S977" s="539"/>
      <c r="T977" s="665"/>
      <c r="U977" s="49"/>
      <c r="V977" s="49"/>
      <c r="W977" s="49"/>
      <c r="X977" s="49"/>
      <c r="Y977" s="49"/>
    </row>
    <row r="978" ht="15.75" customHeight="1">
      <c r="A978" s="38"/>
      <c r="B978" s="49"/>
      <c r="C978" s="15"/>
      <c r="D978" s="663"/>
      <c r="E978" s="664"/>
      <c r="F978" s="665"/>
      <c r="G978" s="539"/>
      <c r="H978" s="373"/>
      <c r="I978" s="665"/>
      <c r="J978" s="666"/>
      <c r="K978" s="665"/>
      <c r="L978" s="667"/>
      <c r="M978" s="668"/>
      <c r="N978" s="373"/>
      <c r="O978" s="373"/>
      <c r="P978" s="670"/>
      <c r="Q978" s="665"/>
      <c r="R978" s="665"/>
      <c r="S978" s="539"/>
      <c r="T978" s="665"/>
      <c r="U978" s="49"/>
      <c r="V978" s="49"/>
      <c r="W978" s="49"/>
      <c r="X978" s="49"/>
      <c r="Y978" s="49"/>
    </row>
    <row r="979" ht="15.75" customHeight="1">
      <c r="A979" s="38"/>
      <c r="B979" s="49"/>
      <c r="C979" s="15"/>
      <c r="D979" s="663"/>
      <c r="E979" s="664"/>
      <c r="F979" s="665"/>
      <c r="G979" s="539"/>
      <c r="H979" s="373"/>
      <c r="I979" s="665"/>
      <c r="J979" s="666"/>
      <c r="K979" s="665"/>
      <c r="L979" s="667"/>
      <c r="M979" s="668"/>
      <c r="N979" s="373"/>
      <c r="O979" s="373"/>
      <c r="P979" s="670"/>
      <c r="Q979" s="665"/>
      <c r="R979" s="665"/>
      <c r="S979" s="539"/>
      <c r="T979" s="665"/>
      <c r="U979" s="49"/>
      <c r="V979" s="49"/>
      <c r="W979" s="49"/>
      <c r="X979" s="49"/>
      <c r="Y979" s="49"/>
    </row>
    <row r="980" ht="15.75" customHeight="1">
      <c r="A980" s="38"/>
      <c r="B980" s="49"/>
      <c r="C980" s="15"/>
      <c r="D980" s="663"/>
      <c r="E980" s="664"/>
      <c r="F980" s="665"/>
      <c r="G980" s="539"/>
      <c r="H980" s="373"/>
      <c r="I980" s="665"/>
      <c r="J980" s="666"/>
      <c r="K980" s="665"/>
      <c r="L980" s="667"/>
      <c r="M980" s="668"/>
      <c r="N980" s="373"/>
      <c r="O980" s="373"/>
      <c r="P980" s="670"/>
      <c r="Q980" s="665"/>
      <c r="R980" s="665"/>
      <c r="S980" s="539"/>
      <c r="T980" s="665"/>
      <c r="U980" s="49"/>
      <c r="V980" s="49"/>
      <c r="W980" s="49"/>
      <c r="X980" s="49"/>
      <c r="Y980" s="49"/>
    </row>
    <row r="981" ht="15.75" customHeight="1">
      <c r="A981" s="38"/>
      <c r="B981" s="49"/>
      <c r="C981" s="15"/>
      <c r="D981" s="663"/>
      <c r="E981" s="664"/>
      <c r="F981" s="665"/>
      <c r="G981" s="539"/>
      <c r="H981" s="373"/>
      <c r="I981" s="665"/>
      <c r="J981" s="666"/>
      <c r="K981" s="665"/>
      <c r="L981" s="667"/>
      <c r="M981" s="668"/>
      <c r="N981" s="373"/>
      <c r="O981" s="373"/>
      <c r="P981" s="670"/>
      <c r="Q981" s="665"/>
      <c r="R981" s="665"/>
      <c r="S981" s="539"/>
      <c r="T981" s="665"/>
      <c r="U981" s="49"/>
      <c r="V981" s="49"/>
      <c r="W981" s="49"/>
      <c r="X981" s="49"/>
      <c r="Y981" s="49"/>
    </row>
    <row r="982" ht="15.75" customHeight="1">
      <c r="A982" s="38"/>
      <c r="B982" s="49"/>
      <c r="C982" s="15"/>
      <c r="D982" s="663"/>
      <c r="E982" s="664"/>
      <c r="F982" s="665"/>
      <c r="G982" s="539"/>
      <c r="H982" s="373"/>
      <c r="I982" s="665"/>
      <c r="J982" s="666"/>
      <c r="K982" s="665"/>
      <c r="L982" s="667"/>
      <c r="M982" s="668"/>
      <c r="N982" s="373"/>
      <c r="O982" s="373"/>
      <c r="P982" s="670"/>
      <c r="Q982" s="665"/>
      <c r="R982" s="665"/>
      <c r="S982" s="539"/>
      <c r="T982" s="665"/>
      <c r="U982" s="49"/>
      <c r="V982" s="49"/>
      <c r="W982" s="49"/>
      <c r="X982" s="49"/>
      <c r="Y982" s="49"/>
    </row>
    <row r="983" ht="15.75" customHeight="1">
      <c r="A983" s="38"/>
      <c r="B983" s="49"/>
      <c r="C983" s="15"/>
      <c r="D983" s="663"/>
      <c r="E983" s="664"/>
      <c r="F983" s="665"/>
      <c r="G983" s="539"/>
      <c r="H983" s="373"/>
      <c r="I983" s="665"/>
      <c r="J983" s="666"/>
      <c r="K983" s="665"/>
      <c r="L983" s="667"/>
      <c r="M983" s="668"/>
      <c r="N983" s="373"/>
      <c r="O983" s="373"/>
      <c r="P983" s="670"/>
      <c r="Q983" s="665"/>
      <c r="R983" s="665"/>
      <c r="S983" s="539"/>
      <c r="T983" s="665"/>
      <c r="U983" s="49"/>
      <c r="V983" s="49"/>
      <c r="W983" s="49"/>
      <c r="X983" s="49"/>
      <c r="Y983" s="49"/>
    </row>
    <row r="984" ht="15.75" customHeight="1">
      <c r="A984" s="38"/>
      <c r="B984" s="49"/>
      <c r="C984" s="15"/>
      <c r="D984" s="663"/>
      <c r="E984" s="664"/>
      <c r="F984" s="665"/>
      <c r="G984" s="539"/>
      <c r="H984" s="373"/>
      <c r="I984" s="665"/>
      <c r="J984" s="666"/>
      <c r="K984" s="665"/>
      <c r="L984" s="667"/>
      <c r="M984" s="668"/>
      <c r="N984" s="373"/>
      <c r="O984" s="373"/>
      <c r="P984" s="670"/>
      <c r="Q984" s="665"/>
      <c r="R984" s="665"/>
      <c r="S984" s="539"/>
      <c r="T984" s="665"/>
      <c r="U984" s="49"/>
      <c r="V984" s="49"/>
      <c r="W984" s="49"/>
      <c r="X984" s="49"/>
      <c r="Y984" s="49"/>
    </row>
    <row r="985" ht="15.75" customHeight="1">
      <c r="A985" s="38"/>
      <c r="B985" s="49"/>
      <c r="C985" s="15"/>
      <c r="D985" s="663"/>
      <c r="E985" s="664"/>
      <c r="F985" s="665"/>
      <c r="G985" s="539"/>
      <c r="H985" s="373"/>
      <c r="I985" s="665"/>
      <c r="J985" s="666"/>
      <c r="K985" s="665"/>
      <c r="L985" s="667"/>
      <c r="M985" s="668"/>
      <c r="N985" s="373"/>
      <c r="O985" s="373"/>
      <c r="P985" s="670"/>
      <c r="Q985" s="665"/>
      <c r="R985" s="665"/>
      <c r="S985" s="539"/>
      <c r="T985" s="665"/>
      <c r="U985" s="49"/>
      <c r="V985" s="49"/>
      <c r="W985" s="49"/>
      <c r="X985" s="49"/>
      <c r="Y985" s="49"/>
    </row>
    <row r="986" ht="15.75" customHeight="1">
      <c r="A986" s="38"/>
      <c r="B986" s="49"/>
      <c r="C986" s="15"/>
      <c r="D986" s="663"/>
      <c r="E986" s="664"/>
      <c r="F986" s="665"/>
      <c r="G986" s="539"/>
      <c r="H986" s="373"/>
      <c r="I986" s="665"/>
      <c r="J986" s="666"/>
      <c r="K986" s="665"/>
      <c r="L986" s="667"/>
      <c r="M986" s="668"/>
      <c r="N986" s="373"/>
      <c r="O986" s="373"/>
      <c r="P986" s="670"/>
      <c r="Q986" s="665"/>
      <c r="R986" s="665"/>
      <c r="S986" s="539"/>
      <c r="T986" s="665"/>
      <c r="U986" s="49"/>
      <c r="V986" s="49"/>
      <c r="W986" s="49"/>
      <c r="X986" s="49"/>
      <c r="Y986" s="49"/>
    </row>
    <row r="987" ht="15.75" customHeight="1">
      <c r="A987" s="38"/>
      <c r="B987" s="49"/>
      <c r="C987" s="15"/>
      <c r="D987" s="663"/>
      <c r="E987" s="664"/>
      <c r="F987" s="665"/>
      <c r="G987" s="539"/>
      <c r="H987" s="373"/>
      <c r="I987" s="665"/>
      <c r="J987" s="666"/>
      <c r="K987" s="665"/>
      <c r="L987" s="667"/>
      <c r="M987" s="668"/>
      <c r="N987" s="373"/>
      <c r="O987" s="373"/>
      <c r="P987" s="670"/>
      <c r="Q987" s="665"/>
      <c r="R987" s="665"/>
      <c r="S987" s="539"/>
      <c r="T987" s="665"/>
      <c r="U987" s="49"/>
      <c r="V987" s="49"/>
      <c r="W987" s="49"/>
      <c r="X987" s="49"/>
      <c r="Y987" s="49"/>
    </row>
    <row r="988" ht="15.75" customHeight="1">
      <c r="A988" s="38"/>
      <c r="B988" s="49"/>
      <c r="C988" s="15"/>
      <c r="D988" s="663"/>
      <c r="E988" s="664"/>
      <c r="F988" s="665"/>
      <c r="G988" s="539"/>
      <c r="H988" s="373"/>
      <c r="I988" s="665"/>
      <c r="J988" s="666"/>
      <c r="K988" s="665"/>
      <c r="L988" s="667"/>
      <c r="M988" s="668"/>
      <c r="N988" s="373"/>
      <c r="O988" s="373"/>
      <c r="P988" s="670"/>
      <c r="Q988" s="665"/>
      <c r="R988" s="665"/>
      <c r="S988" s="539"/>
      <c r="T988" s="665"/>
      <c r="U988" s="49"/>
      <c r="V988" s="49"/>
      <c r="W988" s="49"/>
      <c r="X988" s="49"/>
      <c r="Y988" s="49"/>
    </row>
    <row r="989" ht="15.75" customHeight="1">
      <c r="A989" s="38"/>
      <c r="B989" s="49"/>
      <c r="C989" s="15"/>
      <c r="D989" s="663"/>
      <c r="E989" s="664"/>
      <c r="F989" s="665"/>
      <c r="G989" s="539"/>
      <c r="H989" s="373"/>
      <c r="I989" s="665"/>
      <c r="J989" s="666"/>
      <c r="K989" s="665"/>
      <c r="L989" s="667"/>
      <c r="M989" s="668"/>
      <c r="N989" s="373"/>
      <c r="O989" s="373"/>
      <c r="P989" s="670"/>
      <c r="Q989" s="665"/>
      <c r="R989" s="665"/>
      <c r="S989" s="539"/>
      <c r="T989" s="665"/>
      <c r="U989" s="49"/>
      <c r="V989" s="49"/>
      <c r="W989" s="49"/>
      <c r="X989" s="49"/>
      <c r="Y989" s="49"/>
    </row>
    <row r="990" ht="15.75" customHeight="1">
      <c r="A990" s="38"/>
      <c r="B990" s="49"/>
      <c r="C990" s="15"/>
      <c r="D990" s="663"/>
      <c r="E990" s="664"/>
      <c r="F990" s="665"/>
      <c r="G990" s="539"/>
      <c r="H990" s="373"/>
      <c r="I990" s="665"/>
      <c r="J990" s="666"/>
      <c r="K990" s="665"/>
      <c r="L990" s="667"/>
      <c r="M990" s="668"/>
      <c r="N990" s="373"/>
      <c r="O990" s="373"/>
      <c r="P990" s="670"/>
      <c r="Q990" s="665"/>
      <c r="R990" s="665"/>
      <c r="S990" s="539"/>
      <c r="T990" s="665"/>
      <c r="U990" s="49"/>
      <c r="V990" s="49"/>
      <c r="W990" s="49"/>
      <c r="X990" s="49"/>
      <c r="Y990" s="49"/>
    </row>
    <row r="991" ht="15.75" customHeight="1">
      <c r="A991" s="38"/>
      <c r="B991" s="49"/>
      <c r="C991" s="15"/>
      <c r="D991" s="663"/>
      <c r="E991" s="664"/>
      <c r="F991" s="665"/>
      <c r="G991" s="539"/>
      <c r="H991" s="373"/>
      <c r="I991" s="665"/>
      <c r="J991" s="666"/>
      <c r="K991" s="665"/>
      <c r="L991" s="667"/>
      <c r="M991" s="668"/>
      <c r="N991" s="373"/>
      <c r="O991" s="373"/>
      <c r="P991" s="670"/>
      <c r="Q991" s="665"/>
      <c r="R991" s="665"/>
      <c r="S991" s="539"/>
      <c r="T991" s="665"/>
      <c r="U991" s="49"/>
      <c r="V991" s="49"/>
      <c r="W991" s="49"/>
      <c r="X991" s="49"/>
      <c r="Y991" s="49"/>
    </row>
    <row r="992" ht="15.75" customHeight="1">
      <c r="A992" s="38"/>
      <c r="B992" s="49"/>
      <c r="C992" s="15"/>
      <c r="D992" s="663"/>
      <c r="E992" s="664"/>
      <c r="F992" s="665"/>
      <c r="G992" s="539"/>
      <c r="H992" s="373"/>
      <c r="I992" s="665"/>
      <c r="J992" s="666"/>
      <c r="K992" s="665"/>
      <c r="L992" s="667"/>
      <c r="M992" s="668"/>
      <c r="N992" s="373"/>
      <c r="O992" s="373"/>
      <c r="P992" s="670"/>
      <c r="Q992" s="665"/>
      <c r="R992" s="665"/>
      <c r="S992" s="539"/>
      <c r="T992" s="665"/>
      <c r="U992" s="49"/>
      <c r="V992" s="49"/>
      <c r="W992" s="49"/>
      <c r="X992" s="49"/>
      <c r="Y992" s="49"/>
    </row>
    <row r="993" ht="15.75" customHeight="1">
      <c r="A993" s="38"/>
      <c r="B993" s="49"/>
      <c r="C993" s="15"/>
      <c r="D993" s="663"/>
      <c r="E993" s="664"/>
      <c r="F993" s="665"/>
      <c r="G993" s="539"/>
      <c r="H993" s="373"/>
      <c r="I993" s="665"/>
      <c r="J993" s="666"/>
      <c r="K993" s="665"/>
      <c r="L993" s="667"/>
      <c r="M993" s="668"/>
      <c r="N993" s="373"/>
      <c r="O993" s="373"/>
      <c r="P993" s="670"/>
      <c r="Q993" s="665"/>
      <c r="R993" s="665"/>
      <c r="S993" s="539"/>
      <c r="T993" s="665"/>
      <c r="U993" s="49"/>
      <c r="V993" s="49"/>
      <c r="W993" s="49"/>
      <c r="X993" s="49"/>
      <c r="Y993" s="49"/>
    </row>
    <row r="994" ht="15.75" customHeight="1">
      <c r="A994" s="38"/>
      <c r="B994" s="49"/>
      <c r="C994" s="15"/>
      <c r="D994" s="663"/>
      <c r="E994" s="664"/>
      <c r="F994" s="665"/>
      <c r="G994" s="539"/>
      <c r="H994" s="373"/>
      <c r="I994" s="665"/>
      <c r="J994" s="666"/>
      <c r="K994" s="665"/>
      <c r="L994" s="667"/>
      <c r="M994" s="668"/>
      <c r="N994" s="373"/>
      <c r="O994" s="373"/>
      <c r="P994" s="670"/>
      <c r="Q994" s="665"/>
      <c r="R994" s="665"/>
      <c r="S994" s="539"/>
      <c r="T994" s="665"/>
      <c r="U994" s="49"/>
      <c r="V994" s="49"/>
      <c r="W994" s="49"/>
      <c r="X994" s="49"/>
      <c r="Y994" s="49"/>
    </row>
    <row r="995" ht="15.75" customHeight="1">
      <c r="A995" s="38"/>
      <c r="B995" s="49"/>
      <c r="C995" s="15"/>
      <c r="D995" s="663"/>
      <c r="E995" s="664"/>
      <c r="F995" s="665"/>
      <c r="G995" s="539"/>
      <c r="H995" s="373"/>
      <c r="I995" s="665"/>
      <c r="J995" s="666"/>
      <c r="K995" s="665"/>
      <c r="L995" s="667"/>
      <c r="M995" s="668"/>
      <c r="N995" s="373"/>
      <c r="O995" s="373"/>
      <c r="P995" s="670"/>
      <c r="Q995" s="665"/>
      <c r="R995" s="665"/>
      <c r="S995" s="539"/>
      <c r="T995" s="665"/>
      <c r="U995" s="49"/>
      <c r="V995" s="49"/>
      <c r="W995" s="49"/>
      <c r="X995" s="49"/>
      <c r="Y995" s="49"/>
    </row>
    <row r="996" ht="15.75" customHeight="1">
      <c r="A996" s="38"/>
      <c r="B996" s="49"/>
      <c r="C996" s="15"/>
      <c r="D996" s="663"/>
      <c r="E996" s="664"/>
      <c r="F996" s="665"/>
      <c r="G996" s="539"/>
      <c r="H996" s="373"/>
      <c r="I996" s="665"/>
      <c r="J996" s="666"/>
      <c r="K996" s="665"/>
      <c r="L996" s="667"/>
      <c r="M996" s="668"/>
      <c r="N996" s="373"/>
      <c r="O996" s="373"/>
      <c r="P996" s="670"/>
      <c r="Q996" s="665"/>
      <c r="R996" s="665"/>
      <c r="S996" s="539"/>
      <c r="T996" s="665"/>
      <c r="U996" s="49"/>
      <c r="V996" s="49"/>
      <c r="W996" s="49"/>
      <c r="X996" s="49"/>
      <c r="Y996" s="49"/>
    </row>
    <row r="997" ht="15.75" customHeight="1">
      <c r="A997" s="38"/>
      <c r="B997" s="49"/>
      <c r="C997" s="15"/>
      <c r="D997" s="663"/>
      <c r="E997" s="664"/>
      <c r="F997" s="665"/>
      <c r="G997" s="539"/>
      <c r="H997" s="373"/>
      <c r="I997" s="665"/>
      <c r="J997" s="666"/>
      <c r="K997" s="665"/>
      <c r="L997" s="667"/>
      <c r="M997" s="668"/>
      <c r="N997" s="373"/>
      <c r="O997" s="373"/>
      <c r="P997" s="670"/>
      <c r="Q997" s="665"/>
      <c r="R997" s="665"/>
      <c r="S997" s="539"/>
      <c r="T997" s="665"/>
      <c r="U997" s="49"/>
      <c r="V997" s="49"/>
      <c r="W997" s="49"/>
      <c r="X997" s="49"/>
      <c r="Y997" s="49"/>
    </row>
    <row r="998" ht="15.75" customHeight="1">
      <c r="A998" s="38"/>
      <c r="B998" s="49"/>
      <c r="C998" s="15"/>
      <c r="D998" s="663"/>
      <c r="E998" s="664"/>
      <c r="F998" s="665"/>
      <c r="G998" s="539"/>
      <c r="H998" s="373"/>
      <c r="I998" s="665"/>
      <c r="J998" s="666"/>
      <c r="K998" s="665"/>
      <c r="L998" s="667"/>
      <c r="M998" s="668"/>
      <c r="N998" s="373"/>
      <c r="O998" s="373"/>
      <c r="P998" s="670"/>
      <c r="Q998" s="665"/>
      <c r="R998" s="665"/>
      <c r="S998" s="539"/>
      <c r="T998" s="665"/>
      <c r="U998" s="49"/>
      <c r="V998" s="49"/>
      <c r="W998" s="49"/>
      <c r="X998" s="49"/>
      <c r="Y998" s="49"/>
    </row>
    <row r="999" ht="15.75" customHeight="1">
      <c r="A999" s="38"/>
      <c r="B999" s="49"/>
      <c r="C999" s="15"/>
      <c r="D999" s="663"/>
      <c r="E999" s="664"/>
      <c r="F999" s="665"/>
      <c r="G999" s="539"/>
      <c r="H999" s="373"/>
      <c r="I999" s="665"/>
      <c r="J999" s="666"/>
      <c r="K999" s="665"/>
      <c r="L999" s="667"/>
      <c r="M999" s="668"/>
      <c r="N999" s="373"/>
      <c r="O999" s="373"/>
      <c r="P999" s="670"/>
      <c r="Q999" s="665"/>
      <c r="R999" s="665"/>
      <c r="S999" s="539"/>
      <c r="T999" s="665"/>
      <c r="U999" s="49"/>
      <c r="V999" s="49"/>
      <c r="W999" s="49"/>
      <c r="X999" s="49"/>
      <c r="Y999" s="49"/>
    </row>
    <row r="1000" ht="15.75" customHeight="1">
      <c r="A1000" s="38"/>
      <c r="B1000" s="49"/>
      <c r="C1000" s="15"/>
      <c r="D1000" s="663"/>
      <c r="E1000" s="664"/>
      <c r="F1000" s="665"/>
      <c r="G1000" s="539"/>
      <c r="H1000" s="373"/>
      <c r="I1000" s="665"/>
      <c r="J1000" s="666"/>
      <c r="K1000" s="665"/>
      <c r="L1000" s="667"/>
      <c r="M1000" s="668"/>
      <c r="N1000" s="373"/>
      <c r="O1000" s="373"/>
      <c r="P1000" s="670"/>
      <c r="Q1000" s="665"/>
      <c r="R1000" s="665"/>
      <c r="S1000" s="539"/>
      <c r="T1000" s="665"/>
      <c r="U1000" s="49"/>
      <c r="V1000" s="49"/>
      <c r="W1000" s="49"/>
      <c r="X1000" s="49"/>
      <c r="Y1000" s="49"/>
    </row>
    <row r="1001" ht="15.75" customHeight="1">
      <c r="A1001" s="38"/>
      <c r="B1001" s="49"/>
      <c r="C1001" s="15"/>
      <c r="D1001" s="663"/>
      <c r="E1001" s="664"/>
      <c r="F1001" s="665"/>
      <c r="G1001" s="539"/>
      <c r="H1001" s="373"/>
      <c r="I1001" s="665"/>
      <c r="J1001" s="666"/>
      <c r="K1001" s="665"/>
      <c r="L1001" s="667"/>
      <c r="M1001" s="668"/>
      <c r="N1001" s="373"/>
      <c r="O1001" s="373"/>
      <c r="P1001" s="670"/>
      <c r="Q1001" s="665"/>
      <c r="R1001" s="665"/>
      <c r="S1001" s="539"/>
      <c r="T1001" s="665"/>
      <c r="U1001" s="49"/>
      <c r="V1001" s="49"/>
      <c r="W1001" s="49"/>
      <c r="X1001" s="49"/>
      <c r="Y1001" s="49"/>
    </row>
    <row r="1002" ht="15.75" customHeight="1">
      <c r="A1002" s="38"/>
      <c r="B1002" s="49"/>
      <c r="C1002" s="15"/>
      <c r="D1002" s="663"/>
      <c r="E1002" s="664"/>
      <c r="F1002" s="665"/>
      <c r="G1002" s="539"/>
      <c r="H1002" s="373"/>
      <c r="I1002" s="665"/>
      <c r="J1002" s="666"/>
      <c r="K1002" s="665"/>
      <c r="L1002" s="667"/>
      <c r="M1002" s="668"/>
      <c r="N1002" s="373"/>
      <c r="O1002" s="373"/>
      <c r="P1002" s="670"/>
      <c r="Q1002" s="665"/>
      <c r="R1002" s="665"/>
      <c r="S1002" s="539"/>
      <c r="T1002" s="665"/>
      <c r="U1002" s="49"/>
      <c r="V1002" s="49"/>
      <c r="W1002" s="49"/>
      <c r="X1002" s="49"/>
      <c r="Y1002" s="49"/>
    </row>
    <row r="1003" ht="15.75" customHeight="1">
      <c r="A1003" s="38"/>
      <c r="B1003" s="49"/>
      <c r="C1003" s="15"/>
      <c r="D1003" s="663"/>
      <c r="E1003" s="664"/>
      <c r="F1003" s="665"/>
      <c r="G1003" s="539"/>
      <c r="H1003" s="373"/>
      <c r="I1003" s="665"/>
      <c r="J1003" s="666"/>
      <c r="K1003" s="665"/>
      <c r="L1003" s="667"/>
      <c r="M1003" s="668"/>
      <c r="N1003" s="373"/>
      <c r="O1003" s="373"/>
      <c r="P1003" s="670"/>
      <c r="Q1003" s="665"/>
      <c r="R1003" s="665"/>
      <c r="S1003" s="539"/>
      <c r="T1003" s="665"/>
      <c r="U1003" s="49"/>
      <c r="V1003" s="49"/>
      <c r="W1003" s="49"/>
      <c r="X1003" s="49"/>
      <c r="Y1003" s="49"/>
    </row>
    <row r="1004" ht="15.75" customHeight="1">
      <c r="A1004" s="38"/>
      <c r="B1004" s="49"/>
      <c r="C1004" s="15"/>
      <c r="D1004" s="663"/>
      <c r="E1004" s="664"/>
      <c r="F1004" s="665"/>
      <c r="G1004" s="539"/>
      <c r="H1004" s="373"/>
      <c r="I1004" s="665"/>
      <c r="J1004" s="666"/>
      <c r="K1004" s="665"/>
      <c r="L1004" s="667"/>
      <c r="M1004" s="668"/>
      <c r="N1004" s="373"/>
      <c r="O1004" s="373"/>
      <c r="P1004" s="670"/>
      <c r="Q1004" s="665"/>
      <c r="R1004" s="665"/>
      <c r="S1004" s="539"/>
      <c r="T1004" s="665"/>
      <c r="U1004" s="49"/>
      <c r="V1004" s="49"/>
      <c r="W1004" s="49"/>
      <c r="X1004" s="49"/>
      <c r="Y1004" s="49"/>
    </row>
    <row r="1005" ht="15.75" customHeight="1">
      <c r="A1005" s="38"/>
      <c r="B1005" s="49"/>
      <c r="C1005" s="15"/>
      <c r="D1005" s="663"/>
      <c r="E1005" s="664"/>
      <c r="F1005" s="665"/>
      <c r="G1005" s="539"/>
      <c r="H1005" s="373"/>
      <c r="I1005" s="665"/>
      <c r="J1005" s="666"/>
      <c r="K1005" s="665"/>
      <c r="L1005" s="667"/>
      <c r="M1005" s="668"/>
      <c r="N1005" s="373"/>
      <c r="O1005" s="373"/>
      <c r="P1005" s="670"/>
      <c r="Q1005" s="665"/>
      <c r="R1005" s="665"/>
      <c r="S1005" s="539"/>
      <c r="T1005" s="665"/>
      <c r="U1005" s="49"/>
      <c r="V1005" s="49"/>
      <c r="W1005" s="49"/>
      <c r="X1005" s="49"/>
      <c r="Y1005" s="49"/>
    </row>
    <row r="1006" ht="15.75" customHeight="1">
      <c r="A1006" s="38"/>
      <c r="B1006" s="49"/>
      <c r="C1006" s="15"/>
      <c r="D1006" s="663"/>
      <c r="E1006" s="664"/>
      <c r="F1006" s="665"/>
      <c r="G1006" s="539"/>
      <c r="H1006" s="373"/>
      <c r="I1006" s="665"/>
      <c r="J1006" s="666"/>
      <c r="K1006" s="665"/>
      <c r="L1006" s="667"/>
      <c r="M1006" s="668"/>
      <c r="N1006" s="373"/>
      <c r="O1006" s="373"/>
      <c r="P1006" s="670"/>
      <c r="Q1006" s="665"/>
      <c r="R1006" s="665"/>
      <c r="S1006" s="539"/>
      <c r="T1006" s="665"/>
      <c r="U1006" s="49"/>
      <c r="V1006" s="49"/>
      <c r="W1006" s="49"/>
      <c r="X1006" s="49"/>
      <c r="Y1006" s="49"/>
    </row>
    <row r="1007" ht="15.75" customHeight="1">
      <c r="A1007" s="38"/>
      <c r="B1007" s="49"/>
      <c r="C1007" s="15"/>
      <c r="D1007" s="663"/>
      <c r="E1007" s="664"/>
      <c r="F1007" s="665"/>
      <c r="G1007" s="539"/>
      <c r="H1007" s="373"/>
      <c r="I1007" s="665"/>
      <c r="J1007" s="666"/>
      <c r="K1007" s="665"/>
      <c r="L1007" s="667"/>
      <c r="M1007" s="668"/>
      <c r="N1007" s="373"/>
      <c r="O1007" s="373"/>
      <c r="P1007" s="670"/>
      <c r="Q1007" s="665"/>
      <c r="R1007" s="665"/>
      <c r="S1007" s="539"/>
      <c r="T1007" s="665"/>
      <c r="U1007" s="49"/>
      <c r="V1007" s="49"/>
      <c r="W1007" s="49"/>
      <c r="X1007" s="49"/>
      <c r="Y1007" s="49"/>
    </row>
    <row r="1008" ht="15.75" customHeight="1">
      <c r="A1008" s="38"/>
      <c r="B1008" s="49"/>
      <c r="C1008" s="15"/>
      <c r="D1008" s="663"/>
      <c r="E1008" s="664"/>
      <c r="F1008" s="665"/>
      <c r="G1008" s="539"/>
      <c r="H1008" s="373"/>
      <c r="I1008" s="665"/>
      <c r="J1008" s="666"/>
      <c r="K1008" s="665"/>
      <c r="L1008" s="667"/>
      <c r="M1008" s="668"/>
      <c r="N1008" s="373"/>
      <c r="O1008" s="373"/>
      <c r="P1008" s="670"/>
      <c r="Q1008" s="665"/>
      <c r="R1008" s="665"/>
      <c r="S1008" s="539"/>
      <c r="T1008" s="665"/>
      <c r="U1008" s="49"/>
      <c r="V1008" s="49"/>
      <c r="W1008" s="49"/>
      <c r="X1008" s="49"/>
      <c r="Y1008" s="49"/>
    </row>
    <row r="1009" ht="15.75" customHeight="1">
      <c r="A1009" s="38"/>
      <c r="B1009" s="49"/>
      <c r="C1009" s="15"/>
      <c r="D1009" s="663"/>
      <c r="E1009" s="664"/>
      <c r="F1009" s="665"/>
      <c r="G1009" s="539"/>
      <c r="H1009" s="373"/>
      <c r="I1009" s="665"/>
      <c r="J1009" s="666"/>
      <c r="K1009" s="665"/>
      <c r="L1009" s="667"/>
      <c r="M1009" s="668"/>
      <c r="N1009" s="373"/>
      <c r="O1009" s="373"/>
      <c r="P1009" s="670"/>
      <c r="Q1009" s="665"/>
      <c r="R1009" s="665"/>
      <c r="S1009" s="539"/>
      <c r="T1009" s="665"/>
      <c r="U1009" s="49"/>
      <c r="V1009" s="49"/>
      <c r="W1009" s="49"/>
      <c r="X1009" s="49"/>
      <c r="Y1009" s="49"/>
    </row>
    <row r="1010" ht="15.75" customHeight="1">
      <c r="A1010" s="38"/>
      <c r="B1010" s="49"/>
      <c r="C1010" s="15"/>
      <c r="D1010" s="663"/>
      <c r="E1010" s="664"/>
      <c r="F1010" s="665"/>
      <c r="G1010" s="539"/>
      <c r="H1010" s="373"/>
      <c r="I1010" s="665"/>
      <c r="J1010" s="666"/>
      <c r="K1010" s="665"/>
      <c r="L1010" s="667"/>
      <c r="M1010" s="668"/>
      <c r="N1010" s="373"/>
      <c r="O1010" s="373"/>
      <c r="P1010" s="670"/>
      <c r="Q1010" s="665"/>
      <c r="R1010" s="665"/>
      <c r="S1010" s="539"/>
      <c r="T1010" s="665"/>
      <c r="U1010" s="49"/>
      <c r="V1010" s="49"/>
      <c r="W1010" s="49"/>
      <c r="X1010" s="49"/>
      <c r="Y1010" s="49"/>
    </row>
    <row r="1011" ht="15.75" customHeight="1">
      <c r="A1011" s="38"/>
      <c r="B1011" s="49"/>
      <c r="C1011" s="15"/>
      <c r="D1011" s="663"/>
      <c r="E1011" s="664"/>
      <c r="F1011" s="665"/>
      <c r="G1011" s="539"/>
      <c r="H1011" s="373"/>
      <c r="I1011" s="665"/>
      <c r="J1011" s="666"/>
      <c r="K1011" s="665"/>
      <c r="L1011" s="667"/>
      <c r="M1011" s="668"/>
      <c r="N1011" s="373"/>
      <c r="O1011" s="373"/>
      <c r="P1011" s="670"/>
      <c r="Q1011" s="665"/>
      <c r="R1011" s="665"/>
      <c r="S1011" s="539"/>
      <c r="T1011" s="665"/>
      <c r="U1011" s="49"/>
      <c r="V1011" s="49"/>
      <c r="W1011" s="49"/>
      <c r="X1011" s="49"/>
      <c r="Y1011" s="49"/>
    </row>
    <row r="1012" ht="15.75" customHeight="1">
      <c r="A1012" s="38"/>
      <c r="B1012" s="49"/>
      <c r="C1012" s="15"/>
      <c r="D1012" s="663"/>
      <c r="E1012" s="664"/>
      <c r="F1012" s="665"/>
      <c r="G1012" s="539"/>
      <c r="H1012" s="373"/>
      <c r="I1012" s="665"/>
      <c r="J1012" s="666"/>
      <c r="K1012" s="665"/>
      <c r="L1012" s="667"/>
      <c r="M1012" s="668"/>
      <c r="N1012" s="373"/>
      <c r="O1012" s="373"/>
      <c r="P1012" s="670"/>
      <c r="Q1012" s="665"/>
      <c r="R1012" s="665"/>
      <c r="S1012" s="539"/>
      <c r="T1012" s="665"/>
      <c r="U1012" s="49"/>
      <c r="V1012" s="49"/>
      <c r="W1012" s="49"/>
      <c r="X1012" s="49"/>
      <c r="Y1012" s="49"/>
    </row>
    <row r="1013" ht="15.75" customHeight="1">
      <c r="A1013" s="38"/>
      <c r="B1013" s="49"/>
      <c r="C1013" s="15"/>
      <c r="D1013" s="663"/>
      <c r="E1013" s="664"/>
      <c r="F1013" s="665"/>
      <c r="G1013" s="539"/>
      <c r="H1013" s="373"/>
      <c r="I1013" s="665"/>
      <c r="J1013" s="666"/>
      <c r="K1013" s="665"/>
      <c r="L1013" s="667"/>
      <c r="M1013" s="668"/>
      <c r="N1013" s="373"/>
      <c r="O1013" s="373"/>
      <c r="P1013" s="670"/>
      <c r="Q1013" s="665"/>
      <c r="R1013" s="665"/>
      <c r="S1013" s="539"/>
      <c r="T1013" s="665"/>
      <c r="U1013" s="49"/>
      <c r="V1013" s="49"/>
      <c r="W1013" s="49"/>
      <c r="X1013" s="49"/>
      <c r="Y1013" s="49"/>
    </row>
    <row r="1014" ht="15.75" customHeight="1">
      <c r="A1014" s="38"/>
      <c r="B1014" s="49"/>
      <c r="C1014" s="15"/>
      <c r="D1014" s="663"/>
      <c r="E1014" s="664"/>
      <c r="F1014" s="665"/>
      <c r="G1014" s="539"/>
      <c r="H1014" s="373"/>
      <c r="I1014" s="665"/>
      <c r="J1014" s="666"/>
      <c r="K1014" s="665"/>
      <c r="L1014" s="667"/>
      <c r="M1014" s="668"/>
      <c r="N1014" s="373"/>
      <c r="O1014" s="373"/>
      <c r="P1014" s="670"/>
      <c r="Q1014" s="665"/>
      <c r="R1014" s="665"/>
      <c r="S1014" s="539"/>
      <c r="T1014" s="665"/>
      <c r="U1014" s="49"/>
      <c r="V1014" s="49"/>
      <c r="W1014" s="49"/>
      <c r="X1014" s="49"/>
      <c r="Y1014" s="49"/>
    </row>
    <row r="1015" ht="15.75" customHeight="1">
      <c r="A1015" s="38"/>
      <c r="B1015" s="49"/>
      <c r="C1015" s="15"/>
      <c r="D1015" s="663"/>
      <c r="E1015" s="664"/>
      <c r="F1015" s="665"/>
      <c r="G1015" s="539"/>
      <c r="H1015" s="373"/>
      <c r="I1015" s="665"/>
      <c r="J1015" s="666"/>
      <c r="K1015" s="665"/>
      <c r="L1015" s="667"/>
      <c r="M1015" s="668"/>
      <c r="N1015" s="373"/>
      <c r="O1015" s="373"/>
      <c r="P1015" s="670"/>
      <c r="Q1015" s="665"/>
      <c r="R1015" s="665"/>
      <c r="S1015" s="539"/>
      <c r="T1015" s="665"/>
      <c r="U1015" s="49"/>
      <c r="V1015" s="49"/>
      <c r="W1015" s="49"/>
      <c r="X1015" s="49"/>
      <c r="Y1015" s="49"/>
    </row>
    <row r="1016" ht="15.75" customHeight="1">
      <c r="A1016" s="38"/>
      <c r="B1016" s="49"/>
      <c r="C1016" s="15"/>
      <c r="D1016" s="663"/>
      <c r="E1016" s="664"/>
      <c r="F1016" s="665"/>
      <c r="G1016" s="539"/>
      <c r="H1016" s="373"/>
      <c r="I1016" s="665"/>
      <c r="J1016" s="666"/>
      <c r="K1016" s="665"/>
      <c r="L1016" s="667"/>
      <c r="M1016" s="668"/>
      <c r="N1016" s="373"/>
      <c r="O1016" s="373"/>
      <c r="P1016" s="670"/>
      <c r="Q1016" s="665"/>
      <c r="R1016" s="665"/>
      <c r="S1016" s="539"/>
      <c r="T1016" s="665"/>
      <c r="U1016" s="49"/>
      <c r="V1016" s="49"/>
      <c r="W1016" s="49"/>
      <c r="X1016" s="49"/>
      <c r="Y1016" s="49"/>
    </row>
    <row r="1017" ht="15.75" customHeight="1">
      <c r="A1017" s="38"/>
      <c r="B1017" s="49"/>
      <c r="C1017" s="15"/>
      <c r="D1017" s="663"/>
      <c r="E1017" s="664"/>
      <c r="F1017" s="665"/>
      <c r="G1017" s="539"/>
      <c r="H1017" s="373"/>
      <c r="I1017" s="665"/>
      <c r="J1017" s="666"/>
      <c r="K1017" s="665"/>
      <c r="L1017" s="667"/>
      <c r="M1017" s="668"/>
      <c r="N1017" s="373"/>
      <c r="O1017" s="373"/>
      <c r="P1017" s="670"/>
      <c r="Q1017" s="665"/>
      <c r="R1017" s="665"/>
      <c r="S1017" s="539"/>
      <c r="T1017" s="665"/>
      <c r="U1017" s="49"/>
      <c r="V1017" s="49"/>
      <c r="W1017" s="49"/>
      <c r="X1017" s="49"/>
      <c r="Y1017" s="49"/>
    </row>
    <row r="1018" ht="15.75" customHeight="1">
      <c r="A1018" s="38"/>
      <c r="B1018" s="49"/>
      <c r="C1018" s="15"/>
      <c r="D1018" s="663"/>
      <c r="E1018" s="664"/>
      <c r="F1018" s="665"/>
      <c r="G1018" s="539"/>
      <c r="H1018" s="373"/>
      <c r="I1018" s="665"/>
      <c r="J1018" s="666"/>
      <c r="K1018" s="665"/>
      <c r="L1018" s="667"/>
      <c r="M1018" s="668"/>
      <c r="N1018" s="373"/>
      <c r="O1018" s="373"/>
      <c r="P1018" s="670"/>
      <c r="Q1018" s="665"/>
      <c r="R1018" s="665"/>
      <c r="S1018" s="539"/>
      <c r="T1018" s="665"/>
      <c r="U1018" s="49"/>
      <c r="V1018" s="49"/>
      <c r="W1018" s="49"/>
      <c r="X1018" s="49"/>
      <c r="Y1018" s="49"/>
    </row>
    <row r="1019" ht="15.75" customHeight="1">
      <c r="A1019" s="38"/>
      <c r="B1019" s="49"/>
      <c r="C1019" s="15"/>
      <c r="D1019" s="663"/>
      <c r="E1019" s="664"/>
      <c r="F1019" s="665"/>
      <c r="G1019" s="539"/>
      <c r="H1019" s="373"/>
      <c r="I1019" s="665"/>
      <c r="J1019" s="666"/>
      <c r="K1019" s="665"/>
      <c r="L1019" s="667"/>
      <c r="M1019" s="668"/>
      <c r="N1019" s="373"/>
      <c r="O1019" s="373"/>
      <c r="P1019" s="670"/>
      <c r="Q1019" s="665"/>
      <c r="R1019" s="665"/>
      <c r="S1019" s="539"/>
      <c r="T1019" s="665"/>
      <c r="U1019" s="49"/>
      <c r="V1019" s="49"/>
      <c r="W1019" s="49"/>
      <c r="X1019" s="49"/>
      <c r="Y1019" s="49"/>
    </row>
    <row r="1020" ht="15.75" customHeight="1">
      <c r="A1020" s="38"/>
      <c r="B1020" s="49"/>
      <c r="C1020" s="15"/>
      <c r="D1020" s="663"/>
      <c r="E1020" s="664"/>
      <c r="F1020" s="665"/>
      <c r="G1020" s="539"/>
      <c r="H1020" s="373"/>
      <c r="I1020" s="665"/>
      <c r="J1020" s="666"/>
      <c r="K1020" s="665"/>
      <c r="L1020" s="667"/>
      <c r="M1020" s="668"/>
      <c r="N1020" s="373"/>
      <c r="O1020" s="373"/>
      <c r="P1020" s="670"/>
      <c r="Q1020" s="665"/>
      <c r="R1020" s="665"/>
      <c r="S1020" s="539"/>
      <c r="T1020" s="665"/>
      <c r="U1020" s="49"/>
      <c r="V1020" s="49"/>
      <c r="W1020" s="49"/>
      <c r="X1020" s="49"/>
      <c r="Y1020" s="49"/>
    </row>
    <row r="1021" ht="15.75" customHeight="1">
      <c r="A1021" s="38"/>
      <c r="B1021" s="49"/>
      <c r="C1021" s="15"/>
      <c r="D1021" s="663"/>
      <c r="E1021" s="664"/>
      <c r="F1021" s="665"/>
      <c r="G1021" s="539"/>
      <c r="H1021" s="373"/>
      <c r="I1021" s="665"/>
      <c r="J1021" s="666"/>
      <c r="K1021" s="665"/>
      <c r="L1021" s="667"/>
      <c r="M1021" s="668"/>
      <c r="N1021" s="373"/>
      <c r="O1021" s="373"/>
      <c r="P1021" s="670"/>
      <c r="Q1021" s="665"/>
      <c r="R1021" s="665"/>
      <c r="S1021" s="539"/>
      <c r="T1021" s="665"/>
      <c r="U1021" s="49"/>
      <c r="V1021" s="49"/>
      <c r="W1021" s="49"/>
      <c r="X1021" s="49"/>
      <c r="Y1021" s="49"/>
    </row>
    <row r="1022" ht="15.75" customHeight="1">
      <c r="A1022" s="38"/>
      <c r="B1022" s="49"/>
      <c r="C1022" s="15"/>
      <c r="D1022" s="663"/>
      <c r="E1022" s="664"/>
      <c r="F1022" s="665"/>
      <c r="G1022" s="539"/>
      <c r="H1022" s="373"/>
      <c r="I1022" s="665"/>
      <c r="J1022" s="666"/>
      <c r="K1022" s="665"/>
      <c r="L1022" s="667"/>
      <c r="M1022" s="668"/>
      <c r="N1022" s="373"/>
      <c r="O1022" s="373"/>
      <c r="P1022" s="670"/>
      <c r="Q1022" s="665"/>
      <c r="R1022" s="665"/>
      <c r="S1022" s="539"/>
      <c r="T1022" s="665"/>
      <c r="U1022" s="49"/>
      <c r="V1022" s="49"/>
      <c r="W1022" s="49"/>
      <c r="X1022" s="49"/>
      <c r="Y1022" s="49"/>
    </row>
    <row r="1023" ht="15.75" customHeight="1">
      <c r="A1023" s="38"/>
      <c r="B1023" s="49"/>
      <c r="C1023" s="15"/>
      <c r="D1023" s="663"/>
      <c r="E1023" s="664"/>
      <c r="F1023" s="665"/>
      <c r="G1023" s="539"/>
      <c r="H1023" s="373"/>
      <c r="I1023" s="665"/>
      <c r="J1023" s="666"/>
      <c r="K1023" s="665"/>
      <c r="L1023" s="667"/>
      <c r="M1023" s="668"/>
      <c r="N1023" s="373"/>
      <c r="O1023" s="373"/>
      <c r="P1023" s="670"/>
      <c r="Q1023" s="665"/>
      <c r="R1023" s="665"/>
      <c r="S1023" s="539"/>
      <c r="T1023" s="665"/>
      <c r="U1023" s="49"/>
      <c r="V1023" s="49"/>
      <c r="W1023" s="49"/>
      <c r="X1023" s="49"/>
      <c r="Y1023" s="49"/>
    </row>
    <row r="1024" ht="15.75" customHeight="1">
      <c r="A1024" s="38"/>
      <c r="B1024" s="49"/>
      <c r="C1024" s="15"/>
      <c r="D1024" s="663"/>
      <c r="E1024" s="664"/>
      <c r="F1024" s="665"/>
      <c r="G1024" s="539"/>
      <c r="H1024" s="373"/>
      <c r="I1024" s="665"/>
      <c r="J1024" s="666"/>
      <c r="K1024" s="665"/>
      <c r="L1024" s="667"/>
      <c r="M1024" s="668"/>
      <c r="N1024" s="373"/>
      <c r="O1024" s="373"/>
      <c r="P1024" s="670"/>
      <c r="Q1024" s="665"/>
      <c r="R1024" s="665"/>
      <c r="S1024" s="539"/>
      <c r="T1024" s="665"/>
      <c r="U1024" s="49"/>
      <c r="V1024" s="49"/>
      <c r="W1024" s="49"/>
      <c r="X1024" s="49"/>
      <c r="Y1024" s="49"/>
    </row>
    <row r="1025" ht="15.75" customHeight="1">
      <c r="A1025" s="38"/>
      <c r="B1025" s="49"/>
      <c r="C1025" s="15"/>
      <c r="D1025" s="663"/>
      <c r="E1025" s="664"/>
      <c r="F1025" s="665"/>
      <c r="G1025" s="539"/>
      <c r="H1025" s="373"/>
      <c r="I1025" s="665"/>
      <c r="J1025" s="666"/>
      <c r="K1025" s="665"/>
      <c r="L1025" s="667"/>
      <c r="M1025" s="668"/>
      <c r="N1025" s="373"/>
      <c r="O1025" s="373"/>
      <c r="P1025" s="670"/>
      <c r="Q1025" s="665"/>
      <c r="R1025" s="665"/>
      <c r="S1025" s="539"/>
      <c r="T1025" s="665"/>
      <c r="U1025" s="49"/>
      <c r="V1025" s="49"/>
      <c r="W1025" s="49"/>
      <c r="X1025" s="49"/>
      <c r="Y1025" s="49"/>
    </row>
    <row r="1026" ht="15.75" customHeight="1">
      <c r="A1026" s="38"/>
      <c r="B1026" s="49"/>
      <c r="C1026" s="15"/>
      <c r="D1026" s="663"/>
      <c r="E1026" s="664"/>
      <c r="F1026" s="665"/>
      <c r="G1026" s="539"/>
      <c r="H1026" s="373"/>
      <c r="I1026" s="665"/>
      <c r="J1026" s="666"/>
      <c r="K1026" s="665"/>
      <c r="L1026" s="667"/>
      <c r="M1026" s="668"/>
      <c r="N1026" s="373"/>
      <c r="O1026" s="373"/>
      <c r="P1026" s="670"/>
      <c r="Q1026" s="665"/>
      <c r="R1026" s="665"/>
      <c r="S1026" s="539"/>
      <c r="T1026" s="665"/>
      <c r="U1026" s="49"/>
      <c r="V1026" s="49"/>
      <c r="W1026" s="49"/>
      <c r="X1026" s="49"/>
      <c r="Y1026" s="49"/>
    </row>
    <row r="1027" ht="15.75" customHeight="1">
      <c r="A1027" s="38"/>
      <c r="B1027" s="49"/>
      <c r="C1027" s="15"/>
      <c r="D1027" s="663"/>
      <c r="E1027" s="664"/>
      <c r="F1027" s="665"/>
      <c r="G1027" s="539"/>
      <c r="H1027" s="373"/>
      <c r="I1027" s="665"/>
      <c r="J1027" s="666"/>
      <c r="K1027" s="665"/>
      <c r="L1027" s="667"/>
      <c r="M1027" s="668"/>
      <c r="N1027" s="373"/>
      <c r="O1027" s="373"/>
      <c r="P1027" s="670"/>
      <c r="Q1027" s="665"/>
      <c r="R1027" s="665"/>
      <c r="S1027" s="539"/>
      <c r="T1027" s="665"/>
      <c r="U1027" s="49"/>
      <c r="V1027" s="49"/>
      <c r="W1027" s="49"/>
      <c r="X1027" s="49"/>
      <c r="Y1027" s="49"/>
    </row>
    <row r="1028" ht="15.75" customHeight="1">
      <c r="A1028" s="38"/>
      <c r="B1028" s="49"/>
      <c r="C1028" s="15"/>
      <c r="D1028" s="663"/>
      <c r="E1028" s="664"/>
      <c r="F1028" s="665"/>
      <c r="G1028" s="539"/>
      <c r="H1028" s="373"/>
      <c r="I1028" s="665"/>
      <c r="J1028" s="666"/>
      <c r="K1028" s="665"/>
      <c r="L1028" s="667"/>
      <c r="M1028" s="668"/>
      <c r="N1028" s="373"/>
      <c r="O1028" s="373"/>
      <c r="P1028" s="670"/>
      <c r="Q1028" s="665"/>
      <c r="R1028" s="665"/>
      <c r="S1028" s="539"/>
      <c r="T1028" s="665"/>
      <c r="U1028" s="49"/>
      <c r="V1028" s="49"/>
      <c r="W1028" s="49"/>
      <c r="X1028" s="49"/>
      <c r="Y1028" s="49"/>
    </row>
    <row r="1029" ht="15.75" customHeight="1">
      <c r="A1029" s="38"/>
      <c r="B1029" s="49"/>
      <c r="C1029" s="15"/>
      <c r="D1029" s="663"/>
      <c r="E1029" s="664"/>
      <c r="F1029" s="665"/>
      <c r="G1029" s="539"/>
      <c r="H1029" s="373"/>
      <c r="I1029" s="665"/>
      <c r="J1029" s="666"/>
      <c r="K1029" s="665"/>
      <c r="L1029" s="667"/>
      <c r="M1029" s="668"/>
      <c r="N1029" s="373"/>
      <c r="O1029" s="373"/>
      <c r="P1029" s="670"/>
      <c r="Q1029" s="665"/>
      <c r="R1029" s="665"/>
      <c r="S1029" s="539"/>
      <c r="T1029" s="665"/>
      <c r="U1029" s="49"/>
      <c r="V1029" s="49"/>
      <c r="W1029" s="49"/>
      <c r="X1029" s="49"/>
      <c r="Y1029" s="49"/>
    </row>
    <row r="1030" ht="15.75" customHeight="1">
      <c r="A1030" s="38"/>
      <c r="B1030" s="49"/>
      <c r="C1030" s="15"/>
      <c r="D1030" s="663"/>
      <c r="E1030" s="664"/>
      <c r="F1030" s="665"/>
      <c r="G1030" s="539"/>
      <c r="H1030" s="373"/>
      <c r="I1030" s="665"/>
      <c r="J1030" s="666"/>
      <c r="K1030" s="665"/>
      <c r="L1030" s="667"/>
      <c r="M1030" s="668"/>
      <c r="N1030" s="373"/>
      <c r="O1030" s="373"/>
      <c r="P1030" s="670"/>
      <c r="Q1030" s="665"/>
      <c r="R1030" s="665"/>
      <c r="S1030" s="539"/>
      <c r="T1030" s="665"/>
      <c r="U1030" s="49"/>
      <c r="V1030" s="49"/>
      <c r="W1030" s="49"/>
      <c r="X1030" s="49"/>
      <c r="Y1030" s="49"/>
    </row>
    <row r="1031" ht="15.75" customHeight="1">
      <c r="A1031" s="38"/>
      <c r="B1031" s="49"/>
      <c r="C1031" s="15"/>
      <c r="D1031" s="663"/>
      <c r="E1031" s="664"/>
      <c r="F1031" s="665"/>
      <c r="G1031" s="539"/>
      <c r="H1031" s="373"/>
      <c r="I1031" s="665"/>
      <c r="J1031" s="666"/>
      <c r="K1031" s="665"/>
      <c r="L1031" s="667"/>
      <c r="M1031" s="668"/>
      <c r="N1031" s="373"/>
      <c r="O1031" s="373"/>
      <c r="P1031" s="670"/>
      <c r="Q1031" s="665"/>
      <c r="R1031" s="665"/>
      <c r="S1031" s="539"/>
      <c r="T1031" s="665"/>
      <c r="U1031" s="49"/>
      <c r="V1031" s="49"/>
      <c r="W1031" s="49"/>
      <c r="X1031" s="49"/>
      <c r="Y1031" s="49"/>
    </row>
    <row r="1032" ht="15.75" customHeight="1">
      <c r="A1032" s="38"/>
      <c r="B1032" s="49"/>
      <c r="C1032" s="15"/>
      <c r="D1032" s="663"/>
      <c r="E1032" s="664"/>
      <c r="F1032" s="665"/>
      <c r="G1032" s="539"/>
      <c r="H1032" s="373"/>
      <c r="I1032" s="665"/>
      <c r="J1032" s="666"/>
      <c r="K1032" s="665"/>
      <c r="L1032" s="667"/>
      <c r="M1032" s="668"/>
      <c r="N1032" s="373"/>
      <c r="O1032" s="373"/>
      <c r="P1032" s="670"/>
      <c r="Q1032" s="665"/>
      <c r="R1032" s="665"/>
      <c r="S1032" s="539"/>
      <c r="T1032" s="665"/>
      <c r="U1032" s="49"/>
      <c r="V1032" s="49"/>
      <c r="W1032" s="49"/>
      <c r="X1032" s="49"/>
      <c r="Y1032" s="49"/>
    </row>
    <row r="1033" ht="15.75" customHeight="1">
      <c r="A1033" s="38"/>
      <c r="B1033" s="49"/>
      <c r="C1033" s="15"/>
      <c r="D1033" s="663"/>
      <c r="E1033" s="664"/>
      <c r="F1033" s="665"/>
      <c r="G1033" s="539"/>
      <c r="H1033" s="373"/>
      <c r="I1033" s="665"/>
      <c r="J1033" s="666"/>
      <c r="K1033" s="665"/>
      <c r="L1033" s="667"/>
      <c r="M1033" s="668"/>
      <c r="N1033" s="373"/>
      <c r="O1033" s="373"/>
      <c r="P1033" s="670"/>
      <c r="Q1033" s="665"/>
      <c r="R1033" s="665"/>
      <c r="S1033" s="539"/>
      <c r="T1033" s="665"/>
      <c r="U1033" s="49"/>
      <c r="V1033" s="49"/>
      <c r="W1033" s="49"/>
      <c r="X1033" s="49"/>
      <c r="Y1033" s="49"/>
    </row>
    <row r="1034" ht="15.75" customHeight="1">
      <c r="A1034" s="38"/>
      <c r="B1034" s="49"/>
      <c r="C1034" s="15"/>
      <c r="D1034" s="663"/>
      <c r="E1034" s="664"/>
      <c r="F1034" s="665"/>
      <c r="G1034" s="539"/>
      <c r="H1034" s="373"/>
      <c r="I1034" s="665"/>
      <c r="J1034" s="666"/>
      <c r="K1034" s="665"/>
      <c r="L1034" s="667"/>
      <c r="M1034" s="668"/>
      <c r="N1034" s="373"/>
      <c r="O1034" s="373"/>
      <c r="P1034" s="670"/>
      <c r="Q1034" s="665"/>
      <c r="R1034" s="665"/>
      <c r="S1034" s="539"/>
      <c r="T1034" s="665"/>
      <c r="U1034" s="49"/>
      <c r="V1034" s="49"/>
      <c r="W1034" s="49"/>
      <c r="X1034" s="49"/>
      <c r="Y1034" s="49"/>
    </row>
    <row r="1035" ht="15.75" customHeight="1">
      <c r="A1035" s="38"/>
      <c r="B1035" s="49"/>
      <c r="C1035" s="15"/>
      <c r="D1035" s="663"/>
      <c r="E1035" s="664"/>
      <c r="F1035" s="665"/>
      <c r="G1035" s="539"/>
      <c r="H1035" s="373"/>
      <c r="I1035" s="665"/>
      <c r="J1035" s="666"/>
      <c r="K1035" s="665"/>
      <c r="L1035" s="667"/>
      <c r="M1035" s="668"/>
      <c r="N1035" s="373"/>
      <c r="O1035" s="373"/>
      <c r="P1035" s="670"/>
      <c r="Q1035" s="665"/>
      <c r="R1035" s="665"/>
      <c r="S1035" s="539"/>
      <c r="T1035" s="665"/>
      <c r="U1035" s="49"/>
      <c r="V1035" s="49"/>
      <c r="W1035" s="49"/>
      <c r="X1035" s="49"/>
      <c r="Y1035" s="49"/>
    </row>
    <row r="1036" ht="15.75" customHeight="1">
      <c r="A1036" s="38"/>
      <c r="B1036" s="49"/>
      <c r="C1036" s="15"/>
      <c r="D1036" s="663"/>
      <c r="E1036" s="664"/>
      <c r="F1036" s="665"/>
      <c r="G1036" s="539"/>
      <c r="H1036" s="373"/>
      <c r="I1036" s="665"/>
      <c r="J1036" s="666"/>
      <c r="K1036" s="665"/>
      <c r="L1036" s="667"/>
      <c r="M1036" s="668"/>
      <c r="N1036" s="373"/>
      <c r="O1036" s="373"/>
      <c r="P1036" s="670"/>
      <c r="Q1036" s="665"/>
      <c r="R1036" s="665"/>
      <c r="S1036" s="539"/>
      <c r="T1036" s="665"/>
      <c r="U1036" s="49"/>
      <c r="V1036" s="49"/>
      <c r="W1036" s="49"/>
      <c r="X1036" s="49"/>
      <c r="Y1036" s="49"/>
    </row>
    <row r="1037" ht="15.75" customHeight="1">
      <c r="A1037" s="38"/>
      <c r="B1037" s="49"/>
      <c r="C1037" s="15"/>
      <c r="D1037" s="663"/>
      <c r="E1037" s="664"/>
      <c r="F1037" s="665"/>
      <c r="G1037" s="539"/>
      <c r="H1037" s="373"/>
      <c r="I1037" s="665"/>
      <c r="J1037" s="666"/>
      <c r="K1037" s="665"/>
      <c r="L1037" s="667"/>
      <c r="M1037" s="668"/>
      <c r="N1037" s="373"/>
      <c r="O1037" s="373"/>
      <c r="P1037" s="670"/>
      <c r="Q1037" s="665"/>
      <c r="R1037" s="665"/>
      <c r="S1037" s="539"/>
      <c r="T1037" s="665"/>
      <c r="U1037" s="49"/>
      <c r="V1037" s="49"/>
      <c r="W1037" s="49"/>
      <c r="X1037" s="49"/>
      <c r="Y1037" s="49"/>
    </row>
    <row r="1038" ht="15.75" customHeight="1">
      <c r="A1038" s="38"/>
      <c r="B1038" s="49"/>
      <c r="C1038" s="15"/>
      <c r="D1038" s="663"/>
      <c r="E1038" s="664"/>
      <c r="F1038" s="665"/>
      <c r="G1038" s="539"/>
      <c r="H1038" s="373"/>
      <c r="I1038" s="665"/>
      <c r="J1038" s="666"/>
      <c r="K1038" s="665"/>
      <c r="L1038" s="667"/>
      <c r="M1038" s="668"/>
      <c r="N1038" s="373"/>
      <c r="O1038" s="373"/>
      <c r="P1038" s="670"/>
      <c r="Q1038" s="665"/>
      <c r="R1038" s="665"/>
      <c r="S1038" s="539"/>
      <c r="T1038" s="665"/>
      <c r="U1038" s="49"/>
      <c r="V1038" s="49"/>
      <c r="W1038" s="49"/>
      <c r="X1038" s="49"/>
      <c r="Y1038" s="49"/>
    </row>
    <row r="1039" ht="15.75" customHeight="1">
      <c r="A1039" s="38"/>
      <c r="B1039" s="49"/>
      <c r="C1039" s="15"/>
      <c r="D1039" s="663"/>
      <c r="E1039" s="664"/>
      <c r="F1039" s="665"/>
      <c r="G1039" s="539"/>
      <c r="H1039" s="373"/>
      <c r="I1039" s="665"/>
      <c r="J1039" s="666"/>
      <c r="K1039" s="665"/>
      <c r="L1039" s="667"/>
      <c r="M1039" s="668"/>
      <c r="N1039" s="373"/>
      <c r="O1039" s="373"/>
      <c r="P1039" s="670"/>
      <c r="Q1039" s="665"/>
      <c r="R1039" s="665"/>
      <c r="S1039" s="539"/>
      <c r="T1039" s="665"/>
      <c r="U1039" s="49"/>
      <c r="V1039" s="49"/>
      <c r="W1039" s="49"/>
      <c r="X1039" s="49"/>
      <c r="Y1039" s="49"/>
    </row>
    <row r="1040" ht="15.75" customHeight="1">
      <c r="A1040" s="38"/>
      <c r="B1040" s="49"/>
      <c r="C1040" s="15"/>
      <c r="D1040" s="663"/>
      <c r="E1040" s="664"/>
      <c r="F1040" s="665"/>
      <c r="G1040" s="539"/>
      <c r="H1040" s="373"/>
      <c r="I1040" s="665"/>
      <c r="J1040" s="666"/>
      <c r="K1040" s="665"/>
      <c r="L1040" s="667"/>
      <c r="M1040" s="668"/>
      <c r="N1040" s="373"/>
      <c r="O1040" s="373"/>
      <c r="P1040" s="670"/>
      <c r="Q1040" s="665"/>
      <c r="R1040" s="665"/>
      <c r="S1040" s="539"/>
      <c r="T1040" s="665"/>
      <c r="U1040" s="49"/>
      <c r="V1040" s="49"/>
      <c r="W1040" s="49"/>
      <c r="X1040" s="49"/>
      <c r="Y1040" s="49"/>
    </row>
    <row r="1041" ht="15.75" customHeight="1">
      <c r="A1041" s="38"/>
      <c r="B1041" s="49"/>
      <c r="C1041" s="15"/>
      <c r="D1041" s="663"/>
      <c r="E1041" s="664"/>
      <c r="F1041" s="665"/>
      <c r="G1041" s="539"/>
      <c r="H1041" s="373"/>
      <c r="I1041" s="665"/>
      <c r="J1041" s="666"/>
      <c r="K1041" s="665"/>
      <c r="L1041" s="667"/>
      <c r="M1041" s="668"/>
      <c r="N1041" s="373"/>
      <c r="O1041" s="373"/>
      <c r="P1041" s="670"/>
      <c r="Q1041" s="665"/>
      <c r="R1041" s="665"/>
      <c r="S1041" s="539"/>
      <c r="T1041" s="665"/>
      <c r="U1041" s="49"/>
      <c r="V1041" s="49"/>
      <c r="W1041" s="49"/>
      <c r="X1041" s="49"/>
      <c r="Y1041" s="49"/>
    </row>
    <row r="1042" ht="15.75" customHeight="1">
      <c r="A1042" s="38"/>
      <c r="B1042" s="49"/>
      <c r="C1042" s="15"/>
      <c r="D1042" s="663"/>
      <c r="E1042" s="664"/>
      <c r="F1042" s="665"/>
      <c r="G1042" s="539"/>
      <c r="H1042" s="373"/>
      <c r="I1042" s="665"/>
      <c r="J1042" s="666"/>
      <c r="K1042" s="665"/>
      <c r="L1042" s="667"/>
      <c r="M1042" s="668"/>
      <c r="N1042" s="373"/>
      <c r="O1042" s="373"/>
      <c r="P1042" s="670"/>
      <c r="Q1042" s="665"/>
      <c r="R1042" s="665"/>
      <c r="S1042" s="539"/>
      <c r="T1042" s="665"/>
      <c r="U1042" s="49"/>
      <c r="V1042" s="49"/>
      <c r="W1042" s="49"/>
      <c r="X1042" s="49"/>
      <c r="Y1042" s="49"/>
    </row>
    <row r="1043" ht="15.75" customHeight="1">
      <c r="A1043" s="38"/>
      <c r="B1043" s="49"/>
      <c r="C1043" s="15"/>
      <c r="D1043" s="663"/>
      <c r="E1043" s="664"/>
      <c r="F1043" s="665"/>
      <c r="G1043" s="539"/>
      <c r="H1043" s="373"/>
      <c r="I1043" s="665"/>
      <c r="J1043" s="666"/>
      <c r="K1043" s="665"/>
      <c r="L1043" s="667"/>
      <c r="M1043" s="668"/>
      <c r="N1043" s="373"/>
      <c r="O1043" s="373"/>
      <c r="P1043" s="670"/>
      <c r="Q1043" s="665"/>
      <c r="R1043" s="665"/>
      <c r="S1043" s="539"/>
      <c r="T1043" s="665"/>
      <c r="U1043" s="49"/>
      <c r="V1043" s="49"/>
      <c r="W1043" s="49"/>
      <c r="X1043" s="49"/>
      <c r="Y1043" s="49"/>
    </row>
    <row r="1044" ht="15.75" customHeight="1">
      <c r="A1044" s="38"/>
      <c r="B1044" s="49"/>
      <c r="C1044" s="15"/>
      <c r="D1044" s="663"/>
      <c r="E1044" s="664"/>
      <c r="F1044" s="665"/>
      <c r="G1044" s="539"/>
      <c r="H1044" s="373"/>
      <c r="I1044" s="665"/>
      <c r="J1044" s="666"/>
      <c r="K1044" s="665"/>
      <c r="L1044" s="667"/>
      <c r="M1044" s="668"/>
      <c r="N1044" s="373"/>
      <c r="O1044" s="373"/>
      <c r="P1044" s="670"/>
      <c r="Q1044" s="665"/>
      <c r="R1044" s="665"/>
      <c r="S1044" s="539"/>
      <c r="T1044" s="665"/>
      <c r="U1044" s="49"/>
      <c r="V1044" s="49"/>
      <c r="W1044" s="49"/>
      <c r="X1044" s="49"/>
      <c r="Y1044" s="49"/>
    </row>
    <row r="1045" ht="15.75" customHeight="1">
      <c r="A1045" s="38"/>
      <c r="B1045" s="49"/>
      <c r="C1045" s="15"/>
      <c r="D1045" s="663"/>
      <c r="E1045" s="664"/>
      <c r="F1045" s="665"/>
      <c r="G1045" s="539"/>
      <c r="H1045" s="373"/>
      <c r="I1045" s="665"/>
      <c r="J1045" s="666"/>
      <c r="K1045" s="665"/>
      <c r="L1045" s="667"/>
      <c r="M1045" s="668"/>
      <c r="N1045" s="373"/>
      <c r="O1045" s="373"/>
      <c r="P1045" s="670"/>
      <c r="Q1045" s="665"/>
      <c r="R1045" s="665"/>
      <c r="S1045" s="539"/>
      <c r="T1045" s="665"/>
      <c r="U1045" s="49"/>
      <c r="V1045" s="49"/>
      <c r="W1045" s="49"/>
      <c r="X1045" s="49"/>
      <c r="Y1045" s="49"/>
    </row>
    <row r="1046" ht="15.75" customHeight="1">
      <c r="A1046" s="38"/>
      <c r="B1046" s="49"/>
      <c r="C1046" s="15"/>
      <c r="D1046" s="663"/>
      <c r="E1046" s="664"/>
      <c r="F1046" s="665"/>
      <c r="G1046" s="539"/>
      <c r="H1046" s="373"/>
      <c r="I1046" s="665"/>
      <c r="J1046" s="666"/>
      <c r="K1046" s="665"/>
      <c r="L1046" s="667"/>
      <c r="M1046" s="668"/>
      <c r="N1046" s="373"/>
      <c r="O1046" s="373"/>
      <c r="P1046" s="670"/>
      <c r="Q1046" s="665"/>
      <c r="R1046" s="665"/>
      <c r="S1046" s="539"/>
      <c r="T1046" s="665"/>
      <c r="U1046" s="49"/>
      <c r="V1046" s="49"/>
      <c r="W1046" s="49"/>
      <c r="X1046" s="49"/>
      <c r="Y1046" s="49"/>
    </row>
    <row r="1047" ht="15.75" customHeight="1">
      <c r="A1047" s="38"/>
      <c r="B1047" s="49"/>
      <c r="C1047" s="15"/>
      <c r="D1047" s="663"/>
      <c r="E1047" s="664"/>
      <c r="F1047" s="665"/>
      <c r="G1047" s="539"/>
      <c r="H1047" s="373"/>
      <c r="I1047" s="665"/>
      <c r="J1047" s="666"/>
      <c r="K1047" s="665"/>
      <c r="L1047" s="667"/>
      <c r="M1047" s="668"/>
      <c r="N1047" s="373"/>
      <c r="O1047" s="373"/>
      <c r="P1047" s="670"/>
      <c r="Q1047" s="665"/>
      <c r="R1047" s="665"/>
      <c r="S1047" s="539"/>
      <c r="T1047" s="665"/>
      <c r="U1047" s="49"/>
      <c r="V1047" s="49"/>
      <c r="W1047" s="49"/>
      <c r="X1047" s="49"/>
      <c r="Y1047" s="49"/>
    </row>
    <row r="1048" ht="15.75" customHeight="1">
      <c r="A1048" s="38"/>
      <c r="B1048" s="49"/>
      <c r="C1048" s="15"/>
      <c r="D1048" s="663"/>
      <c r="E1048" s="664"/>
      <c r="F1048" s="665"/>
      <c r="G1048" s="539"/>
      <c r="H1048" s="373"/>
      <c r="I1048" s="665"/>
      <c r="J1048" s="666"/>
      <c r="K1048" s="665"/>
      <c r="L1048" s="667"/>
      <c r="M1048" s="668"/>
      <c r="N1048" s="373"/>
      <c r="O1048" s="373"/>
      <c r="P1048" s="670"/>
      <c r="Q1048" s="665"/>
      <c r="R1048" s="665"/>
      <c r="S1048" s="539"/>
      <c r="T1048" s="665"/>
      <c r="U1048" s="49"/>
      <c r="V1048" s="49"/>
      <c r="W1048" s="49"/>
      <c r="X1048" s="49"/>
      <c r="Y1048" s="49"/>
    </row>
    <row r="1049" ht="15.75" customHeight="1">
      <c r="A1049" s="38"/>
      <c r="B1049" s="49"/>
      <c r="C1049" s="15"/>
      <c r="D1049" s="663"/>
      <c r="E1049" s="664"/>
      <c r="F1049" s="665"/>
      <c r="G1049" s="539"/>
      <c r="H1049" s="373"/>
      <c r="I1049" s="665"/>
      <c r="J1049" s="666"/>
      <c r="K1049" s="665"/>
      <c r="L1049" s="667"/>
      <c r="M1049" s="668"/>
      <c r="N1049" s="373"/>
      <c r="O1049" s="373"/>
      <c r="P1049" s="670"/>
      <c r="Q1049" s="665"/>
      <c r="R1049" s="665"/>
      <c r="S1049" s="539"/>
      <c r="T1049" s="665"/>
      <c r="U1049" s="49"/>
      <c r="V1049" s="49"/>
      <c r="W1049" s="49"/>
      <c r="X1049" s="49"/>
      <c r="Y1049" s="49"/>
    </row>
    <row r="1050" ht="15.75" customHeight="1">
      <c r="A1050" s="38"/>
      <c r="B1050" s="49"/>
      <c r="C1050" s="15"/>
      <c r="D1050" s="663"/>
      <c r="E1050" s="664"/>
      <c r="F1050" s="665"/>
      <c r="G1050" s="539"/>
      <c r="H1050" s="373"/>
      <c r="I1050" s="665"/>
      <c r="J1050" s="666"/>
      <c r="K1050" s="665"/>
      <c r="L1050" s="667"/>
      <c r="M1050" s="668"/>
      <c r="N1050" s="373"/>
      <c r="O1050" s="373"/>
      <c r="P1050" s="670"/>
      <c r="Q1050" s="665"/>
      <c r="R1050" s="665"/>
      <c r="S1050" s="539"/>
      <c r="T1050" s="665"/>
      <c r="U1050" s="49"/>
      <c r="V1050" s="49"/>
      <c r="W1050" s="49"/>
      <c r="X1050" s="49"/>
      <c r="Y1050" s="49"/>
    </row>
    <row r="1051" ht="15.75" customHeight="1">
      <c r="A1051" s="38"/>
      <c r="B1051" s="49"/>
      <c r="C1051" s="15"/>
      <c r="D1051" s="663"/>
      <c r="E1051" s="664"/>
      <c r="F1051" s="665"/>
      <c r="G1051" s="539"/>
      <c r="H1051" s="373"/>
      <c r="I1051" s="665"/>
      <c r="J1051" s="666"/>
      <c r="K1051" s="665"/>
      <c r="L1051" s="667"/>
      <c r="M1051" s="668"/>
      <c r="N1051" s="373"/>
      <c r="O1051" s="373"/>
      <c r="P1051" s="670"/>
      <c r="Q1051" s="665"/>
      <c r="R1051" s="665"/>
      <c r="S1051" s="539"/>
      <c r="T1051" s="665"/>
      <c r="U1051" s="49"/>
      <c r="V1051" s="49"/>
      <c r="W1051" s="49"/>
      <c r="X1051" s="49"/>
      <c r="Y1051" s="49"/>
    </row>
    <row r="1052" ht="15.75" customHeight="1">
      <c r="A1052" s="38"/>
      <c r="B1052" s="49"/>
      <c r="C1052" s="15"/>
      <c r="D1052" s="663"/>
      <c r="E1052" s="664"/>
      <c r="F1052" s="665"/>
      <c r="G1052" s="539"/>
      <c r="H1052" s="373"/>
      <c r="I1052" s="665"/>
      <c r="J1052" s="666"/>
      <c r="K1052" s="665"/>
      <c r="L1052" s="667"/>
      <c r="M1052" s="668"/>
      <c r="N1052" s="373"/>
      <c r="O1052" s="373"/>
      <c r="P1052" s="670"/>
      <c r="Q1052" s="665"/>
      <c r="R1052" s="665"/>
      <c r="S1052" s="539"/>
      <c r="T1052" s="665"/>
      <c r="U1052" s="49"/>
      <c r="V1052" s="49"/>
      <c r="W1052" s="49"/>
      <c r="X1052" s="49"/>
      <c r="Y1052" s="49"/>
    </row>
    <row r="1053" ht="15.75" customHeight="1">
      <c r="A1053" s="38"/>
      <c r="B1053" s="49"/>
      <c r="C1053" s="15"/>
      <c r="D1053" s="663"/>
      <c r="E1053" s="664"/>
      <c r="F1053" s="665"/>
      <c r="G1053" s="539"/>
      <c r="H1053" s="373"/>
      <c r="I1053" s="665"/>
      <c r="J1053" s="666"/>
      <c r="K1053" s="665"/>
      <c r="L1053" s="667"/>
      <c r="M1053" s="668"/>
      <c r="N1053" s="373"/>
      <c r="O1053" s="373"/>
      <c r="P1053" s="670"/>
      <c r="Q1053" s="665"/>
      <c r="R1053" s="665"/>
      <c r="S1053" s="539"/>
      <c r="T1053" s="665"/>
      <c r="U1053" s="49"/>
      <c r="V1053" s="49"/>
      <c r="W1053" s="49"/>
      <c r="X1053" s="49"/>
      <c r="Y1053" s="49"/>
    </row>
    <row r="1054" ht="15.75" customHeight="1">
      <c r="A1054" s="38"/>
      <c r="B1054" s="49"/>
      <c r="C1054" s="15"/>
      <c r="D1054" s="663"/>
      <c r="E1054" s="664"/>
      <c r="F1054" s="665"/>
      <c r="G1054" s="539"/>
      <c r="H1054" s="373"/>
      <c r="I1054" s="665"/>
      <c r="J1054" s="666"/>
      <c r="K1054" s="665"/>
      <c r="L1054" s="667"/>
      <c r="M1054" s="668"/>
      <c r="N1054" s="373"/>
      <c r="O1054" s="373"/>
      <c r="P1054" s="670"/>
      <c r="Q1054" s="665"/>
      <c r="R1054" s="665"/>
      <c r="S1054" s="539"/>
      <c r="T1054" s="665"/>
      <c r="U1054" s="49"/>
      <c r="V1054" s="49"/>
      <c r="W1054" s="49"/>
      <c r="X1054" s="49"/>
      <c r="Y1054" s="49"/>
    </row>
    <row r="1055" ht="15.75" customHeight="1">
      <c r="A1055" s="38"/>
      <c r="B1055" s="49"/>
      <c r="C1055" s="15"/>
      <c r="D1055" s="663"/>
      <c r="E1055" s="664"/>
      <c r="F1055" s="665"/>
      <c r="G1055" s="539"/>
      <c r="H1055" s="373"/>
      <c r="I1055" s="665"/>
      <c r="J1055" s="666"/>
      <c r="K1055" s="665"/>
      <c r="L1055" s="667"/>
      <c r="M1055" s="668"/>
      <c r="N1055" s="373"/>
      <c r="O1055" s="373"/>
      <c r="P1055" s="670"/>
      <c r="Q1055" s="665"/>
      <c r="R1055" s="665"/>
      <c r="S1055" s="539"/>
      <c r="T1055" s="665"/>
      <c r="U1055" s="49"/>
      <c r="V1055" s="49"/>
      <c r="W1055" s="49"/>
      <c r="X1055" s="49"/>
      <c r="Y1055" s="49"/>
    </row>
    <row r="1056" ht="15.75" customHeight="1">
      <c r="A1056" s="38"/>
      <c r="B1056" s="49"/>
      <c r="C1056" s="15"/>
      <c r="D1056" s="663"/>
      <c r="E1056" s="664"/>
      <c r="F1056" s="665"/>
      <c r="G1056" s="539"/>
      <c r="H1056" s="373"/>
      <c r="I1056" s="665"/>
      <c r="J1056" s="666"/>
      <c r="K1056" s="665"/>
      <c r="L1056" s="667"/>
      <c r="M1056" s="668"/>
      <c r="N1056" s="373"/>
      <c r="O1056" s="373"/>
      <c r="P1056" s="670"/>
      <c r="Q1056" s="665"/>
      <c r="R1056" s="665"/>
      <c r="S1056" s="539"/>
      <c r="T1056" s="665"/>
      <c r="U1056" s="49"/>
      <c r="V1056" s="49"/>
      <c r="W1056" s="49"/>
      <c r="X1056" s="49"/>
      <c r="Y1056" s="49"/>
    </row>
    <row r="1057" ht="15.75" customHeight="1">
      <c r="A1057" s="38"/>
      <c r="B1057" s="49"/>
      <c r="C1057" s="15"/>
      <c r="D1057" s="663"/>
      <c r="E1057" s="664"/>
      <c r="F1057" s="665"/>
      <c r="G1057" s="539"/>
      <c r="H1057" s="373"/>
      <c r="I1057" s="665"/>
      <c r="J1057" s="666"/>
      <c r="K1057" s="665"/>
      <c r="L1057" s="667"/>
      <c r="M1057" s="668"/>
      <c r="N1057" s="373"/>
      <c r="O1057" s="373"/>
      <c r="P1057" s="670"/>
      <c r="Q1057" s="665"/>
      <c r="R1057" s="665"/>
      <c r="S1057" s="539"/>
      <c r="T1057" s="665"/>
      <c r="U1057" s="49"/>
      <c r="V1057" s="49"/>
      <c r="W1057" s="49"/>
      <c r="X1057" s="49"/>
      <c r="Y1057" s="49"/>
    </row>
    <row r="1058" ht="15.75" customHeight="1">
      <c r="A1058" s="38"/>
      <c r="B1058" s="49"/>
      <c r="C1058" s="15"/>
      <c r="D1058" s="663"/>
      <c r="E1058" s="664"/>
      <c r="F1058" s="665"/>
      <c r="G1058" s="539"/>
      <c r="H1058" s="373"/>
      <c r="I1058" s="665"/>
      <c r="J1058" s="666"/>
      <c r="K1058" s="665"/>
      <c r="L1058" s="667"/>
      <c r="M1058" s="668"/>
      <c r="N1058" s="373"/>
      <c r="O1058" s="373"/>
      <c r="P1058" s="670"/>
      <c r="Q1058" s="665"/>
      <c r="R1058" s="665"/>
      <c r="S1058" s="539"/>
      <c r="T1058" s="665"/>
      <c r="U1058" s="49"/>
      <c r="V1058" s="49"/>
      <c r="W1058" s="49"/>
      <c r="X1058" s="49"/>
      <c r="Y1058" s="49"/>
    </row>
    <row r="1059" ht="15.75" customHeight="1">
      <c r="A1059" s="38"/>
      <c r="B1059" s="49"/>
      <c r="C1059" s="15"/>
      <c r="D1059" s="663"/>
      <c r="E1059" s="664"/>
      <c r="F1059" s="665"/>
      <c r="G1059" s="539"/>
      <c r="H1059" s="373"/>
      <c r="I1059" s="665"/>
      <c r="J1059" s="666"/>
      <c r="K1059" s="665"/>
      <c r="L1059" s="667"/>
      <c r="M1059" s="668"/>
      <c r="N1059" s="373"/>
      <c r="O1059" s="373"/>
      <c r="P1059" s="670"/>
      <c r="Q1059" s="665"/>
      <c r="R1059" s="665"/>
      <c r="S1059" s="539"/>
      <c r="T1059" s="665"/>
      <c r="U1059" s="49"/>
      <c r="V1059" s="49"/>
      <c r="W1059" s="49"/>
      <c r="X1059" s="49"/>
      <c r="Y1059" s="49"/>
    </row>
    <row r="1060" ht="15.75" customHeight="1">
      <c r="A1060" s="38"/>
      <c r="B1060" s="49"/>
      <c r="C1060" s="15"/>
      <c r="D1060" s="663"/>
      <c r="E1060" s="664"/>
      <c r="F1060" s="665"/>
      <c r="G1060" s="539"/>
      <c r="H1060" s="373"/>
      <c r="I1060" s="665"/>
      <c r="J1060" s="666"/>
      <c r="K1060" s="665"/>
      <c r="L1060" s="667"/>
      <c r="M1060" s="668"/>
      <c r="N1060" s="373"/>
      <c r="O1060" s="373"/>
      <c r="P1060" s="670"/>
      <c r="Q1060" s="665"/>
      <c r="R1060" s="665"/>
      <c r="S1060" s="539"/>
      <c r="T1060" s="665"/>
      <c r="U1060" s="49"/>
      <c r="V1060" s="49"/>
      <c r="W1060" s="49"/>
      <c r="X1060" s="49"/>
      <c r="Y1060" s="49"/>
    </row>
    <row r="1061" ht="15.75" customHeight="1">
      <c r="A1061" s="38"/>
      <c r="B1061" s="49"/>
      <c r="C1061" s="15"/>
      <c r="D1061" s="663"/>
      <c r="E1061" s="664"/>
      <c r="F1061" s="665"/>
      <c r="G1061" s="539"/>
      <c r="H1061" s="373"/>
      <c r="I1061" s="665"/>
      <c r="J1061" s="666"/>
      <c r="K1061" s="665"/>
      <c r="L1061" s="667"/>
      <c r="M1061" s="668"/>
      <c r="N1061" s="373"/>
      <c r="O1061" s="373"/>
      <c r="P1061" s="670"/>
      <c r="Q1061" s="665"/>
      <c r="R1061" s="665"/>
      <c r="S1061" s="539"/>
      <c r="T1061" s="665"/>
      <c r="U1061" s="49"/>
      <c r="V1061" s="49"/>
      <c r="W1061" s="49"/>
      <c r="X1061" s="49"/>
      <c r="Y1061" s="49"/>
    </row>
    <row r="1062" ht="15.75" customHeight="1">
      <c r="A1062" s="38"/>
      <c r="B1062" s="49"/>
      <c r="C1062" s="15"/>
      <c r="D1062" s="663"/>
      <c r="E1062" s="664"/>
      <c r="F1062" s="665"/>
      <c r="G1062" s="539"/>
      <c r="H1062" s="373"/>
      <c r="I1062" s="665"/>
      <c r="J1062" s="666"/>
      <c r="K1062" s="665"/>
      <c r="L1062" s="667"/>
      <c r="M1062" s="668"/>
      <c r="N1062" s="373"/>
      <c r="O1062" s="373"/>
      <c r="P1062" s="670"/>
      <c r="Q1062" s="665"/>
      <c r="R1062" s="665"/>
      <c r="S1062" s="539"/>
      <c r="T1062" s="665"/>
      <c r="U1062" s="49"/>
      <c r="V1062" s="49"/>
      <c r="W1062" s="49"/>
      <c r="X1062" s="49"/>
      <c r="Y1062" s="49"/>
    </row>
    <row r="1063" ht="15.75" customHeight="1">
      <c r="A1063" s="38"/>
      <c r="B1063" s="49"/>
      <c r="C1063" s="15"/>
      <c r="D1063" s="663"/>
      <c r="E1063" s="664"/>
      <c r="F1063" s="665"/>
      <c r="G1063" s="539"/>
      <c r="H1063" s="373"/>
      <c r="I1063" s="665"/>
      <c r="J1063" s="666"/>
      <c r="K1063" s="665"/>
      <c r="L1063" s="667"/>
      <c r="M1063" s="668"/>
      <c r="N1063" s="373"/>
      <c r="O1063" s="373"/>
      <c r="P1063" s="670"/>
      <c r="Q1063" s="665"/>
      <c r="R1063" s="665"/>
      <c r="S1063" s="539"/>
      <c r="T1063" s="665"/>
      <c r="U1063" s="49"/>
      <c r="V1063" s="49"/>
      <c r="W1063" s="49"/>
      <c r="X1063" s="49"/>
      <c r="Y1063" s="49"/>
    </row>
    <row r="1064" ht="15.75" customHeight="1">
      <c r="A1064" s="38"/>
      <c r="B1064" s="49"/>
      <c r="C1064" s="15"/>
      <c r="D1064" s="663"/>
      <c r="E1064" s="664"/>
      <c r="F1064" s="665"/>
      <c r="G1064" s="539"/>
      <c r="H1064" s="373"/>
      <c r="I1064" s="665"/>
      <c r="J1064" s="666"/>
      <c r="K1064" s="665"/>
      <c r="L1064" s="667"/>
      <c r="M1064" s="668"/>
      <c r="N1064" s="373"/>
      <c r="O1064" s="373"/>
      <c r="P1064" s="670"/>
      <c r="Q1064" s="665"/>
      <c r="R1064" s="665"/>
      <c r="S1064" s="539"/>
      <c r="T1064" s="665"/>
      <c r="U1064" s="49"/>
      <c r="V1064" s="49"/>
      <c r="W1064" s="49"/>
      <c r="X1064" s="49"/>
      <c r="Y1064" s="49"/>
    </row>
    <row r="1065" ht="15.75" customHeight="1">
      <c r="A1065" s="38"/>
      <c r="B1065" s="49"/>
      <c r="C1065" s="15"/>
      <c r="D1065" s="663"/>
      <c r="E1065" s="664"/>
      <c r="F1065" s="665"/>
      <c r="G1065" s="539"/>
      <c r="H1065" s="373"/>
      <c r="I1065" s="665"/>
      <c r="J1065" s="666"/>
      <c r="K1065" s="665"/>
      <c r="L1065" s="667"/>
      <c r="M1065" s="668"/>
      <c r="N1065" s="373"/>
      <c r="O1065" s="373"/>
      <c r="P1065" s="670"/>
      <c r="Q1065" s="665"/>
      <c r="R1065" s="665"/>
      <c r="S1065" s="539"/>
      <c r="T1065" s="665"/>
      <c r="U1065" s="49"/>
      <c r="V1065" s="49"/>
      <c r="W1065" s="49"/>
      <c r="X1065" s="49"/>
      <c r="Y1065" s="49"/>
    </row>
    <row r="1066" ht="15.75" customHeight="1">
      <c r="A1066" s="38"/>
      <c r="B1066" s="49"/>
      <c r="C1066" s="15"/>
      <c r="D1066" s="663"/>
      <c r="E1066" s="664"/>
      <c r="F1066" s="665"/>
      <c r="G1066" s="539"/>
      <c r="H1066" s="373"/>
      <c r="I1066" s="665"/>
      <c r="J1066" s="666"/>
      <c r="K1066" s="665"/>
      <c r="L1066" s="667"/>
      <c r="M1066" s="668"/>
      <c r="N1066" s="373"/>
      <c r="O1066" s="373"/>
      <c r="P1066" s="670"/>
      <c r="Q1066" s="665"/>
      <c r="R1066" s="665"/>
      <c r="S1066" s="539"/>
      <c r="T1066" s="665"/>
      <c r="U1066" s="49"/>
      <c r="V1066" s="49"/>
      <c r="W1066" s="49"/>
      <c r="X1066" s="49"/>
      <c r="Y1066" s="49"/>
    </row>
    <row r="1067" ht="15.75" customHeight="1">
      <c r="A1067" s="38"/>
      <c r="B1067" s="49"/>
      <c r="C1067" s="15"/>
      <c r="D1067" s="663"/>
      <c r="E1067" s="664"/>
      <c r="F1067" s="665"/>
      <c r="G1067" s="539"/>
      <c r="H1067" s="373"/>
      <c r="I1067" s="665"/>
      <c r="J1067" s="666"/>
      <c r="K1067" s="665"/>
      <c r="L1067" s="667"/>
      <c r="M1067" s="668"/>
      <c r="N1067" s="373"/>
      <c r="O1067" s="373"/>
      <c r="P1067" s="670"/>
      <c r="Q1067" s="665"/>
      <c r="R1067" s="665"/>
      <c r="S1067" s="539"/>
      <c r="T1067" s="665"/>
      <c r="U1067" s="49"/>
      <c r="V1067" s="49"/>
      <c r="W1067" s="49"/>
      <c r="X1067" s="49"/>
      <c r="Y1067" s="49"/>
    </row>
    <row r="1068" ht="15.75" customHeight="1">
      <c r="A1068" s="38"/>
      <c r="B1068" s="49"/>
      <c r="C1068" s="15"/>
      <c r="D1068" s="663"/>
      <c r="E1068" s="664"/>
      <c r="F1068" s="665"/>
      <c r="G1068" s="539"/>
      <c r="H1068" s="373"/>
      <c r="I1068" s="665"/>
      <c r="J1068" s="666"/>
      <c r="K1068" s="665"/>
      <c r="L1068" s="667"/>
      <c r="M1068" s="668"/>
      <c r="N1068" s="373"/>
      <c r="O1068" s="373"/>
      <c r="P1068" s="670"/>
      <c r="Q1068" s="665"/>
      <c r="R1068" s="665"/>
      <c r="S1068" s="539"/>
      <c r="T1068" s="665"/>
      <c r="U1068" s="49"/>
      <c r="V1068" s="49"/>
      <c r="W1068" s="49"/>
      <c r="X1068" s="49"/>
      <c r="Y1068" s="49"/>
    </row>
    <row r="1069" ht="15.75" customHeight="1">
      <c r="A1069" s="38"/>
      <c r="B1069" s="49"/>
      <c r="C1069" s="15"/>
      <c r="D1069" s="663"/>
      <c r="E1069" s="664"/>
      <c r="F1069" s="665"/>
      <c r="G1069" s="539"/>
      <c r="H1069" s="373"/>
      <c r="I1069" s="665"/>
      <c r="J1069" s="666"/>
      <c r="K1069" s="665"/>
      <c r="L1069" s="667"/>
      <c r="M1069" s="668"/>
      <c r="N1069" s="373"/>
      <c r="O1069" s="373"/>
      <c r="P1069" s="670"/>
      <c r="Q1069" s="665"/>
      <c r="R1069" s="665"/>
      <c r="S1069" s="539"/>
      <c r="T1069" s="665"/>
      <c r="U1069" s="49"/>
      <c r="V1069" s="49"/>
      <c r="W1069" s="49"/>
      <c r="X1069" s="49"/>
      <c r="Y1069" s="49"/>
    </row>
    <row r="1070" ht="15.75" customHeight="1">
      <c r="A1070" s="38"/>
      <c r="B1070" s="49"/>
      <c r="C1070" s="15"/>
      <c r="D1070" s="663"/>
      <c r="E1070" s="664"/>
      <c r="F1070" s="665"/>
      <c r="G1070" s="539"/>
      <c r="H1070" s="373"/>
      <c r="I1070" s="665"/>
      <c r="J1070" s="666"/>
      <c r="K1070" s="665"/>
      <c r="L1070" s="667"/>
      <c r="M1070" s="668"/>
      <c r="N1070" s="373"/>
      <c r="O1070" s="373"/>
      <c r="P1070" s="670"/>
      <c r="Q1070" s="665"/>
      <c r="R1070" s="665"/>
      <c r="S1070" s="539"/>
      <c r="T1070" s="665"/>
      <c r="U1070" s="49"/>
      <c r="V1070" s="49"/>
      <c r="W1070" s="49"/>
      <c r="X1070" s="49"/>
      <c r="Y1070" s="49"/>
    </row>
    <row r="1071" ht="15.75" customHeight="1">
      <c r="A1071" s="38"/>
      <c r="B1071" s="49"/>
      <c r="C1071" s="15"/>
      <c r="D1071" s="663"/>
      <c r="E1071" s="664"/>
      <c r="F1071" s="665"/>
      <c r="G1071" s="539"/>
      <c r="H1071" s="373"/>
      <c r="I1071" s="665"/>
      <c r="J1071" s="666"/>
      <c r="K1071" s="665"/>
      <c r="L1071" s="667"/>
      <c r="M1071" s="668"/>
      <c r="N1071" s="373"/>
      <c r="O1071" s="373"/>
      <c r="P1071" s="670"/>
      <c r="Q1071" s="665"/>
      <c r="R1071" s="665"/>
      <c r="S1071" s="539"/>
      <c r="T1071" s="665"/>
      <c r="U1071" s="49"/>
      <c r="V1071" s="49"/>
      <c r="W1071" s="49"/>
      <c r="X1071" s="49"/>
      <c r="Y1071" s="49"/>
    </row>
    <row r="1072" ht="15.75" customHeight="1">
      <c r="A1072" s="38"/>
      <c r="B1072" s="49"/>
      <c r="C1072" s="15"/>
      <c r="D1072" s="663"/>
      <c r="E1072" s="664"/>
      <c r="F1072" s="665"/>
      <c r="G1072" s="539"/>
      <c r="H1072" s="373"/>
      <c r="I1072" s="665"/>
      <c r="J1072" s="666"/>
      <c r="K1072" s="665"/>
      <c r="L1072" s="667"/>
      <c r="M1072" s="668"/>
      <c r="N1072" s="373"/>
      <c r="O1072" s="373"/>
      <c r="P1072" s="670"/>
      <c r="Q1072" s="665"/>
      <c r="R1072" s="665"/>
      <c r="S1072" s="539"/>
      <c r="T1072" s="665"/>
      <c r="U1072" s="49"/>
      <c r="V1072" s="49"/>
      <c r="W1072" s="49"/>
      <c r="X1072" s="49"/>
      <c r="Y1072" s="49"/>
    </row>
    <row r="1073" ht="15.75" customHeight="1">
      <c r="A1073" s="38"/>
      <c r="B1073" s="49"/>
      <c r="C1073" s="15"/>
      <c r="D1073" s="663"/>
      <c r="E1073" s="664"/>
      <c r="F1073" s="665"/>
      <c r="G1073" s="539"/>
      <c r="H1073" s="373"/>
      <c r="I1073" s="665"/>
      <c r="J1073" s="666"/>
      <c r="K1073" s="665"/>
      <c r="L1073" s="667"/>
      <c r="M1073" s="668"/>
      <c r="N1073" s="373"/>
      <c r="O1073" s="373"/>
      <c r="P1073" s="670"/>
      <c r="Q1073" s="665"/>
      <c r="R1073" s="665"/>
      <c r="S1073" s="539"/>
      <c r="T1073" s="665"/>
      <c r="U1073" s="49"/>
      <c r="V1073" s="49"/>
      <c r="W1073" s="49"/>
      <c r="X1073" s="49"/>
      <c r="Y1073" s="49"/>
    </row>
    <row r="1074" ht="15.75" customHeight="1">
      <c r="A1074" s="38"/>
      <c r="B1074" s="49"/>
      <c r="C1074" s="15"/>
      <c r="D1074" s="663"/>
      <c r="E1074" s="664"/>
      <c r="F1074" s="665"/>
      <c r="G1074" s="539"/>
      <c r="H1074" s="373"/>
      <c r="I1074" s="665"/>
      <c r="J1074" s="666"/>
      <c r="K1074" s="665"/>
      <c r="L1074" s="667"/>
      <c r="M1074" s="668"/>
      <c r="N1074" s="373"/>
      <c r="O1074" s="373"/>
      <c r="P1074" s="670"/>
      <c r="Q1074" s="665"/>
      <c r="R1074" s="665"/>
      <c r="S1074" s="539"/>
      <c r="T1074" s="665"/>
      <c r="U1074" s="49"/>
      <c r="V1074" s="49"/>
      <c r="W1074" s="49"/>
      <c r="X1074" s="49"/>
      <c r="Y1074" s="49"/>
    </row>
    <row r="1075" ht="15.75" customHeight="1">
      <c r="A1075" s="38"/>
      <c r="B1075" s="49"/>
      <c r="C1075" s="15"/>
      <c r="D1075" s="663"/>
      <c r="E1075" s="664"/>
      <c r="F1075" s="665"/>
      <c r="G1075" s="539"/>
      <c r="H1075" s="373"/>
      <c r="I1075" s="665"/>
      <c r="J1075" s="666"/>
      <c r="K1075" s="665"/>
      <c r="L1075" s="667"/>
      <c r="M1075" s="668"/>
      <c r="N1075" s="373"/>
      <c r="O1075" s="373"/>
      <c r="P1075" s="670"/>
      <c r="Q1075" s="665"/>
      <c r="R1075" s="665"/>
      <c r="S1075" s="539"/>
      <c r="T1075" s="665"/>
      <c r="U1075" s="49"/>
      <c r="V1075" s="49"/>
      <c r="W1075" s="49"/>
      <c r="X1075" s="49"/>
      <c r="Y1075" s="49"/>
    </row>
    <row r="1076" ht="15.75" customHeight="1">
      <c r="A1076" s="38"/>
      <c r="B1076" s="49"/>
      <c r="C1076" s="15"/>
      <c r="D1076" s="663"/>
      <c r="E1076" s="664"/>
      <c r="F1076" s="665"/>
      <c r="G1076" s="539"/>
      <c r="H1076" s="373"/>
      <c r="I1076" s="665"/>
      <c r="J1076" s="666"/>
      <c r="K1076" s="665"/>
      <c r="L1076" s="667"/>
      <c r="M1076" s="668"/>
      <c r="N1076" s="373"/>
      <c r="O1076" s="373"/>
      <c r="P1076" s="670"/>
      <c r="Q1076" s="665"/>
      <c r="R1076" s="665"/>
      <c r="S1076" s="539"/>
      <c r="T1076" s="665"/>
      <c r="U1076" s="49"/>
      <c r="V1076" s="49"/>
      <c r="W1076" s="49"/>
      <c r="X1076" s="49"/>
      <c r="Y1076" s="49"/>
    </row>
  </sheetData>
  <mergeCells count="48">
    <mergeCell ref="B2:S2"/>
    <mergeCell ref="A4:A7"/>
    <mergeCell ref="B4:B11"/>
    <mergeCell ref="A13:A16"/>
    <mergeCell ref="B13:B20"/>
    <mergeCell ref="A22:A25"/>
    <mergeCell ref="A31:A34"/>
    <mergeCell ref="B49:T49"/>
    <mergeCell ref="B69:B75"/>
    <mergeCell ref="B78:B85"/>
    <mergeCell ref="Q80:Q81"/>
    <mergeCell ref="T80:T81"/>
    <mergeCell ref="W80:W81"/>
    <mergeCell ref="H95:K95"/>
    <mergeCell ref="B96:S96"/>
    <mergeCell ref="B22:B29"/>
    <mergeCell ref="B31:B38"/>
    <mergeCell ref="A40:A43"/>
    <mergeCell ref="B40:B47"/>
    <mergeCell ref="A51:A54"/>
    <mergeCell ref="B51:B57"/>
    <mergeCell ref="B60:B66"/>
    <mergeCell ref="B98:B105"/>
    <mergeCell ref="B107:B114"/>
    <mergeCell ref="A116:A119"/>
    <mergeCell ref="B116:B123"/>
    <mergeCell ref="A125:A128"/>
    <mergeCell ref="B125:B132"/>
    <mergeCell ref="A134:A137"/>
    <mergeCell ref="B134:B141"/>
    <mergeCell ref="B144:T144"/>
    <mergeCell ref="A60:A63"/>
    <mergeCell ref="A69:A72"/>
    <mergeCell ref="A78:A81"/>
    <mergeCell ref="A87:A90"/>
    <mergeCell ref="B87:B94"/>
    <mergeCell ref="A98:A101"/>
    <mergeCell ref="A107:A110"/>
    <mergeCell ref="A173:A176"/>
    <mergeCell ref="A182:A185"/>
    <mergeCell ref="A146:A149"/>
    <mergeCell ref="B146:B153"/>
    <mergeCell ref="A155:A158"/>
    <mergeCell ref="B155:B162"/>
    <mergeCell ref="A164:A167"/>
    <mergeCell ref="B164:B171"/>
    <mergeCell ref="B173:B180"/>
    <mergeCell ref="B182:B189"/>
  </mergeCells>
  <conditionalFormatting sqref="S42">
    <cfRule type="expression" dxfId="0" priority="1">
      <formula>AND($E42&lt;&gt;"",COUNTIF($E$4:$E1076,$E42)&gt;1)</formula>
    </cfRule>
  </conditionalFormatting>
  <dataValidations>
    <dataValidation type="list" allowBlank="1" showDropDown="1" showErrorMessage="1" sqref="D1 G1 J1 M1 P1 S1 S3:S41 D3:D48 G3:G48 J3:J48 M3:M48 P3:P48 S43:S48 V1:V70 U71 J50:J94 D50:D95 G50:G95 M50:M95 P50:P95 S50:S95 D97:D143 G97:G143 J97:J143 M97:M143 P97:P143 S97:S143 D145:D1076 G145:G1076 J145:J1076 M145:M1076 P145:P1076 S145:S1076 V72:V1076">
      <formula1>'Справочник'!$C$3:$C1076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9.0"/>
    <col customWidth="1" min="2" max="2" width="28.78"/>
  </cols>
  <sheetData>
    <row r="1">
      <c r="A1" s="93"/>
      <c r="B1" s="98"/>
      <c r="C1" s="98"/>
      <c r="D1" s="98"/>
      <c r="E1" s="98" t="s">
        <v>109</v>
      </c>
      <c r="F1" s="98"/>
      <c r="G1" s="98"/>
      <c r="H1" s="98"/>
      <c r="I1" s="98"/>
      <c r="J1" s="98"/>
      <c r="K1" s="102"/>
    </row>
    <row r="2">
      <c r="A2" s="104" t="s">
        <v>113</v>
      </c>
      <c r="B2" s="106"/>
      <c r="C2" s="106"/>
      <c r="D2" s="106"/>
      <c r="E2" s="106"/>
      <c r="F2" s="106"/>
      <c r="G2" s="106"/>
      <c r="H2" s="106"/>
      <c r="I2" s="106"/>
      <c r="J2" s="106"/>
      <c r="K2" s="108"/>
    </row>
    <row r="3">
      <c r="A3" s="110" t="s">
        <v>120</v>
      </c>
      <c r="B3" s="112" t="s">
        <v>122</v>
      </c>
      <c r="C3" s="112" t="s">
        <v>124</v>
      </c>
      <c r="D3" s="112" t="s">
        <v>125</v>
      </c>
      <c r="E3" s="112" t="s">
        <v>126</v>
      </c>
      <c r="F3" s="112" t="s">
        <v>127</v>
      </c>
      <c r="G3" s="112" t="s">
        <v>128</v>
      </c>
      <c r="H3" s="112" t="s">
        <v>80</v>
      </c>
      <c r="I3" s="112" t="s">
        <v>130</v>
      </c>
      <c r="J3" s="112" t="s">
        <v>132</v>
      </c>
      <c r="K3" s="117" t="s">
        <v>133</v>
      </c>
    </row>
    <row r="4">
      <c r="A4" s="118" t="s">
        <v>135</v>
      </c>
      <c r="B4" s="120" t="s">
        <v>138</v>
      </c>
      <c r="C4" s="122">
        <v>3.0</v>
      </c>
      <c r="D4" s="122">
        <v>25.0</v>
      </c>
      <c r="E4" s="122">
        <v>32.0</v>
      </c>
      <c r="F4" s="122">
        <v>17.0</v>
      </c>
      <c r="G4" s="122">
        <v>17.0</v>
      </c>
      <c r="H4" s="122">
        <v>9.0</v>
      </c>
      <c r="I4" s="122">
        <v>12.0</v>
      </c>
      <c r="J4" s="122">
        <v>9.0</v>
      </c>
      <c r="K4" s="127" t="s">
        <v>145</v>
      </c>
    </row>
    <row r="5">
      <c r="A5" s="130" t="s">
        <v>149</v>
      </c>
      <c r="B5" s="133" t="s">
        <v>152</v>
      </c>
      <c r="C5" s="135">
        <v>1.0</v>
      </c>
      <c r="D5" s="135">
        <v>7.0</v>
      </c>
      <c r="E5" s="135">
        <v>10.0</v>
      </c>
      <c r="F5" s="135">
        <v>4.0</v>
      </c>
      <c r="G5" s="135">
        <v>5.0</v>
      </c>
      <c r="H5" s="135">
        <v>3.0</v>
      </c>
      <c r="I5" s="135">
        <v>2.0</v>
      </c>
      <c r="J5" s="135">
        <v>2.0</v>
      </c>
      <c r="K5" s="137" t="s">
        <v>145</v>
      </c>
    </row>
    <row r="6">
      <c r="A6" s="118" t="s">
        <v>159</v>
      </c>
      <c r="B6" s="120" t="s">
        <v>161</v>
      </c>
      <c r="C6" s="139">
        <v>1.0</v>
      </c>
      <c r="D6" s="139">
        <v>4.0</v>
      </c>
      <c r="E6" s="139">
        <v>8.0</v>
      </c>
      <c r="F6" s="139">
        <v>6.0</v>
      </c>
      <c r="G6" s="139">
        <v>5.0</v>
      </c>
      <c r="H6" s="139">
        <v>1.0</v>
      </c>
      <c r="I6" s="139">
        <v>2.0</v>
      </c>
      <c r="J6" s="139">
        <v>1.0</v>
      </c>
      <c r="K6" s="143" t="s">
        <v>145</v>
      </c>
    </row>
    <row r="7">
      <c r="A7" s="146" t="s">
        <v>166</v>
      </c>
      <c r="B7" s="149" t="s">
        <v>168</v>
      </c>
      <c r="C7" s="151">
        <v>2.0</v>
      </c>
      <c r="D7" s="151">
        <v>7.0</v>
      </c>
      <c r="E7" s="151">
        <v>24.0</v>
      </c>
      <c r="F7" s="151">
        <v>8.0</v>
      </c>
      <c r="G7" s="151">
        <v>12.0</v>
      </c>
      <c r="H7" s="153">
        <v>2.0</v>
      </c>
      <c r="I7" s="151">
        <v>11.0</v>
      </c>
      <c r="J7" s="153">
        <v>4.0</v>
      </c>
      <c r="K7" s="155" t="s">
        <v>145</v>
      </c>
    </row>
    <row r="8">
      <c r="A8" s="118" t="s">
        <v>176</v>
      </c>
      <c r="B8" s="120" t="s">
        <v>177</v>
      </c>
      <c r="C8" s="122">
        <v>2.0</v>
      </c>
      <c r="D8" s="122">
        <v>20.0</v>
      </c>
      <c r="E8" s="122">
        <v>29.0</v>
      </c>
      <c r="F8" s="122">
        <v>11.0</v>
      </c>
      <c r="G8" s="122">
        <v>15.0</v>
      </c>
      <c r="H8" s="122">
        <v>2.0</v>
      </c>
      <c r="I8" s="122">
        <v>13.0</v>
      </c>
      <c r="J8" s="122">
        <v>5.0</v>
      </c>
      <c r="K8" s="127" t="s">
        <v>145</v>
      </c>
    </row>
    <row r="9">
      <c r="A9" s="146" t="s">
        <v>180</v>
      </c>
      <c r="B9" s="149" t="s">
        <v>182</v>
      </c>
      <c r="C9" s="151">
        <v>1.0</v>
      </c>
      <c r="D9" s="151">
        <v>12.0</v>
      </c>
      <c r="E9" s="151">
        <v>18.0</v>
      </c>
      <c r="F9" s="151">
        <v>8.0</v>
      </c>
      <c r="G9" s="151">
        <v>4.0</v>
      </c>
      <c r="H9" s="151">
        <v>1.0</v>
      </c>
      <c r="I9" s="151">
        <v>7.0</v>
      </c>
      <c r="J9" s="151">
        <v>1.0</v>
      </c>
      <c r="K9" s="155" t="s">
        <v>145</v>
      </c>
    </row>
    <row r="10">
      <c r="A10" s="118" t="s">
        <v>184</v>
      </c>
      <c r="B10" s="120" t="s">
        <v>185</v>
      </c>
      <c r="C10" s="122">
        <v>1.0</v>
      </c>
      <c r="D10" s="122">
        <v>8.0</v>
      </c>
      <c r="E10" s="122">
        <v>9.0</v>
      </c>
      <c r="F10" s="122">
        <v>6.0</v>
      </c>
      <c r="G10" s="162">
        <v>5.0</v>
      </c>
      <c r="H10" s="162">
        <v>0.0</v>
      </c>
      <c r="I10" s="122">
        <v>6.0</v>
      </c>
      <c r="J10" s="122">
        <v>2.0</v>
      </c>
      <c r="K10" s="127" t="s">
        <v>145</v>
      </c>
    </row>
    <row r="11">
      <c r="A11" s="146" t="s">
        <v>191</v>
      </c>
      <c r="B11" s="149" t="s">
        <v>192</v>
      </c>
      <c r="C11" s="151">
        <v>2.0</v>
      </c>
      <c r="D11" s="151">
        <v>13.0</v>
      </c>
      <c r="E11" s="151">
        <v>15.0</v>
      </c>
      <c r="F11" s="151">
        <v>7.0</v>
      </c>
      <c r="G11" s="151">
        <v>10.0</v>
      </c>
      <c r="H11" s="151">
        <v>2.0</v>
      </c>
      <c r="I11" s="151">
        <v>6.0</v>
      </c>
      <c r="J11" s="151">
        <v>3.0</v>
      </c>
      <c r="K11" s="155" t="s">
        <v>145</v>
      </c>
    </row>
    <row r="12">
      <c r="A12" s="118" t="s">
        <v>196</v>
      </c>
      <c r="B12" s="120" t="s">
        <v>197</v>
      </c>
      <c r="C12" s="122">
        <v>1.0</v>
      </c>
      <c r="D12" s="122">
        <v>15.0</v>
      </c>
      <c r="E12" s="122">
        <v>18.0</v>
      </c>
      <c r="F12" s="122">
        <v>8.0</v>
      </c>
      <c r="G12" s="122">
        <v>13.0</v>
      </c>
      <c r="H12" s="162">
        <v>3.0</v>
      </c>
      <c r="I12" s="162">
        <v>6.0</v>
      </c>
      <c r="J12" s="122">
        <v>4.0</v>
      </c>
      <c r="K12" s="127" t="s">
        <v>145</v>
      </c>
    </row>
    <row r="13">
      <c r="A13" s="146" t="s">
        <v>199</v>
      </c>
      <c r="B13" s="149" t="s">
        <v>201</v>
      </c>
      <c r="C13" s="151">
        <v>1.0</v>
      </c>
      <c r="D13" s="151">
        <v>11.0</v>
      </c>
      <c r="E13" s="151">
        <v>16.0</v>
      </c>
      <c r="F13" s="151">
        <v>9.0</v>
      </c>
      <c r="G13" s="151">
        <v>11.0</v>
      </c>
      <c r="H13" s="151">
        <v>3.0</v>
      </c>
      <c r="I13" s="151">
        <v>15.0</v>
      </c>
      <c r="J13" s="151">
        <v>6.0</v>
      </c>
      <c r="K13" s="155" t="s">
        <v>145</v>
      </c>
    </row>
    <row r="14">
      <c r="A14" s="118" t="s">
        <v>204</v>
      </c>
      <c r="B14" s="120" t="s">
        <v>205</v>
      </c>
      <c r="C14" s="139">
        <v>0.0</v>
      </c>
      <c r="D14" s="139">
        <v>6.0</v>
      </c>
      <c r="E14" s="139">
        <v>17.0</v>
      </c>
      <c r="F14" s="139">
        <v>5.0</v>
      </c>
      <c r="G14" s="139">
        <v>7.0</v>
      </c>
      <c r="H14" s="139">
        <v>0.0</v>
      </c>
      <c r="I14" s="139">
        <v>5.0</v>
      </c>
      <c r="J14" s="139">
        <v>5.0</v>
      </c>
      <c r="K14" s="143" t="s">
        <v>145</v>
      </c>
    </row>
    <row r="15">
      <c r="A15" s="146" t="s">
        <v>208</v>
      </c>
      <c r="B15" s="149" t="s">
        <v>209</v>
      </c>
      <c r="C15" s="151">
        <v>1.0</v>
      </c>
      <c r="D15" s="151">
        <v>9.0</v>
      </c>
      <c r="E15" s="151">
        <v>11.0</v>
      </c>
      <c r="F15" s="151">
        <v>8.0</v>
      </c>
      <c r="G15" s="151">
        <v>10.0</v>
      </c>
      <c r="H15" s="153">
        <v>3.0</v>
      </c>
      <c r="I15" s="151">
        <v>5.0</v>
      </c>
      <c r="J15" s="151">
        <v>6.0</v>
      </c>
      <c r="K15" s="155" t="s">
        <v>145</v>
      </c>
    </row>
    <row r="16">
      <c r="A16" s="118" t="s">
        <v>211</v>
      </c>
      <c r="B16" s="120" t="s">
        <v>212</v>
      </c>
      <c r="C16" s="122">
        <v>1.0</v>
      </c>
      <c r="D16" s="122">
        <v>12.0</v>
      </c>
      <c r="E16" s="122">
        <v>17.0</v>
      </c>
      <c r="F16" s="122">
        <v>9.0</v>
      </c>
      <c r="G16" s="122">
        <v>11.0</v>
      </c>
      <c r="H16" s="162">
        <v>2.0</v>
      </c>
      <c r="I16" s="122">
        <v>7.0</v>
      </c>
      <c r="J16" s="122">
        <v>5.0</v>
      </c>
      <c r="K16" s="127" t="s">
        <v>145</v>
      </c>
    </row>
    <row r="17">
      <c r="A17" s="146" t="s">
        <v>215</v>
      </c>
      <c r="B17" s="149" t="s">
        <v>216</v>
      </c>
      <c r="C17" s="151">
        <v>2.0</v>
      </c>
      <c r="D17" s="151">
        <v>13.0</v>
      </c>
      <c r="E17" s="151">
        <v>15.0</v>
      </c>
      <c r="F17" s="151">
        <v>7.0</v>
      </c>
      <c r="G17" s="151">
        <v>14.0</v>
      </c>
      <c r="H17" s="153">
        <v>3.0</v>
      </c>
      <c r="I17" s="151">
        <v>3.0</v>
      </c>
      <c r="J17" s="151">
        <v>4.0</v>
      </c>
      <c r="K17" s="155" t="s">
        <v>145</v>
      </c>
    </row>
    <row r="18">
      <c r="A18" s="118" t="s">
        <v>220</v>
      </c>
      <c r="B18" s="120" t="s">
        <v>222</v>
      </c>
      <c r="C18" s="122">
        <v>2.0</v>
      </c>
      <c r="D18" s="122">
        <v>13.0</v>
      </c>
      <c r="E18" s="122">
        <v>15.0</v>
      </c>
      <c r="F18" s="122">
        <v>7.0</v>
      </c>
      <c r="G18" s="122">
        <v>12.0</v>
      </c>
      <c r="H18" s="122">
        <v>1.0</v>
      </c>
      <c r="I18" s="122">
        <v>3.0</v>
      </c>
      <c r="J18" s="122">
        <v>3.0</v>
      </c>
      <c r="K18" s="127" t="s">
        <v>145</v>
      </c>
    </row>
    <row r="19">
      <c r="A19" s="146" t="s">
        <v>227</v>
      </c>
      <c r="B19" s="149" t="s">
        <v>228</v>
      </c>
      <c r="C19" s="151">
        <v>1.0</v>
      </c>
      <c r="D19" s="151">
        <v>12.0</v>
      </c>
      <c r="E19" s="151">
        <v>13.0</v>
      </c>
      <c r="F19" s="151">
        <v>6.0</v>
      </c>
      <c r="G19" s="151">
        <v>14.0</v>
      </c>
      <c r="H19" s="151">
        <v>2.0</v>
      </c>
      <c r="I19" s="151">
        <v>3.0</v>
      </c>
      <c r="J19" s="151">
        <v>3.0</v>
      </c>
      <c r="K19" s="155" t="s">
        <v>145</v>
      </c>
    </row>
    <row r="20">
      <c r="A20" s="118" t="s">
        <v>231</v>
      </c>
      <c r="B20" s="120" t="s">
        <v>233</v>
      </c>
      <c r="C20" s="122">
        <v>2.0</v>
      </c>
      <c r="D20" s="122">
        <v>13.0</v>
      </c>
      <c r="E20" s="122">
        <v>11.0</v>
      </c>
      <c r="F20" s="122">
        <v>10.0</v>
      </c>
      <c r="G20" s="122">
        <v>7.0</v>
      </c>
      <c r="H20" s="122">
        <v>1.0</v>
      </c>
      <c r="I20" s="122">
        <v>7.0</v>
      </c>
      <c r="J20" s="122">
        <v>2.0</v>
      </c>
      <c r="K20" s="127" t="s">
        <v>145</v>
      </c>
    </row>
    <row r="21">
      <c r="A21" s="146" t="s">
        <v>235</v>
      </c>
      <c r="B21" s="149" t="s">
        <v>236</v>
      </c>
      <c r="C21" s="187">
        <v>5.0</v>
      </c>
      <c r="D21" s="187">
        <v>6.0</v>
      </c>
      <c r="E21" s="187">
        <v>18.0</v>
      </c>
      <c r="F21" s="187">
        <v>8.0</v>
      </c>
      <c r="G21" s="187">
        <v>9.0</v>
      </c>
      <c r="H21" s="187">
        <v>0.0</v>
      </c>
      <c r="I21" s="187">
        <v>9.0</v>
      </c>
      <c r="J21" s="187">
        <v>5.0</v>
      </c>
      <c r="K21" s="190" t="s">
        <v>145</v>
      </c>
    </row>
    <row r="22">
      <c r="A22" s="118" t="s">
        <v>242</v>
      </c>
      <c r="B22" s="120" t="s">
        <v>243</v>
      </c>
      <c r="C22" s="122">
        <v>1.0</v>
      </c>
      <c r="D22" s="122">
        <v>11.0</v>
      </c>
      <c r="E22" s="122">
        <v>10.0</v>
      </c>
      <c r="F22" s="122">
        <v>7.0</v>
      </c>
      <c r="G22" s="122">
        <v>9.0</v>
      </c>
      <c r="H22" s="122">
        <v>2.0</v>
      </c>
      <c r="I22" s="162">
        <v>6.0</v>
      </c>
      <c r="J22" s="122">
        <v>6.0</v>
      </c>
      <c r="K22" s="127" t="s">
        <v>145</v>
      </c>
    </row>
    <row r="23">
      <c r="A23" s="146" t="s">
        <v>244</v>
      </c>
      <c r="B23" s="149" t="s">
        <v>245</v>
      </c>
      <c r="C23" s="151">
        <v>2.0</v>
      </c>
      <c r="D23" s="151">
        <v>22.0</v>
      </c>
      <c r="E23" s="151">
        <v>22.0</v>
      </c>
      <c r="F23" s="151">
        <v>12.0</v>
      </c>
      <c r="G23" s="151">
        <v>23.0</v>
      </c>
      <c r="H23" s="153">
        <v>0.0</v>
      </c>
      <c r="I23" s="151">
        <v>18.0</v>
      </c>
      <c r="J23" s="151">
        <v>1.0</v>
      </c>
      <c r="K23" s="155" t="s">
        <v>145</v>
      </c>
    </row>
    <row r="24">
      <c r="A24" s="118" t="s">
        <v>246</v>
      </c>
      <c r="B24" s="120" t="s">
        <v>247</v>
      </c>
      <c r="C24" s="122">
        <v>1.0</v>
      </c>
      <c r="D24" s="122">
        <v>15.0</v>
      </c>
      <c r="E24" s="122">
        <v>19.0</v>
      </c>
      <c r="F24" s="122">
        <v>7.0</v>
      </c>
      <c r="G24" s="122">
        <v>7.0</v>
      </c>
      <c r="H24" s="122">
        <v>1.0</v>
      </c>
      <c r="I24" s="122">
        <v>6.0</v>
      </c>
      <c r="J24" s="122">
        <v>2.0</v>
      </c>
      <c r="K24" s="127" t="s">
        <v>145</v>
      </c>
    </row>
    <row r="25">
      <c r="A25" s="146" t="s">
        <v>248</v>
      </c>
      <c r="B25" s="149" t="s">
        <v>249</v>
      </c>
      <c r="C25" s="153">
        <v>0.0</v>
      </c>
      <c r="D25" s="151">
        <v>9.0</v>
      </c>
      <c r="E25" s="151">
        <v>9.0</v>
      </c>
      <c r="F25" s="151">
        <v>7.0</v>
      </c>
      <c r="G25" s="151">
        <v>6.0</v>
      </c>
      <c r="H25" s="151">
        <v>4.0</v>
      </c>
      <c r="I25" s="151">
        <v>7.0</v>
      </c>
      <c r="J25" s="151">
        <v>2.0</v>
      </c>
      <c r="K25" s="155" t="s">
        <v>145</v>
      </c>
    </row>
    <row r="26">
      <c r="A26" s="118" t="s">
        <v>250</v>
      </c>
      <c r="B26" s="120" t="s">
        <v>251</v>
      </c>
      <c r="C26" s="122">
        <v>1.0</v>
      </c>
      <c r="D26" s="122">
        <v>13.0</v>
      </c>
      <c r="E26" s="122">
        <v>14.0</v>
      </c>
      <c r="F26" s="122">
        <v>10.0</v>
      </c>
      <c r="G26" s="122">
        <v>12.0</v>
      </c>
      <c r="H26" s="162">
        <v>5.0</v>
      </c>
      <c r="I26" s="122">
        <v>11.0</v>
      </c>
      <c r="J26" s="122">
        <v>2.0</v>
      </c>
      <c r="K26" s="127" t="s">
        <v>145</v>
      </c>
    </row>
    <row r="27">
      <c r="A27" s="146" t="s">
        <v>253</v>
      </c>
      <c r="B27" s="149" t="s">
        <v>254</v>
      </c>
      <c r="C27" s="151">
        <v>3.0</v>
      </c>
      <c r="D27" s="151">
        <v>12.0</v>
      </c>
      <c r="E27" s="151">
        <v>14.0</v>
      </c>
      <c r="F27" s="151">
        <v>6.0</v>
      </c>
      <c r="G27" s="151">
        <v>9.0</v>
      </c>
      <c r="H27" s="151">
        <v>1.0</v>
      </c>
      <c r="I27" s="151">
        <v>14.0</v>
      </c>
      <c r="J27" s="151">
        <v>4.0</v>
      </c>
      <c r="K27" s="155" t="s">
        <v>145</v>
      </c>
    </row>
    <row r="28">
      <c r="A28" s="118" t="s">
        <v>255</v>
      </c>
      <c r="B28" s="120" t="s">
        <v>256</v>
      </c>
      <c r="C28" s="122">
        <v>1.0</v>
      </c>
      <c r="D28" s="122">
        <v>2.0</v>
      </c>
      <c r="E28" s="122">
        <v>3.0</v>
      </c>
      <c r="F28" s="162">
        <v>6.0</v>
      </c>
      <c r="G28" s="122">
        <v>2.0</v>
      </c>
      <c r="H28" s="122">
        <v>2.0</v>
      </c>
      <c r="I28" s="122">
        <v>1.0</v>
      </c>
      <c r="J28" s="162">
        <v>0.0</v>
      </c>
      <c r="K28" s="127" t="s">
        <v>145</v>
      </c>
    </row>
    <row r="29">
      <c r="A29" s="146" t="s">
        <v>257</v>
      </c>
      <c r="B29" s="149" t="s">
        <v>258</v>
      </c>
      <c r="C29" s="151">
        <v>1.0</v>
      </c>
      <c r="D29" s="151">
        <v>6.0</v>
      </c>
      <c r="E29" s="151">
        <v>6.0</v>
      </c>
      <c r="F29" s="153">
        <v>2.0</v>
      </c>
      <c r="G29" s="153">
        <v>4.0</v>
      </c>
      <c r="H29" s="151">
        <v>0.0</v>
      </c>
      <c r="I29" s="151">
        <v>5.0</v>
      </c>
      <c r="J29" s="153">
        <v>2.0</v>
      </c>
      <c r="K29" s="155" t="s">
        <v>145</v>
      </c>
    </row>
    <row r="30">
      <c r="A30" s="118" t="s">
        <v>261</v>
      </c>
      <c r="B30" s="120" t="s">
        <v>262</v>
      </c>
      <c r="C30" s="122">
        <v>2.0</v>
      </c>
      <c r="D30" s="122">
        <v>17.0</v>
      </c>
      <c r="E30" s="122">
        <v>17.0</v>
      </c>
      <c r="F30" s="122">
        <v>8.0</v>
      </c>
      <c r="G30" s="122">
        <v>8.0</v>
      </c>
      <c r="H30" s="122">
        <v>3.0</v>
      </c>
      <c r="I30" s="122">
        <v>12.0</v>
      </c>
      <c r="J30" s="122">
        <v>4.0</v>
      </c>
      <c r="K30" s="127" t="s">
        <v>145</v>
      </c>
    </row>
    <row r="31">
      <c r="A31" s="146" t="s">
        <v>264</v>
      </c>
      <c r="B31" s="149" t="s">
        <v>265</v>
      </c>
      <c r="C31" s="151">
        <v>1.0</v>
      </c>
      <c r="D31" s="151">
        <v>12.0</v>
      </c>
      <c r="E31" s="151">
        <v>13.0</v>
      </c>
      <c r="F31" s="151">
        <v>6.0</v>
      </c>
      <c r="G31" s="151">
        <v>11.0</v>
      </c>
      <c r="H31" s="151">
        <v>2.0</v>
      </c>
      <c r="I31" s="151">
        <v>5.0</v>
      </c>
      <c r="J31" s="151">
        <v>3.0</v>
      </c>
      <c r="K31" s="155" t="s">
        <v>145</v>
      </c>
    </row>
    <row r="32">
      <c r="A32" s="118" t="s">
        <v>268</v>
      </c>
      <c r="B32" s="120" t="s">
        <v>269</v>
      </c>
      <c r="C32" s="122">
        <v>1.0</v>
      </c>
      <c r="D32" s="122">
        <v>25.0</v>
      </c>
      <c r="E32" s="122">
        <v>29.0</v>
      </c>
      <c r="F32" s="122">
        <v>23.0</v>
      </c>
      <c r="G32" s="162">
        <v>20.0</v>
      </c>
      <c r="H32" s="122">
        <v>10.0</v>
      </c>
      <c r="I32" s="122">
        <v>18.0</v>
      </c>
      <c r="J32" s="122">
        <v>5.0</v>
      </c>
      <c r="K32" s="127" t="s">
        <v>145</v>
      </c>
    </row>
    <row r="33">
      <c r="A33" s="195"/>
      <c r="K33" s="206"/>
    </row>
    <row r="34">
      <c r="A34" s="195"/>
      <c r="K34" s="206"/>
    </row>
    <row r="35">
      <c r="A35" s="195"/>
      <c r="K35" s="206"/>
    </row>
    <row r="36">
      <c r="A36" s="195"/>
      <c r="K36" s="206"/>
    </row>
    <row r="37">
      <c r="A37" s="195"/>
      <c r="K37" s="206"/>
    </row>
    <row r="38">
      <c r="A38" s="195"/>
      <c r="K38" s="206"/>
    </row>
    <row r="39">
      <c r="A39" s="195"/>
      <c r="K39" s="206"/>
    </row>
    <row r="40">
      <c r="A40" s="195"/>
      <c r="K40" s="206"/>
    </row>
    <row r="41">
      <c r="A41" s="195"/>
      <c r="K41" s="206"/>
    </row>
    <row r="42">
      <c r="A42" s="195"/>
      <c r="K42" s="206"/>
    </row>
    <row r="43">
      <c r="A43" s="195"/>
      <c r="K43" s="206"/>
    </row>
    <row r="44">
      <c r="A44" s="195"/>
      <c r="K44" s="206"/>
    </row>
    <row r="45">
      <c r="A45" s="195"/>
      <c r="K45" s="206"/>
    </row>
    <row r="46">
      <c r="A46" s="195"/>
      <c r="K46" s="206"/>
    </row>
    <row r="47">
      <c r="A47" s="195"/>
      <c r="K47" s="206"/>
    </row>
    <row r="48">
      <c r="A48" s="195"/>
      <c r="K48" s="206"/>
    </row>
    <row r="49">
      <c r="A49" s="195"/>
      <c r="K49" s="206"/>
    </row>
    <row r="50">
      <c r="A50" s="195"/>
      <c r="K50" s="206"/>
    </row>
    <row r="51">
      <c r="A51" s="195"/>
      <c r="K51" s="206"/>
    </row>
    <row r="52">
      <c r="A52" s="195"/>
      <c r="K52" s="206"/>
    </row>
    <row r="53">
      <c r="A53" s="195"/>
      <c r="K53" s="206"/>
    </row>
    <row r="54">
      <c r="A54" s="195"/>
      <c r="K54" s="206"/>
    </row>
    <row r="55">
      <c r="A55" s="195"/>
      <c r="K55" s="206"/>
    </row>
    <row r="56">
      <c r="A56" s="195"/>
      <c r="K56" s="206"/>
    </row>
    <row r="57">
      <c r="A57" s="195"/>
      <c r="K57" s="206"/>
    </row>
    <row r="58">
      <c r="A58" s="195"/>
      <c r="K58" s="206"/>
    </row>
    <row r="59">
      <c r="A59" s="195"/>
      <c r="K59" s="206"/>
    </row>
    <row r="60">
      <c r="A60" s="195"/>
      <c r="K60" s="206"/>
    </row>
    <row r="61">
      <c r="A61" s="195"/>
      <c r="K61" s="206"/>
    </row>
    <row r="62">
      <c r="A62" s="195"/>
      <c r="K62" s="206"/>
    </row>
    <row r="63">
      <c r="A63" s="195"/>
      <c r="K63" s="206"/>
    </row>
    <row r="64">
      <c r="A64" s="195"/>
      <c r="K64" s="206"/>
    </row>
    <row r="65">
      <c r="A65" s="195"/>
      <c r="K65" s="206"/>
    </row>
    <row r="66">
      <c r="A66" s="195"/>
      <c r="K66" s="206"/>
    </row>
    <row r="67">
      <c r="A67" s="195"/>
      <c r="K67" s="206"/>
    </row>
    <row r="68">
      <c r="A68" s="195"/>
      <c r="K68" s="206"/>
    </row>
    <row r="69">
      <c r="A69" s="195"/>
      <c r="K69" s="206"/>
    </row>
    <row r="70">
      <c r="A70" s="195"/>
      <c r="K70" s="206"/>
    </row>
    <row r="71">
      <c r="A71" s="195"/>
      <c r="K71" s="206"/>
    </row>
    <row r="72">
      <c r="A72" s="195"/>
      <c r="K72" s="206"/>
    </row>
    <row r="73">
      <c r="A73" s="195"/>
      <c r="K73" s="206"/>
    </row>
    <row r="74">
      <c r="A74" s="195"/>
      <c r="K74" s="206"/>
    </row>
    <row r="75">
      <c r="A75" s="195"/>
      <c r="K75" s="206"/>
    </row>
    <row r="76">
      <c r="A76" s="195"/>
      <c r="K76" s="206"/>
    </row>
    <row r="77">
      <c r="A77" s="195"/>
      <c r="K77" s="206"/>
    </row>
    <row r="78">
      <c r="A78" s="195"/>
      <c r="K78" s="206"/>
    </row>
    <row r="79">
      <c r="A79" s="195"/>
      <c r="K79" s="206"/>
    </row>
    <row r="80">
      <c r="A80" s="195"/>
      <c r="K80" s="206"/>
    </row>
    <row r="81">
      <c r="A81" s="195"/>
      <c r="K81" s="206"/>
    </row>
    <row r="82">
      <c r="A82" s="195"/>
      <c r="K82" s="206"/>
    </row>
    <row r="83">
      <c r="A83" s="195"/>
      <c r="K83" s="206"/>
    </row>
    <row r="84">
      <c r="A84" s="195"/>
      <c r="K84" s="206"/>
    </row>
    <row r="85">
      <c r="A85" s="195"/>
      <c r="K85" s="206"/>
    </row>
    <row r="86">
      <c r="A86" s="195"/>
      <c r="K86" s="206"/>
    </row>
    <row r="87">
      <c r="A87" s="195"/>
      <c r="K87" s="206"/>
    </row>
    <row r="88">
      <c r="A88" s="195"/>
      <c r="K88" s="206"/>
    </row>
    <row r="89">
      <c r="A89" s="195"/>
      <c r="K89" s="206"/>
    </row>
    <row r="90">
      <c r="A90" s="195"/>
      <c r="K90" s="206"/>
    </row>
    <row r="91">
      <c r="A91" s="195"/>
      <c r="K91" s="206"/>
    </row>
    <row r="92">
      <c r="A92" s="195"/>
      <c r="K92" s="206"/>
    </row>
    <row r="93">
      <c r="A93" s="195"/>
      <c r="K93" s="206"/>
    </row>
    <row r="94">
      <c r="A94" s="195"/>
      <c r="K94" s="206"/>
    </row>
    <row r="95">
      <c r="A95" s="195"/>
      <c r="K95" s="206"/>
    </row>
    <row r="96">
      <c r="A96" s="195"/>
      <c r="K96" s="206"/>
    </row>
    <row r="97">
      <c r="A97" s="195"/>
      <c r="K97" s="206"/>
    </row>
    <row r="98">
      <c r="A98" s="195"/>
      <c r="K98" s="206"/>
    </row>
    <row r="99">
      <c r="A99" s="195"/>
      <c r="K99" s="206"/>
    </row>
    <row r="100">
      <c r="A100" s="195"/>
      <c r="K100" s="206"/>
    </row>
    <row r="101">
      <c r="A101" s="195"/>
      <c r="K101" s="206"/>
    </row>
    <row r="102">
      <c r="A102" s="195"/>
      <c r="K102" s="206"/>
    </row>
    <row r="103">
      <c r="A103" s="195"/>
      <c r="K103" s="206"/>
    </row>
    <row r="104">
      <c r="A104" s="195"/>
      <c r="K104" s="206"/>
    </row>
    <row r="105">
      <c r="A105" s="195"/>
      <c r="K105" s="206"/>
    </row>
    <row r="106">
      <c r="A106" s="195"/>
      <c r="K106" s="206"/>
    </row>
    <row r="107">
      <c r="A107" s="195"/>
      <c r="K107" s="206"/>
    </row>
    <row r="108">
      <c r="A108" s="195"/>
      <c r="K108" s="206"/>
    </row>
    <row r="109">
      <c r="A109" s="195"/>
      <c r="K109" s="206"/>
    </row>
    <row r="110">
      <c r="A110" s="195"/>
      <c r="K110" s="206"/>
    </row>
    <row r="111">
      <c r="A111" s="195"/>
      <c r="K111" s="206"/>
    </row>
    <row r="112">
      <c r="A112" s="195"/>
      <c r="K112" s="206"/>
    </row>
    <row r="113">
      <c r="A113" s="195"/>
      <c r="K113" s="206"/>
    </row>
    <row r="114">
      <c r="A114" s="195"/>
      <c r="K114" s="206"/>
    </row>
    <row r="115">
      <c r="A115" s="195"/>
      <c r="K115" s="206"/>
    </row>
    <row r="116">
      <c r="A116" s="195"/>
      <c r="K116" s="206"/>
    </row>
    <row r="117">
      <c r="A117" s="195"/>
      <c r="K117" s="206"/>
    </row>
    <row r="118">
      <c r="A118" s="195"/>
      <c r="K118" s="206"/>
    </row>
    <row r="119">
      <c r="A119" s="195"/>
      <c r="K119" s="206"/>
    </row>
    <row r="120">
      <c r="A120" s="195"/>
      <c r="K120" s="206"/>
    </row>
    <row r="121">
      <c r="A121" s="195"/>
      <c r="K121" s="206"/>
    </row>
    <row r="122">
      <c r="A122" s="195"/>
      <c r="K122" s="206"/>
    </row>
    <row r="123">
      <c r="A123" s="195"/>
      <c r="K123" s="206"/>
    </row>
    <row r="124">
      <c r="A124" s="195"/>
      <c r="K124" s="206"/>
    </row>
    <row r="125">
      <c r="A125" s="195"/>
      <c r="K125" s="206"/>
    </row>
    <row r="126">
      <c r="A126" s="195"/>
      <c r="K126" s="206"/>
    </row>
    <row r="127">
      <c r="A127" s="195"/>
      <c r="K127" s="206"/>
    </row>
    <row r="128">
      <c r="A128" s="195"/>
      <c r="K128" s="206"/>
    </row>
    <row r="129">
      <c r="A129" s="195"/>
      <c r="K129" s="206"/>
    </row>
    <row r="130">
      <c r="A130" s="195"/>
      <c r="K130" s="206"/>
    </row>
    <row r="131">
      <c r="A131" s="195"/>
      <c r="K131" s="206"/>
    </row>
    <row r="132">
      <c r="A132" s="195"/>
      <c r="K132" s="206"/>
    </row>
    <row r="133">
      <c r="A133" s="195"/>
      <c r="K133" s="206"/>
    </row>
    <row r="134">
      <c r="A134" s="195"/>
      <c r="K134" s="206"/>
    </row>
    <row r="135">
      <c r="A135" s="195"/>
      <c r="K135" s="206"/>
    </row>
    <row r="136">
      <c r="A136" s="195"/>
      <c r="K136" s="206"/>
    </row>
    <row r="137">
      <c r="A137" s="195"/>
      <c r="K137" s="206"/>
    </row>
    <row r="138">
      <c r="A138" s="195"/>
      <c r="K138" s="206"/>
    </row>
    <row r="139">
      <c r="A139" s="195"/>
      <c r="K139" s="206"/>
    </row>
    <row r="140">
      <c r="A140" s="195"/>
      <c r="K140" s="206"/>
    </row>
    <row r="141">
      <c r="A141" s="195"/>
      <c r="K141" s="206"/>
    </row>
    <row r="142">
      <c r="A142" s="195"/>
      <c r="K142" s="206"/>
    </row>
    <row r="143">
      <c r="A143" s="195"/>
      <c r="K143" s="206"/>
    </row>
    <row r="144">
      <c r="A144" s="195"/>
      <c r="K144" s="206"/>
    </row>
    <row r="145">
      <c r="A145" s="195"/>
      <c r="K145" s="206"/>
    </row>
    <row r="146">
      <c r="A146" s="195"/>
      <c r="K146" s="206"/>
    </row>
    <row r="147">
      <c r="A147" s="195"/>
      <c r="K147" s="206"/>
    </row>
    <row r="148">
      <c r="A148" s="195"/>
      <c r="K148" s="206"/>
    </row>
    <row r="149">
      <c r="A149" s="195"/>
      <c r="K149" s="206"/>
    </row>
    <row r="150">
      <c r="A150" s="195"/>
      <c r="K150" s="206"/>
    </row>
    <row r="151">
      <c r="A151" s="195"/>
      <c r="K151" s="206"/>
    </row>
    <row r="152">
      <c r="A152" s="195"/>
      <c r="K152" s="206"/>
    </row>
    <row r="153">
      <c r="A153" s="195"/>
      <c r="K153" s="206"/>
    </row>
    <row r="154">
      <c r="A154" s="195"/>
      <c r="K154" s="206"/>
    </row>
    <row r="155">
      <c r="A155" s="195"/>
      <c r="K155" s="206"/>
    </row>
    <row r="156">
      <c r="A156" s="195"/>
      <c r="K156" s="206"/>
    </row>
    <row r="157">
      <c r="A157" s="195"/>
      <c r="K157" s="206"/>
    </row>
    <row r="158">
      <c r="A158" s="195"/>
      <c r="K158" s="206"/>
    </row>
    <row r="159">
      <c r="A159" s="195"/>
      <c r="K159" s="206"/>
    </row>
    <row r="160">
      <c r="A160" s="195"/>
      <c r="K160" s="206"/>
    </row>
    <row r="161">
      <c r="A161" s="195"/>
      <c r="K161" s="206"/>
    </row>
    <row r="162">
      <c r="A162" s="195"/>
      <c r="K162" s="206"/>
    </row>
    <row r="163">
      <c r="A163" s="195"/>
      <c r="K163" s="206"/>
    </row>
    <row r="164">
      <c r="A164" s="195"/>
      <c r="K164" s="206"/>
    </row>
    <row r="165">
      <c r="A165" s="195"/>
      <c r="K165" s="206"/>
    </row>
    <row r="166">
      <c r="A166" s="195"/>
      <c r="K166" s="206"/>
    </row>
    <row r="167">
      <c r="A167" s="195"/>
      <c r="K167" s="206"/>
    </row>
    <row r="168">
      <c r="A168" s="195"/>
      <c r="K168" s="206"/>
    </row>
    <row r="169">
      <c r="A169" s="195"/>
      <c r="K169" s="206"/>
    </row>
    <row r="170">
      <c r="A170" s="195"/>
      <c r="K170" s="206"/>
    </row>
    <row r="171">
      <c r="A171" s="195"/>
      <c r="K171" s="206"/>
    </row>
    <row r="172">
      <c r="A172" s="195"/>
      <c r="K172" s="206"/>
    </row>
    <row r="173">
      <c r="A173" s="195"/>
      <c r="K173" s="206"/>
    </row>
    <row r="174">
      <c r="A174" s="195"/>
      <c r="K174" s="206"/>
    </row>
    <row r="175">
      <c r="A175" s="195"/>
      <c r="K175" s="206"/>
    </row>
    <row r="176">
      <c r="A176" s="195"/>
      <c r="K176" s="206"/>
    </row>
    <row r="177">
      <c r="A177" s="195"/>
      <c r="K177" s="206"/>
    </row>
    <row r="178">
      <c r="A178" s="195"/>
      <c r="K178" s="206"/>
    </row>
    <row r="179">
      <c r="A179" s="195"/>
      <c r="K179" s="206"/>
    </row>
    <row r="180">
      <c r="A180" s="195"/>
      <c r="K180" s="206"/>
    </row>
    <row r="181">
      <c r="A181" s="195"/>
      <c r="K181" s="206"/>
    </row>
    <row r="182">
      <c r="A182" s="195"/>
      <c r="K182" s="206"/>
    </row>
    <row r="183">
      <c r="A183" s="195"/>
      <c r="K183" s="206"/>
    </row>
    <row r="184">
      <c r="A184" s="195"/>
      <c r="K184" s="206"/>
    </row>
    <row r="185">
      <c r="A185" s="195"/>
      <c r="K185" s="206"/>
    </row>
    <row r="186">
      <c r="A186" s="195"/>
      <c r="K186" s="206"/>
    </row>
    <row r="187">
      <c r="A187" s="195"/>
      <c r="K187" s="206"/>
    </row>
    <row r="188">
      <c r="A188" s="195"/>
      <c r="K188" s="206"/>
    </row>
    <row r="189">
      <c r="A189" s="195"/>
      <c r="K189" s="206"/>
    </row>
    <row r="190">
      <c r="A190" s="195"/>
      <c r="K190" s="206"/>
    </row>
    <row r="191">
      <c r="A191" s="195"/>
      <c r="K191" s="206"/>
    </row>
    <row r="192">
      <c r="A192" s="195"/>
      <c r="K192" s="206"/>
    </row>
    <row r="193">
      <c r="A193" s="195"/>
      <c r="K193" s="206"/>
    </row>
    <row r="194">
      <c r="A194" s="195"/>
      <c r="K194" s="206"/>
    </row>
    <row r="195">
      <c r="A195" s="195"/>
      <c r="K195" s="206"/>
    </row>
    <row r="196">
      <c r="A196" s="195"/>
      <c r="K196" s="206"/>
    </row>
    <row r="197">
      <c r="A197" s="195"/>
      <c r="K197" s="206"/>
    </row>
    <row r="198">
      <c r="A198" s="195"/>
      <c r="K198" s="206"/>
    </row>
    <row r="199">
      <c r="A199" s="195"/>
      <c r="K199" s="206"/>
    </row>
    <row r="200">
      <c r="A200" s="195"/>
      <c r="K200" s="206"/>
    </row>
    <row r="201">
      <c r="A201" s="195"/>
      <c r="K201" s="206"/>
    </row>
    <row r="202">
      <c r="A202" s="195"/>
      <c r="K202" s="206"/>
    </row>
    <row r="203">
      <c r="A203" s="195"/>
      <c r="K203" s="206"/>
    </row>
    <row r="204">
      <c r="A204" s="195"/>
      <c r="K204" s="206"/>
    </row>
    <row r="205">
      <c r="A205" s="195"/>
      <c r="K205" s="206"/>
    </row>
    <row r="206">
      <c r="A206" s="195"/>
      <c r="K206" s="206"/>
    </row>
    <row r="207">
      <c r="A207" s="195"/>
      <c r="K207" s="206"/>
    </row>
    <row r="208">
      <c r="A208" s="195"/>
      <c r="K208" s="206"/>
    </row>
    <row r="209">
      <c r="A209" s="195"/>
      <c r="K209" s="206"/>
    </row>
    <row r="210">
      <c r="A210" s="195"/>
      <c r="K210" s="206"/>
    </row>
    <row r="211">
      <c r="A211" s="195"/>
      <c r="K211" s="206"/>
    </row>
    <row r="212">
      <c r="A212" s="195"/>
      <c r="K212" s="206"/>
    </row>
    <row r="213">
      <c r="A213" s="195"/>
      <c r="K213" s="206"/>
    </row>
    <row r="214">
      <c r="A214" s="195"/>
      <c r="K214" s="206"/>
    </row>
    <row r="215">
      <c r="A215" s="195"/>
      <c r="K215" s="206"/>
    </row>
    <row r="216">
      <c r="A216" s="195"/>
      <c r="K216" s="206"/>
    </row>
    <row r="217">
      <c r="A217" s="195"/>
      <c r="K217" s="206"/>
    </row>
    <row r="218">
      <c r="A218" s="195"/>
      <c r="K218" s="206"/>
    </row>
    <row r="219">
      <c r="A219" s="195"/>
      <c r="K219" s="206"/>
    </row>
    <row r="220">
      <c r="A220" s="195"/>
      <c r="K220" s="206"/>
    </row>
    <row r="221">
      <c r="A221" s="195"/>
      <c r="K221" s="206"/>
    </row>
    <row r="222">
      <c r="A222" s="195"/>
      <c r="K222" s="206"/>
    </row>
    <row r="223">
      <c r="A223" s="195"/>
      <c r="K223" s="206"/>
    </row>
    <row r="224">
      <c r="A224" s="195"/>
      <c r="K224" s="206"/>
    </row>
    <row r="225">
      <c r="A225" s="195"/>
      <c r="K225" s="206"/>
    </row>
    <row r="226">
      <c r="A226" s="195"/>
      <c r="K226" s="206"/>
    </row>
    <row r="227">
      <c r="A227" s="195"/>
      <c r="K227" s="206"/>
    </row>
    <row r="228">
      <c r="A228" s="195"/>
      <c r="K228" s="206"/>
    </row>
    <row r="229">
      <c r="A229" s="195"/>
      <c r="K229" s="206"/>
    </row>
    <row r="230">
      <c r="A230" s="195"/>
      <c r="K230" s="206"/>
    </row>
    <row r="231">
      <c r="A231" s="195"/>
      <c r="K231" s="206"/>
    </row>
    <row r="232">
      <c r="A232" s="195"/>
      <c r="K232" s="206"/>
    </row>
    <row r="233">
      <c r="A233" s="195"/>
      <c r="K233" s="206"/>
    </row>
    <row r="234">
      <c r="A234" s="195"/>
      <c r="K234" s="206"/>
    </row>
    <row r="235">
      <c r="A235" s="195"/>
      <c r="K235" s="206"/>
    </row>
    <row r="236">
      <c r="A236" s="195"/>
      <c r="K236" s="206"/>
    </row>
    <row r="237">
      <c r="A237" s="195"/>
      <c r="K237" s="206"/>
    </row>
    <row r="238">
      <c r="A238" s="195"/>
      <c r="K238" s="206"/>
    </row>
    <row r="239">
      <c r="A239" s="195"/>
      <c r="K239" s="206"/>
    </row>
    <row r="240">
      <c r="A240" s="195"/>
      <c r="K240" s="206"/>
    </row>
    <row r="241">
      <c r="A241" s="195"/>
      <c r="K241" s="206"/>
    </row>
    <row r="242">
      <c r="A242" s="195"/>
      <c r="K242" s="206"/>
    </row>
    <row r="243">
      <c r="A243" s="195"/>
      <c r="K243" s="206"/>
    </row>
    <row r="244">
      <c r="A244" s="195"/>
      <c r="K244" s="206"/>
    </row>
    <row r="245">
      <c r="A245" s="195"/>
      <c r="K245" s="206"/>
    </row>
    <row r="246">
      <c r="A246" s="195"/>
      <c r="K246" s="206"/>
    </row>
    <row r="247">
      <c r="A247" s="195"/>
      <c r="K247" s="206"/>
    </row>
    <row r="248">
      <c r="A248" s="195"/>
      <c r="K248" s="206"/>
    </row>
    <row r="249">
      <c r="A249" s="195"/>
      <c r="K249" s="206"/>
    </row>
    <row r="250">
      <c r="A250" s="195"/>
      <c r="K250" s="206"/>
    </row>
    <row r="251">
      <c r="A251" s="195"/>
      <c r="K251" s="206"/>
    </row>
    <row r="252">
      <c r="A252" s="195"/>
      <c r="K252" s="206"/>
    </row>
    <row r="253">
      <c r="A253" s="195"/>
      <c r="K253" s="206"/>
    </row>
    <row r="254">
      <c r="A254" s="195"/>
      <c r="K254" s="206"/>
    </row>
    <row r="255">
      <c r="A255" s="195"/>
      <c r="K255" s="206"/>
    </row>
    <row r="256">
      <c r="A256" s="195"/>
      <c r="K256" s="206"/>
    </row>
    <row r="257">
      <c r="A257" s="195"/>
      <c r="K257" s="206"/>
    </row>
    <row r="258">
      <c r="A258" s="195"/>
      <c r="K258" s="206"/>
    </row>
    <row r="259">
      <c r="A259" s="195"/>
      <c r="K259" s="206"/>
    </row>
    <row r="260">
      <c r="A260" s="195"/>
      <c r="K260" s="206"/>
    </row>
    <row r="261">
      <c r="A261" s="195"/>
      <c r="K261" s="206"/>
    </row>
    <row r="262">
      <c r="A262" s="195"/>
      <c r="K262" s="206"/>
    </row>
    <row r="263">
      <c r="A263" s="195"/>
      <c r="K263" s="206"/>
    </row>
    <row r="264">
      <c r="A264" s="195"/>
      <c r="K264" s="206"/>
    </row>
    <row r="265">
      <c r="A265" s="195"/>
      <c r="K265" s="206"/>
    </row>
    <row r="266">
      <c r="A266" s="195"/>
      <c r="K266" s="206"/>
    </row>
    <row r="267">
      <c r="A267" s="195"/>
      <c r="K267" s="206"/>
    </row>
    <row r="268">
      <c r="A268" s="195"/>
      <c r="K268" s="206"/>
    </row>
    <row r="269">
      <c r="A269" s="195"/>
      <c r="K269" s="206"/>
    </row>
    <row r="270">
      <c r="A270" s="195"/>
      <c r="K270" s="206"/>
    </row>
    <row r="271">
      <c r="A271" s="195"/>
      <c r="K271" s="206"/>
    </row>
    <row r="272">
      <c r="A272" s="195"/>
      <c r="K272" s="206"/>
    </row>
    <row r="273">
      <c r="A273" s="195"/>
      <c r="K273" s="206"/>
    </row>
    <row r="274">
      <c r="A274" s="195"/>
      <c r="K274" s="206"/>
    </row>
    <row r="275">
      <c r="A275" s="195"/>
      <c r="K275" s="206"/>
    </row>
    <row r="276">
      <c r="A276" s="195"/>
      <c r="K276" s="206"/>
    </row>
    <row r="277">
      <c r="A277" s="195"/>
      <c r="K277" s="206"/>
    </row>
    <row r="278">
      <c r="A278" s="195"/>
      <c r="K278" s="206"/>
    </row>
    <row r="279">
      <c r="A279" s="195"/>
      <c r="K279" s="206"/>
    </row>
    <row r="280">
      <c r="A280" s="195"/>
      <c r="K280" s="206"/>
    </row>
    <row r="281">
      <c r="A281" s="195"/>
      <c r="K281" s="206"/>
    </row>
    <row r="282">
      <c r="A282" s="195"/>
      <c r="K282" s="206"/>
    </row>
    <row r="283">
      <c r="A283" s="195"/>
      <c r="K283" s="206"/>
    </row>
    <row r="284">
      <c r="A284" s="195"/>
      <c r="K284" s="206"/>
    </row>
    <row r="285">
      <c r="A285" s="195"/>
      <c r="K285" s="206"/>
    </row>
    <row r="286">
      <c r="A286" s="195"/>
      <c r="K286" s="206"/>
    </row>
    <row r="287">
      <c r="A287" s="195"/>
      <c r="K287" s="206"/>
    </row>
    <row r="288">
      <c r="A288" s="195"/>
      <c r="K288" s="206"/>
    </row>
    <row r="289">
      <c r="A289" s="195"/>
      <c r="K289" s="206"/>
    </row>
    <row r="290">
      <c r="A290" s="195"/>
      <c r="K290" s="206"/>
    </row>
    <row r="291">
      <c r="A291" s="195"/>
      <c r="K291" s="206"/>
    </row>
    <row r="292">
      <c r="A292" s="195"/>
      <c r="K292" s="206"/>
    </row>
    <row r="293">
      <c r="A293" s="195"/>
      <c r="K293" s="206"/>
    </row>
    <row r="294">
      <c r="A294" s="195"/>
      <c r="K294" s="206"/>
    </row>
    <row r="295">
      <c r="A295" s="195"/>
      <c r="K295" s="206"/>
    </row>
    <row r="296">
      <c r="A296" s="195"/>
      <c r="K296" s="206"/>
    </row>
    <row r="297">
      <c r="A297" s="195"/>
      <c r="K297" s="206"/>
    </row>
    <row r="298">
      <c r="A298" s="195"/>
      <c r="K298" s="206"/>
    </row>
    <row r="299">
      <c r="A299" s="195"/>
      <c r="K299" s="206"/>
    </row>
    <row r="300">
      <c r="A300" s="195"/>
      <c r="K300" s="206"/>
    </row>
    <row r="301">
      <c r="A301" s="195"/>
      <c r="K301" s="206"/>
    </row>
    <row r="302">
      <c r="A302" s="195"/>
      <c r="K302" s="206"/>
    </row>
    <row r="303">
      <c r="A303" s="195"/>
      <c r="K303" s="206"/>
    </row>
    <row r="304">
      <c r="A304" s="195"/>
      <c r="K304" s="206"/>
    </row>
    <row r="305">
      <c r="A305" s="195"/>
      <c r="K305" s="206"/>
    </row>
    <row r="306">
      <c r="A306" s="195"/>
      <c r="K306" s="206"/>
    </row>
    <row r="307">
      <c r="A307" s="195"/>
      <c r="K307" s="206"/>
    </row>
    <row r="308">
      <c r="A308" s="195"/>
      <c r="K308" s="206"/>
    </row>
    <row r="309">
      <c r="A309" s="195"/>
      <c r="K309" s="206"/>
    </row>
    <row r="310">
      <c r="A310" s="195"/>
      <c r="K310" s="206"/>
    </row>
    <row r="311">
      <c r="A311" s="195"/>
      <c r="K311" s="206"/>
    </row>
    <row r="312">
      <c r="A312" s="195"/>
      <c r="K312" s="206"/>
    </row>
    <row r="313">
      <c r="A313" s="195"/>
      <c r="K313" s="206"/>
    </row>
    <row r="314">
      <c r="A314" s="195"/>
      <c r="K314" s="206"/>
    </row>
    <row r="315">
      <c r="A315" s="195"/>
      <c r="K315" s="206"/>
    </row>
    <row r="316">
      <c r="A316" s="195"/>
      <c r="K316" s="206"/>
    </row>
    <row r="317">
      <c r="A317" s="195"/>
      <c r="K317" s="206"/>
    </row>
    <row r="318">
      <c r="A318" s="195"/>
      <c r="K318" s="206"/>
    </row>
    <row r="319">
      <c r="A319" s="195"/>
      <c r="K319" s="206"/>
    </row>
    <row r="320">
      <c r="A320" s="195"/>
      <c r="K320" s="206"/>
    </row>
    <row r="321">
      <c r="A321" s="195"/>
      <c r="K321" s="206"/>
    </row>
    <row r="322">
      <c r="A322" s="195"/>
      <c r="K322" s="206"/>
    </row>
    <row r="323">
      <c r="A323" s="195"/>
      <c r="K323" s="206"/>
    </row>
    <row r="324">
      <c r="A324" s="195"/>
      <c r="K324" s="206"/>
    </row>
    <row r="325">
      <c r="A325" s="195"/>
      <c r="K325" s="206"/>
    </row>
    <row r="326">
      <c r="A326" s="195"/>
      <c r="K326" s="206"/>
    </row>
    <row r="327">
      <c r="A327" s="195"/>
      <c r="K327" s="206"/>
    </row>
    <row r="328">
      <c r="A328" s="195"/>
      <c r="K328" s="206"/>
    </row>
    <row r="329">
      <c r="A329" s="195"/>
      <c r="K329" s="206"/>
    </row>
    <row r="330">
      <c r="A330" s="195"/>
      <c r="K330" s="206"/>
    </row>
    <row r="331">
      <c r="A331" s="195"/>
      <c r="K331" s="206"/>
    </row>
    <row r="332">
      <c r="A332" s="195"/>
      <c r="K332" s="206"/>
    </row>
    <row r="333">
      <c r="A333" s="195"/>
      <c r="K333" s="206"/>
    </row>
    <row r="334">
      <c r="A334" s="195"/>
      <c r="K334" s="206"/>
    </row>
    <row r="335">
      <c r="A335" s="195"/>
      <c r="K335" s="206"/>
    </row>
    <row r="336">
      <c r="A336" s="195"/>
      <c r="K336" s="206"/>
    </row>
    <row r="337">
      <c r="A337" s="195"/>
      <c r="K337" s="206"/>
    </row>
    <row r="338">
      <c r="A338" s="195"/>
      <c r="K338" s="206"/>
    </row>
    <row r="339">
      <c r="A339" s="195"/>
      <c r="K339" s="206"/>
    </row>
    <row r="340">
      <c r="A340" s="195"/>
      <c r="K340" s="206"/>
    </row>
    <row r="341">
      <c r="A341" s="195"/>
      <c r="K341" s="206"/>
    </row>
    <row r="342">
      <c r="A342" s="195"/>
      <c r="K342" s="206"/>
    </row>
    <row r="343">
      <c r="A343" s="195"/>
      <c r="K343" s="206"/>
    </row>
    <row r="344">
      <c r="A344" s="195"/>
      <c r="K344" s="206"/>
    </row>
    <row r="345">
      <c r="A345" s="195"/>
      <c r="K345" s="206"/>
    </row>
    <row r="346">
      <c r="A346" s="195"/>
      <c r="K346" s="206"/>
    </row>
    <row r="347">
      <c r="A347" s="195"/>
      <c r="K347" s="206"/>
    </row>
    <row r="348">
      <c r="A348" s="195"/>
      <c r="K348" s="206"/>
    </row>
    <row r="349">
      <c r="A349" s="195"/>
      <c r="K349" s="206"/>
    </row>
    <row r="350">
      <c r="A350" s="195"/>
      <c r="K350" s="206"/>
    </row>
    <row r="351">
      <c r="A351" s="195"/>
      <c r="K351" s="206"/>
    </row>
    <row r="352">
      <c r="A352" s="195"/>
      <c r="K352" s="206"/>
    </row>
    <row r="353">
      <c r="A353" s="195"/>
      <c r="K353" s="206"/>
    </row>
    <row r="354">
      <c r="A354" s="195"/>
      <c r="K354" s="206"/>
    </row>
    <row r="355">
      <c r="A355" s="195"/>
      <c r="K355" s="206"/>
    </row>
    <row r="356">
      <c r="A356" s="195"/>
      <c r="K356" s="206"/>
    </row>
    <row r="357">
      <c r="A357" s="195"/>
      <c r="K357" s="206"/>
    </row>
    <row r="358">
      <c r="A358" s="195"/>
      <c r="K358" s="206"/>
    </row>
    <row r="359">
      <c r="A359" s="195"/>
      <c r="K359" s="206"/>
    </row>
    <row r="360">
      <c r="A360" s="195"/>
      <c r="K360" s="206"/>
    </row>
    <row r="361">
      <c r="A361" s="195"/>
      <c r="K361" s="206"/>
    </row>
    <row r="362">
      <c r="A362" s="195"/>
      <c r="K362" s="206"/>
    </row>
    <row r="363">
      <c r="A363" s="195"/>
      <c r="K363" s="206"/>
    </row>
    <row r="364">
      <c r="A364" s="195"/>
      <c r="K364" s="206"/>
    </row>
    <row r="365">
      <c r="A365" s="195"/>
      <c r="K365" s="206"/>
    </row>
    <row r="366">
      <c r="A366" s="195"/>
      <c r="K366" s="206"/>
    </row>
    <row r="367">
      <c r="A367" s="195"/>
      <c r="K367" s="206"/>
    </row>
    <row r="368">
      <c r="A368" s="195"/>
      <c r="K368" s="206"/>
    </row>
    <row r="369">
      <c r="A369" s="195"/>
      <c r="K369" s="206"/>
    </row>
    <row r="370">
      <c r="A370" s="195"/>
      <c r="K370" s="206"/>
    </row>
    <row r="371">
      <c r="A371" s="195"/>
      <c r="K371" s="206"/>
    </row>
    <row r="372">
      <c r="A372" s="195"/>
      <c r="K372" s="206"/>
    </row>
    <row r="373">
      <c r="A373" s="195"/>
      <c r="K373" s="206"/>
    </row>
    <row r="374">
      <c r="A374" s="195"/>
      <c r="K374" s="206"/>
    </row>
    <row r="375">
      <c r="A375" s="195"/>
      <c r="K375" s="206"/>
    </row>
    <row r="376">
      <c r="A376" s="195"/>
      <c r="K376" s="206"/>
    </row>
    <row r="377">
      <c r="A377" s="195"/>
      <c r="K377" s="206"/>
    </row>
    <row r="378">
      <c r="A378" s="195"/>
      <c r="K378" s="206"/>
    </row>
    <row r="379">
      <c r="A379" s="195"/>
      <c r="K379" s="206"/>
    </row>
    <row r="380">
      <c r="A380" s="195"/>
      <c r="K380" s="206"/>
    </row>
    <row r="381">
      <c r="A381" s="195"/>
      <c r="K381" s="206"/>
    </row>
    <row r="382">
      <c r="A382" s="195"/>
      <c r="K382" s="206"/>
    </row>
    <row r="383">
      <c r="A383" s="195"/>
      <c r="K383" s="206"/>
    </row>
    <row r="384">
      <c r="A384" s="195"/>
      <c r="K384" s="206"/>
    </row>
    <row r="385">
      <c r="A385" s="195"/>
      <c r="K385" s="206"/>
    </row>
    <row r="386">
      <c r="A386" s="195"/>
      <c r="K386" s="206"/>
    </row>
    <row r="387">
      <c r="A387" s="195"/>
      <c r="K387" s="206"/>
    </row>
    <row r="388">
      <c r="A388" s="195"/>
      <c r="K388" s="206"/>
    </row>
    <row r="389">
      <c r="A389" s="195"/>
      <c r="K389" s="206"/>
    </row>
    <row r="390">
      <c r="A390" s="195"/>
      <c r="K390" s="206"/>
    </row>
    <row r="391">
      <c r="A391" s="195"/>
      <c r="K391" s="206"/>
    </row>
    <row r="392">
      <c r="A392" s="195"/>
      <c r="K392" s="206"/>
    </row>
    <row r="393">
      <c r="A393" s="195"/>
      <c r="K393" s="206"/>
    </row>
    <row r="394">
      <c r="A394" s="195"/>
      <c r="K394" s="206"/>
    </row>
    <row r="395">
      <c r="A395" s="195"/>
      <c r="K395" s="206"/>
    </row>
    <row r="396">
      <c r="A396" s="195"/>
      <c r="K396" s="206"/>
    </row>
    <row r="397">
      <c r="A397" s="195"/>
      <c r="K397" s="206"/>
    </row>
    <row r="398">
      <c r="A398" s="195"/>
      <c r="K398" s="206"/>
    </row>
    <row r="399">
      <c r="A399" s="195"/>
      <c r="K399" s="206"/>
    </row>
    <row r="400">
      <c r="A400" s="195"/>
      <c r="K400" s="206"/>
    </row>
    <row r="401">
      <c r="A401" s="195"/>
      <c r="K401" s="206"/>
    </row>
    <row r="402">
      <c r="A402" s="195"/>
      <c r="K402" s="206"/>
    </row>
    <row r="403">
      <c r="A403" s="195"/>
      <c r="K403" s="206"/>
    </row>
    <row r="404">
      <c r="A404" s="195"/>
      <c r="K404" s="206"/>
    </row>
    <row r="405">
      <c r="A405" s="195"/>
      <c r="K405" s="206"/>
    </row>
    <row r="406">
      <c r="A406" s="195"/>
      <c r="K406" s="206"/>
    </row>
    <row r="407">
      <c r="A407" s="195"/>
      <c r="K407" s="206"/>
    </row>
    <row r="408">
      <c r="A408" s="195"/>
      <c r="K408" s="206"/>
    </row>
    <row r="409">
      <c r="A409" s="195"/>
      <c r="K409" s="206"/>
    </row>
    <row r="410">
      <c r="A410" s="195"/>
      <c r="K410" s="206"/>
    </row>
    <row r="411">
      <c r="A411" s="195"/>
      <c r="K411" s="206"/>
    </row>
    <row r="412">
      <c r="A412" s="195"/>
      <c r="K412" s="206"/>
    </row>
    <row r="413">
      <c r="A413" s="195"/>
      <c r="K413" s="206"/>
    </row>
    <row r="414">
      <c r="A414" s="195"/>
      <c r="K414" s="206"/>
    </row>
    <row r="415">
      <c r="A415" s="195"/>
      <c r="K415" s="206"/>
    </row>
    <row r="416">
      <c r="A416" s="195"/>
      <c r="K416" s="206"/>
    </row>
    <row r="417">
      <c r="A417" s="195"/>
      <c r="K417" s="206"/>
    </row>
    <row r="418">
      <c r="A418" s="195"/>
      <c r="K418" s="206"/>
    </row>
    <row r="419">
      <c r="A419" s="195"/>
      <c r="K419" s="206"/>
    </row>
    <row r="420">
      <c r="A420" s="195"/>
      <c r="K420" s="206"/>
    </row>
    <row r="421">
      <c r="A421" s="195"/>
      <c r="K421" s="206"/>
    </row>
    <row r="422">
      <c r="A422" s="195"/>
      <c r="K422" s="206"/>
    </row>
    <row r="423">
      <c r="A423" s="195"/>
      <c r="K423" s="206"/>
    </row>
    <row r="424">
      <c r="A424" s="195"/>
      <c r="K424" s="206"/>
    </row>
    <row r="425">
      <c r="A425" s="195"/>
      <c r="K425" s="206"/>
    </row>
    <row r="426">
      <c r="A426" s="195"/>
      <c r="K426" s="206"/>
    </row>
    <row r="427">
      <c r="A427" s="195"/>
      <c r="K427" s="206"/>
    </row>
    <row r="428">
      <c r="A428" s="195"/>
      <c r="K428" s="206"/>
    </row>
    <row r="429">
      <c r="A429" s="195"/>
      <c r="K429" s="206"/>
    </row>
    <row r="430">
      <c r="A430" s="195"/>
      <c r="K430" s="206"/>
    </row>
    <row r="431">
      <c r="A431" s="195"/>
      <c r="K431" s="206"/>
    </row>
    <row r="432">
      <c r="A432" s="195"/>
      <c r="K432" s="206"/>
    </row>
    <row r="433">
      <c r="A433" s="195"/>
      <c r="K433" s="206"/>
    </row>
    <row r="434">
      <c r="A434" s="195"/>
      <c r="K434" s="206"/>
    </row>
    <row r="435">
      <c r="A435" s="195"/>
      <c r="K435" s="206"/>
    </row>
    <row r="436">
      <c r="A436" s="195"/>
      <c r="K436" s="206"/>
    </row>
    <row r="437">
      <c r="A437" s="195"/>
      <c r="K437" s="206"/>
    </row>
    <row r="438">
      <c r="A438" s="195"/>
      <c r="K438" s="206"/>
    </row>
    <row r="439">
      <c r="A439" s="195"/>
      <c r="K439" s="206"/>
    </row>
    <row r="440">
      <c r="A440" s="195"/>
      <c r="K440" s="206"/>
    </row>
    <row r="441">
      <c r="A441" s="195"/>
      <c r="K441" s="206"/>
    </row>
    <row r="442">
      <c r="A442" s="195"/>
      <c r="K442" s="206"/>
    </row>
    <row r="443">
      <c r="A443" s="195"/>
      <c r="K443" s="206"/>
    </row>
    <row r="444">
      <c r="A444" s="195"/>
      <c r="K444" s="206"/>
    </row>
    <row r="445">
      <c r="A445" s="195"/>
      <c r="K445" s="206"/>
    </row>
    <row r="446">
      <c r="A446" s="195"/>
      <c r="K446" s="206"/>
    </row>
    <row r="447">
      <c r="A447" s="195"/>
      <c r="K447" s="206"/>
    </row>
    <row r="448">
      <c r="A448" s="195"/>
      <c r="K448" s="206"/>
    </row>
    <row r="449">
      <c r="A449" s="195"/>
      <c r="K449" s="206"/>
    </row>
    <row r="450">
      <c r="A450" s="195"/>
      <c r="K450" s="206"/>
    </row>
    <row r="451">
      <c r="A451" s="195"/>
      <c r="K451" s="206"/>
    </row>
    <row r="452">
      <c r="A452" s="195"/>
      <c r="K452" s="206"/>
    </row>
    <row r="453">
      <c r="A453" s="195"/>
      <c r="K453" s="206"/>
    </row>
    <row r="454">
      <c r="A454" s="195"/>
      <c r="K454" s="206"/>
    </row>
    <row r="455">
      <c r="A455" s="195"/>
      <c r="K455" s="206"/>
    </row>
    <row r="456">
      <c r="A456" s="195"/>
      <c r="K456" s="206"/>
    </row>
    <row r="457">
      <c r="A457" s="195"/>
      <c r="K457" s="206"/>
    </row>
    <row r="458">
      <c r="A458" s="195"/>
      <c r="K458" s="206"/>
    </row>
    <row r="459">
      <c r="A459" s="195"/>
      <c r="K459" s="206"/>
    </row>
    <row r="460">
      <c r="A460" s="195"/>
      <c r="K460" s="206"/>
    </row>
    <row r="461">
      <c r="A461" s="195"/>
      <c r="K461" s="206"/>
    </row>
    <row r="462">
      <c r="A462" s="195"/>
      <c r="K462" s="206"/>
    </row>
    <row r="463">
      <c r="A463" s="195"/>
      <c r="K463" s="206"/>
    </row>
    <row r="464">
      <c r="A464" s="195"/>
      <c r="K464" s="206"/>
    </row>
    <row r="465">
      <c r="A465" s="195"/>
      <c r="K465" s="206"/>
    </row>
    <row r="466">
      <c r="A466" s="195"/>
      <c r="K466" s="206"/>
    </row>
    <row r="467">
      <c r="A467" s="195"/>
      <c r="K467" s="206"/>
    </row>
    <row r="468">
      <c r="A468" s="195"/>
      <c r="K468" s="206"/>
    </row>
    <row r="469">
      <c r="A469" s="195"/>
      <c r="K469" s="206"/>
    </row>
    <row r="470">
      <c r="A470" s="195"/>
      <c r="K470" s="206"/>
    </row>
    <row r="471">
      <c r="A471" s="195"/>
      <c r="K471" s="206"/>
    </row>
    <row r="472">
      <c r="A472" s="195"/>
      <c r="K472" s="206"/>
    </row>
    <row r="473">
      <c r="A473" s="195"/>
      <c r="K473" s="206"/>
    </row>
    <row r="474">
      <c r="A474" s="195"/>
      <c r="K474" s="206"/>
    </row>
    <row r="475">
      <c r="A475" s="195"/>
      <c r="K475" s="206"/>
    </row>
    <row r="476">
      <c r="A476" s="195"/>
      <c r="K476" s="206"/>
    </row>
    <row r="477">
      <c r="A477" s="195"/>
      <c r="K477" s="206"/>
    </row>
    <row r="478">
      <c r="A478" s="195"/>
      <c r="K478" s="206"/>
    </row>
    <row r="479">
      <c r="A479" s="195"/>
      <c r="K479" s="206"/>
    </row>
    <row r="480">
      <c r="A480" s="195"/>
      <c r="K480" s="206"/>
    </row>
    <row r="481">
      <c r="A481" s="195"/>
      <c r="K481" s="206"/>
    </row>
    <row r="482">
      <c r="A482" s="195"/>
      <c r="K482" s="206"/>
    </row>
    <row r="483">
      <c r="A483" s="195"/>
      <c r="K483" s="206"/>
    </row>
    <row r="484">
      <c r="A484" s="195"/>
      <c r="K484" s="206"/>
    </row>
    <row r="485">
      <c r="A485" s="195"/>
      <c r="K485" s="206"/>
    </row>
    <row r="486">
      <c r="A486" s="195"/>
      <c r="K486" s="206"/>
    </row>
    <row r="487">
      <c r="A487" s="195"/>
      <c r="K487" s="206"/>
    </row>
    <row r="488">
      <c r="A488" s="195"/>
      <c r="K488" s="206"/>
    </row>
    <row r="489">
      <c r="A489" s="195"/>
      <c r="K489" s="206"/>
    </row>
    <row r="490">
      <c r="A490" s="195"/>
      <c r="K490" s="206"/>
    </row>
    <row r="491">
      <c r="A491" s="195"/>
      <c r="K491" s="206"/>
    </row>
    <row r="492">
      <c r="A492" s="195"/>
      <c r="K492" s="206"/>
    </row>
    <row r="493">
      <c r="A493" s="195"/>
      <c r="K493" s="206"/>
    </row>
    <row r="494">
      <c r="A494" s="195"/>
      <c r="K494" s="206"/>
    </row>
    <row r="495">
      <c r="A495" s="195"/>
      <c r="K495" s="206"/>
    </row>
    <row r="496">
      <c r="A496" s="195"/>
      <c r="K496" s="206"/>
    </row>
    <row r="497">
      <c r="A497" s="195"/>
      <c r="K497" s="206"/>
    </row>
    <row r="498">
      <c r="A498" s="195"/>
      <c r="K498" s="206"/>
    </row>
    <row r="499">
      <c r="A499" s="195"/>
      <c r="K499" s="206"/>
    </row>
    <row r="500">
      <c r="A500" s="195"/>
      <c r="K500" s="206"/>
    </row>
    <row r="501">
      <c r="A501" s="195"/>
      <c r="K501" s="206"/>
    </row>
    <row r="502">
      <c r="A502" s="195"/>
      <c r="K502" s="206"/>
    </row>
    <row r="503">
      <c r="A503" s="195"/>
      <c r="K503" s="206"/>
    </row>
    <row r="504">
      <c r="A504" s="195"/>
      <c r="K504" s="206"/>
    </row>
    <row r="505">
      <c r="A505" s="195"/>
      <c r="K505" s="206"/>
    </row>
    <row r="506">
      <c r="A506" s="195"/>
      <c r="K506" s="206"/>
    </row>
    <row r="507">
      <c r="A507" s="195"/>
      <c r="K507" s="206"/>
    </row>
    <row r="508">
      <c r="A508" s="195"/>
      <c r="K508" s="206"/>
    </row>
    <row r="509">
      <c r="A509" s="195"/>
      <c r="K509" s="206"/>
    </row>
    <row r="510">
      <c r="A510" s="195"/>
      <c r="K510" s="206"/>
    </row>
    <row r="511">
      <c r="A511" s="195"/>
      <c r="K511" s="206"/>
    </row>
    <row r="512">
      <c r="A512" s="195"/>
      <c r="K512" s="206"/>
    </row>
    <row r="513">
      <c r="A513" s="195"/>
      <c r="K513" s="206"/>
    </row>
    <row r="514">
      <c r="A514" s="195"/>
      <c r="K514" s="206"/>
    </row>
    <row r="515">
      <c r="A515" s="195"/>
      <c r="K515" s="206"/>
    </row>
    <row r="516">
      <c r="A516" s="195"/>
      <c r="K516" s="206"/>
    </row>
    <row r="517">
      <c r="A517" s="195"/>
      <c r="K517" s="206"/>
    </row>
    <row r="518">
      <c r="A518" s="195"/>
      <c r="K518" s="206"/>
    </row>
    <row r="519">
      <c r="A519" s="195"/>
      <c r="K519" s="206"/>
    </row>
    <row r="520">
      <c r="A520" s="195"/>
      <c r="K520" s="206"/>
    </row>
    <row r="521">
      <c r="A521" s="195"/>
      <c r="K521" s="206"/>
    </row>
    <row r="522">
      <c r="A522" s="195"/>
      <c r="K522" s="206"/>
    </row>
    <row r="523">
      <c r="A523" s="195"/>
      <c r="K523" s="206"/>
    </row>
    <row r="524">
      <c r="A524" s="195"/>
      <c r="K524" s="206"/>
    </row>
    <row r="525">
      <c r="A525" s="195"/>
      <c r="K525" s="206"/>
    </row>
    <row r="526">
      <c r="A526" s="195"/>
      <c r="K526" s="206"/>
    </row>
    <row r="527">
      <c r="A527" s="195"/>
      <c r="K527" s="206"/>
    </row>
    <row r="528">
      <c r="A528" s="195"/>
      <c r="K528" s="206"/>
    </row>
    <row r="529">
      <c r="A529" s="195"/>
      <c r="K529" s="206"/>
    </row>
    <row r="530">
      <c r="A530" s="195"/>
      <c r="K530" s="206"/>
    </row>
    <row r="531">
      <c r="A531" s="195"/>
      <c r="K531" s="206"/>
    </row>
    <row r="532">
      <c r="A532" s="195"/>
      <c r="K532" s="206"/>
    </row>
    <row r="533">
      <c r="A533" s="195"/>
      <c r="K533" s="206"/>
    </row>
    <row r="534">
      <c r="A534" s="195"/>
      <c r="K534" s="206"/>
    </row>
    <row r="535">
      <c r="A535" s="195"/>
      <c r="K535" s="206"/>
    </row>
    <row r="536">
      <c r="A536" s="195"/>
      <c r="K536" s="206"/>
    </row>
    <row r="537">
      <c r="A537" s="195"/>
      <c r="K537" s="206"/>
    </row>
    <row r="538">
      <c r="A538" s="195"/>
      <c r="K538" s="206"/>
    </row>
    <row r="539">
      <c r="A539" s="195"/>
      <c r="K539" s="206"/>
    </row>
    <row r="540">
      <c r="A540" s="195"/>
      <c r="K540" s="206"/>
    </row>
    <row r="541">
      <c r="A541" s="195"/>
      <c r="K541" s="206"/>
    </row>
    <row r="542">
      <c r="A542" s="195"/>
      <c r="K542" s="206"/>
    </row>
    <row r="543">
      <c r="A543" s="195"/>
      <c r="K543" s="206"/>
    </row>
    <row r="544">
      <c r="A544" s="195"/>
      <c r="K544" s="206"/>
    </row>
    <row r="545">
      <c r="A545" s="195"/>
      <c r="K545" s="206"/>
    </row>
    <row r="546">
      <c r="A546" s="195"/>
      <c r="K546" s="206"/>
    </row>
    <row r="547">
      <c r="A547" s="195"/>
      <c r="K547" s="206"/>
    </row>
    <row r="548">
      <c r="A548" s="195"/>
      <c r="K548" s="206"/>
    </row>
    <row r="549">
      <c r="A549" s="195"/>
      <c r="K549" s="206"/>
    </row>
    <row r="550">
      <c r="A550" s="195"/>
      <c r="K550" s="206"/>
    </row>
    <row r="551">
      <c r="A551" s="195"/>
      <c r="K551" s="206"/>
    </row>
    <row r="552">
      <c r="A552" s="195"/>
      <c r="K552" s="206"/>
    </row>
    <row r="553">
      <c r="A553" s="195"/>
      <c r="K553" s="206"/>
    </row>
    <row r="554">
      <c r="A554" s="195"/>
      <c r="K554" s="206"/>
    </row>
    <row r="555">
      <c r="A555" s="195"/>
      <c r="K555" s="206"/>
    </row>
    <row r="556">
      <c r="A556" s="195"/>
      <c r="K556" s="206"/>
    </row>
    <row r="557">
      <c r="A557" s="195"/>
      <c r="K557" s="206"/>
    </row>
    <row r="558">
      <c r="A558" s="195"/>
      <c r="K558" s="206"/>
    </row>
    <row r="559">
      <c r="A559" s="195"/>
      <c r="K559" s="206"/>
    </row>
    <row r="560">
      <c r="A560" s="195"/>
      <c r="K560" s="206"/>
    </row>
    <row r="561">
      <c r="A561" s="195"/>
      <c r="K561" s="206"/>
    </row>
    <row r="562">
      <c r="A562" s="195"/>
      <c r="K562" s="206"/>
    </row>
    <row r="563">
      <c r="A563" s="195"/>
      <c r="K563" s="206"/>
    </row>
    <row r="564">
      <c r="A564" s="195"/>
      <c r="K564" s="206"/>
    </row>
    <row r="565">
      <c r="A565" s="195"/>
      <c r="K565" s="206"/>
    </row>
    <row r="566">
      <c r="A566" s="195"/>
      <c r="K566" s="206"/>
    </row>
    <row r="567">
      <c r="A567" s="195"/>
      <c r="K567" s="206"/>
    </row>
    <row r="568">
      <c r="A568" s="195"/>
      <c r="K568" s="206"/>
    </row>
    <row r="569">
      <c r="A569" s="195"/>
      <c r="K569" s="206"/>
    </row>
    <row r="570">
      <c r="A570" s="195"/>
      <c r="K570" s="206"/>
    </row>
    <row r="571">
      <c r="A571" s="195"/>
      <c r="K571" s="206"/>
    </row>
    <row r="572">
      <c r="A572" s="195"/>
      <c r="K572" s="206"/>
    </row>
    <row r="573">
      <c r="A573" s="195"/>
      <c r="K573" s="206"/>
    </row>
    <row r="574">
      <c r="A574" s="195"/>
      <c r="K574" s="206"/>
    </row>
    <row r="575">
      <c r="A575" s="195"/>
      <c r="K575" s="206"/>
    </row>
    <row r="576">
      <c r="A576" s="195"/>
      <c r="K576" s="206"/>
    </row>
    <row r="577">
      <c r="A577" s="195"/>
      <c r="K577" s="206"/>
    </row>
    <row r="578">
      <c r="A578" s="195"/>
      <c r="K578" s="206"/>
    </row>
    <row r="579">
      <c r="A579" s="195"/>
      <c r="K579" s="206"/>
    </row>
    <row r="580">
      <c r="A580" s="195"/>
      <c r="K580" s="206"/>
    </row>
    <row r="581">
      <c r="A581" s="195"/>
      <c r="K581" s="206"/>
    </row>
    <row r="582">
      <c r="A582" s="195"/>
      <c r="K582" s="206"/>
    </row>
    <row r="583">
      <c r="A583" s="195"/>
      <c r="K583" s="206"/>
    </row>
    <row r="584">
      <c r="A584" s="195"/>
      <c r="K584" s="206"/>
    </row>
    <row r="585">
      <c r="A585" s="195"/>
      <c r="K585" s="206"/>
    </row>
    <row r="586">
      <c r="A586" s="195"/>
      <c r="K586" s="206"/>
    </row>
    <row r="587">
      <c r="A587" s="195"/>
      <c r="K587" s="206"/>
    </row>
    <row r="588">
      <c r="A588" s="195"/>
      <c r="K588" s="206"/>
    </row>
    <row r="589">
      <c r="A589" s="195"/>
      <c r="K589" s="206"/>
    </row>
    <row r="590">
      <c r="A590" s="195"/>
      <c r="K590" s="206"/>
    </row>
    <row r="591">
      <c r="A591" s="195"/>
      <c r="K591" s="206"/>
    </row>
    <row r="592">
      <c r="A592" s="195"/>
      <c r="K592" s="206"/>
    </row>
    <row r="593">
      <c r="A593" s="195"/>
      <c r="K593" s="206"/>
    </row>
    <row r="594">
      <c r="A594" s="195"/>
      <c r="K594" s="206"/>
    </row>
    <row r="595">
      <c r="A595" s="195"/>
      <c r="K595" s="206"/>
    </row>
    <row r="596">
      <c r="A596" s="195"/>
      <c r="K596" s="206"/>
    </row>
    <row r="597">
      <c r="A597" s="195"/>
      <c r="K597" s="206"/>
    </row>
    <row r="598">
      <c r="A598" s="195"/>
      <c r="K598" s="206"/>
    </row>
    <row r="599">
      <c r="A599" s="195"/>
      <c r="K599" s="206"/>
    </row>
    <row r="600">
      <c r="A600" s="195"/>
      <c r="K600" s="206"/>
    </row>
    <row r="601">
      <c r="A601" s="195"/>
      <c r="K601" s="206"/>
    </row>
    <row r="602">
      <c r="A602" s="195"/>
      <c r="K602" s="206"/>
    </row>
    <row r="603">
      <c r="A603" s="195"/>
      <c r="K603" s="206"/>
    </row>
    <row r="604">
      <c r="A604" s="195"/>
      <c r="K604" s="206"/>
    </row>
    <row r="605">
      <c r="A605" s="195"/>
      <c r="K605" s="206"/>
    </row>
    <row r="606">
      <c r="A606" s="195"/>
      <c r="K606" s="206"/>
    </row>
    <row r="607">
      <c r="A607" s="195"/>
      <c r="K607" s="206"/>
    </row>
    <row r="608">
      <c r="A608" s="195"/>
      <c r="K608" s="206"/>
    </row>
    <row r="609">
      <c r="A609" s="195"/>
      <c r="K609" s="206"/>
    </row>
    <row r="610">
      <c r="A610" s="195"/>
      <c r="K610" s="206"/>
    </row>
    <row r="611">
      <c r="A611" s="195"/>
      <c r="K611" s="206"/>
    </row>
    <row r="612">
      <c r="A612" s="195"/>
      <c r="K612" s="206"/>
    </row>
    <row r="613">
      <c r="A613" s="195"/>
      <c r="K613" s="206"/>
    </row>
    <row r="614">
      <c r="A614" s="195"/>
      <c r="K614" s="206"/>
    </row>
    <row r="615">
      <c r="A615" s="195"/>
      <c r="K615" s="206"/>
    </row>
    <row r="616">
      <c r="A616" s="195"/>
      <c r="K616" s="206"/>
    </row>
    <row r="617">
      <c r="A617" s="195"/>
      <c r="K617" s="206"/>
    </row>
    <row r="618">
      <c r="A618" s="195"/>
      <c r="K618" s="206"/>
    </row>
    <row r="619">
      <c r="A619" s="195"/>
      <c r="K619" s="206"/>
    </row>
    <row r="620">
      <c r="A620" s="195"/>
      <c r="K620" s="206"/>
    </row>
    <row r="621">
      <c r="A621" s="195"/>
      <c r="K621" s="206"/>
    </row>
    <row r="622">
      <c r="A622" s="195"/>
      <c r="K622" s="206"/>
    </row>
    <row r="623">
      <c r="A623" s="195"/>
      <c r="K623" s="206"/>
    </row>
    <row r="624">
      <c r="A624" s="195"/>
      <c r="K624" s="206"/>
    </row>
    <row r="625">
      <c r="A625" s="195"/>
      <c r="K625" s="206"/>
    </row>
    <row r="626">
      <c r="A626" s="195"/>
      <c r="K626" s="206"/>
    </row>
    <row r="627">
      <c r="A627" s="195"/>
      <c r="K627" s="206"/>
    </row>
    <row r="628">
      <c r="A628" s="195"/>
      <c r="K628" s="206"/>
    </row>
    <row r="629">
      <c r="A629" s="195"/>
      <c r="K629" s="206"/>
    </row>
    <row r="630">
      <c r="A630" s="195"/>
      <c r="K630" s="206"/>
    </row>
    <row r="631">
      <c r="A631" s="195"/>
      <c r="K631" s="206"/>
    </row>
    <row r="632">
      <c r="A632" s="195"/>
      <c r="K632" s="206"/>
    </row>
    <row r="633">
      <c r="A633" s="195"/>
      <c r="K633" s="206"/>
    </row>
    <row r="634">
      <c r="A634" s="195"/>
      <c r="K634" s="206"/>
    </row>
    <row r="635">
      <c r="A635" s="195"/>
      <c r="K635" s="206"/>
    </row>
    <row r="636">
      <c r="A636" s="195"/>
      <c r="K636" s="206"/>
    </row>
    <row r="637">
      <c r="A637" s="195"/>
      <c r="K637" s="206"/>
    </row>
    <row r="638">
      <c r="A638" s="195"/>
      <c r="K638" s="206"/>
    </row>
    <row r="639">
      <c r="A639" s="195"/>
      <c r="K639" s="206"/>
    </row>
    <row r="640">
      <c r="A640" s="195"/>
      <c r="K640" s="206"/>
    </row>
    <row r="641">
      <c r="A641" s="195"/>
      <c r="K641" s="206"/>
    </row>
    <row r="642">
      <c r="A642" s="195"/>
      <c r="K642" s="206"/>
    </row>
    <row r="643">
      <c r="A643" s="195"/>
      <c r="K643" s="206"/>
    </row>
    <row r="644">
      <c r="A644" s="195"/>
      <c r="K644" s="206"/>
    </row>
    <row r="645">
      <c r="A645" s="195"/>
      <c r="K645" s="206"/>
    </row>
    <row r="646">
      <c r="A646" s="195"/>
      <c r="K646" s="206"/>
    </row>
    <row r="647">
      <c r="A647" s="195"/>
      <c r="K647" s="206"/>
    </row>
    <row r="648">
      <c r="A648" s="195"/>
      <c r="K648" s="206"/>
    </row>
    <row r="649">
      <c r="A649" s="195"/>
      <c r="K649" s="206"/>
    </row>
    <row r="650">
      <c r="A650" s="195"/>
      <c r="K650" s="206"/>
    </row>
    <row r="651">
      <c r="A651" s="195"/>
      <c r="K651" s="206"/>
    </row>
    <row r="652">
      <c r="A652" s="195"/>
      <c r="K652" s="206"/>
    </row>
    <row r="653">
      <c r="A653" s="195"/>
      <c r="K653" s="206"/>
    </row>
    <row r="654">
      <c r="A654" s="195"/>
      <c r="K654" s="206"/>
    </row>
    <row r="655">
      <c r="A655" s="195"/>
      <c r="K655" s="206"/>
    </row>
    <row r="656">
      <c r="A656" s="195"/>
      <c r="K656" s="206"/>
    </row>
    <row r="657">
      <c r="A657" s="195"/>
      <c r="K657" s="206"/>
    </row>
    <row r="658">
      <c r="A658" s="195"/>
      <c r="K658" s="206"/>
    </row>
    <row r="659">
      <c r="A659" s="195"/>
      <c r="K659" s="206"/>
    </row>
    <row r="660">
      <c r="A660" s="195"/>
      <c r="K660" s="206"/>
    </row>
    <row r="661">
      <c r="A661" s="195"/>
      <c r="K661" s="206"/>
    </row>
    <row r="662">
      <c r="A662" s="195"/>
      <c r="K662" s="206"/>
    </row>
    <row r="663">
      <c r="A663" s="195"/>
      <c r="K663" s="206"/>
    </row>
    <row r="664">
      <c r="A664" s="195"/>
      <c r="K664" s="206"/>
    </row>
    <row r="665">
      <c r="A665" s="195"/>
      <c r="K665" s="206"/>
    </row>
    <row r="666">
      <c r="A666" s="195"/>
      <c r="K666" s="206"/>
    </row>
    <row r="667">
      <c r="A667" s="195"/>
      <c r="K667" s="206"/>
    </row>
    <row r="668">
      <c r="A668" s="195"/>
      <c r="K668" s="206"/>
    </row>
    <row r="669">
      <c r="A669" s="195"/>
      <c r="K669" s="206"/>
    </row>
    <row r="670">
      <c r="A670" s="195"/>
      <c r="K670" s="206"/>
    </row>
    <row r="671">
      <c r="A671" s="195"/>
      <c r="K671" s="206"/>
    </row>
    <row r="672">
      <c r="A672" s="195"/>
      <c r="K672" s="206"/>
    </row>
    <row r="673">
      <c r="A673" s="195"/>
      <c r="K673" s="206"/>
    </row>
    <row r="674">
      <c r="A674" s="195"/>
      <c r="K674" s="206"/>
    </row>
    <row r="675">
      <c r="A675" s="195"/>
      <c r="K675" s="206"/>
    </row>
    <row r="676">
      <c r="A676" s="195"/>
      <c r="K676" s="206"/>
    </row>
    <row r="677">
      <c r="A677" s="195"/>
      <c r="K677" s="206"/>
    </row>
    <row r="678">
      <c r="A678" s="195"/>
      <c r="K678" s="206"/>
    </row>
    <row r="679">
      <c r="A679" s="195"/>
      <c r="K679" s="206"/>
    </row>
    <row r="680">
      <c r="A680" s="195"/>
      <c r="K680" s="206"/>
    </row>
    <row r="681">
      <c r="A681" s="195"/>
      <c r="K681" s="206"/>
    </row>
    <row r="682">
      <c r="A682" s="195"/>
      <c r="K682" s="206"/>
    </row>
    <row r="683">
      <c r="A683" s="195"/>
      <c r="K683" s="206"/>
    </row>
    <row r="684">
      <c r="A684" s="195"/>
      <c r="K684" s="206"/>
    </row>
    <row r="685">
      <c r="A685" s="195"/>
      <c r="K685" s="206"/>
    </row>
    <row r="686">
      <c r="A686" s="195"/>
      <c r="K686" s="206"/>
    </row>
    <row r="687">
      <c r="A687" s="195"/>
      <c r="K687" s="206"/>
    </row>
    <row r="688">
      <c r="A688" s="195"/>
      <c r="K688" s="206"/>
    </row>
    <row r="689">
      <c r="A689" s="195"/>
      <c r="K689" s="206"/>
    </row>
    <row r="690">
      <c r="A690" s="195"/>
      <c r="K690" s="206"/>
    </row>
    <row r="691">
      <c r="A691" s="195"/>
      <c r="K691" s="206"/>
    </row>
    <row r="692">
      <c r="A692" s="195"/>
      <c r="K692" s="206"/>
    </row>
    <row r="693">
      <c r="A693" s="195"/>
      <c r="K693" s="206"/>
    </row>
    <row r="694">
      <c r="A694" s="195"/>
      <c r="K694" s="206"/>
    </row>
    <row r="695">
      <c r="A695" s="195"/>
      <c r="K695" s="206"/>
    </row>
    <row r="696">
      <c r="A696" s="195"/>
      <c r="K696" s="206"/>
    </row>
    <row r="697">
      <c r="A697" s="195"/>
      <c r="K697" s="206"/>
    </row>
    <row r="698">
      <c r="A698" s="195"/>
      <c r="K698" s="206"/>
    </row>
    <row r="699">
      <c r="A699" s="195"/>
      <c r="K699" s="206"/>
    </row>
    <row r="700">
      <c r="A700" s="195"/>
      <c r="K700" s="206"/>
    </row>
    <row r="701">
      <c r="A701" s="195"/>
      <c r="K701" s="206"/>
    </row>
    <row r="702">
      <c r="A702" s="195"/>
      <c r="K702" s="206"/>
    </row>
    <row r="703">
      <c r="A703" s="195"/>
      <c r="K703" s="206"/>
    </row>
    <row r="704">
      <c r="A704" s="195"/>
      <c r="K704" s="206"/>
    </row>
    <row r="705">
      <c r="A705" s="195"/>
      <c r="K705" s="206"/>
    </row>
    <row r="706">
      <c r="A706" s="195"/>
      <c r="K706" s="206"/>
    </row>
    <row r="707">
      <c r="A707" s="195"/>
      <c r="K707" s="206"/>
    </row>
    <row r="708">
      <c r="A708" s="195"/>
      <c r="K708" s="206"/>
    </row>
    <row r="709">
      <c r="A709" s="195"/>
      <c r="K709" s="206"/>
    </row>
    <row r="710">
      <c r="A710" s="195"/>
      <c r="K710" s="206"/>
    </row>
    <row r="711">
      <c r="A711" s="195"/>
      <c r="K711" s="206"/>
    </row>
    <row r="712">
      <c r="A712" s="195"/>
      <c r="K712" s="206"/>
    </row>
    <row r="713">
      <c r="A713" s="195"/>
      <c r="K713" s="206"/>
    </row>
    <row r="714">
      <c r="A714" s="195"/>
      <c r="K714" s="206"/>
    </row>
    <row r="715">
      <c r="A715" s="195"/>
      <c r="K715" s="206"/>
    </row>
    <row r="716">
      <c r="A716" s="195"/>
      <c r="K716" s="206"/>
    </row>
    <row r="717">
      <c r="A717" s="195"/>
      <c r="K717" s="206"/>
    </row>
    <row r="718">
      <c r="A718" s="195"/>
      <c r="K718" s="206"/>
    </row>
    <row r="719">
      <c r="A719" s="195"/>
      <c r="K719" s="206"/>
    </row>
    <row r="720">
      <c r="A720" s="195"/>
      <c r="K720" s="206"/>
    </row>
    <row r="721">
      <c r="A721" s="195"/>
      <c r="K721" s="206"/>
    </row>
    <row r="722">
      <c r="A722" s="195"/>
      <c r="K722" s="206"/>
    </row>
    <row r="723">
      <c r="A723" s="195"/>
      <c r="K723" s="206"/>
    </row>
    <row r="724">
      <c r="A724" s="195"/>
      <c r="K724" s="206"/>
    </row>
    <row r="725">
      <c r="A725" s="195"/>
      <c r="K725" s="206"/>
    </row>
    <row r="726">
      <c r="A726" s="195"/>
      <c r="K726" s="206"/>
    </row>
    <row r="727">
      <c r="A727" s="195"/>
      <c r="K727" s="206"/>
    </row>
    <row r="728">
      <c r="A728" s="195"/>
      <c r="K728" s="206"/>
    </row>
    <row r="729">
      <c r="A729" s="195"/>
      <c r="K729" s="206"/>
    </row>
    <row r="730">
      <c r="A730" s="195"/>
      <c r="K730" s="206"/>
    </row>
    <row r="731">
      <c r="A731" s="195"/>
      <c r="K731" s="206"/>
    </row>
    <row r="732">
      <c r="A732" s="195"/>
      <c r="K732" s="206"/>
    </row>
    <row r="733">
      <c r="A733" s="195"/>
      <c r="K733" s="206"/>
    </row>
    <row r="734">
      <c r="A734" s="195"/>
      <c r="K734" s="206"/>
    </row>
    <row r="735">
      <c r="A735" s="195"/>
      <c r="K735" s="206"/>
    </row>
    <row r="736">
      <c r="A736" s="195"/>
      <c r="K736" s="206"/>
    </row>
    <row r="737">
      <c r="A737" s="195"/>
      <c r="K737" s="206"/>
    </row>
    <row r="738">
      <c r="A738" s="195"/>
      <c r="K738" s="206"/>
    </row>
    <row r="739">
      <c r="A739" s="195"/>
      <c r="K739" s="206"/>
    </row>
    <row r="740">
      <c r="A740" s="195"/>
      <c r="K740" s="206"/>
    </row>
    <row r="741">
      <c r="A741" s="195"/>
      <c r="K741" s="206"/>
    </row>
    <row r="742">
      <c r="A742" s="195"/>
      <c r="K742" s="206"/>
    </row>
    <row r="743">
      <c r="A743" s="195"/>
      <c r="K743" s="206"/>
    </row>
    <row r="744">
      <c r="A744" s="195"/>
      <c r="K744" s="206"/>
    </row>
    <row r="745">
      <c r="A745" s="195"/>
      <c r="K745" s="206"/>
    </row>
    <row r="746">
      <c r="A746" s="195"/>
      <c r="K746" s="206"/>
    </row>
    <row r="747">
      <c r="A747" s="195"/>
      <c r="K747" s="206"/>
    </row>
    <row r="748">
      <c r="A748" s="195"/>
      <c r="K748" s="206"/>
    </row>
    <row r="749">
      <c r="A749" s="195"/>
      <c r="K749" s="206"/>
    </row>
    <row r="750">
      <c r="A750" s="195"/>
      <c r="K750" s="206"/>
    </row>
    <row r="751">
      <c r="A751" s="195"/>
      <c r="K751" s="206"/>
    </row>
    <row r="752">
      <c r="A752" s="195"/>
      <c r="K752" s="206"/>
    </row>
    <row r="753">
      <c r="A753" s="195"/>
      <c r="K753" s="206"/>
    </row>
    <row r="754">
      <c r="A754" s="195"/>
      <c r="K754" s="206"/>
    </row>
    <row r="755">
      <c r="A755" s="195"/>
      <c r="K755" s="206"/>
    </row>
    <row r="756">
      <c r="A756" s="195"/>
      <c r="K756" s="206"/>
    </row>
    <row r="757">
      <c r="A757" s="195"/>
      <c r="K757" s="206"/>
    </row>
    <row r="758">
      <c r="A758" s="195"/>
      <c r="K758" s="206"/>
    </row>
    <row r="759">
      <c r="A759" s="195"/>
      <c r="K759" s="206"/>
    </row>
    <row r="760">
      <c r="A760" s="195"/>
      <c r="K760" s="206"/>
    </row>
    <row r="761">
      <c r="A761" s="195"/>
      <c r="K761" s="206"/>
    </row>
    <row r="762">
      <c r="A762" s="195"/>
      <c r="K762" s="206"/>
    </row>
    <row r="763">
      <c r="A763" s="195"/>
      <c r="K763" s="206"/>
    </row>
    <row r="764">
      <c r="A764" s="195"/>
      <c r="K764" s="206"/>
    </row>
    <row r="765">
      <c r="A765" s="195"/>
      <c r="K765" s="206"/>
    </row>
    <row r="766">
      <c r="A766" s="195"/>
      <c r="K766" s="206"/>
    </row>
    <row r="767">
      <c r="A767" s="195"/>
      <c r="K767" s="206"/>
    </row>
    <row r="768">
      <c r="A768" s="195"/>
      <c r="K768" s="206"/>
    </row>
    <row r="769">
      <c r="A769" s="195"/>
      <c r="K769" s="206"/>
    </row>
    <row r="770">
      <c r="A770" s="195"/>
      <c r="K770" s="206"/>
    </row>
    <row r="771">
      <c r="A771" s="195"/>
      <c r="K771" s="206"/>
    </row>
    <row r="772">
      <c r="A772" s="195"/>
      <c r="K772" s="206"/>
    </row>
    <row r="773">
      <c r="A773" s="195"/>
      <c r="K773" s="206"/>
    </row>
    <row r="774">
      <c r="A774" s="195"/>
      <c r="K774" s="206"/>
    </row>
    <row r="775">
      <c r="A775" s="195"/>
      <c r="K775" s="206"/>
    </row>
    <row r="776">
      <c r="A776" s="195"/>
      <c r="K776" s="206"/>
    </row>
    <row r="777">
      <c r="A777" s="195"/>
      <c r="K777" s="206"/>
    </row>
    <row r="778">
      <c r="A778" s="195"/>
      <c r="K778" s="206"/>
    </row>
    <row r="779">
      <c r="A779" s="195"/>
      <c r="K779" s="206"/>
    </row>
    <row r="780">
      <c r="A780" s="195"/>
      <c r="K780" s="206"/>
    </row>
    <row r="781">
      <c r="A781" s="195"/>
      <c r="K781" s="206"/>
    </row>
    <row r="782">
      <c r="A782" s="195"/>
      <c r="K782" s="206"/>
    </row>
    <row r="783">
      <c r="A783" s="195"/>
      <c r="K783" s="206"/>
    </row>
    <row r="784">
      <c r="A784" s="195"/>
      <c r="K784" s="206"/>
    </row>
    <row r="785">
      <c r="A785" s="195"/>
      <c r="K785" s="206"/>
    </row>
    <row r="786">
      <c r="A786" s="195"/>
      <c r="K786" s="206"/>
    </row>
    <row r="787">
      <c r="A787" s="195"/>
      <c r="K787" s="206"/>
    </row>
    <row r="788">
      <c r="A788" s="195"/>
      <c r="K788" s="206"/>
    </row>
    <row r="789">
      <c r="A789" s="195"/>
      <c r="K789" s="206"/>
    </row>
    <row r="790">
      <c r="A790" s="195"/>
      <c r="K790" s="206"/>
    </row>
    <row r="791">
      <c r="A791" s="195"/>
      <c r="K791" s="206"/>
    </row>
    <row r="792">
      <c r="A792" s="195"/>
      <c r="K792" s="206"/>
    </row>
    <row r="793">
      <c r="A793" s="195"/>
      <c r="K793" s="206"/>
    </row>
    <row r="794">
      <c r="A794" s="195"/>
      <c r="K794" s="206"/>
    </row>
    <row r="795">
      <c r="A795" s="195"/>
      <c r="K795" s="206"/>
    </row>
    <row r="796">
      <c r="A796" s="195"/>
      <c r="K796" s="206"/>
    </row>
    <row r="797">
      <c r="A797" s="195"/>
      <c r="K797" s="206"/>
    </row>
    <row r="798">
      <c r="A798" s="195"/>
      <c r="K798" s="206"/>
    </row>
    <row r="799">
      <c r="A799" s="195"/>
      <c r="K799" s="206"/>
    </row>
    <row r="800">
      <c r="A800" s="195"/>
      <c r="K800" s="206"/>
    </row>
    <row r="801">
      <c r="A801" s="195"/>
      <c r="K801" s="206"/>
    </row>
    <row r="802">
      <c r="A802" s="195"/>
      <c r="K802" s="206"/>
    </row>
    <row r="803">
      <c r="A803" s="195"/>
      <c r="K803" s="206"/>
    </row>
    <row r="804">
      <c r="A804" s="195"/>
      <c r="K804" s="206"/>
    </row>
    <row r="805">
      <c r="A805" s="195"/>
      <c r="K805" s="206"/>
    </row>
    <row r="806">
      <c r="A806" s="195"/>
      <c r="K806" s="206"/>
    </row>
    <row r="807">
      <c r="A807" s="195"/>
      <c r="K807" s="206"/>
    </row>
    <row r="808">
      <c r="A808" s="195"/>
      <c r="K808" s="206"/>
    </row>
    <row r="809">
      <c r="A809" s="195"/>
      <c r="K809" s="206"/>
    </row>
    <row r="810">
      <c r="A810" s="195"/>
      <c r="K810" s="206"/>
    </row>
    <row r="811">
      <c r="A811" s="195"/>
      <c r="K811" s="206"/>
    </row>
    <row r="812">
      <c r="A812" s="195"/>
      <c r="K812" s="206"/>
    </row>
    <row r="813">
      <c r="A813" s="195"/>
      <c r="K813" s="206"/>
    </row>
    <row r="814">
      <c r="A814" s="195"/>
      <c r="K814" s="206"/>
    </row>
    <row r="815">
      <c r="A815" s="195"/>
      <c r="K815" s="206"/>
    </row>
    <row r="816">
      <c r="A816" s="195"/>
      <c r="K816" s="206"/>
    </row>
    <row r="817">
      <c r="A817" s="195"/>
      <c r="K817" s="206"/>
    </row>
    <row r="818">
      <c r="A818" s="195"/>
      <c r="K818" s="206"/>
    </row>
    <row r="819">
      <c r="A819" s="195"/>
      <c r="K819" s="206"/>
    </row>
    <row r="820">
      <c r="A820" s="195"/>
      <c r="K820" s="206"/>
    </row>
    <row r="821">
      <c r="A821" s="195"/>
      <c r="K821" s="206"/>
    </row>
    <row r="822">
      <c r="A822" s="195"/>
      <c r="K822" s="206"/>
    </row>
    <row r="823">
      <c r="A823" s="195"/>
      <c r="K823" s="206"/>
    </row>
    <row r="824">
      <c r="A824" s="195"/>
      <c r="K824" s="206"/>
    </row>
    <row r="825">
      <c r="A825" s="195"/>
      <c r="K825" s="206"/>
    </row>
    <row r="826">
      <c r="A826" s="195"/>
      <c r="K826" s="206"/>
    </row>
    <row r="827">
      <c r="A827" s="195"/>
      <c r="K827" s="206"/>
    </row>
    <row r="828">
      <c r="A828" s="195"/>
      <c r="K828" s="206"/>
    </row>
    <row r="829">
      <c r="A829" s="195"/>
      <c r="K829" s="206"/>
    </row>
    <row r="830">
      <c r="A830" s="195"/>
      <c r="K830" s="206"/>
    </row>
    <row r="831">
      <c r="A831" s="195"/>
      <c r="K831" s="206"/>
    </row>
    <row r="832">
      <c r="A832" s="195"/>
      <c r="K832" s="206"/>
    </row>
    <row r="833">
      <c r="A833" s="195"/>
      <c r="K833" s="206"/>
    </row>
    <row r="834">
      <c r="A834" s="195"/>
      <c r="K834" s="206"/>
    </row>
    <row r="835">
      <c r="A835" s="195"/>
      <c r="K835" s="206"/>
    </row>
    <row r="836">
      <c r="A836" s="195"/>
      <c r="K836" s="206"/>
    </row>
    <row r="837">
      <c r="A837" s="195"/>
      <c r="K837" s="206"/>
    </row>
    <row r="838">
      <c r="A838" s="195"/>
      <c r="K838" s="206"/>
    </row>
    <row r="839">
      <c r="A839" s="195"/>
      <c r="K839" s="206"/>
    </row>
    <row r="840">
      <c r="A840" s="195"/>
      <c r="K840" s="206"/>
    </row>
    <row r="841">
      <c r="A841" s="195"/>
      <c r="K841" s="206"/>
    </row>
    <row r="842">
      <c r="A842" s="195"/>
      <c r="K842" s="206"/>
    </row>
    <row r="843">
      <c r="A843" s="195"/>
      <c r="K843" s="206"/>
    </row>
    <row r="844">
      <c r="A844" s="195"/>
      <c r="K844" s="206"/>
    </row>
    <row r="845">
      <c r="A845" s="195"/>
      <c r="K845" s="206"/>
    </row>
    <row r="846">
      <c r="A846" s="195"/>
      <c r="K846" s="206"/>
    </row>
    <row r="847">
      <c r="A847" s="195"/>
      <c r="K847" s="206"/>
    </row>
    <row r="848">
      <c r="A848" s="195"/>
      <c r="K848" s="206"/>
    </row>
    <row r="849">
      <c r="A849" s="195"/>
      <c r="K849" s="206"/>
    </row>
    <row r="850">
      <c r="A850" s="195"/>
      <c r="K850" s="206"/>
    </row>
    <row r="851">
      <c r="A851" s="195"/>
      <c r="K851" s="206"/>
    </row>
    <row r="852">
      <c r="A852" s="195"/>
      <c r="K852" s="206"/>
    </row>
    <row r="853">
      <c r="A853" s="195"/>
      <c r="K853" s="206"/>
    </row>
    <row r="854">
      <c r="A854" s="195"/>
      <c r="K854" s="206"/>
    </row>
    <row r="855">
      <c r="A855" s="195"/>
      <c r="K855" s="206"/>
    </row>
    <row r="856">
      <c r="A856" s="195"/>
      <c r="K856" s="206"/>
    </row>
    <row r="857">
      <c r="A857" s="195"/>
      <c r="K857" s="206"/>
    </row>
    <row r="858">
      <c r="A858" s="195"/>
      <c r="K858" s="206"/>
    </row>
    <row r="859">
      <c r="A859" s="195"/>
      <c r="K859" s="206"/>
    </row>
    <row r="860">
      <c r="A860" s="195"/>
      <c r="K860" s="206"/>
    </row>
    <row r="861">
      <c r="A861" s="195"/>
      <c r="K861" s="206"/>
    </row>
    <row r="862">
      <c r="A862" s="195"/>
      <c r="K862" s="206"/>
    </row>
    <row r="863">
      <c r="A863" s="195"/>
      <c r="K863" s="206"/>
    </row>
    <row r="864">
      <c r="A864" s="195"/>
      <c r="K864" s="206"/>
    </row>
    <row r="865">
      <c r="A865" s="195"/>
      <c r="K865" s="206"/>
    </row>
    <row r="866">
      <c r="A866" s="195"/>
      <c r="K866" s="206"/>
    </row>
    <row r="867">
      <c r="A867" s="195"/>
      <c r="K867" s="206"/>
    </row>
    <row r="868">
      <c r="A868" s="195"/>
      <c r="K868" s="206"/>
    </row>
    <row r="869">
      <c r="A869" s="195"/>
      <c r="K869" s="206"/>
    </row>
    <row r="870">
      <c r="A870" s="195"/>
      <c r="K870" s="206"/>
    </row>
    <row r="871">
      <c r="A871" s="195"/>
      <c r="K871" s="206"/>
    </row>
    <row r="872">
      <c r="A872" s="195"/>
      <c r="K872" s="206"/>
    </row>
    <row r="873">
      <c r="A873" s="195"/>
      <c r="K873" s="206"/>
    </row>
    <row r="874">
      <c r="A874" s="195"/>
      <c r="K874" s="206"/>
    </row>
    <row r="875">
      <c r="A875" s="195"/>
      <c r="K875" s="206"/>
    </row>
    <row r="876">
      <c r="A876" s="195"/>
      <c r="K876" s="206"/>
    </row>
    <row r="877">
      <c r="A877" s="195"/>
      <c r="K877" s="206"/>
    </row>
    <row r="878">
      <c r="A878" s="195"/>
      <c r="K878" s="206"/>
    </row>
    <row r="879">
      <c r="A879" s="195"/>
      <c r="K879" s="206"/>
    </row>
    <row r="880">
      <c r="A880" s="195"/>
      <c r="K880" s="206"/>
    </row>
    <row r="881">
      <c r="A881" s="195"/>
      <c r="K881" s="206"/>
    </row>
    <row r="882">
      <c r="A882" s="195"/>
      <c r="K882" s="206"/>
    </row>
    <row r="883">
      <c r="A883" s="195"/>
      <c r="K883" s="206"/>
    </row>
    <row r="884">
      <c r="A884" s="195"/>
      <c r="K884" s="206"/>
    </row>
    <row r="885">
      <c r="A885" s="195"/>
      <c r="K885" s="206"/>
    </row>
    <row r="886">
      <c r="A886" s="195"/>
      <c r="K886" s="206"/>
    </row>
    <row r="887">
      <c r="A887" s="195"/>
      <c r="K887" s="206"/>
    </row>
    <row r="888">
      <c r="A888" s="195"/>
      <c r="K888" s="206"/>
    </row>
    <row r="889">
      <c r="A889" s="195"/>
      <c r="K889" s="206"/>
    </row>
    <row r="890">
      <c r="A890" s="195"/>
      <c r="K890" s="206"/>
    </row>
    <row r="891">
      <c r="A891" s="195"/>
      <c r="K891" s="206"/>
    </row>
    <row r="892">
      <c r="A892" s="195"/>
      <c r="K892" s="206"/>
    </row>
    <row r="893">
      <c r="A893" s="195"/>
      <c r="K893" s="206"/>
    </row>
    <row r="894">
      <c r="A894" s="195"/>
      <c r="K894" s="206"/>
    </row>
    <row r="895">
      <c r="A895" s="195"/>
      <c r="K895" s="206"/>
    </row>
    <row r="896">
      <c r="A896" s="195"/>
      <c r="K896" s="206"/>
    </row>
    <row r="897">
      <c r="A897" s="195"/>
      <c r="K897" s="206"/>
    </row>
    <row r="898">
      <c r="A898" s="195"/>
      <c r="K898" s="206"/>
    </row>
    <row r="899">
      <c r="A899" s="195"/>
      <c r="K899" s="206"/>
    </row>
    <row r="900">
      <c r="A900" s="195"/>
      <c r="K900" s="206"/>
    </row>
    <row r="901">
      <c r="A901" s="195"/>
      <c r="K901" s="206"/>
    </row>
    <row r="902">
      <c r="A902" s="195"/>
      <c r="K902" s="206"/>
    </row>
    <row r="903">
      <c r="A903" s="195"/>
      <c r="K903" s="206"/>
    </row>
    <row r="904">
      <c r="A904" s="195"/>
      <c r="K904" s="206"/>
    </row>
    <row r="905">
      <c r="A905" s="195"/>
      <c r="K905" s="206"/>
    </row>
    <row r="906">
      <c r="A906" s="195"/>
      <c r="K906" s="206"/>
    </row>
    <row r="907">
      <c r="A907" s="195"/>
      <c r="K907" s="206"/>
    </row>
    <row r="908">
      <c r="A908" s="195"/>
      <c r="K908" s="206"/>
    </row>
    <row r="909">
      <c r="A909" s="195"/>
      <c r="K909" s="206"/>
    </row>
    <row r="910">
      <c r="A910" s="195"/>
      <c r="K910" s="206"/>
    </row>
    <row r="911">
      <c r="A911" s="195"/>
      <c r="K911" s="206"/>
    </row>
    <row r="912">
      <c r="A912" s="195"/>
      <c r="K912" s="206"/>
    </row>
    <row r="913">
      <c r="A913" s="195"/>
      <c r="K913" s="206"/>
    </row>
    <row r="914">
      <c r="A914" s="195"/>
      <c r="K914" s="206"/>
    </row>
    <row r="915">
      <c r="A915" s="195"/>
      <c r="K915" s="206"/>
    </row>
    <row r="916">
      <c r="A916" s="195"/>
      <c r="K916" s="206"/>
    </row>
    <row r="917">
      <c r="A917" s="195"/>
      <c r="K917" s="206"/>
    </row>
    <row r="918">
      <c r="A918" s="195"/>
      <c r="K918" s="206"/>
    </row>
    <row r="919">
      <c r="A919" s="195"/>
      <c r="K919" s="206"/>
    </row>
    <row r="920">
      <c r="A920" s="195"/>
      <c r="K920" s="206"/>
    </row>
    <row r="921">
      <c r="A921" s="195"/>
      <c r="K921" s="206"/>
    </row>
    <row r="922">
      <c r="A922" s="195"/>
      <c r="K922" s="206"/>
    </row>
    <row r="923">
      <c r="A923" s="195"/>
      <c r="K923" s="206"/>
    </row>
    <row r="924">
      <c r="A924" s="195"/>
      <c r="K924" s="206"/>
    </row>
    <row r="925">
      <c r="A925" s="195"/>
      <c r="K925" s="206"/>
    </row>
    <row r="926">
      <c r="A926" s="195"/>
      <c r="K926" s="206"/>
    </row>
    <row r="927">
      <c r="A927" s="195"/>
      <c r="K927" s="206"/>
    </row>
    <row r="928">
      <c r="A928" s="195"/>
      <c r="K928" s="206"/>
    </row>
    <row r="929">
      <c r="A929" s="195"/>
      <c r="K929" s="206"/>
    </row>
    <row r="930">
      <c r="A930" s="195"/>
      <c r="K930" s="206"/>
    </row>
    <row r="931">
      <c r="A931" s="195"/>
      <c r="K931" s="206"/>
    </row>
    <row r="932">
      <c r="A932" s="195"/>
      <c r="K932" s="206"/>
    </row>
    <row r="933">
      <c r="A933" s="195"/>
      <c r="K933" s="206"/>
    </row>
    <row r="934">
      <c r="A934" s="195"/>
      <c r="K934" s="206"/>
    </row>
    <row r="935">
      <c r="A935" s="195"/>
      <c r="K935" s="206"/>
    </row>
    <row r="936">
      <c r="A936" s="195"/>
      <c r="K936" s="206"/>
    </row>
    <row r="937">
      <c r="A937" s="195"/>
      <c r="K937" s="206"/>
    </row>
    <row r="938">
      <c r="A938" s="195"/>
      <c r="K938" s="206"/>
    </row>
    <row r="939">
      <c r="A939" s="195"/>
      <c r="K939" s="206"/>
    </row>
    <row r="940">
      <c r="A940" s="195"/>
      <c r="K940" s="206"/>
    </row>
    <row r="941">
      <c r="A941" s="195"/>
      <c r="K941" s="206"/>
    </row>
    <row r="942">
      <c r="A942" s="195"/>
      <c r="K942" s="206"/>
    </row>
    <row r="943">
      <c r="A943" s="195"/>
      <c r="K943" s="206"/>
    </row>
    <row r="944">
      <c r="A944" s="195"/>
      <c r="K944" s="206"/>
    </row>
    <row r="945">
      <c r="A945" s="195"/>
      <c r="K945" s="206"/>
    </row>
    <row r="946">
      <c r="A946" s="195"/>
      <c r="K946" s="206"/>
    </row>
    <row r="947">
      <c r="A947" s="195"/>
      <c r="K947" s="206"/>
    </row>
    <row r="948">
      <c r="A948" s="195"/>
      <c r="K948" s="206"/>
    </row>
    <row r="949">
      <c r="A949" s="195"/>
      <c r="K949" s="206"/>
    </row>
    <row r="950">
      <c r="A950" s="195"/>
      <c r="K950" s="206"/>
    </row>
    <row r="951">
      <c r="A951" s="195"/>
      <c r="K951" s="206"/>
    </row>
    <row r="952">
      <c r="A952" s="195"/>
      <c r="K952" s="206"/>
    </row>
    <row r="953">
      <c r="A953" s="195"/>
      <c r="K953" s="206"/>
    </row>
    <row r="954">
      <c r="A954" s="195"/>
      <c r="K954" s="206"/>
    </row>
    <row r="955">
      <c r="A955" s="195"/>
      <c r="K955" s="206"/>
    </row>
    <row r="956">
      <c r="A956" s="195"/>
      <c r="K956" s="206"/>
    </row>
    <row r="957">
      <c r="A957" s="195"/>
      <c r="K957" s="206"/>
    </row>
    <row r="958">
      <c r="A958" s="195"/>
      <c r="K958" s="206"/>
    </row>
    <row r="959">
      <c r="A959" s="195"/>
      <c r="K959" s="206"/>
    </row>
    <row r="960">
      <c r="A960" s="195"/>
      <c r="K960" s="206"/>
    </row>
    <row r="961">
      <c r="A961" s="195"/>
      <c r="K961" s="206"/>
    </row>
    <row r="962">
      <c r="A962" s="195"/>
      <c r="K962" s="206"/>
    </row>
    <row r="963">
      <c r="A963" s="195"/>
      <c r="K963" s="206"/>
    </row>
    <row r="964">
      <c r="A964" s="195"/>
      <c r="K964" s="206"/>
    </row>
    <row r="965">
      <c r="A965" s="195"/>
      <c r="K965" s="206"/>
    </row>
    <row r="966">
      <c r="A966" s="195"/>
      <c r="K966" s="206"/>
    </row>
    <row r="967">
      <c r="A967" s="195"/>
      <c r="K967" s="206"/>
    </row>
    <row r="968">
      <c r="A968" s="195"/>
      <c r="K968" s="206"/>
    </row>
    <row r="969">
      <c r="A969" s="195"/>
      <c r="K969" s="206"/>
    </row>
    <row r="970">
      <c r="A970" s="195"/>
      <c r="K970" s="206"/>
    </row>
    <row r="971">
      <c r="A971" s="195"/>
      <c r="K971" s="206"/>
    </row>
    <row r="972">
      <c r="A972" s="195"/>
      <c r="K972" s="206"/>
    </row>
    <row r="973">
      <c r="A973" s="195"/>
      <c r="K973" s="206"/>
    </row>
    <row r="974">
      <c r="A974" s="195"/>
      <c r="K974" s="206"/>
    </row>
    <row r="975">
      <c r="A975" s="195"/>
      <c r="K975" s="206"/>
    </row>
    <row r="976">
      <c r="A976" s="195"/>
      <c r="K976" s="206"/>
    </row>
    <row r="977">
      <c r="A977" s="195"/>
      <c r="K977" s="206"/>
    </row>
    <row r="978">
      <c r="A978" s="195"/>
      <c r="K978" s="206"/>
    </row>
    <row r="979">
      <c r="A979" s="195"/>
      <c r="K979" s="206"/>
    </row>
    <row r="980">
      <c r="A980" s="195"/>
      <c r="K980" s="206"/>
    </row>
    <row r="981">
      <c r="A981" s="195"/>
      <c r="K981" s="206"/>
    </row>
    <row r="982">
      <c r="A982" s="195"/>
      <c r="K982" s="206"/>
    </row>
    <row r="983">
      <c r="A983" s="195"/>
      <c r="K983" s="206"/>
    </row>
    <row r="984">
      <c r="A984" s="195"/>
      <c r="K984" s="206"/>
    </row>
    <row r="985">
      <c r="A985" s="195"/>
      <c r="K985" s="206"/>
    </row>
    <row r="986">
      <c r="A986" s="195"/>
      <c r="K986" s="206"/>
    </row>
    <row r="987">
      <c r="A987" s="195"/>
      <c r="K987" s="206"/>
    </row>
    <row r="988">
      <c r="A988" s="195"/>
      <c r="K988" s="206"/>
    </row>
    <row r="989">
      <c r="A989" s="195"/>
      <c r="K989" s="206"/>
    </row>
    <row r="990">
      <c r="A990" s="195"/>
      <c r="K990" s="206"/>
    </row>
    <row r="991">
      <c r="A991" s="195"/>
      <c r="K991" s="206"/>
    </row>
    <row r="992">
      <c r="A992" s="195"/>
      <c r="K992" s="206"/>
    </row>
    <row r="993">
      <c r="A993" s="195"/>
      <c r="K993" s="206"/>
    </row>
    <row r="994">
      <c r="A994" s="195"/>
      <c r="K994" s="206"/>
    </row>
    <row r="995">
      <c r="A995" s="195"/>
      <c r="K995" s="206"/>
    </row>
    <row r="996">
      <c r="A996" s="195"/>
      <c r="K996" s="206"/>
    </row>
    <row r="997">
      <c r="A997" s="195"/>
      <c r="K997" s="206"/>
    </row>
    <row r="998">
      <c r="A998" s="195"/>
      <c r="K998" s="206"/>
    </row>
    <row r="999">
      <c r="A999" s="195"/>
      <c r="K999" s="206"/>
    </row>
    <row r="1000">
      <c r="A1000" s="195"/>
      <c r="K1000" s="206"/>
    </row>
  </sheetData>
  <dataValidations>
    <dataValidation type="list" allowBlank="1" sqref="K4:K32">
      <formula1>"Да,Нет"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30.11"/>
    <col customWidth="1" min="2" max="2" width="14.78"/>
    <col customWidth="1" min="3" max="3" width="12.56"/>
    <col customWidth="1" min="4" max="4" width="22.11"/>
  </cols>
  <sheetData>
    <row r="1">
      <c r="A1" s="253" t="s">
        <v>318</v>
      </c>
    </row>
    <row r="2">
      <c r="A2" s="255"/>
      <c r="B2" s="256"/>
      <c r="C2" s="256"/>
      <c r="D2" s="256"/>
    </row>
    <row r="3">
      <c r="A3" s="258" t="s">
        <v>321</v>
      </c>
    </row>
    <row r="4">
      <c r="A4" s="255"/>
      <c r="B4" s="256"/>
      <c r="C4" s="256"/>
      <c r="D4" s="256"/>
    </row>
    <row r="5">
      <c r="A5" s="262" t="s">
        <v>325</v>
      </c>
      <c r="B5" s="262" t="s">
        <v>326</v>
      </c>
      <c r="C5" s="262" t="s">
        <v>327</v>
      </c>
      <c r="D5" s="262" t="s">
        <v>328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265" t="s">
        <v>332</v>
      </c>
      <c r="B6" s="267" t="s">
        <v>333</v>
      </c>
      <c r="C6" s="268">
        <v>0.6</v>
      </c>
      <c r="D6" s="267" t="s">
        <v>335</v>
      </c>
    </row>
    <row r="7">
      <c r="A7" s="270" t="s">
        <v>336</v>
      </c>
      <c r="B7" s="272" t="s">
        <v>338</v>
      </c>
      <c r="C7" s="274">
        <v>0.8</v>
      </c>
      <c r="D7" s="272" t="s">
        <v>335</v>
      </c>
    </row>
    <row r="8">
      <c r="A8" s="265" t="s">
        <v>340</v>
      </c>
      <c r="B8" s="267" t="s">
        <v>341</v>
      </c>
      <c r="C8" s="268">
        <v>0.6</v>
      </c>
      <c r="D8" s="267" t="s">
        <v>342</v>
      </c>
    </row>
    <row r="9">
      <c r="A9" s="270" t="s">
        <v>344</v>
      </c>
      <c r="B9" s="272" t="s">
        <v>338</v>
      </c>
      <c r="C9" s="274">
        <v>0.7</v>
      </c>
      <c r="D9" s="272" t="s">
        <v>342</v>
      </c>
    </row>
    <row r="10">
      <c r="A10" s="265" t="s">
        <v>345</v>
      </c>
      <c r="B10" s="267" t="s">
        <v>338</v>
      </c>
      <c r="C10" s="268">
        <v>0.7</v>
      </c>
      <c r="D10" s="267" t="s">
        <v>342</v>
      </c>
    </row>
    <row r="11">
      <c r="A11" s="270" t="s">
        <v>347</v>
      </c>
      <c r="B11" s="272" t="s">
        <v>348</v>
      </c>
      <c r="C11" s="274">
        <v>0.8</v>
      </c>
      <c r="D11" s="272" t="s">
        <v>349</v>
      </c>
    </row>
    <row r="12">
      <c r="A12" s="265" t="s">
        <v>351</v>
      </c>
      <c r="B12" s="267" t="s">
        <v>338</v>
      </c>
      <c r="C12" s="268">
        <v>0.8</v>
      </c>
      <c r="D12" s="267" t="s">
        <v>352</v>
      </c>
    </row>
    <row r="13">
      <c r="A13" s="270" t="s">
        <v>353</v>
      </c>
      <c r="B13" s="272" t="s">
        <v>338</v>
      </c>
      <c r="C13" s="274">
        <v>0.8</v>
      </c>
      <c r="D13" s="272" t="s">
        <v>335</v>
      </c>
    </row>
    <row r="14">
      <c r="A14" s="265" t="s">
        <v>354</v>
      </c>
      <c r="B14" s="267" t="s">
        <v>333</v>
      </c>
      <c r="C14" s="268">
        <v>0.6</v>
      </c>
      <c r="D14" s="267" t="s">
        <v>352</v>
      </c>
    </row>
    <row r="15">
      <c r="A15" s="270" t="s">
        <v>356</v>
      </c>
      <c r="B15" s="272" t="s">
        <v>333</v>
      </c>
      <c r="C15" s="274">
        <v>0.6</v>
      </c>
      <c r="D15" s="272" t="s">
        <v>335</v>
      </c>
    </row>
    <row r="16">
      <c r="A16" s="265" t="s">
        <v>357</v>
      </c>
      <c r="B16" s="267" t="s">
        <v>338</v>
      </c>
      <c r="C16" s="268">
        <v>0.7</v>
      </c>
      <c r="D16" s="267" t="s">
        <v>342</v>
      </c>
    </row>
    <row r="17">
      <c r="A17" s="270" t="s">
        <v>358</v>
      </c>
      <c r="B17" s="272" t="s">
        <v>338</v>
      </c>
      <c r="C17" s="274">
        <v>0.8</v>
      </c>
      <c r="D17" s="272" t="s">
        <v>335</v>
      </c>
    </row>
    <row r="18">
      <c r="A18" s="265" t="s">
        <v>360</v>
      </c>
      <c r="B18" s="267" t="s">
        <v>338</v>
      </c>
      <c r="C18" s="268">
        <v>0.7</v>
      </c>
      <c r="D18" s="267" t="s">
        <v>352</v>
      </c>
    </row>
    <row r="19">
      <c r="A19" s="281"/>
      <c r="B19" s="256"/>
      <c r="C19" s="256"/>
      <c r="D19" s="256"/>
    </row>
    <row r="20">
      <c r="A20" s="258" t="s">
        <v>362</v>
      </c>
    </row>
    <row r="21">
      <c r="A21" s="281"/>
      <c r="B21" s="256"/>
      <c r="C21" s="256"/>
      <c r="D21" s="256"/>
    </row>
    <row r="22">
      <c r="A22" s="285" t="s">
        <v>363</v>
      </c>
    </row>
    <row r="23">
      <c r="A23" s="287" t="s">
        <v>365</v>
      </c>
      <c r="B23" s="68"/>
      <c r="C23" s="68"/>
      <c r="D23" s="69"/>
    </row>
    <row r="24">
      <c r="A24" s="288" t="s">
        <v>367</v>
      </c>
      <c r="B24" s="68"/>
      <c r="C24" s="68"/>
      <c r="D24" s="69"/>
    </row>
    <row r="25">
      <c r="A25" s="287" t="s">
        <v>369</v>
      </c>
      <c r="B25" s="68"/>
      <c r="C25" s="68"/>
      <c r="D25" s="69"/>
    </row>
    <row r="26">
      <c r="A26" s="288" t="s">
        <v>370</v>
      </c>
      <c r="B26" s="68"/>
      <c r="C26" s="68"/>
      <c r="D26" s="69"/>
    </row>
    <row r="27">
      <c r="A27" s="287" t="s">
        <v>371</v>
      </c>
      <c r="B27" s="68"/>
      <c r="C27" s="68"/>
      <c r="D27" s="69"/>
    </row>
    <row r="28">
      <c r="A28" s="288" t="s">
        <v>373</v>
      </c>
      <c r="B28" s="68"/>
      <c r="C28" s="68"/>
      <c r="D28" s="69"/>
    </row>
    <row r="29">
      <c r="A29" s="287" t="s">
        <v>374</v>
      </c>
      <c r="B29" s="68"/>
      <c r="C29" s="68"/>
      <c r="D29" s="69"/>
    </row>
    <row r="30">
      <c r="A30" s="281"/>
      <c r="B30" s="256"/>
      <c r="C30" s="256"/>
      <c r="D30" s="256"/>
    </row>
    <row r="31">
      <c r="A31" s="281"/>
      <c r="B31" s="256"/>
      <c r="C31" s="256"/>
      <c r="D31" s="256"/>
    </row>
    <row r="32">
      <c r="A32" s="281"/>
      <c r="B32" s="256"/>
      <c r="C32" s="256"/>
      <c r="D32" s="256"/>
    </row>
    <row r="33">
      <c r="A33" s="293"/>
      <c r="B33" s="294"/>
      <c r="C33" s="294"/>
      <c r="D33" s="294"/>
    </row>
    <row r="34">
      <c r="A34" s="49"/>
      <c r="B34" s="195"/>
      <c r="C34" s="195"/>
      <c r="D34" s="195"/>
    </row>
    <row r="35">
      <c r="A35" s="49"/>
      <c r="B35" s="195"/>
      <c r="C35" s="195"/>
      <c r="D35" s="195"/>
    </row>
    <row r="36">
      <c r="A36" s="49"/>
      <c r="B36" s="195"/>
      <c r="C36" s="195"/>
      <c r="D36" s="195"/>
    </row>
    <row r="37">
      <c r="A37" s="49"/>
      <c r="B37" s="195"/>
      <c r="C37" s="195"/>
      <c r="D37" s="195"/>
    </row>
    <row r="38">
      <c r="A38" s="49"/>
      <c r="B38" s="195"/>
      <c r="C38" s="195"/>
      <c r="D38" s="195"/>
    </row>
    <row r="39">
      <c r="A39" s="49"/>
      <c r="B39" s="195"/>
      <c r="C39" s="195"/>
      <c r="D39" s="195"/>
    </row>
    <row r="40">
      <c r="A40" s="49"/>
      <c r="B40" s="195"/>
      <c r="C40" s="195"/>
      <c r="D40" s="195"/>
    </row>
    <row r="41">
      <c r="A41" s="49"/>
      <c r="B41" s="195"/>
      <c r="C41" s="195"/>
      <c r="D41" s="195"/>
    </row>
    <row r="42">
      <c r="A42" s="49"/>
      <c r="B42" s="195"/>
      <c r="C42" s="195"/>
      <c r="D42" s="195"/>
    </row>
    <row r="43">
      <c r="A43" s="49"/>
      <c r="B43" s="195"/>
      <c r="C43" s="195"/>
      <c r="D43" s="195"/>
    </row>
    <row r="44">
      <c r="A44" s="49"/>
      <c r="B44" s="195"/>
      <c r="C44" s="195"/>
      <c r="D44" s="195"/>
    </row>
    <row r="45">
      <c r="A45" s="49"/>
      <c r="B45" s="195"/>
      <c r="C45" s="195"/>
      <c r="D45" s="195"/>
    </row>
    <row r="46">
      <c r="A46" s="49"/>
      <c r="B46" s="195"/>
      <c r="C46" s="195"/>
      <c r="D46" s="195"/>
    </row>
    <row r="47">
      <c r="A47" s="49"/>
      <c r="B47" s="195"/>
      <c r="C47" s="195"/>
      <c r="D47" s="195"/>
    </row>
    <row r="48">
      <c r="A48" s="49"/>
      <c r="B48" s="195"/>
      <c r="C48" s="195"/>
      <c r="D48" s="195"/>
    </row>
    <row r="49">
      <c r="A49" s="49"/>
      <c r="B49" s="195"/>
      <c r="C49" s="195"/>
      <c r="D49" s="195"/>
    </row>
    <row r="50">
      <c r="A50" s="49"/>
      <c r="B50" s="195"/>
      <c r="C50" s="195"/>
      <c r="D50" s="195"/>
    </row>
    <row r="51">
      <c r="A51" s="49"/>
      <c r="B51" s="195"/>
      <c r="C51" s="195"/>
      <c r="D51" s="195"/>
    </row>
    <row r="52">
      <c r="A52" s="49"/>
      <c r="B52" s="195"/>
      <c r="C52" s="195"/>
      <c r="D52" s="195"/>
    </row>
    <row r="53">
      <c r="A53" s="49"/>
      <c r="B53" s="195"/>
      <c r="C53" s="195"/>
      <c r="D53" s="195"/>
    </row>
    <row r="54">
      <c r="A54" s="49"/>
      <c r="B54" s="195"/>
      <c r="C54" s="195"/>
      <c r="D54" s="195"/>
    </row>
    <row r="55">
      <c r="A55" s="49"/>
      <c r="B55" s="195"/>
      <c r="C55" s="195"/>
      <c r="D55" s="195"/>
    </row>
    <row r="56">
      <c r="A56" s="49"/>
      <c r="B56" s="195"/>
      <c r="C56" s="195"/>
      <c r="D56" s="195"/>
    </row>
    <row r="57">
      <c r="A57" s="49"/>
      <c r="B57" s="195"/>
      <c r="C57" s="195"/>
      <c r="D57" s="195"/>
    </row>
    <row r="58">
      <c r="A58" s="49"/>
      <c r="B58" s="195"/>
      <c r="C58" s="195"/>
      <c r="D58" s="195"/>
    </row>
    <row r="59">
      <c r="A59" s="49"/>
      <c r="B59" s="195"/>
      <c r="C59" s="195"/>
      <c r="D59" s="195"/>
    </row>
    <row r="60">
      <c r="A60" s="49"/>
      <c r="B60" s="195"/>
      <c r="C60" s="195"/>
      <c r="D60" s="195"/>
    </row>
    <row r="61">
      <c r="A61" s="49"/>
      <c r="B61" s="195"/>
      <c r="C61" s="195"/>
      <c r="D61" s="195"/>
    </row>
    <row r="62">
      <c r="A62" s="49"/>
      <c r="B62" s="195"/>
      <c r="C62" s="195"/>
      <c r="D62" s="195"/>
    </row>
    <row r="63">
      <c r="A63" s="49"/>
      <c r="B63" s="195"/>
      <c r="C63" s="195"/>
      <c r="D63" s="195"/>
    </row>
    <row r="64">
      <c r="A64" s="49"/>
      <c r="B64" s="195"/>
      <c r="C64" s="195"/>
      <c r="D64" s="195"/>
    </row>
    <row r="65">
      <c r="A65" s="49"/>
      <c r="B65" s="195"/>
      <c r="C65" s="195"/>
      <c r="D65" s="195"/>
    </row>
    <row r="66">
      <c r="A66" s="49"/>
      <c r="B66" s="195"/>
      <c r="C66" s="195"/>
      <c r="D66" s="195"/>
    </row>
    <row r="67">
      <c r="A67" s="49"/>
      <c r="B67" s="195"/>
      <c r="C67" s="195"/>
      <c r="D67" s="195"/>
    </row>
    <row r="68">
      <c r="A68" s="49"/>
      <c r="B68" s="195"/>
      <c r="C68" s="195"/>
      <c r="D68" s="195"/>
    </row>
    <row r="69">
      <c r="A69" s="49"/>
      <c r="B69" s="195"/>
      <c r="C69" s="195"/>
      <c r="D69" s="195"/>
    </row>
    <row r="70">
      <c r="A70" s="49"/>
      <c r="B70" s="195"/>
      <c r="C70" s="195"/>
      <c r="D70" s="195"/>
    </row>
    <row r="71">
      <c r="A71" s="49"/>
      <c r="B71" s="195"/>
      <c r="C71" s="195"/>
      <c r="D71" s="195"/>
    </row>
    <row r="72">
      <c r="A72" s="49"/>
      <c r="B72" s="195"/>
      <c r="C72" s="195"/>
      <c r="D72" s="195"/>
    </row>
    <row r="73">
      <c r="A73" s="49"/>
      <c r="B73" s="195"/>
      <c r="C73" s="195"/>
      <c r="D73" s="195"/>
    </row>
    <row r="74">
      <c r="A74" s="49"/>
      <c r="B74" s="195"/>
      <c r="C74" s="195"/>
      <c r="D74" s="195"/>
    </row>
    <row r="75">
      <c r="A75" s="49"/>
      <c r="B75" s="195"/>
      <c r="C75" s="195"/>
      <c r="D75" s="195"/>
    </row>
    <row r="76">
      <c r="A76" s="49"/>
      <c r="B76" s="195"/>
      <c r="C76" s="195"/>
      <c r="D76" s="195"/>
    </row>
    <row r="77">
      <c r="A77" s="49"/>
      <c r="B77" s="195"/>
      <c r="C77" s="195"/>
      <c r="D77" s="195"/>
    </row>
    <row r="78">
      <c r="A78" s="49"/>
      <c r="B78" s="195"/>
      <c r="C78" s="195"/>
      <c r="D78" s="195"/>
    </row>
    <row r="79">
      <c r="A79" s="49"/>
      <c r="B79" s="195"/>
      <c r="C79" s="195"/>
      <c r="D79" s="195"/>
    </row>
    <row r="80">
      <c r="A80" s="49"/>
      <c r="B80" s="195"/>
      <c r="C80" s="195"/>
      <c r="D80" s="195"/>
    </row>
    <row r="81">
      <c r="A81" s="49"/>
      <c r="B81" s="195"/>
      <c r="C81" s="195"/>
      <c r="D81" s="195"/>
    </row>
    <row r="82">
      <c r="A82" s="49"/>
      <c r="B82" s="195"/>
      <c r="C82" s="195"/>
      <c r="D82" s="195"/>
    </row>
    <row r="83">
      <c r="A83" s="49"/>
      <c r="B83" s="195"/>
      <c r="C83" s="195"/>
      <c r="D83" s="195"/>
    </row>
    <row r="84">
      <c r="A84" s="49"/>
      <c r="B84" s="195"/>
      <c r="C84" s="195"/>
      <c r="D84" s="195"/>
    </row>
    <row r="85">
      <c r="A85" s="49"/>
      <c r="B85" s="195"/>
      <c r="C85" s="195"/>
      <c r="D85" s="195"/>
    </row>
    <row r="86">
      <c r="A86" s="49"/>
      <c r="B86" s="195"/>
      <c r="C86" s="195"/>
      <c r="D86" s="195"/>
    </row>
    <row r="87">
      <c r="A87" s="49"/>
      <c r="B87" s="195"/>
      <c r="C87" s="195"/>
      <c r="D87" s="195"/>
    </row>
    <row r="88">
      <c r="A88" s="49"/>
      <c r="B88" s="195"/>
      <c r="C88" s="195"/>
      <c r="D88" s="195"/>
    </row>
    <row r="89">
      <c r="A89" s="49"/>
      <c r="B89" s="195"/>
      <c r="C89" s="195"/>
      <c r="D89" s="195"/>
    </row>
    <row r="90">
      <c r="A90" s="49"/>
      <c r="B90" s="195"/>
      <c r="C90" s="195"/>
      <c r="D90" s="195"/>
    </row>
    <row r="91">
      <c r="A91" s="49"/>
      <c r="B91" s="195"/>
      <c r="C91" s="195"/>
      <c r="D91" s="195"/>
    </row>
    <row r="92">
      <c r="A92" s="49"/>
      <c r="B92" s="195"/>
      <c r="C92" s="195"/>
      <c r="D92" s="195"/>
    </row>
    <row r="93">
      <c r="A93" s="49"/>
      <c r="B93" s="195"/>
      <c r="C93" s="195"/>
      <c r="D93" s="195"/>
    </row>
    <row r="94">
      <c r="A94" s="49"/>
      <c r="B94" s="195"/>
      <c r="C94" s="195"/>
      <c r="D94" s="195"/>
    </row>
    <row r="95">
      <c r="A95" s="49"/>
      <c r="B95" s="195"/>
      <c r="C95" s="195"/>
      <c r="D95" s="195"/>
    </row>
    <row r="96">
      <c r="A96" s="49"/>
      <c r="B96" s="195"/>
      <c r="C96" s="195"/>
      <c r="D96" s="195"/>
    </row>
    <row r="97">
      <c r="A97" s="49"/>
      <c r="B97" s="195"/>
      <c r="C97" s="195"/>
      <c r="D97" s="195"/>
    </row>
    <row r="98">
      <c r="A98" s="49"/>
      <c r="B98" s="195"/>
      <c r="C98" s="195"/>
      <c r="D98" s="195"/>
    </row>
    <row r="99">
      <c r="A99" s="49"/>
      <c r="B99" s="195"/>
      <c r="C99" s="195"/>
      <c r="D99" s="195"/>
    </row>
    <row r="100">
      <c r="A100" s="49"/>
      <c r="B100" s="195"/>
      <c r="C100" s="195"/>
      <c r="D100" s="195"/>
    </row>
    <row r="101">
      <c r="A101" s="49"/>
      <c r="B101" s="195"/>
      <c r="C101" s="195"/>
      <c r="D101" s="195"/>
    </row>
    <row r="102">
      <c r="A102" s="49"/>
      <c r="B102" s="195"/>
      <c r="C102" s="195"/>
      <c r="D102" s="195"/>
    </row>
    <row r="103">
      <c r="A103" s="49"/>
      <c r="B103" s="195"/>
      <c r="C103" s="195"/>
      <c r="D103" s="195"/>
    </row>
    <row r="104">
      <c r="A104" s="49"/>
      <c r="B104" s="195"/>
      <c r="C104" s="195"/>
      <c r="D104" s="195"/>
    </row>
    <row r="105">
      <c r="A105" s="49"/>
      <c r="B105" s="195"/>
      <c r="C105" s="195"/>
      <c r="D105" s="195"/>
    </row>
    <row r="106">
      <c r="A106" s="49"/>
      <c r="B106" s="195"/>
      <c r="C106" s="195"/>
      <c r="D106" s="195"/>
    </row>
    <row r="107">
      <c r="A107" s="49"/>
      <c r="B107" s="195"/>
      <c r="C107" s="195"/>
      <c r="D107" s="195"/>
    </row>
    <row r="108">
      <c r="A108" s="49"/>
      <c r="B108" s="195"/>
      <c r="C108" s="195"/>
      <c r="D108" s="195"/>
    </row>
    <row r="109">
      <c r="A109" s="49"/>
      <c r="B109" s="195"/>
      <c r="C109" s="195"/>
      <c r="D109" s="195"/>
    </row>
    <row r="110">
      <c r="A110" s="49"/>
      <c r="B110" s="195"/>
      <c r="C110" s="195"/>
      <c r="D110" s="195"/>
    </row>
    <row r="111">
      <c r="A111" s="49"/>
      <c r="B111" s="195"/>
      <c r="C111" s="195"/>
      <c r="D111" s="195"/>
    </row>
    <row r="112">
      <c r="A112" s="49"/>
      <c r="B112" s="195"/>
      <c r="C112" s="195"/>
      <c r="D112" s="195"/>
    </row>
    <row r="113">
      <c r="A113" s="49"/>
      <c r="B113" s="195"/>
      <c r="C113" s="195"/>
      <c r="D113" s="195"/>
    </row>
    <row r="114">
      <c r="A114" s="49"/>
      <c r="B114" s="195"/>
      <c r="C114" s="195"/>
      <c r="D114" s="195"/>
    </row>
    <row r="115">
      <c r="A115" s="49"/>
      <c r="B115" s="195"/>
      <c r="C115" s="195"/>
      <c r="D115" s="195"/>
    </row>
    <row r="116">
      <c r="A116" s="49"/>
      <c r="B116" s="195"/>
      <c r="C116" s="195"/>
      <c r="D116" s="195"/>
    </row>
    <row r="117">
      <c r="A117" s="49"/>
      <c r="B117" s="195"/>
      <c r="C117" s="195"/>
      <c r="D117" s="195"/>
    </row>
    <row r="118">
      <c r="A118" s="49"/>
      <c r="B118" s="195"/>
      <c r="C118" s="195"/>
      <c r="D118" s="195"/>
    </row>
    <row r="119">
      <c r="A119" s="49"/>
      <c r="B119" s="195"/>
      <c r="C119" s="195"/>
      <c r="D119" s="195"/>
    </row>
    <row r="120">
      <c r="A120" s="49"/>
      <c r="B120" s="195"/>
      <c r="C120" s="195"/>
      <c r="D120" s="195"/>
    </row>
    <row r="121">
      <c r="A121" s="49"/>
      <c r="B121" s="195"/>
      <c r="C121" s="195"/>
      <c r="D121" s="195"/>
    </row>
    <row r="122">
      <c r="A122" s="49"/>
      <c r="B122" s="195"/>
      <c r="C122" s="195"/>
      <c r="D122" s="195"/>
    </row>
    <row r="123">
      <c r="A123" s="49"/>
      <c r="B123" s="195"/>
      <c r="C123" s="195"/>
      <c r="D123" s="195"/>
    </row>
    <row r="124">
      <c r="A124" s="49"/>
      <c r="B124" s="195"/>
      <c r="C124" s="195"/>
      <c r="D124" s="195"/>
    </row>
    <row r="125">
      <c r="A125" s="49"/>
      <c r="B125" s="195"/>
      <c r="C125" s="195"/>
      <c r="D125" s="195"/>
    </row>
    <row r="126">
      <c r="A126" s="49"/>
      <c r="B126" s="195"/>
      <c r="C126" s="195"/>
      <c r="D126" s="195"/>
    </row>
    <row r="127">
      <c r="A127" s="49"/>
      <c r="B127" s="195"/>
      <c r="C127" s="195"/>
      <c r="D127" s="195"/>
    </row>
    <row r="128">
      <c r="A128" s="49"/>
      <c r="B128" s="195"/>
      <c r="C128" s="195"/>
      <c r="D128" s="195"/>
    </row>
    <row r="129">
      <c r="A129" s="49"/>
      <c r="B129" s="195"/>
      <c r="C129" s="195"/>
      <c r="D129" s="195"/>
    </row>
    <row r="130">
      <c r="A130" s="49"/>
      <c r="B130" s="195"/>
      <c r="C130" s="195"/>
      <c r="D130" s="195"/>
    </row>
    <row r="131">
      <c r="A131" s="49"/>
      <c r="B131" s="195"/>
      <c r="C131" s="195"/>
      <c r="D131" s="195"/>
    </row>
    <row r="132">
      <c r="A132" s="49"/>
      <c r="B132" s="195"/>
      <c r="C132" s="195"/>
      <c r="D132" s="195"/>
    </row>
    <row r="133">
      <c r="A133" s="49"/>
      <c r="B133" s="195"/>
      <c r="C133" s="195"/>
      <c r="D133" s="195"/>
    </row>
    <row r="134">
      <c r="A134" s="49"/>
      <c r="B134" s="195"/>
      <c r="C134" s="195"/>
      <c r="D134" s="195"/>
    </row>
    <row r="135">
      <c r="A135" s="49"/>
      <c r="B135" s="195"/>
      <c r="C135" s="195"/>
      <c r="D135" s="195"/>
    </row>
    <row r="136">
      <c r="A136" s="49"/>
      <c r="B136" s="195"/>
      <c r="C136" s="195"/>
      <c r="D136" s="195"/>
    </row>
    <row r="137">
      <c r="A137" s="49"/>
      <c r="B137" s="195"/>
      <c r="C137" s="195"/>
      <c r="D137" s="195"/>
    </row>
    <row r="138">
      <c r="A138" s="49"/>
      <c r="B138" s="195"/>
      <c r="C138" s="195"/>
      <c r="D138" s="195"/>
    </row>
    <row r="139">
      <c r="A139" s="49"/>
      <c r="B139" s="195"/>
      <c r="C139" s="195"/>
      <c r="D139" s="195"/>
    </row>
    <row r="140">
      <c r="A140" s="49"/>
      <c r="B140" s="195"/>
      <c r="C140" s="195"/>
      <c r="D140" s="195"/>
    </row>
    <row r="141">
      <c r="A141" s="49"/>
      <c r="B141" s="195"/>
      <c r="C141" s="195"/>
      <c r="D141" s="195"/>
    </row>
    <row r="142">
      <c r="A142" s="49"/>
      <c r="B142" s="195"/>
      <c r="C142" s="195"/>
      <c r="D142" s="195"/>
    </row>
    <row r="143">
      <c r="A143" s="49"/>
      <c r="B143" s="195"/>
      <c r="C143" s="195"/>
      <c r="D143" s="195"/>
    </row>
    <row r="144">
      <c r="A144" s="49"/>
      <c r="B144" s="195"/>
      <c r="C144" s="195"/>
      <c r="D144" s="195"/>
    </row>
    <row r="145">
      <c r="A145" s="49"/>
      <c r="B145" s="195"/>
      <c r="C145" s="195"/>
      <c r="D145" s="195"/>
    </row>
    <row r="146">
      <c r="A146" s="49"/>
      <c r="B146" s="195"/>
      <c r="C146" s="195"/>
      <c r="D146" s="195"/>
    </row>
    <row r="147">
      <c r="A147" s="49"/>
      <c r="B147" s="195"/>
      <c r="C147" s="195"/>
      <c r="D147" s="195"/>
    </row>
    <row r="148">
      <c r="A148" s="49"/>
      <c r="B148" s="195"/>
      <c r="C148" s="195"/>
      <c r="D148" s="195"/>
    </row>
    <row r="149">
      <c r="A149" s="49"/>
      <c r="B149" s="195"/>
      <c r="C149" s="195"/>
      <c r="D149" s="195"/>
    </row>
    <row r="150">
      <c r="A150" s="49"/>
      <c r="B150" s="195"/>
      <c r="C150" s="195"/>
      <c r="D150" s="195"/>
    </row>
    <row r="151">
      <c r="A151" s="49"/>
      <c r="B151" s="195"/>
      <c r="C151" s="195"/>
      <c r="D151" s="195"/>
    </row>
    <row r="152">
      <c r="A152" s="49"/>
      <c r="B152" s="195"/>
      <c r="C152" s="195"/>
      <c r="D152" s="195"/>
    </row>
    <row r="153">
      <c r="A153" s="49"/>
      <c r="B153" s="195"/>
      <c r="C153" s="195"/>
      <c r="D153" s="195"/>
    </row>
    <row r="154">
      <c r="A154" s="49"/>
      <c r="B154" s="195"/>
      <c r="C154" s="195"/>
      <c r="D154" s="195"/>
    </row>
    <row r="155">
      <c r="A155" s="49"/>
      <c r="B155" s="195"/>
      <c r="C155" s="195"/>
      <c r="D155" s="195"/>
    </row>
    <row r="156">
      <c r="A156" s="49"/>
      <c r="B156" s="195"/>
      <c r="C156" s="195"/>
      <c r="D156" s="195"/>
    </row>
    <row r="157">
      <c r="A157" s="49"/>
      <c r="B157" s="195"/>
      <c r="C157" s="195"/>
      <c r="D157" s="195"/>
    </row>
    <row r="158">
      <c r="A158" s="49"/>
      <c r="B158" s="195"/>
      <c r="C158" s="195"/>
      <c r="D158" s="195"/>
    </row>
    <row r="159">
      <c r="A159" s="49"/>
      <c r="B159" s="195"/>
      <c r="C159" s="195"/>
      <c r="D159" s="195"/>
    </row>
    <row r="160">
      <c r="A160" s="49"/>
      <c r="B160" s="195"/>
      <c r="C160" s="195"/>
      <c r="D160" s="195"/>
    </row>
    <row r="161">
      <c r="A161" s="49"/>
      <c r="B161" s="195"/>
      <c r="C161" s="195"/>
      <c r="D161" s="195"/>
    </row>
    <row r="162">
      <c r="A162" s="49"/>
      <c r="B162" s="195"/>
      <c r="C162" s="195"/>
      <c r="D162" s="195"/>
    </row>
    <row r="163">
      <c r="A163" s="49"/>
      <c r="B163" s="195"/>
      <c r="C163" s="195"/>
      <c r="D163" s="195"/>
    </row>
    <row r="164">
      <c r="A164" s="49"/>
      <c r="B164" s="195"/>
      <c r="C164" s="195"/>
      <c r="D164" s="195"/>
    </row>
    <row r="165">
      <c r="A165" s="49"/>
      <c r="B165" s="195"/>
      <c r="C165" s="195"/>
      <c r="D165" s="195"/>
    </row>
    <row r="166">
      <c r="A166" s="49"/>
      <c r="B166" s="195"/>
      <c r="C166" s="195"/>
      <c r="D166" s="195"/>
    </row>
    <row r="167">
      <c r="A167" s="49"/>
      <c r="B167" s="195"/>
      <c r="C167" s="195"/>
      <c r="D167" s="195"/>
    </row>
    <row r="168">
      <c r="A168" s="49"/>
      <c r="B168" s="195"/>
      <c r="C168" s="195"/>
      <c r="D168" s="195"/>
    </row>
    <row r="169">
      <c r="A169" s="49"/>
      <c r="B169" s="195"/>
      <c r="C169" s="195"/>
      <c r="D169" s="195"/>
    </row>
    <row r="170">
      <c r="A170" s="49"/>
      <c r="B170" s="195"/>
      <c r="C170" s="195"/>
      <c r="D170" s="195"/>
    </row>
    <row r="171">
      <c r="A171" s="49"/>
      <c r="B171" s="195"/>
      <c r="C171" s="195"/>
      <c r="D171" s="195"/>
    </row>
    <row r="172">
      <c r="A172" s="49"/>
      <c r="B172" s="195"/>
      <c r="C172" s="195"/>
      <c r="D172" s="195"/>
    </row>
    <row r="173">
      <c r="A173" s="49"/>
      <c r="B173" s="195"/>
      <c r="C173" s="195"/>
      <c r="D173" s="195"/>
    </row>
    <row r="174">
      <c r="A174" s="49"/>
      <c r="B174" s="195"/>
      <c r="C174" s="195"/>
      <c r="D174" s="195"/>
    </row>
    <row r="175">
      <c r="A175" s="49"/>
      <c r="B175" s="195"/>
      <c r="C175" s="195"/>
      <c r="D175" s="195"/>
    </row>
    <row r="176">
      <c r="A176" s="49"/>
      <c r="B176" s="195"/>
      <c r="C176" s="195"/>
      <c r="D176" s="195"/>
    </row>
    <row r="177">
      <c r="A177" s="49"/>
      <c r="B177" s="195"/>
      <c r="C177" s="195"/>
      <c r="D177" s="195"/>
    </row>
    <row r="178">
      <c r="A178" s="49"/>
      <c r="B178" s="195"/>
      <c r="C178" s="195"/>
      <c r="D178" s="195"/>
    </row>
    <row r="179">
      <c r="A179" s="49"/>
      <c r="B179" s="195"/>
      <c r="C179" s="195"/>
      <c r="D179" s="195"/>
    </row>
    <row r="180">
      <c r="A180" s="49"/>
      <c r="B180" s="195"/>
      <c r="C180" s="195"/>
      <c r="D180" s="195"/>
    </row>
    <row r="181">
      <c r="A181" s="49"/>
      <c r="B181" s="195"/>
      <c r="C181" s="195"/>
      <c r="D181" s="195"/>
    </row>
    <row r="182">
      <c r="A182" s="49"/>
      <c r="B182" s="195"/>
      <c r="C182" s="195"/>
      <c r="D182" s="195"/>
    </row>
    <row r="183">
      <c r="A183" s="49"/>
      <c r="B183" s="195"/>
      <c r="C183" s="195"/>
      <c r="D183" s="195"/>
    </row>
    <row r="184">
      <c r="A184" s="49"/>
      <c r="B184" s="195"/>
      <c r="C184" s="195"/>
      <c r="D184" s="195"/>
    </row>
    <row r="185">
      <c r="A185" s="49"/>
      <c r="B185" s="195"/>
      <c r="C185" s="195"/>
      <c r="D185" s="195"/>
    </row>
    <row r="186">
      <c r="A186" s="49"/>
      <c r="B186" s="195"/>
      <c r="C186" s="195"/>
      <c r="D186" s="195"/>
    </row>
    <row r="187">
      <c r="A187" s="49"/>
      <c r="B187" s="195"/>
      <c r="C187" s="195"/>
      <c r="D187" s="195"/>
    </row>
    <row r="188">
      <c r="A188" s="49"/>
      <c r="B188" s="195"/>
      <c r="C188" s="195"/>
      <c r="D188" s="195"/>
    </row>
    <row r="189">
      <c r="A189" s="49"/>
      <c r="B189" s="195"/>
      <c r="C189" s="195"/>
      <c r="D189" s="195"/>
    </row>
    <row r="190">
      <c r="A190" s="49"/>
      <c r="B190" s="195"/>
      <c r="C190" s="195"/>
      <c r="D190" s="195"/>
    </row>
    <row r="191">
      <c r="A191" s="49"/>
      <c r="B191" s="195"/>
      <c r="C191" s="195"/>
      <c r="D191" s="195"/>
    </row>
    <row r="192">
      <c r="A192" s="49"/>
      <c r="B192" s="195"/>
      <c r="C192" s="195"/>
      <c r="D192" s="195"/>
    </row>
    <row r="193">
      <c r="A193" s="49"/>
      <c r="B193" s="195"/>
      <c r="C193" s="195"/>
      <c r="D193" s="195"/>
    </row>
    <row r="194">
      <c r="A194" s="49"/>
      <c r="B194" s="195"/>
      <c r="C194" s="195"/>
      <c r="D194" s="195"/>
    </row>
    <row r="195">
      <c r="A195" s="49"/>
      <c r="B195" s="195"/>
      <c r="C195" s="195"/>
      <c r="D195" s="195"/>
    </row>
    <row r="196">
      <c r="A196" s="49"/>
      <c r="B196" s="195"/>
      <c r="C196" s="195"/>
      <c r="D196" s="195"/>
    </row>
    <row r="197">
      <c r="A197" s="49"/>
      <c r="B197" s="195"/>
      <c r="C197" s="195"/>
      <c r="D197" s="195"/>
    </row>
    <row r="198">
      <c r="A198" s="49"/>
      <c r="B198" s="195"/>
      <c r="C198" s="195"/>
      <c r="D198" s="195"/>
    </row>
    <row r="199">
      <c r="A199" s="49"/>
      <c r="B199" s="195"/>
      <c r="C199" s="195"/>
      <c r="D199" s="195"/>
    </row>
    <row r="200">
      <c r="A200" s="49"/>
      <c r="B200" s="195"/>
      <c r="C200" s="195"/>
      <c r="D200" s="195"/>
    </row>
    <row r="201">
      <c r="A201" s="49"/>
      <c r="B201" s="195"/>
      <c r="C201" s="195"/>
      <c r="D201" s="195"/>
    </row>
    <row r="202">
      <c r="A202" s="49"/>
      <c r="B202" s="195"/>
      <c r="C202" s="195"/>
      <c r="D202" s="195"/>
    </row>
    <row r="203">
      <c r="A203" s="49"/>
      <c r="B203" s="195"/>
      <c r="C203" s="195"/>
      <c r="D203" s="195"/>
    </row>
    <row r="204">
      <c r="A204" s="49"/>
      <c r="B204" s="195"/>
      <c r="C204" s="195"/>
      <c r="D204" s="195"/>
    </row>
    <row r="205">
      <c r="A205" s="49"/>
      <c r="B205" s="195"/>
      <c r="C205" s="195"/>
      <c r="D205" s="195"/>
    </row>
    <row r="206">
      <c r="A206" s="49"/>
      <c r="B206" s="195"/>
      <c r="C206" s="195"/>
      <c r="D206" s="195"/>
    </row>
    <row r="207">
      <c r="A207" s="49"/>
      <c r="B207" s="195"/>
      <c r="C207" s="195"/>
      <c r="D207" s="195"/>
    </row>
    <row r="208">
      <c r="A208" s="49"/>
      <c r="B208" s="195"/>
      <c r="C208" s="195"/>
      <c r="D208" s="195"/>
    </row>
    <row r="209">
      <c r="A209" s="49"/>
      <c r="B209" s="195"/>
      <c r="C209" s="195"/>
      <c r="D209" s="195"/>
    </row>
    <row r="210">
      <c r="A210" s="49"/>
      <c r="B210" s="195"/>
      <c r="C210" s="195"/>
      <c r="D210" s="195"/>
    </row>
    <row r="211">
      <c r="A211" s="49"/>
      <c r="B211" s="195"/>
      <c r="C211" s="195"/>
      <c r="D211" s="195"/>
    </row>
    <row r="212">
      <c r="A212" s="49"/>
      <c r="B212" s="195"/>
      <c r="C212" s="195"/>
      <c r="D212" s="195"/>
    </row>
    <row r="213">
      <c r="A213" s="49"/>
      <c r="B213" s="195"/>
      <c r="C213" s="195"/>
      <c r="D213" s="195"/>
    </row>
    <row r="214">
      <c r="A214" s="49"/>
      <c r="B214" s="195"/>
      <c r="C214" s="195"/>
      <c r="D214" s="195"/>
    </row>
    <row r="215">
      <c r="A215" s="49"/>
      <c r="B215" s="195"/>
      <c r="C215" s="195"/>
      <c r="D215" s="195"/>
    </row>
    <row r="216">
      <c r="A216" s="49"/>
      <c r="B216" s="195"/>
      <c r="C216" s="195"/>
      <c r="D216" s="195"/>
    </row>
    <row r="217">
      <c r="A217" s="49"/>
      <c r="B217" s="195"/>
      <c r="C217" s="195"/>
      <c r="D217" s="195"/>
    </row>
    <row r="218">
      <c r="A218" s="49"/>
      <c r="B218" s="195"/>
      <c r="C218" s="195"/>
      <c r="D218" s="195"/>
    </row>
    <row r="219">
      <c r="A219" s="49"/>
      <c r="B219" s="195"/>
      <c r="C219" s="195"/>
      <c r="D219" s="195"/>
    </row>
    <row r="220">
      <c r="A220" s="49"/>
      <c r="B220" s="195"/>
      <c r="C220" s="195"/>
      <c r="D220" s="195"/>
    </row>
    <row r="221">
      <c r="A221" s="49"/>
      <c r="B221" s="195"/>
      <c r="C221" s="195"/>
      <c r="D221" s="195"/>
    </row>
    <row r="222">
      <c r="A222" s="49"/>
      <c r="B222" s="195"/>
      <c r="C222" s="195"/>
      <c r="D222" s="195"/>
    </row>
    <row r="223">
      <c r="A223" s="49"/>
      <c r="B223" s="195"/>
      <c r="C223" s="195"/>
      <c r="D223" s="195"/>
    </row>
    <row r="224">
      <c r="A224" s="49"/>
      <c r="B224" s="195"/>
      <c r="C224" s="195"/>
      <c r="D224" s="195"/>
    </row>
    <row r="225">
      <c r="A225" s="49"/>
      <c r="B225" s="195"/>
      <c r="C225" s="195"/>
      <c r="D225" s="195"/>
    </row>
    <row r="226">
      <c r="A226" s="49"/>
      <c r="B226" s="195"/>
      <c r="C226" s="195"/>
      <c r="D226" s="195"/>
    </row>
    <row r="227">
      <c r="A227" s="49"/>
      <c r="B227" s="195"/>
      <c r="C227" s="195"/>
      <c r="D227" s="195"/>
    </row>
    <row r="228">
      <c r="A228" s="49"/>
      <c r="B228" s="195"/>
      <c r="C228" s="195"/>
      <c r="D228" s="195"/>
    </row>
    <row r="229">
      <c r="A229" s="49"/>
      <c r="B229" s="195"/>
      <c r="C229" s="195"/>
      <c r="D229" s="195"/>
    </row>
    <row r="230">
      <c r="A230" s="49"/>
      <c r="B230" s="195"/>
      <c r="C230" s="195"/>
      <c r="D230" s="195"/>
    </row>
    <row r="231">
      <c r="A231" s="49"/>
      <c r="B231" s="195"/>
      <c r="C231" s="195"/>
      <c r="D231" s="195"/>
    </row>
    <row r="232">
      <c r="A232" s="49"/>
      <c r="B232" s="195"/>
      <c r="C232" s="195"/>
      <c r="D232" s="195"/>
    </row>
    <row r="233">
      <c r="A233" s="49"/>
      <c r="B233" s="195"/>
      <c r="C233" s="195"/>
      <c r="D233" s="195"/>
    </row>
    <row r="234">
      <c r="A234" s="49"/>
      <c r="B234" s="195"/>
      <c r="C234" s="195"/>
      <c r="D234" s="195"/>
    </row>
    <row r="235">
      <c r="A235" s="49"/>
      <c r="B235" s="195"/>
      <c r="C235" s="195"/>
      <c r="D235" s="195"/>
    </row>
    <row r="236">
      <c r="A236" s="49"/>
      <c r="B236" s="195"/>
      <c r="C236" s="195"/>
      <c r="D236" s="195"/>
    </row>
    <row r="237">
      <c r="A237" s="49"/>
      <c r="B237" s="195"/>
      <c r="C237" s="195"/>
      <c r="D237" s="195"/>
    </row>
    <row r="238">
      <c r="A238" s="49"/>
      <c r="B238" s="195"/>
      <c r="C238" s="195"/>
      <c r="D238" s="195"/>
    </row>
    <row r="239">
      <c r="A239" s="49"/>
      <c r="B239" s="195"/>
      <c r="C239" s="195"/>
      <c r="D239" s="195"/>
    </row>
    <row r="240">
      <c r="A240" s="49"/>
      <c r="B240" s="195"/>
      <c r="C240" s="195"/>
      <c r="D240" s="195"/>
    </row>
    <row r="241">
      <c r="A241" s="49"/>
      <c r="B241" s="195"/>
      <c r="C241" s="195"/>
      <c r="D241" s="195"/>
    </row>
    <row r="242">
      <c r="A242" s="49"/>
      <c r="B242" s="195"/>
      <c r="C242" s="195"/>
      <c r="D242" s="195"/>
    </row>
    <row r="243">
      <c r="A243" s="49"/>
      <c r="B243" s="195"/>
      <c r="C243" s="195"/>
      <c r="D243" s="195"/>
    </row>
    <row r="244">
      <c r="A244" s="49"/>
      <c r="B244" s="195"/>
      <c r="C244" s="195"/>
      <c r="D244" s="195"/>
    </row>
    <row r="245">
      <c r="A245" s="49"/>
      <c r="B245" s="195"/>
      <c r="C245" s="195"/>
      <c r="D245" s="195"/>
    </row>
    <row r="246">
      <c r="A246" s="49"/>
      <c r="B246" s="195"/>
      <c r="C246" s="195"/>
      <c r="D246" s="195"/>
    </row>
    <row r="247">
      <c r="A247" s="49"/>
      <c r="B247" s="195"/>
      <c r="C247" s="195"/>
      <c r="D247" s="195"/>
    </row>
    <row r="248">
      <c r="A248" s="49"/>
      <c r="B248" s="195"/>
      <c r="C248" s="195"/>
      <c r="D248" s="195"/>
    </row>
    <row r="249">
      <c r="A249" s="49"/>
      <c r="B249" s="195"/>
      <c r="C249" s="195"/>
      <c r="D249" s="195"/>
    </row>
    <row r="250">
      <c r="A250" s="49"/>
      <c r="B250" s="195"/>
      <c r="C250" s="195"/>
      <c r="D250" s="195"/>
    </row>
    <row r="251">
      <c r="A251" s="49"/>
      <c r="B251" s="195"/>
      <c r="C251" s="195"/>
      <c r="D251" s="195"/>
    </row>
    <row r="252">
      <c r="A252" s="49"/>
      <c r="B252" s="195"/>
      <c r="C252" s="195"/>
      <c r="D252" s="195"/>
    </row>
    <row r="253">
      <c r="A253" s="49"/>
      <c r="B253" s="195"/>
      <c r="C253" s="195"/>
      <c r="D253" s="195"/>
    </row>
    <row r="254">
      <c r="A254" s="49"/>
      <c r="B254" s="195"/>
      <c r="C254" s="195"/>
      <c r="D254" s="195"/>
    </row>
    <row r="255">
      <c r="A255" s="49"/>
      <c r="B255" s="195"/>
      <c r="C255" s="195"/>
      <c r="D255" s="195"/>
    </row>
    <row r="256">
      <c r="A256" s="49"/>
      <c r="B256" s="195"/>
      <c r="C256" s="195"/>
      <c r="D256" s="195"/>
    </row>
    <row r="257">
      <c r="A257" s="49"/>
      <c r="B257" s="195"/>
      <c r="C257" s="195"/>
      <c r="D257" s="195"/>
    </row>
    <row r="258">
      <c r="A258" s="49"/>
      <c r="B258" s="195"/>
      <c r="C258" s="195"/>
      <c r="D258" s="195"/>
    </row>
    <row r="259">
      <c r="A259" s="49"/>
      <c r="B259" s="195"/>
      <c r="C259" s="195"/>
      <c r="D259" s="195"/>
    </row>
    <row r="260">
      <c r="A260" s="49"/>
      <c r="B260" s="195"/>
      <c r="C260" s="195"/>
      <c r="D260" s="195"/>
    </row>
    <row r="261">
      <c r="A261" s="49"/>
      <c r="B261" s="195"/>
      <c r="C261" s="195"/>
      <c r="D261" s="195"/>
    </row>
    <row r="262">
      <c r="A262" s="49"/>
      <c r="B262" s="195"/>
      <c r="C262" s="195"/>
      <c r="D262" s="195"/>
    </row>
    <row r="263">
      <c r="A263" s="49"/>
      <c r="B263" s="195"/>
      <c r="C263" s="195"/>
      <c r="D263" s="195"/>
    </row>
    <row r="264">
      <c r="A264" s="49"/>
      <c r="B264" s="195"/>
      <c r="C264" s="195"/>
      <c r="D264" s="195"/>
    </row>
    <row r="265">
      <c r="A265" s="49"/>
      <c r="B265" s="195"/>
      <c r="C265" s="195"/>
      <c r="D265" s="195"/>
    </row>
    <row r="266">
      <c r="A266" s="49"/>
      <c r="B266" s="195"/>
      <c r="C266" s="195"/>
      <c r="D266" s="195"/>
    </row>
    <row r="267">
      <c r="A267" s="49"/>
      <c r="B267" s="195"/>
      <c r="C267" s="195"/>
      <c r="D267" s="195"/>
    </row>
    <row r="268">
      <c r="A268" s="49"/>
      <c r="B268" s="195"/>
      <c r="C268" s="195"/>
      <c r="D268" s="195"/>
    </row>
    <row r="269">
      <c r="A269" s="49"/>
      <c r="B269" s="195"/>
      <c r="C269" s="195"/>
      <c r="D269" s="195"/>
    </row>
    <row r="270">
      <c r="A270" s="49"/>
      <c r="B270" s="195"/>
      <c r="C270" s="195"/>
      <c r="D270" s="195"/>
    </row>
    <row r="271">
      <c r="A271" s="49"/>
      <c r="B271" s="195"/>
      <c r="C271" s="195"/>
      <c r="D271" s="195"/>
    </row>
    <row r="272">
      <c r="A272" s="49"/>
      <c r="B272" s="195"/>
      <c r="C272" s="195"/>
      <c r="D272" s="195"/>
    </row>
    <row r="273">
      <c r="A273" s="49"/>
      <c r="B273" s="195"/>
      <c r="C273" s="195"/>
      <c r="D273" s="195"/>
    </row>
    <row r="274">
      <c r="A274" s="49"/>
      <c r="B274" s="195"/>
      <c r="C274" s="195"/>
      <c r="D274" s="195"/>
    </row>
    <row r="275">
      <c r="A275" s="49"/>
      <c r="B275" s="195"/>
      <c r="C275" s="195"/>
      <c r="D275" s="195"/>
    </row>
    <row r="276">
      <c r="A276" s="49"/>
      <c r="B276" s="195"/>
      <c r="C276" s="195"/>
      <c r="D276" s="195"/>
    </row>
    <row r="277">
      <c r="A277" s="49"/>
      <c r="B277" s="195"/>
      <c r="C277" s="195"/>
      <c r="D277" s="195"/>
    </row>
    <row r="278">
      <c r="A278" s="49"/>
      <c r="B278" s="195"/>
      <c r="C278" s="195"/>
      <c r="D278" s="195"/>
    </row>
    <row r="279">
      <c r="A279" s="49"/>
      <c r="B279" s="195"/>
      <c r="C279" s="195"/>
      <c r="D279" s="195"/>
    </row>
    <row r="280">
      <c r="A280" s="49"/>
      <c r="B280" s="195"/>
      <c r="C280" s="195"/>
      <c r="D280" s="195"/>
    </row>
    <row r="281">
      <c r="A281" s="49"/>
      <c r="B281" s="195"/>
      <c r="C281" s="195"/>
      <c r="D281" s="195"/>
    </row>
    <row r="282">
      <c r="A282" s="49"/>
      <c r="B282" s="195"/>
      <c r="C282" s="195"/>
      <c r="D282" s="195"/>
    </row>
    <row r="283">
      <c r="A283" s="49"/>
      <c r="B283" s="195"/>
      <c r="C283" s="195"/>
      <c r="D283" s="195"/>
    </row>
    <row r="284">
      <c r="A284" s="49"/>
      <c r="B284" s="195"/>
      <c r="C284" s="195"/>
      <c r="D284" s="195"/>
    </row>
    <row r="285">
      <c r="A285" s="49"/>
      <c r="B285" s="195"/>
      <c r="C285" s="195"/>
      <c r="D285" s="195"/>
    </row>
    <row r="286">
      <c r="A286" s="49"/>
      <c r="B286" s="195"/>
      <c r="C286" s="195"/>
      <c r="D286" s="195"/>
    </row>
    <row r="287">
      <c r="A287" s="49"/>
      <c r="B287" s="195"/>
      <c r="C287" s="195"/>
      <c r="D287" s="195"/>
    </row>
    <row r="288">
      <c r="A288" s="49"/>
      <c r="B288" s="195"/>
      <c r="C288" s="195"/>
      <c r="D288" s="195"/>
    </row>
    <row r="289">
      <c r="A289" s="49"/>
      <c r="B289" s="195"/>
      <c r="C289" s="195"/>
      <c r="D289" s="195"/>
    </row>
    <row r="290">
      <c r="A290" s="49"/>
      <c r="B290" s="195"/>
      <c r="C290" s="195"/>
      <c r="D290" s="195"/>
    </row>
    <row r="291">
      <c r="A291" s="49"/>
      <c r="B291" s="195"/>
      <c r="C291" s="195"/>
      <c r="D291" s="195"/>
    </row>
    <row r="292">
      <c r="A292" s="49"/>
      <c r="B292" s="195"/>
      <c r="C292" s="195"/>
      <c r="D292" s="195"/>
    </row>
    <row r="293">
      <c r="A293" s="49"/>
      <c r="B293" s="195"/>
      <c r="C293" s="195"/>
      <c r="D293" s="195"/>
    </row>
    <row r="294">
      <c r="A294" s="49"/>
      <c r="B294" s="195"/>
      <c r="C294" s="195"/>
      <c r="D294" s="195"/>
    </row>
    <row r="295">
      <c r="A295" s="49"/>
      <c r="B295" s="195"/>
      <c r="C295" s="195"/>
      <c r="D295" s="195"/>
    </row>
    <row r="296">
      <c r="A296" s="49"/>
      <c r="B296" s="195"/>
      <c r="C296" s="195"/>
      <c r="D296" s="195"/>
    </row>
    <row r="297">
      <c r="A297" s="49"/>
      <c r="B297" s="195"/>
      <c r="C297" s="195"/>
      <c r="D297" s="195"/>
    </row>
    <row r="298">
      <c r="A298" s="49"/>
      <c r="B298" s="195"/>
      <c r="C298" s="195"/>
      <c r="D298" s="195"/>
    </row>
    <row r="299">
      <c r="A299" s="49"/>
      <c r="B299" s="195"/>
      <c r="C299" s="195"/>
      <c r="D299" s="195"/>
    </row>
    <row r="300">
      <c r="A300" s="49"/>
      <c r="B300" s="195"/>
      <c r="C300" s="195"/>
      <c r="D300" s="195"/>
    </row>
    <row r="301">
      <c r="A301" s="49"/>
      <c r="B301" s="195"/>
      <c r="C301" s="195"/>
      <c r="D301" s="195"/>
    </row>
    <row r="302">
      <c r="A302" s="49"/>
      <c r="B302" s="195"/>
      <c r="C302" s="195"/>
      <c r="D302" s="195"/>
    </row>
    <row r="303">
      <c r="A303" s="49"/>
      <c r="B303" s="195"/>
      <c r="C303" s="195"/>
      <c r="D303" s="195"/>
    </row>
    <row r="304">
      <c r="A304" s="49"/>
      <c r="B304" s="195"/>
      <c r="C304" s="195"/>
      <c r="D304" s="195"/>
    </row>
    <row r="305">
      <c r="A305" s="49"/>
      <c r="B305" s="195"/>
      <c r="C305" s="195"/>
      <c r="D305" s="195"/>
    </row>
    <row r="306">
      <c r="A306" s="49"/>
      <c r="B306" s="195"/>
      <c r="C306" s="195"/>
      <c r="D306" s="195"/>
    </row>
    <row r="307">
      <c r="A307" s="49"/>
      <c r="B307" s="195"/>
      <c r="C307" s="195"/>
      <c r="D307" s="195"/>
    </row>
    <row r="308">
      <c r="A308" s="49"/>
      <c r="B308" s="195"/>
      <c r="C308" s="195"/>
      <c r="D308" s="195"/>
    </row>
    <row r="309">
      <c r="A309" s="49"/>
      <c r="B309" s="195"/>
      <c r="C309" s="195"/>
      <c r="D309" s="195"/>
    </row>
    <row r="310">
      <c r="A310" s="49"/>
      <c r="B310" s="195"/>
      <c r="C310" s="195"/>
      <c r="D310" s="195"/>
    </row>
    <row r="311">
      <c r="A311" s="49"/>
      <c r="B311" s="195"/>
      <c r="C311" s="195"/>
      <c r="D311" s="195"/>
    </row>
    <row r="312">
      <c r="A312" s="49"/>
      <c r="B312" s="195"/>
      <c r="C312" s="195"/>
      <c r="D312" s="195"/>
    </row>
    <row r="313">
      <c r="A313" s="49"/>
      <c r="B313" s="195"/>
      <c r="C313" s="195"/>
      <c r="D313" s="195"/>
    </row>
    <row r="314">
      <c r="A314" s="49"/>
      <c r="B314" s="195"/>
      <c r="C314" s="195"/>
      <c r="D314" s="195"/>
    </row>
    <row r="315">
      <c r="A315" s="49"/>
      <c r="B315" s="195"/>
      <c r="C315" s="195"/>
      <c r="D315" s="195"/>
    </row>
    <row r="316">
      <c r="A316" s="49"/>
      <c r="B316" s="195"/>
      <c r="C316" s="195"/>
      <c r="D316" s="195"/>
    </row>
    <row r="317">
      <c r="A317" s="49"/>
      <c r="B317" s="195"/>
      <c r="C317" s="195"/>
      <c r="D317" s="195"/>
    </row>
    <row r="318">
      <c r="A318" s="49"/>
      <c r="B318" s="195"/>
      <c r="C318" s="195"/>
      <c r="D318" s="195"/>
    </row>
    <row r="319">
      <c r="A319" s="49"/>
      <c r="B319" s="195"/>
      <c r="C319" s="195"/>
      <c r="D319" s="195"/>
    </row>
    <row r="320">
      <c r="A320" s="49"/>
      <c r="B320" s="195"/>
      <c r="C320" s="195"/>
      <c r="D320" s="195"/>
    </row>
    <row r="321">
      <c r="A321" s="49"/>
      <c r="B321" s="195"/>
      <c r="C321" s="195"/>
      <c r="D321" s="195"/>
    </row>
    <row r="322">
      <c r="A322" s="49"/>
      <c r="B322" s="195"/>
      <c r="C322" s="195"/>
      <c r="D322" s="195"/>
    </row>
    <row r="323">
      <c r="A323" s="49"/>
      <c r="B323" s="195"/>
      <c r="C323" s="195"/>
      <c r="D323" s="195"/>
    </row>
    <row r="324">
      <c r="A324" s="49"/>
      <c r="B324" s="195"/>
      <c r="C324" s="195"/>
      <c r="D324" s="195"/>
    </row>
    <row r="325">
      <c r="A325" s="49"/>
      <c r="B325" s="195"/>
      <c r="C325" s="195"/>
      <c r="D325" s="195"/>
    </row>
    <row r="326">
      <c r="A326" s="49"/>
      <c r="B326" s="195"/>
      <c r="C326" s="195"/>
      <c r="D326" s="195"/>
    </row>
    <row r="327">
      <c r="A327" s="49"/>
      <c r="B327" s="195"/>
      <c r="C327" s="195"/>
      <c r="D327" s="195"/>
    </row>
    <row r="328">
      <c r="A328" s="49"/>
      <c r="B328" s="195"/>
      <c r="C328" s="195"/>
      <c r="D328" s="195"/>
    </row>
    <row r="329">
      <c r="A329" s="49"/>
      <c r="B329" s="195"/>
      <c r="C329" s="195"/>
      <c r="D329" s="195"/>
    </row>
    <row r="330">
      <c r="A330" s="49"/>
      <c r="B330" s="195"/>
      <c r="C330" s="195"/>
      <c r="D330" s="195"/>
    </row>
    <row r="331">
      <c r="A331" s="49"/>
      <c r="B331" s="195"/>
      <c r="C331" s="195"/>
      <c r="D331" s="195"/>
    </row>
    <row r="332">
      <c r="A332" s="49"/>
      <c r="B332" s="195"/>
      <c r="C332" s="195"/>
      <c r="D332" s="195"/>
    </row>
    <row r="333">
      <c r="A333" s="49"/>
      <c r="B333" s="195"/>
      <c r="C333" s="195"/>
      <c r="D333" s="195"/>
    </row>
    <row r="334">
      <c r="A334" s="49"/>
      <c r="B334" s="195"/>
      <c r="C334" s="195"/>
      <c r="D334" s="195"/>
    </row>
    <row r="335">
      <c r="A335" s="49"/>
      <c r="B335" s="195"/>
      <c r="C335" s="195"/>
      <c r="D335" s="195"/>
    </row>
    <row r="336">
      <c r="A336" s="49"/>
      <c r="B336" s="195"/>
      <c r="C336" s="195"/>
      <c r="D336" s="195"/>
    </row>
    <row r="337">
      <c r="A337" s="49"/>
      <c r="B337" s="195"/>
      <c r="C337" s="195"/>
      <c r="D337" s="195"/>
    </row>
    <row r="338">
      <c r="A338" s="49"/>
      <c r="B338" s="195"/>
      <c r="C338" s="195"/>
      <c r="D338" s="195"/>
    </row>
    <row r="339">
      <c r="A339" s="49"/>
      <c r="B339" s="195"/>
      <c r="C339" s="195"/>
      <c r="D339" s="195"/>
    </row>
    <row r="340">
      <c r="A340" s="49"/>
      <c r="B340" s="195"/>
      <c r="C340" s="195"/>
      <c r="D340" s="195"/>
    </row>
    <row r="341">
      <c r="A341" s="49"/>
      <c r="B341" s="195"/>
      <c r="C341" s="195"/>
      <c r="D341" s="195"/>
    </row>
    <row r="342">
      <c r="A342" s="49"/>
      <c r="B342" s="195"/>
      <c r="C342" s="195"/>
      <c r="D342" s="195"/>
    </row>
    <row r="343">
      <c r="A343" s="49"/>
      <c r="B343" s="195"/>
      <c r="C343" s="195"/>
      <c r="D343" s="195"/>
    </row>
    <row r="344">
      <c r="A344" s="49"/>
      <c r="B344" s="195"/>
      <c r="C344" s="195"/>
      <c r="D344" s="195"/>
    </row>
    <row r="345">
      <c r="A345" s="49"/>
      <c r="B345" s="195"/>
      <c r="C345" s="195"/>
      <c r="D345" s="195"/>
    </row>
    <row r="346">
      <c r="A346" s="49"/>
      <c r="B346" s="195"/>
      <c r="C346" s="195"/>
      <c r="D346" s="195"/>
    </row>
    <row r="347">
      <c r="A347" s="49"/>
      <c r="B347" s="195"/>
      <c r="C347" s="195"/>
      <c r="D347" s="195"/>
    </row>
    <row r="348">
      <c r="A348" s="49"/>
      <c r="B348" s="195"/>
      <c r="C348" s="195"/>
      <c r="D348" s="195"/>
    </row>
    <row r="349">
      <c r="A349" s="49"/>
      <c r="B349" s="195"/>
      <c r="C349" s="195"/>
      <c r="D349" s="195"/>
    </row>
    <row r="350">
      <c r="A350" s="49"/>
      <c r="B350" s="195"/>
      <c r="C350" s="195"/>
      <c r="D350" s="195"/>
    </row>
    <row r="351">
      <c r="A351" s="49"/>
      <c r="B351" s="195"/>
      <c r="C351" s="195"/>
      <c r="D351" s="195"/>
    </row>
    <row r="352">
      <c r="A352" s="49"/>
      <c r="B352" s="195"/>
      <c r="C352" s="195"/>
      <c r="D352" s="195"/>
    </row>
    <row r="353">
      <c r="A353" s="49"/>
      <c r="B353" s="195"/>
      <c r="C353" s="195"/>
      <c r="D353" s="195"/>
    </row>
    <row r="354">
      <c r="A354" s="49"/>
      <c r="B354" s="195"/>
      <c r="C354" s="195"/>
      <c r="D354" s="195"/>
    </row>
    <row r="355">
      <c r="A355" s="49"/>
      <c r="B355" s="195"/>
      <c r="C355" s="195"/>
      <c r="D355" s="195"/>
    </row>
    <row r="356">
      <c r="A356" s="49"/>
      <c r="B356" s="195"/>
      <c r="C356" s="195"/>
      <c r="D356" s="195"/>
    </row>
    <row r="357">
      <c r="A357" s="49"/>
      <c r="B357" s="195"/>
      <c r="C357" s="195"/>
      <c r="D357" s="195"/>
    </row>
    <row r="358">
      <c r="A358" s="49"/>
      <c r="B358" s="195"/>
      <c r="C358" s="195"/>
      <c r="D358" s="195"/>
    </row>
    <row r="359">
      <c r="A359" s="49"/>
      <c r="B359" s="195"/>
      <c r="C359" s="195"/>
      <c r="D359" s="195"/>
    </row>
    <row r="360">
      <c r="A360" s="49"/>
      <c r="B360" s="195"/>
      <c r="C360" s="195"/>
      <c r="D360" s="195"/>
    </row>
    <row r="361">
      <c r="A361" s="49"/>
      <c r="B361" s="195"/>
      <c r="C361" s="195"/>
      <c r="D361" s="195"/>
    </row>
    <row r="362">
      <c r="A362" s="49"/>
      <c r="B362" s="195"/>
      <c r="C362" s="195"/>
      <c r="D362" s="195"/>
    </row>
    <row r="363">
      <c r="A363" s="49"/>
      <c r="B363" s="195"/>
      <c r="C363" s="195"/>
      <c r="D363" s="195"/>
    </row>
    <row r="364">
      <c r="A364" s="49"/>
      <c r="B364" s="195"/>
      <c r="C364" s="195"/>
      <c r="D364" s="195"/>
    </row>
    <row r="365">
      <c r="A365" s="49"/>
      <c r="B365" s="195"/>
      <c r="C365" s="195"/>
      <c r="D365" s="195"/>
    </row>
    <row r="366">
      <c r="A366" s="49"/>
      <c r="B366" s="195"/>
      <c r="C366" s="195"/>
      <c r="D366" s="195"/>
    </row>
    <row r="367">
      <c r="A367" s="49"/>
      <c r="B367" s="195"/>
      <c r="C367" s="195"/>
      <c r="D367" s="195"/>
    </row>
    <row r="368">
      <c r="A368" s="49"/>
      <c r="B368" s="195"/>
      <c r="C368" s="195"/>
      <c r="D368" s="195"/>
    </row>
    <row r="369">
      <c r="A369" s="49"/>
      <c r="B369" s="195"/>
      <c r="C369" s="195"/>
      <c r="D369" s="195"/>
    </row>
    <row r="370">
      <c r="A370" s="49"/>
      <c r="B370" s="195"/>
      <c r="C370" s="195"/>
      <c r="D370" s="195"/>
    </row>
    <row r="371">
      <c r="A371" s="49"/>
      <c r="B371" s="195"/>
      <c r="C371" s="195"/>
      <c r="D371" s="195"/>
    </row>
    <row r="372">
      <c r="A372" s="49"/>
      <c r="B372" s="195"/>
      <c r="C372" s="195"/>
      <c r="D372" s="195"/>
    </row>
    <row r="373">
      <c r="A373" s="49"/>
      <c r="B373" s="195"/>
      <c r="C373" s="195"/>
      <c r="D373" s="195"/>
    </row>
    <row r="374">
      <c r="A374" s="49"/>
      <c r="B374" s="195"/>
      <c r="C374" s="195"/>
      <c r="D374" s="195"/>
    </row>
    <row r="375">
      <c r="A375" s="49"/>
      <c r="B375" s="195"/>
      <c r="C375" s="195"/>
      <c r="D375" s="195"/>
    </row>
    <row r="376">
      <c r="A376" s="49"/>
      <c r="B376" s="195"/>
      <c r="C376" s="195"/>
      <c r="D376" s="195"/>
    </row>
    <row r="377">
      <c r="A377" s="49"/>
      <c r="B377" s="195"/>
      <c r="C377" s="195"/>
      <c r="D377" s="195"/>
    </row>
    <row r="378">
      <c r="A378" s="49"/>
      <c r="B378" s="195"/>
      <c r="C378" s="195"/>
      <c r="D378" s="195"/>
    </row>
    <row r="379">
      <c r="A379" s="49"/>
      <c r="B379" s="195"/>
      <c r="C379" s="195"/>
      <c r="D379" s="195"/>
    </row>
    <row r="380">
      <c r="A380" s="49"/>
      <c r="B380" s="195"/>
      <c r="C380" s="195"/>
      <c r="D380" s="195"/>
    </row>
    <row r="381">
      <c r="A381" s="49"/>
      <c r="B381" s="195"/>
      <c r="C381" s="195"/>
      <c r="D381" s="195"/>
    </row>
    <row r="382">
      <c r="A382" s="49"/>
      <c r="B382" s="195"/>
      <c r="C382" s="195"/>
      <c r="D382" s="195"/>
    </row>
    <row r="383">
      <c r="A383" s="49"/>
      <c r="B383" s="195"/>
      <c r="C383" s="195"/>
      <c r="D383" s="195"/>
    </row>
    <row r="384">
      <c r="A384" s="49"/>
      <c r="B384" s="195"/>
      <c r="C384" s="195"/>
      <c r="D384" s="195"/>
    </row>
    <row r="385">
      <c r="A385" s="49"/>
      <c r="B385" s="195"/>
      <c r="C385" s="195"/>
      <c r="D385" s="195"/>
    </row>
    <row r="386">
      <c r="A386" s="49"/>
      <c r="B386" s="195"/>
      <c r="C386" s="195"/>
      <c r="D386" s="195"/>
    </row>
    <row r="387">
      <c r="A387" s="49"/>
      <c r="B387" s="195"/>
      <c r="C387" s="195"/>
      <c r="D387" s="195"/>
    </row>
    <row r="388">
      <c r="A388" s="49"/>
      <c r="B388" s="195"/>
      <c r="C388" s="195"/>
      <c r="D388" s="195"/>
    </row>
    <row r="389">
      <c r="A389" s="49"/>
      <c r="B389" s="195"/>
      <c r="C389" s="195"/>
      <c r="D389" s="195"/>
    </row>
    <row r="390">
      <c r="A390" s="49"/>
      <c r="B390" s="195"/>
      <c r="C390" s="195"/>
      <c r="D390" s="195"/>
    </row>
    <row r="391">
      <c r="A391" s="49"/>
      <c r="B391" s="195"/>
      <c r="C391" s="195"/>
      <c r="D391" s="195"/>
    </row>
    <row r="392">
      <c r="A392" s="49"/>
      <c r="B392" s="195"/>
      <c r="C392" s="195"/>
      <c r="D392" s="195"/>
    </row>
    <row r="393">
      <c r="A393" s="49"/>
      <c r="B393" s="195"/>
      <c r="C393" s="195"/>
      <c r="D393" s="195"/>
    </row>
    <row r="394">
      <c r="A394" s="49"/>
      <c r="B394" s="195"/>
      <c r="C394" s="195"/>
      <c r="D394" s="195"/>
    </row>
    <row r="395">
      <c r="A395" s="49"/>
      <c r="B395" s="195"/>
      <c r="C395" s="195"/>
      <c r="D395" s="195"/>
    </row>
    <row r="396">
      <c r="A396" s="49"/>
      <c r="B396" s="195"/>
      <c r="C396" s="195"/>
      <c r="D396" s="195"/>
    </row>
    <row r="397">
      <c r="A397" s="49"/>
      <c r="B397" s="195"/>
      <c r="C397" s="195"/>
      <c r="D397" s="195"/>
    </row>
    <row r="398">
      <c r="A398" s="49"/>
      <c r="B398" s="195"/>
      <c r="C398" s="195"/>
      <c r="D398" s="195"/>
    </row>
    <row r="399">
      <c r="A399" s="49"/>
      <c r="B399" s="195"/>
      <c r="C399" s="195"/>
      <c r="D399" s="195"/>
    </row>
    <row r="400">
      <c r="A400" s="49"/>
      <c r="B400" s="195"/>
      <c r="C400" s="195"/>
      <c r="D400" s="195"/>
    </row>
    <row r="401">
      <c r="A401" s="49"/>
      <c r="B401" s="195"/>
      <c r="C401" s="195"/>
      <c r="D401" s="195"/>
    </row>
    <row r="402">
      <c r="A402" s="49"/>
      <c r="B402" s="195"/>
      <c r="C402" s="195"/>
      <c r="D402" s="195"/>
    </row>
    <row r="403">
      <c r="A403" s="49"/>
      <c r="B403" s="195"/>
      <c r="C403" s="195"/>
      <c r="D403" s="195"/>
    </row>
    <row r="404">
      <c r="A404" s="49"/>
      <c r="B404" s="195"/>
      <c r="C404" s="195"/>
      <c r="D404" s="195"/>
    </row>
    <row r="405">
      <c r="A405" s="49"/>
      <c r="B405" s="195"/>
      <c r="C405" s="195"/>
      <c r="D405" s="195"/>
    </row>
    <row r="406">
      <c r="A406" s="49"/>
      <c r="B406" s="195"/>
      <c r="C406" s="195"/>
      <c r="D406" s="195"/>
    </row>
    <row r="407">
      <c r="A407" s="49"/>
      <c r="B407" s="195"/>
      <c r="C407" s="195"/>
      <c r="D407" s="195"/>
    </row>
    <row r="408">
      <c r="A408" s="49"/>
      <c r="B408" s="195"/>
      <c r="C408" s="195"/>
      <c r="D408" s="195"/>
    </row>
    <row r="409">
      <c r="A409" s="49"/>
      <c r="B409" s="195"/>
      <c r="C409" s="195"/>
      <c r="D409" s="195"/>
    </row>
    <row r="410">
      <c r="A410" s="49"/>
      <c r="B410" s="195"/>
      <c r="C410" s="195"/>
      <c r="D410" s="195"/>
    </row>
    <row r="411">
      <c r="A411" s="49"/>
      <c r="B411" s="195"/>
      <c r="C411" s="195"/>
      <c r="D411" s="195"/>
    </row>
    <row r="412">
      <c r="A412" s="49"/>
      <c r="B412" s="195"/>
      <c r="C412" s="195"/>
      <c r="D412" s="195"/>
    </row>
    <row r="413">
      <c r="A413" s="49"/>
      <c r="B413" s="195"/>
      <c r="C413" s="195"/>
      <c r="D413" s="195"/>
    </row>
    <row r="414">
      <c r="A414" s="49"/>
      <c r="B414" s="195"/>
      <c r="C414" s="195"/>
      <c r="D414" s="195"/>
    </row>
    <row r="415">
      <c r="A415" s="49"/>
      <c r="B415" s="195"/>
      <c r="C415" s="195"/>
      <c r="D415" s="195"/>
    </row>
    <row r="416">
      <c r="A416" s="49"/>
      <c r="B416" s="195"/>
      <c r="C416" s="195"/>
      <c r="D416" s="195"/>
    </row>
    <row r="417">
      <c r="A417" s="49"/>
      <c r="B417" s="195"/>
      <c r="C417" s="195"/>
      <c r="D417" s="195"/>
    </row>
    <row r="418">
      <c r="A418" s="49"/>
      <c r="B418" s="195"/>
      <c r="C418" s="195"/>
      <c r="D418" s="195"/>
    </row>
    <row r="419">
      <c r="A419" s="49"/>
      <c r="B419" s="195"/>
      <c r="C419" s="195"/>
      <c r="D419" s="195"/>
    </row>
    <row r="420">
      <c r="A420" s="49"/>
      <c r="B420" s="195"/>
      <c r="C420" s="195"/>
      <c r="D420" s="195"/>
    </row>
    <row r="421">
      <c r="A421" s="49"/>
      <c r="B421" s="195"/>
      <c r="C421" s="195"/>
      <c r="D421" s="195"/>
    </row>
    <row r="422">
      <c r="A422" s="49"/>
      <c r="B422" s="195"/>
      <c r="C422" s="195"/>
      <c r="D422" s="195"/>
    </row>
    <row r="423">
      <c r="A423" s="49"/>
      <c r="B423" s="195"/>
      <c r="C423" s="195"/>
      <c r="D423" s="195"/>
    </row>
    <row r="424">
      <c r="A424" s="49"/>
      <c r="B424" s="195"/>
      <c r="C424" s="195"/>
      <c r="D424" s="195"/>
    </row>
    <row r="425">
      <c r="A425" s="49"/>
      <c r="B425" s="195"/>
      <c r="C425" s="195"/>
      <c r="D425" s="195"/>
    </row>
    <row r="426">
      <c r="A426" s="49"/>
      <c r="B426" s="195"/>
      <c r="C426" s="195"/>
      <c r="D426" s="195"/>
    </row>
    <row r="427">
      <c r="A427" s="49"/>
      <c r="B427" s="195"/>
      <c r="C427" s="195"/>
      <c r="D427" s="195"/>
    </row>
    <row r="428">
      <c r="A428" s="49"/>
      <c r="B428" s="195"/>
      <c r="C428" s="195"/>
      <c r="D428" s="195"/>
    </row>
    <row r="429">
      <c r="A429" s="49"/>
      <c r="B429" s="195"/>
      <c r="C429" s="195"/>
      <c r="D429" s="195"/>
    </row>
    <row r="430">
      <c r="A430" s="49"/>
      <c r="B430" s="195"/>
      <c r="C430" s="195"/>
      <c r="D430" s="195"/>
    </row>
    <row r="431">
      <c r="A431" s="49"/>
      <c r="B431" s="195"/>
      <c r="C431" s="195"/>
      <c r="D431" s="195"/>
    </row>
    <row r="432">
      <c r="A432" s="49"/>
      <c r="B432" s="195"/>
      <c r="C432" s="195"/>
      <c r="D432" s="195"/>
    </row>
    <row r="433">
      <c r="A433" s="49"/>
      <c r="B433" s="195"/>
      <c r="C433" s="195"/>
      <c r="D433" s="195"/>
    </row>
    <row r="434">
      <c r="A434" s="49"/>
      <c r="B434" s="195"/>
      <c r="C434" s="195"/>
      <c r="D434" s="195"/>
    </row>
    <row r="435">
      <c r="A435" s="49"/>
      <c r="B435" s="195"/>
      <c r="C435" s="195"/>
      <c r="D435" s="195"/>
    </row>
    <row r="436">
      <c r="A436" s="49"/>
      <c r="B436" s="195"/>
      <c r="C436" s="195"/>
      <c r="D436" s="195"/>
    </row>
    <row r="437">
      <c r="A437" s="49"/>
      <c r="B437" s="195"/>
      <c r="C437" s="195"/>
      <c r="D437" s="195"/>
    </row>
    <row r="438">
      <c r="A438" s="49"/>
      <c r="B438" s="195"/>
      <c r="C438" s="195"/>
      <c r="D438" s="195"/>
    </row>
    <row r="439">
      <c r="A439" s="49"/>
      <c r="B439" s="195"/>
      <c r="C439" s="195"/>
      <c r="D439" s="195"/>
    </row>
    <row r="440">
      <c r="A440" s="49"/>
      <c r="B440" s="195"/>
      <c r="C440" s="195"/>
      <c r="D440" s="195"/>
    </row>
    <row r="441">
      <c r="A441" s="49"/>
      <c r="B441" s="195"/>
      <c r="C441" s="195"/>
      <c r="D441" s="195"/>
    </row>
    <row r="442">
      <c r="A442" s="49"/>
      <c r="B442" s="195"/>
      <c r="C442" s="195"/>
      <c r="D442" s="195"/>
    </row>
    <row r="443">
      <c r="A443" s="49"/>
      <c r="B443" s="195"/>
      <c r="C443" s="195"/>
      <c r="D443" s="195"/>
    </row>
    <row r="444">
      <c r="A444" s="49"/>
      <c r="B444" s="195"/>
      <c r="C444" s="195"/>
      <c r="D444" s="195"/>
    </row>
    <row r="445">
      <c r="A445" s="49"/>
      <c r="B445" s="195"/>
      <c r="C445" s="195"/>
      <c r="D445" s="195"/>
    </row>
    <row r="446">
      <c r="A446" s="49"/>
      <c r="B446" s="195"/>
      <c r="C446" s="195"/>
      <c r="D446" s="195"/>
    </row>
    <row r="447">
      <c r="A447" s="49"/>
      <c r="B447" s="195"/>
      <c r="C447" s="195"/>
      <c r="D447" s="195"/>
    </row>
    <row r="448">
      <c r="A448" s="49"/>
      <c r="B448" s="195"/>
      <c r="C448" s="195"/>
      <c r="D448" s="195"/>
    </row>
    <row r="449">
      <c r="A449" s="49"/>
      <c r="B449" s="195"/>
      <c r="C449" s="195"/>
      <c r="D449" s="195"/>
    </row>
    <row r="450">
      <c r="A450" s="49"/>
      <c r="B450" s="195"/>
      <c r="C450" s="195"/>
      <c r="D450" s="195"/>
    </row>
    <row r="451">
      <c r="A451" s="49"/>
      <c r="B451" s="195"/>
      <c r="C451" s="195"/>
      <c r="D451" s="195"/>
    </row>
    <row r="452">
      <c r="A452" s="49"/>
      <c r="B452" s="195"/>
      <c r="C452" s="195"/>
      <c r="D452" s="195"/>
    </row>
    <row r="453">
      <c r="A453" s="49"/>
      <c r="B453" s="195"/>
      <c r="C453" s="195"/>
      <c r="D453" s="195"/>
    </row>
    <row r="454">
      <c r="A454" s="49"/>
      <c r="B454" s="195"/>
      <c r="C454" s="195"/>
      <c r="D454" s="195"/>
    </row>
    <row r="455">
      <c r="A455" s="49"/>
      <c r="B455" s="195"/>
      <c r="C455" s="195"/>
      <c r="D455" s="195"/>
    </row>
    <row r="456">
      <c r="A456" s="49"/>
      <c r="B456" s="195"/>
      <c r="C456" s="195"/>
      <c r="D456" s="195"/>
    </row>
    <row r="457">
      <c r="A457" s="49"/>
      <c r="B457" s="195"/>
      <c r="C457" s="195"/>
      <c r="D457" s="195"/>
    </row>
    <row r="458">
      <c r="A458" s="49"/>
      <c r="B458" s="195"/>
      <c r="C458" s="195"/>
      <c r="D458" s="195"/>
    </row>
    <row r="459">
      <c r="A459" s="49"/>
      <c r="B459" s="195"/>
      <c r="C459" s="195"/>
      <c r="D459" s="195"/>
    </row>
    <row r="460">
      <c r="A460" s="49"/>
      <c r="B460" s="195"/>
      <c r="C460" s="195"/>
      <c r="D460" s="195"/>
    </row>
    <row r="461">
      <c r="A461" s="49"/>
      <c r="B461" s="195"/>
      <c r="C461" s="195"/>
      <c r="D461" s="195"/>
    </row>
    <row r="462">
      <c r="A462" s="49"/>
      <c r="B462" s="195"/>
      <c r="C462" s="195"/>
      <c r="D462" s="195"/>
    </row>
    <row r="463">
      <c r="A463" s="49"/>
      <c r="B463" s="195"/>
      <c r="C463" s="195"/>
      <c r="D463" s="195"/>
    </row>
    <row r="464">
      <c r="A464" s="49"/>
      <c r="B464" s="195"/>
      <c r="C464" s="195"/>
      <c r="D464" s="195"/>
    </row>
    <row r="465">
      <c r="A465" s="49"/>
      <c r="B465" s="195"/>
      <c r="C465" s="195"/>
      <c r="D465" s="195"/>
    </row>
    <row r="466">
      <c r="A466" s="49"/>
      <c r="B466" s="195"/>
      <c r="C466" s="195"/>
      <c r="D466" s="195"/>
    </row>
    <row r="467">
      <c r="A467" s="49"/>
      <c r="B467" s="195"/>
      <c r="C467" s="195"/>
      <c r="D467" s="195"/>
    </row>
    <row r="468">
      <c r="A468" s="49"/>
      <c r="B468" s="195"/>
      <c r="C468" s="195"/>
      <c r="D468" s="195"/>
    </row>
    <row r="469">
      <c r="A469" s="49"/>
      <c r="B469" s="195"/>
      <c r="C469" s="195"/>
      <c r="D469" s="195"/>
    </row>
    <row r="470">
      <c r="A470" s="49"/>
      <c r="B470" s="195"/>
      <c r="C470" s="195"/>
      <c r="D470" s="195"/>
    </row>
    <row r="471">
      <c r="A471" s="49"/>
      <c r="B471" s="195"/>
      <c r="C471" s="195"/>
      <c r="D471" s="195"/>
    </row>
    <row r="472">
      <c r="A472" s="49"/>
      <c r="B472" s="195"/>
      <c r="C472" s="195"/>
      <c r="D472" s="195"/>
    </row>
    <row r="473">
      <c r="A473" s="49"/>
      <c r="B473" s="195"/>
      <c r="C473" s="195"/>
      <c r="D473" s="195"/>
    </row>
    <row r="474">
      <c r="A474" s="49"/>
      <c r="B474" s="195"/>
      <c r="C474" s="195"/>
      <c r="D474" s="195"/>
    </row>
    <row r="475">
      <c r="A475" s="49"/>
      <c r="B475" s="195"/>
      <c r="C475" s="195"/>
      <c r="D475" s="195"/>
    </row>
    <row r="476">
      <c r="A476" s="49"/>
      <c r="B476" s="195"/>
      <c r="C476" s="195"/>
      <c r="D476" s="195"/>
    </row>
    <row r="477">
      <c r="A477" s="49"/>
      <c r="B477" s="195"/>
      <c r="C477" s="195"/>
      <c r="D477" s="195"/>
    </row>
    <row r="478">
      <c r="A478" s="49"/>
      <c r="B478" s="195"/>
      <c r="C478" s="195"/>
      <c r="D478" s="195"/>
    </row>
    <row r="479">
      <c r="A479" s="49"/>
      <c r="B479" s="195"/>
      <c r="C479" s="195"/>
      <c r="D479" s="195"/>
    </row>
    <row r="480">
      <c r="A480" s="49"/>
      <c r="B480" s="195"/>
      <c r="C480" s="195"/>
      <c r="D480" s="195"/>
    </row>
    <row r="481">
      <c r="A481" s="49"/>
      <c r="B481" s="195"/>
      <c r="C481" s="195"/>
      <c r="D481" s="195"/>
    </row>
    <row r="482">
      <c r="A482" s="49"/>
      <c r="B482" s="195"/>
      <c r="C482" s="195"/>
      <c r="D482" s="195"/>
    </row>
    <row r="483">
      <c r="A483" s="49"/>
      <c r="B483" s="195"/>
      <c r="C483" s="195"/>
      <c r="D483" s="195"/>
    </row>
    <row r="484">
      <c r="A484" s="49"/>
      <c r="B484" s="195"/>
      <c r="C484" s="195"/>
      <c r="D484" s="195"/>
    </row>
    <row r="485">
      <c r="A485" s="49"/>
      <c r="B485" s="195"/>
      <c r="C485" s="195"/>
      <c r="D485" s="195"/>
    </row>
    <row r="486">
      <c r="A486" s="49"/>
      <c r="B486" s="195"/>
      <c r="C486" s="195"/>
      <c r="D486" s="195"/>
    </row>
    <row r="487">
      <c r="A487" s="49"/>
      <c r="B487" s="195"/>
      <c r="C487" s="195"/>
      <c r="D487" s="195"/>
    </row>
    <row r="488">
      <c r="A488" s="49"/>
      <c r="B488" s="195"/>
      <c r="C488" s="195"/>
      <c r="D488" s="195"/>
    </row>
    <row r="489">
      <c r="A489" s="49"/>
      <c r="B489" s="195"/>
      <c r="C489" s="195"/>
      <c r="D489" s="195"/>
    </row>
    <row r="490">
      <c r="A490" s="49"/>
      <c r="B490" s="195"/>
      <c r="C490" s="195"/>
      <c r="D490" s="195"/>
    </row>
    <row r="491">
      <c r="A491" s="49"/>
      <c r="B491" s="195"/>
      <c r="C491" s="195"/>
      <c r="D491" s="195"/>
    </row>
    <row r="492">
      <c r="A492" s="49"/>
      <c r="B492" s="195"/>
      <c r="C492" s="195"/>
      <c r="D492" s="195"/>
    </row>
    <row r="493">
      <c r="A493" s="49"/>
      <c r="B493" s="195"/>
      <c r="C493" s="195"/>
      <c r="D493" s="195"/>
    </row>
    <row r="494">
      <c r="A494" s="49"/>
      <c r="B494" s="195"/>
      <c r="C494" s="195"/>
      <c r="D494" s="195"/>
    </row>
    <row r="495">
      <c r="A495" s="49"/>
      <c r="B495" s="195"/>
      <c r="C495" s="195"/>
      <c r="D495" s="195"/>
    </row>
    <row r="496">
      <c r="A496" s="49"/>
      <c r="B496" s="195"/>
      <c r="C496" s="195"/>
      <c r="D496" s="195"/>
    </row>
    <row r="497">
      <c r="A497" s="49"/>
      <c r="B497" s="195"/>
      <c r="C497" s="195"/>
      <c r="D497" s="195"/>
    </row>
    <row r="498">
      <c r="A498" s="49"/>
      <c r="B498" s="195"/>
      <c r="C498" s="195"/>
      <c r="D498" s="195"/>
    </row>
    <row r="499">
      <c r="A499" s="49"/>
      <c r="B499" s="195"/>
      <c r="C499" s="195"/>
      <c r="D499" s="195"/>
    </row>
    <row r="500">
      <c r="A500" s="49"/>
      <c r="B500" s="195"/>
      <c r="C500" s="195"/>
      <c r="D500" s="195"/>
    </row>
    <row r="501">
      <c r="A501" s="49"/>
      <c r="B501" s="195"/>
      <c r="C501" s="195"/>
      <c r="D501" s="195"/>
    </row>
    <row r="502">
      <c r="A502" s="49"/>
      <c r="B502" s="195"/>
      <c r="C502" s="195"/>
      <c r="D502" s="195"/>
    </row>
    <row r="503">
      <c r="A503" s="49"/>
      <c r="B503" s="195"/>
      <c r="C503" s="195"/>
      <c r="D503" s="195"/>
    </row>
    <row r="504">
      <c r="A504" s="49"/>
      <c r="B504" s="195"/>
      <c r="C504" s="195"/>
      <c r="D504" s="195"/>
    </row>
    <row r="505">
      <c r="A505" s="49"/>
      <c r="B505" s="195"/>
      <c r="C505" s="195"/>
      <c r="D505" s="195"/>
    </row>
    <row r="506">
      <c r="A506" s="49"/>
      <c r="B506" s="195"/>
      <c r="C506" s="195"/>
      <c r="D506" s="195"/>
    </row>
    <row r="507">
      <c r="A507" s="49"/>
      <c r="B507" s="195"/>
      <c r="C507" s="195"/>
      <c r="D507" s="195"/>
    </row>
    <row r="508">
      <c r="A508" s="49"/>
      <c r="B508" s="195"/>
      <c r="C508" s="195"/>
      <c r="D508" s="195"/>
    </row>
    <row r="509">
      <c r="A509" s="49"/>
      <c r="B509" s="195"/>
      <c r="C509" s="195"/>
      <c r="D509" s="195"/>
    </row>
    <row r="510">
      <c r="A510" s="49"/>
      <c r="B510" s="195"/>
      <c r="C510" s="195"/>
      <c r="D510" s="195"/>
    </row>
    <row r="511">
      <c r="A511" s="49"/>
      <c r="B511" s="195"/>
      <c r="C511" s="195"/>
      <c r="D511" s="195"/>
    </row>
    <row r="512">
      <c r="A512" s="49"/>
      <c r="B512" s="195"/>
      <c r="C512" s="195"/>
      <c r="D512" s="195"/>
    </row>
    <row r="513">
      <c r="A513" s="49"/>
      <c r="B513" s="195"/>
      <c r="C513" s="195"/>
      <c r="D513" s="195"/>
    </row>
    <row r="514">
      <c r="A514" s="49"/>
      <c r="B514" s="195"/>
      <c r="C514" s="195"/>
      <c r="D514" s="195"/>
    </row>
    <row r="515">
      <c r="A515" s="49"/>
      <c r="B515" s="195"/>
      <c r="C515" s="195"/>
      <c r="D515" s="195"/>
    </row>
    <row r="516">
      <c r="A516" s="49"/>
      <c r="B516" s="195"/>
      <c r="C516" s="195"/>
      <c r="D516" s="195"/>
    </row>
    <row r="517">
      <c r="A517" s="49"/>
      <c r="B517" s="195"/>
      <c r="C517" s="195"/>
      <c r="D517" s="195"/>
    </row>
    <row r="518">
      <c r="A518" s="49"/>
      <c r="B518" s="195"/>
      <c r="C518" s="195"/>
      <c r="D518" s="195"/>
    </row>
    <row r="519">
      <c r="A519" s="49"/>
      <c r="B519" s="195"/>
      <c r="C519" s="195"/>
      <c r="D519" s="195"/>
    </row>
    <row r="520">
      <c r="A520" s="49"/>
      <c r="B520" s="195"/>
      <c r="C520" s="195"/>
      <c r="D520" s="195"/>
    </row>
    <row r="521">
      <c r="A521" s="49"/>
      <c r="B521" s="195"/>
      <c r="C521" s="195"/>
      <c r="D521" s="195"/>
    </row>
    <row r="522">
      <c r="A522" s="49"/>
      <c r="B522" s="195"/>
      <c r="C522" s="195"/>
      <c r="D522" s="195"/>
    </row>
    <row r="523">
      <c r="A523" s="49"/>
      <c r="B523" s="195"/>
      <c r="C523" s="195"/>
      <c r="D523" s="195"/>
    </row>
    <row r="524">
      <c r="A524" s="49"/>
      <c r="B524" s="195"/>
      <c r="C524" s="195"/>
      <c r="D524" s="195"/>
    </row>
    <row r="525">
      <c r="A525" s="49"/>
      <c r="B525" s="195"/>
      <c r="C525" s="195"/>
      <c r="D525" s="195"/>
    </row>
    <row r="526">
      <c r="A526" s="49"/>
      <c r="B526" s="195"/>
      <c r="C526" s="195"/>
      <c r="D526" s="195"/>
    </row>
    <row r="527">
      <c r="A527" s="49"/>
      <c r="B527" s="195"/>
      <c r="C527" s="195"/>
      <c r="D527" s="195"/>
    </row>
    <row r="528">
      <c r="A528" s="49"/>
      <c r="B528" s="195"/>
      <c r="C528" s="195"/>
      <c r="D528" s="195"/>
    </row>
    <row r="529">
      <c r="A529" s="49"/>
      <c r="B529" s="195"/>
      <c r="C529" s="195"/>
      <c r="D529" s="195"/>
    </row>
    <row r="530">
      <c r="A530" s="49"/>
      <c r="B530" s="195"/>
      <c r="C530" s="195"/>
      <c r="D530" s="195"/>
    </row>
    <row r="531">
      <c r="A531" s="49"/>
      <c r="B531" s="195"/>
      <c r="C531" s="195"/>
      <c r="D531" s="195"/>
    </row>
    <row r="532">
      <c r="A532" s="49"/>
      <c r="B532" s="195"/>
      <c r="C532" s="195"/>
      <c r="D532" s="195"/>
    </row>
    <row r="533">
      <c r="A533" s="49"/>
      <c r="B533" s="195"/>
      <c r="C533" s="195"/>
      <c r="D533" s="195"/>
    </row>
    <row r="534">
      <c r="A534" s="49"/>
      <c r="B534" s="195"/>
      <c r="C534" s="195"/>
      <c r="D534" s="195"/>
    </row>
    <row r="535">
      <c r="A535" s="49"/>
      <c r="B535" s="195"/>
      <c r="C535" s="195"/>
      <c r="D535" s="195"/>
    </row>
    <row r="536">
      <c r="A536" s="49"/>
      <c r="B536" s="195"/>
      <c r="C536" s="195"/>
      <c r="D536" s="195"/>
    </row>
    <row r="537">
      <c r="A537" s="49"/>
      <c r="B537" s="195"/>
      <c r="C537" s="195"/>
      <c r="D537" s="195"/>
    </row>
    <row r="538">
      <c r="A538" s="49"/>
      <c r="B538" s="195"/>
      <c r="C538" s="195"/>
      <c r="D538" s="195"/>
    </row>
    <row r="539">
      <c r="A539" s="49"/>
      <c r="B539" s="195"/>
      <c r="C539" s="195"/>
      <c r="D539" s="195"/>
    </row>
    <row r="540">
      <c r="A540" s="49"/>
      <c r="B540" s="195"/>
      <c r="C540" s="195"/>
      <c r="D540" s="195"/>
    </row>
    <row r="541">
      <c r="A541" s="49"/>
      <c r="B541" s="195"/>
      <c r="C541" s="195"/>
      <c r="D541" s="195"/>
    </row>
    <row r="542">
      <c r="A542" s="49"/>
      <c r="B542" s="195"/>
      <c r="C542" s="195"/>
      <c r="D542" s="195"/>
    </row>
    <row r="543">
      <c r="A543" s="49"/>
      <c r="B543" s="195"/>
      <c r="C543" s="195"/>
      <c r="D543" s="195"/>
    </row>
    <row r="544">
      <c r="A544" s="49"/>
      <c r="B544" s="195"/>
      <c r="C544" s="195"/>
      <c r="D544" s="195"/>
    </row>
    <row r="545">
      <c r="A545" s="49"/>
      <c r="B545" s="195"/>
      <c r="C545" s="195"/>
      <c r="D545" s="195"/>
    </row>
    <row r="546">
      <c r="A546" s="49"/>
      <c r="B546" s="195"/>
      <c r="C546" s="195"/>
      <c r="D546" s="195"/>
    </row>
    <row r="547">
      <c r="A547" s="49"/>
      <c r="B547" s="195"/>
      <c r="C547" s="195"/>
      <c r="D547" s="195"/>
    </row>
    <row r="548">
      <c r="A548" s="49"/>
      <c r="B548" s="195"/>
      <c r="C548" s="195"/>
      <c r="D548" s="195"/>
    </row>
    <row r="549">
      <c r="A549" s="49"/>
      <c r="B549" s="195"/>
      <c r="C549" s="195"/>
      <c r="D549" s="195"/>
    </row>
    <row r="550">
      <c r="A550" s="49"/>
      <c r="B550" s="195"/>
      <c r="C550" s="195"/>
      <c r="D550" s="195"/>
    </row>
    <row r="551">
      <c r="A551" s="49"/>
      <c r="B551" s="195"/>
      <c r="C551" s="195"/>
      <c r="D551" s="195"/>
    </row>
    <row r="552">
      <c r="A552" s="49"/>
      <c r="B552" s="195"/>
      <c r="C552" s="195"/>
      <c r="D552" s="195"/>
    </row>
    <row r="553">
      <c r="A553" s="49"/>
      <c r="B553" s="195"/>
      <c r="C553" s="195"/>
      <c r="D553" s="195"/>
    </row>
    <row r="554">
      <c r="A554" s="49"/>
      <c r="B554" s="195"/>
      <c r="C554" s="195"/>
      <c r="D554" s="195"/>
    </row>
    <row r="555">
      <c r="A555" s="49"/>
      <c r="B555" s="195"/>
      <c r="C555" s="195"/>
      <c r="D555" s="195"/>
    </row>
    <row r="556">
      <c r="A556" s="49"/>
      <c r="B556" s="195"/>
      <c r="C556" s="195"/>
      <c r="D556" s="195"/>
    </row>
    <row r="557">
      <c r="A557" s="49"/>
      <c r="B557" s="195"/>
      <c r="C557" s="195"/>
      <c r="D557" s="195"/>
    </row>
    <row r="558">
      <c r="A558" s="49"/>
      <c r="B558" s="195"/>
      <c r="C558" s="195"/>
      <c r="D558" s="195"/>
    </row>
    <row r="559">
      <c r="A559" s="49"/>
      <c r="B559" s="195"/>
      <c r="C559" s="195"/>
      <c r="D559" s="195"/>
    </row>
    <row r="560">
      <c r="A560" s="49"/>
      <c r="B560" s="195"/>
      <c r="C560" s="195"/>
      <c r="D560" s="195"/>
    </row>
    <row r="561">
      <c r="A561" s="49"/>
      <c r="B561" s="195"/>
      <c r="C561" s="195"/>
      <c r="D561" s="195"/>
    </row>
    <row r="562">
      <c r="A562" s="49"/>
      <c r="B562" s="195"/>
      <c r="C562" s="195"/>
      <c r="D562" s="195"/>
    </row>
    <row r="563">
      <c r="A563" s="49"/>
      <c r="B563" s="195"/>
      <c r="C563" s="195"/>
      <c r="D563" s="195"/>
    </row>
    <row r="564">
      <c r="A564" s="49"/>
      <c r="B564" s="195"/>
      <c r="C564" s="195"/>
      <c r="D564" s="195"/>
    </row>
    <row r="565">
      <c r="A565" s="49"/>
      <c r="B565" s="195"/>
      <c r="C565" s="195"/>
      <c r="D565" s="195"/>
    </row>
    <row r="566">
      <c r="A566" s="49"/>
      <c r="B566" s="195"/>
      <c r="C566" s="195"/>
      <c r="D566" s="195"/>
    </row>
    <row r="567">
      <c r="A567" s="49"/>
      <c r="B567" s="195"/>
      <c r="C567" s="195"/>
      <c r="D567" s="195"/>
    </row>
    <row r="568">
      <c r="A568" s="49"/>
      <c r="B568" s="195"/>
      <c r="C568" s="195"/>
      <c r="D568" s="195"/>
    </row>
    <row r="569">
      <c r="A569" s="49"/>
      <c r="B569" s="195"/>
      <c r="C569" s="195"/>
      <c r="D569" s="195"/>
    </row>
    <row r="570">
      <c r="A570" s="49"/>
      <c r="B570" s="195"/>
      <c r="C570" s="195"/>
      <c r="D570" s="195"/>
    </row>
    <row r="571">
      <c r="A571" s="49"/>
      <c r="B571" s="195"/>
      <c r="C571" s="195"/>
      <c r="D571" s="195"/>
    </row>
    <row r="572">
      <c r="A572" s="49"/>
      <c r="B572" s="195"/>
      <c r="C572" s="195"/>
      <c r="D572" s="195"/>
    </row>
    <row r="573">
      <c r="A573" s="49"/>
      <c r="B573" s="195"/>
      <c r="C573" s="195"/>
      <c r="D573" s="195"/>
    </row>
    <row r="574">
      <c r="A574" s="49"/>
      <c r="B574" s="195"/>
      <c r="C574" s="195"/>
      <c r="D574" s="195"/>
    </row>
    <row r="575">
      <c r="A575" s="49"/>
      <c r="B575" s="195"/>
      <c r="C575" s="195"/>
      <c r="D575" s="195"/>
    </row>
    <row r="576">
      <c r="A576" s="49"/>
      <c r="B576" s="195"/>
      <c r="C576" s="195"/>
      <c r="D576" s="195"/>
    </row>
    <row r="577">
      <c r="A577" s="49"/>
      <c r="B577" s="195"/>
      <c r="C577" s="195"/>
      <c r="D577" s="195"/>
    </row>
    <row r="578">
      <c r="A578" s="49"/>
      <c r="B578" s="195"/>
      <c r="C578" s="195"/>
      <c r="D578" s="195"/>
    </row>
    <row r="579">
      <c r="A579" s="49"/>
      <c r="B579" s="195"/>
      <c r="C579" s="195"/>
      <c r="D579" s="195"/>
    </row>
    <row r="580">
      <c r="A580" s="49"/>
      <c r="B580" s="195"/>
      <c r="C580" s="195"/>
      <c r="D580" s="195"/>
    </row>
    <row r="581">
      <c r="A581" s="49"/>
      <c r="B581" s="195"/>
      <c r="C581" s="195"/>
      <c r="D581" s="195"/>
    </row>
    <row r="582">
      <c r="A582" s="49"/>
      <c r="B582" s="195"/>
      <c r="C582" s="195"/>
      <c r="D582" s="195"/>
    </row>
    <row r="583">
      <c r="A583" s="49"/>
      <c r="B583" s="195"/>
      <c r="C583" s="195"/>
      <c r="D583" s="195"/>
    </row>
    <row r="584">
      <c r="A584" s="49"/>
      <c r="B584" s="195"/>
      <c r="C584" s="195"/>
      <c r="D584" s="195"/>
    </row>
    <row r="585">
      <c r="A585" s="49"/>
      <c r="B585" s="195"/>
      <c r="C585" s="195"/>
      <c r="D585" s="195"/>
    </row>
    <row r="586">
      <c r="A586" s="49"/>
      <c r="B586" s="195"/>
      <c r="C586" s="195"/>
      <c r="D586" s="195"/>
    </row>
    <row r="587">
      <c r="A587" s="49"/>
      <c r="B587" s="195"/>
      <c r="C587" s="195"/>
      <c r="D587" s="195"/>
    </row>
    <row r="588">
      <c r="A588" s="49"/>
      <c r="B588" s="195"/>
      <c r="C588" s="195"/>
      <c r="D588" s="195"/>
    </row>
    <row r="589">
      <c r="A589" s="49"/>
      <c r="B589" s="195"/>
      <c r="C589" s="195"/>
      <c r="D589" s="195"/>
    </row>
    <row r="590">
      <c r="A590" s="49"/>
      <c r="B590" s="195"/>
      <c r="C590" s="195"/>
      <c r="D590" s="195"/>
    </row>
    <row r="591">
      <c r="A591" s="49"/>
      <c r="B591" s="195"/>
      <c r="C591" s="195"/>
      <c r="D591" s="195"/>
    </row>
    <row r="592">
      <c r="A592" s="49"/>
      <c r="B592" s="195"/>
      <c r="C592" s="195"/>
      <c r="D592" s="195"/>
    </row>
    <row r="593">
      <c r="A593" s="49"/>
      <c r="B593" s="195"/>
      <c r="C593" s="195"/>
      <c r="D593" s="195"/>
    </row>
    <row r="594">
      <c r="A594" s="49"/>
      <c r="B594" s="195"/>
      <c r="C594" s="195"/>
      <c r="D594" s="195"/>
    </row>
    <row r="595">
      <c r="A595" s="49"/>
      <c r="B595" s="195"/>
      <c r="C595" s="195"/>
      <c r="D595" s="195"/>
    </row>
    <row r="596">
      <c r="A596" s="49"/>
      <c r="B596" s="195"/>
      <c r="C596" s="195"/>
      <c r="D596" s="195"/>
    </row>
    <row r="597">
      <c r="A597" s="49"/>
      <c r="B597" s="195"/>
      <c r="C597" s="195"/>
      <c r="D597" s="195"/>
    </row>
    <row r="598">
      <c r="A598" s="49"/>
      <c r="B598" s="195"/>
      <c r="C598" s="195"/>
      <c r="D598" s="195"/>
    </row>
    <row r="599">
      <c r="A599" s="49"/>
      <c r="B599" s="195"/>
      <c r="C599" s="195"/>
      <c r="D599" s="195"/>
    </row>
    <row r="600">
      <c r="A600" s="49"/>
      <c r="B600" s="195"/>
      <c r="C600" s="195"/>
      <c r="D600" s="195"/>
    </row>
    <row r="601">
      <c r="A601" s="49"/>
      <c r="B601" s="195"/>
      <c r="C601" s="195"/>
      <c r="D601" s="195"/>
    </row>
    <row r="602">
      <c r="A602" s="49"/>
      <c r="B602" s="195"/>
      <c r="C602" s="195"/>
      <c r="D602" s="195"/>
    </row>
    <row r="603">
      <c r="A603" s="49"/>
      <c r="B603" s="195"/>
      <c r="C603" s="195"/>
      <c r="D603" s="195"/>
    </row>
    <row r="604">
      <c r="A604" s="49"/>
      <c r="B604" s="195"/>
      <c r="C604" s="195"/>
      <c r="D604" s="195"/>
    </row>
    <row r="605">
      <c r="A605" s="49"/>
      <c r="B605" s="195"/>
      <c r="C605" s="195"/>
      <c r="D605" s="195"/>
    </row>
    <row r="606">
      <c r="A606" s="49"/>
      <c r="B606" s="195"/>
      <c r="C606" s="195"/>
      <c r="D606" s="195"/>
    </row>
    <row r="607">
      <c r="A607" s="49"/>
      <c r="B607" s="195"/>
      <c r="C607" s="195"/>
      <c r="D607" s="195"/>
    </row>
    <row r="608">
      <c r="A608" s="49"/>
      <c r="B608" s="195"/>
      <c r="C608" s="195"/>
      <c r="D608" s="195"/>
    </row>
    <row r="609">
      <c r="A609" s="49"/>
      <c r="B609" s="195"/>
      <c r="C609" s="195"/>
      <c r="D609" s="195"/>
    </row>
    <row r="610">
      <c r="A610" s="49"/>
      <c r="B610" s="195"/>
      <c r="C610" s="195"/>
      <c r="D610" s="195"/>
    </row>
    <row r="611">
      <c r="A611" s="49"/>
      <c r="B611" s="195"/>
      <c r="C611" s="195"/>
      <c r="D611" s="195"/>
    </row>
    <row r="612">
      <c r="A612" s="49"/>
      <c r="B612" s="195"/>
      <c r="C612" s="195"/>
      <c r="D612" s="195"/>
    </row>
    <row r="613">
      <c r="A613" s="49"/>
      <c r="B613" s="195"/>
      <c r="C613" s="195"/>
      <c r="D613" s="195"/>
    </row>
    <row r="614">
      <c r="A614" s="49"/>
      <c r="B614" s="195"/>
      <c r="C614" s="195"/>
      <c r="D614" s="195"/>
    </row>
    <row r="615">
      <c r="A615" s="49"/>
      <c r="B615" s="195"/>
      <c r="C615" s="195"/>
      <c r="D615" s="195"/>
    </row>
    <row r="616">
      <c r="A616" s="49"/>
      <c r="B616" s="195"/>
      <c r="C616" s="195"/>
      <c r="D616" s="195"/>
    </row>
    <row r="617">
      <c r="A617" s="49"/>
      <c r="B617" s="195"/>
      <c r="C617" s="195"/>
      <c r="D617" s="195"/>
    </row>
    <row r="618">
      <c r="A618" s="49"/>
      <c r="B618" s="195"/>
      <c r="C618" s="195"/>
      <c r="D618" s="195"/>
    </row>
    <row r="619">
      <c r="A619" s="49"/>
      <c r="B619" s="195"/>
      <c r="C619" s="195"/>
      <c r="D619" s="195"/>
    </row>
    <row r="620">
      <c r="A620" s="49"/>
      <c r="B620" s="195"/>
      <c r="C620" s="195"/>
      <c r="D620" s="195"/>
    </row>
    <row r="621">
      <c r="A621" s="49"/>
      <c r="B621" s="195"/>
      <c r="C621" s="195"/>
      <c r="D621" s="195"/>
    </row>
    <row r="622">
      <c r="A622" s="49"/>
      <c r="B622" s="195"/>
      <c r="C622" s="195"/>
      <c r="D622" s="195"/>
    </row>
    <row r="623">
      <c r="A623" s="49"/>
      <c r="B623" s="195"/>
      <c r="C623" s="195"/>
      <c r="D623" s="195"/>
    </row>
    <row r="624">
      <c r="A624" s="49"/>
      <c r="B624" s="195"/>
      <c r="C624" s="195"/>
      <c r="D624" s="195"/>
    </row>
    <row r="625">
      <c r="A625" s="49"/>
      <c r="B625" s="195"/>
      <c r="C625" s="195"/>
      <c r="D625" s="195"/>
    </row>
    <row r="626">
      <c r="A626" s="49"/>
      <c r="B626" s="195"/>
      <c r="C626" s="195"/>
      <c r="D626" s="195"/>
    </row>
    <row r="627">
      <c r="A627" s="49"/>
      <c r="B627" s="195"/>
      <c r="C627" s="195"/>
      <c r="D627" s="195"/>
    </row>
    <row r="628">
      <c r="A628" s="49"/>
      <c r="B628" s="195"/>
      <c r="C628" s="195"/>
      <c r="D628" s="195"/>
    </row>
    <row r="629">
      <c r="A629" s="49"/>
      <c r="B629" s="195"/>
      <c r="C629" s="195"/>
      <c r="D629" s="195"/>
    </row>
    <row r="630">
      <c r="A630" s="49"/>
      <c r="B630" s="195"/>
      <c r="C630" s="195"/>
      <c r="D630" s="195"/>
    </row>
    <row r="631">
      <c r="A631" s="49"/>
      <c r="B631" s="195"/>
      <c r="C631" s="195"/>
      <c r="D631" s="195"/>
    </row>
    <row r="632">
      <c r="A632" s="49"/>
      <c r="B632" s="195"/>
      <c r="C632" s="195"/>
      <c r="D632" s="195"/>
    </row>
    <row r="633">
      <c r="A633" s="49"/>
      <c r="B633" s="195"/>
      <c r="C633" s="195"/>
      <c r="D633" s="195"/>
    </row>
    <row r="634">
      <c r="A634" s="49"/>
      <c r="B634" s="195"/>
      <c r="C634" s="195"/>
      <c r="D634" s="195"/>
    </row>
    <row r="635">
      <c r="A635" s="49"/>
      <c r="B635" s="195"/>
      <c r="C635" s="195"/>
      <c r="D635" s="195"/>
    </row>
    <row r="636">
      <c r="A636" s="49"/>
      <c r="B636" s="195"/>
      <c r="C636" s="195"/>
      <c r="D636" s="195"/>
    </row>
    <row r="637">
      <c r="A637" s="49"/>
      <c r="B637" s="195"/>
      <c r="C637" s="195"/>
      <c r="D637" s="195"/>
    </row>
    <row r="638">
      <c r="A638" s="49"/>
      <c r="B638" s="195"/>
      <c r="C638" s="195"/>
      <c r="D638" s="195"/>
    </row>
    <row r="639">
      <c r="A639" s="49"/>
      <c r="B639" s="195"/>
      <c r="C639" s="195"/>
      <c r="D639" s="195"/>
    </row>
    <row r="640">
      <c r="A640" s="49"/>
      <c r="B640" s="195"/>
      <c r="C640" s="195"/>
      <c r="D640" s="195"/>
    </row>
    <row r="641">
      <c r="A641" s="49"/>
      <c r="B641" s="195"/>
      <c r="C641" s="195"/>
      <c r="D641" s="195"/>
    </row>
    <row r="642">
      <c r="A642" s="49"/>
      <c r="B642" s="195"/>
      <c r="C642" s="195"/>
      <c r="D642" s="195"/>
    </row>
    <row r="643">
      <c r="A643" s="49"/>
      <c r="B643" s="195"/>
      <c r="C643" s="195"/>
      <c r="D643" s="195"/>
    </row>
    <row r="644">
      <c r="A644" s="49"/>
      <c r="B644" s="195"/>
      <c r="C644" s="195"/>
      <c r="D644" s="195"/>
    </row>
    <row r="645">
      <c r="A645" s="49"/>
      <c r="B645" s="195"/>
      <c r="C645" s="195"/>
      <c r="D645" s="195"/>
    </row>
    <row r="646">
      <c r="A646" s="49"/>
      <c r="B646" s="195"/>
      <c r="C646" s="195"/>
      <c r="D646" s="195"/>
    </row>
    <row r="647">
      <c r="A647" s="49"/>
      <c r="B647" s="195"/>
      <c r="C647" s="195"/>
      <c r="D647" s="195"/>
    </row>
    <row r="648">
      <c r="A648" s="49"/>
      <c r="B648" s="195"/>
      <c r="C648" s="195"/>
      <c r="D648" s="195"/>
    </row>
    <row r="649">
      <c r="A649" s="49"/>
      <c r="B649" s="195"/>
      <c r="C649" s="195"/>
      <c r="D649" s="195"/>
    </row>
    <row r="650">
      <c r="A650" s="49"/>
      <c r="B650" s="195"/>
      <c r="C650" s="195"/>
      <c r="D650" s="195"/>
    </row>
    <row r="651">
      <c r="A651" s="49"/>
      <c r="B651" s="195"/>
      <c r="C651" s="195"/>
      <c r="D651" s="195"/>
    </row>
    <row r="652">
      <c r="A652" s="49"/>
      <c r="B652" s="195"/>
      <c r="C652" s="195"/>
      <c r="D652" s="195"/>
    </row>
    <row r="653">
      <c r="A653" s="49"/>
      <c r="B653" s="195"/>
      <c r="C653" s="195"/>
      <c r="D653" s="195"/>
    </row>
    <row r="654">
      <c r="A654" s="49"/>
      <c r="B654" s="195"/>
      <c r="C654" s="195"/>
      <c r="D654" s="195"/>
    </row>
    <row r="655">
      <c r="A655" s="49"/>
      <c r="B655" s="195"/>
      <c r="C655" s="195"/>
      <c r="D655" s="195"/>
    </row>
    <row r="656">
      <c r="A656" s="49"/>
      <c r="B656" s="195"/>
      <c r="C656" s="195"/>
      <c r="D656" s="195"/>
    </row>
    <row r="657">
      <c r="A657" s="49"/>
      <c r="B657" s="195"/>
      <c r="C657" s="195"/>
      <c r="D657" s="195"/>
    </row>
    <row r="658">
      <c r="A658" s="49"/>
      <c r="B658" s="195"/>
      <c r="C658" s="195"/>
      <c r="D658" s="195"/>
    </row>
    <row r="659">
      <c r="A659" s="49"/>
      <c r="B659" s="195"/>
      <c r="C659" s="195"/>
      <c r="D659" s="195"/>
    </row>
    <row r="660">
      <c r="A660" s="49"/>
      <c r="B660" s="195"/>
      <c r="C660" s="195"/>
      <c r="D660" s="195"/>
    </row>
    <row r="661">
      <c r="A661" s="49"/>
      <c r="B661" s="195"/>
      <c r="C661" s="195"/>
      <c r="D661" s="195"/>
    </row>
    <row r="662">
      <c r="A662" s="49"/>
      <c r="B662" s="195"/>
      <c r="C662" s="195"/>
      <c r="D662" s="195"/>
    </row>
    <row r="663">
      <c r="A663" s="49"/>
      <c r="B663" s="195"/>
      <c r="C663" s="195"/>
      <c r="D663" s="195"/>
    </row>
    <row r="664">
      <c r="A664" s="49"/>
      <c r="B664" s="195"/>
      <c r="C664" s="195"/>
      <c r="D664" s="195"/>
    </row>
    <row r="665">
      <c r="A665" s="49"/>
      <c r="B665" s="195"/>
      <c r="C665" s="195"/>
      <c r="D665" s="195"/>
    </row>
    <row r="666">
      <c r="A666" s="49"/>
      <c r="B666" s="195"/>
      <c r="C666" s="195"/>
      <c r="D666" s="195"/>
    </row>
    <row r="667">
      <c r="A667" s="49"/>
      <c r="B667" s="195"/>
      <c r="C667" s="195"/>
      <c r="D667" s="195"/>
    </row>
    <row r="668">
      <c r="A668" s="49"/>
      <c r="B668" s="195"/>
      <c r="C668" s="195"/>
      <c r="D668" s="195"/>
    </row>
    <row r="669">
      <c r="A669" s="49"/>
      <c r="B669" s="195"/>
      <c r="C669" s="195"/>
      <c r="D669" s="195"/>
    </row>
    <row r="670">
      <c r="A670" s="49"/>
      <c r="B670" s="195"/>
      <c r="C670" s="195"/>
      <c r="D670" s="195"/>
    </row>
    <row r="671">
      <c r="A671" s="49"/>
      <c r="B671" s="195"/>
      <c r="C671" s="195"/>
      <c r="D671" s="195"/>
    </row>
    <row r="672">
      <c r="A672" s="49"/>
      <c r="B672" s="195"/>
      <c r="C672" s="195"/>
      <c r="D672" s="195"/>
    </row>
    <row r="673">
      <c r="A673" s="49"/>
      <c r="B673" s="195"/>
      <c r="C673" s="195"/>
      <c r="D673" s="195"/>
    </row>
    <row r="674">
      <c r="A674" s="49"/>
      <c r="B674" s="195"/>
      <c r="C674" s="195"/>
      <c r="D674" s="195"/>
    </row>
    <row r="675">
      <c r="A675" s="49"/>
      <c r="B675" s="195"/>
      <c r="C675" s="195"/>
      <c r="D675" s="195"/>
    </row>
    <row r="676">
      <c r="A676" s="49"/>
      <c r="B676" s="195"/>
      <c r="C676" s="195"/>
      <c r="D676" s="195"/>
    </row>
    <row r="677">
      <c r="A677" s="49"/>
      <c r="B677" s="195"/>
      <c r="C677" s="195"/>
      <c r="D677" s="195"/>
    </row>
    <row r="678">
      <c r="A678" s="49"/>
      <c r="B678" s="195"/>
      <c r="C678" s="195"/>
      <c r="D678" s="195"/>
    </row>
    <row r="679">
      <c r="A679" s="49"/>
      <c r="B679" s="195"/>
      <c r="C679" s="195"/>
      <c r="D679" s="195"/>
    </row>
    <row r="680">
      <c r="A680" s="49"/>
      <c r="B680" s="195"/>
      <c r="C680" s="195"/>
      <c r="D680" s="195"/>
    </row>
    <row r="681">
      <c r="A681" s="49"/>
      <c r="B681" s="195"/>
      <c r="C681" s="195"/>
      <c r="D681" s="195"/>
    </row>
    <row r="682">
      <c r="A682" s="49"/>
      <c r="B682" s="195"/>
      <c r="C682" s="195"/>
      <c r="D682" s="195"/>
    </row>
    <row r="683">
      <c r="A683" s="49"/>
      <c r="B683" s="195"/>
      <c r="C683" s="195"/>
      <c r="D683" s="195"/>
    </row>
    <row r="684">
      <c r="A684" s="49"/>
      <c r="B684" s="195"/>
      <c r="C684" s="195"/>
      <c r="D684" s="195"/>
    </row>
    <row r="685">
      <c r="A685" s="49"/>
      <c r="B685" s="195"/>
      <c r="C685" s="195"/>
      <c r="D685" s="195"/>
    </row>
    <row r="686">
      <c r="A686" s="49"/>
      <c r="B686" s="195"/>
      <c r="C686" s="195"/>
      <c r="D686" s="195"/>
    </row>
    <row r="687">
      <c r="A687" s="49"/>
      <c r="B687" s="195"/>
      <c r="C687" s="195"/>
      <c r="D687" s="195"/>
    </row>
    <row r="688">
      <c r="A688" s="49"/>
      <c r="B688" s="195"/>
      <c r="C688" s="195"/>
      <c r="D688" s="195"/>
    </row>
    <row r="689">
      <c r="A689" s="49"/>
      <c r="B689" s="195"/>
      <c r="C689" s="195"/>
      <c r="D689" s="195"/>
    </row>
    <row r="690">
      <c r="A690" s="49"/>
      <c r="B690" s="195"/>
      <c r="C690" s="195"/>
      <c r="D690" s="195"/>
    </row>
    <row r="691">
      <c r="A691" s="49"/>
      <c r="B691" s="195"/>
      <c r="C691" s="195"/>
      <c r="D691" s="195"/>
    </row>
    <row r="692">
      <c r="A692" s="49"/>
      <c r="B692" s="195"/>
      <c r="C692" s="195"/>
      <c r="D692" s="195"/>
    </row>
    <row r="693">
      <c r="A693" s="49"/>
      <c r="B693" s="195"/>
      <c r="C693" s="195"/>
      <c r="D693" s="195"/>
    </row>
    <row r="694">
      <c r="A694" s="49"/>
      <c r="B694" s="195"/>
      <c r="C694" s="195"/>
      <c r="D694" s="195"/>
    </row>
    <row r="695">
      <c r="A695" s="49"/>
      <c r="B695" s="195"/>
      <c r="C695" s="195"/>
      <c r="D695" s="195"/>
    </row>
    <row r="696">
      <c r="A696" s="49"/>
      <c r="B696" s="195"/>
      <c r="C696" s="195"/>
      <c r="D696" s="195"/>
    </row>
    <row r="697">
      <c r="A697" s="49"/>
      <c r="B697" s="195"/>
      <c r="C697" s="195"/>
      <c r="D697" s="195"/>
    </row>
    <row r="698">
      <c r="A698" s="49"/>
      <c r="B698" s="195"/>
      <c r="C698" s="195"/>
      <c r="D698" s="195"/>
    </row>
    <row r="699">
      <c r="A699" s="49"/>
      <c r="B699" s="195"/>
      <c r="C699" s="195"/>
      <c r="D699" s="195"/>
    </row>
    <row r="700">
      <c r="A700" s="49"/>
      <c r="B700" s="195"/>
      <c r="C700" s="195"/>
      <c r="D700" s="195"/>
    </row>
    <row r="701">
      <c r="A701" s="49"/>
      <c r="B701" s="195"/>
      <c r="C701" s="195"/>
      <c r="D701" s="195"/>
    </row>
    <row r="702">
      <c r="A702" s="49"/>
      <c r="B702" s="195"/>
      <c r="C702" s="195"/>
      <c r="D702" s="195"/>
    </row>
    <row r="703">
      <c r="A703" s="49"/>
      <c r="B703" s="195"/>
      <c r="C703" s="195"/>
      <c r="D703" s="195"/>
    </row>
    <row r="704">
      <c r="A704" s="49"/>
      <c r="B704" s="195"/>
      <c r="C704" s="195"/>
      <c r="D704" s="195"/>
    </row>
    <row r="705">
      <c r="A705" s="49"/>
      <c r="B705" s="195"/>
      <c r="C705" s="195"/>
      <c r="D705" s="195"/>
    </row>
    <row r="706">
      <c r="A706" s="49"/>
      <c r="B706" s="195"/>
      <c r="C706" s="195"/>
      <c r="D706" s="195"/>
    </row>
    <row r="707">
      <c r="A707" s="49"/>
      <c r="B707" s="195"/>
      <c r="C707" s="195"/>
      <c r="D707" s="195"/>
    </row>
    <row r="708">
      <c r="A708" s="49"/>
      <c r="B708" s="195"/>
      <c r="C708" s="195"/>
      <c r="D708" s="195"/>
    </row>
    <row r="709">
      <c r="A709" s="49"/>
      <c r="B709" s="195"/>
      <c r="C709" s="195"/>
      <c r="D709" s="195"/>
    </row>
    <row r="710">
      <c r="A710" s="49"/>
      <c r="B710" s="195"/>
      <c r="C710" s="195"/>
      <c r="D710" s="195"/>
    </row>
    <row r="711">
      <c r="A711" s="49"/>
      <c r="B711" s="195"/>
      <c r="C711" s="195"/>
      <c r="D711" s="195"/>
    </row>
    <row r="712">
      <c r="A712" s="49"/>
      <c r="B712" s="195"/>
      <c r="C712" s="195"/>
      <c r="D712" s="195"/>
    </row>
    <row r="713">
      <c r="A713" s="49"/>
      <c r="B713" s="195"/>
      <c r="C713" s="195"/>
      <c r="D713" s="195"/>
    </row>
    <row r="714">
      <c r="A714" s="49"/>
      <c r="B714" s="195"/>
      <c r="C714" s="195"/>
      <c r="D714" s="195"/>
    </row>
    <row r="715">
      <c r="A715" s="49"/>
      <c r="B715" s="195"/>
      <c r="C715" s="195"/>
      <c r="D715" s="195"/>
    </row>
    <row r="716">
      <c r="A716" s="49"/>
      <c r="B716" s="195"/>
      <c r="C716" s="195"/>
      <c r="D716" s="195"/>
    </row>
    <row r="717">
      <c r="A717" s="49"/>
      <c r="B717" s="195"/>
      <c r="C717" s="195"/>
      <c r="D717" s="195"/>
    </row>
    <row r="718">
      <c r="A718" s="49"/>
      <c r="B718" s="195"/>
      <c r="C718" s="195"/>
      <c r="D718" s="195"/>
    </row>
    <row r="719">
      <c r="A719" s="49"/>
      <c r="B719" s="195"/>
      <c r="C719" s="195"/>
      <c r="D719" s="195"/>
    </row>
    <row r="720">
      <c r="A720" s="49"/>
      <c r="B720" s="195"/>
      <c r="C720" s="195"/>
      <c r="D720" s="195"/>
    </row>
    <row r="721">
      <c r="A721" s="49"/>
      <c r="B721" s="195"/>
      <c r="C721" s="195"/>
      <c r="D721" s="195"/>
    </row>
    <row r="722">
      <c r="A722" s="49"/>
      <c r="B722" s="195"/>
      <c r="C722" s="195"/>
      <c r="D722" s="195"/>
    </row>
    <row r="723">
      <c r="A723" s="49"/>
      <c r="B723" s="195"/>
      <c r="C723" s="195"/>
      <c r="D723" s="195"/>
    </row>
    <row r="724">
      <c r="A724" s="49"/>
      <c r="B724" s="195"/>
      <c r="C724" s="195"/>
      <c r="D724" s="195"/>
    </row>
    <row r="725">
      <c r="A725" s="49"/>
      <c r="B725" s="195"/>
      <c r="C725" s="195"/>
      <c r="D725" s="195"/>
    </row>
    <row r="726">
      <c r="A726" s="49"/>
      <c r="B726" s="195"/>
      <c r="C726" s="195"/>
      <c r="D726" s="195"/>
    </row>
    <row r="727">
      <c r="A727" s="49"/>
      <c r="B727" s="195"/>
      <c r="C727" s="195"/>
      <c r="D727" s="195"/>
    </row>
    <row r="728">
      <c r="A728" s="49"/>
      <c r="B728" s="195"/>
      <c r="C728" s="195"/>
      <c r="D728" s="195"/>
    </row>
    <row r="729">
      <c r="A729" s="49"/>
      <c r="B729" s="195"/>
      <c r="C729" s="195"/>
      <c r="D729" s="195"/>
    </row>
    <row r="730">
      <c r="A730" s="49"/>
      <c r="B730" s="195"/>
      <c r="C730" s="195"/>
      <c r="D730" s="195"/>
    </row>
    <row r="731">
      <c r="A731" s="49"/>
      <c r="B731" s="195"/>
      <c r="C731" s="195"/>
      <c r="D731" s="195"/>
    </row>
    <row r="732">
      <c r="A732" s="49"/>
      <c r="B732" s="195"/>
      <c r="C732" s="195"/>
      <c r="D732" s="195"/>
    </row>
    <row r="733">
      <c r="A733" s="49"/>
      <c r="B733" s="195"/>
      <c r="C733" s="195"/>
      <c r="D733" s="195"/>
    </row>
    <row r="734">
      <c r="A734" s="49"/>
      <c r="B734" s="195"/>
      <c r="C734" s="195"/>
      <c r="D734" s="195"/>
    </row>
    <row r="735">
      <c r="A735" s="49"/>
      <c r="B735" s="195"/>
      <c r="C735" s="195"/>
      <c r="D735" s="195"/>
    </row>
    <row r="736">
      <c r="A736" s="49"/>
      <c r="B736" s="195"/>
      <c r="C736" s="195"/>
      <c r="D736" s="195"/>
    </row>
    <row r="737">
      <c r="A737" s="49"/>
      <c r="B737" s="195"/>
      <c r="C737" s="195"/>
      <c r="D737" s="195"/>
    </row>
    <row r="738">
      <c r="A738" s="49"/>
      <c r="B738" s="195"/>
      <c r="C738" s="195"/>
      <c r="D738" s="195"/>
    </row>
    <row r="739">
      <c r="A739" s="49"/>
      <c r="B739" s="195"/>
      <c r="C739" s="195"/>
      <c r="D739" s="195"/>
    </row>
    <row r="740">
      <c r="A740" s="49"/>
      <c r="B740" s="195"/>
      <c r="C740" s="195"/>
      <c r="D740" s="195"/>
    </row>
    <row r="741">
      <c r="A741" s="49"/>
      <c r="B741" s="195"/>
      <c r="C741" s="195"/>
      <c r="D741" s="195"/>
    </row>
    <row r="742">
      <c r="A742" s="49"/>
      <c r="B742" s="195"/>
      <c r="C742" s="195"/>
      <c r="D742" s="195"/>
    </row>
    <row r="743">
      <c r="A743" s="49"/>
      <c r="B743" s="195"/>
      <c r="C743" s="195"/>
      <c r="D743" s="195"/>
    </row>
    <row r="744">
      <c r="A744" s="49"/>
      <c r="B744" s="195"/>
      <c r="C744" s="195"/>
      <c r="D744" s="195"/>
    </row>
    <row r="745">
      <c r="A745" s="49"/>
      <c r="B745" s="195"/>
      <c r="C745" s="195"/>
      <c r="D745" s="195"/>
    </row>
    <row r="746">
      <c r="A746" s="49"/>
      <c r="B746" s="195"/>
      <c r="C746" s="195"/>
      <c r="D746" s="195"/>
    </row>
    <row r="747">
      <c r="A747" s="49"/>
      <c r="B747" s="195"/>
      <c r="C747" s="195"/>
      <c r="D747" s="195"/>
    </row>
    <row r="748">
      <c r="A748" s="49"/>
      <c r="B748" s="195"/>
      <c r="C748" s="195"/>
      <c r="D748" s="195"/>
    </row>
    <row r="749">
      <c r="A749" s="49"/>
      <c r="B749" s="195"/>
      <c r="C749" s="195"/>
      <c r="D749" s="195"/>
    </row>
    <row r="750">
      <c r="A750" s="49"/>
      <c r="B750" s="195"/>
      <c r="C750" s="195"/>
      <c r="D750" s="195"/>
    </row>
    <row r="751">
      <c r="A751" s="49"/>
      <c r="B751" s="195"/>
      <c r="C751" s="195"/>
      <c r="D751" s="195"/>
    </row>
    <row r="752">
      <c r="A752" s="49"/>
      <c r="B752" s="195"/>
      <c r="C752" s="195"/>
      <c r="D752" s="195"/>
    </row>
    <row r="753">
      <c r="A753" s="49"/>
      <c r="B753" s="195"/>
      <c r="C753" s="195"/>
      <c r="D753" s="195"/>
    </row>
    <row r="754">
      <c r="A754" s="49"/>
      <c r="B754" s="195"/>
      <c r="C754" s="195"/>
      <c r="D754" s="195"/>
    </row>
    <row r="755">
      <c r="A755" s="49"/>
      <c r="B755" s="195"/>
      <c r="C755" s="195"/>
      <c r="D755" s="195"/>
    </row>
    <row r="756">
      <c r="A756" s="49"/>
      <c r="B756" s="195"/>
      <c r="C756" s="195"/>
      <c r="D756" s="195"/>
    </row>
    <row r="757">
      <c r="A757" s="49"/>
      <c r="B757" s="195"/>
      <c r="C757" s="195"/>
      <c r="D757" s="195"/>
    </row>
    <row r="758">
      <c r="A758" s="49"/>
      <c r="B758" s="195"/>
      <c r="C758" s="195"/>
      <c r="D758" s="195"/>
    </row>
    <row r="759">
      <c r="A759" s="49"/>
      <c r="B759" s="195"/>
      <c r="C759" s="195"/>
      <c r="D759" s="195"/>
    </row>
    <row r="760">
      <c r="A760" s="49"/>
      <c r="B760" s="195"/>
      <c r="C760" s="195"/>
      <c r="D760" s="195"/>
    </row>
    <row r="761">
      <c r="A761" s="49"/>
      <c r="B761" s="195"/>
      <c r="C761" s="195"/>
      <c r="D761" s="195"/>
    </row>
    <row r="762">
      <c r="A762" s="49"/>
      <c r="B762" s="195"/>
      <c r="C762" s="195"/>
      <c r="D762" s="195"/>
    </row>
    <row r="763">
      <c r="A763" s="49"/>
      <c r="B763" s="195"/>
      <c r="C763" s="195"/>
      <c r="D763" s="195"/>
    </row>
    <row r="764">
      <c r="A764" s="49"/>
      <c r="B764" s="195"/>
      <c r="C764" s="195"/>
      <c r="D764" s="195"/>
    </row>
    <row r="765">
      <c r="A765" s="49"/>
      <c r="B765" s="195"/>
      <c r="C765" s="195"/>
      <c r="D765" s="195"/>
    </row>
    <row r="766">
      <c r="A766" s="49"/>
      <c r="B766" s="195"/>
      <c r="C766" s="195"/>
      <c r="D766" s="195"/>
    </row>
    <row r="767">
      <c r="A767" s="49"/>
      <c r="B767" s="195"/>
      <c r="C767" s="195"/>
      <c r="D767" s="195"/>
    </row>
    <row r="768">
      <c r="A768" s="49"/>
      <c r="B768" s="195"/>
      <c r="C768" s="195"/>
      <c r="D768" s="195"/>
    </row>
    <row r="769">
      <c r="A769" s="49"/>
      <c r="B769" s="195"/>
      <c r="C769" s="195"/>
      <c r="D769" s="195"/>
    </row>
    <row r="770">
      <c r="A770" s="49"/>
      <c r="B770" s="195"/>
      <c r="C770" s="195"/>
      <c r="D770" s="195"/>
    </row>
    <row r="771">
      <c r="A771" s="49"/>
      <c r="B771" s="195"/>
      <c r="C771" s="195"/>
      <c r="D771" s="195"/>
    </row>
    <row r="772">
      <c r="A772" s="49"/>
      <c r="B772" s="195"/>
      <c r="C772" s="195"/>
      <c r="D772" s="195"/>
    </row>
    <row r="773">
      <c r="A773" s="49"/>
      <c r="B773" s="195"/>
      <c r="C773" s="195"/>
      <c r="D773" s="195"/>
    </row>
    <row r="774">
      <c r="A774" s="49"/>
      <c r="B774" s="195"/>
      <c r="C774" s="195"/>
      <c r="D774" s="195"/>
    </row>
    <row r="775">
      <c r="A775" s="49"/>
      <c r="B775" s="195"/>
      <c r="C775" s="195"/>
      <c r="D775" s="195"/>
    </row>
    <row r="776">
      <c r="A776" s="49"/>
      <c r="B776" s="195"/>
      <c r="C776" s="195"/>
      <c r="D776" s="195"/>
    </row>
    <row r="777">
      <c r="A777" s="49"/>
      <c r="B777" s="195"/>
      <c r="C777" s="195"/>
      <c r="D777" s="195"/>
    </row>
    <row r="778">
      <c r="A778" s="49"/>
      <c r="B778" s="195"/>
      <c r="C778" s="195"/>
      <c r="D778" s="195"/>
    </row>
    <row r="779">
      <c r="A779" s="49"/>
      <c r="B779" s="195"/>
      <c r="C779" s="195"/>
      <c r="D779" s="195"/>
    </row>
    <row r="780">
      <c r="A780" s="49"/>
      <c r="B780" s="195"/>
      <c r="C780" s="195"/>
      <c r="D780" s="195"/>
    </row>
    <row r="781">
      <c r="A781" s="49"/>
      <c r="B781" s="195"/>
      <c r="C781" s="195"/>
      <c r="D781" s="195"/>
    </row>
    <row r="782">
      <c r="A782" s="49"/>
      <c r="B782" s="195"/>
      <c r="C782" s="195"/>
      <c r="D782" s="195"/>
    </row>
    <row r="783">
      <c r="A783" s="49"/>
      <c r="B783" s="195"/>
      <c r="C783" s="195"/>
      <c r="D783" s="195"/>
    </row>
    <row r="784">
      <c r="A784" s="49"/>
      <c r="B784" s="195"/>
      <c r="C784" s="195"/>
      <c r="D784" s="195"/>
    </row>
    <row r="785">
      <c r="A785" s="49"/>
      <c r="B785" s="195"/>
      <c r="C785" s="195"/>
      <c r="D785" s="195"/>
    </row>
    <row r="786">
      <c r="A786" s="49"/>
      <c r="B786" s="195"/>
      <c r="C786" s="195"/>
      <c r="D786" s="195"/>
    </row>
    <row r="787">
      <c r="A787" s="49"/>
      <c r="B787" s="195"/>
      <c r="C787" s="195"/>
      <c r="D787" s="195"/>
    </row>
    <row r="788">
      <c r="A788" s="49"/>
      <c r="B788" s="195"/>
      <c r="C788" s="195"/>
      <c r="D788" s="195"/>
    </row>
    <row r="789">
      <c r="A789" s="49"/>
      <c r="B789" s="195"/>
      <c r="C789" s="195"/>
      <c r="D789" s="195"/>
    </row>
    <row r="790">
      <c r="A790" s="49"/>
      <c r="B790" s="195"/>
      <c r="C790" s="195"/>
      <c r="D790" s="195"/>
    </row>
    <row r="791">
      <c r="A791" s="49"/>
      <c r="B791" s="195"/>
      <c r="C791" s="195"/>
      <c r="D791" s="195"/>
    </row>
    <row r="792">
      <c r="A792" s="49"/>
      <c r="B792" s="195"/>
      <c r="C792" s="195"/>
      <c r="D792" s="195"/>
    </row>
    <row r="793">
      <c r="A793" s="49"/>
      <c r="B793" s="195"/>
      <c r="C793" s="195"/>
      <c r="D793" s="195"/>
    </row>
    <row r="794">
      <c r="A794" s="49"/>
      <c r="B794" s="195"/>
      <c r="C794" s="195"/>
      <c r="D794" s="195"/>
    </row>
    <row r="795">
      <c r="A795" s="49"/>
      <c r="B795" s="195"/>
      <c r="C795" s="195"/>
      <c r="D795" s="195"/>
    </row>
    <row r="796">
      <c r="A796" s="49"/>
      <c r="B796" s="195"/>
      <c r="C796" s="195"/>
      <c r="D796" s="195"/>
    </row>
    <row r="797">
      <c r="A797" s="49"/>
      <c r="B797" s="195"/>
      <c r="C797" s="195"/>
      <c r="D797" s="195"/>
    </row>
    <row r="798">
      <c r="A798" s="49"/>
      <c r="B798" s="195"/>
      <c r="C798" s="195"/>
      <c r="D798" s="195"/>
    </row>
    <row r="799">
      <c r="A799" s="49"/>
      <c r="B799" s="195"/>
      <c r="C799" s="195"/>
      <c r="D799" s="195"/>
    </row>
    <row r="800">
      <c r="A800" s="49"/>
      <c r="B800" s="195"/>
      <c r="C800" s="195"/>
      <c r="D800" s="195"/>
    </row>
    <row r="801">
      <c r="A801" s="49"/>
      <c r="B801" s="195"/>
      <c r="C801" s="195"/>
      <c r="D801" s="195"/>
    </row>
    <row r="802">
      <c r="A802" s="49"/>
      <c r="B802" s="195"/>
      <c r="C802" s="195"/>
      <c r="D802" s="195"/>
    </row>
    <row r="803">
      <c r="A803" s="49"/>
      <c r="B803" s="195"/>
      <c r="C803" s="195"/>
      <c r="D803" s="195"/>
    </row>
    <row r="804">
      <c r="A804" s="49"/>
      <c r="B804" s="195"/>
      <c r="C804" s="195"/>
      <c r="D804" s="195"/>
    </row>
    <row r="805">
      <c r="A805" s="49"/>
      <c r="B805" s="195"/>
      <c r="C805" s="195"/>
      <c r="D805" s="195"/>
    </row>
    <row r="806">
      <c r="A806" s="49"/>
      <c r="B806" s="195"/>
      <c r="C806" s="195"/>
      <c r="D806" s="195"/>
    </row>
    <row r="807">
      <c r="A807" s="49"/>
      <c r="B807" s="195"/>
      <c r="C807" s="195"/>
      <c r="D807" s="195"/>
    </row>
    <row r="808">
      <c r="A808" s="49"/>
      <c r="B808" s="195"/>
      <c r="C808" s="195"/>
      <c r="D808" s="195"/>
    </row>
    <row r="809">
      <c r="A809" s="49"/>
      <c r="B809" s="195"/>
      <c r="C809" s="195"/>
      <c r="D809" s="195"/>
    </row>
    <row r="810">
      <c r="A810" s="49"/>
      <c r="B810" s="195"/>
      <c r="C810" s="195"/>
      <c r="D810" s="195"/>
    </row>
    <row r="811">
      <c r="A811" s="49"/>
      <c r="B811" s="195"/>
      <c r="C811" s="195"/>
      <c r="D811" s="195"/>
    </row>
    <row r="812">
      <c r="A812" s="49"/>
      <c r="B812" s="195"/>
      <c r="C812" s="195"/>
      <c r="D812" s="195"/>
    </row>
    <row r="813">
      <c r="A813" s="49"/>
      <c r="B813" s="195"/>
      <c r="C813" s="195"/>
      <c r="D813" s="195"/>
    </row>
    <row r="814">
      <c r="A814" s="49"/>
      <c r="B814" s="195"/>
      <c r="C814" s="195"/>
      <c r="D814" s="195"/>
    </row>
    <row r="815">
      <c r="A815" s="49"/>
      <c r="B815" s="195"/>
      <c r="C815" s="195"/>
      <c r="D815" s="195"/>
    </row>
    <row r="816">
      <c r="A816" s="49"/>
      <c r="B816" s="195"/>
      <c r="C816" s="195"/>
      <c r="D816" s="195"/>
    </row>
    <row r="817">
      <c r="A817" s="49"/>
      <c r="B817" s="195"/>
      <c r="C817" s="195"/>
      <c r="D817" s="195"/>
    </row>
    <row r="818">
      <c r="A818" s="49"/>
      <c r="B818" s="195"/>
      <c r="C818" s="195"/>
      <c r="D818" s="195"/>
    </row>
    <row r="819">
      <c r="A819" s="49"/>
      <c r="B819" s="195"/>
      <c r="C819" s="195"/>
      <c r="D819" s="195"/>
    </row>
    <row r="820">
      <c r="A820" s="49"/>
      <c r="B820" s="195"/>
      <c r="C820" s="195"/>
      <c r="D820" s="195"/>
    </row>
    <row r="821">
      <c r="A821" s="49"/>
      <c r="B821" s="195"/>
      <c r="C821" s="195"/>
      <c r="D821" s="195"/>
    </row>
    <row r="822">
      <c r="A822" s="49"/>
      <c r="B822" s="195"/>
      <c r="C822" s="195"/>
      <c r="D822" s="195"/>
    </row>
    <row r="823">
      <c r="A823" s="49"/>
      <c r="B823" s="195"/>
      <c r="C823" s="195"/>
      <c r="D823" s="195"/>
    </row>
    <row r="824">
      <c r="A824" s="49"/>
      <c r="B824" s="195"/>
      <c r="C824" s="195"/>
      <c r="D824" s="195"/>
    </row>
    <row r="825">
      <c r="A825" s="49"/>
      <c r="B825" s="195"/>
      <c r="C825" s="195"/>
      <c r="D825" s="195"/>
    </row>
    <row r="826">
      <c r="A826" s="49"/>
      <c r="B826" s="195"/>
      <c r="C826" s="195"/>
      <c r="D826" s="195"/>
    </row>
    <row r="827">
      <c r="A827" s="49"/>
      <c r="B827" s="195"/>
      <c r="C827" s="195"/>
      <c r="D827" s="195"/>
    </row>
    <row r="828">
      <c r="A828" s="49"/>
      <c r="B828" s="195"/>
      <c r="C828" s="195"/>
      <c r="D828" s="195"/>
    </row>
    <row r="829">
      <c r="A829" s="49"/>
      <c r="B829" s="195"/>
      <c r="C829" s="195"/>
      <c r="D829" s="195"/>
    </row>
    <row r="830">
      <c r="A830" s="49"/>
      <c r="B830" s="195"/>
      <c r="C830" s="195"/>
      <c r="D830" s="195"/>
    </row>
    <row r="831">
      <c r="A831" s="49"/>
      <c r="B831" s="195"/>
      <c r="C831" s="195"/>
      <c r="D831" s="195"/>
    </row>
    <row r="832">
      <c r="A832" s="49"/>
      <c r="B832" s="195"/>
      <c r="C832" s="195"/>
      <c r="D832" s="195"/>
    </row>
    <row r="833">
      <c r="A833" s="49"/>
      <c r="B833" s="195"/>
      <c r="C833" s="195"/>
      <c r="D833" s="195"/>
    </row>
    <row r="834">
      <c r="A834" s="49"/>
      <c r="B834" s="195"/>
      <c r="C834" s="195"/>
      <c r="D834" s="195"/>
    </row>
    <row r="835">
      <c r="A835" s="49"/>
      <c r="B835" s="195"/>
      <c r="C835" s="195"/>
      <c r="D835" s="195"/>
    </row>
    <row r="836">
      <c r="A836" s="49"/>
      <c r="B836" s="195"/>
      <c r="C836" s="195"/>
      <c r="D836" s="195"/>
    </row>
    <row r="837">
      <c r="A837" s="49"/>
      <c r="B837" s="195"/>
      <c r="C837" s="195"/>
      <c r="D837" s="195"/>
    </row>
    <row r="838">
      <c r="A838" s="49"/>
      <c r="B838" s="195"/>
      <c r="C838" s="195"/>
      <c r="D838" s="195"/>
    </row>
    <row r="839">
      <c r="A839" s="49"/>
      <c r="B839" s="195"/>
      <c r="C839" s="195"/>
      <c r="D839" s="195"/>
    </row>
    <row r="840">
      <c r="A840" s="49"/>
      <c r="B840" s="195"/>
      <c r="C840" s="195"/>
      <c r="D840" s="195"/>
    </row>
    <row r="841">
      <c r="A841" s="49"/>
      <c r="B841" s="195"/>
      <c r="C841" s="195"/>
      <c r="D841" s="195"/>
    </row>
    <row r="842">
      <c r="A842" s="49"/>
      <c r="B842" s="195"/>
      <c r="C842" s="195"/>
      <c r="D842" s="195"/>
    </row>
    <row r="843">
      <c r="A843" s="49"/>
      <c r="B843" s="195"/>
      <c r="C843" s="195"/>
      <c r="D843" s="195"/>
    </row>
    <row r="844">
      <c r="A844" s="49"/>
      <c r="B844" s="195"/>
      <c r="C844" s="195"/>
      <c r="D844" s="195"/>
    </row>
    <row r="845">
      <c r="A845" s="49"/>
      <c r="B845" s="195"/>
      <c r="C845" s="195"/>
      <c r="D845" s="195"/>
    </row>
    <row r="846">
      <c r="A846" s="49"/>
      <c r="B846" s="195"/>
      <c r="C846" s="195"/>
      <c r="D846" s="195"/>
    </row>
    <row r="847">
      <c r="A847" s="49"/>
      <c r="B847" s="195"/>
      <c r="C847" s="195"/>
      <c r="D847" s="195"/>
    </row>
    <row r="848">
      <c r="A848" s="49"/>
      <c r="B848" s="195"/>
      <c r="C848" s="195"/>
      <c r="D848" s="195"/>
    </row>
    <row r="849">
      <c r="A849" s="49"/>
      <c r="B849" s="195"/>
      <c r="C849" s="195"/>
      <c r="D849" s="195"/>
    </row>
    <row r="850">
      <c r="A850" s="49"/>
      <c r="B850" s="195"/>
      <c r="C850" s="195"/>
      <c r="D850" s="195"/>
    </row>
    <row r="851">
      <c r="A851" s="49"/>
      <c r="B851" s="195"/>
      <c r="C851" s="195"/>
      <c r="D851" s="195"/>
    </row>
    <row r="852">
      <c r="A852" s="49"/>
      <c r="B852" s="195"/>
      <c r="C852" s="195"/>
      <c r="D852" s="195"/>
    </row>
    <row r="853">
      <c r="A853" s="49"/>
      <c r="B853" s="195"/>
      <c r="C853" s="195"/>
      <c r="D853" s="195"/>
    </row>
    <row r="854">
      <c r="A854" s="49"/>
      <c r="B854" s="195"/>
      <c r="C854" s="195"/>
      <c r="D854" s="195"/>
    </row>
    <row r="855">
      <c r="A855" s="49"/>
      <c r="B855" s="195"/>
      <c r="C855" s="195"/>
      <c r="D855" s="195"/>
    </row>
    <row r="856">
      <c r="A856" s="49"/>
      <c r="B856" s="195"/>
      <c r="C856" s="195"/>
      <c r="D856" s="195"/>
    </row>
    <row r="857">
      <c r="A857" s="49"/>
      <c r="B857" s="195"/>
      <c r="C857" s="195"/>
      <c r="D857" s="195"/>
    </row>
    <row r="858">
      <c r="A858" s="49"/>
      <c r="B858" s="195"/>
      <c r="C858" s="195"/>
      <c r="D858" s="195"/>
    </row>
    <row r="859">
      <c r="A859" s="49"/>
      <c r="B859" s="195"/>
      <c r="C859" s="195"/>
      <c r="D859" s="195"/>
    </row>
    <row r="860">
      <c r="A860" s="49"/>
      <c r="B860" s="195"/>
      <c r="C860" s="195"/>
      <c r="D860" s="195"/>
    </row>
    <row r="861">
      <c r="A861" s="49"/>
      <c r="B861" s="195"/>
      <c r="C861" s="195"/>
      <c r="D861" s="195"/>
    </row>
    <row r="862">
      <c r="A862" s="49"/>
      <c r="B862" s="195"/>
      <c r="C862" s="195"/>
      <c r="D862" s="195"/>
    </row>
    <row r="863">
      <c r="A863" s="49"/>
      <c r="B863" s="195"/>
      <c r="C863" s="195"/>
      <c r="D863" s="195"/>
    </row>
    <row r="864">
      <c r="A864" s="49"/>
      <c r="B864" s="195"/>
      <c r="C864" s="195"/>
      <c r="D864" s="195"/>
    </row>
    <row r="865">
      <c r="A865" s="49"/>
      <c r="B865" s="195"/>
      <c r="C865" s="195"/>
      <c r="D865" s="195"/>
    </row>
    <row r="866">
      <c r="A866" s="49"/>
      <c r="B866" s="195"/>
      <c r="C866" s="195"/>
      <c r="D866" s="195"/>
    </row>
    <row r="867">
      <c r="A867" s="49"/>
      <c r="B867" s="195"/>
      <c r="C867" s="195"/>
      <c r="D867" s="195"/>
    </row>
    <row r="868">
      <c r="A868" s="49"/>
      <c r="B868" s="195"/>
      <c r="C868" s="195"/>
      <c r="D868" s="195"/>
    </row>
    <row r="869">
      <c r="A869" s="49"/>
      <c r="B869" s="195"/>
      <c r="C869" s="195"/>
      <c r="D869" s="195"/>
    </row>
    <row r="870">
      <c r="A870" s="49"/>
      <c r="B870" s="195"/>
      <c r="C870" s="195"/>
      <c r="D870" s="195"/>
    </row>
    <row r="871">
      <c r="A871" s="49"/>
      <c r="B871" s="195"/>
      <c r="C871" s="195"/>
      <c r="D871" s="195"/>
    </row>
    <row r="872">
      <c r="A872" s="49"/>
      <c r="B872" s="195"/>
      <c r="C872" s="195"/>
      <c r="D872" s="195"/>
    </row>
    <row r="873">
      <c r="A873" s="49"/>
      <c r="B873" s="195"/>
      <c r="C873" s="195"/>
      <c r="D873" s="195"/>
    </row>
    <row r="874">
      <c r="A874" s="49"/>
      <c r="B874" s="195"/>
      <c r="C874" s="195"/>
      <c r="D874" s="195"/>
    </row>
    <row r="875">
      <c r="A875" s="49"/>
      <c r="B875" s="195"/>
      <c r="C875" s="195"/>
      <c r="D875" s="195"/>
    </row>
    <row r="876">
      <c r="A876" s="49"/>
      <c r="B876" s="195"/>
      <c r="C876" s="195"/>
      <c r="D876" s="195"/>
    </row>
    <row r="877">
      <c r="A877" s="49"/>
      <c r="B877" s="195"/>
      <c r="C877" s="195"/>
      <c r="D877" s="195"/>
    </row>
    <row r="878">
      <c r="A878" s="49"/>
      <c r="B878" s="195"/>
      <c r="C878" s="195"/>
      <c r="D878" s="195"/>
    </row>
    <row r="879">
      <c r="A879" s="49"/>
      <c r="B879" s="195"/>
      <c r="C879" s="195"/>
      <c r="D879" s="195"/>
    </row>
    <row r="880">
      <c r="A880" s="49"/>
      <c r="B880" s="195"/>
      <c r="C880" s="195"/>
      <c r="D880" s="195"/>
    </row>
    <row r="881">
      <c r="A881" s="49"/>
      <c r="B881" s="195"/>
      <c r="C881" s="195"/>
      <c r="D881" s="195"/>
    </row>
    <row r="882">
      <c r="A882" s="49"/>
      <c r="B882" s="195"/>
      <c r="C882" s="195"/>
      <c r="D882" s="195"/>
    </row>
    <row r="883">
      <c r="A883" s="49"/>
      <c r="B883" s="195"/>
      <c r="C883" s="195"/>
      <c r="D883" s="195"/>
    </row>
    <row r="884">
      <c r="A884" s="49"/>
      <c r="B884" s="195"/>
      <c r="C884" s="195"/>
      <c r="D884" s="195"/>
    </row>
    <row r="885">
      <c r="A885" s="49"/>
      <c r="B885" s="195"/>
      <c r="C885" s="195"/>
      <c r="D885" s="195"/>
    </row>
    <row r="886">
      <c r="A886" s="49"/>
      <c r="B886" s="195"/>
      <c r="C886" s="195"/>
      <c r="D886" s="195"/>
    </row>
    <row r="887">
      <c r="A887" s="49"/>
      <c r="B887" s="195"/>
      <c r="C887" s="195"/>
      <c r="D887" s="195"/>
    </row>
    <row r="888">
      <c r="A888" s="49"/>
      <c r="B888" s="195"/>
      <c r="C888" s="195"/>
      <c r="D888" s="195"/>
    </row>
    <row r="889">
      <c r="A889" s="49"/>
      <c r="B889" s="195"/>
      <c r="C889" s="195"/>
      <c r="D889" s="195"/>
    </row>
    <row r="890">
      <c r="A890" s="49"/>
      <c r="B890" s="195"/>
      <c r="C890" s="195"/>
      <c r="D890" s="195"/>
    </row>
    <row r="891">
      <c r="A891" s="49"/>
      <c r="B891" s="195"/>
      <c r="C891" s="195"/>
      <c r="D891" s="195"/>
    </row>
    <row r="892">
      <c r="A892" s="49"/>
      <c r="B892" s="195"/>
      <c r="C892" s="195"/>
      <c r="D892" s="195"/>
    </row>
    <row r="893">
      <c r="A893" s="49"/>
      <c r="B893" s="195"/>
      <c r="C893" s="195"/>
      <c r="D893" s="195"/>
    </row>
    <row r="894">
      <c r="A894" s="49"/>
      <c r="B894" s="195"/>
      <c r="C894" s="195"/>
      <c r="D894" s="195"/>
    </row>
    <row r="895">
      <c r="A895" s="49"/>
      <c r="B895" s="195"/>
      <c r="C895" s="195"/>
      <c r="D895" s="195"/>
    </row>
    <row r="896">
      <c r="A896" s="49"/>
      <c r="B896" s="195"/>
      <c r="C896" s="195"/>
      <c r="D896" s="195"/>
    </row>
    <row r="897">
      <c r="A897" s="49"/>
      <c r="B897" s="195"/>
      <c r="C897" s="195"/>
      <c r="D897" s="195"/>
    </row>
    <row r="898">
      <c r="A898" s="49"/>
      <c r="B898" s="195"/>
      <c r="C898" s="195"/>
      <c r="D898" s="195"/>
    </row>
    <row r="899">
      <c r="A899" s="49"/>
      <c r="B899" s="195"/>
      <c r="C899" s="195"/>
      <c r="D899" s="195"/>
    </row>
    <row r="900">
      <c r="A900" s="49"/>
      <c r="B900" s="195"/>
      <c r="C900" s="195"/>
      <c r="D900" s="195"/>
    </row>
    <row r="901">
      <c r="A901" s="49"/>
      <c r="B901" s="195"/>
      <c r="C901" s="195"/>
      <c r="D901" s="195"/>
    </row>
    <row r="902">
      <c r="A902" s="49"/>
      <c r="B902" s="195"/>
      <c r="C902" s="195"/>
      <c r="D902" s="195"/>
    </row>
    <row r="903">
      <c r="A903" s="49"/>
      <c r="B903" s="195"/>
      <c r="C903" s="195"/>
      <c r="D903" s="195"/>
    </row>
    <row r="904">
      <c r="A904" s="49"/>
      <c r="B904" s="195"/>
      <c r="C904" s="195"/>
      <c r="D904" s="195"/>
    </row>
    <row r="905">
      <c r="A905" s="49"/>
      <c r="B905" s="195"/>
      <c r="C905" s="195"/>
      <c r="D905" s="195"/>
    </row>
    <row r="906">
      <c r="A906" s="49"/>
      <c r="B906" s="195"/>
      <c r="C906" s="195"/>
      <c r="D906" s="195"/>
    </row>
    <row r="907">
      <c r="A907" s="49"/>
      <c r="B907" s="195"/>
      <c r="C907" s="195"/>
      <c r="D907" s="195"/>
    </row>
    <row r="908">
      <c r="A908" s="49"/>
      <c r="B908" s="195"/>
      <c r="C908" s="195"/>
      <c r="D908" s="195"/>
    </row>
    <row r="909">
      <c r="A909" s="49"/>
      <c r="B909" s="195"/>
      <c r="C909" s="195"/>
      <c r="D909" s="195"/>
    </row>
    <row r="910">
      <c r="A910" s="49"/>
      <c r="B910" s="195"/>
      <c r="C910" s="195"/>
      <c r="D910" s="195"/>
    </row>
    <row r="911">
      <c r="A911" s="49"/>
      <c r="B911" s="195"/>
      <c r="C911" s="195"/>
      <c r="D911" s="195"/>
    </row>
    <row r="912">
      <c r="A912" s="49"/>
      <c r="B912" s="195"/>
      <c r="C912" s="195"/>
      <c r="D912" s="195"/>
    </row>
    <row r="913">
      <c r="A913" s="49"/>
      <c r="B913" s="195"/>
      <c r="C913" s="195"/>
      <c r="D913" s="195"/>
    </row>
    <row r="914">
      <c r="A914" s="49"/>
      <c r="B914" s="195"/>
      <c r="C914" s="195"/>
      <c r="D914" s="195"/>
    </row>
    <row r="915">
      <c r="A915" s="49"/>
      <c r="B915" s="195"/>
      <c r="C915" s="195"/>
      <c r="D915" s="195"/>
    </row>
    <row r="916">
      <c r="A916" s="49"/>
      <c r="B916" s="195"/>
      <c r="C916" s="195"/>
      <c r="D916" s="195"/>
    </row>
    <row r="917">
      <c r="A917" s="49"/>
      <c r="B917" s="195"/>
      <c r="C917" s="195"/>
      <c r="D917" s="195"/>
    </row>
    <row r="918">
      <c r="A918" s="49"/>
      <c r="B918" s="195"/>
      <c r="C918" s="195"/>
      <c r="D918" s="195"/>
    </row>
    <row r="919">
      <c r="A919" s="49"/>
      <c r="B919" s="195"/>
      <c r="C919" s="195"/>
      <c r="D919" s="195"/>
    </row>
    <row r="920">
      <c r="A920" s="49"/>
      <c r="B920" s="195"/>
      <c r="C920" s="195"/>
      <c r="D920" s="195"/>
    </row>
    <row r="921">
      <c r="A921" s="49"/>
      <c r="B921" s="195"/>
      <c r="C921" s="195"/>
      <c r="D921" s="195"/>
    </row>
    <row r="922">
      <c r="A922" s="49"/>
      <c r="B922" s="195"/>
      <c r="C922" s="195"/>
      <c r="D922" s="195"/>
    </row>
    <row r="923">
      <c r="A923" s="49"/>
      <c r="B923" s="195"/>
      <c r="C923" s="195"/>
      <c r="D923" s="195"/>
    </row>
    <row r="924">
      <c r="A924" s="49"/>
      <c r="B924" s="195"/>
      <c r="C924" s="195"/>
      <c r="D924" s="195"/>
    </row>
    <row r="925">
      <c r="A925" s="49"/>
      <c r="B925" s="195"/>
      <c r="C925" s="195"/>
      <c r="D925" s="195"/>
    </row>
    <row r="926">
      <c r="A926" s="49"/>
      <c r="B926" s="195"/>
      <c r="C926" s="195"/>
      <c r="D926" s="195"/>
    </row>
    <row r="927">
      <c r="A927" s="49"/>
      <c r="B927" s="195"/>
      <c r="C927" s="195"/>
      <c r="D927" s="195"/>
    </row>
    <row r="928">
      <c r="A928" s="49"/>
      <c r="B928" s="195"/>
      <c r="C928" s="195"/>
      <c r="D928" s="195"/>
    </row>
    <row r="929">
      <c r="A929" s="49"/>
      <c r="B929" s="195"/>
      <c r="C929" s="195"/>
      <c r="D929" s="195"/>
    </row>
    <row r="930">
      <c r="A930" s="49"/>
      <c r="B930" s="195"/>
      <c r="C930" s="195"/>
      <c r="D930" s="195"/>
    </row>
    <row r="931">
      <c r="A931" s="49"/>
      <c r="B931" s="195"/>
      <c r="C931" s="195"/>
      <c r="D931" s="195"/>
    </row>
    <row r="932">
      <c r="A932" s="49"/>
      <c r="B932" s="195"/>
      <c r="C932" s="195"/>
      <c r="D932" s="195"/>
    </row>
    <row r="933">
      <c r="A933" s="49"/>
      <c r="B933" s="195"/>
      <c r="C933" s="195"/>
      <c r="D933" s="195"/>
    </row>
    <row r="934">
      <c r="A934" s="49"/>
      <c r="B934" s="195"/>
      <c r="C934" s="195"/>
      <c r="D934" s="195"/>
    </row>
    <row r="935">
      <c r="A935" s="49"/>
      <c r="B935" s="195"/>
      <c r="C935" s="195"/>
      <c r="D935" s="195"/>
    </row>
    <row r="936">
      <c r="A936" s="49"/>
      <c r="B936" s="195"/>
      <c r="C936" s="195"/>
      <c r="D936" s="195"/>
    </row>
    <row r="937">
      <c r="A937" s="49"/>
      <c r="B937" s="195"/>
      <c r="C937" s="195"/>
      <c r="D937" s="195"/>
    </row>
    <row r="938">
      <c r="A938" s="49"/>
      <c r="B938" s="195"/>
      <c r="C938" s="195"/>
      <c r="D938" s="195"/>
    </row>
    <row r="939">
      <c r="A939" s="49"/>
      <c r="B939" s="195"/>
      <c r="C939" s="195"/>
      <c r="D939" s="195"/>
    </row>
    <row r="940">
      <c r="A940" s="49"/>
      <c r="B940" s="195"/>
      <c r="C940" s="195"/>
      <c r="D940" s="195"/>
    </row>
    <row r="941">
      <c r="A941" s="49"/>
      <c r="B941" s="195"/>
      <c r="C941" s="195"/>
      <c r="D941" s="195"/>
    </row>
    <row r="942">
      <c r="A942" s="49"/>
      <c r="B942" s="195"/>
      <c r="C942" s="195"/>
      <c r="D942" s="195"/>
    </row>
    <row r="943">
      <c r="A943" s="49"/>
      <c r="B943" s="195"/>
      <c r="C943" s="195"/>
      <c r="D943" s="195"/>
    </row>
    <row r="944">
      <c r="A944" s="49"/>
      <c r="B944" s="195"/>
      <c r="C944" s="195"/>
      <c r="D944" s="195"/>
    </row>
    <row r="945">
      <c r="A945" s="49"/>
      <c r="B945" s="195"/>
      <c r="C945" s="195"/>
      <c r="D945" s="195"/>
    </row>
    <row r="946">
      <c r="A946" s="49"/>
      <c r="B946" s="195"/>
      <c r="C946" s="195"/>
      <c r="D946" s="195"/>
    </row>
    <row r="947">
      <c r="A947" s="49"/>
      <c r="B947" s="195"/>
      <c r="C947" s="195"/>
      <c r="D947" s="195"/>
    </row>
    <row r="948">
      <c r="A948" s="49"/>
      <c r="B948" s="195"/>
      <c r="C948" s="195"/>
      <c r="D948" s="195"/>
    </row>
    <row r="949">
      <c r="A949" s="49"/>
      <c r="B949" s="195"/>
      <c r="C949" s="195"/>
      <c r="D949" s="195"/>
    </row>
    <row r="950">
      <c r="A950" s="49"/>
      <c r="B950" s="195"/>
      <c r="C950" s="195"/>
      <c r="D950" s="195"/>
    </row>
    <row r="951">
      <c r="A951" s="49"/>
      <c r="B951" s="195"/>
      <c r="C951" s="195"/>
      <c r="D951" s="195"/>
    </row>
    <row r="952">
      <c r="A952" s="49"/>
      <c r="B952" s="195"/>
      <c r="C952" s="195"/>
      <c r="D952" s="195"/>
    </row>
    <row r="953">
      <c r="A953" s="49"/>
      <c r="B953" s="195"/>
      <c r="C953" s="195"/>
      <c r="D953" s="195"/>
    </row>
    <row r="954">
      <c r="A954" s="49"/>
      <c r="B954" s="195"/>
      <c r="C954" s="195"/>
      <c r="D954" s="195"/>
    </row>
    <row r="955">
      <c r="A955" s="49"/>
      <c r="B955" s="195"/>
      <c r="C955" s="195"/>
      <c r="D955" s="195"/>
    </row>
    <row r="956">
      <c r="A956" s="49"/>
      <c r="B956" s="195"/>
      <c r="C956" s="195"/>
      <c r="D956" s="195"/>
    </row>
    <row r="957">
      <c r="A957" s="49"/>
      <c r="B957" s="195"/>
      <c r="C957" s="195"/>
      <c r="D957" s="195"/>
    </row>
    <row r="958">
      <c r="A958" s="49"/>
      <c r="B958" s="195"/>
      <c r="C958" s="195"/>
      <c r="D958" s="195"/>
    </row>
    <row r="959">
      <c r="A959" s="49"/>
      <c r="B959" s="195"/>
      <c r="C959" s="195"/>
      <c r="D959" s="195"/>
    </row>
    <row r="960">
      <c r="A960" s="49"/>
      <c r="B960" s="195"/>
      <c r="C960" s="195"/>
      <c r="D960" s="195"/>
    </row>
    <row r="961">
      <c r="A961" s="49"/>
      <c r="B961" s="195"/>
      <c r="C961" s="195"/>
      <c r="D961" s="195"/>
    </row>
    <row r="962">
      <c r="A962" s="49"/>
      <c r="B962" s="195"/>
      <c r="C962" s="195"/>
      <c r="D962" s="195"/>
    </row>
    <row r="963">
      <c r="A963" s="49"/>
      <c r="B963" s="195"/>
      <c r="C963" s="195"/>
      <c r="D963" s="195"/>
    </row>
    <row r="964">
      <c r="A964" s="49"/>
      <c r="B964" s="195"/>
      <c r="C964" s="195"/>
      <c r="D964" s="195"/>
    </row>
    <row r="965">
      <c r="A965" s="49"/>
      <c r="B965" s="195"/>
      <c r="C965" s="195"/>
      <c r="D965" s="195"/>
    </row>
    <row r="966">
      <c r="A966" s="49"/>
      <c r="B966" s="195"/>
      <c r="C966" s="195"/>
      <c r="D966" s="195"/>
    </row>
    <row r="967">
      <c r="A967" s="49"/>
      <c r="B967" s="195"/>
      <c r="C967" s="195"/>
      <c r="D967" s="195"/>
    </row>
    <row r="968">
      <c r="A968" s="49"/>
      <c r="B968" s="195"/>
      <c r="C968" s="195"/>
      <c r="D968" s="195"/>
    </row>
    <row r="969">
      <c r="A969" s="49"/>
      <c r="B969" s="195"/>
      <c r="C969" s="195"/>
      <c r="D969" s="195"/>
    </row>
    <row r="970">
      <c r="A970" s="49"/>
      <c r="B970" s="195"/>
      <c r="C970" s="195"/>
      <c r="D970" s="195"/>
    </row>
    <row r="971">
      <c r="A971" s="49"/>
      <c r="B971" s="195"/>
      <c r="C971" s="195"/>
      <c r="D971" s="195"/>
    </row>
    <row r="972">
      <c r="A972" s="49"/>
      <c r="B972" s="195"/>
      <c r="C972" s="195"/>
      <c r="D972" s="195"/>
    </row>
    <row r="973">
      <c r="A973" s="49"/>
      <c r="B973" s="195"/>
      <c r="C973" s="195"/>
      <c r="D973" s="195"/>
    </row>
    <row r="974">
      <c r="A974" s="49"/>
      <c r="B974" s="195"/>
      <c r="C974" s="195"/>
      <c r="D974" s="195"/>
    </row>
    <row r="975">
      <c r="A975" s="49"/>
      <c r="B975" s="195"/>
      <c r="C975" s="195"/>
      <c r="D975" s="195"/>
    </row>
    <row r="976">
      <c r="A976" s="49"/>
      <c r="B976" s="195"/>
      <c r="C976" s="195"/>
      <c r="D976" s="195"/>
    </row>
    <row r="977">
      <c r="A977" s="49"/>
      <c r="B977" s="195"/>
      <c r="C977" s="195"/>
      <c r="D977" s="195"/>
    </row>
    <row r="978">
      <c r="A978" s="49"/>
      <c r="B978" s="195"/>
      <c r="C978" s="195"/>
      <c r="D978" s="195"/>
    </row>
    <row r="979">
      <c r="A979" s="49"/>
      <c r="B979" s="195"/>
      <c r="C979" s="195"/>
      <c r="D979" s="195"/>
    </row>
    <row r="980">
      <c r="A980" s="49"/>
      <c r="B980" s="195"/>
      <c r="C980" s="195"/>
      <c r="D980" s="195"/>
    </row>
    <row r="981">
      <c r="A981" s="49"/>
      <c r="B981" s="195"/>
      <c r="C981" s="195"/>
      <c r="D981" s="195"/>
    </row>
    <row r="982">
      <c r="A982" s="49"/>
      <c r="B982" s="195"/>
      <c r="C982" s="195"/>
      <c r="D982" s="195"/>
    </row>
    <row r="983">
      <c r="A983" s="49"/>
      <c r="B983" s="195"/>
      <c r="C983" s="195"/>
      <c r="D983" s="195"/>
    </row>
    <row r="984">
      <c r="A984" s="49"/>
      <c r="B984" s="195"/>
      <c r="C984" s="195"/>
      <c r="D984" s="195"/>
    </row>
    <row r="985">
      <c r="A985" s="49"/>
      <c r="B985" s="195"/>
      <c r="C985" s="195"/>
      <c r="D985" s="195"/>
    </row>
    <row r="986">
      <c r="A986" s="49"/>
      <c r="B986" s="195"/>
      <c r="C986" s="195"/>
      <c r="D986" s="195"/>
    </row>
    <row r="987">
      <c r="A987" s="49"/>
      <c r="B987" s="195"/>
      <c r="C987" s="195"/>
      <c r="D987" s="195"/>
    </row>
    <row r="988">
      <c r="A988" s="49"/>
      <c r="B988" s="195"/>
      <c r="C988" s="195"/>
      <c r="D988" s="195"/>
    </row>
    <row r="989">
      <c r="A989" s="49"/>
      <c r="B989" s="195"/>
      <c r="C989" s="195"/>
      <c r="D989" s="195"/>
    </row>
    <row r="990">
      <c r="A990" s="49"/>
      <c r="B990" s="195"/>
      <c r="C990" s="195"/>
      <c r="D990" s="195"/>
    </row>
    <row r="991">
      <c r="A991" s="49"/>
      <c r="B991" s="195"/>
      <c r="C991" s="195"/>
      <c r="D991" s="195"/>
    </row>
    <row r="992">
      <c r="A992" s="49"/>
      <c r="B992" s="195"/>
      <c r="C992" s="195"/>
      <c r="D992" s="195"/>
    </row>
    <row r="993">
      <c r="A993" s="49"/>
      <c r="B993" s="195"/>
      <c r="C993" s="195"/>
      <c r="D993" s="195"/>
    </row>
    <row r="994">
      <c r="A994" s="49"/>
      <c r="B994" s="195"/>
      <c r="C994" s="195"/>
      <c r="D994" s="195"/>
    </row>
    <row r="995">
      <c r="A995" s="49"/>
      <c r="B995" s="195"/>
      <c r="C995" s="195"/>
      <c r="D995" s="195"/>
    </row>
    <row r="996">
      <c r="A996" s="49"/>
      <c r="B996" s="195"/>
      <c r="C996" s="195"/>
      <c r="D996" s="195"/>
    </row>
    <row r="997">
      <c r="A997" s="49"/>
      <c r="B997" s="195"/>
      <c r="C997" s="195"/>
      <c r="D997" s="195"/>
    </row>
    <row r="998">
      <c r="A998" s="49"/>
      <c r="B998" s="195"/>
      <c r="C998" s="195"/>
      <c r="D998" s="195"/>
    </row>
    <row r="999">
      <c r="A999" s="49"/>
      <c r="B999" s="195"/>
      <c r="C999" s="195"/>
      <c r="D999" s="195"/>
    </row>
    <row r="1000">
      <c r="A1000" s="49"/>
      <c r="B1000" s="195"/>
      <c r="C1000" s="195"/>
      <c r="D1000" s="195"/>
    </row>
  </sheetData>
  <mergeCells count="11">
    <mergeCell ref="A26:D26"/>
    <mergeCell ref="A27:D27"/>
    <mergeCell ref="A28:D28"/>
    <mergeCell ref="A29:D29"/>
    <mergeCell ref="A1:D1"/>
    <mergeCell ref="A3:D3"/>
    <mergeCell ref="A20:D20"/>
    <mergeCell ref="A22:D22"/>
    <mergeCell ref="A23:D23"/>
    <mergeCell ref="A24:D24"/>
    <mergeCell ref="A25:D25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9.22"/>
    <col customWidth="1" min="3" max="3" width="48.89"/>
    <col customWidth="1" min="5" max="5" width="14.0"/>
    <col customWidth="1" min="6" max="6" width="13.11"/>
  </cols>
  <sheetData>
    <row r="1">
      <c r="A1" s="437" t="s">
        <v>464</v>
      </c>
      <c r="B1" s="69"/>
      <c r="C1" s="438"/>
      <c r="D1" s="439"/>
      <c r="E1" s="440"/>
      <c r="F1" s="439"/>
      <c r="G1" s="439"/>
      <c r="H1" s="439"/>
      <c r="I1" s="439"/>
      <c r="J1" s="439"/>
    </row>
    <row r="2">
      <c r="A2" s="441" t="s">
        <v>65</v>
      </c>
      <c r="B2" s="442" t="s">
        <v>19</v>
      </c>
      <c r="C2" s="443" t="s">
        <v>471</v>
      </c>
      <c r="D2" s="445"/>
      <c r="E2" s="447" t="s">
        <v>473</v>
      </c>
      <c r="F2" s="448" t="s">
        <v>475</v>
      </c>
      <c r="G2" s="448" t="s">
        <v>476</v>
      </c>
      <c r="H2" s="448" t="s">
        <v>477</v>
      </c>
      <c r="I2" s="448" t="s">
        <v>478</v>
      </c>
      <c r="J2" s="448" t="s">
        <v>479</v>
      </c>
      <c r="K2" s="50" t="s">
        <v>480</v>
      </c>
      <c r="L2" s="50" t="s">
        <v>481</v>
      </c>
      <c r="M2" s="50" t="s">
        <v>482</v>
      </c>
      <c r="N2" s="50" t="s">
        <v>483</v>
      </c>
    </row>
    <row r="3">
      <c r="A3" s="451" t="s">
        <v>484</v>
      </c>
      <c r="B3" s="452">
        <v>258.0</v>
      </c>
      <c r="C3" s="453" t="s">
        <v>486</v>
      </c>
      <c r="D3" s="439"/>
      <c r="E3" s="454" t="s">
        <v>126</v>
      </c>
      <c r="F3" s="454" t="s">
        <v>487</v>
      </c>
      <c r="G3" s="454" t="s">
        <v>488</v>
      </c>
      <c r="H3" s="454" t="s">
        <v>489</v>
      </c>
      <c r="I3" s="455"/>
      <c r="J3" s="455"/>
    </row>
    <row r="4">
      <c r="A4" s="451" t="s">
        <v>491</v>
      </c>
      <c r="B4" s="452">
        <v>210.0</v>
      </c>
      <c r="C4" s="453" t="s">
        <v>492</v>
      </c>
      <c r="D4" s="439"/>
      <c r="E4" s="454" t="s">
        <v>126</v>
      </c>
      <c r="F4" s="454" t="s">
        <v>493</v>
      </c>
      <c r="G4" s="454" t="s">
        <v>488</v>
      </c>
      <c r="H4" s="454" t="s">
        <v>489</v>
      </c>
      <c r="I4" s="455"/>
      <c r="J4" s="455"/>
    </row>
    <row r="5">
      <c r="A5" s="451" t="s">
        <v>494</v>
      </c>
      <c r="B5" s="452">
        <v>187.0</v>
      </c>
      <c r="C5" s="453" t="s">
        <v>97</v>
      </c>
      <c r="D5" s="439"/>
      <c r="E5" s="454" t="s">
        <v>126</v>
      </c>
      <c r="F5" s="454" t="s">
        <v>495</v>
      </c>
      <c r="G5" s="454" t="s">
        <v>496</v>
      </c>
      <c r="H5" s="454" t="s">
        <v>497</v>
      </c>
      <c r="I5" s="455"/>
      <c r="J5" s="455"/>
    </row>
    <row r="6">
      <c r="A6" s="451" t="s">
        <v>498</v>
      </c>
      <c r="B6" s="452">
        <v>148.0</v>
      </c>
      <c r="C6" s="453" t="s">
        <v>499</v>
      </c>
      <c r="D6" s="439"/>
      <c r="E6" s="454" t="s">
        <v>126</v>
      </c>
      <c r="F6" s="454" t="s">
        <v>500</v>
      </c>
      <c r="G6" s="454" t="s">
        <v>501</v>
      </c>
      <c r="H6" s="455"/>
      <c r="I6" s="455"/>
      <c r="J6" s="455"/>
    </row>
    <row r="7">
      <c r="A7" s="451" t="s">
        <v>502</v>
      </c>
      <c r="B7" s="452">
        <v>188.0</v>
      </c>
      <c r="C7" s="453" t="s">
        <v>503</v>
      </c>
      <c r="D7" s="439"/>
      <c r="E7" s="454" t="s">
        <v>126</v>
      </c>
      <c r="F7" s="454" t="s">
        <v>392</v>
      </c>
      <c r="G7" s="454" t="s">
        <v>504</v>
      </c>
      <c r="H7" s="454" t="s">
        <v>489</v>
      </c>
      <c r="I7" s="455"/>
      <c r="J7" s="455"/>
    </row>
    <row r="8">
      <c r="A8" s="451" t="s">
        <v>505</v>
      </c>
      <c r="B8" s="452">
        <v>205.0</v>
      </c>
      <c r="C8" s="453" t="s">
        <v>141</v>
      </c>
      <c r="D8" s="439"/>
      <c r="E8" s="454" t="s">
        <v>126</v>
      </c>
      <c r="F8" s="454" t="s">
        <v>487</v>
      </c>
      <c r="G8" s="454" t="s">
        <v>488</v>
      </c>
      <c r="H8" s="454" t="s">
        <v>489</v>
      </c>
      <c r="I8" s="455"/>
      <c r="J8" s="455"/>
    </row>
    <row r="9">
      <c r="A9" s="451" t="s">
        <v>507</v>
      </c>
      <c r="B9" s="452">
        <v>273.0</v>
      </c>
      <c r="C9" s="453" t="s">
        <v>508</v>
      </c>
      <c r="D9" s="439"/>
      <c r="E9" s="454" t="s">
        <v>126</v>
      </c>
      <c r="F9" s="454" t="s">
        <v>487</v>
      </c>
      <c r="G9" s="454" t="s">
        <v>496</v>
      </c>
      <c r="H9" s="454" t="s">
        <v>497</v>
      </c>
      <c r="I9" s="455"/>
      <c r="J9" s="455"/>
    </row>
    <row r="10">
      <c r="A10" s="451" t="s">
        <v>509</v>
      </c>
      <c r="B10" s="452">
        <v>198.0</v>
      </c>
      <c r="C10" s="453" t="s">
        <v>315</v>
      </c>
      <c r="D10" s="439"/>
      <c r="E10" s="454" t="s">
        <v>126</v>
      </c>
      <c r="F10" s="454" t="s">
        <v>493</v>
      </c>
      <c r="G10" s="454" t="s">
        <v>488</v>
      </c>
      <c r="H10" s="454" t="s">
        <v>510</v>
      </c>
      <c r="I10" s="455"/>
      <c r="J10" s="455"/>
    </row>
    <row r="11">
      <c r="A11" s="451" t="s">
        <v>511</v>
      </c>
      <c r="B11" s="452">
        <v>198.0</v>
      </c>
      <c r="C11" s="453" t="s">
        <v>274</v>
      </c>
      <c r="D11" s="439"/>
      <c r="E11" s="454" t="s">
        <v>126</v>
      </c>
      <c r="F11" s="454" t="s">
        <v>493</v>
      </c>
      <c r="G11" s="454" t="s">
        <v>496</v>
      </c>
      <c r="H11" s="454" t="s">
        <v>510</v>
      </c>
      <c r="I11" s="455"/>
      <c r="J11" s="455"/>
    </row>
    <row r="12">
      <c r="A12" s="451" t="s">
        <v>512</v>
      </c>
      <c r="B12" s="452">
        <v>232.0</v>
      </c>
      <c r="C12" s="453" t="s">
        <v>282</v>
      </c>
      <c r="D12" s="439"/>
      <c r="E12" s="454" t="s">
        <v>126</v>
      </c>
      <c r="F12" s="454" t="s">
        <v>392</v>
      </c>
      <c r="G12" s="454" t="s">
        <v>504</v>
      </c>
      <c r="H12" s="454" t="s">
        <v>489</v>
      </c>
      <c r="I12" s="455"/>
      <c r="J12" s="455"/>
    </row>
    <row r="13">
      <c r="A13" s="451" t="s">
        <v>513</v>
      </c>
      <c r="B13" s="452">
        <v>198.0</v>
      </c>
      <c r="C13" s="453" t="s">
        <v>287</v>
      </c>
      <c r="D13" s="439"/>
      <c r="E13" s="454" t="s">
        <v>126</v>
      </c>
      <c r="F13" s="454" t="s">
        <v>487</v>
      </c>
      <c r="G13" s="454" t="s">
        <v>488</v>
      </c>
      <c r="H13" s="454" t="s">
        <v>497</v>
      </c>
      <c r="I13" s="455"/>
      <c r="J13" s="455"/>
    </row>
    <row r="14">
      <c r="A14" s="451" t="s">
        <v>514</v>
      </c>
      <c r="B14" s="452">
        <v>198.0</v>
      </c>
      <c r="C14" s="453" t="s">
        <v>292</v>
      </c>
      <c r="D14" s="439"/>
      <c r="E14" s="454" t="s">
        <v>126</v>
      </c>
      <c r="F14" s="454" t="s">
        <v>487</v>
      </c>
      <c r="G14" s="454" t="s">
        <v>488</v>
      </c>
      <c r="H14" s="454" t="s">
        <v>489</v>
      </c>
      <c r="I14" s="455"/>
      <c r="J14" s="455"/>
    </row>
    <row r="15">
      <c r="A15" s="451" t="s">
        <v>516</v>
      </c>
      <c r="B15" s="452">
        <v>180.0</v>
      </c>
      <c r="C15" s="453" t="s">
        <v>294</v>
      </c>
      <c r="D15" s="439"/>
      <c r="E15" s="454" t="s">
        <v>126</v>
      </c>
      <c r="F15" s="454" t="s">
        <v>392</v>
      </c>
      <c r="G15" s="454" t="s">
        <v>488</v>
      </c>
      <c r="H15" s="454" t="s">
        <v>497</v>
      </c>
      <c r="I15" s="455"/>
      <c r="J15" s="455"/>
    </row>
    <row r="16">
      <c r="A16" s="451" t="s">
        <v>519</v>
      </c>
      <c r="B16" s="452">
        <v>198.0</v>
      </c>
      <c r="C16" s="453" t="s">
        <v>295</v>
      </c>
      <c r="D16" s="439"/>
      <c r="E16" s="454" t="s">
        <v>126</v>
      </c>
      <c r="F16" s="454" t="s">
        <v>500</v>
      </c>
      <c r="G16" s="454" t="s">
        <v>496</v>
      </c>
      <c r="H16" s="455"/>
      <c r="I16" s="455"/>
      <c r="J16" s="455"/>
    </row>
    <row r="17">
      <c r="A17" s="451" t="s">
        <v>520</v>
      </c>
      <c r="B17" s="452">
        <v>198.0</v>
      </c>
      <c r="C17" s="453" t="s">
        <v>296</v>
      </c>
      <c r="D17" s="439"/>
      <c r="E17" s="454" t="s">
        <v>126</v>
      </c>
      <c r="F17" s="454" t="s">
        <v>500</v>
      </c>
      <c r="G17" s="454" t="s">
        <v>496</v>
      </c>
      <c r="H17" s="455"/>
      <c r="I17" s="455"/>
      <c r="J17" s="455"/>
    </row>
    <row r="18">
      <c r="A18" s="451" t="s">
        <v>523</v>
      </c>
      <c r="B18" s="452">
        <v>180.0</v>
      </c>
      <c r="C18" s="453" t="s">
        <v>301</v>
      </c>
      <c r="D18" s="439"/>
      <c r="E18" s="454" t="s">
        <v>126</v>
      </c>
      <c r="F18" s="454" t="s">
        <v>392</v>
      </c>
      <c r="G18" s="454" t="s">
        <v>488</v>
      </c>
      <c r="H18" s="454" t="s">
        <v>489</v>
      </c>
      <c r="I18" s="455"/>
      <c r="J18" s="455"/>
    </row>
    <row r="19">
      <c r="A19" s="451" t="s">
        <v>526</v>
      </c>
      <c r="B19" s="463">
        <v>203.0</v>
      </c>
      <c r="C19" s="453" t="s">
        <v>306</v>
      </c>
      <c r="D19" s="439"/>
      <c r="E19" s="454" t="s">
        <v>126</v>
      </c>
      <c r="F19" s="454" t="s">
        <v>487</v>
      </c>
      <c r="G19" s="454" t="s">
        <v>496</v>
      </c>
      <c r="H19" s="454" t="s">
        <v>497</v>
      </c>
      <c r="I19" s="455"/>
      <c r="J19" s="455"/>
    </row>
    <row r="20">
      <c r="A20" s="451" t="s">
        <v>235</v>
      </c>
      <c r="B20" s="452">
        <v>198.0</v>
      </c>
      <c r="C20" s="453" t="s">
        <v>530</v>
      </c>
      <c r="D20" s="439"/>
      <c r="E20" s="454" t="s">
        <v>126</v>
      </c>
      <c r="F20" s="454" t="s">
        <v>493</v>
      </c>
      <c r="G20" s="454" t="s">
        <v>488</v>
      </c>
      <c r="H20" s="455"/>
      <c r="I20" s="455"/>
      <c r="J20" s="455"/>
    </row>
    <row r="21">
      <c r="A21" s="451" t="s">
        <v>532</v>
      </c>
      <c r="B21" s="452">
        <v>211.0</v>
      </c>
      <c r="C21" s="453" t="s">
        <v>310</v>
      </c>
      <c r="D21" s="439"/>
      <c r="E21" s="454" t="s">
        <v>126</v>
      </c>
      <c r="F21" s="454" t="s">
        <v>493</v>
      </c>
      <c r="G21" s="454" t="s">
        <v>496</v>
      </c>
      <c r="H21" s="455"/>
      <c r="I21" s="455"/>
      <c r="J21" s="455"/>
    </row>
    <row r="22">
      <c r="A22" s="451" t="s">
        <v>533</v>
      </c>
      <c r="B22" s="452">
        <v>188.0</v>
      </c>
      <c r="C22" s="453" t="s">
        <v>313</v>
      </c>
      <c r="D22" s="439"/>
      <c r="E22" s="454" t="s">
        <v>126</v>
      </c>
      <c r="F22" s="454" t="s">
        <v>487</v>
      </c>
      <c r="G22" s="454" t="s">
        <v>488</v>
      </c>
      <c r="H22" s="455"/>
      <c r="I22" s="455"/>
      <c r="J22" s="455"/>
    </row>
    <row r="23">
      <c r="A23" s="451" t="s">
        <v>534</v>
      </c>
      <c r="B23" s="452">
        <v>264.0</v>
      </c>
      <c r="C23" s="453" t="s">
        <v>535</v>
      </c>
      <c r="D23" s="439"/>
      <c r="E23" s="454" t="s">
        <v>126</v>
      </c>
      <c r="F23" s="454" t="s">
        <v>487</v>
      </c>
      <c r="G23" s="454" t="s">
        <v>488</v>
      </c>
      <c r="H23" s="454" t="s">
        <v>497</v>
      </c>
      <c r="I23" s="455"/>
      <c r="J23" s="455"/>
    </row>
    <row r="24">
      <c r="A24" s="466">
        <v>3517.0</v>
      </c>
      <c r="B24" s="467">
        <v>215.0</v>
      </c>
      <c r="C24" s="305" t="s">
        <v>536</v>
      </c>
      <c r="D24" s="439"/>
      <c r="E24" s="454" t="s">
        <v>126</v>
      </c>
      <c r="F24" s="470" t="s">
        <v>392</v>
      </c>
      <c r="G24" s="470" t="s">
        <v>504</v>
      </c>
      <c r="H24" s="470" t="s">
        <v>489</v>
      </c>
      <c r="I24" s="455"/>
      <c r="J24" s="455"/>
    </row>
    <row r="25">
      <c r="A25" s="451" t="s">
        <v>538</v>
      </c>
      <c r="B25" s="452">
        <v>188.0</v>
      </c>
      <c r="C25" s="453" t="s">
        <v>343</v>
      </c>
      <c r="D25" s="439"/>
      <c r="E25" s="454" t="s">
        <v>126</v>
      </c>
      <c r="F25" s="454" t="s">
        <v>495</v>
      </c>
      <c r="G25" s="454" t="s">
        <v>496</v>
      </c>
      <c r="H25" s="454" t="s">
        <v>489</v>
      </c>
      <c r="I25" s="455"/>
      <c r="J25" s="455"/>
    </row>
    <row r="26">
      <c r="A26" s="451" t="s">
        <v>539</v>
      </c>
      <c r="B26" s="452">
        <v>198.0</v>
      </c>
      <c r="C26" s="453" t="s">
        <v>359</v>
      </c>
      <c r="D26" s="439"/>
      <c r="E26" s="454" t="s">
        <v>126</v>
      </c>
      <c r="F26" s="454" t="s">
        <v>540</v>
      </c>
      <c r="G26" s="454" t="s">
        <v>488</v>
      </c>
      <c r="H26" s="454" t="s">
        <v>510</v>
      </c>
      <c r="I26" s="455"/>
      <c r="J26" s="455"/>
    </row>
    <row r="27">
      <c r="A27" s="451" t="s">
        <v>541</v>
      </c>
      <c r="B27" s="452">
        <v>188.0</v>
      </c>
      <c r="C27" s="453" t="s">
        <v>368</v>
      </c>
      <c r="D27" s="439"/>
      <c r="E27" s="454" t="s">
        <v>126</v>
      </c>
      <c r="F27" s="454" t="s">
        <v>493</v>
      </c>
      <c r="G27" s="454" t="s">
        <v>504</v>
      </c>
      <c r="H27" s="454" t="s">
        <v>489</v>
      </c>
      <c r="I27" s="455"/>
      <c r="J27" s="455"/>
    </row>
    <row r="28">
      <c r="A28" s="451" t="s">
        <v>543</v>
      </c>
      <c r="B28" s="452">
        <v>215.0</v>
      </c>
      <c r="C28" s="453" t="s">
        <v>544</v>
      </c>
      <c r="D28" s="439"/>
      <c r="E28" s="454" t="s">
        <v>126</v>
      </c>
      <c r="F28" s="454" t="s">
        <v>392</v>
      </c>
      <c r="G28" s="454" t="s">
        <v>504</v>
      </c>
      <c r="H28" s="454" t="s">
        <v>489</v>
      </c>
      <c r="I28" s="455"/>
      <c r="J28" s="455"/>
    </row>
    <row r="29">
      <c r="A29" s="451" t="s">
        <v>545</v>
      </c>
      <c r="B29" s="452">
        <v>210.0</v>
      </c>
      <c r="C29" s="453" t="s">
        <v>375</v>
      </c>
      <c r="D29" s="439"/>
      <c r="E29" s="454" t="s">
        <v>126</v>
      </c>
      <c r="F29" s="454" t="s">
        <v>493</v>
      </c>
      <c r="G29" s="454" t="s">
        <v>546</v>
      </c>
      <c r="H29" s="454" t="s">
        <v>497</v>
      </c>
      <c r="I29" s="455"/>
      <c r="J29" s="455"/>
    </row>
    <row r="30">
      <c r="A30" s="451" t="s">
        <v>547</v>
      </c>
      <c r="B30" s="452">
        <v>188.0</v>
      </c>
      <c r="C30" s="453" t="s">
        <v>548</v>
      </c>
      <c r="D30" s="439"/>
      <c r="E30" s="454" t="s">
        <v>126</v>
      </c>
      <c r="F30" s="454" t="s">
        <v>549</v>
      </c>
      <c r="G30" s="454" t="s">
        <v>496</v>
      </c>
      <c r="H30" s="455"/>
      <c r="I30" s="455"/>
      <c r="J30" s="455"/>
    </row>
    <row r="31">
      <c r="A31" s="451" t="s">
        <v>550</v>
      </c>
      <c r="B31" s="452">
        <v>265.0</v>
      </c>
      <c r="C31" s="453" t="s">
        <v>385</v>
      </c>
      <c r="D31" s="439"/>
      <c r="E31" s="454" t="s">
        <v>126</v>
      </c>
      <c r="F31" s="454" t="s">
        <v>493</v>
      </c>
      <c r="G31" s="454" t="s">
        <v>546</v>
      </c>
      <c r="H31" s="454" t="s">
        <v>497</v>
      </c>
      <c r="I31" s="455"/>
      <c r="J31" s="455"/>
    </row>
    <row r="32">
      <c r="A32" s="451" t="s">
        <v>551</v>
      </c>
      <c r="B32" s="452">
        <v>265.0</v>
      </c>
      <c r="C32" s="453" t="s">
        <v>391</v>
      </c>
      <c r="D32" s="439"/>
      <c r="E32" s="454" t="s">
        <v>126</v>
      </c>
      <c r="F32" s="454" t="s">
        <v>392</v>
      </c>
      <c r="G32" s="454" t="s">
        <v>546</v>
      </c>
      <c r="H32" s="454" t="s">
        <v>497</v>
      </c>
      <c r="I32" s="455"/>
      <c r="J32" s="455"/>
    </row>
    <row r="33">
      <c r="A33" s="451" t="s">
        <v>552</v>
      </c>
      <c r="B33" s="452">
        <v>265.0</v>
      </c>
      <c r="C33" s="453" t="s">
        <v>394</v>
      </c>
      <c r="D33" s="439"/>
      <c r="E33" s="454" t="s">
        <v>126</v>
      </c>
      <c r="F33" s="454" t="s">
        <v>487</v>
      </c>
      <c r="G33" s="454" t="s">
        <v>546</v>
      </c>
      <c r="H33" s="454" t="s">
        <v>497</v>
      </c>
      <c r="I33" s="455"/>
      <c r="J33" s="455"/>
    </row>
    <row r="34">
      <c r="A34" s="451" t="s">
        <v>553</v>
      </c>
      <c r="B34" s="463">
        <v>215.0</v>
      </c>
      <c r="C34" s="453" t="s">
        <v>396</v>
      </c>
      <c r="D34" s="439"/>
      <c r="E34" s="454" t="s">
        <v>126</v>
      </c>
      <c r="F34" s="454" t="s">
        <v>493</v>
      </c>
      <c r="G34" s="454" t="s">
        <v>488</v>
      </c>
      <c r="H34" s="454" t="s">
        <v>489</v>
      </c>
      <c r="I34" s="455"/>
      <c r="J34" s="455"/>
    </row>
    <row r="35">
      <c r="A35" s="451" t="s">
        <v>257</v>
      </c>
      <c r="B35" s="452">
        <v>165.0</v>
      </c>
      <c r="C35" s="453" t="s">
        <v>397</v>
      </c>
      <c r="D35" s="439"/>
      <c r="E35" s="454" t="s">
        <v>126</v>
      </c>
      <c r="F35" s="454" t="s">
        <v>500</v>
      </c>
      <c r="G35" s="454" t="s">
        <v>488</v>
      </c>
      <c r="H35" s="455"/>
      <c r="I35" s="455"/>
      <c r="J35" s="455"/>
    </row>
    <row r="36">
      <c r="A36" s="451" t="s">
        <v>555</v>
      </c>
      <c r="B36" s="452">
        <v>188.0</v>
      </c>
      <c r="C36" s="453" t="s">
        <v>556</v>
      </c>
      <c r="D36" s="439"/>
      <c r="E36" s="454" t="s">
        <v>126</v>
      </c>
      <c r="F36" s="454" t="s">
        <v>493</v>
      </c>
      <c r="G36" s="454" t="s">
        <v>488</v>
      </c>
      <c r="H36" s="454" t="s">
        <v>510</v>
      </c>
      <c r="I36" s="455"/>
      <c r="J36" s="455"/>
    </row>
    <row r="37">
      <c r="A37" s="451" t="s">
        <v>557</v>
      </c>
      <c r="B37" s="452">
        <v>198.0</v>
      </c>
      <c r="C37" s="453" t="s">
        <v>558</v>
      </c>
      <c r="D37" s="439"/>
      <c r="E37" s="454" t="s">
        <v>126</v>
      </c>
      <c r="F37" s="454" t="s">
        <v>500</v>
      </c>
      <c r="G37" s="454" t="s">
        <v>496</v>
      </c>
      <c r="H37" s="455"/>
      <c r="I37" s="455"/>
      <c r="J37" s="455"/>
    </row>
    <row r="38">
      <c r="A38" s="451" t="s">
        <v>559</v>
      </c>
      <c r="B38" s="452">
        <v>208.0</v>
      </c>
      <c r="C38" s="453" t="s">
        <v>403</v>
      </c>
      <c r="D38" s="439"/>
      <c r="E38" s="454" t="s">
        <v>126</v>
      </c>
      <c r="F38" s="454" t="s">
        <v>487</v>
      </c>
      <c r="G38" s="454" t="s">
        <v>488</v>
      </c>
      <c r="H38" s="454" t="s">
        <v>497</v>
      </c>
      <c r="I38" s="455"/>
      <c r="J38" s="455"/>
    </row>
    <row r="39">
      <c r="A39" s="451" t="s">
        <v>560</v>
      </c>
      <c r="B39" s="452">
        <v>160.0</v>
      </c>
      <c r="C39" s="453" t="s">
        <v>406</v>
      </c>
      <c r="D39" s="439"/>
      <c r="E39" s="454" t="s">
        <v>126</v>
      </c>
      <c r="F39" s="454" t="s">
        <v>493</v>
      </c>
      <c r="G39" s="454" t="s">
        <v>488</v>
      </c>
      <c r="H39" s="454" t="s">
        <v>497</v>
      </c>
      <c r="I39" s="455"/>
      <c r="J39" s="455"/>
    </row>
    <row r="40">
      <c r="A40" s="451" t="s">
        <v>562</v>
      </c>
      <c r="B40" s="452">
        <v>188.0</v>
      </c>
      <c r="C40" s="453" t="s">
        <v>563</v>
      </c>
      <c r="D40" s="439"/>
      <c r="E40" s="454" t="s">
        <v>126</v>
      </c>
      <c r="F40" s="454" t="s">
        <v>493</v>
      </c>
      <c r="G40" s="454" t="s">
        <v>488</v>
      </c>
      <c r="H40" s="454" t="s">
        <v>489</v>
      </c>
      <c r="I40" s="455"/>
      <c r="J40" s="455"/>
    </row>
    <row r="41">
      <c r="A41" s="451" t="s">
        <v>564</v>
      </c>
      <c r="B41" s="452">
        <v>198.0</v>
      </c>
      <c r="C41" s="453" t="s">
        <v>565</v>
      </c>
      <c r="D41" s="439"/>
      <c r="E41" s="454" t="s">
        <v>126</v>
      </c>
      <c r="F41" s="454" t="s">
        <v>493</v>
      </c>
      <c r="G41" s="454" t="s">
        <v>504</v>
      </c>
      <c r="H41" s="454" t="s">
        <v>489</v>
      </c>
      <c r="I41" s="455"/>
      <c r="J41" s="455"/>
    </row>
    <row r="42">
      <c r="A42" s="451" t="s">
        <v>566</v>
      </c>
      <c r="B42" s="452">
        <v>198.0</v>
      </c>
      <c r="C42" s="453" t="s">
        <v>567</v>
      </c>
      <c r="D42" s="439"/>
      <c r="E42" s="454" t="s">
        <v>126</v>
      </c>
      <c r="F42" s="454" t="s">
        <v>392</v>
      </c>
      <c r="G42" s="454" t="s">
        <v>504</v>
      </c>
      <c r="H42" s="454" t="s">
        <v>489</v>
      </c>
      <c r="I42" s="455"/>
      <c r="J42" s="455"/>
    </row>
    <row r="43">
      <c r="A43" s="451" t="s">
        <v>568</v>
      </c>
      <c r="B43" s="452">
        <v>209.0</v>
      </c>
      <c r="C43" s="453" t="s">
        <v>413</v>
      </c>
      <c r="D43" s="439"/>
      <c r="E43" s="454" t="s">
        <v>126</v>
      </c>
      <c r="F43" s="454" t="s">
        <v>493</v>
      </c>
      <c r="G43" s="454" t="s">
        <v>496</v>
      </c>
      <c r="H43" s="454" t="s">
        <v>510</v>
      </c>
      <c r="I43" s="455"/>
      <c r="J43" s="455"/>
    </row>
    <row r="44">
      <c r="A44" s="451" t="s">
        <v>569</v>
      </c>
      <c r="B44" s="452">
        <v>188.0</v>
      </c>
      <c r="C44" s="453" t="s">
        <v>419</v>
      </c>
      <c r="D44" s="439"/>
      <c r="E44" s="454" t="s">
        <v>126</v>
      </c>
      <c r="F44" s="454" t="s">
        <v>493</v>
      </c>
      <c r="G44" s="454" t="s">
        <v>504</v>
      </c>
      <c r="H44" s="454" t="s">
        <v>510</v>
      </c>
      <c r="I44" s="455"/>
      <c r="J44" s="455"/>
    </row>
    <row r="45">
      <c r="A45" s="451" t="s">
        <v>570</v>
      </c>
      <c r="B45" s="452">
        <v>188.0</v>
      </c>
      <c r="C45" s="453" t="s">
        <v>423</v>
      </c>
      <c r="D45" s="439"/>
      <c r="E45" s="454" t="s">
        <v>126</v>
      </c>
      <c r="F45" s="454" t="s">
        <v>500</v>
      </c>
      <c r="G45" s="454" t="s">
        <v>488</v>
      </c>
      <c r="H45" s="455"/>
      <c r="I45" s="455"/>
      <c r="J45" s="455"/>
    </row>
    <row r="46">
      <c r="A46" s="451" t="s">
        <v>571</v>
      </c>
      <c r="B46" s="452">
        <v>198.0</v>
      </c>
      <c r="C46" s="453" t="s">
        <v>425</v>
      </c>
      <c r="D46" s="439"/>
      <c r="E46" s="454" t="s">
        <v>126</v>
      </c>
      <c r="F46" s="454" t="s">
        <v>540</v>
      </c>
      <c r="G46" s="454" t="s">
        <v>488</v>
      </c>
      <c r="H46" s="454" t="s">
        <v>497</v>
      </c>
      <c r="I46" s="455"/>
      <c r="J46" s="455"/>
    </row>
    <row r="47">
      <c r="A47" s="451" t="s">
        <v>572</v>
      </c>
      <c r="B47" s="452">
        <v>188.0</v>
      </c>
      <c r="C47" s="453" t="s">
        <v>573</v>
      </c>
      <c r="D47" s="439"/>
      <c r="E47" s="454" t="s">
        <v>126</v>
      </c>
      <c r="F47" s="454" t="s">
        <v>487</v>
      </c>
      <c r="G47" s="454" t="s">
        <v>488</v>
      </c>
      <c r="H47" s="454" t="s">
        <v>497</v>
      </c>
      <c r="I47" s="455"/>
      <c r="J47" s="455"/>
    </row>
    <row r="48">
      <c r="A48" s="451" t="s">
        <v>574</v>
      </c>
      <c r="B48" s="452">
        <v>198.0</v>
      </c>
      <c r="C48" s="453" t="s">
        <v>427</v>
      </c>
      <c r="D48" s="439"/>
      <c r="E48" s="454" t="s">
        <v>126</v>
      </c>
      <c r="F48" s="454" t="s">
        <v>487</v>
      </c>
      <c r="G48" s="454" t="s">
        <v>488</v>
      </c>
      <c r="H48" s="454" t="s">
        <v>497</v>
      </c>
      <c r="I48" s="455"/>
      <c r="J48" s="455"/>
    </row>
    <row r="49">
      <c r="A49" s="451" t="s">
        <v>576</v>
      </c>
      <c r="B49" s="452">
        <v>160.0</v>
      </c>
      <c r="C49" s="453" t="s">
        <v>430</v>
      </c>
      <c r="D49" s="439"/>
      <c r="E49" s="454" t="s">
        <v>126</v>
      </c>
      <c r="F49" s="454" t="s">
        <v>487</v>
      </c>
      <c r="G49" s="454" t="s">
        <v>488</v>
      </c>
      <c r="H49" s="454" t="s">
        <v>510</v>
      </c>
      <c r="I49" s="455"/>
      <c r="J49" s="455"/>
    </row>
    <row r="50">
      <c r="A50" s="451" t="s">
        <v>577</v>
      </c>
      <c r="B50" s="452">
        <v>234.0</v>
      </c>
      <c r="C50" s="453" t="s">
        <v>435</v>
      </c>
      <c r="D50" s="439"/>
      <c r="E50" s="454" t="s">
        <v>126</v>
      </c>
      <c r="F50" s="454" t="s">
        <v>493</v>
      </c>
      <c r="G50" s="454" t="s">
        <v>496</v>
      </c>
      <c r="H50" s="454" t="s">
        <v>489</v>
      </c>
      <c r="I50" s="455"/>
      <c r="J50" s="455"/>
    </row>
    <row r="51">
      <c r="A51" s="451" t="s">
        <v>578</v>
      </c>
      <c r="B51" s="452">
        <v>198.0</v>
      </c>
      <c r="C51" s="453" t="s">
        <v>439</v>
      </c>
      <c r="D51" s="439"/>
      <c r="E51" s="454" t="s">
        <v>126</v>
      </c>
      <c r="F51" s="454" t="s">
        <v>540</v>
      </c>
      <c r="G51" s="454" t="s">
        <v>488</v>
      </c>
      <c r="H51" s="454" t="s">
        <v>497</v>
      </c>
      <c r="I51" s="455"/>
      <c r="J51" s="455"/>
    </row>
    <row r="52">
      <c r="A52" s="451" t="s">
        <v>579</v>
      </c>
      <c r="B52" s="452">
        <v>187.0</v>
      </c>
      <c r="C52" s="453" t="s">
        <v>441</v>
      </c>
      <c r="D52" s="439"/>
      <c r="E52" s="454" t="s">
        <v>126</v>
      </c>
      <c r="F52" s="454" t="s">
        <v>487</v>
      </c>
      <c r="G52" s="454" t="s">
        <v>496</v>
      </c>
      <c r="H52" s="454" t="s">
        <v>497</v>
      </c>
      <c r="I52" s="455"/>
      <c r="J52" s="455"/>
    </row>
    <row r="53">
      <c r="A53" s="451" t="s">
        <v>580</v>
      </c>
      <c r="B53" s="452">
        <v>275.0</v>
      </c>
      <c r="C53" s="453" t="s">
        <v>442</v>
      </c>
      <c r="D53" s="439"/>
      <c r="E53" s="454" t="s">
        <v>126</v>
      </c>
      <c r="F53" s="454" t="s">
        <v>495</v>
      </c>
      <c r="G53" s="454" t="s">
        <v>501</v>
      </c>
      <c r="H53" s="455"/>
      <c r="I53" s="455"/>
      <c r="J53" s="455"/>
    </row>
    <row r="54">
      <c r="A54" s="451" t="s">
        <v>581</v>
      </c>
      <c r="B54" s="463">
        <v>282.0</v>
      </c>
      <c r="C54" s="453" t="s">
        <v>443</v>
      </c>
      <c r="D54" s="439"/>
      <c r="E54" s="454" t="s">
        <v>126</v>
      </c>
      <c r="F54" s="454" t="s">
        <v>487</v>
      </c>
      <c r="G54" s="454" t="s">
        <v>488</v>
      </c>
      <c r="H54" s="454" t="s">
        <v>497</v>
      </c>
      <c r="I54" s="455"/>
      <c r="J54" s="455"/>
    </row>
    <row r="55">
      <c r="A55" s="451" t="s">
        <v>583</v>
      </c>
      <c r="B55" s="452">
        <v>198.0</v>
      </c>
      <c r="C55" s="453" t="s">
        <v>446</v>
      </c>
      <c r="D55" s="439"/>
      <c r="E55" s="454" t="s">
        <v>126</v>
      </c>
      <c r="F55" s="454" t="s">
        <v>495</v>
      </c>
      <c r="G55" s="454" t="s">
        <v>488</v>
      </c>
      <c r="H55" s="455"/>
      <c r="I55" s="455"/>
      <c r="J55" s="455"/>
    </row>
    <row r="56">
      <c r="A56" s="482" t="s">
        <v>584</v>
      </c>
      <c r="B56" s="484">
        <v>229.0</v>
      </c>
      <c r="C56" s="453" t="s">
        <v>451</v>
      </c>
      <c r="D56" s="439"/>
      <c r="E56" s="454" t="s">
        <v>126</v>
      </c>
      <c r="F56" s="454" t="s">
        <v>493</v>
      </c>
      <c r="G56" s="454" t="s">
        <v>504</v>
      </c>
      <c r="H56" s="454" t="s">
        <v>489</v>
      </c>
      <c r="I56" s="455"/>
      <c r="J56" s="455"/>
    </row>
    <row r="57">
      <c r="A57" s="451" t="s">
        <v>585</v>
      </c>
      <c r="B57" s="452">
        <v>188.0</v>
      </c>
      <c r="C57" s="453" t="s">
        <v>454</v>
      </c>
      <c r="D57" s="439"/>
      <c r="E57" s="454" t="s">
        <v>126</v>
      </c>
      <c r="F57" s="454" t="s">
        <v>487</v>
      </c>
      <c r="G57" s="454" t="s">
        <v>496</v>
      </c>
      <c r="H57" s="454" t="s">
        <v>497</v>
      </c>
      <c r="I57" s="455"/>
      <c r="J57" s="455"/>
    </row>
    <row r="58">
      <c r="A58" s="451" t="s">
        <v>587</v>
      </c>
      <c r="B58" s="452">
        <v>198.0</v>
      </c>
      <c r="C58" s="453" t="s">
        <v>456</v>
      </c>
      <c r="D58" s="439"/>
      <c r="E58" s="454" t="s">
        <v>126</v>
      </c>
      <c r="F58" s="454" t="s">
        <v>549</v>
      </c>
      <c r="G58" s="454" t="s">
        <v>488</v>
      </c>
      <c r="H58" s="455"/>
      <c r="I58" s="455"/>
      <c r="J58" s="455"/>
    </row>
    <row r="59">
      <c r="A59" s="451" t="s">
        <v>589</v>
      </c>
      <c r="B59" s="452">
        <v>212.0</v>
      </c>
      <c r="C59" s="453" t="s">
        <v>457</v>
      </c>
      <c r="D59" s="439"/>
      <c r="E59" s="454" t="s">
        <v>126</v>
      </c>
      <c r="F59" s="454" t="s">
        <v>487</v>
      </c>
      <c r="G59" s="454" t="s">
        <v>488</v>
      </c>
      <c r="H59" s="454" t="s">
        <v>497</v>
      </c>
      <c r="I59" s="455"/>
      <c r="J59" s="455"/>
    </row>
    <row r="60">
      <c r="A60" s="451" t="s">
        <v>590</v>
      </c>
      <c r="B60" s="452">
        <v>188.0</v>
      </c>
      <c r="C60" s="453" t="s">
        <v>591</v>
      </c>
      <c r="D60" s="439"/>
      <c r="E60" s="454" t="s">
        <v>126</v>
      </c>
      <c r="F60" s="454" t="s">
        <v>540</v>
      </c>
      <c r="G60" s="454" t="s">
        <v>504</v>
      </c>
      <c r="H60" s="454" t="s">
        <v>489</v>
      </c>
      <c r="I60" s="455"/>
      <c r="J60" s="455"/>
    </row>
    <row r="61">
      <c r="A61" s="451" t="s">
        <v>592</v>
      </c>
      <c r="B61" s="452">
        <v>212.0</v>
      </c>
      <c r="C61" s="453" t="s">
        <v>459</v>
      </c>
      <c r="D61" s="439"/>
      <c r="E61" s="454" t="s">
        <v>126</v>
      </c>
      <c r="F61" s="454" t="s">
        <v>500</v>
      </c>
      <c r="G61" s="454" t="s">
        <v>496</v>
      </c>
      <c r="H61" s="455"/>
      <c r="I61" s="455"/>
      <c r="J61" s="455"/>
    </row>
    <row r="62">
      <c r="A62" s="451" t="s">
        <v>593</v>
      </c>
      <c r="B62" s="452">
        <v>220.0</v>
      </c>
      <c r="C62" s="453" t="s">
        <v>594</v>
      </c>
      <c r="D62" s="439"/>
      <c r="E62" s="454" t="s">
        <v>126</v>
      </c>
      <c r="F62" s="454" t="s">
        <v>493</v>
      </c>
      <c r="G62" s="454" t="s">
        <v>488</v>
      </c>
      <c r="H62" s="454" t="s">
        <v>497</v>
      </c>
      <c r="I62" s="455"/>
      <c r="J62" s="455"/>
    </row>
    <row r="63">
      <c r="A63" s="451" t="s">
        <v>595</v>
      </c>
      <c r="B63" s="452">
        <v>221.0</v>
      </c>
      <c r="C63" s="453" t="s">
        <v>462</v>
      </c>
      <c r="D63" s="439"/>
      <c r="E63" s="454" t="s">
        <v>126</v>
      </c>
      <c r="F63" s="454" t="s">
        <v>540</v>
      </c>
      <c r="G63" s="454" t="s">
        <v>546</v>
      </c>
      <c r="H63" s="454" t="s">
        <v>497</v>
      </c>
      <c r="I63" s="455"/>
      <c r="J63" s="455"/>
    </row>
    <row r="64">
      <c r="A64" s="451" t="s">
        <v>596</v>
      </c>
      <c r="B64" s="452">
        <v>237.0</v>
      </c>
      <c r="C64" s="453" t="s">
        <v>467</v>
      </c>
      <c r="D64" s="439"/>
      <c r="E64" s="454" t="s">
        <v>126</v>
      </c>
      <c r="F64" s="454" t="s">
        <v>493</v>
      </c>
      <c r="G64" s="454" t="s">
        <v>546</v>
      </c>
      <c r="H64" s="454" t="s">
        <v>497</v>
      </c>
      <c r="I64" s="455"/>
      <c r="J64" s="455"/>
    </row>
    <row r="65">
      <c r="A65" s="451" t="s">
        <v>597</v>
      </c>
      <c r="B65" s="452">
        <v>236.0</v>
      </c>
      <c r="C65" s="453" t="s">
        <v>470</v>
      </c>
      <c r="D65" s="439"/>
      <c r="E65" s="454" t="s">
        <v>126</v>
      </c>
      <c r="F65" s="454" t="s">
        <v>487</v>
      </c>
      <c r="G65" s="454" t="s">
        <v>546</v>
      </c>
      <c r="H65" s="454" t="s">
        <v>497</v>
      </c>
      <c r="I65" s="455"/>
      <c r="J65" s="455"/>
    </row>
    <row r="66">
      <c r="A66" s="451" t="s">
        <v>599</v>
      </c>
      <c r="B66" s="452">
        <v>230.0</v>
      </c>
      <c r="C66" s="453" t="s">
        <v>474</v>
      </c>
      <c r="D66" s="439"/>
      <c r="E66" s="454" t="s">
        <v>126</v>
      </c>
      <c r="F66" s="454" t="s">
        <v>487</v>
      </c>
      <c r="G66" s="454" t="s">
        <v>488</v>
      </c>
      <c r="H66" s="454" t="s">
        <v>489</v>
      </c>
      <c r="I66" s="455"/>
      <c r="J66" s="455"/>
    </row>
    <row r="67">
      <c r="A67" s="451" t="s">
        <v>600</v>
      </c>
      <c r="B67" s="452">
        <v>245.0</v>
      </c>
      <c r="C67" s="453" t="s">
        <v>485</v>
      </c>
      <c r="D67" s="439"/>
      <c r="E67" s="454" t="s">
        <v>126</v>
      </c>
      <c r="F67" s="454" t="s">
        <v>500</v>
      </c>
      <c r="G67" s="454" t="s">
        <v>488</v>
      </c>
      <c r="H67" s="454" t="s">
        <v>510</v>
      </c>
      <c r="I67" s="455"/>
      <c r="J67" s="455"/>
    </row>
    <row r="68">
      <c r="A68" s="451" t="s">
        <v>602</v>
      </c>
      <c r="B68" s="452">
        <v>193.0</v>
      </c>
      <c r="C68" s="453" t="s">
        <v>561</v>
      </c>
      <c r="D68" s="439"/>
      <c r="E68" s="454" t="s">
        <v>126</v>
      </c>
      <c r="F68" s="454" t="s">
        <v>540</v>
      </c>
      <c r="G68" s="454" t="s">
        <v>488</v>
      </c>
      <c r="H68" s="454" t="s">
        <v>489</v>
      </c>
      <c r="I68" s="455"/>
      <c r="J68" s="455"/>
    </row>
    <row r="69">
      <c r="A69" s="451" t="s">
        <v>603</v>
      </c>
      <c r="B69" s="452">
        <v>183.0</v>
      </c>
      <c r="C69" s="453" t="s">
        <v>604</v>
      </c>
      <c r="D69" s="439"/>
      <c r="E69" s="454" t="s">
        <v>126</v>
      </c>
      <c r="F69" s="454" t="s">
        <v>392</v>
      </c>
      <c r="G69" s="454" t="s">
        <v>488</v>
      </c>
      <c r="H69" s="454" t="s">
        <v>510</v>
      </c>
      <c r="I69" s="455"/>
      <c r="J69" s="455"/>
    </row>
    <row r="70">
      <c r="A70" s="451" t="s">
        <v>605</v>
      </c>
      <c r="B70" s="452">
        <v>198.0</v>
      </c>
      <c r="C70" s="453" t="s">
        <v>606</v>
      </c>
      <c r="D70" s="439"/>
      <c r="E70" s="454" t="s">
        <v>126</v>
      </c>
      <c r="F70" s="454" t="s">
        <v>487</v>
      </c>
      <c r="G70" s="454" t="s">
        <v>488</v>
      </c>
      <c r="H70" s="454" t="s">
        <v>497</v>
      </c>
      <c r="I70" s="455"/>
      <c r="J70" s="455"/>
    </row>
    <row r="71">
      <c r="A71" s="451" t="s">
        <v>607</v>
      </c>
      <c r="B71" s="452">
        <v>257.0</v>
      </c>
      <c r="C71" s="453" t="s">
        <v>317</v>
      </c>
      <c r="D71" s="439"/>
      <c r="E71" s="454" t="s">
        <v>126</v>
      </c>
      <c r="F71" s="454" t="s">
        <v>495</v>
      </c>
      <c r="G71" s="454" t="s">
        <v>501</v>
      </c>
      <c r="H71" s="455"/>
      <c r="I71" s="455"/>
      <c r="J71" s="455"/>
    </row>
    <row r="72">
      <c r="A72" s="451" t="s">
        <v>609</v>
      </c>
      <c r="B72" s="452">
        <v>198.0</v>
      </c>
      <c r="C72" s="453" t="s">
        <v>598</v>
      </c>
      <c r="D72" s="439"/>
      <c r="E72" s="454" t="s">
        <v>126</v>
      </c>
      <c r="F72" s="454" t="s">
        <v>487</v>
      </c>
      <c r="G72" s="454" t="s">
        <v>488</v>
      </c>
      <c r="H72" s="454" t="s">
        <v>497</v>
      </c>
      <c r="I72" s="455"/>
      <c r="J72" s="455"/>
    </row>
    <row r="73">
      <c r="A73" s="451" t="s">
        <v>610</v>
      </c>
      <c r="B73" s="452">
        <v>198.0</v>
      </c>
      <c r="C73" s="453" t="s">
        <v>611</v>
      </c>
      <c r="D73" s="439"/>
      <c r="E73" s="454" t="s">
        <v>126</v>
      </c>
      <c r="F73" s="454" t="s">
        <v>487</v>
      </c>
      <c r="G73" s="454" t="s">
        <v>488</v>
      </c>
      <c r="H73" s="454" t="s">
        <v>489</v>
      </c>
      <c r="I73" s="455"/>
      <c r="J73" s="455"/>
    </row>
    <row r="74">
      <c r="A74" s="451" t="s">
        <v>612</v>
      </c>
      <c r="B74" s="452">
        <v>210.0</v>
      </c>
      <c r="C74" s="453" t="s">
        <v>613</v>
      </c>
      <c r="D74" s="439"/>
      <c r="E74" s="454" t="s">
        <v>126</v>
      </c>
      <c r="F74" s="454" t="s">
        <v>500</v>
      </c>
      <c r="G74" s="454" t="s">
        <v>488</v>
      </c>
      <c r="H74" s="454" t="s">
        <v>510</v>
      </c>
      <c r="I74" s="455"/>
      <c r="J74" s="455"/>
    </row>
    <row r="75">
      <c r="A75" s="451" t="s">
        <v>614</v>
      </c>
      <c r="B75" s="452">
        <v>198.0</v>
      </c>
      <c r="C75" s="453" t="s">
        <v>398</v>
      </c>
      <c r="D75" s="439"/>
      <c r="E75" s="454" t="s">
        <v>126</v>
      </c>
      <c r="F75" s="454" t="s">
        <v>487</v>
      </c>
      <c r="G75" s="454" t="s">
        <v>488</v>
      </c>
      <c r="H75" s="454" t="s">
        <v>510</v>
      </c>
      <c r="I75" s="455"/>
      <c r="J75" s="455"/>
    </row>
    <row r="76">
      <c r="A76" s="451" t="s">
        <v>615</v>
      </c>
      <c r="B76" s="452">
        <v>238.0</v>
      </c>
      <c r="C76" s="453" t="s">
        <v>616</v>
      </c>
      <c r="D76" s="439"/>
      <c r="E76" s="454" t="s">
        <v>126</v>
      </c>
      <c r="F76" s="454" t="s">
        <v>493</v>
      </c>
      <c r="G76" s="454" t="s">
        <v>496</v>
      </c>
      <c r="H76" s="454" t="s">
        <v>489</v>
      </c>
      <c r="I76" s="455"/>
      <c r="J76" s="455"/>
    </row>
    <row r="77">
      <c r="A77" s="451" t="s">
        <v>617</v>
      </c>
      <c r="B77" s="452">
        <v>198.0</v>
      </c>
      <c r="C77" s="453" t="s">
        <v>618</v>
      </c>
      <c r="D77" s="439"/>
      <c r="E77" s="454" t="s">
        <v>126</v>
      </c>
      <c r="F77" s="454" t="s">
        <v>487</v>
      </c>
      <c r="G77" s="454" t="s">
        <v>496</v>
      </c>
      <c r="H77" s="454" t="s">
        <v>510</v>
      </c>
      <c r="I77" s="455"/>
      <c r="J77" s="455"/>
    </row>
    <row r="78">
      <c r="A78" s="451" t="s">
        <v>619</v>
      </c>
      <c r="B78" s="452">
        <v>198.0</v>
      </c>
      <c r="C78" s="453" t="s">
        <v>620</v>
      </c>
      <c r="D78" s="439"/>
      <c r="E78" s="454" t="s">
        <v>126</v>
      </c>
      <c r="F78" s="454" t="s">
        <v>549</v>
      </c>
      <c r="G78" s="454" t="s">
        <v>496</v>
      </c>
      <c r="H78" s="455"/>
      <c r="I78" s="455"/>
      <c r="J78" s="455"/>
    </row>
    <row r="79">
      <c r="A79" s="451" t="s">
        <v>621</v>
      </c>
      <c r="B79" s="452">
        <v>223.0</v>
      </c>
      <c r="C79" s="453" t="s">
        <v>622</v>
      </c>
      <c r="D79" s="439"/>
      <c r="E79" s="454" t="s">
        <v>126</v>
      </c>
      <c r="F79" s="454" t="s">
        <v>493</v>
      </c>
      <c r="G79" s="454" t="s">
        <v>504</v>
      </c>
      <c r="H79" s="454" t="s">
        <v>489</v>
      </c>
      <c r="I79" s="455"/>
      <c r="J79" s="455"/>
    </row>
    <row r="80">
      <c r="A80" s="451" t="s">
        <v>623</v>
      </c>
      <c r="B80" s="452">
        <v>250.0</v>
      </c>
      <c r="C80" s="453" t="s">
        <v>624</v>
      </c>
      <c r="D80" s="439"/>
      <c r="E80" s="454" t="s">
        <v>126</v>
      </c>
      <c r="F80" s="454" t="s">
        <v>500</v>
      </c>
      <c r="G80" s="454" t="s">
        <v>546</v>
      </c>
      <c r="H80" s="455"/>
      <c r="I80" s="455"/>
      <c r="J80" s="455"/>
    </row>
    <row r="81">
      <c r="A81" s="451" t="s">
        <v>625</v>
      </c>
      <c r="B81" s="452">
        <v>218.0</v>
      </c>
      <c r="C81" s="453" t="s">
        <v>626</v>
      </c>
      <c r="D81" s="439"/>
      <c r="E81" s="454" t="s">
        <v>126</v>
      </c>
      <c r="F81" s="454" t="s">
        <v>493</v>
      </c>
      <c r="G81" s="454" t="s">
        <v>496</v>
      </c>
      <c r="H81" s="454" t="s">
        <v>489</v>
      </c>
      <c r="I81" s="455"/>
      <c r="J81" s="455"/>
    </row>
    <row r="82">
      <c r="A82" s="451" t="s">
        <v>627</v>
      </c>
      <c r="B82" s="452">
        <v>215.0</v>
      </c>
      <c r="C82" s="453" t="s">
        <v>628</v>
      </c>
      <c r="D82" s="439"/>
      <c r="E82" s="454" t="s">
        <v>126</v>
      </c>
      <c r="F82" s="454" t="s">
        <v>487</v>
      </c>
      <c r="G82" s="454" t="s">
        <v>496</v>
      </c>
      <c r="H82" s="454" t="s">
        <v>510</v>
      </c>
      <c r="I82" s="455"/>
      <c r="J82" s="455"/>
    </row>
    <row r="83">
      <c r="A83" s="451" t="s">
        <v>629</v>
      </c>
      <c r="B83" s="452">
        <v>215.0</v>
      </c>
      <c r="C83" s="453" t="s">
        <v>630</v>
      </c>
      <c r="D83" s="439"/>
      <c r="E83" s="454" t="s">
        <v>126</v>
      </c>
      <c r="F83" s="454" t="s">
        <v>493</v>
      </c>
      <c r="G83" s="454" t="s">
        <v>496</v>
      </c>
      <c r="H83" s="454" t="s">
        <v>510</v>
      </c>
      <c r="I83" s="455"/>
      <c r="J83" s="455"/>
    </row>
    <row r="84">
      <c r="A84" s="451" t="s">
        <v>631</v>
      </c>
      <c r="B84" s="452">
        <v>198.0</v>
      </c>
      <c r="C84" s="453" t="s">
        <v>632</v>
      </c>
      <c r="D84" s="439"/>
      <c r="E84" s="454" t="s">
        <v>126</v>
      </c>
      <c r="F84" s="454" t="s">
        <v>500</v>
      </c>
      <c r="G84" s="454" t="s">
        <v>496</v>
      </c>
      <c r="H84" s="454" t="s">
        <v>497</v>
      </c>
      <c r="I84" s="455"/>
      <c r="J84" s="455"/>
    </row>
    <row r="85">
      <c r="A85" s="451" t="s">
        <v>633</v>
      </c>
      <c r="B85" s="452">
        <v>253.0</v>
      </c>
      <c r="C85" s="453" t="s">
        <v>634</v>
      </c>
      <c r="D85" s="439"/>
      <c r="E85" s="454" t="s">
        <v>126</v>
      </c>
      <c r="F85" s="454" t="s">
        <v>495</v>
      </c>
      <c r="G85" s="454" t="s">
        <v>488</v>
      </c>
      <c r="H85" s="454" t="s">
        <v>497</v>
      </c>
      <c r="I85" s="455"/>
      <c r="J85" s="455"/>
    </row>
    <row r="86">
      <c r="A86" s="451" t="s">
        <v>635</v>
      </c>
      <c r="B86" s="452">
        <v>110.0</v>
      </c>
      <c r="C86" s="453" t="s">
        <v>636</v>
      </c>
      <c r="D86" s="439"/>
      <c r="E86" s="454" t="s">
        <v>126</v>
      </c>
      <c r="F86" s="454" t="s">
        <v>495</v>
      </c>
      <c r="G86" s="454" t="s">
        <v>501</v>
      </c>
      <c r="H86" s="455"/>
      <c r="I86" s="455"/>
      <c r="J86" s="455"/>
    </row>
    <row r="87">
      <c r="A87" s="451" t="s">
        <v>637</v>
      </c>
      <c r="B87" s="452">
        <v>198.0</v>
      </c>
      <c r="C87" s="453" t="s">
        <v>638</v>
      </c>
      <c r="D87" s="439"/>
      <c r="E87" s="454" t="s">
        <v>126</v>
      </c>
      <c r="F87" s="454" t="s">
        <v>487</v>
      </c>
      <c r="G87" s="454" t="s">
        <v>488</v>
      </c>
      <c r="H87" s="454" t="s">
        <v>489</v>
      </c>
      <c r="I87" s="455"/>
      <c r="J87" s="455"/>
    </row>
    <row r="88">
      <c r="A88" s="451" t="s">
        <v>639</v>
      </c>
      <c r="B88" s="452">
        <v>198.0</v>
      </c>
      <c r="C88" s="453" t="s">
        <v>640</v>
      </c>
      <c r="D88" s="439"/>
      <c r="E88" s="454" t="s">
        <v>126</v>
      </c>
      <c r="F88" s="454" t="s">
        <v>540</v>
      </c>
      <c r="G88" s="454" t="s">
        <v>496</v>
      </c>
      <c r="H88" s="454" t="s">
        <v>510</v>
      </c>
      <c r="I88" s="455"/>
      <c r="J88" s="455"/>
    </row>
    <row r="89">
      <c r="A89" s="451" t="s">
        <v>641</v>
      </c>
      <c r="B89" s="452">
        <v>205.0</v>
      </c>
      <c r="C89" s="453" t="s">
        <v>642</v>
      </c>
      <c r="D89" s="439"/>
      <c r="E89" s="454" t="s">
        <v>126</v>
      </c>
      <c r="F89" s="454" t="s">
        <v>392</v>
      </c>
      <c r="G89" s="454" t="s">
        <v>496</v>
      </c>
      <c r="H89" s="454" t="s">
        <v>497</v>
      </c>
      <c r="I89" s="455"/>
      <c r="J89" s="455"/>
    </row>
    <row r="90">
      <c r="A90" s="451" t="s">
        <v>643</v>
      </c>
      <c r="B90" s="452">
        <v>210.0</v>
      </c>
      <c r="C90" s="453" t="s">
        <v>644</v>
      </c>
      <c r="D90" s="439"/>
      <c r="E90" s="454" t="s">
        <v>126</v>
      </c>
      <c r="F90" s="454" t="s">
        <v>493</v>
      </c>
      <c r="G90" s="454" t="s">
        <v>496</v>
      </c>
      <c r="H90" s="454" t="s">
        <v>497</v>
      </c>
      <c r="I90" s="455"/>
      <c r="J90" s="455"/>
    </row>
    <row r="91">
      <c r="A91" s="451" t="s">
        <v>645</v>
      </c>
      <c r="B91" s="452">
        <v>178.0</v>
      </c>
      <c r="C91" s="453" t="s">
        <v>646</v>
      </c>
      <c r="D91" s="439"/>
      <c r="E91" s="454" t="s">
        <v>126</v>
      </c>
      <c r="F91" s="454" t="s">
        <v>487</v>
      </c>
      <c r="G91" s="454" t="s">
        <v>496</v>
      </c>
      <c r="H91" s="454" t="s">
        <v>510</v>
      </c>
      <c r="I91" s="455"/>
      <c r="J91" s="455"/>
    </row>
    <row r="92">
      <c r="A92" s="451" t="s">
        <v>647</v>
      </c>
      <c r="B92" s="452">
        <v>198.0</v>
      </c>
      <c r="C92" s="453" t="s">
        <v>648</v>
      </c>
      <c r="D92" s="439"/>
      <c r="E92" s="454" t="s">
        <v>126</v>
      </c>
      <c r="F92" s="454" t="s">
        <v>392</v>
      </c>
      <c r="G92" s="454" t="s">
        <v>504</v>
      </c>
      <c r="H92" s="454" t="s">
        <v>510</v>
      </c>
      <c r="I92" s="455"/>
      <c r="J92" s="455"/>
    </row>
    <row r="93">
      <c r="A93" s="451" t="s">
        <v>649</v>
      </c>
      <c r="B93" s="452">
        <v>228.0</v>
      </c>
      <c r="C93" s="453" t="s">
        <v>490</v>
      </c>
      <c r="D93" s="439"/>
      <c r="E93" s="454" t="s">
        <v>126</v>
      </c>
      <c r="F93" s="454" t="s">
        <v>392</v>
      </c>
      <c r="G93" s="454" t="s">
        <v>546</v>
      </c>
      <c r="H93" s="454" t="s">
        <v>497</v>
      </c>
      <c r="I93" s="455"/>
      <c r="J93" s="455"/>
    </row>
    <row r="94">
      <c r="A94" s="451" t="s">
        <v>650</v>
      </c>
      <c r="B94" s="452">
        <v>220.0</v>
      </c>
      <c r="C94" s="453" t="s">
        <v>651</v>
      </c>
      <c r="D94" s="439"/>
      <c r="E94" s="454" t="s">
        <v>126</v>
      </c>
      <c r="F94" s="454" t="s">
        <v>493</v>
      </c>
      <c r="G94" s="454" t="s">
        <v>488</v>
      </c>
      <c r="H94" s="454" t="s">
        <v>489</v>
      </c>
      <c r="I94" s="455"/>
      <c r="J94" s="455"/>
    </row>
    <row r="95">
      <c r="A95" s="451" t="s">
        <v>652</v>
      </c>
      <c r="B95" s="463">
        <v>250.0</v>
      </c>
      <c r="C95" s="453" t="s">
        <v>653</v>
      </c>
      <c r="D95" s="439"/>
      <c r="E95" s="454" t="s">
        <v>126</v>
      </c>
      <c r="F95" s="454" t="s">
        <v>493</v>
      </c>
      <c r="G95" s="454" t="s">
        <v>546</v>
      </c>
      <c r="H95" s="454" t="s">
        <v>497</v>
      </c>
      <c r="I95" s="455"/>
      <c r="J95" s="455"/>
    </row>
    <row r="96">
      <c r="A96" s="451" t="s">
        <v>654</v>
      </c>
      <c r="B96" s="452">
        <v>230.0</v>
      </c>
      <c r="C96" s="453" t="s">
        <v>655</v>
      </c>
      <c r="D96" s="439"/>
      <c r="E96" s="454" t="s">
        <v>126</v>
      </c>
      <c r="F96" s="454" t="s">
        <v>487</v>
      </c>
      <c r="G96" s="454" t="s">
        <v>546</v>
      </c>
      <c r="H96" s="454" t="s">
        <v>497</v>
      </c>
      <c r="I96" s="455"/>
      <c r="J96" s="455"/>
    </row>
    <row r="97">
      <c r="A97" s="451" t="s">
        <v>656</v>
      </c>
      <c r="B97" s="452">
        <v>198.0</v>
      </c>
      <c r="C97" s="453" t="s">
        <v>657</v>
      </c>
      <c r="D97" s="439"/>
      <c r="E97" s="454" t="s">
        <v>126</v>
      </c>
      <c r="F97" s="454" t="s">
        <v>540</v>
      </c>
      <c r="G97" s="454" t="s">
        <v>546</v>
      </c>
      <c r="H97" s="454" t="s">
        <v>497</v>
      </c>
      <c r="I97" s="455"/>
      <c r="J97" s="455"/>
    </row>
    <row r="98">
      <c r="A98" s="451" t="s">
        <v>658</v>
      </c>
      <c r="B98" s="452">
        <v>228.0</v>
      </c>
      <c r="C98" s="453" t="s">
        <v>659</v>
      </c>
      <c r="D98" s="439"/>
      <c r="E98" s="454" t="s">
        <v>126</v>
      </c>
      <c r="F98" s="454" t="s">
        <v>493</v>
      </c>
      <c r="G98" s="454" t="s">
        <v>488</v>
      </c>
      <c r="H98" s="454" t="s">
        <v>510</v>
      </c>
      <c r="I98" s="455"/>
      <c r="J98" s="455"/>
    </row>
    <row r="99">
      <c r="A99" s="451" t="s">
        <v>660</v>
      </c>
      <c r="B99" s="452">
        <v>198.0</v>
      </c>
      <c r="C99" s="453" t="s">
        <v>661</v>
      </c>
      <c r="D99" s="439"/>
      <c r="E99" s="454" t="s">
        <v>126</v>
      </c>
      <c r="F99" s="454" t="s">
        <v>500</v>
      </c>
      <c r="G99" s="454" t="s">
        <v>496</v>
      </c>
      <c r="H99" s="455"/>
      <c r="I99" s="455"/>
      <c r="J99" s="455"/>
    </row>
    <row r="100">
      <c r="A100" s="451" t="s">
        <v>662</v>
      </c>
      <c r="B100" s="452">
        <v>198.0</v>
      </c>
      <c r="C100" s="453" t="s">
        <v>663</v>
      </c>
      <c r="D100" s="439"/>
      <c r="E100" s="454" t="s">
        <v>126</v>
      </c>
      <c r="F100" s="454" t="s">
        <v>392</v>
      </c>
      <c r="G100" s="454" t="s">
        <v>488</v>
      </c>
      <c r="H100" s="454" t="s">
        <v>497</v>
      </c>
      <c r="I100" s="455"/>
      <c r="J100" s="455"/>
    </row>
    <row r="101">
      <c r="A101" s="451" t="s">
        <v>664</v>
      </c>
      <c r="B101" s="452">
        <v>212.0</v>
      </c>
      <c r="C101" s="453" t="s">
        <v>665</v>
      </c>
      <c r="D101" s="439"/>
      <c r="E101" s="454" t="s">
        <v>126</v>
      </c>
      <c r="F101" s="454" t="s">
        <v>493</v>
      </c>
      <c r="G101" s="454" t="s">
        <v>488</v>
      </c>
      <c r="H101" s="454" t="s">
        <v>489</v>
      </c>
      <c r="I101" s="455"/>
      <c r="J101" s="455"/>
    </row>
    <row r="102">
      <c r="A102" s="451" t="s">
        <v>666</v>
      </c>
      <c r="B102" s="452">
        <v>198.0</v>
      </c>
      <c r="C102" s="453" t="s">
        <v>667</v>
      </c>
      <c r="D102" s="439"/>
      <c r="E102" s="454" t="s">
        <v>126</v>
      </c>
      <c r="F102" s="454" t="s">
        <v>487</v>
      </c>
      <c r="G102" s="454" t="s">
        <v>488</v>
      </c>
      <c r="H102" s="454" t="s">
        <v>510</v>
      </c>
      <c r="I102" s="455"/>
      <c r="J102" s="455"/>
    </row>
    <row r="103">
      <c r="A103" s="451" t="s">
        <v>668</v>
      </c>
      <c r="B103" s="452">
        <v>230.0</v>
      </c>
      <c r="C103" s="453" t="s">
        <v>669</v>
      </c>
      <c r="D103" s="439"/>
      <c r="E103" s="454" t="s">
        <v>126</v>
      </c>
      <c r="F103" s="454" t="s">
        <v>392</v>
      </c>
      <c r="G103" s="454" t="s">
        <v>488</v>
      </c>
      <c r="H103" s="454" t="s">
        <v>489</v>
      </c>
      <c r="I103" s="455"/>
      <c r="J103" s="455"/>
    </row>
    <row r="104">
      <c r="A104" s="451" t="s">
        <v>670</v>
      </c>
      <c r="B104" s="452">
        <v>255.0</v>
      </c>
      <c r="C104" s="453" t="s">
        <v>671</v>
      </c>
      <c r="D104" s="439"/>
      <c r="E104" s="454" t="s">
        <v>126</v>
      </c>
      <c r="F104" s="454" t="s">
        <v>487</v>
      </c>
      <c r="G104" s="454" t="s">
        <v>546</v>
      </c>
      <c r="H104" s="454" t="s">
        <v>497</v>
      </c>
      <c r="I104" s="455"/>
      <c r="J104" s="455"/>
    </row>
    <row r="105">
      <c r="A105" s="451" t="s">
        <v>672</v>
      </c>
      <c r="B105" s="452">
        <v>220.0</v>
      </c>
      <c r="C105" s="453" t="s">
        <v>673</v>
      </c>
      <c r="D105" s="439"/>
      <c r="E105" s="454" t="s">
        <v>126</v>
      </c>
      <c r="F105" s="454" t="s">
        <v>392</v>
      </c>
      <c r="G105" s="454" t="s">
        <v>504</v>
      </c>
      <c r="H105" s="454" t="s">
        <v>489</v>
      </c>
      <c r="I105" s="455"/>
      <c r="J105" s="455"/>
    </row>
    <row r="106">
      <c r="A106" s="451" t="s">
        <v>674</v>
      </c>
      <c r="B106" s="452">
        <v>217.0</v>
      </c>
      <c r="C106" s="453" t="s">
        <v>676</v>
      </c>
      <c r="D106" s="439"/>
      <c r="E106" s="454" t="s">
        <v>126</v>
      </c>
      <c r="F106" s="454" t="s">
        <v>493</v>
      </c>
      <c r="G106" s="454" t="s">
        <v>504</v>
      </c>
      <c r="H106" s="454" t="s">
        <v>489</v>
      </c>
      <c r="I106" s="455"/>
      <c r="J106" s="455"/>
    </row>
    <row r="107">
      <c r="A107" s="451" t="s">
        <v>680</v>
      </c>
      <c r="B107" s="452">
        <v>205.0</v>
      </c>
      <c r="C107" s="453" t="s">
        <v>681</v>
      </c>
      <c r="D107" s="439"/>
      <c r="E107" s="454" t="s">
        <v>126</v>
      </c>
      <c r="F107" s="454" t="s">
        <v>540</v>
      </c>
      <c r="G107" s="454" t="s">
        <v>488</v>
      </c>
      <c r="H107" s="454" t="s">
        <v>510</v>
      </c>
      <c r="I107" s="455"/>
      <c r="J107" s="455"/>
    </row>
    <row r="108">
      <c r="A108" s="451" t="s">
        <v>684</v>
      </c>
      <c r="B108" s="452">
        <v>266.0</v>
      </c>
      <c r="C108" s="453" t="s">
        <v>316</v>
      </c>
      <c r="D108" s="439"/>
      <c r="E108" s="454" t="s">
        <v>126</v>
      </c>
      <c r="F108" s="454" t="s">
        <v>487</v>
      </c>
      <c r="G108" s="454" t="s">
        <v>488</v>
      </c>
      <c r="H108" s="454" t="s">
        <v>497</v>
      </c>
      <c r="I108" s="455"/>
      <c r="J108" s="455"/>
    </row>
    <row r="109">
      <c r="A109" s="451" t="s">
        <v>687</v>
      </c>
      <c r="B109" s="452">
        <v>170.0</v>
      </c>
      <c r="C109" s="453" t="s">
        <v>688</v>
      </c>
      <c r="D109" s="439"/>
      <c r="E109" s="454" t="s">
        <v>126</v>
      </c>
      <c r="F109" s="454" t="s">
        <v>493</v>
      </c>
      <c r="G109" s="454" t="s">
        <v>496</v>
      </c>
      <c r="H109" s="454" t="s">
        <v>510</v>
      </c>
      <c r="I109" s="455"/>
      <c r="J109" s="455"/>
    </row>
    <row r="110">
      <c r="A110" s="451" t="s">
        <v>693</v>
      </c>
      <c r="B110" s="452">
        <v>213.0</v>
      </c>
      <c r="C110" s="453" t="s">
        <v>695</v>
      </c>
      <c r="D110" s="439"/>
      <c r="E110" s="454" t="s">
        <v>126</v>
      </c>
      <c r="F110" s="454" t="s">
        <v>392</v>
      </c>
      <c r="G110" s="454" t="s">
        <v>504</v>
      </c>
      <c r="H110" s="454" t="s">
        <v>489</v>
      </c>
      <c r="I110" s="455"/>
      <c r="J110" s="455"/>
    </row>
    <row r="111">
      <c r="A111" s="451" t="s">
        <v>697</v>
      </c>
      <c r="B111" s="452">
        <v>212.0</v>
      </c>
      <c r="C111" s="453" t="s">
        <v>698</v>
      </c>
      <c r="D111" s="439"/>
      <c r="E111" s="454" t="s">
        <v>126</v>
      </c>
      <c r="F111" s="454" t="s">
        <v>392</v>
      </c>
      <c r="G111" s="454" t="s">
        <v>496</v>
      </c>
      <c r="H111" s="454" t="s">
        <v>497</v>
      </c>
      <c r="I111" s="455"/>
      <c r="J111" s="455"/>
    </row>
    <row r="112">
      <c r="A112" s="451" t="s">
        <v>701</v>
      </c>
      <c r="B112" s="452">
        <v>218.0</v>
      </c>
      <c r="C112" s="453" t="s">
        <v>702</v>
      </c>
      <c r="D112" s="439"/>
      <c r="E112" s="454" t="s">
        <v>126</v>
      </c>
      <c r="F112" s="454" t="s">
        <v>493</v>
      </c>
      <c r="G112" s="454" t="s">
        <v>488</v>
      </c>
      <c r="H112" s="454" t="s">
        <v>489</v>
      </c>
      <c r="I112" s="455"/>
      <c r="J112" s="455"/>
    </row>
    <row r="113">
      <c r="A113" s="451" t="s">
        <v>706</v>
      </c>
      <c r="B113" s="452">
        <v>168.0</v>
      </c>
      <c r="C113" s="453" t="s">
        <v>709</v>
      </c>
      <c r="D113" s="439"/>
      <c r="E113" s="454" t="s">
        <v>126</v>
      </c>
      <c r="F113" s="454" t="s">
        <v>487</v>
      </c>
      <c r="G113" s="454" t="s">
        <v>488</v>
      </c>
      <c r="H113" s="454" t="s">
        <v>510</v>
      </c>
      <c r="I113" s="455"/>
      <c r="J113" s="455"/>
    </row>
    <row r="114">
      <c r="A114" s="451" t="s">
        <v>712</v>
      </c>
      <c r="B114" s="452">
        <v>250.0</v>
      </c>
      <c r="C114" s="453" t="s">
        <v>714</v>
      </c>
      <c r="D114" s="439"/>
      <c r="E114" s="454" t="s">
        <v>126</v>
      </c>
      <c r="F114" s="454" t="s">
        <v>487</v>
      </c>
      <c r="G114" s="454" t="s">
        <v>504</v>
      </c>
      <c r="H114" s="454" t="s">
        <v>497</v>
      </c>
      <c r="I114" s="455"/>
      <c r="J114" s="455"/>
    </row>
    <row r="115">
      <c r="A115" s="451" t="s">
        <v>715</v>
      </c>
      <c r="B115" s="452">
        <v>228.0</v>
      </c>
      <c r="C115" s="453" t="s">
        <v>716</v>
      </c>
      <c r="D115" s="439"/>
      <c r="E115" s="454" t="s">
        <v>126</v>
      </c>
      <c r="F115" s="454" t="s">
        <v>493</v>
      </c>
      <c r="G115" s="454" t="s">
        <v>504</v>
      </c>
      <c r="H115" s="454" t="s">
        <v>489</v>
      </c>
      <c r="I115" s="455"/>
      <c r="J115" s="455"/>
    </row>
    <row r="116">
      <c r="A116" s="451" t="s">
        <v>720</v>
      </c>
      <c r="B116" s="452">
        <v>203.0</v>
      </c>
      <c r="C116" s="453" t="s">
        <v>722</v>
      </c>
      <c r="D116" s="439"/>
      <c r="E116" s="454" t="s">
        <v>126</v>
      </c>
      <c r="F116" s="454" t="s">
        <v>392</v>
      </c>
      <c r="G116" s="454" t="s">
        <v>488</v>
      </c>
      <c r="H116" s="454" t="s">
        <v>497</v>
      </c>
      <c r="I116" s="455"/>
      <c r="J116" s="455"/>
    </row>
    <row r="117">
      <c r="A117" s="451" t="s">
        <v>723</v>
      </c>
      <c r="B117" s="452">
        <v>178.0</v>
      </c>
      <c r="C117" s="453" t="s">
        <v>724</v>
      </c>
      <c r="D117" s="439"/>
      <c r="E117" s="454" t="s">
        <v>126</v>
      </c>
      <c r="F117" s="454" t="s">
        <v>493</v>
      </c>
      <c r="G117" s="454" t="s">
        <v>496</v>
      </c>
      <c r="H117" s="454" t="s">
        <v>497</v>
      </c>
      <c r="I117" s="455"/>
      <c r="J117" s="455"/>
    </row>
    <row r="118">
      <c r="A118" s="451" t="s">
        <v>725</v>
      </c>
      <c r="B118" s="452">
        <v>198.0</v>
      </c>
      <c r="C118" s="453" t="s">
        <v>727</v>
      </c>
      <c r="D118" s="439"/>
      <c r="E118" s="454" t="s">
        <v>126</v>
      </c>
      <c r="F118" s="454" t="s">
        <v>487</v>
      </c>
      <c r="G118" s="454" t="s">
        <v>488</v>
      </c>
      <c r="H118" s="454" t="s">
        <v>497</v>
      </c>
      <c r="I118" s="455"/>
      <c r="J118" s="455"/>
    </row>
    <row r="119">
      <c r="A119" s="451" t="s">
        <v>728</v>
      </c>
      <c r="B119" s="452">
        <v>218.0</v>
      </c>
      <c r="C119" s="453" t="s">
        <v>730</v>
      </c>
      <c r="D119" s="439"/>
      <c r="E119" s="454" t="s">
        <v>126</v>
      </c>
      <c r="F119" s="454" t="s">
        <v>493</v>
      </c>
      <c r="G119" s="454" t="s">
        <v>488</v>
      </c>
      <c r="H119" s="454" t="s">
        <v>489</v>
      </c>
      <c r="I119" s="455"/>
      <c r="J119" s="455"/>
    </row>
    <row r="120">
      <c r="A120" s="451" t="s">
        <v>733</v>
      </c>
      <c r="B120" s="452">
        <v>208.0</v>
      </c>
      <c r="C120" s="453" t="s">
        <v>734</v>
      </c>
      <c r="D120" s="439"/>
      <c r="E120" s="454" t="s">
        <v>126</v>
      </c>
      <c r="F120" s="454" t="s">
        <v>493</v>
      </c>
      <c r="G120" s="454" t="s">
        <v>488</v>
      </c>
      <c r="H120" s="454" t="s">
        <v>497</v>
      </c>
      <c r="I120" s="455"/>
      <c r="J120" s="455"/>
    </row>
    <row r="121">
      <c r="A121" s="451" t="s">
        <v>735</v>
      </c>
      <c r="B121" s="452">
        <v>215.0</v>
      </c>
      <c r="C121" s="453" t="s">
        <v>736</v>
      </c>
      <c r="D121" s="439"/>
      <c r="E121" s="454" t="s">
        <v>126</v>
      </c>
      <c r="F121" s="454" t="s">
        <v>493</v>
      </c>
      <c r="G121" s="454" t="s">
        <v>496</v>
      </c>
      <c r="H121" s="454" t="s">
        <v>497</v>
      </c>
      <c r="I121" s="455"/>
      <c r="J121" s="455"/>
    </row>
    <row r="122">
      <c r="A122" s="451" t="s">
        <v>740</v>
      </c>
      <c r="B122" s="452">
        <v>198.0</v>
      </c>
      <c r="C122" s="453" t="s">
        <v>742</v>
      </c>
      <c r="D122" s="439"/>
      <c r="E122" s="454" t="s">
        <v>126</v>
      </c>
      <c r="F122" s="454" t="s">
        <v>540</v>
      </c>
      <c r="G122" s="454" t="s">
        <v>488</v>
      </c>
      <c r="H122" s="454" t="s">
        <v>489</v>
      </c>
      <c r="I122" s="455"/>
      <c r="J122" s="455"/>
    </row>
    <row r="123">
      <c r="A123" s="451" t="s">
        <v>744</v>
      </c>
      <c r="B123" s="452">
        <v>274.0</v>
      </c>
      <c r="C123" s="453" t="s">
        <v>745</v>
      </c>
      <c r="D123" s="439"/>
      <c r="E123" s="454" t="s">
        <v>126</v>
      </c>
      <c r="F123" s="454" t="s">
        <v>500</v>
      </c>
      <c r="G123" s="454" t="s">
        <v>488</v>
      </c>
      <c r="H123" s="454" t="s">
        <v>510</v>
      </c>
      <c r="I123" s="455"/>
      <c r="J123" s="455"/>
    </row>
    <row r="124">
      <c r="A124" s="451" t="s">
        <v>749</v>
      </c>
      <c r="B124" s="452">
        <v>215.0</v>
      </c>
      <c r="C124" s="453" t="s">
        <v>450</v>
      </c>
      <c r="D124" s="439"/>
      <c r="E124" s="454" t="s">
        <v>126</v>
      </c>
      <c r="F124" s="454" t="s">
        <v>500</v>
      </c>
      <c r="G124" s="454" t="s">
        <v>546</v>
      </c>
      <c r="H124" s="454" t="s">
        <v>497</v>
      </c>
      <c r="I124" s="455"/>
      <c r="J124" s="455"/>
    </row>
    <row r="125">
      <c r="A125" s="451" t="s">
        <v>751</v>
      </c>
      <c r="B125" s="452">
        <v>199.0</v>
      </c>
      <c r="C125" s="453" t="s">
        <v>752</v>
      </c>
      <c r="D125" s="439"/>
      <c r="E125" s="454" t="s">
        <v>126</v>
      </c>
      <c r="F125" s="454" t="s">
        <v>487</v>
      </c>
      <c r="G125" s="454" t="s">
        <v>496</v>
      </c>
      <c r="H125" s="454" t="s">
        <v>489</v>
      </c>
      <c r="I125" s="455"/>
      <c r="J125" s="455"/>
    </row>
    <row r="126">
      <c r="A126" s="451" t="s">
        <v>755</v>
      </c>
      <c r="B126" s="452">
        <v>188.0</v>
      </c>
      <c r="C126" s="453" t="s">
        <v>757</v>
      </c>
      <c r="D126" s="439"/>
      <c r="E126" s="454" t="s">
        <v>126</v>
      </c>
      <c r="F126" s="454" t="s">
        <v>392</v>
      </c>
      <c r="G126" s="454" t="s">
        <v>504</v>
      </c>
      <c r="H126" s="454" t="s">
        <v>489</v>
      </c>
      <c r="I126" s="455"/>
      <c r="J126" s="455"/>
    </row>
    <row r="127">
      <c r="A127" s="516">
        <v>4328.0</v>
      </c>
      <c r="B127" s="518">
        <v>211.0</v>
      </c>
      <c r="C127" s="305" t="s">
        <v>761</v>
      </c>
      <c r="D127" s="439"/>
      <c r="E127" s="454" t="s">
        <v>126</v>
      </c>
      <c r="F127" s="470" t="s">
        <v>487</v>
      </c>
      <c r="G127" s="470" t="s">
        <v>488</v>
      </c>
      <c r="H127" s="470" t="s">
        <v>497</v>
      </c>
      <c r="I127" s="455"/>
      <c r="J127" s="455"/>
    </row>
    <row r="128">
      <c r="A128" s="451" t="s">
        <v>762</v>
      </c>
      <c r="B128" s="452">
        <v>248.0</v>
      </c>
      <c r="C128" s="453" t="s">
        <v>763</v>
      </c>
      <c r="D128" s="439"/>
      <c r="E128" s="454" t="s">
        <v>126</v>
      </c>
      <c r="F128" s="454" t="s">
        <v>487</v>
      </c>
      <c r="G128" s="454" t="s">
        <v>488</v>
      </c>
      <c r="H128" s="454" t="s">
        <v>497</v>
      </c>
      <c r="I128" s="455"/>
      <c r="J128" s="455"/>
    </row>
    <row r="129">
      <c r="A129" s="451" t="s">
        <v>764</v>
      </c>
      <c r="B129" s="452">
        <v>198.0</v>
      </c>
      <c r="C129" s="453" t="s">
        <v>529</v>
      </c>
      <c r="D129" s="439"/>
      <c r="E129" s="454" t="s">
        <v>126</v>
      </c>
      <c r="F129" s="454" t="s">
        <v>392</v>
      </c>
      <c r="G129" s="454" t="s">
        <v>504</v>
      </c>
      <c r="H129" s="454" t="s">
        <v>489</v>
      </c>
      <c r="I129" s="455"/>
      <c r="J129" s="455"/>
    </row>
    <row r="130">
      <c r="A130" s="451" t="s">
        <v>765</v>
      </c>
      <c r="B130" s="452">
        <v>188.0</v>
      </c>
      <c r="C130" s="453" t="s">
        <v>766</v>
      </c>
      <c r="D130" s="439"/>
      <c r="E130" s="454" t="s">
        <v>126</v>
      </c>
      <c r="F130" s="454" t="s">
        <v>487</v>
      </c>
      <c r="G130" s="454" t="s">
        <v>488</v>
      </c>
      <c r="H130" s="454" t="s">
        <v>489</v>
      </c>
      <c r="I130" s="455"/>
      <c r="J130" s="455"/>
    </row>
    <row r="131">
      <c r="A131" s="451" t="s">
        <v>768</v>
      </c>
      <c r="B131" s="452">
        <v>188.0</v>
      </c>
      <c r="C131" s="453" t="s">
        <v>458</v>
      </c>
      <c r="D131" s="439"/>
      <c r="E131" s="454" t="s">
        <v>126</v>
      </c>
      <c r="F131" s="454" t="s">
        <v>493</v>
      </c>
      <c r="G131" s="454" t="s">
        <v>504</v>
      </c>
      <c r="H131" s="454" t="s">
        <v>489</v>
      </c>
      <c r="I131" s="455"/>
      <c r="J131" s="455"/>
    </row>
    <row r="132">
      <c r="A132" s="451" t="s">
        <v>769</v>
      </c>
      <c r="B132" s="452">
        <v>188.0</v>
      </c>
      <c r="C132" s="453" t="s">
        <v>586</v>
      </c>
      <c r="D132" s="439"/>
      <c r="E132" s="454" t="s">
        <v>126</v>
      </c>
      <c r="F132" s="454" t="s">
        <v>540</v>
      </c>
      <c r="G132" s="454" t="s">
        <v>488</v>
      </c>
      <c r="H132" s="454" t="s">
        <v>510</v>
      </c>
      <c r="I132" s="455"/>
      <c r="J132" s="455"/>
    </row>
    <row r="133">
      <c r="A133" s="451" t="s">
        <v>770</v>
      </c>
      <c r="B133" s="452">
        <v>210.0</v>
      </c>
      <c r="C133" s="453" t="s">
        <v>372</v>
      </c>
      <c r="D133" s="439"/>
      <c r="E133" s="454" t="s">
        <v>126</v>
      </c>
      <c r="F133" s="454" t="s">
        <v>392</v>
      </c>
      <c r="G133" s="454" t="s">
        <v>504</v>
      </c>
      <c r="H133" s="454" t="s">
        <v>489</v>
      </c>
      <c r="I133" s="455"/>
      <c r="J133" s="455"/>
    </row>
    <row r="134">
      <c r="A134" s="451" t="s">
        <v>771</v>
      </c>
      <c r="B134" s="452">
        <v>268.0</v>
      </c>
      <c r="C134" s="453" t="s">
        <v>767</v>
      </c>
      <c r="D134" s="439"/>
      <c r="E134" s="454" t="s">
        <v>126</v>
      </c>
      <c r="F134" s="454" t="s">
        <v>500</v>
      </c>
      <c r="G134" s="454" t="s">
        <v>488</v>
      </c>
      <c r="H134" s="454" t="s">
        <v>497</v>
      </c>
      <c r="I134" s="455"/>
      <c r="J134" s="455"/>
    </row>
    <row r="135">
      <c r="A135" s="451" t="s">
        <v>772</v>
      </c>
      <c r="B135" s="452">
        <v>258.0</v>
      </c>
      <c r="C135" s="453" t="s">
        <v>773</v>
      </c>
      <c r="D135" s="439"/>
      <c r="E135" s="454" t="s">
        <v>126</v>
      </c>
      <c r="F135" s="454" t="s">
        <v>500</v>
      </c>
      <c r="G135" s="454" t="s">
        <v>488</v>
      </c>
      <c r="H135" s="454" t="s">
        <v>497</v>
      </c>
      <c r="I135" s="455"/>
      <c r="J135" s="455"/>
    </row>
    <row r="136">
      <c r="A136" s="451" t="s">
        <v>774</v>
      </c>
      <c r="B136" s="452">
        <v>268.0</v>
      </c>
      <c r="C136" s="453" t="s">
        <v>775</v>
      </c>
      <c r="D136" s="439"/>
      <c r="E136" s="454" t="s">
        <v>126</v>
      </c>
      <c r="F136" s="454" t="s">
        <v>495</v>
      </c>
      <c r="G136" s="454" t="s">
        <v>501</v>
      </c>
      <c r="H136" s="454" t="s">
        <v>497</v>
      </c>
      <c r="I136" s="455"/>
      <c r="J136" s="455"/>
    </row>
    <row r="137">
      <c r="A137" s="451" t="s">
        <v>776</v>
      </c>
      <c r="B137" s="452">
        <v>272.0</v>
      </c>
      <c r="C137" s="453" t="s">
        <v>777</v>
      </c>
      <c r="D137" s="439"/>
      <c r="E137" s="454" t="s">
        <v>126</v>
      </c>
      <c r="F137" s="454" t="s">
        <v>495</v>
      </c>
      <c r="G137" s="454" t="s">
        <v>496</v>
      </c>
      <c r="H137" s="454" t="s">
        <v>510</v>
      </c>
      <c r="I137" s="455"/>
      <c r="J137" s="455"/>
    </row>
    <row r="138">
      <c r="A138" s="451" t="s">
        <v>778</v>
      </c>
      <c r="B138" s="452">
        <v>214.0</v>
      </c>
      <c r="C138" s="453" t="s">
        <v>779</v>
      </c>
      <c r="D138" s="439"/>
      <c r="E138" s="454" t="s">
        <v>126</v>
      </c>
      <c r="F138" s="454" t="s">
        <v>495</v>
      </c>
      <c r="G138" s="454" t="s">
        <v>496</v>
      </c>
      <c r="H138" s="454" t="s">
        <v>510</v>
      </c>
      <c r="I138" s="455"/>
      <c r="J138" s="455"/>
    </row>
    <row r="139">
      <c r="A139" s="451" t="s">
        <v>781</v>
      </c>
      <c r="B139" s="452">
        <v>188.0</v>
      </c>
      <c r="C139" s="453" t="s">
        <v>782</v>
      </c>
      <c r="D139" s="439"/>
      <c r="E139" s="454" t="s">
        <v>126</v>
      </c>
      <c r="F139" s="454" t="s">
        <v>493</v>
      </c>
      <c r="G139" s="470" t="s">
        <v>488</v>
      </c>
      <c r="H139" s="470" t="s">
        <v>489</v>
      </c>
      <c r="I139" s="455"/>
      <c r="J139" s="455"/>
    </row>
    <row r="140">
      <c r="A140" s="523" t="s">
        <v>783</v>
      </c>
      <c r="B140" s="524">
        <v>203.0</v>
      </c>
      <c r="C140" s="525" t="s">
        <v>785</v>
      </c>
      <c r="D140" s="439"/>
      <c r="E140" s="470" t="s">
        <v>126</v>
      </c>
      <c r="F140" s="470" t="s">
        <v>495</v>
      </c>
      <c r="G140" s="470" t="s">
        <v>488</v>
      </c>
      <c r="H140" s="470" t="s">
        <v>497</v>
      </c>
      <c r="I140" s="455"/>
      <c r="J140" s="526"/>
      <c r="L140" s="527"/>
      <c r="N140" s="527"/>
    </row>
    <row r="141">
      <c r="A141" s="523" t="s">
        <v>787</v>
      </c>
      <c r="B141" s="524">
        <v>212.0</v>
      </c>
      <c r="C141" s="525" t="s">
        <v>789</v>
      </c>
      <c r="D141" s="439"/>
      <c r="E141" s="470" t="s">
        <v>126</v>
      </c>
      <c r="F141" s="470" t="s">
        <v>540</v>
      </c>
      <c r="G141" s="470" t="s">
        <v>496</v>
      </c>
      <c r="H141" s="470" t="s">
        <v>510</v>
      </c>
      <c r="I141" s="455"/>
      <c r="J141" s="526"/>
      <c r="L141" s="527"/>
      <c r="N141" s="527"/>
    </row>
    <row r="142">
      <c r="A142" s="523" t="s">
        <v>264</v>
      </c>
      <c r="B142" s="524">
        <v>198.0</v>
      </c>
      <c r="C142" s="525" t="s">
        <v>790</v>
      </c>
      <c r="D142" s="439"/>
      <c r="E142" s="470" t="s">
        <v>126</v>
      </c>
      <c r="F142" s="470" t="s">
        <v>540</v>
      </c>
      <c r="G142" s="470" t="s">
        <v>496</v>
      </c>
      <c r="H142" s="470" t="s">
        <v>497</v>
      </c>
      <c r="I142" s="455"/>
      <c r="J142" s="526"/>
      <c r="L142" s="527"/>
      <c r="N142" s="527"/>
    </row>
    <row r="143">
      <c r="A143" s="523" t="s">
        <v>791</v>
      </c>
      <c r="B143" s="524">
        <v>198.0</v>
      </c>
      <c r="C143" s="525" t="s">
        <v>792</v>
      </c>
      <c r="D143" s="439"/>
      <c r="E143" s="470" t="s">
        <v>126</v>
      </c>
      <c r="F143" s="470" t="s">
        <v>493</v>
      </c>
      <c r="G143" s="470" t="s">
        <v>496</v>
      </c>
      <c r="H143" s="470" t="s">
        <v>510</v>
      </c>
      <c r="I143" s="455"/>
      <c r="J143" s="526"/>
      <c r="L143" s="527"/>
      <c r="N143" s="527"/>
    </row>
    <row r="144">
      <c r="A144" s="523" t="s">
        <v>793</v>
      </c>
      <c r="B144" s="524">
        <v>238.0</v>
      </c>
      <c r="C144" s="525" t="s">
        <v>794</v>
      </c>
      <c r="D144" s="439"/>
      <c r="E144" s="470" t="s">
        <v>126</v>
      </c>
      <c r="F144" s="470" t="s">
        <v>495</v>
      </c>
      <c r="G144" s="470" t="s">
        <v>488</v>
      </c>
      <c r="H144" s="470" t="s">
        <v>510</v>
      </c>
      <c r="I144" s="455"/>
      <c r="J144" s="526"/>
      <c r="L144" s="527"/>
      <c r="N144" s="527"/>
    </row>
    <row r="145">
      <c r="A145" s="523" t="s">
        <v>795</v>
      </c>
      <c r="B145" s="524">
        <v>214.0</v>
      </c>
      <c r="C145" s="525" t="s">
        <v>796</v>
      </c>
      <c r="D145" s="439"/>
      <c r="E145" s="470" t="s">
        <v>126</v>
      </c>
      <c r="F145" s="470" t="s">
        <v>500</v>
      </c>
      <c r="G145" s="470" t="s">
        <v>488</v>
      </c>
      <c r="H145" s="470" t="s">
        <v>489</v>
      </c>
      <c r="I145" s="455"/>
      <c r="J145" s="526"/>
      <c r="L145" s="527"/>
      <c r="N145" s="527"/>
    </row>
    <row r="146">
      <c r="A146" s="523" t="s">
        <v>797</v>
      </c>
      <c r="B146" s="524">
        <v>273.0</v>
      </c>
      <c r="C146" s="525" t="s">
        <v>798</v>
      </c>
      <c r="D146" s="439"/>
      <c r="E146" s="470" t="s">
        <v>126</v>
      </c>
      <c r="F146" s="470" t="s">
        <v>495</v>
      </c>
      <c r="G146" s="470" t="s">
        <v>488</v>
      </c>
      <c r="H146" s="470" t="s">
        <v>489</v>
      </c>
      <c r="I146" s="455"/>
      <c r="J146" s="526"/>
      <c r="L146" s="527"/>
      <c r="N146" s="527"/>
    </row>
    <row r="147">
      <c r="A147" s="523" t="s">
        <v>799</v>
      </c>
      <c r="B147" s="524">
        <v>195.0</v>
      </c>
      <c r="C147" s="525" t="s">
        <v>426</v>
      </c>
      <c r="D147" s="439"/>
      <c r="E147" s="470" t="s">
        <v>126</v>
      </c>
      <c r="F147" s="470" t="s">
        <v>392</v>
      </c>
      <c r="G147" s="470" t="s">
        <v>488</v>
      </c>
      <c r="H147" s="470" t="s">
        <v>497</v>
      </c>
      <c r="I147" s="455"/>
      <c r="J147" s="526"/>
      <c r="L147" s="527"/>
      <c r="N147" s="527"/>
    </row>
    <row r="148">
      <c r="A148" s="523" t="s">
        <v>800</v>
      </c>
      <c r="B148" s="524">
        <v>238.0</v>
      </c>
      <c r="C148" s="525" t="s">
        <v>801</v>
      </c>
      <c r="D148" s="439"/>
      <c r="E148" s="470" t="s">
        <v>126</v>
      </c>
      <c r="F148" s="470" t="s">
        <v>487</v>
      </c>
      <c r="G148" s="470" t="s">
        <v>488</v>
      </c>
      <c r="H148" s="470" t="s">
        <v>497</v>
      </c>
      <c r="I148" s="455"/>
      <c r="J148" s="526"/>
      <c r="L148" s="527"/>
      <c r="N148" s="527"/>
    </row>
    <row r="149">
      <c r="A149" s="523" t="s">
        <v>803</v>
      </c>
      <c r="B149" s="524">
        <v>198.0</v>
      </c>
      <c r="C149" s="525" t="s">
        <v>804</v>
      </c>
      <c r="D149" s="439"/>
      <c r="E149" s="470" t="s">
        <v>126</v>
      </c>
      <c r="F149" s="470" t="s">
        <v>495</v>
      </c>
      <c r="G149" s="470" t="s">
        <v>488</v>
      </c>
      <c r="H149" s="470" t="s">
        <v>510</v>
      </c>
      <c r="I149" s="455"/>
      <c r="J149" s="526"/>
      <c r="L149" s="527"/>
      <c r="N149" s="527"/>
    </row>
    <row r="150">
      <c r="A150" s="523" t="s">
        <v>805</v>
      </c>
      <c r="B150" s="524">
        <v>198.0</v>
      </c>
      <c r="C150" s="525" t="s">
        <v>806</v>
      </c>
      <c r="D150" s="439"/>
      <c r="E150" s="470" t="s">
        <v>126</v>
      </c>
      <c r="F150" s="470" t="s">
        <v>540</v>
      </c>
      <c r="G150" s="470" t="s">
        <v>504</v>
      </c>
      <c r="H150" s="470" t="s">
        <v>489</v>
      </c>
      <c r="I150" s="455"/>
      <c r="J150" s="526"/>
      <c r="L150" s="527"/>
      <c r="N150" s="527"/>
    </row>
    <row r="151">
      <c r="A151" s="523" t="s">
        <v>809</v>
      </c>
      <c r="B151" s="524">
        <v>208.0</v>
      </c>
      <c r="C151" s="525" t="s">
        <v>810</v>
      </c>
      <c r="D151" s="439"/>
      <c r="E151" s="470" t="s">
        <v>126</v>
      </c>
      <c r="F151" s="470" t="s">
        <v>540</v>
      </c>
      <c r="G151" s="470" t="s">
        <v>504</v>
      </c>
      <c r="H151" s="470" t="s">
        <v>489</v>
      </c>
      <c r="I151" s="455"/>
      <c r="J151" s="526"/>
      <c r="L151" s="527"/>
      <c r="N151" s="527"/>
    </row>
    <row r="152">
      <c r="A152" s="523" t="s">
        <v>812</v>
      </c>
      <c r="B152" s="524">
        <v>212.0</v>
      </c>
      <c r="C152" s="525" t="s">
        <v>813</v>
      </c>
      <c r="D152" s="439"/>
      <c r="E152" s="470" t="s">
        <v>126</v>
      </c>
      <c r="F152" s="470" t="s">
        <v>392</v>
      </c>
      <c r="G152" s="470" t="s">
        <v>504</v>
      </c>
      <c r="H152" s="470" t="s">
        <v>489</v>
      </c>
      <c r="I152" s="455"/>
      <c r="J152" s="526"/>
      <c r="L152" s="527"/>
      <c r="N152" s="527"/>
    </row>
    <row r="153">
      <c r="A153" s="523" t="s">
        <v>814</v>
      </c>
      <c r="B153" s="524">
        <v>212.0</v>
      </c>
      <c r="C153" s="525" t="s">
        <v>815</v>
      </c>
      <c r="D153" s="439"/>
      <c r="E153" s="470" t="s">
        <v>126</v>
      </c>
      <c r="F153" s="470" t="s">
        <v>540</v>
      </c>
      <c r="G153" s="470" t="s">
        <v>488</v>
      </c>
      <c r="H153" s="470" t="s">
        <v>510</v>
      </c>
      <c r="I153" s="455"/>
      <c r="J153" s="526"/>
      <c r="L153" s="527"/>
      <c r="N153" s="527"/>
    </row>
    <row r="154">
      <c r="A154" s="523" t="s">
        <v>816</v>
      </c>
      <c r="B154" s="524">
        <v>218.0</v>
      </c>
      <c r="C154" s="525" t="s">
        <v>817</v>
      </c>
      <c r="D154" s="439"/>
      <c r="E154" s="470" t="s">
        <v>126</v>
      </c>
      <c r="F154" s="470" t="s">
        <v>493</v>
      </c>
      <c r="G154" s="470" t="s">
        <v>488</v>
      </c>
      <c r="H154" s="470" t="s">
        <v>510</v>
      </c>
      <c r="I154" s="455"/>
      <c r="J154" s="526"/>
      <c r="L154" s="527"/>
      <c r="N154" s="527"/>
    </row>
    <row r="155">
      <c r="A155" s="523" t="s">
        <v>818</v>
      </c>
      <c r="B155" s="524">
        <v>212.0</v>
      </c>
      <c r="C155" s="525" t="s">
        <v>819</v>
      </c>
      <c r="D155" s="439"/>
      <c r="E155" s="470" t="s">
        <v>126</v>
      </c>
      <c r="F155" s="470" t="s">
        <v>493</v>
      </c>
      <c r="G155" s="470" t="s">
        <v>496</v>
      </c>
      <c r="H155" s="470" t="s">
        <v>510</v>
      </c>
      <c r="I155" s="455"/>
      <c r="J155" s="526"/>
      <c r="L155" s="527"/>
      <c r="N155" s="527"/>
    </row>
    <row r="156">
      <c r="A156" s="523" t="s">
        <v>821</v>
      </c>
      <c r="B156" s="557"/>
      <c r="C156" s="525" t="s">
        <v>822</v>
      </c>
      <c r="D156" s="439"/>
      <c r="E156" s="470" t="s">
        <v>126</v>
      </c>
      <c r="F156" s="470" t="s">
        <v>487</v>
      </c>
      <c r="G156" s="470" t="s">
        <v>504</v>
      </c>
      <c r="H156" s="470" t="s">
        <v>497</v>
      </c>
      <c r="I156" s="455"/>
      <c r="J156" s="526"/>
      <c r="L156" s="527"/>
      <c r="N156" s="527"/>
    </row>
    <row r="157">
      <c r="A157" s="523" t="s">
        <v>824</v>
      </c>
      <c r="B157" s="524">
        <v>208.0</v>
      </c>
      <c r="C157" s="525" t="s">
        <v>825</v>
      </c>
      <c r="D157" s="439"/>
      <c r="E157" s="470" t="s">
        <v>126</v>
      </c>
      <c r="F157" s="470" t="s">
        <v>493</v>
      </c>
      <c r="G157" s="470" t="s">
        <v>496</v>
      </c>
      <c r="H157" s="470" t="s">
        <v>497</v>
      </c>
      <c r="I157" s="455"/>
      <c r="J157" s="526"/>
      <c r="L157" s="527"/>
      <c r="N157" s="527"/>
    </row>
    <row r="158">
      <c r="A158" s="523" t="s">
        <v>826</v>
      </c>
      <c r="B158" s="524">
        <v>189.0</v>
      </c>
      <c r="C158" s="525" t="s">
        <v>827</v>
      </c>
      <c r="D158" s="439"/>
      <c r="E158" s="470" t="s">
        <v>126</v>
      </c>
      <c r="F158" s="470" t="s">
        <v>493</v>
      </c>
      <c r="G158" s="470" t="s">
        <v>496</v>
      </c>
      <c r="H158" s="470" t="s">
        <v>497</v>
      </c>
      <c r="I158" s="455"/>
      <c r="J158" s="526"/>
      <c r="L158" s="527"/>
      <c r="N158" s="527"/>
    </row>
    <row r="159">
      <c r="A159" s="523" t="s">
        <v>828</v>
      </c>
      <c r="B159" s="524">
        <v>150.0</v>
      </c>
      <c r="C159" s="525" t="s">
        <v>829</v>
      </c>
      <c r="D159" s="439"/>
      <c r="E159" s="470" t="s">
        <v>126</v>
      </c>
      <c r="F159" s="470" t="s">
        <v>500</v>
      </c>
      <c r="G159" s="470" t="s">
        <v>501</v>
      </c>
      <c r="H159" s="454"/>
      <c r="I159" s="455"/>
      <c r="J159" s="526"/>
      <c r="L159" s="527"/>
      <c r="N159" s="527"/>
    </row>
    <row r="160">
      <c r="A160" s="523" t="s">
        <v>830</v>
      </c>
      <c r="B160" s="524">
        <v>226.0</v>
      </c>
      <c r="C160" s="525" t="s">
        <v>831</v>
      </c>
      <c r="D160" s="439"/>
      <c r="E160" s="470" t="s">
        <v>126</v>
      </c>
      <c r="F160" s="470" t="s">
        <v>495</v>
      </c>
      <c r="G160" s="470" t="s">
        <v>488</v>
      </c>
      <c r="H160" s="470" t="s">
        <v>510</v>
      </c>
      <c r="I160" s="455"/>
      <c r="J160" s="526"/>
      <c r="L160" s="527"/>
      <c r="N160" s="527"/>
    </row>
    <row r="161">
      <c r="A161" s="523" t="s">
        <v>832</v>
      </c>
      <c r="B161" s="524">
        <v>203.0</v>
      </c>
      <c r="C161" s="525" t="s">
        <v>833</v>
      </c>
      <c r="D161" s="439"/>
      <c r="E161" s="470" t="s">
        <v>126</v>
      </c>
      <c r="F161" s="470" t="s">
        <v>487</v>
      </c>
      <c r="G161" s="470" t="s">
        <v>488</v>
      </c>
      <c r="H161" s="470" t="s">
        <v>497</v>
      </c>
      <c r="I161" s="455"/>
      <c r="J161" s="526"/>
      <c r="L161" s="527"/>
      <c r="N161" s="527"/>
    </row>
    <row r="162">
      <c r="A162" s="523" t="s">
        <v>834</v>
      </c>
      <c r="B162" s="524">
        <v>212.0</v>
      </c>
      <c r="C162" s="525" t="s">
        <v>835</v>
      </c>
      <c r="D162" s="439"/>
      <c r="E162" s="470" t="s">
        <v>126</v>
      </c>
      <c r="F162" s="470" t="s">
        <v>487</v>
      </c>
      <c r="G162" s="470" t="s">
        <v>488</v>
      </c>
      <c r="H162" s="470" t="s">
        <v>489</v>
      </c>
      <c r="I162" s="455"/>
      <c r="J162" s="526"/>
      <c r="L162" s="527"/>
      <c r="N162" s="527"/>
    </row>
    <row r="163">
      <c r="A163" s="523" t="s">
        <v>837</v>
      </c>
      <c r="B163" s="524">
        <v>238.0</v>
      </c>
      <c r="C163" s="525" t="s">
        <v>838</v>
      </c>
      <c r="D163" s="439"/>
      <c r="E163" s="470" t="s">
        <v>126</v>
      </c>
      <c r="F163" s="470" t="s">
        <v>495</v>
      </c>
      <c r="G163" s="470" t="s">
        <v>488</v>
      </c>
      <c r="H163" s="470" t="s">
        <v>489</v>
      </c>
      <c r="I163" s="455"/>
      <c r="J163" s="526"/>
      <c r="L163" s="527"/>
      <c r="N163" s="527"/>
    </row>
    <row r="164">
      <c r="A164" s="523" t="s">
        <v>839</v>
      </c>
      <c r="B164" s="524">
        <v>328.0</v>
      </c>
      <c r="C164" s="525" t="s">
        <v>822</v>
      </c>
      <c r="D164" s="439"/>
      <c r="E164" s="470" t="s">
        <v>126</v>
      </c>
      <c r="F164" s="470" t="s">
        <v>495</v>
      </c>
      <c r="G164" s="470" t="s">
        <v>488</v>
      </c>
      <c r="H164" s="470" t="s">
        <v>489</v>
      </c>
      <c r="I164" s="455"/>
      <c r="J164" s="526"/>
      <c r="L164" s="527"/>
      <c r="N164" s="527"/>
    </row>
    <row r="165">
      <c r="A165" s="523" t="s">
        <v>840</v>
      </c>
      <c r="B165" s="524">
        <v>198.0</v>
      </c>
      <c r="C165" s="525" t="s">
        <v>785</v>
      </c>
      <c r="D165" s="439"/>
      <c r="E165" s="470" t="s">
        <v>126</v>
      </c>
      <c r="F165" s="470" t="s">
        <v>495</v>
      </c>
      <c r="G165" s="470" t="s">
        <v>488</v>
      </c>
      <c r="H165" s="470" t="s">
        <v>497</v>
      </c>
      <c r="I165" s="455"/>
      <c r="J165" s="526"/>
      <c r="L165" s="527"/>
      <c r="N165" s="527"/>
    </row>
    <row r="166">
      <c r="A166" s="523" t="s">
        <v>842</v>
      </c>
      <c r="B166" s="524">
        <v>243.0</v>
      </c>
      <c r="C166" s="525" t="s">
        <v>843</v>
      </c>
      <c r="D166" s="439"/>
      <c r="E166" s="470" t="s">
        <v>126</v>
      </c>
      <c r="F166" s="470" t="s">
        <v>540</v>
      </c>
      <c r="G166" s="470" t="s">
        <v>488</v>
      </c>
      <c r="H166" s="470" t="s">
        <v>489</v>
      </c>
      <c r="I166" s="455"/>
      <c r="J166" s="526"/>
      <c r="L166" s="527"/>
      <c r="N166" s="527"/>
    </row>
    <row r="167">
      <c r="A167" s="523" t="s">
        <v>844</v>
      </c>
      <c r="B167" s="524">
        <v>265.0</v>
      </c>
      <c r="C167" s="525" t="s">
        <v>845</v>
      </c>
      <c r="D167" s="439"/>
      <c r="E167" s="470" t="s">
        <v>126</v>
      </c>
      <c r="F167" s="470" t="s">
        <v>495</v>
      </c>
      <c r="G167" s="470" t="s">
        <v>488</v>
      </c>
      <c r="H167" s="470" t="s">
        <v>489</v>
      </c>
      <c r="I167" s="455"/>
      <c r="J167" s="526"/>
      <c r="L167" s="527"/>
      <c r="N167" s="527"/>
    </row>
    <row r="168">
      <c r="A168" s="523" t="s">
        <v>846</v>
      </c>
      <c r="B168" s="524">
        <v>268.0</v>
      </c>
      <c r="C168" s="525" t="s">
        <v>847</v>
      </c>
      <c r="D168" s="439"/>
      <c r="E168" s="470" t="s">
        <v>126</v>
      </c>
      <c r="F168" s="470" t="s">
        <v>487</v>
      </c>
      <c r="G168" s="470" t="s">
        <v>546</v>
      </c>
      <c r="H168" s="470" t="s">
        <v>497</v>
      </c>
      <c r="I168" s="455"/>
      <c r="J168" s="526"/>
      <c r="L168" s="527"/>
      <c r="N168" s="527"/>
    </row>
    <row r="169">
      <c r="A169" s="523" t="s">
        <v>848</v>
      </c>
      <c r="B169" s="524">
        <v>218.0</v>
      </c>
      <c r="C169" s="525" t="s">
        <v>408</v>
      </c>
      <c r="D169" s="439"/>
      <c r="E169" s="470" t="s">
        <v>126</v>
      </c>
      <c r="F169" s="470" t="s">
        <v>392</v>
      </c>
      <c r="G169" s="470" t="s">
        <v>488</v>
      </c>
      <c r="H169" s="470" t="s">
        <v>489</v>
      </c>
      <c r="I169" s="455"/>
      <c r="J169" s="526"/>
      <c r="L169" s="527"/>
      <c r="N169" s="527"/>
    </row>
    <row r="170">
      <c r="A170" s="523" t="s">
        <v>849</v>
      </c>
      <c r="B170" s="524">
        <v>180.0</v>
      </c>
      <c r="C170" s="525" t="s">
        <v>843</v>
      </c>
      <c r="D170" s="439"/>
      <c r="E170" s="470" t="s">
        <v>126</v>
      </c>
      <c r="F170" s="470" t="s">
        <v>540</v>
      </c>
      <c r="G170" s="470" t="s">
        <v>488</v>
      </c>
      <c r="H170" s="470" t="s">
        <v>489</v>
      </c>
      <c r="I170" s="455"/>
      <c r="J170" s="526"/>
      <c r="L170" s="527"/>
      <c r="N170" s="527"/>
    </row>
    <row r="171">
      <c r="A171" s="523" t="s">
        <v>850</v>
      </c>
      <c r="B171" s="524">
        <v>208.0</v>
      </c>
      <c r="C171" s="525" t="s">
        <v>851</v>
      </c>
      <c r="D171" s="439"/>
      <c r="E171" s="470" t="s">
        <v>126</v>
      </c>
      <c r="F171" s="470" t="s">
        <v>487</v>
      </c>
      <c r="G171" s="470" t="s">
        <v>488</v>
      </c>
      <c r="H171" s="470" t="s">
        <v>510</v>
      </c>
      <c r="I171" s="455"/>
      <c r="J171" s="455"/>
    </row>
    <row r="172">
      <c r="A172" s="523" t="s">
        <v>852</v>
      </c>
      <c r="B172" s="524">
        <v>288.0</v>
      </c>
      <c r="C172" s="525" t="s">
        <v>854</v>
      </c>
      <c r="D172" s="439"/>
      <c r="E172" s="470" t="s">
        <v>126</v>
      </c>
      <c r="F172" s="470" t="s">
        <v>540</v>
      </c>
      <c r="G172" s="470" t="s">
        <v>546</v>
      </c>
      <c r="H172" s="470" t="s">
        <v>489</v>
      </c>
      <c r="I172" s="455"/>
      <c r="J172" s="455"/>
    </row>
    <row r="173">
      <c r="A173" s="523" t="s">
        <v>855</v>
      </c>
      <c r="B173" s="524">
        <v>208.0</v>
      </c>
      <c r="C173" s="525" t="s">
        <v>856</v>
      </c>
      <c r="D173" s="439"/>
      <c r="E173" s="470" t="s">
        <v>126</v>
      </c>
      <c r="F173" s="470" t="s">
        <v>540</v>
      </c>
      <c r="G173" s="470" t="s">
        <v>504</v>
      </c>
      <c r="H173" s="470" t="s">
        <v>489</v>
      </c>
      <c r="I173" s="455"/>
      <c r="J173" s="455"/>
    </row>
    <row r="174">
      <c r="A174" s="523" t="s">
        <v>857</v>
      </c>
      <c r="B174" s="524">
        <v>248.0</v>
      </c>
      <c r="C174" s="525" t="s">
        <v>858</v>
      </c>
      <c r="D174" s="439"/>
      <c r="E174" s="470" t="s">
        <v>126</v>
      </c>
      <c r="F174" s="470" t="s">
        <v>540</v>
      </c>
      <c r="G174" s="470" t="s">
        <v>488</v>
      </c>
      <c r="H174" s="470" t="s">
        <v>489</v>
      </c>
      <c r="I174" s="455"/>
      <c r="J174" s="455"/>
    </row>
    <row r="175">
      <c r="A175" s="523" t="s">
        <v>860</v>
      </c>
      <c r="B175" s="524">
        <v>215.0</v>
      </c>
      <c r="C175" s="525" t="s">
        <v>861</v>
      </c>
      <c r="D175" s="439"/>
      <c r="E175" s="470" t="s">
        <v>126</v>
      </c>
      <c r="F175" s="470" t="s">
        <v>493</v>
      </c>
      <c r="G175" s="470" t="s">
        <v>504</v>
      </c>
      <c r="H175" s="470" t="s">
        <v>489</v>
      </c>
      <c r="I175" s="455"/>
      <c r="J175" s="455"/>
    </row>
    <row r="176">
      <c r="A176" s="523" t="s">
        <v>862</v>
      </c>
      <c r="B176" s="524">
        <v>218.0</v>
      </c>
      <c r="C176" s="525" t="s">
        <v>863</v>
      </c>
      <c r="D176" s="439"/>
      <c r="E176" s="470" t="s">
        <v>126</v>
      </c>
      <c r="F176" s="470" t="s">
        <v>493</v>
      </c>
      <c r="G176" s="470" t="s">
        <v>504</v>
      </c>
      <c r="H176" s="470" t="s">
        <v>489</v>
      </c>
      <c r="I176" s="455"/>
      <c r="J176" s="455"/>
    </row>
    <row r="177">
      <c r="A177" s="523" t="s">
        <v>864</v>
      </c>
      <c r="B177" s="524">
        <v>263.0</v>
      </c>
      <c r="C177" s="525" t="s">
        <v>865</v>
      </c>
      <c r="D177" s="439"/>
      <c r="E177" s="470" t="s">
        <v>126</v>
      </c>
      <c r="F177" s="470" t="s">
        <v>495</v>
      </c>
      <c r="G177" s="470" t="s">
        <v>488</v>
      </c>
      <c r="H177" s="470" t="s">
        <v>489</v>
      </c>
      <c r="I177" s="455"/>
      <c r="J177" s="455"/>
    </row>
    <row r="178">
      <c r="A178" s="523" t="s">
        <v>866</v>
      </c>
      <c r="B178" s="524">
        <v>208.0</v>
      </c>
      <c r="C178" s="525" t="s">
        <v>867</v>
      </c>
      <c r="D178" s="439"/>
      <c r="E178" s="470" t="s">
        <v>126</v>
      </c>
      <c r="F178" s="470" t="s">
        <v>540</v>
      </c>
      <c r="G178" s="470" t="s">
        <v>488</v>
      </c>
      <c r="H178" s="470" t="s">
        <v>489</v>
      </c>
      <c r="I178" s="455"/>
      <c r="J178" s="455"/>
    </row>
    <row r="179">
      <c r="A179" s="523" t="s">
        <v>869</v>
      </c>
      <c r="B179" s="524">
        <v>295.0</v>
      </c>
      <c r="C179" s="525" t="s">
        <v>870</v>
      </c>
      <c r="D179" s="439"/>
      <c r="E179" s="470" t="s">
        <v>126</v>
      </c>
      <c r="F179" s="470" t="s">
        <v>392</v>
      </c>
      <c r="G179" s="470" t="s">
        <v>504</v>
      </c>
      <c r="H179" s="470" t="s">
        <v>489</v>
      </c>
      <c r="I179" s="455"/>
      <c r="J179" s="455"/>
    </row>
    <row r="180">
      <c r="A180" s="523" t="s">
        <v>872</v>
      </c>
      <c r="B180" s="524">
        <v>278.0</v>
      </c>
      <c r="C180" s="525" t="s">
        <v>873</v>
      </c>
      <c r="D180" s="439"/>
      <c r="E180" s="470" t="s">
        <v>126</v>
      </c>
      <c r="F180" s="470" t="s">
        <v>487</v>
      </c>
      <c r="G180" s="470" t="s">
        <v>488</v>
      </c>
      <c r="H180" s="470" t="s">
        <v>489</v>
      </c>
      <c r="I180" s="455"/>
      <c r="J180" s="455"/>
    </row>
    <row r="181">
      <c r="A181" s="523" t="s">
        <v>874</v>
      </c>
      <c r="B181" s="524">
        <v>224.0</v>
      </c>
      <c r="C181" s="525" t="s">
        <v>875</v>
      </c>
      <c r="D181" s="439"/>
      <c r="E181" s="470" t="s">
        <v>126</v>
      </c>
      <c r="F181" s="470" t="s">
        <v>493</v>
      </c>
      <c r="G181" s="470" t="s">
        <v>488</v>
      </c>
      <c r="H181" s="470" t="s">
        <v>489</v>
      </c>
      <c r="I181" s="455"/>
      <c r="J181" s="455"/>
    </row>
    <row r="182">
      <c r="A182" s="523" t="s">
        <v>876</v>
      </c>
      <c r="B182" s="524">
        <v>212.0</v>
      </c>
      <c r="C182" s="525" t="s">
        <v>877</v>
      </c>
      <c r="D182" s="439"/>
      <c r="E182" s="470" t="s">
        <v>126</v>
      </c>
      <c r="F182" s="470" t="s">
        <v>487</v>
      </c>
      <c r="G182" s="470" t="s">
        <v>488</v>
      </c>
      <c r="H182" s="470" t="s">
        <v>497</v>
      </c>
      <c r="I182" s="455"/>
      <c r="J182" s="455"/>
    </row>
    <row r="183">
      <c r="A183" s="523" t="s">
        <v>878</v>
      </c>
      <c r="B183" s="524">
        <v>220.0</v>
      </c>
      <c r="C183" s="525" t="s">
        <v>879</v>
      </c>
      <c r="D183" s="439"/>
      <c r="E183" s="470" t="s">
        <v>126</v>
      </c>
      <c r="F183" s="470" t="s">
        <v>392</v>
      </c>
      <c r="G183" s="470" t="s">
        <v>504</v>
      </c>
      <c r="H183" s="470" t="s">
        <v>497</v>
      </c>
      <c r="I183" s="455"/>
      <c r="J183" s="455"/>
    </row>
    <row r="184">
      <c r="A184" s="523" t="s">
        <v>880</v>
      </c>
      <c r="B184" s="524">
        <v>269.0</v>
      </c>
      <c r="C184" s="525" t="s">
        <v>881</v>
      </c>
      <c r="D184" s="439"/>
      <c r="E184" s="470" t="s">
        <v>126</v>
      </c>
      <c r="F184" s="470" t="s">
        <v>540</v>
      </c>
      <c r="G184" s="470" t="s">
        <v>546</v>
      </c>
      <c r="H184" s="470" t="s">
        <v>497</v>
      </c>
      <c r="I184" s="455"/>
      <c r="J184" s="455"/>
    </row>
    <row r="185">
      <c r="A185" s="523" t="s">
        <v>882</v>
      </c>
      <c r="B185" s="524">
        <v>5.0</v>
      </c>
      <c r="C185" s="525" t="s">
        <v>883</v>
      </c>
      <c r="D185" s="439"/>
      <c r="E185" s="470" t="s">
        <v>884</v>
      </c>
      <c r="F185" s="470" t="s">
        <v>500</v>
      </c>
      <c r="G185" s="470" t="s">
        <v>501</v>
      </c>
      <c r="H185" s="470"/>
      <c r="I185" s="455"/>
      <c r="J185" s="455"/>
    </row>
    <row r="186">
      <c r="A186" s="612">
        <v>2544.0</v>
      </c>
      <c r="B186" s="614">
        <v>232.0</v>
      </c>
      <c r="C186" s="525" t="s">
        <v>886</v>
      </c>
      <c r="D186" s="439"/>
      <c r="E186" s="470" t="s">
        <v>126</v>
      </c>
      <c r="F186" s="470" t="s">
        <v>493</v>
      </c>
      <c r="G186" s="470" t="s">
        <v>496</v>
      </c>
      <c r="H186" s="470" t="s">
        <v>510</v>
      </c>
      <c r="I186" s="455"/>
      <c r="J186" s="455"/>
    </row>
    <row r="187">
      <c r="A187" s="451" t="s">
        <v>887</v>
      </c>
      <c r="B187" s="452">
        <v>173.0</v>
      </c>
      <c r="C187" s="453" t="s">
        <v>888</v>
      </c>
      <c r="D187" s="439"/>
      <c r="E187" s="470" t="s">
        <v>128</v>
      </c>
      <c r="F187" s="470" t="s">
        <v>675</v>
      </c>
      <c r="G187" s="454" t="s">
        <v>677</v>
      </c>
      <c r="H187" s="455"/>
      <c r="I187" s="455"/>
      <c r="J187" s="455"/>
    </row>
    <row r="188">
      <c r="A188" s="451" t="s">
        <v>889</v>
      </c>
      <c r="B188" s="452">
        <v>97.0</v>
      </c>
      <c r="C188" s="453" t="s">
        <v>890</v>
      </c>
      <c r="D188" s="439"/>
      <c r="E188" s="470" t="s">
        <v>132</v>
      </c>
      <c r="F188" s="454" t="s">
        <v>675</v>
      </c>
      <c r="G188" s="454" t="s">
        <v>677</v>
      </c>
      <c r="H188" s="455"/>
      <c r="I188" s="455"/>
      <c r="J188" s="455"/>
    </row>
    <row r="189">
      <c r="A189" s="451" t="s">
        <v>891</v>
      </c>
      <c r="B189" s="452">
        <v>138.0</v>
      </c>
      <c r="C189" s="453" t="s">
        <v>383</v>
      </c>
      <c r="D189" s="439"/>
      <c r="E189" s="470" t="s">
        <v>132</v>
      </c>
      <c r="F189" s="454" t="s">
        <v>675</v>
      </c>
      <c r="G189" s="454" t="s">
        <v>677</v>
      </c>
      <c r="H189" s="455"/>
      <c r="I189" s="455"/>
      <c r="J189" s="455"/>
    </row>
    <row r="190">
      <c r="A190" s="451" t="s">
        <v>892</v>
      </c>
      <c r="B190" s="452">
        <v>160.0</v>
      </c>
      <c r="C190" s="453" t="s">
        <v>416</v>
      </c>
      <c r="D190" s="439"/>
      <c r="E190" s="470" t="s">
        <v>128</v>
      </c>
      <c r="F190" s="470" t="s">
        <v>893</v>
      </c>
      <c r="G190" s="470" t="s">
        <v>679</v>
      </c>
      <c r="H190" s="455"/>
      <c r="I190" s="455"/>
      <c r="J190" s="455"/>
    </row>
    <row r="191">
      <c r="A191" s="451" t="s">
        <v>894</v>
      </c>
      <c r="B191" s="452">
        <v>150.0</v>
      </c>
      <c r="C191" s="453" t="s">
        <v>895</v>
      </c>
      <c r="D191" s="439"/>
      <c r="E191" s="470" t="s">
        <v>132</v>
      </c>
      <c r="F191" s="454" t="s">
        <v>675</v>
      </c>
      <c r="G191" s="454" t="s">
        <v>677</v>
      </c>
      <c r="H191" s="455"/>
      <c r="I191" s="455"/>
      <c r="J191" s="455"/>
    </row>
    <row r="192">
      <c r="A192" s="451" t="s">
        <v>896</v>
      </c>
      <c r="B192" s="452">
        <v>90.0</v>
      </c>
      <c r="C192" s="453" t="s">
        <v>361</v>
      </c>
      <c r="D192" s="439"/>
      <c r="E192" s="454" t="s">
        <v>132</v>
      </c>
      <c r="F192" s="454" t="s">
        <v>675</v>
      </c>
      <c r="G192" s="454" t="s">
        <v>679</v>
      </c>
      <c r="H192" s="455"/>
      <c r="I192" s="455"/>
      <c r="J192" s="455"/>
    </row>
    <row r="193">
      <c r="A193" s="451" t="s">
        <v>898</v>
      </c>
      <c r="B193" s="452">
        <v>82.0</v>
      </c>
      <c r="C193" s="453" t="s">
        <v>518</v>
      </c>
      <c r="D193" s="439"/>
      <c r="E193" s="454" t="s">
        <v>132</v>
      </c>
      <c r="F193" s="454" t="s">
        <v>675</v>
      </c>
      <c r="G193" s="454" t="s">
        <v>679</v>
      </c>
      <c r="H193" s="455"/>
      <c r="I193" s="455"/>
      <c r="J193" s="455"/>
    </row>
    <row r="194">
      <c r="A194" s="451" t="s">
        <v>899</v>
      </c>
      <c r="B194" s="452">
        <v>50.0</v>
      </c>
      <c r="C194" s="453" t="s">
        <v>276</v>
      </c>
      <c r="D194" s="439"/>
      <c r="E194" s="454" t="s">
        <v>132</v>
      </c>
      <c r="F194" s="454" t="s">
        <v>675</v>
      </c>
      <c r="G194" s="454" t="s">
        <v>677</v>
      </c>
      <c r="H194" s="455"/>
      <c r="I194" s="455"/>
      <c r="J194" s="455"/>
    </row>
    <row r="195">
      <c r="A195" s="451" t="s">
        <v>900</v>
      </c>
      <c r="B195" s="452">
        <v>85.0</v>
      </c>
      <c r="C195" s="453" t="s">
        <v>283</v>
      </c>
      <c r="D195" s="439"/>
      <c r="E195" s="454" t="s">
        <v>132</v>
      </c>
      <c r="F195" s="454" t="s">
        <v>675</v>
      </c>
      <c r="G195" s="454" t="s">
        <v>679</v>
      </c>
      <c r="H195" s="455"/>
      <c r="I195" s="455"/>
      <c r="J195" s="455"/>
    </row>
    <row r="196">
      <c r="A196" s="451" t="s">
        <v>901</v>
      </c>
      <c r="B196" s="452">
        <v>90.0</v>
      </c>
      <c r="C196" s="453" t="s">
        <v>302</v>
      </c>
      <c r="D196" s="439"/>
      <c r="E196" s="454" t="s">
        <v>132</v>
      </c>
      <c r="F196" s="454" t="s">
        <v>675</v>
      </c>
      <c r="G196" s="454" t="s">
        <v>679</v>
      </c>
      <c r="H196" s="455"/>
      <c r="I196" s="455"/>
      <c r="J196" s="455"/>
    </row>
    <row r="197">
      <c r="A197" s="451" t="s">
        <v>902</v>
      </c>
      <c r="B197" s="452">
        <v>96.0</v>
      </c>
      <c r="C197" s="453" t="s">
        <v>329</v>
      </c>
      <c r="D197" s="439"/>
      <c r="E197" s="454" t="s">
        <v>132</v>
      </c>
      <c r="F197" s="454" t="s">
        <v>675</v>
      </c>
      <c r="G197" s="454" t="s">
        <v>679</v>
      </c>
      <c r="H197" s="455"/>
      <c r="I197" s="455"/>
      <c r="J197" s="455"/>
    </row>
    <row r="198">
      <c r="A198" s="451" t="s">
        <v>903</v>
      </c>
      <c r="B198" s="452">
        <v>67.0</v>
      </c>
      <c r="C198" s="453" t="s">
        <v>346</v>
      </c>
      <c r="D198" s="439"/>
      <c r="E198" s="454" t="s">
        <v>132</v>
      </c>
      <c r="F198" s="454" t="s">
        <v>675</v>
      </c>
      <c r="G198" s="454" t="s">
        <v>679</v>
      </c>
      <c r="H198" s="455"/>
      <c r="I198" s="455"/>
      <c r="J198" s="455"/>
    </row>
    <row r="199">
      <c r="A199" s="451" t="s">
        <v>904</v>
      </c>
      <c r="B199" s="452">
        <v>56.0</v>
      </c>
      <c r="C199" s="453" t="s">
        <v>463</v>
      </c>
      <c r="D199" s="439"/>
      <c r="E199" s="454" t="s">
        <v>132</v>
      </c>
      <c r="F199" s="454" t="s">
        <v>675</v>
      </c>
      <c r="G199" s="454" t="s">
        <v>679</v>
      </c>
      <c r="H199" s="455"/>
      <c r="I199" s="455"/>
      <c r="J199" s="455"/>
    </row>
    <row r="200">
      <c r="A200" s="451" t="s">
        <v>907</v>
      </c>
      <c r="B200" s="452">
        <v>168.0</v>
      </c>
      <c r="C200" s="453" t="s">
        <v>784</v>
      </c>
      <c r="D200" s="439"/>
      <c r="E200" s="454" t="s">
        <v>132</v>
      </c>
      <c r="F200" s="454" t="s">
        <v>675</v>
      </c>
      <c r="G200" s="454" t="s">
        <v>679</v>
      </c>
      <c r="H200" s="455"/>
      <c r="I200" s="455"/>
      <c r="J200" s="455"/>
    </row>
    <row r="201">
      <c r="A201" s="451" t="s">
        <v>908</v>
      </c>
      <c r="B201" s="452">
        <v>85.0</v>
      </c>
      <c r="C201" s="453" t="s">
        <v>468</v>
      </c>
      <c r="D201" s="439"/>
      <c r="E201" s="470" t="s">
        <v>132</v>
      </c>
      <c r="F201" s="454" t="s">
        <v>675</v>
      </c>
      <c r="G201" s="454" t="s">
        <v>677</v>
      </c>
      <c r="H201" s="455"/>
      <c r="I201" s="455"/>
      <c r="J201" s="455"/>
    </row>
    <row r="202">
      <c r="A202" s="451" t="s">
        <v>909</v>
      </c>
      <c r="B202" s="452">
        <v>164.0</v>
      </c>
      <c r="C202" s="453" t="s">
        <v>421</v>
      </c>
      <c r="D202" s="439"/>
      <c r="E202" s="470" t="s">
        <v>132</v>
      </c>
      <c r="F202" s="454" t="s">
        <v>675</v>
      </c>
      <c r="G202" s="454" t="s">
        <v>677</v>
      </c>
      <c r="H202" s="455"/>
      <c r="I202" s="455"/>
      <c r="J202" s="455"/>
    </row>
    <row r="203">
      <c r="A203" s="523" t="s">
        <v>910</v>
      </c>
      <c r="B203" s="524">
        <v>55.0</v>
      </c>
      <c r="C203" s="525" t="s">
        <v>380</v>
      </c>
      <c r="D203" s="439"/>
      <c r="E203" s="470" t="s">
        <v>132</v>
      </c>
      <c r="F203" s="454" t="s">
        <v>675</v>
      </c>
      <c r="G203" s="454" t="s">
        <v>677</v>
      </c>
      <c r="H203" s="455"/>
      <c r="I203" s="455"/>
      <c r="J203" s="526"/>
      <c r="L203" s="527"/>
      <c r="N203" s="527"/>
    </row>
    <row r="204">
      <c r="A204" s="523"/>
      <c r="B204" s="524"/>
      <c r="C204" s="525"/>
      <c r="D204" s="439"/>
      <c r="E204" s="470" t="s">
        <v>132</v>
      </c>
      <c r="F204" s="470" t="s">
        <v>678</v>
      </c>
      <c r="G204" s="470" t="s">
        <v>677</v>
      </c>
      <c r="H204" s="455"/>
      <c r="I204" s="455"/>
      <c r="J204" s="455"/>
    </row>
    <row r="205">
      <c r="A205" s="523" t="s">
        <v>911</v>
      </c>
      <c r="B205" s="524">
        <v>100.0</v>
      </c>
      <c r="C205" s="525" t="s">
        <v>912</v>
      </c>
      <c r="D205" s="439"/>
      <c r="E205" s="470" t="s">
        <v>132</v>
      </c>
      <c r="F205" s="454" t="s">
        <v>675</v>
      </c>
      <c r="G205" s="454" t="s">
        <v>677</v>
      </c>
      <c r="H205" s="455"/>
      <c r="I205" s="455"/>
      <c r="J205" s="455"/>
    </row>
    <row r="206">
      <c r="A206" s="654" t="s">
        <v>913</v>
      </c>
      <c r="B206" s="658">
        <v>165.0</v>
      </c>
      <c r="C206" s="661" t="s">
        <v>515</v>
      </c>
      <c r="D206" s="439"/>
      <c r="E206" s="470" t="s">
        <v>128</v>
      </c>
      <c r="F206" s="454" t="s">
        <v>893</v>
      </c>
      <c r="G206" s="454" t="s">
        <v>677</v>
      </c>
      <c r="H206" s="455"/>
      <c r="I206" s="455"/>
      <c r="J206" s="455"/>
    </row>
    <row r="207">
      <c r="A207" s="451" t="s">
        <v>914</v>
      </c>
      <c r="B207" s="452">
        <v>98.0</v>
      </c>
      <c r="C207" s="453" t="s">
        <v>521</v>
      </c>
      <c r="D207" s="439"/>
      <c r="E207" s="454" t="s">
        <v>128</v>
      </c>
      <c r="F207" s="454" t="s">
        <v>686</v>
      </c>
      <c r="G207" s="454" t="s">
        <v>677</v>
      </c>
      <c r="H207" s="455"/>
      <c r="I207" s="455"/>
      <c r="J207" s="455"/>
    </row>
    <row r="208">
      <c r="A208" s="451" t="s">
        <v>915</v>
      </c>
      <c r="B208" s="452">
        <v>85.0</v>
      </c>
      <c r="C208" s="453" t="s">
        <v>410</v>
      </c>
      <c r="D208" s="439"/>
      <c r="E208" s="454" t="s">
        <v>128</v>
      </c>
      <c r="F208" s="454" t="s">
        <v>916</v>
      </c>
      <c r="G208" s="454" t="s">
        <v>677</v>
      </c>
      <c r="H208" s="455"/>
      <c r="I208" s="455"/>
      <c r="J208" s="455"/>
    </row>
    <row r="209">
      <c r="A209" s="451" t="s">
        <v>917</v>
      </c>
      <c r="B209" s="452">
        <v>75.0</v>
      </c>
      <c r="C209" s="453" t="s">
        <v>280</v>
      </c>
      <c r="D209" s="439"/>
      <c r="E209" s="454" t="s">
        <v>128</v>
      </c>
      <c r="F209" s="454" t="s">
        <v>696</v>
      </c>
      <c r="G209" s="454" t="s">
        <v>679</v>
      </c>
      <c r="H209" s="455"/>
      <c r="I209" s="455"/>
      <c r="J209" s="455"/>
    </row>
    <row r="210">
      <c r="A210" s="451" t="s">
        <v>918</v>
      </c>
      <c r="B210" s="452">
        <v>186.0</v>
      </c>
      <c r="C210" s="453" t="s">
        <v>919</v>
      </c>
      <c r="D210" s="439"/>
      <c r="E210" s="454" t="s">
        <v>128</v>
      </c>
      <c r="F210" s="454" t="s">
        <v>920</v>
      </c>
      <c r="G210" s="454" t="s">
        <v>679</v>
      </c>
      <c r="H210" s="455"/>
      <c r="I210" s="455"/>
      <c r="J210" s="455"/>
    </row>
    <row r="211">
      <c r="A211" s="451" t="s">
        <v>921</v>
      </c>
      <c r="B211" s="452">
        <v>114.0</v>
      </c>
      <c r="C211" s="453" t="s">
        <v>119</v>
      </c>
      <c r="D211" s="439"/>
      <c r="E211" s="454" t="s">
        <v>128</v>
      </c>
      <c r="F211" s="454" t="s">
        <v>686</v>
      </c>
      <c r="G211" s="454" t="s">
        <v>922</v>
      </c>
      <c r="H211" s="455"/>
      <c r="I211" s="455"/>
      <c r="J211" s="455"/>
    </row>
    <row r="212">
      <c r="A212" s="451" t="s">
        <v>923</v>
      </c>
      <c r="B212" s="452">
        <v>145.0</v>
      </c>
      <c r="C212" s="453" t="s">
        <v>320</v>
      </c>
      <c r="D212" s="439"/>
      <c r="E212" s="454" t="s">
        <v>128</v>
      </c>
      <c r="F212" s="454" t="s">
        <v>675</v>
      </c>
      <c r="G212" s="454" t="s">
        <v>922</v>
      </c>
      <c r="H212" s="455"/>
      <c r="I212" s="455"/>
      <c r="J212" s="455"/>
    </row>
    <row r="213">
      <c r="A213" s="451" t="s">
        <v>924</v>
      </c>
      <c r="B213" s="452">
        <v>128.0</v>
      </c>
      <c r="C213" s="453" t="s">
        <v>334</v>
      </c>
      <c r="D213" s="439"/>
      <c r="E213" s="454" t="s">
        <v>128</v>
      </c>
      <c r="F213" s="454" t="s">
        <v>916</v>
      </c>
      <c r="G213" s="454" t="s">
        <v>679</v>
      </c>
      <c r="H213" s="455"/>
      <c r="I213" s="455"/>
      <c r="J213" s="455"/>
    </row>
    <row r="214">
      <c r="A214" s="451" t="s">
        <v>925</v>
      </c>
      <c r="B214" s="452">
        <v>85.0</v>
      </c>
      <c r="C214" s="453" t="s">
        <v>377</v>
      </c>
      <c r="D214" s="439"/>
      <c r="E214" s="454" t="s">
        <v>128</v>
      </c>
      <c r="F214" s="454" t="s">
        <v>686</v>
      </c>
      <c r="G214" s="454" t="s">
        <v>922</v>
      </c>
      <c r="H214" s="455"/>
      <c r="I214" s="455"/>
      <c r="J214" s="455"/>
    </row>
    <row r="215">
      <c r="A215" s="451" t="s">
        <v>926</v>
      </c>
      <c r="B215" s="452">
        <v>132.0</v>
      </c>
      <c r="C215" s="453" t="s">
        <v>927</v>
      </c>
      <c r="D215" s="439"/>
      <c r="E215" s="454" t="s">
        <v>128</v>
      </c>
      <c r="F215" s="454" t="s">
        <v>696</v>
      </c>
      <c r="G215" s="454" t="s">
        <v>679</v>
      </c>
      <c r="H215" s="455"/>
      <c r="I215" s="455"/>
      <c r="J215" s="455"/>
    </row>
    <row r="216">
      <c r="A216" s="451" t="s">
        <v>928</v>
      </c>
      <c r="B216" s="452">
        <v>115.0</v>
      </c>
      <c r="C216" s="453" t="s">
        <v>743</v>
      </c>
      <c r="D216" s="439"/>
      <c r="E216" s="454" t="s">
        <v>128</v>
      </c>
      <c r="F216" s="454" t="s">
        <v>686</v>
      </c>
      <c r="G216" s="454" t="s">
        <v>922</v>
      </c>
      <c r="H216" s="455"/>
      <c r="I216" s="455"/>
      <c r="J216" s="455"/>
    </row>
    <row r="217">
      <c r="A217" s="451" t="s">
        <v>929</v>
      </c>
      <c r="B217" s="452">
        <v>83.0</v>
      </c>
      <c r="C217" s="453" t="s">
        <v>86</v>
      </c>
      <c r="D217" s="439"/>
      <c r="E217" s="454" t="s">
        <v>128</v>
      </c>
      <c r="F217" s="454" t="s">
        <v>696</v>
      </c>
      <c r="G217" s="454" t="s">
        <v>677</v>
      </c>
      <c r="H217" s="455"/>
      <c r="I217" s="455"/>
      <c r="J217" s="455"/>
    </row>
    <row r="218">
      <c r="A218" s="451" t="s">
        <v>930</v>
      </c>
      <c r="B218" s="452">
        <v>135.0</v>
      </c>
      <c r="C218" s="453" t="s">
        <v>719</v>
      </c>
      <c r="D218" s="439"/>
      <c r="E218" s="454" t="s">
        <v>128</v>
      </c>
      <c r="F218" s="454" t="s">
        <v>893</v>
      </c>
      <c r="G218" s="454" t="s">
        <v>922</v>
      </c>
      <c r="H218" s="455"/>
      <c r="I218" s="455"/>
      <c r="J218" s="455"/>
    </row>
    <row r="219">
      <c r="A219" s="451" t="s">
        <v>932</v>
      </c>
      <c r="B219" s="452">
        <v>85.0</v>
      </c>
      <c r="C219" s="453" t="s">
        <v>448</v>
      </c>
      <c r="D219" s="439"/>
      <c r="E219" s="454" t="s">
        <v>128</v>
      </c>
      <c r="F219" s="454" t="s">
        <v>686</v>
      </c>
      <c r="G219" s="454" t="s">
        <v>922</v>
      </c>
      <c r="H219" s="455"/>
      <c r="I219" s="455"/>
      <c r="J219" s="455"/>
    </row>
    <row r="220">
      <c r="A220" s="451" t="s">
        <v>933</v>
      </c>
      <c r="B220" s="452">
        <v>128.0</v>
      </c>
      <c r="C220" s="453" t="s">
        <v>934</v>
      </c>
      <c r="D220" s="439"/>
      <c r="E220" s="454" t="s">
        <v>128</v>
      </c>
      <c r="F220" s="454" t="s">
        <v>920</v>
      </c>
      <c r="G220" s="454" t="s">
        <v>679</v>
      </c>
      <c r="H220" s="455"/>
      <c r="I220" s="455"/>
      <c r="J220" s="455"/>
    </row>
    <row r="221">
      <c r="A221" s="451" t="s">
        <v>935</v>
      </c>
      <c r="B221" s="452">
        <v>135.0</v>
      </c>
      <c r="C221" s="453" t="s">
        <v>460</v>
      </c>
      <c r="D221" s="439"/>
      <c r="E221" s="454" t="s">
        <v>128</v>
      </c>
      <c r="F221" s="454" t="s">
        <v>916</v>
      </c>
      <c r="G221" s="454" t="s">
        <v>679</v>
      </c>
      <c r="H221" s="455"/>
      <c r="I221" s="455"/>
      <c r="J221" s="455"/>
    </row>
    <row r="222">
      <c r="A222" s="451" t="s">
        <v>936</v>
      </c>
      <c r="B222" s="452">
        <v>140.0</v>
      </c>
      <c r="C222" s="453" t="s">
        <v>937</v>
      </c>
      <c r="D222" s="439"/>
      <c r="E222" s="454" t="s">
        <v>128</v>
      </c>
      <c r="F222" s="454" t="s">
        <v>893</v>
      </c>
      <c r="G222" s="454" t="s">
        <v>677</v>
      </c>
      <c r="H222" s="455"/>
      <c r="I222" s="455"/>
      <c r="J222" s="455"/>
    </row>
    <row r="223">
      <c r="A223" s="451" t="s">
        <v>938</v>
      </c>
      <c r="B223" s="452">
        <v>68.0</v>
      </c>
      <c r="C223" s="453" t="s">
        <v>939</v>
      </c>
      <c r="D223" s="439"/>
      <c r="E223" s="454" t="s">
        <v>128</v>
      </c>
      <c r="F223" s="454" t="s">
        <v>686</v>
      </c>
      <c r="G223" s="454" t="s">
        <v>677</v>
      </c>
      <c r="H223" s="455"/>
      <c r="I223" s="455"/>
      <c r="J223" s="455"/>
    </row>
    <row r="224">
      <c r="A224" s="451" t="s">
        <v>940</v>
      </c>
      <c r="B224" s="452">
        <v>90.0</v>
      </c>
      <c r="C224" s="453" t="s">
        <v>267</v>
      </c>
      <c r="D224" s="439"/>
      <c r="E224" s="454" t="s">
        <v>128</v>
      </c>
      <c r="F224" s="454" t="s">
        <v>916</v>
      </c>
      <c r="G224" s="454" t="s">
        <v>922</v>
      </c>
      <c r="H224" s="455"/>
      <c r="I224" s="455"/>
      <c r="J224" s="455"/>
    </row>
    <row r="225">
      <c r="A225" s="451" t="s">
        <v>941</v>
      </c>
      <c r="B225" s="452">
        <v>148.0</v>
      </c>
      <c r="C225" s="453" t="s">
        <v>299</v>
      </c>
      <c r="D225" s="439"/>
      <c r="E225" s="454" t="s">
        <v>128</v>
      </c>
      <c r="F225" s="454" t="s">
        <v>920</v>
      </c>
      <c r="G225" s="454" t="s">
        <v>679</v>
      </c>
      <c r="H225" s="455"/>
      <c r="I225" s="455"/>
      <c r="J225" s="455"/>
    </row>
    <row r="226">
      <c r="A226" s="451" t="s">
        <v>942</v>
      </c>
      <c r="B226" s="452">
        <v>180.0</v>
      </c>
      <c r="C226" s="453" t="s">
        <v>308</v>
      </c>
      <c r="D226" s="439"/>
      <c r="E226" s="454" t="s">
        <v>128</v>
      </c>
      <c r="F226" s="454" t="s">
        <v>893</v>
      </c>
      <c r="G226" s="454" t="s">
        <v>922</v>
      </c>
      <c r="H226" s="455"/>
      <c r="I226" s="455"/>
      <c r="J226" s="455"/>
    </row>
    <row r="227">
      <c r="A227" s="451" t="s">
        <v>943</v>
      </c>
      <c r="B227" s="452">
        <v>181.0</v>
      </c>
      <c r="C227" s="453" t="s">
        <v>389</v>
      </c>
      <c r="D227" s="439"/>
      <c r="E227" s="454" t="s">
        <v>128</v>
      </c>
      <c r="F227" s="454" t="s">
        <v>696</v>
      </c>
      <c r="G227" s="454" t="s">
        <v>679</v>
      </c>
      <c r="H227" s="455"/>
      <c r="I227" s="455"/>
      <c r="J227" s="455"/>
    </row>
    <row r="228">
      <c r="A228" s="451" t="s">
        <v>944</v>
      </c>
      <c r="B228" s="452">
        <v>138.0</v>
      </c>
      <c r="C228" s="453" t="s">
        <v>945</v>
      </c>
      <c r="D228" s="439"/>
      <c r="E228" s="454" t="s">
        <v>128</v>
      </c>
      <c r="F228" s="454" t="s">
        <v>916</v>
      </c>
      <c r="G228" s="454" t="s">
        <v>922</v>
      </c>
      <c r="H228" s="455"/>
      <c r="I228" s="455"/>
      <c r="J228" s="455"/>
    </row>
    <row r="229">
      <c r="A229" s="451" t="s">
        <v>946</v>
      </c>
      <c r="B229" s="452">
        <v>226.0</v>
      </c>
      <c r="C229" s="453" t="s">
        <v>452</v>
      </c>
      <c r="D229" s="439"/>
      <c r="E229" s="454" t="s">
        <v>128</v>
      </c>
      <c r="F229" s="454" t="s">
        <v>893</v>
      </c>
      <c r="G229" s="454" t="s">
        <v>922</v>
      </c>
      <c r="H229" s="455"/>
      <c r="I229" s="455"/>
      <c r="J229" s="455"/>
    </row>
    <row r="230">
      <c r="A230" s="451" t="s">
        <v>947</v>
      </c>
      <c r="B230" s="452">
        <v>85.0</v>
      </c>
      <c r="C230" s="453" t="s">
        <v>948</v>
      </c>
      <c r="D230" s="439"/>
      <c r="E230" s="454" t="s">
        <v>128</v>
      </c>
      <c r="F230" s="454" t="s">
        <v>686</v>
      </c>
      <c r="G230" s="454" t="s">
        <v>922</v>
      </c>
      <c r="H230" s="455"/>
      <c r="I230" s="455"/>
      <c r="J230" s="455"/>
    </row>
    <row r="231">
      <c r="A231" s="451" t="s">
        <v>949</v>
      </c>
      <c r="B231" s="452">
        <v>140.0</v>
      </c>
      <c r="C231" s="453" t="s">
        <v>950</v>
      </c>
      <c r="D231" s="439"/>
      <c r="E231" s="454" t="s">
        <v>128</v>
      </c>
      <c r="F231" s="454" t="s">
        <v>916</v>
      </c>
      <c r="G231" s="454" t="s">
        <v>679</v>
      </c>
      <c r="H231" s="455"/>
      <c r="I231" s="455"/>
      <c r="J231" s="455"/>
    </row>
    <row r="232">
      <c r="A232" s="451" t="s">
        <v>951</v>
      </c>
      <c r="B232" s="452">
        <v>95.0</v>
      </c>
      <c r="C232" s="453" t="s">
        <v>952</v>
      </c>
      <c r="D232" s="439"/>
      <c r="E232" s="454" t="s">
        <v>128</v>
      </c>
      <c r="F232" s="454" t="s">
        <v>686</v>
      </c>
      <c r="G232" s="454" t="s">
        <v>677</v>
      </c>
      <c r="H232" s="455"/>
      <c r="I232" s="455"/>
      <c r="J232" s="455"/>
    </row>
    <row r="233">
      <c r="A233" s="451" t="s">
        <v>953</v>
      </c>
      <c r="B233" s="452">
        <v>110.0</v>
      </c>
      <c r="C233" s="453" t="s">
        <v>954</v>
      </c>
      <c r="D233" s="439"/>
      <c r="E233" s="454" t="s">
        <v>128</v>
      </c>
      <c r="F233" s="454" t="s">
        <v>916</v>
      </c>
      <c r="G233" s="454" t="s">
        <v>677</v>
      </c>
      <c r="H233" s="455"/>
      <c r="I233" s="455"/>
      <c r="J233" s="455"/>
    </row>
    <row r="234">
      <c r="A234" s="451" t="s">
        <v>955</v>
      </c>
      <c r="B234" s="452">
        <v>95.0</v>
      </c>
      <c r="C234" s="453" t="s">
        <v>729</v>
      </c>
      <c r="D234" s="439"/>
      <c r="E234" s="454" t="s">
        <v>128</v>
      </c>
      <c r="F234" s="454" t="s">
        <v>696</v>
      </c>
      <c r="G234" s="454" t="s">
        <v>679</v>
      </c>
      <c r="H234" s="455"/>
      <c r="I234" s="455"/>
      <c r="J234" s="455"/>
    </row>
    <row r="235">
      <c r="A235" s="451" t="s">
        <v>956</v>
      </c>
      <c r="B235" s="452">
        <v>85.0</v>
      </c>
      <c r="C235" s="453" t="s">
        <v>957</v>
      </c>
      <c r="D235" s="439"/>
      <c r="E235" s="454" t="s">
        <v>128</v>
      </c>
      <c r="F235" s="454" t="s">
        <v>916</v>
      </c>
      <c r="G235" s="454" t="s">
        <v>922</v>
      </c>
      <c r="H235" s="455"/>
      <c r="I235" s="455"/>
      <c r="J235" s="455"/>
    </row>
    <row r="236">
      <c r="A236" s="451" t="s">
        <v>958</v>
      </c>
      <c r="B236" s="452">
        <v>124.0</v>
      </c>
      <c r="C236" s="453" t="s">
        <v>959</v>
      </c>
      <c r="D236" s="439"/>
      <c r="E236" s="454" t="s">
        <v>128</v>
      </c>
      <c r="F236" s="454" t="s">
        <v>916</v>
      </c>
      <c r="G236" s="454" t="s">
        <v>679</v>
      </c>
      <c r="H236" s="455"/>
      <c r="I236" s="455"/>
      <c r="J236" s="455"/>
    </row>
    <row r="237">
      <c r="A237" s="451" t="s">
        <v>960</v>
      </c>
      <c r="B237" s="452">
        <v>135.0</v>
      </c>
      <c r="C237" s="453" t="s">
        <v>961</v>
      </c>
      <c r="D237" s="439"/>
      <c r="E237" s="454" t="s">
        <v>128</v>
      </c>
      <c r="F237" s="454" t="s">
        <v>893</v>
      </c>
      <c r="G237" s="454" t="s">
        <v>922</v>
      </c>
      <c r="H237" s="455"/>
      <c r="I237" s="455"/>
      <c r="J237" s="455"/>
    </row>
    <row r="238">
      <c r="A238" s="451" t="s">
        <v>962</v>
      </c>
      <c r="B238" s="452">
        <v>120.0</v>
      </c>
      <c r="C238" s="453" t="s">
        <v>963</v>
      </c>
      <c r="D238" s="439"/>
      <c r="E238" s="454" t="s">
        <v>128</v>
      </c>
      <c r="F238" s="454" t="s">
        <v>916</v>
      </c>
      <c r="G238" s="454" t="s">
        <v>679</v>
      </c>
      <c r="H238" s="455"/>
      <c r="I238" s="455"/>
      <c r="J238" s="455"/>
    </row>
    <row r="239">
      <c r="A239" s="451" t="s">
        <v>964</v>
      </c>
      <c r="B239" s="452">
        <v>110.0</v>
      </c>
      <c r="C239" s="453" t="s">
        <v>965</v>
      </c>
      <c r="D239" s="439"/>
      <c r="E239" s="454" t="s">
        <v>128</v>
      </c>
      <c r="F239" s="454" t="s">
        <v>686</v>
      </c>
      <c r="G239" s="454" t="s">
        <v>922</v>
      </c>
      <c r="H239" s="455"/>
      <c r="I239" s="455"/>
      <c r="J239" s="455"/>
    </row>
    <row r="240">
      <c r="A240" s="451" t="s">
        <v>966</v>
      </c>
      <c r="B240" s="452">
        <v>79.0</v>
      </c>
      <c r="C240" s="453" t="s">
        <v>967</v>
      </c>
      <c r="D240" s="439"/>
      <c r="E240" s="454" t="s">
        <v>128</v>
      </c>
      <c r="F240" s="454" t="s">
        <v>686</v>
      </c>
      <c r="G240" s="454" t="s">
        <v>677</v>
      </c>
      <c r="H240" s="455"/>
      <c r="I240" s="455"/>
      <c r="J240" s="455"/>
    </row>
    <row r="241">
      <c r="A241" s="451" t="s">
        <v>968</v>
      </c>
      <c r="B241" s="452">
        <v>219.0</v>
      </c>
      <c r="C241" s="453" t="s">
        <v>969</v>
      </c>
      <c r="D241" s="439"/>
      <c r="E241" s="454" t="s">
        <v>128</v>
      </c>
      <c r="F241" s="454" t="s">
        <v>920</v>
      </c>
      <c r="G241" s="454" t="s">
        <v>679</v>
      </c>
      <c r="H241" s="455"/>
      <c r="I241" s="455"/>
      <c r="J241" s="455"/>
    </row>
    <row r="242">
      <c r="A242" s="451" t="s">
        <v>970</v>
      </c>
      <c r="B242" s="452">
        <v>214.0</v>
      </c>
      <c r="C242" s="453" t="s">
        <v>971</v>
      </c>
      <c r="D242" s="439"/>
      <c r="E242" s="454" t="s">
        <v>128</v>
      </c>
      <c r="F242" s="454" t="s">
        <v>696</v>
      </c>
      <c r="G242" s="454" t="s">
        <v>679</v>
      </c>
      <c r="H242" s="455"/>
      <c r="I242" s="455"/>
      <c r="J242" s="455"/>
    </row>
    <row r="243">
      <c r="A243" s="451" t="s">
        <v>972</v>
      </c>
      <c r="B243" s="452">
        <v>125.0</v>
      </c>
      <c r="C243" s="453" t="s">
        <v>973</v>
      </c>
      <c r="D243" s="439"/>
      <c r="E243" s="454" t="s">
        <v>128</v>
      </c>
      <c r="F243" s="454" t="s">
        <v>696</v>
      </c>
      <c r="G243" s="454" t="s">
        <v>679</v>
      </c>
      <c r="H243" s="455"/>
      <c r="I243" s="455"/>
      <c r="J243" s="455"/>
    </row>
    <row r="244">
      <c r="A244" s="451" t="s">
        <v>974</v>
      </c>
      <c r="B244" s="452">
        <v>158.0</v>
      </c>
      <c r="C244" s="453" t="s">
        <v>608</v>
      </c>
      <c r="D244" s="439"/>
      <c r="E244" s="454" t="s">
        <v>128</v>
      </c>
      <c r="F244" s="454" t="s">
        <v>916</v>
      </c>
      <c r="G244" s="454" t="s">
        <v>677</v>
      </c>
      <c r="H244" s="455"/>
      <c r="I244" s="455"/>
      <c r="J244" s="455"/>
    </row>
    <row r="245">
      <c r="A245" s="451" t="s">
        <v>975</v>
      </c>
      <c r="B245" s="452">
        <v>123.0</v>
      </c>
      <c r="C245" s="453" t="s">
        <v>976</v>
      </c>
      <c r="D245" s="439"/>
      <c r="E245" s="454" t="s">
        <v>128</v>
      </c>
      <c r="F245" s="454" t="s">
        <v>686</v>
      </c>
      <c r="G245" s="454" t="s">
        <v>922</v>
      </c>
      <c r="H245" s="455"/>
      <c r="I245" s="455"/>
      <c r="J245" s="455"/>
    </row>
    <row r="246">
      <c r="A246" s="451" t="s">
        <v>977</v>
      </c>
      <c r="B246" s="452">
        <v>226.0</v>
      </c>
      <c r="C246" s="453" t="s">
        <v>978</v>
      </c>
      <c r="D246" s="439"/>
      <c r="E246" s="454" t="s">
        <v>128</v>
      </c>
      <c r="F246" s="454" t="s">
        <v>893</v>
      </c>
      <c r="G246" s="454" t="s">
        <v>677</v>
      </c>
      <c r="H246" s="455"/>
      <c r="I246" s="455"/>
      <c r="J246" s="455"/>
    </row>
    <row r="247">
      <c r="A247" s="451" t="s">
        <v>979</v>
      </c>
      <c r="B247" s="452">
        <v>85.0</v>
      </c>
      <c r="C247" s="453" t="s">
        <v>980</v>
      </c>
      <c r="D247" s="439"/>
      <c r="E247" s="454" t="s">
        <v>128</v>
      </c>
      <c r="F247" s="454" t="s">
        <v>686</v>
      </c>
      <c r="G247" s="454" t="s">
        <v>922</v>
      </c>
      <c r="H247" s="455"/>
      <c r="I247" s="455"/>
      <c r="J247" s="455"/>
    </row>
    <row r="248">
      <c r="A248" s="451" t="s">
        <v>981</v>
      </c>
      <c r="B248" s="452">
        <v>98.0</v>
      </c>
      <c r="C248" s="453" t="s">
        <v>982</v>
      </c>
      <c r="D248" s="439"/>
      <c r="E248" s="454" t="s">
        <v>128</v>
      </c>
      <c r="F248" s="454" t="s">
        <v>916</v>
      </c>
      <c r="G248" s="454" t="s">
        <v>922</v>
      </c>
      <c r="H248" s="455"/>
      <c r="I248" s="455"/>
      <c r="J248" s="455"/>
    </row>
    <row r="249">
      <c r="A249" s="451" t="s">
        <v>983</v>
      </c>
      <c r="B249" s="452">
        <v>216.0</v>
      </c>
      <c r="C249" s="453" t="s">
        <v>984</v>
      </c>
      <c r="D249" s="439"/>
      <c r="E249" s="454" t="s">
        <v>128</v>
      </c>
      <c r="F249" s="454" t="s">
        <v>893</v>
      </c>
      <c r="G249" s="454" t="s">
        <v>922</v>
      </c>
      <c r="H249" s="455"/>
      <c r="I249" s="455"/>
      <c r="J249" s="455"/>
    </row>
    <row r="250">
      <c r="A250" s="451" t="s">
        <v>985</v>
      </c>
      <c r="B250" s="452">
        <v>122.0</v>
      </c>
      <c r="C250" s="453" t="s">
        <v>726</v>
      </c>
      <c r="D250" s="439"/>
      <c r="E250" s="454" t="s">
        <v>128</v>
      </c>
      <c r="F250" s="454" t="s">
        <v>694</v>
      </c>
      <c r="G250" s="454" t="s">
        <v>679</v>
      </c>
      <c r="H250" s="455"/>
      <c r="I250" s="455"/>
      <c r="J250" s="455"/>
    </row>
    <row r="251">
      <c r="A251" s="451" t="s">
        <v>986</v>
      </c>
      <c r="B251" s="452">
        <v>85.0</v>
      </c>
      <c r="C251" s="453" t="s">
        <v>527</v>
      </c>
      <c r="D251" s="439"/>
      <c r="E251" s="454" t="s">
        <v>128</v>
      </c>
      <c r="F251" s="454" t="s">
        <v>916</v>
      </c>
      <c r="G251" s="454" t="s">
        <v>679</v>
      </c>
      <c r="H251" s="455"/>
      <c r="I251" s="455"/>
      <c r="J251" s="455"/>
    </row>
    <row r="252">
      <c r="A252" s="451" t="s">
        <v>987</v>
      </c>
      <c r="B252" s="452">
        <v>85.0</v>
      </c>
      <c r="C252" s="453" t="s">
        <v>401</v>
      </c>
      <c r="D252" s="439"/>
      <c r="E252" s="454" t="s">
        <v>128</v>
      </c>
      <c r="F252" s="454" t="s">
        <v>686</v>
      </c>
      <c r="G252" s="454" t="s">
        <v>922</v>
      </c>
      <c r="H252" s="455"/>
      <c r="I252" s="455"/>
      <c r="J252" s="455"/>
    </row>
    <row r="253">
      <c r="A253" s="451" t="s">
        <v>988</v>
      </c>
      <c r="B253" s="452">
        <v>110.0</v>
      </c>
      <c r="C253" s="453" t="s">
        <v>433</v>
      </c>
      <c r="D253" s="439"/>
      <c r="E253" s="454" t="s">
        <v>128</v>
      </c>
      <c r="F253" s="454" t="s">
        <v>696</v>
      </c>
      <c r="G253" s="454" t="s">
        <v>677</v>
      </c>
      <c r="H253" s="455"/>
      <c r="I253" s="455"/>
      <c r="J253" s="455"/>
    </row>
    <row r="254">
      <c r="A254" s="451" t="s">
        <v>989</v>
      </c>
      <c r="B254" s="452">
        <v>101.0</v>
      </c>
      <c r="C254" s="453" t="s">
        <v>428</v>
      </c>
      <c r="D254" s="439"/>
      <c r="E254" s="454" t="s">
        <v>128</v>
      </c>
      <c r="F254" s="454" t="s">
        <v>694</v>
      </c>
      <c r="G254" s="454" t="s">
        <v>922</v>
      </c>
      <c r="H254" s="455"/>
      <c r="I254" s="455"/>
      <c r="J254" s="455"/>
    </row>
    <row r="255">
      <c r="A255" s="451" t="s">
        <v>990</v>
      </c>
      <c r="B255" s="452">
        <v>90.0</v>
      </c>
      <c r="C255" s="453" t="s">
        <v>444</v>
      </c>
      <c r="D255" s="439"/>
      <c r="E255" s="454" t="s">
        <v>128</v>
      </c>
      <c r="F255" s="454" t="s">
        <v>920</v>
      </c>
      <c r="G255" s="454" t="s">
        <v>679</v>
      </c>
      <c r="H255" s="455"/>
      <c r="I255" s="455"/>
      <c r="J255" s="455"/>
    </row>
    <row r="256">
      <c r="A256" s="451" t="s">
        <v>991</v>
      </c>
      <c r="B256" s="452">
        <v>118.0</v>
      </c>
      <c r="C256" s="453" t="s">
        <v>465</v>
      </c>
      <c r="D256" s="439"/>
      <c r="E256" s="454" t="s">
        <v>128</v>
      </c>
      <c r="F256" s="454" t="s">
        <v>916</v>
      </c>
      <c r="G256" s="454" t="s">
        <v>922</v>
      </c>
      <c r="H256" s="455"/>
      <c r="I256" s="455"/>
      <c r="J256" s="455"/>
    </row>
    <row r="257">
      <c r="A257" s="523" t="s">
        <v>992</v>
      </c>
      <c r="B257" s="524">
        <v>185.0</v>
      </c>
      <c r="C257" s="525" t="s">
        <v>993</v>
      </c>
      <c r="D257" s="439"/>
      <c r="E257" s="470" t="s">
        <v>128</v>
      </c>
      <c r="F257" s="470" t="s">
        <v>675</v>
      </c>
      <c r="G257" s="470" t="s">
        <v>679</v>
      </c>
      <c r="H257" s="455"/>
      <c r="I257" s="455"/>
      <c r="J257" s="526"/>
      <c r="L257" s="527"/>
      <c r="N257" s="527"/>
    </row>
    <row r="258">
      <c r="A258" s="523" t="s">
        <v>994</v>
      </c>
      <c r="B258" s="524">
        <v>138.0</v>
      </c>
      <c r="C258" s="525" t="s">
        <v>995</v>
      </c>
      <c r="D258" s="439"/>
      <c r="E258" s="470" t="s">
        <v>128</v>
      </c>
      <c r="F258" s="470" t="s">
        <v>675</v>
      </c>
      <c r="G258" s="470" t="s">
        <v>679</v>
      </c>
      <c r="H258" s="455"/>
      <c r="I258" s="455"/>
      <c r="J258" s="526"/>
      <c r="L258" s="527"/>
      <c r="N258" s="527"/>
    </row>
    <row r="259">
      <c r="A259" s="523" t="s">
        <v>996</v>
      </c>
      <c r="B259" s="524">
        <v>187.0</v>
      </c>
      <c r="C259" s="525" t="s">
        <v>997</v>
      </c>
      <c r="D259" s="439"/>
      <c r="E259" s="470" t="s">
        <v>128</v>
      </c>
      <c r="F259" s="470" t="s">
        <v>893</v>
      </c>
      <c r="G259" s="470" t="s">
        <v>922</v>
      </c>
      <c r="H259" s="455"/>
      <c r="I259" s="455"/>
      <c r="J259" s="526"/>
      <c r="L259" s="527"/>
      <c r="N259" s="527"/>
    </row>
    <row r="260">
      <c r="A260" s="523" t="s">
        <v>998</v>
      </c>
      <c r="B260" s="524">
        <v>185.0</v>
      </c>
      <c r="C260" s="525" t="s">
        <v>999</v>
      </c>
      <c r="D260" s="439"/>
      <c r="E260" s="470" t="s">
        <v>128</v>
      </c>
      <c r="F260" s="470" t="s">
        <v>893</v>
      </c>
      <c r="G260" s="470" t="s">
        <v>677</v>
      </c>
      <c r="H260" s="455"/>
      <c r="I260" s="455"/>
      <c r="J260" s="526"/>
      <c r="L260" s="527"/>
      <c r="N260" s="527"/>
    </row>
    <row r="261">
      <c r="A261" s="523" t="s">
        <v>1000</v>
      </c>
      <c r="B261" s="524">
        <v>100.0</v>
      </c>
      <c r="C261" s="525" t="s">
        <v>1001</v>
      </c>
      <c r="D261" s="439"/>
      <c r="E261" s="470" t="s">
        <v>128</v>
      </c>
      <c r="F261" s="470" t="s">
        <v>686</v>
      </c>
      <c r="G261" s="470" t="s">
        <v>677</v>
      </c>
      <c r="H261" s="455"/>
      <c r="I261" s="455"/>
      <c r="J261" s="526"/>
      <c r="L261" s="527"/>
      <c r="N261" s="527"/>
    </row>
    <row r="262">
      <c r="A262" s="523" t="s">
        <v>1002</v>
      </c>
      <c r="B262" s="524">
        <v>108.0</v>
      </c>
      <c r="C262" s="525" t="s">
        <v>1003</v>
      </c>
      <c r="D262" s="439"/>
      <c r="E262" s="470" t="s">
        <v>128</v>
      </c>
      <c r="F262" s="470" t="s">
        <v>686</v>
      </c>
      <c r="G262" s="470" t="s">
        <v>677</v>
      </c>
      <c r="H262" s="455"/>
      <c r="I262" s="455"/>
      <c r="J262" s="526"/>
      <c r="L262" s="527"/>
      <c r="N262" s="527"/>
    </row>
    <row r="263">
      <c r="A263" s="523" t="s">
        <v>1004</v>
      </c>
      <c r="B263" s="524">
        <v>85.0</v>
      </c>
      <c r="C263" s="525" t="s">
        <v>1005</v>
      </c>
      <c r="D263" s="439"/>
      <c r="E263" s="470" t="s">
        <v>128</v>
      </c>
      <c r="F263" s="470" t="s">
        <v>686</v>
      </c>
      <c r="G263" s="470" t="s">
        <v>677</v>
      </c>
      <c r="H263" s="455"/>
      <c r="I263" s="455"/>
      <c r="J263" s="526"/>
      <c r="L263" s="527"/>
      <c r="N263" s="527"/>
    </row>
    <row r="264">
      <c r="A264" s="523" t="s">
        <v>1006</v>
      </c>
      <c r="B264" s="524">
        <v>148.0</v>
      </c>
      <c r="C264" s="525" t="s">
        <v>1007</v>
      </c>
      <c r="D264" s="439"/>
      <c r="E264" s="470" t="s">
        <v>128</v>
      </c>
      <c r="F264" s="470" t="s">
        <v>675</v>
      </c>
      <c r="G264" s="470" t="s">
        <v>679</v>
      </c>
      <c r="H264" s="455"/>
      <c r="I264" s="455"/>
      <c r="J264" s="526"/>
      <c r="L264" s="527"/>
      <c r="N264" s="527"/>
    </row>
    <row r="265">
      <c r="A265" s="523" t="s">
        <v>1008</v>
      </c>
      <c r="B265" s="524">
        <v>139.0</v>
      </c>
      <c r="C265" s="525" t="s">
        <v>1009</v>
      </c>
      <c r="D265" s="439"/>
      <c r="E265" s="470" t="s">
        <v>128</v>
      </c>
      <c r="F265" s="470" t="s">
        <v>675</v>
      </c>
      <c r="G265" s="470" t="s">
        <v>679</v>
      </c>
      <c r="H265" s="455"/>
      <c r="I265" s="455"/>
      <c r="J265" s="526"/>
      <c r="L265" s="527"/>
      <c r="N265" s="527"/>
    </row>
    <row r="266">
      <c r="A266" s="523" t="s">
        <v>1010</v>
      </c>
      <c r="B266" s="524">
        <v>142.0</v>
      </c>
      <c r="C266" s="525" t="s">
        <v>1011</v>
      </c>
      <c r="D266" s="439"/>
      <c r="E266" s="470" t="s">
        <v>128</v>
      </c>
      <c r="F266" s="470" t="s">
        <v>675</v>
      </c>
      <c r="G266" s="470" t="s">
        <v>679</v>
      </c>
      <c r="H266" s="455"/>
      <c r="I266" s="455"/>
      <c r="J266" s="526"/>
      <c r="L266" s="527"/>
      <c r="N266" s="527"/>
    </row>
    <row r="267">
      <c r="A267" s="523" t="s">
        <v>1012</v>
      </c>
      <c r="B267" s="524">
        <v>163.0</v>
      </c>
      <c r="C267" s="525" t="s">
        <v>1013</v>
      </c>
      <c r="D267" s="439"/>
      <c r="E267" s="470" t="s">
        <v>128</v>
      </c>
      <c r="F267" s="470" t="s">
        <v>675</v>
      </c>
      <c r="G267" s="470" t="s">
        <v>679</v>
      </c>
      <c r="H267" s="455"/>
      <c r="I267" s="455"/>
      <c r="J267" s="526"/>
      <c r="L267" s="527"/>
      <c r="N267" s="527"/>
    </row>
    <row r="268">
      <c r="A268" s="523" t="s">
        <v>1014</v>
      </c>
      <c r="B268" s="524">
        <v>186.0</v>
      </c>
      <c r="C268" s="525" t="s">
        <v>1015</v>
      </c>
      <c r="D268" s="439"/>
      <c r="E268" s="470" t="s">
        <v>128</v>
      </c>
      <c r="F268" s="470" t="s">
        <v>675</v>
      </c>
      <c r="G268" s="470" t="s">
        <v>922</v>
      </c>
      <c r="H268" s="455"/>
      <c r="I268" s="455"/>
      <c r="J268" s="526"/>
      <c r="L268" s="527"/>
      <c r="N268" s="527"/>
    </row>
    <row r="269">
      <c r="A269" s="523" t="s">
        <v>1016</v>
      </c>
      <c r="B269" s="524">
        <v>98.0</v>
      </c>
      <c r="C269" s="525" t="s">
        <v>1017</v>
      </c>
      <c r="D269" s="439"/>
      <c r="E269" s="470" t="s">
        <v>128</v>
      </c>
      <c r="F269" s="470" t="s">
        <v>696</v>
      </c>
      <c r="G269" s="470" t="s">
        <v>677</v>
      </c>
      <c r="H269" s="455"/>
      <c r="I269" s="455"/>
      <c r="J269" s="526"/>
      <c r="L269" s="527"/>
      <c r="N269" s="527"/>
    </row>
    <row r="270">
      <c r="A270" s="523" t="s">
        <v>1018</v>
      </c>
      <c r="B270" s="524">
        <v>158.0</v>
      </c>
      <c r="C270" s="525" t="s">
        <v>1019</v>
      </c>
      <c r="D270" s="439"/>
      <c r="E270" s="470" t="s">
        <v>128</v>
      </c>
      <c r="F270" s="470" t="s">
        <v>675</v>
      </c>
      <c r="G270" s="470" t="s">
        <v>679</v>
      </c>
      <c r="H270" s="455"/>
      <c r="I270" s="455"/>
      <c r="J270" s="455"/>
    </row>
    <row r="271">
      <c r="A271" s="523" t="s">
        <v>1020</v>
      </c>
      <c r="B271" s="524">
        <v>186.0</v>
      </c>
      <c r="C271" s="525" t="s">
        <v>1021</v>
      </c>
      <c r="D271" s="439"/>
      <c r="E271" s="470" t="s">
        <v>128</v>
      </c>
      <c r="F271" s="470" t="s">
        <v>675</v>
      </c>
      <c r="G271" s="470" t="s">
        <v>679</v>
      </c>
      <c r="H271" s="470" t="s">
        <v>489</v>
      </c>
      <c r="I271" s="455"/>
      <c r="J271" s="455"/>
    </row>
    <row r="272">
      <c r="A272" s="451" t="s">
        <v>1022</v>
      </c>
      <c r="B272" s="452">
        <v>98.0</v>
      </c>
      <c r="C272" s="453" t="s">
        <v>388</v>
      </c>
      <c r="D272" s="439"/>
      <c r="E272" s="454" t="s">
        <v>130</v>
      </c>
      <c r="F272" s="454" t="s">
        <v>753</v>
      </c>
      <c r="G272" s="454" t="s">
        <v>754</v>
      </c>
      <c r="H272" s="455"/>
      <c r="I272" s="455"/>
      <c r="J272" s="455"/>
    </row>
    <row r="273">
      <c r="A273" s="451" t="s">
        <v>1023</v>
      </c>
      <c r="B273" s="452">
        <v>98.0</v>
      </c>
      <c r="C273" s="453" t="s">
        <v>364</v>
      </c>
      <c r="D273" s="439"/>
      <c r="E273" s="454" t="s">
        <v>130</v>
      </c>
      <c r="F273" s="454" t="s">
        <v>753</v>
      </c>
      <c r="G273" s="454" t="s">
        <v>754</v>
      </c>
      <c r="H273" s="455"/>
      <c r="I273" s="455"/>
      <c r="J273" s="455"/>
    </row>
    <row r="274">
      <c r="A274" s="451" t="s">
        <v>1024</v>
      </c>
      <c r="B274" s="452">
        <v>98.0</v>
      </c>
      <c r="C274" s="453" t="s">
        <v>601</v>
      </c>
      <c r="D274" s="439"/>
      <c r="E274" s="454" t="s">
        <v>130</v>
      </c>
      <c r="F274" s="454" t="s">
        <v>753</v>
      </c>
      <c r="G274" s="454" t="s">
        <v>754</v>
      </c>
      <c r="H274" s="455"/>
      <c r="I274" s="455"/>
      <c r="J274" s="455"/>
    </row>
    <row r="275">
      <c r="A275" s="451" t="s">
        <v>1025</v>
      </c>
      <c r="B275" s="452">
        <v>98.0</v>
      </c>
      <c r="C275" s="453" t="s">
        <v>289</v>
      </c>
      <c r="D275" s="439"/>
      <c r="E275" s="454" t="s">
        <v>130</v>
      </c>
      <c r="F275" s="454" t="s">
        <v>756</v>
      </c>
      <c r="G275" s="454" t="s">
        <v>683</v>
      </c>
      <c r="H275" s="455"/>
      <c r="I275" s="455"/>
      <c r="J275" s="455"/>
    </row>
    <row r="276">
      <c r="A276" s="451" t="s">
        <v>1026</v>
      </c>
      <c r="B276" s="452">
        <v>98.0</v>
      </c>
      <c r="C276" s="453" t="s">
        <v>1027</v>
      </c>
      <c r="D276" s="439"/>
      <c r="E276" s="454" t="s">
        <v>130</v>
      </c>
      <c r="F276" s="454" t="s">
        <v>753</v>
      </c>
      <c r="G276" s="454" t="s">
        <v>754</v>
      </c>
      <c r="H276" s="455"/>
      <c r="I276" s="455"/>
      <c r="J276" s="455"/>
    </row>
    <row r="277">
      <c r="A277" s="451" t="s">
        <v>1028</v>
      </c>
      <c r="B277" s="452">
        <v>98.0</v>
      </c>
      <c r="C277" s="453" t="s">
        <v>382</v>
      </c>
      <c r="D277" s="439"/>
      <c r="E277" s="454" t="s">
        <v>130</v>
      </c>
      <c r="F277" s="454" t="s">
        <v>753</v>
      </c>
      <c r="G277" s="454" t="s">
        <v>754</v>
      </c>
      <c r="H277" s="455"/>
      <c r="I277" s="455"/>
      <c r="J277" s="455"/>
    </row>
    <row r="278">
      <c r="A278" s="451" t="s">
        <v>1029</v>
      </c>
      <c r="B278" s="452">
        <v>98.0</v>
      </c>
      <c r="C278" s="453" t="s">
        <v>312</v>
      </c>
      <c r="D278" s="439"/>
      <c r="E278" s="454" t="s">
        <v>130</v>
      </c>
      <c r="F278" s="454" t="s">
        <v>753</v>
      </c>
      <c r="G278" s="454" t="s">
        <v>754</v>
      </c>
      <c r="H278" s="455"/>
      <c r="I278" s="455"/>
      <c r="J278" s="455"/>
    </row>
    <row r="279">
      <c r="A279" s="451" t="s">
        <v>1030</v>
      </c>
      <c r="B279" s="452">
        <v>85.0</v>
      </c>
      <c r="C279" s="453" t="s">
        <v>1031</v>
      </c>
      <c r="D279" s="439"/>
      <c r="E279" s="454" t="s">
        <v>130</v>
      </c>
      <c r="F279" s="454" t="s">
        <v>753</v>
      </c>
      <c r="G279" s="454" t="s">
        <v>754</v>
      </c>
      <c r="H279" s="455"/>
      <c r="I279" s="455"/>
      <c r="J279" s="455"/>
    </row>
    <row r="280">
      <c r="A280" s="451" t="s">
        <v>1032</v>
      </c>
      <c r="B280" s="452">
        <v>98.0</v>
      </c>
      <c r="C280" s="453" t="s">
        <v>1033</v>
      </c>
      <c r="D280" s="439"/>
      <c r="E280" s="454" t="s">
        <v>130</v>
      </c>
      <c r="F280" s="454" t="s">
        <v>753</v>
      </c>
      <c r="G280" s="454" t="s">
        <v>754</v>
      </c>
      <c r="H280" s="455"/>
      <c r="I280" s="455"/>
      <c r="J280" s="455"/>
    </row>
    <row r="281">
      <c r="A281" s="451" t="s">
        <v>1034</v>
      </c>
      <c r="B281" s="452">
        <v>75.0</v>
      </c>
      <c r="C281" s="453" t="s">
        <v>1035</v>
      </c>
      <c r="D281" s="439"/>
      <c r="E281" s="454" t="s">
        <v>130</v>
      </c>
      <c r="F281" s="454" t="s">
        <v>753</v>
      </c>
      <c r="G281" s="454" t="s">
        <v>683</v>
      </c>
      <c r="H281" s="455"/>
      <c r="I281" s="455"/>
      <c r="J281" s="455"/>
    </row>
    <row r="282">
      <c r="A282" s="451" t="s">
        <v>1036</v>
      </c>
      <c r="B282" s="452">
        <v>85.0</v>
      </c>
      <c r="C282" s="453" t="s">
        <v>1037</v>
      </c>
      <c r="D282" s="439"/>
      <c r="E282" s="454" t="s">
        <v>130</v>
      </c>
      <c r="F282" s="454" t="s">
        <v>753</v>
      </c>
      <c r="G282" s="454" t="s">
        <v>754</v>
      </c>
      <c r="H282" s="455"/>
      <c r="I282" s="455"/>
      <c r="J282" s="455"/>
    </row>
    <row r="283">
      <c r="A283" s="523" t="s">
        <v>1038</v>
      </c>
      <c r="B283" s="524">
        <v>98.0</v>
      </c>
      <c r="C283" s="525" t="s">
        <v>1039</v>
      </c>
      <c r="D283" s="439"/>
      <c r="E283" s="454" t="s">
        <v>130</v>
      </c>
      <c r="F283" s="454" t="s">
        <v>753</v>
      </c>
      <c r="G283" s="470" t="s">
        <v>758</v>
      </c>
      <c r="H283" s="455"/>
      <c r="I283" s="455"/>
      <c r="J283" s="455"/>
    </row>
    <row r="284">
      <c r="A284" s="451" t="s">
        <v>1040</v>
      </c>
      <c r="B284" s="452">
        <v>98.0</v>
      </c>
      <c r="C284" s="453" t="s">
        <v>89</v>
      </c>
      <c r="D284" s="439"/>
      <c r="E284" s="454" t="s">
        <v>125</v>
      </c>
      <c r="F284" s="454" t="s">
        <v>703</v>
      </c>
      <c r="G284" s="454" t="s">
        <v>1041</v>
      </c>
      <c r="H284" s="455"/>
      <c r="I284" s="455"/>
      <c r="J284" s="455"/>
    </row>
    <row r="285">
      <c r="A285" s="451" t="s">
        <v>1042</v>
      </c>
      <c r="B285" s="452">
        <v>98.0</v>
      </c>
      <c r="C285" s="453" t="s">
        <v>522</v>
      </c>
      <c r="D285" s="439"/>
      <c r="E285" s="454" t="s">
        <v>125</v>
      </c>
      <c r="F285" s="454" t="s">
        <v>703</v>
      </c>
      <c r="G285" s="454" t="s">
        <v>488</v>
      </c>
      <c r="H285" s="455"/>
      <c r="I285" s="455"/>
      <c r="J285" s="455"/>
    </row>
    <row r="286">
      <c r="A286" s="451" t="s">
        <v>1043</v>
      </c>
      <c r="B286" s="452">
        <v>98.0</v>
      </c>
      <c r="C286" s="453" t="s">
        <v>528</v>
      </c>
      <c r="D286" s="439"/>
      <c r="E286" s="454" t="s">
        <v>125</v>
      </c>
      <c r="F286" s="454" t="s">
        <v>713</v>
      </c>
      <c r="G286" s="454" t="s">
        <v>495</v>
      </c>
      <c r="H286" s="455"/>
      <c r="I286" s="455"/>
      <c r="J286" s="455"/>
    </row>
    <row r="287">
      <c r="A287" s="451" t="s">
        <v>1044</v>
      </c>
      <c r="B287" s="452">
        <v>244.0</v>
      </c>
      <c r="C287" s="453" t="s">
        <v>531</v>
      </c>
      <c r="D287" s="439"/>
      <c r="E287" s="454" t="s">
        <v>125</v>
      </c>
      <c r="F287" s="470" t="s">
        <v>705</v>
      </c>
      <c r="G287" s="454" t="s">
        <v>488</v>
      </c>
      <c r="H287" s="455"/>
      <c r="I287" s="455"/>
      <c r="J287" s="455"/>
    </row>
    <row r="288">
      <c r="A288" s="451" t="s">
        <v>1045</v>
      </c>
      <c r="B288" s="452">
        <v>98.0</v>
      </c>
      <c r="C288" s="453" t="s">
        <v>271</v>
      </c>
      <c r="D288" s="439"/>
      <c r="E288" s="454" t="s">
        <v>125</v>
      </c>
      <c r="F288" s="454" t="s">
        <v>703</v>
      </c>
      <c r="G288" s="454" t="s">
        <v>1041</v>
      </c>
      <c r="H288" s="455"/>
      <c r="I288" s="455"/>
      <c r="J288" s="455"/>
    </row>
    <row r="289">
      <c r="A289" s="451" t="s">
        <v>1046</v>
      </c>
      <c r="B289" s="452">
        <v>98.0</v>
      </c>
      <c r="C289" s="453" t="s">
        <v>281</v>
      </c>
      <c r="D289" s="439"/>
      <c r="E289" s="454" t="s">
        <v>125</v>
      </c>
      <c r="F289" s="454" t="s">
        <v>699</v>
      </c>
      <c r="G289" s="454" t="s">
        <v>495</v>
      </c>
      <c r="H289" s="455"/>
      <c r="I289" s="455"/>
      <c r="J289" s="455"/>
    </row>
    <row r="290">
      <c r="A290" s="451" t="s">
        <v>1047</v>
      </c>
      <c r="B290" s="452">
        <v>98.0</v>
      </c>
      <c r="C290" s="453" t="s">
        <v>286</v>
      </c>
      <c r="D290" s="439"/>
      <c r="E290" s="454" t="s">
        <v>125</v>
      </c>
      <c r="F290" s="454" t="s">
        <v>703</v>
      </c>
      <c r="G290" s="454" t="s">
        <v>708</v>
      </c>
      <c r="H290" s="455"/>
      <c r="I290" s="455"/>
      <c r="J290" s="455"/>
    </row>
    <row r="291">
      <c r="A291" s="451" t="s">
        <v>1048</v>
      </c>
      <c r="B291" s="452">
        <v>240.0</v>
      </c>
      <c r="C291" s="453" t="s">
        <v>290</v>
      </c>
      <c r="D291" s="439"/>
      <c r="E291" s="454" t="s">
        <v>125</v>
      </c>
      <c r="F291" s="454" t="s">
        <v>707</v>
      </c>
      <c r="G291" s="454" t="s">
        <v>504</v>
      </c>
      <c r="H291" s="455"/>
      <c r="I291" s="455"/>
      <c r="J291" s="455"/>
    </row>
    <row r="292">
      <c r="A292" s="451" t="s">
        <v>1049</v>
      </c>
      <c r="B292" s="452">
        <v>98.0</v>
      </c>
      <c r="C292" s="453" t="s">
        <v>131</v>
      </c>
      <c r="D292" s="439"/>
      <c r="E292" s="454" t="s">
        <v>125</v>
      </c>
      <c r="F292" s="454" t="s">
        <v>699</v>
      </c>
      <c r="G292" s="454" t="s">
        <v>708</v>
      </c>
      <c r="H292" s="455"/>
      <c r="I292" s="455"/>
      <c r="J292" s="455"/>
    </row>
    <row r="293">
      <c r="A293" s="451" t="s">
        <v>1050</v>
      </c>
      <c r="B293" s="452">
        <v>98.0</v>
      </c>
      <c r="C293" s="453" t="s">
        <v>305</v>
      </c>
      <c r="D293" s="439"/>
      <c r="E293" s="454" t="s">
        <v>125</v>
      </c>
      <c r="F293" s="454" t="s">
        <v>703</v>
      </c>
      <c r="G293" s="454" t="s">
        <v>488</v>
      </c>
      <c r="H293" s="455"/>
      <c r="I293" s="455"/>
      <c r="J293" s="455"/>
    </row>
    <row r="294">
      <c r="A294" s="451" t="s">
        <v>1051</v>
      </c>
      <c r="B294" s="452">
        <v>98.0</v>
      </c>
      <c r="C294" s="453" t="s">
        <v>309</v>
      </c>
      <c r="D294" s="439"/>
      <c r="E294" s="454" t="s">
        <v>125</v>
      </c>
      <c r="F294" s="454" t="s">
        <v>703</v>
      </c>
      <c r="G294" s="454" t="s">
        <v>488</v>
      </c>
      <c r="H294" s="455"/>
      <c r="I294" s="455"/>
      <c r="J294" s="455"/>
    </row>
    <row r="295">
      <c r="A295" s="451" t="s">
        <v>1052</v>
      </c>
      <c r="B295" s="452">
        <v>168.0</v>
      </c>
      <c r="C295" s="453" t="s">
        <v>314</v>
      </c>
      <c r="D295" s="439"/>
      <c r="E295" s="454" t="s">
        <v>125</v>
      </c>
      <c r="F295" s="454" t="s">
        <v>700</v>
      </c>
      <c r="G295" s="454" t="s">
        <v>495</v>
      </c>
      <c r="H295" s="455"/>
      <c r="I295" s="455"/>
      <c r="J295" s="455"/>
    </row>
    <row r="296">
      <c r="A296" s="451" t="s">
        <v>1053</v>
      </c>
      <c r="B296" s="452">
        <v>98.0</v>
      </c>
      <c r="C296" s="453" t="s">
        <v>1054</v>
      </c>
      <c r="D296" s="439"/>
      <c r="E296" s="454" t="s">
        <v>125</v>
      </c>
      <c r="F296" s="454" t="s">
        <v>699</v>
      </c>
      <c r="G296" s="454" t="s">
        <v>708</v>
      </c>
      <c r="H296" s="455"/>
      <c r="I296" s="455"/>
      <c r="J296" s="455"/>
    </row>
    <row r="297">
      <c r="A297" s="451" t="s">
        <v>1055</v>
      </c>
      <c r="B297" s="452">
        <v>98.0</v>
      </c>
      <c r="C297" s="453" t="s">
        <v>337</v>
      </c>
      <c r="D297" s="439"/>
      <c r="E297" s="454" t="s">
        <v>125</v>
      </c>
      <c r="F297" s="454" t="s">
        <v>703</v>
      </c>
      <c r="G297" s="454" t="s">
        <v>1041</v>
      </c>
      <c r="H297" s="455"/>
      <c r="I297" s="455"/>
      <c r="J297" s="455"/>
    </row>
    <row r="298">
      <c r="A298" s="451" t="s">
        <v>1056</v>
      </c>
      <c r="B298" s="452">
        <v>98.0</v>
      </c>
      <c r="C298" s="453" t="s">
        <v>355</v>
      </c>
      <c r="D298" s="439"/>
      <c r="E298" s="454" t="s">
        <v>125</v>
      </c>
      <c r="F298" s="454" t="s">
        <v>703</v>
      </c>
      <c r="G298" s="454" t="s">
        <v>488</v>
      </c>
      <c r="H298" s="455"/>
      <c r="I298" s="455"/>
      <c r="J298" s="455"/>
    </row>
    <row r="299">
      <c r="A299" s="451" t="s">
        <v>1057</v>
      </c>
      <c r="B299" s="452">
        <v>185.0</v>
      </c>
      <c r="C299" s="453" t="s">
        <v>366</v>
      </c>
      <c r="D299" s="439"/>
      <c r="E299" s="454" t="s">
        <v>125</v>
      </c>
      <c r="F299" s="454" t="s">
        <v>707</v>
      </c>
      <c r="G299" s="454" t="s">
        <v>488</v>
      </c>
      <c r="H299" s="455"/>
      <c r="I299" s="455"/>
      <c r="J299" s="455"/>
    </row>
    <row r="300">
      <c r="A300" s="451" t="s">
        <v>1058</v>
      </c>
      <c r="B300" s="452">
        <v>98.0</v>
      </c>
      <c r="C300" s="453" t="s">
        <v>378</v>
      </c>
      <c r="D300" s="439"/>
      <c r="E300" s="454" t="s">
        <v>125</v>
      </c>
      <c r="F300" s="454" t="s">
        <v>703</v>
      </c>
      <c r="G300" s="454" t="s">
        <v>495</v>
      </c>
      <c r="H300" s="455"/>
      <c r="I300" s="455"/>
      <c r="J300" s="455"/>
    </row>
    <row r="301">
      <c r="A301" s="451" t="s">
        <v>1059</v>
      </c>
      <c r="B301" s="452">
        <v>98.0</v>
      </c>
      <c r="C301" s="453" t="s">
        <v>384</v>
      </c>
      <c r="D301" s="439"/>
      <c r="E301" s="454" t="s">
        <v>125</v>
      </c>
      <c r="F301" s="454" t="s">
        <v>703</v>
      </c>
      <c r="G301" s="454" t="s">
        <v>1041</v>
      </c>
      <c r="H301" s="455"/>
      <c r="I301" s="455"/>
      <c r="J301" s="455"/>
    </row>
    <row r="302">
      <c r="A302" s="451" t="s">
        <v>1060</v>
      </c>
      <c r="B302" s="452">
        <v>98.0</v>
      </c>
      <c r="C302" s="453" t="s">
        <v>390</v>
      </c>
      <c r="D302" s="439"/>
      <c r="E302" s="454" t="s">
        <v>125</v>
      </c>
      <c r="F302" s="454" t="s">
        <v>699</v>
      </c>
      <c r="G302" s="454" t="s">
        <v>488</v>
      </c>
      <c r="H302" s="455"/>
      <c r="I302" s="455"/>
      <c r="J302" s="455"/>
    </row>
    <row r="303">
      <c r="A303" s="451" t="s">
        <v>1061</v>
      </c>
      <c r="B303" s="452">
        <v>165.0</v>
      </c>
      <c r="C303" s="453" t="s">
        <v>393</v>
      </c>
      <c r="D303" s="439"/>
      <c r="E303" s="454" t="s">
        <v>125</v>
      </c>
      <c r="F303" s="454" t="s">
        <v>700</v>
      </c>
      <c r="G303" s="454" t="s">
        <v>504</v>
      </c>
      <c r="H303" s="455"/>
      <c r="I303" s="455"/>
      <c r="J303" s="455"/>
    </row>
    <row r="304">
      <c r="A304" s="451" t="s">
        <v>1062</v>
      </c>
      <c r="B304" s="452">
        <v>80.0</v>
      </c>
      <c r="C304" s="453" t="s">
        <v>402</v>
      </c>
      <c r="D304" s="439"/>
      <c r="E304" s="454" t="s">
        <v>125</v>
      </c>
      <c r="F304" s="454" t="s">
        <v>699</v>
      </c>
      <c r="G304" s="454" t="s">
        <v>708</v>
      </c>
      <c r="H304" s="455"/>
      <c r="I304" s="455"/>
      <c r="J304" s="455"/>
    </row>
    <row r="305">
      <c r="A305" s="451" t="s">
        <v>1063</v>
      </c>
      <c r="B305" s="452">
        <v>98.0</v>
      </c>
      <c r="C305" s="453" t="s">
        <v>405</v>
      </c>
      <c r="D305" s="439"/>
      <c r="E305" s="454" t="s">
        <v>125</v>
      </c>
      <c r="F305" s="454" t="s">
        <v>703</v>
      </c>
      <c r="G305" s="454" t="s">
        <v>488</v>
      </c>
      <c r="H305" s="455"/>
      <c r="I305" s="455"/>
      <c r="J305" s="455"/>
    </row>
    <row r="306">
      <c r="A306" s="451" t="s">
        <v>1064</v>
      </c>
      <c r="B306" s="452">
        <v>98.0</v>
      </c>
      <c r="C306" s="453" t="s">
        <v>1065</v>
      </c>
      <c r="D306" s="439"/>
      <c r="E306" s="454" t="s">
        <v>125</v>
      </c>
      <c r="F306" s="454" t="s">
        <v>703</v>
      </c>
      <c r="G306" s="454" t="s">
        <v>504</v>
      </c>
      <c r="H306" s="455"/>
      <c r="I306" s="455"/>
      <c r="J306" s="455"/>
    </row>
    <row r="307">
      <c r="A307" s="451" t="s">
        <v>1066</v>
      </c>
      <c r="B307" s="452">
        <v>188.0</v>
      </c>
      <c r="C307" s="453" t="s">
        <v>750</v>
      </c>
      <c r="D307" s="439"/>
      <c r="E307" s="454" t="s">
        <v>125</v>
      </c>
      <c r="F307" s="454" t="s">
        <v>703</v>
      </c>
      <c r="G307" s="454" t="s">
        <v>495</v>
      </c>
      <c r="H307" s="455"/>
      <c r="I307" s="455"/>
      <c r="J307" s="455"/>
    </row>
    <row r="308">
      <c r="A308" s="451" t="s">
        <v>1067</v>
      </c>
      <c r="B308" s="452">
        <v>98.0</v>
      </c>
      <c r="C308" s="453" t="s">
        <v>411</v>
      </c>
      <c r="D308" s="439"/>
      <c r="E308" s="454" t="s">
        <v>125</v>
      </c>
      <c r="F308" s="454" t="s">
        <v>713</v>
      </c>
      <c r="G308" s="454" t="s">
        <v>495</v>
      </c>
      <c r="H308" s="455"/>
      <c r="I308" s="455"/>
      <c r="J308" s="455"/>
    </row>
    <row r="309">
      <c r="A309" s="451" t="s">
        <v>1068</v>
      </c>
      <c r="B309" s="452">
        <v>80.0</v>
      </c>
      <c r="C309" s="453" t="s">
        <v>417</v>
      </c>
      <c r="D309" s="439"/>
      <c r="E309" s="454" t="s">
        <v>125</v>
      </c>
      <c r="F309" s="454" t="s">
        <v>703</v>
      </c>
      <c r="G309" s="454" t="s">
        <v>1041</v>
      </c>
      <c r="H309" s="455"/>
      <c r="I309" s="455"/>
      <c r="J309" s="455"/>
    </row>
    <row r="310">
      <c r="A310" s="451" t="s">
        <v>1069</v>
      </c>
      <c r="B310" s="452">
        <v>98.0</v>
      </c>
      <c r="C310" s="453" t="s">
        <v>422</v>
      </c>
      <c r="D310" s="439"/>
      <c r="E310" s="454" t="s">
        <v>125</v>
      </c>
      <c r="F310" s="454" t="s">
        <v>703</v>
      </c>
      <c r="G310" s="454" t="s">
        <v>488</v>
      </c>
      <c r="H310" s="455"/>
      <c r="I310" s="455"/>
      <c r="J310" s="455"/>
    </row>
    <row r="311">
      <c r="A311" s="451" t="s">
        <v>1070</v>
      </c>
      <c r="B311" s="452">
        <v>169.0</v>
      </c>
      <c r="C311" s="453" t="s">
        <v>424</v>
      </c>
      <c r="D311" s="439"/>
      <c r="E311" s="454" t="s">
        <v>125</v>
      </c>
      <c r="F311" s="454" t="s">
        <v>699</v>
      </c>
      <c r="G311" s="454" t="s">
        <v>495</v>
      </c>
      <c r="H311" s="455"/>
      <c r="I311" s="455"/>
      <c r="J311" s="455"/>
    </row>
    <row r="312">
      <c r="A312" s="451" t="s">
        <v>1071</v>
      </c>
      <c r="B312" s="452">
        <v>98.0</v>
      </c>
      <c r="C312" s="453" t="s">
        <v>429</v>
      </c>
      <c r="D312" s="439"/>
      <c r="E312" s="454" t="s">
        <v>125</v>
      </c>
      <c r="F312" s="454" t="s">
        <v>699</v>
      </c>
      <c r="G312" s="454" t="s">
        <v>495</v>
      </c>
      <c r="H312" s="455"/>
      <c r="I312" s="455"/>
      <c r="J312" s="455"/>
    </row>
    <row r="313">
      <c r="A313" s="451" t="s">
        <v>1072</v>
      </c>
      <c r="B313" s="452">
        <v>98.0</v>
      </c>
      <c r="C313" s="453" t="s">
        <v>434</v>
      </c>
      <c r="D313" s="439"/>
      <c r="E313" s="454" t="s">
        <v>125</v>
      </c>
      <c r="F313" s="454" t="s">
        <v>703</v>
      </c>
      <c r="G313" s="454" t="s">
        <v>1041</v>
      </c>
      <c r="H313" s="455"/>
      <c r="I313" s="455"/>
      <c r="J313" s="455"/>
    </row>
    <row r="314">
      <c r="A314" s="451" t="s">
        <v>1073</v>
      </c>
      <c r="B314" s="452">
        <v>80.0</v>
      </c>
      <c r="C314" s="453" t="s">
        <v>437</v>
      </c>
      <c r="D314" s="439"/>
      <c r="E314" s="454" t="s">
        <v>125</v>
      </c>
      <c r="F314" s="454" t="s">
        <v>703</v>
      </c>
      <c r="G314" s="454" t="s">
        <v>488</v>
      </c>
      <c r="H314" s="455"/>
      <c r="I314" s="455"/>
      <c r="J314" s="455"/>
    </row>
    <row r="315">
      <c r="A315" s="451" t="s">
        <v>1074</v>
      </c>
      <c r="B315" s="452">
        <v>178.0</v>
      </c>
      <c r="C315" s="453" t="s">
        <v>438</v>
      </c>
      <c r="D315" s="439"/>
      <c r="E315" s="454" t="s">
        <v>125</v>
      </c>
      <c r="F315" s="454" t="s">
        <v>700</v>
      </c>
      <c r="G315" s="454" t="s">
        <v>488</v>
      </c>
      <c r="H315" s="455"/>
      <c r="I315" s="455"/>
      <c r="J315" s="455"/>
    </row>
    <row r="316">
      <c r="A316" s="451" t="s">
        <v>1075</v>
      </c>
      <c r="B316" s="452">
        <v>98.0</v>
      </c>
      <c r="C316" s="453" t="s">
        <v>445</v>
      </c>
      <c r="D316" s="439"/>
      <c r="E316" s="454" t="s">
        <v>125</v>
      </c>
      <c r="F316" s="454" t="s">
        <v>699</v>
      </c>
      <c r="G316" s="454" t="s">
        <v>708</v>
      </c>
      <c r="H316" s="455"/>
      <c r="I316" s="455"/>
      <c r="J316" s="455"/>
    </row>
    <row r="317">
      <c r="A317" s="451" t="s">
        <v>1076</v>
      </c>
      <c r="B317" s="452">
        <v>70.0</v>
      </c>
      <c r="C317" s="453" t="s">
        <v>449</v>
      </c>
      <c r="D317" s="439"/>
      <c r="E317" s="454" t="s">
        <v>125</v>
      </c>
      <c r="F317" s="454" t="s">
        <v>703</v>
      </c>
      <c r="G317" s="454" t="s">
        <v>488</v>
      </c>
      <c r="H317" s="455"/>
      <c r="I317" s="455"/>
      <c r="J317" s="455"/>
    </row>
    <row r="318">
      <c r="A318" s="451" t="s">
        <v>1077</v>
      </c>
      <c r="B318" s="452">
        <v>98.0</v>
      </c>
      <c r="C318" s="453" t="s">
        <v>453</v>
      </c>
      <c r="D318" s="439"/>
      <c r="E318" s="454" t="s">
        <v>125</v>
      </c>
      <c r="F318" s="454" t="s">
        <v>703</v>
      </c>
      <c r="G318" s="454" t="s">
        <v>1041</v>
      </c>
      <c r="H318" s="455"/>
      <c r="I318" s="455"/>
      <c r="J318" s="455"/>
    </row>
    <row r="319">
      <c r="A319" s="451" t="s">
        <v>1078</v>
      </c>
      <c r="B319" s="452">
        <v>196.0</v>
      </c>
      <c r="C319" s="453" t="s">
        <v>455</v>
      </c>
      <c r="D319" s="439"/>
      <c r="E319" s="454" t="s">
        <v>125</v>
      </c>
      <c r="F319" s="454" t="s">
        <v>707</v>
      </c>
      <c r="G319" s="454" t="s">
        <v>488</v>
      </c>
      <c r="H319" s="455"/>
      <c r="I319" s="455"/>
      <c r="J319" s="455"/>
    </row>
    <row r="320">
      <c r="A320" s="451" t="s">
        <v>1079</v>
      </c>
      <c r="B320" s="452">
        <v>98.0</v>
      </c>
      <c r="C320" s="453" t="s">
        <v>461</v>
      </c>
      <c r="D320" s="439"/>
      <c r="E320" s="454" t="s">
        <v>125</v>
      </c>
      <c r="F320" s="454" t="s">
        <v>703</v>
      </c>
      <c r="G320" s="454" t="s">
        <v>1041</v>
      </c>
      <c r="H320" s="455"/>
      <c r="I320" s="455"/>
      <c r="J320" s="455"/>
    </row>
    <row r="321">
      <c r="A321" s="451" t="s">
        <v>1080</v>
      </c>
      <c r="B321" s="452">
        <v>98.0</v>
      </c>
      <c r="C321" s="453" t="s">
        <v>466</v>
      </c>
      <c r="D321" s="439"/>
      <c r="E321" s="454" t="s">
        <v>125</v>
      </c>
      <c r="F321" s="454" t="s">
        <v>713</v>
      </c>
      <c r="G321" s="454" t="s">
        <v>495</v>
      </c>
      <c r="H321" s="455"/>
      <c r="I321" s="455"/>
      <c r="J321" s="455"/>
    </row>
    <row r="322">
      <c r="A322" s="451" t="s">
        <v>1081</v>
      </c>
      <c r="B322" s="452">
        <v>98.0</v>
      </c>
      <c r="C322" s="453" t="s">
        <v>1082</v>
      </c>
      <c r="D322" s="439"/>
      <c r="E322" s="454" t="s">
        <v>125</v>
      </c>
      <c r="F322" s="454" t="s">
        <v>699</v>
      </c>
      <c r="G322" s="454" t="s">
        <v>504</v>
      </c>
      <c r="H322" s="455"/>
      <c r="I322" s="455"/>
      <c r="J322" s="455"/>
    </row>
    <row r="323">
      <c r="A323" s="451" t="s">
        <v>1083</v>
      </c>
      <c r="B323" s="452">
        <v>219.0</v>
      </c>
      <c r="C323" s="453" t="s">
        <v>472</v>
      </c>
      <c r="D323" s="439"/>
      <c r="E323" s="454" t="s">
        <v>125</v>
      </c>
      <c r="F323" s="454" t="s">
        <v>699</v>
      </c>
      <c r="G323" s="454" t="s">
        <v>708</v>
      </c>
      <c r="H323" s="455"/>
      <c r="I323" s="455"/>
      <c r="J323" s="455"/>
    </row>
    <row r="324">
      <c r="A324" s="451" t="s">
        <v>1085</v>
      </c>
      <c r="B324" s="452">
        <v>98.0</v>
      </c>
      <c r="C324" s="453" t="s">
        <v>322</v>
      </c>
      <c r="D324" s="439"/>
      <c r="E324" s="454" t="s">
        <v>125</v>
      </c>
      <c r="F324" s="454" t="s">
        <v>699</v>
      </c>
      <c r="G324" s="454" t="s">
        <v>708</v>
      </c>
      <c r="H324" s="455"/>
      <c r="I324" s="455"/>
      <c r="J324" s="455"/>
    </row>
    <row r="325">
      <c r="A325" s="451" t="s">
        <v>1086</v>
      </c>
      <c r="B325" s="452">
        <v>98.0</v>
      </c>
      <c r="C325" s="453" t="s">
        <v>1087</v>
      </c>
      <c r="D325" s="439"/>
      <c r="E325" s="454" t="s">
        <v>125</v>
      </c>
      <c r="F325" s="454" t="s">
        <v>703</v>
      </c>
      <c r="G325" s="454" t="s">
        <v>488</v>
      </c>
      <c r="H325" s="455"/>
      <c r="I325" s="455"/>
      <c r="J325" s="455"/>
    </row>
    <row r="326">
      <c r="A326" s="451" t="s">
        <v>1088</v>
      </c>
      <c r="B326" s="452">
        <v>98.0</v>
      </c>
      <c r="C326" s="453" t="s">
        <v>1089</v>
      </c>
      <c r="D326" s="439"/>
      <c r="E326" s="454" t="s">
        <v>125</v>
      </c>
      <c r="F326" s="454" t="s">
        <v>699</v>
      </c>
      <c r="G326" s="454" t="s">
        <v>708</v>
      </c>
      <c r="H326" s="455"/>
      <c r="I326" s="455"/>
      <c r="J326" s="455"/>
    </row>
    <row r="327">
      <c r="A327" s="451" t="s">
        <v>1090</v>
      </c>
      <c r="B327" s="452">
        <v>98.0</v>
      </c>
      <c r="C327" s="453" t="s">
        <v>1091</v>
      </c>
      <c r="D327" s="439"/>
      <c r="E327" s="454" t="s">
        <v>125</v>
      </c>
      <c r="F327" s="454" t="s">
        <v>713</v>
      </c>
      <c r="G327" s="454" t="s">
        <v>488</v>
      </c>
      <c r="H327" s="455"/>
      <c r="I327" s="455"/>
      <c r="J327" s="455"/>
    </row>
    <row r="328">
      <c r="A328" s="451" t="s">
        <v>1092</v>
      </c>
      <c r="B328" s="452">
        <v>98.0</v>
      </c>
      <c r="C328" s="453" t="s">
        <v>1093</v>
      </c>
      <c r="D328" s="439"/>
      <c r="E328" s="454" t="s">
        <v>125</v>
      </c>
      <c r="F328" s="454" t="s">
        <v>703</v>
      </c>
      <c r="G328" s="454" t="s">
        <v>488</v>
      </c>
      <c r="H328" s="455"/>
      <c r="I328" s="455"/>
      <c r="J328" s="455"/>
    </row>
    <row r="329">
      <c r="A329" s="451" t="s">
        <v>1094</v>
      </c>
      <c r="B329" s="452">
        <v>98.0</v>
      </c>
      <c r="C329" s="453" t="s">
        <v>1095</v>
      </c>
      <c r="D329" s="439"/>
      <c r="E329" s="454" t="s">
        <v>125</v>
      </c>
      <c r="F329" s="454" t="s">
        <v>703</v>
      </c>
      <c r="G329" s="454" t="s">
        <v>1041</v>
      </c>
      <c r="H329" s="455"/>
      <c r="I329" s="455"/>
      <c r="J329" s="455"/>
    </row>
    <row r="330">
      <c r="A330" s="451" t="s">
        <v>1096</v>
      </c>
      <c r="B330" s="452">
        <v>160.0</v>
      </c>
      <c r="C330" s="453" t="s">
        <v>1097</v>
      </c>
      <c r="D330" s="439"/>
      <c r="E330" s="454" t="s">
        <v>125</v>
      </c>
      <c r="F330" s="454" t="s">
        <v>700</v>
      </c>
      <c r="G330" s="454" t="s">
        <v>488</v>
      </c>
      <c r="H330" s="455"/>
      <c r="I330" s="455"/>
      <c r="J330" s="455"/>
    </row>
    <row r="331">
      <c r="A331" s="451" t="s">
        <v>1098</v>
      </c>
      <c r="B331" s="452">
        <v>98.0</v>
      </c>
      <c r="C331" s="453" t="s">
        <v>1099</v>
      </c>
      <c r="D331" s="439"/>
      <c r="E331" s="454" t="s">
        <v>125</v>
      </c>
      <c r="F331" s="454" t="s">
        <v>703</v>
      </c>
      <c r="G331" s="454" t="s">
        <v>488</v>
      </c>
      <c r="H331" s="455"/>
      <c r="I331" s="455"/>
      <c r="J331" s="455"/>
    </row>
    <row r="332">
      <c r="A332" s="451" t="s">
        <v>1100</v>
      </c>
      <c r="B332" s="452">
        <v>190.0</v>
      </c>
      <c r="C332" s="453" t="s">
        <v>1101</v>
      </c>
      <c r="D332" s="439"/>
      <c r="E332" s="454" t="s">
        <v>125</v>
      </c>
      <c r="F332" s="454" t="s">
        <v>707</v>
      </c>
      <c r="G332" s="454" t="s">
        <v>495</v>
      </c>
      <c r="H332" s="455"/>
      <c r="I332" s="455"/>
      <c r="J332" s="455"/>
    </row>
    <row r="333">
      <c r="A333" s="451" t="s">
        <v>1102</v>
      </c>
      <c r="B333" s="452">
        <v>98.0</v>
      </c>
      <c r="C333" s="453" t="s">
        <v>1103</v>
      </c>
      <c r="D333" s="439"/>
      <c r="E333" s="454" t="s">
        <v>125</v>
      </c>
      <c r="F333" s="454" t="s">
        <v>703</v>
      </c>
      <c r="G333" s="454" t="s">
        <v>1041</v>
      </c>
      <c r="H333" s="455"/>
      <c r="I333" s="455"/>
      <c r="J333" s="455"/>
    </row>
    <row r="334">
      <c r="A334" s="451" t="s">
        <v>1104</v>
      </c>
      <c r="B334" s="452">
        <v>98.0</v>
      </c>
      <c r="C334" s="453" t="s">
        <v>1105</v>
      </c>
      <c r="D334" s="439"/>
      <c r="E334" s="454" t="s">
        <v>125</v>
      </c>
      <c r="F334" s="454" t="s">
        <v>703</v>
      </c>
      <c r="G334" s="454" t="s">
        <v>488</v>
      </c>
      <c r="H334" s="455"/>
      <c r="I334" s="455"/>
      <c r="J334" s="455"/>
    </row>
    <row r="335">
      <c r="A335" s="451" t="s">
        <v>1106</v>
      </c>
      <c r="B335" s="452">
        <v>98.0</v>
      </c>
      <c r="C335" s="453" t="s">
        <v>1107</v>
      </c>
      <c r="D335" s="439"/>
      <c r="E335" s="454" t="s">
        <v>125</v>
      </c>
      <c r="F335" s="454" t="s">
        <v>699</v>
      </c>
      <c r="G335" s="454" t="s">
        <v>708</v>
      </c>
      <c r="H335" s="455"/>
      <c r="I335" s="455"/>
      <c r="J335" s="455"/>
    </row>
    <row r="336">
      <c r="A336" s="451" t="s">
        <v>1108</v>
      </c>
      <c r="B336" s="452">
        <v>98.0</v>
      </c>
      <c r="C336" s="453" t="s">
        <v>1109</v>
      </c>
      <c r="D336" s="439"/>
      <c r="E336" s="454" t="s">
        <v>125</v>
      </c>
      <c r="F336" s="454" t="s">
        <v>703</v>
      </c>
      <c r="G336" s="454" t="s">
        <v>1041</v>
      </c>
      <c r="H336" s="455"/>
      <c r="I336" s="455"/>
      <c r="J336" s="455"/>
    </row>
    <row r="337">
      <c r="A337" s="451" t="s">
        <v>1110</v>
      </c>
      <c r="B337" s="452">
        <v>198.0</v>
      </c>
      <c r="C337" s="453" t="s">
        <v>1111</v>
      </c>
      <c r="D337" s="439"/>
      <c r="E337" s="454" t="s">
        <v>125</v>
      </c>
      <c r="F337" s="454" t="s">
        <v>703</v>
      </c>
      <c r="G337" s="454" t="s">
        <v>704</v>
      </c>
      <c r="H337" s="455"/>
      <c r="I337" s="455"/>
      <c r="J337" s="455"/>
    </row>
    <row r="338">
      <c r="A338" s="451" t="s">
        <v>1112</v>
      </c>
      <c r="B338" s="452">
        <v>165.0</v>
      </c>
      <c r="C338" s="453" t="s">
        <v>1113</v>
      </c>
      <c r="D338" s="439"/>
      <c r="E338" s="454" t="s">
        <v>125</v>
      </c>
      <c r="F338" s="454" t="s">
        <v>700</v>
      </c>
      <c r="G338" s="454" t="s">
        <v>488</v>
      </c>
      <c r="H338" s="455"/>
      <c r="I338" s="455"/>
      <c r="J338" s="455"/>
    </row>
    <row r="339">
      <c r="A339" s="451" t="s">
        <v>1114</v>
      </c>
      <c r="B339" s="452">
        <v>98.0</v>
      </c>
      <c r="C339" s="453" t="s">
        <v>1115</v>
      </c>
      <c r="D339" s="439"/>
      <c r="E339" s="454" t="s">
        <v>125</v>
      </c>
      <c r="F339" s="454" t="s">
        <v>1116</v>
      </c>
      <c r="G339" s="454" t="s">
        <v>504</v>
      </c>
      <c r="H339" s="455"/>
      <c r="I339" s="455"/>
      <c r="J339" s="455"/>
    </row>
    <row r="340">
      <c r="A340" s="451" t="s">
        <v>1117</v>
      </c>
      <c r="B340" s="452">
        <v>98.0</v>
      </c>
      <c r="C340" s="453" t="s">
        <v>1118</v>
      </c>
      <c r="D340" s="439"/>
      <c r="E340" s="454" t="s">
        <v>125</v>
      </c>
      <c r="F340" s="454" t="s">
        <v>703</v>
      </c>
      <c r="G340" s="454" t="s">
        <v>488</v>
      </c>
      <c r="H340" s="455"/>
      <c r="I340" s="455"/>
      <c r="J340" s="455"/>
    </row>
    <row r="341">
      <c r="A341" s="451" t="s">
        <v>1119</v>
      </c>
      <c r="B341" s="452">
        <v>215.0</v>
      </c>
      <c r="C341" s="453" t="s">
        <v>1120</v>
      </c>
      <c r="D341" s="439"/>
      <c r="E341" s="454" t="s">
        <v>125</v>
      </c>
      <c r="F341" s="454" t="s">
        <v>707</v>
      </c>
      <c r="G341" s="454" t="s">
        <v>488</v>
      </c>
      <c r="H341" s="455"/>
      <c r="I341" s="455"/>
      <c r="J341" s="455"/>
    </row>
    <row r="342">
      <c r="A342" s="451" t="s">
        <v>1121</v>
      </c>
      <c r="B342" s="452">
        <v>98.0</v>
      </c>
      <c r="C342" s="453" t="s">
        <v>1122</v>
      </c>
      <c r="D342" s="439"/>
      <c r="E342" s="454" t="s">
        <v>125</v>
      </c>
      <c r="F342" s="454" t="s">
        <v>703</v>
      </c>
      <c r="G342" s="454" t="s">
        <v>488</v>
      </c>
      <c r="H342" s="455"/>
      <c r="I342" s="455"/>
      <c r="J342" s="455"/>
    </row>
    <row r="343">
      <c r="A343" s="451" t="s">
        <v>1123</v>
      </c>
      <c r="B343" s="452">
        <v>290.0</v>
      </c>
      <c r="C343" s="453" t="s">
        <v>1124</v>
      </c>
      <c r="D343" s="439"/>
      <c r="E343" s="454" t="s">
        <v>125</v>
      </c>
      <c r="F343" s="454" t="s">
        <v>707</v>
      </c>
      <c r="G343" s="454" t="s">
        <v>504</v>
      </c>
      <c r="H343" s="455"/>
      <c r="I343" s="455"/>
      <c r="J343" s="455"/>
    </row>
    <row r="344">
      <c r="A344" s="451" t="s">
        <v>1125</v>
      </c>
      <c r="B344" s="452">
        <v>98.0</v>
      </c>
      <c r="C344" s="453" t="s">
        <v>1126</v>
      </c>
      <c r="D344" s="439"/>
      <c r="E344" s="454" t="s">
        <v>125</v>
      </c>
      <c r="F344" s="454" t="s">
        <v>703</v>
      </c>
      <c r="G344" s="454" t="s">
        <v>504</v>
      </c>
      <c r="H344" s="455"/>
      <c r="I344" s="455"/>
      <c r="J344" s="455"/>
    </row>
    <row r="345">
      <c r="A345" s="451" t="s">
        <v>1127</v>
      </c>
      <c r="B345" s="452">
        <v>98.0</v>
      </c>
      <c r="C345" s="453" t="s">
        <v>1128</v>
      </c>
      <c r="D345" s="439"/>
      <c r="E345" s="454" t="s">
        <v>125</v>
      </c>
      <c r="F345" s="454" t="s">
        <v>703</v>
      </c>
      <c r="G345" s="454" t="s">
        <v>504</v>
      </c>
      <c r="H345" s="455"/>
      <c r="I345" s="455"/>
      <c r="J345" s="455"/>
    </row>
    <row r="346">
      <c r="A346" s="451" t="s">
        <v>1129</v>
      </c>
      <c r="B346" s="452">
        <v>160.0</v>
      </c>
      <c r="C346" s="453" t="s">
        <v>582</v>
      </c>
      <c r="D346" s="439"/>
      <c r="E346" s="454" t="s">
        <v>125</v>
      </c>
      <c r="F346" s="454" t="s">
        <v>700</v>
      </c>
      <c r="G346" s="454" t="s">
        <v>504</v>
      </c>
      <c r="H346" s="455"/>
      <c r="I346" s="455"/>
      <c r="J346" s="455"/>
    </row>
    <row r="347">
      <c r="A347" s="451" t="s">
        <v>1130</v>
      </c>
      <c r="B347" s="452">
        <v>98.0</v>
      </c>
      <c r="C347" s="453" t="s">
        <v>1131</v>
      </c>
      <c r="D347" s="439"/>
      <c r="E347" s="454" t="s">
        <v>125</v>
      </c>
      <c r="F347" s="454" t="s">
        <v>703</v>
      </c>
      <c r="G347" s="454" t="s">
        <v>504</v>
      </c>
      <c r="H347" s="455"/>
      <c r="I347" s="455"/>
      <c r="J347" s="455"/>
    </row>
    <row r="348">
      <c r="A348" s="451" t="s">
        <v>1132</v>
      </c>
      <c r="B348" s="452">
        <v>98.0</v>
      </c>
      <c r="C348" s="453" t="s">
        <v>1133</v>
      </c>
      <c r="D348" s="439"/>
      <c r="E348" s="454" t="s">
        <v>125</v>
      </c>
      <c r="F348" s="454" t="s">
        <v>703</v>
      </c>
      <c r="G348" s="454" t="s">
        <v>1041</v>
      </c>
      <c r="H348" s="455"/>
      <c r="I348" s="455"/>
      <c r="J348" s="455"/>
    </row>
    <row r="349">
      <c r="A349" s="451" t="s">
        <v>1134</v>
      </c>
      <c r="B349" s="452">
        <v>230.0</v>
      </c>
      <c r="C349" s="453" t="s">
        <v>1135</v>
      </c>
      <c r="D349" s="439"/>
      <c r="E349" s="454" t="s">
        <v>125</v>
      </c>
      <c r="F349" s="454" t="s">
        <v>707</v>
      </c>
      <c r="G349" s="454" t="s">
        <v>495</v>
      </c>
      <c r="H349" s="455"/>
      <c r="I349" s="455"/>
      <c r="J349" s="455"/>
    </row>
    <row r="350">
      <c r="A350" s="451" t="s">
        <v>1136</v>
      </c>
      <c r="B350" s="452">
        <v>98.0</v>
      </c>
      <c r="C350" s="453" t="s">
        <v>469</v>
      </c>
      <c r="D350" s="439"/>
      <c r="E350" s="454" t="s">
        <v>125</v>
      </c>
      <c r="F350" s="454" t="s">
        <v>699</v>
      </c>
      <c r="G350" s="454" t="s">
        <v>495</v>
      </c>
      <c r="H350" s="455"/>
      <c r="I350" s="455"/>
      <c r="J350" s="455"/>
    </row>
    <row r="351">
      <c r="A351" s="451" t="s">
        <v>1137</v>
      </c>
      <c r="B351" s="452">
        <v>98.0</v>
      </c>
      <c r="C351" s="453" t="s">
        <v>575</v>
      </c>
      <c r="D351" s="439"/>
      <c r="E351" s="454" t="s">
        <v>125</v>
      </c>
      <c r="F351" s="454" t="s">
        <v>699</v>
      </c>
      <c r="G351" s="454" t="s">
        <v>495</v>
      </c>
      <c r="H351" s="455"/>
      <c r="I351" s="455"/>
      <c r="J351" s="455"/>
    </row>
    <row r="352">
      <c r="A352" s="451" t="s">
        <v>1138</v>
      </c>
      <c r="B352" s="452">
        <v>98.0</v>
      </c>
      <c r="C352" s="453" t="s">
        <v>1139</v>
      </c>
      <c r="D352" s="439"/>
      <c r="E352" s="454" t="s">
        <v>125</v>
      </c>
      <c r="F352" s="454" t="s">
        <v>703</v>
      </c>
      <c r="G352" s="454" t="s">
        <v>504</v>
      </c>
      <c r="H352" s="455"/>
      <c r="I352" s="455"/>
      <c r="J352" s="455"/>
    </row>
    <row r="353">
      <c r="A353" s="523" t="s">
        <v>1140</v>
      </c>
      <c r="B353" s="524">
        <v>224.0</v>
      </c>
      <c r="C353" s="525" t="s">
        <v>1141</v>
      </c>
      <c r="D353" s="439"/>
      <c r="E353" s="470" t="s">
        <v>125</v>
      </c>
      <c r="F353" s="470" t="s">
        <v>707</v>
      </c>
      <c r="G353" s="470" t="s">
        <v>488</v>
      </c>
      <c r="H353" s="455"/>
      <c r="I353" s="455"/>
      <c r="J353" s="526"/>
      <c r="L353" s="527"/>
      <c r="N353" s="527"/>
    </row>
    <row r="354">
      <c r="A354" s="523" t="s">
        <v>1142</v>
      </c>
      <c r="B354" s="524">
        <v>98.0</v>
      </c>
      <c r="C354" s="525" t="s">
        <v>1143</v>
      </c>
      <c r="D354" s="439"/>
      <c r="E354" s="470" t="s">
        <v>125</v>
      </c>
      <c r="F354" s="470" t="s">
        <v>699</v>
      </c>
      <c r="G354" s="470" t="s">
        <v>708</v>
      </c>
      <c r="H354" s="455"/>
      <c r="I354" s="455"/>
      <c r="J354" s="526"/>
      <c r="L354" s="527"/>
      <c r="N354" s="527"/>
    </row>
    <row r="355">
      <c r="A355" s="523" t="s">
        <v>1144</v>
      </c>
      <c r="B355" s="524">
        <v>98.0</v>
      </c>
      <c r="C355" s="525" t="s">
        <v>1145</v>
      </c>
      <c r="D355" s="439"/>
      <c r="E355" s="470" t="s">
        <v>125</v>
      </c>
      <c r="F355" s="470" t="s">
        <v>703</v>
      </c>
      <c r="G355" s="470" t="s">
        <v>488</v>
      </c>
      <c r="H355" s="455"/>
      <c r="I355" s="455"/>
      <c r="J355" s="526"/>
      <c r="L355" s="527"/>
      <c r="N355" s="527"/>
    </row>
    <row r="356">
      <c r="A356" s="466">
        <v>3398.0</v>
      </c>
      <c r="B356" s="467">
        <v>98.0</v>
      </c>
      <c r="C356" s="305" t="s">
        <v>1146</v>
      </c>
      <c r="D356" s="439"/>
      <c r="E356" s="470" t="s">
        <v>125</v>
      </c>
      <c r="F356" s="470" t="s">
        <v>699</v>
      </c>
      <c r="G356" s="470" t="s">
        <v>495</v>
      </c>
      <c r="H356" s="455"/>
      <c r="I356" s="455"/>
      <c r="J356" s="526"/>
      <c r="L356" s="527"/>
      <c r="N356" s="527"/>
    </row>
    <row r="357">
      <c r="A357" s="523" t="s">
        <v>1147</v>
      </c>
      <c r="B357" s="524">
        <v>94.0</v>
      </c>
      <c r="C357" s="525" t="s">
        <v>1148</v>
      </c>
      <c r="D357" s="439"/>
      <c r="E357" s="454" t="s">
        <v>125</v>
      </c>
      <c r="F357" s="470" t="s">
        <v>699</v>
      </c>
      <c r="G357" s="470" t="s">
        <v>495</v>
      </c>
      <c r="H357" s="455"/>
      <c r="I357" s="455"/>
      <c r="J357" s="455"/>
    </row>
    <row r="358">
      <c r="A358" s="523" t="s">
        <v>1149</v>
      </c>
      <c r="B358" s="524">
        <v>148.0</v>
      </c>
      <c r="C358" s="525" t="s">
        <v>1150</v>
      </c>
      <c r="D358" s="439"/>
      <c r="E358" s="454" t="s">
        <v>125</v>
      </c>
      <c r="F358" s="470" t="s">
        <v>699</v>
      </c>
      <c r="G358" s="470" t="s">
        <v>495</v>
      </c>
      <c r="H358" s="455"/>
      <c r="I358" s="455"/>
      <c r="J358" s="455"/>
    </row>
    <row r="359">
      <c r="A359" s="523" t="s">
        <v>1151</v>
      </c>
      <c r="B359" s="524">
        <v>131.0</v>
      </c>
      <c r="C359" s="525" t="s">
        <v>1152</v>
      </c>
      <c r="D359" s="439"/>
      <c r="E359" s="454" t="s">
        <v>125</v>
      </c>
      <c r="F359" s="470" t="s">
        <v>1116</v>
      </c>
      <c r="G359" s="470" t="s">
        <v>495</v>
      </c>
      <c r="H359" s="455"/>
      <c r="I359" s="455"/>
      <c r="J359" s="455"/>
    </row>
    <row r="360">
      <c r="A360" s="523" t="s">
        <v>1153</v>
      </c>
      <c r="B360" s="524">
        <v>187.0</v>
      </c>
      <c r="C360" s="525" t="s">
        <v>1154</v>
      </c>
      <c r="D360" s="439"/>
      <c r="E360" s="454" t="s">
        <v>125</v>
      </c>
      <c r="F360" s="470" t="s">
        <v>699</v>
      </c>
      <c r="G360" s="470" t="s">
        <v>495</v>
      </c>
      <c r="H360" s="455"/>
      <c r="I360" s="455"/>
      <c r="J360" s="455"/>
    </row>
    <row r="361">
      <c r="A361" s="466">
        <v>3316.0</v>
      </c>
      <c r="B361" s="467">
        <v>98.0</v>
      </c>
      <c r="C361" s="854" t="s">
        <v>1155</v>
      </c>
      <c r="D361" s="439"/>
      <c r="E361" s="454" t="s">
        <v>125</v>
      </c>
      <c r="F361" s="470" t="s">
        <v>699</v>
      </c>
      <c r="G361" s="454" t="s">
        <v>504</v>
      </c>
      <c r="H361" s="455"/>
      <c r="I361" s="455"/>
      <c r="J361" s="455"/>
    </row>
    <row r="362">
      <c r="A362" s="451" t="s">
        <v>1156</v>
      </c>
      <c r="B362" s="452">
        <v>88.0</v>
      </c>
      <c r="C362" s="453" t="s">
        <v>93</v>
      </c>
      <c r="D362" s="439"/>
      <c r="E362" s="454" t="s">
        <v>124</v>
      </c>
      <c r="F362" s="454" t="s">
        <v>721</v>
      </c>
      <c r="G362" s="454" t="s">
        <v>488</v>
      </c>
      <c r="H362" s="455"/>
      <c r="I362" s="455"/>
      <c r="J362" s="455"/>
    </row>
    <row r="363">
      <c r="A363" s="451" t="s">
        <v>1157</v>
      </c>
      <c r="B363" s="463">
        <v>88.0</v>
      </c>
      <c r="C363" s="453" t="s">
        <v>272</v>
      </c>
      <c r="D363" s="439"/>
      <c r="E363" s="454" t="s">
        <v>124</v>
      </c>
      <c r="F363" s="454" t="s">
        <v>721</v>
      </c>
      <c r="G363" s="454" t="s">
        <v>704</v>
      </c>
      <c r="H363" s="455"/>
      <c r="I363" s="455"/>
      <c r="J363" s="455"/>
    </row>
    <row r="364">
      <c r="A364" s="451" t="s">
        <v>1158</v>
      </c>
      <c r="B364" s="452">
        <v>88.0</v>
      </c>
      <c r="C364" s="453" t="s">
        <v>300</v>
      </c>
      <c r="D364" s="439"/>
      <c r="E364" s="454" t="s">
        <v>124</v>
      </c>
      <c r="F364" s="454" t="s">
        <v>721</v>
      </c>
      <c r="G364" s="454" t="s">
        <v>488</v>
      </c>
      <c r="H364" s="455"/>
      <c r="I364" s="455"/>
      <c r="J364" s="455"/>
    </row>
    <row r="365">
      <c r="A365" s="451" t="s">
        <v>1159</v>
      </c>
      <c r="B365" s="452">
        <v>114.0</v>
      </c>
      <c r="C365" s="453" t="s">
        <v>323</v>
      </c>
      <c r="D365" s="439"/>
      <c r="E365" s="454" t="s">
        <v>124</v>
      </c>
      <c r="F365" s="454" t="s">
        <v>721</v>
      </c>
      <c r="G365" s="454" t="s">
        <v>488</v>
      </c>
      <c r="H365" s="455"/>
      <c r="I365" s="455"/>
      <c r="J365" s="455"/>
    </row>
    <row r="366">
      <c r="A366" s="451" t="s">
        <v>1160</v>
      </c>
      <c r="B366" s="452">
        <v>88.0</v>
      </c>
      <c r="C366" s="453" t="s">
        <v>379</v>
      </c>
      <c r="D366" s="439"/>
      <c r="E366" s="454" t="s">
        <v>124</v>
      </c>
      <c r="F366" s="454" t="s">
        <v>677</v>
      </c>
      <c r="G366" s="454" t="s">
        <v>488</v>
      </c>
      <c r="H366" s="455"/>
      <c r="I366" s="455"/>
      <c r="J366" s="455"/>
    </row>
    <row r="367">
      <c r="A367" s="451" t="s">
        <v>1161</v>
      </c>
      <c r="B367" s="452">
        <v>106.0</v>
      </c>
      <c r="C367" s="453" t="s">
        <v>412</v>
      </c>
      <c r="D367" s="439"/>
      <c r="E367" s="454" t="s">
        <v>124</v>
      </c>
      <c r="F367" s="454" t="s">
        <v>721</v>
      </c>
      <c r="G367" s="454" t="s">
        <v>704</v>
      </c>
      <c r="H367" s="455"/>
      <c r="I367" s="455"/>
      <c r="J367" s="455"/>
    </row>
    <row r="368">
      <c r="A368" s="451" t="s">
        <v>1162</v>
      </c>
      <c r="B368" s="452">
        <v>235.0</v>
      </c>
      <c r="C368" s="453" t="s">
        <v>339</v>
      </c>
      <c r="D368" s="439"/>
      <c r="E368" s="454" t="s">
        <v>124</v>
      </c>
      <c r="F368" s="454" t="s">
        <v>721</v>
      </c>
      <c r="G368" s="454" t="s">
        <v>704</v>
      </c>
      <c r="H368" s="455"/>
      <c r="I368" s="455"/>
      <c r="J368" s="455"/>
    </row>
    <row r="369">
      <c r="A369" s="451" t="s">
        <v>1163</v>
      </c>
      <c r="B369" s="452">
        <v>240.0</v>
      </c>
      <c r="C369" s="453" t="s">
        <v>732</v>
      </c>
      <c r="D369" s="439"/>
      <c r="E369" s="454" t="s">
        <v>124</v>
      </c>
      <c r="F369" s="454" t="s">
        <v>721</v>
      </c>
      <c r="G369" s="454" t="s">
        <v>488</v>
      </c>
      <c r="H369" s="455"/>
      <c r="I369" s="455"/>
      <c r="J369" s="455"/>
    </row>
    <row r="370">
      <c r="A370" s="451" t="s">
        <v>1164</v>
      </c>
      <c r="B370" s="452">
        <v>88.0</v>
      </c>
      <c r="C370" s="865" t="s">
        <v>1165</v>
      </c>
      <c r="D370" s="439"/>
      <c r="E370" s="454" t="s">
        <v>124</v>
      </c>
      <c r="F370" s="454" t="s">
        <v>721</v>
      </c>
      <c r="G370" s="454" t="s">
        <v>488</v>
      </c>
      <c r="H370" s="455"/>
      <c r="I370" s="455"/>
      <c r="J370" s="455"/>
    </row>
    <row r="371">
      <c r="A371" s="451" t="s">
        <v>1166</v>
      </c>
      <c r="B371" s="452">
        <v>96.0</v>
      </c>
      <c r="C371" s="453" t="s">
        <v>1167</v>
      </c>
      <c r="D371" s="439"/>
      <c r="E371" s="454" t="s">
        <v>124</v>
      </c>
      <c r="F371" s="454" t="s">
        <v>721</v>
      </c>
      <c r="G371" s="454" t="s">
        <v>704</v>
      </c>
      <c r="H371" s="455"/>
      <c r="I371" s="455"/>
      <c r="J371" s="455"/>
    </row>
    <row r="372">
      <c r="A372" s="451" t="s">
        <v>1168</v>
      </c>
      <c r="B372" s="452">
        <v>319.0</v>
      </c>
      <c r="C372" s="453" t="s">
        <v>1169</v>
      </c>
      <c r="D372" s="439"/>
      <c r="E372" s="454" t="s">
        <v>124</v>
      </c>
      <c r="F372" s="454" t="s">
        <v>677</v>
      </c>
      <c r="G372" s="454" t="s">
        <v>504</v>
      </c>
      <c r="H372" s="455"/>
      <c r="I372" s="455"/>
      <c r="J372" s="455"/>
    </row>
    <row r="373">
      <c r="A373" s="451" t="s">
        <v>1170</v>
      </c>
      <c r="B373" s="452">
        <v>88.0</v>
      </c>
      <c r="C373" s="453" t="s">
        <v>1171</v>
      </c>
      <c r="D373" s="439"/>
      <c r="E373" s="454" t="s">
        <v>124</v>
      </c>
      <c r="F373" s="454" t="s">
        <v>677</v>
      </c>
      <c r="G373" s="454" t="s">
        <v>704</v>
      </c>
      <c r="H373" s="455"/>
      <c r="I373" s="455"/>
      <c r="J373" s="455"/>
    </row>
    <row r="374">
      <c r="A374" s="451" t="s">
        <v>1172</v>
      </c>
      <c r="B374" s="452">
        <v>248.0</v>
      </c>
      <c r="C374" s="453" t="s">
        <v>418</v>
      </c>
      <c r="D374" s="439"/>
      <c r="E374" s="454" t="s">
        <v>124</v>
      </c>
      <c r="F374" s="454" t="s">
        <v>721</v>
      </c>
      <c r="G374" s="454" t="s">
        <v>704</v>
      </c>
      <c r="H374" s="455"/>
      <c r="I374" s="455"/>
      <c r="J374" s="455"/>
    </row>
    <row r="375">
      <c r="A375" s="451" t="s">
        <v>1173</v>
      </c>
      <c r="B375" s="452">
        <v>89.0</v>
      </c>
      <c r="C375" s="453" t="s">
        <v>1174</v>
      </c>
      <c r="D375" s="439"/>
      <c r="E375" s="454" t="s">
        <v>124</v>
      </c>
      <c r="F375" s="454" t="s">
        <v>677</v>
      </c>
      <c r="G375" s="454" t="s">
        <v>488</v>
      </c>
      <c r="H375" s="455"/>
      <c r="I375" s="455"/>
      <c r="J375" s="455"/>
    </row>
    <row r="376">
      <c r="A376" s="451" t="s">
        <v>1175</v>
      </c>
      <c r="B376" s="452">
        <v>150.0</v>
      </c>
      <c r="C376" s="453" t="s">
        <v>1176</v>
      </c>
      <c r="D376" s="439"/>
      <c r="E376" s="454" t="s">
        <v>124</v>
      </c>
      <c r="F376" s="454" t="s">
        <v>677</v>
      </c>
      <c r="G376" s="454" t="s">
        <v>488</v>
      </c>
      <c r="H376" s="455"/>
      <c r="I376" s="455"/>
      <c r="J376" s="455"/>
    </row>
    <row r="377">
      <c r="A377" s="523" t="s">
        <v>1177</v>
      </c>
      <c r="B377" s="524">
        <v>90.0</v>
      </c>
      <c r="C377" s="525" t="s">
        <v>1178</v>
      </c>
      <c r="D377" s="439"/>
      <c r="E377" s="454" t="s">
        <v>124</v>
      </c>
      <c r="F377" s="470" t="s">
        <v>718</v>
      </c>
      <c r="G377" s="470" t="s">
        <v>488</v>
      </c>
      <c r="H377" s="455"/>
      <c r="I377" s="455"/>
      <c r="J377" s="455"/>
    </row>
    <row r="378">
      <c r="A378" s="523" t="s">
        <v>1179</v>
      </c>
      <c r="B378" s="524">
        <v>135.0</v>
      </c>
      <c r="C378" s="525" t="s">
        <v>1180</v>
      </c>
      <c r="D378" s="439"/>
      <c r="E378" s="454" t="s">
        <v>124</v>
      </c>
      <c r="F378" s="454" t="s">
        <v>677</v>
      </c>
      <c r="G378" s="470" t="s">
        <v>501</v>
      </c>
      <c r="H378" s="470" t="s">
        <v>489</v>
      </c>
      <c r="I378" s="455"/>
      <c r="J378" s="455"/>
    </row>
    <row r="379">
      <c r="A379" s="523" t="s">
        <v>1181</v>
      </c>
      <c r="B379" s="524">
        <v>135.0</v>
      </c>
      <c r="C379" s="525" t="s">
        <v>1182</v>
      </c>
      <c r="D379" s="439"/>
      <c r="E379" s="454" t="s">
        <v>124</v>
      </c>
      <c r="F379" s="454" t="s">
        <v>677</v>
      </c>
      <c r="G379" s="470" t="s">
        <v>488</v>
      </c>
      <c r="H379" s="455"/>
      <c r="I379" s="455"/>
      <c r="J379" s="455"/>
    </row>
    <row r="380">
      <c r="A380" s="523" t="s">
        <v>1183</v>
      </c>
      <c r="B380" s="524">
        <v>139.0</v>
      </c>
      <c r="C380" s="525" t="s">
        <v>1184</v>
      </c>
      <c r="D380" s="439"/>
      <c r="E380" s="454" t="s">
        <v>124</v>
      </c>
      <c r="F380" s="454" t="s">
        <v>677</v>
      </c>
      <c r="G380" s="470" t="s">
        <v>501</v>
      </c>
      <c r="H380" s="455"/>
      <c r="I380" s="455"/>
      <c r="J380" s="455"/>
    </row>
    <row r="381">
      <c r="A381" s="523"/>
      <c r="B381" s="524"/>
      <c r="C381" s="525"/>
      <c r="D381" s="439"/>
      <c r="E381" s="454" t="s">
        <v>124</v>
      </c>
      <c r="F381" s="454" t="s">
        <v>677</v>
      </c>
      <c r="G381" s="470" t="s">
        <v>501</v>
      </c>
      <c r="H381" s="455"/>
      <c r="I381" s="455"/>
      <c r="J381" s="455"/>
    </row>
    <row r="382">
      <c r="A382" s="523" t="s">
        <v>1185</v>
      </c>
      <c r="B382" s="524">
        <v>141.0</v>
      </c>
      <c r="C382" s="525" t="s">
        <v>1186</v>
      </c>
      <c r="D382" s="439"/>
      <c r="E382" s="454" t="s">
        <v>124</v>
      </c>
      <c r="F382" s="454" t="s">
        <v>677</v>
      </c>
      <c r="G382" s="470" t="s">
        <v>501</v>
      </c>
      <c r="H382" s="455"/>
      <c r="I382" s="455"/>
      <c r="J382" s="455"/>
    </row>
    <row r="383">
      <c r="A383" s="451" t="s">
        <v>1187</v>
      </c>
      <c r="B383" s="452">
        <v>187.0</v>
      </c>
      <c r="C383" s="453" t="s">
        <v>277</v>
      </c>
      <c r="D383" s="439"/>
      <c r="E383" s="454" t="s">
        <v>127</v>
      </c>
      <c r="F383" s="454" t="s">
        <v>739</v>
      </c>
      <c r="G383" s="454" t="s">
        <v>679</v>
      </c>
      <c r="H383" s="455"/>
      <c r="I383" s="455"/>
      <c r="J383" s="455"/>
    </row>
    <row r="384">
      <c r="A384" s="451" t="s">
        <v>1188</v>
      </c>
      <c r="B384" s="452">
        <v>165.0</v>
      </c>
      <c r="C384" s="453" t="s">
        <v>436</v>
      </c>
      <c r="D384" s="439"/>
      <c r="E384" s="454" t="s">
        <v>127</v>
      </c>
      <c r="F384" s="454" t="s">
        <v>741</v>
      </c>
      <c r="G384" s="454" t="s">
        <v>677</v>
      </c>
      <c r="H384" s="455"/>
      <c r="I384" s="455"/>
      <c r="J384" s="455"/>
    </row>
    <row r="385">
      <c r="A385" s="451" t="s">
        <v>1189</v>
      </c>
      <c r="B385" s="452">
        <v>150.0</v>
      </c>
      <c r="C385" s="453" t="s">
        <v>407</v>
      </c>
      <c r="D385" s="439"/>
      <c r="E385" s="454" t="s">
        <v>127</v>
      </c>
      <c r="F385" s="454" t="s">
        <v>737</v>
      </c>
      <c r="G385" s="454" t="s">
        <v>679</v>
      </c>
      <c r="H385" s="455"/>
      <c r="I385" s="455"/>
      <c r="J385" s="455"/>
    </row>
    <row r="386">
      <c r="A386" s="451" t="s">
        <v>1190</v>
      </c>
      <c r="B386" s="452">
        <v>155.0</v>
      </c>
      <c r="C386" s="453" t="s">
        <v>284</v>
      </c>
      <c r="D386" s="439"/>
      <c r="E386" s="454" t="s">
        <v>127</v>
      </c>
      <c r="F386" s="454" t="s">
        <v>737</v>
      </c>
      <c r="G386" s="454" t="s">
        <v>677</v>
      </c>
      <c r="H386" s="455"/>
      <c r="I386" s="455"/>
      <c r="J386" s="455"/>
    </row>
    <row r="387">
      <c r="A387" s="451" t="s">
        <v>1191</v>
      </c>
      <c r="B387" s="452">
        <v>160.0</v>
      </c>
      <c r="C387" s="453" t="s">
        <v>330</v>
      </c>
      <c r="D387" s="439"/>
      <c r="E387" s="454" t="s">
        <v>127</v>
      </c>
      <c r="F387" s="454" t="s">
        <v>737</v>
      </c>
      <c r="G387" s="470" t="s">
        <v>677</v>
      </c>
      <c r="H387" s="455"/>
      <c r="I387" s="455"/>
      <c r="J387" s="455"/>
    </row>
    <row r="388">
      <c r="A388" s="451" t="s">
        <v>1192</v>
      </c>
      <c r="B388" s="452">
        <v>159.0</v>
      </c>
      <c r="C388" s="453" t="s">
        <v>414</v>
      </c>
      <c r="D388" s="439"/>
      <c r="E388" s="454" t="s">
        <v>127</v>
      </c>
      <c r="F388" s="454" t="s">
        <v>737</v>
      </c>
      <c r="G388" s="454" t="s">
        <v>679</v>
      </c>
      <c r="H388" s="455"/>
      <c r="I388" s="455"/>
      <c r="J388" s="455"/>
    </row>
    <row r="389">
      <c r="A389" s="451" t="s">
        <v>1193</v>
      </c>
      <c r="B389" s="452">
        <v>208.0</v>
      </c>
      <c r="C389" s="453" t="s">
        <v>897</v>
      </c>
      <c r="D389" s="439"/>
      <c r="E389" s="454" t="s">
        <v>127</v>
      </c>
      <c r="F389" s="454" t="s">
        <v>739</v>
      </c>
      <c r="G389" s="454" t="s">
        <v>679</v>
      </c>
      <c r="H389" s="455"/>
      <c r="I389" s="455"/>
      <c r="J389" s="455"/>
    </row>
    <row r="390">
      <c r="A390" s="451" t="s">
        <v>1194</v>
      </c>
      <c r="B390" s="452">
        <v>170.0</v>
      </c>
      <c r="C390" s="453" t="s">
        <v>307</v>
      </c>
      <c r="D390" s="439"/>
      <c r="E390" s="454" t="s">
        <v>127</v>
      </c>
      <c r="F390" s="454" t="s">
        <v>739</v>
      </c>
      <c r="G390" s="454" t="s">
        <v>679</v>
      </c>
      <c r="H390" s="455"/>
      <c r="I390" s="455"/>
      <c r="J390" s="455"/>
    </row>
    <row r="391">
      <c r="A391" s="451" t="s">
        <v>1195</v>
      </c>
      <c r="B391" s="452">
        <v>188.0</v>
      </c>
      <c r="C391" s="453" t="s">
        <v>381</v>
      </c>
      <c r="D391" s="439"/>
      <c r="E391" s="454" t="s">
        <v>127</v>
      </c>
      <c r="F391" s="454" t="s">
        <v>737</v>
      </c>
      <c r="G391" s="470" t="s">
        <v>677</v>
      </c>
      <c r="H391" s="455"/>
      <c r="I391" s="455"/>
      <c r="J391" s="455"/>
    </row>
    <row r="392">
      <c r="A392" s="451" t="s">
        <v>1196</v>
      </c>
      <c r="B392" s="452">
        <v>155.0</v>
      </c>
      <c r="C392" s="453" t="s">
        <v>387</v>
      </c>
      <c r="D392" s="439"/>
      <c r="E392" s="454" t="s">
        <v>127</v>
      </c>
      <c r="F392" s="454" t="s">
        <v>739</v>
      </c>
      <c r="G392" s="454" t="s">
        <v>679</v>
      </c>
      <c r="H392" s="455"/>
      <c r="I392" s="455"/>
      <c r="J392" s="455"/>
    </row>
    <row r="393">
      <c r="A393" s="451" t="s">
        <v>1197</v>
      </c>
      <c r="B393" s="452">
        <v>168.0</v>
      </c>
      <c r="C393" s="453" t="s">
        <v>404</v>
      </c>
      <c r="D393" s="439"/>
      <c r="E393" s="454" t="s">
        <v>127</v>
      </c>
      <c r="F393" s="454" t="s">
        <v>737</v>
      </c>
      <c r="G393" s="454" t="s">
        <v>679</v>
      </c>
      <c r="H393" s="455"/>
      <c r="I393" s="455"/>
      <c r="J393" s="455"/>
    </row>
    <row r="394">
      <c r="A394" s="451" t="s">
        <v>1198</v>
      </c>
      <c r="B394" s="452">
        <v>190.0</v>
      </c>
      <c r="C394" s="453" t="s">
        <v>420</v>
      </c>
      <c r="D394" s="439"/>
      <c r="E394" s="454" t="s">
        <v>127</v>
      </c>
      <c r="F394" s="454" t="s">
        <v>739</v>
      </c>
      <c r="G394" s="454" t="s">
        <v>679</v>
      </c>
      <c r="H394" s="455"/>
      <c r="I394" s="455"/>
      <c r="J394" s="455"/>
    </row>
    <row r="395">
      <c r="A395" s="451" t="s">
        <v>1199</v>
      </c>
      <c r="B395" s="452">
        <v>196.0</v>
      </c>
      <c r="C395" s="453" t="s">
        <v>350</v>
      </c>
      <c r="D395" s="439"/>
      <c r="E395" s="454" t="s">
        <v>127</v>
      </c>
      <c r="F395" s="454" t="s">
        <v>739</v>
      </c>
      <c r="G395" s="454" t="s">
        <v>679</v>
      </c>
      <c r="H395" s="455"/>
      <c r="I395" s="455"/>
      <c r="J395" s="455"/>
    </row>
    <row r="396">
      <c r="A396" s="451" t="s">
        <v>1200</v>
      </c>
      <c r="B396" s="452">
        <v>155.0</v>
      </c>
      <c r="C396" s="453" t="s">
        <v>524</v>
      </c>
      <c r="D396" s="439"/>
      <c r="E396" s="454" t="s">
        <v>127</v>
      </c>
      <c r="F396" s="454" t="s">
        <v>737</v>
      </c>
      <c r="G396" s="454" t="s">
        <v>679</v>
      </c>
      <c r="H396" s="455"/>
      <c r="I396" s="455"/>
      <c r="J396" s="455"/>
    </row>
    <row r="397">
      <c r="A397" s="451" t="s">
        <v>1201</v>
      </c>
      <c r="B397" s="452">
        <v>188.0</v>
      </c>
      <c r="C397" s="453" t="s">
        <v>554</v>
      </c>
      <c r="D397" s="439"/>
      <c r="E397" s="454" t="s">
        <v>127</v>
      </c>
      <c r="F397" s="454" t="s">
        <v>741</v>
      </c>
      <c r="G397" s="454" t="s">
        <v>677</v>
      </c>
      <c r="H397" s="455"/>
      <c r="I397" s="455"/>
      <c r="J397" s="455"/>
    </row>
    <row r="398">
      <c r="A398" s="451" t="s">
        <v>1202</v>
      </c>
      <c r="B398" s="452">
        <v>175.0</v>
      </c>
      <c r="C398" s="453" t="s">
        <v>303</v>
      </c>
      <c r="D398" s="439"/>
      <c r="E398" s="454" t="s">
        <v>127</v>
      </c>
      <c r="F398" s="454" t="s">
        <v>737</v>
      </c>
      <c r="G398" s="454" t="s">
        <v>679</v>
      </c>
      <c r="H398" s="455"/>
      <c r="I398" s="455"/>
      <c r="J398" s="455"/>
    </row>
    <row r="399">
      <c r="A399" s="451" t="s">
        <v>1203</v>
      </c>
      <c r="B399" s="463">
        <v>195.0</v>
      </c>
      <c r="C399" s="453" t="s">
        <v>1204</v>
      </c>
      <c r="D399" s="439"/>
      <c r="E399" s="454" t="s">
        <v>127</v>
      </c>
      <c r="F399" s="454" t="s">
        <v>741</v>
      </c>
      <c r="G399" s="454" t="s">
        <v>677</v>
      </c>
      <c r="H399" s="455"/>
      <c r="I399" s="455"/>
      <c r="J399" s="455"/>
    </row>
    <row r="400">
      <c r="A400" s="451" t="s">
        <v>1205</v>
      </c>
      <c r="B400" s="452">
        <v>182.0</v>
      </c>
      <c r="C400" s="453" t="s">
        <v>1206</v>
      </c>
      <c r="D400" s="439"/>
      <c r="E400" s="454" t="s">
        <v>127</v>
      </c>
      <c r="F400" s="454" t="s">
        <v>737</v>
      </c>
      <c r="G400" s="454" t="s">
        <v>679</v>
      </c>
      <c r="H400" s="455"/>
      <c r="I400" s="455"/>
      <c r="J400" s="455"/>
    </row>
    <row r="401">
      <c r="A401" s="451" t="s">
        <v>1207</v>
      </c>
      <c r="B401" s="452">
        <v>147.0</v>
      </c>
      <c r="C401" s="453" t="s">
        <v>1208</v>
      </c>
      <c r="D401" s="439"/>
      <c r="E401" s="454" t="s">
        <v>127</v>
      </c>
      <c r="F401" s="454" t="s">
        <v>741</v>
      </c>
      <c r="G401" s="454" t="s">
        <v>677</v>
      </c>
      <c r="H401" s="455"/>
      <c r="I401" s="455"/>
      <c r="J401" s="455"/>
    </row>
    <row r="402">
      <c r="A402" s="451" t="s">
        <v>1209</v>
      </c>
      <c r="B402" s="452">
        <v>168.0</v>
      </c>
      <c r="C402" s="453" t="s">
        <v>859</v>
      </c>
      <c r="D402" s="439"/>
      <c r="E402" s="454" t="s">
        <v>127</v>
      </c>
      <c r="F402" s="454" t="s">
        <v>739</v>
      </c>
      <c r="G402" s="454" t="s">
        <v>679</v>
      </c>
      <c r="H402" s="455"/>
      <c r="I402" s="455"/>
      <c r="J402" s="455"/>
    </row>
    <row r="403">
      <c r="A403" s="523" t="s">
        <v>1210</v>
      </c>
      <c r="B403" s="524">
        <v>187.0</v>
      </c>
      <c r="C403" s="525" t="s">
        <v>1211</v>
      </c>
      <c r="D403" s="439"/>
      <c r="E403" s="470" t="s">
        <v>127</v>
      </c>
      <c r="F403" s="454" t="s">
        <v>739</v>
      </c>
      <c r="G403" s="454" t="s">
        <v>679</v>
      </c>
      <c r="H403" s="455"/>
      <c r="I403" s="455"/>
      <c r="J403" s="526"/>
      <c r="L403" s="527"/>
      <c r="N403" s="527"/>
    </row>
    <row r="404">
      <c r="A404" s="523" t="s">
        <v>1212</v>
      </c>
      <c r="B404" s="524">
        <v>168.0</v>
      </c>
      <c r="C404" s="525" t="s">
        <v>1213</v>
      </c>
      <c r="D404" s="439"/>
      <c r="E404" s="470" t="s">
        <v>127</v>
      </c>
      <c r="F404" s="454" t="s">
        <v>739</v>
      </c>
      <c r="G404" s="454" t="s">
        <v>679</v>
      </c>
      <c r="H404" s="455"/>
      <c r="I404" s="455"/>
      <c r="J404" s="526"/>
      <c r="L404" s="527"/>
      <c r="N404" s="527"/>
    </row>
    <row r="405">
      <c r="A405" s="523"/>
      <c r="B405" s="524"/>
      <c r="C405" s="525"/>
      <c r="D405" s="439"/>
      <c r="E405" s="470" t="s">
        <v>127</v>
      </c>
      <c r="F405" s="454" t="s">
        <v>739</v>
      </c>
      <c r="G405" s="454" t="s">
        <v>679</v>
      </c>
      <c r="H405" s="470"/>
      <c r="I405" s="455"/>
      <c r="J405" s="455"/>
    </row>
    <row r="406">
      <c r="A406" s="523" t="s">
        <v>1214</v>
      </c>
      <c r="B406" s="524">
        <v>216.0</v>
      </c>
      <c r="C406" s="525" t="s">
        <v>1215</v>
      </c>
      <c r="D406" s="439"/>
      <c r="E406" s="470" t="s">
        <v>127</v>
      </c>
      <c r="F406" s="454" t="s">
        <v>739</v>
      </c>
      <c r="G406" s="454" t="s">
        <v>679</v>
      </c>
      <c r="H406" s="455"/>
      <c r="I406" s="455"/>
      <c r="J406" s="455"/>
    </row>
    <row r="407">
      <c r="A407" s="523" t="s">
        <v>1216</v>
      </c>
      <c r="B407" s="524">
        <v>208.0</v>
      </c>
      <c r="C407" s="525" t="s">
        <v>1217</v>
      </c>
      <c r="D407" s="439"/>
      <c r="E407" s="470" t="s">
        <v>127</v>
      </c>
      <c r="F407" s="454" t="s">
        <v>739</v>
      </c>
      <c r="G407" s="454" t="s">
        <v>679</v>
      </c>
      <c r="H407" s="455"/>
      <c r="I407" s="455"/>
      <c r="J407" s="455"/>
    </row>
    <row r="408">
      <c r="A408" s="523" t="s">
        <v>1218</v>
      </c>
      <c r="B408" s="524">
        <v>185.0</v>
      </c>
      <c r="C408" s="525" t="s">
        <v>1219</v>
      </c>
      <c r="D408" s="439"/>
      <c r="E408" s="470" t="s">
        <v>127</v>
      </c>
      <c r="F408" s="454" t="s">
        <v>739</v>
      </c>
      <c r="G408" s="454" t="s">
        <v>679</v>
      </c>
      <c r="H408" s="455"/>
      <c r="I408" s="455"/>
      <c r="J408" s="455"/>
    </row>
    <row r="409">
      <c r="A409" s="523" t="s">
        <v>1220</v>
      </c>
      <c r="B409" s="524">
        <v>212.0</v>
      </c>
      <c r="C409" s="525" t="s">
        <v>1221</v>
      </c>
      <c r="D409" s="439"/>
      <c r="E409" s="470" t="s">
        <v>127</v>
      </c>
      <c r="F409" s="454" t="s">
        <v>739</v>
      </c>
      <c r="G409" s="454" t="s">
        <v>679</v>
      </c>
      <c r="H409" s="455"/>
      <c r="I409" s="455"/>
      <c r="J409" s="455"/>
    </row>
    <row r="410">
      <c r="A410" s="466">
        <v>3483.0</v>
      </c>
      <c r="B410" s="467">
        <v>187.0</v>
      </c>
      <c r="C410" s="854" t="s">
        <v>1222</v>
      </c>
      <c r="D410" s="439"/>
      <c r="E410" s="470" t="s">
        <v>127</v>
      </c>
      <c r="F410" s="454" t="s">
        <v>739</v>
      </c>
      <c r="G410" s="454" t="s">
        <v>679</v>
      </c>
      <c r="H410" s="455"/>
      <c r="I410" s="455"/>
      <c r="J410" s="455"/>
    </row>
    <row r="411">
      <c r="A411" s="451"/>
      <c r="B411" s="452"/>
      <c r="C411" s="453"/>
      <c r="D411" s="439"/>
      <c r="E411" s="454" t="s">
        <v>884</v>
      </c>
      <c r="F411" s="526" t="s">
        <v>708</v>
      </c>
      <c r="G411" s="455"/>
      <c r="H411" s="455"/>
      <c r="I411" s="455"/>
      <c r="J411" s="455"/>
    </row>
    <row r="412">
      <c r="A412" s="451" t="s">
        <v>1223</v>
      </c>
      <c r="B412" s="452">
        <v>118.0</v>
      </c>
      <c r="C412" s="453" t="s">
        <v>525</v>
      </c>
      <c r="D412" s="439"/>
      <c r="E412" s="454" t="s">
        <v>80</v>
      </c>
      <c r="F412" s="454" t="s">
        <v>746</v>
      </c>
      <c r="G412" s="454" t="s">
        <v>495</v>
      </c>
      <c r="H412" s="455"/>
      <c r="I412" s="455"/>
      <c r="J412" s="455"/>
    </row>
    <row r="413">
      <c r="A413" s="451" t="s">
        <v>1224</v>
      </c>
      <c r="B413" s="452">
        <v>146.0</v>
      </c>
      <c r="C413" s="453" t="s">
        <v>278</v>
      </c>
      <c r="D413" s="439"/>
      <c r="E413" s="454" t="s">
        <v>80</v>
      </c>
      <c r="F413" s="454" t="s">
        <v>746</v>
      </c>
      <c r="G413" s="454" t="s">
        <v>488</v>
      </c>
      <c r="H413" s="455"/>
      <c r="I413" s="455"/>
      <c r="J413" s="455"/>
    </row>
    <row r="414">
      <c r="A414" s="451" t="s">
        <v>1225</v>
      </c>
      <c r="B414" s="452">
        <v>175.0</v>
      </c>
      <c r="C414" s="453" t="s">
        <v>331</v>
      </c>
      <c r="D414" s="439"/>
      <c r="E414" s="454" t="s">
        <v>80</v>
      </c>
      <c r="F414" s="454" t="s">
        <v>746</v>
      </c>
      <c r="G414" s="454" t="s">
        <v>504</v>
      </c>
      <c r="H414" s="455"/>
      <c r="I414" s="455"/>
      <c r="J414" s="455"/>
    </row>
    <row r="415">
      <c r="A415" s="451" t="s">
        <v>1226</v>
      </c>
      <c r="B415" s="452">
        <v>148.0</v>
      </c>
      <c r="C415" s="453" t="s">
        <v>304</v>
      </c>
      <c r="D415" s="439"/>
      <c r="E415" s="454" t="s">
        <v>80</v>
      </c>
      <c r="F415" s="454" t="s">
        <v>746</v>
      </c>
      <c r="G415" s="454" t="s">
        <v>488</v>
      </c>
      <c r="H415" s="455"/>
      <c r="I415" s="455"/>
      <c r="J415" s="455"/>
    </row>
    <row r="416">
      <c r="A416" s="451" t="s">
        <v>1227</v>
      </c>
      <c r="B416" s="452">
        <v>148.0</v>
      </c>
      <c r="C416" s="453" t="s">
        <v>738</v>
      </c>
      <c r="D416" s="439"/>
      <c r="E416" s="454" t="s">
        <v>80</v>
      </c>
      <c r="F416" s="454" t="s">
        <v>746</v>
      </c>
      <c r="G416" s="454" t="s">
        <v>488</v>
      </c>
      <c r="H416" s="455"/>
      <c r="I416" s="455"/>
      <c r="J416" s="455"/>
    </row>
    <row r="417">
      <c r="A417" s="451" t="s">
        <v>1228</v>
      </c>
      <c r="B417" s="452">
        <v>118.0</v>
      </c>
      <c r="C417" s="453" t="s">
        <v>1229</v>
      </c>
      <c r="D417" s="439"/>
      <c r="E417" s="454" t="s">
        <v>80</v>
      </c>
      <c r="F417" s="454" t="s">
        <v>747</v>
      </c>
      <c r="G417" s="454" t="s">
        <v>495</v>
      </c>
      <c r="H417" s="455"/>
      <c r="I417" s="455"/>
      <c r="J417" s="455"/>
    </row>
    <row r="418">
      <c r="A418" s="451" t="s">
        <v>1230</v>
      </c>
      <c r="B418" s="452">
        <v>226.0</v>
      </c>
      <c r="C418" s="453" t="s">
        <v>1231</v>
      </c>
      <c r="D418" s="439"/>
      <c r="E418" s="454" t="s">
        <v>80</v>
      </c>
      <c r="F418" s="454" t="s">
        <v>747</v>
      </c>
      <c r="G418" s="454" t="s">
        <v>504</v>
      </c>
      <c r="H418" s="455"/>
      <c r="I418" s="455"/>
      <c r="J418" s="455"/>
    </row>
    <row r="419">
      <c r="A419" s="451" t="s">
        <v>1232</v>
      </c>
      <c r="B419" s="452">
        <v>148.0</v>
      </c>
      <c r="C419" s="453" t="s">
        <v>1233</v>
      </c>
      <c r="D419" s="439"/>
      <c r="E419" s="454" t="s">
        <v>80</v>
      </c>
      <c r="F419" s="454" t="s">
        <v>746</v>
      </c>
      <c r="G419" s="454" t="s">
        <v>504</v>
      </c>
      <c r="H419" s="455"/>
      <c r="I419" s="455"/>
      <c r="J419" s="455"/>
    </row>
    <row r="420">
      <c r="A420" s="451" t="s">
        <v>1234</v>
      </c>
      <c r="B420" s="452">
        <v>158.0</v>
      </c>
      <c r="C420" s="453" t="s">
        <v>1235</v>
      </c>
      <c r="D420" s="439"/>
      <c r="E420" s="454" t="s">
        <v>80</v>
      </c>
      <c r="F420" s="454" t="s">
        <v>747</v>
      </c>
      <c r="G420" s="454" t="s">
        <v>504</v>
      </c>
      <c r="H420" s="455"/>
      <c r="I420" s="455"/>
      <c r="J420" s="455"/>
    </row>
    <row r="421">
      <c r="A421" s="451" t="s">
        <v>1236</v>
      </c>
      <c r="B421" s="452">
        <v>143.0</v>
      </c>
      <c r="C421" s="453" t="s">
        <v>415</v>
      </c>
      <c r="D421" s="439"/>
      <c r="E421" s="454" t="s">
        <v>80</v>
      </c>
      <c r="F421" s="454" t="s">
        <v>748</v>
      </c>
      <c r="G421" s="454" t="s">
        <v>488</v>
      </c>
      <c r="H421" s="455"/>
      <c r="I421" s="455"/>
      <c r="J421" s="455"/>
    </row>
    <row r="422">
      <c r="A422" s="451" t="s">
        <v>1237</v>
      </c>
      <c r="B422" s="452">
        <v>173.0</v>
      </c>
      <c r="C422" s="453" t="s">
        <v>447</v>
      </c>
      <c r="D422" s="439"/>
      <c r="E422" s="454" t="s">
        <v>80</v>
      </c>
      <c r="F422" s="454" t="s">
        <v>748</v>
      </c>
      <c r="G422" s="454" t="s">
        <v>504</v>
      </c>
      <c r="H422" s="455"/>
      <c r="I422" s="455"/>
      <c r="J422" s="455"/>
    </row>
    <row r="423">
      <c r="A423" s="451" t="s">
        <v>1238</v>
      </c>
      <c r="B423" s="452">
        <v>148.0</v>
      </c>
      <c r="C423" s="453" t="s">
        <v>431</v>
      </c>
      <c r="D423" s="439"/>
      <c r="E423" s="454" t="s">
        <v>80</v>
      </c>
      <c r="F423" s="454" t="s">
        <v>746</v>
      </c>
      <c r="G423" s="454" t="s">
        <v>488</v>
      </c>
      <c r="H423" s="455"/>
      <c r="I423" s="455"/>
      <c r="J423" s="455"/>
    </row>
    <row r="424">
      <c r="A424" s="516">
        <v>4245.0</v>
      </c>
      <c r="B424" s="518">
        <v>139.0</v>
      </c>
      <c r="C424" s="305" t="s">
        <v>1239</v>
      </c>
      <c r="D424" s="439"/>
      <c r="E424" s="470" t="s">
        <v>128</v>
      </c>
      <c r="F424" s="470" t="s">
        <v>675</v>
      </c>
      <c r="G424" s="470" t="s">
        <v>922</v>
      </c>
      <c r="H424" s="455"/>
      <c r="I424" s="455"/>
      <c r="J424" s="455"/>
    </row>
    <row r="425">
      <c r="A425" s="516">
        <v>4318.0</v>
      </c>
      <c r="B425" s="518">
        <v>189.0</v>
      </c>
      <c r="C425" s="305" t="s">
        <v>1240</v>
      </c>
      <c r="D425" s="439"/>
      <c r="E425" s="470" t="s">
        <v>128</v>
      </c>
      <c r="F425" s="470" t="s">
        <v>893</v>
      </c>
      <c r="G425" s="470" t="s">
        <v>922</v>
      </c>
      <c r="H425" s="455"/>
      <c r="I425" s="455"/>
      <c r="J425" s="455"/>
    </row>
    <row r="426">
      <c r="A426" s="516">
        <v>60.0</v>
      </c>
      <c r="B426" s="518">
        <v>141.0</v>
      </c>
      <c r="C426" s="305" t="s">
        <v>1241</v>
      </c>
      <c r="D426" s="439"/>
      <c r="E426" s="454" t="s">
        <v>124</v>
      </c>
      <c r="F426" s="470" t="s">
        <v>718</v>
      </c>
      <c r="G426" s="470" t="s">
        <v>501</v>
      </c>
      <c r="H426" s="455"/>
      <c r="I426" s="455"/>
      <c r="J426" s="455"/>
    </row>
    <row r="427">
      <c r="A427" s="516">
        <v>4317.0</v>
      </c>
      <c r="B427" s="518"/>
      <c r="C427" s="305"/>
      <c r="D427" s="439"/>
      <c r="E427" s="470" t="s">
        <v>128</v>
      </c>
      <c r="F427" s="470" t="s">
        <v>920</v>
      </c>
      <c r="G427" s="470" t="s">
        <v>677</v>
      </c>
      <c r="H427" s="455"/>
      <c r="I427" s="455"/>
      <c r="J427" s="455"/>
    </row>
    <row r="428">
      <c r="A428" s="516"/>
      <c r="B428" s="518"/>
      <c r="C428" s="305"/>
      <c r="D428" s="439"/>
      <c r="E428" s="470" t="s">
        <v>127</v>
      </c>
      <c r="F428" s="454" t="s">
        <v>739</v>
      </c>
      <c r="G428" s="454" t="s">
        <v>679</v>
      </c>
      <c r="H428" s="455"/>
      <c r="I428" s="455"/>
      <c r="J428" s="455"/>
    </row>
    <row r="429">
      <c r="A429" s="516">
        <v>4319.0</v>
      </c>
      <c r="B429" s="518">
        <v>98.0</v>
      </c>
      <c r="C429" s="305" t="s">
        <v>1242</v>
      </c>
      <c r="D429" s="439"/>
      <c r="E429" s="454" t="s">
        <v>125</v>
      </c>
      <c r="F429" s="454" t="s">
        <v>699</v>
      </c>
      <c r="G429" s="454" t="s">
        <v>495</v>
      </c>
      <c r="H429" s="455"/>
      <c r="I429" s="455"/>
      <c r="J429" s="455"/>
    </row>
    <row r="430">
      <c r="A430" s="516">
        <v>4323.0</v>
      </c>
      <c r="B430" s="518">
        <v>211.0</v>
      </c>
      <c r="C430" s="305" t="s">
        <v>1243</v>
      </c>
      <c r="D430" s="439"/>
      <c r="E430" s="470" t="s">
        <v>132</v>
      </c>
      <c r="F430" s="470" t="s">
        <v>683</v>
      </c>
      <c r="G430" s="454" t="s">
        <v>677</v>
      </c>
      <c r="H430" s="455"/>
      <c r="I430" s="455"/>
      <c r="J430" s="455"/>
    </row>
    <row r="431">
      <c r="A431" s="516">
        <v>4324.0</v>
      </c>
      <c r="B431" s="518">
        <v>265.0</v>
      </c>
      <c r="C431" s="305" t="s">
        <v>1244</v>
      </c>
      <c r="D431" s="439"/>
      <c r="E431" s="470" t="s">
        <v>126</v>
      </c>
      <c r="F431" s="470" t="s">
        <v>487</v>
      </c>
      <c r="G431" s="470" t="s">
        <v>501</v>
      </c>
      <c r="H431" s="470" t="s">
        <v>489</v>
      </c>
      <c r="I431" s="455"/>
      <c r="J431" s="455"/>
    </row>
    <row r="432">
      <c r="A432" s="466">
        <v>372.0</v>
      </c>
      <c r="B432" s="917">
        <v>198.0</v>
      </c>
      <c r="C432" s="305" t="s">
        <v>1245</v>
      </c>
      <c r="D432" s="439"/>
      <c r="E432" s="470" t="s">
        <v>126</v>
      </c>
      <c r="F432" s="470" t="s">
        <v>487</v>
      </c>
      <c r="G432" s="470" t="s">
        <v>501</v>
      </c>
      <c r="H432" s="470" t="s">
        <v>489</v>
      </c>
      <c r="I432" s="455"/>
      <c r="J432" s="455"/>
    </row>
    <row r="433">
      <c r="A433" s="523" t="s">
        <v>1246</v>
      </c>
      <c r="B433" s="524">
        <v>98.0</v>
      </c>
      <c r="C433" s="525" t="s">
        <v>1247</v>
      </c>
      <c r="D433" s="439"/>
      <c r="E433" s="454" t="s">
        <v>128</v>
      </c>
      <c r="F433" s="454" t="s">
        <v>686</v>
      </c>
      <c r="G433" s="454" t="s">
        <v>922</v>
      </c>
      <c r="H433" s="455"/>
      <c r="I433" s="455"/>
      <c r="J433" s="455"/>
    </row>
    <row r="434">
      <c r="A434" s="523" t="s">
        <v>1248</v>
      </c>
      <c r="B434" s="524">
        <v>98.0</v>
      </c>
      <c r="C434" s="525" t="s">
        <v>1249</v>
      </c>
      <c r="D434" s="439"/>
      <c r="E434" s="454" t="s">
        <v>125</v>
      </c>
      <c r="F434" s="470" t="s">
        <v>703</v>
      </c>
      <c r="G434" s="470" t="s">
        <v>488</v>
      </c>
      <c r="H434" s="455"/>
      <c r="I434" s="455"/>
      <c r="J434" s="455"/>
    </row>
    <row r="435">
      <c r="A435" s="523" t="s">
        <v>1250</v>
      </c>
      <c r="B435" s="524">
        <v>238.0</v>
      </c>
      <c r="C435" s="525" t="s">
        <v>1251</v>
      </c>
      <c r="D435" s="439"/>
      <c r="E435" s="454" t="s">
        <v>125</v>
      </c>
      <c r="F435" s="470" t="s">
        <v>707</v>
      </c>
      <c r="G435" s="470" t="s">
        <v>488</v>
      </c>
      <c r="H435" s="455"/>
      <c r="I435" s="455"/>
      <c r="J435" s="455"/>
    </row>
    <row r="436">
      <c r="A436" s="523" t="s">
        <v>1252</v>
      </c>
      <c r="B436" s="524">
        <v>216.0</v>
      </c>
      <c r="C436" s="525" t="s">
        <v>1253</v>
      </c>
      <c r="D436" s="439"/>
      <c r="E436" s="454" t="s">
        <v>126</v>
      </c>
      <c r="F436" s="470" t="s">
        <v>392</v>
      </c>
      <c r="G436" s="470" t="s">
        <v>504</v>
      </c>
      <c r="H436" s="454" t="s">
        <v>510</v>
      </c>
      <c r="I436" s="455"/>
      <c r="J436" s="455"/>
    </row>
    <row r="437">
      <c r="A437" s="523" t="s">
        <v>1254</v>
      </c>
      <c r="B437" s="524">
        <v>243.0</v>
      </c>
      <c r="C437" s="525" t="s">
        <v>1255</v>
      </c>
      <c r="D437" s="439"/>
      <c r="E437" s="454" t="s">
        <v>126</v>
      </c>
      <c r="F437" s="470" t="s">
        <v>493</v>
      </c>
      <c r="G437" s="470" t="s">
        <v>488</v>
      </c>
      <c r="H437" s="454" t="s">
        <v>510</v>
      </c>
      <c r="I437" s="455"/>
      <c r="J437" s="455"/>
    </row>
    <row r="438">
      <c r="A438" s="523" t="s">
        <v>1256</v>
      </c>
      <c r="B438" s="524">
        <v>160.0</v>
      </c>
      <c r="C438" s="525" t="s">
        <v>1257</v>
      </c>
      <c r="D438" s="439"/>
      <c r="E438" s="454" t="s">
        <v>125</v>
      </c>
      <c r="F438" s="470" t="s">
        <v>700</v>
      </c>
      <c r="G438" s="470" t="s">
        <v>504</v>
      </c>
      <c r="H438" s="455"/>
      <c r="I438" s="455"/>
      <c r="J438" s="455"/>
    </row>
    <row r="439">
      <c r="A439" s="523" t="s">
        <v>1258</v>
      </c>
      <c r="B439" s="524">
        <v>98.0</v>
      </c>
      <c r="C439" s="525" t="s">
        <v>1259</v>
      </c>
      <c r="D439" s="439"/>
      <c r="E439" s="454" t="s">
        <v>130</v>
      </c>
      <c r="F439" s="454" t="s">
        <v>753</v>
      </c>
      <c r="G439" s="454" t="s">
        <v>754</v>
      </c>
      <c r="H439" s="455"/>
      <c r="I439" s="455"/>
      <c r="J439" s="455"/>
    </row>
    <row r="440">
      <c r="A440" s="523" t="s">
        <v>1260</v>
      </c>
      <c r="B440" s="524">
        <v>265.0</v>
      </c>
      <c r="C440" s="525" t="s">
        <v>1261</v>
      </c>
      <c r="D440" s="439"/>
      <c r="E440" s="454" t="s">
        <v>126</v>
      </c>
      <c r="F440" s="470" t="s">
        <v>495</v>
      </c>
      <c r="G440" s="470" t="s">
        <v>504</v>
      </c>
      <c r="H440" s="454" t="s">
        <v>510</v>
      </c>
      <c r="I440" s="455"/>
      <c r="J440" s="455"/>
    </row>
    <row r="441">
      <c r="A441" s="523" t="s">
        <v>1262</v>
      </c>
      <c r="B441" s="524">
        <v>241.0</v>
      </c>
      <c r="C441" s="525" t="s">
        <v>1263</v>
      </c>
      <c r="D441" s="439"/>
      <c r="E441" s="454" t="s">
        <v>126</v>
      </c>
      <c r="F441" s="470" t="s">
        <v>392</v>
      </c>
      <c r="G441" s="470" t="s">
        <v>488</v>
      </c>
      <c r="H441" s="454" t="s">
        <v>510</v>
      </c>
      <c r="I441" s="455"/>
      <c r="J441" s="455"/>
    </row>
    <row r="442">
      <c r="A442" s="523" t="s">
        <v>1264</v>
      </c>
      <c r="B442" s="524">
        <v>215.0</v>
      </c>
      <c r="C442" s="525" t="s">
        <v>1265</v>
      </c>
      <c r="D442" s="439"/>
      <c r="E442" s="454" t="s">
        <v>124</v>
      </c>
      <c r="F442" s="470" t="s">
        <v>677</v>
      </c>
      <c r="G442" s="454" t="s">
        <v>488</v>
      </c>
      <c r="H442" s="455"/>
      <c r="I442" s="455"/>
      <c r="J442" s="455"/>
    </row>
    <row r="443">
      <c r="A443" s="523" t="s">
        <v>1266</v>
      </c>
      <c r="B443" s="524">
        <v>154.0</v>
      </c>
      <c r="C443" s="525" t="s">
        <v>1267</v>
      </c>
      <c r="D443" s="439"/>
      <c r="E443" s="454" t="s">
        <v>124</v>
      </c>
      <c r="F443" s="470" t="s">
        <v>677</v>
      </c>
      <c r="G443" s="470" t="s">
        <v>501</v>
      </c>
      <c r="H443" s="455"/>
      <c r="I443" s="455"/>
      <c r="J443" s="455"/>
    </row>
    <row r="444">
      <c r="A444" s="523" t="s">
        <v>1268</v>
      </c>
      <c r="B444" s="524">
        <v>185.0</v>
      </c>
      <c r="C444" s="525" t="s">
        <v>1269</v>
      </c>
      <c r="D444" s="439"/>
      <c r="E444" s="454" t="s">
        <v>128</v>
      </c>
      <c r="F444" s="470" t="s">
        <v>696</v>
      </c>
      <c r="G444" s="470" t="s">
        <v>677</v>
      </c>
      <c r="H444" s="455"/>
      <c r="I444" s="455"/>
      <c r="J444" s="455"/>
    </row>
    <row r="445">
      <c r="A445" s="523" t="s">
        <v>1270</v>
      </c>
      <c r="B445" s="524">
        <v>185.0</v>
      </c>
      <c r="C445" s="525" t="s">
        <v>1271</v>
      </c>
      <c r="D445" s="439"/>
      <c r="E445" s="454" t="s">
        <v>128</v>
      </c>
      <c r="F445" s="470" t="s">
        <v>916</v>
      </c>
      <c r="G445" s="470" t="s">
        <v>677</v>
      </c>
      <c r="H445" s="455"/>
      <c r="I445" s="455"/>
      <c r="J445" s="455"/>
    </row>
    <row r="446">
      <c r="A446" s="523" t="s">
        <v>1272</v>
      </c>
      <c r="B446" s="524">
        <v>250.0</v>
      </c>
      <c r="C446" s="525" t="s">
        <v>1273</v>
      </c>
      <c r="D446" s="439"/>
      <c r="E446" s="454" t="s">
        <v>126</v>
      </c>
      <c r="F446" s="470" t="s">
        <v>495</v>
      </c>
      <c r="G446" s="470" t="s">
        <v>488</v>
      </c>
      <c r="H446" s="454" t="s">
        <v>510</v>
      </c>
      <c r="I446" s="455"/>
      <c r="J446" s="455"/>
    </row>
    <row r="447">
      <c r="A447" s="523" t="s">
        <v>1274</v>
      </c>
      <c r="B447" s="524">
        <v>100.0</v>
      </c>
      <c r="C447" s="525" t="s">
        <v>1275</v>
      </c>
      <c r="D447" s="439"/>
      <c r="E447" s="454" t="s">
        <v>132</v>
      </c>
      <c r="F447" s="470" t="s">
        <v>678</v>
      </c>
      <c r="G447" s="454" t="s">
        <v>677</v>
      </c>
      <c r="H447" s="455"/>
      <c r="I447" s="455"/>
      <c r="J447" s="455"/>
    </row>
    <row r="448">
      <c r="A448" s="523"/>
      <c r="B448" s="557"/>
      <c r="C448" s="525" t="s">
        <v>1276</v>
      </c>
      <c r="D448" s="439"/>
      <c r="E448" s="454" t="s">
        <v>125</v>
      </c>
      <c r="F448" s="470" t="s">
        <v>699</v>
      </c>
      <c r="G448" s="470" t="s">
        <v>488</v>
      </c>
      <c r="H448" s="455"/>
      <c r="I448" s="455"/>
      <c r="J448" s="455"/>
    </row>
    <row r="449">
      <c r="A449" s="523" t="s">
        <v>1277</v>
      </c>
      <c r="B449" s="524">
        <v>184.0</v>
      </c>
      <c r="C449" s="525" t="s">
        <v>1278</v>
      </c>
      <c r="D449" s="439"/>
      <c r="E449" s="454"/>
      <c r="F449" s="455"/>
      <c r="G449" s="455"/>
      <c r="H449" s="455"/>
      <c r="I449" s="455"/>
      <c r="J449" s="455"/>
    </row>
    <row r="450">
      <c r="A450" s="934"/>
      <c r="B450" s="557"/>
      <c r="C450" s="936"/>
      <c r="D450" s="439"/>
      <c r="E450" s="454"/>
      <c r="F450" s="455"/>
      <c r="G450" s="455"/>
      <c r="H450" s="455"/>
      <c r="I450" s="455"/>
      <c r="J450" s="455"/>
    </row>
    <row r="451">
      <c r="A451" s="934"/>
      <c r="B451" s="557"/>
      <c r="C451" s="936"/>
      <c r="D451" s="439"/>
      <c r="E451" s="454"/>
      <c r="F451" s="455"/>
      <c r="G451" s="455"/>
      <c r="H451" s="455"/>
      <c r="I451" s="455"/>
      <c r="J451" s="455"/>
    </row>
    <row r="452">
      <c r="A452" s="934"/>
      <c r="B452" s="557"/>
      <c r="C452" s="936"/>
      <c r="D452" s="439"/>
      <c r="E452" s="454"/>
      <c r="F452" s="455"/>
      <c r="G452" s="455"/>
      <c r="H452" s="455"/>
      <c r="I452" s="455"/>
      <c r="J452" s="455"/>
    </row>
    <row r="453">
      <c r="A453" s="934"/>
      <c r="B453" s="557"/>
      <c r="C453" s="936"/>
      <c r="D453" s="439"/>
      <c r="E453" s="454"/>
      <c r="F453" s="455"/>
      <c r="G453" s="455"/>
      <c r="H453" s="455"/>
      <c r="I453" s="455"/>
      <c r="J453" s="455"/>
    </row>
    <row r="454">
      <c r="A454" s="934"/>
      <c r="B454" s="557"/>
      <c r="C454" s="936"/>
      <c r="D454" s="439"/>
      <c r="E454" s="454"/>
      <c r="F454" s="455"/>
      <c r="G454" s="455"/>
      <c r="H454" s="455"/>
      <c r="I454" s="455"/>
      <c r="J454" s="455"/>
    </row>
    <row r="455">
      <c r="A455" s="934"/>
      <c r="B455" s="557"/>
      <c r="C455" s="936"/>
      <c r="D455" s="439"/>
      <c r="E455" s="454"/>
      <c r="F455" s="455"/>
      <c r="G455" s="455"/>
      <c r="H455" s="455"/>
      <c r="I455" s="455"/>
      <c r="J455" s="455"/>
    </row>
    <row r="456">
      <c r="A456" s="934"/>
      <c r="B456" s="557"/>
      <c r="C456" s="936"/>
      <c r="D456" s="439"/>
      <c r="E456" s="454"/>
      <c r="F456" s="455"/>
      <c r="G456" s="455"/>
      <c r="H456" s="455"/>
      <c r="I456" s="455"/>
      <c r="J456" s="455"/>
    </row>
    <row r="457">
      <c r="A457" s="934"/>
      <c r="B457" s="557"/>
      <c r="C457" s="936"/>
      <c r="D457" s="439"/>
      <c r="E457" s="454"/>
      <c r="F457" s="455"/>
      <c r="G457" s="455"/>
      <c r="H457" s="455"/>
      <c r="I457" s="455"/>
      <c r="J457" s="455"/>
    </row>
    <row r="458">
      <c r="A458" s="934"/>
      <c r="B458" s="557"/>
      <c r="C458" s="936"/>
      <c r="D458" s="439"/>
      <c r="E458" s="454"/>
      <c r="F458" s="455"/>
      <c r="G458" s="455"/>
      <c r="H458" s="455"/>
      <c r="I458" s="455"/>
      <c r="J458" s="455"/>
    </row>
    <row r="459">
      <c r="A459" s="934"/>
      <c r="B459" s="557"/>
      <c r="C459" s="936"/>
      <c r="D459" s="439"/>
      <c r="E459" s="454"/>
      <c r="F459" s="455"/>
      <c r="G459" s="455"/>
      <c r="H459" s="455"/>
      <c r="I459" s="455"/>
      <c r="J459" s="455"/>
    </row>
    <row r="460">
      <c r="A460" s="934"/>
      <c r="B460" s="557"/>
      <c r="C460" s="936"/>
      <c r="D460" s="439"/>
      <c r="E460" s="454"/>
      <c r="F460" s="455"/>
      <c r="G460" s="455"/>
      <c r="H460" s="455"/>
      <c r="I460" s="455"/>
      <c r="J460" s="455"/>
    </row>
    <row r="461">
      <c r="A461" s="934"/>
      <c r="B461" s="557"/>
      <c r="C461" s="936"/>
      <c r="D461" s="439"/>
      <c r="E461" s="454"/>
      <c r="F461" s="455"/>
      <c r="G461" s="455"/>
      <c r="H461" s="455"/>
      <c r="I461" s="455"/>
      <c r="J461" s="455"/>
    </row>
    <row r="462">
      <c r="A462" s="934"/>
      <c r="B462" s="557"/>
      <c r="C462" s="936"/>
      <c r="D462" s="439"/>
      <c r="E462" s="454"/>
      <c r="F462" s="455"/>
      <c r="G462" s="455"/>
      <c r="H462" s="455"/>
      <c r="I462" s="455"/>
      <c r="J462" s="455"/>
    </row>
    <row r="463">
      <c r="A463" s="934"/>
      <c r="B463" s="557"/>
      <c r="C463" s="936"/>
      <c r="D463" s="439"/>
      <c r="E463" s="454"/>
      <c r="F463" s="455"/>
      <c r="G463" s="455"/>
      <c r="H463" s="455"/>
      <c r="I463" s="455"/>
      <c r="J463" s="455"/>
    </row>
    <row r="464">
      <c r="A464" s="934"/>
      <c r="B464" s="557"/>
      <c r="C464" s="936"/>
      <c r="D464" s="439"/>
      <c r="E464" s="454"/>
      <c r="F464" s="455"/>
      <c r="G464" s="455"/>
      <c r="H464" s="455"/>
      <c r="I464" s="455"/>
      <c r="J464" s="455"/>
    </row>
    <row r="465">
      <c r="A465" s="934"/>
      <c r="B465" s="557"/>
      <c r="C465" s="936"/>
      <c r="D465" s="439"/>
      <c r="E465" s="454"/>
      <c r="F465" s="455"/>
      <c r="G465" s="455"/>
      <c r="H465" s="455"/>
      <c r="I465" s="455"/>
      <c r="J465" s="455"/>
    </row>
    <row r="466">
      <c r="A466" s="934"/>
      <c r="B466" s="557"/>
      <c r="C466" s="936"/>
      <c r="D466" s="439"/>
      <c r="E466" s="454"/>
      <c r="F466" s="455"/>
      <c r="G466" s="455"/>
      <c r="H466" s="455"/>
      <c r="I466" s="455"/>
      <c r="J466" s="455"/>
    </row>
    <row r="467">
      <c r="A467" s="934"/>
      <c r="B467" s="557"/>
      <c r="C467" s="936"/>
      <c r="D467" s="439"/>
      <c r="E467" s="454"/>
      <c r="F467" s="455"/>
      <c r="G467" s="455"/>
      <c r="H467" s="455"/>
      <c r="I467" s="455"/>
      <c r="J467" s="455"/>
    </row>
    <row r="468">
      <c r="A468" s="934"/>
      <c r="B468" s="557"/>
      <c r="C468" s="936"/>
      <c r="D468" s="439"/>
      <c r="E468" s="454"/>
      <c r="F468" s="455"/>
      <c r="G468" s="455"/>
      <c r="H468" s="455"/>
      <c r="I468" s="455"/>
      <c r="J468" s="455"/>
    </row>
    <row r="469">
      <c r="A469" s="934"/>
      <c r="B469" s="557"/>
      <c r="C469" s="936"/>
      <c r="D469" s="439"/>
      <c r="E469" s="454"/>
      <c r="F469" s="455"/>
      <c r="G469" s="455"/>
      <c r="H469" s="455"/>
      <c r="I469" s="455"/>
      <c r="J469" s="455"/>
    </row>
    <row r="470">
      <c r="A470" s="934"/>
      <c r="B470" s="557"/>
      <c r="C470" s="936"/>
      <c r="D470" s="439"/>
      <c r="E470" s="454"/>
      <c r="F470" s="455"/>
      <c r="G470" s="455"/>
      <c r="H470" s="455"/>
      <c r="I470" s="455"/>
      <c r="J470" s="455"/>
    </row>
    <row r="471">
      <c r="A471" s="934"/>
      <c r="B471" s="557"/>
      <c r="C471" s="936"/>
      <c r="D471" s="439"/>
      <c r="E471" s="454"/>
      <c r="F471" s="455"/>
      <c r="G471" s="455"/>
      <c r="H471" s="455"/>
      <c r="I471" s="455"/>
      <c r="J471" s="455"/>
    </row>
    <row r="472">
      <c r="A472" s="934"/>
      <c r="B472" s="557"/>
      <c r="C472" s="936"/>
      <c r="D472" s="439"/>
      <c r="E472" s="454"/>
      <c r="F472" s="455"/>
      <c r="G472" s="455"/>
      <c r="H472" s="455"/>
      <c r="I472" s="455"/>
      <c r="J472" s="455"/>
    </row>
    <row r="473">
      <c r="A473" s="934"/>
      <c r="B473" s="557"/>
      <c r="C473" s="936"/>
      <c r="D473" s="439"/>
      <c r="E473" s="454"/>
      <c r="F473" s="455"/>
      <c r="G473" s="455"/>
      <c r="H473" s="455"/>
      <c r="I473" s="455"/>
      <c r="J473" s="455"/>
    </row>
    <row r="474">
      <c r="A474" s="934"/>
      <c r="B474" s="557"/>
      <c r="C474" s="936"/>
      <c r="D474" s="439"/>
      <c r="E474" s="454"/>
      <c r="F474" s="455"/>
      <c r="G474" s="455"/>
      <c r="H474" s="455"/>
      <c r="I474" s="455"/>
      <c r="J474" s="455"/>
    </row>
    <row r="475">
      <c r="A475" s="934"/>
      <c r="B475" s="557"/>
      <c r="C475" s="936"/>
      <c r="D475" s="439"/>
      <c r="E475" s="454"/>
      <c r="F475" s="455"/>
      <c r="G475" s="455"/>
      <c r="H475" s="455"/>
      <c r="I475" s="455"/>
      <c r="J475" s="455"/>
    </row>
    <row r="476">
      <c r="A476" s="934"/>
      <c r="B476" s="557"/>
      <c r="C476" s="936"/>
      <c r="D476" s="439"/>
      <c r="E476" s="454"/>
      <c r="F476" s="455"/>
      <c r="G476" s="455"/>
      <c r="H476" s="455"/>
      <c r="I476" s="455"/>
      <c r="J476" s="455"/>
    </row>
    <row r="477">
      <c r="A477" s="934"/>
      <c r="B477" s="557"/>
      <c r="C477" s="936"/>
      <c r="D477" s="439"/>
      <c r="E477" s="454"/>
      <c r="F477" s="455"/>
      <c r="G477" s="455"/>
      <c r="H477" s="455"/>
      <c r="I477" s="455"/>
      <c r="J477" s="455"/>
    </row>
    <row r="478">
      <c r="A478" s="934"/>
      <c r="B478" s="557"/>
      <c r="C478" s="936"/>
      <c r="D478" s="439"/>
      <c r="E478" s="454"/>
      <c r="F478" s="455"/>
      <c r="G478" s="455"/>
      <c r="H478" s="455"/>
      <c r="I478" s="455"/>
      <c r="J478" s="455"/>
    </row>
    <row r="479">
      <c r="A479" s="934"/>
      <c r="B479" s="557"/>
      <c r="C479" s="936"/>
      <c r="D479" s="439"/>
      <c r="E479" s="454"/>
      <c r="F479" s="455"/>
      <c r="G479" s="455"/>
      <c r="H479" s="455"/>
      <c r="I479" s="455"/>
      <c r="J479" s="455"/>
    </row>
    <row r="480">
      <c r="A480" s="934"/>
      <c r="B480" s="557"/>
      <c r="C480" s="936"/>
      <c r="D480" s="439"/>
      <c r="E480" s="454"/>
      <c r="F480" s="455"/>
      <c r="G480" s="455"/>
      <c r="H480" s="455"/>
      <c r="I480" s="455"/>
      <c r="J480" s="455"/>
    </row>
    <row r="481">
      <c r="A481" s="934"/>
      <c r="B481" s="557"/>
      <c r="C481" s="936"/>
      <c r="D481" s="439"/>
      <c r="E481" s="454"/>
      <c r="F481" s="455"/>
      <c r="G481" s="455"/>
      <c r="H481" s="455"/>
      <c r="I481" s="455"/>
      <c r="J481" s="455"/>
    </row>
    <row r="482">
      <c r="A482" s="934"/>
      <c r="B482" s="955"/>
      <c r="C482" s="936"/>
      <c r="D482" s="439"/>
      <c r="E482" s="454"/>
      <c r="F482" s="455"/>
      <c r="G482" s="455"/>
      <c r="H482" s="455"/>
      <c r="I482" s="455"/>
      <c r="J482" s="455"/>
    </row>
    <row r="483">
      <c r="A483" s="934"/>
      <c r="B483" s="955"/>
      <c r="C483" s="936"/>
      <c r="D483" s="439"/>
      <c r="E483" s="454"/>
      <c r="F483" s="455"/>
      <c r="G483" s="455"/>
      <c r="H483" s="455"/>
      <c r="I483" s="455"/>
      <c r="J483" s="455"/>
    </row>
    <row r="484">
      <c r="A484" s="934"/>
      <c r="B484" s="557"/>
      <c r="C484" s="936"/>
      <c r="D484" s="439"/>
      <c r="E484" s="454"/>
      <c r="F484" s="455"/>
      <c r="G484" s="455"/>
      <c r="H484" s="455"/>
      <c r="I484" s="455"/>
      <c r="J484" s="455"/>
    </row>
    <row r="485">
      <c r="A485" s="934"/>
      <c r="B485" s="557"/>
      <c r="C485" s="936"/>
      <c r="D485" s="439"/>
      <c r="E485" s="454"/>
      <c r="F485" s="455"/>
      <c r="G485" s="455"/>
      <c r="H485" s="455"/>
      <c r="I485" s="455"/>
      <c r="J485" s="455"/>
    </row>
    <row r="486">
      <c r="A486" s="934"/>
      <c r="B486" s="557"/>
      <c r="C486" s="936"/>
      <c r="D486" s="439"/>
      <c r="E486" s="454"/>
      <c r="F486" s="455"/>
      <c r="G486" s="455"/>
      <c r="H486" s="455"/>
      <c r="I486" s="455"/>
      <c r="J486" s="455"/>
    </row>
    <row r="487">
      <c r="A487" s="934"/>
      <c r="B487" s="557"/>
      <c r="C487" s="936"/>
      <c r="D487" s="439"/>
      <c r="E487" s="454"/>
      <c r="F487" s="455"/>
      <c r="G487" s="455"/>
      <c r="H487" s="455"/>
      <c r="I487" s="455"/>
      <c r="J487" s="455"/>
    </row>
    <row r="488">
      <c r="A488" s="934"/>
      <c r="B488" s="557"/>
      <c r="C488" s="936"/>
      <c r="D488" s="439"/>
      <c r="E488" s="454"/>
      <c r="F488" s="455"/>
      <c r="G488" s="455"/>
      <c r="H488" s="455"/>
      <c r="I488" s="455"/>
      <c r="J488" s="455"/>
    </row>
    <row r="489">
      <c r="A489" s="934"/>
      <c r="B489" s="557"/>
      <c r="C489" s="936"/>
      <c r="D489" s="439"/>
      <c r="E489" s="454"/>
      <c r="F489" s="455"/>
      <c r="G489" s="455"/>
      <c r="H489" s="455"/>
      <c r="I489" s="455"/>
      <c r="J489" s="455"/>
    </row>
    <row r="490">
      <c r="A490" s="934"/>
      <c r="B490" s="557"/>
      <c r="C490" s="936"/>
      <c r="D490" s="439"/>
      <c r="E490" s="454"/>
      <c r="F490" s="455"/>
      <c r="G490" s="455"/>
      <c r="H490" s="455"/>
      <c r="I490" s="455"/>
      <c r="J490" s="455"/>
    </row>
    <row r="491">
      <c r="A491" s="934"/>
      <c r="B491" s="557"/>
      <c r="C491" s="936"/>
      <c r="D491" s="439"/>
      <c r="E491" s="454"/>
      <c r="F491" s="455"/>
      <c r="G491" s="455"/>
      <c r="H491" s="455"/>
      <c r="I491" s="455"/>
      <c r="J491" s="455"/>
    </row>
    <row r="492">
      <c r="A492" s="934"/>
      <c r="B492" s="557"/>
      <c r="C492" s="936"/>
      <c r="D492" s="439"/>
      <c r="E492" s="454"/>
      <c r="F492" s="455"/>
      <c r="G492" s="455"/>
      <c r="H492" s="455"/>
      <c r="I492" s="455"/>
      <c r="J492" s="455"/>
    </row>
    <row r="493">
      <c r="A493" s="934"/>
      <c r="B493" s="557"/>
      <c r="C493" s="936"/>
      <c r="D493" s="439"/>
      <c r="E493" s="454"/>
      <c r="F493" s="455"/>
      <c r="G493" s="455"/>
      <c r="H493" s="455"/>
      <c r="I493" s="455"/>
      <c r="J493" s="455"/>
    </row>
    <row r="494">
      <c r="A494" s="934"/>
      <c r="B494" s="557"/>
      <c r="C494" s="936"/>
      <c r="D494" s="439"/>
      <c r="E494" s="454"/>
      <c r="F494" s="455"/>
      <c r="G494" s="455"/>
      <c r="H494" s="455"/>
      <c r="I494" s="455"/>
      <c r="J494" s="455"/>
    </row>
    <row r="495">
      <c r="A495" s="934"/>
      <c r="B495" s="557"/>
      <c r="C495" s="936"/>
      <c r="D495" s="439"/>
      <c r="E495" s="454"/>
      <c r="F495" s="455"/>
      <c r="G495" s="455"/>
      <c r="H495" s="455"/>
      <c r="I495" s="455"/>
      <c r="J495" s="455"/>
    </row>
    <row r="496">
      <c r="A496" s="934"/>
      <c r="B496" s="557"/>
      <c r="C496" s="936"/>
      <c r="D496" s="439"/>
      <c r="E496" s="454"/>
      <c r="F496" s="455"/>
      <c r="G496" s="455"/>
      <c r="H496" s="455"/>
      <c r="I496" s="455"/>
      <c r="J496" s="455"/>
    </row>
    <row r="497">
      <c r="A497" s="934"/>
      <c r="B497" s="557"/>
      <c r="C497" s="936"/>
      <c r="D497" s="439"/>
      <c r="E497" s="454"/>
      <c r="F497" s="455"/>
      <c r="G497" s="455"/>
      <c r="H497" s="455"/>
      <c r="I497" s="455"/>
      <c r="J497" s="455"/>
    </row>
    <row r="498">
      <c r="A498" s="934"/>
      <c r="B498" s="557"/>
      <c r="C498" s="936"/>
      <c r="D498" s="439"/>
      <c r="E498" s="454"/>
      <c r="F498" s="455"/>
      <c r="G498" s="455"/>
      <c r="H498" s="455"/>
      <c r="I498" s="455"/>
      <c r="J498" s="455"/>
    </row>
    <row r="499">
      <c r="A499" s="934"/>
      <c r="B499" s="557"/>
      <c r="C499" s="936"/>
      <c r="D499" s="439"/>
      <c r="E499" s="454"/>
      <c r="F499" s="455"/>
      <c r="G499" s="455"/>
      <c r="H499" s="455"/>
      <c r="I499" s="455"/>
      <c r="J499" s="455"/>
    </row>
    <row r="500">
      <c r="A500" s="934"/>
      <c r="B500" s="557"/>
      <c r="C500" s="936"/>
      <c r="D500" s="439"/>
      <c r="E500" s="454"/>
      <c r="F500" s="455"/>
      <c r="G500" s="455"/>
      <c r="H500" s="455"/>
      <c r="I500" s="455"/>
      <c r="J500" s="455"/>
    </row>
    <row r="501">
      <c r="A501" s="934"/>
      <c r="B501" s="557"/>
      <c r="C501" s="936"/>
      <c r="D501" s="439"/>
      <c r="E501" s="454"/>
      <c r="F501" s="455"/>
      <c r="G501" s="455"/>
      <c r="H501" s="455"/>
      <c r="I501" s="455"/>
      <c r="J501" s="455"/>
    </row>
    <row r="502">
      <c r="A502" s="934"/>
      <c r="B502" s="557"/>
      <c r="C502" s="936"/>
      <c r="D502" s="439"/>
      <c r="E502" s="454"/>
      <c r="F502" s="455"/>
      <c r="G502" s="455"/>
      <c r="H502" s="455"/>
      <c r="I502" s="455"/>
      <c r="J502" s="455"/>
    </row>
    <row r="503">
      <c r="A503" s="934"/>
      <c r="B503" s="557"/>
      <c r="C503" s="936"/>
      <c r="D503" s="439"/>
      <c r="E503" s="454"/>
      <c r="F503" s="455"/>
      <c r="G503" s="455"/>
      <c r="H503" s="455"/>
      <c r="I503" s="455"/>
      <c r="J503" s="455"/>
    </row>
    <row r="504">
      <c r="A504" s="934"/>
      <c r="B504" s="557"/>
      <c r="C504" s="936"/>
      <c r="D504" s="439"/>
      <c r="E504" s="454"/>
      <c r="F504" s="455"/>
      <c r="G504" s="455"/>
      <c r="H504" s="455"/>
      <c r="I504" s="455"/>
      <c r="J504" s="455"/>
    </row>
    <row r="505">
      <c r="A505" s="934"/>
      <c r="B505" s="557"/>
      <c r="C505" s="936"/>
      <c r="D505" s="439"/>
      <c r="E505" s="454"/>
      <c r="F505" s="455"/>
      <c r="G505" s="455"/>
      <c r="H505" s="455"/>
      <c r="I505" s="455"/>
      <c r="J505" s="455"/>
    </row>
    <row r="506">
      <c r="A506" s="934"/>
      <c r="B506" s="557"/>
      <c r="C506" s="936"/>
      <c r="D506" s="439"/>
      <c r="E506" s="454"/>
      <c r="F506" s="455"/>
      <c r="G506" s="455"/>
      <c r="H506" s="455"/>
      <c r="I506" s="455"/>
      <c r="J506" s="455"/>
    </row>
    <row r="507">
      <c r="A507" s="934"/>
      <c r="B507" s="557"/>
      <c r="C507" s="936"/>
      <c r="D507" s="439"/>
      <c r="E507" s="454"/>
      <c r="F507" s="455"/>
      <c r="G507" s="455"/>
      <c r="H507" s="455"/>
      <c r="I507" s="455"/>
      <c r="J507" s="455"/>
    </row>
    <row r="508">
      <c r="A508" s="934"/>
      <c r="B508" s="557"/>
      <c r="C508" s="936"/>
      <c r="D508" s="439"/>
      <c r="E508" s="454"/>
      <c r="F508" s="455"/>
      <c r="G508" s="455"/>
      <c r="H508" s="455"/>
      <c r="I508" s="455"/>
      <c r="J508" s="455"/>
    </row>
    <row r="509">
      <c r="A509" s="934"/>
      <c r="B509" s="557"/>
      <c r="C509" s="936"/>
      <c r="D509" s="439"/>
      <c r="E509" s="454"/>
      <c r="F509" s="455"/>
      <c r="G509" s="455"/>
      <c r="H509" s="455"/>
      <c r="I509" s="455"/>
      <c r="J509" s="455"/>
    </row>
    <row r="510">
      <c r="A510" s="934"/>
      <c r="B510" s="557"/>
      <c r="C510" s="936"/>
      <c r="D510" s="439"/>
      <c r="E510" s="454"/>
      <c r="F510" s="455"/>
      <c r="G510" s="455"/>
      <c r="H510" s="455"/>
      <c r="I510" s="455"/>
      <c r="J510" s="455"/>
    </row>
    <row r="511">
      <c r="A511" s="934"/>
      <c r="B511" s="557"/>
      <c r="C511" s="936"/>
      <c r="D511" s="439"/>
      <c r="E511" s="454"/>
      <c r="F511" s="455"/>
      <c r="G511" s="455"/>
      <c r="H511" s="455"/>
      <c r="I511" s="455"/>
      <c r="J511" s="455"/>
    </row>
    <row r="512">
      <c r="A512" s="934"/>
      <c r="B512" s="557"/>
      <c r="C512" s="936"/>
      <c r="D512" s="439"/>
      <c r="E512" s="454"/>
      <c r="F512" s="455"/>
      <c r="G512" s="455"/>
      <c r="H512" s="455"/>
      <c r="I512" s="455"/>
      <c r="J512" s="455"/>
    </row>
    <row r="513">
      <c r="A513" s="934"/>
      <c r="B513" s="557"/>
      <c r="C513" s="936"/>
      <c r="D513" s="439"/>
      <c r="E513" s="454"/>
      <c r="F513" s="455"/>
      <c r="G513" s="455"/>
      <c r="H513" s="455"/>
      <c r="I513" s="455"/>
      <c r="J513" s="455"/>
    </row>
    <row r="514">
      <c r="A514" s="934"/>
      <c r="B514" s="557"/>
      <c r="C514" s="936"/>
      <c r="D514" s="439"/>
      <c r="E514" s="454"/>
      <c r="F514" s="455"/>
      <c r="G514" s="455"/>
      <c r="H514" s="455"/>
      <c r="I514" s="455"/>
      <c r="J514" s="455"/>
    </row>
    <row r="515">
      <c r="A515" s="934"/>
      <c r="B515" s="557"/>
      <c r="C515" s="936"/>
      <c r="D515" s="439"/>
      <c r="E515" s="454"/>
      <c r="F515" s="455"/>
      <c r="G515" s="455"/>
      <c r="H515" s="455"/>
      <c r="I515" s="455"/>
      <c r="J515" s="455"/>
    </row>
    <row r="516">
      <c r="A516" s="934"/>
      <c r="B516" s="557"/>
      <c r="C516" s="936"/>
      <c r="D516" s="439"/>
      <c r="E516" s="454"/>
      <c r="F516" s="455"/>
      <c r="G516" s="455"/>
      <c r="H516" s="455"/>
      <c r="I516" s="455"/>
      <c r="J516" s="455"/>
    </row>
    <row r="517">
      <c r="A517" s="934"/>
      <c r="B517" s="557"/>
      <c r="C517" s="936"/>
      <c r="D517" s="439"/>
      <c r="E517" s="454"/>
      <c r="F517" s="455"/>
      <c r="G517" s="455"/>
      <c r="H517" s="455"/>
      <c r="I517" s="455"/>
      <c r="J517" s="455"/>
    </row>
    <row r="518">
      <c r="A518" s="934"/>
      <c r="B518" s="557"/>
      <c r="C518" s="936"/>
      <c r="D518" s="439"/>
      <c r="E518" s="454"/>
      <c r="F518" s="455"/>
      <c r="G518" s="455"/>
      <c r="H518" s="455"/>
      <c r="I518" s="455"/>
      <c r="J518" s="455"/>
    </row>
    <row r="519">
      <c r="A519" s="934"/>
      <c r="B519" s="557"/>
      <c r="C519" s="936"/>
      <c r="D519" s="439"/>
      <c r="E519" s="454"/>
      <c r="F519" s="455"/>
      <c r="G519" s="455"/>
      <c r="H519" s="455"/>
      <c r="I519" s="455"/>
      <c r="J519" s="455"/>
    </row>
    <row r="520">
      <c r="A520" s="934"/>
      <c r="B520" s="557"/>
      <c r="C520" s="936"/>
      <c r="D520" s="439"/>
      <c r="E520" s="454"/>
      <c r="F520" s="455"/>
      <c r="G520" s="455"/>
      <c r="H520" s="455"/>
      <c r="I520" s="455"/>
      <c r="J520" s="455"/>
    </row>
    <row r="521">
      <c r="A521" s="934"/>
      <c r="B521" s="955"/>
      <c r="C521" s="936"/>
      <c r="D521" s="439"/>
      <c r="E521" s="454"/>
      <c r="F521" s="455"/>
      <c r="G521" s="455"/>
      <c r="H521" s="455"/>
      <c r="I521" s="455"/>
      <c r="J521" s="455"/>
    </row>
    <row r="522">
      <c r="A522" s="934"/>
      <c r="B522" s="557"/>
      <c r="C522" s="936"/>
      <c r="D522" s="439"/>
      <c r="E522" s="454"/>
      <c r="F522" s="455"/>
      <c r="G522" s="455"/>
      <c r="H522" s="455"/>
      <c r="I522" s="455"/>
      <c r="J522" s="455"/>
    </row>
    <row r="523">
      <c r="A523" s="934"/>
      <c r="B523" s="557"/>
      <c r="C523" s="936"/>
      <c r="D523" s="439"/>
      <c r="E523" s="454"/>
      <c r="F523" s="455"/>
      <c r="G523" s="455"/>
      <c r="H523" s="455"/>
      <c r="I523" s="455"/>
      <c r="J523" s="455"/>
    </row>
    <row r="524">
      <c r="A524" s="934"/>
      <c r="B524" s="557"/>
      <c r="C524" s="936"/>
      <c r="D524" s="439"/>
      <c r="E524" s="454"/>
      <c r="F524" s="455"/>
      <c r="G524" s="455"/>
      <c r="H524" s="455"/>
      <c r="I524" s="455"/>
      <c r="J524" s="455"/>
    </row>
    <row r="525">
      <c r="A525" s="934"/>
      <c r="B525" s="557"/>
      <c r="C525" s="936"/>
      <c r="D525" s="439"/>
      <c r="E525" s="454"/>
      <c r="F525" s="455"/>
      <c r="G525" s="455"/>
      <c r="H525" s="455"/>
      <c r="I525" s="455"/>
      <c r="J525" s="455"/>
    </row>
    <row r="526">
      <c r="A526" s="934"/>
      <c r="B526" s="557"/>
      <c r="C526" s="936"/>
      <c r="D526" s="439"/>
      <c r="E526" s="454"/>
      <c r="F526" s="455"/>
      <c r="G526" s="455"/>
      <c r="H526" s="455"/>
      <c r="I526" s="455"/>
      <c r="J526" s="455"/>
    </row>
    <row r="527">
      <c r="A527" s="934"/>
      <c r="B527" s="557"/>
      <c r="C527" s="936"/>
      <c r="D527" s="439"/>
      <c r="E527" s="454"/>
      <c r="F527" s="455"/>
      <c r="G527" s="455"/>
      <c r="H527" s="455"/>
      <c r="I527" s="455"/>
      <c r="J527" s="455"/>
    </row>
    <row r="528">
      <c r="A528" s="934"/>
      <c r="B528" s="557"/>
      <c r="C528" s="936"/>
      <c r="D528" s="439"/>
      <c r="E528" s="454"/>
      <c r="F528" s="455"/>
      <c r="G528" s="455"/>
      <c r="H528" s="455"/>
      <c r="I528" s="455"/>
      <c r="J528" s="455"/>
    </row>
    <row r="529">
      <c r="A529" s="934"/>
      <c r="B529" s="557"/>
      <c r="C529" s="936"/>
      <c r="D529" s="439"/>
      <c r="E529" s="454"/>
      <c r="F529" s="455"/>
      <c r="G529" s="455"/>
      <c r="H529" s="455"/>
      <c r="I529" s="455"/>
      <c r="J529" s="455"/>
    </row>
    <row r="530">
      <c r="A530" s="934"/>
      <c r="B530" s="557"/>
      <c r="C530" s="936"/>
      <c r="D530" s="439"/>
      <c r="E530" s="454"/>
      <c r="F530" s="455"/>
      <c r="G530" s="455"/>
      <c r="H530" s="455"/>
      <c r="I530" s="455"/>
      <c r="J530" s="455"/>
    </row>
    <row r="531">
      <c r="A531" s="934"/>
      <c r="B531" s="557"/>
      <c r="C531" s="936"/>
      <c r="D531" s="439"/>
      <c r="E531" s="454"/>
      <c r="F531" s="455"/>
      <c r="G531" s="455"/>
      <c r="H531" s="455"/>
      <c r="I531" s="455"/>
      <c r="J531" s="455"/>
    </row>
    <row r="532">
      <c r="A532" s="934"/>
      <c r="B532" s="557"/>
      <c r="C532" s="936"/>
      <c r="D532" s="439"/>
      <c r="E532" s="454"/>
      <c r="F532" s="455"/>
      <c r="G532" s="455"/>
      <c r="H532" s="455"/>
      <c r="I532" s="455"/>
      <c r="J532" s="455"/>
    </row>
    <row r="533">
      <c r="A533" s="934"/>
      <c r="B533" s="557"/>
      <c r="C533" s="936"/>
      <c r="D533" s="439"/>
      <c r="E533" s="454"/>
      <c r="F533" s="455"/>
      <c r="G533" s="455"/>
      <c r="H533" s="455"/>
      <c r="I533" s="455"/>
      <c r="J533" s="455"/>
    </row>
    <row r="534">
      <c r="A534" s="934"/>
      <c r="B534" s="557"/>
      <c r="C534" s="936"/>
      <c r="D534" s="439"/>
      <c r="E534" s="454"/>
      <c r="F534" s="455"/>
      <c r="G534" s="455"/>
      <c r="H534" s="455"/>
      <c r="I534" s="455"/>
      <c r="J534" s="455"/>
    </row>
    <row r="535">
      <c r="A535" s="934"/>
      <c r="B535" s="557"/>
      <c r="C535" s="936"/>
      <c r="D535" s="439"/>
      <c r="E535" s="454"/>
      <c r="F535" s="455"/>
      <c r="G535" s="455"/>
      <c r="H535" s="455"/>
      <c r="I535" s="455"/>
      <c r="J535" s="455"/>
    </row>
    <row r="536">
      <c r="A536" s="934"/>
      <c r="B536" s="557"/>
      <c r="C536" s="936"/>
      <c r="D536" s="439"/>
      <c r="E536" s="454"/>
      <c r="F536" s="455"/>
      <c r="G536" s="455"/>
      <c r="H536" s="455"/>
      <c r="I536" s="455"/>
      <c r="J536" s="455"/>
    </row>
    <row r="537">
      <c r="A537" s="934"/>
      <c r="B537" s="557"/>
      <c r="C537" s="936"/>
      <c r="D537" s="439"/>
      <c r="E537" s="454"/>
      <c r="F537" s="455"/>
      <c r="G537" s="455"/>
      <c r="H537" s="455"/>
      <c r="I537" s="455"/>
      <c r="J537" s="455"/>
    </row>
    <row r="538">
      <c r="A538" s="934"/>
      <c r="B538" s="557"/>
      <c r="C538" s="936"/>
      <c r="D538" s="439"/>
      <c r="E538" s="454"/>
      <c r="F538" s="455"/>
      <c r="G538" s="455"/>
      <c r="H538" s="455"/>
      <c r="I538" s="455"/>
      <c r="J538" s="455"/>
    </row>
    <row r="539">
      <c r="A539" s="934"/>
      <c r="B539" s="557"/>
      <c r="C539" s="936"/>
      <c r="D539" s="439"/>
      <c r="E539" s="454"/>
      <c r="F539" s="455"/>
      <c r="G539" s="455"/>
      <c r="H539" s="455"/>
      <c r="I539" s="455"/>
      <c r="J539" s="455"/>
    </row>
    <row r="540">
      <c r="A540" s="934"/>
      <c r="B540" s="557"/>
      <c r="C540" s="936"/>
      <c r="D540" s="439"/>
      <c r="E540" s="454"/>
      <c r="F540" s="455"/>
      <c r="G540" s="455"/>
      <c r="H540" s="455"/>
      <c r="I540" s="455"/>
      <c r="J540" s="455"/>
    </row>
    <row r="541">
      <c r="A541" s="934"/>
      <c r="B541" s="557"/>
      <c r="C541" s="936"/>
      <c r="D541" s="439"/>
      <c r="E541" s="454"/>
      <c r="F541" s="455"/>
      <c r="G541" s="455"/>
      <c r="H541" s="455"/>
      <c r="I541" s="455"/>
      <c r="J541" s="455"/>
    </row>
    <row r="542">
      <c r="A542" s="934"/>
      <c r="B542" s="557"/>
      <c r="C542" s="936"/>
      <c r="D542" s="439"/>
      <c r="E542" s="454"/>
      <c r="F542" s="455"/>
      <c r="G542" s="455"/>
      <c r="H542" s="455"/>
      <c r="I542" s="455"/>
      <c r="J542" s="455"/>
    </row>
    <row r="543">
      <c r="A543" s="934"/>
      <c r="B543" s="557"/>
      <c r="C543" s="936"/>
      <c r="D543" s="439"/>
      <c r="E543" s="454"/>
      <c r="F543" s="455"/>
      <c r="G543" s="455"/>
      <c r="H543" s="455"/>
      <c r="I543" s="455"/>
      <c r="J543" s="455"/>
    </row>
    <row r="544">
      <c r="A544" s="934"/>
      <c r="B544" s="557"/>
      <c r="C544" s="936"/>
      <c r="D544" s="439"/>
      <c r="E544" s="454"/>
      <c r="F544" s="455"/>
      <c r="G544" s="455"/>
      <c r="H544" s="455"/>
      <c r="I544" s="455"/>
      <c r="J544" s="455"/>
    </row>
    <row r="545">
      <c r="A545" s="934"/>
      <c r="B545" s="557"/>
      <c r="C545" s="936"/>
      <c r="D545" s="439"/>
      <c r="E545" s="454"/>
      <c r="F545" s="455"/>
      <c r="G545" s="455"/>
      <c r="H545" s="455"/>
      <c r="I545" s="455"/>
      <c r="J545" s="455"/>
    </row>
    <row r="546">
      <c r="A546" s="934"/>
      <c r="B546" s="557"/>
      <c r="C546" s="936"/>
      <c r="D546" s="439"/>
      <c r="E546" s="454"/>
      <c r="F546" s="455"/>
      <c r="G546" s="455"/>
      <c r="H546" s="455"/>
      <c r="I546" s="455"/>
      <c r="J546" s="455"/>
    </row>
    <row r="547">
      <c r="A547" s="934"/>
      <c r="B547" s="557"/>
      <c r="C547" s="936"/>
      <c r="D547" s="439"/>
      <c r="E547" s="454"/>
      <c r="F547" s="455"/>
      <c r="G547" s="455"/>
      <c r="H547" s="455"/>
      <c r="I547" s="455"/>
      <c r="J547" s="455"/>
    </row>
    <row r="548">
      <c r="A548" s="934"/>
      <c r="B548" s="557"/>
      <c r="C548" s="936"/>
      <c r="D548" s="439"/>
      <c r="E548" s="454"/>
      <c r="F548" s="455"/>
      <c r="G548" s="455"/>
      <c r="H548" s="455"/>
      <c r="I548" s="455"/>
      <c r="J548" s="455"/>
    </row>
    <row r="549">
      <c r="A549" s="934"/>
      <c r="B549" s="557"/>
      <c r="C549" s="936"/>
      <c r="D549" s="439"/>
      <c r="E549" s="454"/>
      <c r="F549" s="455"/>
      <c r="G549" s="455"/>
      <c r="H549" s="455"/>
      <c r="I549" s="455"/>
      <c r="J549" s="455"/>
    </row>
    <row r="550">
      <c r="A550" s="934"/>
      <c r="B550" s="557"/>
      <c r="C550" s="936"/>
      <c r="D550" s="439"/>
      <c r="E550" s="454"/>
      <c r="F550" s="455"/>
      <c r="G550" s="455"/>
      <c r="H550" s="455"/>
      <c r="I550" s="455"/>
      <c r="J550" s="455"/>
    </row>
    <row r="551">
      <c r="A551" s="934"/>
      <c r="B551" s="557"/>
      <c r="C551" s="936"/>
      <c r="D551" s="439"/>
      <c r="E551" s="454"/>
      <c r="F551" s="455"/>
      <c r="G551" s="455"/>
      <c r="H551" s="455"/>
      <c r="I551" s="455"/>
      <c r="J551" s="455"/>
    </row>
    <row r="552">
      <c r="A552" s="934"/>
      <c r="B552" s="955"/>
      <c r="C552" s="936"/>
      <c r="D552" s="439"/>
      <c r="E552" s="454"/>
      <c r="F552" s="455"/>
      <c r="G552" s="455"/>
      <c r="H552" s="455"/>
      <c r="I552" s="455"/>
      <c r="J552" s="455"/>
    </row>
    <row r="553">
      <c r="A553" s="934"/>
      <c r="B553" s="955"/>
      <c r="C553" s="936"/>
      <c r="D553" s="439"/>
      <c r="E553" s="454"/>
      <c r="F553" s="455"/>
      <c r="G553" s="455"/>
      <c r="H553" s="455"/>
      <c r="I553" s="455"/>
      <c r="J553" s="455"/>
    </row>
    <row r="554">
      <c r="A554" s="934"/>
      <c r="B554" s="557"/>
      <c r="C554" s="936"/>
      <c r="D554" s="439"/>
      <c r="E554" s="454"/>
      <c r="F554" s="455"/>
      <c r="G554" s="455"/>
      <c r="H554" s="455"/>
      <c r="I554" s="455"/>
      <c r="J554" s="455"/>
    </row>
    <row r="555">
      <c r="A555" s="934"/>
      <c r="B555" s="557"/>
      <c r="C555" s="936"/>
      <c r="D555" s="439"/>
      <c r="E555" s="454"/>
      <c r="F555" s="455"/>
      <c r="G555" s="455"/>
      <c r="H555" s="455"/>
      <c r="I555" s="455"/>
      <c r="J555" s="455"/>
    </row>
    <row r="556">
      <c r="A556" s="934"/>
      <c r="B556" s="557"/>
      <c r="C556" s="936"/>
      <c r="D556" s="439"/>
      <c r="E556" s="454"/>
      <c r="F556" s="455"/>
      <c r="G556" s="455"/>
      <c r="H556" s="455"/>
      <c r="I556" s="455"/>
      <c r="J556" s="455"/>
    </row>
    <row r="557">
      <c r="A557" s="934"/>
      <c r="B557" s="557"/>
      <c r="C557" s="936"/>
      <c r="D557" s="439"/>
      <c r="E557" s="454"/>
      <c r="F557" s="455"/>
      <c r="G557" s="455"/>
      <c r="H557" s="455"/>
      <c r="I557" s="455"/>
      <c r="J557" s="455"/>
    </row>
    <row r="558">
      <c r="A558" s="934"/>
      <c r="B558" s="557"/>
      <c r="C558" s="936"/>
      <c r="D558" s="439"/>
      <c r="E558" s="454"/>
      <c r="F558" s="455"/>
      <c r="G558" s="455"/>
      <c r="H558" s="455"/>
      <c r="I558" s="455"/>
      <c r="J558" s="455"/>
    </row>
    <row r="559">
      <c r="A559" s="934"/>
      <c r="B559" s="557"/>
      <c r="C559" s="936"/>
      <c r="D559" s="439"/>
      <c r="E559" s="454"/>
      <c r="F559" s="455"/>
      <c r="G559" s="455"/>
      <c r="H559" s="455"/>
      <c r="I559" s="455"/>
      <c r="J559" s="455"/>
    </row>
    <row r="560">
      <c r="A560" s="934"/>
      <c r="B560" s="557"/>
      <c r="C560" s="936"/>
      <c r="D560" s="439"/>
      <c r="E560" s="454"/>
      <c r="F560" s="455"/>
      <c r="G560" s="455"/>
      <c r="H560" s="455"/>
      <c r="I560" s="455"/>
      <c r="J560" s="455"/>
    </row>
    <row r="561">
      <c r="A561" s="934"/>
      <c r="B561" s="557"/>
      <c r="C561" s="936"/>
      <c r="D561" s="439"/>
      <c r="E561" s="454"/>
      <c r="F561" s="455"/>
      <c r="G561" s="455"/>
      <c r="H561" s="455"/>
      <c r="I561" s="455"/>
      <c r="J561" s="455"/>
    </row>
    <row r="562">
      <c r="A562" s="934"/>
      <c r="B562" s="557"/>
      <c r="C562" s="936"/>
      <c r="D562" s="439"/>
      <c r="E562" s="454"/>
      <c r="F562" s="455"/>
      <c r="G562" s="455"/>
      <c r="H562" s="455"/>
      <c r="I562" s="455"/>
      <c r="J562" s="455"/>
    </row>
    <row r="563">
      <c r="A563" s="934"/>
      <c r="B563" s="557"/>
      <c r="C563" s="936"/>
      <c r="D563" s="439"/>
      <c r="E563" s="454"/>
      <c r="F563" s="455"/>
      <c r="G563" s="455"/>
      <c r="H563" s="455"/>
      <c r="I563" s="455"/>
      <c r="J563" s="455"/>
    </row>
    <row r="564">
      <c r="A564" s="934"/>
      <c r="B564" s="557"/>
      <c r="C564" s="936"/>
      <c r="D564" s="439"/>
      <c r="E564" s="454"/>
      <c r="F564" s="455"/>
      <c r="G564" s="455"/>
      <c r="H564" s="455"/>
      <c r="I564" s="455"/>
      <c r="J564" s="455"/>
    </row>
    <row r="565">
      <c r="A565" s="934"/>
      <c r="B565" s="557"/>
      <c r="C565" s="936"/>
      <c r="D565" s="439"/>
      <c r="E565" s="454"/>
      <c r="F565" s="455"/>
      <c r="G565" s="455"/>
      <c r="H565" s="455"/>
      <c r="I565" s="455"/>
      <c r="J565" s="455"/>
    </row>
    <row r="566">
      <c r="A566" s="934"/>
      <c r="B566" s="557"/>
      <c r="C566" s="936"/>
      <c r="D566" s="439"/>
      <c r="E566" s="454"/>
      <c r="F566" s="455"/>
      <c r="G566" s="455"/>
      <c r="H566" s="455"/>
      <c r="I566" s="455"/>
      <c r="J566" s="455"/>
    </row>
    <row r="567">
      <c r="A567" s="934"/>
      <c r="B567" s="557"/>
      <c r="C567" s="936"/>
      <c r="D567" s="439"/>
      <c r="E567" s="454"/>
      <c r="F567" s="455"/>
      <c r="G567" s="455"/>
      <c r="H567" s="455"/>
      <c r="I567" s="455"/>
      <c r="J567" s="455"/>
    </row>
    <row r="568">
      <c r="A568" s="934"/>
      <c r="B568" s="557"/>
      <c r="C568" s="936"/>
      <c r="D568" s="439"/>
      <c r="E568" s="454"/>
      <c r="F568" s="455"/>
      <c r="G568" s="455"/>
      <c r="H568" s="455"/>
      <c r="I568" s="455"/>
      <c r="J568" s="455"/>
    </row>
    <row r="569">
      <c r="A569" s="934"/>
      <c r="B569" s="557"/>
      <c r="C569" s="936"/>
      <c r="D569" s="439"/>
      <c r="E569" s="454"/>
      <c r="F569" s="455"/>
      <c r="G569" s="455"/>
      <c r="H569" s="455"/>
      <c r="I569" s="455"/>
      <c r="J569" s="455"/>
    </row>
    <row r="570">
      <c r="A570" s="934"/>
      <c r="B570" s="557"/>
      <c r="C570" s="936"/>
      <c r="D570" s="439"/>
      <c r="E570" s="454"/>
      <c r="F570" s="455"/>
      <c r="G570" s="455"/>
      <c r="H570" s="455"/>
      <c r="I570" s="455"/>
      <c r="J570" s="455"/>
    </row>
    <row r="571">
      <c r="A571" s="934"/>
      <c r="B571" s="557"/>
      <c r="C571" s="936"/>
      <c r="D571" s="439"/>
      <c r="E571" s="454"/>
      <c r="F571" s="455"/>
      <c r="G571" s="455"/>
      <c r="H571" s="455"/>
      <c r="I571" s="455"/>
      <c r="J571" s="455"/>
    </row>
    <row r="572">
      <c r="A572" s="934"/>
      <c r="B572" s="557"/>
      <c r="C572" s="936"/>
      <c r="D572" s="439"/>
      <c r="E572" s="454"/>
      <c r="F572" s="455"/>
      <c r="G572" s="455"/>
      <c r="H572" s="455"/>
      <c r="I572" s="455"/>
      <c r="J572" s="455"/>
    </row>
    <row r="573">
      <c r="A573" s="934"/>
      <c r="B573" s="557"/>
      <c r="C573" s="936"/>
      <c r="D573" s="439"/>
      <c r="E573" s="454"/>
      <c r="F573" s="455"/>
      <c r="G573" s="455"/>
      <c r="H573" s="455"/>
      <c r="I573" s="455"/>
      <c r="J573" s="455"/>
    </row>
    <row r="574">
      <c r="A574" s="934"/>
      <c r="B574" s="557"/>
      <c r="C574" s="936"/>
      <c r="D574" s="439"/>
      <c r="E574" s="454"/>
      <c r="F574" s="455"/>
      <c r="G574" s="455"/>
      <c r="H574" s="455"/>
      <c r="I574" s="455"/>
      <c r="J574" s="455"/>
    </row>
    <row r="575">
      <c r="A575" s="934"/>
      <c r="B575" s="557"/>
      <c r="C575" s="936"/>
      <c r="D575" s="439"/>
      <c r="E575" s="454"/>
      <c r="F575" s="455"/>
      <c r="G575" s="455"/>
      <c r="H575" s="455"/>
      <c r="I575" s="455"/>
      <c r="J575" s="455"/>
    </row>
    <row r="576">
      <c r="A576" s="934"/>
      <c r="B576" s="557"/>
      <c r="C576" s="936"/>
      <c r="D576" s="439"/>
      <c r="E576" s="454"/>
      <c r="F576" s="455"/>
      <c r="G576" s="455"/>
      <c r="H576" s="455"/>
      <c r="I576" s="455"/>
      <c r="J576" s="455"/>
    </row>
    <row r="577">
      <c r="A577" s="934"/>
      <c r="B577" s="557"/>
      <c r="C577" s="936"/>
      <c r="D577" s="439"/>
      <c r="E577" s="454"/>
      <c r="F577" s="455"/>
      <c r="G577" s="455"/>
      <c r="H577" s="455"/>
      <c r="I577" s="455"/>
      <c r="J577" s="455"/>
    </row>
    <row r="578">
      <c r="A578" s="934"/>
      <c r="B578" s="557"/>
      <c r="C578" s="936"/>
      <c r="D578" s="439"/>
      <c r="E578" s="454"/>
      <c r="F578" s="455"/>
      <c r="G578" s="455"/>
      <c r="H578" s="455"/>
      <c r="I578" s="455"/>
      <c r="J578" s="455"/>
    </row>
    <row r="579">
      <c r="A579" s="934"/>
      <c r="B579" s="557"/>
      <c r="C579" s="936"/>
      <c r="D579" s="439"/>
      <c r="E579" s="454"/>
      <c r="F579" s="455"/>
      <c r="G579" s="455"/>
      <c r="H579" s="455"/>
      <c r="I579" s="455"/>
      <c r="J579" s="455"/>
    </row>
    <row r="580">
      <c r="A580" s="934"/>
      <c r="B580" s="557"/>
      <c r="C580" s="936"/>
      <c r="D580" s="439"/>
      <c r="E580" s="454"/>
      <c r="F580" s="455"/>
      <c r="G580" s="455"/>
      <c r="H580" s="455"/>
      <c r="I580" s="455"/>
      <c r="J580" s="455"/>
    </row>
    <row r="581">
      <c r="A581" s="934"/>
      <c r="B581" s="557"/>
      <c r="C581" s="936"/>
      <c r="D581" s="439"/>
      <c r="E581" s="454"/>
      <c r="F581" s="455"/>
      <c r="G581" s="455"/>
      <c r="H581" s="455"/>
      <c r="I581" s="455"/>
      <c r="J581" s="455"/>
    </row>
    <row r="582">
      <c r="A582" s="934"/>
      <c r="B582" s="557"/>
      <c r="C582" s="936"/>
      <c r="D582" s="439"/>
      <c r="E582" s="454"/>
      <c r="F582" s="455"/>
      <c r="G582" s="455"/>
      <c r="H582" s="455"/>
      <c r="I582" s="455"/>
      <c r="J582" s="455"/>
    </row>
    <row r="583">
      <c r="A583" s="934"/>
      <c r="B583" s="557"/>
      <c r="C583" s="936"/>
      <c r="D583" s="439"/>
      <c r="E583" s="454"/>
      <c r="F583" s="455"/>
      <c r="G583" s="455"/>
      <c r="H583" s="455"/>
      <c r="I583" s="455"/>
      <c r="J583" s="455"/>
    </row>
    <row r="584">
      <c r="A584" s="934"/>
      <c r="B584" s="557"/>
      <c r="C584" s="936"/>
      <c r="D584" s="439"/>
      <c r="E584" s="454"/>
      <c r="F584" s="455"/>
      <c r="G584" s="455"/>
      <c r="H584" s="455"/>
      <c r="I584" s="455"/>
      <c r="J584" s="455"/>
    </row>
    <row r="585">
      <c r="A585" s="934"/>
      <c r="B585" s="557"/>
      <c r="C585" s="936"/>
      <c r="D585" s="439"/>
      <c r="E585" s="454"/>
      <c r="F585" s="455"/>
      <c r="G585" s="455"/>
      <c r="H585" s="455"/>
      <c r="I585" s="455"/>
      <c r="J585" s="455"/>
    </row>
    <row r="586">
      <c r="A586" s="934"/>
      <c r="B586" s="557"/>
      <c r="C586" s="936"/>
      <c r="D586" s="439"/>
      <c r="E586" s="454"/>
      <c r="F586" s="455"/>
      <c r="G586" s="455"/>
      <c r="H586" s="455"/>
      <c r="I586" s="455"/>
      <c r="J586" s="455"/>
    </row>
    <row r="587">
      <c r="A587" s="934"/>
      <c r="B587" s="557"/>
      <c r="C587" s="936"/>
      <c r="D587" s="439"/>
      <c r="E587" s="454"/>
      <c r="F587" s="455"/>
      <c r="G587" s="455"/>
      <c r="H587" s="455"/>
      <c r="I587" s="455"/>
      <c r="J587" s="455"/>
    </row>
    <row r="588">
      <c r="A588" s="934"/>
      <c r="B588" s="557"/>
      <c r="C588" s="936"/>
      <c r="D588" s="439"/>
      <c r="E588" s="454"/>
      <c r="F588" s="455"/>
      <c r="G588" s="455"/>
      <c r="H588" s="455"/>
      <c r="I588" s="455"/>
      <c r="J588" s="455"/>
    </row>
    <row r="589">
      <c r="A589" s="934"/>
      <c r="B589" s="557"/>
      <c r="C589" s="936"/>
      <c r="D589" s="439"/>
      <c r="E589" s="454"/>
      <c r="F589" s="455"/>
      <c r="G589" s="455"/>
      <c r="H589" s="455"/>
      <c r="I589" s="455"/>
      <c r="J589" s="455"/>
    </row>
    <row r="590">
      <c r="A590" s="934"/>
      <c r="B590" s="557"/>
      <c r="C590" s="936"/>
      <c r="D590" s="439"/>
      <c r="E590" s="454"/>
      <c r="F590" s="455"/>
      <c r="G590" s="455"/>
      <c r="H590" s="455"/>
      <c r="I590" s="455"/>
      <c r="J590" s="455"/>
    </row>
    <row r="591">
      <c r="A591" s="934"/>
      <c r="B591" s="557"/>
      <c r="C591" s="936"/>
      <c r="D591" s="439"/>
      <c r="E591" s="454"/>
      <c r="F591" s="455"/>
      <c r="G591" s="455"/>
      <c r="H591" s="455"/>
      <c r="I591" s="455"/>
      <c r="J591" s="455"/>
    </row>
    <row r="592">
      <c r="A592" s="934"/>
      <c r="B592" s="557"/>
      <c r="C592" s="936"/>
      <c r="D592" s="439"/>
      <c r="E592" s="454"/>
      <c r="F592" s="455"/>
      <c r="G592" s="455"/>
      <c r="H592" s="455"/>
      <c r="I592" s="455"/>
      <c r="J592" s="455"/>
    </row>
    <row r="593">
      <c r="A593" s="934"/>
      <c r="B593" s="557"/>
      <c r="C593" s="936"/>
      <c r="D593" s="439"/>
      <c r="E593" s="454"/>
      <c r="F593" s="455"/>
      <c r="G593" s="455"/>
      <c r="H593" s="455"/>
      <c r="I593" s="455"/>
      <c r="J593" s="455"/>
    </row>
    <row r="594">
      <c r="A594" s="934"/>
      <c r="B594" s="557"/>
      <c r="C594" s="936"/>
      <c r="D594" s="439"/>
      <c r="E594" s="454"/>
      <c r="F594" s="455"/>
      <c r="G594" s="455"/>
      <c r="H594" s="455"/>
      <c r="I594" s="455"/>
      <c r="J594" s="455"/>
    </row>
    <row r="595">
      <c r="A595" s="934"/>
      <c r="B595" s="557"/>
      <c r="C595" s="936"/>
      <c r="D595" s="439"/>
      <c r="E595" s="454"/>
      <c r="F595" s="455"/>
      <c r="G595" s="455"/>
      <c r="H595" s="455"/>
      <c r="I595" s="455"/>
      <c r="J595" s="455"/>
    </row>
    <row r="596">
      <c r="A596" s="934"/>
      <c r="B596" s="557"/>
      <c r="C596" s="936"/>
      <c r="D596" s="439"/>
      <c r="E596" s="454"/>
      <c r="F596" s="455"/>
      <c r="G596" s="455"/>
      <c r="H596" s="455"/>
      <c r="I596" s="455"/>
      <c r="J596" s="455"/>
    </row>
    <row r="597">
      <c r="A597" s="934"/>
      <c r="B597" s="557"/>
      <c r="C597" s="936"/>
      <c r="D597" s="439"/>
      <c r="E597" s="454"/>
      <c r="F597" s="455"/>
      <c r="G597" s="455"/>
      <c r="H597" s="455"/>
      <c r="I597" s="455"/>
      <c r="J597" s="455"/>
    </row>
    <row r="598">
      <c r="A598" s="934"/>
      <c r="B598" s="557"/>
      <c r="C598" s="936"/>
      <c r="D598" s="439"/>
      <c r="E598" s="454"/>
      <c r="F598" s="455"/>
      <c r="G598" s="455"/>
      <c r="H598" s="455"/>
      <c r="I598" s="455"/>
      <c r="J598" s="455"/>
    </row>
    <row r="599">
      <c r="A599" s="934"/>
      <c r="B599" s="557"/>
      <c r="C599" s="936"/>
      <c r="D599" s="439"/>
      <c r="E599" s="454"/>
      <c r="F599" s="455"/>
      <c r="G599" s="455"/>
      <c r="H599" s="455"/>
      <c r="I599" s="455"/>
      <c r="J599" s="455"/>
    </row>
    <row r="600">
      <c r="A600" s="934"/>
      <c r="B600" s="557"/>
      <c r="C600" s="936"/>
      <c r="D600" s="439"/>
      <c r="E600" s="454"/>
      <c r="F600" s="455"/>
      <c r="G600" s="455"/>
      <c r="H600" s="455"/>
      <c r="I600" s="455"/>
      <c r="J600" s="455"/>
    </row>
    <row r="601">
      <c r="A601" s="934"/>
      <c r="B601" s="557"/>
      <c r="C601" s="936"/>
      <c r="D601" s="439"/>
      <c r="E601" s="454"/>
      <c r="F601" s="455"/>
      <c r="G601" s="455"/>
      <c r="H601" s="455"/>
      <c r="I601" s="455"/>
      <c r="J601" s="455"/>
    </row>
    <row r="602">
      <c r="A602" s="934"/>
      <c r="B602" s="557"/>
      <c r="C602" s="936"/>
      <c r="D602" s="439"/>
      <c r="E602" s="454"/>
      <c r="F602" s="455"/>
      <c r="G602" s="455"/>
      <c r="H602" s="455"/>
      <c r="I602" s="455"/>
      <c r="J602" s="455"/>
    </row>
    <row r="603">
      <c r="A603" s="934"/>
      <c r="B603" s="557"/>
      <c r="C603" s="936"/>
      <c r="D603" s="439"/>
      <c r="E603" s="454"/>
      <c r="F603" s="455"/>
      <c r="G603" s="455"/>
      <c r="H603" s="455"/>
      <c r="I603" s="455"/>
      <c r="J603" s="455"/>
    </row>
    <row r="604">
      <c r="A604" s="934"/>
      <c r="B604" s="557"/>
      <c r="C604" s="936"/>
      <c r="D604" s="439"/>
      <c r="E604" s="454"/>
      <c r="F604" s="455"/>
      <c r="G604" s="455"/>
      <c r="H604" s="455"/>
      <c r="I604" s="455"/>
      <c r="J604" s="455"/>
    </row>
    <row r="605">
      <c r="A605" s="934"/>
      <c r="B605" s="557"/>
      <c r="C605" s="936"/>
      <c r="D605" s="439"/>
      <c r="E605" s="454"/>
      <c r="F605" s="455"/>
      <c r="G605" s="455"/>
      <c r="H605" s="455"/>
      <c r="I605" s="455"/>
      <c r="J605" s="455"/>
    </row>
    <row r="606">
      <c r="A606" s="934"/>
      <c r="B606" s="557"/>
      <c r="C606" s="936"/>
      <c r="D606" s="439"/>
      <c r="E606" s="454"/>
      <c r="F606" s="455"/>
      <c r="G606" s="455"/>
      <c r="H606" s="455"/>
      <c r="I606" s="455"/>
      <c r="J606" s="455"/>
    </row>
    <row r="607">
      <c r="A607" s="934"/>
      <c r="B607" s="557"/>
      <c r="C607" s="936"/>
      <c r="D607" s="439"/>
      <c r="E607" s="454"/>
      <c r="F607" s="455"/>
      <c r="G607" s="455"/>
      <c r="H607" s="455"/>
      <c r="I607" s="455"/>
      <c r="J607" s="455"/>
    </row>
    <row r="608">
      <c r="A608" s="934"/>
      <c r="B608" s="557"/>
      <c r="C608" s="936"/>
      <c r="D608" s="439"/>
      <c r="E608" s="454"/>
      <c r="F608" s="455"/>
      <c r="G608" s="455"/>
      <c r="H608" s="455"/>
      <c r="I608" s="455"/>
      <c r="J608" s="455"/>
    </row>
    <row r="609">
      <c r="A609" s="934"/>
      <c r="B609" s="557"/>
      <c r="C609" s="936"/>
      <c r="D609" s="439"/>
      <c r="E609" s="454"/>
      <c r="F609" s="455"/>
      <c r="G609" s="455"/>
      <c r="H609" s="455"/>
      <c r="I609" s="455"/>
      <c r="J609" s="455"/>
    </row>
    <row r="610">
      <c r="A610" s="934"/>
      <c r="B610" s="557"/>
      <c r="C610" s="936"/>
      <c r="D610" s="439"/>
      <c r="E610" s="454"/>
      <c r="F610" s="455"/>
      <c r="G610" s="455"/>
      <c r="H610" s="455"/>
      <c r="I610" s="455"/>
      <c r="J610" s="455"/>
    </row>
    <row r="611">
      <c r="A611" s="934"/>
      <c r="B611" s="557"/>
      <c r="C611" s="936"/>
      <c r="D611" s="439"/>
      <c r="E611" s="454"/>
      <c r="F611" s="455"/>
      <c r="G611" s="455"/>
      <c r="H611" s="455"/>
      <c r="I611" s="455"/>
      <c r="J611" s="455"/>
    </row>
    <row r="612">
      <c r="A612" s="934"/>
      <c r="B612" s="557"/>
      <c r="C612" s="936"/>
      <c r="D612" s="439"/>
      <c r="E612" s="454"/>
      <c r="F612" s="455"/>
      <c r="G612" s="455"/>
      <c r="H612" s="455"/>
      <c r="I612" s="455"/>
      <c r="J612" s="455"/>
    </row>
    <row r="613">
      <c r="A613" s="934"/>
      <c r="B613" s="557"/>
      <c r="C613" s="936"/>
      <c r="D613" s="439"/>
      <c r="E613" s="454"/>
      <c r="F613" s="455"/>
      <c r="G613" s="455"/>
      <c r="H613" s="455"/>
      <c r="I613" s="455"/>
      <c r="J613" s="455"/>
    </row>
    <row r="614">
      <c r="A614" s="934"/>
      <c r="B614" s="557"/>
      <c r="C614" s="936"/>
      <c r="D614" s="439"/>
      <c r="E614" s="454"/>
      <c r="F614" s="455"/>
      <c r="G614" s="455"/>
      <c r="H614" s="455"/>
      <c r="I614" s="455"/>
      <c r="J614" s="455"/>
    </row>
    <row r="615">
      <c r="A615" s="934"/>
      <c r="B615" s="557"/>
      <c r="C615" s="936"/>
      <c r="D615" s="439"/>
      <c r="E615" s="454"/>
      <c r="F615" s="455"/>
      <c r="G615" s="455"/>
      <c r="H615" s="455"/>
      <c r="I615" s="455"/>
      <c r="J615" s="455"/>
    </row>
    <row r="616">
      <c r="A616" s="934"/>
      <c r="B616" s="557"/>
      <c r="C616" s="936"/>
      <c r="D616" s="439"/>
      <c r="E616" s="454"/>
      <c r="F616" s="455"/>
      <c r="G616" s="455"/>
      <c r="H616" s="455"/>
      <c r="I616" s="455"/>
      <c r="J616" s="455"/>
    </row>
    <row r="617">
      <c r="A617" s="934"/>
      <c r="B617" s="557"/>
      <c r="C617" s="936"/>
      <c r="D617" s="439"/>
      <c r="E617" s="454"/>
      <c r="F617" s="455"/>
      <c r="G617" s="455"/>
      <c r="H617" s="455"/>
      <c r="I617" s="455"/>
      <c r="J617" s="455"/>
    </row>
    <row r="618">
      <c r="A618" s="934"/>
      <c r="B618" s="557"/>
      <c r="C618" s="936"/>
      <c r="D618" s="439"/>
      <c r="E618" s="454"/>
      <c r="F618" s="455"/>
      <c r="G618" s="455"/>
      <c r="H618" s="455"/>
      <c r="I618" s="455"/>
      <c r="J618" s="455"/>
    </row>
    <row r="619">
      <c r="A619" s="934"/>
      <c r="B619" s="557"/>
      <c r="C619" s="936"/>
      <c r="D619" s="439"/>
      <c r="E619" s="454"/>
      <c r="F619" s="455"/>
      <c r="G619" s="455"/>
      <c r="H619" s="455"/>
      <c r="I619" s="455"/>
      <c r="J619" s="455"/>
    </row>
    <row r="620">
      <c r="A620" s="934"/>
      <c r="B620" s="557"/>
      <c r="C620" s="936"/>
      <c r="D620" s="439"/>
      <c r="E620" s="454"/>
      <c r="F620" s="455"/>
      <c r="G620" s="455"/>
      <c r="H620" s="455"/>
      <c r="I620" s="455"/>
      <c r="J620" s="455"/>
    </row>
    <row r="621">
      <c r="A621" s="934"/>
      <c r="B621" s="557"/>
      <c r="C621" s="936"/>
      <c r="D621" s="439"/>
      <c r="E621" s="454"/>
      <c r="F621" s="455"/>
      <c r="G621" s="455"/>
      <c r="H621" s="455"/>
      <c r="I621" s="455"/>
      <c r="J621" s="455"/>
    </row>
    <row r="622">
      <c r="A622" s="934"/>
      <c r="B622" s="557"/>
      <c r="C622" s="936"/>
      <c r="D622" s="439"/>
      <c r="E622" s="454"/>
      <c r="F622" s="455"/>
      <c r="G622" s="455"/>
      <c r="H622" s="455"/>
      <c r="I622" s="455"/>
      <c r="J622" s="455"/>
    </row>
    <row r="623">
      <c r="A623" s="934"/>
      <c r="B623" s="557"/>
      <c r="C623" s="936"/>
      <c r="D623" s="439"/>
      <c r="E623" s="454"/>
      <c r="F623" s="455"/>
      <c r="G623" s="455"/>
      <c r="H623" s="455"/>
      <c r="I623" s="455"/>
      <c r="J623" s="455"/>
    </row>
    <row r="624">
      <c r="A624" s="934"/>
      <c r="B624" s="557"/>
      <c r="C624" s="936"/>
      <c r="D624" s="439"/>
      <c r="E624" s="454"/>
      <c r="F624" s="455"/>
      <c r="G624" s="455"/>
      <c r="H624" s="455"/>
      <c r="I624" s="455"/>
      <c r="J624" s="455"/>
    </row>
    <row r="625">
      <c r="A625" s="934"/>
      <c r="B625" s="557"/>
      <c r="C625" s="936"/>
      <c r="D625" s="439"/>
      <c r="E625" s="454"/>
      <c r="F625" s="455"/>
      <c r="G625" s="455"/>
      <c r="H625" s="455"/>
      <c r="I625" s="455"/>
      <c r="J625" s="455"/>
    </row>
    <row r="626">
      <c r="A626" s="934"/>
      <c r="B626" s="557"/>
      <c r="C626" s="936"/>
      <c r="D626" s="439"/>
      <c r="E626" s="454"/>
      <c r="F626" s="455"/>
      <c r="G626" s="455"/>
      <c r="H626" s="455"/>
      <c r="I626" s="455"/>
      <c r="J626" s="455"/>
    </row>
    <row r="627">
      <c r="A627" s="934"/>
      <c r="B627" s="557"/>
      <c r="C627" s="936"/>
      <c r="D627" s="439"/>
      <c r="E627" s="454"/>
      <c r="F627" s="455"/>
      <c r="G627" s="455"/>
      <c r="H627" s="455"/>
      <c r="I627" s="455"/>
      <c r="J627" s="455"/>
    </row>
    <row r="628">
      <c r="A628" s="934"/>
      <c r="B628" s="557"/>
      <c r="C628" s="936"/>
      <c r="D628" s="439"/>
      <c r="E628" s="454"/>
      <c r="F628" s="455"/>
      <c r="G628" s="455"/>
      <c r="H628" s="455"/>
      <c r="I628" s="455"/>
      <c r="J628" s="455"/>
    </row>
    <row r="629">
      <c r="A629" s="934"/>
      <c r="B629" s="557"/>
      <c r="C629" s="936"/>
      <c r="D629" s="439"/>
      <c r="E629" s="454"/>
      <c r="F629" s="455"/>
      <c r="G629" s="455"/>
      <c r="H629" s="455"/>
      <c r="I629" s="455"/>
      <c r="J629" s="455"/>
    </row>
    <row r="630">
      <c r="A630" s="934"/>
      <c r="B630" s="557"/>
      <c r="C630" s="936"/>
      <c r="D630" s="439"/>
      <c r="E630" s="454"/>
      <c r="F630" s="455"/>
      <c r="G630" s="455"/>
      <c r="H630" s="455"/>
      <c r="I630" s="455"/>
      <c r="J630" s="455"/>
    </row>
    <row r="631">
      <c r="A631" s="934"/>
      <c r="B631" s="557"/>
      <c r="C631" s="936"/>
      <c r="D631" s="439"/>
      <c r="E631" s="454"/>
      <c r="F631" s="455"/>
      <c r="G631" s="455"/>
      <c r="H631" s="455"/>
      <c r="I631" s="455"/>
      <c r="J631" s="455"/>
    </row>
    <row r="632">
      <c r="A632" s="934"/>
      <c r="B632" s="557"/>
      <c r="C632" s="936"/>
      <c r="D632" s="439"/>
      <c r="E632" s="454"/>
      <c r="F632" s="455"/>
      <c r="G632" s="455"/>
      <c r="H632" s="455"/>
      <c r="I632" s="455"/>
      <c r="J632" s="455"/>
    </row>
    <row r="633">
      <c r="A633" s="934"/>
      <c r="B633" s="557"/>
      <c r="C633" s="936"/>
      <c r="D633" s="439"/>
      <c r="E633" s="454"/>
      <c r="F633" s="455"/>
      <c r="G633" s="455"/>
      <c r="H633" s="455"/>
      <c r="I633" s="455"/>
      <c r="J633" s="455"/>
    </row>
    <row r="634">
      <c r="A634" s="934"/>
      <c r="B634" s="557"/>
      <c r="C634" s="936"/>
      <c r="D634" s="439"/>
      <c r="E634" s="454"/>
      <c r="F634" s="455"/>
      <c r="G634" s="455"/>
      <c r="H634" s="455"/>
      <c r="I634" s="455"/>
      <c r="J634" s="455"/>
    </row>
    <row r="635">
      <c r="A635" s="934"/>
      <c r="B635" s="557"/>
      <c r="C635" s="936"/>
      <c r="D635" s="439"/>
      <c r="E635" s="454"/>
      <c r="F635" s="455"/>
      <c r="G635" s="455"/>
      <c r="H635" s="455"/>
      <c r="I635" s="455"/>
      <c r="J635" s="455"/>
    </row>
    <row r="636">
      <c r="A636" s="934"/>
      <c r="B636" s="557"/>
      <c r="C636" s="936"/>
      <c r="D636" s="439"/>
      <c r="E636" s="454"/>
      <c r="F636" s="455"/>
      <c r="G636" s="455"/>
      <c r="H636" s="455"/>
      <c r="I636" s="455"/>
      <c r="J636" s="455"/>
    </row>
    <row r="637">
      <c r="A637" s="934"/>
      <c r="B637" s="557"/>
      <c r="C637" s="936"/>
      <c r="D637" s="439"/>
      <c r="E637" s="454"/>
      <c r="F637" s="455"/>
      <c r="G637" s="455"/>
      <c r="H637" s="455"/>
      <c r="I637" s="455"/>
      <c r="J637" s="455"/>
    </row>
    <row r="638">
      <c r="A638" s="934"/>
      <c r="B638" s="557"/>
      <c r="C638" s="936"/>
      <c r="D638" s="439"/>
      <c r="E638" s="454"/>
      <c r="F638" s="455"/>
      <c r="G638" s="455"/>
      <c r="H638" s="455"/>
      <c r="I638" s="455"/>
      <c r="J638" s="455"/>
    </row>
    <row r="639">
      <c r="A639" s="934"/>
      <c r="B639" s="557"/>
      <c r="C639" s="936"/>
      <c r="D639" s="439"/>
      <c r="E639" s="454"/>
      <c r="F639" s="455"/>
      <c r="G639" s="455"/>
      <c r="H639" s="455"/>
      <c r="I639" s="455"/>
      <c r="J639" s="455"/>
    </row>
    <row r="640">
      <c r="A640" s="934"/>
      <c r="B640" s="557"/>
      <c r="C640" s="936"/>
      <c r="D640" s="439"/>
      <c r="E640" s="454"/>
      <c r="F640" s="455"/>
      <c r="G640" s="455"/>
      <c r="H640" s="455"/>
      <c r="I640" s="455"/>
      <c r="J640" s="455"/>
    </row>
    <row r="641">
      <c r="A641" s="934"/>
      <c r="B641" s="557"/>
      <c r="C641" s="936"/>
      <c r="D641" s="439"/>
      <c r="E641" s="454"/>
      <c r="F641" s="455"/>
      <c r="G641" s="455"/>
      <c r="H641" s="455"/>
      <c r="I641" s="455"/>
      <c r="J641" s="455"/>
    </row>
    <row r="642">
      <c r="A642" s="934"/>
      <c r="B642" s="557"/>
      <c r="C642" s="936"/>
      <c r="D642" s="439"/>
      <c r="E642" s="454"/>
      <c r="F642" s="455"/>
      <c r="G642" s="455"/>
      <c r="H642" s="455"/>
      <c r="I642" s="455"/>
      <c r="J642" s="455"/>
    </row>
    <row r="643">
      <c r="A643" s="934"/>
      <c r="B643" s="557"/>
      <c r="C643" s="936"/>
      <c r="D643" s="439"/>
      <c r="E643" s="454"/>
      <c r="F643" s="455"/>
      <c r="G643" s="455"/>
      <c r="H643" s="455"/>
      <c r="I643" s="455"/>
      <c r="J643" s="455"/>
    </row>
    <row r="644">
      <c r="A644" s="934"/>
      <c r="B644" s="557"/>
      <c r="C644" s="936"/>
      <c r="D644" s="439"/>
      <c r="E644" s="454"/>
      <c r="F644" s="455"/>
      <c r="G644" s="455"/>
      <c r="H644" s="455"/>
      <c r="I644" s="455"/>
      <c r="J644" s="455"/>
    </row>
    <row r="645">
      <c r="A645" s="934"/>
      <c r="B645" s="557"/>
      <c r="C645" s="936"/>
      <c r="D645" s="439"/>
      <c r="E645" s="454"/>
      <c r="F645" s="455"/>
      <c r="G645" s="455"/>
      <c r="H645" s="455"/>
      <c r="I645" s="455"/>
      <c r="J645" s="455"/>
    </row>
    <row r="646">
      <c r="A646" s="934"/>
      <c r="B646" s="557"/>
      <c r="C646" s="936"/>
      <c r="D646" s="439"/>
      <c r="E646" s="454"/>
      <c r="F646" s="455"/>
      <c r="G646" s="455"/>
      <c r="H646" s="455"/>
      <c r="I646" s="455"/>
      <c r="J646" s="455"/>
    </row>
    <row r="647">
      <c r="A647" s="934"/>
      <c r="B647" s="557"/>
      <c r="C647" s="936"/>
      <c r="D647" s="439"/>
      <c r="E647" s="454"/>
      <c r="F647" s="455"/>
      <c r="G647" s="455"/>
      <c r="H647" s="455"/>
      <c r="I647" s="455"/>
      <c r="J647" s="455"/>
    </row>
    <row r="648">
      <c r="A648" s="934"/>
      <c r="B648" s="557"/>
      <c r="C648" s="936"/>
      <c r="D648" s="439"/>
      <c r="E648" s="454"/>
      <c r="F648" s="455"/>
      <c r="G648" s="455"/>
      <c r="H648" s="455"/>
      <c r="I648" s="455"/>
      <c r="J648" s="455"/>
    </row>
    <row r="649">
      <c r="A649" s="934"/>
      <c r="B649" s="557"/>
      <c r="C649" s="936"/>
      <c r="D649" s="439"/>
      <c r="E649" s="454"/>
      <c r="F649" s="455"/>
      <c r="G649" s="455"/>
      <c r="H649" s="455"/>
      <c r="I649" s="455"/>
      <c r="J649" s="455"/>
    </row>
    <row r="650">
      <c r="A650" s="934"/>
      <c r="B650" s="557"/>
      <c r="C650" s="936"/>
      <c r="D650" s="439"/>
      <c r="E650" s="454"/>
      <c r="F650" s="455"/>
      <c r="G650" s="455"/>
      <c r="H650" s="455"/>
      <c r="I650" s="455"/>
      <c r="J650" s="455"/>
    </row>
    <row r="651">
      <c r="A651" s="934"/>
      <c r="B651" s="557"/>
      <c r="C651" s="936"/>
      <c r="D651" s="439"/>
      <c r="E651" s="454"/>
      <c r="F651" s="455"/>
      <c r="G651" s="455"/>
      <c r="H651" s="455"/>
      <c r="I651" s="455"/>
      <c r="J651" s="455"/>
    </row>
    <row r="652">
      <c r="A652" s="934"/>
      <c r="B652" s="557"/>
      <c r="C652" s="936"/>
      <c r="D652" s="439"/>
      <c r="E652" s="454"/>
      <c r="F652" s="455"/>
      <c r="G652" s="455"/>
      <c r="H652" s="455"/>
      <c r="I652" s="455"/>
      <c r="J652" s="455"/>
    </row>
    <row r="653">
      <c r="A653" s="934"/>
      <c r="B653" s="557"/>
      <c r="C653" s="936"/>
      <c r="D653" s="439"/>
      <c r="E653" s="454"/>
      <c r="F653" s="455"/>
      <c r="G653" s="455"/>
      <c r="H653" s="455"/>
      <c r="I653" s="455"/>
      <c r="J653" s="455"/>
    </row>
    <row r="654">
      <c r="A654" s="934"/>
      <c r="B654" s="557"/>
      <c r="C654" s="936"/>
      <c r="D654" s="439"/>
      <c r="E654" s="454"/>
      <c r="F654" s="455"/>
      <c r="G654" s="455"/>
      <c r="H654" s="455"/>
      <c r="I654" s="455"/>
      <c r="J654" s="455"/>
    </row>
    <row r="655">
      <c r="A655" s="934"/>
      <c r="B655" s="557"/>
      <c r="C655" s="936"/>
      <c r="D655" s="439"/>
      <c r="E655" s="454"/>
      <c r="F655" s="455"/>
      <c r="G655" s="455"/>
      <c r="H655" s="455"/>
      <c r="I655" s="455"/>
      <c r="J655" s="455"/>
    </row>
    <row r="656">
      <c r="A656" s="934"/>
      <c r="B656" s="557"/>
      <c r="C656" s="936"/>
      <c r="D656" s="439"/>
      <c r="E656" s="454"/>
      <c r="F656" s="455"/>
      <c r="G656" s="455"/>
      <c r="H656" s="455"/>
      <c r="I656" s="455"/>
      <c r="J656" s="455"/>
    </row>
    <row r="657">
      <c r="A657" s="934"/>
      <c r="B657" s="557"/>
      <c r="C657" s="936"/>
      <c r="D657" s="439"/>
      <c r="E657" s="454"/>
      <c r="F657" s="455"/>
      <c r="G657" s="455"/>
      <c r="H657" s="455"/>
      <c r="I657" s="455"/>
      <c r="J657" s="455"/>
    </row>
    <row r="658">
      <c r="A658" s="934"/>
      <c r="B658" s="557"/>
      <c r="C658" s="936"/>
      <c r="D658" s="439"/>
      <c r="E658" s="454"/>
      <c r="F658" s="455"/>
      <c r="G658" s="455"/>
      <c r="H658" s="455"/>
      <c r="I658" s="455"/>
      <c r="J658" s="455"/>
    </row>
    <row r="659">
      <c r="A659" s="934"/>
      <c r="B659" s="557"/>
      <c r="C659" s="936"/>
      <c r="D659" s="439"/>
      <c r="E659" s="454"/>
      <c r="F659" s="455"/>
      <c r="G659" s="455"/>
      <c r="H659" s="455"/>
      <c r="I659" s="455"/>
      <c r="J659" s="455"/>
    </row>
    <row r="660">
      <c r="A660" s="934"/>
      <c r="B660" s="955"/>
      <c r="C660" s="936"/>
      <c r="D660" s="439"/>
      <c r="E660" s="454"/>
      <c r="F660" s="455"/>
      <c r="G660" s="455"/>
      <c r="H660" s="455"/>
      <c r="I660" s="455"/>
      <c r="J660" s="455"/>
    </row>
    <row r="661">
      <c r="A661" s="934"/>
      <c r="B661" s="557"/>
      <c r="C661" s="936"/>
      <c r="D661" s="439"/>
      <c r="E661" s="454"/>
      <c r="F661" s="455"/>
      <c r="G661" s="455"/>
      <c r="H661" s="455"/>
      <c r="I661" s="455"/>
      <c r="J661" s="455"/>
    </row>
    <row r="662">
      <c r="A662" s="934"/>
      <c r="B662" s="557"/>
      <c r="C662" s="936"/>
      <c r="D662" s="439"/>
      <c r="E662" s="454"/>
      <c r="F662" s="455"/>
      <c r="G662" s="455"/>
      <c r="H662" s="455"/>
      <c r="I662" s="455"/>
      <c r="J662" s="455"/>
    </row>
    <row r="663">
      <c r="A663" s="934"/>
      <c r="B663" s="557"/>
      <c r="C663" s="936"/>
      <c r="D663" s="439"/>
      <c r="E663" s="454"/>
      <c r="F663" s="455"/>
      <c r="G663" s="455"/>
      <c r="H663" s="455"/>
      <c r="I663" s="455"/>
      <c r="J663" s="455"/>
    </row>
    <row r="664">
      <c r="A664" s="934"/>
      <c r="B664" s="557"/>
      <c r="C664" s="936"/>
      <c r="D664" s="439"/>
      <c r="E664" s="454"/>
      <c r="F664" s="455"/>
      <c r="G664" s="455"/>
      <c r="H664" s="455"/>
      <c r="I664" s="455"/>
      <c r="J664" s="455"/>
    </row>
    <row r="665">
      <c r="A665" s="934"/>
      <c r="B665" s="557"/>
      <c r="C665" s="936"/>
      <c r="D665" s="439"/>
      <c r="E665" s="454"/>
      <c r="F665" s="455"/>
      <c r="G665" s="455"/>
      <c r="H665" s="455"/>
      <c r="I665" s="455"/>
      <c r="J665" s="455"/>
    </row>
    <row r="666">
      <c r="A666" s="934"/>
      <c r="B666" s="557"/>
      <c r="C666" s="936"/>
      <c r="D666" s="439"/>
      <c r="E666" s="454"/>
      <c r="F666" s="455"/>
      <c r="G666" s="455"/>
      <c r="H666" s="455"/>
      <c r="I666" s="455"/>
      <c r="J666" s="455"/>
    </row>
    <row r="667">
      <c r="A667" s="934"/>
      <c r="B667" s="557"/>
      <c r="C667" s="936"/>
      <c r="D667" s="439"/>
      <c r="E667" s="454"/>
      <c r="F667" s="455"/>
      <c r="G667" s="455"/>
      <c r="H667" s="455"/>
      <c r="I667" s="455"/>
      <c r="J667" s="455"/>
    </row>
    <row r="668">
      <c r="A668" s="934"/>
      <c r="B668" s="557"/>
      <c r="C668" s="936"/>
      <c r="D668" s="439"/>
      <c r="E668" s="454"/>
      <c r="F668" s="455"/>
      <c r="G668" s="455"/>
      <c r="H668" s="455"/>
      <c r="I668" s="455"/>
      <c r="J668" s="455"/>
    </row>
    <row r="669">
      <c r="A669" s="934"/>
      <c r="B669" s="557"/>
      <c r="C669" s="936"/>
      <c r="D669" s="439"/>
      <c r="E669" s="454"/>
      <c r="F669" s="455"/>
      <c r="G669" s="455"/>
      <c r="H669" s="455"/>
      <c r="I669" s="455"/>
      <c r="J669" s="455"/>
    </row>
    <row r="670">
      <c r="A670" s="934"/>
      <c r="B670" s="557"/>
      <c r="C670" s="936"/>
      <c r="D670" s="439"/>
      <c r="E670" s="454"/>
      <c r="F670" s="455"/>
      <c r="G670" s="455"/>
      <c r="H670" s="455"/>
      <c r="I670" s="455"/>
      <c r="J670" s="455"/>
    </row>
    <row r="671">
      <c r="A671" s="934"/>
      <c r="B671" s="557"/>
      <c r="C671" s="936"/>
      <c r="D671" s="439"/>
      <c r="E671" s="454"/>
      <c r="F671" s="455"/>
      <c r="G671" s="455"/>
      <c r="H671" s="455"/>
      <c r="I671" s="455"/>
      <c r="J671" s="455"/>
    </row>
    <row r="672">
      <c r="A672" s="934"/>
      <c r="B672" s="557"/>
      <c r="C672" s="936"/>
      <c r="D672" s="439"/>
      <c r="E672" s="454"/>
      <c r="F672" s="455"/>
      <c r="G672" s="455"/>
      <c r="H672" s="455"/>
      <c r="I672" s="455"/>
      <c r="J672" s="455"/>
    </row>
    <row r="673">
      <c r="A673" s="934"/>
      <c r="B673" s="557"/>
      <c r="C673" s="936"/>
      <c r="D673" s="439"/>
      <c r="E673" s="454"/>
      <c r="F673" s="455"/>
      <c r="G673" s="455"/>
      <c r="H673" s="455"/>
      <c r="I673" s="455"/>
      <c r="J673" s="455"/>
    </row>
    <row r="674">
      <c r="A674" s="934"/>
      <c r="B674" s="557"/>
      <c r="C674" s="936"/>
      <c r="D674" s="439"/>
      <c r="E674" s="454"/>
      <c r="F674" s="455"/>
      <c r="G674" s="455"/>
      <c r="H674" s="455"/>
      <c r="I674" s="455"/>
      <c r="J674" s="455"/>
    </row>
    <row r="675">
      <c r="A675" s="934"/>
      <c r="B675" s="557"/>
      <c r="C675" s="936"/>
      <c r="D675" s="439"/>
      <c r="E675" s="454"/>
      <c r="F675" s="455"/>
      <c r="G675" s="455"/>
      <c r="H675" s="455"/>
      <c r="I675" s="455"/>
      <c r="J675" s="455"/>
    </row>
    <row r="676">
      <c r="A676" s="934"/>
      <c r="B676" s="557"/>
      <c r="C676" s="936"/>
      <c r="D676" s="439"/>
      <c r="E676" s="454"/>
      <c r="F676" s="455"/>
      <c r="G676" s="455"/>
      <c r="H676" s="455"/>
      <c r="I676" s="455"/>
      <c r="J676" s="455"/>
    </row>
    <row r="677">
      <c r="A677" s="934"/>
      <c r="B677" s="557"/>
      <c r="C677" s="936"/>
      <c r="D677" s="439"/>
      <c r="E677" s="454"/>
      <c r="F677" s="455"/>
      <c r="G677" s="455"/>
      <c r="H677" s="455"/>
      <c r="I677" s="455"/>
      <c r="J677" s="455"/>
    </row>
    <row r="678">
      <c r="A678" s="934"/>
      <c r="B678" s="557"/>
      <c r="C678" s="936"/>
      <c r="D678" s="439"/>
      <c r="E678" s="454"/>
      <c r="F678" s="455"/>
      <c r="G678" s="455"/>
      <c r="H678" s="455"/>
      <c r="I678" s="455"/>
      <c r="J678" s="455"/>
    </row>
    <row r="679">
      <c r="A679" s="934"/>
      <c r="B679" s="557"/>
      <c r="C679" s="936"/>
      <c r="D679" s="439"/>
      <c r="E679" s="454"/>
      <c r="F679" s="455"/>
      <c r="G679" s="455"/>
      <c r="H679" s="455"/>
      <c r="I679" s="455"/>
      <c r="J679" s="455"/>
    </row>
    <row r="680">
      <c r="A680" s="934"/>
      <c r="B680" s="557"/>
      <c r="C680" s="936"/>
      <c r="D680" s="439"/>
      <c r="E680" s="454"/>
      <c r="F680" s="455"/>
      <c r="G680" s="455"/>
      <c r="H680" s="455"/>
      <c r="I680" s="455"/>
      <c r="J680" s="455"/>
    </row>
    <row r="681">
      <c r="A681" s="934"/>
      <c r="B681" s="557"/>
      <c r="C681" s="936"/>
      <c r="D681" s="439"/>
      <c r="E681" s="454"/>
      <c r="F681" s="455"/>
      <c r="G681" s="455"/>
      <c r="H681" s="455"/>
      <c r="I681" s="455"/>
      <c r="J681" s="455"/>
    </row>
    <row r="682">
      <c r="A682" s="934"/>
      <c r="B682" s="557"/>
      <c r="C682" s="936"/>
      <c r="D682" s="439"/>
      <c r="E682" s="454"/>
      <c r="F682" s="455"/>
      <c r="G682" s="455"/>
      <c r="H682" s="455"/>
      <c r="I682" s="455"/>
      <c r="J682" s="455"/>
    </row>
    <row r="683">
      <c r="A683" s="934"/>
      <c r="B683" s="557"/>
      <c r="C683" s="936"/>
      <c r="D683" s="439"/>
      <c r="E683" s="454"/>
      <c r="F683" s="455"/>
      <c r="G683" s="455"/>
      <c r="H683" s="455"/>
      <c r="I683" s="455"/>
      <c r="J683" s="455"/>
    </row>
    <row r="684">
      <c r="A684" s="934"/>
      <c r="B684" s="557"/>
      <c r="C684" s="936"/>
      <c r="D684" s="439"/>
      <c r="E684" s="454"/>
      <c r="F684" s="455"/>
      <c r="G684" s="455"/>
      <c r="H684" s="455"/>
      <c r="I684" s="455"/>
      <c r="J684" s="455"/>
    </row>
    <row r="685">
      <c r="A685" s="934"/>
      <c r="B685" s="557"/>
      <c r="C685" s="936"/>
      <c r="D685" s="439"/>
      <c r="E685" s="454"/>
      <c r="F685" s="455"/>
      <c r="G685" s="455"/>
      <c r="H685" s="455"/>
      <c r="I685" s="455"/>
      <c r="J685" s="455"/>
    </row>
    <row r="686">
      <c r="A686" s="934"/>
      <c r="B686" s="557"/>
      <c r="C686" s="936"/>
      <c r="D686" s="439"/>
      <c r="E686" s="454"/>
      <c r="F686" s="455"/>
      <c r="G686" s="455"/>
      <c r="H686" s="455"/>
      <c r="I686" s="455"/>
      <c r="J686" s="455"/>
    </row>
    <row r="687">
      <c r="A687" s="934"/>
      <c r="B687" s="557"/>
      <c r="C687" s="936"/>
      <c r="D687" s="439"/>
      <c r="E687" s="454"/>
      <c r="F687" s="455"/>
      <c r="G687" s="455"/>
      <c r="H687" s="455"/>
      <c r="I687" s="455"/>
      <c r="J687" s="455"/>
    </row>
    <row r="688">
      <c r="A688" s="934"/>
      <c r="B688" s="557"/>
      <c r="C688" s="936"/>
      <c r="D688" s="439"/>
      <c r="E688" s="454"/>
      <c r="F688" s="455"/>
      <c r="G688" s="455"/>
      <c r="H688" s="455"/>
      <c r="I688" s="455"/>
      <c r="J688" s="455"/>
    </row>
    <row r="689">
      <c r="A689" s="934"/>
      <c r="B689" s="557"/>
      <c r="C689" s="936"/>
      <c r="D689" s="439"/>
      <c r="E689" s="454"/>
      <c r="F689" s="455"/>
      <c r="G689" s="455"/>
      <c r="H689" s="455"/>
      <c r="I689" s="455"/>
      <c r="J689" s="455"/>
    </row>
    <row r="690">
      <c r="A690" s="934"/>
      <c r="B690" s="557"/>
      <c r="C690" s="936"/>
      <c r="D690" s="439"/>
      <c r="E690" s="454"/>
      <c r="F690" s="455"/>
      <c r="G690" s="455"/>
      <c r="H690" s="455"/>
      <c r="I690" s="455"/>
      <c r="J690" s="455"/>
    </row>
    <row r="691">
      <c r="A691" s="934"/>
      <c r="B691" s="557"/>
      <c r="C691" s="936"/>
      <c r="D691" s="439"/>
      <c r="E691" s="454"/>
      <c r="F691" s="455"/>
      <c r="G691" s="455"/>
      <c r="H691" s="455"/>
      <c r="I691" s="455"/>
      <c r="J691" s="455"/>
    </row>
    <row r="692">
      <c r="A692" s="934"/>
      <c r="B692" s="557"/>
      <c r="C692" s="936"/>
      <c r="D692" s="439"/>
      <c r="E692" s="454"/>
      <c r="F692" s="455"/>
      <c r="G692" s="455"/>
      <c r="H692" s="455"/>
      <c r="I692" s="455"/>
      <c r="J692" s="455"/>
    </row>
    <row r="693">
      <c r="A693" s="934"/>
      <c r="B693" s="557"/>
      <c r="C693" s="936"/>
      <c r="D693" s="439"/>
      <c r="E693" s="454"/>
      <c r="F693" s="455"/>
      <c r="G693" s="455"/>
      <c r="H693" s="455"/>
      <c r="I693" s="455"/>
      <c r="J693" s="455"/>
    </row>
    <row r="694">
      <c r="A694" s="934"/>
      <c r="B694" s="557"/>
      <c r="C694" s="936"/>
      <c r="D694" s="439"/>
      <c r="E694" s="454"/>
      <c r="F694" s="455"/>
      <c r="G694" s="455"/>
      <c r="H694" s="455"/>
      <c r="I694" s="455"/>
      <c r="J694" s="455"/>
    </row>
    <row r="695">
      <c r="A695" s="934"/>
      <c r="B695" s="557"/>
      <c r="C695" s="936"/>
      <c r="D695" s="439"/>
      <c r="E695" s="454"/>
      <c r="F695" s="455"/>
      <c r="G695" s="455"/>
      <c r="H695" s="455"/>
      <c r="I695" s="455"/>
      <c r="J695" s="455"/>
    </row>
    <row r="696">
      <c r="A696" s="934"/>
      <c r="B696" s="557"/>
      <c r="C696" s="936"/>
      <c r="D696" s="439"/>
      <c r="E696" s="454"/>
      <c r="F696" s="455"/>
      <c r="G696" s="455"/>
      <c r="H696" s="455"/>
      <c r="I696" s="455"/>
      <c r="J696" s="455"/>
    </row>
    <row r="697">
      <c r="A697" s="934"/>
      <c r="B697" s="557"/>
      <c r="C697" s="936"/>
      <c r="D697" s="439"/>
      <c r="E697" s="454"/>
      <c r="F697" s="455"/>
      <c r="G697" s="455"/>
      <c r="H697" s="455"/>
      <c r="I697" s="455"/>
      <c r="J697" s="455"/>
    </row>
    <row r="698">
      <c r="A698" s="934"/>
      <c r="B698" s="955"/>
      <c r="C698" s="936"/>
      <c r="D698" s="439"/>
      <c r="E698" s="454"/>
      <c r="F698" s="455"/>
      <c r="G698" s="455"/>
      <c r="H698" s="455"/>
      <c r="I698" s="455"/>
      <c r="J698" s="455"/>
    </row>
    <row r="699">
      <c r="A699" s="934"/>
      <c r="B699" s="557"/>
      <c r="C699" s="936"/>
      <c r="D699" s="439"/>
      <c r="E699" s="454"/>
      <c r="F699" s="455"/>
      <c r="G699" s="455"/>
      <c r="H699" s="455"/>
      <c r="I699" s="455"/>
      <c r="J699" s="455"/>
    </row>
    <row r="700">
      <c r="A700" s="934"/>
      <c r="B700" s="557"/>
      <c r="C700" s="936"/>
      <c r="D700" s="439"/>
      <c r="E700" s="454"/>
      <c r="F700" s="455"/>
      <c r="G700" s="455"/>
      <c r="H700" s="455"/>
      <c r="I700" s="455"/>
      <c r="J700" s="455"/>
    </row>
    <row r="701">
      <c r="A701" s="934"/>
      <c r="B701" s="557"/>
      <c r="C701" s="936"/>
      <c r="D701" s="439"/>
      <c r="E701" s="454"/>
      <c r="F701" s="455"/>
      <c r="G701" s="455"/>
      <c r="H701" s="455"/>
      <c r="I701" s="455"/>
      <c r="J701" s="455"/>
    </row>
    <row r="702">
      <c r="A702" s="934"/>
      <c r="B702" s="557"/>
      <c r="C702" s="936"/>
      <c r="D702" s="439"/>
      <c r="E702" s="454"/>
      <c r="F702" s="455"/>
      <c r="G702" s="455"/>
      <c r="H702" s="455"/>
      <c r="I702" s="455"/>
      <c r="J702" s="455"/>
    </row>
    <row r="703">
      <c r="A703" s="934"/>
      <c r="B703" s="557"/>
      <c r="C703" s="936"/>
      <c r="D703" s="439"/>
      <c r="E703" s="454"/>
      <c r="F703" s="455"/>
      <c r="G703" s="455"/>
      <c r="H703" s="455"/>
      <c r="I703" s="455"/>
      <c r="J703" s="455"/>
    </row>
    <row r="704">
      <c r="A704" s="934"/>
      <c r="B704" s="557"/>
      <c r="C704" s="936"/>
      <c r="D704" s="439"/>
      <c r="E704" s="454"/>
      <c r="F704" s="455"/>
      <c r="G704" s="455"/>
      <c r="H704" s="455"/>
      <c r="I704" s="455"/>
      <c r="J704" s="455"/>
    </row>
    <row r="705">
      <c r="A705" s="934"/>
      <c r="B705" s="557"/>
      <c r="C705" s="936"/>
      <c r="D705" s="439"/>
      <c r="E705" s="454"/>
      <c r="F705" s="455"/>
      <c r="G705" s="455"/>
      <c r="H705" s="455"/>
      <c r="I705" s="455"/>
      <c r="J705" s="455"/>
    </row>
    <row r="706">
      <c r="A706" s="934"/>
      <c r="B706" s="557"/>
      <c r="C706" s="936"/>
      <c r="D706" s="439"/>
      <c r="E706" s="454"/>
      <c r="F706" s="455"/>
      <c r="G706" s="455"/>
      <c r="H706" s="455"/>
      <c r="I706" s="455"/>
      <c r="J706" s="455"/>
    </row>
    <row r="707">
      <c r="A707" s="934"/>
      <c r="B707" s="557"/>
      <c r="C707" s="936"/>
      <c r="D707" s="439"/>
      <c r="E707" s="454"/>
      <c r="F707" s="455"/>
      <c r="G707" s="455"/>
      <c r="H707" s="455"/>
      <c r="I707" s="455"/>
      <c r="J707" s="455"/>
    </row>
    <row r="708">
      <c r="A708" s="934"/>
      <c r="B708" s="557"/>
      <c r="C708" s="936"/>
      <c r="D708" s="439"/>
      <c r="E708" s="454"/>
      <c r="F708" s="455"/>
      <c r="G708" s="455"/>
      <c r="H708" s="455"/>
      <c r="I708" s="455"/>
      <c r="J708" s="455"/>
    </row>
    <row r="709">
      <c r="A709" s="934"/>
      <c r="B709" s="557"/>
      <c r="C709" s="936"/>
      <c r="D709" s="439"/>
      <c r="E709" s="454"/>
      <c r="F709" s="455"/>
      <c r="G709" s="455"/>
      <c r="H709" s="455"/>
      <c r="I709" s="455"/>
      <c r="J709" s="455"/>
    </row>
    <row r="710">
      <c r="A710" s="934"/>
      <c r="B710" s="557"/>
      <c r="C710" s="936"/>
      <c r="D710" s="439"/>
      <c r="E710" s="454"/>
      <c r="F710" s="455"/>
      <c r="G710" s="455"/>
      <c r="H710" s="455"/>
      <c r="I710" s="455"/>
      <c r="J710" s="455"/>
    </row>
    <row r="711">
      <c r="A711" s="934"/>
      <c r="B711" s="557"/>
      <c r="C711" s="936"/>
      <c r="D711" s="439"/>
      <c r="E711" s="454"/>
      <c r="F711" s="455"/>
      <c r="G711" s="455"/>
      <c r="H711" s="455"/>
      <c r="I711" s="455"/>
      <c r="J711" s="455"/>
    </row>
    <row r="712">
      <c r="A712" s="934"/>
      <c r="B712" s="557"/>
      <c r="C712" s="936"/>
      <c r="D712" s="439"/>
      <c r="E712" s="454"/>
      <c r="F712" s="455"/>
      <c r="G712" s="455"/>
      <c r="H712" s="455"/>
      <c r="I712" s="455"/>
      <c r="J712" s="455"/>
    </row>
    <row r="713">
      <c r="A713" s="934"/>
      <c r="B713" s="557"/>
      <c r="C713" s="936"/>
      <c r="D713" s="439"/>
      <c r="E713" s="454"/>
      <c r="F713" s="455"/>
      <c r="G713" s="455"/>
      <c r="H713" s="455"/>
      <c r="I713" s="455"/>
      <c r="J713" s="455"/>
    </row>
    <row r="714">
      <c r="A714" s="934"/>
      <c r="B714" s="557"/>
      <c r="C714" s="936"/>
      <c r="D714" s="439"/>
      <c r="E714" s="454"/>
      <c r="F714" s="455"/>
      <c r="G714" s="455"/>
      <c r="H714" s="455"/>
      <c r="I714" s="455"/>
      <c r="J714" s="455"/>
    </row>
    <row r="715">
      <c r="A715" s="934"/>
      <c r="B715" s="557"/>
      <c r="C715" s="936"/>
      <c r="D715" s="439"/>
      <c r="E715" s="454"/>
      <c r="F715" s="455"/>
      <c r="G715" s="455"/>
      <c r="H715" s="455"/>
      <c r="I715" s="455"/>
      <c r="J715" s="455"/>
    </row>
    <row r="716">
      <c r="A716" s="934"/>
      <c r="B716" s="557"/>
      <c r="C716" s="936"/>
      <c r="D716" s="439"/>
      <c r="E716" s="454"/>
      <c r="F716" s="455"/>
      <c r="G716" s="455"/>
      <c r="H716" s="455"/>
      <c r="I716" s="455"/>
      <c r="J716" s="455"/>
    </row>
    <row r="717">
      <c r="A717" s="934"/>
      <c r="B717" s="557"/>
      <c r="C717" s="936"/>
      <c r="D717" s="439"/>
      <c r="E717" s="454"/>
      <c r="F717" s="455"/>
      <c r="G717" s="455"/>
      <c r="H717" s="455"/>
      <c r="I717" s="455"/>
      <c r="J717" s="455"/>
    </row>
    <row r="718">
      <c r="A718" s="934"/>
      <c r="B718" s="557"/>
      <c r="C718" s="936"/>
      <c r="D718" s="439"/>
      <c r="E718" s="454"/>
      <c r="F718" s="455"/>
      <c r="G718" s="455"/>
      <c r="H718" s="455"/>
      <c r="I718" s="455"/>
      <c r="J718" s="455"/>
    </row>
    <row r="719">
      <c r="A719" s="934"/>
      <c r="B719" s="557"/>
      <c r="C719" s="936"/>
      <c r="D719" s="439"/>
      <c r="E719" s="454"/>
      <c r="F719" s="455"/>
      <c r="G719" s="455"/>
      <c r="H719" s="455"/>
      <c r="I719" s="455"/>
      <c r="J719" s="455"/>
    </row>
    <row r="720">
      <c r="A720" s="934"/>
      <c r="B720" s="557"/>
      <c r="C720" s="936"/>
      <c r="D720" s="439"/>
      <c r="E720" s="454"/>
      <c r="F720" s="455"/>
      <c r="G720" s="455"/>
      <c r="H720" s="455"/>
      <c r="I720" s="455"/>
      <c r="J720" s="455"/>
    </row>
    <row r="721">
      <c r="A721" s="934"/>
      <c r="B721" s="557"/>
      <c r="C721" s="936"/>
      <c r="D721" s="439"/>
      <c r="E721" s="454"/>
      <c r="F721" s="455"/>
      <c r="G721" s="455"/>
      <c r="H721" s="455"/>
      <c r="I721" s="455"/>
      <c r="J721" s="455"/>
    </row>
    <row r="722">
      <c r="A722" s="934"/>
      <c r="B722" s="557"/>
      <c r="C722" s="936"/>
      <c r="D722" s="439"/>
      <c r="E722" s="454"/>
      <c r="F722" s="455"/>
      <c r="G722" s="455"/>
      <c r="H722" s="455"/>
      <c r="I722" s="455"/>
      <c r="J722" s="455"/>
    </row>
    <row r="723">
      <c r="A723" s="934"/>
      <c r="B723" s="557"/>
      <c r="C723" s="936"/>
      <c r="D723" s="439"/>
      <c r="E723" s="454"/>
      <c r="F723" s="455"/>
      <c r="G723" s="455"/>
      <c r="H723" s="455"/>
      <c r="I723" s="455"/>
      <c r="J723" s="455"/>
    </row>
    <row r="724">
      <c r="A724" s="934"/>
      <c r="B724" s="557"/>
      <c r="C724" s="936"/>
      <c r="D724" s="439"/>
      <c r="E724" s="454"/>
      <c r="F724" s="455"/>
      <c r="G724" s="455"/>
      <c r="H724" s="455"/>
      <c r="I724" s="455"/>
      <c r="J724" s="455"/>
    </row>
    <row r="725">
      <c r="A725" s="934"/>
      <c r="B725" s="557"/>
      <c r="C725" s="936"/>
      <c r="D725" s="439"/>
      <c r="E725" s="454"/>
      <c r="F725" s="455"/>
      <c r="G725" s="455"/>
      <c r="H725" s="455"/>
      <c r="I725" s="455"/>
      <c r="J725" s="455"/>
    </row>
    <row r="726">
      <c r="A726" s="934"/>
      <c r="B726" s="557"/>
      <c r="C726" s="936"/>
      <c r="D726" s="439"/>
      <c r="E726" s="454"/>
      <c r="F726" s="455"/>
      <c r="G726" s="455"/>
      <c r="H726" s="455"/>
      <c r="I726" s="455"/>
      <c r="J726" s="455"/>
    </row>
    <row r="727">
      <c r="A727" s="934"/>
      <c r="B727" s="557"/>
      <c r="C727" s="936"/>
      <c r="D727" s="439"/>
      <c r="E727" s="454"/>
      <c r="F727" s="455"/>
      <c r="G727" s="455"/>
      <c r="H727" s="455"/>
      <c r="I727" s="455"/>
      <c r="J727" s="455"/>
    </row>
    <row r="728">
      <c r="A728" s="934"/>
      <c r="B728" s="557"/>
      <c r="C728" s="936"/>
      <c r="D728" s="439"/>
      <c r="E728" s="454"/>
      <c r="F728" s="455"/>
      <c r="G728" s="455"/>
      <c r="H728" s="455"/>
      <c r="I728" s="455"/>
      <c r="J728" s="455"/>
    </row>
    <row r="729">
      <c r="A729" s="934"/>
      <c r="B729" s="557"/>
      <c r="C729" s="936"/>
      <c r="D729" s="439"/>
      <c r="E729" s="454"/>
      <c r="F729" s="455"/>
      <c r="G729" s="455"/>
      <c r="H729" s="455"/>
      <c r="I729" s="455"/>
      <c r="J729" s="455"/>
    </row>
    <row r="730">
      <c r="A730" s="934"/>
      <c r="B730" s="557"/>
      <c r="C730" s="936"/>
      <c r="D730" s="439"/>
      <c r="E730" s="454"/>
      <c r="F730" s="455"/>
      <c r="G730" s="455"/>
      <c r="H730" s="455"/>
      <c r="I730" s="455"/>
      <c r="J730" s="455"/>
    </row>
    <row r="731">
      <c r="A731" s="934"/>
      <c r="B731" s="557"/>
      <c r="C731" s="936"/>
      <c r="D731" s="439"/>
      <c r="E731" s="454"/>
      <c r="F731" s="455"/>
      <c r="G731" s="455"/>
      <c r="H731" s="455"/>
      <c r="I731" s="455"/>
      <c r="J731" s="455"/>
    </row>
    <row r="732">
      <c r="A732" s="934"/>
      <c r="B732" s="557"/>
      <c r="C732" s="936"/>
      <c r="D732" s="439"/>
      <c r="E732" s="454"/>
      <c r="F732" s="455"/>
      <c r="G732" s="455"/>
      <c r="H732" s="455"/>
      <c r="I732" s="455"/>
      <c r="J732" s="455"/>
    </row>
    <row r="733">
      <c r="A733" s="934"/>
      <c r="B733" s="557"/>
      <c r="C733" s="936"/>
      <c r="D733" s="439"/>
      <c r="E733" s="454"/>
      <c r="F733" s="455"/>
      <c r="G733" s="455"/>
      <c r="H733" s="455"/>
      <c r="I733" s="455"/>
      <c r="J733" s="455"/>
    </row>
    <row r="734">
      <c r="A734" s="934"/>
      <c r="B734" s="557"/>
      <c r="C734" s="936"/>
      <c r="D734" s="439"/>
      <c r="E734" s="454"/>
      <c r="F734" s="455"/>
      <c r="G734" s="455"/>
      <c r="H734" s="455"/>
      <c r="I734" s="455"/>
      <c r="J734" s="455"/>
    </row>
    <row r="735">
      <c r="A735" s="934"/>
      <c r="B735" s="557"/>
      <c r="C735" s="936"/>
      <c r="D735" s="439"/>
      <c r="E735" s="454"/>
      <c r="F735" s="455"/>
      <c r="G735" s="455"/>
      <c r="H735" s="455"/>
      <c r="I735" s="455"/>
      <c r="J735" s="455"/>
    </row>
    <row r="736">
      <c r="A736" s="934"/>
      <c r="B736" s="557"/>
      <c r="C736" s="936"/>
      <c r="D736" s="439"/>
      <c r="E736" s="454"/>
      <c r="F736" s="455"/>
      <c r="G736" s="455"/>
      <c r="H736" s="455"/>
      <c r="I736" s="455"/>
      <c r="J736" s="455"/>
    </row>
    <row r="737">
      <c r="A737" s="934"/>
      <c r="B737" s="557"/>
      <c r="C737" s="936"/>
      <c r="D737" s="439"/>
      <c r="E737" s="454"/>
      <c r="F737" s="455"/>
      <c r="G737" s="455"/>
      <c r="H737" s="455"/>
      <c r="I737" s="455"/>
      <c r="J737" s="455"/>
    </row>
    <row r="738">
      <c r="A738" s="934"/>
      <c r="B738" s="557"/>
      <c r="C738" s="936"/>
      <c r="D738" s="439"/>
      <c r="E738" s="454"/>
      <c r="F738" s="455"/>
      <c r="G738" s="455"/>
      <c r="H738" s="455"/>
      <c r="I738" s="455"/>
      <c r="J738" s="455"/>
    </row>
    <row r="739">
      <c r="A739" s="934"/>
      <c r="B739" s="955"/>
      <c r="C739" s="936"/>
      <c r="D739" s="439"/>
      <c r="E739" s="454"/>
      <c r="F739" s="455"/>
      <c r="G739" s="455"/>
      <c r="H739" s="455"/>
      <c r="I739" s="455"/>
      <c r="J739" s="455"/>
    </row>
    <row r="740">
      <c r="A740" s="934"/>
      <c r="B740" s="557"/>
      <c r="C740" s="936"/>
      <c r="D740" s="439"/>
      <c r="E740" s="454"/>
      <c r="F740" s="455"/>
      <c r="G740" s="455"/>
      <c r="H740" s="455"/>
      <c r="I740" s="455"/>
      <c r="J740" s="455"/>
    </row>
    <row r="741">
      <c r="A741" s="934"/>
      <c r="B741" s="557"/>
      <c r="C741" s="936"/>
      <c r="D741" s="439"/>
      <c r="E741" s="454"/>
      <c r="F741" s="455"/>
      <c r="G741" s="455"/>
      <c r="H741" s="455"/>
      <c r="I741" s="455"/>
      <c r="J741" s="455"/>
    </row>
    <row r="742">
      <c r="A742" s="934"/>
      <c r="B742" s="557"/>
      <c r="C742" s="936"/>
      <c r="D742" s="439"/>
      <c r="E742" s="454"/>
      <c r="F742" s="455"/>
      <c r="G742" s="455"/>
      <c r="H742" s="455"/>
      <c r="I742" s="455"/>
      <c r="J742" s="455"/>
    </row>
    <row r="743">
      <c r="A743" s="934"/>
      <c r="B743" s="557"/>
      <c r="C743" s="936"/>
      <c r="D743" s="439"/>
      <c r="E743" s="454"/>
      <c r="F743" s="455"/>
      <c r="G743" s="455"/>
      <c r="H743" s="455"/>
      <c r="I743" s="455"/>
      <c r="J743" s="455"/>
    </row>
    <row r="744">
      <c r="A744" s="934"/>
      <c r="B744" s="557"/>
      <c r="C744" s="936"/>
      <c r="D744" s="439"/>
      <c r="E744" s="454"/>
      <c r="F744" s="455"/>
      <c r="G744" s="455"/>
      <c r="H744" s="455"/>
      <c r="I744" s="455"/>
      <c r="J744" s="455"/>
    </row>
    <row r="745">
      <c r="A745" s="934"/>
      <c r="B745" s="557"/>
      <c r="C745" s="936"/>
      <c r="D745" s="439"/>
      <c r="E745" s="454"/>
      <c r="F745" s="455"/>
      <c r="G745" s="455"/>
      <c r="H745" s="455"/>
      <c r="I745" s="455"/>
      <c r="J745" s="455"/>
    </row>
    <row r="746">
      <c r="A746" s="934"/>
      <c r="B746" s="557"/>
      <c r="C746" s="936"/>
      <c r="D746" s="439"/>
      <c r="E746" s="454"/>
      <c r="F746" s="455"/>
      <c r="G746" s="455"/>
      <c r="H746" s="455"/>
      <c r="I746" s="455"/>
      <c r="J746" s="455"/>
    </row>
    <row r="747">
      <c r="A747" s="934"/>
      <c r="B747" s="557"/>
      <c r="C747" s="936"/>
      <c r="D747" s="439"/>
      <c r="E747" s="454"/>
      <c r="F747" s="455"/>
      <c r="G747" s="455"/>
      <c r="H747" s="455"/>
      <c r="I747" s="455"/>
      <c r="J747" s="455"/>
    </row>
    <row r="748">
      <c r="A748" s="934"/>
      <c r="B748" s="557"/>
      <c r="C748" s="936"/>
      <c r="D748" s="439"/>
      <c r="E748" s="454"/>
      <c r="F748" s="455"/>
      <c r="G748" s="455"/>
      <c r="H748" s="455"/>
      <c r="I748" s="455"/>
      <c r="J748" s="455"/>
    </row>
    <row r="749">
      <c r="A749" s="934"/>
      <c r="B749" s="557"/>
      <c r="C749" s="936"/>
      <c r="D749" s="439"/>
      <c r="E749" s="454"/>
      <c r="F749" s="455"/>
      <c r="G749" s="455"/>
      <c r="H749" s="455"/>
      <c r="I749" s="455"/>
      <c r="J749" s="455"/>
    </row>
    <row r="750">
      <c r="A750" s="934"/>
      <c r="B750" s="557"/>
      <c r="C750" s="936"/>
      <c r="D750" s="439"/>
      <c r="E750" s="454"/>
      <c r="F750" s="455"/>
      <c r="G750" s="455"/>
      <c r="H750" s="455"/>
      <c r="I750" s="455"/>
      <c r="J750" s="455"/>
    </row>
    <row r="751">
      <c r="A751" s="934"/>
      <c r="B751" s="557"/>
      <c r="C751" s="936"/>
      <c r="D751" s="439"/>
      <c r="E751" s="454"/>
      <c r="F751" s="455"/>
      <c r="G751" s="455"/>
      <c r="H751" s="455"/>
      <c r="I751" s="455"/>
      <c r="J751" s="455"/>
    </row>
    <row r="752">
      <c r="A752" s="934"/>
      <c r="B752" s="557"/>
      <c r="C752" s="936"/>
      <c r="D752" s="439"/>
      <c r="E752" s="454"/>
      <c r="F752" s="455"/>
      <c r="G752" s="455"/>
      <c r="H752" s="455"/>
      <c r="I752" s="455"/>
      <c r="J752" s="455"/>
    </row>
    <row r="753">
      <c r="A753" s="934"/>
      <c r="B753" s="557"/>
      <c r="C753" s="936"/>
      <c r="D753" s="439"/>
      <c r="E753" s="454"/>
      <c r="F753" s="455"/>
      <c r="G753" s="455"/>
      <c r="H753" s="455"/>
      <c r="I753" s="455"/>
      <c r="J753" s="455"/>
    </row>
    <row r="754">
      <c r="A754" s="934"/>
      <c r="B754" s="557"/>
      <c r="C754" s="936"/>
      <c r="D754" s="439"/>
      <c r="E754" s="454"/>
      <c r="F754" s="455"/>
      <c r="G754" s="455"/>
      <c r="H754" s="455"/>
      <c r="I754" s="455"/>
      <c r="J754" s="455"/>
    </row>
    <row r="755">
      <c r="A755" s="934"/>
      <c r="B755" s="557"/>
      <c r="C755" s="936"/>
      <c r="D755" s="439"/>
      <c r="E755" s="454"/>
      <c r="F755" s="455"/>
      <c r="G755" s="455"/>
      <c r="H755" s="455"/>
      <c r="I755" s="455"/>
      <c r="J755" s="455"/>
    </row>
    <row r="756">
      <c r="A756" s="934"/>
      <c r="B756" s="557"/>
      <c r="C756" s="936"/>
      <c r="D756" s="439"/>
      <c r="E756" s="454"/>
      <c r="F756" s="455"/>
      <c r="G756" s="455"/>
      <c r="H756" s="455"/>
      <c r="I756" s="455"/>
      <c r="J756" s="455"/>
    </row>
    <row r="757">
      <c r="A757" s="934"/>
      <c r="B757" s="557"/>
      <c r="C757" s="936"/>
      <c r="D757" s="439"/>
      <c r="E757" s="454"/>
      <c r="F757" s="455"/>
      <c r="G757" s="455"/>
      <c r="H757" s="455"/>
      <c r="I757" s="455"/>
      <c r="J757" s="455"/>
    </row>
    <row r="758">
      <c r="A758" s="934"/>
      <c r="B758" s="557"/>
      <c r="C758" s="936"/>
      <c r="D758" s="439"/>
      <c r="E758" s="454"/>
      <c r="F758" s="455"/>
      <c r="G758" s="455"/>
      <c r="H758" s="455"/>
      <c r="I758" s="455"/>
      <c r="J758" s="455"/>
    </row>
    <row r="759">
      <c r="A759" s="934"/>
      <c r="B759" s="557"/>
      <c r="C759" s="936"/>
      <c r="D759" s="439"/>
      <c r="E759" s="454"/>
      <c r="F759" s="455"/>
      <c r="G759" s="455"/>
      <c r="H759" s="455"/>
      <c r="I759" s="455"/>
      <c r="J759" s="455"/>
    </row>
    <row r="760">
      <c r="A760" s="934"/>
      <c r="B760" s="557"/>
      <c r="C760" s="936"/>
      <c r="D760" s="439"/>
      <c r="E760" s="454"/>
      <c r="F760" s="455"/>
      <c r="G760" s="455"/>
      <c r="H760" s="455"/>
      <c r="I760" s="455"/>
      <c r="J760" s="455"/>
    </row>
    <row r="761">
      <c r="A761" s="934"/>
      <c r="B761" s="557"/>
      <c r="C761" s="936"/>
      <c r="D761" s="439"/>
      <c r="E761" s="454"/>
      <c r="F761" s="455"/>
      <c r="G761" s="455"/>
      <c r="H761" s="455"/>
      <c r="I761" s="455"/>
      <c r="J761" s="455"/>
    </row>
    <row r="762">
      <c r="A762" s="934"/>
      <c r="B762" s="557"/>
      <c r="C762" s="936"/>
      <c r="D762" s="439"/>
      <c r="E762" s="454"/>
      <c r="F762" s="455"/>
      <c r="G762" s="455"/>
      <c r="H762" s="455"/>
      <c r="I762" s="455"/>
      <c r="J762" s="455"/>
    </row>
    <row r="763">
      <c r="A763" s="934"/>
      <c r="B763" s="557"/>
      <c r="C763" s="936"/>
      <c r="D763" s="439"/>
      <c r="E763" s="454"/>
      <c r="F763" s="455"/>
      <c r="G763" s="455"/>
      <c r="H763" s="455"/>
      <c r="I763" s="455"/>
      <c r="J763" s="455"/>
    </row>
    <row r="764">
      <c r="A764" s="934"/>
      <c r="B764" s="557"/>
      <c r="C764" s="936"/>
      <c r="D764" s="439"/>
      <c r="E764" s="454"/>
      <c r="F764" s="455"/>
      <c r="G764" s="455"/>
      <c r="H764" s="455"/>
      <c r="I764" s="455"/>
      <c r="J764" s="455"/>
    </row>
    <row r="765">
      <c r="A765" s="934"/>
      <c r="B765" s="955"/>
      <c r="C765" s="936"/>
      <c r="D765" s="439"/>
      <c r="E765" s="454"/>
      <c r="F765" s="455"/>
      <c r="G765" s="455"/>
      <c r="H765" s="455"/>
      <c r="I765" s="455"/>
      <c r="J765" s="455"/>
    </row>
    <row r="766">
      <c r="A766" s="934"/>
      <c r="B766" s="557"/>
      <c r="C766" s="936"/>
      <c r="D766" s="439"/>
      <c r="E766" s="454"/>
      <c r="F766" s="455"/>
      <c r="G766" s="455"/>
      <c r="H766" s="455"/>
      <c r="I766" s="455"/>
      <c r="J766" s="455"/>
    </row>
    <row r="767">
      <c r="A767" s="934"/>
      <c r="B767" s="557"/>
      <c r="C767" s="936"/>
      <c r="D767" s="439"/>
      <c r="E767" s="454"/>
      <c r="F767" s="455"/>
      <c r="G767" s="455"/>
      <c r="H767" s="455"/>
      <c r="I767" s="455"/>
      <c r="J767" s="455"/>
    </row>
    <row r="768">
      <c r="A768" s="934"/>
      <c r="B768" s="557"/>
      <c r="C768" s="936"/>
      <c r="D768" s="439"/>
      <c r="E768" s="454"/>
      <c r="F768" s="455"/>
      <c r="G768" s="455"/>
      <c r="H768" s="455"/>
      <c r="I768" s="455"/>
      <c r="J768" s="455"/>
    </row>
    <row r="769">
      <c r="A769" s="934"/>
      <c r="B769" s="557"/>
      <c r="C769" s="936"/>
      <c r="D769" s="439"/>
      <c r="E769" s="454"/>
      <c r="F769" s="455"/>
      <c r="G769" s="455"/>
      <c r="H769" s="455"/>
      <c r="I769" s="455"/>
      <c r="J769" s="455"/>
    </row>
    <row r="770">
      <c r="A770" s="934"/>
      <c r="B770" s="557"/>
      <c r="C770" s="936"/>
      <c r="D770" s="439"/>
      <c r="E770" s="454"/>
      <c r="F770" s="455"/>
      <c r="G770" s="455"/>
      <c r="H770" s="455"/>
      <c r="I770" s="455"/>
      <c r="J770" s="455"/>
    </row>
    <row r="771">
      <c r="A771" s="934"/>
      <c r="B771" s="557"/>
      <c r="C771" s="936"/>
      <c r="D771" s="439"/>
      <c r="E771" s="454"/>
      <c r="F771" s="455"/>
      <c r="G771" s="455"/>
      <c r="H771" s="455"/>
      <c r="I771" s="455"/>
      <c r="J771" s="455"/>
    </row>
    <row r="772">
      <c r="A772" s="934"/>
      <c r="B772" s="557"/>
      <c r="C772" s="936"/>
      <c r="D772" s="439"/>
      <c r="E772" s="454"/>
      <c r="F772" s="455"/>
      <c r="G772" s="455"/>
      <c r="H772" s="455"/>
      <c r="I772" s="455"/>
      <c r="J772" s="455"/>
    </row>
    <row r="773">
      <c r="A773" s="934"/>
      <c r="B773" s="955"/>
      <c r="C773" s="936"/>
      <c r="D773" s="439"/>
      <c r="E773" s="454"/>
      <c r="F773" s="455"/>
      <c r="G773" s="455"/>
      <c r="H773" s="455"/>
      <c r="I773" s="455"/>
      <c r="J773" s="455"/>
    </row>
    <row r="774">
      <c r="A774" s="934"/>
      <c r="B774" s="557"/>
      <c r="C774" s="936"/>
      <c r="D774" s="439"/>
      <c r="E774" s="454"/>
      <c r="F774" s="455"/>
      <c r="G774" s="455"/>
      <c r="H774" s="455"/>
      <c r="I774" s="455"/>
      <c r="J774" s="455"/>
    </row>
    <row r="775">
      <c r="A775" s="934"/>
      <c r="B775" s="557"/>
      <c r="C775" s="936"/>
      <c r="D775" s="439"/>
      <c r="E775" s="454"/>
      <c r="F775" s="455"/>
      <c r="G775" s="455"/>
      <c r="H775" s="455"/>
      <c r="I775" s="455"/>
      <c r="J775" s="455"/>
    </row>
    <row r="776">
      <c r="A776" s="934"/>
      <c r="B776" s="557"/>
      <c r="C776" s="936"/>
      <c r="D776" s="439"/>
      <c r="E776" s="454"/>
      <c r="F776" s="455"/>
      <c r="G776" s="455"/>
      <c r="H776" s="455"/>
      <c r="I776" s="455"/>
      <c r="J776" s="455"/>
    </row>
    <row r="777">
      <c r="A777" s="934"/>
      <c r="B777" s="557"/>
      <c r="C777" s="936"/>
      <c r="D777" s="439"/>
      <c r="E777" s="454"/>
      <c r="F777" s="455"/>
      <c r="G777" s="455"/>
      <c r="H777" s="455"/>
      <c r="I777" s="455"/>
      <c r="J777" s="455"/>
    </row>
    <row r="778">
      <c r="A778" s="934"/>
      <c r="B778" s="557"/>
      <c r="C778" s="936"/>
      <c r="D778" s="439"/>
      <c r="E778" s="454"/>
      <c r="F778" s="455"/>
      <c r="G778" s="455"/>
      <c r="H778" s="455"/>
      <c r="I778" s="455"/>
      <c r="J778" s="455"/>
    </row>
    <row r="779">
      <c r="A779" s="934"/>
      <c r="B779" s="557"/>
      <c r="C779" s="936"/>
      <c r="D779" s="439"/>
      <c r="E779" s="454"/>
      <c r="F779" s="455"/>
      <c r="G779" s="455"/>
      <c r="H779" s="455"/>
      <c r="I779" s="455"/>
      <c r="J779" s="455"/>
    </row>
    <row r="780">
      <c r="A780" s="934"/>
      <c r="B780" s="557"/>
      <c r="C780" s="936"/>
      <c r="D780" s="439"/>
      <c r="E780" s="454"/>
      <c r="F780" s="455"/>
      <c r="G780" s="455"/>
      <c r="H780" s="455"/>
      <c r="I780" s="455"/>
      <c r="J780" s="455"/>
    </row>
    <row r="781">
      <c r="A781" s="934"/>
      <c r="B781" s="557"/>
      <c r="C781" s="936"/>
      <c r="D781" s="439"/>
      <c r="E781" s="454"/>
      <c r="F781" s="455"/>
      <c r="G781" s="455"/>
      <c r="H781" s="455"/>
      <c r="I781" s="455"/>
      <c r="J781" s="455"/>
    </row>
    <row r="782">
      <c r="A782" s="934"/>
      <c r="B782" s="557"/>
      <c r="C782" s="936"/>
      <c r="D782" s="439"/>
      <c r="E782" s="454"/>
      <c r="F782" s="455"/>
      <c r="G782" s="455"/>
      <c r="H782" s="455"/>
      <c r="I782" s="455"/>
      <c r="J782" s="455"/>
    </row>
    <row r="783">
      <c r="A783" s="934"/>
      <c r="B783" s="557"/>
      <c r="C783" s="936"/>
      <c r="D783" s="439"/>
      <c r="E783" s="454"/>
      <c r="F783" s="455"/>
      <c r="G783" s="455"/>
      <c r="H783" s="455"/>
      <c r="I783" s="455"/>
      <c r="J783" s="455"/>
    </row>
    <row r="784">
      <c r="A784" s="934"/>
      <c r="B784" s="557"/>
      <c r="C784" s="936"/>
      <c r="D784" s="439"/>
      <c r="E784" s="454"/>
      <c r="F784" s="455"/>
      <c r="G784" s="455"/>
      <c r="H784" s="455"/>
      <c r="I784" s="455"/>
      <c r="J784" s="455"/>
    </row>
    <row r="785">
      <c r="A785" s="934"/>
      <c r="B785" s="557"/>
      <c r="C785" s="936"/>
      <c r="D785" s="439"/>
      <c r="E785" s="454"/>
      <c r="F785" s="455"/>
      <c r="G785" s="455"/>
      <c r="H785" s="455"/>
      <c r="I785" s="455"/>
      <c r="J785" s="455"/>
    </row>
    <row r="786">
      <c r="A786" s="934"/>
      <c r="B786" s="557"/>
      <c r="C786" s="936"/>
      <c r="D786" s="439"/>
      <c r="E786" s="454"/>
      <c r="F786" s="455"/>
      <c r="G786" s="455"/>
      <c r="H786" s="455"/>
      <c r="I786" s="455"/>
      <c r="J786" s="455"/>
    </row>
    <row r="787">
      <c r="A787" s="934"/>
      <c r="B787" s="557"/>
      <c r="C787" s="936"/>
      <c r="D787" s="439"/>
      <c r="E787" s="454"/>
      <c r="F787" s="455"/>
      <c r="G787" s="455"/>
      <c r="H787" s="455"/>
      <c r="I787" s="455"/>
      <c r="J787" s="455"/>
    </row>
    <row r="788">
      <c r="A788" s="934"/>
      <c r="B788" s="557"/>
      <c r="C788" s="936"/>
      <c r="D788" s="439"/>
      <c r="E788" s="454"/>
      <c r="F788" s="455"/>
      <c r="G788" s="455"/>
      <c r="H788" s="455"/>
      <c r="I788" s="455"/>
      <c r="J788" s="455"/>
    </row>
    <row r="789">
      <c r="A789" s="934"/>
      <c r="B789" s="557"/>
      <c r="C789" s="936"/>
      <c r="D789" s="439"/>
      <c r="E789" s="454"/>
      <c r="F789" s="455"/>
      <c r="G789" s="455"/>
      <c r="H789" s="455"/>
      <c r="I789" s="455"/>
      <c r="J789" s="455"/>
    </row>
    <row r="790">
      <c r="A790" s="934"/>
      <c r="B790" s="557"/>
      <c r="C790" s="936"/>
      <c r="D790" s="439"/>
      <c r="E790" s="454"/>
      <c r="F790" s="455"/>
      <c r="G790" s="455"/>
      <c r="H790" s="455"/>
      <c r="I790" s="455"/>
      <c r="J790" s="455"/>
    </row>
    <row r="791">
      <c r="A791" s="934"/>
      <c r="B791" s="557"/>
      <c r="C791" s="936"/>
      <c r="D791" s="439"/>
      <c r="E791" s="454"/>
      <c r="F791" s="455"/>
      <c r="G791" s="455"/>
      <c r="H791" s="455"/>
      <c r="I791" s="455"/>
      <c r="J791" s="455"/>
    </row>
    <row r="792">
      <c r="A792" s="934"/>
      <c r="B792" s="557"/>
      <c r="C792" s="936"/>
      <c r="D792" s="439"/>
      <c r="E792" s="454"/>
      <c r="F792" s="455"/>
      <c r="G792" s="455"/>
      <c r="H792" s="455"/>
      <c r="I792" s="455"/>
      <c r="J792" s="455"/>
    </row>
    <row r="793">
      <c r="A793" s="934"/>
      <c r="B793" s="557"/>
      <c r="C793" s="936"/>
      <c r="D793" s="439"/>
      <c r="E793" s="454"/>
      <c r="F793" s="455"/>
      <c r="G793" s="455"/>
      <c r="H793" s="455"/>
      <c r="I793" s="455"/>
      <c r="J793" s="455"/>
    </row>
    <row r="794">
      <c r="A794" s="934"/>
      <c r="B794" s="557"/>
      <c r="C794" s="936"/>
      <c r="D794" s="439"/>
      <c r="E794" s="454"/>
      <c r="F794" s="455"/>
      <c r="G794" s="455"/>
      <c r="H794" s="455"/>
      <c r="I794" s="455"/>
      <c r="J794" s="455"/>
    </row>
    <row r="795">
      <c r="A795" s="934"/>
      <c r="B795" s="557"/>
      <c r="C795" s="936"/>
      <c r="D795" s="439"/>
      <c r="E795" s="454"/>
      <c r="F795" s="455"/>
      <c r="G795" s="455"/>
      <c r="H795" s="455"/>
      <c r="I795" s="455"/>
      <c r="J795" s="455"/>
    </row>
    <row r="796">
      <c r="A796" s="934"/>
      <c r="B796" s="557"/>
      <c r="C796" s="936"/>
      <c r="D796" s="439"/>
      <c r="E796" s="454"/>
      <c r="F796" s="455"/>
      <c r="G796" s="455"/>
      <c r="H796" s="455"/>
      <c r="I796" s="455"/>
      <c r="J796" s="455"/>
    </row>
    <row r="797">
      <c r="A797" s="934"/>
      <c r="B797" s="557"/>
      <c r="C797" s="936"/>
      <c r="D797" s="439"/>
      <c r="E797" s="454"/>
      <c r="F797" s="455"/>
      <c r="G797" s="455"/>
      <c r="H797" s="455"/>
      <c r="I797" s="455"/>
      <c r="J797" s="455"/>
    </row>
    <row r="798">
      <c r="A798" s="934"/>
      <c r="B798" s="557"/>
      <c r="C798" s="936"/>
      <c r="D798" s="439"/>
      <c r="E798" s="454"/>
      <c r="F798" s="455"/>
      <c r="G798" s="455"/>
      <c r="H798" s="455"/>
      <c r="I798" s="455"/>
      <c r="J798" s="455"/>
    </row>
    <row r="799">
      <c r="A799" s="934"/>
      <c r="B799" s="557"/>
      <c r="C799" s="936"/>
      <c r="D799" s="439"/>
      <c r="E799" s="454"/>
      <c r="F799" s="455"/>
      <c r="G799" s="455"/>
      <c r="H799" s="455"/>
      <c r="I799" s="455"/>
      <c r="J799" s="455"/>
    </row>
    <row r="800">
      <c r="A800" s="934"/>
      <c r="B800" s="557"/>
      <c r="C800" s="936"/>
      <c r="D800" s="439"/>
      <c r="E800" s="454"/>
      <c r="F800" s="455"/>
      <c r="G800" s="455"/>
      <c r="H800" s="455"/>
      <c r="I800" s="455"/>
      <c r="J800" s="455"/>
    </row>
    <row r="801">
      <c r="A801" s="934"/>
      <c r="B801" s="557"/>
      <c r="C801" s="936"/>
      <c r="D801" s="439"/>
      <c r="E801" s="454"/>
      <c r="F801" s="455"/>
      <c r="G801" s="455"/>
      <c r="H801" s="455"/>
      <c r="I801" s="455"/>
      <c r="J801" s="455"/>
    </row>
    <row r="802">
      <c r="A802" s="934"/>
      <c r="B802" s="557"/>
      <c r="C802" s="936"/>
      <c r="D802" s="439"/>
      <c r="E802" s="454"/>
      <c r="F802" s="455"/>
      <c r="G802" s="455"/>
      <c r="H802" s="455"/>
      <c r="I802" s="455"/>
      <c r="J802" s="455"/>
    </row>
    <row r="803">
      <c r="A803" s="934"/>
      <c r="B803" s="557"/>
      <c r="C803" s="936"/>
      <c r="D803" s="439"/>
      <c r="E803" s="454"/>
      <c r="F803" s="455"/>
      <c r="G803" s="455"/>
      <c r="H803" s="455"/>
      <c r="I803" s="455"/>
      <c r="J803" s="455"/>
    </row>
    <row r="804">
      <c r="A804" s="934"/>
      <c r="B804" s="557"/>
      <c r="C804" s="936"/>
      <c r="D804" s="439"/>
      <c r="E804" s="454"/>
      <c r="F804" s="455"/>
      <c r="G804" s="455"/>
      <c r="H804" s="455"/>
      <c r="I804" s="455"/>
      <c r="J804" s="455"/>
    </row>
    <row r="805">
      <c r="A805" s="934"/>
      <c r="B805" s="557"/>
      <c r="C805" s="936"/>
      <c r="D805" s="439"/>
      <c r="E805" s="454"/>
      <c r="F805" s="455"/>
      <c r="G805" s="455"/>
      <c r="H805" s="455"/>
      <c r="I805" s="455"/>
      <c r="J805" s="455"/>
    </row>
    <row r="806">
      <c r="A806" s="934"/>
      <c r="B806" s="557"/>
      <c r="C806" s="936"/>
      <c r="D806" s="439"/>
      <c r="E806" s="454"/>
      <c r="F806" s="455"/>
      <c r="G806" s="455"/>
      <c r="H806" s="455"/>
      <c r="I806" s="455"/>
      <c r="J806" s="455"/>
    </row>
    <row r="807">
      <c r="A807" s="934"/>
      <c r="B807" s="557"/>
      <c r="C807" s="936"/>
      <c r="D807" s="439"/>
      <c r="E807" s="454"/>
      <c r="F807" s="455"/>
      <c r="G807" s="455"/>
      <c r="H807" s="455"/>
      <c r="I807" s="455"/>
      <c r="J807" s="455"/>
    </row>
    <row r="808">
      <c r="A808" s="934"/>
      <c r="B808" s="557"/>
      <c r="C808" s="936"/>
      <c r="D808" s="439"/>
      <c r="E808" s="454"/>
      <c r="F808" s="455"/>
      <c r="G808" s="455"/>
      <c r="H808" s="455"/>
      <c r="I808" s="455"/>
      <c r="J808" s="455"/>
    </row>
    <row r="809">
      <c r="A809" s="934"/>
      <c r="B809" s="557"/>
      <c r="C809" s="936"/>
      <c r="D809" s="439"/>
      <c r="E809" s="454"/>
      <c r="F809" s="455"/>
      <c r="G809" s="455"/>
      <c r="H809" s="455"/>
      <c r="I809" s="455"/>
      <c r="J809" s="455"/>
    </row>
    <row r="810">
      <c r="A810" s="934"/>
      <c r="B810" s="557"/>
      <c r="C810" s="936"/>
      <c r="D810" s="439"/>
      <c r="E810" s="454"/>
      <c r="F810" s="455"/>
      <c r="G810" s="455"/>
      <c r="H810" s="455"/>
      <c r="I810" s="455"/>
      <c r="J810" s="455"/>
    </row>
    <row r="811">
      <c r="A811" s="934"/>
      <c r="B811" s="557"/>
      <c r="C811" s="936"/>
      <c r="D811" s="439"/>
      <c r="E811" s="454"/>
      <c r="F811" s="455"/>
      <c r="G811" s="455"/>
      <c r="H811" s="455"/>
      <c r="I811" s="455"/>
      <c r="J811" s="455"/>
    </row>
    <row r="812">
      <c r="A812" s="934"/>
      <c r="B812" s="557"/>
      <c r="C812" s="936"/>
      <c r="D812" s="439"/>
      <c r="E812" s="454"/>
      <c r="F812" s="455"/>
      <c r="G812" s="455"/>
      <c r="H812" s="455"/>
      <c r="I812" s="455"/>
      <c r="J812" s="455"/>
    </row>
    <row r="813">
      <c r="A813" s="934"/>
      <c r="B813" s="557"/>
      <c r="C813" s="936"/>
      <c r="D813" s="439"/>
      <c r="E813" s="454"/>
      <c r="F813" s="455"/>
      <c r="G813" s="455"/>
      <c r="H813" s="455"/>
      <c r="I813" s="455"/>
      <c r="J813" s="455"/>
    </row>
    <row r="814">
      <c r="A814" s="934"/>
      <c r="B814" s="557"/>
      <c r="C814" s="936"/>
      <c r="D814" s="439"/>
      <c r="E814" s="454"/>
      <c r="F814" s="455"/>
      <c r="G814" s="455"/>
      <c r="H814" s="455"/>
      <c r="I814" s="455"/>
      <c r="J814" s="455"/>
    </row>
    <row r="815">
      <c r="A815" s="934"/>
      <c r="B815" s="557"/>
      <c r="C815" s="936"/>
      <c r="D815" s="439"/>
      <c r="E815" s="454"/>
      <c r="F815" s="455"/>
      <c r="G815" s="455"/>
      <c r="H815" s="455"/>
      <c r="I815" s="455"/>
      <c r="J815" s="455"/>
    </row>
    <row r="816">
      <c r="A816" s="934"/>
      <c r="B816" s="557"/>
      <c r="C816" s="936"/>
      <c r="D816" s="439"/>
      <c r="E816" s="454"/>
      <c r="F816" s="455"/>
      <c r="G816" s="455"/>
      <c r="H816" s="455"/>
      <c r="I816" s="455"/>
      <c r="J816" s="455"/>
    </row>
    <row r="817">
      <c r="A817" s="934"/>
      <c r="B817" s="557"/>
      <c r="C817" s="936"/>
      <c r="D817" s="439"/>
      <c r="E817" s="454"/>
      <c r="F817" s="455"/>
      <c r="G817" s="455"/>
      <c r="H817" s="455"/>
      <c r="I817" s="455"/>
      <c r="J817" s="455"/>
    </row>
    <row r="818">
      <c r="A818" s="934"/>
      <c r="B818" s="557"/>
      <c r="C818" s="936"/>
      <c r="D818" s="439"/>
      <c r="E818" s="454"/>
      <c r="F818" s="455"/>
      <c r="G818" s="455"/>
      <c r="H818" s="455"/>
      <c r="I818" s="455"/>
      <c r="J818" s="455"/>
    </row>
    <row r="819">
      <c r="A819" s="934"/>
      <c r="B819" s="557"/>
      <c r="C819" s="936"/>
      <c r="D819" s="439"/>
      <c r="E819" s="454"/>
      <c r="F819" s="455"/>
      <c r="G819" s="455"/>
      <c r="H819" s="455"/>
      <c r="I819" s="455"/>
      <c r="J819" s="455"/>
    </row>
    <row r="820">
      <c r="A820" s="934"/>
      <c r="B820" s="557"/>
      <c r="C820" s="936"/>
      <c r="D820" s="439"/>
      <c r="E820" s="454"/>
      <c r="F820" s="455"/>
      <c r="G820" s="455"/>
      <c r="H820" s="455"/>
      <c r="I820" s="455"/>
      <c r="J820" s="455"/>
    </row>
    <row r="821">
      <c r="A821" s="934"/>
      <c r="B821" s="557"/>
      <c r="C821" s="936"/>
      <c r="D821" s="439"/>
      <c r="E821" s="454"/>
      <c r="F821" s="455"/>
      <c r="G821" s="455"/>
      <c r="H821" s="455"/>
      <c r="I821" s="455"/>
      <c r="J821" s="455"/>
    </row>
    <row r="822">
      <c r="A822" s="934"/>
      <c r="B822" s="557"/>
      <c r="C822" s="936"/>
      <c r="D822" s="439"/>
      <c r="E822" s="454"/>
      <c r="F822" s="455"/>
      <c r="G822" s="455"/>
      <c r="H822" s="455"/>
      <c r="I822" s="455"/>
      <c r="J822" s="455"/>
    </row>
    <row r="823">
      <c r="A823" s="934"/>
      <c r="B823" s="557"/>
      <c r="C823" s="936"/>
      <c r="D823" s="439"/>
      <c r="E823" s="454"/>
      <c r="F823" s="455"/>
      <c r="G823" s="455"/>
      <c r="H823" s="455"/>
      <c r="I823" s="455"/>
      <c r="J823" s="455"/>
    </row>
    <row r="824">
      <c r="A824" s="934"/>
      <c r="B824" s="557"/>
      <c r="C824" s="936"/>
      <c r="D824" s="439"/>
      <c r="E824" s="454"/>
      <c r="F824" s="455"/>
      <c r="G824" s="455"/>
      <c r="H824" s="455"/>
      <c r="I824" s="455"/>
      <c r="J824" s="455"/>
    </row>
    <row r="825">
      <c r="A825" s="934"/>
      <c r="B825" s="557"/>
      <c r="C825" s="936"/>
      <c r="D825" s="439"/>
      <c r="E825" s="454"/>
      <c r="F825" s="455"/>
      <c r="G825" s="455"/>
      <c r="H825" s="455"/>
      <c r="I825" s="455"/>
      <c r="J825" s="455"/>
    </row>
    <row r="826">
      <c r="A826" s="934"/>
      <c r="B826" s="557"/>
      <c r="C826" s="936"/>
      <c r="D826" s="439"/>
      <c r="E826" s="454"/>
      <c r="F826" s="455"/>
      <c r="G826" s="455"/>
      <c r="H826" s="455"/>
      <c r="I826" s="455"/>
      <c r="J826" s="455"/>
    </row>
    <row r="827">
      <c r="A827" s="934"/>
      <c r="B827" s="557"/>
      <c r="C827" s="936"/>
      <c r="D827" s="439"/>
      <c r="E827" s="454"/>
      <c r="F827" s="455"/>
      <c r="G827" s="455"/>
      <c r="H827" s="455"/>
      <c r="I827" s="455"/>
      <c r="J827" s="455"/>
    </row>
    <row r="828">
      <c r="A828" s="934"/>
      <c r="B828" s="557"/>
      <c r="C828" s="936"/>
      <c r="D828" s="439"/>
      <c r="E828" s="454"/>
      <c r="F828" s="455"/>
      <c r="G828" s="455"/>
      <c r="H828" s="455"/>
      <c r="I828" s="455"/>
      <c r="J828" s="455"/>
    </row>
    <row r="829">
      <c r="A829" s="934"/>
      <c r="B829" s="557"/>
      <c r="C829" s="936"/>
      <c r="D829" s="439"/>
      <c r="E829" s="454"/>
      <c r="F829" s="455"/>
      <c r="G829" s="455"/>
      <c r="H829" s="455"/>
      <c r="I829" s="455"/>
      <c r="J829" s="455"/>
    </row>
    <row r="830">
      <c r="A830" s="934"/>
      <c r="B830" s="557"/>
      <c r="C830" s="936"/>
      <c r="D830" s="439"/>
      <c r="E830" s="454"/>
      <c r="F830" s="455"/>
      <c r="G830" s="455"/>
      <c r="H830" s="455"/>
      <c r="I830" s="455"/>
      <c r="J830" s="455"/>
    </row>
    <row r="831">
      <c r="A831" s="934"/>
      <c r="B831" s="557"/>
      <c r="C831" s="936"/>
      <c r="D831" s="439"/>
      <c r="E831" s="454"/>
      <c r="F831" s="455"/>
      <c r="G831" s="455"/>
      <c r="H831" s="455"/>
      <c r="I831" s="455"/>
      <c r="J831" s="455"/>
    </row>
    <row r="832">
      <c r="A832" s="934"/>
      <c r="B832" s="557"/>
      <c r="C832" s="936"/>
      <c r="D832" s="439"/>
      <c r="E832" s="454"/>
      <c r="F832" s="455"/>
      <c r="G832" s="455"/>
      <c r="H832" s="455"/>
      <c r="I832" s="455"/>
      <c r="J832" s="455"/>
    </row>
    <row r="833">
      <c r="A833" s="934"/>
      <c r="B833" s="557"/>
      <c r="C833" s="936"/>
      <c r="D833" s="439"/>
      <c r="E833" s="454"/>
      <c r="F833" s="455"/>
      <c r="G833" s="455"/>
      <c r="H833" s="455"/>
      <c r="I833" s="455"/>
      <c r="J833" s="455"/>
    </row>
    <row r="834">
      <c r="A834" s="934"/>
      <c r="B834" s="557"/>
      <c r="C834" s="936"/>
      <c r="D834" s="439"/>
      <c r="E834" s="454"/>
      <c r="F834" s="455"/>
      <c r="G834" s="455"/>
      <c r="H834" s="455"/>
      <c r="I834" s="455"/>
      <c r="J834" s="455"/>
    </row>
    <row r="835">
      <c r="A835" s="934"/>
      <c r="B835" s="557"/>
      <c r="C835" s="936"/>
      <c r="D835" s="439"/>
      <c r="E835" s="454"/>
      <c r="F835" s="455"/>
      <c r="G835" s="455"/>
      <c r="H835" s="455"/>
      <c r="I835" s="455"/>
      <c r="J835" s="455"/>
    </row>
    <row r="836">
      <c r="A836" s="934"/>
      <c r="B836" s="557"/>
      <c r="C836" s="936"/>
      <c r="D836" s="439"/>
      <c r="E836" s="454"/>
      <c r="F836" s="455"/>
      <c r="G836" s="455"/>
      <c r="H836" s="455"/>
      <c r="I836" s="455"/>
      <c r="J836" s="455"/>
    </row>
    <row r="837">
      <c r="A837" s="934"/>
      <c r="B837" s="557"/>
      <c r="C837" s="936"/>
      <c r="D837" s="439"/>
      <c r="E837" s="454"/>
      <c r="F837" s="455"/>
      <c r="G837" s="455"/>
      <c r="H837" s="455"/>
      <c r="I837" s="455"/>
      <c r="J837" s="455"/>
    </row>
    <row r="838">
      <c r="A838" s="934"/>
      <c r="B838" s="557"/>
      <c r="C838" s="936"/>
      <c r="D838" s="439"/>
      <c r="E838" s="454"/>
      <c r="F838" s="455"/>
      <c r="G838" s="455"/>
      <c r="H838" s="455"/>
      <c r="I838" s="455"/>
      <c r="J838" s="455"/>
    </row>
    <row r="839">
      <c r="A839" s="934"/>
      <c r="B839" s="557"/>
      <c r="C839" s="936"/>
      <c r="D839" s="439"/>
      <c r="E839" s="454"/>
      <c r="F839" s="455"/>
      <c r="G839" s="455"/>
      <c r="H839" s="455"/>
      <c r="I839" s="455"/>
      <c r="J839" s="455"/>
    </row>
    <row r="840">
      <c r="A840" s="934"/>
      <c r="B840" s="557"/>
      <c r="C840" s="936"/>
      <c r="D840" s="439"/>
      <c r="E840" s="454"/>
      <c r="F840" s="455"/>
      <c r="G840" s="455"/>
      <c r="H840" s="455"/>
      <c r="I840" s="455"/>
      <c r="J840" s="455"/>
    </row>
    <row r="841">
      <c r="A841" s="934"/>
      <c r="B841" s="557"/>
      <c r="C841" s="936"/>
      <c r="D841" s="439"/>
      <c r="E841" s="454"/>
      <c r="F841" s="455"/>
      <c r="G841" s="455"/>
      <c r="H841" s="455"/>
      <c r="I841" s="455"/>
      <c r="J841" s="455"/>
    </row>
    <row r="842">
      <c r="A842" s="934"/>
      <c r="B842" s="557"/>
      <c r="C842" s="936"/>
      <c r="D842" s="439"/>
      <c r="E842" s="454"/>
      <c r="F842" s="455"/>
      <c r="G842" s="455"/>
      <c r="H842" s="455"/>
      <c r="I842" s="455"/>
      <c r="J842" s="455"/>
    </row>
    <row r="843">
      <c r="A843" s="934"/>
      <c r="B843" s="557"/>
      <c r="C843" s="936"/>
      <c r="D843" s="439"/>
      <c r="E843" s="454"/>
      <c r="F843" s="455"/>
      <c r="G843" s="455"/>
      <c r="H843" s="455"/>
      <c r="I843" s="455"/>
      <c r="J843" s="455"/>
    </row>
    <row r="844">
      <c r="A844" s="934"/>
      <c r="B844" s="557"/>
      <c r="C844" s="936"/>
      <c r="D844" s="439"/>
      <c r="E844" s="454"/>
      <c r="F844" s="455"/>
      <c r="G844" s="455"/>
      <c r="H844" s="455"/>
      <c r="I844" s="455"/>
      <c r="J844" s="455"/>
    </row>
    <row r="845">
      <c r="A845" s="934"/>
      <c r="B845" s="557"/>
      <c r="C845" s="936"/>
      <c r="D845" s="439"/>
      <c r="E845" s="454"/>
      <c r="F845" s="455"/>
      <c r="G845" s="455"/>
      <c r="H845" s="455"/>
      <c r="I845" s="455"/>
      <c r="J845" s="455"/>
    </row>
    <row r="846">
      <c r="A846" s="934"/>
      <c r="B846" s="557"/>
      <c r="C846" s="936"/>
      <c r="D846" s="439"/>
      <c r="E846" s="454"/>
      <c r="F846" s="455"/>
      <c r="G846" s="455"/>
      <c r="H846" s="455"/>
      <c r="I846" s="455"/>
      <c r="J846" s="455"/>
    </row>
    <row r="847">
      <c r="A847" s="934"/>
      <c r="B847" s="557"/>
      <c r="C847" s="936"/>
      <c r="D847" s="439"/>
      <c r="E847" s="454"/>
      <c r="F847" s="455"/>
      <c r="G847" s="455"/>
      <c r="H847" s="455"/>
      <c r="I847" s="455"/>
      <c r="J847" s="455"/>
    </row>
    <row r="848">
      <c r="A848" s="934"/>
      <c r="B848" s="557"/>
      <c r="C848" s="936"/>
      <c r="D848" s="439"/>
      <c r="E848" s="454"/>
      <c r="F848" s="455"/>
      <c r="G848" s="455"/>
      <c r="H848" s="455"/>
      <c r="I848" s="455"/>
      <c r="J848" s="455"/>
    </row>
    <row r="849">
      <c r="A849" s="934"/>
      <c r="B849" s="557"/>
      <c r="C849" s="936"/>
      <c r="D849" s="439"/>
      <c r="E849" s="454"/>
      <c r="F849" s="455"/>
      <c r="G849" s="455"/>
      <c r="H849" s="455"/>
      <c r="I849" s="455"/>
      <c r="J849" s="455"/>
    </row>
    <row r="850">
      <c r="A850" s="934"/>
      <c r="B850" s="955"/>
      <c r="C850" s="936"/>
      <c r="D850" s="439"/>
      <c r="E850" s="454"/>
      <c r="F850" s="455"/>
      <c r="G850" s="455"/>
      <c r="H850" s="455"/>
      <c r="I850" s="455"/>
      <c r="J850" s="455"/>
    </row>
    <row r="851">
      <c r="A851" s="934"/>
      <c r="B851" s="557"/>
      <c r="C851" s="936"/>
      <c r="D851" s="439"/>
      <c r="E851" s="454"/>
      <c r="F851" s="455"/>
      <c r="G851" s="455"/>
      <c r="H851" s="455"/>
      <c r="I851" s="455"/>
      <c r="J851" s="455"/>
    </row>
    <row r="852">
      <c r="A852" s="934"/>
      <c r="B852" s="557"/>
      <c r="C852" s="936"/>
      <c r="D852" s="439"/>
      <c r="E852" s="454"/>
      <c r="F852" s="455"/>
      <c r="G852" s="455"/>
      <c r="H852" s="455"/>
      <c r="I852" s="455"/>
      <c r="J852" s="455"/>
    </row>
    <row r="853">
      <c r="A853" s="934"/>
      <c r="B853" s="557"/>
      <c r="C853" s="936"/>
      <c r="D853" s="439"/>
      <c r="E853" s="454"/>
      <c r="F853" s="455"/>
      <c r="G853" s="455"/>
      <c r="H853" s="455"/>
      <c r="I853" s="455"/>
      <c r="J853" s="455"/>
    </row>
    <row r="854">
      <c r="A854" s="934"/>
      <c r="B854" s="557"/>
      <c r="C854" s="936"/>
      <c r="D854" s="439"/>
      <c r="E854" s="454"/>
      <c r="F854" s="455"/>
      <c r="G854" s="455"/>
      <c r="H854" s="455"/>
      <c r="I854" s="455"/>
      <c r="J854" s="455"/>
    </row>
    <row r="855">
      <c r="A855" s="934"/>
      <c r="B855" s="557"/>
      <c r="C855" s="936"/>
      <c r="D855" s="439"/>
      <c r="E855" s="454"/>
      <c r="F855" s="455"/>
      <c r="G855" s="455"/>
      <c r="H855" s="455"/>
      <c r="I855" s="455"/>
      <c r="J855" s="455"/>
    </row>
    <row r="856">
      <c r="A856" s="934"/>
      <c r="B856" s="557"/>
      <c r="C856" s="936"/>
      <c r="D856" s="439"/>
      <c r="E856" s="454"/>
      <c r="F856" s="455"/>
      <c r="G856" s="455"/>
      <c r="H856" s="455"/>
      <c r="I856" s="455"/>
      <c r="J856" s="455"/>
    </row>
    <row r="857">
      <c r="A857" s="934"/>
      <c r="B857" s="557"/>
      <c r="C857" s="936"/>
      <c r="D857" s="439"/>
      <c r="E857" s="454"/>
      <c r="F857" s="455"/>
      <c r="G857" s="455"/>
      <c r="H857" s="455"/>
      <c r="I857" s="455"/>
      <c r="J857" s="455"/>
    </row>
    <row r="858">
      <c r="A858" s="934"/>
      <c r="B858" s="557"/>
      <c r="C858" s="936"/>
      <c r="D858" s="439"/>
      <c r="E858" s="454"/>
      <c r="F858" s="455"/>
      <c r="G858" s="455"/>
      <c r="H858" s="455"/>
      <c r="I858" s="455"/>
      <c r="J858" s="455"/>
    </row>
    <row r="859">
      <c r="A859" s="934"/>
      <c r="B859" s="557"/>
      <c r="C859" s="936"/>
      <c r="D859" s="439"/>
      <c r="E859" s="454"/>
      <c r="F859" s="455"/>
      <c r="G859" s="455"/>
      <c r="H859" s="455"/>
      <c r="I859" s="455"/>
      <c r="J859" s="455"/>
    </row>
    <row r="860">
      <c r="A860" s="934"/>
      <c r="B860" s="557"/>
      <c r="C860" s="936"/>
      <c r="D860" s="439"/>
      <c r="E860" s="454"/>
      <c r="F860" s="455"/>
      <c r="G860" s="455"/>
      <c r="H860" s="455"/>
      <c r="I860" s="455"/>
      <c r="J860" s="455"/>
    </row>
    <row r="861">
      <c r="A861" s="934"/>
      <c r="B861" s="557"/>
      <c r="C861" s="936"/>
      <c r="D861" s="439"/>
      <c r="E861" s="454"/>
      <c r="F861" s="455"/>
      <c r="G861" s="455"/>
      <c r="H861" s="455"/>
      <c r="I861" s="455"/>
      <c r="J861" s="455"/>
    </row>
    <row r="862">
      <c r="A862" s="934"/>
      <c r="B862" s="557"/>
      <c r="C862" s="936"/>
      <c r="D862" s="439"/>
      <c r="E862" s="454"/>
      <c r="F862" s="455"/>
      <c r="G862" s="455"/>
      <c r="H862" s="455"/>
      <c r="I862" s="455"/>
      <c r="J862" s="455"/>
    </row>
    <row r="863">
      <c r="A863" s="934"/>
      <c r="B863" s="955"/>
      <c r="C863" s="936"/>
      <c r="D863" s="439"/>
      <c r="E863" s="454"/>
      <c r="F863" s="455"/>
      <c r="G863" s="455"/>
      <c r="H863" s="455"/>
      <c r="I863" s="455"/>
      <c r="J863" s="455"/>
    </row>
    <row r="864">
      <c r="A864" s="934"/>
      <c r="B864" s="557"/>
      <c r="C864" s="936"/>
      <c r="D864" s="439"/>
      <c r="E864" s="454"/>
      <c r="F864" s="455"/>
      <c r="G864" s="455"/>
      <c r="H864" s="455"/>
      <c r="I864" s="455"/>
      <c r="J864" s="455"/>
    </row>
    <row r="865">
      <c r="A865" s="934"/>
      <c r="B865" s="557"/>
      <c r="C865" s="936"/>
      <c r="D865" s="439"/>
      <c r="E865" s="454"/>
      <c r="F865" s="455"/>
      <c r="G865" s="455"/>
      <c r="H865" s="455"/>
      <c r="I865" s="455"/>
      <c r="J865" s="455"/>
    </row>
    <row r="866">
      <c r="A866" s="934"/>
      <c r="B866" s="557"/>
      <c r="C866" s="936"/>
      <c r="D866" s="439"/>
      <c r="E866" s="454"/>
      <c r="F866" s="455"/>
      <c r="G866" s="455"/>
      <c r="H866" s="455"/>
      <c r="I866" s="455"/>
      <c r="J866" s="455"/>
    </row>
    <row r="867">
      <c r="A867" s="934"/>
      <c r="B867" s="557"/>
      <c r="C867" s="936"/>
      <c r="D867" s="439"/>
      <c r="E867" s="454"/>
      <c r="F867" s="455"/>
      <c r="G867" s="455"/>
      <c r="H867" s="455"/>
      <c r="I867" s="455"/>
      <c r="J867" s="455"/>
    </row>
    <row r="868">
      <c r="A868" s="934"/>
      <c r="B868" s="557"/>
      <c r="C868" s="936"/>
      <c r="D868" s="439"/>
      <c r="E868" s="454"/>
      <c r="F868" s="455"/>
      <c r="G868" s="455"/>
      <c r="H868" s="455"/>
      <c r="I868" s="455"/>
      <c r="J868" s="455"/>
    </row>
    <row r="869">
      <c r="A869" s="934"/>
      <c r="B869" s="557"/>
      <c r="C869" s="936"/>
      <c r="D869" s="439"/>
      <c r="E869" s="454"/>
      <c r="F869" s="455"/>
      <c r="G869" s="455"/>
      <c r="H869" s="455"/>
      <c r="I869" s="455"/>
      <c r="J869" s="455"/>
    </row>
    <row r="870">
      <c r="A870" s="934"/>
      <c r="B870" s="557"/>
      <c r="C870" s="936"/>
      <c r="D870" s="439"/>
      <c r="E870" s="454"/>
      <c r="F870" s="455"/>
      <c r="G870" s="455"/>
      <c r="H870" s="455"/>
      <c r="I870" s="455"/>
      <c r="J870" s="455"/>
    </row>
    <row r="871">
      <c r="A871" s="934"/>
      <c r="B871" s="557"/>
      <c r="C871" s="936"/>
      <c r="D871" s="439"/>
      <c r="E871" s="454"/>
      <c r="F871" s="455"/>
      <c r="G871" s="455"/>
      <c r="H871" s="455"/>
      <c r="I871" s="455"/>
      <c r="J871" s="455"/>
    </row>
    <row r="872">
      <c r="A872" s="934"/>
      <c r="B872" s="557"/>
      <c r="C872" s="936"/>
      <c r="D872" s="439"/>
      <c r="E872" s="454"/>
      <c r="F872" s="455"/>
      <c r="G872" s="455"/>
      <c r="H872" s="455"/>
      <c r="I872" s="455"/>
      <c r="J872" s="455"/>
    </row>
    <row r="873">
      <c r="A873" s="934"/>
      <c r="B873" s="557"/>
      <c r="C873" s="936"/>
      <c r="D873" s="439"/>
      <c r="E873" s="454"/>
      <c r="F873" s="455"/>
      <c r="G873" s="455"/>
      <c r="H873" s="455"/>
      <c r="I873" s="455"/>
      <c r="J873" s="455"/>
    </row>
    <row r="874">
      <c r="A874" s="934"/>
      <c r="B874" s="557"/>
      <c r="C874" s="936"/>
      <c r="D874" s="439"/>
      <c r="E874" s="454"/>
      <c r="F874" s="455"/>
      <c r="G874" s="455"/>
      <c r="H874" s="455"/>
      <c r="I874" s="455"/>
      <c r="J874" s="455"/>
    </row>
    <row r="875">
      <c r="A875" s="934"/>
      <c r="B875" s="557"/>
      <c r="C875" s="936"/>
      <c r="D875" s="439"/>
      <c r="E875" s="454"/>
      <c r="F875" s="455"/>
      <c r="G875" s="455"/>
      <c r="H875" s="455"/>
      <c r="I875" s="455"/>
      <c r="J875" s="455"/>
    </row>
    <row r="876">
      <c r="A876" s="934"/>
      <c r="B876" s="557"/>
      <c r="C876" s="936"/>
      <c r="D876" s="439"/>
      <c r="E876" s="454"/>
      <c r="F876" s="455"/>
      <c r="G876" s="455"/>
      <c r="H876" s="455"/>
      <c r="I876" s="455"/>
      <c r="J876" s="455"/>
    </row>
    <row r="877">
      <c r="A877" s="934"/>
      <c r="B877" s="557"/>
      <c r="C877" s="936"/>
      <c r="D877" s="439"/>
      <c r="E877" s="454"/>
      <c r="F877" s="455"/>
      <c r="G877" s="455"/>
      <c r="H877" s="455"/>
      <c r="I877" s="455"/>
      <c r="J877" s="455"/>
    </row>
    <row r="878">
      <c r="A878" s="934"/>
      <c r="B878" s="557"/>
      <c r="C878" s="936"/>
      <c r="D878" s="439"/>
      <c r="E878" s="454"/>
      <c r="F878" s="455"/>
      <c r="G878" s="455"/>
      <c r="H878" s="455"/>
      <c r="I878" s="455"/>
      <c r="J878" s="455"/>
    </row>
    <row r="879">
      <c r="A879" s="934"/>
      <c r="B879" s="557"/>
      <c r="C879" s="936"/>
      <c r="D879" s="439"/>
      <c r="E879" s="454"/>
      <c r="F879" s="455"/>
      <c r="G879" s="455"/>
      <c r="H879" s="455"/>
      <c r="I879" s="455"/>
      <c r="J879" s="455"/>
    </row>
    <row r="880">
      <c r="A880" s="934"/>
      <c r="B880" s="557"/>
      <c r="C880" s="936"/>
      <c r="D880" s="439"/>
      <c r="E880" s="454"/>
      <c r="F880" s="455"/>
      <c r="G880" s="455"/>
      <c r="H880" s="455"/>
      <c r="I880" s="455"/>
      <c r="J880" s="455"/>
    </row>
    <row r="881">
      <c r="A881" s="934"/>
      <c r="B881" s="557"/>
      <c r="C881" s="936"/>
      <c r="D881" s="439"/>
      <c r="E881" s="454"/>
      <c r="F881" s="455"/>
      <c r="G881" s="455"/>
      <c r="H881" s="455"/>
      <c r="I881" s="455"/>
      <c r="J881" s="455"/>
    </row>
    <row r="882">
      <c r="A882" s="934"/>
      <c r="B882" s="557"/>
      <c r="C882" s="936"/>
      <c r="D882" s="439"/>
      <c r="E882" s="454"/>
      <c r="F882" s="455"/>
      <c r="G882" s="455"/>
      <c r="H882" s="455"/>
      <c r="I882" s="455"/>
      <c r="J882" s="455"/>
    </row>
    <row r="883">
      <c r="A883" s="934"/>
      <c r="B883" s="557"/>
      <c r="C883" s="936"/>
      <c r="D883" s="439"/>
      <c r="E883" s="454"/>
      <c r="F883" s="455"/>
      <c r="G883" s="455"/>
      <c r="H883" s="455"/>
      <c r="I883" s="455"/>
      <c r="J883" s="455"/>
    </row>
    <row r="884">
      <c r="A884" s="934"/>
      <c r="B884" s="557"/>
      <c r="C884" s="936"/>
      <c r="D884" s="439"/>
      <c r="E884" s="454"/>
      <c r="F884" s="455"/>
      <c r="G884" s="455"/>
      <c r="H884" s="455"/>
      <c r="I884" s="455"/>
      <c r="J884" s="455"/>
    </row>
    <row r="885">
      <c r="A885" s="934"/>
      <c r="B885" s="557"/>
      <c r="C885" s="936"/>
      <c r="D885" s="439"/>
      <c r="E885" s="454"/>
      <c r="F885" s="455"/>
      <c r="G885" s="455"/>
      <c r="H885" s="455"/>
      <c r="I885" s="455"/>
      <c r="J885" s="455"/>
    </row>
    <row r="886">
      <c r="A886" s="934"/>
      <c r="B886" s="557"/>
      <c r="C886" s="936"/>
      <c r="D886" s="439"/>
      <c r="E886" s="454"/>
      <c r="F886" s="455"/>
      <c r="G886" s="455"/>
      <c r="H886" s="455"/>
      <c r="I886" s="455"/>
      <c r="J886" s="455"/>
    </row>
    <row r="887">
      <c r="A887" s="934"/>
      <c r="B887" s="557"/>
      <c r="C887" s="936"/>
      <c r="D887" s="439"/>
      <c r="E887" s="454"/>
      <c r="F887" s="455"/>
      <c r="G887" s="455"/>
      <c r="H887" s="455"/>
      <c r="I887" s="455"/>
      <c r="J887" s="455"/>
    </row>
    <row r="888">
      <c r="A888" s="934"/>
      <c r="B888" s="557"/>
      <c r="C888" s="936"/>
      <c r="D888" s="439"/>
      <c r="E888" s="454"/>
      <c r="F888" s="455"/>
      <c r="G888" s="455"/>
      <c r="H888" s="455"/>
      <c r="I888" s="455"/>
      <c r="J888" s="455"/>
    </row>
    <row r="889">
      <c r="A889" s="934"/>
      <c r="B889" s="557"/>
      <c r="C889" s="936"/>
      <c r="D889" s="439"/>
      <c r="E889" s="454"/>
      <c r="F889" s="455"/>
      <c r="G889" s="455"/>
      <c r="H889" s="455"/>
      <c r="I889" s="455"/>
      <c r="J889" s="455"/>
    </row>
    <row r="890">
      <c r="A890" s="934"/>
      <c r="B890" s="557"/>
      <c r="C890" s="936"/>
      <c r="D890" s="439"/>
      <c r="E890" s="454"/>
      <c r="F890" s="455"/>
      <c r="G890" s="455"/>
      <c r="H890" s="455"/>
      <c r="I890" s="455"/>
      <c r="J890" s="455"/>
    </row>
    <row r="891">
      <c r="A891" s="934"/>
      <c r="B891" s="557"/>
      <c r="C891" s="936"/>
      <c r="D891" s="439"/>
      <c r="E891" s="454"/>
      <c r="F891" s="455"/>
      <c r="G891" s="455"/>
      <c r="H891" s="455"/>
      <c r="I891" s="455"/>
      <c r="J891" s="455"/>
    </row>
    <row r="892">
      <c r="A892" s="934"/>
      <c r="B892" s="557"/>
      <c r="C892" s="936"/>
      <c r="D892" s="439"/>
      <c r="E892" s="454"/>
      <c r="F892" s="455"/>
      <c r="G892" s="455"/>
      <c r="H892" s="455"/>
      <c r="I892" s="455"/>
      <c r="J892" s="455"/>
    </row>
    <row r="893">
      <c r="A893" s="934"/>
      <c r="B893" s="557"/>
      <c r="C893" s="936"/>
      <c r="D893" s="439"/>
      <c r="E893" s="454"/>
      <c r="F893" s="455"/>
      <c r="G893" s="455"/>
      <c r="H893" s="455"/>
      <c r="I893" s="455"/>
      <c r="J893" s="455"/>
    </row>
    <row r="894">
      <c r="A894" s="934"/>
      <c r="B894" s="557"/>
      <c r="C894" s="936"/>
      <c r="D894" s="439"/>
      <c r="E894" s="454"/>
      <c r="F894" s="455"/>
      <c r="G894" s="455"/>
      <c r="H894" s="455"/>
      <c r="I894" s="455"/>
      <c r="J894" s="455"/>
    </row>
    <row r="895">
      <c r="A895" s="934"/>
      <c r="B895" s="557"/>
      <c r="C895" s="936"/>
      <c r="D895" s="439"/>
      <c r="E895" s="454"/>
      <c r="F895" s="455"/>
      <c r="G895" s="455"/>
      <c r="H895" s="455"/>
      <c r="I895" s="455"/>
      <c r="J895" s="455"/>
    </row>
    <row r="896">
      <c r="A896" s="934"/>
      <c r="B896" s="955"/>
      <c r="C896" s="936"/>
      <c r="D896" s="439"/>
      <c r="E896" s="454"/>
      <c r="F896" s="455"/>
      <c r="G896" s="455"/>
      <c r="H896" s="455"/>
      <c r="I896" s="455"/>
      <c r="J896" s="455"/>
    </row>
    <row r="897">
      <c r="A897" s="934"/>
      <c r="B897" s="557"/>
      <c r="C897" s="936"/>
      <c r="D897" s="439"/>
      <c r="E897" s="454"/>
      <c r="F897" s="455"/>
      <c r="G897" s="455"/>
      <c r="H897" s="455"/>
      <c r="I897" s="455"/>
      <c r="J897" s="455"/>
    </row>
    <row r="898">
      <c r="A898" s="934"/>
      <c r="B898" s="557"/>
      <c r="C898" s="936"/>
      <c r="D898" s="439"/>
      <c r="E898" s="454"/>
      <c r="F898" s="455"/>
      <c r="G898" s="455"/>
      <c r="H898" s="455"/>
      <c r="I898" s="455"/>
      <c r="J898" s="455"/>
    </row>
    <row r="899">
      <c r="A899" s="934"/>
      <c r="B899" s="557"/>
      <c r="C899" s="936"/>
      <c r="D899" s="439"/>
      <c r="E899" s="454"/>
      <c r="F899" s="455"/>
      <c r="G899" s="455"/>
      <c r="H899" s="455"/>
      <c r="I899" s="455"/>
      <c r="J899" s="455"/>
    </row>
    <row r="900">
      <c r="A900" s="934"/>
      <c r="B900" s="557"/>
      <c r="C900" s="936"/>
      <c r="D900" s="439"/>
      <c r="E900" s="454"/>
      <c r="F900" s="455"/>
      <c r="G900" s="455"/>
      <c r="H900" s="455"/>
      <c r="I900" s="455"/>
      <c r="J900" s="455"/>
    </row>
    <row r="901">
      <c r="A901" s="934"/>
      <c r="B901" s="557"/>
      <c r="C901" s="936"/>
      <c r="D901" s="439"/>
      <c r="E901" s="454"/>
      <c r="F901" s="455"/>
      <c r="G901" s="455"/>
      <c r="H901" s="455"/>
      <c r="I901" s="455"/>
      <c r="J901" s="455"/>
    </row>
    <row r="902">
      <c r="A902" s="934"/>
      <c r="B902" s="557"/>
      <c r="C902" s="936"/>
      <c r="D902" s="439"/>
      <c r="E902" s="454"/>
      <c r="F902" s="455"/>
      <c r="G902" s="455"/>
      <c r="H902" s="455"/>
      <c r="I902" s="455"/>
      <c r="J902" s="455"/>
    </row>
    <row r="903">
      <c r="A903" s="934"/>
      <c r="B903" s="557"/>
      <c r="C903" s="936"/>
      <c r="D903" s="439"/>
      <c r="E903" s="454"/>
      <c r="F903" s="455"/>
      <c r="G903" s="455"/>
      <c r="H903" s="455"/>
      <c r="I903" s="455"/>
      <c r="J903" s="455"/>
    </row>
    <row r="904">
      <c r="A904" s="934"/>
      <c r="B904" s="557"/>
      <c r="C904" s="936"/>
      <c r="D904" s="439"/>
      <c r="E904" s="454"/>
      <c r="F904" s="455"/>
      <c r="G904" s="455"/>
      <c r="H904" s="455"/>
      <c r="I904" s="455"/>
      <c r="J904" s="455"/>
    </row>
    <row r="905">
      <c r="A905" s="934"/>
      <c r="B905" s="557"/>
      <c r="C905" s="936"/>
      <c r="D905" s="439"/>
      <c r="E905" s="454"/>
      <c r="F905" s="455"/>
      <c r="G905" s="455"/>
      <c r="H905" s="455"/>
      <c r="I905" s="455"/>
      <c r="J905" s="455"/>
    </row>
    <row r="906">
      <c r="A906" s="934"/>
      <c r="B906" s="557"/>
      <c r="C906" s="936"/>
      <c r="D906" s="439"/>
      <c r="E906" s="454"/>
      <c r="F906" s="455"/>
      <c r="G906" s="455"/>
      <c r="H906" s="455"/>
      <c r="I906" s="455"/>
      <c r="J906" s="455"/>
    </row>
    <row r="907">
      <c r="A907" s="934"/>
      <c r="B907" s="557"/>
      <c r="C907" s="936"/>
      <c r="D907" s="439"/>
      <c r="E907" s="454"/>
      <c r="F907" s="455"/>
      <c r="G907" s="455"/>
      <c r="H907" s="455"/>
      <c r="I907" s="455"/>
      <c r="J907" s="455"/>
    </row>
    <row r="908">
      <c r="A908" s="934"/>
      <c r="B908" s="557"/>
      <c r="C908" s="936"/>
      <c r="D908" s="439"/>
      <c r="E908" s="454"/>
      <c r="F908" s="455"/>
      <c r="G908" s="455"/>
      <c r="H908" s="455"/>
      <c r="I908" s="455"/>
      <c r="J908" s="455"/>
    </row>
    <row r="909">
      <c r="A909" s="934"/>
      <c r="B909" s="557"/>
      <c r="C909" s="936"/>
      <c r="D909" s="439"/>
      <c r="E909" s="454"/>
      <c r="F909" s="455"/>
      <c r="G909" s="455"/>
      <c r="H909" s="455"/>
      <c r="I909" s="455"/>
      <c r="J909" s="455"/>
    </row>
    <row r="910">
      <c r="A910" s="934"/>
      <c r="B910" s="557"/>
      <c r="C910" s="936"/>
      <c r="D910" s="439"/>
      <c r="E910" s="454"/>
      <c r="F910" s="455"/>
      <c r="G910" s="455"/>
      <c r="H910" s="455"/>
      <c r="I910" s="455"/>
      <c r="J910" s="455"/>
    </row>
    <row r="911">
      <c r="A911" s="934"/>
      <c r="B911" s="557"/>
      <c r="C911" s="936"/>
      <c r="D911" s="439"/>
      <c r="E911" s="454"/>
      <c r="F911" s="455"/>
      <c r="G911" s="455"/>
      <c r="H911" s="455"/>
      <c r="I911" s="455"/>
      <c r="J911" s="455"/>
    </row>
    <row r="912">
      <c r="A912" s="934"/>
      <c r="B912" s="557"/>
      <c r="C912" s="936"/>
      <c r="D912" s="439"/>
      <c r="E912" s="454"/>
      <c r="F912" s="455"/>
      <c r="G912" s="455"/>
      <c r="H912" s="455"/>
      <c r="I912" s="455"/>
      <c r="J912" s="455"/>
    </row>
    <row r="913">
      <c r="A913" s="934"/>
      <c r="B913" s="955"/>
      <c r="C913" s="936"/>
      <c r="D913" s="439"/>
      <c r="E913" s="454"/>
      <c r="F913" s="455"/>
      <c r="G913" s="455"/>
      <c r="H913" s="455"/>
      <c r="I913" s="455"/>
      <c r="J913" s="455"/>
    </row>
    <row r="914">
      <c r="A914" s="934"/>
      <c r="B914" s="557"/>
      <c r="C914" s="936"/>
      <c r="D914" s="439"/>
      <c r="E914" s="454"/>
      <c r="F914" s="455"/>
      <c r="G914" s="455"/>
      <c r="H914" s="455"/>
      <c r="I914" s="455"/>
      <c r="J914" s="455"/>
    </row>
    <row r="915">
      <c r="A915" s="934"/>
      <c r="B915" s="557"/>
      <c r="C915" s="936"/>
      <c r="D915" s="439"/>
      <c r="E915" s="454"/>
      <c r="F915" s="455"/>
      <c r="G915" s="455"/>
      <c r="H915" s="455"/>
      <c r="I915" s="455"/>
      <c r="J915" s="455"/>
    </row>
    <row r="916">
      <c r="A916" s="934"/>
      <c r="B916" s="557"/>
      <c r="C916" s="936"/>
      <c r="D916" s="439"/>
      <c r="E916" s="454"/>
      <c r="F916" s="455"/>
      <c r="G916" s="455"/>
      <c r="H916" s="455"/>
      <c r="I916" s="455"/>
      <c r="J916" s="455"/>
    </row>
    <row r="917">
      <c r="A917" s="934"/>
      <c r="B917" s="557"/>
      <c r="C917" s="936"/>
      <c r="D917" s="439"/>
      <c r="E917" s="454"/>
      <c r="F917" s="455"/>
      <c r="G917" s="455"/>
      <c r="H917" s="455"/>
      <c r="I917" s="455"/>
      <c r="J917" s="455"/>
    </row>
    <row r="918">
      <c r="A918" s="934"/>
      <c r="B918" s="557"/>
      <c r="C918" s="936"/>
      <c r="D918" s="439"/>
      <c r="E918" s="454"/>
      <c r="F918" s="455"/>
      <c r="G918" s="455"/>
      <c r="H918" s="455"/>
      <c r="I918" s="455"/>
      <c r="J918" s="455"/>
    </row>
    <row r="919">
      <c r="A919" s="934"/>
      <c r="B919" s="557"/>
      <c r="C919" s="936"/>
      <c r="D919" s="439"/>
      <c r="E919" s="454"/>
      <c r="F919" s="455"/>
      <c r="G919" s="455"/>
      <c r="H919" s="455"/>
      <c r="I919" s="455"/>
      <c r="J919" s="455"/>
    </row>
    <row r="920">
      <c r="A920" s="934"/>
      <c r="B920" s="557"/>
      <c r="C920" s="936"/>
      <c r="D920" s="439"/>
      <c r="E920" s="454"/>
      <c r="F920" s="455"/>
      <c r="G920" s="455"/>
      <c r="H920" s="455"/>
      <c r="I920" s="455"/>
      <c r="J920" s="455"/>
    </row>
    <row r="921">
      <c r="A921" s="934"/>
      <c r="B921" s="557"/>
      <c r="C921" s="936"/>
      <c r="D921" s="439"/>
      <c r="E921" s="454"/>
      <c r="F921" s="455"/>
      <c r="G921" s="455"/>
      <c r="H921" s="455"/>
      <c r="I921" s="455"/>
      <c r="J921" s="455"/>
    </row>
    <row r="922">
      <c r="A922" s="934"/>
      <c r="B922" s="557"/>
      <c r="C922" s="936"/>
      <c r="D922" s="439"/>
      <c r="E922" s="454"/>
      <c r="F922" s="455"/>
      <c r="G922" s="455"/>
      <c r="H922" s="455"/>
      <c r="I922" s="455"/>
      <c r="J922" s="455"/>
    </row>
    <row r="923">
      <c r="A923" s="934"/>
      <c r="B923" s="557"/>
      <c r="C923" s="936"/>
      <c r="D923" s="439"/>
      <c r="E923" s="454"/>
      <c r="F923" s="455"/>
      <c r="G923" s="455"/>
      <c r="H923" s="455"/>
      <c r="I923" s="455"/>
      <c r="J923" s="455"/>
    </row>
    <row r="924">
      <c r="A924" s="934"/>
      <c r="B924" s="557"/>
      <c r="C924" s="936"/>
      <c r="D924" s="439"/>
      <c r="E924" s="454"/>
      <c r="F924" s="455"/>
      <c r="G924" s="455"/>
      <c r="H924" s="455"/>
      <c r="I924" s="455"/>
      <c r="J924" s="455"/>
    </row>
    <row r="925">
      <c r="A925" s="934"/>
      <c r="B925" s="557"/>
      <c r="C925" s="936"/>
      <c r="D925" s="439"/>
      <c r="E925" s="454"/>
      <c r="F925" s="455"/>
      <c r="G925" s="455"/>
      <c r="H925" s="455"/>
      <c r="I925" s="455"/>
      <c r="J925" s="455"/>
    </row>
    <row r="926">
      <c r="A926" s="934"/>
      <c r="B926" s="557"/>
      <c r="C926" s="936"/>
      <c r="D926" s="439"/>
      <c r="E926" s="454"/>
      <c r="F926" s="455"/>
      <c r="G926" s="455"/>
      <c r="H926" s="455"/>
      <c r="I926" s="455"/>
      <c r="J926" s="455"/>
    </row>
    <row r="927">
      <c r="A927" s="934"/>
      <c r="B927" s="557"/>
      <c r="C927" s="936"/>
      <c r="D927" s="439"/>
      <c r="E927" s="454"/>
      <c r="F927" s="455"/>
      <c r="G927" s="455"/>
      <c r="H927" s="455"/>
      <c r="I927" s="455"/>
      <c r="J927" s="455"/>
    </row>
    <row r="928">
      <c r="A928" s="934"/>
      <c r="B928" s="557"/>
      <c r="C928" s="936"/>
      <c r="D928" s="439"/>
      <c r="E928" s="454"/>
      <c r="F928" s="455"/>
      <c r="G928" s="455"/>
      <c r="H928" s="455"/>
      <c r="I928" s="455"/>
      <c r="J928" s="455"/>
    </row>
    <row r="929">
      <c r="A929" s="934"/>
      <c r="B929" s="557"/>
      <c r="C929" s="936"/>
      <c r="D929" s="439"/>
      <c r="E929" s="454"/>
      <c r="F929" s="455"/>
      <c r="G929" s="455"/>
      <c r="H929" s="455"/>
      <c r="I929" s="455"/>
      <c r="J929" s="455"/>
    </row>
    <row r="930">
      <c r="A930" s="934"/>
      <c r="B930" s="557"/>
      <c r="C930" s="936"/>
      <c r="D930" s="439"/>
      <c r="E930" s="454"/>
      <c r="F930" s="455"/>
      <c r="G930" s="455"/>
      <c r="H930" s="455"/>
      <c r="I930" s="455"/>
      <c r="J930" s="455"/>
    </row>
    <row r="931">
      <c r="A931" s="934"/>
      <c r="B931" s="557"/>
      <c r="C931" s="936"/>
      <c r="D931" s="439"/>
      <c r="E931" s="454"/>
      <c r="F931" s="455"/>
      <c r="G931" s="455"/>
      <c r="H931" s="455"/>
      <c r="I931" s="455"/>
      <c r="J931" s="455"/>
    </row>
    <row r="932">
      <c r="A932" s="934"/>
      <c r="B932" s="557"/>
      <c r="C932" s="936"/>
      <c r="D932" s="439"/>
      <c r="E932" s="454"/>
      <c r="F932" s="455"/>
      <c r="G932" s="455"/>
      <c r="H932" s="455"/>
      <c r="I932" s="455"/>
      <c r="J932" s="455"/>
    </row>
    <row r="933">
      <c r="A933" s="934"/>
      <c r="B933" s="557"/>
      <c r="C933" s="936"/>
      <c r="D933" s="439"/>
      <c r="E933" s="454"/>
      <c r="F933" s="455"/>
      <c r="G933" s="455"/>
      <c r="H933" s="455"/>
      <c r="I933" s="455"/>
      <c r="J933" s="455"/>
    </row>
    <row r="934">
      <c r="A934" s="934"/>
      <c r="B934" s="557"/>
      <c r="C934" s="936"/>
      <c r="D934" s="439"/>
      <c r="E934" s="454"/>
      <c r="F934" s="455"/>
      <c r="G934" s="455"/>
      <c r="H934" s="455"/>
      <c r="I934" s="455"/>
      <c r="J934" s="455"/>
    </row>
    <row r="935">
      <c r="A935" s="934"/>
      <c r="B935" s="557"/>
      <c r="C935" s="936"/>
      <c r="D935" s="439"/>
      <c r="E935" s="454"/>
      <c r="F935" s="455"/>
      <c r="G935" s="455"/>
      <c r="H935" s="455"/>
      <c r="I935" s="455"/>
      <c r="J935" s="455"/>
    </row>
    <row r="936">
      <c r="A936" s="934"/>
      <c r="B936" s="557"/>
      <c r="C936" s="936"/>
      <c r="D936" s="439"/>
      <c r="E936" s="454"/>
      <c r="F936" s="455"/>
      <c r="G936" s="455"/>
      <c r="H936" s="455"/>
      <c r="I936" s="455"/>
      <c r="J936" s="455"/>
    </row>
    <row r="937">
      <c r="A937" s="934"/>
      <c r="B937" s="557"/>
      <c r="C937" s="936"/>
      <c r="D937" s="439"/>
      <c r="E937" s="454"/>
      <c r="F937" s="455"/>
      <c r="G937" s="455"/>
      <c r="H937" s="455"/>
      <c r="I937" s="455"/>
      <c r="J937" s="455"/>
    </row>
    <row r="938">
      <c r="A938" s="934"/>
      <c r="B938" s="557"/>
      <c r="C938" s="936"/>
      <c r="D938" s="439"/>
      <c r="E938" s="454"/>
      <c r="F938" s="455"/>
      <c r="G938" s="455"/>
      <c r="H938" s="455"/>
      <c r="I938" s="455"/>
      <c r="J938" s="455"/>
    </row>
    <row r="939">
      <c r="A939" s="934"/>
      <c r="B939" s="557"/>
      <c r="C939" s="936"/>
      <c r="D939" s="439"/>
      <c r="E939" s="454"/>
      <c r="F939" s="455"/>
      <c r="G939" s="455"/>
      <c r="H939" s="455"/>
      <c r="I939" s="455"/>
      <c r="J939" s="455"/>
    </row>
    <row r="940">
      <c r="A940" s="934"/>
      <c r="B940" s="557"/>
      <c r="C940" s="936"/>
      <c r="D940" s="439"/>
      <c r="E940" s="454"/>
      <c r="F940" s="455"/>
      <c r="G940" s="455"/>
      <c r="H940" s="455"/>
      <c r="I940" s="455"/>
      <c r="J940" s="455"/>
    </row>
    <row r="941">
      <c r="A941" s="934"/>
      <c r="B941" s="557"/>
      <c r="C941" s="936"/>
      <c r="D941" s="439"/>
      <c r="E941" s="454"/>
      <c r="F941" s="455"/>
      <c r="G941" s="455"/>
      <c r="H941" s="455"/>
      <c r="I941" s="455"/>
      <c r="J941" s="455"/>
    </row>
    <row r="942">
      <c r="A942" s="934"/>
      <c r="B942" s="557"/>
      <c r="C942" s="936"/>
      <c r="D942" s="439"/>
      <c r="E942" s="454"/>
      <c r="F942" s="455"/>
      <c r="G942" s="455"/>
      <c r="H942" s="455"/>
      <c r="I942" s="455"/>
      <c r="J942" s="455"/>
    </row>
    <row r="943">
      <c r="A943" s="934"/>
      <c r="B943" s="557"/>
      <c r="C943" s="936"/>
      <c r="D943" s="439"/>
      <c r="E943" s="454"/>
      <c r="F943" s="455"/>
      <c r="G943" s="455"/>
      <c r="H943" s="455"/>
      <c r="I943" s="455"/>
      <c r="J943" s="455"/>
    </row>
    <row r="944">
      <c r="A944" s="934"/>
      <c r="B944" s="557"/>
      <c r="C944" s="936"/>
      <c r="D944" s="439"/>
      <c r="E944" s="454"/>
      <c r="F944" s="455"/>
      <c r="G944" s="455"/>
      <c r="H944" s="455"/>
      <c r="I944" s="455"/>
      <c r="J944" s="455"/>
    </row>
    <row r="945">
      <c r="A945" s="934"/>
      <c r="B945" s="557"/>
      <c r="C945" s="936"/>
      <c r="D945" s="439"/>
      <c r="E945" s="454"/>
      <c r="F945" s="455"/>
      <c r="G945" s="455"/>
      <c r="H945" s="455"/>
      <c r="I945" s="455"/>
      <c r="J945" s="455"/>
    </row>
    <row r="946">
      <c r="A946" s="934"/>
      <c r="B946" s="557"/>
      <c r="C946" s="936"/>
      <c r="D946" s="439"/>
      <c r="E946" s="454"/>
      <c r="F946" s="455"/>
      <c r="G946" s="455"/>
      <c r="H946" s="455"/>
      <c r="I946" s="455"/>
      <c r="J946" s="455"/>
    </row>
    <row r="947">
      <c r="A947" s="934"/>
      <c r="B947" s="557"/>
      <c r="C947" s="936"/>
      <c r="D947" s="439"/>
      <c r="E947" s="454"/>
      <c r="F947" s="455"/>
      <c r="G947" s="455"/>
      <c r="H947" s="455"/>
      <c r="I947" s="455"/>
      <c r="J947" s="455"/>
    </row>
    <row r="948">
      <c r="A948" s="934"/>
      <c r="B948" s="557"/>
      <c r="C948" s="936"/>
      <c r="D948" s="439"/>
      <c r="E948" s="454"/>
      <c r="F948" s="455"/>
      <c r="G948" s="455"/>
      <c r="H948" s="455"/>
      <c r="I948" s="455"/>
      <c r="J948" s="455"/>
    </row>
    <row r="949">
      <c r="A949" s="934"/>
      <c r="B949" s="557"/>
      <c r="C949" s="936"/>
      <c r="D949" s="439"/>
      <c r="E949" s="454"/>
      <c r="F949" s="455"/>
      <c r="G949" s="455"/>
      <c r="H949" s="455"/>
      <c r="I949" s="455"/>
      <c r="J949" s="455"/>
    </row>
    <row r="950">
      <c r="A950" s="934"/>
      <c r="B950" s="557"/>
      <c r="C950" s="936"/>
      <c r="D950" s="439"/>
      <c r="E950" s="454"/>
      <c r="F950" s="455"/>
      <c r="G950" s="455"/>
      <c r="H950" s="455"/>
      <c r="I950" s="455"/>
      <c r="J950" s="455"/>
    </row>
    <row r="951">
      <c r="A951" s="934"/>
      <c r="B951" s="557"/>
      <c r="C951" s="936"/>
      <c r="D951" s="439"/>
      <c r="E951" s="454"/>
      <c r="F951" s="455"/>
      <c r="G951" s="455"/>
      <c r="H951" s="455"/>
      <c r="I951" s="455"/>
      <c r="J951" s="455"/>
    </row>
    <row r="952">
      <c r="A952" s="934"/>
      <c r="B952" s="557"/>
      <c r="C952" s="936"/>
      <c r="D952" s="439"/>
      <c r="E952" s="454"/>
      <c r="F952" s="455"/>
      <c r="G952" s="455"/>
      <c r="H952" s="455"/>
      <c r="I952" s="455"/>
      <c r="J952" s="455"/>
    </row>
    <row r="953">
      <c r="A953" s="934"/>
      <c r="B953" s="557"/>
      <c r="C953" s="936"/>
      <c r="D953" s="439"/>
      <c r="E953" s="454"/>
      <c r="F953" s="455"/>
      <c r="G953" s="455"/>
      <c r="H953" s="455"/>
      <c r="I953" s="455"/>
      <c r="J953" s="455"/>
    </row>
    <row r="954">
      <c r="A954" s="934"/>
      <c r="B954" s="557"/>
      <c r="C954" s="936"/>
      <c r="D954" s="439"/>
      <c r="E954" s="454"/>
      <c r="F954" s="455"/>
      <c r="G954" s="455"/>
      <c r="H954" s="455"/>
      <c r="I954" s="455"/>
      <c r="J954" s="455"/>
    </row>
    <row r="955">
      <c r="A955" s="934"/>
      <c r="B955" s="557"/>
      <c r="C955" s="936"/>
      <c r="D955" s="439"/>
      <c r="E955" s="454"/>
      <c r="F955" s="455"/>
      <c r="G955" s="455"/>
      <c r="H955" s="455"/>
      <c r="I955" s="455"/>
      <c r="J955" s="455"/>
    </row>
    <row r="956">
      <c r="A956" s="934"/>
      <c r="B956" s="557"/>
      <c r="C956" s="936"/>
      <c r="D956" s="439"/>
      <c r="E956" s="454"/>
      <c r="F956" s="455"/>
      <c r="G956" s="455"/>
      <c r="H956" s="455"/>
      <c r="I956" s="455"/>
      <c r="J956" s="455"/>
    </row>
    <row r="957">
      <c r="A957" s="934"/>
      <c r="B957" s="557"/>
      <c r="C957" s="936"/>
      <c r="D957" s="439"/>
      <c r="E957" s="454"/>
      <c r="F957" s="455"/>
      <c r="G957" s="455"/>
      <c r="H957" s="455"/>
      <c r="I957" s="455"/>
      <c r="J957" s="455"/>
    </row>
    <row r="958">
      <c r="A958" s="934"/>
      <c r="B958" s="557"/>
      <c r="C958" s="936"/>
      <c r="D958" s="439"/>
      <c r="E958" s="454"/>
      <c r="F958" s="455"/>
      <c r="G958" s="455"/>
      <c r="H958" s="455"/>
      <c r="I958" s="455"/>
      <c r="J958" s="455"/>
    </row>
    <row r="959">
      <c r="A959" s="934"/>
      <c r="B959" s="557"/>
      <c r="C959" s="936"/>
      <c r="D959" s="439"/>
      <c r="E959" s="454"/>
      <c r="F959" s="455"/>
      <c r="G959" s="455"/>
      <c r="H959" s="455"/>
      <c r="I959" s="455"/>
      <c r="J959" s="455"/>
    </row>
    <row r="960">
      <c r="A960" s="934"/>
      <c r="B960" s="557"/>
      <c r="C960" s="936"/>
      <c r="D960" s="439"/>
      <c r="E960" s="454"/>
      <c r="F960" s="455"/>
      <c r="G960" s="455"/>
      <c r="H960" s="455"/>
      <c r="I960" s="455"/>
      <c r="J960" s="455"/>
    </row>
    <row r="961">
      <c r="A961" s="934"/>
      <c r="B961" s="557"/>
      <c r="C961" s="936"/>
      <c r="D961" s="439"/>
      <c r="E961" s="454"/>
      <c r="F961" s="455"/>
      <c r="G961" s="455"/>
      <c r="H961" s="455"/>
      <c r="I961" s="455"/>
      <c r="J961" s="455"/>
    </row>
    <row r="962">
      <c r="A962" s="934"/>
      <c r="B962" s="557"/>
      <c r="C962" s="936"/>
      <c r="D962" s="439"/>
      <c r="E962" s="454"/>
      <c r="F962" s="455"/>
      <c r="G962" s="455"/>
      <c r="H962" s="455"/>
      <c r="I962" s="455"/>
      <c r="J962" s="455"/>
    </row>
    <row r="963">
      <c r="A963" s="934"/>
      <c r="B963" s="557"/>
      <c r="C963" s="936"/>
      <c r="D963" s="439"/>
      <c r="E963" s="454"/>
      <c r="F963" s="455"/>
      <c r="G963" s="455"/>
      <c r="H963" s="455"/>
      <c r="I963" s="455"/>
      <c r="J963" s="455"/>
    </row>
    <row r="964">
      <c r="A964" s="934"/>
      <c r="B964" s="557"/>
      <c r="C964" s="936"/>
      <c r="D964" s="439"/>
      <c r="E964" s="454"/>
      <c r="F964" s="455"/>
      <c r="G964" s="455"/>
      <c r="H964" s="455"/>
      <c r="I964" s="455"/>
      <c r="J964" s="455"/>
    </row>
    <row r="965">
      <c r="A965" s="934"/>
      <c r="B965" s="557"/>
      <c r="C965" s="936"/>
      <c r="D965" s="439"/>
      <c r="E965" s="454"/>
      <c r="F965" s="455"/>
      <c r="G965" s="455"/>
      <c r="H965" s="455"/>
      <c r="I965" s="455"/>
      <c r="J965" s="455"/>
    </row>
    <row r="966">
      <c r="A966" s="934"/>
      <c r="B966" s="557"/>
      <c r="C966" s="936"/>
      <c r="D966" s="439"/>
      <c r="E966" s="454"/>
      <c r="F966" s="455"/>
      <c r="G966" s="455"/>
      <c r="H966" s="455"/>
      <c r="I966" s="455"/>
      <c r="J966" s="455"/>
    </row>
    <row r="967">
      <c r="A967" s="934"/>
      <c r="B967" s="557"/>
      <c r="C967" s="936"/>
      <c r="D967" s="439"/>
      <c r="E967" s="454"/>
      <c r="F967" s="455"/>
      <c r="G967" s="455"/>
      <c r="H967" s="455"/>
      <c r="I967" s="455"/>
      <c r="J967" s="455"/>
    </row>
    <row r="968">
      <c r="A968" s="934"/>
      <c r="B968" s="557"/>
      <c r="C968" s="936"/>
      <c r="D968" s="439"/>
      <c r="E968" s="454"/>
      <c r="F968" s="455"/>
      <c r="G968" s="455"/>
      <c r="H968" s="455"/>
      <c r="I968" s="455"/>
      <c r="J968" s="455"/>
    </row>
    <row r="969">
      <c r="A969" s="934"/>
      <c r="B969" s="557"/>
      <c r="C969" s="936"/>
      <c r="D969" s="439"/>
      <c r="E969" s="454"/>
      <c r="F969" s="455"/>
      <c r="G969" s="455"/>
      <c r="H969" s="455"/>
      <c r="I969" s="455"/>
      <c r="J969" s="455"/>
    </row>
    <row r="970">
      <c r="A970" s="934"/>
      <c r="B970" s="557"/>
      <c r="C970" s="936"/>
      <c r="D970" s="439"/>
      <c r="E970" s="454"/>
      <c r="F970" s="455"/>
      <c r="G970" s="455"/>
      <c r="H970" s="455"/>
      <c r="I970" s="455"/>
      <c r="J970" s="455"/>
    </row>
    <row r="971">
      <c r="A971" s="934"/>
      <c r="B971" s="557"/>
      <c r="C971" s="936"/>
      <c r="D971" s="439"/>
      <c r="E971" s="454"/>
      <c r="F971" s="455"/>
      <c r="G971" s="455"/>
      <c r="H971" s="455"/>
      <c r="I971" s="455"/>
      <c r="J971" s="455"/>
    </row>
    <row r="972">
      <c r="A972" s="934"/>
      <c r="B972" s="557"/>
      <c r="C972" s="936"/>
      <c r="D972" s="439"/>
      <c r="E972" s="454"/>
      <c r="F972" s="455"/>
      <c r="G972" s="455"/>
      <c r="H972" s="455"/>
      <c r="I972" s="455"/>
      <c r="J972" s="455"/>
    </row>
    <row r="973">
      <c r="A973" s="934"/>
      <c r="B973" s="557"/>
      <c r="C973" s="936"/>
      <c r="D973" s="439"/>
      <c r="E973" s="454"/>
      <c r="F973" s="455"/>
      <c r="G973" s="455"/>
      <c r="H973" s="455"/>
      <c r="I973" s="455"/>
      <c r="J973" s="455"/>
    </row>
    <row r="974">
      <c r="A974" s="934"/>
      <c r="B974" s="557"/>
      <c r="C974" s="936"/>
      <c r="D974" s="439"/>
      <c r="E974" s="454"/>
      <c r="F974" s="455"/>
      <c r="G974" s="455"/>
      <c r="H974" s="455"/>
      <c r="I974" s="455"/>
      <c r="J974" s="455"/>
    </row>
    <row r="975">
      <c r="A975" s="934"/>
      <c r="B975" s="557"/>
      <c r="C975" s="936"/>
      <c r="D975" s="439"/>
      <c r="E975" s="454"/>
      <c r="F975" s="455"/>
      <c r="G975" s="455"/>
      <c r="H975" s="455"/>
      <c r="I975" s="455"/>
      <c r="J975" s="455"/>
    </row>
    <row r="976">
      <c r="A976" s="934"/>
      <c r="B976" s="557"/>
      <c r="C976" s="936"/>
      <c r="D976" s="439"/>
      <c r="E976" s="454"/>
      <c r="F976" s="455"/>
      <c r="G976" s="455"/>
      <c r="H976" s="455"/>
      <c r="I976" s="455"/>
      <c r="J976" s="455"/>
    </row>
    <row r="977">
      <c r="A977" s="934"/>
      <c r="B977" s="557"/>
      <c r="C977" s="936"/>
      <c r="D977" s="439"/>
      <c r="E977" s="454"/>
      <c r="F977" s="455"/>
      <c r="G977" s="455"/>
      <c r="H977" s="455"/>
      <c r="I977" s="455"/>
      <c r="J977" s="455"/>
    </row>
    <row r="978">
      <c r="A978" s="934"/>
      <c r="B978" s="557"/>
      <c r="C978" s="936"/>
      <c r="D978" s="439"/>
      <c r="E978" s="454"/>
      <c r="F978" s="455"/>
      <c r="G978" s="455"/>
      <c r="H978" s="455"/>
      <c r="I978" s="455"/>
      <c r="J978" s="455"/>
    </row>
    <row r="979">
      <c r="A979" s="934"/>
      <c r="B979" s="557"/>
      <c r="C979" s="936"/>
      <c r="D979" s="439"/>
      <c r="E979" s="454"/>
      <c r="F979" s="455"/>
      <c r="G979" s="455"/>
      <c r="H979" s="455"/>
      <c r="I979" s="455"/>
      <c r="J979" s="455"/>
    </row>
    <row r="980">
      <c r="A980" s="934"/>
      <c r="B980" s="557"/>
      <c r="C980" s="936"/>
      <c r="D980" s="439"/>
      <c r="E980" s="454"/>
      <c r="F980" s="455"/>
      <c r="G980" s="455"/>
      <c r="H980" s="455"/>
      <c r="I980" s="455"/>
      <c r="J980" s="455"/>
    </row>
    <row r="981">
      <c r="A981" s="934"/>
      <c r="B981" s="557"/>
      <c r="C981" s="936"/>
      <c r="D981" s="439"/>
      <c r="E981" s="454"/>
      <c r="F981" s="455"/>
      <c r="G981" s="455"/>
      <c r="H981" s="455"/>
      <c r="I981" s="455"/>
      <c r="J981" s="455"/>
    </row>
    <row r="982">
      <c r="A982" s="934"/>
      <c r="B982" s="557"/>
      <c r="C982" s="936"/>
      <c r="D982" s="439"/>
      <c r="E982" s="454"/>
      <c r="F982" s="455"/>
      <c r="G982" s="455"/>
      <c r="H982" s="455"/>
      <c r="I982" s="455"/>
      <c r="J982" s="455"/>
    </row>
    <row r="983">
      <c r="A983" s="934"/>
      <c r="B983" s="557"/>
      <c r="C983" s="936"/>
      <c r="D983" s="439"/>
      <c r="E983" s="454"/>
      <c r="F983" s="455"/>
      <c r="G983" s="455"/>
      <c r="H983" s="455"/>
      <c r="I983" s="455"/>
      <c r="J983" s="455"/>
    </row>
    <row r="984">
      <c r="A984" s="934"/>
      <c r="B984" s="557"/>
      <c r="C984" s="936"/>
      <c r="D984" s="439"/>
      <c r="E984" s="454"/>
      <c r="F984" s="455"/>
      <c r="G984" s="455"/>
      <c r="H984" s="455"/>
      <c r="I984" s="455"/>
      <c r="J984" s="455"/>
    </row>
    <row r="985">
      <c r="A985" s="934"/>
      <c r="B985" s="557"/>
      <c r="C985" s="936"/>
      <c r="D985" s="439"/>
      <c r="E985" s="454"/>
      <c r="F985" s="455"/>
      <c r="G985" s="455"/>
      <c r="H985" s="455"/>
      <c r="I985" s="455"/>
      <c r="J985" s="455"/>
    </row>
    <row r="986">
      <c r="A986" s="934"/>
      <c r="B986" s="557"/>
      <c r="C986" s="936"/>
      <c r="D986" s="439"/>
      <c r="E986" s="454"/>
      <c r="F986" s="455"/>
      <c r="G986" s="455"/>
      <c r="H986" s="455"/>
      <c r="I986" s="455"/>
      <c r="J986" s="455"/>
    </row>
    <row r="987">
      <c r="A987" s="934"/>
      <c r="B987" s="557"/>
      <c r="C987" s="936"/>
      <c r="D987" s="439"/>
      <c r="E987" s="454"/>
      <c r="F987" s="455"/>
      <c r="G987" s="455"/>
      <c r="H987" s="455"/>
      <c r="I987" s="455"/>
      <c r="J987" s="455"/>
    </row>
    <row r="988">
      <c r="A988" s="934"/>
      <c r="B988" s="557"/>
      <c r="C988" s="936"/>
      <c r="D988" s="439"/>
      <c r="E988" s="454"/>
      <c r="F988" s="455"/>
      <c r="G988" s="455"/>
      <c r="H988" s="455"/>
      <c r="I988" s="455"/>
      <c r="J988" s="455"/>
    </row>
    <row r="989">
      <c r="A989" s="934"/>
      <c r="B989" s="557"/>
      <c r="C989" s="936"/>
      <c r="D989" s="439"/>
      <c r="E989" s="454"/>
      <c r="F989" s="455"/>
      <c r="G989" s="455"/>
      <c r="H989" s="455"/>
      <c r="I989" s="455"/>
      <c r="J989" s="455"/>
    </row>
    <row r="990">
      <c r="A990" s="934"/>
      <c r="B990" s="557"/>
      <c r="C990" s="936"/>
      <c r="D990" s="439"/>
      <c r="E990" s="454"/>
      <c r="F990" s="455"/>
      <c r="G990" s="455"/>
      <c r="H990" s="455"/>
      <c r="I990" s="455"/>
      <c r="J990" s="455"/>
    </row>
    <row r="991">
      <c r="A991" s="934"/>
      <c r="B991" s="557"/>
      <c r="C991" s="936"/>
      <c r="D991" s="439"/>
      <c r="E991" s="454"/>
      <c r="F991" s="455"/>
      <c r="G991" s="455"/>
      <c r="H991" s="455"/>
      <c r="I991" s="455"/>
      <c r="J991" s="455"/>
    </row>
    <row r="992">
      <c r="A992" s="934"/>
      <c r="B992" s="557"/>
      <c r="C992" s="936"/>
      <c r="D992" s="439"/>
      <c r="E992" s="454"/>
      <c r="F992" s="455"/>
      <c r="G992" s="455"/>
      <c r="H992" s="455"/>
      <c r="I992" s="455"/>
      <c r="J992" s="455"/>
    </row>
    <row r="993">
      <c r="A993" s="934"/>
      <c r="B993" s="557"/>
      <c r="C993" s="936"/>
      <c r="D993" s="439"/>
      <c r="E993" s="454"/>
      <c r="F993" s="455"/>
      <c r="G993" s="455"/>
      <c r="H993" s="455"/>
      <c r="I993" s="455"/>
      <c r="J993" s="455"/>
    </row>
    <row r="994">
      <c r="A994" s="934"/>
      <c r="B994" s="557"/>
      <c r="C994" s="936"/>
      <c r="D994" s="439"/>
      <c r="E994" s="454"/>
      <c r="F994" s="455"/>
      <c r="G994" s="455"/>
      <c r="H994" s="455"/>
      <c r="I994" s="455"/>
      <c r="J994" s="455"/>
    </row>
    <row r="995">
      <c r="A995" s="934"/>
      <c r="B995" s="557"/>
      <c r="C995" s="936"/>
      <c r="D995" s="439"/>
      <c r="E995" s="454"/>
      <c r="F995" s="455"/>
      <c r="G995" s="455"/>
      <c r="H995" s="455"/>
      <c r="I995" s="455"/>
      <c r="J995" s="455"/>
    </row>
    <row r="996">
      <c r="A996" s="934"/>
      <c r="B996" s="557"/>
      <c r="C996" s="936"/>
      <c r="D996" s="439"/>
      <c r="E996" s="454"/>
      <c r="F996" s="455"/>
      <c r="G996" s="455"/>
      <c r="H996" s="455"/>
      <c r="I996" s="455"/>
      <c r="J996" s="455"/>
    </row>
    <row r="997">
      <c r="A997" s="934"/>
      <c r="B997" s="557"/>
      <c r="C997" s="936"/>
      <c r="D997" s="439"/>
      <c r="E997" s="454"/>
      <c r="F997" s="455"/>
      <c r="G997" s="455"/>
      <c r="H997" s="455"/>
      <c r="I997" s="455"/>
      <c r="J997" s="455"/>
    </row>
    <row r="998">
      <c r="A998" s="934"/>
      <c r="B998" s="557"/>
      <c r="C998" s="936"/>
      <c r="D998" s="439"/>
      <c r="E998" s="454"/>
      <c r="F998" s="455"/>
      <c r="G998" s="455"/>
      <c r="H998" s="455"/>
      <c r="I998" s="455"/>
      <c r="J998" s="455"/>
    </row>
    <row r="999">
      <c r="A999" s="934"/>
      <c r="B999" s="557"/>
      <c r="C999" s="936"/>
      <c r="D999" s="439"/>
      <c r="E999" s="454"/>
      <c r="F999" s="455"/>
      <c r="G999" s="455"/>
      <c r="H999" s="455"/>
      <c r="I999" s="455"/>
      <c r="J999" s="455"/>
    </row>
    <row r="1000">
      <c r="A1000" s="934"/>
      <c r="B1000" s="557"/>
      <c r="C1000" s="936"/>
      <c r="D1000" s="439"/>
      <c r="E1000" s="454"/>
      <c r="F1000" s="455"/>
      <c r="G1000" s="455"/>
      <c r="H1000" s="455"/>
      <c r="I1000" s="455"/>
      <c r="J1000" s="455"/>
    </row>
    <row r="1001">
      <c r="A1001" s="934"/>
      <c r="B1001" s="557"/>
      <c r="C1001" s="936"/>
      <c r="D1001" s="439"/>
      <c r="E1001" s="454"/>
      <c r="F1001" s="455"/>
      <c r="G1001" s="455"/>
      <c r="H1001" s="455"/>
      <c r="I1001" s="455"/>
      <c r="J1001" s="455"/>
    </row>
    <row r="1002">
      <c r="A1002" s="934"/>
      <c r="B1002" s="557"/>
      <c r="C1002" s="936"/>
      <c r="D1002" s="439"/>
      <c r="E1002" s="454"/>
      <c r="F1002" s="455"/>
      <c r="G1002" s="455"/>
      <c r="H1002" s="455"/>
      <c r="I1002" s="455"/>
      <c r="J1002" s="455"/>
    </row>
    <row r="1003">
      <c r="A1003" s="934"/>
      <c r="B1003" s="557"/>
      <c r="C1003" s="936"/>
      <c r="D1003" s="439"/>
      <c r="E1003" s="454"/>
      <c r="F1003" s="455"/>
      <c r="G1003" s="455"/>
      <c r="H1003" s="455"/>
      <c r="I1003" s="455"/>
      <c r="J1003" s="455"/>
    </row>
    <row r="1004">
      <c r="A1004" s="934"/>
      <c r="B1004" s="557"/>
      <c r="C1004" s="936"/>
      <c r="D1004" s="439"/>
      <c r="E1004" s="454"/>
      <c r="F1004" s="455"/>
      <c r="G1004" s="455"/>
      <c r="H1004" s="455"/>
      <c r="I1004" s="455"/>
      <c r="J1004" s="455"/>
    </row>
    <row r="1005">
      <c r="A1005" s="934"/>
      <c r="B1005" s="557"/>
      <c r="C1005" s="936"/>
      <c r="D1005" s="439"/>
      <c r="E1005" s="454"/>
      <c r="F1005" s="455"/>
      <c r="G1005" s="455"/>
      <c r="H1005" s="455"/>
      <c r="I1005" s="455"/>
      <c r="J1005" s="455"/>
    </row>
    <row r="1006">
      <c r="A1006" s="934"/>
      <c r="B1006" s="557"/>
      <c r="C1006" s="936"/>
      <c r="D1006" s="439"/>
      <c r="E1006" s="454"/>
      <c r="F1006" s="455"/>
      <c r="G1006" s="455"/>
      <c r="H1006" s="455"/>
      <c r="I1006" s="455"/>
      <c r="J1006" s="455"/>
    </row>
    <row r="1007">
      <c r="A1007" s="934"/>
      <c r="B1007" s="557"/>
      <c r="C1007" s="936"/>
      <c r="D1007" s="439"/>
      <c r="E1007" s="454"/>
      <c r="F1007" s="455"/>
      <c r="G1007" s="455"/>
      <c r="H1007" s="455"/>
      <c r="I1007" s="455"/>
      <c r="J1007" s="455"/>
    </row>
    <row r="1008">
      <c r="A1008" s="934"/>
      <c r="B1008" s="557"/>
      <c r="C1008" s="936"/>
      <c r="D1008" s="439"/>
      <c r="E1008" s="454"/>
      <c r="F1008" s="455"/>
      <c r="G1008" s="455"/>
      <c r="H1008" s="455"/>
      <c r="I1008" s="455"/>
      <c r="J1008" s="455"/>
    </row>
    <row r="1009">
      <c r="A1009" s="934"/>
      <c r="B1009" s="557"/>
      <c r="C1009" s="936"/>
      <c r="D1009" s="439"/>
      <c r="E1009" s="454"/>
      <c r="F1009" s="455"/>
      <c r="G1009" s="455"/>
      <c r="H1009" s="455"/>
      <c r="I1009" s="455"/>
      <c r="J1009" s="455"/>
    </row>
    <row r="1010">
      <c r="A1010" s="934"/>
      <c r="B1010" s="557"/>
      <c r="C1010" s="936"/>
      <c r="D1010" s="439"/>
      <c r="E1010" s="454"/>
      <c r="F1010" s="455"/>
      <c r="G1010" s="455"/>
      <c r="H1010" s="455"/>
      <c r="I1010" s="455"/>
      <c r="J1010" s="455"/>
    </row>
    <row r="1011">
      <c r="A1011" s="934"/>
      <c r="B1011" s="557"/>
      <c r="C1011" s="936"/>
      <c r="D1011" s="439"/>
      <c r="E1011" s="454"/>
      <c r="F1011" s="455"/>
      <c r="G1011" s="455"/>
      <c r="H1011" s="455"/>
      <c r="I1011" s="455"/>
      <c r="J1011" s="455"/>
    </row>
    <row r="1012">
      <c r="A1012" s="934"/>
      <c r="B1012" s="557"/>
      <c r="C1012" s="936"/>
      <c r="D1012" s="439"/>
      <c r="E1012" s="454"/>
      <c r="F1012" s="455"/>
      <c r="G1012" s="455"/>
      <c r="H1012" s="455"/>
      <c r="I1012" s="455"/>
      <c r="J1012" s="455"/>
    </row>
    <row r="1013">
      <c r="A1013" s="934"/>
      <c r="B1013" s="557"/>
      <c r="C1013" s="936"/>
      <c r="D1013" s="439"/>
      <c r="E1013" s="454"/>
      <c r="F1013" s="455"/>
      <c r="G1013" s="455"/>
      <c r="H1013" s="455"/>
      <c r="I1013" s="455"/>
      <c r="J1013" s="455"/>
    </row>
    <row r="1014">
      <c r="A1014" s="934"/>
      <c r="B1014" s="557"/>
      <c r="C1014" s="936"/>
      <c r="D1014" s="439"/>
      <c r="E1014" s="454"/>
      <c r="F1014" s="455"/>
      <c r="G1014" s="455"/>
      <c r="H1014" s="455"/>
      <c r="I1014" s="455"/>
      <c r="J1014" s="455"/>
    </row>
    <row r="1015">
      <c r="A1015" s="934"/>
      <c r="B1015" s="557"/>
      <c r="C1015" s="936"/>
      <c r="D1015" s="439"/>
      <c r="E1015" s="454"/>
      <c r="F1015" s="455"/>
      <c r="G1015" s="455"/>
      <c r="H1015" s="455"/>
      <c r="I1015" s="455"/>
      <c r="J1015" s="455"/>
    </row>
    <row r="1016">
      <c r="A1016" s="934"/>
      <c r="B1016" s="557"/>
      <c r="C1016" s="936"/>
      <c r="D1016" s="439"/>
      <c r="E1016" s="454"/>
      <c r="F1016" s="455"/>
      <c r="G1016" s="455"/>
      <c r="H1016" s="455"/>
      <c r="I1016" s="455"/>
      <c r="J1016" s="455"/>
    </row>
    <row r="1017">
      <c r="A1017" s="934"/>
      <c r="B1017" s="557"/>
      <c r="C1017" s="936"/>
      <c r="D1017" s="439"/>
      <c r="E1017" s="454"/>
      <c r="F1017" s="455"/>
      <c r="G1017" s="455"/>
      <c r="H1017" s="455"/>
      <c r="I1017" s="455"/>
      <c r="J1017" s="455"/>
    </row>
    <row r="1018">
      <c r="A1018" s="934"/>
      <c r="B1018" s="557"/>
      <c r="C1018" s="936"/>
      <c r="D1018" s="439"/>
      <c r="E1018" s="454"/>
      <c r="F1018" s="455"/>
      <c r="G1018" s="455"/>
      <c r="H1018" s="455"/>
      <c r="I1018" s="455"/>
      <c r="J1018" s="455"/>
    </row>
    <row r="1019">
      <c r="A1019" s="934"/>
      <c r="B1019" s="557"/>
      <c r="C1019" s="936"/>
      <c r="D1019" s="439"/>
      <c r="E1019" s="454"/>
      <c r="F1019" s="455"/>
      <c r="G1019" s="455"/>
      <c r="H1019" s="455"/>
      <c r="I1019" s="455"/>
      <c r="J1019" s="455"/>
    </row>
    <row r="1020">
      <c r="A1020" s="934"/>
      <c r="B1020" s="955"/>
      <c r="C1020" s="936"/>
      <c r="D1020" s="439"/>
      <c r="E1020" s="454"/>
      <c r="F1020" s="455"/>
      <c r="G1020" s="455"/>
      <c r="H1020" s="455"/>
      <c r="I1020" s="455"/>
      <c r="J1020" s="455"/>
    </row>
    <row r="1021">
      <c r="A1021" s="934"/>
      <c r="B1021" s="557"/>
      <c r="C1021" s="936"/>
      <c r="D1021" s="439"/>
      <c r="E1021" s="454"/>
      <c r="F1021" s="455"/>
      <c r="G1021" s="455"/>
      <c r="H1021" s="455"/>
      <c r="I1021" s="455"/>
      <c r="J1021" s="455"/>
    </row>
    <row r="1022">
      <c r="A1022" s="934"/>
      <c r="B1022" s="557"/>
      <c r="C1022" s="936"/>
      <c r="D1022" s="439"/>
      <c r="E1022" s="454"/>
      <c r="F1022" s="455"/>
      <c r="G1022" s="455"/>
      <c r="H1022" s="455"/>
      <c r="I1022" s="455"/>
      <c r="J1022" s="455"/>
    </row>
    <row r="1023">
      <c r="A1023" s="934"/>
      <c r="B1023" s="557"/>
      <c r="C1023" s="936"/>
      <c r="D1023" s="439"/>
      <c r="E1023" s="454"/>
      <c r="F1023" s="455"/>
      <c r="G1023" s="455"/>
      <c r="H1023" s="455"/>
      <c r="I1023" s="455"/>
      <c r="J1023" s="455"/>
    </row>
    <row r="1024">
      <c r="A1024" s="934"/>
      <c r="B1024" s="557"/>
      <c r="C1024" s="936"/>
      <c r="D1024" s="439"/>
      <c r="E1024" s="454"/>
      <c r="F1024" s="455"/>
      <c r="G1024" s="455"/>
      <c r="H1024" s="455"/>
      <c r="I1024" s="455"/>
      <c r="J1024" s="455"/>
    </row>
    <row r="1025">
      <c r="A1025" s="934"/>
      <c r="B1025" s="557"/>
      <c r="C1025" s="936"/>
      <c r="D1025" s="439"/>
      <c r="E1025" s="454"/>
      <c r="F1025" s="455"/>
      <c r="G1025" s="455"/>
      <c r="H1025" s="455"/>
      <c r="I1025" s="455"/>
      <c r="J1025" s="455"/>
    </row>
    <row r="1026">
      <c r="A1026" s="934"/>
      <c r="B1026" s="557"/>
      <c r="C1026" s="936"/>
      <c r="D1026" s="439"/>
      <c r="E1026" s="454"/>
      <c r="F1026" s="455"/>
      <c r="G1026" s="455"/>
      <c r="H1026" s="455"/>
      <c r="I1026" s="455"/>
      <c r="J1026" s="455"/>
    </row>
    <row r="1027">
      <c r="A1027" s="934"/>
      <c r="B1027" s="557"/>
      <c r="C1027" s="936"/>
      <c r="D1027" s="439"/>
      <c r="E1027" s="454"/>
      <c r="F1027" s="455"/>
      <c r="G1027" s="455"/>
      <c r="H1027" s="455"/>
      <c r="I1027" s="455"/>
      <c r="J1027" s="455"/>
    </row>
    <row r="1028">
      <c r="A1028" s="934"/>
      <c r="B1028" s="557"/>
      <c r="C1028" s="936"/>
      <c r="D1028" s="439"/>
      <c r="E1028" s="454"/>
      <c r="F1028" s="455"/>
      <c r="G1028" s="455"/>
      <c r="H1028" s="455"/>
      <c r="I1028" s="455"/>
      <c r="J1028" s="455"/>
    </row>
    <row r="1029">
      <c r="A1029" s="934"/>
      <c r="B1029" s="557"/>
      <c r="C1029" s="936"/>
      <c r="D1029" s="439"/>
      <c r="E1029" s="454"/>
      <c r="F1029" s="455"/>
      <c r="G1029" s="455"/>
      <c r="H1029" s="455"/>
      <c r="I1029" s="455"/>
      <c r="J1029" s="455"/>
    </row>
    <row r="1030">
      <c r="A1030" s="934"/>
      <c r="B1030" s="557"/>
      <c r="C1030" s="936"/>
      <c r="D1030" s="439"/>
      <c r="E1030" s="454"/>
      <c r="F1030" s="455"/>
      <c r="G1030" s="455"/>
      <c r="H1030" s="455"/>
      <c r="I1030" s="455"/>
      <c r="J1030" s="455"/>
    </row>
    <row r="1031">
      <c r="A1031" s="934"/>
      <c r="B1031" s="557"/>
      <c r="C1031" s="936"/>
      <c r="D1031" s="439"/>
      <c r="E1031" s="454"/>
      <c r="F1031" s="455"/>
      <c r="G1031" s="455"/>
      <c r="H1031" s="455"/>
      <c r="I1031" s="455"/>
      <c r="J1031" s="455"/>
    </row>
    <row r="1032">
      <c r="A1032" s="934"/>
      <c r="B1032" s="557"/>
      <c r="C1032" s="936"/>
      <c r="D1032" s="439"/>
      <c r="E1032" s="454"/>
      <c r="F1032" s="455"/>
      <c r="G1032" s="455"/>
      <c r="H1032" s="455"/>
      <c r="I1032" s="455"/>
      <c r="J1032" s="455"/>
    </row>
    <row r="1033">
      <c r="A1033" s="934"/>
      <c r="B1033" s="557"/>
      <c r="C1033" s="936"/>
      <c r="D1033" s="439"/>
      <c r="E1033" s="454"/>
      <c r="F1033" s="455"/>
      <c r="G1033" s="455"/>
      <c r="H1033" s="455"/>
      <c r="I1033" s="455"/>
      <c r="J1033" s="455"/>
    </row>
    <row r="1034">
      <c r="A1034" s="934"/>
      <c r="B1034" s="557"/>
      <c r="C1034" s="936"/>
      <c r="D1034" s="439"/>
      <c r="E1034" s="454"/>
      <c r="F1034" s="455"/>
      <c r="G1034" s="455"/>
      <c r="H1034" s="455"/>
      <c r="I1034" s="455"/>
      <c r="J1034" s="455"/>
    </row>
    <row r="1035">
      <c r="A1035" s="934"/>
      <c r="B1035" s="557"/>
      <c r="C1035" s="936"/>
      <c r="D1035" s="439"/>
      <c r="E1035" s="454"/>
      <c r="F1035" s="455"/>
      <c r="G1035" s="455"/>
      <c r="H1035" s="455"/>
      <c r="I1035" s="455"/>
      <c r="J1035" s="455"/>
    </row>
    <row r="1036">
      <c r="A1036" s="934"/>
      <c r="B1036" s="557"/>
      <c r="C1036" s="936"/>
      <c r="D1036" s="439"/>
      <c r="E1036" s="454"/>
      <c r="F1036" s="455"/>
      <c r="G1036" s="455"/>
      <c r="H1036" s="455"/>
      <c r="I1036" s="455"/>
      <c r="J1036" s="455"/>
    </row>
    <row r="1037">
      <c r="A1037" s="934"/>
      <c r="B1037" s="557"/>
      <c r="C1037" s="936"/>
      <c r="D1037" s="439"/>
      <c r="E1037" s="454"/>
      <c r="F1037" s="455"/>
      <c r="G1037" s="455"/>
      <c r="H1037" s="455"/>
      <c r="I1037" s="455"/>
      <c r="J1037" s="455"/>
    </row>
    <row r="1038">
      <c r="A1038" s="934"/>
      <c r="B1038" s="557"/>
      <c r="C1038" s="936"/>
      <c r="D1038" s="439"/>
      <c r="E1038" s="454"/>
      <c r="F1038" s="455"/>
      <c r="G1038" s="455"/>
      <c r="H1038" s="455"/>
      <c r="I1038" s="455"/>
      <c r="J1038" s="455"/>
    </row>
    <row r="1039">
      <c r="A1039" s="934"/>
      <c r="B1039" s="557"/>
      <c r="C1039" s="936"/>
      <c r="D1039" s="439"/>
      <c r="E1039" s="454"/>
      <c r="F1039" s="455"/>
      <c r="G1039" s="455"/>
      <c r="H1039" s="455"/>
      <c r="I1039" s="455"/>
      <c r="J1039" s="455"/>
    </row>
    <row r="1040">
      <c r="A1040" s="934"/>
      <c r="B1040" s="557"/>
      <c r="C1040" s="936"/>
      <c r="D1040" s="439"/>
      <c r="E1040" s="454"/>
      <c r="F1040" s="455"/>
      <c r="G1040" s="455"/>
      <c r="H1040" s="455"/>
      <c r="I1040" s="455"/>
      <c r="J1040" s="455"/>
    </row>
    <row r="1041">
      <c r="A1041" s="934"/>
      <c r="B1041" s="557"/>
      <c r="C1041" s="936"/>
      <c r="D1041" s="439"/>
      <c r="E1041" s="454"/>
      <c r="F1041" s="455"/>
      <c r="G1041" s="455"/>
      <c r="H1041" s="455"/>
      <c r="I1041" s="455"/>
      <c r="J1041" s="455"/>
    </row>
    <row r="1042">
      <c r="A1042" s="934"/>
      <c r="B1042" s="557"/>
      <c r="C1042" s="936"/>
      <c r="D1042" s="439"/>
      <c r="E1042" s="454"/>
      <c r="F1042" s="455"/>
      <c r="G1042" s="455"/>
      <c r="H1042" s="455"/>
      <c r="I1042" s="455"/>
      <c r="J1042" s="455"/>
    </row>
    <row r="1043">
      <c r="A1043" s="934"/>
      <c r="B1043" s="557"/>
      <c r="C1043" s="936"/>
      <c r="D1043" s="439"/>
      <c r="E1043" s="454"/>
      <c r="F1043" s="455"/>
      <c r="G1043" s="455"/>
      <c r="H1043" s="455"/>
      <c r="I1043" s="455"/>
      <c r="J1043" s="455"/>
    </row>
    <row r="1044">
      <c r="A1044" s="934"/>
      <c r="B1044" s="557"/>
      <c r="C1044" s="936"/>
      <c r="D1044" s="439"/>
      <c r="E1044" s="454"/>
      <c r="F1044" s="455"/>
      <c r="G1044" s="455"/>
      <c r="H1044" s="455"/>
      <c r="I1044" s="455"/>
      <c r="J1044" s="455"/>
    </row>
    <row r="1045">
      <c r="A1045" s="934"/>
      <c r="B1045" s="557"/>
      <c r="C1045" s="936"/>
      <c r="D1045" s="439"/>
      <c r="E1045" s="454"/>
      <c r="F1045" s="455"/>
      <c r="G1045" s="455"/>
      <c r="H1045" s="455"/>
      <c r="I1045" s="455"/>
      <c r="J1045" s="455"/>
    </row>
    <row r="1046">
      <c r="A1046" s="934"/>
      <c r="B1046" s="557"/>
      <c r="C1046" s="936"/>
      <c r="D1046" s="439"/>
      <c r="E1046" s="454"/>
      <c r="F1046" s="455"/>
      <c r="G1046" s="455"/>
      <c r="H1046" s="455"/>
      <c r="I1046" s="455"/>
      <c r="J1046" s="455"/>
    </row>
    <row r="1047">
      <c r="A1047" s="934"/>
      <c r="B1047" s="557"/>
      <c r="C1047" s="936"/>
      <c r="D1047" s="439"/>
      <c r="E1047" s="454"/>
      <c r="F1047" s="455"/>
      <c r="G1047" s="455"/>
      <c r="H1047" s="455"/>
      <c r="I1047" s="455"/>
      <c r="J1047" s="455"/>
    </row>
    <row r="1048">
      <c r="A1048" s="934"/>
      <c r="B1048" s="557"/>
      <c r="C1048" s="936"/>
      <c r="D1048" s="439"/>
      <c r="E1048" s="454"/>
      <c r="F1048" s="455"/>
      <c r="G1048" s="455"/>
      <c r="H1048" s="455"/>
      <c r="I1048" s="455"/>
      <c r="J1048" s="455"/>
    </row>
    <row r="1049">
      <c r="A1049" s="934"/>
      <c r="B1049" s="557"/>
      <c r="C1049" s="936"/>
      <c r="D1049" s="439"/>
      <c r="E1049" s="454"/>
      <c r="F1049" s="455"/>
      <c r="G1049" s="455"/>
      <c r="H1049" s="455"/>
      <c r="I1049" s="455"/>
      <c r="J1049" s="455"/>
    </row>
    <row r="1050">
      <c r="A1050" s="934"/>
      <c r="B1050" s="557"/>
      <c r="C1050" s="936"/>
      <c r="D1050" s="439"/>
      <c r="E1050" s="454"/>
      <c r="F1050" s="455"/>
      <c r="G1050" s="455"/>
      <c r="H1050" s="455"/>
      <c r="I1050" s="455"/>
      <c r="J1050" s="455"/>
    </row>
    <row r="1051">
      <c r="A1051" s="934"/>
      <c r="B1051" s="557"/>
      <c r="C1051" s="936"/>
      <c r="D1051" s="439"/>
      <c r="E1051" s="454"/>
      <c r="F1051" s="455"/>
      <c r="G1051" s="455"/>
      <c r="H1051" s="455"/>
      <c r="I1051" s="455"/>
      <c r="J1051" s="455"/>
    </row>
    <row r="1052">
      <c r="A1052" s="934"/>
      <c r="B1052" s="557"/>
      <c r="C1052" s="936"/>
      <c r="D1052" s="439"/>
      <c r="E1052" s="454"/>
      <c r="F1052" s="455"/>
      <c r="G1052" s="455"/>
      <c r="H1052" s="455"/>
      <c r="I1052" s="455"/>
      <c r="J1052" s="455"/>
    </row>
    <row r="1053">
      <c r="A1053" s="934"/>
      <c r="B1053" s="557"/>
      <c r="C1053" s="936"/>
      <c r="D1053" s="439"/>
      <c r="E1053" s="454"/>
      <c r="F1053" s="455"/>
      <c r="G1053" s="455"/>
      <c r="H1053" s="455"/>
      <c r="I1053" s="455"/>
      <c r="J1053" s="455"/>
    </row>
    <row r="1054">
      <c r="A1054" s="934"/>
      <c r="B1054" s="557"/>
      <c r="C1054" s="936"/>
      <c r="D1054" s="439"/>
      <c r="E1054" s="454"/>
      <c r="F1054" s="455"/>
      <c r="G1054" s="455"/>
      <c r="H1054" s="455"/>
      <c r="I1054" s="455"/>
      <c r="J1054" s="455"/>
    </row>
    <row r="1055">
      <c r="A1055" s="934"/>
      <c r="B1055" s="557"/>
      <c r="C1055" s="936"/>
      <c r="D1055" s="439"/>
      <c r="E1055" s="454"/>
      <c r="F1055" s="455"/>
      <c r="G1055" s="455"/>
      <c r="H1055" s="455"/>
      <c r="I1055" s="455"/>
      <c r="J1055" s="455"/>
    </row>
    <row r="1056">
      <c r="A1056" s="934"/>
      <c r="B1056" s="557"/>
      <c r="C1056" s="936"/>
      <c r="D1056" s="439"/>
      <c r="E1056" s="454"/>
      <c r="F1056" s="455"/>
      <c r="G1056" s="455"/>
      <c r="H1056" s="455"/>
      <c r="I1056" s="455"/>
      <c r="J1056" s="455"/>
    </row>
    <row r="1057">
      <c r="A1057" s="934"/>
      <c r="B1057" s="557"/>
      <c r="C1057" s="936"/>
      <c r="D1057" s="439"/>
      <c r="E1057" s="454"/>
      <c r="F1057" s="455"/>
      <c r="G1057" s="455"/>
      <c r="H1057" s="455"/>
      <c r="I1057" s="455"/>
      <c r="J1057" s="455"/>
    </row>
    <row r="1058">
      <c r="A1058" s="934"/>
      <c r="B1058" s="557"/>
      <c r="C1058" s="936"/>
      <c r="D1058" s="439"/>
      <c r="E1058" s="454"/>
      <c r="F1058" s="455"/>
      <c r="G1058" s="455"/>
      <c r="H1058" s="455"/>
      <c r="I1058" s="455"/>
      <c r="J1058" s="455"/>
    </row>
    <row r="1059">
      <c r="A1059" s="934"/>
      <c r="B1059" s="557"/>
      <c r="C1059" s="936"/>
      <c r="D1059" s="439"/>
      <c r="E1059" s="454"/>
      <c r="F1059" s="455"/>
      <c r="G1059" s="455"/>
      <c r="H1059" s="455"/>
      <c r="I1059" s="455"/>
      <c r="J1059" s="455"/>
    </row>
    <row r="1060">
      <c r="A1060" s="934"/>
      <c r="B1060" s="557"/>
      <c r="C1060" s="936"/>
      <c r="D1060" s="439"/>
      <c r="E1060" s="454"/>
      <c r="F1060" s="455"/>
      <c r="G1060" s="455"/>
      <c r="H1060" s="455"/>
      <c r="I1060" s="455"/>
      <c r="J1060" s="455"/>
    </row>
    <row r="1061">
      <c r="A1061" s="934"/>
      <c r="B1061" s="557"/>
      <c r="C1061" s="936"/>
      <c r="D1061" s="439"/>
      <c r="E1061" s="454"/>
      <c r="F1061" s="455"/>
      <c r="G1061" s="455"/>
      <c r="H1061" s="455"/>
      <c r="I1061" s="455"/>
      <c r="J1061" s="455"/>
    </row>
    <row r="1062">
      <c r="A1062" s="934"/>
      <c r="B1062" s="557"/>
      <c r="C1062" s="936"/>
      <c r="D1062" s="439"/>
      <c r="E1062" s="454"/>
      <c r="F1062" s="455"/>
      <c r="G1062" s="455"/>
      <c r="H1062" s="455"/>
      <c r="I1062" s="455"/>
      <c r="J1062" s="455"/>
    </row>
    <row r="1063">
      <c r="A1063" s="934"/>
      <c r="B1063" s="557"/>
      <c r="C1063" s="936"/>
      <c r="D1063" s="439"/>
      <c r="E1063" s="454"/>
      <c r="F1063" s="455"/>
      <c r="G1063" s="455"/>
      <c r="H1063" s="455"/>
      <c r="I1063" s="455"/>
      <c r="J1063" s="455"/>
    </row>
    <row r="1064">
      <c r="A1064" s="934"/>
      <c r="B1064" s="557"/>
      <c r="C1064" s="936"/>
      <c r="D1064" s="439"/>
      <c r="E1064" s="454"/>
      <c r="F1064" s="455"/>
      <c r="G1064" s="455"/>
      <c r="H1064" s="455"/>
      <c r="I1064" s="455"/>
      <c r="J1064" s="455"/>
    </row>
    <row r="1065">
      <c r="A1065" s="934"/>
      <c r="B1065" s="557"/>
      <c r="C1065" s="936"/>
      <c r="D1065" s="439"/>
      <c r="E1065" s="454"/>
      <c r="F1065" s="455"/>
      <c r="G1065" s="455"/>
      <c r="H1065" s="455"/>
      <c r="I1065" s="455"/>
      <c r="J1065" s="455"/>
    </row>
    <row r="1066">
      <c r="A1066" s="934"/>
      <c r="B1066" s="557"/>
      <c r="C1066" s="936"/>
      <c r="D1066" s="439"/>
      <c r="E1066" s="454"/>
      <c r="F1066" s="455"/>
      <c r="G1066" s="455"/>
      <c r="H1066" s="455"/>
      <c r="I1066" s="455"/>
      <c r="J1066" s="455"/>
    </row>
    <row r="1067">
      <c r="A1067" s="934"/>
      <c r="B1067" s="557"/>
      <c r="C1067" s="936"/>
      <c r="D1067" s="439"/>
      <c r="E1067" s="454"/>
      <c r="F1067" s="455"/>
      <c r="G1067" s="455"/>
      <c r="H1067" s="455"/>
      <c r="I1067" s="455"/>
      <c r="J1067" s="455"/>
    </row>
    <row r="1068">
      <c r="A1068" s="934"/>
      <c r="B1068" s="557"/>
      <c r="C1068" s="936"/>
      <c r="D1068" s="439"/>
      <c r="E1068" s="454"/>
      <c r="F1068" s="455"/>
      <c r="G1068" s="455"/>
      <c r="H1068" s="455"/>
      <c r="I1068" s="455"/>
      <c r="J1068" s="455"/>
    </row>
    <row r="1069">
      <c r="A1069" s="934"/>
      <c r="B1069" s="557"/>
      <c r="C1069" s="936"/>
      <c r="D1069" s="439"/>
      <c r="E1069" s="454"/>
      <c r="F1069" s="455"/>
      <c r="G1069" s="455"/>
      <c r="H1069" s="455"/>
      <c r="I1069" s="455"/>
      <c r="J1069" s="455"/>
    </row>
    <row r="1070">
      <c r="A1070" s="934"/>
      <c r="B1070" s="557"/>
      <c r="C1070" s="936"/>
      <c r="D1070" s="439"/>
      <c r="E1070" s="454"/>
      <c r="F1070" s="455"/>
      <c r="G1070" s="455"/>
      <c r="H1070" s="455"/>
      <c r="I1070" s="455"/>
      <c r="J1070" s="455"/>
    </row>
    <row r="1071">
      <c r="A1071" s="934"/>
      <c r="B1071" s="557"/>
      <c r="C1071" s="936"/>
      <c r="D1071" s="439"/>
      <c r="E1071" s="454"/>
      <c r="F1071" s="455"/>
      <c r="G1071" s="455"/>
      <c r="H1071" s="455"/>
      <c r="I1071" s="455"/>
      <c r="J1071" s="455"/>
    </row>
    <row r="1072">
      <c r="A1072" s="934"/>
      <c r="B1072" s="557"/>
      <c r="C1072" s="936"/>
      <c r="D1072" s="439"/>
      <c r="E1072" s="454"/>
      <c r="F1072" s="455"/>
      <c r="G1072" s="455"/>
      <c r="H1072" s="455"/>
      <c r="I1072" s="455"/>
      <c r="J1072" s="455"/>
    </row>
    <row r="1073">
      <c r="A1073" s="934"/>
      <c r="B1073" s="557"/>
      <c r="C1073" s="936"/>
      <c r="D1073" s="439"/>
      <c r="E1073" s="454"/>
      <c r="F1073" s="455"/>
      <c r="G1073" s="455"/>
      <c r="H1073" s="455"/>
      <c r="I1073" s="455"/>
      <c r="J1073" s="455"/>
    </row>
    <row r="1074">
      <c r="A1074" s="934"/>
      <c r="B1074" s="557"/>
      <c r="C1074" s="936"/>
      <c r="D1074" s="439"/>
      <c r="E1074" s="454"/>
      <c r="F1074" s="455"/>
      <c r="G1074" s="455"/>
      <c r="H1074" s="455"/>
      <c r="I1074" s="455"/>
      <c r="J1074" s="455"/>
    </row>
    <row r="1075">
      <c r="A1075" s="934"/>
      <c r="B1075" s="557"/>
      <c r="C1075" s="936"/>
      <c r="D1075" s="439"/>
      <c r="E1075" s="454"/>
      <c r="F1075" s="455"/>
      <c r="G1075" s="455"/>
      <c r="H1075" s="455"/>
      <c r="I1075" s="455"/>
      <c r="J1075" s="455"/>
    </row>
    <row r="1076">
      <c r="A1076" s="934"/>
      <c r="B1076" s="557"/>
      <c r="C1076" s="936"/>
      <c r="D1076" s="439"/>
      <c r="E1076" s="454"/>
      <c r="F1076" s="455"/>
      <c r="G1076" s="455"/>
      <c r="H1076" s="455"/>
      <c r="I1076" s="455"/>
      <c r="J1076" s="455"/>
    </row>
    <row r="1077">
      <c r="A1077" s="934"/>
      <c r="B1077" s="557"/>
      <c r="C1077" s="936"/>
      <c r="D1077" s="439"/>
      <c r="E1077" s="454"/>
      <c r="F1077" s="455"/>
      <c r="G1077" s="455"/>
      <c r="H1077" s="455"/>
      <c r="I1077" s="455"/>
      <c r="J1077" s="455"/>
    </row>
    <row r="1078">
      <c r="A1078" s="934"/>
      <c r="B1078" s="557"/>
      <c r="C1078" s="936"/>
      <c r="D1078" s="439"/>
      <c r="E1078" s="454"/>
      <c r="F1078" s="455"/>
      <c r="G1078" s="455"/>
      <c r="H1078" s="455"/>
      <c r="I1078" s="455"/>
      <c r="J1078" s="455"/>
    </row>
    <row r="1079">
      <c r="A1079" s="934"/>
      <c r="B1079" s="557"/>
      <c r="C1079" s="936"/>
      <c r="D1079" s="439"/>
      <c r="E1079" s="454"/>
      <c r="F1079" s="455"/>
      <c r="G1079" s="455"/>
      <c r="H1079" s="455"/>
      <c r="I1079" s="455"/>
      <c r="J1079" s="455"/>
    </row>
    <row r="1080">
      <c r="A1080" s="934"/>
      <c r="B1080" s="557"/>
      <c r="C1080" s="936"/>
      <c r="D1080" s="439"/>
      <c r="E1080" s="454"/>
      <c r="F1080" s="455"/>
      <c r="G1080" s="455"/>
      <c r="H1080" s="455"/>
      <c r="I1080" s="455"/>
      <c r="J1080" s="455"/>
    </row>
    <row r="1081">
      <c r="A1081" s="934"/>
      <c r="B1081" s="557"/>
      <c r="C1081" s="936"/>
      <c r="D1081" s="439"/>
      <c r="E1081" s="454"/>
      <c r="F1081" s="455"/>
      <c r="G1081" s="455"/>
      <c r="H1081" s="455"/>
      <c r="I1081" s="455"/>
      <c r="J1081" s="455"/>
    </row>
    <row r="1082">
      <c r="A1082" s="934"/>
      <c r="B1082" s="557"/>
      <c r="C1082" s="936"/>
      <c r="D1082" s="439"/>
      <c r="E1082" s="454"/>
      <c r="F1082" s="455"/>
      <c r="G1082" s="455"/>
      <c r="H1082" s="455"/>
      <c r="I1082" s="455"/>
      <c r="J1082" s="455"/>
    </row>
    <row r="1083">
      <c r="A1083" s="934"/>
      <c r="B1083" s="557"/>
      <c r="C1083" s="936"/>
      <c r="D1083" s="439"/>
      <c r="E1083" s="454"/>
      <c r="F1083" s="455"/>
      <c r="G1083" s="455"/>
      <c r="H1083" s="455"/>
      <c r="I1083" s="455"/>
      <c r="J1083" s="455"/>
    </row>
    <row r="1084">
      <c r="A1084" s="934"/>
      <c r="B1084" s="557"/>
      <c r="C1084" s="936"/>
      <c r="D1084" s="439"/>
      <c r="E1084" s="454"/>
      <c r="F1084" s="455"/>
      <c r="G1084" s="455"/>
      <c r="H1084" s="455"/>
      <c r="I1084" s="455"/>
      <c r="J1084" s="455"/>
    </row>
    <row r="1085">
      <c r="A1085" s="934"/>
      <c r="B1085" s="557"/>
      <c r="C1085" s="936"/>
      <c r="D1085" s="439"/>
      <c r="E1085" s="454"/>
      <c r="F1085" s="455"/>
      <c r="G1085" s="455"/>
      <c r="H1085" s="455"/>
      <c r="I1085" s="455"/>
      <c r="J1085" s="455"/>
    </row>
    <row r="1086">
      <c r="A1086" s="934"/>
      <c r="B1086" s="557"/>
      <c r="C1086" s="936"/>
      <c r="D1086" s="439"/>
      <c r="E1086" s="454"/>
      <c r="F1086" s="455"/>
      <c r="G1086" s="455"/>
      <c r="H1086" s="455"/>
      <c r="I1086" s="455"/>
      <c r="J1086" s="455"/>
    </row>
    <row r="1087">
      <c r="A1087" s="934"/>
      <c r="B1087" s="557"/>
      <c r="C1087" s="936"/>
      <c r="D1087" s="439"/>
      <c r="E1087" s="454"/>
      <c r="F1087" s="455"/>
      <c r="G1087" s="455"/>
      <c r="H1087" s="455"/>
      <c r="I1087" s="455"/>
      <c r="J1087" s="455"/>
    </row>
    <row r="1088">
      <c r="A1088" s="934"/>
      <c r="B1088" s="557"/>
      <c r="C1088" s="936"/>
      <c r="D1088" s="439"/>
      <c r="E1088" s="454"/>
      <c r="F1088" s="455"/>
      <c r="G1088" s="455"/>
      <c r="H1088" s="455"/>
      <c r="I1088" s="455"/>
      <c r="J1088" s="455"/>
    </row>
    <row r="1089">
      <c r="A1089" s="934"/>
      <c r="B1089" s="557"/>
      <c r="C1089" s="936"/>
      <c r="D1089" s="439"/>
      <c r="E1089" s="454"/>
      <c r="F1089" s="455"/>
      <c r="G1089" s="455"/>
      <c r="H1089" s="455"/>
      <c r="I1089" s="455"/>
      <c r="J1089" s="455"/>
    </row>
    <row r="1090">
      <c r="A1090" s="934"/>
      <c r="B1090" s="557"/>
      <c r="C1090" s="936"/>
      <c r="D1090" s="439"/>
      <c r="E1090" s="454"/>
      <c r="F1090" s="455"/>
      <c r="G1090" s="455"/>
      <c r="H1090" s="455"/>
      <c r="I1090" s="455"/>
      <c r="J1090" s="455"/>
    </row>
    <row r="1091">
      <c r="A1091" s="934"/>
      <c r="B1091" s="557"/>
      <c r="C1091" s="936"/>
      <c r="D1091" s="439"/>
      <c r="E1091" s="454"/>
      <c r="F1091" s="455"/>
      <c r="G1091" s="455"/>
      <c r="H1091" s="455"/>
      <c r="I1091" s="455"/>
      <c r="J1091" s="455"/>
    </row>
    <row r="1092">
      <c r="A1092" s="934"/>
      <c r="B1092" s="557"/>
      <c r="C1092" s="936"/>
      <c r="D1092" s="439"/>
      <c r="E1092" s="454"/>
      <c r="F1092" s="455"/>
      <c r="G1092" s="455"/>
      <c r="H1092" s="455"/>
      <c r="I1092" s="455"/>
      <c r="J1092" s="455"/>
    </row>
    <row r="1093">
      <c r="A1093" s="934"/>
      <c r="B1093" s="557"/>
      <c r="C1093" s="936"/>
      <c r="D1093" s="439"/>
      <c r="E1093" s="454"/>
      <c r="F1093" s="455"/>
      <c r="G1093" s="455"/>
      <c r="H1093" s="455"/>
      <c r="I1093" s="455"/>
      <c r="J1093" s="455"/>
    </row>
    <row r="1094">
      <c r="A1094" s="934"/>
      <c r="B1094" s="557"/>
      <c r="C1094" s="936"/>
      <c r="D1094" s="439"/>
      <c r="E1094" s="454"/>
      <c r="F1094" s="455"/>
      <c r="G1094" s="455"/>
      <c r="H1094" s="455"/>
      <c r="I1094" s="455"/>
      <c r="J1094" s="455"/>
    </row>
    <row r="1095">
      <c r="A1095" s="934"/>
      <c r="B1095" s="557"/>
      <c r="C1095" s="936"/>
      <c r="D1095" s="439"/>
      <c r="E1095" s="454"/>
      <c r="F1095" s="455"/>
      <c r="G1095" s="455"/>
      <c r="H1095" s="455"/>
      <c r="I1095" s="455"/>
      <c r="J1095" s="455"/>
    </row>
    <row r="1096">
      <c r="A1096" s="934"/>
      <c r="B1096" s="557"/>
      <c r="C1096" s="936"/>
      <c r="D1096" s="439"/>
      <c r="E1096" s="454"/>
      <c r="F1096" s="455"/>
      <c r="G1096" s="455"/>
      <c r="H1096" s="455"/>
      <c r="I1096" s="455"/>
      <c r="J1096" s="455"/>
    </row>
    <row r="1097">
      <c r="A1097" s="934"/>
      <c r="B1097" s="557"/>
      <c r="C1097" s="936"/>
      <c r="D1097" s="439"/>
      <c r="E1097" s="454"/>
      <c r="F1097" s="455"/>
      <c r="G1097" s="455"/>
      <c r="H1097" s="455"/>
      <c r="I1097" s="455"/>
      <c r="J1097" s="455"/>
    </row>
    <row r="1098">
      <c r="A1098" s="934"/>
      <c r="B1098" s="557"/>
      <c r="C1098" s="936"/>
      <c r="D1098" s="439"/>
      <c r="E1098" s="454"/>
      <c r="F1098" s="455"/>
      <c r="G1098" s="455"/>
      <c r="H1098" s="455"/>
      <c r="I1098" s="455"/>
      <c r="J1098" s="455"/>
    </row>
    <row r="1099">
      <c r="A1099" s="934"/>
      <c r="B1099" s="557"/>
      <c r="C1099" s="936"/>
      <c r="D1099" s="439"/>
      <c r="E1099" s="454"/>
      <c r="F1099" s="455"/>
      <c r="G1099" s="455"/>
      <c r="H1099" s="455"/>
      <c r="I1099" s="455"/>
      <c r="J1099" s="455"/>
    </row>
    <row r="1100">
      <c r="A1100" s="934"/>
      <c r="B1100" s="557"/>
      <c r="C1100" s="936"/>
      <c r="D1100" s="439"/>
      <c r="E1100" s="454"/>
      <c r="F1100" s="455"/>
      <c r="G1100" s="455"/>
      <c r="H1100" s="455"/>
      <c r="I1100" s="455"/>
      <c r="J1100" s="455"/>
    </row>
    <row r="1101">
      <c r="A1101" s="934"/>
      <c r="B1101" s="557"/>
      <c r="C1101" s="936"/>
      <c r="D1101" s="439"/>
      <c r="E1101" s="454"/>
      <c r="F1101" s="455"/>
      <c r="G1101" s="455"/>
      <c r="H1101" s="455"/>
      <c r="I1101" s="455"/>
      <c r="J1101" s="455"/>
    </row>
    <row r="1102">
      <c r="A1102" s="934"/>
      <c r="B1102" s="557"/>
      <c r="C1102" s="936"/>
      <c r="D1102" s="439"/>
      <c r="E1102" s="454"/>
      <c r="F1102" s="455"/>
      <c r="G1102" s="455"/>
      <c r="H1102" s="455"/>
      <c r="I1102" s="455"/>
      <c r="J1102" s="455"/>
    </row>
    <row r="1103">
      <c r="A1103" s="934"/>
      <c r="B1103" s="557"/>
      <c r="C1103" s="936"/>
      <c r="D1103" s="439"/>
      <c r="E1103" s="454"/>
      <c r="F1103" s="455"/>
      <c r="G1103" s="455"/>
      <c r="H1103" s="455"/>
      <c r="I1103" s="455"/>
      <c r="J1103" s="455"/>
    </row>
    <row r="1104">
      <c r="A1104" s="934"/>
      <c r="B1104" s="557"/>
      <c r="C1104" s="936"/>
      <c r="D1104" s="439"/>
      <c r="E1104" s="454"/>
      <c r="F1104" s="455"/>
      <c r="G1104" s="455"/>
      <c r="H1104" s="455"/>
      <c r="I1104" s="455"/>
      <c r="J1104" s="455"/>
    </row>
    <row r="1105">
      <c r="A1105" s="934"/>
      <c r="B1105" s="557"/>
      <c r="C1105" s="936"/>
      <c r="D1105" s="439"/>
      <c r="E1105" s="454"/>
      <c r="F1105" s="455"/>
      <c r="G1105" s="455"/>
      <c r="H1105" s="455"/>
      <c r="I1105" s="455"/>
      <c r="J1105" s="455"/>
    </row>
    <row r="1106">
      <c r="A1106" s="934"/>
      <c r="B1106" s="557"/>
      <c r="C1106" s="936"/>
      <c r="D1106" s="439"/>
      <c r="E1106" s="454"/>
      <c r="F1106" s="455"/>
      <c r="G1106" s="455"/>
      <c r="H1106" s="455"/>
      <c r="I1106" s="455"/>
      <c r="J1106" s="455"/>
    </row>
    <row r="1107">
      <c r="A1107" s="934"/>
      <c r="B1107" s="557"/>
      <c r="C1107" s="936"/>
      <c r="D1107" s="439"/>
      <c r="E1107" s="454"/>
      <c r="F1107" s="455"/>
      <c r="G1107" s="455"/>
      <c r="H1107" s="455"/>
      <c r="I1107" s="455"/>
      <c r="J1107" s="455"/>
    </row>
    <row r="1108">
      <c r="A1108" s="934"/>
      <c r="B1108" s="557"/>
      <c r="C1108" s="936"/>
      <c r="D1108" s="439"/>
      <c r="E1108" s="454"/>
      <c r="F1108" s="455"/>
      <c r="G1108" s="455"/>
      <c r="H1108" s="455"/>
      <c r="I1108" s="455"/>
      <c r="J1108" s="455"/>
    </row>
    <row r="1109">
      <c r="A1109" s="934"/>
      <c r="B1109" s="557"/>
      <c r="C1109" s="936"/>
      <c r="D1109" s="439"/>
      <c r="E1109" s="454"/>
      <c r="F1109" s="455"/>
      <c r="G1109" s="455"/>
      <c r="H1109" s="455"/>
      <c r="I1109" s="455"/>
      <c r="J1109" s="455"/>
    </row>
    <row r="1110">
      <c r="A1110" s="934"/>
      <c r="B1110" s="557"/>
      <c r="C1110" s="936"/>
      <c r="D1110" s="439"/>
      <c r="E1110" s="454"/>
      <c r="F1110" s="455"/>
      <c r="G1110" s="455"/>
      <c r="H1110" s="455"/>
      <c r="I1110" s="455"/>
      <c r="J1110" s="455"/>
    </row>
    <row r="1111">
      <c r="A1111" s="934"/>
      <c r="B1111" s="557"/>
      <c r="C1111" s="936"/>
      <c r="D1111" s="439"/>
      <c r="E1111" s="454"/>
      <c r="F1111" s="455"/>
      <c r="G1111" s="455"/>
      <c r="H1111" s="455"/>
      <c r="I1111" s="455"/>
      <c r="J1111" s="455"/>
    </row>
    <row r="1112">
      <c r="A1112" s="934"/>
      <c r="B1112" s="557"/>
      <c r="C1112" s="936"/>
      <c r="D1112" s="439"/>
      <c r="E1112" s="454"/>
      <c r="F1112" s="455"/>
      <c r="G1112" s="455"/>
      <c r="H1112" s="455"/>
      <c r="I1112" s="455"/>
      <c r="J1112" s="455"/>
    </row>
    <row r="1113">
      <c r="A1113" s="934"/>
      <c r="B1113" s="557"/>
      <c r="C1113" s="936"/>
      <c r="D1113" s="439"/>
      <c r="E1113" s="454"/>
      <c r="F1113" s="455"/>
      <c r="G1113" s="455"/>
      <c r="H1113" s="455"/>
      <c r="I1113" s="455"/>
      <c r="J1113" s="455"/>
    </row>
    <row r="1114">
      <c r="A1114" s="934"/>
      <c r="B1114" s="557"/>
      <c r="C1114" s="936"/>
      <c r="D1114" s="439"/>
      <c r="E1114" s="454"/>
      <c r="F1114" s="455"/>
      <c r="G1114" s="455"/>
      <c r="H1114" s="455"/>
      <c r="I1114" s="455"/>
      <c r="J1114" s="455"/>
    </row>
    <row r="1115">
      <c r="A1115" s="934"/>
      <c r="B1115" s="557"/>
      <c r="C1115" s="936"/>
      <c r="D1115" s="439"/>
      <c r="E1115" s="454"/>
      <c r="F1115" s="455"/>
      <c r="G1115" s="455"/>
      <c r="H1115" s="455"/>
      <c r="I1115" s="455"/>
      <c r="J1115" s="455"/>
    </row>
    <row r="1116">
      <c r="A1116" s="934"/>
      <c r="B1116" s="557"/>
      <c r="C1116" s="936"/>
      <c r="D1116" s="439"/>
      <c r="E1116" s="454"/>
      <c r="F1116" s="455"/>
      <c r="G1116" s="455"/>
      <c r="H1116" s="455"/>
      <c r="I1116" s="455"/>
      <c r="J1116" s="455"/>
    </row>
    <row r="1117">
      <c r="A1117" s="934"/>
      <c r="B1117" s="557"/>
      <c r="C1117" s="936"/>
      <c r="D1117" s="439"/>
      <c r="E1117" s="454"/>
      <c r="F1117" s="455"/>
      <c r="G1117" s="455"/>
      <c r="H1117" s="455"/>
      <c r="I1117" s="455"/>
      <c r="J1117" s="455"/>
    </row>
    <row r="1118">
      <c r="A1118" s="934"/>
      <c r="B1118" s="557"/>
      <c r="C1118" s="936"/>
      <c r="D1118" s="439"/>
      <c r="E1118" s="454"/>
      <c r="F1118" s="455"/>
      <c r="G1118" s="455"/>
      <c r="H1118" s="455"/>
      <c r="I1118" s="455"/>
      <c r="J1118" s="455"/>
    </row>
    <row r="1119">
      <c r="A1119" s="934"/>
      <c r="B1119" s="557"/>
      <c r="C1119" s="936"/>
      <c r="D1119" s="439"/>
      <c r="E1119" s="454"/>
      <c r="F1119" s="455"/>
      <c r="G1119" s="455"/>
      <c r="H1119" s="455"/>
      <c r="I1119" s="455"/>
      <c r="J1119" s="455"/>
    </row>
    <row r="1120">
      <c r="A1120" s="934"/>
      <c r="B1120" s="557"/>
      <c r="C1120" s="936"/>
      <c r="D1120" s="439"/>
      <c r="E1120" s="454"/>
      <c r="F1120" s="455"/>
      <c r="G1120" s="455"/>
      <c r="H1120" s="455"/>
      <c r="I1120" s="455"/>
      <c r="J1120" s="455"/>
    </row>
    <row r="1121">
      <c r="A1121" s="934"/>
      <c r="B1121" s="557"/>
      <c r="C1121" s="936"/>
      <c r="D1121" s="439"/>
      <c r="E1121" s="454"/>
      <c r="F1121" s="455"/>
      <c r="G1121" s="455"/>
      <c r="H1121" s="455"/>
      <c r="I1121" s="455"/>
      <c r="J1121" s="455"/>
    </row>
    <row r="1122">
      <c r="A1122" s="934"/>
      <c r="B1122" s="557"/>
      <c r="C1122" s="936"/>
      <c r="D1122" s="439"/>
      <c r="E1122" s="454"/>
      <c r="F1122" s="455"/>
      <c r="G1122" s="455"/>
      <c r="H1122" s="455"/>
      <c r="I1122" s="455"/>
      <c r="J1122" s="455"/>
    </row>
    <row r="1123">
      <c r="A1123" s="934"/>
      <c r="B1123" s="557"/>
      <c r="C1123" s="936"/>
      <c r="D1123" s="439"/>
      <c r="E1123" s="454"/>
      <c r="F1123" s="455"/>
      <c r="G1123" s="455"/>
      <c r="H1123" s="455"/>
      <c r="I1123" s="455"/>
      <c r="J1123" s="455"/>
    </row>
    <row r="1124">
      <c r="A1124" s="934"/>
      <c r="B1124" s="557"/>
      <c r="C1124" s="936"/>
      <c r="D1124" s="439"/>
      <c r="E1124" s="454"/>
      <c r="F1124" s="455"/>
      <c r="G1124" s="455"/>
      <c r="H1124" s="455"/>
      <c r="I1124" s="455"/>
      <c r="J1124" s="455"/>
    </row>
    <row r="1125">
      <c r="A1125" s="934"/>
      <c r="B1125" s="557"/>
      <c r="C1125" s="936"/>
      <c r="D1125" s="439"/>
      <c r="E1125" s="454"/>
      <c r="F1125" s="455"/>
      <c r="G1125" s="455"/>
      <c r="H1125" s="455"/>
      <c r="I1125" s="455"/>
      <c r="J1125" s="455"/>
    </row>
    <row r="1126">
      <c r="A1126" s="934"/>
      <c r="B1126" s="557"/>
      <c r="C1126" s="936"/>
      <c r="D1126" s="439"/>
      <c r="E1126" s="454"/>
      <c r="F1126" s="455"/>
      <c r="G1126" s="455"/>
      <c r="H1126" s="455"/>
      <c r="I1126" s="455"/>
      <c r="J1126" s="455"/>
    </row>
    <row r="1127">
      <c r="A1127" s="934"/>
      <c r="B1127" s="557"/>
      <c r="C1127" s="936"/>
      <c r="D1127" s="439"/>
      <c r="E1127" s="454"/>
      <c r="F1127" s="455"/>
      <c r="G1127" s="455"/>
      <c r="H1127" s="455"/>
      <c r="I1127" s="455"/>
      <c r="J1127" s="455"/>
    </row>
    <row r="1128">
      <c r="A1128" s="934"/>
      <c r="B1128" s="557"/>
      <c r="C1128" s="936"/>
      <c r="D1128" s="439"/>
      <c r="E1128" s="454"/>
      <c r="F1128" s="455"/>
      <c r="G1128" s="455"/>
      <c r="H1128" s="455"/>
      <c r="I1128" s="455"/>
      <c r="J1128" s="455"/>
    </row>
    <row r="1129">
      <c r="A1129" s="934"/>
      <c r="B1129" s="557"/>
      <c r="C1129" s="936"/>
      <c r="D1129" s="439"/>
      <c r="E1129" s="454"/>
      <c r="F1129" s="455"/>
      <c r="G1129" s="455"/>
      <c r="H1129" s="455"/>
      <c r="I1129" s="455"/>
      <c r="J1129" s="455"/>
    </row>
    <row r="1130">
      <c r="A1130" s="934"/>
      <c r="B1130" s="557"/>
      <c r="C1130" s="936"/>
      <c r="D1130" s="439"/>
      <c r="E1130" s="454"/>
      <c r="F1130" s="455"/>
      <c r="G1130" s="455"/>
      <c r="H1130" s="455"/>
      <c r="I1130" s="455"/>
      <c r="J1130" s="455"/>
    </row>
    <row r="1131">
      <c r="A1131" s="934"/>
      <c r="B1131" s="557"/>
      <c r="C1131" s="936"/>
      <c r="D1131" s="439"/>
      <c r="E1131" s="454"/>
      <c r="F1131" s="455"/>
      <c r="G1131" s="455"/>
      <c r="H1131" s="455"/>
      <c r="I1131" s="455"/>
      <c r="J1131" s="455"/>
    </row>
    <row r="1132">
      <c r="A1132" s="934"/>
      <c r="B1132" s="557"/>
      <c r="C1132" s="936"/>
      <c r="D1132" s="439"/>
      <c r="E1132" s="454"/>
      <c r="F1132" s="455"/>
      <c r="G1132" s="455"/>
      <c r="H1132" s="455"/>
      <c r="I1132" s="455"/>
      <c r="J1132" s="455"/>
    </row>
    <row r="1133">
      <c r="A1133" s="934"/>
      <c r="B1133" s="557"/>
      <c r="C1133" s="936"/>
      <c r="D1133" s="439"/>
      <c r="E1133" s="454"/>
      <c r="F1133" s="455"/>
      <c r="G1133" s="455"/>
      <c r="H1133" s="455"/>
      <c r="I1133" s="455"/>
      <c r="J1133" s="455"/>
    </row>
    <row r="1134">
      <c r="A1134" s="934"/>
      <c r="B1134" s="557"/>
      <c r="C1134" s="936"/>
      <c r="D1134" s="439"/>
      <c r="E1134" s="454"/>
      <c r="F1134" s="455"/>
      <c r="G1134" s="455"/>
      <c r="H1134" s="455"/>
      <c r="I1134" s="455"/>
      <c r="J1134" s="455"/>
    </row>
    <row r="1135">
      <c r="A1135" s="934"/>
      <c r="B1135" s="557"/>
      <c r="C1135" s="936"/>
      <c r="D1135" s="439"/>
      <c r="E1135" s="454"/>
      <c r="F1135" s="455"/>
      <c r="G1135" s="455"/>
      <c r="H1135" s="455"/>
      <c r="I1135" s="455"/>
      <c r="J1135" s="455"/>
    </row>
    <row r="1136">
      <c r="A1136" s="934"/>
      <c r="B1136" s="557"/>
      <c r="C1136" s="936"/>
      <c r="D1136" s="439"/>
      <c r="E1136" s="454"/>
      <c r="F1136" s="455"/>
      <c r="G1136" s="455"/>
      <c r="H1136" s="455"/>
      <c r="I1136" s="455"/>
      <c r="J1136" s="455"/>
    </row>
    <row r="1137">
      <c r="A1137" s="934"/>
      <c r="B1137" s="557"/>
      <c r="C1137" s="936"/>
      <c r="D1137" s="439"/>
      <c r="E1137" s="454"/>
      <c r="F1137" s="455"/>
      <c r="G1137" s="455"/>
      <c r="H1137" s="455"/>
      <c r="I1137" s="455"/>
      <c r="J1137" s="455"/>
    </row>
    <row r="1138">
      <c r="A1138" s="934"/>
      <c r="B1138" s="557"/>
      <c r="C1138" s="936"/>
      <c r="D1138" s="439"/>
      <c r="E1138" s="454"/>
      <c r="F1138" s="455"/>
      <c r="G1138" s="455"/>
      <c r="H1138" s="455"/>
      <c r="I1138" s="455"/>
      <c r="J1138" s="455"/>
    </row>
    <row r="1139">
      <c r="A1139" s="934"/>
      <c r="B1139" s="557"/>
      <c r="C1139" s="936"/>
      <c r="D1139" s="439"/>
      <c r="E1139" s="454"/>
      <c r="F1139" s="455"/>
      <c r="G1139" s="455"/>
      <c r="H1139" s="455"/>
      <c r="I1139" s="455"/>
      <c r="J1139" s="455"/>
    </row>
    <row r="1140">
      <c r="A1140" s="934"/>
      <c r="B1140" s="557"/>
      <c r="C1140" s="936"/>
      <c r="D1140" s="439"/>
      <c r="E1140" s="454"/>
      <c r="F1140" s="455"/>
      <c r="G1140" s="455"/>
      <c r="H1140" s="455"/>
      <c r="I1140" s="455"/>
      <c r="J1140" s="455"/>
    </row>
    <row r="1141">
      <c r="A1141" s="934"/>
      <c r="B1141" s="557"/>
      <c r="C1141" s="936"/>
      <c r="D1141" s="439"/>
      <c r="E1141" s="454"/>
      <c r="F1141" s="455"/>
      <c r="G1141" s="455"/>
      <c r="H1141" s="455"/>
      <c r="I1141" s="455"/>
      <c r="J1141" s="455"/>
    </row>
    <row r="1142">
      <c r="A1142" s="934"/>
      <c r="B1142" s="557"/>
      <c r="C1142" s="936"/>
      <c r="D1142" s="439"/>
      <c r="E1142" s="454"/>
      <c r="F1142" s="455"/>
      <c r="G1142" s="455"/>
      <c r="H1142" s="455"/>
      <c r="I1142" s="455"/>
      <c r="J1142" s="455"/>
    </row>
    <row r="1143">
      <c r="A1143" s="934"/>
      <c r="B1143" s="557"/>
      <c r="C1143" s="936"/>
      <c r="D1143" s="439"/>
      <c r="E1143" s="454"/>
      <c r="F1143" s="455"/>
      <c r="G1143" s="455"/>
      <c r="H1143" s="455"/>
      <c r="I1143" s="455"/>
      <c r="J1143" s="455"/>
    </row>
    <row r="1144">
      <c r="A1144" s="934"/>
      <c r="B1144" s="557"/>
      <c r="C1144" s="936"/>
      <c r="D1144" s="439"/>
      <c r="E1144" s="454"/>
      <c r="F1144" s="455"/>
      <c r="G1144" s="455"/>
      <c r="H1144" s="455"/>
      <c r="I1144" s="455"/>
      <c r="J1144" s="455"/>
    </row>
    <row r="1145">
      <c r="A1145" s="934"/>
      <c r="B1145" s="557"/>
      <c r="C1145" s="936"/>
      <c r="D1145" s="439"/>
      <c r="E1145" s="454"/>
      <c r="F1145" s="455"/>
      <c r="G1145" s="455"/>
      <c r="H1145" s="455"/>
      <c r="I1145" s="455"/>
      <c r="J1145" s="455"/>
    </row>
    <row r="1146">
      <c r="A1146" s="934"/>
      <c r="B1146" s="557"/>
      <c r="C1146" s="936"/>
      <c r="D1146" s="439"/>
      <c r="E1146" s="454"/>
      <c r="F1146" s="455"/>
      <c r="G1146" s="455"/>
      <c r="H1146" s="455"/>
      <c r="I1146" s="455"/>
      <c r="J1146" s="455"/>
    </row>
    <row r="1147">
      <c r="A1147" s="934"/>
      <c r="B1147" s="557"/>
      <c r="C1147" s="936"/>
      <c r="D1147" s="439"/>
      <c r="E1147" s="454"/>
      <c r="F1147" s="455"/>
      <c r="G1147" s="455"/>
      <c r="H1147" s="455"/>
      <c r="I1147" s="455"/>
      <c r="J1147" s="455"/>
    </row>
    <row r="1148">
      <c r="A1148" s="934"/>
      <c r="B1148" s="557"/>
      <c r="C1148" s="936"/>
      <c r="D1148" s="439"/>
      <c r="E1148" s="454"/>
      <c r="F1148" s="455"/>
      <c r="G1148" s="455"/>
      <c r="H1148" s="455"/>
      <c r="I1148" s="455"/>
      <c r="J1148" s="455"/>
    </row>
    <row r="1149">
      <c r="A1149" s="934"/>
      <c r="B1149" s="557"/>
      <c r="C1149" s="936"/>
      <c r="D1149" s="439"/>
      <c r="E1149" s="454"/>
      <c r="F1149" s="455"/>
      <c r="G1149" s="455"/>
      <c r="H1149" s="455"/>
      <c r="I1149" s="455"/>
      <c r="J1149" s="455"/>
    </row>
    <row r="1150">
      <c r="A1150" s="934"/>
      <c r="B1150" s="557"/>
      <c r="C1150" s="936"/>
      <c r="D1150" s="439"/>
      <c r="E1150" s="454"/>
      <c r="F1150" s="455"/>
      <c r="G1150" s="455"/>
      <c r="H1150" s="455"/>
      <c r="I1150" s="455"/>
      <c r="J1150" s="455"/>
    </row>
    <row r="1151">
      <c r="A1151" s="934"/>
      <c r="B1151" s="557"/>
      <c r="C1151" s="936"/>
      <c r="D1151" s="439"/>
      <c r="E1151" s="454"/>
      <c r="F1151" s="455"/>
      <c r="G1151" s="455"/>
      <c r="H1151" s="455"/>
      <c r="I1151" s="455"/>
      <c r="J1151" s="455"/>
    </row>
    <row r="1152">
      <c r="A1152" s="934"/>
      <c r="B1152" s="557"/>
      <c r="C1152" s="936"/>
      <c r="D1152" s="439"/>
      <c r="E1152" s="454"/>
      <c r="F1152" s="455"/>
      <c r="G1152" s="455"/>
      <c r="H1152" s="455"/>
      <c r="I1152" s="455"/>
      <c r="J1152" s="455"/>
    </row>
    <row r="1153">
      <c r="A1153" s="934"/>
      <c r="B1153" s="557"/>
      <c r="C1153" s="936"/>
      <c r="D1153" s="439"/>
      <c r="E1153" s="454"/>
      <c r="F1153" s="455"/>
      <c r="G1153" s="455"/>
      <c r="H1153" s="455"/>
      <c r="I1153" s="455"/>
      <c r="J1153" s="455"/>
    </row>
    <row r="1154">
      <c r="A1154" s="934"/>
      <c r="B1154" s="557"/>
      <c r="C1154" s="936"/>
      <c r="D1154" s="439"/>
      <c r="E1154" s="454"/>
      <c r="F1154" s="455"/>
      <c r="G1154" s="455"/>
      <c r="H1154" s="455"/>
      <c r="I1154" s="455"/>
      <c r="J1154" s="455"/>
    </row>
    <row r="1155">
      <c r="A1155" s="934"/>
      <c r="B1155" s="557"/>
      <c r="C1155" s="936"/>
      <c r="D1155" s="439"/>
      <c r="E1155" s="454"/>
      <c r="F1155" s="455"/>
      <c r="G1155" s="455"/>
      <c r="H1155" s="455"/>
      <c r="I1155" s="455"/>
      <c r="J1155" s="455"/>
    </row>
    <row r="1156">
      <c r="A1156" s="934"/>
      <c r="B1156" s="557"/>
      <c r="C1156" s="936"/>
      <c r="D1156" s="439"/>
      <c r="E1156" s="454"/>
      <c r="F1156" s="455"/>
      <c r="G1156" s="455"/>
      <c r="H1156" s="455"/>
      <c r="I1156" s="455"/>
      <c r="J1156" s="455"/>
    </row>
    <row r="1157">
      <c r="A1157" s="934"/>
      <c r="B1157" s="557"/>
      <c r="C1157" s="936"/>
      <c r="D1157" s="439"/>
      <c r="E1157" s="454"/>
      <c r="F1157" s="455"/>
      <c r="G1157" s="455"/>
      <c r="H1157" s="455"/>
      <c r="I1157" s="455"/>
      <c r="J1157" s="455"/>
    </row>
    <row r="1158">
      <c r="A1158" s="934"/>
      <c r="B1158" s="557"/>
      <c r="C1158" s="936"/>
      <c r="D1158" s="439"/>
      <c r="E1158" s="454"/>
      <c r="F1158" s="455"/>
      <c r="G1158" s="455"/>
      <c r="H1158" s="455"/>
      <c r="I1158" s="455"/>
      <c r="J1158" s="455"/>
    </row>
    <row r="1159">
      <c r="A1159" s="934"/>
      <c r="B1159" s="557"/>
      <c r="C1159" s="936"/>
      <c r="D1159" s="439"/>
      <c r="E1159" s="454"/>
      <c r="F1159" s="455"/>
      <c r="G1159" s="455"/>
      <c r="H1159" s="455"/>
      <c r="I1159" s="455"/>
      <c r="J1159" s="455"/>
    </row>
    <row r="1160">
      <c r="A1160" s="934"/>
      <c r="B1160" s="557"/>
      <c r="C1160" s="936"/>
      <c r="D1160" s="439"/>
      <c r="E1160" s="454"/>
      <c r="F1160" s="455"/>
      <c r="G1160" s="455"/>
      <c r="H1160" s="455"/>
      <c r="I1160" s="455"/>
      <c r="J1160" s="455"/>
    </row>
    <row r="1161">
      <c r="A1161" s="934"/>
      <c r="B1161" s="557"/>
      <c r="C1161" s="936"/>
      <c r="D1161" s="439"/>
      <c r="E1161" s="454"/>
      <c r="F1161" s="455"/>
      <c r="G1161" s="455"/>
      <c r="H1161" s="455"/>
      <c r="I1161" s="455"/>
      <c r="J1161" s="455"/>
    </row>
    <row r="1162">
      <c r="A1162" s="934"/>
      <c r="B1162" s="557"/>
      <c r="C1162" s="936"/>
      <c r="D1162" s="439"/>
      <c r="E1162" s="454"/>
      <c r="F1162" s="455"/>
      <c r="G1162" s="455"/>
      <c r="H1162" s="455"/>
      <c r="I1162" s="455"/>
      <c r="J1162" s="455"/>
    </row>
    <row r="1163">
      <c r="A1163" s="934"/>
      <c r="B1163" s="557"/>
      <c r="C1163" s="936"/>
      <c r="D1163" s="439"/>
      <c r="E1163" s="454"/>
      <c r="F1163" s="455"/>
      <c r="G1163" s="455"/>
      <c r="H1163" s="455"/>
      <c r="I1163" s="455"/>
      <c r="J1163" s="455"/>
    </row>
    <row r="1164">
      <c r="A1164" s="934"/>
      <c r="B1164" s="955"/>
      <c r="C1164" s="936"/>
      <c r="D1164" s="439"/>
      <c r="E1164" s="454"/>
      <c r="F1164" s="455"/>
      <c r="G1164" s="455"/>
      <c r="H1164" s="455"/>
      <c r="I1164" s="455"/>
      <c r="J1164" s="455"/>
    </row>
    <row r="1165">
      <c r="A1165" s="934"/>
      <c r="B1165" s="557"/>
      <c r="C1165" s="936"/>
      <c r="D1165" s="439"/>
      <c r="E1165" s="454"/>
      <c r="F1165" s="455"/>
      <c r="G1165" s="455"/>
      <c r="H1165" s="455"/>
      <c r="I1165" s="455"/>
      <c r="J1165" s="455"/>
    </row>
    <row r="1166">
      <c r="A1166" s="934"/>
      <c r="B1166" s="557"/>
      <c r="C1166" s="936"/>
      <c r="D1166" s="439"/>
      <c r="E1166" s="454"/>
      <c r="F1166" s="455"/>
      <c r="G1166" s="455"/>
      <c r="H1166" s="455"/>
      <c r="I1166" s="455"/>
      <c r="J1166" s="455"/>
    </row>
    <row r="1167">
      <c r="A1167" s="934"/>
      <c r="B1167" s="557"/>
      <c r="C1167" s="936"/>
      <c r="D1167" s="439"/>
      <c r="E1167" s="454"/>
      <c r="F1167" s="455"/>
      <c r="G1167" s="455"/>
      <c r="H1167" s="455"/>
      <c r="I1167" s="455"/>
      <c r="J1167" s="455"/>
    </row>
    <row r="1168">
      <c r="A1168" s="934"/>
      <c r="B1168" s="557"/>
      <c r="C1168" s="936"/>
      <c r="D1168" s="439"/>
      <c r="E1168" s="454"/>
      <c r="F1168" s="455"/>
      <c r="G1168" s="455"/>
      <c r="H1168" s="455"/>
      <c r="I1168" s="455"/>
      <c r="J1168" s="455"/>
    </row>
    <row r="1169">
      <c r="A1169" s="934"/>
      <c r="B1169" s="557"/>
      <c r="C1169" s="936"/>
      <c r="D1169" s="439"/>
      <c r="E1169" s="454"/>
      <c r="F1169" s="455"/>
      <c r="G1169" s="455"/>
      <c r="H1169" s="455"/>
      <c r="I1169" s="455"/>
      <c r="J1169" s="455"/>
    </row>
    <row r="1170">
      <c r="A1170" s="934"/>
      <c r="B1170" s="557"/>
      <c r="C1170" s="936"/>
      <c r="D1170" s="439"/>
      <c r="E1170" s="454"/>
      <c r="F1170" s="455"/>
      <c r="G1170" s="455"/>
      <c r="H1170" s="455"/>
      <c r="I1170" s="455"/>
      <c r="J1170" s="455"/>
    </row>
    <row r="1171">
      <c r="A1171" s="934"/>
      <c r="B1171" s="557"/>
      <c r="C1171" s="936"/>
      <c r="D1171" s="439"/>
      <c r="E1171" s="454"/>
      <c r="F1171" s="455"/>
      <c r="G1171" s="455"/>
      <c r="H1171" s="455"/>
      <c r="I1171" s="455"/>
      <c r="J1171" s="455"/>
    </row>
    <row r="1172">
      <c r="A1172" s="934"/>
      <c r="B1172" s="557"/>
      <c r="C1172" s="936"/>
      <c r="D1172" s="439"/>
      <c r="E1172" s="454"/>
      <c r="F1172" s="455"/>
      <c r="G1172" s="455"/>
      <c r="H1172" s="455"/>
      <c r="I1172" s="455"/>
      <c r="J1172" s="455"/>
    </row>
    <row r="1173">
      <c r="A1173" s="934"/>
      <c r="B1173" s="557"/>
      <c r="C1173" s="936"/>
      <c r="D1173" s="439"/>
      <c r="E1173" s="454"/>
      <c r="F1173" s="455"/>
      <c r="G1173" s="455"/>
      <c r="H1173" s="455"/>
      <c r="I1173" s="455"/>
      <c r="J1173" s="455"/>
    </row>
    <row r="1174">
      <c r="A1174" s="934"/>
      <c r="B1174" s="557"/>
      <c r="C1174" s="936"/>
      <c r="D1174" s="439"/>
      <c r="E1174" s="454"/>
      <c r="F1174" s="455"/>
      <c r="G1174" s="455"/>
      <c r="H1174" s="455"/>
      <c r="I1174" s="455"/>
      <c r="J1174" s="455"/>
    </row>
    <row r="1175">
      <c r="A1175" s="934"/>
      <c r="B1175" s="557"/>
      <c r="C1175" s="936"/>
      <c r="D1175" s="439"/>
      <c r="E1175" s="454"/>
      <c r="F1175" s="455"/>
      <c r="G1175" s="455"/>
      <c r="H1175" s="455"/>
      <c r="I1175" s="455"/>
      <c r="J1175" s="455"/>
    </row>
    <row r="1176">
      <c r="A1176" s="934"/>
      <c r="B1176" s="557"/>
      <c r="C1176" s="936"/>
      <c r="D1176" s="439"/>
      <c r="E1176" s="454"/>
      <c r="F1176" s="455"/>
      <c r="G1176" s="455"/>
      <c r="H1176" s="455"/>
      <c r="I1176" s="455"/>
      <c r="J1176" s="455"/>
    </row>
    <row r="1177">
      <c r="A1177" s="934"/>
      <c r="B1177" s="955"/>
      <c r="C1177" s="936"/>
      <c r="D1177" s="439"/>
      <c r="E1177" s="454"/>
      <c r="F1177" s="455"/>
      <c r="G1177" s="455"/>
      <c r="H1177" s="455"/>
      <c r="I1177" s="455"/>
      <c r="J1177" s="455"/>
    </row>
    <row r="1178">
      <c r="A1178" s="934"/>
      <c r="B1178" s="557"/>
      <c r="C1178" s="936"/>
      <c r="D1178" s="439"/>
      <c r="E1178" s="454"/>
      <c r="F1178" s="455"/>
      <c r="G1178" s="455"/>
      <c r="H1178" s="455"/>
      <c r="I1178" s="455"/>
      <c r="J1178" s="455"/>
    </row>
    <row r="1179">
      <c r="A1179" s="934"/>
      <c r="B1179" s="557"/>
      <c r="C1179" s="936"/>
      <c r="D1179" s="439"/>
      <c r="E1179" s="454"/>
      <c r="F1179" s="455"/>
      <c r="G1179" s="455"/>
      <c r="H1179" s="455"/>
      <c r="I1179" s="455"/>
      <c r="J1179" s="455"/>
    </row>
    <row r="1180">
      <c r="A1180" s="934"/>
      <c r="B1180" s="557"/>
      <c r="C1180" s="936"/>
      <c r="D1180" s="439"/>
      <c r="E1180" s="454"/>
      <c r="F1180" s="455"/>
      <c r="G1180" s="455"/>
      <c r="H1180" s="455"/>
      <c r="I1180" s="455"/>
      <c r="J1180" s="455"/>
    </row>
    <row r="1181">
      <c r="A1181" s="934"/>
      <c r="B1181" s="557"/>
      <c r="C1181" s="936"/>
      <c r="D1181" s="439"/>
      <c r="E1181" s="454"/>
      <c r="F1181" s="455"/>
      <c r="G1181" s="455"/>
      <c r="H1181" s="455"/>
      <c r="I1181" s="455"/>
      <c r="J1181" s="455"/>
    </row>
    <row r="1182">
      <c r="A1182" s="934"/>
      <c r="B1182" s="557"/>
      <c r="C1182" s="936"/>
      <c r="D1182" s="439"/>
      <c r="E1182" s="454"/>
      <c r="F1182" s="455"/>
      <c r="G1182" s="455"/>
      <c r="H1182" s="455"/>
      <c r="I1182" s="455"/>
      <c r="J1182" s="455"/>
    </row>
    <row r="1183">
      <c r="A1183" s="934"/>
      <c r="B1183" s="557"/>
      <c r="C1183" s="936"/>
      <c r="D1183" s="439"/>
      <c r="E1183" s="454"/>
      <c r="F1183" s="455"/>
      <c r="G1183" s="455"/>
      <c r="H1183" s="455"/>
      <c r="I1183" s="455"/>
      <c r="J1183" s="455"/>
    </row>
    <row r="1184">
      <c r="A1184" s="934"/>
      <c r="B1184" s="557"/>
      <c r="C1184" s="936"/>
      <c r="D1184" s="439"/>
      <c r="E1184" s="454"/>
      <c r="F1184" s="455"/>
      <c r="G1184" s="455"/>
      <c r="H1184" s="455"/>
      <c r="I1184" s="455"/>
      <c r="J1184" s="455"/>
    </row>
    <row r="1185">
      <c r="A1185" s="934"/>
      <c r="B1185" s="557"/>
      <c r="C1185" s="936"/>
      <c r="D1185" s="439"/>
      <c r="E1185" s="454"/>
      <c r="F1185" s="455"/>
      <c r="G1185" s="455"/>
      <c r="H1185" s="455"/>
      <c r="I1185" s="455"/>
      <c r="J1185" s="455"/>
    </row>
    <row r="1186">
      <c r="A1186" s="934"/>
      <c r="B1186" s="557"/>
      <c r="C1186" s="936"/>
      <c r="D1186" s="439"/>
      <c r="E1186" s="454"/>
      <c r="F1186" s="455"/>
      <c r="G1186" s="455"/>
      <c r="H1186" s="455"/>
      <c r="I1186" s="455"/>
      <c r="J1186" s="455"/>
    </row>
    <row r="1187">
      <c r="A1187" s="934"/>
      <c r="B1187" s="557"/>
      <c r="C1187" s="936"/>
      <c r="D1187" s="439"/>
      <c r="E1187" s="454"/>
      <c r="F1187" s="455"/>
      <c r="G1187" s="455"/>
      <c r="H1187" s="455"/>
      <c r="I1187" s="455"/>
      <c r="J1187" s="455"/>
    </row>
    <row r="1188">
      <c r="A1188" s="934"/>
      <c r="B1188" s="557"/>
      <c r="C1188" s="936"/>
      <c r="D1188" s="439"/>
      <c r="E1188" s="454"/>
      <c r="F1188" s="455"/>
      <c r="G1188" s="455"/>
      <c r="H1188" s="455"/>
      <c r="I1188" s="455"/>
      <c r="J1188" s="455"/>
    </row>
    <row r="1189">
      <c r="A1189" s="934"/>
      <c r="B1189" s="557"/>
      <c r="C1189" s="936"/>
      <c r="D1189" s="439"/>
      <c r="E1189" s="454"/>
      <c r="F1189" s="455"/>
      <c r="G1189" s="455"/>
      <c r="H1189" s="455"/>
      <c r="I1189" s="455"/>
      <c r="J1189" s="455"/>
    </row>
    <row r="1190">
      <c r="A1190" s="934"/>
      <c r="B1190" s="557"/>
      <c r="C1190" s="936"/>
      <c r="D1190" s="439"/>
      <c r="E1190" s="454"/>
      <c r="F1190" s="455"/>
      <c r="G1190" s="455"/>
      <c r="H1190" s="455"/>
      <c r="I1190" s="455"/>
      <c r="J1190" s="455"/>
    </row>
    <row r="1191">
      <c r="A1191" s="934"/>
      <c r="B1191" s="557"/>
      <c r="C1191" s="936"/>
      <c r="D1191" s="439"/>
      <c r="E1191" s="454"/>
      <c r="F1191" s="455"/>
      <c r="G1191" s="455"/>
      <c r="H1191" s="455"/>
      <c r="I1191" s="455"/>
      <c r="J1191" s="455"/>
    </row>
    <row r="1192">
      <c r="A1192" s="934"/>
      <c r="B1192" s="955"/>
      <c r="C1192" s="936"/>
      <c r="D1192" s="439"/>
      <c r="E1192" s="454"/>
      <c r="F1192" s="455"/>
      <c r="G1192" s="455"/>
      <c r="H1192" s="455"/>
      <c r="I1192" s="455"/>
      <c r="J1192" s="455"/>
    </row>
    <row r="1193">
      <c r="A1193" s="934"/>
      <c r="B1193" s="557"/>
      <c r="C1193" s="936"/>
      <c r="D1193" s="439"/>
      <c r="E1193" s="454"/>
      <c r="F1193" s="455"/>
      <c r="G1193" s="455"/>
      <c r="H1193" s="455"/>
      <c r="I1193" s="455"/>
      <c r="J1193" s="455"/>
    </row>
    <row r="1194">
      <c r="A1194" s="934"/>
      <c r="B1194" s="557"/>
      <c r="C1194" s="936"/>
      <c r="D1194" s="439"/>
      <c r="E1194" s="454"/>
      <c r="F1194" s="455"/>
      <c r="G1194" s="455"/>
      <c r="H1194" s="455"/>
      <c r="I1194" s="455"/>
      <c r="J1194" s="455"/>
    </row>
    <row r="1195">
      <c r="A1195" s="934"/>
      <c r="B1195" s="557"/>
      <c r="C1195" s="936"/>
      <c r="D1195" s="439"/>
      <c r="E1195" s="454"/>
      <c r="F1195" s="455"/>
      <c r="G1195" s="455"/>
      <c r="H1195" s="455"/>
      <c r="I1195" s="455"/>
      <c r="J1195" s="455"/>
    </row>
    <row r="1196">
      <c r="A1196" s="934"/>
      <c r="B1196" s="557"/>
      <c r="C1196" s="936"/>
      <c r="D1196" s="439"/>
      <c r="E1196" s="454"/>
      <c r="F1196" s="455"/>
      <c r="G1196" s="455"/>
      <c r="H1196" s="455"/>
      <c r="I1196" s="455"/>
      <c r="J1196" s="455"/>
    </row>
    <row r="1197">
      <c r="A1197" s="934"/>
      <c r="B1197" s="557"/>
      <c r="C1197" s="936"/>
      <c r="D1197" s="439"/>
      <c r="E1197" s="454"/>
      <c r="F1197" s="455"/>
      <c r="G1197" s="455"/>
      <c r="H1197" s="455"/>
      <c r="I1197" s="455"/>
      <c r="J1197" s="455"/>
    </row>
    <row r="1198">
      <c r="A1198" s="934"/>
      <c r="B1198" s="557"/>
      <c r="C1198" s="936"/>
      <c r="D1198" s="439"/>
      <c r="E1198" s="454"/>
      <c r="F1198" s="455"/>
      <c r="G1198" s="455"/>
      <c r="H1198" s="455"/>
      <c r="I1198" s="455"/>
      <c r="J1198" s="455"/>
    </row>
    <row r="1199">
      <c r="A1199" s="934"/>
      <c r="B1199" s="557"/>
      <c r="C1199" s="936"/>
      <c r="D1199" s="439"/>
      <c r="E1199" s="454"/>
      <c r="F1199" s="455"/>
      <c r="G1199" s="455"/>
      <c r="H1199" s="455"/>
      <c r="I1199" s="455"/>
      <c r="J1199" s="455"/>
    </row>
    <row r="1200">
      <c r="A1200" s="934"/>
      <c r="B1200" s="557"/>
      <c r="C1200" s="936"/>
      <c r="D1200" s="439"/>
      <c r="E1200" s="454"/>
      <c r="F1200" s="455"/>
      <c r="G1200" s="455"/>
      <c r="H1200" s="455"/>
      <c r="I1200" s="455"/>
      <c r="J1200" s="455"/>
    </row>
    <row r="1201">
      <c r="A1201" s="934"/>
      <c r="B1201" s="557"/>
      <c r="C1201" s="936"/>
      <c r="D1201" s="439"/>
      <c r="E1201" s="454"/>
      <c r="F1201" s="455"/>
      <c r="G1201" s="455"/>
      <c r="H1201" s="455"/>
      <c r="I1201" s="455"/>
      <c r="J1201" s="455"/>
    </row>
    <row r="1202">
      <c r="A1202" s="934"/>
      <c r="B1202" s="557"/>
      <c r="C1202" s="936"/>
      <c r="D1202" s="439"/>
      <c r="E1202" s="454"/>
      <c r="F1202" s="455"/>
      <c r="G1202" s="455"/>
      <c r="H1202" s="455"/>
      <c r="I1202" s="455"/>
      <c r="J1202" s="455"/>
    </row>
    <row r="1203">
      <c r="A1203" s="934"/>
      <c r="B1203" s="557"/>
      <c r="C1203" s="936"/>
      <c r="D1203" s="439"/>
      <c r="E1203" s="454"/>
      <c r="F1203" s="455"/>
      <c r="G1203" s="455"/>
      <c r="H1203" s="455"/>
      <c r="I1203" s="455"/>
      <c r="J1203" s="455"/>
    </row>
    <row r="1204">
      <c r="A1204" s="934"/>
      <c r="B1204" s="557"/>
      <c r="C1204" s="936"/>
      <c r="D1204" s="439"/>
      <c r="E1204" s="454"/>
      <c r="F1204" s="455"/>
      <c r="G1204" s="455"/>
      <c r="H1204" s="455"/>
      <c r="I1204" s="455"/>
      <c r="J1204" s="455"/>
    </row>
    <row r="1205">
      <c r="A1205" s="934"/>
      <c r="B1205" s="557"/>
      <c r="C1205" s="936"/>
      <c r="D1205" s="439"/>
      <c r="E1205" s="454"/>
      <c r="F1205" s="455"/>
      <c r="G1205" s="455"/>
      <c r="H1205" s="455"/>
      <c r="I1205" s="455"/>
      <c r="J1205" s="455"/>
    </row>
    <row r="1206">
      <c r="A1206" s="934"/>
      <c r="B1206" s="557"/>
      <c r="C1206" s="936"/>
      <c r="D1206" s="439"/>
      <c r="E1206" s="454"/>
      <c r="F1206" s="455"/>
      <c r="G1206" s="455"/>
      <c r="H1206" s="455"/>
      <c r="I1206" s="455"/>
      <c r="J1206" s="455"/>
    </row>
    <row r="1207">
      <c r="A1207" s="934"/>
      <c r="B1207" s="557"/>
      <c r="C1207" s="936"/>
      <c r="D1207" s="439"/>
      <c r="E1207" s="454"/>
      <c r="F1207" s="455"/>
      <c r="G1207" s="455"/>
      <c r="H1207" s="455"/>
      <c r="I1207" s="455"/>
      <c r="J1207" s="455"/>
    </row>
    <row r="1208">
      <c r="A1208" s="934"/>
      <c r="B1208" s="557"/>
      <c r="C1208" s="936"/>
      <c r="D1208" s="439"/>
      <c r="E1208" s="454"/>
      <c r="F1208" s="455"/>
      <c r="G1208" s="455"/>
      <c r="H1208" s="455"/>
      <c r="I1208" s="455"/>
      <c r="J1208" s="455"/>
    </row>
    <row r="1209">
      <c r="A1209" s="934"/>
      <c r="B1209" s="557"/>
      <c r="C1209" s="936"/>
      <c r="D1209" s="439"/>
      <c r="E1209" s="454"/>
      <c r="F1209" s="455"/>
      <c r="G1209" s="455"/>
      <c r="H1209" s="455"/>
      <c r="I1209" s="455"/>
      <c r="J1209" s="455"/>
    </row>
    <row r="1210">
      <c r="A1210" s="934"/>
      <c r="B1210" s="557"/>
      <c r="C1210" s="936"/>
      <c r="D1210" s="439"/>
      <c r="E1210" s="454"/>
      <c r="F1210" s="455"/>
      <c r="G1210" s="455"/>
      <c r="H1210" s="455"/>
      <c r="I1210" s="455"/>
      <c r="J1210" s="455"/>
    </row>
    <row r="1211">
      <c r="A1211" s="934"/>
      <c r="B1211" s="557"/>
      <c r="C1211" s="936"/>
      <c r="D1211" s="439"/>
      <c r="E1211" s="454"/>
      <c r="F1211" s="455"/>
      <c r="G1211" s="455"/>
      <c r="H1211" s="455"/>
      <c r="I1211" s="455"/>
      <c r="J1211" s="455"/>
    </row>
    <row r="1212">
      <c r="A1212" s="934"/>
      <c r="B1212" s="557"/>
      <c r="C1212" s="936"/>
      <c r="D1212" s="439"/>
      <c r="E1212" s="454"/>
      <c r="F1212" s="455"/>
      <c r="G1212" s="455"/>
      <c r="H1212" s="455"/>
      <c r="I1212" s="455"/>
      <c r="J1212" s="455"/>
    </row>
    <row r="1213">
      <c r="A1213" s="934"/>
      <c r="B1213" s="557"/>
      <c r="C1213" s="936"/>
      <c r="D1213" s="439"/>
      <c r="E1213" s="454"/>
      <c r="F1213" s="455"/>
      <c r="G1213" s="455"/>
      <c r="H1213" s="455"/>
      <c r="I1213" s="455"/>
      <c r="J1213" s="455"/>
    </row>
    <row r="1214">
      <c r="A1214" s="934"/>
      <c r="B1214" s="557"/>
      <c r="C1214" s="936"/>
      <c r="D1214" s="439"/>
      <c r="E1214" s="454"/>
      <c r="F1214" s="455"/>
      <c r="G1214" s="455"/>
      <c r="H1214" s="455"/>
      <c r="I1214" s="455"/>
      <c r="J1214" s="455"/>
    </row>
    <row r="1215">
      <c r="A1215" s="934"/>
      <c r="B1215" s="557"/>
      <c r="C1215" s="936"/>
      <c r="D1215" s="439"/>
      <c r="E1215" s="454"/>
      <c r="F1215" s="455"/>
      <c r="G1215" s="455"/>
      <c r="H1215" s="455"/>
      <c r="I1215" s="455"/>
      <c r="J1215" s="455"/>
    </row>
    <row r="1216">
      <c r="A1216" s="934"/>
      <c r="B1216" s="557"/>
      <c r="C1216" s="936"/>
      <c r="D1216" s="439"/>
      <c r="E1216" s="454"/>
      <c r="F1216" s="455"/>
      <c r="G1216" s="455"/>
      <c r="H1216" s="455"/>
      <c r="I1216" s="455"/>
      <c r="J1216" s="455"/>
    </row>
    <row r="1217">
      <c r="A1217" s="934"/>
      <c r="B1217" s="557"/>
      <c r="C1217" s="936"/>
      <c r="D1217" s="439"/>
      <c r="E1217" s="454"/>
      <c r="F1217" s="455"/>
      <c r="G1217" s="455"/>
      <c r="H1217" s="455"/>
      <c r="I1217" s="455"/>
      <c r="J1217" s="455"/>
    </row>
    <row r="1218">
      <c r="A1218" s="934"/>
      <c r="B1218" s="557"/>
      <c r="C1218" s="936"/>
      <c r="D1218" s="439"/>
      <c r="E1218" s="454"/>
      <c r="F1218" s="455"/>
      <c r="G1218" s="455"/>
      <c r="H1218" s="455"/>
      <c r="I1218" s="455"/>
      <c r="J1218" s="455"/>
    </row>
    <row r="1219">
      <c r="A1219" s="934"/>
      <c r="B1219" s="557"/>
      <c r="C1219" s="936"/>
      <c r="D1219" s="439"/>
      <c r="E1219" s="454"/>
      <c r="F1219" s="455"/>
      <c r="G1219" s="455"/>
      <c r="H1219" s="455"/>
      <c r="I1219" s="455"/>
      <c r="J1219" s="455"/>
    </row>
    <row r="1220">
      <c r="A1220" s="934"/>
      <c r="B1220" s="955"/>
      <c r="C1220" s="936"/>
      <c r="D1220" s="439"/>
      <c r="E1220" s="454"/>
      <c r="F1220" s="455"/>
      <c r="G1220" s="455"/>
      <c r="H1220" s="455"/>
      <c r="I1220" s="455"/>
      <c r="J1220" s="455"/>
    </row>
    <row r="1221">
      <c r="A1221" s="934"/>
      <c r="B1221" s="557"/>
      <c r="C1221" s="936"/>
      <c r="D1221" s="439"/>
      <c r="E1221" s="454"/>
      <c r="F1221" s="455"/>
      <c r="G1221" s="455"/>
      <c r="H1221" s="455"/>
      <c r="I1221" s="455"/>
      <c r="J1221" s="455"/>
    </row>
    <row r="1222">
      <c r="A1222" s="934"/>
      <c r="B1222" s="557"/>
      <c r="C1222" s="936"/>
      <c r="D1222" s="439"/>
      <c r="E1222" s="454"/>
      <c r="F1222" s="455"/>
      <c r="G1222" s="455"/>
      <c r="H1222" s="455"/>
      <c r="I1222" s="455"/>
      <c r="J1222" s="455"/>
    </row>
    <row r="1223">
      <c r="A1223" s="934"/>
      <c r="B1223" s="557"/>
      <c r="C1223" s="936"/>
      <c r="D1223" s="439"/>
      <c r="E1223" s="454"/>
      <c r="F1223" s="455"/>
      <c r="G1223" s="455"/>
      <c r="H1223" s="455"/>
      <c r="I1223" s="455"/>
      <c r="J1223" s="455"/>
    </row>
    <row r="1224">
      <c r="A1224" s="934"/>
      <c r="B1224" s="557"/>
      <c r="C1224" s="936"/>
      <c r="D1224" s="439"/>
      <c r="E1224" s="454"/>
      <c r="F1224" s="455"/>
      <c r="G1224" s="455"/>
      <c r="H1224" s="455"/>
      <c r="I1224" s="455"/>
      <c r="J1224" s="455"/>
    </row>
    <row r="1225">
      <c r="A1225" s="934"/>
      <c r="B1225" s="557"/>
      <c r="C1225" s="936"/>
      <c r="D1225" s="439"/>
      <c r="E1225" s="454"/>
      <c r="F1225" s="455"/>
      <c r="G1225" s="455"/>
      <c r="H1225" s="455"/>
      <c r="I1225" s="455"/>
      <c r="J1225" s="455"/>
    </row>
    <row r="1226">
      <c r="A1226" s="934"/>
      <c r="B1226" s="557"/>
      <c r="C1226" s="936"/>
      <c r="D1226" s="439"/>
      <c r="E1226" s="454"/>
      <c r="F1226" s="455"/>
      <c r="G1226" s="455"/>
      <c r="H1226" s="455"/>
      <c r="I1226" s="455"/>
      <c r="J1226" s="455"/>
    </row>
    <row r="1227">
      <c r="A1227" s="934"/>
      <c r="B1227" s="557"/>
      <c r="C1227" s="936"/>
      <c r="D1227" s="439"/>
      <c r="E1227" s="454"/>
      <c r="F1227" s="455"/>
      <c r="G1227" s="455"/>
      <c r="H1227" s="455"/>
      <c r="I1227" s="455"/>
      <c r="J1227" s="455"/>
    </row>
    <row r="1228">
      <c r="A1228" s="934"/>
      <c r="B1228" s="557"/>
      <c r="C1228" s="936"/>
      <c r="D1228" s="439"/>
      <c r="E1228" s="454"/>
      <c r="F1228" s="455"/>
      <c r="G1228" s="455"/>
      <c r="H1228" s="455"/>
      <c r="I1228" s="455"/>
      <c r="J1228" s="455"/>
    </row>
    <row r="1229">
      <c r="A1229" s="934"/>
      <c r="B1229" s="557"/>
      <c r="C1229" s="936"/>
      <c r="D1229" s="439"/>
      <c r="E1229" s="454"/>
      <c r="F1229" s="455"/>
      <c r="G1229" s="455"/>
      <c r="H1229" s="455"/>
      <c r="I1229" s="455"/>
      <c r="J1229" s="455"/>
    </row>
    <row r="1230">
      <c r="A1230" s="934"/>
      <c r="B1230" s="557"/>
      <c r="C1230" s="936"/>
      <c r="D1230" s="439"/>
      <c r="E1230" s="454"/>
      <c r="F1230" s="455"/>
      <c r="G1230" s="455"/>
      <c r="H1230" s="455"/>
      <c r="I1230" s="455"/>
      <c r="J1230" s="455"/>
    </row>
    <row r="1231">
      <c r="A1231" s="934"/>
      <c r="B1231" s="557"/>
      <c r="C1231" s="936"/>
      <c r="D1231" s="439"/>
      <c r="E1231" s="454"/>
      <c r="F1231" s="455"/>
      <c r="G1231" s="455"/>
      <c r="H1231" s="455"/>
      <c r="I1231" s="455"/>
      <c r="J1231" s="455"/>
    </row>
    <row r="1232">
      <c r="A1232" s="934"/>
      <c r="B1232" s="557"/>
      <c r="C1232" s="936"/>
      <c r="D1232" s="439"/>
      <c r="E1232" s="454"/>
      <c r="F1232" s="455"/>
      <c r="G1232" s="455"/>
      <c r="H1232" s="455"/>
      <c r="I1232" s="455"/>
      <c r="J1232" s="455"/>
    </row>
    <row r="1233">
      <c r="A1233" s="934"/>
      <c r="B1233" s="557"/>
      <c r="C1233" s="936"/>
      <c r="D1233" s="439"/>
      <c r="E1233" s="454"/>
      <c r="F1233" s="455"/>
      <c r="G1233" s="455"/>
      <c r="H1233" s="455"/>
      <c r="I1233" s="455"/>
      <c r="J1233" s="455"/>
    </row>
    <row r="1234">
      <c r="A1234" s="934"/>
      <c r="B1234" s="557"/>
      <c r="C1234" s="936"/>
      <c r="D1234" s="439"/>
      <c r="E1234" s="454"/>
      <c r="F1234" s="455"/>
      <c r="G1234" s="455"/>
      <c r="H1234" s="455"/>
      <c r="I1234" s="455"/>
      <c r="J1234" s="455"/>
    </row>
    <row r="1235">
      <c r="A1235" s="934"/>
      <c r="B1235" s="557"/>
      <c r="C1235" s="936"/>
      <c r="D1235" s="439"/>
      <c r="E1235" s="454"/>
      <c r="F1235" s="455"/>
      <c r="G1235" s="455"/>
      <c r="H1235" s="455"/>
      <c r="I1235" s="455"/>
      <c r="J1235" s="455"/>
    </row>
    <row r="1236">
      <c r="A1236" s="934"/>
      <c r="B1236" s="557"/>
      <c r="C1236" s="936"/>
      <c r="D1236" s="439"/>
      <c r="E1236" s="454"/>
      <c r="F1236" s="455"/>
      <c r="G1236" s="455"/>
      <c r="H1236" s="455"/>
      <c r="I1236" s="455"/>
      <c r="J1236" s="455"/>
    </row>
    <row r="1237">
      <c r="A1237" s="934"/>
      <c r="B1237" s="557"/>
      <c r="C1237" s="936"/>
      <c r="D1237" s="439"/>
      <c r="E1237" s="454"/>
      <c r="F1237" s="455"/>
      <c r="G1237" s="455"/>
      <c r="H1237" s="455"/>
      <c r="I1237" s="455"/>
      <c r="J1237" s="455"/>
    </row>
    <row r="1238">
      <c r="A1238" s="934"/>
      <c r="B1238" s="557"/>
      <c r="C1238" s="936"/>
      <c r="D1238" s="439"/>
      <c r="E1238" s="454"/>
      <c r="F1238" s="455"/>
      <c r="G1238" s="455"/>
      <c r="H1238" s="455"/>
      <c r="I1238" s="455"/>
      <c r="J1238" s="455"/>
    </row>
    <row r="1239">
      <c r="A1239" s="934"/>
      <c r="B1239" s="557"/>
      <c r="C1239" s="936"/>
      <c r="D1239" s="439"/>
      <c r="E1239" s="454"/>
      <c r="F1239" s="455"/>
      <c r="G1239" s="455"/>
      <c r="H1239" s="455"/>
      <c r="I1239" s="455"/>
      <c r="J1239" s="455"/>
    </row>
    <row r="1240">
      <c r="A1240" s="934"/>
      <c r="B1240" s="557"/>
      <c r="C1240" s="936"/>
      <c r="D1240" s="439"/>
      <c r="E1240" s="454"/>
      <c r="F1240" s="455"/>
      <c r="G1240" s="455"/>
      <c r="H1240" s="455"/>
      <c r="I1240" s="455"/>
      <c r="J1240" s="455"/>
    </row>
    <row r="1241">
      <c r="A1241" s="934"/>
      <c r="B1241" s="557"/>
      <c r="C1241" s="936"/>
      <c r="D1241" s="439"/>
      <c r="E1241" s="454"/>
      <c r="F1241" s="455"/>
      <c r="G1241" s="455"/>
      <c r="H1241" s="455"/>
      <c r="I1241" s="455"/>
      <c r="J1241" s="455"/>
    </row>
    <row r="1242">
      <c r="A1242" s="934"/>
      <c r="B1242" s="557"/>
      <c r="C1242" s="936"/>
      <c r="D1242" s="439"/>
      <c r="E1242" s="454"/>
      <c r="F1242" s="455"/>
      <c r="G1242" s="455"/>
      <c r="H1242" s="455"/>
      <c r="I1242" s="455"/>
      <c r="J1242" s="455"/>
    </row>
    <row r="1243">
      <c r="A1243" s="934"/>
      <c r="B1243" s="557"/>
      <c r="C1243" s="936"/>
      <c r="D1243" s="439"/>
      <c r="E1243" s="454"/>
      <c r="F1243" s="455"/>
      <c r="G1243" s="455"/>
      <c r="H1243" s="455"/>
      <c r="I1243" s="455"/>
      <c r="J1243" s="455"/>
    </row>
    <row r="1244">
      <c r="A1244" s="934"/>
      <c r="B1244" s="557"/>
      <c r="C1244" s="936"/>
      <c r="D1244" s="439"/>
      <c r="E1244" s="454"/>
      <c r="F1244" s="455"/>
      <c r="G1244" s="455"/>
      <c r="H1244" s="455"/>
      <c r="I1244" s="455"/>
      <c r="J1244" s="455"/>
    </row>
    <row r="1245">
      <c r="A1245" s="934"/>
      <c r="B1245" s="557"/>
      <c r="C1245" s="936"/>
      <c r="D1245" s="439"/>
      <c r="E1245" s="454"/>
      <c r="F1245" s="455"/>
      <c r="G1245" s="455"/>
      <c r="H1245" s="455"/>
      <c r="I1245" s="455"/>
      <c r="J1245" s="455"/>
    </row>
    <row r="1246">
      <c r="A1246" s="934"/>
      <c r="B1246" s="557"/>
      <c r="C1246" s="936"/>
      <c r="D1246" s="439"/>
      <c r="E1246" s="454"/>
      <c r="F1246" s="455"/>
      <c r="G1246" s="455"/>
      <c r="H1246" s="455"/>
      <c r="I1246" s="455"/>
      <c r="J1246" s="455"/>
    </row>
    <row r="1247">
      <c r="A1247" s="934"/>
      <c r="B1247" s="557"/>
      <c r="C1247" s="936"/>
      <c r="D1247" s="439"/>
      <c r="E1247" s="454"/>
      <c r="F1247" s="455"/>
      <c r="G1247" s="455"/>
      <c r="H1247" s="455"/>
      <c r="I1247" s="455"/>
      <c r="J1247" s="455"/>
    </row>
    <row r="1248">
      <c r="A1248" s="934"/>
      <c r="B1248" s="557"/>
      <c r="C1248" s="936"/>
      <c r="D1248" s="439"/>
      <c r="E1248" s="454"/>
      <c r="F1248" s="455"/>
      <c r="G1248" s="455"/>
      <c r="H1248" s="455"/>
      <c r="I1248" s="455"/>
      <c r="J1248" s="455"/>
    </row>
    <row r="1249">
      <c r="A1249" s="934"/>
      <c r="B1249" s="557"/>
      <c r="C1249" s="936"/>
      <c r="D1249" s="439"/>
      <c r="E1249" s="454"/>
      <c r="F1249" s="455"/>
      <c r="G1249" s="455"/>
      <c r="H1249" s="455"/>
      <c r="I1249" s="455"/>
      <c r="J1249" s="455"/>
    </row>
    <row r="1250">
      <c r="A1250" s="934"/>
      <c r="B1250" s="557"/>
      <c r="C1250" s="936"/>
      <c r="D1250" s="439"/>
      <c r="E1250" s="454"/>
      <c r="F1250" s="455"/>
      <c r="G1250" s="455"/>
      <c r="H1250" s="455"/>
      <c r="I1250" s="455"/>
      <c r="J1250" s="455"/>
    </row>
    <row r="1251">
      <c r="A1251" s="934"/>
      <c r="B1251" s="557"/>
      <c r="C1251" s="936"/>
      <c r="D1251" s="439"/>
      <c r="E1251" s="454"/>
      <c r="F1251" s="455"/>
      <c r="G1251" s="455"/>
      <c r="H1251" s="455"/>
      <c r="I1251" s="455"/>
      <c r="J1251" s="455"/>
    </row>
    <row r="1252">
      <c r="A1252" s="934"/>
      <c r="B1252" s="557"/>
      <c r="C1252" s="936"/>
      <c r="D1252" s="439"/>
      <c r="E1252" s="454"/>
      <c r="F1252" s="455"/>
      <c r="G1252" s="455"/>
      <c r="H1252" s="455"/>
      <c r="I1252" s="455"/>
      <c r="J1252" s="455"/>
    </row>
    <row r="1253">
      <c r="A1253" s="934"/>
      <c r="B1253" s="557"/>
      <c r="C1253" s="936"/>
      <c r="D1253" s="439"/>
      <c r="E1253" s="454"/>
      <c r="F1253" s="455"/>
      <c r="G1253" s="455"/>
      <c r="H1253" s="455"/>
      <c r="I1253" s="455"/>
      <c r="J1253" s="455"/>
    </row>
    <row r="1254">
      <c r="A1254" s="934"/>
      <c r="B1254" s="557"/>
      <c r="C1254" s="936"/>
      <c r="D1254" s="439"/>
      <c r="E1254" s="454"/>
      <c r="F1254" s="455"/>
      <c r="G1254" s="455"/>
      <c r="H1254" s="455"/>
      <c r="I1254" s="455"/>
      <c r="J1254" s="455"/>
    </row>
    <row r="1255">
      <c r="A1255" s="934"/>
      <c r="B1255" s="557"/>
      <c r="C1255" s="936"/>
      <c r="D1255" s="439"/>
      <c r="E1255" s="454"/>
      <c r="F1255" s="455"/>
      <c r="G1255" s="455"/>
      <c r="H1255" s="455"/>
      <c r="I1255" s="455"/>
      <c r="J1255" s="455"/>
    </row>
    <row r="1256">
      <c r="A1256" s="934"/>
      <c r="B1256" s="557"/>
      <c r="C1256" s="936"/>
      <c r="D1256" s="439"/>
      <c r="E1256" s="454"/>
      <c r="F1256" s="455"/>
      <c r="G1256" s="455"/>
      <c r="H1256" s="455"/>
      <c r="I1256" s="455"/>
      <c r="J1256" s="455"/>
    </row>
    <row r="1257">
      <c r="A1257" s="934"/>
      <c r="B1257" s="557"/>
      <c r="C1257" s="936"/>
      <c r="D1257" s="439"/>
      <c r="E1257" s="454"/>
      <c r="F1257" s="455"/>
      <c r="G1257" s="455"/>
      <c r="H1257" s="455"/>
      <c r="I1257" s="455"/>
      <c r="J1257" s="455"/>
    </row>
    <row r="1258">
      <c r="A1258" s="934"/>
      <c r="B1258" s="557"/>
      <c r="C1258" s="936"/>
      <c r="D1258" s="439"/>
      <c r="E1258" s="454"/>
      <c r="F1258" s="455"/>
      <c r="G1258" s="455"/>
      <c r="H1258" s="455"/>
      <c r="I1258" s="455"/>
      <c r="J1258" s="455"/>
    </row>
    <row r="1259">
      <c r="A1259" s="934"/>
      <c r="B1259" s="557"/>
      <c r="C1259" s="936"/>
      <c r="D1259" s="439"/>
      <c r="E1259" s="454"/>
      <c r="F1259" s="455"/>
      <c r="G1259" s="455"/>
      <c r="H1259" s="455"/>
      <c r="I1259" s="455"/>
      <c r="J1259" s="455"/>
    </row>
    <row r="1260">
      <c r="A1260" s="934"/>
      <c r="B1260" s="557"/>
      <c r="C1260" s="936"/>
      <c r="D1260" s="439"/>
      <c r="E1260" s="454"/>
      <c r="F1260" s="455"/>
      <c r="G1260" s="455"/>
      <c r="H1260" s="455"/>
      <c r="I1260" s="455"/>
      <c r="J1260" s="455"/>
    </row>
    <row r="1261">
      <c r="A1261" s="934"/>
      <c r="B1261" s="557"/>
      <c r="C1261" s="936"/>
      <c r="D1261" s="439"/>
      <c r="E1261" s="454"/>
      <c r="F1261" s="455"/>
      <c r="G1261" s="455"/>
      <c r="H1261" s="455"/>
      <c r="I1261" s="455"/>
      <c r="J1261" s="455"/>
    </row>
    <row r="1262">
      <c r="A1262" s="934"/>
      <c r="B1262" s="557"/>
      <c r="C1262" s="936"/>
      <c r="D1262" s="439"/>
      <c r="E1262" s="454"/>
      <c r="F1262" s="455"/>
      <c r="G1262" s="455"/>
      <c r="H1262" s="455"/>
      <c r="I1262" s="455"/>
      <c r="J1262" s="455"/>
    </row>
    <row r="1263">
      <c r="A1263" s="934"/>
      <c r="B1263" s="557"/>
      <c r="C1263" s="936"/>
      <c r="D1263" s="439"/>
      <c r="E1263" s="454"/>
      <c r="F1263" s="455"/>
      <c r="G1263" s="455"/>
      <c r="H1263" s="455"/>
      <c r="I1263" s="455"/>
      <c r="J1263" s="455"/>
    </row>
    <row r="1264">
      <c r="A1264" s="934"/>
      <c r="B1264" s="557"/>
      <c r="C1264" s="936"/>
      <c r="D1264" s="439"/>
      <c r="E1264" s="454"/>
      <c r="F1264" s="455"/>
      <c r="G1264" s="455"/>
      <c r="H1264" s="455"/>
      <c r="I1264" s="455"/>
      <c r="J1264" s="455"/>
    </row>
    <row r="1265">
      <c r="A1265" s="934"/>
      <c r="B1265" s="557"/>
      <c r="C1265" s="936"/>
      <c r="D1265" s="439"/>
      <c r="E1265" s="454"/>
      <c r="F1265" s="455"/>
      <c r="G1265" s="455"/>
      <c r="H1265" s="455"/>
      <c r="I1265" s="455"/>
      <c r="J1265" s="455"/>
    </row>
    <row r="1266">
      <c r="A1266" s="934"/>
      <c r="B1266" s="557"/>
      <c r="C1266" s="936"/>
      <c r="D1266" s="439"/>
      <c r="E1266" s="454"/>
      <c r="F1266" s="455"/>
      <c r="G1266" s="455"/>
      <c r="H1266" s="455"/>
      <c r="I1266" s="455"/>
      <c r="J1266" s="455"/>
    </row>
    <row r="1267">
      <c r="A1267" s="934"/>
      <c r="B1267" s="955"/>
      <c r="C1267" s="936"/>
      <c r="D1267" s="439"/>
      <c r="E1267" s="454"/>
      <c r="F1267" s="455"/>
      <c r="G1267" s="455"/>
      <c r="H1267" s="455"/>
      <c r="I1267" s="455"/>
      <c r="J1267" s="455"/>
    </row>
    <row r="1268">
      <c r="A1268" s="934"/>
      <c r="B1268" s="557"/>
      <c r="C1268" s="936"/>
      <c r="D1268" s="439"/>
      <c r="E1268" s="454"/>
      <c r="F1268" s="455"/>
      <c r="G1268" s="455"/>
      <c r="H1268" s="455"/>
      <c r="I1268" s="455"/>
      <c r="J1268" s="455"/>
    </row>
    <row r="1269">
      <c r="A1269" s="934"/>
      <c r="B1269" s="557"/>
      <c r="C1269" s="936"/>
      <c r="D1269" s="439"/>
      <c r="E1269" s="454"/>
      <c r="F1269" s="455"/>
      <c r="G1269" s="455"/>
      <c r="H1269" s="455"/>
      <c r="I1269" s="455"/>
      <c r="J1269" s="455"/>
    </row>
    <row r="1270">
      <c r="A1270" s="934"/>
      <c r="B1270" s="557"/>
      <c r="C1270" s="936"/>
      <c r="D1270" s="439"/>
      <c r="E1270" s="454"/>
      <c r="F1270" s="455"/>
      <c r="G1270" s="455"/>
      <c r="H1270" s="455"/>
      <c r="I1270" s="455"/>
      <c r="J1270" s="455"/>
    </row>
    <row r="1271">
      <c r="A1271" s="934"/>
      <c r="B1271" s="557"/>
      <c r="C1271" s="936"/>
      <c r="D1271" s="439"/>
      <c r="E1271" s="454"/>
      <c r="F1271" s="455"/>
      <c r="G1271" s="455"/>
      <c r="H1271" s="455"/>
      <c r="I1271" s="455"/>
      <c r="J1271" s="455"/>
    </row>
    <row r="1272">
      <c r="A1272" s="934"/>
      <c r="B1272" s="557"/>
      <c r="C1272" s="936"/>
      <c r="D1272" s="439"/>
      <c r="E1272" s="454"/>
      <c r="F1272" s="455"/>
      <c r="G1272" s="455"/>
      <c r="H1272" s="455"/>
      <c r="I1272" s="455"/>
      <c r="J1272" s="455"/>
    </row>
    <row r="1273">
      <c r="A1273" s="934"/>
      <c r="B1273" s="557"/>
      <c r="C1273" s="936"/>
      <c r="D1273" s="439"/>
      <c r="E1273" s="454"/>
      <c r="F1273" s="455"/>
      <c r="G1273" s="455"/>
      <c r="H1273" s="455"/>
      <c r="I1273" s="455"/>
      <c r="J1273" s="455"/>
    </row>
    <row r="1274">
      <c r="A1274" s="934"/>
      <c r="B1274" s="557"/>
      <c r="C1274" s="936"/>
      <c r="D1274" s="439"/>
      <c r="E1274" s="454"/>
      <c r="F1274" s="455"/>
      <c r="G1274" s="455"/>
      <c r="H1274" s="455"/>
      <c r="I1274" s="455"/>
      <c r="J1274" s="455"/>
    </row>
    <row r="1275">
      <c r="A1275" s="934"/>
      <c r="B1275" s="557"/>
      <c r="C1275" s="936"/>
      <c r="D1275" s="439"/>
      <c r="E1275" s="454"/>
      <c r="F1275" s="455"/>
      <c r="G1275" s="455"/>
      <c r="H1275" s="455"/>
      <c r="I1275" s="455"/>
      <c r="J1275" s="455"/>
    </row>
    <row r="1276">
      <c r="A1276" s="934"/>
      <c r="B1276" s="557"/>
      <c r="C1276" s="936"/>
      <c r="D1276" s="439"/>
      <c r="E1276" s="454"/>
      <c r="F1276" s="455"/>
      <c r="G1276" s="455"/>
      <c r="H1276" s="455"/>
      <c r="I1276" s="455"/>
      <c r="J1276" s="455"/>
    </row>
    <row r="1277">
      <c r="A1277" s="934"/>
      <c r="B1277" s="557"/>
      <c r="C1277" s="936"/>
      <c r="D1277" s="439"/>
      <c r="E1277" s="454"/>
      <c r="F1277" s="455"/>
      <c r="G1277" s="455"/>
      <c r="H1277" s="455"/>
      <c r="I1277" s="455"/>
      <c r="J1277" s="455"/>
    </row>
    <row r="1278">
      <c r="A1278" s="934"/>
      <c r="B1278" s="557"/>
      <c r="C1278" s="936"/>
      <c r="D1278" s="439"/>
      <c r="E1278" s="454"/>
      <c r="F1278" s="455"/>
      <c r="G1278" s="455"/>
      <c r="H1278" s="455"/>
      <c r="I1278" s="455"/>
      <c r="J1278" s="455"/>
    </row>
    <row r="1279">
      <c r="A1279" s="934"/>
      <c r="B1279" s="557"/>
      <c r="C1279" s="936"/>
      <c r="D1279" s="439"/>
      <c r="E1279" s="454"/>
      <c r="F1279" s="455"/>
      <c r="G1279" s="455"/>
      <c r="H1279" s="455"/>
      <c r="I1279" s="455"/>
      <c r="J1279" s="455"/>
    </row>
    <row r="1280">
      <c r="A1280" s="934"/>
      <c r="B1280" s="955"/>
      <c r="C1280" s="936"/>
      <c r="D1280" s="439"/>
      <c r="E1280" s="454"/>
      <c r="F1280" s="455"/>
      <c r="G1280" s="455"/>
      <c r="H1280" s="455"/>
      <c r="I1280" s="455"/>
      <c r="J1280" s="455"/>
    </row>
    <row r="1281">
      <c r="A1281" s="934"/>
      <c r="B1281" s="955"/>
      <c r="C1281" s="936"/>
      <c r="D1281" s="439"/>
      <c r="E1281" s="454"/>
      <c r="F1281" s="455"/>
      <c r="G1281" s="455"/>
      <c r="H1281" s="455"/>
      <c r="I1281" s="455"/>
      <c r="J1281" s="455"/>
    </row>
    <row r="1282">
      <c r="A1282" s="934"/>
      <c r="B1282" s="557"/>
      <c r="C1282" s="936"/>
      <c r="D1282" s="439"/>
      <c r="E1282" s="454"/>
      <c r="F1282" s="455"/>
      <c r="G1282" s="455"/>
      <c r="H1282" s="455"/>
      <c r="I1282" s="455"/>
      <c r="J1282" s="455"/>
    </row>
    <row r="1283">
      <c r="A1283" s="934"/>
      <c r="B1283" s="557"/>
      <c r="C1283" s="936"/>
      <c r="D1283" s="439"/>
      <c r="E1283" s="454"/>
      <c r="F1283" s="455"/>
      <c r="G1283" s="455"/>
      <c r="H1283" s="455"/>
      <c r="I1283" s="455"/>
      <c r="J1283" s="455"/>
    </row>
    <row r="1284">
      <c r="A1284" s="934"/>
      <c r="B1284" s="557"/>
      <c r="C1284" s="936"/>
      <c r="D1284" s="439"/>
      <c r="E1284" s="454"/>
      <c r="F1284" s="455"/>
      <c r="G1284" s="455"/>
      <c r="H1284" s="455"/>
      <c r="I1284" s="455"/>
      <c r="J1284" s="455"/>
    </row>
    <row r="1285">
      <c r="A1285" s="934"/>
      <c r="B1285" s="557"/>
      <c r="C1285" s="936"/>
      <c r="D1285" s="439"/>
      <c r="E1285" s="454"/>
      <c r="F1285" s="455"/>
      <c r="G1285" s="455"/>
      <c r="H1285" s="455"/>
      <c r="I1285" s="455"/>
      <c r="J1285" s="455"/>
    </row>
    <row r="1286">
      <c r="A1286" s="934"/>
      <c r="B1286" s="557"/>
      <c r="C1286" s="936"/>
      <c r="D1286" s="439"/>
      <c r="E1286" s="454"/>
      <c r="F1286" s="455"/>
      <c r="G1286" s="455"/>
      <c r="H1286" s="455"/>
      <c r="I1286" s="455"/>
      <c r="J1286" s="455"/>
    </row>
    <row r="1287">
      <c r="A1287" s="934"/>
      <c r="B1287" s="557"/>
      <c r="C1287" s="936"/>
      <c r="D1287" s="439"/>
      <c r="E1287" s="454"/>
      <c r="F1287" s="455"/>
      <c r="G1287" s="455"/>
      <c r="H1287" s="455"/>
      <c r="I1287" s="455"/>
      <c r="J1287" s="455"/>
    </row>
    <row r="1288">
      <c r="A1288" s="934"/>
      <c r="B1288" s="557"/>
      <c r="C1288" s="936"/>
      <c r="D1288" s="439"/>
      <c r="E1288" s="454"/>
      <c r="F1288" s="455"/>
      <c r="G1288" s="455"/>
      <c r="H1288" s="455"/>
      <c r="I1288" s="455"/>
      <c r="J1288" s="455"/>
    </row>
    <row r="1289">
      <c r="A1289" s="934"/>
      <c r="B1289" s="557"/>
      <c r="C1289" s="936"/>
      <c r="D1289" s="439"/>
      <c r="E1289" s="454"/>
      <c r="F1289" s="455"/>
      <c r="G1289" s="455"/>
      <c r="H1289" s="455"/>
      <c r="I1289" s="455"/>
      <c r="J1289" s="455"/>
    </row>
    <row r="1290">
      <c r="A1290" s="934"/>
      <c r="B1290" s="557"/>
      <c r="C1290" s="936"/>
      <c r="D1290" s="439"/>
      <c r="E1290" s="454"/>
      <c r="F1290" s="455"/>
      <c r="G1290" s="455"/>
      <c r="H1290" s="455"/>
      <c r="I1290" s="455"/>
      <c r="J1290" s="455"/>
    </row>
    <row r="1291">
      <c r="A1291" s="934"/>
      <c r="B1291" s="557"/>
      <c r="C1291" s="936"/>
      <c r="D1291" s="439"/>
      <c r="E1291" s="454"/>
      <c r="F1291" s="455"/>
      <c r="G1291" s="455"/>
      <c r="H1291" s="455"/>
      <c r="I1291" s="455"/>
      <c r="J1291" s="455"/>
    </row>
    <row r="1292">
      <c r="A1292" s="934"/>
      <c r="B1292" s="557"/>
      <c r="C1292" s="936"/>
      <c r="D1292" s="439"/>
      <c r="E1292" s="454"/>
      <c r="F1292" s="455"/>
      <c r="G1292" s="455"/>
      <c r="H1292" s="455"/>
      <c r="I1292" s="455"/>
      <c r="J1292" s="455"/>
    </row>
    <row r="1293">
      <c r="A1293" s="934"/>
      <c r="B1293" s="557"/>
      <c r="C1293" s="936"/>
      <c r="D1293" s="439"/>
      <c r="E1293" s="454"/>
      <c r="F1293" s="455"/>
      <c r="G1293" s="455"/>
      <c r="H1293" s="455"/>
      <c r="I1293" s="455"/>
      <c r="J1293" s="455"/>
    </row>
    <row r="1294">
      <c r="A1294" s="934"/>
      <c r="B1294" s="557"/>
      <c r="C1294" s="936"/>
      <c r="D1294" s="439"/>
      <c r="E1294" s="454"/>
      <c r="F1294" s="455"/>
      <c r="G1294" s="455"/>
      <c r="H1294" s="455"/>
      <c r="I1294" s="455"/>
      <c r="J1294" s="455"/>
    </row>
    <row r="1295">
      <c r="A1295" s="934"/>
      <c r="B1295" s="557"/>
      <c r="C1295" s="936"/>
      <c r="D1295" s="439"/>
      <c r="E1295" s="454"/>
      <c r="F1295" s="455"/>
      <c r="G1295" s="455"/>
      <c r="H1295" s="455"/>
      <c r="I1295" s="455"/>
      <c r="J1295" s="455"/>
    </row>
    <row r="1296">
      <c r="A1296" s="934"/>
      <c r="B1296" s="557"/>
      <c r="C1296" s="936"/>
      <c r="D1296" s="439"/>
      <c r="E1296" s="454"/>
      <c r="F1296" s="455"/>
      <c r="G1296" s="455"/>
      <c r="H1296" s="455"/>
      <c r="I1296" s="455"/>
      <c r="J1296" s="455"/>
    </row>
    <row r="1297">
      <c r="A1297" s="934"/>
      <c r="B1297" s="557"/>
      <c r="C1297" s="936"/>
      <c r="D1297" s="439"/>
      <c r="E1297" s="454"/>
      <c r="F1297" s="455"/>
      <c r="G1297" s="455"/>
      <c r="H1297" s="455"/>
      <c r="I1297" s="455"/>
      <c r="J1297" s="455"/>
    </row>
    <row r="1298">
      <c r="A1298" s="934"/>
      <c r="B1298" s="557"/>
      <c r="C1298" s="936"/>
      <c r="D1298" s="439"/>
      <c r="E1298" s="454"/>
      <c r="F1298" s="455"/>
      <c r="G1298" s="455"/>
      <c r="H1298" s="455"/>
      <c r="I1298" s="455"/>
      <c r="J1298" s="455"/>
    </row>
    <row r="1299">
      <c r="A1299" s="934"/>
      <c r="B1299" s="557"/>
      <c r="C1299" s="936"/>
      <c r="D1299" s="439"/>
      <c r="E1299" s="454"/>
      <c r="F1299" s="455"/>
      <c r="G1299" s="455"/>
      <c r="H1299" s="455"/>
      <c r="I1299" s="455"/>
      <c r="J1299" s="455"/>
    </row>
    <row r="1300">
      <c r="A1300" s="934"/>
      <c r="B1300" s="557"/>
      <c r="C1300" s="936"/>
      <c r="D1300" s="439"/>
      <c r="E1300" s="454"/>
      <c r="F1300" s="455"/>
      <c r="G1300" s="455"/>
      <c r="H1300" s="455"/>
      <c r="I1300" s="455"/>
      <c r="J1300" s="455"/>
    </row>
    <row r="1301">
      <c r="A1301" s="934"/>
      <c r="B1301" s="557"/>
      <c r="C1301" s="936"/>
      <c r="D1301" s="439"/>
      <c r="E1301" s="454"/>
      <c r="F1301" s="455"/>
      <c r="G1301" s="455"/>
      <c r="H1301" s="455"/>
      <c r="I1301" s="455"/>
      <c r="J1301" s="455"/>
    </row>
    <row r="1302">
      <c r="A1302" s="934"/>
      <c r="B1302" s="557"/>
      <c r="C1302" s="936"/>
      <c r="D1302" s="439"/>
      <c r="E1302" s="454"/>
      <c r="F1302" s="455"/>
      <c r="G1302" s="455"/>
      <c r="H1302" s="455"/>
      <c r="I1302" s="455"/>
      <c r="J1302" s="455"/>
    </row>
    <row r="1303">
      <c r="A1303" s="934"/>
      <c r="B1303" s="557"/>
      <c r="C1303" s="936"/>
      <c r="D1303" s="439"/>
      <c r="E1303" s="454"/>
      <c r="F1303" s="455"/>
      <c r="G1303" s="455"/>
      <c r="H1303" s="455"/>
      <c r="I1303" s="455"/>
      <c r="J1303" s="455"/>
    </row>
    <row r="1304">
      <c r="A1304" s="934"/>
      <c r="B1304" s="557"/>
      <c r="C1304" s="936"/>
      <c r="D1304" s="439"/>
      <c r="E1304" s="454"/>
      <c r="F1304" s="455"/>
      <c r="G1304" s="455"/>
      <c r="H1304" s="455"/>
      <c r="I1304" s="455"/>
      <c r="J1304" s="455"/>
    </row>
    <row r="1305">
      <c r="A1305" s="934"/>
      <c r="B1305" s="557"/>
      <c r="C1305" s="936"/>
      <c r="D1305" s="439"/>
      <c r="E1305" s="454"/>
      <c r="F1305" s="455"/>
      <c r="G1305" s="455"/>
      <c r="H1305" s="455"/>
      <c r="I1305" s="455"/>
      <c r="J1305" s="455"/>
    </row>
    <row r="1306">
      <c r="A1306" s="934"/>
      <c r="B1306" s="557"/>
      <c r="C1306" s="936"/>
      <c r="D1306" s="439"/>
      <c r="E1306" s="454"/>
      <c r="F1306" s="455"/>
      <c r="G1306" s="455"/>
      <c r="H1306" s="455"/>
      <c r="I1306" s="455"/>
      <c r="J1306" s="455"/>
    </row>
    <row r="1307">
      <c r="A1307" s="934"/>
      <c r="B1307" s="557"/>
      <c r="C1307" s="936"/>
      <c r="D1307" s="439"/>
      <c r="E1307" s="454"/>
      <c r="F1307" s="455"/>
      <c r="G1307" s="455"/>
      <c r="H1307" s="455"/>
      <c r="I1307" s="455"/>
      <c r="J1307" s="455"/>
    </row>
    <row r="1308">
      <c r="A1308" s="934"/>
      <c r="B1308" s="557"/>
      <c r="C1308" s="936"/>
      <c r="D1308" s="439"/>
      <c r="E1308" s="454"/>
      <c r="F1308" s="455"/>
      <c r="G1308" s="455"/>
      <c r="H1308" s="455"/>
      <c r="I1308" s="455"/>
      <c r="J1308" s="455"/>
    </row>
    <row r="1309">
      <c r="A1309" s="934"/>
      <c r="B1309" s="557"/>
      <c r="C1309" s="936"/>
      <c r="D1309" s="439"/>
      <c r="E1309" s="454"/>
      <c r="F1309" s="455"/>
      <c r="G1309" s="455"/>
      <c r="H1309" s="455"/>
      <c r="I1309" s="455"/>
      <c r="J1309" s="455"/>
    </row>
    <row r="1310">
      <c r="A1310" s="934"/>
      <c r="B1310" s="557"/>
      <c r="C1310" s="936"/>
      <c r="D1310" s="439"/>
      <c r="E1310" s="454"/>
      <c r="F1310" s="455"/>
      <c r="G1310" s="455"/>
      <c r="H1310" s="455"/>
      <c r="I1310" s="455"/>
      <c r="J1310" s="455"/>
    </row>
    <row r="1311">
      <c r="A1311" s="934"/>
      <c r="B1311" s="557"/>
      <c r="C1311" s="936"/>
      <c r="D1311" s="439"/>
      <c r="E1311" s="454"/>
      <c r="F1311" s="455"/>
      <c r="G1311" s="455"/>
      <c r="H1311" s="455"/>
      <c r="I1311" s="455"/>
      <c r="J1311" s="455"/>
    </row>
    <row r="1312">
      <c r="A1312" s="934"/>
      <c r="B1312" s="557"/>
      <c r="C1312" s="936"/>
      <c r="D1312" s="439"/>
      <c r="E1312" s="454"/>
      <c r="F1312" s="455"/>
      <c r="G1312" s="455"/>
      <c r="H1312" s="455"/>
      <c r="I1312" s="455"/>
      <c r="J1312" s="455"/>
    </row>
    <row r="1313">
      <c r="A1313" s="934"/>
      <c r="B1313" s="557"/>
      <c r="C1313" s="936"/>
      <c r="D1313" s="439"/>
      <c r="E1313" s="454"/>
      <c r="F1313" s="455"/>
      <c r="G1313" s="455"/>
      <c r="H1313" s="455"/>
      <c r="I1313" s="455"/>
      <c r="J1313" s="455"/>
    </row>
    <row r="1314">
      <c r="A1314" s="934"/>
      <c r="B1314" s="557"/>
      <c r="C1314" s="936"/>
      <c r="D1314" s="439"/>
      <c r="E1314" s="454"/>
      <c r="F1314" s="455"/>
      <c r="G1314" s="455"/>
      <c r="H1314" s="455"/>
      <c r="I1314" s="455"/>
      <c r="J1314" s="455"/>
    </row>
    <row r="1315">
      <c r="A1315" s="934"/>
      <c r="B1315" s="557"/>
      <c r="C1315" s="936"/>
      <c r="D1315" s="439"/>
      <c r="E1315" s="454"/>
      <c r="F1315" s="455"/>
      <c r="G1315" s="455"/>
      <c r="H1315" s="455"/>
      <c r="I1315" s="455"/>
      <c r="J1315" s="455"/>
    </row>
    <row r="1316">
      <c r="A1316" s="934"/>
      <c r="B1316" s="557"/>
      <c r="C1316" s="936"/>
      <c r="D1316" s="439"/>
      <c r="E1316" s="454"/>
      <c r="F1316" s="455"/>
      <c r="G1316" s="455"/>
      <c r="H1316" s="455"/>
      <c r="I1316" s="455"/>
      <c r="J1316" s="455"/>
    </row>
    <row r="1317">
      <c r="A1317" s="934"/>
      <c r="B1317" s="557"/>
      <c r="C1317" s="936"/>
      <c r="D1317" s="439"/>
      <c r="E1317" s="454"/>
      <c r="F1317" s="455"/>
      <c r="G1317" s="455"/>
      <c r="H1317" s="455"/>
      <c r="I1317" s="455"/>
      <c r="J1317" s="455"/>
    </row>
    <row r="1318">
      <c r="A1318" s="934"/>
      <c r="B1318" s="557"/>
      <c r="C1318" s="936"/>
      <c r="D1318" s="439"/>
      <c r="E1318" s="454"/>
      <c r="F1318" s="455"/>
      <c r="G1318" s="455"/>
      <c r="H1318" s="455"/>
      <c r="I1318" s="455"/>
      <c r="J1318" s="455"/>
    </row>
    <row r="1319">
      <c r="A1319" s="934"/>
      <c r="B1319" s="557"/>
      <c r="C1319" s="936"/>
      <c r="D1319" s="439"/>
      <c r="E1319" s="454"/>
      <c r="F1319" s="455"/>
      <c r="G1319" s="455"/>
      <c r="H1319" s="455"/>
      <c r="I1319" s="455"/>
      <c r="J1319" s="455"/>
    </row>
    <row r="1320">
      <c r="A1320" s="934"/>
      <c r="B1320" s="557"/>
      <c r="C1320" s="936"/>
      <c r="D1320" s="439"/>
      <c r="E1320" s="454"/>
      <c r="F1320" s="455"/>
      <c r="G1320" s="455"/>
      <c r="H1320" s="455"/>
      <c r="I1320" s="455"/>
      <c r="J1320" s="455"/>
    </row>
    <row r="1321">
      <c r="A1321" s="934"/>
      <c r="B1321" s="557"/>
      <c r="C1321" s="936"/>
      <c r="D1321" s="439"/>
      <c r="E1321" s="454"/>
      <c r="F1321" s="455"/>
      <c r="G1321" s="455"/>
      <c r="H1321" s="455"/>
      <c r="I1321" s="455"/>
      <c r="J1321" s="455"/>
    </row>
    <row r="1322">
      <c r="A1322" s="934"/>
      <c r="B1322" s="557"/>
      <c r="C1322" s="936"/>
      <c r="D1322" s="439"/>
      <c r="E1322" s="454"/>
      <c r="F1322" s="455"/>
      <c r="G1322" s="455"/>
      <c r="H1322" s="455"/>
      <c r="I1322" s="455"/>
      <c r="J1322" s="455"/>
    </row>
    <row r="1323">
      <c r="A1323" s="934"/>
      <c r="B1323" s="557"/>
      <c r="C1323" s="936"/>
      <c r="D1323" s="439"/>
      <c r="E1323" s="454"/>
      <c r="F1323" s="455"/>
      <c r="G1323" s="455"/>
      <c r="H1323" s="455"/>
      <c r="I1323" s="455"/>
      <c r="J1323" s="455"/>
    </row>
    <row r="1324">
      <c r="A1324" s="934"/>
      <c r="B1324" s="557"/>
      <c r="C1324" s="936"/>
      <c r="D1324" s="439"/>
      <c r="E1324" s="454"/>
      <c r="F1324" s="455"/>
      <c r="G1324" s="455"/>
      <c r="H1324" s="455"/>
      <c r="I1324" s="455"/>
      <c r="J1324" s="455"/>
    </row>
    <row r="1325">
      <c r="A1325" s="934"/>
      <c r="B1325" s="557"/>
      <c r="C1325" s="936"/>
      <c r="D1325" s="439"/>
      <c r="E1325" s="454"/>
      <c r="F1325" s="455"/>
      <c r="G1325" s="455"/>
      <c r="H1325" s="455"/>
      <c r="I1325" s="455"/>
      <c r="J1325" s="455"/>
    </row>
    <row r="1326">
      <c r="A1326" s="934"/>
      <c r="B1326" s="557"/>
      <c r="C1326" s="936"/>
      <c r="D1326" s="439"/>
      <c r="E1326" s="454"/>
      <c r="F1326" s="455"/>
      <c r="G1326" s="455"/>
      <c r="H1326" s="455"/>
      <c r="I1326" s="455"/>
      <c r="J1326" s="455"/>
    </row>
    <row r="1327">
      <c r="A1327" s="934"/>
      <c r="B1327" s="557"/>
      <c r="C1327" s="936"/>
      <c r="D1327" s="439"/>
      <c r="E1327" s="454"/>
      <c r="F1327" s="455"/>
      <c r="G1327" s="455"/>
      <c r="H1327" s="455"/>
      <c r="I1327" s="455"/>
      <c r="J1327" s="455"/>
    </row>
    <row r="1328">
      <c r="A1328" s="934"/>
      <c r="B1328" s="557"/>
      <c r="C1328" s="936"/>
      <c r="D1328" s="439"/>
      <c r="E1328" s="454"/>
      <c r="F1328" s="455"/>
      <c r="G1328" s="455"/>
      <c r="H1328" s="455"/>
      <c r="I1328" s="455"/>
      <c r="J1328" s="455"/>
    </row>
    <row r="1329">
      <c r="A1329" s="934"/>
      <c r="B1329" s="557"/>
      <c r="C1329" s="936"/>
      <c r="D1329" s="439"/>
      <c r="E1329" s="454"/>
      <c r="F1329" s="455"/>
      <c r="G1329" s="455"/>
      <c r="H1329" s="455"/>
      <c r="I1329" s="455"/>
      <c r="J1329" s="455"/>
    </row>
    <row r="1330">
      <c r="A1330" s="934"/>
      <c r="B1330" s="557"/>
      <c r="C1330" s="936"/>
      <c r="D1330" s="439"/>
      <c r="E1330" s="454"/>
      <c r="F1330" s="455"/>
      <c r="G1330" s="455"/>
      <c r="H1330" s="455"/>
      <c r="I1330" s="455"/>
      <c r="J1330" s="455"/>
    </row>
    <row r="1331">
      <c r="A1331" s="934"/>
      <c r="B1331" s="557"/>
      <c r="C1331" s="936"/>
      <c r="D1331" s="439"/>
      <c r="E1331" s="454"/>
      <c r="F1331" s="455"/>
      <c r="G1331" s="455"/>
      <c r="H1331" s="455"/>
      <c r="I1331" s="455"/>
      <c r="J1331" s="455"/>
    </row>
    <row r="1332">
      <c r="A1332" s="934"/>
      <c r="B1332" s="557"/>
      <c r="C1332" s="936"/>
      <c r="D1332" s="439"/>
      <c r="E1332" s="454"/>
      <c r="F1332" s="455"/>
      <c r="G1332" s="455"/>
      <c r="H1332" s="455"/>
      <c r="I1332" s="455"/>
      <c r="J1332" s="455"/>
    </row>
    <row r="1333">
      <c r="A1333" s="934"/>
      <c r="B1333" s="557"/>
      <c r="C1333" s="936"/>
      <c r="D1333" s="439"/>
      <c r="E1333" s="454"/>
      <c r="F1333" s="455"/>
      <c r="G1333" s="455"/>
      <c r="H1333" s="455"/>
      <c r="I1333" s="455"/>
      <c r="J1333" s="455"/>
    </row>
    <row r="1334">
      <c r="A1334" s="934"/>
      <c r="B1334" s="557"/>
      <c r="C1334" s="936"/>
      <c r="D1334" s="439"/>
      <c r="E1334" s="454"/>
      <c r="F1334" s="455"/>
      <c r="G1334" s="455"/>
      <c r="H1334" s="455"/>
      <c r="I1334" s="455"/>
      <c r="J1334" s="455"/>
    </row>
    <row r="1335">
      <c r="A1335" s="934"/>
      <c r="B1335" s="557"/>
      <c r="C1335" s="936"/>
      <c r="D1335" s="439"/>
      <c r="E1335" s="454"/>
      <c r="F1335" s="455"/>
      <c r="G1335" s="455"/>
      <c r="H1335" s="455"/>
      <c r="I1335" s="455"/>
      <c r="J1335" s="455"/>
    </row>
    <row r="1336">
      <c r="A1336" s="934"/>
      <c r="B1336" s="557"/>
      <c r="C1336" s="936"/>
      <c r="D1336" s="439"/>
      <c r="E1336" s="454"/>
      <c r="F1336" s="455"/>
      <c r="G1336" s="455"/>
      <c r="H1336" s="455"/>
      <c r="I1336" s="455"/>
      <c r="J1336" s="455"/>
    </row>
    <row r="1337">
      <c r="A1337" s="934"/>
      <c r="B1337" s="557"/>
      <c r="C1337" s="936"/>
      <c r="D1337" s="439"/>
      <c r="E1337" s="454"/>
      <c r="F1337" s="455"/>
      <c r="G1337" s="455"/>
      <c r="H1337" s="455"/>
      <c r="I1337" s="455"/>
      <c r="J1337" s="455"/>
    </row>
    <row r="1338">
      <c r="A1338" s="934"/>
      <c r="B1338" s="557"/>
      <c r="C1338" s="936"/>
      <c r="D1338" s="439"/>
      <c r="E1338" s="454"/>
      <c r="F1338" s="455"/>
      <c r="G1338" s="455"/>
      <c r="H1338" s="455"/>
      <c r="I1338" s="455"/>
      <c r="J1338" s="455"/>
    </row>
    <row r="1339">
      <c r="A1339" s="934"/>
      <c r="B1339" s="557"/>
      <c r="C1339" s="936"/>
      <c r="D1339" s="439"/>
      <c r="E1339" s="454"/>
      <c r="F1339" s="455"/>
      <c r="G1339" s="455"/>
      <c r="H1339" s="455"/>
      <c r="I1339" s="455"/>
      <c r="J1339" s="455"/>
    </row>
    <row r="1340">
      <c r="A1340" s="934"/>
      <c r="B1340" s="557"/>
      <c r="C1340" s="936"/>
      <c r="D1340" s="439"/>
      <c r="E1340" s="454"/>
      <c r="F1340" s="455"/>
      <c r="G1340" s="455"/>
      <c r="H1340" s="455"/>
      <c r="I1340" s="455"/>
      <c r="J1340" s="455"/>
    </row>
    <row r="1341">
      <c r="A1341" s="934"/>
      <c r="B1341" s="557"/>
      <c r="C1341" s="936"/>
      <c r="D1341" s="439"/>
      <c r="E1341" s="454"/>
      <c r="F1341" s="455"/>
      <c r="G1341" s="455"/>
      <c r="H1341" s="455"/>
      <c r="I1341" s="455"/>
      <c r="J1341" s="455"/>
    </row>
    <row r="1342">
      <c r="A1342" s="934"/>
      <c r="B1342" s="557"/>
      <c r="C1342" s="936"/>
      <c r="D1342" s="439"/>
      <c r="E1342" s="454"/>
      <c r="F1342" s="455"/>
      <c r="G1342" s="455"/>
      <c r="H1342" s="455"/>
      <c r="I1342" s="455"/>
      <c r="J1342" s="455"/>
    </row>
    <row r="1343">
      <c r="A1343" s="934"/>
      <c r="B1343" s="557"/>
      <c r="C1343" s="936"/>
      <c r="D1343" s="439"/>
      <c r="E1343" s="454"/>
      <c r="F1343" s="455"/>
      <c r="G1343" s="455"/>
      <c r="H1343" s="455"/>
      <c r="I1343" s="455"/>
      <c r="J1343" s="455"/>
    </row>
    <row r="1344">
      <c r="A1344" s="934"/>
      <c r="B1344" s="557"/>
      <c r="C1344" s="936"/>
      <c r="D1344" s="439"/>
      <c r="E1344" s="454"/>
      <c r="F1344" s="455"/>
      <c r="G1344" s="455"/>
      <c r="H1344" s="455"/>
      <c r="I1344" s="455"/>
      <c r="J1344" s="455"/>
    </row>
    <row r="1345">
      <c r="A1345" s="934"/>
      <c r="B1345" s="955"/>
      <c r="C1345" s="936"/>
      <c r="D1345" s="439"/>
      <c r="E1345" s="454"/>
      <c r="F1345" s="455"/>
      <c r="G1345" s="455"/>
      <c r="H1345" s="455"/>
      <c r="I1345" s="455"/>
      <c r="J1345" s="455"/>
    </row>
    <row r="1346">
      <c r="A1346" s="934"/>
      <c r="B1346" s="557"/>
      <c r="C1346" s="936"/>
      <c r="D1346" s="439"/>
      <c r="E1346" s="454"/>
      <c r="F1346" s="455"/>
      <c r="G1346" s="455"/>
      <c r="H1346" s="455"/>
      <c r="I1346" s="455"/>
      <c r="J1346" s="455"/>
    </row>
    <row r="1347">
      <c r="A1347" s="934"/>
      <c r="B1347" s="557"/>
      <c r="C1347" s="936"/>
      <c r="D1347" s="439"/>
      <c r="E1347" s="454"/>
      <c r="F1347" s="455"/>
      <c r="G1347" s="455"/>
      <c r="H1347" s="455"/>
      <c r="I1347" s="455"/>
      <c r="J1347" s="455"/>
    </row>
    <row r="1348">
      <c r="A1348" s="934"/>
      <c r="B1348" s="557"/>
      <c r="C1348" s="936"/>
      <c r="D1348" s="439"/>
      <c r="E1348" s="454"/>
      <c r="F1348" s="455"/>
      <c r="G1348" s="455"/>
      <c r="H1348" s="455"/>
      <c r="I1348" s="455"/>
      <c r="J1348" s="455"/>
    </row>
    <row r="1349">
      <c r="A1349" s="934"/>
      <c r="B1349" s="557"/>
      <c r="C1349" s="936"/>
      <c r="D1349" s="439"/>
      <c r="E1349" s="454"/>
      <c r="F1349" s="455"/>
      <c r="G1349" s="455"/>
      <c r="H1349" s="455"/>
      <c r="I1349" s="455"/>
      <c r="J1349" s="455"/>
    </row>
    <row r="1350">
      <c r="A1350" s="934"/>
      <c r="B1350" s="557"/>
      <c r="C1350" s="936"/>
      <c r="D1350" s="439"/>
      <c r="E1350" s="454"/>
      <c r="F1350" s="455"/>
      <c r="G1350" s="455"/>
      <c r="H1350" s="455"/>
      <c r="I1350" s="455"/>
      <c r="J1350" s="455"/>
    </row>
    <row r="1351">
      <c r="A1351" s="934"/>
      <c r="B1351" s="557"/>
      <c r="C1351" s="936"/>
      <c r="D1351" s="439"/>
      <c r="E1351" s="454"/>
      <c r="F1351" s="455"/>
      <c r="G1351" s="455"/>
      <c r="H1351" s="455"/>
      <c r="I1351" s="455"/>
      <c r="J1351" s="455"/>
    </row>
    <row r="1352">
      <c r="A1352" s="934"/>
      <c r="B1352" s="557"/>
      <c r="C1352" s="936"/>
      <c r="D1352" s="439"/>
      <c r="E1352" s="454"/>
      <c r="F1352" s="455"/>
      <c r="G1352" s="455"/>
      <c r="H1352" s="455"/>
      <c r="I1352" s="455"/>
      <c r="J1352" s="455"/>
    </row>
    <row r="1353">
      <c r="A1353" s="934"/>
      <c r="B1353" s="557"/>
      <c r="C1353" s="936"/>
      <c r="D1353" s="439"/>
      <c r="E1353" s="454"/>
      <c r="F1353" s="455"/>
      <c r="G1353" s="455"/>
      <c r="H1353" s="455"/>
      <c r="I1353" s="455"/>
      <c r="J1353" s="455"/>
    </row>
    <row r="1354">
      <c r="A1354" s="934"/>
      <c r="B1354" s="557"/>
      <c r="C1354" s="936"/>
      <c r="D1354" s="439"/>
      <c r="E1354" s="454"/>
      <c r="F1354" s="455"/>
      <c r="G1354" s="455"/>
      <c r="H1354" s="455"/>
      <c r="I1354" s="455"/>
      <c r="J1354" s="455"/>
    </row>
    <row r="1355">
      <c r="A1355" s="934"/>
      <c r="B1355" s="557"/>
      <c r="C1355" s="936"/>
      <c r="D1355" s="439"/>
      <c r="E1355" s="454"/>
      <c r="F1355" s="455"/>
      <c r="G1355" s="455"/>
      <c r="H1355" s="455"/>
      <c r="I1355" s="455"/>
      <c r="J1355" s="455"/>
    </row>
    <row r="1356">
      <c r="A1356" s="934"/>
      <c r="B1356" s="557"/>
      <c r="C1356" s="936"/>
      <c r="D1356" s="439"/>
      <c r="E1356" s="454"/>
      <c r="F1356" s="455"/>
      <c r="G1356" s="455"/>
      <c r="H1356" s="455"/>
      <c r="I1356" s="455"/>
      <c r="J1356" s="455"/>
    </row>
    <row r="1357">
      <c r="A1357" s="934"/>
      <c r="B1357" s="557"/>
      <c r="C1357" s="936"/>
      <c r="D1357" s="439"/>
      <c r="E1357" s="454"/>
      <c r="F1357" s="455"/>
      <c r="G1357" s="455"/>
      <c r="H1357" s="455"/>
      <c r="I1357" s="455"/>
      <c r="J1357" s="455"/>
    </row>
    <row r="1358">
      <c r="A1358" s="934"/>
      <c r="B1358" s="557"/>
      <c r="C1358" s="936"/>
      <c r="D1358" s="439"/>
      <c r="E1358" s="454"/>
      <c r="F1358" s="455"/>
      <c r="G1358" s="455"/>
      <c r="H1358" s="455"/>
      <c r="I1358" s="455"/>
      <c r="J1358" s="455"/>
    </row>
    <row r="1359">
      <c r="A1359" s="934"/>
      <c r="B1359" s="557"/>
      <c r="C1359" s="936"/>
      <c r="D1359" s="439"/>
      <c r="E1359" s="454"/>
      <c r="F1359" s="455"/>
      <c r="G1359" s="455"/>
      <c r="H1359" s="455"/>
      <c r="I1359" s="455"/>
      <c r="J1359" s="455"/>
    </row>
    <row r="1360">
      <c r="A1360" s="934"/>
      <c r="B1360" s="557"/>
      <c r="C1360" s="936"/>
      <c r="D1360" s="439"/>
      <c r="E1360" s="454"/>
      <c r="F1360" s="455"/>
      <c r="G1360" s="455"/>
      <c r="H1360" s="455"/>
      <c r="I1360" s="455"/>
      <c r="J1360" s="455"/>
    </row>
    <row r="1361">
      <c r="A1361" s="934"/>
      <c r="B1361" s="557"/>
      <c r="C1361" s="936"/>
      <c r="D1361" s="439"/>
      <c r="E1361" s="454"/>
      <c r="F1361" s="455"/>
      <c r="G1361" s="455"/>
      <c r="H1361" s="455"/>
      <c r="I1361" s="455"/>
      <c r="J1361" s="455"/>
    </row>
    <row r="1362">
      <c r="A1362" s="934"/>
      <c r="B1362" s="557"/>
      <c r="C1362" s="936"/>
      <c r="D1362" s="439"/>
      <c r="E1362" s="454"/>
      <c r="F1362" s="455"/>
      <c r="G1362" s="455"/>
      <c r="H1362" s="455"/>
      <c r="I1362" s="455"/>
      <c r="J1362" s="455"/>
    </row>
    <row r="1363">
      <c r="A1363" s="934"/>
      <c r="B1363" s="557"/>
      <c r="C1363" s="936"/>
      <c r="D1363" s="439"/>
      <c r="E1363" s="454"/>
      <c r="F1363" s="455"/>
      <c r="G1363" s="455"/>
      <c r="H1363" s="455"/>
      <c r="I1363" s="455"/>
      <c r="J1363" s="455"/>
    </row>
    <row r="1364">
      <c r="A1364" s="934"/>
      <c r="B1364" s="557"/>
      <c r="C1364" s="936"/>
      <c r="D1364" s="439"/>
      <c r="E1364" s="454"/>
      <c r="F1364" s="455"/>
      <c r="G1364" s="455"/>
      <c r="H1364" s="455"/>
      <c r="I1364" s="455"/>
      <c r="J1364" s="455"/>
    </row>
    <row r="1365">
      <c r="A1365" s="934"/>
      <c r="B1365" s="557"/>
      <c r="C1365" s="936"/>
      <c r="D1365" s="439"/>
      <c r="E1365" s="454"/>
      <c r="F1365" s="455"/>
      <c r="G1365" s="455"/>
      <c r="H1365" s="455"/>
      <c r="I1365" s="455"/>
      <c r="J1365" s="455"/>
    </row>
    <row r="1366">
      <c r="A1366" s="934"/>
      <c r="B1366" s="557"/>
      <c r="C1366" s="936"/>
      <c r="D1366" s="439"/>
      <c r="E1366" s="454"/>
      <c r="F1366" s="455"/>
      <c r="G1366" s="455"/>
      <c r="H1366" s="455"/>
      <c r="I1366" s="455"/>
      <c r="J1366" s="455"/>
    </row>
    <row r="1367">
      <c r="A1367" s="934"/>
      <c r="B1367" s="557"/>
      <c r="C1367" s="936"/>
      <c r="D1367" s="439"/>
      <c r="E1367" s="454"/>
      <c r="F1367" s="455"/>
      <c r="G1367" s="455"/>
      <c r="H1367" s="455"/>
      <c r="I1367" s="455"/>
      <c r="J1367" s="455"/>
    </row>
    <row r="1368">
      <c r="A1368" s="934"/>
      <c r="B1368" s="557"/>
      <c r="C1368" s="936"/>
      <c r="D1368" s="439"/>
      <c r="E1368" s="454"/>
      <c r="F1368" s="455"/>
      <c r="G1368" s="455"/>
      <c r="H1368" s="455"/>
      <c r="I1368" s="455"/>
      <c r="J1368" s="455"/>
    </row>
    <row r="1369">
      <c r="A1369" s="934"/>
      <c r="B1369" s="557"/>
      <c r="C1369" s="936"/>
      <c r="D1369" s="439"/>
      <c r="E1369" s="454"/>
      <c r="F1369" s="455"/>
      <c r="G1369" s="455"/>
      <c r="H1369" s="455"/>
      <c r="I1369" s="455"/>
      <c r="J1369" s="455"/>
    </row>
    <row r="1370">
      <c r="A1370" s="934"/>
      <c r="B1370" s="557"/>
      <c r="C1370" s="936"/>
      <c r="D1370" s="439"/>
      <c r="E1370" s="454"/>
      <c r="F1370" s="455"/>
      <c r="G1370" s="455"/>
      <c r="H1370" s="455"/>
      <c r="I1370" s="455"/>
      <c r="J1370" s="455"/>
    </row>
    <row r="1371">
      <c r="A1371" s="934"/>
      <c r="B1371" s="557"/>
      <c r="C1371" s="936"/>
      <c r="D1371" s="439"/>
      <c r="E1371" s="454"/>
      <c r="F1371" s="455"/>
      <c r="G1371" s="455"/>
      <c r="H1371" s="455"/>
      <c r="I1371" s="455"/>
      <c r="J1371" s="455"/>
    </row>
    <row r="1372">
      <c r="A1372" s="934"/>
      <c r="B1372" s="557"/>
      <c r="C1372" s="936"/>
      <c r="D1372" s="439"/>
      <c r="E1372" s="454"/>
      <c r="F1372" s="455"/>
      <c r="G1372" s="455"/>
      <c r="H1372" s="455"/>
      <c r="I1372" s="455"/>
      <c r="J1372" s="455"/>
    </row>
    <row r="1373">
      <c r="A1373" s="934"/>
      <c r="B1373" s="557"/>
      <c r="C1373" s="936"/>
      <c r="D1373" s="439"/>
      <c r="E1373" s="454"/>
      <c r="F1373" s="455"/>
      <c r="G1373" s="455"/>
      <c r="H1373" s="455"/>
      <c r="I1373" s="455"/>
      <c r="J1373" s="455"/>
    </row>
    <row r="1374">
      <c r="A1374" s="934"/>
      <c r="B1374" s="557"/>
      <c r="C1374" s="936"/>
      <c r="D1374" s="439"/>
      <c r="E1374" s="454"/>
      <c r="F1374" s="455"/>
      <c r="G1374" s="455"/>
      <c r="H1374" s="455"/>
      <c r="I1374" s="455"/>
      <c r="J1374" s="455"/>
    </row>
    <row r="1375">
      <c r="A1375" s="934"/>
      <c r="B1375" s="557"/>
      <c r="C1375" s="936"/>
      <c r="D1375" s="439"/>
      <c r="E1375" s="454"/>
      <c r="F1375" s="455"/>
      <c r="G1375" s="455"/>
      <c r="H1375" s="455"/>
      <c r="I1375" s="455"/>
      <c r="J1375" s="455"/>
    </row>
    <row r="1376">
      <c r="A1376" s="934"/>
      <c r="B1376" s="557"/>
      <c r="C1376" s="936"/>
      <c r="D1376" s="439"/>
      <c r="E1376" s="454"/>
      <c r="F1376" s="455"/>
      <c r="G1376" s="455"/>
      <c r="H1376" s="455"/>
      <c r="I1376" s="455"/>
      <c r="J1376" s="455"/>
    </row>
    <row r="1377">
      <c r="A1377" s="934"/>
      <c r="B1377" s="557"/>
      <c r="C1377" s="936"/>
      <c r="D1377" s="439"/>
      <c r="E1377" s="454"/>
      <c r="F1377" s="455"/>
      <c r="G1377" s="455"/>
      <c r="H1377" s="455"/>
      <c r="I1377" s="455"/>
      <c r="J1377" s="455"/>
    </row>
    <row r="1378">
      <c r="A1378" s="934"/>
      <c r="B1378" s="557"/>
      <c r="C1378" s="936"/>
      <c r="D1378" s="439"/>
      <c r="E1378" s="454"/>
      <c r="F1378" s="455"/>
      <c r="G1378" s="455"/>
      <c r="H1378" s="455"/>
      <c r="I1378" s="455"/>
      <c r="J1378" s="455"/>
    </row>
    <row r="1379">
      <c r="A1379" s="934"/>
      <c r="B1379" s="557"/>
      <c r="C1379" s="936"/>
      <c r="D1379" s="439"/>
      <c r="E1379" s="454"/>
      <c r="F1379" s="455"/>
      <c r="G1379" s="455"/>
      <c r="H1379" s="455"/>
      <c r="I1379" s="455"/>
      <c r="J1379" s="455"/>
    </row>
    <row r="1380">
      <c r="A1380" s="934"/>
      <c r="B1380" s="557"/>
      <c r="C1380" s="936"/>
      <c r="D1380" s="439"/>
      <c r="E1380" s="454"/>
      <c r="F1380" s="455"/>
      <c r="G1380" s="455"/>
      <c r="H1380" s="455"/>
      <c r="I1380" s="455"/>
      <c r="J1380" s="455"/>
    </row>
    <row r="1381">
      <c r="A1381" s="934"/>
      <c r="B1381" s="557"/>
      <c r="C1381" s="936"/>
      <c r="D1381" s="439"/>
      <c r="E1381" s="454"/>
      <c r="F1381" s="455"/>
      <c r="G1381" s="455"/>
      <c r="H1381" s="455"/>
      <c r="I1381" s="455"/>
      <c r="J1381" s="455"/>
    </row>
    <row r="1382">
      <c r="A1382" s="934"/>
      <c r="B1382" s="557"/>
      <c r="C1382" s="936"/>
      <c r="D1382" s="439"/>
      <c r="E1382" s="454"/>
      <c r="F1382" s="455"/>
      <c r="G1382" s="455"/>
      <c r="H1382" s="455"/>
      <c r="I1382" s="455"/>
      <c r="J1382" s="455"/>
    </row>
    <row r="1383">
      <c r="A1383" s="934"/>
      <c r="B1383" s="557"/>
      <c r="C1383" s="936"/>
      <c r="D1383" s="439"/>
      <c r="E1383" s="454"/>
      <c r="F1383" s="455"/>
      <c r="G1383" s="455"/>
      <c r="H1383" s="455"/>
      <c r="I1383" s="455"/>
      <c r="J1383" s="455"/>
    </row>
    <row r="1384">
      <c r="A1384" s="934"/>
      <c r="B1384" s="557"/>
      <c r="C1384" s="936"/>
      <c r="D1384" s="439"/>
      <c r="E1384" s="454"/>
      <c r="F1384" s="455"/>
      <c r="G1384" s="455"/>
      <c r="H1384" s="455"/>
      <c r="I1384" s="455"/>
      <c r="J1384" s="455"/>
    </row>
    <row r="1385">
      <c r="A1385" s="934"/>
      <c r="B1385" s="955"/>
      <c r="C1385" s="936"/>
      <c r="D1385" s="439"/>
      <c r="E1385" s="454"/>
      <c r="F1385" s="455"/>
      <c r="G1385" s="455"/>
      <c r="H1385" s="455"/>
      <c r="I1385" s="455"/>
      <c r="J1385" s="455"/>
    </row>
    <row r="1386">
      <c r="A1386" s="934"/>
      <c r="B1386" s="557"/>
      <c r="C1386" s="936"/>
      <c r="D1386" s="439"/>
      <c r="E1386" s="454"/>
      <c r="F1386" s="455"/>
      <c r="G1386" s="455"/>
      <c r="H1386" s="455"/>
      <c r="I1386" s="455"/>
      <c r="J1386" s="455"/>
    </row>
    <row r="1387">
      <c r="A1387" s="934"/>
      <c r="B1387" s="557"/>
      <c r="C1387" s="936"/>
      <c r="D1387" s="439"/>
      <c r="E1387" s="454"/>
      <c r="F1387" s="455"/>
      <c r="G1387" s="455"/>
      <c r="H1387" s="455"/>
      <c r="I1387" s="455"/>
      <c r="J1387" s="455"/>
    </row>
    <row r="1388">
      <c r="A1388" s="934"/>
      <c r="B1388" s="557"/>
      <c r="C1388" s="936"/>
      <c r="D1388" s="439"/>
      <c r="E1388" s="454"/>
      <c r="F1388" s="455"/>
      <c r="G1388" s="455"/>
      <c r="H1388" s="455"/>
      <c r="I1388" s="455"/>
      <c r="J1388" s="455"/>
    </row>
    <row r="1389">
      <c r="A1389" s="934"/>
      <c r="B1389" s="557"/>
      <c r="C1389" s="936"/>
      <c r="D1389" s="439"/>
      <c r="E1389" s="454"/>
      <c r="F1389" s="455"/>
      <c r="G1389" s="455"/>
      <c r="H1389" s="455"/>
      <c r="I1389" s="455"/>
      <c r="J1389" s="455"/>
    </row>
    <row r="1390">
      <c r="A1390" s="934"/>
      <c r="B1390" s="557"/>
      <c r="C1390" s="936"/>
      <c r="D1390" s="439"/>
      <c r="E1390" s="454"/>
      <c r="F1390" s="455"/>
      <c r="G1390" s="455"/>
      <c r="H1390" s="455"/>
      <c r="I1390" s="455"/>
      <c r="J1390" s="455"/>
    </row>
    <row r="1391">
      <c r="A1391" s="934"/>
      <c r="B1391" s="557"/>
      <c r="C1391" s="936"/>
      <c r="D1391" s="439"/>
      <c r="E1391" s="454"/>
      <c r="F1391" s="455"/>
      <c r="G1391" s="455"/>
      <c r="H1391" s="455"/>
      <c r="I1391" s="455"/>
      <c r="J1391" s="455"/>
    </row>
    <row r="1392">
      <c r="A1392" s="934"/>
      <c r="B1392" s="557"/>
      <c r="C1392" s="936"/>
      <c r="D1392" s="439"/>
      <c r="E1392" s="454"/>
      <c r="F1392" s="455"/>
      <c r="G1392" s="455"/>
      <c r="H1392" s="455"/>
      <c r="I1392" s="455"/>
      <c r="J1392" s="455"/>
    </row>
    <row r="1393">
      <c r="A1393" s="934"/>
      <c r="B1393" s="557"/>
      <c r="C1393" s="936"/>
      <c r="D1393" s="439"/>
      <c r="E1393" s="454"/>
      <c r="F1393" s="455"/>
      <c r="G1393" s="455"/>
      <c r="H1393" s="455"/>
      <c r="I1393" s="455"/>
      <c r="J1393" s="455"/>
    </row>
    <row r="1394">
      <c r="A1394" s="934"/>
      <c r="B1394" s="557"/>
      <c r="C1394" s="936"/>
      <c r="D1394" s="439"/>
      <c r="E1394" s="454"/>
      <c r="F1394" s="455"/>
      <c r="G1394" s="455"/>
      <c r="H1394" s="455"/>
      <c r="I1394" s="455"/>
      <c r="J1394" s="455"/>
    </row>
    <row r="1395">
      <c r="A1395" s="934"/>
      <c r="B1395" s="557"/>
      <c r="C1395" s="936"/>
      <c r="D1395" s="439"/>
      <c r="E1395" s="454"/>
      <c r="F1395" s="455"/>
      <c r="G1395" s="455"/>
      <c r="H1395" s="455"/>
      <c r="I1395" s="455"/>
      <c r="J1395" s="455"/>
    </row>
    <row r="1396">
      <c r="A1396" s="934"/>
      <c r="B1396" s="557"/>
      <c r="C1396" s="936"/>
      <c r="D1396" s="439"/>
      <c r="E1396" s="454"/>
      <c r="F1396" s="455"/>
      <c r="G1396" s="455"/>
      <c r="H1396" s="455"/>
      <c r="I1396" s="455"/>
      <c r="J1396" s="455"/>
    </row>
    <row r="1397">
      <c r="A1397" s="934"/>
      <c r="B1397" s="557"/>
      <c r="C1397" s="936"/>
      <c r="D1397" s="439"/>
      <c r="E1397" s="454"/>
      <c r="F1397" s="455"/>
      <c r="G1397" s="455"/>
      <c r="H1397" s="455"/>
      <c r="I1397" s="455"/>
      <c r="J1397" s="455"/>
    </row>
    <row r="1398">
      <c r="A1398" s="934"/>
      <c r="B1398" s="557"/>
      <c r="C1398" s="936"/>
      <c r="D1398" s="439"/>
      <c r="E1398" s="454"/>
      <c r="F1398" s="455"/>
      <c r="G1398" s="455"/>
      <c r="H1398" s="455"/>
      <c r="I1398" s="455"/>
      <c r="J1398" s="455"/>
    </row>
    <row r="1399">
      <c r="A1399" s="934"/>
      <c r="B1399" s="557"/>
      <c r="C1399" s="936"/>
      <c r="D1399" s="439"/>
      <c r="E1399" s="454"/>
      <c r="F1399" s="455"/>
      <c r="G1399" s="455"/>
      <c r="H1399" s="455"/>
      <c r="I1399" s="455"/>
      <c r="J1399" s="455"/>
    </row>
    <row r="1400">
      <c r="A1400" s="934"/>
      <c r="B1400" s="557"/>
      <c r="C1400" s="936"/>
      <c r="D1400" s="439"/>
      <c r="E1400" s="454"/>
      <c r="F1400" s="455"/>
      <c r="G1400" s="455"/>
      <c r="H1400" s="455"/>
      <c r="I1400" s="455"/>
      <c r="J1400" s="455"/>
    </row>
    <row r="1401">
      <c r="A1401" s="934"/>
      <c r="B1401" s="557"/>
      <c r="C1401" s="936"/>
      <c r="D1401" s="439"/>
      <c r="E1401" s="454"/>
      <c r="F1401" s="455"/>
      <c r="G1401" s="455"/>
      <c r="H1401" s="455"/>
      <c r="I1401" s="455"/>
      <c r="J1401" s="455"/>
    </row>
    <row r="1402">
      <c r="A1402" s="934"/>
      <c r="B1402" s="557"/>
      <c r="C1402" s="936"/>
      <c r="D1402" s="439"/>
      <c r="E1402" s="454"/>
      <c r="F1402" s="455"/>
      <c r="G1402" s="455"/>
      <c r="H1402" s="455"/>
      <c r="I1402" s="455"/>
      <c r="J1402" s="455"/>
    </row>
    <row r="1403">
      <c r="A1403" s="934"/>
      <c r="B1403" s="557"/>
      <c r="C1403" s="936"/>
      <c r="D1403" s="439"/>
      <c r="E1403" s="454"/>
      <c r="F1403" s="455"/>
      <c r="G1403" s="455"/>
      <c r="H1403" s="455"/>
      <c r="I1403" s="455"/>
      <c r="J1403" s="455"/>
    </row>
    <row r="1404">
      <c r="A1404" s="934"/>
      <c r="B1404" s="557"/>
      <c r="C1404" s="936"/>
      <c r="D1404" s="439"/>
      <c r="E1404" s="454"/>
      <c r="F1404" s="455"/>
      <c r="G1404" s="455"/>
      <c r="H1404" s="455"/>
      <c r="I1404" s="455"/>
      <c r="J1404" s="455"/>
    </row>
    <row r="1405">
      <c r="A1405" s="934"/>
      <c r="B1405" s="557"/>
      <c r="C1405" s="936"/>
      <c r="D1405" s="439"/>
      <c r="E1405" s="454"/>
      <c r="F1405" s="455"/>
      <c r="G1405" s="455"/>
      <c r="H1405" s="455"/>
      <c r="I1405" s="455"/>
      <c r="J1405" s="455"/>
    </row>
    <row r="1406">
      <c r="A1406" s="934"/>
      <c r="B1406" s="557"/>
      <c r="C1406" s="936"/>
      <c r="D1406" s="439"/>
      <c r="E1406" s="454"/>
      <c r="F1406" s="455"/>
      <c r="G1406" s="455"/>
      <c r="H1406" s="455"/>
      <c r="I1406" s="455"/>
      <c r="J1406" s="455"/>
    </row>
    <row r="1407">
      <c r="A1407" s="934"/>
      <c r="B1407" s="557"/>
      <c r="C1407" s="936"/>
      <c r="D1407" s="439"/>
      <c r="E1407" s="454"/>
      <c r="F1407" s="455"/>
      <c r="G1407" s="455"/>
      <c r="H1407" s="455"/>
      <c r="I1407" s="455"/>
      <c r="J1407" s="455"/>
    </row>
    <row r="1408">
      <c r="A1408" s="934"/>
      <c r="B1408" s="557"/>
      <c r="C1408" s="936"/>
      <c r="D1408" s="439"/>
      <c r="E1408" s="454"/>
      <c r="F1408" s="455"/>
      <c r="G1408" s="455"/>
      <c r="H1408" s="455"/>
      <c r="I1408" s="455"/>
      <c r="J1408" s="455"/>
    </row>
    <row r="1409">
      <c r="A1409" s="934"/>
      <c r="B1409" s="557"/>
      <c r="C1409" s="936"/>
      <c r="D1409" s="439"/>
      <c r="E1409" s="454"/>
      <c r="F1409" s="455"/>
      <c r="G1409" s="455"/>
      <c r="H1409" s="455"/>
      <c r="I1409" s="455"/>
      <c r="J1409" s="455"/>
    </row>
    <row r="1410">
      <c r="A1410" s="934"/>
      <c r="B1410" s="557"/>
      <c r="C1410" s="936"/>
      <c r="D1410" s="439"/>
      <c r="E1410" s="454"/>
      <c r="F1410" s="455"/>
      <c r="G1410" s="455"/>
      <c r="H1410" s="455"/>
      <c r="I1410" s="455"/>
      <c r="J1410" s="455"/>
    </row>
    <row r="1411">
      <c r="A1411" s="934"/>
      <c r="B1411" s="557"/>
      <c r="C1411" s="936"/>
      <c r="D1411" s="439"/>
      <c r="E1411" s="454"/>
      <c r="F1411" s="455"/>
      <c r="G1411" s="455"/>
      <c r="H1411" s="455"/>
      <c r="I1411" s="455"/>
      <c r="J1411" s="455"/>
    </row>
    <row r="1412">
      <c r="A1412" s="934"/>
      <c r="B1412" s="557"/>
      <c r="C1412" s="936"/>
      <c r="D1412" s="439"/>
      <c r="E1412" s="454"/>
      <c r="F1412" s="455"/>
      <c r="G1412" s="455"/>
      <c r="H1412" s="455"/>
      <c r="I1412" s="455"/>
      <c r="J1412" s="455"/>
    </row>
    <row r="1413">
      <c r="A1413" s="934"/>
      <c r="B1413" s="557"/>
      <c r="C1413" s="936"/>
      <c r="D1413" s="439"/>
      <c r="E1413" s="454"/>
      <c r="F1413" s="455"/>
      <c r="G1413" s="455"/>
      <c r="H1413" s="455"/>
      <c r="I1413" s="455"/>
      <c r="J1413" s="455"/>
    </row>
    <row r="1414">
      <c r="A1414" s="934"/>
      <c r="B1414" s="557"/>
      <c r="C1414" s="936"/>
      <c r="D1414" s="439"/>
      <c r="E1414" s="454"/>
      <c r="F1414" s="455"/>
      <c r="G1414" s="455"/>
      <c r="H1414" s="455"/>
      <c r="I1414" s="455"/>
      <c r="J1414" s="455"/>
    </row>
    <row r="1415">
      <c r="A1415" s="934"/>
      <c r="B1415" s="557"/>
      <c r="C1415" s="936"/>
      <c r="D1415" s="439"/>
      <c r="E1415" s="454"/>
      <c r="F1415" s="455"/>
      <c r="G1415" s="455"/>
      <c r="H1415" s="455"/>
      <c r="I1415" s="455"/>
      <c r="J1415" s="455"/>
    </row>
    <row r="1416">
      <c r="A1416" s="934"/>
      <c r="B1416" s="557"/>
      <c r="C1416" s="936"/>
      <c r="D1416" s="439"/>
      <c r="E1416" s="454"/>
      <c r="F1416" s="455"/>
      <c r="G1416" s="455"/>
      <c r="H1416" s="455"/>
      <c r="I1416" s="455"/>
      <c r="J1416" s="455"/>
    </row>
    <row r="1417">
      <c r="A1417" s="934"/>
      <c r="B1417" s="557"/>
      <c r="C1417" s="936"/>
      <c r="D1417" s="439"/>
      <c r="E1417" s="454"/>
      <c r="F1417" s="455"/>
      <c r="G1417" s="455"/>
      <c r="H1417" s="455"/>
      <c r="I1417" s="455"/>
      <c r="J1417" s="455"/>
    </row>
    <row r="1418">
      <c r="A1418" s="934"/>
      <c r="B1418" s="557"/>
      <c r="C1418" s="936"/>
      <c r="D1418" s="439"/>
      <c r="E1418" s="454"/>
      <c r="F1418" s="455"/>
      <c r="G1418" s="455"/>
      <c r="H1418" s="455"/>
      <c r="I1418" s="455"/>
      <c r="J1418" s="455"/>
    </row>
    <row r="1419">
      <c r="A1419" s="934"/>
      <c r="B1419" s="557"/>
      <c r="C1419" s="936"/>
      <c r="D1419" s="439"/>
      <c r="E1419" s="454"/>
      <c r="F1419" s="455"/>
      <c r="G1419" s="455"/>
      <c r="H1419" s="455"/>
      <c r="I1419" s="455"/>
      <c r="J1419" s="455"/>
    </row>
    <row r="1420">
      <c r="A1420" s="934"/>
      <c r="B1420" s="557"/>
      <c r="C1420" s="936"/>
      <c r="D1420" s="439"/>
      <c r="E1420" s="454"/>
      <c r="F1420" s="455"/>
      <c r="G1420" s="455"/>
      <c r="H1420" s="455"/>
      <c r="I1420" s="455"/>
      <c r="J1420" s="455"/>
    </row>
    <row r="1421">
      <c r="A1421" s="934"/>
      <c r="B1421" s="557"/>
      <c r="C1421" s="936"/>
      <c r="D1421" s="439"/>
      <c r="E1421" s="454"/>
      <c r="F1421" s="455"/>
      <c r="G1421" s="455"/>
      <c r="H1421" s="455"/>
      <c r="I1421" s="455"/>
      <c r="J1421" s="455"/>
    </row>
    <row r="1422">
      <c r="A1422" s="934"/>
      <c r="B1422" s="557"/>
      <c r="C1422" s="936"/>
      <c r="D1422" s="439"/>
      <c r="E1422" s="454"/>
      <c r="F1422" s="455"/>
      <c r="G1422" s="455"/>
      <c r="H1422" s="455"/>
      <c r="I1422" s="455"/>
      <c r="J1422" s="455"/>
    </row>
    <row r="1423">
      <c r="A1423" s="934"/>
      <c r="B1423" s="557"/>
      <c r="C1423" s="936"/>
      <c r="D1423" s="439"/>
      <c r="E1423" s="454"/>
      <c r="F1423" s="455"/>
      <c r="G1423" s="455"/>
      <c r="H1423" s="455"/>
      <c r="I1423" s="455"/>
      <c r="J1423" s="455"/>
    </row>
    <row r="1424">
      <c r="A1424" s="934"/>
      <c r="B1424" s="557"/>
      <c r="C1424" s="936"/>
      <c r="D1424" s="439"/>
      <c r="E1424" s="454"/>
      <c r="F1424" s="455"/>
      <c r="G1424" s="455"/>
      <c r="H1424" s="455"/>
      <c r="I1424" s="455"/>
      <c r="J1424" s="455"/>
    </row>
    <row r="1425">
      <c r="A1425" s="934"/>
      <c r="B1425" s="557"/>
      <c r="C1425" s="936"/>
      <c r="D1425" s="439"/>
      <c r="E1425" s="454"/>
      <c r="F1425" s="455"/>
      <c r="G1425" s="455"/>
      <c r="H1425" s="455"/>
      <c r="I1425" s="455"/>
      <c r="J1425" s="455"/>
    </row>
    <row r="1426">
      <c r="A1426" s="934"/>
      <c r="B1426" s="557"/>
      <c r="C1426" s="936"/>
      <c r="D1426" s="439"/>
      <c r="E1426" s="454"/>
      <c r="F1426" s="455"/>
      <c r="G1426" s="455"/>
      <c r="H1426" s="455"/>
      <c r="I1426" s="455"/>
      <c r="J1426" s="455"/>
    </row>
    <row r="1427">
      <c r="A1427" s="934"/>
      <c r="B1427" s="557"/>
      <c r="C1427" s="936"/>
      <c r="D1427" s="439"/>
      <c r="E1427" s="454"/>
      <c r="F1427" s="455"/>
      <c r="G1427" s="455"/>
      <c r="H1427" s="455"/>
      <c r="I1427" s="455"/>
      <c r="J1427" s="455"/>
    </row>
    <row r="1428">
      <c r="A1428" s="934"/>
      <c r="B1428" s="557"/>
      <c r="C1428" s="936"/>
      <c r="D1428" s="439"/>
      <c r="E1428" s="454"/>
      <c r="F1428" s="455"/>
      <c r="G1428" s="455"/>
      <c r="H1428" s="455"/>
      <c r="I1428" s="455"/>
      <c r="J1428" s="455"/>
    </row>
    <row r="1429">
      <c r="A1429" s="934"/>
      <c r="B1429" s="557"/>
      <c r="C1429" s="936"/>
      <c r="D1429" s="439"/>
      <c r="E1429" s="454"/>
      <c r="F1429" s="455"/>
      <c r="G1429" s="455"/>
      <c r="H1429" s="455"/>
      <c r="I1429" s="455"/>
      <c r="J1429" s="455"/>
    </row>
    <row r="1430">
      <c r="A1430" s="934"/>
      <c r="B1430" s="557"/>
      <c r="C1430" s="936"/>
      <c r="D1430" s="439"/>
      <c r="E1430" s="454"/>
      <c r="F1430" s="455"/>
      <c r="G1430" s="455"/>
      <c r="H1430" s="455"/>
      <c r="I1430" s="455"/>
      <c r="J1430" s="455"/>
    </row>
    <row r="1431">
      <c r="A1431" s="934"/>
      <c r="B1431" s="557"/>
      <c r="C1431" s="936"/>
      <c r="D1431" s="439"/>
      <c r="E1431" s="454"/>
      <c r="F1431" s="455"/>
      <c r="G1431" s="455"/>
      <c r="H1431" s="455"/>
      <c r="I1431" s="455"/>
      <c r="J1431" s="455"/>
    </row>
    <row r="1432">
      <c r="A1432" s="934"/>
      <c r="B1432" s="557"/>
      <c r="C1432" s="936"/>
      <c r="D1432" s="439"/>
      <c r="E1432" s="454"/>
      <c r="F1432" s="455"/>
      <c r="G1432" s="455"/>
      <c r="H1432" s="455"/>
      <c r="I1432" s="455"/>
      <c r="J1432" s="455"/>
    </row>
    <row r="1433">
      <c r="A1433" s="934"/>
      <c r="B1433" s="557"/>
      <c r="C1433" s="936"/>
      <c r="D1433" s="439"/>
      <c r="E1433" s="454"/>
      <c r="F1433" s="455"/>
      <c r="G1433" s="455"/>
      <c r="H1433" s="455"/>
      <c r="I1433" s="455"/>
      <c r="J1433" s="455"/>
    </row>
    <row r="1434">
      <c r="A1434" s="934"/>
      <c r="B1434" s="557"/>
      <c r="C1434" s="936"/>
      <c r="D1434" s="439"/>
      <c r="E1434" s="454"/>
      <c r="F1434" s="455"/>
      <c r="G1434" s="455"/>
      <c r="H1434" s="455"/>
      <c r="I1434" s="455"/>
      <c r="J1434" s="455"/>
    </row>
    <row r="1435">
      <c r="A1435" s="934"/>
      <c r="B1435" s="557"/>
      <c r="C1435" s="936"/>
      <c r="D1435" s="439"/>
      <c r="E1435" s="454"/>
      <c r="F1435" s="455"/>
      <c r="G1435" s="455"/>
      <c r="H1435" s="455"/>
      <c r="I1435" s="455"/>
      <c r="J1435" s="455"/>
    </row>
    <row r="1436">
      <c r="A1436" s="934"/>
      <c r="B1436" s="557"/>
      <c r="C1436" s="936"/>
      <c r="D1436" s="439"/>
      <c r="E1436" s="454"/>
      <c r="F1436" s="455"/>
      <c r="G1436" s="455"/>
      <c r="H1436" s="455"/>
      <c r="I1436" s="455"/>
      <c r="J1436" s="455"/>
    </row>
    <row r="1437">
      <c r="A1437" s="934"/>
      <c r="B1437" s="557"/>
      <c r="C1437" s="936"/>
      <c r="D1437" s="439"/>
      <c r="E1437" s="454"/>
      <c r="F1437" s="455"/>
      <c r="G1437" s="455"/>
      <c r="H1437" s="455"/>
      <c r="I1437" s="455"/>
      <c r="J1437" s="455"/>
    </row>
    <row r="1438">
      <c r="A1438" s="934"/>
      <c r="B1438" s="557"/>
      <c r="C1438" s="936"/>
      <c r="D1438" s="439"/>
      <c r="E1438" s="454"/>
      <c r="F1438" s="455"/>
      <c r="G1438" s="455"/>
      <c r="H1438" s="455"/>
      <c r="I1438" s="455"/>
      <c r="J1438" s="455"/>
    </row>
    <row r="1439">
      <c r="A1439" s="934"/>
      <c r="B1439" s="557"/>
      <c r="C1439" s="936"/>
      <c r="D1439" s="439"/>
      <c r="E1439" s="454"/>
      <c r="F1439" s="455"/>
      <c r="G1439" s="455"/>
      <c r="H1439" s="455"/>
      <c r="I1439" s="455"/>
      <c r="J1439" s="455"/>
    </row>
    <row r="1440">
      <c r="A1440" s="934"/>
      <c r="B1440" s="955"/>
      <c r="C1440" s="936"/>
      <c r="D1440" s="439"/>
      <c r="E1440" s="454"/>
      <c r="F1440" s="455"/>
      <c r="G1440" s="455"/>
      <c r="H1440" s="455"/>
      <c r="I1440" s="455"/>
      <c r="J1440" s="455"/>
    </row>
    <row r="1441">
      <c r="A1441" s="934"/>
      <c r="B1441" s="557"/>
      <c r="C1441" s="936"/>
      <c r="D1441" s="439"/>
      <c r="E1441" s="454"/>
      <c r="F1441" s="455"/>
      <c r="G1441" s="455"/>
      <c r="H1441" s="455"/>
      <c r="I1441" s="455"/>
      <c r="J1441" s="455"/>
    </row>
    <row r="1442">
      <c r="A1442" s="934"/>
      <c r="B1442" s="557"/>
      <c r="C1442" s="936"/>
      <c r="D1442" s="439"/>
      <c r="E1442" s="454"/>
      <c r="F1442" s="455"/>
      <c r="G1442" s="455"/>
      <c r="H1442" s="455"/>
      <c r="I1442" s="455"/>
      <c r="J1442" s="455"/>
    </row>
    <row r="1443">
      <c r="A1443" s="934"/>
      <c r="B1443" s="557"/>
      <c r="C1443" s="936"/>
      <c r="D1443" s="439"/>
      <c r="E1443" s="454"/>
      <c r="F1443" s="455"/>
      <c r="G1443" s="455"/>
      <c r="H1443" s="455"/>
      <c r="I1443" s="455"/>
      <c r="J1443" s="455"/>
    </row>
    <row r="1444">
      <c r="A1444" s="934"/>
      <c r="B1444" s="557"/>
      <c r="C1444" s="936"/>
      <c r="D1444" s="439"/>
      <c r="E1444" s="454"/>
      <c r="F1444" s="455"/>
      <c r="G1444" s="455"/>
      <c r="H1444" s="455"/>
      <c r="I1444" s="455"/>
      <c r="J1444" s="455"/>
    </row>
    <row r="1445">
      <c r="A1445" s="934"/>
      <c r="B1445" s="557"/>
      <c r="C1445" s="936"/>
      <c r="D1445" s="439"/>
      <c r="E1445" s="454"/>
      <c r="F1445" s="455"/>
      <c r="G1445" s="455"/>
      <c r="H1445" s="455"/>
      <c r="I1445" s="455"/>
      <c r="J1445" s="455"/>
    </row>
    <row r="1446">
      <c r="A1446" s="934"/>
      <c r="B1446" s="557"/>
      <c r="C1446" s="936"/>
      <c r="D1446" s="439"/>
      <c r="E1446" s="454"/>
      <c r="F1446" s="455"/>
      <c r="G1446" s="455"/>
      <c r="H1446" s="455"/>
      <c r="I1446" s="455"/>
      <c r="J1446" s="455"/>
    </row>
    <row r="1447">
      <c r="A1447" s="934"/>
      <c r="B1447" s="557"/>
      <c r="C1447" s="936"/>
      <c r="D1447" s="439"/>
      <c r="E1447" s="454"/>
      <c r="F1447" s="455"/>
      <c r="G1447" s="455"/>
      <c r="H1447" s="455"/>
      <c r="I1447" s="455"/>
      <c r="J1447" s="455"/>
    </row>
    <row r="1448">
      <c r="A1448" s="934"/>
      <c r="B1448" s="557"/>
      <c r="C1448" s="936"/>
      <c r="D1448" s="439"/>
      <c r="E1448" s="454"/>
      <c r="F1448" s="455"/>
      <c r="G1448" s="455"/>
      <c r="H1448" s="455"/>
      <c r="I1448" s="455"/>
      <c r="J1448" s="455"/>
    </row>
    <row r="1449">
      <c r="A1449" s="934"/>
      <c r="B1449" s="557"/>
      <c r="C1449" s="936"/>
      <c r="D1449" s="439"/>
      <c r="E1449" s="454"/>
      <c r="F1449" s="455"/>
      <c r="G1449" s="455"/>
      <c r="H1449" s="455"/>
      <c r="I1449" s="455"/>
      <c r="J1449" s="455"/>
    </row>
    <row r="1450">
      <c r="A1450" s="934"/>
      <c r="B1450" s="557"/>
      <c r="C1450" s="936"/>
      <c r="D1450" s="439"/>
      <c r="E1450" s="454"/>
      <c r="F1450" s="455"/>
      <c r="G1450" s="455"/>
      <c r="H1450" s="455"/>
      <c r="I1450" s="455"/>
      <c r="J1450" s="455"/>
    </row>
    <row r="1451">
      <c r="A1451" s="934"/>
      <c r="B1451" s="557"/>
      <c r="C1451" s="936"/>
      <c r="D1451" s="439"/>
      <c r="E1451" s="454"/>
      <c r="F1451" s="455"/>
      <c r="G1451" s="455"/>
      <c r="H1451" s="455"/>
      <c r="I1451" s="455"/>
      <c r="J1451" s="455"/>
    </row>
    <row r="1452">
      <c r="A1452" s="934"/>
      <c r="B1452" s="557"/>
      <c r="C1452" s="936"/>
      <c r="D1452" s="439"/>
      <c r="E1452" s="454"/>
      <c r="F1452" s="455"/>
      <c r="G1452" s="455"/>
      <c r="H1452" s="455"/>
      <c r="I1452" s="455"/>
      <c r="J1452" s="455"/>
    </row>
    <row r="1453">
      <c r="A1453" s="934"/>
      <c r="B1453" s="557"/>
      <c r="C1453" s="936"/>
      <c r="D1453" s="439"/>
      <c r="E1453" s="454"/>
      <c r="F1453" s="455"/>
      <c r="G1453" s="455"/>
      <c r="H1453" s="455"/>
      <c r="I1453" s="455"/>
      <c r="J1453" s="455"/>
    </row>
    <row r="1454">
      <c r="A1454" s="934"/>
      <c r="B1454" s="557"/>
      <c r="C1454" s="936"/>
      <c r="D1454" s="439"/>
      <c r="E1454" s="454"/>
      <c r="F1454" s="455"/>
      <c r="G1454" s="455"/>
      <c r="H1454" s="455"/>
      <c r="I1454" s="455"/>
      <c r="J1454" s="455"/>
    </row>
    <row r="1455">
      <c r="A1455" s="934"/>
      <c r="B1455" s="557"/>
      <c r="C1455" s="936"/>
      <c r="D1455" s="439"/>
      <c r="E1455" s="454"/>
      <c r="F1455" s="455"/>
      <c r="G1455" s="455"/>
      <c r="H1455" s="455"/>
      <c r="I1455" s="455"/>
      <c r="J1455" s="455"/>
    </row>
    <row r="1456">
      <c r="A1456" s="934"/>
      <c r="B1456" s="557"/>
      <c r="C1456" s="936"/>
      <c r="D1456" s="439"/>
      <c r="E1456" s="454"/>
      <c r="F1456" s="455"/>
      <c r="G1456" s="455"/>
      <c r="H1456" s="455"/>
      <c r="I1456" s="455"/>
      <c r="J1456" s="455"/>
    </row>
    <row r="1457">
      <c r="A1457" s="934"/>
      <c r="B1457" s="557"/>
      <c r="C1457" s="936"/>
      <c r="D1457" s="439"/>
      <c r="E1457" s="454"/>
      <c r="F1457" s="455"/>
      <c r="G1457" s="455"/>
      <c r="H1457" s="455"/>
      <c r="I1457" s="455"/>
      <c r="J1457" s="455"/>
    </row>
    <row r="1458">
      <c r="A1458" s="934"/>
      <c r="B1458" s="557"/>
      <c r="C1458" s="936"/>
      <c r="D1458" s="439"/>
      <c r="E1458" s="454"/>
      <c r="F1458" s="455"/>
      <c r="G1458" s="455"/>
      <c r="H1458" s="455"/>
      <c r="I1458" s="455"/>
      <c r="J1458" s="455"/>
    </row>
    <row r="1459">
      <c r="A1459" s="934"/>
      <c r="B1459" s="557"/>
      <c r="C1459" s="936"/>
      <c r="D1459" s="439"/>
      <c r="E1459" s="454"/>
      <c r="F1459" s="455"/>
      <c r="G1459" s="455"/>
      <c r="H1459" s="455"/>
      <c r="I1459" s="455"/>
      <c r="J1459" s="455"/>
    </row>
    <row r="1460">
      <c r="A1460" s="934"/>
      <c r="B1460" s="557"/>
      <c r="C1460" s="936"/>
      <c r="D1460" s="439"/>
      <c r="E1460" s="454"/>
      <c r="F1460" s="455"/>
      <c r="G1460" s="455"/>
      <c r="H1460" s="455"/>
      <c r="I1460" s="455"/>
      <c r="J1460" s="455"/>
    </row>
    <row r="1461">
      <c r="A1461" s="934"/>
      <c r="B1461" s="557"/>
      <c r="C1461" s="936"/>
      <c r="D1461" s="439"/>
      <c r="E1461" s="454"/>
      <c r="F1461" s="455"/>
      <c r="G1461" s="455"/>
      <c r="H1461" s="455"/>
      <c r="I1461" s="455"/>
      <c r="J1461" s="455"/>
    </row>
    <row r="1462">
      <c r="A1462" s="934"/>
      <c r="B1462" s="557"/>
      <c r="C1462" s="936"/>
      <c r="D1462" s="439"/>
      <c r="E1462" s="454"/>
      <c r="F1462" s="455"/>
      <c r="G1462" s="455"/>
      <c r="H1462" s="455"/>
      <c r="I1462" s="455"/>
      <c r="J1462" s="455"/>
    </row>
    <row r="1463">
      <c r="A1463" s="934"/>
      <c r="B1463" s="557"/>
      <c r="C1463" s="936"/>
      <c r="D1463" s="439"/>
      <c r="E1463" s="454"/>
      <c r="F1463" s="455"/>
      <c r="G1463" s="455"/>
      <c r="H1463" s="455"/>
      <c r="I1463" s="455"/>
      <c r="J1463" s="455"/>
    </row>
    <row r="1464">
      <c r="A1464" s="934"/>
      <c r="B1464" s="557"/>
      <c r="C1464" s="936"/>
      <c r="D1464" s="439"/>
      <c r="E1464" s="454"/>
      <c r="F1464" s="455"/>
      <c r="G1464" s="455"/>
      <c r="H1464" s="455"/>
      <c r="I1464" s="455"/>
      <c r="J1464" s="455"/>
    </row>
    <row r="1465">
      <c r="A1465" s="934"/>
      <c r="B1465" s="557"/>
      <c r="C1465" s="936"/>
      <c r="D1465" s="439"/>
      <c r="E1465" s="454"/>
      <c r="F1465" s="455"/>
      <c r="G1465" s="455"/>
      <c r="H1465" s="455"/>
      <c r="I1465" s="455"/>
      <c r="J1465" s="455"/>
    </row>
    <row r="1466">
      <c r="A1466" s="934"/>
      <c r="B1466" s="557"/>
      <c r="C1466" s="936"/>
      <c r="D1466" s="439"/>
      <c r="E1466" s="454"/>
      <c r="F1466" s="455"/>
      <c r="G1466" s="455"/>
      <c r="H1466" s="455"/>
      <c r="I1466" s="455"/>
      <c r="J1466" s="455"/>
    </row>
    <row r="1467">
      <c r="A1467" s="934"/>
      <c r="B1467" s="557"/>
      <c r="C1467" s="936"/>
      <c r="D1467" s="439"/>
      <c r="E1467" s="454"/>
      <c r="F1467" s="455"/>
      <c r="G1467" s="455"/>
      <c r="H1467" s="455"/>
      <c r="I1467" s="455"/>
      <c r="J1467" s="455"/>
    </row>
    <row r="1468">
      <c r="A1468" s="934"/>
      <c r="B1468" s="557"/>
      <c r="C1468" s="936"/>
      <c r="D1468" s="439"/>
      <c r="E1468" s="454"/>
      <c r="F1468" s="455"/>
      <c r="G1468" s="455"/>
      <c r="H1468" s="455"/>
      <c r="I1468" s="455"/>
      <c r="J1468" s="455"/>
    </row>
    <row r="1469">
      <c r="A1469" s="934"/>
      <c r="B1469" s="955"/>
      <c r="C1469" s="936"/>
      <c r="D1469" s="439"/>
      <c r="E1469" s="454"/>
      <c r="F1469" s="455"/>
      <c r="G1469" s="455"/>
      <c r="H1469" s="455"/>
      <c r="I1469" s="455"/>
      <c r="J1469" s="455"/>
    </row>
    <row r="1470">
      <c r="A1470" s="934"/>
      <c r="B1470" s="955"/>
      <c r="C1470" s="936"/>
      <c r="D1470" s="439"/>
      <c r="E1470" s="454"/>
      <c r="F1470" s="455"/>
      <c r="G1470" s="455"/>
      <c r="H1470" s="455"/>
      <c r="I1470" s="455"/>
      <c r="J1470" s="455"/>
    </row>
    <row r="1471">
      <c r="A1471" s="934"/>
      <c r="B1471" s="557"/>
      <c r="C1471" s="936"/>
      <c r="D1471" s="439"/>
      <c r="E1471" s="454"/>
      <c r="F1471" s="455"/>
      <c r="G1471" s="455"/>
      <c r="H1471" s="455"/>
      <c r="I1471" s="455"/>
      <c r="J1471" s="455"/>
    </row>
    <row r="1472">
      <c r="A1472" s="934"/>
      <c r="B1472" s="557"/>
      <c r="C1472" s="936"/>
      <c r="D1472" s="439"/>
      <c r="E1472" s="454"/>
      <c r="F1472" s="455"/>
      <c r="G1472" s="455"/>
      <c r="H1472" s="455"/>
      <c r="I1472" s="455"/>
      <c r="J1472" s="455"/>
    </row>
    <row r="1473">
      <c r="A1473" s="934"/>
      <c r="B1473" s="557"/>
      <c r="C1473" s="936"/>
      <c r="D1473" s="439"/>
      <c r="E1473" s="454"/>
      <c r="F1473" s="455"/>
      <c r="G1473" s="455"/>
      <c r="H1473" s="455"/>
      <c r="I1473" s="455"/>
      <c r="J1473" s="455"/>
    </row>
    <row r="1474">
      <c r="A1474" s="934"/>
      <c r="B1474" s="557"/>
      <c r="C1474" s="936"/>
      <c r="D1474" s="439"/>
      <c r="E1474" s="454"/>
      <c r="F1474" s="455"/>
      <c r="G1474" s="455"/>
      <c r="H1474" s="455"/>
      <c r="I1474" s="455"/>
      <c r="J1474" s="455"/>
    </row>
    <row r="1475">
      <c r="A1475" s="934"/>
      <c r="B1475" s="557"/>
      <c r="C1475" s="936"/>
      <c r="D1475" s="439"/>
      <c r="E1475" s="454"/>
      <c r="F1475" s="455"/>
      <c r="G1475" s="455"/>
      <c r="H1475" s="455"/>
      <c r="I1475" s="455"/>
      <c r="J1475" s="455"/>
    </row>
    <row r="1476">
      <c r="A1476" s="934"/>
      <c r="B1476" s="955"/>
      <c r="C1476" s="936"/>
      <c r="D1476" s="439"/>
      <c r="E1476" s="454"/>
      <c r="F1476" s="455"/>
      <c r="G1476" s="455"/>
      <c r="H1476" s="455"/>
      <c r="I1476" s="455"/>
      <c r="J1476" s="455"/>
    </row>
    <row r="1477">
      <c r="A1477" s="934"/>
      <c r="B1477" s="557"/>
      <c r="C1477" s="936"/>
      <c r="D1477" s="439"/>
      <c r="E1477" s="454"/>
      <c r="F1477" s="455"/>
      <c r="G1477" s="455"/>
      <c r="H1477" s="455"/>
      <c r="I1477" s="455"/>
      <c r="J1477" s="455"/>
    </row>
    <row r="1478">
      <c r="A1478" s="934"/>
      <c r="B1478" s="557"/>
      <c r="C1478" s="936"/>
      <c r="D1478" s="439"/>
      <c r="E1478" s="454"/>
      <c r="F1478" s="455"/>
      <c r="G1478" s="455"/>
      <c r="H1478" s="455"/>
      <c r="I1478" s="455"/>
      <c r="J1478" s="455"/>
    </row>
    <row r="1479">
      <c r="A1479" s="934"/>
      <c r="B1479" s="557"/>
      <c r="C1479" s="936"/>
      <c r="D1479" s="439"/>
      <c r="E1479" s="454"/>
      <c r="F1479" s="455"/>
      <c r="G1479" s="455"/>
      <c r="H1479" s="455"/>
      <c r="I1479" s="455"/>
      <c r="J1479" s="455"/>
    </row>
    <row r="1480">
      <c r="A1480" s="934"/>
      <c r="B1480" s="557"/>
      <c r="C1480" s="936"/>
      <c r="D1480" s="439"/>
      <c r="E1480" s="454"/>
      <c r="F1480" s="455"/>
      <c r="G1480" s="455"/>
      <c r="H1480" s="455"/>
      <c r="I1480" s="455"/>
      <c r="J1480" s="455"/>
    </row>
    <row r="1481">
      <c r="A1481" s="934"/>
      <c r="B1481" s="557"/>
      <c r="C1481" s="936"/>
      <c r="D1481" s="439"/>
      <c r="E1481" s="454"/>
      <c r="F1481" s="455"/>
      <c r="G1481" s="455"/>
      <c r="H1481" s="455"/>
      <c r="I1481" s="455"/>
      <c r="J1481" s="455"/>
    </row>
    <row r="1482">
      <c r="A1482" s="934"/>
      <c r="B1482" s="557"/>
      <c r="C1482" s="936"/>
      <c r="D1482" s="439"/>
      <c r="E1482" s="454"/>
      <c r="F1482" s="455"/>
      <c r="G1482" s="455"/>
      <c r="H1482" s="455"/>
      <c r="I1482" s="455"/>
      <c r="J1482" s="455"/>
    </row>
    <row r="1483">
      <c r="A1483" s="934"/>
      <c r="B1483" s="557"/>
      <c r="C1483" s="936"/>
      <c r="D1483" s="439"/>
      <c r="E1483" s="454"/>
      <c r="F1483" s="455"/>
      <c r="G1483" s="455"/>
      <c r="H1483" s="455"/>
      <c r="I1483" s="455"/>
      <c r="J1483" s="455"/>
    </row>
    <row r="1484">
      <c r="A1484" s="934"/>
      <c r="B1484" s="557"/>
      <c r="C1484" s="936"/>
      <c r="D1484" s="439"/>
      <c r="E1484" s="454"/>
      <c r="F1484" s="455"/>
      <c r="G1484" s="455"/>
      <c r="H1484" s="455"/>
      <c r="I1484" s="455"/>
      <c r="J1484" s="455"/>
    </row>
    <row r="1485">
      <c r="A1485" s="934"/>
      <c r="B1485" s="557"/>
      <c r="C1485" s="936"/>
      <c r="D1485" s="439"/>
      <c r="E1485" s="454"/>
      <c r="F1485" s="455"/>
      <c r="G1485" s="455"/>
      <c r="H1485" s="455"/>
      <c r="I1485" s="455"/>
      <c r="J1485" s="455"/>
    </row>
    <row r="1486">
      <c r="A1486" s="934"/>
      <c r="B1486" s="557"/>
      <c r="C1486" s="936"/>
      <c r="D1486" s="439"/>
      <c r="E1486" s="454"/>
      <c r="F1486" s="455"/>
      <c r="G1486" s="455"/>
      <c r="H1486" s="455"/>
      <c r="I1486" s="455"/>
      <c r="J1486" s="455"/>
    </row>
    <row r="1487">
      <c r="A1487" s="934"/>
      <c r="B1487" s="557"/>
      <c r="C1487" s="936"/>
      <c r="D1487" s="439"/>
      <c r="E1487" s="454"/>
      <c r="F1487" s="455"/>
      <c r="G1487" s="455"/>
      <c r="H1487" s="455"/>
      <c r="I1487" s="455"/>
      <c r="J1487" s="455"/>
    </row>
    <row r="1488">
      <c r="A1488" s="934"/>
      <c r="B1488" s="557"/>
      <c r="C1488" s="936"/>
      <c r="D1488" s="439"/>
      <c r="E1488" s="454"/>
      <c r="F1488" s="455"/>
      <c r="G1488" s="455"/>
      <c r="H1488" s="455"/>
      <c r="I1488" s="455"/>
      <c r="J1488" s="455"/>
    </row>
    <row r="1489">
      <c r="A1489" s="934"/>
      <c r="B1489" s="557"/>
      <c r="C1489" s="936"/>
      <c r="D1489" s="439"/>
      <c r="E1489" s="454"/>
      <c r="F1489" s="455"/>
      <c r="G1489" s="455"/>
      <c r="H1489" s="455"/>
      <c r="I1489" s="455"/>
      <c r="J1489" s="455"/>
    </row>
    <row r="1490">
      <c r="A1490" s="934"/>
      <c r="B1490" s="557"/>
      <c r="C1490" s="936"/>
      <c r="D1490" s="439"/>
      <c r="E1490" s="454"/>
      <c r="F1490" s="455"/>
      <c r="G1490" s="455"/>
      <c r="H1490" s="455"/>
      <c r="I1490" s="455"/>
      <c r="J1490" s="455"/>
    </row>
    <row r="1491">
      <c r="A1491" s="934"/>
      <c r="B1491" s="557"/>
      <c r="C1491" s="936"/>
      <c r="D1491" s="439"/>
      <c r="E1491" s="454"/>
      <c r="F1491" s="455"/>
      <c r="G1491" s="455"/>
      <c r="H1491" s="455"/>
      <c r="I1491" s="455"/>
      <c r="J1491" s="455"/>
    </row>
    <row r="1492">
      <c r="A1492" s="934"/>
      <c r="B1492" s="557"/>
      <c r="C1492" s="936"/>
      <c r="D1492" s="439"/>
      <c r="E1492" s="454"/>
      <c r="F1492" s="455"/>
      <c r="G1492" s="455"/>
      <c r="H1492" s="455"/>
      <c r="I1492" s="455"/>
      <c r="J1492" s="455"/>
    </row>
    <row r="1493">
      <c r="A1493" s="934"/>
      <c r="B1493" s="557"/>
      <c r="C1493" s="936"/>
      <c r="D1493" s="439"/>
      <c r="E1493" s="454"/>
      <c r="F1493" s="455"/>
      <c r="G1493" s="455"/>
      <c r="H1493" s="455"/>
      <c r="I1493" s="455"/>
      <c r="J1493" s="455"/>
    </row>
    <row r="1494">
      <c r="A1494" s="934"/>
      <c r="B1494" s="557"/>
      <c r="C1494" s="936"/>
      <c r="D1494" s="439"/>
      <c r="E1494" s="454"/>
      <c r="F1494" s="455"/>
      <c r="G1494" s="455"/>
      <c r="H1494" s="455"/>
      <c r="I1494" s="455"/>
      <c r="J1494" s="455"/>
    </row>
    <row r="1495">
      <c r="A1495" s="934"/>
      <c r="B1495" s="557"/>
      <c r="C1495" s="936"/>
      <c r="D1495" s="439"/>
      <c r="E1495" s="454"/>
      <c r="F1495" s="455"/>
      <c r="G1495" s="455"/>
      <c r="H1495" s="455"/>
      <c r="I1495" s="455"/>
      <c r="J1495" s="455"/>
    </row>
    <row r="1496">
      <c r="A1496" s="934"/>
      <c r="B1496" s="557"/>
      <c r="C1496" s="936"/>
      <c r="D1496" s="439"/>
      <c r="E1496" s="454"/>
      <c r="F1496" s="455"/>
      <c r="G1496" s="455"/>
      <c r="H1496" s="455"/>
      <c r="I1496" s="455"/>
      <c r="J1496" s="455"/>
    </row>
    <row r="1497">
      <c r="A1497" s="934"/>
      <c r="B1497" s="557"/>
      <c r="C1497" s="936"/>
      <c r="D1497" s="439"/>
      <c r="E1497" s="454"/>
      <c r="F1497" s="455"/>
      <c r="G1497" s="455"/>
      <c r="H1497" s="455"/>
      <c r="I1497" s="455"/>
      <c r="J1497" s="455"/>
    </row>
    <row r="1498">
      <c r="A1498" s="934"/>
      <c r="B1498" s="557"/>
      <c r="C1498" s="936"/>
      <c r="D1498" s="439"/>
      <c r="E1498" s="454"/>
      <c r="F1498" s="455"/>
      <c r="G1498" s="455"/>
      <c r="H1498" s="455"/>
      <c r="I1498" s="455"/>
      <c r="J1498" s="455"/>
    </row>
    <row r="1499">
      <c r="A1499" s="934"/>
      <c r="B1499" s="557"/>
      <c r="C1499" s="936"/>
      <c r="D1499" s="439"/>
      <c r="E1499" s="454"/>
      <c r="F1499" s="455"/>
      <c r="G1499" s="455"/>
      <c r="H1499" s="455"/>
      <c r="I1499" s="455"/>
      <c r="J1499" s="455"/>
    </row>
    <row r="1500">
      <c r="A1500" s="934"/>
      <c r="B1500" s="557"/>
      <c r="C1500" s="936"/>
      <c r="D1500" s="439"/>
      <c r="E1500" s="454"/>
      <c r="F1500" s="455"/>
      <c r="G1500" s="455"/>
      <c r="H1500" s="455"/>
      <c r="I1500" s="455"/>
      <c r="J1500" s="455"/>
    </row>
    <row r="1501">
      <c r="A1501" s="934"/>
      <c r="B1501" s="557"/>
      <c r="C1501" s="936"/>
      <c r="D1501" s="439"/>
      <c r="E1501" s="454"/>
      <c r="F1501" s="455"/>
      <c r="G1501" s="455"/>
      <c r="H1501" s="455"/>
      <c r="I1501" s="455"/>
      <c r="J1501" s="455"/>
    </row>
    <row r="1502">
      <c r="A1502" s="934"/>
      <c r="B1502" s="557"/>
      <c r="C1502" s="936"/>
      <c r="D1502" s="439"/>
      <c r="E1502" s="454"/>
      <c r="F1502" s="455"/>
      <c r="G1502" s="455"/>
      <c r="H1502" s="455"/>
      <c r="I1502" s="455"/>
      <c r="J1502" s="455"/>
    </row>
    <row r="1503">
      <c r="A1503" s="934"/>
      <c r="B1503" s="557"/>
      <c r="C1503" s="936"/>
      <c r="D1503" s="439"/>
      <c r="E1503" s="454"/>
      <c r="F1503" s="455"/>
      <c r="G1503" s="455"/>
      <c r="H1503" s="455"/>
      <c r="I1503" s="455"/>
      <c r="J1503" s="455"/>
    </row>
    <row r="1504">
      <c r="A1504" s="934"/>
      <c r="B1504" s="557"/>
      <c r="C1504" s="936"/>
      <c r="D1504" s="439"/>
      <c r="E1504" s="454"/>
      <c r="F1504" s="455"/>
      <c r="G1504" s="455"/>
      <c r="H1504" s="455"/>
      <c r="I1504" s="455"/>
      <c r="J1504" s="455"/>
    </row>
    <row r="1505">
      <c r="A1505" s="934"/>
      <c r="B1505" s="557"/>
      <c r="C1505" s="936"/>
      <c r="D1505" s="439"/>
      <c r="E1505" s="454"/>
      <c r="F1505" s="455"/>
      <c r="G1505" s="455"/>
      <c r="H1505" s="455"/>
      <c r="I1505" s="455"/>
      <c r="J1505" s="455"/>
    </row>
    <row r="1506">
      <c r="A1506" s="934"/>
      <c r="B1506" s="557"/>
      <c r="C1506" s="936"/>
      <c r="D1506" s="439"/>
      <c r="E1506" s="454"/>
      <c r="F1506" s="455"/>
      <c r="G1506" s="455"/>
      <c r="H1506" s="455"/>
      <c r="I1506" s="455"/>
      <c r="J1506" s="455"/>
    </row>
    <row r="1507">
      <c r="A1507" s="934"/>
      <c r="B1507" s="557"/>
      <c r="C1507" s="936"/>
      <c r="D1507" s="439"/>
      <c r="E1507" s="454"/>
      <c r="F1507" s="455"/>
      <c r="G1507" s="455"/>
      <c r="H1507" s="455"/>
      <c r="I1507" s="455"/>
      <c r="J1507" s="455"/>
    </row>
    <row r="1508">
      <c r="A1508" s="934"/>
      <c r="B1508" s="557"/>
      <c r="C1508" s="936"/>
      <c r="D1508" s="439"/>
      <c r="E1508" s="454"/>
      <c r="F1508" s="455"/>
      <c r="G1508" s="455"/>
      <c r="H1508" s="455"/>
      <c r="I1508" s="455"/>
      <c r="J1508" s="455"/>
    </row>
    <row r="1509">
      <c r="A1509" s="934"/>
      <c r="B1509" s="557"/>
      <c r="C1509" s="936"/>
      <c r="D1509" s="439"/>
      <c r="E1509" s="454"/>
      <c r="F1509" s="455"/>
      <c r="G1509" s="455"/>
      <c r="H1509" s="455"/>
      <c r="I1509" s="455"/>
      <c r="J1509" s="455"/>
    </row>
    <row r="1510">
      <c r="A1510" s="934"/>
      <c r="B1510" s="557"/>
      <c r="C1510" s="936"/>
      <c r="D1510" s="439"/>
      <c r="E1510" s="454"/>
      <c r="F1510" s="455"/>
      <c r="G1510" s="455"/>
      <c r="H1510" s="455"/>
      <c r="I1510" s="455"/>
      <c r="J1510" s="455"/>
    </row>
    <row r="1511">
      <c r="A1511" s="934"/>
      <c r="B1511" s="557"/>
      <c r="C1511" s="936"/>
      <c r="D1511" s="439"/>
      <c r="E1511" s="454"/>
      <c r="F1511" s="455"/>
      <c r="G1511" s="455"/>
      <c r="H1511" s="455"/>
      <c r="I1511" s="455"/>
      <c r="J1511" s="455"/>
    </row>
    <row r="1512">
      <c r="A1512" s="934"/>
      <c r="B1512" s="557"/>
      <c r="C1512" s="936"/>
      <c r="D1512" s="439"/>
      <c r="E1512" s="454"/>
      <c r="F1512" s="455"/>
      <c r="G1512" s="455"/>
      <c r="H1512" s="455"/>
      <c r="I1512" s="455"/>
      <c r="J1512" s="455"/>
    </row>
    <row r="1513">
      <c r="A1513" s="934"/>
      <c r="B1513" s="557"/>
      <c r="C1513" s="936"/>
      <c r="D1513" s="439"/>
      <c r="E1513" s="454"/>
      <c r="F1513" s="455"/>
      <c r="G1513" s="455"/>
      <c r="H1513" s="455"/>
      <c r="I1513" s="455"/>
      <c r="J1513" s="455"/>
    </row>
    <row r="1514">
      <c r="A1514" s="934"/>
      <c r="B1514" s="557"/>
      <c r="C1514" s="936"/>
      <c r="D1514" s="439"/>
      <c r="E1514" s="454"/>
      <c r="F1514" s="455"/>
      <c r="G1514" s="455"/>
      <c r="H1514" s="455"/>
      <c r="I1514" s="455"/>
      <c r="J1514" s="455"/>
    </row>
    <row r="1515">
      <c r="A1515" s="934"/>
      <c r="B1515" s="557"/>
      <c r="C1515" s="936"/>
      <c r="D1515" s="439"/>
      <c r="E1515" s="454"/>
      <c r="F1515" s="455"/>
      <c r="G1515" s="455"/>
      <c r="H1515" s="455"/>
      <c r="I1515" s="455"/>
      <c r="J1515" s="455"/>
    </row>
    <row r="1516">
      <c r="A1516" s="934"/>
      <c r="B1516" s="557"/>
      <c r="C1516" s="936"/>
      <c r="D1516" s="439"/>
      <c r="E1516" s="454"/>
      <c r="F1516" s="455"/>
      <c r="G1516" s="455"/>
      <c r="H1516" s="455"/>
      <c r="I1516" s="455"/>
      <c r="J1516" s="455"/>
    </row>
    <row r="1517">
      <c r="A1517" s="934"/>
      <c r="B1517" s="557"/>
      <c r="C1517" s="936"/>
      <c r="D1517" s="439"/>
      <c r="E1517" s="454"/>
      <c r="F1517" s="455"/>
      <c r="G1517" s="455"/>
      <c r="H1517" s="455"/>
      <c r="I1517" s="455"/>
      <c r="J1517" s="455"/>
    </row>
    <row r="1518">
      <c r="A1518" s="934"/>
      <c r="B1518" s="557"/>
      <c r="C1518" s="936"/>
      <c r="D1518" s="439"/>
      <c r="E1518" s="454"/>
      <c r="F1518" s="455"/>
      <c r="G1518" s="455"/>
      <c r="H1518" s="455"/>
      <c r="I1518" s="455"/>
      <c r="J1518" s="455"/>
    </row>
    <row r="1519">
      <c r="A1519" s="934"/>
      <c r="B1519" s="557"/>
      <c r="C1519" s="936"/>
      <c r="D1519" s="439"/>
      <c r="E1519" s="454"/>
      <c r="F1519" s="455"/>
      <c r="G1519" s="455"/>
      <c r="H1519" s="455"/>
      <c r="I1519" s="455"/>
      <c r="J1519" s="455"/>
    </row>
    <row r="1520">
      <c r="A1520" s="934"/>
      <c r="B1520" s="557"/>
      <c r="C1520" s="936"/>
      <c r="D1520" s="439"/>
      <c r="E1520" s="454"/>
      <c r="F1520" s="455"/>
      <c r="G1520" s="455"/>
      <c r="H1520" s="455"/>
      <c r="I1520" s="455"/>
      <c r="J1520" s="455"/>
    </row>
    <row r="1521">
      <c r="A1521" s="934"/>
      <c r="B1521" s="557"/>
      <c r="C1521" s="936"/>
      <c r="D1521" s="439"/>
      <c r="E1521" s="454"/>
      <c r="F1521" s="455"/>
      <c r="G1521" s="455"/>
      <c r="H1521" s="455"/>
      <c r="I1521" s="455"/>
      <c r="J1521" s="455"/>
    </row>
    <row r="1522">
      <c r="A1522" s="934"/>
      <c r="B1522" s="557"/>
      <c r="C1522" s="936"/>
      <c r="D1522" s="439"/>
      <c r="E1522" s="454"/>
      <c r="F1522" s="455"/>
      <c r="G1522" s="455"/>
      <c r="H1522" s="455"/>
      <c r="I1522" s="455"/>
      <c r="J1522" s="455"/>
    </row>
    <row r="1523">
      <c r="A1523" s="934"/>
      <c r="B1523" s="557"/>
      <c r="C1523" s="936"/>
      <c r="D1523" s="439"/>
      <c r="E1523" s="454"/>
      <c r="F1523" s="455"/>
      <c r="G1523" s="455"/>
      <c r="H1523" s="455"/>
      <c r="I1523" s="455"/>
      <c r="J1523" s="455"/>
    </row>
    <row r="1524">
      <c r="A1524" s="934"/>
      <c r="B1524" s="557"/>
      <c r="C1524" s="936"/>
      <c r="D1524" s="439"/>
      <c r="E1524" s="454"/>
      <c r="F1524" s="455"/>
      <c r="G1524" s="455"/>
      <c r="H1524" s="455"/>
      <c r="I1524" s="455"/>
      <c r="J1524" s="455"/>
    </row>
    <row r="1525">
      <c r="A1525" s="934"/>
      <c r="B1525" s="557"/>
      <c r="C1525" s="936"/>
      <c r="D1525" s="439"/>
      <c r="E1525" s="454"/>
      <c r="F1525" s="455"/>
      <c r="G1525" s="455"/>
      <c r="H1525" s="455"/>
      <c r="I1525" s="455"/>
      <c r="J1525" s="455"/>
    </row>
    <row r="1526">
      <c r="A1526" s="934"/>
      <c r="B1526" s="557"/>
      <c r="C1526" s="936"/>
      <c r="D1526" s="439"/>
      <c r="E1526" s="454"/>
      <c r="F1526" s="455"/>
      <c r="G1526" s="455"/>
      <c r="H1526" s="455"/>
      <c r="I1526" s="455"/>
      <c r="J1526" s="455"/>
    </row>
    <row r="1527">
      <c r="A1527" s="934"/>
      <c r="B1527" s="557"/>
      <c r="C1527" s="936"/>
      <c r="D1527" s="439"/>
      <c r="E1527" s="454"/>
      <c r="F1527" s="455"/>
      <c r="G1527" s="455"/>
      <c r="H1527" s="455"/>
      <c r="I1527" s="455"/>
      <c r="J1527" s="455"/>
    </row>
    <row r="1528">
      <c r="A1528" s="934"/>
      <c r="B1528" s="557"/>
      <c r="C1528" s="936"/>
      <c r="D1528" s="439"/>
      <c r="E1528" s="454"/>
      <c r="F1528" s="455"/>
      <c r="G1528" s="455"/>
      <c r="H1528" s="455"/>
      <c r="I1528" s="455"/>
      <c r="J1528" s="455"/>
    </row>
    <row r="1529">
      <c r="A1529" s="934"/>
      <c r="B1529" s="557"/>
      <c r="C1529" s="936"/>
      <c r="D1529" s="439"/>
      <c r="E1529" s="454"/>
      <c r="F1529" s="455"/>
      <c r="G1529" s="455"/>
      <c r="H1529" s="455"/>
      <c r="I1529" s="455"/>
      <c r="J1529" s="455"/>
    </row>
    <row r="1530">
      <c r="A1530" s="934"/>
      <c r="B1530" s="557"/>
      <c r="C1530" s="936"/>
      <c r="D1530" s="439"/>
      <c r="E1530" s="454"/>
      <c r="F1530" s="455"/>
      <c r="G1530" s="455"/>
      <c r="H1530" s="455"/>
      <c r="I1530" s="455"/>
      <c r="J1530" s="455"/>
    </row>
    <row r="1531">
      <c r="A1531" s="934"/>
      <c r="B1531" s="557"/>
      <c r="C1531" s="936"/>
      <c r="D1531" s="439"/>
      <c r="E1531" s="454"/>
      <c r="F1531" s="455"/>
      <c r="G1531" s="455"/>
      <c r="H1531" s="455"/>
      <c r="I1531" s="455"/>
      <c r="J1531" s="455"/>
    </row>
    <row r="1532">
      <c r="A1532" s="934"/>
      <c r="B1532" s="557"/>
      <c r="C1532" s="936"/>
      <c r="D1532" s="439"/>
      <c r="E1532" s="454"/>
      <c r="F1532" s="455"/>
      <c r="G1532" s="455"/>
      <c r="H1532" s="455"/>
      <c r="I1532" s="455"/>
      <c r="J1532" s="455"/>
    </row>
    <row r="1533">
      <c r="A1533" s="934"/>
      <c r="B1533" s="557"/>
      <c r="C1533" s="936"/>
      <c r="D1533" s="439"/>
      <c r="E1533" s="454"/>
      <c r="F1533" s="455"/>
      <c r="G1533" s="455"/>
      <c r="H1533" s="455"/>
      <c r="I1533" s="455"/>
      <c r="J1533" s="455"/>
    </row>
    <row r="1534">
      <c r="A1534" s="934"/>
      <c r="B1534" s="557"/>
      <c r="C1534" s="936"/>
      <c r="D1534" s="439"/>
      <c r="E1534" s="454"/>
      <c r="F1534" s="455"/>
      <c r="G1534" s="455"/>
      <c r="H1534" s="455"/>
      <c r="I1534" s="455"/>
      <c r="J1534" s="455"/>
    </row>
    <row r="1535">
      <c r="A1535" s="934"/>
      <c r="B1535" s="557"/>
      <c r="C1535" s="936"/>
      <c r="D1535" s="439"/>
      <c r="E1535" s="454"/>
      <c r="F1535" s="455"/>
      <c r="G1535" s="455"/>
      <c r="H1535" s="455"/>
      <c r="I1535" s="455"/>
      <c r="J1535" s="455"/>
    </row>
    <row r="1536">
      <c r="A1536" s="934"/>
      <c r="B1536" s="557"/>
      <c r="C1536" s="936"/>
      <c r="D1536" s="439"/>
      <c r="E1536" s="454"/>
      <c r="F1536" s="455"/>
      <c r="G1536" s="455"/>
      <c r="H1536" s="455"/>
      <c r="I1536" s="455"/>
      <c r="J1536" s="455"/>
    </row>
    <row r="1537">
      <c r="A1537" s="934"/>
      <c r="B1537" s="557"/>
      <c r="C1537" s="936"/>
      <c r="D1537" s="439"/>
      <c r="E1537" s="454"/>
      <c r="F1537" s="455"/>
      <c r="G1537" s="455"/>
      <c r="H1537" s="455"/>
      <c r="I1537" s="455"/>
      <c r="J1537" s="455"/>
    </row>
    <row r="1538">
      <c r="A1538" s="934"/>
      <c r="B1538" s="557"/>
      <c r="C1538" s="936"/>
      <c r="D1538" s="439"/>
      <c r="E1538" s="454"/>
      <c r="F1538" s="455"/>
      <c r="G1538" s="455"/>
      <c r="H1538" s="455"/>
      <c r="I1538" s="455"/>
      <c r="J1538" s="455"/>
    </row>
    <row r="1539">
      <c r="A1539" s="934"/>
      <c r="B1539" s="557"/>
      <c r="C1539" s="936"/>
      <c r="D1539" s="439"/>
      <c r="E1539" s="454"/>
      <c r="F1539" s="455"/>
      <c r="G1539" s="455"/>
      <c r="H1539" s="455"/>
      <c r="I1539" s="455"/>
      <c r="J1539" s="455"/>
    </row>
    <row r="1540">
      <c r="A1540" s="934"/>
      <c r="B1540" s="557"/>
      <c r="C1540" s="936"/>
      <c r="D1540" s="439"/>
      <c r="E1540" s="454"/>
      <c r="F1540" s="455"/>
      <c r="G1540" s="455"/>
      <c r="H1540" s="455"/>
      <c r="I1540" s="455"/>
      <c r="J1540" s="455"/>
    </row>
    <row r="1541">
      <c r="A1541" s="934"/>
      <c r="B1541" s="557"/>
      <c r="C1541" s="936"/>
      <c r="D1541" s="439"/>
      <c r="E1541" s="454"/>
      <c r="F1541" s="455"/>
      <c r="G1541" s="455"/>
      <c r="H1541" s="455"/>
      <c r="I1541" s="455"/>
      <c r="J1541" s="455"/>
    </row>
    <row r="1542">
      <c r="A1542" s="934"/>
      <c r="B1542" s="557"/>
      <c r="C1542" s="936"/>
      <c r="D1542" s="439"/>
      <c r="E1542" s="454"/>
      <c r="F1542" s="455"/>
      <c r="G1542" s="455"/>
      <c r="H1542" s="455"/>
      <c r="I1542" s="455"/>
      <c r="J1542" s="455"/>
    </row>
    <row r="1543">
      <c r="A1543" s="934"/>
      <c r="B1543" s="557"/>
      <c r="C1543" s="936"/>
      <c r="D1543" s="439"/>
      <c r="E1543" s="454"/>
      <c r="F1543" s="455"/>
      <c r="G1543" s="455"/>
      <c r="H1543" s="455"/>
      <c r="I1543" s="455"/>
      <c r="J1543" s="455"/>
    </row>
    <row r="1544">
      <c r="A1544" s="934"/>
      <c r="B1544" s="557"/>
      <c r="C1544" s="936"/>
      <c r="D1544" s="439"/>
      <c r="E1544" s="454"/>
      <c r="F1544" s="455"/>
      <c r="G1544" s="455"/>
      <c r="H1544" s="455"/>
      <c r="I1544" s="455"/>
      <c r="J1544" s="455"/>
    </row>
    <row r="1545">
      <c r="A1545" s="934"/>
      <c r="B1545" s="557"/>
      <c r="C1545" s="936"/>
      <c r="D1545" s="439"/>
      <c r="E1545" s="454"/>
      <c r="F1545" s="455"/>
      <c r="G1545" s="455"/>
      <c r="H1545" s="455"/>
      <c r="I1545" s="455"/>
      <c r="J1545" s="455"/>
    </row>
    <row r="1546">
      <c r="A1546" s="934"/>
      <c r="B1546" s="557"/>
      <c r="C1546" s="936"/>
      <c r="D1546" s="439"/>
      <c r="E1546" s="454"/>
      <c r="F1546" s="455"/>
      <c r="G1546" s="455"/>
      <c r="H1546" s="455"/>
      <c r="I1546" s="455"/>
      <c r="J1546" s="455"/>
    </row>
    <row r="1547">
      <c r="A1547" s="934"/>
      <c r="B1547" s="557"/>
      <c r="C1547" s="936"/>
      <c r="D1547" s="439"/>
      <c r="E1547" s="454"/>
      <c r="F1547" s="455"/>
      <c r="G1547" s="455"/>
      <c r="H1547" s="455"/>
      <c r="I1547" s="455"/>
      <c r="J1547" s="455"/>
    </row>
    <row r="1548">
      <c r="A1548" s="934"/>
      <c r="B1548" s="557"/>
      <c r="C1548" s="936"/>
      <c r="D1548" s="439"/>
      <c r="E1548" s="454"/>
      <c r="F1548" s="455"/>
      <c r="G1548" s="455"/>
      <c r="H1548" s="455"/>
      <c r="I1548" s="455"/>
      <c r="J1548" s="455"/>
    </row>
    <row r="1549">
      <c r="A1549" s="934"/>
      <c r="B1549" s="557"/>
      <c r="C1549" s="936"/>
      <c r="D1549" s="439"/>
      <c r="E1549" s="454"/>
      <c r="F1549" s="455"/>
      <c r="G1549" s="455"/>
      <c r="H1549" s="455"/>
      <c r="I1549" s="455"/>
      <c r="J1549" s="455"/>
    </row>
    <row r="1550">
      <c r="A1550" s="934"/>
      <c r="B1550" s="557"/>
      <c r="C1550" s="936"/>
      <c r="D1550" s="439"/>
      <c r="E1550" s="454"/>
      <c r="F1550" s="455"/>
      <c r="G1550" s="455"/>
      <c r="H1550" s="455"/>
      <c r="I1550" s="455"/>
      <c r="J1550" s="455"/>
    </row>
    <row r="1551">
      <c r="A1551" s="934"/>
      <c r="B1551" s="557"/>
      <c r="C1551" s="936"/>
      <c r="D1551" s="439"/>
      <c r="E1551" s="454"/>
      <c r="F1551" s="455"/>
      <c r="G1551" s="455"/>
      <c r="H1551" s="455"/>
      <c r="I1551" s="455"/>
      <c r="J1551" s="455"/>
    </row>
    <row r="1552">
      <c r="A1552" s="934"/>
      <c r="B1552" s="557"/>
      <c r="C1552" s="936"/>
      <c r="D1552" s="439"/>
      <c r="E1552" s="454"/>
      <c r="F1552" s="455"/>
      <c r="G1552" s="455"/>
      <c r="H1552" s="455"/>
      <c r="I1552" s="455"/>
      <c r="J1552" s="455"/>
    </row>
    <row r="1553">
      <c r="A1553" s="934"/>
      <c r="B1553" s="557"/>
      <c r="C1553" s="936"/>
      <c r="D1553" s="439"/>
      <c r="E1553" s="454"/>
      <c r="F1553" s="455"/>
      <c r="G1553" s="455"/>
      <c r="H1553" s="455"/>
      <c r="I1553" s="455"/>
      <c r="J1553" s="455"/>
    </row>
    <row r="1554">
      <c r="A1554" s="934"/>
      <c r="B1554" s="557"/>
      <c r="C1554" s="936"/>
      <c r="D1554" s="439"/>
      <c r="E1554" s="454"/>
      <c r="F1554" s="455"/>
      <c r="G1554" s="455"/>
      <c r="H1554" s="455"/>
      <c r="I1554" s="455"/>
      <c r="J1554" s="455"/>
    </row>
    <row r="1555">
      <c r="A1555" s="934"/>
      <c r="B1555" s="557"/>
      <c r="C1555" s="936"/>
      <c r="D1555" s="439"/>
      <c r="E1555" s="454"/>
      <c r="F1555" s="455"/>
      <c r="G1555" s="455"/>
      <c r="H1555" s="455"/>
      <c r="I1555" s="455"/>
      <c r="J1555" s="455"/>
    </row>
    <row r="1556">
      <c r="A1556" s="934"/>
      <c r="B1556" s="557"/>
      <c r="C1556" s="936"/>
      <c r="D1556" s="439"/>
      <c r="E1556" s="454"/>
      <c r="F1556" s="455"/>
      <c r="G1556" s="455"/>
      <c r="H1556" s="455"/>
      <c r="I1556" s="455"/>
      <c r="J1556" s="455"/>
    </row>
    <row r="1557">
      <c r="A1557" s="934"/>
      <c r="B1557" s="557"/>
      <c r="C1557" s="936"/>
      <c r="D1557" s="439"/>
      <c r="E1557" s="454"/>
      <c r="F1557" s="455"/>
      <c r="G1557" s="455"/>
      <c r="H1557" s="455"/>
      <c r="I1557" s="455"/>
      <c r="J1557" s="455"/>
    </row>
    <row r="1558">
      <c r="A1558" s="934"/>
      <c r="B1558" s="557"/>
      <c r="C1558" s="936"/>
      <c r="D1558" s="439"/>
      <c r="E1558" s="454"/>
      <c r="F1558" s="455"/>
      <c r="G1558" s="455"/>
      <c r="H1558" s="455"/>
      <c r="I1558" s="455"/>
      <c r="J1558" s="455"/>
    </row>
    <row r="1559">
      <c r="A1559" s="934"/>
      <c r="B1559" s="557"/>
      <c r="C1559" s="936"/>
      <c r="D1559" s="439"/>
      <c r="E1559" s="454"/>
      <c r="F1559" s="455"/>
      <c r="G1559" s="455"/>
      <c r="H1559" s="455"/>
      <c r="I1559" s="455"/>
      <c r="J1559" s="455"/>
    </row>
    <row r="1560">
      <c r="A1560" s="934"/>
      <c r="B1560" s="557"/>
      <c r="C1560" s="936"/>
      <c r="D1560" s="439"/>
      <c r="E1560" s="454"/>
      <c r="F1560" s="455"/>
      <c r="G1560" s="455"/>
      <c r="H1560" s="455"/>
      <c r="I1560" s="455"/>
      <c r="J1560" s="455"/>
    </row>
    <row r="1561">
      <c r="A1561" s="934"/>
      <c r="B1561" s="557"/>
      <c r="C1561" s="936"/>
      <c r="D1561" s="439"/>
      <c r="E1561" s="454"/>
      <c r="F1561" s="455"/>
      <c r="G1561" s="455"/>
      <c r="H1561" s="455"/>
      <c r="I1561" s="455"/>
      <c r="J1561" s="455"/>
    </row>
    <row r="1562">
      <c r="A1562" s="934"/>
      <c r="B1562" s="557"/>
      <c r="C1562" s="936"/>
      <c r="D1562" s="439"/>
      <c r="E1562" s="454"/>
      <c r="F1562" s="455"/>
      <c r="G1562" s="455"/>
      <c r="H1562" s="455"/>
      <c r="I1562" s="455"/>
      <c r="J1562" s="455"/>
    </row>
    <row r="1563">
      <c r="A1563" s="934"/>
      <c r="B1563" s="557"/>
      <c r="C1563" s="936"/>
      <c r="D1563" s="439"/>
      <c r="E1563" s="454"/>
      <c r="F1563" s="455"/>
      <c r="G1563" s="455"/>
      <c r="H1563" s="455"/>
      <c r="I1563" s="455"/>
      <c r="J1563" s="455"/>
    </row>
    <row r="1564">
      <c r="A1564" s="934"/>
      <c r="B1564" s="557"/>
      <c r="C1564" s="936"/>
      <c r="D1564" s="439"/>
      <c r="E1564" s="454"/>
      <c r="F1564" s="455"/>
      <c r="G1564" s="455"/>
      <c r="H1564" s="455"/>
      <c r="I1564" s="455"/>
      <c r="J1564" s="455"/>
    </row>
    <row r="1565">
      <c r="A1565" s="934"/>
      <c r="B1565" s="557"/>
      <c r="C1565" s="936"/>
      <c r="D1565" s="439"/>
      <c r="E1565" s="454"/>
      <c r="F1565" s="455"/>
      <c r="G1565" s="455"/>
      <c r="H1565" s="455"/>
      <c r="I1565" s="455"/>
      <c r="J1565" s="455"/>
    </row>
    <row r="1566">
      <c r="A1566" s="934"/>
      <c r="B1566" s="557"/>
      <c r="C1566" s="936"/>
      <c r="D1566" s="439"/>
      <c r="E1566" s="454"/>
      <c r="F1566" s="455"/>
      <c r="G1566" s="455"/>
      <c r="H1566" s="455"/>
      <c r="I1566" s="455"/>
      <c r="J1566" s="455"/>
    </row>
    <row r="1567">
      <c r="A1567" s="934"/>
      <c r="B1567" s="557"/>
      <c r="C1567" s="936"/>
      <c r="D1567" s="439"/>
      <c r="E1567" s="454"/>
      <c r="F1567" s="455"/>
      <c r="G1567" s="455"/>
      <c r="H1567" s="455"/>
      <c r="I1567" s="455"/>
      <c r="J1567" s="455"/>
    </row>
    <row r="1568">
      <c r="A1568" s="934"/>
      <c r="B1568" s="557"/>
      <c r="C1568" s="936"/>
      <c r="D1568" s="439"/>
      <c r="E1568" s="454"/>
      <c r="F1568" s="455"/>
      <c r="G1568" s="455"/>
      <c r="H1568" s="455"/>
      <c r="I1568" s="455"/>
      <c r="J1568" s="455"/>
    </row>
    <row r="1569">
      <c r="A1569" s="934"/>
      <c r="B1569" s="557"/>
      <c r="C1569" s="936"/>
      <c r="D1569" s="439"/>
      <c r="E1569" s="454"/>
      <c r="F1569" s="455"/>
      <c r="G1569" s="455"/>
      <c r="H1569" s="455"/>
      <c r="I1569" s="455"/>
      <c r="J1569" s="455"/>
    </row>
    <row r="1570">
      <c r="A1570" s="934"/>
      <c r="B1570" s="557"/>
      <c r="C1570" s="936"/>
      <c r="D1570" s="439"/>
      <c r="E1570" s="454"/>
      <c r="F1570" s="455"/>
      <c r="G1570" s="455"/>
      <c r="H1570" s="455"/>
      <c r="I1570" s="455"/>
      <c r="J1570" s="455"/>
    </row>
    <row r="1571">
      <c r="A1571" s="934"/>
      <c r="B1571" s="557"/>
      <c r="C1571" s="936"/>
      <c r="D1571" s="439"/>
      <c r="E1571" s="454"/>
      <c r="F1571" s="455"/>
      <c r="G1571" s="455"/>
      <c r="H1571" s="455"/>
      <c r="I1571" s="455"/>
      <c r="J1571" s="455"/>
    </row>
    <row r="1572">
      <c r="A1572" s="934"/>
      <c r="B1572" s="557"/>
      <c r="C1572" s="936"/>
      <c r="D1572" s="439"/>
      <c r="E1572" s="454"/>
      <c r="F1572" s="455"/>
      <c r="G1572" s="455"/>
      <c r="H1572" s="455"/>
      <c r="I1572" s="455"/>
      <c r="J1572" s="455"/>
    </row>
    <row r="1573">
      <c r="A1573" s="934"/>
      <c r="B1573" s="557"/>
      <c r="C1573" s="936"/>
      <c r="D1573" s="439"/>
      <c r="E1573" s="454"/>
      <c r="F1573" s="455"/>
      <c r="G1573" s="455"/>
      <c r="H1573" s="455"/>
      <c r="I1573" s="455"/>
      <c r="J1573" s="455"/>
    </row>
    <row r="1574">
      <c r="A1574" s="934"/>
      <c r="B1574" s="557"/>
      <c r="C1574" s="936"/>
      <c r="D1574" s="439"/>
      <c r="E1574" s="454"/>
      <c r="F1574" s="455"/>
      <c r="G1574" s="455"/>
      <c r="H1574" s="455"/>
      <c r="I1574" s="455"/>
      <c r="J1574" s="455"/>
    </row>
    <row r="1575">
      <c r="A1575" s="934"/>
      <c r="B1575" s="557"/>
      <c r="C1575" s="936"/>
      <c r="D1575" s="439"/>
      <c r="E1575" s="454"/>
      <c r="F1575" s="455"/>
      <c r="G1575" s="455"/>
      <c r="H1575" s="455"/>
      <c r="I1575" s="455"/>
      <c r="J1575" s="455"/>
    </row>
    <row r="1576">
      <c r="A1576" s="934"/>
      <c r="B1576" s="557"/>
      <c r="C1576" s="936"/>
      <c r="D1576" s="439"/>
      <c r="E1576" s="454"/>
      <c r="F1576" s="455"/>
      <c r="G1576" s="455"/>
      <c r="H1576" s="455"/>
      <c r="I1576" s="455"/>
      <c r="J1576" s="455"/>
    </row>
    <row r="1577">
      <c r="A1577" s="934"/>
      <c r="B1577" s="557"/>
      <c r="C1577" s="936"/>
      <c r="D1577" s="439"/>
      <c r="E1577" s="454"/>
      <c r="F1577" s="455"/>
      <c r="G1577" s="455"/>
      <c r="H1577" s="455"/>
      <c r="I1577" s="455"/>
      <c r="J1577" s="455"/>
    </row>
    <row r="1578">
      <c r="A1578" s="934"/>
      <c r="B1578" s="557"/>
      <c r="C1578" s="936"/>
      <c r="D1578" s="439"/>
      <c r="E1578" s="454"/>
      <c r="F1578" s="455"/>
      <c r="G1578" s="455"/>
      <c r="H1578" s="455"/>
      <c r="I1578" s="455"/>
      <c r="J1578" s="455"/>
    </row>
    <row r="1579">
      <c r="A1579" s="934"/>
      <c r="B1579" s="557"/>
      <c r="C1579" s="936"/>
      <c r="D1579" s="439"/>
      <c r="E1579" s="454"/>
      <c r="F1579" s="455"/>
      <c r="G1579" s="455"/>
      <c r="H1579" s="455"/>
      <c r="I1579" s="455"/>
      <c r="J1579" s="455"/>
    </row>
    <row r="1580">
      <c r="A1580" s="934"/>
      <c r="B1580" s="557"/>
      <c r="C1580" s="936"/>
      <c r="D1580" s="439"/>
      <c r="E1580" s="454"/>
      <c r="F1580" s="455"/>
      <c r="G1580" s="455"/>
      <c r="H1580" s="455"/>
      <c r="I1580" s="455"/>
      <c r="J1580" s="455"/>
    </row>
    <row r="1581">
      <c r="A1581" s="1211"/>
      <c r="B1581" s="1212"/>
      <c r="C1581" s="936"/>
      <c r="D1581" s="439"/>
      <c r="E1581" s="454"/>
      <c r="F1581" s="455"/>
      <c r="G1581" s="455"/>
      <c r="H1581" s="455"/>
      <c r="I1581" s="455"/>
      <c r="J1581" s="455"/>
    </row>
    <row r="1582">
      <c r="A1582" s="934"/>
      <c r="B1582" s="557"/>
      <c r="C1582" s="936"/>
      <c r="D1582" s="439"/>
      <c r="E1582" s="454"/>
      <c r="F1582" s="455"/>
      <c r="G1582" s="455"/>
      <c r="H1582" s="455"/>
      <c r="I1582" s="455"/>
      <c r="J1582" s="455"/>
    </row>
    <row r="1583">
      <c r="A1583" s="934"/>
      <c r="B1583" s="557"/>
      <c r="C1583" s="936"/>
      <c r="D1583" s="439"/>
      <c r="E1583" s="454"/>
      <c r="F1583" s="455"/>
      <c r="G1583" s="455"/>
      <c r="H1583" s="455"/>
      <c r="I1583" s="455"/>
      <c r="J1583" s="455"/>
    </row>
    <row r="1584">
      <c r="A1584" s="934"/>
      <c r="B1584" s="557"/>
      <c r="C1584" s="936"/>
      <c r="D1584" s="439"/>
      <c r="E1584" s="454"/>
      <c r="F1584" s="455"/>
      <c r="G1584" s="455"/>
      <c r="H1584" s="455"/>
      <c r="I1584" s="455"/>
      <c r="J1584" s="455"/>
    </row>
    <row r="1585">
      <c r="A1585" s="934"/>
      <c r="B1585" s="557"/>
      <c r="C1585" s="936"/>
      <c r="D1585" s="439"/>
      <c r="E1585" s="454"/>
      <c r="F1585" s="455"/>
      <c r="G1585" s="455"/>
      <c r="H1585" s="455"/>
      <c r="I1585" s="455"/>
      <c r="J1585" s="455"/>
    </row>
    <row r="1586">
      <c r="A1586" s="934"/>
      <c r="B1586" s="557"/>
      <c r="C1586" s="936"/>
      <c r="D1586" s="439"/>
      <c r="E1586" s="454"/>
      <c r="F1586" s="455"/>
      <c r="G1586" s="455"/>
      <c r="H1586" s="455"/>
      <c r="I1586" s="455"/>
      <c r="J1586" s="455"/>
    </row>
    <row r="1587">
      <c r="A1587" s="934"/>
      <c r="B1587" s="557"/>
      <c r="C1587" s="936"/>
      <c r="D1587" s="439"/>
      <c r="E1587" s="454"/>
      <c r="F1587" s="455"/>
      <c r="G1587" s="455"/>
      <c r="H1587" s="455"/>
      <c r="I1587" s="455"/>
      <c r="J1587" s="455"/>
    </row>
    <row r="1588">
      <c r="A1588" s="934"/>
      <c r="B1588" s="557"/>
      <c r="C1588" s="936"/>
      <c r="D1588" s="439"/>
      <c r="E1588" s="454"/>
      <c r="F1588" s="455"/>
      <c r="G1588" s="455"/>
      <c r="H1588" s="455"/>
      <c r="I1588" s="455"/>
      <c r="J1588" s="455"/>
    </row>
    <row r="1589">
      <c r="A1589" s="934"/>
      <c r="B1589" s="557"/>
      <c r="C1589" s="936"/>
      <c r="D1589" s="439"/>
      <c r="E1589" s="454"/>
      <c r="F1589" s="455"/>
      <c r="G1589" s="455"/>
      <c r="H1589" s="455"/>
      <c r="I1589" s="455"/>
      <c r="J1589" s="455"/>
    </row>
    <row r="1590">
      <c r="A1590" s="934"/>
      <c r="B1590" s="557"/>
      <c r="C1590" s="936"/>
      <c r="D1590" s="439"/>
      <c r="E1590" s="454"/>
      <c r="F1590" s="455"/>
      <c r="G1590" s="455"/>
      <c r="H1590" s="455"/>
      <c r="I1590" s="455"/>
      <c r="J1590" s="455"/>
    </row>
    <row r="1591">
      <c r="A1591" s="934"/>
      <c r="B1591" s="557"/>
      <c r="C1591" s="936"/>
      <c r="D1591" s="439"/>
      <c r="E1591" s="454"/>
      <c r="F1591" s="455"/>
      <c r="G1591" s="455"/>
      <c r="H1591" s="455"/>
      <c r="I1591" s="455"/>
      <c r="J1591" s="455"/>
    </row>
    <row r="1592">
      <c r="A1592" s="934"/>
      <c r="B1592" s="557"/>
      <c r="C1592" s="936"/>
      <c r="D1592" s="439"/>
      <c r="E1592" s="454"/>
      <c r="F1592" s="455"/>
      <c r="G1592" s="455"/>
      <c r="H1592" s="455"/>
      <c r="I1592" s="455"/>
      <c r="J1592" s="455"/>
    </row>
    <row r="1593">
      <c r="A1593" s="934"/>
      <c r="B1593" s="557"/>
      <c r="C1593" s="936"/>
      <c r="D1593" s="439"/>
      <c r="E1593" s="454"/>
      <c r="F1593" s="455"/>
      <c r="G1593" s="455"/>
      <c r="H1593" s="455"/>
      <c r="I1593" s="455"/>
      <c r="J1593" s="455"/>
    </row>
    <row r="1594">
      <c r="A1594" s="934"/>
      <c r="B1594" s="557"/>
      <c r="C1594" s="936"/>
      <c r="D1594" s="439"/>
      <c r="E1594" s="454"/>
      <c r="F1594" s="455"/>
      <c r="G1594" s="455"/>
      <c r="H1594" s="455"/>
      <c r="I1594" s="455"/>
      <c r="J1594" s="455"/>
    </row>
    <row r="1595">
      <c r="A1595" s="934"/>
      <c r="B1595" s="557"/>
      <c r="C1595" s="936"/>
      <c r="D1595" s="439"/>
      <c r="E1595" s="454"/>
      <c r="F1595" s="455"/>
      <c r="G1595" s="455"/>
      <c r="H1595" s="455"/>
      <c r="I1595" s="455"/>
      <c r="J1595" s="455"/>
    </row>
    <row r="1596">
      <c r="A1596" s="934"/>
      <c r="B1596" s="557"/>
      <c r="C1596" s="936"/>
      <c r="D1596" s="439"/>
      <c r="E1596" s="454"/>
      <c r="F1596" s="455"/>
      <c r="G1596" s="455"/>
      <c r="H1596" s="455"/>
      <c r="I1596" s="455"/>
      <c r="J1596" s="455"/>
    </row>
    <row r="1597">
      <c r="A1597" s="934"/>
      <c r="B1597" s="557"/>
      <c r="C1597" s="936"/>
      <c r="D1597" s="439"/>
      <c r="E1597" s="454"/>
      <c r="F1597" s="455"/>
      <c r="G1597" s="455"/>
      <c r="H1597" s="455"/>
      <c r="I1597" s="455"/>
      <c r="J1597" s="455"/>
    </row>
    <row r="1598">
      <c r="A1598" s="934"/>
      <c r="B1598" s="557"/>
      <c r="C1598" s="936"/>
      <c r="D1598" s="439"/>
      <c r="E1598" s="454"/>
      <c r="F1598" s="455"/>
      <c r="G1598" s="455"/>
      <c r="H1598" s="455"/>
      <c r="I1598" s="455"/>
      <c r="J1598" s="455"/>
    </row>
    <row r="1599">
      <c r="A1599" s="934"/>
      <c r="B1599" s="557"/>
      <c r="C1599" s="936"/>
      <c r="D1599" s="439"/>
      <c r="E1599" s="454"/>
      <c r="F1599" s="455"/>
      <c r="G1599" s="455"/>
      <c r="H1599" s="455"/>
      <c r="I1599" s="455"/>
      <c r="J1599" s="455"/>
    </row>
    <row r="1600">
      <c r="A1600" s="934"/>
      <c r="B1600" s="557"/>
      <c r="C1600" s="936"/>
      <c r="D1600" s="439"/>
      <c r="E1600" s="454"/>
      <c r="F1600" s="455"/>
      <c r="G1600" s="455"/>
      <c r="H1600" s="455"/>
      <c r="I1600" s="455"/>
      <c r="J1600" s="455"/>
    </row>
    <row r="1601">
      <c r="A1601" s="934"/>
      <c r="B1601" s="557"/>
      <c r="C1601" s="936"/>
      <c r="D1601" s="439"/>
      <c r="E1601" s="454"/>
      <c r="F1601" s="455"/>
      <c r="G1601" s="455"/>
      <c r="H1601" s="455"/>
      <c r="I1601" s="455"/>
      <c r="J1601" s="455"/>
    </row>
    <row r="1602">
      <c r="A1602" s="934"/>
      <c r="B1602" s="557"/>
      <c r="C1602" s="936"/>
      <c r="D1602" s="439"/>
      <c r="E1602" s="454"/>
      <c r="F1602" s="455"/>
      <c r="G1602" s="455"/>
      <c r="H1602" s="455"/>
      <c r="I1602" s="455"/>
      <c r="J1602" s="455"/>
    </row>
    <row r="1603">
      <c r="A1603" s="934"/>
      <c r="B1603" s="557"/>
      <c r="C1603" s="936"/>
      <c r="D1603" s="439"/>
      <c r="E1603" s="454"/>
      <c r="F1603" s="455"/>
      <c r="G1603" s="455"/>
      <c r="H1603" s="455"/>
      <c r="I1603" s="455"/>
      <c r="J1603" s="455"/>
    </row>
    <row r="1604">
      <c r="A1604" s="934"/>
      <c r="B1604" s="557"/>
      <c r="C1604" s="936"/>
      <c r="D1604" s="439"/>
      <c r="E1604" s="454"/>
      <c r="F1604" s="455"/>
      <c r="G1604" s="455"/>
      <c r="H1604" s="455"/>
      <c r="I1604" s="455"/>
      <c r="J1604" s="455"/>
    </row>
    <row r="1605">
      <c r="A1605" s="934"/>
      <c r="B1605" s="557"/>
      <c r="C1605" s="936"/>
      <c r="D1605" s="439"/>
      <c r="E1605" s="454"/>
      <c r="F1605" s="455"/>
      <c r="G1605" s="455"/>
      <c r="H1605" s="455"/>
      <c r="I1605" s="455"/>
      <c r="J1605" s="455"/>
    </row>
    <row r="1606">
      <c r="A1606" s="934"/>
      <c r="B1606" s="557"/>
      <c r="C1606" s="936"/>
      <c r="D1606" s="439"/>
      <c r="E1606" s="454"/>
      <c r="F1606" s="455"/>
      <c r="G1606" s="455"/>
      <c r="H1606" s="455"/>
      <c r="I1606" s="455"/>
      <c r="J1606" s="455"/>
    </row>
    <row r="1607">
      <c r="A1607" s="934"/>
      <c r="B1607" s="557"/>
      <c r="C1607" s="936"/>
      <c r="D1607" s="1213"/>
      <c r="E1607" s="454"/>
      <c r="F1607" s="455"/>
      <c r="G1607" s="455"/>
      <c r="H1607" s="455"/>
      <c r="I1607" s="455"/>
      <c r="J1607" s="455"/>
    </row>
    <row r="1608">
      <c r="A1608" s="934"/>
      <c r="B1608" s="557"/>
      <c r="C1608" s="936"/>
      <c r="D1608" s="1213"/>
      <c r="E1608" s="454"/>
      <c r="F1608" s="455"/>
      <c r="G1608" s="455"/>
      <c r="H1608" s="455"/>
      <c r="I1608" s="455"/>
      <c r="J1608" s="455"/>
    </row>
    <row r="1609">
      <c r="A1609" s="934"/>
      <c r="B1609" s="557"/>
      <c r="C1609" s="936"/>
      <c r="D1609" s="1213"/>
      <c r="E1609" s="454"/>
      <c r="F1609" s="455"/>
      <c r="G1609" s="455"/>
      <c r="H1609" s="455"/>
      <c r="I1609" s="455"/>
      <c r="J1609" s="455"/>
    </row>
    <row r="1610">
      <c r="A1610" s="934"/>
      <c r="B1610" s="557"/>
      <c r="C1610" s="936"/>
      <c r="D1610" s="1213"/>
      <c r="E1610" s="454"/>
      <c r="F1610" s="455"/>
      <c r="G1610" s="455"/>
      <c r="H1610" s="455"/>
      <c r="I1610" s="455"/>
      <c r="J1610" s="455"/>
    </row>
    <row r="1611">
      <c r="A1611" s="934"/>
      <c r="B1611" s="557"/>
      <c r="C1611" s="936"/>
      <c r="D1611" s="1213"/>
      <c r="E1611" s="454"/>
      <c r="F1611" s="455"/>
      <c r="G1611" s="455"/>
      <c r="H1611" s="455"/>
      <c r="I1611" s="455"/>
      <c r="J1611" s="455"/>
    </row>
    <row r="1612">
      <c r="A1612" s="934"/>
      <c r="B1612" s="557"/>
      <c r="C1612" s="936"/>
      <c r="D1612" s="1213"/>
      <c r="E1612" s="454"/>
      <c r="F1612" s="455"/>
      <c r="G1612" s="455"/>
      <c r="H1612" s="455"/>
      <c r="I1612" s="455"/>
      <c r="J1612" s="455"/>
    </row>
    <row r="1613">
      <c r="A1613" s="934"/>
      <c r="B1613" s="557"/>
      <c r="C1613" s="936"/>
      <c r="D1613" s="1213"/>
      <c r="E1613" s="454"/>
      <c r="F1613" s="455"/>
      <c r="G1613" s="455"/>
      <c r="H1613" s="455"/>
      <c r="I1613" s="455"/>
      <c r="J1613" s="455"/>
    </row>
    <row r="1614">
      <c r="A1614" s="934"/>
      <c r="B1614" s="557"/>
      <c r="C1614" s="936"/>
      <c r="D1614" s="1213"/>
      <c r="E1614" s="454"/>
      <c r="F1614" s="455"/>
      <c r="G1614" s="455"/>
      <c r="H1614" s="455"/>
      <c r="I1614" s="455"/>
      <c r="J1614" s="455"/>
    </row>
    <row r="1615">
      <c r="A1615" s="934"/>
      <c r="B1615" s="557"/>
      <c r="C1615" s="936"/>
      <c r="D1615" s="1213"/>
      <c r="E1615" s="454"/>
      <c r="F1615" s="455"/>
      <c r="G1615" s="455"/>
      <c r="H1615" s="455"/>
      <c r="I1615" s="455"/>
      <c r="J1615" s="455"/>
    </row>
    <row r="1616">
      <c r="A1616" s="934"/>
      <c r="B1616" s="557"/>
      <c r="C1616" s="936"/>
      <c r="D1616" s="1213"/>
      <c r="E1616" s="454"/>
      <c r="F1616" s="455"/>
      <c r="G1616" s="455"/>
      <c r="H1616" s="455"/>
      <c r="I1616" s="455"/>
      <c r="J1616" s="455"/>
    </row>
    <row r="1617">
      <c r="A1617" s="934"/>
      <c r="B1617" s="557"/>
      <c r="C1617" s="936"/>
      <c r="D1617" s="1213"/>
      <c r="E1617" s="454"/>
      <c r="F1617" s="455"/>
      <c r="G1617" s="455"/>
      <c r="H1617" s="455"/>
      <c r="I1617" s="455"/>
      <c r="J1617" s="455"/>
    </row>
    <row r="1618">
      <c r="A1618" s="934"/>
      <c r="B1618" s="557"/>
      <c r="C1618" s="936"/>
      <c r="D1618" s="1213"/>
      <c r="E1618" s="454"/>
      <c r="F1618" s="455"/>
      <c r="G1618" s="455"/>
      <c r="H1618" s="455"/>
      <c r="I1618" s="455"/>
      <c r="J1618" s="455"/>
    </row>
    <row r="1619">
      <c r="A1619" s="934"/>
      <c r="B1619" s="557"/>
      <c r="C1619" s="936"/>
      <c r="D1619" s="1213"/>
      <c r="E1619" s="454"/>
      <c r="F1619" s="455"/>
      <c r="G1619" s="455"/>
      <c r="H1619" s="455"/>
      <c r="I1619" s="455"/>
      <c r="J1619" s="455"/>
    </row>
    <row r="1620">
      <c r="A1620" s="934"/>
      <c r="B1620" s="557"/>
      <c r="C1620" s="936"/>
      <c r="D1620" s="1213"/>
      <c r="E1620" s="454"/>
      <c r="F1620" s="455"/>
      <c r="G1620" s="455"/>
      <c r="H1620" s="455"/>
      <c r="I1620" s="455"/>
      <c r="J1620" s="455"/>
    </row>
    <row r="1621">
      <c r="A1621" s="934"/>
      <c r="B1621" s="557"/>
      <c r="C1621" s="936"/>
      <c r="D1621" s="1213"/>
      <c r="E1621" s="454"/>
      <c r="F1621" s="455"/>
      <c r="G1621" s="455"/>
      <c r="H1621" s="455"/>
      <c r="I1621" s="455"/>
      <c r="J1621" s="455"/>
    </row>
    <row r="1622">
      <c r="A1622" s="934"/>
      <c r="B1622" s="557"/>
      <c r="C1622" s="936"/>
      <c r="D1622" s="1213"/>
      <c r="E1622" s="454"/>
      <c r="F1622" s="455"/>
      <c r="G1622" s="455"/>
      <c r="H1622" s="455"/>
      <c r="I1622" s="455"/>
      <c r="J1622" s="455"/>
    </row>
    <row r="1623">
      <c r="A1623" s="934"/>
      <c r="B1623" s="557"/>
      <c r="C1623" s="936"/>
      <c r="D1623" s="1213"/>
      <c r="E1623" s="454"/>
      <c r="F1623" s="455"/>
      <c r="G1623" s="455"/>
      <c r="H1623" s="455"/>
      <c r="I1623" s="455"/>
      <c r="J1623" s="455"/>
    </row>
    <row r="1624">
      <c r="A1624" s="934"/>
      <c r="B1624" s="557"/>
      <c r="C1624" s="936"/>
      <c r="D1624" s="1213"/>
      <c r="E1624" s="454"/>
      <c r="F1624" s="455"/>
      <c r="G1624" s="455"/>
      <c r="H1624" s="455"/>
      <c r="I1624" s="455"/>
      <c r="J1624" s="455"/>
    </row>
    <row r="1625">
      <c r="A1625" s="934"/>
      <c r="B1625" s="557"/>
      <c r="C1625" s="936"/>
      <c r="D1625" s="1213"/>
      <c r="E1625" s="454"/>
      <c r="F1625" s="455"/>
      <c r="G1625" s="455"/>
      <c r="H1625" s="455"/>
      <c r="I1625" s="455"/>
      <c r="J1625" s="455"/>
    </row>
    <row r="1626">
      <c r="A1626" s="934"/>
      <c r="B1626" s="557"/>
      <c r="C1626" s="936"/>
      <c r="D1626" s="1213"/>
      <c r="E1626" s="454"/>
      <c r="F1626" s="455"/>
      <c r="G1626" s="455"/>
      <c r="H1626" s="455"/>
      <c r="I1626" s="455"/>
      <c r="J1626" s="455"/>
    </row>
    <row r="1627">
      <c r="A1627" s="934"/>
      <c r="B1627" s="557"/>
      <c r="C1627" s="936"/>
      <c r="D1627" s="1213"/>
      <c r="E1627" s="454"/>
      <c r="F1627" s="455"/>
      <c r="G1627" s="455"/>
      <c r="H1627" s="455"/>
      <c r="I1627" s="455"/>
      <c r="J1627" s="455"/>
    </row>
    <row r="1628">
      <c r="A1628" s="934"/>
      <c r="B1628" s="557"/>
      <c r="C1628" s="936"/>
      <c r="D1628" s="1213"/>
      <c r="E1628" s="454"/>
      <c r="F1628" s="455"/>
      <c r="G1628" s="455"/>
      <c r="H1628" s="455"/>
      <c r="I1628" s="455"/>
      <c r="J1628" s="455"/>
    </row>
    <row r="1629">
      <c r="A1629" s="934"/>
      <c r="B1629" s="557"/>
      <c r="C1629" s="936"/>
      <c r="D1629" s="1213"/>
      <c r="E1629" s="454"/>
      <c r="F1629" s="455"/>
      <c r="G1629" s="455"/>
      <c r="H1629" s="455"/>
      <c r="I1629" s="455"/>
      <c r="J1629" s="455"/>
    </row>
    <row r="1630">
      <c r="A1630" s="934"/>
      <c r="B1630" s="557"/>
      <c r="C1630" s="936"/>
      <c r="D1630" s="1213"/>
      <c r="E1630" s="454"/>
      <c r="F1630" s="455"/>
      <c r="G1630" s="455"/>
      <c r="H1630" s="455"/>
      <c r="I1630" s="455"/>
      <c r="J1630" s="455"/>
    </row>
    <row r="1631">
      <c r="A1631" s="934"/>
      <c r="B1631" s="557"/>
      <c r="C1631" s="936"/>
      <c r="D1631" s="1213"/>
      <c r="E1631" s="454"/>
      <c r="F1631" s="455"/>
      <c r="G1631" s="455"/>
      <c r="H1631" s="455"/>
      <c r="I1631" s="455"/>
      <c r="J1631" s="455"/>
    </row>
    <row r="1632">
      <c r="A1632" s="934"/>
      <c r="B1632" s="557"/>
      <c r="C1632" s="936"/>
      <c r="D1632" s="1213"/>
      <c r="E1632" s="454"/>
      <c r="F1632" s="455"/>
      <c r="G1632" s="455"/>
      <c r="H1632" s="455"/>
      <c r="I1632" s="455"/>
      <c r="J1632" s="455"/>
    </row>
    <row r="1633">
      <c r="A1633" s="934"/>
      <c r="B1633" s="557"/>
      <c r="C1633" s="936"/>
      <c r="D1633" s="1213"/>
      <c r="E1633" s="454"/>
      <c r="F1633" s="455"/>
      <c r="G1633" s="455"/>
      <c r="H1633" s="455"/>
      <c r="I1633" s="455"/>
      <c r="J1633" s="455"/>
    </row>
    <row r="1634">
      <c r="A1634" s="934"/>
      <c r="B1634" s="557"/>
      <c r="C1634" s="936"/>
      <c r="D1634" s="1213"/>
      <c r="E1634" s="454"/>
      <c r="F1634" s="455"/>
      <c r="G1634" s="455"/>
      <c r="H1634" s="455"/>
      <c r="I1634" s="455"/>
      <c r="J1634" s="455"/>
    </row>
    <row r="1635">
      <c r="A1635" s="934"/>
      <c r="B1635" s="557"/>
      <c r="C1635" s="936"/>
      <c r="D1635" s="1213"/>
      <c r="E1635" s="454"/>
      <c r="F1635" s="455"/>
      <c r="G1635" s="455"/>
      <c r="H1635" s="455"/>
      <c r="I1635" s="455"/>
      <c r="J1635" s="455"/>
    </row>
    <row r="1636">
      <c r="A1636" s="934"/>
      <c r="B1636" s="557"/>
      <c r="C1636" s="936"/>
      <c r="D1636" s="1213"/>
      <c r="E1636" s="454"/>
      <c r="F1636" s="455"/>
      <c r="G1636" s="455"/>
      <c r="H1636" s="455"/>
      <c r="I1636" s="455"/>
      <c r="J1636" s="455"/>
    </row>
    <row r="1637">
      <c r="A1637" s="934"/>
      <c r="B1637" s="557"/>
      <c r="C1637" s="936"/>
      <c r="D1637" s="1213"/>
      <c r="E1637" s="454"/>
      <c r="F1637" s="455"/>
      <c r="G1637" s="455"/>
      <c r="H1637" s="455"/>
      <c r="I1637" s="455"/>
      <c r="J1637" s="455"/>
    </row>
    <row r="1638">
      <c r="A1638" s="934"/>
      <c r="B1638" s="557"/>
      <c r="C1638" s="936"/>
      <c r="D1638" s="1213"/>
      <c r="E1638" s="454"/>
      <c r="F1638" s="455"/>
      <c r="G1638" s="455"/>
      <c r="H1638" s="455"/>
      <c r="I1638" s="455"/>
      <c r="J1638" s="455"/>
    </row>
    <row r="1639">
      <c r="A1639" s="934"/>
      <c r="B1639" s="557"/>
      <c r="C1639" s="936"/>
      <c r="D1639" s="1213"/>
      <c r="E1639" s="454"/>
      <c r="F1639" s="455"/>
      <c r="G1639" s="455"/>
      <c r="H1639" s="455"/>
      <c r="I1639" s="455"/>
      <c r="J1639" s="455"/>
    </row>
    <row r="1640">
      <c r="A1640" s="934"/>
      <c r="B1640" s="557"/>
      <c r="C1640" s="936"/>
      <c r="D1640" s="1213"/>
      <c r="E1640" s="454"/>
      <c r="F1640" s="455"/>
      <c r="G1640" s="455"/>
      <c r="H1640" s="455"/>
      <c r="I1640" s="455"/>
      <c r="J1640" s="455"/>
    </row>
    <row r="1641">
      <c r="A1641" s="934"/>
      <c r="B1641" s="557"/>
      <c r="C1641" s="936"/>
      <c r="D1641" s="1213"/>
      <c r="E1641" s="454"/>
      <c r="F1641" s="455"/>
      <c r="G1641" s="455"/>
      <c r="H1641" s="455"/>
      <c r="I1641" s="455"/>
      <c r="J1641" s="455"/>
    </row>
    <row r="1642">
      <c r="A1642" s="934"/>
      <c r="B1642" s="557"/>
      <c r="C1642" s="936"/>
      <c r="D1642" s="1213"/>
      <c r="E1642" s="454"/>
      <c r="F1642" s="455"/>
      <c r="G1642" s="455"/>
      <c r="H1642" s="455"/>
      <c r="I1642" s="455"/>
      <c r="J1642" s="455"/>
    </row>
    <row r="1643">
      <c r="A1643" s="934"/>
      <c r="B1643" s="557"/>
      <c r="C1643" s="936"/>
      <c r="D1643" s="1213"/>
      <c r="E1643" s="454"/>
      <c r="F1643" s="455"/>
      <c r="G1643" s="455"/>
      <c r="H1643" s="455"/>
      <c r="I1643" s="455"/>
      <c r="J1643" s="455"/>
    </row>
    <row r="1644">
      <c r="A1644" s="934"/>
      <c r="B1644" s="557"/>
      <c r="C1644" s="936"/>
      <c r="D1644" s="1213"/>
      <c r="E1644" s="454"/>
      <c r="F1644" s="455"/>
      <c r="G1644" s="455"/>
      <c r="H1644" s="455"/>
      <c r="I1644" s="455"/>
      <c r="J1644" s="455"/>
    </row>
    <row r="1645">
      <c r="A1645" s="934"/>
      <c r="B1645" s="557"/>
      <c r="C1645" s="936"/>
      <c r="D1645" s="1213"/>
      <c r="E1645" s="454"/>
      <c r="F1645" s="455"/>
      <c r="G1645" s="455"/>
      <c r="H1645" s="455"/>
      <c r="I1645" s="455"/>
      <c r="J1645" s="455"/>
    </row>
    <row r="1646">
      <c r="A1646" s="934"/>
      <c r="B1646" s="557"/>
      <c r="C1646" s="936"/>
      <c r="D1646" s="439"/>
      <c r="E1646" s="454"/>
      <c r="F1646" s="455"/>
      <c r="G1646" s="455"/>
      <c r="H1646" s="455"/>
      <c r="I1646" s="455"/>
      <c r="J1646" s="455"/>
    </row>
    <row r="1647">
      <c r="A1647" s="934"/>
      <c r="B1647" s="557"/>
      <c r="C1647" s="936"/>
      <c r="D1647" s="439"/>
      <c r="E1647" s="454"/>
      <c r="F1647" s="455"/>
      <c r="G1647" s="455"/>
      <c r="H1647" s="455"/>
      <c r="I1647" s="455"/>
      <c r="J1647" s="455"/>
    </row>
    <row r="1648">
      <c r="A1648" s="934"/>
      <c r="B1648" s="557"/>
      <c r="C1648" s="936"/>
      <c r="D1648" s="439"/>
      <c r="E1648" s="454"/>
      <c r="F1648" s="455"/>
      <c r="G1648" s="455"/>
      <c r="H1648" s="455"/>
      <c r="I1648" s="455"/>
      <c r="J1648" s="455"/>
    </row>
    <row r="1649">
      <c r="A1649" s="934"/>
      <c r="B1649" s="557"/>
      <c r="C1649" s="936"/>
      <c r="D1649" s="439"/>
      <c r="E1649" s="454"/>
      <c r="F1649" s="455"/>
      <c r="G1649" s="455"/>
      <c r="H1649" s="455"/>
      <c r="I1649" s="455"/>
      <c r="J1649" s="455"/>
    </row>
    <row r="1650">
      <c r="A1650" s="934"/>
      <c r="B1650" s="557"/>
      <c r="C1650" s="936"/>
      <c r="D1650" s="439"/>
      <c r="E1650" s="454"/>
      <c r="F1650" s="455"/>
      <c r="G1650" s="455"/>
      <c r="H1650" s="455"/>
      <c r="I1650" s="455"/>
      <c r="J1650" s="455"/>
    </row>
    <row r="1651">
      <c r="A1651" s="934"/>
      <c r="B1651" s="557"/>
      <c r="C1651" s="936"/>
      <c r="D1651" s="439"/>
      <c r="E1651" s="454"/>
      <c r="F1651" s="455"/>
      <c r="G1651" s="455"/>
      <c r="H1651" s="455"/>
      <c r="I1651" s="455"/>
      <c r="J1651" s="455"/>
    </row>
    <row r="1652">
      <c r="A1652" s="934"/>
      <c r="B1652" s="557"/>
      <c r="C1652" s="936"/>
      <c r="D1652" s="439"/>
      <c r="E1652" s="454"/>
      <c r="F1652" s="455"/>
      <c r="G1652" s="455"/>
      <c r="H1652" s="455"/>
      <c r="I1652" s="455"/>
      <c r="J1652" s="455"/>
    </row>
    <row r="1653">
      <c r="A1653" s="934"/>
      <c r="B1653" s="557"/>
      <c r="C1653" s="936"/>
      <c r="D1653" s="439"/>
      <c r="E1653" s="454"/>
      <c r="F1653" s="455"/>
      <c r="G1653" s="455"/>
      <c r="H1653" s="455"/>
      <c r="I1653" s="455"/>
      <c r="J1653" s="455"/>
    </row>
    <row r="1654">
      <c r="A1654" s="934"/>
      <c r="B1654" s="557"/>
      <c r="C1654" s="936"/>
      <c r="D1654" s="439"/>
      <c r="E1654" s="454"/>
      <c r="F1654" s="455"/>
      <c r="G1654" s="455"/>
      <c r="H1654" s="455"/>
      <c r="I1654" s="455"/>
      <c r="J1654" s="455"/>
    </row>
    <row r="1655">
      <c r="A1655" s="934"/>
      <c r="B1655" s="557"/>
      <c r="C1655" s="936"/>
      <c r="D1655" s="439"/>
      <c r="E1655" s="454"/>
      <c r="F1655" s="455"/>
      <c r="G1655" s="455"/>
      <c r="H1655" s="455"/>
      <c r="I1655" s="455"/>
      <c r="J1655" s="455"/>
    </row>
    <row r="1656">
      <c r="A1656" s="934"/>
      <c r="B1656" s="557"/>
      <c r="C1656" s="936"/>
      <c r="D1656" s="439"/>
      <c r="E1656" s="454"/>
      <c r="F1656" s="455"/>
      <c r="G1656" s="455"/>
      <c r="H1656" s="455"/>
      <c r="I1656" s="455"/>
      <c r="J1656" s="455"/>
    </row>
    <row r="1657">
      <c r="A1657" s="934"/>
      <c r="B1657" s="557"/>
      <c r="C1657" s="936"/>
      <c r="D1657" s="439"/>
      <c r="E1657" s="454"/>
      <c r="F1657" s="455"/>
      <c r="G1657" s="455"/>
      <c r="H1657" s="455"/>
      <c r="I1657" s="455"/>
      <c r="J1657" s="455"/>
    </row>
    <row r="1658">
      <c r="A1658" s="934"/>
      <c r="B1658" s="557"/>
      <c r="C1658" s="936"/>
      <c r="D1658" s="439"/>
      <c r="E1658" s="454"/>
      <c r="F1658" s="455"/>
      <c r="G1658" s="455"/>
      <c r="H1658" s="455"/>
      <c r="I1658" s="455"/>
      <c r="J1658" s="455"/>
    </row>
    <row r="1659">
      <c r="A1659" s="934"/>
      <c r="B1659" s="557"/>
      <c r="C1659" s="936"/>
      <c r="D1659" s="439"/>
      <c r="E1659" s="454"/>
      <c r="F1659" s="455"/>
      <c r="G1659" s="455"/>
      <c r="H1659" s="455"/>
      <c r="I1659" s="455"/>
      <c r="J1659" s="455"/>
    </row>
    <row r="1660">
      <c r="A1660" s="934"/>
      <c r="B1660" s="557"/>
      <c r="C1660" s="936"/>
      <c r="D1660" s="439"/>
      <c r="E1660" s="454"/>
      <c r="F1660" s="455"/>
      <c r="G1660" s="455"/>
      <c r="H1660" s="455"/>
      <c r="I1660" s="455"/>
      <c r="J1660" s="455"/>
    </row>
    <row r="1661">
      <c r="A1661" s="934"/>
      <c r="B1661" s="557"/>
      <c r="C1661" s="936"/>
      <c r="D1661" s="439"/>
      <c r="E1661" s="454"/>
      <c r="F1661" s="455"/>
      <c r="G1661" s="455"/>
      <c r="H1661" s="455"/>
      <c r="I1661" s="455"/>
      <c r="J1661" s="455"/>
    </row>
    <row r="1662">
      <c r="A1662" s="934"/>
      <c r="B1662" s="557"/>
      <c r="C1662" s="936"/>
      <c r="D1662" s="439"/>
      <c r="E1662" s="454"/>
      <c r="F1662" s="455"/>
      <c r="G1662" s="455"/>
      <c r="H1662" s="455"/>
      <c r="I1662" s="455"/>
      <c r="J1662" s="455"/>
    </row>
    <row r="1663">
      <c r="A1663" s="934"/>
      <c r="B1663" s="557"/>
      <c r="C1663" s="936"/>
      <c r="D1663" s="439"/>
      <c r="E1663" s="454"/>
      <c r="F1663" s="455"/>
      <c r="G1663" s="455"/>
      <c r="H1663" s="455"/>
      <c r="I1663" s="455"/>
      <c r="J1663" s="455"/>
    </row>
    <row r="1664">
      <c r="A1664" s="934"/>
      <c r="B1664" s="557"/>
      <c r="C1664" s="936"/>
      <c r="D1664" s="439"/>
      <c r="E1664" s="454"/>
      <c r="F1664" s="455"/>
      <c r="G1664" s="455"/>
      <c r="H1664" s="455"/>
      <c r="I1664" s="455"/>
      <c r="J1664" s="455"/>
    </row>
    <row r="1665">
      <c r="A1665" s="934"/>
      <c r="B1665" s="557"/>
      <c r="C1665" s="936"/>
      <c r="D1665" s="439"/>
      <c r="E1665" s="454"/>
      <c r="F1665" s="455"/>
      <c r="G1665" s="455"/>
      <c r="H1665" s="455"/>
      <c r="I1665" s="455"/>
      <c r="J1665" s="455"/>
    </row>
    <row r="1666">
      <c r="A1666" s="934"/>
      <c r="B1666" s="557"/>
      <c r="C1666" s="936"/>
      <c r="D1666" s="439"/>
      <c r="E1666" s="454"/>
      <c r="F1666" s="455"/>
      <c r="G1666" s="455"/>
      <c r="H1666" s="455"/>
      <c r="I1666" s="455"/>
      <c r="J1666" s="455"/>
    </row>
    <row r="1667">
      <c r="A1667" s="934"/>
      <c r="B1667" s="557"/>
      <c r="C1667" s="936"/>
      <c r="D1667" s="439"/>
      <c r="E1667" s="454"/>
      <c r="F1667" s="455"/>
      <c r="G1667" s="455"/>
      <c r="H1667" s="455"/>
      <c r="I1667" s="455"/>
      <c r="J1667" s="455"/>
    </row>
    <row r="1668">
      <c r="A1668" s="934"/>
      <c r="B1668" s="557"/>
      <c r="C1668" s="936"/>
      <c r="D1668" s="439"/>
      <c r="E1668" s="454"/>
      <c r="F1668" s="455"/>
      <c r="G1668" s="455"/>
      <c r="H1668" s="455"/>
      <c r="I1668" s="455"/>
      <c r="J1668" s="455"/>
    </row>
    <row r="1669">
      <c r="A1669" s="934"/>
      <c r="B1669" s="557"/>
      <c r="C1669" s="936"/>
      <c r="D1669" s="439"/>
      <c r="E1669" s="454"/>
      <c r="F1669" s="455"/>
      <c r="G1669" s="455"/>
      <c r="H1669" s="455"/>
      <c r="I1669" s="455"/>
      <c r="J1669" s="455"/>
    </row>
    <row r="1670">
      <c r="A1670" s="934"/>
      <c r="B1670" s="557"/>
      <c r="C1670" s="936"/>
      <c r="D1670" s="439"/>
      <c r="E1670" s="454"/>
      <c r="F1670" s="455"/>
      <c r="G1670" s="455"/>
      <c r="H1670" s="455"/>
      <c r="I1670" s="455"/>
      <c r="J1670" s="455"/>
    </row>
    <row r="1671">
      <c r="A1671" s="934"/>
      <c r="B1671" s="557"/>
      <c r="C1671" s="936"/>
      <c r="D1671" s="439"/>
      <c r="E1671" s="454"/>
      <c r="F1671" s="455"/>
      <c r="G1671" s="455"/>
      <c r="H1671" s="455"/>
      <c r="I1671" s="455"/>
      <c r="J1671" s="455"/>
    </row>
    <row r="1672">
      <c r="A1672" s="934"/>
      <c r="B1672" s="557"/>
      <c r="C1672" s="936"/>
      <c r="D1672" s="439"/>
      <c r="E1672" s="454"/>
      <c r="F1672" s="455"/>
      <c r="G1672" s="455"/>
      <c r="H1672" s="455"/>
      <c r="I1672" s="455"/>
      <c r="J1672" s="455"/>
    </row>
    <row r="1673">
      <c r="A1673" s="934"/>
      <c r="B1673" s="557"/>
      <c r="C1673" s="936"/>
      <c r="D1673" s="439"/>
      <c r="E1673" s="454"/>
      <c r="F1673" s="455"/>
      <c r="G1673" s="455"/>
      <c r="H1673" s="455"/>
      <c r="I1673" s="455"/>
      <c r="J1673" s="455"/>
    </row>
    <row r="1674">
      <c r="A1674" s="934"/>
      <c r="B1674" s="557"/>
      <c r="C1674" s="936"/>
      <c r="D1674" s="439"/>
      <c r="E1674" s="454"/>
      <c r="F1674" s="455"/>
      <c r="G1674" s="455"/>
      <c r="H1674" s="455"/>
      <c r="I1674" s="455"/>
      <c r="J1674" s="455"/>
    </row>
    <row r="1675">
      <c r="A1675" s="934"/>
      <c r="B1675" s="557"/>
      <c r="C1675" s="936"/>
      <c r="D1675" s="439"/>
      <c r="E1675" s="454"/>
      <c r="F1675" s="455"/>
      <c r="G1675" s="455"/>
      <c r="H1675" s="455"/>
      <c r="I1675" s="455"/>
      <c r="J1675" s="455"/>
    </row>
    <row r="1676">
      <c r="A1676" s="934"/>
      <c r="B1676" s="557"/>
      <c r="C1676" s="936"/>
      <c r="D1676" s="439"/>
      <c r="E1676" s="454"/>
      <c r="F1676" s="455"/>
      <c r="G1676" s="455"/>
      <c r="H1676" s="455"/>
      <c r="I1676" s="455"/>
      <c r="J1676" s="455"/>
    </row>
    <row r="1677">
      <c r="A1677" s="934"/>
      <c r="B1677" s="557"/>
      <c r="C1677" s="936"/>
      <c r="D1677" s="439"/>
      <c r="E1677" s="454"/>
      <c r="F1677" s="455"/>
      <c r="G1677" s="455"/>
      <c r="H1677" s="455"/>
      <c r="I1677" s="455"/>
      <c r="J1677" s="455"/>
    </row>
    <row r="1678">
      <c r="A1678" s="934"/>
      <c r="B1678" s="557"/>
      <c r="C1678" s="936"/>
      <c r="D1678" s="439"/>
      <c r="E1678" s="454"/>
      <c r="F1678" s="455"/>
      <c r="G1678" s="455"/>
      <c r="H1678" s="455"/>
      <c r="I1678" s="455"/>
      <c r="J1678" s="455"/>
    </row>
    <row r="1679">
      <c r="A1679" s="934"/>
      <c r="B1679" s="557"/>
      <c r="C1679" s="936"/>
      <c r="D1679" s="439"/>
      <c r="E1679" s="454"/>
      <c r="F1679" s="455"/>
      <c r="G1679" s="455"/>
      <c r="H1679" s="455"/>
      <c r="I1679" s="455"/>
      <c r="J1679" s="455"/>
    </row>
    <row r="1680">
      <c r="A1680" s="934"/>
      <c r="B1680" s="557"/>
      <c r="C1680" s="936"/>
      <c r="D1680" s="439"/>
      <c r="E1680" s="454"/>
      <c r="F1680" s="455"/>
      <c r="G1680" s="455"/>
      <c r="H1680" s="455"/>
      <c r="I1680" s="455"/>
      <c r="J1680" s="455"/>
    </row>
    <row r="1681">
      <c r="A1681" s="934"/>
      <c r="B1681" s="557"/>
      <c r="C1681" s="936"/>
      <c r="D1681" s="439"/>
      <c r="E1681" s="454"/>
      <c r="F1681" s="455"/>
      <c r="G1681" s="455"/>
      <c r="H1681" s="455"/>
      <c r="I1681" s="455"/>
      <c r="J1681" s="455"/>
    </row>
    <row r="1682">
      <c r="A1682" s="934"/>
      <c r="B1682" s="557"/>
      <c r="C1682" s="936"/>
      <c r="D1682" s="439"/>
      <c r="E1682" s="454"/>
      <c r="F1682" s="455"/>
      <c r="G1682" s="455"/>
      <c r="H1682" s="455"/>
      <c r="I1682" s="455"/>
      <c r="J1682" s="455"/>
    </row>
    <row r="1683">
      <c r="A1683" s="934"/>
      <c r="B1683" s="557"/>
      <c r="C1683" s="936"/>
      <c r="D1683" s="439"/>
      <c r="E1683" s="454"/>
      <c r="F1683" s="455"/>
      <c r="G1683" s="455"/>
      <c r="H1683" s="455"/>
      <c r="I1683" s="455"/>
      <c r="J1683" s="455"/>
    </row>
    <row r="1684">
      <c r="A1684" s="934"/>
      <c r="B1684" s="557"/>
      <c r="C1684" s="936"/>
      <c r="D1684" s="439"/>
      <c r="E1684" s="454"/>
      <c r="F1684" s="455"/>
      <c r="G1684" s="455"/>
      <c r="H1684" s="455"/>
      <c r="I1684" s="455"/>
      <c r="J1684" s="455"/>
    </row>
    <row r="1685">
      <c r="A1685" s="934"/>
      <c r="B1685" s="557"/>
      <c r="C1685" s="936"/>
      <c r="D1685" s="439"/>
      <c r="E1685" s="454"/>
      <c r="F1685" s="455"/>
      <c r="G1685" s="455"/>
      <c r="H1685" s="455"/>
      <c r="I1685" s="455"/>
      <c r="J1685" s="455"/>
    </row>
    <row r="1686">
      <c r="A1686" s="934"/>
      <c r="B1686" s="557"/>
      <c r="C1686" s="936"/>
      <c r="D1686" s="439"/>
      <c r="E1686" s="454"/>
      <c r="F1686" s="455"/>
      <c r="G1686" s="455"/>
      <c r="H1686" s="455"/>
      <c r="I1686" s="455"/>
      <c r="J1686" s="455"/>
    </row>
    <row r="1687">
      <c r="A1687" s="934"/>
      <c r="B1687" s="557"/>
      <c r="C1687" s="936"/>
      <c r="D1687" s="439"/>
      <c r="E1687" s="454"/>
      <c r="F1687" s="455"/>
      <c r="G1687" s="455"/>
      <c r="H1687" s="455"/>
      <c r="I1687" s="455"/>
      <c r="J1687" s="455"/>
    </row>
    <row r="1688">
      <c r="A1688" s="934"/>
      <c r="B1688" s="557"/>
      <c r="C1688" s="936"/>
      <c r="D1688" s="439"/>
      <c r="E1688" s="454"/>
      <c r="F1688" s="455"/>
      <c r="G1688" s="455"/>
      <c r="H1688" s="455"/>
      <c r="I1688" s="455"/>
      <c r="J1688" s="455"/>
    </row>
    <row r="1689">
      <c r="A1689" s="934"/>
      <c r="B1689" s="557"/>
      <c r="C1689" s="936"/>
      <c r="D1689" s="439"/>
      <c r="E1689" s="454"/>
      <c r="F1689" s="455"/>
      <c r="G1689" s="455"/>
      <c r="H1689" s="455"/>
      <c r="I1689" s="455"/>
      <c r="J1689" s="455"/>
    </row>
    <row r="1690">
      <c r="A1690" s="934"/>
      <c r="B1690" s="557"/>
      <c r="C1690" s="936"/>
      <c r="D1690" s="439"/>
      <c r="E1690" s="454"/>
      <c r="F1690" s="455"/>
      <c r="G1690" s="455"/>
      <c r="H1690" s="455"/>
      <c r="I1690" s="455"/>
      <c r="J1690" s="455"/>
    </row>
    <row r="1691">
      <c r="A1691" s="934"/>
      <c r="B1691" s="557"/>
      <c r="C1691" s="936"/>
      <c r="D1691" s="439"/>
      <c r="E1691" s="454"/>
      <c r="F1691" s="455"/>
      <c r="G1691" s="455"/>
      <c r="H1691" s="455"/>
      <c r="I1691" s="455"/>
      <c r="J1691" s="455"/>
    </row>
    <row r="1692">
      <c r="A1692" s="934"/>
      <c r="B1692" s="557"/>
      <c r="C1692" s="936"/>
      <c r="D1692" s="439"/>
      <c r="E1692" s="454"/>
      <c r="F1692" s="455"/>
      <c r="G1692" s="455"/>
      <c r="H1692" s="455"/>
      <c r="I1692" s="455"/>
      <c r="J1692" s="455"/>
    </row>
    <row r="1693">
      <c r="A1693" s="934"/>
      <c r="B1693" s="557"/>
      <c r="C1693" s="936"/>
      <c r="D1693" s="439"/>
      <c r="E1693" s="454"/>
      <c r="F1693" s="455"/>
      <c r="G1693" s="455"/>
      <c r="H1693" s="455"/>
      <c r="I1693" s="455"/>
      <c r="J1693" s="455"/>
    </row>
    <row r="1694">
      <c r="A1694" s="934"/>
      <c r="B1694" s="557"/>
      <c r="C1694" s="936"/>
      <c r="D1694" s="439"/>
      <c r="E1694" s="454"/>
      <c r="F1694" s="455"/>
      <c r="G1694" s="455"/>
      <c r="H1694" s="455"/>
      <c r="I1694" s="455"/>
      <c r="J1694" s="455"/>
    </row>
    <row r="1695">
      <c r="A1695" s="934"/>
      <c r="B1695" s="557"/>
      <c r="C1695" s="936"/>
      <c r="D1695" s="439"/>
      <c r="E1695" s="454"/>
      <c r="F1695" s="455"/>
      <c r="G1695" s="455"/>
      <c r="H1695" s="455"/>
      <c r="I1695" s="455"/>
      <c r="J1695" s="455"/>
    </row>
    <row r="1696">
      <c r="A1696" s="934"/>
      <c r="B1696" s="557"/>
      <c r="C1696" s="936"/>
      <c r="D1696" s="439"/>
      <c r="E1696" s="454"/>
      <c r="F1696" s="455"/>
      <c r="G1696" s="455"/>
      <c r="H1696" s="455"/>
      <c r="I1696" s="455"/>
      <c r="J1696" s="455"/>
    </row>
    <row r="1697">
      <c r="A1697" s="934"/>
      <c r="B1697" s="557"/>
      <c r="C1697" s="936"/>
      <c r="D1697" s="439"/>
      <c r="E1697" s="454"/>
      <c r="F1697" s="455"/>
      <c r="G1697" s="455"/>
      <c r="H1697" s="455"/>
      <c r="I1697" s="455"/>
      <c r="J1697" s="455"/>
    </row>
    <row r="1698">
      <c r="A1698" s="934"/>
      <c r="B1698" s="557"/>
      <c r="C1698" s="936"/>
      <c r="D1698" s="439"/>
      <c r="E1698" s="454"/>
      <c r="F1698" s="455"/>
      <c r="G1698" s="455"/>
      <c r="H1698" s="455"/>
      <c r="I1698" s="455"/>
      <c r="J1698" s="455"/>
    </row>
    <row r="1699">
      <c r="A1699" s="934"/>
      <c r="B1699" s="557"/>
      <c r="C1699" s="936"/>
      <c r="D1699" s="439"/>
      <c r="E1699" s="454"/>
      <c r="F1699" s="455"/>
      <c r="G1699" s="455"/>
      <c r="H1699" s="455"/>
      <c r="I1699" s="455"/>
      <c r="J1699" s="455"/>
    </row>
    <row r="1700">
      <c r="A1700" s="934"/>
      <c r="B1700" s="557"/>
      <c r="C1700" s="936"/>
      <c r="D1700" s="439"/>
      <c r="E1700" s="454"/>
      <c r="F1700" s="455"/>
      <c r="G1700" s="455"/>
      <c r="H1700" s="455"/>
      <c r="I1700" s="455"/>
      <c r="J1700" s="455"/>
    </row>
    <row r="1701">
      <c r="A1701" s="934"/>
      <c r="B1701" s="557"/>
      <c r="C1701" s="936"/>
      <c r="D1701" s="439"/>
      <c r="E1701" s="454"/>
      <c r="F1701" s="455"/>
      <c r="G1701" s="455"/>
      <c r="H1701" s="455"/>
      <c r="I1701" s="455"/>
      <c r="J1701" s="455"/>
    </row>
    <row r="1702">
      <c r="A1702" s="934"/>
      <c r="B1702" s="557"/>
      <c r="C1702" s="936"/>
      <c r="D1702" s="439"/>
      <c r="E1702" s="454"/>
      <c r="F1702" s="455"/>
      <c r="G1702" s="455"/>
      <c r="H1702" s="455"/>
      <c r="I1702" s="455"/>
      <c r="J1702" s="455"/>
    </row>
    <row r="1703">
      <c r="A1703" s="934"/>
      <c r="B1703" s="557"/>
      <c r="C1703" s="936"/>
      <c r="D1703" s="439"/>
      <c r="E1703" s="454"/>
      <c r="F1703" s="455"/>
      <c r="G1703" s="455"/>
      <c r="H1703" s="455"/>
      <c r="I1703" s="455"/>
      <c r="J1703" s="455"/>
    </row>
    <row r="1704">
      <c r="A1704" s="934"/>
      <c r="B1704" s="557"/>
      <c r="C1704" s="936"/>
      <c r="D1704" s="439"/>
      <c r="E1704" s="454"/>
      <c r="F1704" s="455"/>
      <c r="G1704" s="455"/>
      <c r="H1704" s="455"/>
      <c r="I1704" s="455"/>
      <c r="J1704" s="455"/>
    </row>
    <row r="1705">
      <c r="A1705" s="934"/>
      <c r="B1705" s="557"/>
      <c r="C1705" s="936"/>
      <c r="D1705" s="439"/>
      <c r="E1705" s="454"/>
      <c r="F1705" s="455"/>
      <c r="G1705" s="455"/>
      <c r="H1705" s="455"/>
      <c r="I1705" s="455"/>
      <c r="J1705" s="455"/>
    </row>
    <row r="1706">
      <c r="A1706" s="934"/>
      <c r="B1706" s="557"/>
      <c r="C1706" s="936"/>
      <c r="D1706" s="439"/>
      <c r="E1706" s="454"/>
      <c r="F1706" s="455"/>
      <c r="G1706" s="455"/>
      <c r="H1706" s="455"/>
      <c r="I1706" s="455"/>
      <c r="J1706" s="455"/>
    </row>
    <row r="1707">
      <c r="A1707" s="934"/>
      <c r="B1707" s="557"/>
      <c r="C1707" s="936"/>
      <c r="D1707" s="439"/>
      <c r="E1707" s="454"/>
      <c r="F1707" s="455"/>
      <c r="G1707" s="455"/>
      <c r="H1707" s="455"/>
      <c r="I1707" s="455"/>
      <c r="J1707" s="455"/>
    </row>
    <row r="1708">
      <c r="A1708" s="934"/>
      <c r="B1708" s="557"/>
      <c r="C1708" s="936"/>
      <c r="D1708" s="439"/>
      <c r="E1708" s="454"/>
      <c r="F1708" s="455"/>
      <c r="G1708" s="455"/>
      <c r="H1708" s="455"/>
      <c r="I1708" s="455"/>
      <c r="J1708" s="455"/>
    </row>
    <row r="1709">
      <c r="A1709" s="934"/>
      <c r="B1709" s="557"/>
      <c r="C1709" s="936"/>
      <c r="D1709" s="439"/>
      <c r="E1709" s="454"/>
      <c r="F1709" s="455"/>
      <c r="G1709" s="455"/>
      <c r="H1709" s="455"/>
      <c r="I1709" s="455"/>
      <c r="J1709" s="455"/>
    </row>
    <row r="1710">
      <c r="A1710" s="934"/>
      <c r="B1710" s="557"/>
      <c r="C1710" s="936"/>
      <c r="D1710" s="439"/>
      <c r="E1710" s="454"/>
      <c r="F1710" s="455"/>
      <c r="G1710" s="455"/>
      <c r="H1710" s="455"/>
      <c r="I1710" s="455"/>
      <c r="J1710" s="455"/>
    </row>
    <row r="1711">
      <c r="A1711" s="934"/>
      <c r="B1711" s="557"/>
      <c r="C1711" s="936"/>
      <c r="D1711" s="439"/>
      <c r="E1711" s="454"/>
      <c r="F1711" s="455"/>
      <c r="G1711" s="455"/>
      <c r="H1711" s="455"/>
      <c r="I1711" s="455"/>
      <c r="J1711" s="455"/>
    </row>
    <row r="1712">
      <c r="A1712" s="934"/>
      <c r="B1712" s="557"/>
      <c r="C1712" s="936"/>
      <c r="D1712" s="439"/>
      <c r="E1712" s="454"/>
      <c r="F1712" s="455"/>
      <c r="G1712" s="455"/>
      <c r="H1712" s="455"/>
      <c r="I1712" s="455"/>
      <c r="J1712" s="455"/>
    </row>
    <row r="1713">
      <c r="A1713" s="934"/>
      <c r="B1713" s="557"/>
      <c r="C1713" s="936"/>
      <c r="D1713" s="439"/>
      <c r="E1713" s="454"/>
      <c r="F1713" s="455"/>
      <c r="G1713" s="455"/>
      <c r="H1713" s="455"/>
      <c r="I1713" s="455"/>
      <c r="J1713" s="455"/>
    </row>
    <row r="1714">
      <c r="A1714" s="934"/>
      <c r="B1714" s="557"/>
      <c r="C1714" s="936"/>
      <c r="D1714" s="439"/>
      <c r="E1714" s="454"/>
      <c r="F1714" s="455"/>
      <c r="G1714" s="455"/>
      <c r="H1714" s="455"/>
      <c r="I1714" s="455"/>
      <c r="J1714" s="455"/>
    </row>
    <row r="1715">
      <c r="A1715" s="934"/>
      <c r="B1715" s="557"/>
      <c r="C1715" s="936"/>
      <c r="D1715" s="439"/>
      <c r="E1715" s="454"/>
      <c r="F1715" s="455"/>
      <c r="G1715" s="455"/>
      <c r="H1715" s="455"/>
      <c r="I1715" s="455"/>
      <c r="J1715" s="455"/>
    </row>
    <row r="1716">
      <c r="A1716" s="934"/>
      <c r="B1716" s="557"/>
      <c r="C1716" s="936"/>
      <c r="D1716" s="439"/>
      <c r="E1716" s="454"/>
      <c r="F1716" s="455"/>
      <c r="G1716" s="455"/>
      <c r="H1716" s="455"/>
      <c r="I1716" s="455"/>
      <c r="J1716" s="455"/>
    </row>
    <row r="1717">
      <c r="A1717" s="934"/>
      <c r="B1717" s="557"/>
      <c r="C1717" s="936"/>
      <c r="D1717" s="439"/>
      <c r="E1717" s="454"/>
      <c r="F1717" s="455"/>
      <c r="G1717" s="455"/>
      <c r="H1717" s="455"/>
      <c r="I1717" s="455"/>
      <c r="J1717" s="455"/>
    </row>
    <row r="1718">
      <c r="A1718" s="934"/>
      <c r="B1718" s="557"/>
      <c r="C1718" s="936"/>
      <c r="D1718" s="439"/>
      <c r="E1718" s="454"/>
      <c r="F1718" s="455"/>
      <c r="G1718" s="455"/>
      <c r="H1718" s="455"/>
      <c r="I1718" s="455"/>
      <c r="J1718" s="455"/>
    </row>
    <row r="1719">
      <c r="A1719" s="934"/>
      <c r="B1719" s="557"/>
      <c r="C1719" s="936"/>
      <c r="D1719" s="439"/>
      <c r="E1719" s="454"/>
      <c r="F1719" s="455"/>
      <c r="G1719" s="455"/>
      <c r="H1719" s="455"/>
      <c r="I1719" s="455"/>
      <c r="J1719" s="455"/>
    </row>
    <row r="1720">
      <c r="A1720" s="934"/>
      <c r="B1720" s="557"/>
      <c r="C1720" s="936"/>
      <c r="D1720" s="439"/>
      <c r="E1720" s="454"/>
      <c r="F1720" s="455"/>
      <c r="G1720" s="455"/>
      <c r="H1720" s="455"/>
      <c r="I1720" s="455"/>
      <c r="J1720" s="455"/>
    </row>
    <row r="1721">
      <c r="A1721" s="934"/>
      <c r="B1721" s="557"/>
      <c r="C1721" s="936"/>
      <c r="D1721" s="439"/>
      <c r="E1721" s="454"/>
      <c r="F1721" s="455"/>
      <c r="G1721" s="455"/>
      <c r="H1721" s="455"/>
      <c r="I1721" s="455"/>
      <c r="J1721" s="455"/>
    </row>
    <row r="1722">
      <c r="A1722" s="934"/>
      <c r="B1722" s="557"/>
      <c r="C1722" s="936"/>
      <c r="D1722" s="439"/>
      <c r="E1722" s="454"/>
      <c r="F1722" s="455"/>
      <c r="G1722" s="455"/>
      <c r="H1722" s="455"/>
      <c r="I1722" s="455"/>
      <c r="J1722" s="455"/>
    </row>
    <row r="1723">
      <c r="A1723" s="934"/>
      <c r="B1723" s="557"/>
      <c r="C1723" s="936"/>
      <c r="D1723" s="439"/>
      <c r="E1723" s="454"/>
      <c r="F1723" s="455"/>
      <c r="G1723" s="455"/>
      <c r="H1723" s="455"/>
      <c r="I1723" s="455"/>
      <c r="J1723" s="455"/>
    </row>
    <row r="1724">
      <c r="A1724" s="934"/>
      <c r="B1724" s="557"/>
      <c r="C1724" s="936"/>
      <c r="D1724" s="439"/>
      <c r="E1724" s="454"/>
      <c r="F1724" s="455"/>
      <c r="G1724" s="455"/>
      <c r="H1724" s="455"/>
      <c r="I1724" s="455"/>
      <c r="J1724" s="455"/>
    </row>
    <row r="1725">
      <c r="A1725" s="934"/>
      <c r="B1725" s="557"/>
      <c r="C1725" s="936"/>
      <c r="D1725" s="439"/>
      <c r="E1725" s="454"/>
      <c r="F1725" s="455"/>
      <c r="G1725" s="455"/>
      <c r="H1725" s="455"/>
      <c r="I1725" s="455"/>
      <c r="J1725" s="455"/>
    </row>
    <row r="1726">
      <c r="A1726" s="934"/>
      <c r="B1726" s="557"/>
      <c r="C1726" s="936"/>
      <c r="D1726" s="439"/>
      <c r="E1726" s="454"/>
      <c r="F1726" s="455"/>
      <c r="G1726" s="455"/>
      <c r="H1726" s="455"/>
      <c r="I1726" s="455"/>
      <c r="J1726" s="455"/>
    </row>
    <row r="1727">
      <c r="A1727" s="934"/>
      <c r="B1727" s="557"/>
      <c r="C1727" s="936"/>
      <c r="D1727" s="439"/>
      <c r="E1727" s="454"/>
      <c r="F1727" s="455"/>
      <c r="G1727" s="455"/>
      <c r="H1727" s="455"/>
      <c r="I1727" s="455"/>
      <c r="J1727" s="455"/>
    </row>
    <row r="1728">
      <c r="A1728" s="934"/>
      <c r="B1728" s="557"/>
      <c r="C1728" s="936"/>
      <c r="D1728" s="439"/>
      <c r="E1728" s="454"/>
      <c r="F1728" s="455"/>
      <c r="G1728" s="455"/>
      <c r="H1728" s="455"/>
      <c r="I1728" s="455"/>
      <c r="J1728" s="455"/>
    </row>
    <row r="1729">
      <c r="A1729" s="934"/>
      <c r="B1729" s="557"/>
      <c r="C1729" s="936"/>
      <c r="D1729" s="439"/>
      <c r="E1729" s="454"/>
      <c r="F1729" s="455"/>
      <c r="G1729" s="455"/>
      <c r="H1729" s="455"/>
      <c r="I1729" s="455"/>
      <c r="J1729" s="455"/>
    </row>
    <row r="1730">
      <c r="A1730" s="934"/>
      <c r="B1730" s="557"/>
      <c r="C1730" s="936"/>
      <c r="D1730" s="439"/>
      <c r="E1730" s="454"/>
      <c r="F1730" s="455"/>
      <c r="G1730" s="455"/>
      <c r="H1730" s="455"/>
      <c r="I1730" s="455"/>
      <c r="J1730" s="455"/>
    </row>
    <row r="1731">
      <c r="A1731" s="934"/>
      <c r="B1731" s="557"/>
      <c r="C1731" s="936"/>
      <c r="D1731" s="439"/>
      <c r="E1731" s="454"/>
      <c r="F1731" s="455"/>
      <c r="G1731" s="455"/>
      <c r="H1731" s="455"/>
      <c r="I1731" s="455"/>
      <c r="J1731" s="455"/>
    </row>
    <row r="1732">
      <c r="A1732" s="934"/>
      <c r="B1732" s="557"/>
      <c r="C1732" s="936"/>
      <c r="D1732" s="439"/>
      <c r="E1732" s="454"/>
      <c r="F1732" s="455"/>
      <c r="G1732" s="455"/>
      <c r="H1732" s="455"/>
      <c r="I1732" s="455"/>
      <c r="J1732" s="455"/>
    </row>
    <row r="1733">
      <c r="A1733" s="934"/>
      <c r="B1733" s="557"/>
      <c r="C1733" s="936"/>
      <c r="D1733" s="439"/>
      <c r="E1733" s="454"/>
      <c r="F1733" s="455"/>
      <c r="G1733" s="455"/>
      <c r="H1733" s="455"/>
      <c r="I1733" s="455"/>
      <c r="J1733" s="455"/>
    </row>
    <row r="1734">
      <c r="A1734" s="934"/>
      <c r="B1734" s="557"/>
      <c r="C1734" s="936"/>
      <c r="D1734" s="439"/>
      <c r="E1734" s="454"/>
      <c r="F1734" s="455"/>
      <c r="G1734" s="455"/>
      <c r="H1734" s="455"/>
      <c r="I1734" s="455"/>
      <c r="J1734" s="455"/>
    </row>
    <row r="1735">
      <c r="A1735" s="934"/>
      <c r="B1735" s="557"/>
      <c r="C1735" s="936"/>
      <c r="D1735" s="439"/>
      <c r="E1735" s="454"/>
      <c r="F1735" s="455"/>
      <c r="G1735" s="455"/>
      <c r="H1735" s="455"/>
      <c r="I1735" s="455"/>
      <c r="J1735" s="455"/>
    </row>
    <row r="1736">
      <c r="A1736" s="934"/>
      <c r="B1736" s="557"/>
      <c r="C1736" s="936"/>
      <c r="D1736" s="439"/>
      <c r="E1736" s="454"/>
      <c r="F1736" s="455"/>
      <c r="G1736" s="455"/>
      <c r="H1736" s="455"/>
      <c r="I1736" s="455"/>
      <c r="J1736" s="455"/>
    </row>
    <row r="1737">
      <c r="A1737" s="934"/>
      <c r="B1737" s="557"/>
      <c r="C1737" s="936"/>
      <c r="D1737" s="439"/>
      <c r="E1737" s="454"/>
      <c r="F1737" s="455"/>
      <c r="G1737" s="455"/>
      <c r="H1737" s="455"/>
      <c r="I1737" s="455"/>
      <c r="J1737" s="455"/>
    </row>
    <row r="1738">
      <c r="A1738" s="934"/>
      <c r="B1738" s="557"/>
      <c r="C1738" s="936"/>
      <c r="D1738" s="439"/>
      <c r="E1738" s="454"/>
      <c r="F1738" s="455"/>
      <c r="G1738" s="455"/>
      <c r="H1738" s="455"/>
      <c r="I1738" s="455"/>
      <c r="J1738" s="455"/>
    </row>
    <row r="1739">
      <c r="A1739" s="934"/>
      <c r="B1739" s="557"/>
      <c r="C1739" s="936"/>
      <c r="D1739" s="439"/>
      <c r="E1739" s="454"/>
      <c r="F1739" s="455"/>
      <c r="G1739" s="455"/>
      <c r="H1739" s="455"/>
      <c r="I1739" s="455"/>
      <c r="J1739" s="455"/>
    </row>
    <row r="1740">
      <c r="A1740" s="934"/>
      <c r="B1740" s="557"/>
      <c r="C1740" s="936"/>
      <c r="D1740" s="439"/>
      <c r="E1740" s="454"/>
      <c r="F1740" s="455"/>
      <c r="G1740" s="455"/>
      <c r="H1740" s="455"/>
      <c r="I1740" s="455"/>
      <c r="J1740" s="455"/>
    </row>
    <row r="1741">
      <c r="A1741" s="934"/>
      <c r="B1741" s="557"/>
      <c r="C1741" s="936"/>
      <c r="D1741" s="439"/>
      <c r="E1741" s="454"/>
      <c r="F1741" s="455"/>
      <c r="G1741" s="455"/>
      <c r="H1741" s="455"/>
      <c r="I1741" s="455"/>
      <c r="J1741" s="455"/>
    </row>
    <row r="1742">
      <c r="A1742" s="934"/>
      <c r="B1742" s="557"/>
      <c r="C1742" s="936"/>
      <c r="D1742" s="439"/>
      <c r="E1742" s="454"/>
      <c r="F1742" s="455"/>
      <c r="G1742" s="455"/>
      <c r="H1742" s="455"/>
      <c r="I1742" s="455"/>
      <c r="J1742" s="455"/>
    </row>
    <row r="1743">
      <c r="A1743" s="934"/>
      <c r="B1743" s="557"/>
      <c r="C1743" s="936"/>
      <c r="D1743" s="439"/>
      <c r="E1743" s="454"/>
      <c r="F1743" s="455"/>
      <c r="G1743" s="455"/>
      <c r="H1743" s="455"/>
      <c r="I1743" s="455"/>
      <c r="J1743" s="455"/>
    </row>
    <row r="1744">
      <c r="A1744" s="934"/>
      <c r="B1744" s="557"/>
      <c r="C1744" s="936"/>
      <c r="D1744" s="439"/>
      <c r="E1744" s="454"/>
      <c r="F1744" s="455"/>
      <c r="G1744" s="455"/>
      <c r="H1744" s="455"/>
      <c r="I1744" s="455"/>
      <c r="J1744" s="455"/>
    </row>
    <row r="1745">
      <c r="A1745" s="934"/>
      <c r="B1745" s="557"/>
      <c r="C1745" s="936"/>
      <c r="D1745" s="439"/>
      <c r="E1745" s="454"/>
      <c r="F1745" s="455"/>
      <c r="G1745" s="455"/>
      <c r="H1745" s="455"/>
      <c r="I1745" s="455"/>
      <c r="J1745" s="455"/>
    </row>
    <row r="1746">
      <c r="A1746" s="934"/>
      <c r="B1746" s="557"/>
      <c r="C1746" s="936"/>
      <c r="D1746" s="439"/>
      <c r="E1746" s="454"/>
      <c r="F1746" s="455"/>
      <c r="G1746" s="455"/>
      <c r="H1746" s="455"/>
      <c r="I1746" s="455"/>
      <c r="J1746" s="455"/>
    </row>
    <row r="1747">
      <c r="A1747" s="934"/>
      <c r="B1747" s="557"/>
      <c r="C1747" s="936"/>
      <c r="D1747" s="439"/>
      <c r="E1747" s="454"/>
      <c r="F1747" s="455"/>
      <c r="G1747" s="455"/>
      <c r="H1747" s="455"/>
      <c r="I1747" s="455"/>
      <c r="J1747" s="455"/>
    </row>
    <row r="1748">
      <c r="A1748" s="934"/>
      <c r="B1748" s="557"/>
      <c r="C1748" s="936"/>
      <c r="D1748" s="439"/>
      <c r="E1748" s="454"/>
      <c r="F1748" s="455"/>
      <c r="G1748" s="455"/>
      <c r="H1748" s="455"/>
      <c r="I1748" s="455"/>
      <c r="J1748" s="455"/>
    </row>
    <row r="1749">
      <c r="A1749" s="934"/>
      <c r="B1749" s="557"/>
      <c r="C1749" s="936"/>
      <c r="D1749" s="439"/>
      <c r="E1749" s="454"/>
      <c r="F1749" s="455"/>
      <c r="G1749" s="455"/>
      <c r="H1749" s="455"/>
      <c r="I1749" s="455"/>
      <c r="J1749" s="455"/>
    </row>
    <row r="1750">
      <c r="A1750" s="934"/>
      <c r="B1750" s="557"/>
      <c r="C1750" s="936"/>
      <c r="D1750" s="439"/>
      <c r="E1750" s="454"/>
      <c r="F1750" s="455"/>
      <c r="G1750" s="455"/>
      <c r="H1750" s="455"/>
      <c r="I1750" s="455"/>
      <c r="J1750" s="455"/>
    </row>
    <row r="1751">
      <c r="A1751" s="934"/>
      <c r="B1751" s="557"/>
      <c r="C1751" s="936"/>
      <c r="D1751" s="439"/>
      <c r="E1751" s="454"/>
      <c r="F1751" s="455"/>
      <c r="G1751" s="455"/>
      <c r="H1751" s="455"/>
      <c r="I1751" s="455"/>
      <c r="J1751" s="455"/>
    </row>
    <row r="1752">
      <c r="A1752" s="934"/>
      <c r="B1752" s="557"/>
      <c r="C1752" s="936"/>
      <c r="D1752" s="439"/>
      <c r="E1752" s="454"/>
      <c r="F1752" s="455"/>
      <c r="G1752" s="455"/>
      <c r="H1752" s="455"/>
      <c r="I1752" s="455"/>
      <c r="J1752" s="455"/>
    </row>
    <row r="1753">
      <c r="A1753" s="934"/>
      <c r="B1753" s="557"/>
      <c r="C1753" s="936"/>
      <c r="D1753" s="439"/>
      <c r="E1753" s="454"/>
      <c r="F1753" s="455"/>
      <c r="G1753" s="455"/>
      <c r="H1753" s="455"/>
      <c r="I1753" s="455"/>
      <c r="J1753" s="455"/>
    </row>
    <row r="1754">
      <c r="A1754" s="934"/>
      <c r="B1754" s="557"/>
      <c r="C1754" s="936"/>
      <c r="D1754" s="439"/>
      <c r="E1754" s="454"/>
      <c r="F1754" s="455"/>
      <c r="G1754" s="455"/>
      <c r="H1754" s="455"/>
      <c r="I1754" s="455"/>
      <c r="J1754" s="455"/>
    </row>
    <row r="1755">
      <c r="A1755" s="934"/>
      <c r="B1755" s="557"/>
      <c r="C1755" s="936"/>
      <c r="D1755" s="439"/>
      <c r="E1755" s="454"/>
      <c r="F1755" s="455"/>
      <c r="G1755" s="455"/>
      <c r="H1755" s="455"/>
      <c r="I1755" s="455"/>
      <c r="J1755" s="455"/>
    </row>
    <row r="1756">
      <c r="A1756" s="934"/>
      <c r="B1756" s="557"/>
      <c r="C1756" s="936"/>
      <c r="D1756" s="439"/>
      <c r="E1756" s="454"/>
      <c r="F1756" s="455"/>
      <c r="G1756" s="455"/>
      <c r="H1756" s="455"/>
      <c r="I1756" s="455"/>
      <c r="J1756" s="455"/>
    </row>
    <row r="1757">
      <c r="A1757" s="934"/>
      <c r="B1757" s="557"/>
      <c r="C1757" s="936"/>
      <c r="D1757" s="439"/>
      <c r="E1757" s="454"/>
      <c r="F1757" s="455"/>
      <c r="G1757" s="455"/>
      <c r="H1757" s="455"/>
      <c r="I1757" s="455"/>
      <c r="J1757" s="455"/>
    </row>
    <row r="1758">
      <c r="A1758" s="934"/>
      <c r="B1758" s="557"/>
      <c r="C1758" s="936"/>
      <c r="D1758" s="439"/>
      <c r="E1758" s="454"/>
      <c r="F1758" s="455"/>
      <c r="G1758" s="455"/>
      <c r="H1758" s="455"/>
      <c r="I1758" s="455"/>
      <c r="J1758" s="455"/>
    </row>
    <row r="1759">
      <c r="A1759" s="934"/>
      <c r="B1759" s="557"/>
      <c r="C1759" s="936"/>
      <c r="D1759" s="439"/>
      <c r="E1759" s="454"/>
      <c r="F1759" s="455"/>
      <c r="G1759" s="455"/>
      <c r="H1759" s="455"/>
      <c r="I1759" s="455"/>
      <c r="J1759" s="455"/>
    </row>
    <row r="1760">
      <c r="A1760" s="934"/>
      <c r="B1760" s="557"/>
      <c r="C1760" s="936"/>
      <c r="D1760" s="439"/>
      <c r="E1760" s="454"/>
      <c r="F1760" s="455"/>
      <c r="G1760" s="455"/>
      <c r="H1760" s="455"/>
      <c r="I1760" s="455"/>
      <c r="J1760" s="455"/>
    </row>
    <row r="1761">
      <c r="A1761" s="934"/>
      <c r="B1761" s="557"/>
      <c r="C1761" s="936"/>
      <c r="D1761" s="439"/>
      <c r="E1761" s="454"/>
      <c r="F1761" s="455"/>
      <c r="G1761" s="455"/>
      <c r="H1761" s="455"/>
      <c r="I1761" s="455"/>
      <c r="J1761" s="455"/>
    </row>
    <row r="1762">
      <c r="A1762" s="934"/>
      <c r="B1762" s="557"/>
      <c r="C1762" s="936"/>
      <c r="D1762" s="439"/>
      <c r="E1762" s="454"/>
      <c r="F1762" s="455"/>
      <c r="G1762" s="455"/>
      <c r="H1762" s="455"/>
      <c r="I1762" s="455"/>
      <c r="J1762" s="455"/>
    </row>
    <row r="1763">
      <c r="A1763" s="934"/>
      <c r="B1763" s="557"/>
      <c r="C1763" s="936"/>
      <c r="D1763" s="439"/>
      <c r="E1763" s="454"/>
      <c r="F1763" s="455"/>
      <c r="G1763" s="455"/>
      <c r="H1763" s="455"/>
      <c r="I1763" s="455"/>
      <c r="J1763" s="455"/>
    </row>
    <row r="1764">
      <c r="A1764" s="934"/>
      <c r="B1764" s="557"/>
      <c r="C1764" s="936"/>
      <c r="D1764" s="439"/>
      <c r="E1764" s="454"/>
      <c r="F1764" s="455"/>
      <c r="G1764" s="455"/>
      <c r="H1764" s="455"/>
      <c r="I1764" s="455"/>
      <c r="J1764" s="455"/>
    </row>
    <row r="1765">
      <c r="A1765" s="934"/>
      <c r="B1765" s="557"/>
      <c r="C1765" s="936"/>
      <c r="D1765" s="439"/>
      <c r="E1765" s="454"/>
      <c r="F1765" s="455"/>
      <c r="G1765" s="455"/>
      <c r="H1765" s="455"/>
      <c r="I1765" s="455"/>
      <c r="J1765" s="455"/>
    </row>
    <row r="1766">
      <c r="A1766" s="934"/>
      <c r="B1766" s="557"/>
      <c r="C1766" s="936"/>
      <c r="D1766" s="439"/>
      <c r="E1766" s="454"/>
      <c r="F1766" s="455"/>
      <c r="G1766" s="455"/>
      <c r="H1766" s="455"/>
      <c r="I1766" s="455"/>
      <c r="J1766" s="455"/>
    </row>
    <row r="1767">
      <c r="A1767" s="934"/>
      <c r="B1767" s="557"/>
      <c r="C1767" s="936"/>
      <c r="D1767" s="439"/>
      <c r="E1767" s="454"/>
      <c r="F1767" s="455"/>
      <c r="G1767" s="455"/>
      <c r="H1767" s="455"/>
      <c r="I1767" s="455"/>
      <c r="J1767" s="455"/>
    </row>
    <row r="1768">
      <c r="A1768" s="934"/>
      <c r="B1768" s="557"/>
      <c r="C1768" s="936"/>
      <c r="D1768" s="439"/>
      <c r="E1768" s="454"/>
      <c r="F1768" s="455"/>
      <c r="G1768" s="455"/>
      <c r="H1768" s="455"/>
      <c r="I1768" s="455"/>
      <c r="J1768" s="455"/>
    </row>
    <row r="1769">
      <c r="A1769" s="934"/>
      <c r="B1769" s="557"/>
      <c r="C1769" s="936"/>
      <c r="D1769" s="439"/>
      <c r="E1769" s="454"/>
      <c r="F1769" s="455"/>
      <c r="G1769" s="455"/>
      <c r="H1769" s="455"/>
      <c r="I1769" s="455"/>
      <c r="J1769" s="455"/>
    </row>
    <row r="1770">
      <c r="A1770" s="934"/>
      <c r="B1770" s="557"/>
      <c r="C1770" s="936"/>
      <c r="D1770" s="439"/>
      <c r="E1770" s="454"/>
      <c r="F1770" s="455"/>
      <c r="G1770" s="455"/>
      <c r="H1770" s="455"/>
      <c r="I1770" s="455"/>
      <c r="J1770" s="455"/>
    </row>
    <row r="1771">
      <c r="A1771" s="934"/>
      <c r="B1771" s="557"/>
      <c r="C1771" s="936"/>
      <c r="D1771" s="439"/>
      <c r="E1771" s="454"/>
      <c r="F1771" s="455"/>
      <c r="G1771" s="455"/>
      <c r="H1771" s="455"/>
      <c r="I1771" s="455"/>
      <c r="J1771" s="455"/>
    </row>
    <row r="1772">
      <c r="A1772" s="934"/>
      <c r="B1772" s="557"/>
      <c r="C1772" s="936"/>
      <c r="D1772" s="439"/>
      <c r="E1772" s="454"/>
      <c r="F1772" s="455"/>
      <c r="G1772" s="455"/>
      <c r="H1772" s="455"/>
      <c r="I1772" s="455"/>
      <c r="J1772" s="455"/>
    </row>
    <row r="1773">
      <c r="A1773" s="934"/>
      <c r="B1773" s="557"/>
      <c r="C1773" s="936"/>
      <c r="D1773" s="439"/>
      <c r="E1773" s="454"/>
      <c r="F1773" s="455"/>
      <c r="G1773" s="455"/>
      <c r="H1773" s="455"/>
      <c r="I1773" s="455"/>
      <c r="J1773" s="455"/>
    </row>
    <row r="1774">
      <c r="A1774" s="934"/>
      <c r="B1774" s="557"/>
      <c r="C1774" s="936"/>
      <c r="D1774" s="439"/>
      <c r="E1774" s="454"/>
      <c r="F1774" s="455"/>
      <c r="G1774" s="455"/>
      <c r="H1774" s="455"/>
      <c r="I1774" s="455"/>
      <c r="J1774" s="455"/>
    </row>
    <row r="1775">
      <c r="A1775" s="934"/>
      <c r="B1775" s="557"/>
      <c r="C1775" s="936"/>
      <c r="D1775" s="439"/>
      <c r="E1775" s="454"/>
      <c r="F1775" s="455"/>
      <c r="G1775" s="455"/>
      <c r="H1775" s="455"/>
      <c r="I1775" s="455"/>
      <c r="J1775" s="455"/>
    </row>
    <row r="1776">
      <c r="A1776" s="934"/>
      <c r="B1776" s="557"/>
      <c r="C1776" s="936"/>
      <c r="D1776" s="439"/>
      <c r="E1776" s="454"/>
      <c r="F1776" s="455"/>
      <c r="G1776" s="455"/>
      <c r="H1776" s="455"/>
      <c r="I1776" s="455"/>
      <c r="J1776" s="455"/>
    </row>
    <row r="1777">
      <c r="A1777" s="934"/>
      <c r="B1777" s="557"/>
      <c r="C1777" s="936"/>
      <c r="D1777" s="439"/>
      <c r="E1777" s="454"/>
      <c r="F1777" s="455"/>
      <c r="G1777" s="455"/>
      <c r="H1777" s="455"/>
      <c r="I1777" s="455"/>
      <c r="J1777" s="455"/>
    </row>
    <row r="1778">
      <c r="A1778" s="934"/>
      <c r="B1778" s="557"/>
      <c r="C1778" s="936"/>
      <c r="D1778" s="439"/>
      <c r="E1778" s="454"/>
      <c r="F1778" s="455"/>
      <c r="G1778" s="455"/>
      <c r="H1778" s="455"/>
      <c r="I1778" s="455"/>
      <c r="J1778" s="455"/>
    </row>
    <row r="1779">
      <c r="A1779" s="934"/>
      <c r="B1779" s="557"/>
      <c r="C1779" s="936"/>
      <c r="D1779" s="439"/>
      <c r="E1779" s="454"/>
      <c r="F1779" s="455"/>
      <c r="G1779" s="455"/>
      <c r="H1779" s="455"/>
      <c r="I1779" s="455"/>
      <c r="J1779" s="455"/>
    </row>
    <row r="1780">
      <c r="A1780" s="934"/>
      <c r="B1780" s="557"/>
      <c r="C1780" s="936"/>
      <c r="D1780" s="439"/>
      <c r="E1780" s="454"/>
      <c r="F1780" s="455"/>
      <c r="G1780" s="455"/>
      <c r="H1780" s="455"/>
      <c r="I1780" s="455"/>
      <c r="J1780" s="455"/>
    </row>
    <row r="1781">
      <c r="A1781" s="934"/>
      <c r="B1781" s="557"/>
      <c r="C1781" s="936"/>
      <c r="D1781" s="439"/>
      <c r="E1781" s="454"/>
      <c r="F1781" s="455"/>
      <c r="G1781" s="455"/>
      <c r="H1781" s="455"/>
      <c r="I1781" s="455"/>
      <c r="J1781" s="455"/>
    </row>
    <row r="1782">
      <c r="A1782" s="934"/>
      <c r="B1782" s="557"/>
      <c r="C1782" s="936"/>
      <c r="D1782" s="439"/>
      <c r="E1782" s="454"/>
      <c r="F1782" s="455"/>
      <c r="G1782" s="455"/>
      <c r="H1782" s="455"/>
      <c r="I1782" s="455"/>
      <c r="J1782" s="455"/>
    </row>
    <row r="1783">
      <c r="A1783" s="934"/>
      <c r="B1783" s="557"/>
      <c r="C1783" s="936"/>
      <c r="D1783" s="439"/>
      <c r="E1783" s="454"/>
      <c r="F1783" s="455"/>
      <c r="G1783" s="455"/>
      <c r="H1783" s="455"/>
      <c r="I1783" s="455"/>
      <c r="J1783" s="455"/>
    </row>
    <row r="1784">
      <c r="A1784" s="934"/>
      <c r="B1784" s="557"/>
      <c r="C1784" s="936"/>
      <c r="D1784" s="439"/>
      <c r="E1784" s="454"/>
      <c r="F1784" s="455"/>
      <c r="G1784" s="455"/>
      <c r="H1784" s="455"/>
      <c r="I1784" s="455"/>
      <c r="J1784" s="455"/>
    </row>
    <row r="1785">
      <c r="A1785" s="934"/>
      <c r="B1785" s="557"/>
      <c r="C1785" s="936"/>
      <c r="D1785" s="439"/>
      <c r="E1785" s="454"/>
      <c r="F1785" s="455"/>
      <c r="G1785" s="455"/>
      <c r="H1785" s="455"/>
      <c r="I1785" s="455"/>
      <c r="J1785" s="455"/>
    </row>
    <row r="1786">
      <c r="A1786" s="934"/>
      <c r="B1786" s="557"/>
      <c r="C1786" s="936"/>
      <c r="D1786" s="439"/>
      <c r="E1786" s="454"/>
      <c r="F1786" s="455"/>
      <c r="G1786" s="455"/>
      <c r="H1786" s="455"/>
      <c r="I1786" s="455"/>
      <c r="J1786" s="455"/>
    </row>
    <row r="1787">
      <c r="A1787" s="934"/>
      <c r="B1787" s="557"/>
      <c r="C1787" s="936"/>
      <c r="D1787" s="439"/>
      <c r="E1787" s="454"/>
      <c r="F1787" s="455"/>
      <c r="G1787" s="455"/>
      <c r="H1787" s="455"/>
      <c r="I1787" s="455"/>
      <c r="J1787" s="455"/>
    </row>
    <row r="1788">
      <c r="A1788" s="934"/>
      <c r="B1788" s="557"/>
      <c r="C1788" s="936"/>
      <c r="D1788" s="439"/>
      <c r="E1788" s="454"/>
      <c r="F1788" s="455"/>
      <c r="G1788" s="455"/>
      <c r="H1788" s="455"/>
      <c r="I1788" s="455"/>
      <c r="J1788" s="455"/>
    </row>
    <row r="1789">
      <c r="A1789" s="934"/>
      <c r="B1789" s="557"/>
      <c r="C1789" s="936"/>
      <c r="D1789" s="439"/>
      <c r="E1789" s="454"/>
      <c r="F1789" s="455"/>
      <c r="G1789" s="455"/>
      <c r="H1789" s="455"/>
      <c r="I1789" s="455"/>
      <c r="J1789" s="455"/>
    </row>
    <row r="1790">
      <c r="A1790" s="934"/>
      <c r="B1790" s="557"/>
      <c r="C1790" s="936"/>
      <c r="D1790" s="439"/>
      <c r="E1790" s="454"/>
      <c r="F1790" s="455"/>
      <c r="G1790" s="455"/>
      <c r="H1790" s="455"/>
      <c r="I1790" s="455"/>
      <c r="J1790" s="455"/>
    </row>
    <row r="1791">
      <c r="A1791" s="934"/>
      <c r="B1791" s="557"/>
      <c r="C1791" s="936"/>
      <c r="D1791" s="439"/>
      <c r="E1791" s="454"/>
      <c r="F1791" s="455"/>
      <c r="G1791" s="455"/>
      <c r="H1791" s="455"/>
      <c r="I1791" s="455"/>
      <c r="J1791" s="455"/>
    </row>
    <row r="1792">
      <c r="A1792" s="934"/>
      <c r="B1792" s="557"/>
      <c r="C1792" s="936"/>
      <c r="D1792" s="439"/>
      <c r="E1792" s="454"/>
      <c r="F1792" s="455"/>
      <c r="G1792" s="455"/>
      <c r="H1792" s="455"/>
      <c r="I1792" s="455"/>
      <c r="J1792" s="455"/>
    </row>
    <row r="1793">
      <c r="A1793" s="934"/>
      <c r="B1793" s="557"/>
      <c r="C1793" s="936"/>
      <c r="D1793" s="439"/>
      <c r="E1793" s="454"/>
      <c r="F1793" s="455"/>
      <c r="G1793" s="455"/>
      <c r="H1793" s="455"/>
      <c r="I1793" s="455"/>
      <c r="J1793" s="455"/>
    </row>
    <row r="1794">
      <c r="A1794" s="934"/>
      <c r="B1794" s="557"/>
      <c r="C1794" s="936"/>
      <c r="D1794" s="439"/>
      <c r="E1794" s="454"/>
      <c r="F1794" s="455"/>
      <c r="G1794" s="455"/>
      <c r="H1794" s="455"/>
      <c r="I1794" s="455"/>
      <c r="J1794" s="455"/>
    </row>
    <row r="1795">
      <c r="A1795" s="934"/>
      <c r="B1795" s="557"/>
      <c r="C1795" s="936"/>
      <c r="D1795" s="439"/>
      <c r="E1795" s="454"/>
      <c r="F1795" s="455"/>
      <c r="G1795" s="455"/>
      <c r="H1795" s="455"/>
      <c r="I1795" s="455"/>
      <c r="J1795" s="455"/>
    </row>
    <row r="1796">
      <c r="A1796" s="934"/>
      <c r="B1796" s="557"/>
      <c r="C1796" s="936"/>
      <c r="D1796" s="439"/>
      <c r="E1796" s="454"/>
      <c r="F1796" s="455"/>
      <c r="G1796" s="455"/>
      <c r="H1796" s="455"/>
      <c r="I1796" s="455"/>
      <c r="J1796" s="455"/>
    </row>
    <row r="1797">
      <c r="A1797" s="934"/>
      <c r="B1797" s="557"/>
      <c r="C1797" s="936"/>
      <c r="D1797" s="439"/>
      <c r="E1797" s="454"/>
      <c r="F1797" s="455"/>
      <c r="G1797" s="455"/>
      <c r="H1797" s="455"/>
      <c r="I1797" s="455"/>
      <c r="J1797" s="455"/>
    </row>
    <row r="1798">
      <c r="A1798" s="934"/>
      <c r="B1798" s="557"/>
      <c r="C1798" s="936"/>
      <c r="D1798" s="439"/>
      <c r="E1798" s="454"/>
      <c r="F1798" s="455"/>
      <c r="G1798" s="455"/>
      <c r="H1798" s="455"/>
      <c r="I1798" s="455"/>
      <c r="J1798" s="455"/>
    </row>
    <row r="1799">
      <c r="A1799" s="934"/>
      <c r="B1799" s="557"/>
      <c r="C1799" s="936"/>
      <c r="D1799" s="439"/>
      <c r="E1799" s="454"/>
      <c r="F1799" s="455"/>
      <c r="G1799" s="455"/>
      <c r="H1799" s="455"/>
      <c r="I1799" s="455"/>
      <c r="J1799" s="455"/>
    </row>
    <row r="1800">
      <c r="A1800" s="934"/>
      <c r="B1800" s="557"/>
      <c r="C1800" s="936"/>
      <c r="D1800" s="439"/>
      <c r="E1800" s="454"/>
      <c r="F1800" s="455"/>
      <c r="G1800" s="455"/>
      <c r="H1800" s="455"/>
      <c r="I1800" s="455"/>
      <c r="J1800" s="455"/>
    </row>
    <row r="1801">
      <c r="A1801" s="934"/>
      <c r="B1801" s="557"/>
      <c r="C1801" s="936"/>
      <c r="D1801" s="439"/>
      <c r="E1801" s="454"/>
      <c r="F1801" s="455"/>
      <c r="G1801" s="455"/>
      <c r="H1801" s="455"/>
      <c r="I1801" s="455"/>
      <c r="J1801" s="455"/>
    </row>
    <row r="1802">
      <c r="A1802" s="934"/>
      <c r="B1802" s="557"/>
      <c r="C1802" s="936"/>
      <c r="D1802" s="439"/>
      <c r="E1802" s="454"/>
      <c r="F1802" s="455"/>
      <c r="G1802" s="455"/>
      <c r="H1802" s="455"/>
      <c r="I1802" s="455"/>
      <c r="J1802" s="455"/>
    </row>
    <row r="1803">
      <c r="A1803" s="934"/>
      <c r="B1803" s="557"/>
      <c r="C1803" s="936"/>
      <c r="D1803" s="439"/>
      <c r="E1803" s="454"/>
      <c r="F1803" s="455"/>
      <c r="G1803" s="455"/>
      <c r="H1803" s="455"/>
      <c r="I1803" s="455"/>
      <c r="J1803" s="455"/>
    </row>
    <row r="1804">
      <c r="A1804" s="934"/>
      <c r="B1804" s="557"/>
      <c r="C1804" s="936"/>
      <c r="D1804" s="439"/>
      <c r="E1804" s="454"/>
      <c r="F1804" s="455"/>
      <c r="G1804" s="455"/>
      <c r="H1804" s="455"/>
      <c r="I1804" s="455"/>
      <c r="J1804" s="455"/>
    </row>
    <row r="1805">
      <c r="A1805" s="934"/>
      <c r="B1805" s="557"/>
      <c r="C1805" s="936"/>
      <c r="D1805" s="439"/>
      <c r="E1805" s="454"/>
      <c r="F1805" s="455"/>
      <c r="G1805" s="455"/>
      <c r="H1805" s="455"/>
      <c r="I1805" s="455"/>
      <c r="J1805" s="455"/>
    </row>
    <row r="1806">
      <c r="A1806" s="934"/>
      <c r="B1806" s="557"/>
      <c r="C1806" s="936"/>
      <c r="D1806" s="439"/>
      <c r="E1806" s="454"/>
      <c r="F1806" s="455"/>
      <c r="G1806" s="455"/>
      <c r="H1806" s="455"/>
      <c r="I1806" s="455"/>
      <c r="J1806" s="455"/>
    </row>
    <row r="1807">
      <c r="A1807" s="934"/>
      <c r="B1807" s="557"/>
      <c r="C1807" s="936"/>
      <c r="D1807" s="439"/>
      <c r="E1807" s="454"/>
      <c r="F1807" s="455"/>
      <c r="G1807" s="455"/>
      <c r="H1807" s="455"/>
      <c r="I1807" s="455"/>
      <c r="J1807" s="455"/>
    </row>
    <row r="1808">
      <c r="A1808" s="934"/>
      <c r="B1808" s="557"/>
      <c r="C1808" s="936"/>
      <c r="D1808" s="439"/>
      <c r="E1808" s="454"/>
      <c r="F1808" s="455"/>
      <c r="G1808" s="455"/>
      <c r="H1808" s="455"/>
      <c r="I1808" s="455"/>
      <c r="J1808" s="455"/>
    </row>
    <row r="1809">
      <c r="A1809" s="934"/>
      <c r="B1809" s="557"/>
      <c r="C1809" s="936"/>
      <c r="D1809" s="439"/>
      <c r="E1809" s="454"/>
      <c r="F1809" s="455"/>
      <c r="G1809" s="455"/>
      <c r="H1809" s="455"/>
      <c r="I1809" s="455"/>
      <c r="J1809" s="455"/>
    </row>
    <row r="1810">
      <c r="A1810" s="934"/>
      <c r="B1810" s="557"/>
      <c r="C1810" s="936"/>
      <c r="D1810" s="439"/>
      <c r="E1810" s="454"/>
      <c r="F1810" s="455"/>
      <c r="G1810" s="455"/>
      <c r="H1810" s="455"/>
      <c r="I1810" s="455"/>
      <c r="J1810" s="455"/>
    </row>
    <row r="1811">
      <c r="A1811" s="934"/>
      <c r="B1811" s="557"/>
      <c r="C1811" s="936"/>
      <c r="D1811" s="439"/>
      <c r="E1811" s="454"/>
      <c r="F1811" s="455"/>
      <c r="G1811" s="455"/>
      <c r="H1811" s="455"/>
      <c r="I1811" s="455"/>
      <c r="J1811" s="455"/>
    </row>
    <row r="1812">
      <c r="A1812" s="934"/>
      <c r="B1812" s="557"/>
      <c r="C1812" s="936"/>
      <c r="D1812" s="439"/>
      <c r="E1812" s="454"/>
      <c r="F1812" s="455"/>
      <c r="G1812" s="455"/>
      <c r="H1812" s="455"/>
      <c r="I1812" s="455"/>
      <c r="J1812" s="455"/>
    </row>
    <row r="1813">
      <c r="A1813" s="934"/>
      <c r="B1813" s="557"/>
      <c r="C1813" s="936"/>
      <c r="D1813" s="439"/>
      <c r="E1813" s="454"/>
      <c r="F1813" s="455"/>
      <c r="G1813" s="455"/>
      <c r="H1813" s="455"/>
      <c r="I1813" s="455"/>
      <c r="J1813" s="455"/>
    </row>
    <row r="1814">
      <c r="A1814" s="934"/>
      <c r="B1814" s="557"/>
      <c r="C1814" s="936"/>
      <c r="D1814" s="439"/>
      <c r="E1814" s="454"/>
      <c r="F1814" s="455"/>
      <c r="G1814" s="455"/>
      <c r="H1814" s="455"/>
      <c r="I1814" s="455"/>
      <c r="J1814" s="455"/>
    </row>
    <row r="1815">
      <c r="A1815" s="934"/>
      <c r="B1815" s="557"/>
      <c r="C1815" s="936"/>
      <c r="D1815" s="439"/>
      <c r="E1815" s="454"/>
      <c r="F1815" s="455"/>
      <c r="G1815" s="455"/>
      <c r="H1815" s="455"/>
      <c r="I1815" s="455"/>
      <c r="J1815" s="455"/>
    </row>
    <row r="1816">
      <c r="A1816" s="934"/>
      <c r="B1816" s="557"/>
      <c r="C1816" s="936"/>
      <c r="D1816" s="439"/>
      <c r="E1816" s="454"/>
      <c r="F1816" s="455"/>
      <c r="G1816" s="455"/>
      <c r="H1816" s="455"/>
      <c r="I1816" s="455"/>
      <c r="J1816" s="455"/>
    </row>
    <row r="1817">
      <c r="A1817" s="934"/>
      <c r="B1817" s="557"/>
      <c r="C1817" s="936"/>
      <c r="D1817" s="439"/>
      <c r="E1817" s="454"/>
      <c r="F1817" s="455"/>
      <c r="G1817" s="455"/>
      <c r="H1817" s="455"/>
      <c r="I1817" s="455"/>
      <c r="J1817" s="455"/>
    </row>
    <row r="1818">
      <c r="A1818" s="934"/>
      <c r="B1818" s="557"/>
      <c r="C1818" s="936"/>
      <c r="D1818" s="439"/>
      <c r="E1818" s="454"/>
      <c r="F1818" s="455"/>
      <c r="G1818" s="455"/>
      <c r="H1818" s="455"/>
      <c r="I1818" s="455"/>
      <c r="J1818" s="455"/>
    </row>
    <row r="1819">
      <c r="A1819" s="934"/>
      <c r="B1819" s="557"/>
      <c r="C1819" s="936"/>
      <c r="D1819" s="439"/>
      <c r="E1819" s="454"/>
      <c r="F1819" s="455"/>
      <c r="G1819" s="455"/>
      <c r="H1819" s="455"/>
      <c r="I1819" s="455"/>
      <c r="J1819" s="455"/>
    </row>
    <row r="1820">
      <c r="A1820" s="934"/>
      <c r="B1820" s="557"/>
      <c r="C1820" s="936"/>
      <c r="D1820" s="439"/>
      <c r="E1820" s="454"/>
      <c r="F1820" s="455"/>
      <c r="G1820" s="455"/>
      <c r="H1820" s="455"/>
      <c r="I1820" s="455"/>
      <c r="J1820" s="455"/>
    </row>
    <row r="1821">
      <c r="A1821" s="934"/>
      <c r="B1821" s="557"/>
      <c r="C1821" s="936"/>
      <c r="D1821" s="439"/>
      <c r="E1821" s="454"/>
      <c r="F1821" s="455"/>
      <c r="G1821" s="455"/>
      <c r="H1821" s="455"/>
      <c r="I1821" s="455"/>
      <c r="J1821" s="455"/>
    </row>
    <row r="1822">
      <c r="A1822" s="934"/>
      <c r="B1822" s="557"/>
      <c r="C1822" s="936"/>
      <c r="D1822" s="439"/>
      <c r="E1822" s="454"/>
      <c r="F1822" s="455"/>
      <c r="G1822" s="455"/>
      <c r="H1822" s="455"/>
      <c r="I1822" s="455"/>
      <c r="J1822" s="455"/>
    </row>
    <row r="1823">
      <c r="A1823" s="934"/>
      <c r="B1823" s="557"/>
      <c r="C1823" s="936"/>
      <c r="D1823" s="439"/>
      <c r="E1823" s="454"/>
      <c r="F1823" s="455"/>
      <c r="G1823" s="455"/>
      <c r="H1823" s="455"/>
      <c r="I1823" s="455"/>
      <c r="J1823" s="455"/>
    </row>
    <row r="1824">
      <c r="A1824" s="934"/>
      <c r="B1824" s="557"/>
      <c r="C1824" s="936"/>
      <c r="D1824" s="439"/>
      <c r="E1824" s="454"/>
      <c r="F1824" s="455"/>
      <c r="G1824" s="455"/>
      <c r="H1824" s="455"/>
      <c r="I1824" s="455"/>
      <c r="J1824" s="455"/>
    </row>
    <row r="1825">
      <c r="A1825" s="934"/>
      <c r="B1825" s="557"/>
      <c r="C1825" s="936"/>
      <c r="D1825" s="439"/>
      <c r="E1825" s="454"/>
      <c r="F1825" s="455"/>
      <c r="G1825" s="455"/>
      <c r="H1825" s="455"/>
      <c r="I1825" s="455"/>
      <c r="J1825" s="455"/>
    </row>
    <row r="1826">
      <c r="A1826" s="934"/>
      <c r="B1826" s="557"/>
      <c r="C1826" s="936"/>
      <c r="D1826" s="439"/>
      <c r="E1826" s="454"/>
      <c r="F1826" s="455"/>
      <c r="G1826" s="455"/>
      <c r="H1826" s="455"/>
      <c r="I1826" s="455"/>
      <c r="J1826" s="455"/>
    </row>
    <row r="1827">
      <c r="A1827" s="934"/>
      <c r="B1827" s="557"/>
      <c r="C1827" s="936"/>
      <c r="D1827" s="439"/>
      <c r="E1827" s="454"/>
      <c r="F1827" s="455"/>
      <c r="G1827" s="455"/>
      <c r="H1827" s="455"/>
      <c r="I1827" s="455"/>
      <c r="J1827" s="455"/>
    </row>
    <row r="1828">
      <c r="A1828" s="934"/>
      <c r="B1828" s="557"/>
      <c r="C1828" s="936"/>
      <c r="D1828" s="439"/>
      <c r="E1828" s="454"/>
      <c r="F1828" s="455"/>
      <c r="G1828" s="455"/>
      <c r="H1828" s="455"/>
      <c r="I1828" s="455"/>
      <c r="J1828" s="455"/>
    </row>
    <row r="1829">
      <c r="A1829" s="934"/>
      <c r="B1829" s="557"/>
      <c r="C1829" s="936"/>
      <c r="D1829" s="439"/>
      <c r="E1829" s="454"/>
      <c r="F1829" s="455"/>
      <c r="G1829" s="455"/>
      <c r="H1829" s="455"/>
      <c r="I1829" s="455"/>
      <c r="J1829" s="455"/>
    </row>
    <row r="1830">
      <c r="A1830" s="934"/>
      <c r="B1830" s="557"/>
      <c r="C1830" s="936"/>
      <c r="D1830" s="439"/>
      <c r="E1830" s="454"/>
      <c r="F1830" s="455"/>
      <c r="G1830" s="455"/>
      <c r="H1830" s="455"/>
      <c r="I1830" s="455"/>
      <c r="J1830" s="455"/>
    </row>
    <row r="1831">
      <c r="A1831" s="934"/>
      <c r="B1831" s="557"/>
      <c r="C1831" s="936"/>
      <c r="D1831" s="439"/>
      <c r="E1831" s="454"/>
      <c r="F1831" s="455"/>
      <c r="G1831" s="455"/>
      <c r="H1831" s="455"/>
      <c r="I1831" s="455"/>
      <c r="J1831" s="455"/>
    </row>
    <row r="1832">
      <c r="A1832" s="934"/>
      <c r="B1832" s="557"/>
      <c r="C1832" s="936"/>
      <c r="D1832" s="439"/>
      <c r="E1832" s="454"/>
      <c r="F1832" s="455"/>
      <c r="G1832" s="455"/>
      <c r="H1832" s="455"/>
      <c r="I1832" s="455"/>
      <c r="J1832" s="455"/>
    </row>
    <row r="1833">
      <c r="A1833" s="934"/>
      <c r="B1833" s="557"/>
      <c r="C1833" s="936"/>
      <c r="D1833" s="439"/>
      <c r="E1833" s="454"/>
      <c r="F1833" s="455"/>
      <c r="G1833" s="455"/>
      <c r="H1833" s="455"/>
      <c r="I1833" s="455"/>
      <c r="J1833" s="455"/>
    </row>
    <row r="1834">
      <c r="A1834" s="934"/>
      <c r="B1834" s="557"/>
      <c r="C1834" s="936"/>
      <c r="D1834" s="439"/>
      <c r="E1834" s="454"/>
      <c r="F1834" s="455"/>
      <c r="G1834" s="455"/>
      <c r="H1834" s="455"/>
      <c r="I1834" s="455"/>
      <c r="J1834" s="455"/>
    </row>
    <row r="1835">
      <c r="A1835" s="934"/>
      <c r="B1835" s="557"/>
      <c r="C1835" s="936"/>
      <c r="D1835" s="439"/>
      <c r="E1835" s="454"/>
      <c r="F1835" s="455"/>
      <c r="G1835" s="455"/>
      <c r="H1835" s="455"/>
      <c r="I1835" s="455"/>
      <c r="J1835" s="455"/>
    </row>
    <row r="1836">
      <c r="A1836" s="934"/>
      <c r="B1836" s="557"/>
      <c r="C1836" s="936"/>
      <c r="D1836" s="439"/>
      <c r="E1836" s="454"/>
      <c r="F1836" s="455"/>
      <c r="G1836" s="455"/>
      <c r="H1836" s="455"/>
      <c r="I1836" s="455"/>
      <c r="J1836" s="455"/>
    </row>
    <row r="1837">
      <c r="A1837" s="934"/>
      <c r="B1837" s="557"/>
      <c r="C1837" s="936"/>
      <c r="D1837" s="439"/>
      <c r="E1837" s="454"/>
      <c r="F1837" s="455"/>
      <c r="G1837" s="455"/>
      <c r="H1837" s="455"/>
      <c r="I1837" s="455"/>
      <c r="J1837" s="455"/>
    </row>
    <row r="1838">
      <c r="A1838" s="934"/>
      <c r="B1838" s="557"/>
      <c r="C1838" s="936"/>
      <c r="D1838" s="439"/>
      <c r="E1838" s="454"/>
      <c r="F1838" s="455"/>
      <c r="G1838" s="455"/>
      <c r="H1838" s="455"/>
      <c r="I1838" s="455"/>
      <c r="J1838" s="455"/>
    </row>
    <row r="1839">
      <c r="A1839" s="934"/>
      <c r="B1839" s="557"/>
      <c r="C1839" s="936"/>
      <c r="D1839" s="439"/>
      <c r="E1839" s="454"/>
      <c r="F1839" s="455"/>
      <c r="G1839" s="455"/>
      <c r="H1839" s="455"/>
      <c r="I1839" s="455"/>
      <c r="J1839" s="455"/>
    </row>
    <row r="1840">
      <c r="A1840" s="934"/>
      <c r="B1840" s="557"/>
      <c r="C1840" s="936"/>
      <c r="D1840" s="439"/>
      <c r="E1840" s="454"/>
      <c r="F1840" s="455"/>
      <c r="G1840" s="455"/>
      <c r="H1840" s="455"/>
      <c r="I1840" s="455"/>
      <c r="J1840" s="455"/>
    </row>
    <row r="1841">
      <c r="A1841" s="934"/>
      <c r="B1841" s="557"/>
      <c r="C1841" s="936"/>
      <c r="D1841" s="439"/>
      <c r="E1841" s="454"/>
      <c r="F1841" s="455"/>
      <c r="G1841" s="455"/>
      <c r="H1841" s="455"/>
      <c r="I1841" s="455"/>
      <c r="J1841" s="455"/>
    </row>
    <row r="1842">
      <c r="A1842" s="934"/>
      <c r="B1842" s="557"/>
      <c r="C1842" s="936"/>
      <c r="D1842" s="439"/>
      <c r="E1842" s="454"/>
      <c r="F1842" s="455"/>
      <c r="G1842" s="455"/>
      <c r="H1842" s="455"/>
      <c r="I1842" s="455"/>
      <c r="J1842" s="455"/>
    </row>
    <row r="1843">
      <c r="A1843" s="934"/>
      <c r="B1843" s="557"/>
      <c r="C1843" s="936"/>
      <c r="D1843" s="439"/>
      <c r="E1843" s="454"/>
      <c r="F1843" s="455"/>
      <c r="G1843" s="455"/>
      <c r="H1843" s="455"/>
      <c r="I1843" s="455"/>
      <c r="J1843" s="455"/>
    </row>
    <row r="1844">
      <c r="A1844" s="934"/>
      <c r="B1844" s="557"/>
      <c r="C1844" s="936"/>
      <c r="D1844" s="439"/>
      <c r="E1844" s="454"/>
      <c r="F1844" s="455"/>
      <c r="G1844" s="455"/>
      <c r="H1844" s="455"/>
      <c r="I1844" s="455"/>
      <c r="J1844" s="455"/>
    </row>
    <row r="1845">
      <c r="A1845" s="934"/>
      <c r="B1845" s="557"/>
      <c r="C1845" s="936"/>
      <c r="D1845" s="439"/>
      <c r="E1845" s="454"/>
      <c r="F1845" s="455"/>
      <c r="G1845" s="455"/>
      <c r="H1845" s="455"/>
      <c r="I1845" s="455"/>
      <c r="J1845" s="455"/>
    </row>
    <row r="1846">
      <c r="A1846" s="934"/>
      <c r="B1846" s="557"/>
      <c r="C1846" s="936"/>
      <c r="D1846" s="439"/>
      <c r="E1846" s="454"/>
      <c r="F1846" s="455"/>
      <c r="G1846" s="455"/>
      <c r="H1846" s="455"/>
      <c r="I1846" s="455"/>
      <c r="J1846" s="455"/>
    </row>
    <row r="1847">
      <c r="A1847" s="934"/>
      <c r="B1847" s="557"/>
      <c r="C1847" s="936"/>
      <c r="D1847" s="439"/>
      <c r="E1847" s="454"/>
      <c r="F1847" s="455"/>
      <c r="G1847" s="455"/>
      <c r="H1847" s="455"/>
      <c r="I1847" s="455"/>
      <c r="J1847" s="455"/>
    </row>
    <row r="1848">
      <c r="A1848" s="934"/>
      <c r="B1848" s="557"/>
      <c r="C1848" s="936"/>
      <c r="D1848" s="439"/>
      <c r="E1848" s="454"/>
      <c r="F1848" s="455"/>
      <c r="G1848" s="455"/>
      <c r="H1848" s="455"/>
      <c r="I1848" s="455"/>
      <c r="J1848" s="455"/>
    </row>
    <row r="1849">
      <c r="A1849" s="934"/>
      <c r="B1849" s="557"/>
      <c r="C1849" s="936"/>
      <c r="D1849" s="439"/>
      <c r="E1849" s="454"/>
      <c r="F1849" s="455"/>
      <c r="G1849" s="455"/>
      <c r="H1849" s="455"/>
      <c r="I1849" s="455"/>
      <c r="J1849" s="455"/>
    </row>
    <row r="1850">
      <c r="A1850" s="934"/>
      <c r="B1850" s="557"/>
      <c r="C1850" s="936"/>
      <c r="D1850" s="439"/>
      <c r="E1850" s="454"/>
      <c r="F1850" s="455"/>
      <c r="G1850" s="455"/>
      <c r="H1850" s="455"/>
      <c r="I1850" s="455"/>
      <c r="J1850" s="455"/>
    </row>
    <row r="1851">
      <c r="A1851" s="934"/>
      <c r="B1851" s="557"/>
      <c r="C1851" s="936"/>
      <c r="D1851" s="439"/>
      <c r="E1851" s="454"/>
      <c r="F1851" s="455"/>
      <c r="G1851" s="455"/>
      <c r="H1851" s="455"/>
      <c r="I1851" s="455"/>
      <c r="J1851" s="455"/>
    </row>
    <row r="1852">
      <c r="A1852" s="934"/>
      <c r="B1852" s="557"/>
      <c r="C1852" s="936"/>
      <c r="D1852" s="439"/>
      <c r="E1852" s="454"/>
      <c r="F1852" s="455"/>
      <c r="G1852" s="455"/>
      <c r="H1852" s="455"/>
      <c r="I1852" s="455"/>
      <c r="J1852" s="455"/>
    </row>
    <row r="1853">
      <c r="A1853" s="934"/>
      <c r="B1853" s="557"/>
      <c r="C1853" s="936"/>
      <c r="D1853" s="439"/>
      <c r="E1853" s="454"/>
      <c r="F1853" s="455"/>
      <c r="G1853" s="455"/>
      <c r="H1853" s="455"/>
      <c r="I1853" s="455"/>
      <c r="J1853" s="455"/>
    </row>
    <row r="1854">
      <c r="A1854" s="934"/>
      <c r="B1854" s="557"/>
      <c r="C1854" s="936"/>
      <c r="D1854" s="439"/>
      <c r="E1854" s="454"/>
      <c r="F1854" s="455"/>
      <c r="G1854" s="455"/>
      <c r="H1854" s="455"/>
      <c r="I1854" s="455"/>
      <c r="J1854" s="455"/>
    </row>
    <row r="1855">
      <c r="A1855" s="934"/>
      <c r="B1855" s="557"/>
      <c r="C1855" s="936"/>
      <c r="D1855" s="439"/>
      <c r="E1855" s="454"/>
      <c r="F1855" s="455"/>
      <c r="G1855" s="455"/>
      <c r="H1855" s="455"/>
      <c r="I1855" s="455"/>
      <c r="J1855" s="455"/>
    </row>
    <row r="1856">
      <c r="A1856" s="934"/>
      <c r="B1856" s="557"/>
      <c r="C1856" s="936"/>
      <c r="D1856" s="439"/>
      <c r="E1856" s="454"/>
      <c r="F1856" s="455"/>
      <c r="G1856" s="455"/>
      <c r="H1856" s="455"/>
      <c r="I1856" s="455"/>
      <c r="J1856" s="455"/>
    </row>
    <row r="1857">
      <c r="A1857" s="934"/>
      <c r="B1857" s="557"/>
      <c r="C1857" s="936"/>
      <c r="D1857" s="439"/>
      <c r="E1857" s="454"/>
      <c r="F1857" s="455"/>
      <c r="G1857" s="455"/>
      <c r="H1857" s="455"/>
      <c r="I1857" s="455"/>
      <c r="J1857" s="455"/>
    </row>
    <row r="1858">
      <c r="A1858" s="934"/>
      <c r="B1858" s="557"/>
      <c r="C1858" s="936"/>
      <c r="D1858" s="439"/>
      <c r="E1858" s="454"/>
      <c r="F1858" s="455"/>
      <c r="G1858" s="455"/>
      <c r="H1858" s="455"/>
      <c r="I1858" s="455"/>
      <c r="J1858" s="455"/>
    </row>
    <row r="1859">
      <c r="A1859" s="934"/>
      <c r="B1859" s="557"/>
      <c r="C1859" s="936"/>
      <c r="D1859" s="439"/>
      <c r="E1859" s="454"/>
      <c r="F1859" s="455"/>
      <c r="G1859" s="455"/>
      <c r="H1859" s="455"/>
      <c r="I1859" s="455"/>
      <c r="J1859" s="455"/>
    </row>
    <row r="1860">
      <c r="A1860" s="934"/>
      <c r="B1860" s="557"/>
      <c r="C1860" s="936"/>
      <c r="D1860" s="439"/>
      <c r="E1860" s="454"/>
      <c r="F1860" s="455"/>
      <c r="G1860" s="455"/>
      <c r="H1860" s="455"/>
      <c r="I1860" s="455"/>
      <c r="J1860" s="455"/>
    </row>
    <row r="1861">
      <c r="A1861" s="934"/>
      <c r="B1861" s="557"/>
      <c r="C1861" s="936"/>
      <c r="D1861" s="439"/>
      <c r="E1861" s="454"/>
      <c r="F1861" s="455"/>
      <c r="G1861" s="455"/>
      <c r="H1861" s="455"/>
      <c r="I1861" s="455"/>
      <c r="J1861" s="455"/>
    </row>
    <row r="1862">
      <c r="A1862" s="934"/>
      <c r="B1862" s="557"/>
      <c r="C1862" s="936"/>
      <c r="D1862" s="439"/>
      <c r="E1862" s="454"/>
      <c r="F1862" s="455"/>
      <c r="G1862" s="455"/>
      <c r="H1862" s="455"/>
      <c r="I1862" s="455"/>
      <c r="J1862" s="455"/>
    </row>
    <row r="1863">
      <c r="A1863" s="934"/>
      <c r="B1863" s="557"/>
      <c r="C1863" s="936"/>
      <c r="D1863" s="439"/>
      <c r="E1863" s="454"/>
      <c r="F1863" s="455"/>
      <c r="G1863" s="455"/>
      <c r="H1863" s="455"/>
      <c r="I1863" s="455"/>
      <c r="J1863" s="455"/>
    </row>
    <row r="1864">
      <c r="A1864" s="934"/>
      <c r="B1864" s="557"/>
      <c r="C1864" s="936"/>
      <c r="D1864" s="439"/>
      <c r="E1864" s="454"/>
      <c r="F1864" s="455"/>
      <c r="G1864" s="455"/>
      <c r="H1864" s="455"/>
      <c r="I1864" s="455"/>
      <c r="J1864" s="455"/>
    </row>
    <row r="1865">
      <c r="A1865" s="934"/>
      <c r="B1865" s="557"/>
      <c r="C1865" s="936"/>
      <c r="D1865" s="439"/>
      <c r="E1865" s="454"/>
      <c r="F1865" s="455"/>
      <c r="G1865" s="455"/>
      <c r="H1865" s="455"/>
      <c r="I1865" s="455"/>
      <c r="J1865" s="455"/>
    </row>
    <row r="1866">
      <c r="A1866" s="934"/>
      <c r="B1866" s="557"/>
      <c r="C1866" s="936"/>
      <c r="D1866" s="439"/>
      <c r="E1866" s="454"/>
      <c r="F1866" s="455"/>
      <c r="G1866" s="455"/>
      <c r="H1866" s="455"/>
      <c r="I1866" s="455"/>
      <c r="J1866" s="455"/>
    </row>
    <row r="1867">
      <c r="A1867" s="934"/>
      <c r="B1867" s="557"/>
      <c r="C1867" s="936"/>
      <c r="D1867" s="439"/>
      <c r="E1867" s="454"/>
      <c r="F1867" s="455"/>
      <c r="G1867" s="455"/>
      <c r="H1867" s="455"/>
      <c r="I1867" s="455"/>
      <c r="J1867" s="455"/>
    </row>
    <row r="1868">
      <c r="A1868" s="934"/>
      <c r="B1868" s="557"/>
      <c r="C1868" s="936"/>
      <c r="D1868" s="439"/>
      <c r="E1868" s="454"/>
      <c r="F1868" s="455"/>
      <c r="G1868" s="455"/>
      <c r="H1868" s="455"/>
      <c r="I1868" s="455"/>
      <c r="J1868" s="455"/>
    </row>
    <row r="1869">
      <c r="A1869" s="934"/>
      <c r="B1869" s="557"/>
      <c r="C1869" s="936"/>
      <c r="D1869" s="439"/>
      <c r="E1869" s="454"/>
      <c r="F1869" s="455"/>
      <c r="G1869" s="455"/>
      <c r="H1869" s="455"/>
      <c r="I1869" s="455"/>
      <c r="J1869" s="455"/>
    </row>
    <row r="1870">
      <c r="A1870" s="934"/>
      <c r="B1870" s="557"/>
      <c r="C1870" s="936"/>
      <c r="D1870" s="439"/>
      <c r="E1870" s="454"/>
      <c r="F1870" s="455"/>
      <c r="G1870" s="455"/>
      <c r="H1870" s="455"/>
      <c r="I1870" s="455"/>
      <c r="J1870" s="455"/>
    </row>
    <row r="1871">
      <c r="A1871" s="934"/>
      <c r="B1871" s="557"/>
      <c r="C1871" s="936"/>
      <c r="D1871" s="439"/>
      <c r="E1871" s="454"/>
      <c r="F1871" s="455"/>
      <c r="G1871" s="455"/>
      <c r="H1871" s="455"/>
      <c r="I1871" s="455"/>
      <c r="J1871" s="455"/>
    </row>
    <row r="1872">
      <c r="A1872" s="934"/>
      <c r="B1872" s="557"/>
      <c r="C1872" s="936"/>
      <c r="D1872" s="439"/>
      <c r="E1872" s="454"/>
      <c r="F1872" s="455"/>
      <c r="G1872" s="455"/>
      <c r="H1872" s="455"/>
      <c r="I1872" s="455"/>
      <c r="J1872" s="455"/>
    </row>
    <row r="1873">
      <c r="A1873" s="934"/>
      <c r="B1873" s="557"/>
      <c r="C1873" s="936"/>
      <c r="D1873" s="439"/>
      <c r="E1873" s="454"/>
      <c r="F1873" s="455"/>
      <c r="G1873" s="455"/>
      <c r="H1873" s="455"/>
      <c r="I1873" s="455"/>
      <c r="J1873" s="455"/>
    </row>
    <row r="1874">
      <c r="A1874" s="934"/>
      <c r="B1874" s="557"/>
      <c r="C1874" s="936"/>
      <c r="D1874" s="439"/>
      <c r="E1874" s="454"/>
      <c r="F1874" s="455"/>
      <c r="G1874" s="455"/>
      <c r="H1874" s="455"/>
      <c r="I1874" s="455"/>
      <c r="J1874" s="455"/>
    </row>
    <row r="1875">
      <c r="A1875" s="934"/>
      <c r="B1875" s="557"/>
      <c r="C1875" s="936"/>
      <c r="D1875" s="439"/>
      <c r="E1875" s="454"/>
      <c r="F1875" s="455"/>
      <c r="G1875" s="455"/>
      <c r="H1875" s="455"/>
      <c r="I1875" s="455"/>
      <c r="J1875" s="455"/>
    </row>
    <row r="1876">
      <c r="A1876" s="934"/>
      <c r="B1876" s="557"/>
      <c r="C1876" s="936"/>
      <c r="D1876" s="439"/>
      <c r="E1876" s="454"/>
      <c r="F1876" s="455"/>
      <c r="G1876" s="455"/>
      <c r="H1876" s="455"/>
      <c r="I1876" s="455"/>
      <c r="J1876" s="455"/>
    </row>
    <row r="1877">
      <c r="A1877" s="934"/>
      <c r="B1877" s="557"/>
      <c r="C1877" s="936"/>
      <c r="D1877" s="439"/>
      <c r="E1877" s="454"/>
      <c r="F1877" s="455"/>
      <c r="G1877" s="455"/>
      <c r="H1877" s="455"/>
      <c r="I1877" s="455"/>
      <c r="J1877" s="455"/>
    </row>
    <row r="1878">
      <c r="A1878" s="934"/>
      <c r="B1878" s="557"/>
      <c r="C1878" s="936"/>
      <c r="D1878" s="439"/>
      <c r="E1878" s="454"/>
      <c r="F1878" s="455"/>
      <c r="G1878" s="455"/>
      <c r="H1878" s="455"/>
      <c r="I1878" s="455"/>
      <c r="J1878" s="455"/>
    </row>
    <row r="1879">
      <c r="A1879" s="934"/>
      <c r="B1879" s="557"/>
      <c r="C1879" s="936"/>
      <c r="D1879" s="439"/>
      <c r="E1879" s="454"/>
      <c r="F1879" s="455"/>
      <c r="G1879" s="455"/>
      <c r="H1879" s="455"/>
      <c r="I1879" s="455"/>
      <c r="J1879" s="455"/>
    </row>
    <row r="1880">
      <c r="A1880" s="934"/>
      <c r="B1880" s="557"/>
      <c r="C1880" s="936"/>
      <c r="D1880" s="439"/>
      <c r="E1880" s="454"/>
      <c r="F1880" s="455"/>
      <c r="G1880" s="455"/>
      <c r="H1880" s="455"/>
      <c r="I1880" s="455"/>
      <c r="J1880" s="455"/>
    </row>
    <row r="1881">
      <c r="A1881" s="934"/>
      <c r="B1881" s="557"/>
      <c r="C1881" s="936"/>
      <c r="D1881" s="439"/>
      <c r="E1881" s="454"/>
      <c r="F1881" s="455"/>
      <c r="G1881" s="455"/>
      <c r="H1881" s="455"/>
      <c r="I1881" s="455"/>
      <c r="J1881" s="455"/>
    </row>
    <row r="1882">
      <c r="A1882" s="934"/>
      <c r="B1882" s="557"/>
      <c r="C1882" s="936"/>
      <c r="D1882" s="439"/>
      <c r="E1882" s="454"/>
      <c r="F1882" s="455"/>
      <c r="G1882" s="455"/>
      <c r="H1882" s="455"/>
      <c r="I1882" s="455"/>
      <c r="J1882" s="455"/>
    </row>
    <row r="1883">
      <c r="A1883" s="934"/>
      <c r="B1883" s="557"/>
      <c r="C1883" s="936"/>
      <c r="D1883" s="439"/>
      <c r="E1883" s="454"/>
      <c r="F1883" s="455"/>
      <c r="G1883" s="455"/>
      <c r="H1883" s="455"/>
      <c r="I1883" s="455"/>
      <c r="J1883" s="455"/>
    </row>
    <row r="1884">
      <c r="A1884" s="934"/>
      <c r="B1884" s="557"/>
      <c r="C1884" s="936"/>
      <c r="D1884" s="439"/>
      <c r="E1884" s="454"/>
      <c r="F1884" s="455"/>
      <c r="G1884" s="455"/>
      <c r="H1884" s="455"/>
      <c r="I1884" s="455"/>
      <c r="J1884" s="455"/>
    </row>
    <row r="1885">
      <c r="A1885" s="934"/>
      <c r="B1885" s="557"/>
      <c r="C1885" s="936"/>
      <c r="D1885" s="439"/>
      <c r="E1885" s="454"/>
      <c r="F1885" s="455"/>
      <c r="G1885" s="455"/>
      <c r="H1885" s="455"/>
      <c r="I1885" s="455"/>
      <c r="J1885" s="455"/>
    </row>
    <row r="1886">
      <c r="A1886" s="934"/>
      <c r="B1886" s="557"/>
      <c r="C1886" s="936"/>
      <c r="D1886" s="439"/>
      <c r="E1886" s="454"/>
      <c r="F1886" s="455"/>
      <c r="G1886" s="455"/>
      <c r="H1886" s="455"/>
      <c r="I1886" s="455"/>
      <c r="J1886" s="455"/>
    </row>
    <row r="1887">
      <c r="A1887" s="934"/>
      <c r="B1887" s="557"/>
      <c r="C1887" s="936"/>
      <c r="D1887" s="439"/>
      <c r="E1887" s="454"/>
      <c r="F1887" s="455"/>
      <c r="G1887" s="455"/>
      <c r="H1887" s="455"/>
      <c r="I1887" s="455"/>
      <c r="J1887" s="455"/>
    </row>
    <row r="1888">
      <c r="A1888" s="934"/>
      <c r="B1888" s="557"/>
      <c r="C1888" s="936"/>
      <c r="D1888" s="439"/>
      <c r="E1888" s="454"/>
      <c r="F1888" s="455"/>
      <c r="G1888" s="455"/>
      <c r="H1888" s="455"/>
      <c r="I1888" s="455"/>
      <c r="J1888" s="455"/>
    </row>
    <row r="1889">
      <c r="A1889" s="934"/>
      <c r="B1889" s="557"/>
      <c r="C1889" s="936"/>
      <c r="D1889" s="439"/>
      <c r="E1889" s="454"/>
      <c r="F1889" s="455"/>
      <c r="G1889" s="455"/>
      <c r="H1889" s="455"/>
      <c r="I1889" s="455"/>
      <c r="J1889" s="455"/>
    </row>
    <row r="1890">
      <c r="A1890" s="934"/>
      <c r="B1890" s="557"/>
      <c r="C1890" s="936"/>
      <c r="D1890" s="439"/>
      <c r="E1890" s="454"/>
      <c r="F1890" s="455"/>
      <c r="G1890" s="455"/>
      <c r="H1890" s="455"/>
      <c r="I1890" s="455"/>
      <c r="J1890" s="455"/>
    </row>
    <row r="1891">
      <c r="A1891" s="934"/>
      <c r="B1891" s="557"/>
      <c r="C1891" s="936"/>
      <c r="D1891" s="439"/>
      <c r="E1891" s="454"/>
      <c r="F1891" s="455"/>
      <c r="G1891" s="455"/>
      <c r="H1891" s="455"/>
      <c r="I1891" s="455"/>
      <c r="J1891" s="455"/>
    </row>
    <row r="1892">
      <c r="A1892" s="934"/>
      <c r="B1892" s="557"/>
      <c r="C1892" s="936"/>
      <c r="D1892" s="439"/>
      <c r="E1892" s="454"/>
      <c r="F1892" s="455"/>
      <c r="G1892" s="455"/>
      <c r="H1892" s="455"/>
      <c r="I1892" s="455"/>
      <c r="J1892" s="455"/>
    </row>
    <row r="1893">
      <c r="A1893" s="934"/>
      <c r="B1893" s="557"/>
      <c r="C1893" s="936"/>
      <c r="D1893" s="439"/>
      <c r="E1893" s="454"/>
      <c r="F1893" s="455"/>
      <c r="G1893" s="455"/>
      <c r="H1893" s="455"/>
      <c r="I1893" s="455"/>
      <c r="J1893" s="455"/>
    </row>
    <row r="1894">
      <c r="A1894" s="934"/>
      <c r="B1894" s="557"/>
      <c r="C1894" s="936"/>
      <c r="D1894" s="439"/>
      <c r="E1894" s="454"/>
      <c r="F1894" s="455"/>
      <c r="G1894" s="455"/>
      <c r="H1894" s="455"/>
      <c r="I1894" s="455"/>
      <c r="J1894" s="455"/>
    </row>
    <row r="1895">
      <c r="A1895" s="934"/>
      <c r="B1895" s="557"/>
      <c r="C1895" s="936"/>
      <c r="D1895" s="439"/>
      <c r="E1895" s="454"/>
      <c r="F1895" s="455"/>
      <c r="G1895" s="455"/>
      <c r="H1895" s="455"/>
      <c r="I1895" s="455"/>
      <c r="J1895" s="455"/>
    </row>
    <row r="1896">
      <c r="A1896" s="934"/>
      <c r="B1896" s="557"/>
      <c r="C1896" s="936"/>
      <c r="D1896" s="439"/>
      <c r="E1896" s="454"/>
      <c r="F1896" s="455"/>
      <c r="G1896" s="455"/>
      <c r="H1896" s="455"/>
      <c r="I1896" s="455"/>
      <c r="J1896" s="455"/>
    </row>
    <row r="1897">
      <c r="A1897" s="934"/>
      <c r="B1897" s="557"/>
      <c r="C1897" s="936"/>
      <c r="D1897" s="439"/>
      <c r="E1897" s="454"/>
      <c r="F1897" s="455"/>
      <c r="G1897" s="455"/>
      <c r="H1897" s="455"/>
      <c r="I1897" s="455"/>
      <c r="J1897" s="455"/>
    </row>
    <row r="1898">
      <c r="A1898" s="934"/>
      <c r="B1898" s="557"/>
      <c r="C1898" s="936"/>
      <c r="D1898" s="439"/>
      <c r="E1898" s="454"/>
      <c r="F1898" s="455"/>
      <c r="G1898" s="455"/>
      <c r="H1898" s="455"/>
      <c r="I1898" s="455"/>
      <c r="J1898" s="455"/>
    </row>
    <row r="1899">
      <c r="A1899" s="934"/>
      <c r="B1899" s="557"/>
      <c r="C1899" s="936"/>
      <c r="D1899" s="439"/>
      <c r="E1899" s="454"/>
      <c r="F1899" s="455"/>
      <c r="G1899" s="455"/>
      <c r="H1899" s="455"/>
      <c r="I1899" s="455"/>
      <c r="J1899" s="455"/>
    </row>
    <row r="1900">
      <c r="A1900" s="934"/>
      <c r="B1900" s="557"/>
      <c r="C1900" s="936"/>
      <c r="D1900" s="439"/>
      <c r="E1900" s="454"/>
      <c r="F1900" s="455"/>
      <c r="G1900" s="455"/>
      <c r="H1900" s="455"/>
      <c r="I1900" s="455"/>
      <c r="J1900" s="455"/>
    </row>
    <row r="1901">
      <c r="A1901" s="934"/>
      <c r="B1901" s="557"/>
      <c r="C1901" s="936"/>
      <c r="D1901" s="439"/>
      <c r="E1901" s="454"/>
      <c r="F1901" s="455"/>
      <c r="G1901" s="455"/>
      <c r="H1901" s="455"/>
      <c r="I1901" s="455"/>
      <c r="J1901" s="455"/>
    </row>
    <row r="1902">
      <c r="A1902" s="934"/>
      <c r="B1902" s="557"/>
      <c r="C1902" s="936"/>
      <c r="D1902" s="439"/>
      <c r="E1902" s="454"/>
      <c r="F1902" s="455"/>
      <c r="G1902" s="455"/>
      <c r="H1902" s="455"/>
      <c r="I1902" s="455"/>
      <c r="J1902" s="455"/>
    </row>
    <row r="1903">
      <c r="A1903" s="934"/>
      <c r="B1903" s="557"/>
      <c r="C1903" s="936"/>
      <c r="D1903" s="439"/>
      <c r="E1903" s="454"/>
      <c r="F1903" s="455"/>
      <c r="G1903" s="455"/>
      <c r="H1903" s="455"/>
      <c r="I1903" s="455"/>
      <c r="J1903" s="455"/>
    </row>
    <row r="1904">
      <c r="A1904" s="934"/>
      <c r="B1904" s="557"/>
      <c r="C1904" s="936"/>
      <c r="D1904" s="439"/>
      <c r="E1904" s="454"/>
      <c r="F1904" s="455"/>
      <c r="G1904" s="455"/>
      <c r="H1904" s="455"/>
      <c r="I1904" s="455"/>
      <c r="J1904" s="455"/>
    </row>
    <row r="1905">
      <c r="A1905" s="934"/>
      <c r="B1905" s="557"/>
      <c r="C1905" s="936"/>
      <c r="D1905" s="439"/>
      <c r="E1905" s="454"/>
      <c r="F1905" s="455"/>
      <c r="G1905" s="455"/>
      <c r="H1905" s="455"/>
      <c r="I1905" s="455"/>
      <c r="J1905" s="455"/>
    </row>
    <row r="1906">
      <c r="A1906" s="934"/>
      <c r="B1906" s="557"/>
      <c r="C1906" s="936"/>
      <c r="D1906" s="439"/>
      <c r="E1906" s="454"/>
      <c r="F1906" s="455"/>
      <c r="G1906" s="455"/>
      <c r="H1906" s="455"/>
      <c r="I1906" s="455"/>
      <c r="J1906" s="455"/>
    </row>
    <row r="1907">
      <c r="A1907" s="934"/>
      <c r="B1907" s="557"/>
      <c r="C1907" s="936"/>
      <c r="D1907" s="439"/>
      <c r="E1907" s="454"/>
      <c r="F1907" s="455"/>
      <c r="G1907" s="455"/>
      <c r="H1907" s="455"/>
      <c r="I1907" s="455"/>
      <c r="J1907" s="455"/>
    </row>
    <row r="1908">
      <c r="A1908" s="934"/>
      <c r="B1908" s="557"/>
      <c r="C1908" s="936"/>
      <c r="D1908" s="439"/>
      <c r="E1908" s="454"/>
      <c r="F1908" s="455"/>
      <c r="G1908" s="455"/>
      <c r="H1908" s="455"/>
      <c r="I1908" s="455"/>
      <c r="J1908" s="455"/>
    </row>
    <row r="1909">
      <c r="A1909" s="934"/>
      <c r="B1909" s="557"/>
      <c r="C1909" s="936"/>
      <c r="D1909" s="439"/>
      <c r="E1909" s="454"/>
      <c r="F1909" s="455"/>
      <c r="G1909" s="455"/>
      <c r="H1909" s="455"/>
      <c r="I1909" s="455"/>
      <c r="J1909" s="455"/>
    </row>
    <row r="1910">
      <c r="A1910" s="934"/>
      <c r="B1910" s="557"/>
      <c r="C1910" s="936"/>
      <c r="D1910" s="439"/>
      <c r="E1910" s="454"/>
      <c r="F1910" s="455"/>
      <c r="G1910" s="455"/>
      <c r="H1910" s="455"/>
      <c r="I1910" s="455"/>
      <c r="J1910" s="455"/>
    </row>
    <row r="1911">
      <c r="A1911" s="934"/>
      <c r="B1911" s="557"/>
      <c r="C1911" s="936"/>
      <c r="D1911" s="439"/>
      <c r="E1911" s="454"/>
      <c r="F1911" s="455"/>
      <c r="G1911" s="455"/>
      <c r="H1911" s="455"/>
      <c r="I1911" s="455"/>
      <c r="J1911" s="455"/>
    </row>
    <row r="1912">
      <c r="A1912" s="934"/>
      <c r="B1912" s="557"/>
      <c r="C1912" s="936"/>
      <c r="D1912" s="439"/>
      <c r="E1912" s="454"/>
      <c r="F1912" s="455"/>
      <c r="G1912" s="455"/>
      <c r="H1912" s="455"/>
      <c r="I1912" s="455"/>
      <c r="J1912" s="455"/>
    </row>
    <row r="1913">
      <c r="A1913" s="934"/>
      <c r="B1913" s="557"/>
      <c r="C1913" s="936"/>
      <c r="D1913" s="439"/>
      <c r="E1913" s="454"/>
      <c r="F1913" s="455"/>
      <c r="G1913" s="455"/>
      <c r="H1913" s="455"/>
      <c r="I1913" s="455"/>
      <c r="J1913" s="455"/>
    </row>
    <row r="1914">
      <c r="A1914" s="934"/>
      <c r="B1914" s="557"/>
      <c r="C1914" s="936"/>
      <c r="D1914" s="439"/>
      <c r="E1914" s="454"/>
      <c r="F1914" s="455"/>
      <c r="G1914" s="455"/>
      <c r="H1914" s="455"/>
      <c r="I1914" s="455"/>
      <c r="J1914" s="455"/>
    </row>
    <row r="1915">
      <c r="A1915" s="934"/>
      <c r="B1915" s="557"/>
      <c r="C1915" s="936"/>
      <c r="D1915" s="439"/>
      <c r="E1915" s="454"/>
      <c r="F1915" s="455"/>
      <c r="G1915" s="455"/>
      <c r="H1915" s="455"/>
      <c r="I1915" s="455"/>
      <c r="J1915" s="455"/>
    </row>
    <row r="1916">
      <c r="A1916" s="934"/>
      <c r="B1916" s="557"/>
      <c r="C1916" s="936"/>
      <c r="D1916" s="439"/>
      <c r="E1916" s="454"/>
      <c r="F1916" s="455"/>
      <c r="G1916" s="455"/>
      <c r="H1916" s="455"/>
      <c r="I1916" s="455"/>
      <c r="J1916" s="455"/>
    </row>
    <row r="1917">
      <c r="A1917" s="934"/>
      <c r="B1917" s="557"/>
      <c r="C1917" s="936"/>
      <c r="D1917" s="439"/>
      <c r="E1917" s="454"/>
      <c r="F1917" s="455"/>
      <c r="G1917" s="455"/>
      <c r="H1917" s="455"/>
      <c r="I1917" s="455"/>
      <c r="J1917" s="455"/>
    </row>
    <row r="1918">
      <c r="A1918" s="934"/>
      <c r="B1918" s="557"/>
      <c r="C1918" s="936"/>
      <c r="D1918" s="439"/>
      <c r="E1918" s="454"/>
      <c r="F1918" s="455"/>
      <c r="G1918" s="455"/>
      <c r="H1918" s="455"/>
      <c r="I1918" s="455"/>
      <c r="J1918" s="455"/>
    </row>
    <row r="1919">
      <c r="A1919" s="934"/>
      <c r="B1919" s="557"/>
      <c r="C1919" s="936"/>
      <c r="D1919" s="439"/>
      <c r="E1919" s="454"/>
      <c r="F1919" s="455"/>
      <c r="G1919" s="455"/>
      <c r="H1919" s="455"/>
      <c r="I1919" s="455"/>
      <c r="J1919" s="455"/>
    </row>
    <row r="1920">
      <c r="A1920" s="934"/>
      <c r="B1920" s="557"/>
      <c r="C1920" s="936"/>
      <c r="D1920" s="439"/>
      <c r="E1920" s="454"/>
      <c r="F1920" s="455"/>
      <c r="G1920" s="455"/>
      <c r="H1920" s="455"/>
      <c r="I1920" s="455"/>
      <c r="J1920" s="455"/>
    </row>
    <row r="1921">
      <c r="A1921" s="934"/>
      <c r="B1921" s="557"/>
      <c r="C1921" s="936"/>
      <c r="D1921" s="439"/>
      <c r="E1921" s="454"/>
      <c r="F1921" s="455"/>
      <c r="G1921" s="455"/>
      <c r="H1921" s="455"/>
      <c r="I1921" s="455"/>
      <c r="J1921" s="455"/>
    </row>
    <row r="1922">
      <c r="A1922" s="934"/>
      <c r="B1922" s="557"/>
      <c r="C1922" s="936"/>
      <c r="D1922" s="439"/>
      <c r="E1922" s="454"/>
      <c r="F1922" s="455"/>
      <c r="G1922" s="455"/>
      <c r="H1922" s="455"/>
      <c r="I1922" s="455"/>
      <c r="J1922" s="455"/>
    </row>
    <row r="1923">
      <c r="A1923" s="934"/>
      <c r="B1923" s="557"/>
      <c r="C1923" s="936"/>
      <c r="D1923" s="439"/>
      <c r="E1923" s="454"/>
      <c r="F1923" s="455"/>
      <c r="G1923" s="455"/>
      <c r="H1923" s="455"/>
      <c r="I1923" s="455"/>
      <c r="J1923" s="455"/>
    </row>
    <row r="1924">
      <c r="A1924" s="934"/>
      <c r="B1924" s="557"/>
      <c r="C1924" s="936"/>
      <c r="D1924" s="439"/>
      <c r="E1924" s="454"/>
      <c r="F1924" s="455"/>
      <c r="G1924" s="455"/>
      <c r="H1924" s="455"/>
      <c r="I1924" s="455"/>
      <c r="J1924" s="455"/>
    </row>
    <row r="1925">
      <c r="A1925" s="934"/>
      <c r="B1925" s="557"/>
      <c r="C1925" s="936"/>
      <c r="D1925" s="439"/>
      <c r="E1925" s="454"/>
      <c r="F1925" s="455"/>
      <c r="G1925" s="455"/>
      <c r="H1925" s="455"/>
      <c r="I1925" s="455"/>
      <c r="J1925" s="455"/>
    </row>
    <row r="1926">
      <c r="A1926" s="934"/>
      <c r="B1926" s="557"/>
      <c r="C1926" s="936"/>
      <c r="D1926" s="439"/>
      <c r="E1926" s="454"/>
      <c r="F1926" s="455"/>
      <c r="G1926" s="455"/>
      <c r="H1926" s="455"/>
      <c r="I1926" s="455"/>
      <c r="J1926" s="455"/>
    </row>
    <row r="1927">
      <c r="A1927" s="934"/>
      <c r="B1927" s="557"/>
      <c r="C1927" s="936"/>
      <c r="D1927" s="439"/>
      <c r="E1927" s="454"/>
      <c r="F1927" s="455"/>
      <c r="G1927" s="455"/>
      <c r="H1927" s="455"/>
      <c r="I1927" s="455"/>
      <c r="J1927" s="455"/>
    </row>
    <row r="1928">
      <c r="A1928" s="934"/>
      <c r="B1928" s="557"/>
      <c r="C1928" s="936"/>
      <c r="D1928" s="439"/>
      <c r="E1928" s="454"/>
      <c r="F1928" s="455"/>
      <c r="G1928" s="455"/>
      <c r="H1928" s="455"/>
      <c r="I1928" s="455"/>
      <c r="J1928" s="455"/>
    </row>
    <row r="1929">
      <c r="A1929" s="934"/>
      <c r="B1929" s="557"/>
      <c r="C1929" s="936"/>
      <c r="D1929" s="439"/>
      <c r="E1929" s="454"/>
      <c r="F1929" s="455"/>
      <c r="G1929" s="455"/>
      <c r="H1929" s="455"/>
      <c r="I1929" s="455"/>
      <c r="J1929" s="455"/>
    </row>
    <row r="1930">
      <c r="A1930" s="934"/>
      <c r="B1930" s="557"/>
      <c r="C1930" s="936"/>
      <c r="D1930" s="439"/>
      <c r="E1930" s="454"/>
      <c r="F1930" s="455"/>
      <c r="G1930" s="455"/>
      <c r="H1930" s="455"/>
      <c r="I1930" s="455"/>
      <c r="J1930" s="455"/>
    </row>
    <row r="1931">
      <c r="A1931" s="934"/>
      <c r="B1931" s="557"/>
      <c r="C1931" s="936"/>
      <c r="D1931" s="439"/>
      <c r="E1931" s="454"/>
      <c r="F1931" s="455"/>
      <c r="G1931" s="455"/>
      <c r="H1931" s="455"/>
      <c r="I1931" s="455"/>
      <c r="J1931" s="455"/>
    </row>
    <row r="1932">
      <c r="A1932" s="934"/>
      <c r="B1932" s="557"/>
      <c r="C1932" s="936"/>
      <c r="D1932" s="439"/>
      <c r="E1932" s="454"/>
      <c r="F1932" s="455"/>
      <c r="G1932" s="455"/>
      <c r="H1932" s="455"/>
      <c r="I1932" s="455"/>
      <c r="J1932" s="455"/>
    </row>
    <row r="1933">
      <c r="A1933" s="934"/>
      <c r="B1933" s="557"/>
      <c r="C1933" s="936"/>
      <c r="D1933" s="439"/>
      <c r="E1933" s="454"/>
      <c r="F1933" s="455"/>
      <c r="G1933" s="455"/>
      <c r="H1933" s="455"/>
      <c r="I1933" s="455"/>
      <c r="J1933" s="455"/>
    </row>
    <row r="1934">
      <c r="A1934" s="934"/>
      <c r="B1934" s="557"/>
      <c r="C1934" s="936"/>
      <c r="D1934" s="439"/>
      <c r="E1934" s="454"/>
      <c r="F1934" s="455"/>
      <c r="G1934" s="455"/>
      <c r="H1934" s="455"/>
      <c r="I1934" s="455"/>
      <c r="J1934" s="455"/>
    </row>
    <row r="1935">
      <c r="A1935" s="934"/>
      <c r="B1935" s="557"/>
      <c r="C1935" s="936"/>
      <c r="D1935" s="439"/>
      <c r="E1935" s="454"/>
      <c r="F1935" s="455"/>
      <c r="G1935" s="455"/>
      <c r="H1935" s="455"/>
      <c r="I1935" s="455"/>
      <c r="J1935" s="455"/>
    </row>
    <row r="1936">
      <c r="A1936" s="934"/>
      <c r="B1936" s="557"/>
      <c r="C1936" s="936"/>
      <c r="D1936" s="439"/>
      <c r="E1936" s="454"/>
      <c r="F1936" s="455"/>
      <c r="G1936" s="455"/>
      <c r="H1936" s="455"/>
      <c r="I1936" s="455"/>
      <c r="J1936" s="455"/>
    </row>
    <row r="1937">
      <c r="A1937" s="934"/>
      <c r="B1937" s="557"/>
      <c r="C1937" s="936"/>
      <c r="D1937" s="439"/>
      <c r="E1937" s="454"/>
      <c r="F1937" s="455"/>
      <c r="G1937" s="455"/>
      <c r="H1937" s="455"/>
      <c r="I1937" s="455"/>
      <c r="J1937" s="455"/>
    </row>
    <row r="1938">
      <c r="A1938" s="934"/>
      <c r="B1938" s="557"/>
      <c r="C1938" s="936"/>
      <c r="D1938" s="439"/>
      <c r="E1938" s="454"/>
      <c r="F1938" s="455"/>
      <c r="G1938" s="455"/>
      <c r="H1938" s="455"/>
      <c r="I1938" s="455"/>
      <c r="J1938" s="455"/>
    </row>
    <row r="1939">
      <c r="A1939" s="934"/>
      <c r="B1939" s="557"/>
      <c r="C1939" s="936"/>
      <c r="D1939" s="439"/>
      <c r="E1939" s="454"/>
      <c r="F1939" s="455"/>
      <c r="G1939" s="455"/>
      <c r="H1939" s="455"/>
      <c r="I1939" s="455"/>
      <c r="J1939" s="455"/>
    </row>
    <row r="1940">
      <c r="A1940" s="934"/>
      <c r="B1940" s="557"/>
      <c r="C1940" s="936"/>
      <c r="D1940" s="439"/>
      <c r="E1940" s="454"/>
      <c r="F1940" s="455"/>
      <c r="G1940" s="455"/>
      <c r="H1940" s="455"/>
      <c r="I1940" s="455"/>
      <c r="J1940" s="455"/>
    </row>
    <row r="1941">
      <c r="A1941" s="934"/>
      <c r="B1941" s="557"/>
      <c r="C1941" s="936"/>
      <c r="D1941" s="439"/>
      <c r="E1941" s="454"/>
      <c r="F1941" s="455"/>
      <c r="G1941" s="455"/>
      <c r="H1941" s="455"/>
      <c r="I1941" s="455"/>
      <c r="J1941" s="455"/>
    </row>
    <row r="1942">
      <c r="A1942" s="934"/>
      <c r="B1942" s="557"/>
      <c r="C1942" s="936"/>
      <c r="D1942" s="439"/>
      <c r="E1942" s="454"/>
      <c r="F1942" s="455"/>
      <c r="G1942" s="455"/>
      <c r="H1942" s="455"/>
      <c r="I1942" s="455"/>
      <c r="J1942" s="455"/>
    </row>
    <row r="1943">
      <c r="A1943" s="934"/>
      <c r="B1943" s="557"/>
      <c r="C1943" s="936"/>
      <c r="D1943" s="439"/>
      <c r="E1943" s="454"/>
      <c r="F1943" s="455"/>
      <c r="G1943" s="455"/>
      <c r="H1943" s="455"/>
      <c r="I1943" s="455"/>
      <c r="J1943" s="455"/>
    </row>
    <row r="1944">
      <c r="A1944" s="934"/>
      <c r="B1944" s="557"/>
      <c r="C1944" s="936"/>
      <c r="D1944" s="439"/>
      <c r="E1944" s="454"/>
      <c r="F1944" s="455"/>
      <c r="G1944" s="455"/>
      <c r="H1944" s="455"/>
      <c r="I1944" s="455"/>
      <c r="J1944" s="455"/>
    </row>
    <row r="1945">
      <c r="A1945" s="934"/>
      <c r="B1945" s="557"/>
      <c r="C1945" s="936"/>
      <c r="D1945" s="439"/>
      <c r="E1945" s="454"/>
      <c r="F1945" s="455"/>
      <c r="G1945" s="455"/>
      <c r="H1945" s="455"/>
      <c r="I1945" s="455"/>
      <c r="J1945" s="455"/>
    </row>
    <row r="1946">
      <c r="A1946" s="934"/>
      <c r="B1946" s="557"/>
      <c r="C1946" s="936"/>
      <c r="D1946" s="439"/>
      <c r="E1946" s="454"/>
      <c r="F1946" s="455"/>
      <c r="G1946" s="455"/>
      <c r="H1946" s="455"/>
      <c r="I1946" s="455"/>
      <c r="J1946" s="455"/>
    </row>
    <row r="1947">
      <c r="A1947" s="934"/>
      <c r="B1947" s="557"/>
      <c r="C1947" s="936"/>
      <c r="D1947" s="439"/>
      <c r="E1947" s="454"/>
      <c r="F1947" s="455"/>
      <c r="G1947" s="455"/>
      <c r="H1947" s="455"/>
      <c r="I1947" s="455"/>
      <c r="J1947" s="455"/>
    </row>
    <row r="1948">
      <c r="A1948" s="934"/>
      <c r="B1948" s="557"/>
      <c r="C1948" s="936"/>
      <c r="D1948" s="439"/>
      <c r="E1948" s="454"/>
      <c r="F1948" s="455"/>
      <c r="G1948" s="455"/>
      <c r="H1948" s="455"/>
      <c r="I1948" s="455"/>
      <c r="J1948" s="455"/>
    </row>
    <row r="1949">
      <c r="A1949" s="934"/>
      <c r="B1949" s="557"/>
      <c r="C1949" s="936"/>
      <c r="D1949" s="439"/>
      <c r="E1949" s="454"/>
      <c r="F1949" s="455"/>
      <c r="G1949" s="455"/>
      <c r="H1949" s="455"/>
      <c r="I1949" s="455"/>
      <c r="J1949" s="455"/>
    </row>
    <row r="1950">
      <c r="A1950" s="934"/>
      <c r="B1950" s="557"/>
      <c r="C1950" s="936"/>
      <c r="D1950" s="439"/>
      <c r="E1950" s="454"/>
      <c r="F1950" s="455"/>
      <c r="G1950" s="455"/>
      <c r="H1950" s="455"/>
      <c r="I1950" s="455"/>
      <c r="J1950" s="455"/>
    </row>
    <row r="1951">
      <c r="A1951" s="934"/>
      <c r="B1951" s="557"/>
      <c r="C1951" s="936"/>
      <c r="D1951" s="439"/>
      <c r="E1951" s="454"/>
      <c r="F1951" s="455"/>
      <c r="G1951" s="455"/>
      <c r="H1951" s="455"/>
      <c r="I1951" s="455"/>
      <c r="J1951" s="455"/>
    </row>
    <row r="1952">
      <c r="A1952" s="934"/>
      <c r="B1952" s="557"/>
      <c r="C1952" s="936"/>
      <c r="D1952" s="439"/>
      <c r="E1952" s="454"/>
      <c r="F1952" s="455"/>
      <c r="G1952" s="455"/>
      <c r="H1952" s="455"/>
      <c r="I1952" s="455"/>
      <c r="J1952" s="455"/>
    </row>
    <row r="1953">
      <c r="A1953" s="934"/>
      <c r="B1953" s="557"/>
      <c r="C1953" s="936"/>
      <c r="D1953" s="439"/>
      <c r="E1953" s="454"/>
      <c r="F1953" s="455"/>
      <c r="G1953" s="455"/>
      <c r="H1953" s="455"/>
      <c r="I1953" s="455"/>
      <c r="J1953" s="455"/>
    </row>
    <row r="1954">
      <c r="A1954" s="934"/>
      <c r="B1954" s="557"/>
      <c r="C1954" s="936"/>
      <c r="D1954" s="439"/>
      <c r="E1954" s="454"/>
      <c r="F1954" s="455"/>
      <c r="G1954" s="455"/>
      <c r="H1954" s="455"/>
      <c r="I1954" s="455"/>
      <c r="J1954" s="455"/>
    </row>
    <row r="1955">
      <c r="A1955" s="934"/>
      <c r="B1955" s="557"/>
      <c r="C1955" s="936"/>
      <c r="D1955" s="439"/>
      <c r="E1955" s="454"/>
      <c r="F1955" s="455"/>
      <c r="G1955" s="455"/>
      <c r="H1955" s="455"/>
      <c r="I1955" s="455"/>
      <c r="J1955" s="455"/>
    </row>
    <row r="1956">
      <c r="A1956" s="934"/>
      <c r="B1956" s="557"/>
      <c r="C1956" s="936"/>
      <c r="D1956" s="439"/>
      <c r="E1956" s="454"/>
      <c r="F1956" s="455"/>
      <c r="G1956" s="455"/>
      <c r="H1956" s="455"/>
      <c r="I1956" s="455"/>
      <c r="J1956" s="455"/>
    </row>
    <row r="1957">
      <c r="A1957" s="934"/>
      <c r="B1957" s="557"/>
      <c r="C1957" s="936"/>
      <c r="D1957" s="439"/>
      <c r="E1957" s="454"/>
      <c r="F1957" s="455"/>
      <c r="G1957" s="455"/>
      <c r="H1957" s="455"/>
      <c r="I1957" s="455"/>
      <c r="J1957" s="455"/>
    </row>
    <row r="1958">
      <c r="A1958" s="934"/>
      <c r="B1958" s="557"/>
      <c r="C1958" s="936"/>
      <c r="D1958" s="439"/>
      <c r="E1958" s="454"/>
      <c r="F1958" s="455"/>
      <c r="G1958" s="455"/>
      <c r="H1958" s="455"/>
      <c r="I1958" s="455"/>
      <c r="J1958" s="455"/>
    </row>
    <row r="1959">
      <c r="A1959" s="934"/>
      <c r="B1959" s="557"/>
      <c r="C1959" s="936"/>
      <c r="D1959" s="439"/>
      <c r="E1959" s="454"/>
      <c r="F1959" s="455"/>
      <c r="G1959" s="455"/>
      <c r="H1959" s="455"/>
      <c r="I1959" s="455"/>
      <c r="J1959" s="455"/>
    </row>
    <row r="1960">
      <c r="A1960" s="934"/>
      <c r="B1960" s="557"/>
      <c r="C1960" s="936"/>
      <c r="D1960" s="439"/>
      <c r="E1960" s="454"/>
      <c r="F1960" s="455"/>
      <c r="G1960" s="455"/>
      <c r="H1960" s="455"/>
      <c r="I1960" s="455"/>
      <c r="J1960" s="455"/>
    </row>
    <row r="1961">
      <c r="A1961" s="934"/>
      <c r="B1961" s="557"/>
      <c r="C1961" s="936"/>
      <c r="D1961" s="439"/>
      <c r="E1961" s="454"/>
      <c r="F1961" s="455"/>
      <c r="G1961" s="455"/>
      <c r="H1961" s="455"/>
      <c r="I1961" s="455"/>
      <c r="J1961" s="455"/>
    </row>
    <row r="1962">
      <c r="A1962" s="934"/>
      <c r="B1962" s="557"/>
      <c r="C1962" s="936"/>
      <c r="D1962" s="439"/>
      <c r="E1962" s="454"/>
      <c r="F1962" s="455"/>
      <c r="G1962" s="455"/>
      <c r="H1962" s="455"/>
      <c r="I1962" s="455"/>
      <c r="J1962" s="455"/>
    </row>
    <row r="1963">
      <c r="A1963" s="934"/>
      <c r="B1963" s="557"/>
      <c r="C1963" s="936"/>
      <c r="D1963" s="439"/>
      <c r="E1963" s="454"/>
      <c r="F1963" s="455"/>
      <c r="G1963" s="455"/>
      <c r="H1963" s="455"/>
      <c r="I1963" s="455"/>
      <c r="J1963" s="455"/>
    </row>
    <row r="1964">
      <c r="A1964" s="934"/>
      <c r="B1964" s="557"/>
      <c r="C1964" s="936"/>
      <c r="D1964" s="439"/>
      <c r="E1964" s="454"/>
      <c r="F1964" s="455"/>
      <c r="G1964" s="455"/>
      <c r="H1964" s="455"/>
      <c r="I1964" s="455"/>
      <c r="J1964" s="455"/>
    </row>
    <row r="1965">
      <c r="A1965" s="934"/>
      <c r="B1965" s="557"/>
      <c r="C1965" s="936"/>
      <c r="D1965" s="439"/>
      <c r="E1965" s="454"/>
      <c r="F1965" s="455"/>
      <c r="G1965" s="455"/>
      <c r="H1965" s="455"/>
      <c r="I1965" s="455"/>
      <c r="J1965" s="455"/>
    </row>
    <row r="1966">
      <c r="A1966" s="934"/>
      <c r="B1966" s="557"/>
      <c r="C1966" s="936"/>
      <c r="D1966" s="439"/>
      <c r="E1966" s="454"/>
      <c r="F1966" s="455"/>
      <c r="G1966" s="455"/>
      <c r="H1966" s="455"/>
      <c r="I1966" s="455"/>
      <c r="J1966" s="455"/>
    </row>
    <row r="1967">
      <c r="A1967" s="934"/>
      <c r="B1967" s="557"/>
      <c r="C1967" s="936"/>
      <c r="D1967" s="439"/>
      <c r="E1967" s="454"/>
      <c r="F1967" s="455"/>
      <c r="G1967" s="455"/>
      <c r="H1967" s="455"/>
      <c r="I1967" s="455"/>
      <c r="J1967" s="455"/>
    </row>
    <row r="1968">
      <c r="A1968" s="934"/>
      <c r="B1968" s="557"/>
      <c r="C1968" s="936"/>
      <c r="D1968" s="439"/>
      <c r="E1968" s="454"/>
      <c r="F1968" s="455"/>
      <c r="G1968" s="455"/>
      <c r="H1968" s="455"/>
      <c r="I1968" s="455"/>
      <c r="J1968" s="455"/>
    </row>
    <row r="1969">
      <c r="A1969" s="934"/>
      <c r="B1969" s="557"/>
      <c r="C1969" s="936"/>
      <c r="D1969" s="439"/>
      <c r="E1969" s="454"/>
      <c r="F1969" s="455"/>
      <c r="G1969" s="455"/>
      <c r="H1969" s="455"/>
      <c r="I1969" s="455"/>
      <c r="J1969" s="455"/>
    </row>
    <row r="1970">
      <c r="A1970" s="934"/>
      <c r="B1970" s="557"/>
      <c r="C1970" s="936"/>
      <c r="D1970" s="439"/>
      <c r="E1970" s="454"/>
      <c r="F1970" s="455"/>
      <c r="G1970" s="455"/>
      <c r="H1970" s="455"/>
      <c r="I1970" s="455"/>
      <c r="J1970" s="455"/>
    </row>
    <row r="1971">
      <c r="A1971" s="934"/>
      <c r="B1971" s="557"/>
      <c r="C1971" s="936"/>
      <c r="D1971" s="439"/>
      <c r="E1971" s="454"/>
      <c r="F1971" s="455"/>
      <c r="G1971" s="455"/>
      <c r="H1971" s="455"/>
      <c r="I1971" s="455"/>
      <c r="J1971" s="455"/>
    </row>
    <row r="1972">
      <c r="A1972" s="934"/>
      <c r="B1972" s="557"/>
      <c r="C1972" s="936"/>
      <c r="D1972" s="439"/>
      <c r="E1972" s="454"/>
      <c r="F1972" s="455"/>
      <c r="G1972" s="455"/>
      <c r="H1972" s="455"/>
      <c r="I1972" s="455"/>
      <c r="J1972" s="455"/>
    </row>
    <row r="1973">
      <c r="A1973" s="934"/>
      <c r="B1973" s="557"/>
      <c r="C1973" s="936"/>
      <c r="D1973" s="439"/>
      <c r="E1973" s="454"/>
      <c r="F1973" s="455"/>
      <c r="G1973" s="455"/>
      <c r="H1973" s="455"/>
      <c r="I1973" s="455"/>
      <c r="J1973" s="455"/>
    </row>
    <row r="1974">
      <c r="A1974" s="934"/>
      <c r="B1974" s="557"/>
      <c r="C1974" s="936"/>
      <c r="D1974" s="439"/>
      <c r="E1974" s="454"/>
      <c r="F1974" s="455"/>
      <c r="G1974" s="455"/>
      <c r="H1974" s="455"/>
      <c r="I1974" s="455"/>
      <c r="J1974" s="455"/>
    </row>
    <row r="1975">
      <c r="A1975" s="934"/>
      <c r="B1975" s="557"/>
      <c r="C1975" s="936"/>
      <c r="D1975" s="439"/>
      <c r="E1975" s="454"/>
      <c r="F1975" s="455"/>
      <c r="G1975" s="455"/>
      <c r="H1975" s="455"/>
      <c r="I1975" s="455"/>
      <c r="J1975" s="455"/>
    </row>
    <row r="1976">
      <c r="A1976" s="934"/>
      <c r="B1976" s="557"/>
      <c r="C1976" s="936"/>
      <c r="D1976" s="439"/>
      <c r="E1976" s="454"/>
      <c r="F1976" s="455"/>
      <c r="G1976" s="455"/>
      <c r="H1976" s="455"/>
      <c r="I1976" s="455"/>
      <c r="J1976" s="455"/>
    </row>
    <row r="1977">
      <c r="A1977" s="934"/>
      <c r="B1977" s="557"/>
      <c r="C1977" s="936"/>
      <c r="D1977" s="439"/>
      <c r="E1977" s="454"/>
      <c r="F1977" s="455"/>
      <c r="G1977" s="455"/>
      <c r="H1977" s="455"/>
      <c r="I1977" s="455"/>
      <c r="J1977" s="455"/>
    </row>
    <row r="1978">
      <c r="A1978" s="934"/>
      <c r="B1978" s="557"/>
      <c r="C1978" s="936"/>
      <c r="D1978" s="439"/>
      <c r="E1978" s="454"/>
      <c r="F1978" s="455"/>
      <c r="G1978" s="455"/>
      <c r="H1978" s="455"/>
      <c r="I1978" s="455"/>
      <c r="J1978" s="455"/>
    </row>
    <row r="1979">
      <c r="A1979" s="934"/>
      <c r="B1979" s="557"/>
      <c r="C1979" s="936"/>
      <c r="D1979" s="439"/>
      <c r="E1979" s="454"/>
      <c r="F1979" s="455"/>
      <c r="G1979" s="455"/>
      <c r="H1979" s="455"/>
      <c r="I1979" s="455"/>
      <c r="J1979" s="455"/>
    </row>
    <row r="1980">
      <c r="A1980" s="934"/>
      <c r="B1980" s="557"/>
      <c r="C1980" s="936"/>
      <c r="D1980" s="439"/>
      <c r="E1980" s="454"/>
      <c r="F1980" s="455"/>
      <c r="G1980" s="455"/>
      <c r="H1980" s="455"/>
      <c r="I1980" s="455"/>
      <c r="J1980" s="455"/>
    </row>
    <row r="1981">
      <c r="A1981" s="934"/>
      <c r="B1981" s="557"/>
      <c r="C1981" s="936"/>
      <c r="D1981" s="439"/>
      <c r="E1981" s="454"/>
      <c r="F1981" s="455"/>
      <c r="G1981" s="455"/>
      <c r="H1981" s="455"/>
      <c r="I1981" s="455"/>
      <c r="J1981" s="455"/>
    </row>
    <row r="1982">
      <c r="A1982" s="934"/>
      <c r="B1982" s="557"/>
      <c r="C1982" s="936"/>
      <c r="D1982" s="439"/>
      <c r="E1982" s="454"/>
      <c r="F1982" s="455"/>
      <c r="G1982" s="455"/>
      <c r="H1982" s="455"/>
      <c r="I1982" s="455"/>
      <c r="J1982" s="455"/>
    </row>
    <row r="1983">
      <c r="A1983" s="934"/>
      <c r="B1983" s="557"/>
      <c r="C1983" s="936"/>
      <c r="D1983" s="439"/>
      <c r="E1983" s="454"/>
      <c r="F1983" s="455"/>
      <c r="G1983" s="455"/>
      <c r="H1983" s="455"/>
      <c r="I1983" s="455"/>
      <c r="J1983" s="455"/>
    </row>
    <row r="1984">
      <c r="A1984" s="934"/>
      <c r="B1984" s="557"/>
      <c r="C1984" s="936"/>
      <c r="D1984" s="439"/>
      <c r="E1984" s="454"/>
      <c r="F1984" s="455"/>
      <c r="G1984" s="455"/>
      <c r="H1984" s="455"/>
      <c r="I1984" s="455"/>
      <c r="J1984" s="455"/>
    </row>
    <row r="1985">
      <c r="A1985" s="934"/>
      <c r="B1985" s="557"/>
      <c r="C1985" s="936"/>
      <c r="D1985" s="439"/>
      <c r="E1985" s="454"/>
      <c r="F1985" s="455"/>
      <c r="G1985" s="455"/>
      <c r="H1985" s="455"/>
      <c r="I1985" s="455"/>
      <c r="J1985" s="455"/>
    </row>
    <row r="1986">
      <c r="A1986" s="934"/>
      <c r="B1986" s="557"/>
      <c r="C1986" s="936"/>
      <c r="D1986" s="439"/>
      <c r="E1986" s="454"/>
      <c r="F1986" s="455"/>
      <c r="G1986" s="455"/>
      <c r="H1986" s="455"/>
      <c r="I1986" s="455"/>
      <c r="J1986" s="455"/>
    </row>
    <row r="1987">
      <c r="A1987" s="934"/>
      <c r="B1987" s="557"/>
      <c r="C1987" s="936"/>
      <c r="D1987" s="439"/>
      <c r="E1987" s="454"/>
      <c r="F1987" s="455"/>
      <c r="G1987" s="455"/>
      <c r="H1987" s="455"/>
      <c r="I1987" s="455"/>
      <c r="J1987" s="455"/>
    </row>
    <row r="1988">
      <c r="A1988" s="934"/>
      <c r="B1988" s="557"/>
      <c r="C1988" s="936"/>
      <c r="D1988" s="439"/>
      <c r="E1988" s="454"/>
      <c r="F1988" s="455"/>
      <c r="G1988" s="455"/>
      <c r="H1988" s="455"/>
      <c r="I1988" s="455"/>
      <c r="J1988" s="455"/>
    </row>
    <row r="1989">
      <c r="A1989" s="934"/>
      <c r="B1989" s="557"/>
      <c r="C1989" s="936"/>
      <c r="D1989" s="439"/>
      <c r="E1989" s="454"/>
      <c r="F1989" s="455"/>
      <c r="G1989" s="455"/>
      <c r="H1989" s="455"/>
      <c r="I1989" s="455"/>
      <c r="J1989" s="455"/>
    </row>
    <row r="1990">
      <c r="A1990" s="934"/>
      <c r="B1990" s="557"/>
      <c r="C1990" s="936"/>
      <c r="D1990" s="439"/>
      <c r="E1990" s="454"/>
      <c r="F1990" s="455"/>
      <c r="G1990" s="455"/>
      <c r="H1990" s="455"/>
      <c r="I1990" s="455"/>
      <c r="J1990" s="455"/>
    </row>
    <row r="1991">
      <c r="A1991" s="934"/>
      <c r="B1991" s="557"/>
      <c r="C1991" s="936"/>
      <c r="D1991" s="439"/>
      <c r="E1991" s="454"/>
      <c r="F1991" s="455"/>
      <c r="G1991" s="455"/>
      <c r="H1991" s="455"/>
      <c r="I1991" s="455"/>
      <c r="J1991" s="455"/>
    </row>
    <row r="1992">
      <c r="A1992" s="934"/>
      <c r="B1992" s="557"/>
      <c r="C1992" s="936"/>
      <c r="D1992" s="439"/>
      <c r="E1992" s="454"/>
      <c r="F1992" s="455"/>
      <c r="G1992" s="455"/>
      <c r="H1992" s="455"/>
      <c r="I1992" s="455"/>
      <c r="J1992" s="455"/>
    </row>
    <row r="1993">
      <c r="A1993" s="934"/>
      <c r="B1993" s="557"/>
      <c r="C1993" s="936"/>
      <c r="D1993" s="439"/>
      <c r="E1993" s="454"/>
      <c r="F1993" s="455"/>
      <c r="G1993" s="455"/>
      <c r="H1993" s="455"/>
      <c r="I1993" s="455"/>
      <c r="J1993" s="455"/>
    </row>
    <row r="1994">
      <c r="A1994" s="934"/>
      <c r="B1994" s="557"/>
      <c r="C1994" s="936"/>
      <c r="D1994" s="439"/>
      <c r="E1994" s="454"/>
      <c r="F1994" s="455"/>
      <c r="G1994" s="455"/>
      <c r="H1994" s="455"/>
      <c r="I1994" s="455"/>
      <c r="J1994" s="455"/>
    </row>
    <row r="1995">
      <c r="A1995" s="934"/>
      <c r="B1995" s="557"/>
      <c r="C1995" s="936"/>
      <c r="D1995" s="439"/>
      <c r="E1995" s="454"/>
      <c r="F1995" s="455"/>
      <c r="G1995" s="455"/>
      <c r="H1995" s="455"/>
      <c r="I1995" s="455"/>
      <c r="J1995" s="455"/>
    </row>
    <row r="1996">
      <c r="A1996" s="934"/>
      <c r="B1996" s="557"/>
      <c r="C1996" s="936"/>
      <c r="D1996" s="439"/>
      <c r="E1996" s="454"/>
      <c r="F1996" s="455"/>
      <c r="G1996" s="455"/>
      <c r="H1996" s="455"/>
      <c r="I1996" s="455"/>
      <c r="J1996" s="455"/>
    </row>
    <row r="1997">
      <c r="A1997" s="934"/>
      <c r="B1997" s="557"/>
      <c r="C1997" s="936"/>
      <c r="D1997" s="439"/>
      <c r="E1997" s="454"/>
      <c r="F1997" s="455"/>
      <c r="G1997" s="455"/>
      <c r="H1997" s="455"/>
      <c r="I1997" s="455"/>
      <c r="J1997" s="455"/>
    </row>
    <row r="1998">
      <c r="A1998" s="934"/>
      <c r="B1998" s="557"/>
      <c r="C1998" s="936"/>
      <c r="D1998" s="439"/>
      <c r="E1998" s="454"/>
      <c r="F1998" s="455"/>
      <c r="G1998" s="455"/>
      <c r="H1998" s="455"/>
      <c r="I1998" s="455"/>
      <c r="J1998" s="455"/>
    </row>
    <row r="1999">
      <c r="A1999" s="934"/>
      <c r="B1999" s="557"/>
      <c r="C1999" s="936"/>
      <c r="D1999" s="439"/>
      <c r="E1999" s="454"/>
      <c r="F1999" s="455"/>
      <c r="G1999" s="455"/>
      <c r="H1999" s="455"/>
      <c r="I1999" s="455"/>
      <c r="J1999" s="455"/>
    </row>
    <row r="2000">
      <c r="A2000" s="934"/>
      <c r="B2000" s="557"/>
      <c r="C2000" s="936"/>
      <c r="D2000" s="439"/>
      <c r="E2000" s="454"/>
      <c r="F2000" s="455"/>
      <c r="G2000" s="455"/>
      <c r="H2000" s="455"/>
      <c r="I2000" s="455"/>
      <c r="J2000" s="455"/>
    </row>
    <row r="2001">
      <c r="A2001" s="934"/>
      <c r="B2001" s="557"/>
      <c r="C2001" s="936"/>
      <c r="D2001" s="439"/>
      <c r="E2001" s="454"/>
      <c r="F2001" s="455"/>
      <c r="G2001" s="455"/>
      <c r="H2001" s="455"/>
      <c r="I2001" s="455"/>
      <c r="J2001" s="455"/>
    </row>
    <row r="2002">
      <c r="A2002" s="934"/>
      <c r="B2002" s="557"/>
      <c r="C2002" s="936"/>
      <c r="D2002" s="439"/>
      <c r="E2002" s="454"/>
      <c r="F2002" s="455"/>
      <c r="G2002" s="455"/>
      <c r="H2002" s="455"/>
      <c r="I2002" s="455"/>
      <c r="J2002" s="455"/>
    </row>
    <row r="2003">
      <c r="A2003" s="934"/>
      <c r="B2003" s="557"/>
      <c r="C2003" s="936"/>
      <c r="D2003" s="439"/>
      <c r="E2003" s="454"/>
      <c r="F2003" s="455"/>
      <c r="G2003" s="455"/>
      <c r="H2003" s="455"/>
      <c r="I2003" s="455"/>
      <c r="J2003" s="455"/>
    </row>
    <row r="2004">
      <c r="A2004" s="934"/>
      <c r="B2004" s="557"/>
      <c r="C2004" s="936"/>
      <c r="D2004" s="439"/>
      <c r="E2004" s="454"/>
      <c r="F2004" s="455"/>
      <c r="G2004" s="455"/>
      <c r="H2004" s="455"/>
      <c r="I2004" s="455"/>
      <c r="J2004" s="455"/>
    </row>
    <row r="2005">
      <c r="A2005" s="934"/>
      <c r="B2005" s="557"/>
      <c r="C2005" s="936"/>
      <c r="D2005" s="439"/>
      <c r="E2005" s="454"/>
      <c r="F2005" s="455"/>
      <c r="G2005" s="455"/>
      <c r="H2005" s="455"/>
      <c r="I2005" s="455"/>
      <c r="J2005" s="455"/>
    </row>
    <row r="2006">
      <c r="A2006" s="934"/>
      <c r="B2006" s="557"/>
      <c r="C2006" s="936"/>
      <c r="D2006" s="439"/>
      <c r="E2006" s="454"/>
      <c r="F2006" s="455"/>
      <c r="G2006" s="455"/>
      <c r="H2006" s="455"/>
      <c r="I2006" s="455"/>
      <c r="J2006" s="455"/>
    </row>
    <row r="2007">
      <c r="A2007" s="934"/>
      <c r="B2007" s="557"/>
      <c r="C2007" s="936"/>
      <c r="D2007" s="439"/>
      <c r="E2007" s="454"/>
      <c r="F2007" s="455"/>
      <c r="G2007" s="455"/>
      <c r="H2007" s="455"/>
      <c r="I2007" s="455"/>
      <c r="J2007" s="455"/>
    </row>
    <row r="2008">
      <c r="A2008" s="934"/>
      <c r="B2008" s="557"/>
      <c r="C2008" s="936"/>
      <c r="D2008" s="439"/>
      <c r="E2008" s="454"/>
      <c r="F2008" s="455"/>
      <c r="G2008" s="455"/>
      <c r="H2008" s="455"/>
      <c r="I2008" s="455"/>
      <c r="J2008" s="455"/>
    </row>
    <row r="2009">
      <c r="A2009" s="934"/>
      <c r="B2009" s="557"/>
      <c r="C2009" s="936"/>
      <c r="D2009" s="439"/>
      <c r="E2009" s="454"/>
      <c r="F2009" s="455"/>
      <c r="G2009" s="455"/>
      <c r="H2009" s="455"/>
      <c r="I2009" s="455"/>
      <c r="J2009" s="455"/>
    </row>
    <row r="2010">
      <c r="A2010" s="934"/>
      <c r="B2010" s="557"/>
      <c r="C2010" s="936"/>
      <c r="D2010" s="439"/>
      <c r="E2010" s="454"/>
      <c r="F2010" s="455"/>
      <c r="G2010" s="455"/>
      <c r="H2010" s="455"/>
      <c r="I2010" s="455"/>
      <c r="J2010" s="455"/>
    </row>
    <row r="2011">
      <c r="A2011" s="934"/>
      <c r="B2011" s="557"/>
      <c r="C2011" s="936"/>
      <c r="D2011" s="439"/>
      <c r="E2011" s="454"/>
      <c r="F2011" s="455"/>
      <c r="G2011" s="455"/>
      <c r="H2011" s="455"/>
      <c r="I2011" s="455"/>
      <c r="J2011" s="455"/>
    </row>
    <row r="2012">
      <c r="A2012" s="934"/>
      <c r="B2012" s="557"/>
      <c r="C2012" s="936"/>
      <c r="D2012" s="439"/>
      <c r="E2012" s="454"/>
      <c r="F2012" s="455"/>
      <c r="G2012" s="455"/>
      <c r="H2012" s="455"/>
      <c r="I2012" s="455"/>
      <c r="J2012" s="455"/>
    </row>
    <row r="2013">
      <c r="A2013" s="934"/>
      <c r="B2013" s="557"/>
      <c r="C2013" s="936"/>
      <c r="D2013" s="439"/>
      <c r="E2013" s="454"/>
      <c r="F2013" s="455"/>
      <c r="G2013" s="455"/>
      <c r="H2013" s="455"/>
      <c r="I2013" s="455"/>
      <c r="J2013" s="455"/>
    </row>
    <row r="2014">
      <c r="A2014" s="934"/>
      <c r="B2014" s="557"/>
      <c r="C2014" s="936"/>
      <c r="D2014" s="439"/>
      <c r="E2014" s="454"/>
      <c r="F2014" s="455"/>
      <c r="G2014" s="455"/>
      <c r="H2014" s="455"/>
      <c r="I2014" s="455"/>
      <c r="J2014" s="455"/>
    </row>
    <row r="2015">
      <c r="A2015" s="934"/>
      <c r="B2015" s="557"/>
      <c r="C2015" s="936"/>
      <c r="D2015" s="439"/>
      <c r="E2015" s="454"/>
      <c r="F2015" s="455"/>
      <c r="G2015" s="455"/>
      <c r="H2015" s="455"/>
      <c r="I2015" s="455"/>
      <c r="J2015" s="455"/>
    </row>
    <row r="2016">
      <c r="A2016" s="934"/>
      <c r="B2016" s="557"/>
      <c r="C2016" s="936"/>
      <c r="D2016" s="439"/>
      <c r="E2016" s="454"/>
      <c r="F2016" s="455"/>
      <c r="G2016" s="455"/>
      <c r="H2016" s="455"/>
      <c r="I2016" s="455"/>
      <c r="J2016" s="455"/>
    </row>
    <row r="2017">
      <c r="A2017" s="934"/>
      <c r="B2017" s="557"/>
      <c r="C2017" s="936"/>
      <c r="D2017" s="439"/>
      <c r="E2017" s="454"/>
      <c r="F2017" s="455"/>
      <c r="G2017" s="455"/>
      <c r="H2017" s="455"/>
      <c r="I2017" s="455"/>
      <c r="J2017" s="455"/>
    </row>
    <row r="2018">
      <c r="A2018" s="934"/>
      <c r="B2018" s="557"/>
      <c r="C2018" s="936"/>
      <c r="D2018" s="439"/>
      <c r="E2018" s="454"/>
      <c r="F2018" s="455"/>
      <c r="G2018" s="455"/>
      <c r="H2018" s="455"/>
      <c r="I2018" s="455"/>
      <c r="J2018" s="455"/>
    </row>
    <row r="2019">
      <c r="A2019" s="934"/>
      <c r="B2019" s="557"/>
      <c r="C2019" s="936"/>
      <c r="D2019" s="439"/>
      <c r="E2019" s="454"/>
      <c r="F2019" s="455"/>
      <c r="G2019" s="455"/>
      <c r="H2019" s="455"/>
      <c r="I2019" s="455"/>
      <c r="J2019" s="455"/>
    </row>
    <row r="2020">
      <c r="A2020" s="934"/>
      <c r="B2020" s="557"/>
      <c r="C2020" s="936"/>
      <c r="D2020" s="439"/>
      <c r="E2020" s="454"/>
      <c r="F2020" s="455"/>
      <c r="G2020" s="455"/>
      <c r="H2020" s="455"/>
      <c r="I2020" s="455"/>
      <c r="J2020" s="455"/>
    </row>
    <row r="2021">
      <c r="A2021" s="934"/>
      <c r="B2021" s="557"/>
      <c r="C2021" s="936"/>
      <c r="D2021" s="439"/>
      <c r="E2021" s="454"/>
      <c r="F2021" s="455"/>
      <c r="G2021" s="455"/>
      <c r="H2021" s="455"/>
      <c r="I2021" s="455"/>
      <c r="J2021" s="455"/>
    </row>
    <row r="2022">
      <c r="A2022" s="934"/>
      <c r="B2022" s="557"/>
      <c r="C2022" s="936"/>
      <c r="D2022" s="439"/>
      <c r="E2022" s="454"/>
      <c r="F2022" s="455"/>
      <c r="G2022" s="455"/>
      <c r="H2022" s="455"/>
      <c r="I2022" s="455"/>
      <c r="J2022" s="455"/>
    </row>
    <row r="2023">
      <c r="A2023" s="934"/>
      <c r="B2023" s="557"/>
      <c r="C2023" s="936"/>
      <c r="D2023" s="439"/>
      <c r="E2023" s="454"/>
      <c r="F2023" s="455"/>
      <c r="G2023" s="455"/>
      <c r="H2023" s="455"/>
      <c r="I2023" s="455"/>
      <c r="J2023" s="455"/>
    </row>
    <row r="2024">
      <c r="A2024" s="934"/>
      <c r="B2024" s="557"/>
      <c r="C2024" s="936"/>
      <c r="D2024" s="439"/>
      <c r="E2024" s="454"/>
      <c r="F2024" s="455"/>
      <c r="G2024" s="455"/>
      <c r="H2024" s="455"/>
      <c r="I2024" s="455"/>
      <c r="J2024" s="455"/>
    </row>
    <row r="2025">
      <c r="A2025" s="934"/>
      <c r="B2025" s="557"/>
      <c r="C2025" s="936"/>
      <c r="D2025" s="439"/>
      <c r="E2025" s="454"/>
      <c r="F2025" s="455"/>
      <c r="G2025" s="455"/>
      <c r="H2025" s="455"/>
      <c r="I2025" s="455"/>
      <c r="J2025" s="455"/>
    </row>
    <row r="2026">
      <c r="A2026" s="934"/>
      <c r="B2026" s="557"/>
      <c r="C2026" s="936"/>
      <c r="D2026" s="439"/>
      <c r="E2026" s="454"/>
      <c r="F2026" s="455"/>
      <c r="G2026" s="455"/>
      <c r="H2026" s="455"/>
      <c r="I2026" s="455"/>
      <c r="J2026" s="455"/>
    </row>
    <row r="2027">
      <c r="A2027" s="934"/>
      <c r="B2027" s="557"/>
      <c r="C2027" s="936"/>
      <c r="D2027" s="439"/>
      <c r="E2027" s="454"/>
      <c r="F2027" s="455"/>
      <c r="G2027" s="455"/>
      <c r="H2027" s="455"/>
      <c r="I2027" s="455"/>
      <c r="J2027" s="455"/>
    </row>
    <row r="2028">
      <c r="A2028" s="934"/>
      <c r="B2028" s="557"/>
      <c r="C2028" s="936"/>
      <c r="D2028" s="439"/>
      <c r="E2028" s="454"/>
      <c r="F2028" s="455"/>
      <c r="G2028" s="455"/>
      <c r="H2028" s="455"/>
      <c r="I2028" s="455"/>
      <c r="J2028" s="455"/>
    </row>
    <row r="2029">
      <c r="A2029" s="934"/>
      <c r="B2029" s="557"/>
      <c r="C2029" s="936"/>
      <c r="D2029" s="439"/>
      <c r="E2029" s="454"/>
      <c r="F2029" s="455"/>
      <c r="G2029" s="455"/>
      <c r="H2029" s="455"/>
      <c r="I2029" s="455"/>
      <c r="J2029" s="455"/>
    </row>
    <row r="2030">
      <c r="A2030" s="934"/>
      <c r="B2030" s="557"/>
      <c r="C2030" s="936"/>
      <c r="D2030" s="439"/>
      <c r="E2030" s="454"/>
      <c r="F2030" s="455"/>
      <c r="G2030" s="455"/>
      <c r="H2030" s="455"/>
      <c r="I2030" s="455"/>
      <c r="J2030" s="455"/>
    </row>
    <row r="2031">
      <c r="A2031" s="934"/>
      <c r="B2031" s="557"/>
      <c r="C2031" s="936"/>
      <c r="D2031" s="439"/>
      <c r="E2031" s="454"/>
      <c r="F2031" s="455"/>
      <c r="G2031" s="455"/>
      <c r="H2031" s="455"/>
      <c r="I2031" s="455"/>
      <c r="J2031" s="455"/>
    </row>
    <row r="2032">
      <c r="A2032" s="934"/>
      <c r="B2032" s="557"/>
      <c r="C2032" s="936"/>
      <c r="D2032" s="439"/>
      <c r="E2032" s="454"/>
      <c r="F2032" s="455"/>
      <c r="G2032" s="455"/>
      <c r="H2032" s="455"/>
      <c r="I2032" s="455"/>
      <c r="J2032" s="455"/>
    </row>
    <row r="2033">
      <c r="A2033" s="934"/>
      <c r="B2033" s="557"/>
      <c r="C2033" s="936"/>
      <c r="D2033" s="439"/>
      <c r="E2033" s="454"/>
      <c r="F2033" s="455"/>
      <c r="G2033" s="455"/>
      <c r="H2033" s="455"/>
      <c r="I2033" s="455"/>
      <c r="J2033" s="455"/>
    </row>
    <row r="2034">
      <c r="A2034" s="934"/>
      <c r="B2034" s="557"/>
      <c r="C2034" s="936"/>
      <c r="D2034" s="439"/>
      <c r="E2034" s="454"/>
      <c r="F2034" s="455"/>
      <c r="G2034" s="455"/>
      <c r="H2034" s="455"/>
      <c r="I2034" s="455"/>
      <c r="J2034" s="455"/>
    </row>
    <row r="2035">
      <c r="A2035" s="934"/>
      <c r="B2035" s="557"/>
      <c r="C2035" s="936"/>
      <c r="D2035" s="439"/>
      <c r="E2035" s="454"/>
      <c r="F2035" s="455"/>
      <c r="G2035" s="455"/>
      <c r="H2035" s="455"/>
      <c r="I2035" s="455"/>
      <c r="J2035" s="455"/>
    </row>
    <row r="2036">
      <c r="A2036" s="934"/>
      <c r="B2036" s="557"/>
      <c r="C2036" s="936"/>
      <c r="D2036" s="439"/>
      <c r="E2036" s="454"/>
      <c r="F2036" s="455"/>
      <c r="G2036" s="455"/>
      <c r="H2036" s="455"/>
      <c r="I2036" s="455"/>
      <c r="J2036" s="455"/>
    </row>
    <row r="2037">
      <c r="A2037" s="934"/>
      <c r="B2037" s="557"/>
      <c r="C2037" s="936"/>
      <c r="D2037" s="439"/>
      <c r="E2037" s="454"/>
      <c r="F2037" s="455"/>
      <c r="G2037" s="455"/>
      <c r="H2037" s="455"/>
      <c r="I2037" s="455"/>
      <c r="J2037" s="455"/>
    </row>
    <row r="2038">
      <c r="A2038" s="934"/>
      <c r="B2038" s="557"/>
      <c r="C2038" s="936"/>
      <c r="D2038" s="439"/>
      <c r="E2038" s="454"/>
      <c r="F2038" s="455"/>
      <c r="G2038" s="455"/>
      <c r="H2038" s="455"/>
      <c r="I2038" s="455"/>
      <c r="J2038" s="455"/>
    </row>
    <row r="2039">
      <c r="A2039" s="934"/>
      <c r="B2039" s="557"/>
      <c r="C2039" s="936"/>
      <c r="D2039" s="439"/>
      <c r="E2039" s="454"/>
      <c r="F2039" s="455"/>
      <c r="G2039" s="455"/>
      <c r="H2039" s="455"/>
      <c r="I2039" s="455"/>
      <c r="J2039" s="455"/>
    </row>
    <row r="2040">
      <c r="A2040" s="934"/>
      <c r="B2040" s="557"/>
      <c r="C2040" s="936"/>
      <c r="D2040" s="439"/>
      <c r="E2040" s="454"/>
      <c r="F2040" s="455"/>
      <c r="G2040" s="455"/>
      <c r="H2040" s="455"/>
      <c r="I2040" s="455"/>
      <c r="J2040" s="455"/>
    </row>
    <row r="2041">
      <c r="A2041" s="934"/>
      <c r="B2041" s="557"/>
      <c r="C2041" s="936"/>
      <c r="D2041" s="439"/>
      <c r="E2041" s="454"/>
      <c r="F2041" s="455"/>
      <c r="G2041" s="455"/>
      <c r="H2041" s="455"/>
      <c r="I2041" s="455"/>
      <c r="J2041" s="455"/>
    </row>
    <row r="2042">
      <c r="A2042" s="934"/>
      <c r="B2042" s="557"/>
      <c r="C2042" s="936"/>
      <c r="D2042" s="439"/>
      <c r="E2042" s="454"/>
      <c r="F2042" s="455"/>
      <c r="G2042" s="455"/>
      <c r="H2042" s="455"/>
      <c r="I2042" s="455"/>
      <c r="J2042" s="455"/>
    </row>
    <row r="2043">
      <c r="A2043" s="934"/>
      <c r="B2043" s="557"/>
      <c r="C2043" s="936"/>
      <c r="D2043" s="439"/>
      <c r="E2043" s="454"/>
      <c r="F2043" s="455"/>
      <c r="G2043" s="455"/>
      <c r="H2043" s="455"/>
      <c r="I2043" s="455"/>
      <c r="J2043" s="455"/>
    </row>
    <row r="2044">
      <c r="A2044" s="934"/>
      <c r="B2044" s="557"/>
      <c r="C2044" s="936"/>
      <c r="D2044" s="439"/>
      <c r="E2044" s="454"/>
      <c r="F2044" s="455"/>
      <c r="G2044" s="455"/>
      <c r="H2044" s="455"/>
      <c r="I2044" s="455"/>
      <c r="J2044" s="455"/>
    </row>
    <row r="2045">
      <c r="A2045" s="934"/>
      <c r="B2045" s="557"/>
      <c r="C2045" s="936"/>
      <c r="D2045" s="439"/>
      <c r="E2045" s="454"/>
      <c r="F2045" s="455"/>
      <c r="G2045" s="455"/>
      <c r="H2045" s="455"/>
      <c r="I2045" s="455"/>
      <c r="J2045" s="455"/>
    </row>
    <row r="2046">
      <c r="A2046" s="934"/>
      <c r="B2046" s="557"/>
      <c r="C2046" s="936"/>
      <c r="D2046" s="439"/>
      <c r="E2046" s="454"/>
      <c r="F2046" s="455"/>
      <c r="G2046" s="455"/>
      <c r="H2046" s="455"/>
      <c r="I2046" s="455"/>
      <c r="J2046" s="455"/>
    </row>
    <row r="2047">
      <c r="A2047" s="934"/>
      <c r="B2047" s="557"/>
      <c r="C2047" s="936"/>
      <c r="D2047" s="439"/>
      <c r="E2047" s="454"/>
      <c r="F2047" s="455"/>
      <c r="G2047" s="455"/>
      <c r="H2047" s="455"/>
      <c r="I2047" s="455"/>
      <c r="J2047" s="455"/>
    </row>
    <row r="2048">
      <c r="A2048" s="934"/>
      <c r="B2048" s="557"/>
      <c r="C2048" s="936"/>
      <c r="D2048" s="439"/>
      <c r="E2048" s="454"/>
      <c r="F2048" s="455"/>
      <c r="G2048" s="455"/>
      <c r="H2048" s="455"/>
      <c r="I2048" s="455"/>
      <c r="J2048" s="455"/>
    </row>
    <row r="2049">
      <c r="A2049" s="934"/>
      <c r="B2049" s="557"/>
      <c r="C2049" s="936"/>
      <c r="D2049" s="439"/>
      <c r="E2049" s="454"/>
      <c r="F2049" s="455"/>
      <c r="G2049" s="455"/>
      <c r="H2049" s="455"/>
      <c r="I2049" s="455"/>
      <c r="J2049" s="455"/>
    </row>
    <row r="2050">
      <c r="A2050" s="934"/>
      <c r="B2050" s="557"/>
      <c r="C2050" s="936"/>
      <c r="D2050" s="439"/>
      <c r="E2050" s="454"/>
      <c r="F2050" s="455"/>
      <c r="G2050" s="455"/>
      <c r="H2050" s="455"/>
      <c r="I2050" s="455"/>
      <c r="J2050" s="455"/>
    </row>
    <row r="2051">
      <c r="A2051" s="934"/>
      <c r="B2051" s="557"/>
      <c r="C2051" s="936"/>
      <c r="D2051" s="439"/>
      <c r="E2051" s="454"/>
      <c r="F2051" s="455"/>
      <c r="G2051" s="455"/>
      <c r="H2051" s="455"/>
      <c r="I2051" s="455"/>
      <c r="J2051" s="455"/>
    </row>
    <row r="2052">
      <c r="A2052" s="934"/>
      <c r="B2052" s="557"/>
      <c r="C2052" s="936"/>
      <c r="D2052" s="439"/>
      <c r="E2052" s="454"/>
      <c r="F2052" s="455"/>
      <c r="G2052" s="455"/>
      <c r="H2052" s="455"/>
      <c r="I2052" s="455"/>
      <c r="J2052" s="455"/>
    </row>
    <row r="2053">
      <c r="A2053" s="934"/>
      <c r="B2053" s="557"/>
      <c r="C2053" s="936"/>
      <c r="D2053" s="439"/>
      <c r="E2053" s="454"/>
      <c r="F2053" s="455"/>
      <c r="G2053" s="455"/>
      <c r="H2053" s="455"/>
      <c r="I2053" s="455"/>
      <c r="J2053" s="455"/>
    </row>
    <row r="2054">
      <c r="A2054" s="934"/>
      <c r="B2054" s="557"/>
      <c r="C2054" s="936"/>
      <c r="D2054" s="439"/>
      <c r="E2054" s="454"/>
      <c r="F2054" s="455"/>
      <c r="G2054" s="455"/>
      <c r="H2054" s="455"/>
      <c r="I2054" s="455"/>
      <c r="J2054" s="455"/>
    </row>
    <row r="2055">
      <c r="A2055" s="934"/>
      <c r="B2055" s="557"/>
      <c r="C2055" s="936"/>
      <c r="D2055" s="439"/>
      <c r="E2055" s="454"/>
      <c r="F2055" s="455"/>
      <c r="G2055" s="455"/>
      <c r="H2055" s="455"/>
      <c r="I2055" s="455"/>
      <c r="J2055" s="455"/>
    </row>
    <row r="2056">
      <c r="A2056" s="934"/>
      <c r="B2056" s="557"/>
      <c r="C2056" s="936"/>
      <c r="D2056" s="439"/>
      <c r="E2056" s="454"/>
      <c r="F2056" s="455"/>
      <c r="G2056" s="455"/>
      <c r="H2056" s="455"/>
      <c r="I2056" s="455"/>
      <c r="J2056" s="455"/>
    </row>
    <row r="2057">
      <c r="A2057" s="934"/>
      <c r="B2057" s="557"/>
      <c r="C2057" s="936"/>
      <c r="D2057" s="439"/>
      <c r="E2057" s="454"/>
      <c r="F2057" s="455"/>
      <c r="G2057" s="455"/>
      <c r="H2057" s="455"/>
      <c r="I2057" s="455"/>
      <c r="J2057" s="455"/>
    </row>
    <row r="2058">
      <c r="A2058" s="934"/>
      <c r="B2058" s="557"/>
      <c r="C2058" s="936"/>
      <c r="D2058" s="439"/>
      <c r="E2058" s="454"/>
      <c r="F2058" s="455"/>
      <c r="G2058" s="455"/>
      <c r="H2058" s="455"/>
      <c r="I2058" s="455"/>
      <c r="J2058" s="455"/>
    </row>
    <row r="2059">
      <c r="A2059" s="934"/>
      <c r="B2059" s="557"/>
      <c r="C2059" s="936"/>
      <c r="D2059" s="439"/>
      <c r="E2059" s="454"/>
      <c r="F2059" s="455"/>
      <c r="G2059" s="455"/>
      <c r="H2059" s="455"/>
      <c r="I2059" s="455"/>
      <c r="J2059" s="455"/>
    </row>
    <row r="2060">
      <c r="A2060" s="934"/>
      <c r="B2060" s="557"/>
      <c r="C2060" s="936"/>
      <c r="D2060" s="439"/>
      <c r="E2060" s="454"/>
      <c r="F2060" s="455"/>
      <c r="G2060" s="455"/>
      <c r="H2060" s="455"/>
      <c r="I2060" s="455"/>
      <c r="J2060" s="455"/>
    </row>
    <row r="2061">
      <c r="A2061" s="934"/>
      <c r="B2061" s="557"/>
      <c r="C2061" s="936"/>
      <c r="D2061" s="439"/>
      <c r="E2061" s="454"/>
      <c r="F2061" s="455"/>
      <c r="G2061" s="455"/>
      <c r="H2061" s="455"/>
      <c r="I2061" s="455"/>
      <c r="J2061" s="455"/>
    </row>
    <row r="2062">
      <c r="A2062" s="934"/>
      <c r="B2062" s="557"/>
      <c r="C2062" s="936"/>
      <c r="D2062" s="439"/>
      <c r="E2062" s="454"/>
      <c r="F2062" s="455"/>
      <c r="G2062" s="455"/>
      <c r="H2062" s="455"/>
      <c r="I2062" s="455"/>
      <c r="J2062" s="455"/>
    </row>
    <row r="2063">
      <c r="A2063" s="934"/>
      <c r="B2063" s="557"/>
      <c r="C2063" s="936"/>
      <c r="D2063" s="439"/>
      <c r="E2063" s="454"/>
      <c r="F2063" s="455"/>
      <c r="G2063" s="455"/>
      <c r="H2063" s="455"/>
      <c r="I2063" s="455"/>
      <c r="J2063" s="455"/>
    </row>
    <row r="2064">
      <c r="A2064" s="934"/>
      <c r="B2064" s="557"/>
      <c r="C2064" s="936"/>
      <c r="D2064" s="439"/>
      <c r="E2064" s="454"/>
      <c r="F2064" s="455"/>
      <c r="G2064" s="455"/>
      <c r="H2064" s="455"/>
      <c r="I2064" s="455"/>
      <c r="J2064" s="455"/>
    </row>
    <row r="2065">
      <c r="A2065" s="934"/>
      <c r="B2065" s="557"/>
      <c r="C2065" s="936"/>
      <c r="D2065" s="439"/>
      <c r="E2065" s="454"/>
      <c r="F2065" s="455"/>
      <c r="G2065" s="455"/>
      <c r="H2065" s="455"/>
      <c r="I2065" s="455"/>
      <c r="J2065" s="455"/>
    </row>
    <row r="2066">
      <c r="A2066" s="934"/>
      <c r="B2066" s="557"/>
      <c r="C2066" s="936"/>
      <c r="D2066" s="439"/>
      <c r="E2066" s="454"/>
      <c r="F2066" s="455"/>
      <c r="G2066" s="455"/>
      <c r="H2066" s="455"/>
      <c r="I2066" s="455"/>
      <c r="J2066" s="455"/>
    </row>
    <row r="2067">
      <c r="A2067" s="934"/>
      <c r="B2067" s="557"/>
      <c r="C2067" s="936"/>
      <c r="D2067" s="439"/>
      <c r="E2067" s="454"/>
      <c r="F2067" s="455"/>
      <c r="G2067" s="455"/>
      <c r="H2067" s="455"/>
      <c r="I2067" s="455"/>
      <c r="J2067" s="455"/>
    </row>
    <row r="2068">
      <c r="A2068" s="934"/>
      <c r="B2068" s="557"/>
      <c r="C2068" s="936"/>
      <c r="D2068" s="439"/>
      <c r="E2068" s="454"/>
      <c r="F2068" s="455"/>
      <c r="G2068" s="455"/>
      <c r="H2068" s="455"/>
      <c r="I2068" s="455"/>
      <c r="J2068" s="455"/>
    </row>
    <row r="2069">
      <c r="A2069" s="934"/>
      <c r="B2069" s="557"/>
      <c r="C2069" s="936"/>
      <c r="D2069" s="439"/>
      <c r="E2069" s="454"/>
      <c r="F2069" s="455"/>
      <c r="G2069" s="455"/>
      <c r="H2069" s="455"/>
      <c r="I2069" s="455"/>
      <c r="J2069" s="455"/>
    </row>
    <row r="2070">
      <c r="A2070" s="934"/>
      <c r="B2070" s="557"/>
      <c r="C2070" s="936"/>
      <c r="D2070" s="439"/>
      <c r="E2070" s="454"/>
      <c r="F2070" s="455"/>
      <c r="G2070" s="455"/>
      <c r="H2070" s="455"/>
      <c r="I2070" s="455"/>
      <c r="J2070" s="455"/>
    </row>
    <row r="2071">
      <c r="A2071" s="934"/>
      <c r="B2071" s="557"/>
      <c r="C2071" s="936"/>
      <c r="D2071" s="439"/>
      <c r="E2071" s="454"/>
      <c r="F2071" s="455"/>
      <c r="G2071" s="455"/>
      <c r="H2071" s="455"/>
      <c r="I2071" s="455"/>
      <c r="J2071" s="455"/>
    </row>
    <row r="2072">
      <c r="A2072" s="934"/>
      <c r="B2072" s="557"/>
      <c r="C2072" s="936"/>
      <c r="D2072" s="439"/>
      <c r="E2072" s="454"/>
      <c r="F2072" s="455"/>
      <c r="G2072" s="455"/>
      <c r="H2072" s="455"/>
      <c r="I2072" s="455"/>
      <c r="J2072" s="455"/>
    </row>
    <row r="2073">
      <c r="A2073" s="934"/>
      <c r="B2073" s="557"/>
      <c r="C2073" s="936"/>
      <c r="D2073" s="439"/>
      <c r="E2073" s="454"/>
      <c r="F2073" s="455"/>
      <c r="G2073" s="455"/>
      <c r="H2073" s="455"/>
      <c r="I2073" s="455"/>
      <c r="J2073" s="455"/>
    </row>
    <row r="2074">
      <c r="A2074" s="934"/>
      <c r="B2074" s="557"/>
      <c r="C2074" s="936"/>
      <c r="D2074" s="439"/>
      <c r="E2074" s="454"/>
      <c r="F2074" s="455"/>
      <c r="G2074" s="455"/>
      <c r="H2074" s="455"/>
      <c r="I2074" s="455"/>
      <c r="J2074" s="455"/>
    </row>
    <row r="2075">
      <c r="A2075" s="934"/>
      <c r="B2075" s="557"/>
      <c r="C2075" s="936"/>
      <c r="D2075" s="439"/>
      <c r="E2075" s="454"/>
      <c r="F2075" s="455"/>
      <c r="G2075" s="455"/>
      <c r="H2075" s="455"/>
      <c r="I2075" s="455"/>
      <c r="J2075" s="455"/>
    </row>
    <row r="2076">
      <c r="A2076" s="934"/>
      <c r="B2076" s="557"/>
      <c r="C2076" s="936"/>
      <c r="D2076" s="439"/>
      <c r="E2076" s="454"/>
      <c r="F2076" s="455"/>
      <c r="G2076" s="455"/>
      <c r="H2076" s="455"/>
      <c r="I2076" s="455"/>
      <c r="J2076" s="455"/>
    </row>
    <row r="2077">
      <c r="A2077" s="934"/>
      <c r="B2077" s="557"/>
      <c r="C2077" s="936"/>
      <c r="D2077" s="439"/>
      <c r="E2077" s="454"/>
      <c r="F2077" s="455"/>
      <c r="G2077" s="455"/>
      <c r="H2077" s="455"/>
      <c r="I2077" s="455"/>
      <c r="J2077" s="455"/>
    </row>
    <row r="2078">
      <c r="A2078" s="934"/>
      <c r="B2078" s="557"/>
      <c r="C2078" s="936"/>
      <c r="D2078" s="439"/>
      <c r="E2078" s="454"/>
      <c r="F2078" s="455"/>
      <c r="G2078" s="455"/>
      <c r="H2078" s="455"/>
      <c r="I2078" s="455"/>
      <c r="J2078" s="455"/>
    </row>
    <row r="2079">
      <c r="A2079" s="934"/>
      <c r="B2079" s="557"/>
      <c r="C2079" s="936"/>
      <c r="D2079" s="439"/>
      <c r="E2079" s="454"/>
      <c r="F2079" s="455"/>
      <c r="G2079" s="455"/>
      <c r="H2079" s="455"/>
      <c r="I2079" s="455"/>
      <c r="J2079" s="455"/>
    </row>
    <row r="2080">
      <c r="A2080" s="934"/>
      <c r="B2080" s="557"/>
      <c r="C2080" s="936"/>
      <c r="D2080" s="439"/>
      <c r="E2080" s="454"/>
      <c r="F2080" s="455"/>
      <c r="G2080" s="455"/>
      <c r="H2080" s="455"/>
      <c r="I2080" s="455"/>
      <c r="J2080" s="455"/>
    </row>
    <row r="2081">
      <c r="A2081" s="934"/>
      <c r="B2081" s="557"/>
      <c r="C2081" s="936"/>
      <c r="D2081" s="439"/>
      <c r="E2081" s="454"/>
      <c r="F2081" s="455"/>
      <c r="G2081" s="455"/>
      <c r="H2081" s="455"/>
      <c r="I2081" s="455"/>
      <c r="J2081" s="455"/>
    </row>
    <row r="2082">
      <c r="A2082" s="934"/>
      <c r="B2082" s="557"/>
      <c r="C2082" s="936"/>
      <c r="D2082" s="439"/>
      <c r="E2082" s="454"/>
      <c r="F2082" s="455"/>
      <c r="G2082" s="455"/>
      <c r="H2082" s="455"/>
      <c r="I2082" s="455"/>
      <c r="J2082" s="455"/>
    </row>
    <row r="2083">
      <c r="A2083" s="934"/>
      <c r="B2083" s="557"/>
      <c r="C2083" s="936"/>
      <c r="D2083" s="439"/>
      <c r="E2083" s="454"/>
      <c r="F2083" s="455"/>
      <c r="G2083" s="455"/>
      <c r="H2083" s="455"/>
      <c r="I2083" s="455"/>
      <c r="J2083" s="455"/>
    </row>
    <row r="2084">
      <c r="A2084" s="934"/>
      <c r="B2084" s="557"/>
      <c r="C2084" s="936"/>
      <c r="D2084" s="439"/>
      <c r="E2084" s="454"/>
      <c r="F2084" s="455"/>
      <c r="G2084" s="455"/>
      <c r="H2084" s="455"/>
      <c r="I2084" s="455"/>
      <c r="J2084" s="455"/>
    </row>
    <row r="2085">
      <c r="A2085" s="934"/>
      <c r="B2085" s="557"/>
      <c r="C2085" s="936"/>
      <c r="D2085" s="439"/>
      <c r="E2085" s="454"/>
      <c r="F2085" s="455"/>
      <c r="G2085" s="455"/>
      <c r="H2085" s="455"/>
      <c r="I2085" s="455"/>
      <c r="J2085" s="455"/>
    </row>
    <row r="2086">
      <c r="A2086" s="934"/>
      <c r="B2086" s="557"/>
      <c r="C2086" s="936"/>
      <c r="D2086" s="439"/>
      <c r="E2086" s="454"/>
      <c r="F2086" s="455"/>
      <c r="G2086" s="455"/>
      <c r="H2086" s="455"/>
      <c r="I2086" s="455"/>
      <c r="J2086" s="455"/>
    </row>
    <row r="2087">
      <c r="A2087" s="934"/>
      <c r="B2087" s="557"/>
      <c r="C2087" s="936"/>
      <c r="D2087" s="439"/>
      <c r="E2087" s="454"/>
      <c r="F2087" s="455"/>
      <c r="G2087" s="455"/>
      <c r="H2087" s="455"/>
      <c r="I2087" s="455"/>
      <c r="J2087" s="455"/>
    </row>
    <row r="2088">
      <c r="A2088" s="934"/>
      <c r="B2088" s="557"/>
      <c r="C2088" s="936"/>
      <c r="D2088" s="439"/>
      <c r="E2088" s="454"/>
      <c r="F2088" s="455"/>
      <c r="G2088" s="455"/>
      <c r="H2088" s="455"/>
      <c r="I2088" s="455"/>
      <c r="J2088" s="455"/>
    </row>
    <row r="2089">
      <c r="A2089" s="934"/>
      <c r="B2089" s="557"/>
      <c r="C2089" s="936"/>
      <c r="D2089" s="439"/>
      <c r="E2089" s="454"/>
      <c r="F2089" s="455"/>
      <c r="G2089" s="455"/>
      <c r="H2089" s="455"/>
      <c r="I2089" s="455"/>
      <c r="J2089" s="455"/>
    </row>
    <row r="2090">
      <c r="A2090" s="934"/>
      <c r="B2090" s="557"/>
      <c r="C2090" s="936"/>
      <c r="D2090" s="439"/>
      <c r="E2090" s="454"/>
      <c r="F2090" s="455"/>
      <c r="G2090" s="455"/>
      <c r="H2090" s="455"/>
      <c r="I2090" s="455"/>
      <c r="J2090" s="455"/>
    </row>
    <row r="2091">
      <c r="A2091" s="934"/>
      <c r="B2091" s="557"/>
      <c r="C2091" s="936"/>
      <c r="D2091" s="439"/>
      <c r="E2091" s="454"/>
      <c r="F2091" s="455"/>
      <c r="G2091" s="455"/>
      <c r="H2091" s="455"/>
      <c r="I2091" s="455"/>
      <c r="J2091" s="455"/>
    </row>
    <row r="2092">
      <c r="A2092" s="934"/>
      <c r="B2092" s="557"/>
      <c r="C2092" s="936"/>
      <c r="D2092" s="439"/>
      <c r="E2092" s="454"/>
      <c r="F2092" s="455"/>
      <c r="G2092" s="455"/>
      <c r="H2092" s="455"/>
      <c r="I2092" s="455"/>
      <c r="J2092" s="455"/>
    </row>
    <row r="2093">
      <c r="A2093" s="934"/>
      <c r="B2093" s="557"/>
      <c r="C2093" s="936"/>
      <c r="D2093" s="439"/>
      <c r="E2093" s="454"/>
      <c r="F2093" s="455"/>
      <c r="G2093" s="455"/>
      <c r="H2093" s="455"/>
      <c r="I2093" s="455"/>
      <c r="J2093" s="455"/>
    </row>
    <row r="2094">
      <c r="A2094" s="934"/>
      <c r="B2094" s="557"/>
      <c r="C2094" s="936"/>
      <c r="D2094" s="439"/>
      <c r="E2094" s="454"/>
      <c r="F2094" s="455"/>
      <c r="G2094" s="455"/>
      <c r="H2094" s="455"/>
      <c r="I2094" s="455"/>
      <c r="J2094" s="455"/>
    </row>
    <row r="2095">
      <c r="A2095" s="934"/>
      <c r="B2095" s="557"/>
      <c r="C2095" s="936"/>
      <c r="D2095" s="439"/>
      <c r="E2095" s="454"/>
      <c r="F2095" s="455"/>
      <c r="G2095" s="455"/>
      <c r="H2095" s="455"/>
      <c r="I2095" s="455"/>
      <c r="J2095" s="455"/>
    </row>
    <row r="2096">
      <c r="A2096" s="934"/>
      <c r="B2096" s="557"/>
      <c r="C2096" s="936"/>
      <c r="D2096" s="439"/>
      <c r="E2096" s="454"/>
      <c r="F2096" s="455"/>
      <c r="G2096" s="455"/>
      <c r="H2096" s="455"/>
      <c r="I2096" s="455"/>
      <c r="J2096" s="455"/>
    </row>
    <row r="2097">
      <c r="A2097" s="934"/>
      <c r="B2097" s="557"/>
      <c r="C2097" s="936"/>
      <c r="D2097" s="439"/>
      <c r="E2097" s="454"/>
      <c r="F2097" s="455"/>
      <c r="G2097" s="455"/>
      <c r="H2097" s="455"/>
      <c r="I2097" s="455"/>
      <c r="J2097" s="455"/>
    </row>
    <row r="2098">
      <c r="A2098" s="934"/>
      <c r="B2098" s="557"/>
      <c r="C2098" s="936"/>
      <c r="D2098" s="439"/>
      <c r="E2098" s="454"/>
      <c r="F2098" s="455"/>
      <c r="G2098" s="455"/>
      <c r="H2098" s="455"/>
      <c r="I2098" s="455"/>
      <c r="J2098" s="455"/>
    </row>
    <row r="2099">
      <c r="A2099" s="934"/>
      <c r="B2099" s="557"/>
      <c r="C2099" s="936"/>
      <c r="D2099" s="439"/>
      <c r="E2099" s="454"/>
      <c r="F2099" s="455"/>
      <c r="G2099" s="455"/>
      <c r="H2099" s="455"/>
      <c r="I2099" s="455"/>
      <c r="J2099" s="455"/>
    </row>
    <row r="2100">
      <c r="A2100" s="934"/>
      <c r="B2100" s="557"/>
      <c r="C2100" s="936"/>
      <c r="D2100" s="439"/>
      <c r="E2100" s="454"/>
      <c r="F2100" s="455"/>
      <c r="G2100" s="455"/>
      <c r="H2100" s="455"/>
      <c r="I2100" s="455"/>
      <c r="J2100" s="455"/>
    </row>
    <row r="2101">
      <c r="A2101" s="934"/>
      <c r="B2101" s="557"/>
      <c r="C2101" s="936"/>
      <c r="D2101" s="439"/>
      <c r="E2101" s="454"/>
      <c r="F2101" s="455"/>
      <c r="G2101" s="455"/>
      <c r="H2101" s="455"/>
      <c r="I2101" s="455"/>
      <c r="J2101" s="455"/>
    </row>
    <row r="2102">
      <c r="A2102" s="934"/>
      <c r="B2102" s="557"/>
      <c r="C2102" s="936"/>
      <c r="D2102" s="439"/>
      <c r="E2102" s="454"/>
      <c r="F2102" s="455"/>
      <c r="G2102" s="455"/>
      <c r="H2102" s="455"/>
      <c r="I2102" s="455"/>
      <c r="J2102" s="455"/>
    </row>
    <row r="2103">
      <c r="A2103" s="934"/>
      <c r="B2103" s="557"/>
      <c r="C2103" s="936"/>
      <c r="D2103" s="439"/>
      <c r="E2103" s="454"/>
      <c r="F2103" s="455"/>
      <c r="G2103" s="455"/>
      <c r="H2103" s="455"/>
      <c r="I2103" s="455"/>
      <c r="J2103" s="455"/>
    </row>
    <row r="2104">
      <c r="A2104" s="934"/>
      <c r="B2104" s="557"/>
      <c r="C2104" s="936"/>
      <c r="D2104" s="439"/>
      <c r="E2104" s="454"/>
      <c r="F2104" s="455"/>
      <c r="G2104" s="455"/>
      <c r="H2104" s="455"/>
      <c r="I2104" s="455"/>
      <c r="J2104" s="455"/>
    </row>
    <row r="2105">
      <c r="A2105" s="934"/>
      <c r="B2105" s="557"/>
      <c r="C2105" s="936"/>
      <c r="D2105" s="439"/>
      <c r="E2105" s="454"/>
      <c r="F2105" s="455"/>
      <c r="G2105" s="455"/>
      <c r="H2105" s="455"/>
      <c r="I2105" s="455"/>
      <c r="J2105" s="455"/>
    </row>
    <row r="2106">
      <c r="A2106" s="934"/>
      <c r="B2106" s="557"/>
      <c r="C2106" s="936"/>
      <c r="D2106" s="439"/>
      <c r="E2106" s="454"/>
      <c r="F2106" s="455"/>
      <c r="G2106" s="455"/>
      <c r="H2106" s="455"/>
      <c r="I2106" s="455"/>
      <c r="J2106" s="455"/>
    </row>
    <row r="2107">
      <c r="A2107" s="934"/>
      <c r="B2107" s="557"/>
      <c r="C2107" s="936"/>
      <c r="D2107" s="439"/>
      <c r="E2107" s="454"/>
      <c r="F2107" s="455"/>
      <c r="G2107" s="455"/>
      <c r="H2107" s="455"/>
      <c r="I2107" s="455"/>
      <c r="J2107" s="455"/>
    </row>
    <row r="2108">
      <c r="A2108" s="934"/>
      <c r="B2108" s="557"/>
      <c r="C2108" s="936"/>
      <c r="D2108" s="439"/>
      <c r="E2108" s="454"/>
      <c r="F2108" s="455"/>
      <c r="G2108" s="455"/>
      <c r="H2108" s="455"/>
      <c r="I2108" s="455"/>
      <c r="J2108" s="455"/>
    </row>
    <row r="2109">
      <c r="A2109" s="934"/>
      <c r="B2109" s="557"/>
      <c r="C2109" s="936"/>
      <c r="D2109" s="439"/>
      <c r="E2109" s="454"/>
      <c r="F2109" s="455"/>
      <c r="G2109" s="455"/>
      <c r="H2109" s="455"/>
      <c r="I2109" s="455"/>
      <c r="J2109" s="455"/>
    </row>
    <row r="2110">
      <c r="A2110" s="934"/>
      <c r="B2110" s="557"/>
      <c r="C2110" s="936"/>
      <c r="D2110" s="439"/>
      <c r="E2110" s="454"/>
      <c r="F2110" s="455"/>
      <c r="G2110" s="455"/>
      <c r="H2110" s="455"/>
      <c r="I2110" s="455"/>
      <c r="J2110" s="455"/>
    </row>
    <row r="2111">
      <c r="A2111" s="934"/>
      <c r="B2111" s="557"/>
      <c r="C2111" s="936"/>
      <c r="D2111" s="439"/>
      <c r="E2111" s="454"/>
      <c r="F2111" s="455"/>
      <c r="G2111" s="455"/>
      <c r="H2111" s="455"/>
      <c r="I2111" s="455"/>
      <c r="J2111" s="455"/>
    </row>
    <row r="2112">
      <c r="A2112" s="934"/>
      <c r="B2112" s="557"/>
      <c r="C2112" s="936"/>
      <c r="D2112" s="439"/>
      <c r="E2112" s="454"/>
      <c r="F2112" s="455"/>
      <c r="G2112" s="455"/>
      <c r="H2112" s="455"/>
      <c r="I2112" s="455"/>
      <c r="J2112" s="455"/>
    </row>
    <row r="2113">
      <c r="A2113" s="934"/>
      <c r="B2113" s="557"/>
      <c r="C2113" s="936"/>
      <c r="D2113" s="439"/>
      <c r="E2113" s="454"/>
      <c r="F2113" s="455"/>
      <c r="G2113" s="455"/>
      <c r="H2113" s="455"/>
      <c r="I2113" s="455"/>
      <c r="J2113" s="455"/>
    </row>
    <row r="2114">
      <c r="A2114" s="934"/>
      <c r="B2114" s="557"/>
      <c r="C2114" s="936"/>
      <c r="D2114" s="439"/>
      <c r="E2114" s="454"/>
      <c r="F2114" s="455"/>
      <c r="G2114" s="455"/>
      <c r="H2114" s="455"/>
      <c r="I2114" s="455"/>
      <c r="J2114" s="455"/>
    </row>
    <row r="2115">
      <c r="A2115" s="934"/>
      <c r="B2115" s="557"/>
      <c r="C2115" s="936"/>
      <c r="D2115" s="439"/>
      <c r="E2115" s="454"/>
      <c r="F2115" s="455"/>
      <c r="G2115" s="455"/>
      <c r="H2115" s="455"/>
      <c r="I2115" s="455"/>
      <c r="J2115" s="455"/>
    </row>
    <row r="2116">
      <c r="A2116" s="934"/>
      <c r="B2116" s="557"/>
      <c r="C2116" s="936"/>
      <c r="D2116" s="439"/>
      <c r="E2116" s="454"/>
      <c r="F2116" s="455"/>
      <c r="G2116" s="455"/>
      <c r="H2116" s="455"/>
      <c r="I2116" s="455"/>
      <c r="J2116" s="455"/>
    </row>
    <row r="2117">
      <c r="A2117" s="934"/>
      <c r="B2117" s="557"/>
      <c r="C2117" s="936"/>
      <c r="D2117" s="439"/>
      <c r="E2117" s="454"/>
      <c r="F2117" s="455"/>
      <c r="G2117" s="455"/>
      <c r="H2117" s="455"/>
      <c r="I2117" s="455"/>
      <c r="J2117" s="455"/>
    </row>
    <row r="2118">
      <c r="A2118" s="934"/>
      <c r="B2118" s="557"/>
      <c r="C2118" s="936"/>
      <c r="D2118" s="439"/>
      <c r="E2118" s="454"/>
      <c r="F2118" s="455"/>
      <c r="G2118" s="455"/>
      <c r="H2118" s="455"/>
      <c r="I2118" s="455"/>
      <c r="J2118" s="455"/>
    </row>
    <row r="2119">
      <c r="A2119" s="934"/>
      <c r="B2119" s="557"/>
      <c r="C2119" s="936"/>
      <c r="D2119" s="439"/>
      <c r="E2119" s="454"/>
      <c r="F2119" s="455"/>
      <c r="G2119" s="455"/>
      <c r="H2119" s="455"/>
      <c r="I2119" s="455"/>
      <c r="J2119" s="455"/>
    </row>
    <row r="2120">
      <c r="A2120" s="934"/>
      <c r="B2120" s="557"/>
      <c r="C2120" s="936"/>
      <c r="D2120" s="439"/>
      <c r="E2120" s="454"/>
      <c r="F2120" s="455"/>
      <c r="G2120" s="455"/>
      <c r="H2120" s="455"/>
      <c r="I2120" s="455"/>
      <c r="J2120" s="455"/>
    </row>
    <row r="2121">
      <c r="A2121" s="934"/>
      <c r="B2121" s="557"/>
      <c r="C2121" s="936"/>
      <c r="D2121" s="439"/>
      <c r="E2121" s="454"/>
      <c r="F2121" s="455"/>
      <c r="G2121" s="455"/>
      <c r="H2121" s="455"/>
      <c r="I2121" s="455"/>
      <c r="J2121" s="455"/>
    </row>
    <row r="2122">
      <c r="A2122" s="934"/>
      <c r="B2122" s="557"/>
      <c r="C2122" s="936"/>
      <c r="D2122" s="439"/>
      <c r="E2122" s="454"/>
      <c r="F2122" s="455"/>
      <c r="G2122" s="455"/>
      <c r="H2122" s="455"/>
      <c r="I2122" s="455"/>
      <c r="J2122" s="455"/>
    </row>
    <row r="2123">
      <c r="A2123" s="934"/>
      <c r="B2123" s="557"/>
      <c r="C2123" s="936"/>
      <c r="D2123" s="439"/>
      <c r="E2123" s="454"/>
      <c r="F2123" s="455"/>
      <c r="G2123" s="455"/>
      <c r="H2123" s="455"/>
      <c r="I2123" s="455"/>
      <c r="J2123" s="455"/>
    </row>
    <row r="2124">
      <c r="A2124" s="934"/>
      <c r="B2124" s="557"/>
      <c r="C2124" s="936"/>
      <c r="D2124" s="439"/>
      <c r="E2124" s="454"/>
      <c r="F2124" s="455"/>
      <c r="G2124" s="455"/>
      <c r="H2124" s="455"/>
      <c r="I2124" s="455"/>
      <c r="J2124" s="455"/>
    </row>
    <row r="2125">
      <c r="A2125" s="934"/>
      <c r="B2125" s="557"/>
      <c r="C2125" s="936"/>
      <c r="D2125" s="439"/>
      <c r="E2125" s="454"/>
      <c r="F2125" s="455"/>
      <c r="G2125" s="455"/>
      <c r="H2125" s="455"/>
      <c r="I2125" s="455"/>
      <c r="J2125" s="455"/>
    </row>
    <row r="2126">
      <c r="A2126" s="934"/>
      <c r="B2126" s="557"/>
      <c r="C2126" s="936"/>
      <c r="D2126" s="439"/>
      <c r="E2126" s="454"/>
      <c r="F2126" s="455"/>
      <c r="G2126" s="455"/>
      <c r="H2126" s="455"/>
      <c r="I2126" s="455"/>
      <c r="J2126" s="455"/>
    </row>
    <row r="2127">
      <c r="A2127" s="934"/>
      <c r="B2127" s="557"/>
      <c r="C2127" s="936"/>
      <c r="D2127" s="439"/>
      <c r="E2127" s="454"/>
      <c r="F2127" s="455"/>
      <c r="G2127" s="455"/>
      <c r="H2127" s="455"/>
      <c r="I2127" s="455"/>
      <c r="J2127" s="455"/>
    </row>
    <row r="2128">
      <c r="A2128" s="934"/>
      <c r="B2128" s="557"/>
      <c r="C2128" s="936"/>
      <c r="D2128" s="439"/>
      <c r="E2128" s="454"/>
      <c r="F2128" s="455"/>
      <c r="G2128" s="455"/>
      <c r="H2128" s="455"/>
      <c r="I2128" s="455"/>
      <c r="J2128" s="455"/>
    </row>
    <row r="2129">
      <c r="A2129" s="934"/>
      <c r="B2129" s="557"/>
      <c r="C2129" s="936"/>
      <c r="D2129" s="439"/>
      <c r="E2129" s="454"/>
      <c r="F2129" s="455"/>
      <c r="G2129" s="455"/>
      <c r="H2129" s="455"/>
      <c r="I2129" s="455"/>
      <c r="J2129" s="455"/>
    </row>
    <row r="2130">
      <c r="A2130" s="934"/>
      <c r="B2130" s="557"/>
      <c r="C2130" s="936"/>
      <c r="D2130" s="439"/>
      <c r="E2130" s="454"/>
      <c r="F2130" s="455"/>
      <c r="G2130" s="455"/>
      <c r="H2130" s="455"/>
      <c r="I2130" s="455"/>
      <c r="J2130" s="455"/>
    </row>
    <row r="2131">
      <c r="A2131" s="934"/>
      <c r="B2131" s="557"/>
      <c r="C2131" s="936"/>
      <c r="D2131" s="439"/>
      <c r="E2131" s="454"/>
      <c r="F2131" s="455"/>
      <c r="G2131" s="455"/>
      <c r="H2131" s="455"/>
      <c r="I2131" s="455"/>
      <c r="J2131" s="455"/>
    </row>
    <row r="2132">
      <c r="A2132" s="934"/>
      <c r="B2132" s="557"/>
      <c r="C2132" s="936"/>
      <c r="D2132" s="439"/>
      <c r="E2132" s="454"/>
      <c r="F2132" s="455"/>
      <c r="G2132" s="455"/>
      <c r="H2132" s="455"/>
      <c r="I2132" s="455"/>
      <c r="J2132" s="455"/>
    </row>
    <row r="2133">
      <c r="A2133" s="934"/>
      <c r="B2133" s="557"/>
      <c r="C2133" s="936"/>
      <c r="D2133" s="439"/>
      <c r="E2133" s="454"/>
      <c r="F2133" s="455"/>
      <c r="G2133" s="455"/>
      <c r="H2133" s="455"/>
      <c r="I2133" s="455"/>
      <c r="J2133" s="455"/>
    </row>
    <row r="2134">
      <c r="A2134" s="934"/>
      <c r="B2134" s="557"/>
      <c r="C2134" s="936"/>
      <c r="D2134" s="439"/>
      <c r="E2134" s="454"/>
      <c r="F2134" s="455"/>
      <c r="G2134" s="455"/>
      <c r="H2134" s="455"/>
      <c r="I2134" s="455"/>
      <c r="J2134" s="455"/>
    </row>
    <row r="2135">
      <c r="A2135" s="934"/>
      <c r="B2135" s="557"/>
      <c r="C2135" s="936"/>
      <c r="D2135" s="439"/>
      <c r="E2135" s="454"/>
      <c r="F2135" s="455"/>
      <c r="G2135" s="455"/>
      <c r="H2135" s="455"/>
      <c r="I2135" s="455"/>
      <c r="J2135" s="455"/>
    </row>
    <row r="2136">
      <c r="A2136" s="934"/>
      <c r="B2136" s="557"/>
      <c r="C2136" s="936"/>
      <c r="D2136" s="439"/>
      <c r="E2136" s="454"/>
      <c r="F2136" s="455"/>
      <c r="G2136" s="455"/>
      <c r="H2136" s="455"/>
      <c r="I2136" s="455"/>
      <c r="J2136" s="455"/>
    </row>
    <row r="2137">
      <c r="A2137" s="934"/>
      <c r="B2137" s="557"/>
      <c r="C2137" s="936"/>
      <c r="D2137" s="439"/>
      <c r="E2137" s="454"/>
      <c r="F2137" s="455"/>
      <c r="G2137" s="455"/>
      <c r="H2137" s="455"/>
      <c r="I2137" s="455"/>
      <c r="J2137" s="455"/>
    </row>
    <row r="2138">
      <c r="A2138" s="934"/>
      <c r="B2138" s="557"/>
      <c r="C2138" s="936"/>
      <c r="D2138" s="439"/>
      <c r="E2138" s="454"/>
      <c r="F2138" s="455"/>
      <c r="G2138" s="455"/>
      <c r="H2138" s="455"/>
      <c r="I2138" s="455"/>
      <c r="J2138" s="455"/>
    </row>
    <row r="2139">
      <c r="A2139" s="934"/>
      <c r="B2139" s="557"/>
      <c r="C2139" s="936"/>
      <c r="D2139" s="439"/>
      <c r="E2139" s="454"/>
      <c r="F2139" s="455"/>
      <c r="G2139" s="455"/>
      <c r="H2139" s="455"/>
      <c r="I2139" s="455"/>
      <c r="J2139" s="455"/>
    </row>
    <row r="2140">
      <c r="A2140" s="934"/>
      <c r="B2140" s="557"/>
      <c r="C2140" s="936"/>
      <c r="D2140" s="439"/>
      <c r="E2140" s="454"/>
      <c r="F2140" s="455"/>
      <c r="G2140" s="455"/>
      <c r="H2140" s="455"/>
      <c r="I2140" s="455"/>
      <c r="J2140" s="455"/>
    </row>
    <row r="2141">
      <c r="A2141" s="934"/>
      <c r="B2141" s="557"/>
      <c r="C2141" s="936"/>
      <c r="D2141" s="439"/>
      <c r="E2141" s="454"/>
      <c r="F2141" s="455"/>
      <c r="G2141" s="455"/>
      <c r="H2141" s="455"/>
      <c r="I2141" s="455"/>
      <c r="J2141" s="455"/>
    </row>
    <row r="2142">
      <c r="A2142" s="934"/>
      <c r="B2142" s="557"/>
      <c r="C2142" s="936"/>
      <c r="D2142" s="439"/>
      <c r="E2142" s="454"/>
      <c r="F2142" s="455"/>
      <c r="G2142" s="455"/>
      <c r="H2142" s="455"/>
      <c r="I2142" s="455"/>
      <c r="J2142" s="455"/>
    </row>
    <row r="2143">
      <c r="A2143" s="934"/>
      <c r="B2143" s="557"/>
      <c r="C2143" s="936"/>
      <c r="D2143" s="439"/>
      <c r="E2143" s="454"/>
      <c r="F2143" s="455"/>
      <c r="G2143" s="455"/>
      <c r="H2143" s="455"/>
      <c r="I2143" s="455"/>
      <c r="J2143" s="455"/>
    </row>
    <row r="2144">
      <c r="A2144" s="934"/>
      <c r="B2144" s="557"/>
      <c r="C2144" s="936"/>
      <c r="D2144" s="439"/>
      <c r="E2144" s="454"/>
      <c r="F2144" s="455"/>
      <c r="G2144" s="455"/>
      <c r="H2144" s="455"/>
      <c r="I2144" s="455"/>
      <c r="J2144" s="455"/>
    </row>
    <row r="2145">
      <c r="A2145" s="934"/>
      <c r="B2145" s="557"/>
      <c r="C2145" s="936"/>
      <c r="D2145" s="439"/>
      <c r="E2145" s="454"/>
      <c r="F2145" s="455"/>
      <c r="G2145" s="455"/>
      <c r="H2145" s="455"/>
      <c r="I2145" s="455"/>
      <c r="J2145" s="455"/>
    </row>
    <row r="2146">
      <c r="A2146" s="934"/>
      <c r="B2146" s="557"/>
      <c r="C2146" s="936"/>
      <c r="D2146" s="439"/>
      <c r="E2146" s="454"/>
      <c r="F2146" s="455"/>
      <c r="G2146" s="455"/>
      <c r="H2146" s="455"/>
      <c r="I2146" s="455"/>
      <c r="J2146" s="455"/>
    </row>
    <row r="2147">
      <c r="A2147" s="934"/>
      <c r="B2147" s="557"/>
      <c r="C2147" s="936"/>
      <c r="D2147" s="439"/>
      <c r="E2147" s="454"/>
      <c r="F2147" s="455"/>
      <c r="G2147" s="455"/>
      <c r="H2147" s="455"/>
      <c r="I2147" s="455"/>
      <c r="J2147" s="455"/>
    </row>
    <row r="2148">
      <c r="A2148" s="934"/>
      <c r="B2148" s="557"/>
      <c r="C2148" s="936"/>
      <c r="D2148" s="439"/>
      <c r="E2148" s="454"/>
      <c r="F2148" s="455"/>
      <c r="G2148" s="455"/>
      <c r="H2148" s="455"/>
      <c r="I2148" s="455"/>
      <c r="J2148" s="455"/>
    </row>
    <row r="2149">
      <c r="A2149" s="934"/>
      <c r="B2149" s="557"/>
      <c r="C2149" s="936"/>
      <c r="D2149" s="439"/>
      <c r="E2149" s="454"/>
      <c r="F2149" s="455"/>
      <c r="G2149" s="455"/>
      <c r="H2149" s="455"/>
      <c r="I2149" s="455"/>
      <c r="J2149" s="455"/>
    </row>
    <row r="2150">
      <c r="A2150" s="934"/>
      <c r="B2150" s="557"/>
      <c r="C2150" s="936"/>
      <c r="D2150" s="439"/>
      <c r="E2150" s="454"/>
      <c r="F2150" s="455"/>
      <c r="G2150" s="455"/>
      <c r="H2150" s="455"/>
      <c r="I2150" s="455"/>
      <c r="J2150" s="455"/>
    </row>
    <row r="2151">
      <c r="A2151" s="934"/>
      <c r="B2151" s="557"/>
      <c r="C2151" s="936"/>
      <c r="D2151" s="439"/>
      <c r="E2151" s="454"/>
      <c r="F2151" s="455"/>
      <c r="G2151" s="455"/>
      <c r="H2151" s="455"/>
      <c r="I2151" s="455"/>
      <c r="J2151" s="455"/>
    </row>
    <row r="2152">
      <c r="A2152" s="934"/>
      <c r="B2152" s="557"/>
      <c r="C2152" s="936"/>
      <c r="D2152" s="439"/>
      <c r="E2152" s="454"/>
      <c r="F2152" s="455"/>
      <c r="G2152" s="455"/>
      <c r="H2152" s="455"/>
      <c r="I2152" s="455"/>
      <c r="J2152" s="455"/>
    </row>
    <row r="2153">
      <c r="A2153" s="934"/>
      <c r="B2153" s="557"/>
      <c r="C2153" s="936"/>
      <c r="D2153" s="439"/>
      <c r="E2153" s="454"/>
      <c r="F2153" s="455"/>
      <c r="G2153" s="455"/>
      <c r="H2153" s="455"/>
      <c r="I2153" s="455"/>
      <c r="J2153" s="455"/>
    </row>
    <row r="2154">
      <c r="A2154" s="934"/>
      <c r="B2154" s="557"/>
      <c r="C2154" s="936"/>
      <c r="D2154" s="439"/>
      <c r="E2154" s="454"/>
      <c r="F2154" s="455"/>
      <c r="G2154" s="455"/>
      <c r="H2154" s="455"/>
      <c r="I2154" s="455"/>
      <c r="J2154" s="455"/>
    </row>
    <row r="2155">
      <c r="A2155" s="934"/>
      <c r="B2155" s="557"/>
      <c r="C2155" s="936"/>
      <c r="D2155" s="439"/>
      <c r="E2155" s="454"/>
      <c r="F2155" s="455"/>
      <c r="G2155" s="455"/>
      <c r="H2155" s="455"/>
      <c r="I2155" s="455"/>
      <c r="J2155" s="455"/>
    </row>
    <row r="2156">
      <c r="A2156" s="934"/>
      <c r="B2156" s="557"/>
      <c r="C2156" s="936"/>
      <c r="D2156" s="439"/>
      <c r="E2156" s="454"/>
      <c r="F2156" s="455"/>
      <c r="G2156" s="455"/>
      <c r="H2156" s="455"/>
      <c r="I2156" s="455"/>
      <c r="J2156" s="455"/>
    </row>
    <row r="2157">
      <c r="A2157" s="934"/>
      <c r="B2157" s="557"/>
      <c r="C2157" s="936"/>
      <c r="D2157" s="439"/>
      <c r="E2157" s="454"/>
      <c r="F2157" s="455"/>
      <c r="G2157" s="455"/>
      <c r="H2157" s="455"/>
      <c r="I2157" s="455"/>
      <c r="J2157" s="455"/>
    </row>
    <row r="2158">
      <c r="A2158" s="934"/>
      <c r="B2158" s="557"/>
      <c r="C2158" s="936"/>
      <c r="D2158" s="439"/>
      <c r="E2158" s="454"/>
      <c r="F2158" s="455"/>
      <c r="G2158" s="455"/>
      <c r="H2158" s="455"/>
      <c r="I2158" s="455"/>
      <c r="J2158" s="455"/>
    </row>
    <row r="2159">
      <c r="A2159" s="934"/>
      <c r="B2159" s="557"/>
      <c r="C2159" s="936"/>
      <c r="D2159" s="439"/>
      <c r="E2159" s="454"/>
      <c r="F2159" s="455"/>
      <c r="G2159" s="455"/>
      <c r="H2159" s="455"/>
      <c r="I2159" s="455"/>
      <c r="J2159" s="455"/>
    </row>
    <row r="2160">
      <c r="A2160" s="934"/>
      <c r="B2160" s="557"/>
      <c r="C2160" s="936"/>
      <c r="D2160" s="439"/>
      <c r="E2160" s="454"/>
      <c r="F2160" s="455"/>
      <c r="G2160" s="455"/>
      <c r="H2160" s="455"/>
      <c r="I2160" s="455"/>
      <c r="J2160" s="455"/>
    </row>
    <row r="2161">
      <c r="A2161" s="934"/>
      <c r="B2161" s="557"/>
      <c r="C2161" s="936"/>
      <c r="D2161" s="439"/>
      <c r="E2161" s="454"/>
      <c r="F2161" s="455"/>
      <c r="G2161" s="455"/>
      <c r="H2161" s="455"/>
      <c r="I2161" s="455"/>
      <c r="J2161" s="455"/>
    </row>
    <row r="2162">
      <c r="A2162" s="934"/>
      <c r="B2162" s="557"/>
      <c r="C2162" s="936"/>
      <c r="D2162" s="439"/>
      <c r="E2162" s="454"/>
      <c r="F2162" s="455"/>
      <c r="G2162" s="455"/>
      <c r="H2162" s="455"/>
      <c r="I2162" s="455"/>
      <c r="J2162" s="455"/>
    </row>
    <row r="2163">
      <c r="A2163" s="934"/>
      <c r="B2163" s="557"/>
      <c r="C2163" s="936"/>
      <c r="D2163" s="439"/>
      <c r="E2163" s="454"/>
      <c r="F2163" s="455"/>
      <c r="G2163" s="455"/>
      <c r="H2163" s="455"/>
      <c r="I2163" s="455"/>
      <c r="J2163" s="455"/>
    </row>
    <row r="2164">
      <c r="A2164" s="934"/>
      <c r="B2164" s="557"/>
      <c r="C2164" s="936"/>
      <c r="D2164" s="439"/>
      <c r="E2164" s="454"/>
      <c r="F2164" s="455"/>
      <c r="G2164" s="455"/>
      <c r="H2164" s="455"/>
      <c r="I2164" s="455"/>
      <c r="J2164" s="455"/>
    </row>
    <row r="2165">
      <c r="A2165" s="934"/>
      <c r="B2165" s="557"/>
      <c r="C2165" s="936"/>
      <c r="D2165" s="439"/>
      <c r="E2165" s="454"/>
      <c r="F2165" s="455"/>
      <c r="G2165" s="455"/>
      <c r="H2165" s="455"/>
      <c r="I2165" s="455"/>
      <c r="J2165" s="455"/>
    </row>
    <row r="2166">
      <c r="A2166" s="934"/>
      <c r="B2166" s="557"/>
      <c r="C2166" s="936"/>
      <c r="D2166" s="439"/>
      <c r="E2166" s="454"/>
      <c r="F2166" s="455"/>
      <c r="G2166" s="455"/>
      <c r="H2166" s="455"/>
      <c r="I2166" s="455"/>
      <c r="J2166" s="455"/>
    </row>
    <row r="2167">
      <c r="A2167" s="934"/>
      <c r="B2167" s="557"/>
      <c r="C2167" s="936"/>
      <c r="D2167" s="439"/>
      <c r="E2167" s="454"/>
      <c r="F2167" s="455"/>
      <c r="G2167" s="455"/>
      <c r="H2167" s="455"/>
      <c r="I2167" s="455"/>
      <c r="J2167" s="455"/>
    </row>
    <row r="2168">
      <c r="A2168" s="934"/>
      <c r="B2168" s="557"/>
      <c r="C2168" s="936"/>
      <c r="D2168" s="439"/>
      <c r="E2168" s="454"/>
      <c r="F2168" s="455"/>
      <c r="G2168" s="455"/>
      <c r="H2168" s="455"/>
      <c r="I2168" s="455"/>
      <c r="J2168" s="455"/>
    </row>
    <row r="2169">
      <c r="A2169" s="934"/>
      <c r="B2169" s="557"/>
      <c r="C2169" s="936"/>
      <c r="D2169" s="439"/>
      <c r="E2169" s="454"/>
      <c r="F2169" s="455"/>
      <c r="G2169" s="455"/>
      <c r="H2169" s="455"/>
      <c r="I2169" s="455"/>
      <c r="J2169" s="455"/>
    </row>
    <row r="2170">
      <c r="A2170" s="934"/>
      <c r="B2170" s="557"/>
      <c r="C2170" s="936"/>
      <c r="D2170" s="439"/>
      <c r="E2170" s="454"/>
      <c r="F2170" s="455"/>
      <c r="G2170" s="455"/>
      <c r="H2170" s="455"/>
      <c r="I2170" s="455"/>
      <c r="J2170" s="455"/>
    </row>
    <row r="2171">
      <c r="A2171" s="934"/>
      <c r="B2171" s="557"/>
      <c r="C2171" s="936"/>
      <c r="D2171" s="439"/>
      <c r="E2171" s="454"/>
      <c r="F2171" s="455"/>
      <c r="G2171" s="455"/>
      <c r="H2171" s="455"/>
      <c r="I2171" s="455"/>
      <c r="J2171" s="455"/>
    </row>
    <row r="2172">
      <c r="A2172" s="934"/>
      <c r="B2172" s="557"/>
      <c r="C2172" s="936"/>
      <c r="D2172" s="439"/>
      <c r="E2172" s="454"/>
      <c r="F2172" s="455"/>
      <c r="G2172" s="455"/>
      <c r="H2172" s="455"/>
      <c r="I2172" s="455"/>
      <c r="J2172" s="455"/>
    </row>
    <row r="2173">
      <c r="A2173" s="934"/>
      <c r="B2173" s="557"/>
      <c r="C2173" s="936"/>
      <c r="D2173" s="439"/>
      <c r="E2173" s="454"/>
      <c r="F2173" s="455"/>
      <c r="G2173" s="455"/>
      <c r="H2173" s="455"/>
      <c r="I2173" s="455"/>
      <c r="J2173" s="455"/>
    </row>
    <row r="2174">
      <c r="A2174" s="934"/>
      <c r="B2174" s="557"/>
      <c r="C2174" s="936"/>
      <c r="D2174" s="439"/>
      <c r="E2174" s="454"/>
      <c r="F2174" s="455"/>
      <c r="G2174" s="455"/>
      <c r="H2174" s="455"/>
      <c r="I2174" s="455"/>
      <c r="J2174" s="455"/>
    </row>
    <row r="2175">
      <c r="A2175" s="934"/>
      <c r="B2175" s="557"/>
      <c r="C2175" s="936"/>
      <c r="D2175" s="439"/>
      <c r="E2175" s="454"/>
      <c r="F2175" s="455"/>
      <c r="G2175" s="455"/>
      <c r="H2175" s="455"/>
      <c r="I2175" s="455"/>
      <c r="J2175" s="455"/>
    </row>
    <row r="2176">
      <c r="A2176" s="934"/>
      <c r="B2176" s="557"/>
      <c r="C2176" s="936"/>
      <c r="D2176" s="439"/>
      <c r="E2176" s="454"/>
      <c r="F2176" s="455"/>
      <c r="G2176" s="455"/>
      <c r="H2176" s="455"/>
      <c r="I2176" s="455"/>
      <c r="J2176" s="455"/>
    </row>
    <row r="2177">
      <c r="A2177" s="934"/>
      <c r="B2177" s="557"/>
      <c r="C2177" s="936"/>
      <c r="D2177" s="439"/>
      <c r="E2177" s="454"/>
      <c r="F2177" s="455"/>
      <c r="G2177" s="455"/>
      <c r="H2177" s="455"/>
      <c r="I2177" s="455"/>
      <c r="J2177" s="455"/>
    </row>
    <row r="2178">
      <c r="A2178" s="934"/>
      <c r="B2178" s="557"/>
      <c r="C2178" s="936"/>
      <c r="D2178" s="439"/>
      <c r="E2178" s="454"/>
      <c r="F2178" s="455"/>
      <c r="G2178" s="455"/>
      <c r="H2178" s="455"/>
      <c r="I2178" s="455"/>
      <c r="J2178" s="455"/>
    </row>
    <row r="2179">
      <c r="A2179" s="934"/>
      <c r="B2179" s="557"/>
      <c r="C2179" s="936"/>
      <c r="D2179" s="439"/>
      <c r="E2179" s="454"/>
      <c r="F2179" s="455"/>
      <c r="G2179" s="455"/>
      <c r="H2179" s="455"/>
      <c r="I2179" s="455"/>
      <c r="J2179" s="455"/>
    </row>
    <row r="2180">
      <c r="A2180" s="934"/>
      <c r="B2180" s="557"/>
      <c r="C2180" s="936"/>
      <c r="D2180" s="439"/>
      <c r="E2180" s="454"/>
      <c r="F2180" s="455"/>
      <c r="G2180" s="455"/>
      <c r="H2180" s="455"/>
      <c r="I2180" s="455"/>
      <c r="J2180" s="455"/>
    </row>
    <row r="2181">
      <c r="A2181" s="934"/>
      <c r="B2181" s="557"/>
      <c r="C2181" s="936"/>
      <c r="D2181" s="439"/>
      <c r="E2181" s="454"/>
      <c r="F2181" s="455"/>
      <c r="G2181" s="455"/>
      <c r="H2181" s="455"/>
      <c r="I2181" s="455"/>
      <c r="J2181" s="455"/>
    </row>
    <row r="2182">
      <c r="A2182" s="934"/>
      <c r="B2182" s="557"/>
      <c r="C2182" s="936"/>
      <c r="D2182" s="439"/>
      <c r="E2182" s="454"/>
      <c r="F2182" s="455"/>
      <c r="G2182" s="455"/>
      <c r="H2182" s="455"/>
      <c r="I2182" s="455"/>
      <c r="J2182" s="455"/>
    </row>
    <row r="2183">
      <c r="A2183" s="934"/>
      <c r="B2183" s="557"/>
      <c r="C2183" s="936"/>
      <c r="D2183" s="439"/>
      <c r="E2183" s="454"/>
      <c r="F2183" s="455"/>
      <c r="G2183" s="455"/>
      <c r="H2183" s="455"/>
      <c r="I2183" s="455"/>
      <c r="J2183" s="455"/>
    </row>
    <row r="2184">
      <c r="A2184" s="934"/>
      <c r="B2184" s="557"/>
      <c r="C2184" s="936"/>
      <c r="D2184" s="439"/>
      <c r="E2184" s="454"/>
      <c r="F2184" s="455"/>
      <c r="G2184" s="455"/>
      <c r="H2184" s="455"/>
      <c r="I2184" s="455"/>
      <c r="J2184" s="455"/>
    </row>
    <row r="2185">
      <c r="A2185" s="934"/>
      <c r="B2185" s="557"/>
      <c r="C2185" s="936"/>
      <c r="D2185" s="439"/>
      <c r="E2185" s="454"/>
      <c r="F2185" s="455"/>
      <c r="G2185" s="455"/>
      <c r="H2185" s="455"/>
      <c r="I2185" s="455"/>
      <c r="J2185" s="455"/>
    </row>
    <row r="2186">
      <c r="A2186" s="934"/>
      <c r="B2186" s="557"/>
      <c r="C2186" s="936"/>
      <c r="D2186" s="439"/>
      <c r="E2186" s="454"/>
      <c r="F2186" s="455"/>
      <c r="G2186" s="455"/>
      <c r="H2186" s="455"/>
      <c r="I2186" s="455"/>
      <c r="J2186" s="455"/>
    </row>
    <row r="2187">
      <c r="A2187" s="934"/>
      <c r="B2187" s="557"/>
      <c r="C2187" s="936"/>
      <c r="D2187" s="439"/>
      <c r="E2187" s="454"/>
      <c r="F2187" s="455"/>
      <c r="G2187" s="455"/>
      <c r="H2187" s="455"/>
      <c r="I2187" s="455"/>
      <c r="J2187" s="455"/>
    </row>
    <row r="2188">
      <c r="A2188" s="934"/>
      <c r="B2188" s="557"/>
      <c r="C2188" s="936"/>
      <c r="D2188" s="439"/>
      <c r="E2188" s="454"/>
      <c r="F2188" s="455"/>
      <c r="G2188" s="455"/>
      <c r="H2188" s="455"/>
      <c r="I2188" s="455"/>
      <c r="J2188" s="455"/>
    </row>
    <row r="2189">
      <c r="A2189" s="934"/>
      <c r="B2189" s="557"/>
      <c r="C2189" s="936"/>
      <c r="D2189" s="439"/>
      <c r="E2189" s="454"/>
      <c r="F2189" s="455"/>
      <c r="G2189" s="455"/>
      <c r="H2189" s="455"/>
      <c r="I2189" s="455"/>
      <c r="J2189" s="455"/>
    </row>
    <row r="2190">
      <c r="A2190" s="934"/>
      <c r="B2190" s="557"/>
      <c r="C2190" s="936"/>
      <c r="D2190" s="439"/>
      <c r="E2190" s="454"/>
      <c r="F2190" s="455"/>
      <c r="G2190" s="455"/>
      <c r="H2190" s="455"/>
      <c r="I2190" s="455"/>
      <c r="J2190" s="455"/>
    </row>
    <row r="2191">
      <c r="A2191" s="934"/>
      <c r="B2191" s="557"/>
      <c r="C2191" s="936"/>
      <c r="D2191" s="439"/>
      <c r="E2191" s="454"/>
      <c r="F2191" s="455"/>
      <c r="G2191" s="455"/>
      <c r="H2191" s="455"/>
      <c r="I2191" s="455"/>
      <c r="J2191" s="455"/>
    </row>
    <row r="2192">
      <c r="A2192" s="934"/>
      <c r="B2192" s="557"/>
      <c r="C2192" s="936"/>
      <c r="D2192" s="439"/>
      <c r="E2192" s="454"/>
      <c r="F2192" s="455"/>
      <c r="G2192" s="455"/>
      <c r="H2192" s="455"/>
      <c r="I2192" s="455"/>
      <c r="J2192" s="455"/>
    </row>
    <row r="2193">
      <c r="A2193" s="934"/>
      <c r="B2193" s="557"/>
      <c r="C2193" s="936"/>
      <c r="D2193" s="439"/>
      <c r="E2193" s="454"/>
      <c r="F2193" s="455"/>
      <c r="G2193" s="455"/>
      <c r="H2193" s="455"/>
      <c r="I2193" s="455"/>
      <c r="J2193" s="455"/>
    </row>
    <row r="2194">
      <c r="A2194" s="934"/>
      <c r="B2194" s="557"/>
      <c r="C2194" s="936"/>
      <c r="D2194" s="439"/>
      <c r="E2194" s="454"/>
      <c r="F2194" s="455"/>
      <c r="G2194" s="455"/>
      <c r="H2194" s="455"/>
      <c r="I2194" s="455"/>
      <c r="J2194" s="455"/>
    </row>
    <row r="2195">
      <c r="A2195" s="934"/>
      <c r="B2195" s="557"/>
      <c r="C2195" s="936"/>
      <c r="D2195" s="439"/>
      <c r="E2195" s="454"/>
      <c r="F2195" s="455"/>
      <c r="G2195" s="455"/>
      <c r="H2195" s="455"/>
      <c r="I2195" s="455"/>
      <c r="J2195" s="455"/>
    </row>
    <row r="2196">
      <c r="A2196" s="934"/>
      <c r="B2196" s="557"/>
      <c r="C2196" s="936"/>
      <c r="D2196" s="439"/>
      <c r="E2196" s="454"/>
      <c r="F2196" s="455"/>
      <c r="G2196" s="455"/>
      <c r="H2196" s="455"/>
      <c r="I2196" s="455"/>
      <c r="J2196" s="455"/>
    </row>
    <row r="2197">
      <c r="A2197" s="934"/>
      <c r="B2197" s="557"/>
      <c r="C2197" s="936"/>
      <c r="D2197" s="439"/>
      <c r="E2197" s="454"/>
      <c r="F2197" s="455"/>
      <c r="G2197" s="455"/>
      <c r="H2197" s="455"/>
      <c r="I2197" s="455"/>
      <c r="J2197" s="455"/>
    </row>
    <row r="2198">
      <c r="A2198" s="934"/>
      <c r="B2198" s="557"/>
      <c r="C2198" s="936"/>
      <c r="D2198" s="439"/>
      <c r="E2198" s="454"/>
      <c r="F2198" s="455"/>
      <c r="G2198" s="455"/>
      <c r="H2198" s="455"/>
      <c r="I2198" s="455"/>
      <c r="J2198" s="455"/>
    </row>
    <row r="2199">
      <c r="A2199" s="934"/>
      <c r="B2199" s="557"/>
      <c r="C2199" s="936"/>
      <c r="D2199" s="439"/>
      <c r="E2199" s="454"/>
      <c r="F2199" s="455"/>
      <c r="G2199" s="455"/>
      <c r="H2199" s="455"/>
      <c r="I2199" s="455"/>
      <c r="J2199" s="455"/>
    </row>
    <row r="2200">
      <c r="A2200" s="934"/>
      <c r="B2200" s="557"/>
      <c r="C2200" s="936"/>
      <c r="D2200" s="439"/>
      <c r="E2200" s="454"/>
      <c r="F2200" s="455"/>
      <c r="G2200" s="455"/>
      <c r="H2200" s="455"/>
      <c r="I2200" s="455"/>
      <c r="J2200" s="455"/>
    </row>
    <row r="2201">
      <c r="A2201" s="934"/>
      <c r="B2201" s="557"/>
      <c r="C2201" s="936"/>
      <c r="D2201" s="439"/>
      <c r="E2201" s="454"/>
      <c r="F2201" s="455"/>
      <c r="G2201" s="455"/>
      <c r="H2201" s="455"/>
      <c r="I2201" s="455"/>
      <c r="J2201" s="455"/>
    </row>
    <row r="2202">
      <c r="A2202" s="934"/>
      <c r="B2202" s="557"/>
      <c r="C2202" s="936"/>
      <c r="D2202" s="439"/>
      <c r="E2202" s="454"/>
      <c r="F2202" s="455"/>
      <c r="G2202" s="455"/>
      <c r="H2202" s="455"/>
      <c r="I2202" s="455"/>
      <c r="J2202" s="455"/>
    </row>
    <row r="2203">
      <c r="A2203" s="934"/>
      <c r="B2203" s="557"/>
      <c r="C2203" s="936"/>
      <c r="D2203" s="439"/>
      <c r="E2203" s="454"/>
      <c r="F2203" s="455"/>
      <c r="G2203" s="455"/>
      <c r="H2203" s="455"/>
      <c r="I2203" s="455"/>
      <c r="J2203" s="455"/>
    </row>
    <row r="2204">
      <c r="A2204" s="934"/>
      <c r="B2204" s="557"/>
      <c r="C2204" s="936"/>
      <c r="D2204" s="439"/>
      <c r="E2204" s="454"/>
      <c r="F2204" s="455"/>
      <c r="G2204" s="455"/>
      <c r="H2204" s="455"/>
      <c r="I2204" s="455"/>
      <c r="J2204" s="455"/>
    </row>
    <row r="2205">
      <c r="A2205" s="934"/>
      <c r="B2205" s="557"/>
      <c r="C2205" s="936"/>
      <c r="D2205" s="439"/>
      <c r="E2205" s="454"/>
      <c r="F2205" s="455"/>
      <c r="G2205" s="455"/>
      <c r="H2205" s="455"/>
      <c r="I2205" s="455"/>
      <c r="J2205" s="455"/>
    </row>
    <row r="2206">
      <c r="A2206" s="934"/>
      <c r="B2206" s="557"/>
      <c r="C2206" s="936"/>
      <c r="D2206" s="439"/>
      <c r="E2206" s="454"/>
      <c r="F2206" s="455"/>
      <c r="G2206" s="455"/>
      <c r="H2206" s="455"/>
      <c r="I2206" s="455"/>
      <c r="J2206" s="455"/>
    </row>
    <row r="2207">
      <c r="A2207" s="934"/>
      <c r="B2207" s="557"/>
      <c r="C2207" s="936"/>
      <c r="D2207" s="439"/>
      <c r="E2207" s="454"/>
      <c r="F2207" s="455"/>
      <c r="G2207" s="455"/>
      <c r="H2207" s="455"/>
      <c r="I2207" s="455"/>
      <c r="J2207" s="455"/>
    </row>
    <row r="2208">
      <c r="A2208" s="934"/>
      <c r="B2208" s="557"/>
      <c r="C2208" s="936"/>
      <c r="D2208" s="439"/>
      <c r="E2208" s="454"/>
      <c r="F2208" s="455"/>
      <c r="G2208" s="455"/>
      <c r="H2208" s="455"/>
      <c r="I2208" s="455"/>
      <c r="J2208" s="455"/>
    </row>
    <row r="2209">
      <c r="A2209" s="934"/>
      <c r="B2209" s="557"/>
      <c r="C2209" s="936"/>
      <c r="D2209" s="439"/>
      <c r="E2209" s="454"/>
      <c r="F2209" s="455"/>
      <c r="G2209" s="455"/>
      <c r="H2209" s="455"/>
      <c r="I2209" s="455"/>
      <c r="J2209" s="455"/>
    </row>
    <row r="2210">
      <c r="A2210" s="934"/>
      <c r="B2210" s="557"/>
      <c r="C2210" s="936"/>
      <c r="D2210" s="439"/>
      <c r="E2210" s="454"/>
      <c r="F2210" s="455"/>
      <c r="G2210" s="455"/>
      <c r="H2210" s="455"/>
      <c r="I2210" s="455"/>
      <c r="J2210" s="455"/>
    </row>
    <row r="2211">
      <c r="A2211" s="934"/>
      <c r="B2211" s="557"/>
      <c r="C2211" s="936"/>
      <c r="D2211" s="439"/>
      <c r="E2211" s="454"/>
      <c r="F2211" s="455"/>
      <c r="G2211" s="455"/>
      <c r="H2211" s="455"/>
      <c r="I2211" s="455"/>
      <c r="J2211" s="455"/>
    </row>
    <row r="2212">
      <c r="A2212" s="934"/>
      <c r="B2212" s="557"/>
      <c r="C2212" s="936"/>
      <c r="D2212" s="439"/>
      <c r="E2212" s="454"/>
      <c r="F2212" s="455"/>
      <c r="G2212" s="455"/>
      <c r="H2212" s="455"/>
      <c r="I2212" s="455"/>
      <c r="J2212" s="455"/>
    </row>
    <row r="2213">
      <c r="A2213" s="934"/>
      <c r="B2213" s="557"/>
      <c r="C2213" s="936"/>
      <c r="D2213" s="439"/>
      <c r="E2213" s="454"/>
      <c r="F2213" s="455"/>
      <c r="G2213" s="455"/>
      <c r="H2213" s="455"/>
      <c r="I2213" s="455"/>
      <c r="J2213" s="455"/>
    </row>
    <row r="2214">
      <c r="A2214" s="934"/>
      <c r="B2214" s="557"/>
      <c r="C2214" s="936"/>
      <c r="D2214" s="439"/>
      <c r="E2214" s="454"/>
      <c r="F2214" s="455"/>
      <c r="G2214" s="455"/>
      <c r="H2214" s="455"/>
      <c r="I2214" s="455"/>
      <c r="J2214" s="455"/>
    </row>
    <row r="2215">
      <c r="A2215" s="934"/>
      <c r="B2215" s="557"/>
      <c r="C2215" s="936"/>
      <c r="D2215" s="439"/>
      <c r="E2215" s="454"/>
      <c r="F2215" s="455"/>
      <c r="G2215" s="455"/>
      <c r="H2215" s="455"/>
      <c r="I2215" s="455"/>
      <c r="J2215" s="455"/>
    </row>
    <row r="2216">
      <c r="A2216" s="934"/>
      <c r="B2216" s="557"/>
      <c r="C2216" s="936"/>
      <c r="D2216" s="439"/>
      <c r="E2216" s="454"/>
      <c r="F2216" s="455"/>
      <c r="G2216" s="455"/>
      <c r="H2216" s="455"/>
      <c r="I2216" s="455"/>
      <c r="J2216" s="455"/>
    </row>
    <row r="2217">
      <c r="A2217" s="934"/>
      <c r="B2217" s="557"/>
      <c r="C2217" s="936"/>
      <c r="D2217" s="439"/>
      <c r="E2217" s="454"/>
      <c r="F2217" s="455"/>
      <c r="G2217" s="455"/>
      <c r="H2217" s="455"/>
      <c r="I2217" s="455"/>
      <c r="J2217" s="455"/>
    </row>
    <row r="2218">
      <c r="A2218" s="934"/>
      <c r="B2218" s="557"/>
      <c r="C2218" s="936"/>
      <c r="D2218" s="439"/>
      <c r="E2218" s="454"/>
      <c r="F2218" s="455"/>
      <c r="G2218" s="455"/>
      <c r="H2218" s="455"/>
      <c r="I2218" s="455"/>
      <c r="J2218" s="455"/>
    </row>
    <row r="2219">
      <c r="A2219" s="934"/>
      <c r="B2219" s="557"/>
      <c r="C2219" s="936"/>
      <c r="D2219" s="439"/>
      <c r="E2219" s="454"/>
      <c r="F2219" s="455"/>
      <c r="G2219" s="455"/>
      <c r="H2219" s="455"/>
      <c r="I2219" s="455"/>
      <c r="J2219" s="455"/>
    </row>
    <row r="2220">
      <c r="A2220" s="934"/>
      <c r="B2220" s="557"/>
      <c r="C2220" s="936"/>
      <c r="D2220" s="439"/>
      <c r="E2220" s="454"/>
      <c r="F2220" s="455"/>
      <c r="G2220" s="455"/>
      <c r="H2220" s="455"/>
      <c r="I2220" s="455"/>
      <c r="J2220" s="455"/>
    </row>
    <row r="2221">
      <c r="A2221" s="934"/>
      <c r="B2221" s="557"/>
      <c r="C2221" s="936"/>
      <c r="D2221" s="439"/>
      <c r="E2221" s="454"/>
      <c r="F2221" s="455"/>
      <c r="G2221" s="455"/>
      <c r="H2221" s="455"/>
      <c r="I2221" s="455"/>
      <c r="J2221" s="455"/>
    </row>
    <row r="2222">
      <c r="A2222" s="934"/>
      <c r="B2222" s="557"/>
      <c r="C2222" s="936"/>
      <c r="D2222" s="439"/>
      <c r="E2222" s="454"/>
      <c r="F2222" s="455"/>
      <c r="G2222" s="455"/>
      <c r="H2222" s="455"/>
      <c r="I2222" s="455"/>
      <c r="J2222" s="455"/>
    </row>
    <row r="2223">
      <c r="A2223" s="934"/>
      <c r="B2223" s="557"/>
      <c r="C2223" s="936"/>
      <c r="D2223" s="439"/>
      <c r="E2223" s="454"/>
      <c r="F2223" s="455"/>
      <c r="G2223" s="455"/>
      <c r="H2223" s="455"/>
      <c r="I2223" s="455"/>
      <c r="J2223" s="455"/>
    </row>
    <row r="2224">
      <c r="A2224" s="934"/>
      <c r="B2224" s="557"/>
      <c r="C2224" s="936"/>
      <c r="D2224" s="439"/>
      <c r="E2224" s="454"/>
      <c r="F2224" s="455"/>
      <c r="G2224" s="455"/>
      <c r="H2224" s="455"/>
      <c r="I2224" s="455"/>
      <c r="J2224" s="455"/>
    </row>
    <row r="2225">
      <c r="A2225" s="934"/>
      <c r="B2225" s="557"/>
      <c r="C2225" s="936"/>
      <c r="D2225" s="439"/>
      <c r="E2225" s="454"/>
      <c r="F2225" s="455"/>
      <c r="G2225" s="455"/>
      <c r="H2225" s="455"/>
      <c r="I2225" s="455"/>
      <c r="J2225" s="455"/>
    </row>
    <row r="2226">
      <c r="A2226" s="934"/>
      <c r="B2226" s="557"/>
      <c r="C2226" s="936"/>
      <c r="D2226" s="439"/>
      <c r="E2226" s="454"/>
      <c r="F2226" s="455"/>
      <c r="G2226" s="455"/>
      <c r="H2226" s="455"/>
      <c r="I2226" s="455"/>
      <c r="J2226" s="455"/>
    </row>
    <row r="2227">
      <c r="A2227" s="934"/>
      <c r="B2227" s="557"/>
      <c r="C2227" s="936"/>
      <c r="D2227" s="439"/>
      <c r="E2227" s="454"/>
      <c r="F2227" s="455"/>
      <c r="G2227" s="455"/>
      <c r="H2227" s="455"/>
      <c r="I2227" s="455"/>
      <c r="J2227" s="455"/>
    </row>
    <row r="2228">
      <c r="A2228" s="934"/>
      <c r="B2228" s="557"/>
      <c r="C2228" s="936"/>
      <c r="D2228" s="439"/>
      <c r="E2228" s="454"/>
      <c r="F2228" s="455"/>
      <c r="G2228" s="455"/>
      <c r="H2228" s="455"/>
      <c r="I2228" s="455"/>
      <c r="J2228" s="455"/>
    </row>
    <row r="2229">
      <c r="A2229" s="934"/>
      <c r="B2229" s="557"/>
      <c r="C2229" s="936"/>
      <c r="D2229" s="439"/>
      <c r="E2229" s="454"/>
      <c r="F2229" s="455"/>
      <c r="G2229" s="455"/>
      <c r="H2229" s="455"/>
      <c r="I2229" s="455"/>
      <c r="J2229" s="455"/>
    </row>
    <row r="2230">
      <c r="A2230" s="934"/>
      <c r="B2230" s="557"/>
      <c r="C2230" s="936"/>
      <c r="D2230" s="439"/>
      <c r="E2230" s="454"/>
      <c r="F2230" s="455"/>
      <c r="G2230" s="455"/>
      <c r="H2230" s="455"/>
      <c r="I2230" s="455"/>
      <c r="J2230" s="455"/>
    </row>
    <row r="2231">
      <c r="A2231" s="934"/>
      <c r="B2231" s="557"/>
      <c r="C2231" s="936"/>
      <c r="D2231" s="439"/>
      <c r="E2231" s="454"/>
      <c r="F2231" s="455"/>
      <c r="G2231" s="455"/>
      <c r="H2231" s="455"/>
      <c r="I2231" s="455"/>
      <c r="J2231" s="455"/>
    </row>
    <row r="2232">
      <c r="A2232" s="934"/>
      <c r="B2232" s="557"/>
      <c r="C2232" s="936"/>
      <c r="D2232" s="439"/>
      <c r="E2232" s="454"/>
      <c r="F2232" s="455"/>
      <c r="G2232" s="455"/>
      <c r="H2232" s="455"/>
      <c r="I2232" s="455"/>
      <c r="J2232" s="455"/>
    </row>
    <row r="2233">
      <c r="A2233" s="934"/>
      <c r="B2233" s="557"/>
      <c r="C2233" s="936"/>
      <c r="D2233" s="439"/>
      <c r="E2233" s="454"/>
      <c r="F2233" s="455"/>
      <c r="G2233" s="455"/>
      <c r="H2233" s="455"/>
      <c r="I2233" s="455"/>
      <c r="J2233" s="455"/>
    </row>
    <row r="2234">
      <c r="A2234" s="934"/>
      <c r="B2234" s="557"/>
      <c r="C2234" s="936"/>
      <c r="D2234" s="439"/>
      <c r="E2234" s="454"/>
      <c r="F2234" s="455"/>
      <c r="G2234" s="455"/>
      <c r="H2234" s="455"/>
      <c r="I2234" s="455"/>
      <c r="J2234" s="455"/>
    </row>
    <row r="2235">
      <c r="A2235" s="934"/>
      <c r="B2235" s="557"/>
      <c r="C2235" s="936"/>
      <c r="D2235" s="439"/>
      <c r="E2235" s="454"/>
      <c r="F2235" s="455"/>
      <c r="G2235" s="455"/>
      <c r="H2235" s="455"/>
      <c r="I2235" s="455"/>
      <c r="J2235" s="455"/>
    </row>
    <row r="2236">
      <c r="A2236" s="934"/>
      <c r="B2236" s="557"/>
      <c r="C2236" s="936"/>
      <c r="D2236" s="439"/>
      <c r="E2236" s="454"/>
      <c r="F2236" s="455"/>
      <c r="G2236" s="455"/>
      <c r="H2236" s="455"/>
      <c r="I2236" s="455"/>
      <c r="J2236" s="455"/>
    </row>
    <row r="2237">
      <c r="A2237" s="934"/>
      <c r="B2237" s="557"/>
      <c r="C2237" s="936"/>
      <c r="D2237" s="439"/>
      <c r="E2237" s="454"/>
      <c r="F2237" s="455"/>
      <c r="G2237" s="455"/>
      <c r="H2237" s="455"/>
      <c r="I2237" s="455"/>
      <c r="J2237" s="455"/>
    </row>
    <row r="2238">
      <c r="A2238" s="934"/>
      <c r="B2238" s="557"/>
      <c r="C2238" s="936"/>
      <c r="D2238" s="439"/>
      <c r="E2238" s="454"/>
      <c r="F2238" s="455"/>
      <c r="G2238" s="455"/>
      <c r="H2238" s="455"/>
      <c r="I2238" s="455"/>
      <c r="J2238" s="455"/>
    </row>
    <row r="2239">
      <c r="A2239" s="934"/>
      <c r="B2239" s="557"/>
      <c r="C2239" s="936"/>
      <c r="D2239" s="439"/>
      <c r="E2239" s="454"/>
      <c r="F2239" s="455"/>
      <c r="G2239" s="455"/>
      <c r="H2239" s="455"/>
      <c r="I2239" s="455"/>
      <c r="J2239" s="455"/>
    </row>
    <row r="2240">
      <c r="A2240" s="934"/>
      <c r="B2240" s="557"/>
      <c r="C2240" s="936"/>
      <c r="D2240" s="439"/>
      <c r="E2240" s="454"/>
      <c r="F2240" s="455"/>
      <c r="G2240" s="455"/>
      <c r="H2240" s="455"/>
      <c r="I2240" s="455"/>
      <c r="J2240" s="455"/>
    </row>
    <row r="2241">
      <c r="A2241" s="934"/>
      <c r="B2241" s="557"/>
      <c r="C2241" s="936"/>
      <c r="D2241" s="439"/>
      <c r="E2241" s="454"/>
      <c r="F2241" s="455"/>
      <c r="G2241" s="455"/>
      <c r="H2241" s="455"/>
      <c r="I2241" s="455"/>
      <c r="J2241" s="455"/>
    </row>
    <row r="2242">
      <c r="A2242" s="934"/>
      <c r="B2242" s="557"/>
      <c r="C2242" s="936"/>
      <c r="D2242" s="439"/>
      <c r="E2242" s="454"/>
      <c r="F2242" s="455"/>
      <c r="G2242" s="455"/>
      <c r="H2242" s="455"/>
      <c r="I2242" s="455"/>
      <c r="J2242" s="455"/>
    </row>
    <row r="2243">
      <c r="A2243" s="934"/>
      <c r="B2243" s="557"/>
      <c r="C2243" s="936"/>
      <c r="D2243" s="439"/>
      <c r="E2243" s="454"/>
      <c r="F2243" s="455"/>
      <c r="G2243" s="455"/>
      <c r="H2243" s="455"/>
      <c r="I2243" s="455"/>
      <c r="J2243" s="455"/>
    </row>
    <row r="2244">
      <c r="A2244" s="934"/>
      <c r="B2244" s="557"/>
      <c r="C2244" s="936"/>
      <c r="D2244" s="439"/>
      <c r="E2244" s="454"/>
      <c r="F2244" s="455"/>
      <c r="G2244" s="455"/>
      <c r="H2244" s="455"/>
      <c r="I2244" s="455"/>
      <c r="J2244" s="455"/>
    </row>
    <row r="2245">
      <c r="A2245" s="934"/>
      <c r="B2245" s="557"/>
      <c r="C2245" s="936"/>
      <c r="D2245" s="439"/>
      <c r="E2245" s="454"/>
      <c r="F2245" s="455"/>
      <c r="G2245" s="455"/>
      <c r="H2245" s="455"/>
      <c r="I2245" s="455"/>
      <c r="J2245" s="455"/>
    </row>
    <row r="2246">
      <c r="A2246" s="934"/>
      <c r="B2246" s="557"/>
      <c r="C2246" s="936"/>
      <c r="D2246" s="439"/>
      <c r="E2246" s="454"/>
      <c r="F2246" s="455"/>
      <c r="G2246" s="455"/>
      <c r="H2246" s="455"/>
      <c r="I2246" s="455"/>
      <c r="J2246" s="455"/>
    </row>
    <row r="2247">
      <c r="A2247" s="934"/>
      <c r="B2247" s="557"/>
      <c r="C2247" s="936"/>
      <c r="D2247" s="439"/>
      <c r="E2247" s="454"/>
      <c r="F2247" s="455"/>
      <c r="G2247" s="455"/>
      <c r="H2247" s="455"/>
      <c r="I2247" s="455"/>
      <c r="J2247" s="455"/>
    </row>
    <row r="2248">
      <c r="A2248" s="934"/>
      <c r="B2248" s="557"/>
      <c r="C2248" s="936"/>
      <c r="D2248" s="439"/>
      <c r="E2248" s="454"/>
      <c r="F2248" s="455"/>
      <c r="G2248" s="455"/>
      <c r="H2248" s="455"/>
      <c r="I2248" s="455"/>
      <c r="J2248" s="455"/>
    </row>
    <row r="2249">
      <c r="A2249" s="934"/>
      <c r="B2249" s="557"/>
      <c r="C2249" s="936"/>
      <c r="D2249" s="439"/>
      <c r="E2249" s="454"/>
      <c r="F2249" s="455"/>
      <c r="G2249" s="455"/>
      <c r="H2249" s="455"/>
      <c r="I2249" s="455"/>
      <c r="J2249" s="455"/>
    </row>
    <row r="2250">
      <c r="A2250" s="934"/>
      <c r="B2250" s="557"/>
      <c r="C2250" s="936"/>
      <c r="D2250" s="439"/>
      <c r="E2250" s="454"/>
      <c r="F2250" s="455"/>
      <c r="G2250" s="455"/>
      <c r="H2250" s="455"/>
      <c r="I2250" s="455"/>
      <c r="J2250" s="455"/>
    </row>
    <row r="2251">
      <c r="A2251" s="934"/>
      <c r="B2251" s="557"/>
      <c r="C2251" s="936"/>
      <c r="D2251" s="439"/>
      <c r="E2251" s="454"/>
      <c r="F2251" s="455"/>
      <c r="G2251" s="455"/>
      <c r="H2251" s="455"/>
      <c r="I2251" s="455"/>
      <c r="J2251" s="455"/>
    </row>
    <row r="2252">
      <c r="A2252" s="934"/>
      <c r="B2252" s="557"/>
      <c r="C2252" s="936"/>
      <c r="D2252" s="439"/>
      <c r="E2252" s="454"/>
      <c r="F2252" s="455"/>
      <c r="G2252" s="455"/>
      <c r="H2252" s="455"/>
      <c r="I2252" s="455"/>
      <c r="J2252" s="455"/>
    </row>
    <row r="2253">
      <c r="A2253" s="934"/>
      <c r="B2253" s="557"/>
      <c r="C2253" s="936"/>
      <c r="D2253" s="439"/>
      <c r="E2253" s="454"/>
      <c r="F2253" s="455"/>
      <c r="G2253" s="455"/>
      <c r="H2253" s="455"/>
      <c r="I2253" s="455"/>
      <c r="J2253" s="455"/>
    </row>
    <row r="2254">
      <c r="A2254" s="934"/>
      <c r="B2254" s="557"/>
      <c r="C2254" s="936"/>
      <c r="D2254" s="439"/>
      <c r="E2254" s="454"/>
      <c r="F2254" s="455"/>
      <c r="G2254" s="455"/>
      <c r="H2254" s="455"/>
      <c r="I2254" s="455"/>
      <c r="J2254" s="455"/>
    </row>
    <row r="2255">
      <c r="A2255" s="934"/>
      <c r="B2255" s="557"/>
      <c r="C2255" s="936"/>
      <c r="D2255" s="439"/>
      <c r="E2255" s="454"/>
      <c r="F2255" s="455"/>
      <c r="G2255" s="455"/>
      <c r="H2255" s="455"/>
      <c r="I2255" s="455"/>
      <c r="J2255" s="455"/>
    </row>
    <row r="2256">
      <c r="A2256" s="934"/>
      <c r="B2256" s="557"/>
      <c r="C2256" s="936"/>
      <c r="D2256" s="439"/>
      <c r="E2256" s="454"/>
      <c r="F2256" s="455"/>
      <c r="G2256" s="455"/>
      <c r="H2256" s="455"/>
      <c r="I2256" s="455"/>
      <c r="J2256" s="455"/>
    </row>
    <row r="2257">
      <c r="A2257" s="934"/>
      <c r="B2257" s="557"/>
      <c r="C2257" s="936"/>
      <c r="D2257" s="439"/>
      <c r="E2257" s="454"/>
      <c r="F2257" s="455"/>
      <c r="G2257" s="455"/>
      <c r="H2257" s="455"/>
      <c r="I2257" s="455"/>
      <c r="J2257" s="455"/>
    </row>
    <row r="2258">
      <c r="A2258" s="934"/>
      <c r="B2258" s="557"/>
      <c r="C2258" s="936"/>
      <c r="D2258" s="439"/>
      <c r="E2258" s="454"/>
      <c r="F2258" s="455"/>
      <c r="G2258" s="455"/>
      <c r="H2258" s="455"/>
      <c r="I2258" s="455"/>
      <c r="J2258" s="455"/>
    </row>
    <row r="2259">
      <c r="A2259" s="934"/>
      <c r="B2259" s="557"/>
      <c r="C2259" s="936"/>
      <c r="D2259" s="439"/>
      <c r="E2259" s="454"/>
      <c r="F2259" s="455"/>
      <c r="G2259" s="455"/>
      <c r="H2259" s="455"/>
      <c r="I2259" s="455"/>
      <c r="J2259" s="455"/>
    </row>
    <row r="2260">
      <c r="A2260" s="934"/>
      <c r="B2260" s="557"/>
      <c r="C2260" s="936"/>
      <c r="D2260" s="439"/>
      <c r="E2260" s="454"/>
      <c r="F2260" s="455"/>
      <c r="G2260" s="455"/>
      <c r="H2260" s="455"/>
      <c r="I2260" s="455"/>
      <c r="J2260" s="455"/>
    </row>
    <row r="2261">
      <c r="A2261" s="934"/>
      <c r="B2261" s="557"/>
      <c r="C2261" s="936"/>
      <c r="D2261" s="439"/>
      <c r="E2261" s="454"/>
      <c r="F2261" s="455"/>
      <c r="G2261" s="455"/>
      <c r="H2261" s="455"/>
      <c r="I2261" s="455"/>
      <c r="J2261" s="455"/>
    </row>
    <row r="2262">
      <c r="A2262" s="934"/>
      <c r="B2262" s="557"/>
      <c r="C2262" s="936"/>
      <c r="D2262" s="439"/>
      <c r="E2262" s="454"/>
      <c r="F2262" s="455"/>
      <c r="G2262" s="455"/>
      <c r="H2262" s="455"/>
      <c r="I2262" s="455"/>
      <c r="J2262" s="455"/>
    </row>
    <row r="2263">
      <c r="A2263" s="934"/>
      <c r="B2263" s="557"/>
      <c r="C2263" s="936"/>
      <c r="D2263" s="439"/>
      <c r="E2263" s="454"/>
      <c r="F2263" s="455"/>
      <c r="G2263" s="455"/>
      <c r="H2263" s="455"/>
      <c r="I2263" s="455"/>
      <c r="J2263" s="455"/>
    </row>
    <row r="2264">
      <c r="A2264" s="934"/>
      <c r="B2264" s="557"/>
      <c r="C2264" s="936"/>
      <c r="D2264" s="439"/>
      <c r="E2264" s="454"/>
      <c r="F2264" s="455"/>
      <c r="G2264" s="455"/>
      <c r="H2264" s="455"/>
      <c r="I2264" s="455"/>
      <c r="J2264" s="455"/>
    </row>
    <row r="2265">
      <c r="A2265" s="934"/>
      <c r="B2265" s="557"/>
      <c r="C2265" s="936"/>
      <c r="D2265" s="439"/>
      <c r="E2265" s="454"/>
      <c r="F2265" s="455"/>
      <c r="G2265" s="455"/>
      <c r="H2265" s="455"/>
      <c r="I2265" s="455"/>
      <c r="J2265" s="455"/>
    </row>
    <row r="2266">
      <c r="A2266" s="934"/>
      <c r="B2266" s="557"/>
      <c r="C2266" s="936"/>
      <c r="D2266" s="439"/>
      <c r="E2266" s="454"/>
      <c r="F2266" s="455"/>
      <c r="G2266" s="455"/>
      <c r="H2266" s="455"/>
      <c r="I2266" s="455"/>
      <c r="J2266" s="455"/>
    </row>
    <row r="2267">
      <c r="A2267" s="934"/>
      <c r="B2267" s="557"/>
      <c r="C2267" s="936"/>
      <c r="D2267" s="439"/>
      <c r="E2267" s="454"/>
      <c r="F2267" s="455"/>
      <c r="G2267" s="455"/>
      <c r="H2267" s="455"/>
      <c r="I2267" s="455"/>
      <c r="J2267" s="455"/>
    </row>
    <row r="2268">
      <c r="A2268" s="934"/>
      <c r="B2268" s="557"/>
      <c r="C2268" s="936"/>
      <c r="D2268" s="439"/>
      <c r="E2268" s="454"/>
      <c r="F2268" s="455"/>
      <c r="G2268" s="455"/>
      <c r="H2268" s="455"/>
      <c r="I2268" s="455"/>
      <c r="J2268" s="455"/>
    </row>
    <row r="2269">
      <c r="A2269" s="934"/>
      <c r="B2269" s="557"/>
      <c r="C2269" s="936"/>
      <c r="D2269" s="439"/>
      <c r="E2269" s="454"/>
      <c r="F2269" s="455"/>
      <c r="G2269" s="455"/>
      <c r="H2269" s="455"/>
      <c r="I2269" s="455"/>
      <c r="J2269" s="455"/>
    </row>
    <row r="2270">
      <c r="A2270" s="934"/>
      <c r="B2270" s="557"/>
      <c r="C2270" s="936"/>
      <c r="D2270" s="439"/>
      <c r="E2270" s="454"/>
      <c r="F2270" s="455"/>
      <c r="G2270" s="455"/>
      <c r="H2270" s="455"/>
      <c r="I2270" s="455"/>
      <c r="J2270" s="455"/>
    </row>
    <row r="2271">
      <c r="A2271" s="934"/>
      <c r="B2271" s="557"/>
      <c r="C2271" s="936"/>
      <c r="D2271" s="439"/>
      <c r="E2271" s="454"/>
      <c r="F2271" s="455"/>
      <c r="G2271" s="455"/>
      <c r="H2271" s="455"/>
      <c r="I2271" s="455"/>
      <c r="J2271" s="455"/>
    </row>
    <row r="2272">
      <c r="A2272" s="934"/>
      <c r="B2272" s="557"/>
      <c r="C2272" s="936"/>
      <c r="D2272" s="439"/>
      <c r="E2272" s="454"/>
      <c r="F2272" s="455"/>
      <c r="G2272" s="455"/>
      <c r="H2272" s="455"/>
      <c r="I2272" s="455"/>
      <c r="J2272" s="455"/>
    </row>
    <row r="2273">
      <c r="A2273" s="934"/>
      <c r="B2273" s="557"/>
      <c r="C2273" s="936"/>
      <c r="D2273" s="439"/>
      <c r="E2273" s="454"/>
      <c r="F2273" s="455"/>
      <c r="G2273" s="455"/>
      <c r="H2273" s="455"/>
      <c r="I2273" s="455"/>
      <c r="J2273" s="455"/>
    </row>
    <row r="2274">
      <c r="A2274" s="934"/>
      <c r="B2274" s="557"/>
      <c r="C2274" s="936"/>
      <c r="D2274" s="439"/>
      <c r="E2274" s="454"/>
      <c r="F2274" s="455"/>
      <c r="G2274" s="455"/>
      <c r="H2274" s="455"/>
      <c r="I2274" s="455"/>
      <c r="J2274" s="455"/>
    </row>
    <row r="2275">
      <c r="A2275" s="934"/>
      <c r="B2275" s="557"/>
      <c r="C2275" s="936"/>
      <c r="D2275" s="439"/>
      <c r="E2275" s="454"/>
      <c r="F2275" s="455"/>
      <c r="G2275" s="455"/>
      <c r="H2275" s="455"/>
      <c r="I2275" s="455"/>
      <c r="J2275" s="455"/>
    </row>
    <row r="2276">
      <c r="A2276" s="934"/>
      <c r="B2276" s="557"/>
      <c r="C2276" s="936"/>
      <c r="D2276" s="439"/>
      <c r="E2276" s="454"/>
      <c r="F2276" s="455"/>
      <c r="G2276" s="455"/>
      <c r="H2276" s="455"/>
      <c r="I2276" s="455"/>
      <c r="J2276" s="455"/>
    </row>
    <row r="2277">
      <c r="A2277" s="934"/>
      <c r="B2277" s="557"/>
      <c r="C2277" s="936"/>
      <c r="D2277" s="439"/>
      <c r="E2277" s="454"/>
      <c r="F2277" s="455"/>
      <c r="G2277" s="455"/>
      <c r="H2277" s="455"/>
      <c r="I2277" s="455"/>
      <c r="J2277" s="455"/>
    </row>
    <row r="2278">
      <c r="A2278" s="934"/>
      <c r="B2278" s="557"/>
      <c r="C2278" s="936"/>
      <c r="D2278" s="439"/>
      <c r="E2278" s="454"/>
      <c r="F2278" s="455"/>
      <c r="G2278" s="455"/>
      <c r="H2278" s="455"/>
      <c r="I2278" s="455"/>
      <c r="J2278" s="455"/>
    </row>
    <row r="2279">
      <c r="A2279" s="934"/>
      <c r="B2279" s="557"/>
      <c r="C2279" s="936"/>
      <c r="D2279" s="439"/>
      <c r="E2279" s="454"/>
      <c r="F2279" s="455"/>
      <c r="G2279" s="455"/>
      <c r="H2279" s="455"/>
      <c r="I2279" s="455"/>
      <c r="J2279" s="455"/>
    </row>
    <row r="2280">
      <c r="A2280" s="934"/>
      <c r="B2280" s="557"/>
      <c r="C2280" s="936"/>
      <c r="D2280" s="439"/>
      <c r="E2280" s="454"/>
      <c r="F2280" s="455"/>
      <c r="G2280" s="455"/>
      <c r="H2280" s="455"/>
      <c r="I2280" s="455"/>
      <c r="J2280" s="455"/>
    </row>
    <row r="2281">
      <c r="A2281" s="934"/>
      <c r="B2281" s="557"/>
      <c r="C2281" s="936"/>
      <c r="D2281" s="439"/>
      <c r="E2281" s="454"/>
      <c r="F2281" s="455"/>
      <c r="G2281" s="455"/>
      <c r="H2281" s="455"/>
      <c r="I2281" s="455"/>
      <c r="J2281" s="455"/>
    </row>
    <row r="2282">
      <c r="A2282" s="934"/>
      <c r="B2282" s="557"/>
      <c r="C2282" s="936"/>
      <c r="D2282" s="439"/>
      <c r="E2282" s="454"/>
      <c r="F2282" s="455"/>
      <c r="G2282" s="455"/>
      <c r="H2282" s="455"/>
      <c r="I2282" s="455"/>
      <c r="J2282" s="455"/>
    </row>
    <row r="2283">
      <c r="A2283" s="934"/>
      <c r="B2283" s="557"/>
      <c r="C2283" s="936"/>
      <c r="D2283" s="439"/>
      <c r="E2283" s="454"/>
      <c r="F2283" s="455"/>
      <c r="G2283" s="455"/>
      <c r="H2283" s="455"/>
      <c r="I2283" s="455"/>
      <c r="J2283" s="455"/>
    </row>
    <row r="2284">
      <c r="A2284" s="934"/>
      <c r="B2284" s="557"/>
      <c r="C2284" s="936"/>
      <c r="D2284" s="439"/>
      <c r="E2284" s="454"/>
      <c r="F2284" s="455"/>
      <c r="G2284" s="455"/>
      <c r="H2284" s="455"/>
      <c r="I2284" s="455"/>
      <c r="J2284" s="455"/>
    </row>
    <row r="2285">
      <c r="A2285" s="934"/>
      <c r="B2285" s="557"/>
      <c r="C2285" s="936"/>
      <c r="D2285" s="439"/>
      <c r="E2285" s="454"/>
      <c r="F2285" s="455"/>
      <c r="G2285" s="455"/>
      <c r="H2285" s="455"/>
      <c r="I2285" s="455"/>
      <c r="J2285" s="455"/>
    </row>
    <row r="2286">
      <c r="A2286" s="934"/>
      <c r="B2286" s="557"/>
      <c r="C2286" s="936"/>
      <c r="D2286" s="439"/>
      <c r="E2286" s="454"/>
      <c r="F2286" s="455"/>
      <c r="G2286" s="455"/>
      <c r="H2286" s="455"/>
      <c r="I2286" s="455"/>
      <c r="J2286" s="455"/>
    </row>
    <row r="2287">
      <c r="A2287" s="934"/>
      <c r="B2287" s="557"/>
      <c r="C2287" s="936"/>
      <c r="D2287" s="439"/>
      <c r="E2287" s="454"/>
      <c r="F2287" s="455"/>
      <c r="G2287" s="455"/>
      <c r="H2287" s="455"/>
      <c r="I2287" s="455"/>
      <c r="J2287" s="455"/>
    </row>
    <row r="2288">
      <c r="A2288" s="934"/>
      <c r="B2288" s="557"/>
      <c r="C2288" s="936"/>
      <c r="D2288" s="439"/>
      <c r="E2288" s="454"/>
      <c r="F2288" s="455"/>
      <c r="G2288" s="455"/>
      <c r="H2288" s="455"/>
      <c r="I2288" s="455"/>
      <c r="J2288" s="455"/>
    </row>
    <row r="2289">
      <c r="A2289" s="934"/>
      <c r="B2289" s="557"/>
      <c r="C2289" s="936"/>
      <c r="D2289" s="439"/>
      <c r="E2289" s="454"/>
      <c r="F2289" s="455"/>
      <c r="G2289" s="455"/>
      <c r="H2289" s="455"/>
      <c r="I2289" s="455"/>
      <c r="J2289" s="455"/>
    </row>
    <row r="2290">
      <c r="A2290" s="934"/>
      <c r="B2290" s="557"/>
      <c r="C2290" s="936"/>
      <c r="D2290" s="439"/>
      <c r="E2290" s="454"/>
      <c r="F2290" s="455"/>
      <c r="G2290" s="455"/>
      <c r="H2290" s="455"/>
      <c r="I2290" s="455"/>
      <c r="J2290" s="455"/>
    </row>
    <row r="2291">
      <c r="A2291" s="934"/>
      <c r="B2291" s="557"/>
      <c r="C2291" s="936"/>
      <c r="D2291" s="439"/>
      <c r="E2291" s="454"/>
      <c r="F2291" s="455"/>
      <c r="G2291" s="455"/>
      <c r="H2291" s="455"/>
      <c r="I2291" s="455"/>
      <c r="J2291" s="455"/>
    </row>
    <row r="2292">
      <c r="A2292" s="934"/>
      <c r="B2292" s="557"/>
      <c r="C2292" s="936"/>
      <c r="D2292" s="439"/>
      <c r="E2292" s="454"/>
      <c r="F2292" s="455"/>
      <c r="G2292" s="455"/>
      <c r="H2292" s="455"/>
      <c r="I2292" s="455"/>
      <c r="J2292" s="455"/>
    </row>
    <row r="2293">
      <c r="A2293" s="934"/>
      <c r="B2293" s="557"/>
      <c r="C2293" s="936"/>
      <c r="D2293" s="439"/>
      <c r="E2293" s="454"/>
      <c r="F2293" s="455"/>
      <c r="G2293" s="455"/>
      <c r="H2293" s="455"/>
      <c r="I2293" s="455"/>
      <c r="J2293" s="455"/>
    </row>
    <row r="2294">
      <c r="A2294" s="934"/>
      <c r="B2294" s="557"/>
      <c r="C2294" s="936"/>
      <c r="D2294" s="439"/>
      <c r="E2294" s="454"/>
      <c r="F2294" s="455"/>
      <c r="G2294" s="455"/>
      <c r="H2294" s="455"/>
      <c r="I2294" s="455"/>
      <c r="J2294" s="455"/>
    </row>
    <row r="2295">
      <c r="A2295" s="934"/>
      <c r="B2295" s="557"/>
      <c r="C2295" s="936"/>
      <c r="D2295" s="439"/>
      <c r="E2295" s="454"/>
      <c r="F2295" s="455"/>
      <c r="G2295" s="455"/>
      <c r="H2295" s="455"/>
      <c r="I2295" s="455"/>
      <c r="J2295" s="455"/>
    </row>
    <row r="2296">
      <c r="A2296" s="934"/>
      <c r="B2296" s="557"/>
      <c r="C2296" s="936"/>
      <c r="D2296" s="439"/>
      <c r="E2296" s="454"/>
      <c r="F2296" s="455"/>
      <c r="G2296" s="455"/>
      <c r="H2296" s="455"/>
      <c r="I2296" s="455"/>
      <c r="J2296" s="455"/>
    </row>
    <row r="2297">
      <c r="A2297" s="934"/>
      <c r="B2297" s="557"/>
      <c r="C2297" s="936"/>
      <c r="D2297" s="439"/>
      <c r="E2297" s="454"/>
      <c r="F2297" s="455"/>
      <c r="G2297" s="455"/>
      <c r="H2297" s="455"/>
      <c r="I2297" s="455"/>
      <c r="J2297" s="455"/>
    </row>
    <row r="2298">
      <c r="A2298" s="934"/>
      <c r="B2298" s="557"/>
      <c r="C2298" s="936"/>
      <c r="D2298" s="439"/>
      <c r="E2298" s="454"/>
      <c r="F2298" s="455"/>
      <c r="G2298" s="455"/>
      <c r="H2298" s="455"/>
      <c r="I2298" s="455"/>
      <c r="J2298" s="455"/>
    </row>
    <row r="2299">
      <c r="A2299" s="934"/>
      <c r="B2299" s="557"/>
      <c r="C2299" s="936"/>
      <c r="D2299" s="439"/>
      <c r="E2299" s="454"/>
      <c r="F2299" s="455"/>
      <c r="G2299" s="455"/>
      <c r="H2299" s="455"/>
      <c r="I2299" s="455"/>
      <c r="J2299" s="455"/>
    </row>
    <row r="2300">
      <c r="A2300" s="934"/>
      <c r="B2300" s="557"/>
      <c r="C2300" s="936"/>
      <c r="D2300" s="439"/>
      <c r="E2300" s="454"/>
      <c r="F2300" s="455"/>
      <c r="G2300" s="455"/>
      <c r="H2300" s="455"/>
      <c r="I2300" s="455"/>
      <c r="J2300" s="455"/>
    </row>
    <row r="2301">
      <c r="A2301" s="934"/>
      <c r="B2301" s="557"/>
      <c r="C2301" s="936"/>
      <c r="D2301" s="439"/>
      <c r="E2301" s="454"/>
      <c r="F2301" s="455"/>
      <c r="G2301" s="455"/>
      <c r="H2301" s="455"/>
      <c r="I2301" s="455"/>
      <c r="J2301" s="455"/>
    </row>
    <row r="2302">
      <c r="A2302" s="934"/>
      <c r="B2302" s="557"/>
      <c r="C2302" s="936"/>
      <c r="D2302" s="439"/>
      <c r="E2302" s="454"/>
      <c r="F2302" s="455"/>
      <c r="G2302" s="455"/>
      <c r="H2302" s="455"/>
      <c r="I2302" s="455"/>
      <c r="J2302" s="455"/>
    </row>
    <row r="2303">
      <c r="A2303" s="934"/>
      <c r="B2303" s="557"/>
      <c r="C2303" s="936"/>
      <c r="D2303" s="439"/>
      <c r="E2303" s="454"/>
      <c r="F2303" s="455"/>
      <c r="G2303" s="455"/>
      <c r="H2303" s="455"/>
      <c r="I2303" s="455"/>
      <c r="J2303" s="455"/>
    </row>
    <row r="2304">
      <c r="A2304" s="934"/>
      <c r="B2304" s="557"/>
      <c r="C2304" s="936"/>
      <c r="D2304" s="439"/>
      <c r="E2304" s="454"/>
      <c r="F2304" s="455"/>
      <c r="G2304" s="455"/>
      <c r="H2304" s="455"/>
      <c r="I2304" s="455"/>
      <c r="J2304" s="455"/>
    </row>
    <row r="2305">
      <c r="A2305" s="934"/>
      <c r="B2305" s="557"/>
      <c r="C2305" s="936"/>
      <c r="D2305" s="439"/>
      <c r="E2305" s="454"/>
      <c r="F2305" s="455"/>
      <c r="G2305" s="455"/>
      <c r="H2305" s="455"/>
      <c r="I2305" s="455"/>
      <c r="J2305" s="455"/>
    </row>
    <row r="2306">
      <c r="A2306" s="934"/>
      <c r="B2306" s="557"/>
      <c r="C2306" s="936"/>
      <c r="D2306" s="439"/>
      <c r="E2306" s="454"/>
      <c r="F2306" s="455"/>
      <c r="G2306" s="455"/>
      <c r="H2306" s="455"/>
      <c r="I2306" s="455"/>
      <c r="J2306" s="455"/>
    </row>
    <row r="2307">
      <c r="A2307" s="934"/>
      <c r="B2307" s="557"/>
      <c r="C2307" s="936"/>
      <c r="D2307" s="439"/>
      <c r="E2307" s="454"/>
      <c r="F2307" s="455"/>
      <c r="G2307" s="455"/>
      <c r="H2307" s="455"/>
      <c r="I2307" s="455"/>
      <c r="J2307" s="455"/>
    </row>
    <row r="2308">
      <c r="A2308" s="934"/>
      <c r="B2308" s="557"/>
      <c r="C2308" s="936"/>
      <c r="D2308" s="439"/>
      <c r="E2308" s="454"/>
      <c r="F2308" s="455"/>
      <c r="G2308" s="455"/>
      <c r="H2308" s="455"/>
      <c r="I2308" s="455"/>
      <c r="J2308" s="455"/>
    </row>
    <row r="2309">
      <c r="A2309" s="934"/>
      <c r="B2309" s="557"/>
      <c r="C2309" s="936"/>
      <c r="D2309" s="439"/>
      <c r="E2309" s="454"/>
      <c r="F2309" s="455"/>
      <c r="G2309" s="455"/>
      <c r="H2309" s="455"/>
      <c r="I2309" s="455"/>
      <c r="J2309" s="455"/>
    </row>
    <row r="2310">
      <c r="A2310" s="934"/>
      <c r="B2310" s="557"/>
      <c r="C2310" s="936"/>
      <c r="D2310" s="439"/>
      <c r="E2310" s="454"/>
      <c r="F2310" s="455"/>
      <c r="G2310" s="455"/>
      <c r="H2310" s="455"/>
      <c r="I2310" s="455"/>
      <c r="J2310" s="455"/>
    </row>
    <row r="2311">
      <c r="A2311" s="934"/>
      <c r="B2311" s="557"/>
      <c r="C2311" s="936"/>
      <c r="D2311" s="439"/>
      <c r="E2311" s="454"/>
      <c r="F2311" s="455"/>
      <c r="G2311" s="455"/>
      <c r="H2311" s="455"/>
      <c r="I2311" s="455"/>
      <c r="J2311" s="455"/>
    </row>
    <row r="2312">
      <c r="A2312" s="934"/>
      <c r="B2312" s="557"/>
      <c r="C2312" s="936"/>
      <c r="D2312" s="439"/>
      <c r="E2312" s="454"/>
      <c r="F2312" s="455"/>
      <c r="G2312" s="455"/>
      <c r="H2312" s="455"/>
      <c r="I2312" s="455"/>
      <c r="J2312" s="455"/>
    </row>
    <row r="2313">
      <c r="A2313" s="934"/>
      <c r="B2313" s="557"/>
      <c r="C2313" s="936"/>
      <c r="D2313" s="439"/>
      <c r="E2313" s="454"/>
      <c r="F2313" s="455"/>
      <c r="G2313" s="455"/>
      <c r="H2313" s="455"/>
      <c r="I2313" s="455"/>
      <c r="J2313" s="455"/>
    </row>
    <row r="2314">
      <c r="A2314" s="934"/>
      <c r="B2314" s="557"/>
      <c r="C2314" s="936"/>
      <c r="D2314" s="439"/>
      <c r="E2314" s="454"/>
      <c r="F2314" s="455"/>
      <c r="G2314" s="455"/>
      <c r="H2314" s="455"/>
      <c r="I2314" s="455"/>
      <c r="J2314" s="455"/>
    </row>
    <row r="2315">
      <c r="A2315" s="934"/>
      <c r="B2315" s="557"/>
      <c r="C2315" s="936"/>
      <c r="D2315" s="439"/>
      <c r="E2315" s="454"/>
      <c r="F2315" s="455"/>
      <c r="G2315" s="455"/>
      <c r="H2315" s="455"/>
      <c r="I2315" s="455"/>
      <c r="J2315" s="455"/>
    </row>
    <row r="2316">
      <c r="A2316" s="934"/>
      <c r="B2316" s="557"/>
      <c r="C2316" s="936"/>
      <c r="D2316" s="439"/>
      <c r="E2316" s="454"/>
      <c r="F2316" s="455"/>
      <c r="G2316" s="455"/>
      <c r="H2316" s="455"/>
      <c r="I2316" s="455"/>
      <c r="J2316" s="455"/>
    </row>
    <row r="2317">
      <c r="A2317" s="934"/>
      <c r="B2317" s="557"/>
      <c r="C2317" s="936"/>
      <c r="D2317" s="439"/>
      <c r="E2317" s="454"/>
      <c r="F2317" s="455"/>
      <c r="G2317" s="455"/>
      <c r="H2317" s="455"/>
      <c r="I2317" s="455"/>
      <c r="J2317" s="455"/>
    </row>
    <row r="2318">
      <c r="A2318" s="934"/>
      <c r="B2318" s="557"/>
      <c r="C2318" s="936"/>
      <c r="D2318" s="439"/>
      <c r="E2318" s="454"/>
      <c r="F2318" s="455"/>
      <c r="G2318" s="455"/>
      <c r="H2318" s="455"/>
      <c r="I2318" s="455"/>
      <c r="J2318" s="455"/>
    </row>
    <row r="2319">
      <c r="A2319" s="934"/>
      <c r="B2319" s="557"/>
      <c r="C2319" s="936"/>
      <c r="D2319" s="439"/>
      <c r="E2319" s="454"/>
      <c r="F2319" s="455"/>
      <c r="G2319" s="455"/>
      <c r="H2319" s="455"/>
      <c r="I2319" s="455"/>
      <c r="J2319" s="455"/>
    </row>
    <row r="2320">
      <c r="A2320" s="934"/>
      <c r="B2320" s="557"/>
      <c r="C2320" s="936"/>
      <c r="D2320" s="439"/>
      <c r="E2320" s="454"/>
      <c r="F2320" s="455"/>
      <c r="G2320" s="455"/>
      <c r="H2320" s="455"/>
      <c r="I2320" s="455"/>
      <c r="J2320" s="455"/>
    </row>
    <row r="2321">
      <c r="A2321" s="934"/>
      <c r="B2321" s="557"/>
      <c r="C2321" s="936"/>
      <c r="D2321" s="439"/>
      <c r="E2321" s="454"/>
      <c r="F2321" s="455"/>
      <c r="G2321" s="455"/>
      <c r="H2321" s="455"/>
      <c r="I2321" s="455"/>
      <c r="J2321" s="455"/>
    </row>
    <row r="2322">
      <c r="A2322" s="934"/>
      <c r="B2322" s="557"/>
      <c r="C2322" s="936"/>
      <c r="D2322" s="439"/>
      <c r="E2322" s="454"/>
      <c r="F2322" s="455"/>
      <c r="G2322" s="455"/>
      <c r="H2322" s="455"/>
      <c r="I2322" s="455"/>
      <c r="J2322" s="455"/>
    </row>
    <row r="2323">
      <c r="A2323" s="934"/>
      <c r="B2323" s="557"/>
      <c r="C2323" s="936"/>
      <c r="D2323" s="439"/>
      <c r="E2323" s="454"/>
      <c r="F2323" s="455"/>
      <c r="G2323" s="455"/>
      <c r="H2323" s="455"/>
      <c r="I2323" s="455"/>
      <c r="J2323" s="455"/>
    </row>
    <row r="2324">
      <c r="A2324" s="934"/>
      <c r="B2324" s="557"/>
      <c r="C2324" s="936"/>
      <c r="D2324" s="439"/>
      <c r="E2324" s="454"/>
      <c r="F2324" s="455"/>
      <c r="G2324" s="455"/>
      <c r="H2324" s="455"/>
      <c r="I2324" s="455"/>
      <c r="J2324" s="455"/>
    </row>
    <row r="2325">
      <c r="A2325" s="934"/>
      <c r="B2325" s="557"/>
      <c r="C2325" s="936"/>
      <c r="D2325" s="439"/>
      <c r="E2325" s="454"/>
      <c r="F2325" s="455"/>
      <c r="G2325" s="455"/>
      <c r="H2325" s="455"/>
      <c r="I2325" s="455"/>
      <c r="J2325" s="455"/>
    </row>
    <row r="2326">
      <c r="A2326" s="934"/>
      <c r="B2326" s="557"/>
      <c r="C2326" s="936"/>
      <c r="D2326" s="439"/>
      <c r="E2326" s="454"/>
      <c r="F2326" s="455"/>
      <c r="G2326" s="455"/>
      <c r="H2326" s="455"/>
      <c r="I2326" s="455"/>
      <c r="J2326" s="455"/>
    </row>
    <row r="2327">
      <c r="A2327" s="934"/>
      <c r="B2327" s="557"/>
      <c r="C2327" s="936"/>
      <c r="D2327" s="439"/>
      <c r="E2327" s="454"/>
      <c r="F2327" s="455"/>
      <c r="G2327" s="455"/>
      <c r="H2327" s="455"/>
      <c r="I2327" s="455"/>
      <c r="J2327" s="455"/>
    </row>
    <row r="2328">
      <c r="A2328" s="934"/>
      <c r="B2328" s="557"/>
      <c r="C2328" s="936"/>
      <c r="D2328" s="439"/>
      <c r="E2328" s="454"/>
      <c r="F2328" s="455"/>
      <c r="G2328" s="455"/>
      <c r="H2328" s="455"/>
      <c r="I2328" s="455"/>
      <c r="J2328" s="455"/>
    </row>
    <row r="2329">
      <c r="A2329" s="934"/>
      <c r="B2329" s="557"/>
      <c r="C2329" s="936"/>
      <c r="D2329" s="439"/>
      <c r="E2329" s="454"/>
      <c r="F2329" s="455"/>
      <c r="G2329" s="455"/>
      <c r="H2329" s="455"/>
      <c r="I2329" s="455"/>
      <c r="J2329" s="455"/>
    </row>
    <row r="2330">
      <c r="A2330" s="934"/>
      <c r="B2330" s="557"/>
      <c r="C2330" s="936"/>
      <c r="D2330" s="439"/>
      <c r="E2330" s="454"/>
      <c r="F2330" s="455"/>
      <c r="G2330" s="455"/>
      <c r="H2330" s="455"/>
      <c r="I2330" s="455"/>
      <c r="J2330" s="455"/>
    </row>
    <row r="2331">
      <c r="A2331" s="934"/>
      <c r="B2331" s="557"/>
      <c r="C2331" s="936"/>
      <c r="D2331" s="439"/>
      <c r="E2331" s="454"/>
      <c r="F2331" s="455"/>
      <c r="G2331" s="455"/>
      <c r="H2331" s="455"/>
      <c r="I2331" s="455"/>
      <c r="J2331" s="455"/>
    </row>
    <row r="2332">
      <c r="A2332" s="934"/>
      <c r="B2332" s="557"/>
      <c r="C2332" s="936"/>
      <c r="D2332" s="439"/>
      <c r="E2332" s="454"/>
      <c r="F2332" s="455"/>
      <c r="G2332" s="455"/>
      <c r="H2332" s="455"/>
      <c r="I2332" s="455"/>
      <c r="J2332" s="455"/>
    </row>
    <row r="2333">
      <c r="A2333" s="934"/>
      <c r="B2333" s="557"/>
      <c r="C2333" s="936"/>
      <c r="D2333" s="439"/>
      <c r="E2333" s="454"/>
      <c r="F2333" s="455"/>
      <c r="G2333" s="455"/>
      <c r="H2333" s="455"/>
      <c r="I2333" s="455"/>
      <c r="J2333" s="455"/>
    </row>
    <row r="2334">
      <c r="A2334" s="934"/>
      <c r="B2334" s="557"/>
      <c r="C2334" s="936"/>
      <c r="D2334" s="439"/>
      <c r="E2334" s="454"/>
      <c r="F2334" s="455"/>
      <c r="G2334" s="455"/>
      <c r="H2334" s="455"/>
      <c r="I2334" s="455"/>
      <c r="J2334" s="455"/>
    </row>
    <row r="2335">
      <c r="A2335" s="934"/>
      <c r="B2335" s="557"/>
      <c r="C2335" s="936"/>
      <c r="D2335" s="439"/>
      <c r="E2335" s="454"/>
      <c r="F2335" s="455"/>
      <c r="G2335" s="455"/>
      <c r="H2335" s="455"/>
      <c r="I2335" s="455"/>
      <c r="J2335" s="455"/>
    </row>
    <row r="2336">
      <c r="A2336" s="934"/>
      <c r="B2336" s="557"/>
      <c r="C2336" s="936"/>
      <c r="D2336" s="439"/>
      <c r="E2336" s="454"/>
      <c r="F2336" s="455"/>
      <c r="G2336" s="455"/>
      <c r="H2336" s="455"/>
      <c r="I2336" s="455"/>
      <c r="J2336" s="455"/>
    </row>
    <row r="2337">
      <c r="A2337" s="934"/>
      <c r="B2337" s="557"/>
      <c r="C2337" s="936"/>
      <c r="D2337" s="439"/>
      <c r="E2337" s="454"/>
      <c r="F2337" s="455"/>
      <c r="G2337" s="455"/>
      <c r="H2337" s="455"/>
      <c r="I2337" s="455"/>
      <c r="J2337" s="455"/>
    </row>
    <row r="2338">
      <c r="A2338" s="934"/>
      <c r="B2338" s="557"/>
      <c r="C2338" s="936"/>
      <c r="D2338" s="439"/>
      <c r="E2338" s="454"/>
      <c r="F2338" s="455"/>
      <c r="G2338" s="455"/>
      <c r="H2338" s="455"/>
      <c r="I2338" s="455"/>
      <c r="J2338" s="455"/>
    </row>
    <row r="2339">
      <c r="A2339" s="934"/>
      <c r="B2339" s="557"/>
      <c r="C2339" s="936"/>
      <c r="D2339" s="439"/>
      <c r="E2339" s="454"/>
      <c r="F2339" s="455"/>
      <c r="G2339" s="455"/>
      <c r="H2339" s="455"/>
      <c r="I2339" s="455"/>
      <c r="J2339" s="455"/>
    </row>
    <row r="2340">
      <c r="A2340" s="934"/>
      <c r="B2340" s="557"/>
      <c r="C2340" s="936"/>
      <c r="D2340" s="439"/>
      <c r="E2340" s="454"/>
      <c r="F2340" s="455"/>
      <c r="G2340" s="455"/>
      <c r="H2340" s="455"/>
      <c r="I2340" s="455"/>
      <c r="J2340" s="455"/>
    </row>
    <row r="2341">
      <c r="A2341" s="934"/>
      <c r="B2341" s="557"/>
      <c r="C2341" s="936"/>
      <c r="D2341" s="439"/>
      <c r="E2341" s="454"/>
      <c r="F2341" s="455"/>
      <c r="G2341" s="455"/>
      <c r="H2341" s="455"/>
      <c r="I2341" s="455"/>
      <c r="J2341" s="455"/>
    </row>
    <row r="2342">
      <c r="A2342" s="934"/>
      <c r="B2342" s="557"/>
      <c r="C2342" s="936"/>
      <c r="D2342" s="439"/>
      <c r="E2342" s="454"/>
      <c r="F2342" s="455"/>
      <c r="G2342" s="455"/>
      <c r="H2342" s="455"/>
      <c r="I2342" s="455"/>
      <c r="J2342" s="455"/>
    </row>
    <row r="2343">
      <c r="A2343" s="934"/>
      <c r="B2343" s="557"/>
      <c r="C2343" s="936"/>
      <c r="D2343" s="439"/>
      <c r="E2343" s="454"/>
      <c r="F2343" s="455"/>
      <c r="G2343" s="455"/>
      <c r="H2343" s="455"/>
      <c r="I2343" s="455"/>
      <c r="J2343" s="455"/>
    </row>
    <row r="2344">
      <c r="A2344" s="934"/>
      <c r="B2344" s="557"/>
      <c r="C2344" s="936"/>
      <c r="D2344" s="439"/>
      <c r="E2344" s="454"/>
      <c r="F2344" s="455"/>
      <c r="G2344" s="455"/>
      <c r="H2344" s="455"/>
      <c r="I2344" s="455"/>
      <c r="J2344" s="455"/>
    </row>
    <row r="2345">
      <c r="A2345" s="934"/>
      <c r="B2345" s="557"/>
      <c r="C2345" s="936"/>
      <c r="D2345" s="439"/>
      <c r="E2345" s="454"/>
      <c r="F2345" s="455"/>
      <c r="G2345" s="455"/>
      <c r="H2345" s="455"/>
      <c r="I2345" s="455"/>
      <c r="J2345" s="455"/>
    </row>
    <row r="2346">
      <c r="A2346" s="934"/>
      <c r="B2346" s="557"/>
      <c r="C2346" s="936"/>
      <c r="D2346" s="439"/>
      <c r="E2346" s="454"/>
      <c r="F2346" s="455"/>
      <c r="G2346" s="455"/>
      <c r="H2346" s="455"/>
      <c r="I2346" s="455"/>
      <c r="J2346" s="455"/>
    </row>
    <row r="2347">
      <c r="A2347" s="934"/>
      <c r="B2347" s="557"/>
      <c r="C2347" s="936"/>
      <c r="D2347" s="439"/>
      <c r="E2347" s="454"/>
      <c r="F2347" s="455"/>
      <c r="G2347" s="455"/>
      <c r="H2347" s="455"/>
      <c r="I2347" s="455"/>
      <c r="J2347" s="455"/>
    </row>
    <row r="2348">
      <c r="A2348" s="934"/>
      <c r="B2348" s="557"/>
      <c r="C2348" s="936"/>
      <c r="D2348" s="439"/>
      <c r="E2348" s="454"/>
      <c r="F2348" s="455"/>
      <c r="G2348" s="455"/>
      <c r="H2348" s="455"/>
      <c r="I2348" s="455"/>
      <c r="J2348" s="455"/>
    </row>
    <row r="2349">
      <c r="A2349" s="934"/>
      <c r="B2349" s="557"/>
      <c r="C2349" s="936"/>
      <c r="D2349" s="439"/>
      <c r="E2349" s="454"/>
      <c r="F2349" s="455"/>
      <c r="G2349" s="455"/>
      <c r="H2349" s="455"/>
      <c r="I2349" s="455"/>
      <c r="J2349" s="455"/>
    </row>
    <row r="2350">
      <c r="A2350" s="934"/>
      <c r="B2350" s="557"/>
      <c r="C2350" s="936"/>
      <c r="D2350" s="439"/>
      <c r="E2350" s="454"/>
      <c r="F2350" s="455"/>
      <c r="G2350" s="455"/>
      <c r="H2350" s="455"/>
      <c r="I2350" s="455"/>
      <c r="J2350" s="455"/>
    </row>
    <row r="2351">
      <c r="A2351" s="934"/>
      <c r="B2351" s="557"/>
      <c r="C2351" s="936"/>
      <c r="D2351" s="439"/>
      <c r="E2351" s="454"/>
      <c r="F2351" s="455"/>
      <c r="G2351" s="455"/>
      <c r="H2351" s="455"/>
      <c r="I2351" s="455"/>
      <c r="J2351" s="455"/>
    </row>
    <row r="2352">
      <c r="A2352" s="934"/>
      <c r="B2352" s="557"/>
      <c r="C2352" s="936"/>
      <c r="D2352" s="439"/>
      <c r="E2352" s="454"/>
      <c r="F2352" s="455"/>
      <c r="G2352" s="455"/>
      <c r="H2352" s="455"/>
      <c r="I2352" s="455"/>
      <c r="J2352" s="455"/>
    </row>
    <row r="2353">
      <c r="A2353" s="934"/>
      <c r="B2353" s="557"/>
      <c r="C2353" s="936"/>
      <c r="D2353" s="439"/>
      <c r="E2353" s="454"/>
      <c r="F2353" s="455"/>
      <c r="G2353" s="455"/>
      <c r="H2353" s="455"/>
      <c r="I2353" s="455"/>
      <c r="J2353" s="455"/>
    </row>
    <row r="2354">
      <c r="A2354" s="934"/>
      <c r="B2354" s="557"/>
      <c r="C2354" s="936"/>
      <c r="D2354" s="439"/>
      <c r="E2354" s="454"/>
      <c r="F2354" s="455"/>
      <c r="G2354" s="455"/>
      <c r="H2354" s="455"/>
      <c r="I2354" s="455"/>
      <c r="J2354" s="455"/>
    </row>
    <row r="2355">
      <c r="A2355" s="934"/>
      <c r="B2355" s="557"/>
      <c r="C2355" s="936"/>
      <c r="D2355" s="439"/>
      <c r="E2355" s="454"/>
      <c r="F2355" s="455"/>
      <c r="G2355" s="455"/>
      <c r="H2355" s="455"/>
      <c r="I2355" s="455"/>
      <c r="J2355" s="455"/>
    </row>
    <row r="2356">
      <c r="A2356" s="934"/>
      <c r="B2356" s="557"/>
      <c r="C2356" s="936"/>
      <c r="D2356" s="439"/>
      <c r="E2356" s="454"/>
      <c r="F2356" s="455"/>
      <c r="G2356" s="455"/>
      <c r="H2356" s="455"/>
      <c r="I2356" s="455"/>
      <c r="J2356" s="455"/>
    </row>
    <row r="2357">
      <c r="A2357" s="934"/>
      <c r="B2357" s="557"/>
      <c r="C2357" s="936"/>
      <c r="D2357" s="439"/>
      <c r="E2357" s="454"/>
      <c r="F2357" s="455"/>
      <c r="G2357" s="455"/>
      <c r="H2357" s="455"/>
      <c r="I2357" s="455"/>
      <c r="J2357" s="455"/>
    </row>
    <row r="2358">
      <c r="A2358" s="934"/>
      <c r="B2358" s="557"/>
      <c r="C2358" s="936"/>
      <c r="D2358" s="439"/>
      <c r="E2358" s="454"/>
      <c r="F2358" s="455"/>
      <c r="G2358" s="455"/>
      <c r="H2358" s="455"/>
      <c r="I2358" s="455"/>
      <c r="J2358" s="455"/>
    </row>
    <row r="2359">
      <c r="A2359" s="934"/>
      <c r="B2359" s="557"/>
      <c r="C2359" s="936"/>
      <c r="D2359" s="439"/>
      <c r="E2359" s="454"/>
      <c r="F2359" s="455"/>
      <c r="G2359" s="455"/>
      <c r="H2359" s="455"/>
      <c r="I2359" s="455"/>
      <c r="J2359" s="455"/>
    </row>
    <row r="2360">
      <c r="A2360" s="934"/>
      <c r="B2360" s="557"/>
      <c r="C2360" s="936"/>
      <c r="D2360" s="439"/>
      <c r="E2360" s="454"/>
      <c r="F2360" s="455"/>
      <c r="G2360" s="455"/>
      <c r="H2360" s="455"/>
      <c r="I2360" s="455"/>
      <c r="J2360" s="455"/>
    </row>
    <row r="2361">
      <c r="A2361" s="934"/>
      <c r="B2361" s="557"/>
      <c r="C2361" s="936"/>
      <c r="D2361" s="439"/>
      <c r="E2361" s="454"/>
      <c r="F2361" s="455"/>
      <c r="G2361" s="455"/>
      <c r="H2361" s="455"/>
      <c r="I2361" s="455"/>
      <c r="J2361" s="455"/>
    </row>
    <row r="2362">
      <c r="A2362" s="934"/>
      <c r="B2362" s="557"/>
      <c r="C2362" s="936"/>
      <c r="D2362" s="439"/>
      <c r="E2362" s="454"/>
      <c r="F2362" s="455"/>
      <c r="G2362" s="455"/>
      <c r="H2362" s="455"/>
      <c r="I2362" s="455"/>
      <c r="J2362" s="455"/>
    </row>
    <row r="2363">
      <c r="A2363" s="934"/>
      <c r="B2363" s="557"/>
      <c r="C2363" s="936"/>
      <c r="D2363" s="439"/>
      <c r="E2363" s="454"/>
      <c r="F2363" s="455"/>
      <c r="G2363" s="455"/>
      <c r="H2363" s="455"/>
      <c r="I2363" s="455"/>
      <c r="J2363" s="455"/>
    </row>
    <row r="2364">
      <c r="A2364" s="934"/>
      <c r="B2364" s="557"/>
      <c r="C2364" s="936"/>
      <c r="D2364" s="439"/>
      <c r="E2364" s="454"/>
      <c r="F2364" s="455"/>
      <c r="G2364" s="455"/>
      <c r="H2364" s="455"/>
      <c r="I2364" s="455"/>
      <c r="J2364" s="455"/>
    </row>
    <row r="2365">
      <c r="A2365" s="934"/>
      <c r="B2365" s="557"/>
      <c r="C2365" s="936"/>
      <c r="D2365" s="439"/>
      <c r="E2365" s="454"/>
      <c r="F2365" s="455"/>
      <c r="G2365" s="455"/>
      <c r="H2365" s="455"/>
      <c r="I2365" s="455"/>
      <c r="J2365" s="455"/>
    </row>
    <row r="2366">
      <c r="A2366" s="934"/>
      <c r="B2366" s="557"/>
      <c r="C2366" s="936"/>
      <c r="D2366" s="439"/>
      <c r="E2366" s="454"/>
      <c r="F2366" s="455"/>
      <c r="G2366" s="455"/>
      <c r="H2366" s="455"/>
      <c r="I2366" s="455"/>
      <c r="J2366" s="455"/>
    </row>
    <row r="2367">
      <c r="A2367" s="934"/>
      <c r="B2367" s="557"/>
      <c r="C2367" s="936"/>
      <c r="D2367" s="439"/>
      <c r="E2367" s="454"/>
      <c r="F2367" s="455"/>
      <c r="G2367" s="455"/>
      <c r="H2367" s="455"/>
      <c r="I2367" s="455"/>
      <c r="J2367" s="455"/>
    </row>
    <row r="2368">
      <c r="A2368" s="934"/>
      <c r="B2368" s="557"/>
      <c r="C2368" s="936"/>
      <c r="D2368" s="439"/>
      <c r="E2368" s="454"/>
      <c r="F2368" s="455"/>
      <c r="G2368" s="455"/>
      <c r="H2368" s="455"/>
      <c r="I2368" s="455"/>
      <c r="J2368" s="455"/>
    </row>
    <row r="2369">
      <c r="A2369" s="934"/>
      <c r="B2369" s="557"/>
      <c r="C2369" s="936"/>
      <c r="D2369" s="439"/>
      <c r="E2369" s="454"/>
      <c r="F2369" s="455"/>
      <c r="G2369" s="455"/>
      <c r="H2369" s="455"/>
      <c r="I2369" s="455"/>
      <c r="J2369" s="455"/>
    </row>
    <row r="2370">
      <c r="A2370" s="934"/>
      <c r="B2370" s="557"/>
      <c r="C2370" s="936"/>
      <c r="D2370" s="439"/>
      <c r="E2370" s="454"/>
      <c r="F2370" s="455"/>
      <c r="G2370" s="455"/>
      <c r="H2370" s="455"/>
      <c r="I2370" s="455"/>
      <c r="J2370" s="455"/>
    </row>
    <row r="2371">
      <c r="A2371" s="934"/>
      <c r="B2371" s="557"/>
      <c r="C2371" s="936"/>
      <c r="D2371" s="439"/>
      <c r="E2371" s="454"/>
      <c r="F2371" s="455"/>
      <c r="G2371" s="455"/>
      <c r="H2371" s="455"/>
      <c r="I2371" s="455"/>
      <c r="J2371" s="455"/>
    </row>
    <row r="2372">
      <c r="A2372" s="934"/>
      <c r="B2372" s="557"/>
      <c r="C2372" s="936"/>
      <c r="D2372" s="439"/>
      <c r="E2372" s="454"/>
      <c r="F2372" s="455"/>
      <c r="G2372" s="455"/>
      <c r="H2372" s="455"/>
      <c r="I2372" s="455"/>
      <c r="J2372" s="455"/>
    </row>
    <row r="2373">
      <c r="A2373" s="934"/>
      <c r="B2373" s="557"/>
      <c r="C2373" s="936"/>
      <c r="D2373" s="439"/>
      <c r="E2373" s="454"/>
      <c r="F2373" s="455"/>
      <c r="G2373" s="455"/>
      <c r="H2373" s="455"/>
      <c r="I2373" s="455"/>
      <c r="J2373" s="455"/>
    </row>
    <row r="2374">
      <c r="A2374" s="934"/>
      <c r="B2374" s="557"/>
      <c r="C2374" s="936"/>
      <c r="D2374" s="439"/>
      <c r="E2374" s="454"/>
      <c r="F2374" s="455"/>
      <c r="G2374" s="455"/>
      <c r="H2374" s="455"/>
      <c r="I2374" s="455"/>
      <c r="J2374" s="455"/>
    </row>
    <row r="2375">
      <c r="A2375" s="934"/>
      <c r="B2375" s="557"/>
      <c r="C2375" s="936"/>
      <c r="D2375" s="439"/>
      <c r="E2375" s="454"/>
      <c r="F2375" s="455"/>
      <c r="G2375" s="455"/>
      <c r="H2375" s="455"/>
      <c r="I2375" s="455"/>
      <c r="J2375" s="455"/>
    </row>
    <row r="2376">
      <c r="A2376" s="934"/>
      <c r="B2376" s="557"/>
      <c r="C2376" s="936"/>
      <c r="D2376" s="439"/>
      <c r="E2376" s="454"/>
      <c r="F2376" s="455"/>
      <c r="G2376" s="455"/>
      <c r="H2376" s="455"/>
      <c r="I2376" s="455"/>
      <c r="J2376" s="455"/>
    </row>
    <row r="2377">
      <c r="A2377" s="934"/>
      <c r="B2377" s="557"/>
      <c r="C2377" s="936"/>
      <c r="D2377" s="439"/>
      <c r="E2377" s="454"/>
      <c r="F2377" s="455"/>
      <c r="G2377" s="455"/>
      <c r="H2377" s="455"/>
      <c r="I2377" s="455"/>
      <c r="J2377" s="455"/>
    </row>
    <row r="2378">
      <c r="A2378" s="934"/>
      <c r="B2378" s="557"/>
      <c r="C2378" s="936"/>
      <c r="D2378" s="439"/>
      <c r="E2378" s="454"/>
      <c r="F2378" s="455"/>
      <c r="G2378" s="455"/>
      <c r="H2378" s="455"/>
      <c r="I2378" s="455"/>
      <c r="J2378" s="455"/>
    </row>
    <row r="2379">
      <c r="A2379" s="934"/>
      <c r="B2379" s="557"/>
      <c r="C2379" s="936"/>
      <c r="D2379" s="439"/>
      <c r="E2379" s="454"/>
      <c r="F2379" s="455"/>
      <c r="G2379" s="455"/>
      <c r="H2379" s="455"/>
      <c r="I2379" s="455"/>
      <c r="J2379" s="455"/>
    </row>
    <row r="2380">
      <c r="A2380" s="934"/>
      <c r="B2380" s="557"/>
      <c r="C2380" s="936"/>
      <c r="D2380" s="439"/>
      <c r="E2380" s="454"/>
      <c r="F2380" s="455"/>
      <c r="G2380" s="455"/>
      <c r="H2380" s="455"/>
      <c r="I2380" s="455"/>
      <c r="J2380" s="455"/>
    </row>
    <row r="2381">
      <c r="A2381" s="934"/>
      <c r="B2381" s="557"/>
      <c r="C2381" s="936"/>
      <c r="D2381" s="439"/>
      <c r="E2381" s="454"/>
      <c r="F2381" s="455"/>
      <c r="G2381" s="455"/>
      <c r="H2381" s="455"/>
      <c r="I2381" s="455"/>
      <c r="J2381" s="455"/>
    </row>
    <row r="2382">
      <c r="A2382" s="934"/>
      <c r="B2382" s="557"/>
      <c r="C2382" s="936"/>
      <c r="D2382" s="439"/>
      <c r="E2382" s="454"/>
      <c r="F2382" s="455"/>
      <c r="G2382" s="455"/>
      <c r="H2382" s="455"/>
      <c r="I2382" s="455"/>
      <c r="J2382" s="455"/>
    </row>
    <row r="2383">
      <c r="A2383" s="934"/>
      <c r="B2383" s="557"/>
      <c r="C2383" s="936"/>
      <c r="D2383" s="439"/>
      <c r="E2383" s="454"/>
      <c r="F2383" s="455"/>
      <c r="G2383" s="455"/>
      <c r="H2383" s="455"/>
      <c r="I2383" s="455"/>
      <c r="J2383" s="455"/>
    </row>
    <row r="2384">
      <c r="A2384" s="934"/>
      <c r="B2384" s="557"/>
      <c r="C2384" s="936"/>
      <c r="D2384" s="439"/>
      <c r="E2384" s="454"/>
      <c r="F2384" s="455"/>
      <c r="G2384" s="455"/>
      <c r="H2384" s="455"/>
      <c r="I2384" s="455"/>
      <c r="J2384" s="455"/>
    </row>
    <row r="2385">
      <c r="A2385" s="934"/>
      <c r="B2385" s="557"/>
      <c r="C2385" s="936"/>
      <c r="D2385" s="439"/>
      <c r="E2385" s="454"/>
      <c r="F2385" s="455"/>
      <c r="G2385" s="455"/>
      <c r="H2385" s="455"/>
      <c r="I2385" s="455"/>
      <c r="J2385" s="455"/>
    </row>
    <row r="2386">
      <c r="A2386" s="934"/>
      <c r="B2386" s="557"/>
      <c r="C2386" s="936"/>
      <c r="D2386" s="439"/>
      <c r="E2386" s="454"/>
      <c r="F2386" s="455"/>
      <c r="G2386" s="455"/>
      <c r="H2386" s="455"/>
      <c r="I2386" s="455"/>
      <c r="J2386" s="455"/>
    </row>
    <row r="2387">
      <c r="A2387" s="934"/>
      <c r="B2387" s="557"/>
      <c r="C2387" s="936"/>
      <c r="D2387" s="439"/>
      <c r="E2387" s="454"/>
      <c r="F2387" s="455"/>
      <c r="G2387" s="455"/>
      <c r="H2387" s="455"/>
      <c r="I2387" s="455"/>
      <c r="J2387" s="455"/>
    </row>
    <row r="2388">
      <c r="A2388" s="934"/>
      <c r="B2388" s="557"/>
      <c r="C2388" s="936"/>
      <c r="D2388" s="439"/>
      <c r="E2388" s="454"/>
      <c r="F2388" s="455"/>
      <c r="G2388" s="455"/>
      <c r="H2388" s="455"/>
      <c r="I2388" s="455"/>
      <c r="J2388" s="455"/>
    </row>
    <row r="2389">
      <c r="A2389" s="934"/>
      <c r="B2389" s="557"/>
      <c r="C2389" s="936"/>
      <c r="D2389" s="439"/>
      <c r="E2389" s="454"/>
      <c r="F2389" s="455"/>
      <c r="G2389" s="455"/>
      <c r="H2389" s="455"/>
      <c r="I2389" s="455"/>
      <c r="J2389" s="455"/>
    </row>
    <row r="2390">
      <c r="A2390" s="934"/>
      <c r="B2390" s="557"/>
      <c r="C2390" s="936"/>
      <c r="D2390" s="439"/>
      <c r="E2390" s="454"/>
      <c r="F2390" s="455"/>
      <c r="G2390" s="455"/>
      <c r="H2390" s="455"/>
      <c r="I2390" s="455"/>
      <c r="J2390" s="455"/>
    </row>
    <row r="2391">
      <c r="A2391" s="934"/>
      <c r="B2391" s="557"/>
      <c r="C2391" s="936"/>
      <c r="D2391" s="439"/>
      <c r="E2391" s="454"/>
      <c r="F2391" s="455"/>
      <c r="G2391" s="455"/>
      <c r="H2391" s="455"/>
      <c r="I2391" s="455"/>
      <c r="J2391" s="455"/>
    </row>
    <row r="2392">
      <c r="A2392" s="934"/>
      <c r="B2392" s="557"/>
      <c r="C2392" s="936"/>
      <c r="D2392" s="439"/>
      <c r="E2392" s="454"/>
      <c r="F2392" s="455"/>
      <c r="G2392" s="455"/>
      <c r="H2392" s="455"/>
      <c r="I2392" s="455"/>
      <c r="J2392" s="455"/>
    </row>
    <row r="2393">
      <c r="A2393" s="934"/>
      <c r="B2393" s="557"/>
      <c r="C2393" s="936"/>
      <c r="D2393" s="439"/>
      <c r="E2393" s="454"/>
      <c r="F2393" s="455"/>
      <c r="G2393" s="455"/>
      <c r="H2393" s="455"/>
      <c r="I2393" s="455"/>
      <c r="J2393" s="455"/>
    </row>
    <row r="2394">
      <c r="A2394" s="934"/>
      <c r="B2394" s="557"/>
      <c r="C2394" s="936"/>
      <c r="D2394" s="439"/>
      <c r="E2394" s="454"/>
      <c r="F2394" s="455"/>
      <c r="G2394" s="455"/>
      <c r="H2394" s="455"/>
      <c r="I2394" s="455"/>
      <c r="J2394" s="455"/>
    </row>
    <row r="2395">
      <c r="A2395" s="934"/>
      <c r="B2395" s="557"/>
      <c r="C2395" s="936"/>
      <c r="D2395" s="439"/>
      <c r="E2395" s="454"/>
      <c r="F2395" s="455"/>
      <c r="G2395" s="455"/>
      <c r="H2395" s="455"/>
      <c r="I2395" s="455"/>
      <c r="J2395" s="455"/>
    </row>
    <row r="2396">
      <c r="A2396" s="934"/>
      <c r="B2396" s="557"/>
      <c r="C2396" s="936"/>
      <c r="D2396" s="439"/>
      <c r="E2396" s="454"/>
      <c r="F2396" s="455"/>
      <c r="G2396" s="455"/>
      <c r="H2396" s="455"/>
      <c r="I2396" s="455"/>
      <c r="J2396" s="455"/>
    </row>
    <row r="2397">
      <c r="A2397" s="934"/>
      <c r="B2397" s="557"/>
      <c r="C2397" s="936"/>
      <c r="D2397" s="439"/>
      <c r="E2397" s="454"/>
      <c r="F2397" s="455"/>
      <c r="G2397" s="455"/>
      <c r="H2397" s="455"/>
      <c r="I2397" s="455"/>
      <c r="J2397" s="455"/>
    </row>
    <row r="2398">
      <c r="A2398" s="934"/>
      <c r="B2398" s="557"/>
      <c r="C2398" s="936"/>
      <c r="D2398" s="439"/>
      <c r="E2398" s="454"/>
      <c r="F2398" s="455"/>
      <c r="G2398" s="455"/>
      <c r="H2398" s="455"/>
      <c r="I2398" s="455"/>
      <c r="J2398" s="455"/>
    </row>
    <row r="2399">
      <c r="A2399" s="934"/>
      <c r="B2399" s="557"/>
      <c r="C2399" s="936"/>
      <c r="D2399" s="439"/>
      <c r="E2399" s="454"/>
      <c r="F2399" s="455"/>
      <c r="G2399" s="455"/>
      <c r="H2399" s="455"/>
      <c r="I2399" s="455"/>
      <c r="J2399" s="455"/>
    </row>
    <row r="2400">
      <c r="A2400" s="934"/>
      <c r="B2400" s="557"/>
      <c r="C2400" s="936"/>
      <c r="D2400" s="439"/>
      <c r="E2400" s="454"/>
      <c r="F2400" s="455"/>
      <c r="G2400" s="455"/>
      <c r="H2400" s="455"/>
      <c r="I2400" s="455"/>
      <c r="J2400" s="455"/>
    </row>
    <row r="2401">
      <c r="A2401" s="934"/>
      <c r="B2401" s="557"/>
      <c r="C2401" s="936"/>
      <c r="D2401" s="439"/>
      <c r="E2401" s="454"/>
      <c r="F2401" s="455"/>
      <c r="G2401" s="455"/>
      <c r="H2401" s="455"/>
      <c r="I2401" s="455"/>
      <c r="J2401" s="455"/>
    </row>
    <row r="2402">
      <c r="A2402" s="934"/>
      <c r="B2402" s="557"/>
      <c r="C2402" s="936"/>
      <c r="D2402" s="439"/>
      <c r="E2402" s="454"/>
      <c r="F2402" s="455"/>
      <c r="G2402" s="455"/>
      <c r="H2402" s="455"/>
      <c r="I2402" s="455"/>
      <c r="J2402" s="455"/>
    </row>
    <row r="2403">
      <c r="A2403" s="934"/>
      <c r="B2403" s="557"/>
      <c r="C2403" s="936"/>
      <c r="D2403" s="439"/>
      <c r="E2403" s="454"/>
      <c r="F2403" s="455"/>
      <c r="G2403" s="455"/>
      <c r="H2403" s="455"/>
      <c r="I2403" s="455"/>
      <c r="J2403" s="455"/>
    </row>
    <row r="2404">
      <c r="A2404" s="934"/>
      <c r="B2404" s="557"/>
      <c r="C2404" s="936"/>
      <c r="D2404" s="439"/>
      <c r="E2404" s="454"/>
      <c r="F2404" s="455"/>
      <c r="G2404" s="455"/>
      <c r="H2404" s="455"/>
      <c r="I2404" s="455"/>
      <c r="J2404" s="455"/>
    </row>
    <row r="2405">
      <c r="A2405" s="934"/>
      <c r="B2405" s="557"/>
      <c r="C2405" s="936"/>
      <c r="D2405" s="439"/>
      <c r="E2405" s="454"/>
      <c r="F2405" s="455"/>
      <c r="G2405" s="455"/>
      <c r="H2405" s="455"/>
      <c r="I2405" s="455"/>
      <c r="J2405" s="455"/>
    </row>
    <row r="2406">
      <c r="A2406" s="934"/>
      <c r="B2406" s="557"/>
      <c r="C2406" s="936"/>
      <c r="D2406" s="439"/>
      <c r="E2406" s="454"/>
      <c r="F2406" s="455"/>
      <c r="G2406" s="455"/>
      <c r="H2406" s="455"/>
      <c r="I2406" s="455"/>
      <c r="J2406" s="455"/>
    </row>
    <row r="2407">
      <c r="A2407" s="934"/>
      <c r="B2407" s="557"/>
      <c r="C2407" s="936"/>
      <c r="D2407" s="439"/>
      <c r="E2407" s="454"/>
      <c r="F2407" s="455"/>
      <c r="G2407" s="455"/>
      <c r="H2407" s="455"/>
      <c r="I2407" s="455"/>
      <c r="J2407" s="455"/>
    </row>
    <row r="2408">
      <c r="A2408" s="934"/>
      <c r="B2408" s="557"/>
      <c r="C2408" s="936"/>
      <c r="D2408" s="439"/>
      <c r="E2408" s="454"/>
      <c r="F2408" s="455"/>
      <c r="G2408" s="455"/>
      <c r="H2408" s="455"/>
      <c r="I2408" s="455"/>
      <c r="J2408" s="455"/>
    </row>
    <row r="2409">
      <c r="A2409" s="934"/>
      <c r="B2409" s="557"/>
      <c r="C2409" s="936"/>
      <c r="D2409" s="439"/>
      <c r="E2409" s="454"/>
      <c r="F2409" s="455"/>
      <c r="G2409" s="455"/>
      <c r="H2409" s="455"/>
      <c r="I2409" s="455"/>
      <c r="J2409" s="455"/>
    </row>
    <row r="2410">
      <c r="A2410" s="934"/>
      <c r="B2410" s="557"/>
      <c r="C2410" s="936"/>
      <c r="D2410" s="439"/>
      <c r="E2410" s="454"/>
      <c r="F2410" s="455"/>
      <c r="G2410" s="455"/>
      <c r="H2410" s="455"/>
      <c r="I2410" s="455"/>
      <c r="J2410" s="455"/>
    </row>
    <row r="2411">
      <c r="A2411" s="934"/>
      <c r="B2411" s="557"/>
      <c r="C2411" s="936"/>
      <c r="D2411" s="439"/>
      <c r="E2411" s="454"/>
      <c r="F2411" s="455"/>
      <c r="G2411" s="455"/>
      <c r="H2411" s="455"/>
      <c r="I2411" s="455"/>
      <c r="J2411" s="455"/>
    </row>
    <row r="2412">
      <c r="A2412" s="934"/>
      <c r="B2412" s="557"/>
      <c r="C2412" s="936"/>
      <c r="D2412" s="439"/>
      <c r="E2412" s="454"/>
      <c r="F2412" s="455"/>
      <c r="G2412" s="455"/>
      <c r="H2412" s="455"/>
      <c r="I2412" s="455"/>
      <c r="J2412" s="455"/>
    </row>
    <row r="2413">
      <c r="A2413" s="934"/>
      <c r="B2413" s="557"/>
      <c r="C2413" s="936"/>
      <c r="D2413" s="439"/>
      <c r="E2413" s="454"/>
      <c r="F2413" s="455"/>
      <c r="G2413" s="455"/>
      <c r="H2413" s="455"/>
      <c r="I2413" s="455"/>
      <c r="J2413" s="455"/>
    </row>
    <row r="2414">
      <c r="A2414" s="934"/>
      <c r="B2414" s="557"/>
      <c r="C2414" s="936"/>
      <c r="D2414" s="439"/>
      <c r="E2414" s="454"/>
      <c r="F2414" s="455"/>
      <c r="G2414" s="455"/>
      <c r="H2414" s="455"/>
      <c r="I2414" s="455"/>
      <c r="J2414" s="455"/>
    </row>
    <row r="2415">
      <c r="A2415" s="934"/>
      <c r="B2415" s="557"/>
      <c r="C2415" s="936"/>
      <c r="D2415" s="439"/>
      <c r="E2415" s="454"/>
      <c r="F2415" s="455"/>
      <c r="G2415" s="455"/>
      <c r="H2415" s="455"/>
      <c r="I2415" s="455"/>
      <c r="J2415" s="455"/>
    </row>
    <row r="2416">
      <c r="A2416" s="934"/>
      <c r="B2416" s="557"/>
      <c r="C2416" s="936"/>
      <c r="D2416" s="439"/>
      <c r="E2416" s="454"/>
      <c r="F2416" s="455"/>
      <c r="G2416" s="455"/>
      <c r="H2416" s="455"/>
      <c r="I2416" s="455"/>
      <c r="J2416" s="455"/>
    </row>
    <row r="2417">
      <c r="A2417" s="934"/>
      <c r="B2417" s="557"/>
      <c r="C2417" s="936"/>
      <c r="D2417" s="439"/>
      <c r="E2417" s="454"/>
      <c r="F2417" s="455"/>
      <c r="G2417" s="455"/>
      <c r="H2417" s="455"/>
      <c r="I2417" s="455"/>
      <c r="J2417" s="455"/>
    </row>
    <row r="2418">
      <c r="A2418" s="934"/>
      <c r="B2418" s="557"/>
      <c r="C2418" s="936"/>
      <c r="D2418" s="439"/>
      <c r="E2418" s="454"/>
      <c r="F2418" s="455"/>
      <c r="G2418" s="455"/>
      <c r="H2418" s="455"/>
      <c r="I2418" s="455"/>
      <c r="J2418" s="455"/>
    </row>
    <row r="2419">
      <c r="A2419" s="934"/>
      <c r="B2419" s="557"/>
      <c r="C2419" s="936"/>
      <c r="D2419" s="439"/>
      <c r="E2419" s="454"/>
      <c r="F2419" s="455"/>
      <c r="G2419" s="455"/>
      <c r="H2419" s="455"/>
      <c r="I2419" s="455"/>
      <c r="J2419" s="455"/>
    </row>
    <row r="2420">
      <c r="A2420" s="934"/>
      <c r="B2420" s="557"/>
      <c r="C2420" s="936"/>
      <c r="D2420" s="439"/>
      <c r="E2420" s="454"/>
      <c r="F2420" s="455"/>
      <c r="G2420" s="455"/>
      <c r="H2420" s="455"/>
      <c r="I2420" s="455"/>
      <c r="J2420" s="455"/>
    </row>
    <row r="2421">
      <c r="A2421" s="934"/>
      <c r="B2421" s="557"/>
      <c r="C2421" s="936"/>
      <c r="D2421" s="439"/>
      <c r="E2421" s="454"/>
      <c r="F2421" s="455"/>
      <c r="G2421" s="455"/>
      <c r="H2421" s="455"/>
      <c r="I2421" s="455"/>
      <c r="J2421" s="455"/>
    </row>
    <row r="2422">
      <c r="A2422" s="934"/>
      <c r="B2422" s="557"/>
      <c r="C2422" s="936"/>
      <c r="D2422" s="439"/>
      <c r="E2422" s="454"/>
      <c r="F2422" s="455"/>
      <c r="G2422" s="455"/>
      <c r="H2422" s="455"/>
      <c r="I2422" s="455"/>
      <c r="J2422" s="455"/>
    </row>
    <row r="2423">
      <c r="A2423" s="934"/>
      <c r="B2423" s="557"/>
      <c r="C2423" s="936"/>
      <c r="D2423" s="439"/>
      <c r="E2423" s="454"/>
      <c r="F2423" s="455"/>
      <c r="G2423" s="455"/>
      <c r="H2423" s="455"/>
      <c r="I2423" s="455"/>
      <c r="J2423" s="455"/>
    </row>
    <row r="2424">
      <c r="A2424" s="934"/>
      <c r="B2424" s="557"/>
      <c r="C2424" s="936"/>
      <c r="D2424" s="439"/>
      <c r="E2424" s="454"/>
      <c r="F2424" s="455"/>
      <c r="G2424" s="455"/>
      <c r="H2424" s="455"/>
      <c r="I2424" s="455"/>
      <c r="J2424" s="455"/>
    </row>
    <row r="2425">
      <c r="A2425" s="934"/>
      <c r="B2425" s="557"/>
      <c r="C2425" s="936"/>
      <c r="D2425" s="439"/>
      <c r="E2425" s="454"/>
      <c r="F2425" s="455"/>
      <c r="G2425" s="455"/>
      <c r="H2425" s="455"/>
      <c r="I2425" s="455"/>
      <c r="J2425" s="455"/>
    </row>
    <row r="2426">
      <c r="A2426" s="934"/>
      <c r="B2426" s="557"/>
      <c r="C2426" s="936"/>
      <c r="D2426" s="439"/>
      <c r="E2426" s="454"/>
      <c r="F2426" s="455"/>
      <c r="G2426" s="455"/>
      <c r="H2426" s="455"/>
      <c r="I2426" s="455"/>
      <c r="J2426" s="455"/>
    </row>
    <row r="2427">
      <c r="A2427" s="934"/>
      <c r="B2427" s="557"/>
      <c r="C2427" s="936"/>
      <c r="D2427" s="439"/>
      <c r="E2427" s="454"/>
      <c r="F2427" s="455"/>
      <c r="G2427" s="455"/>
      <c r="H2427" s="455"/>
      <c r="I2427" s="455"/>
      <c r="J2427" s="455"/>
    </row>
    <row r="2428">
      <c r="A2428" s="934"/>
      <c r="B2428" s="557"/>
      <c r="C2428" s="936"/>
      <c r="D2428" s="439"/>
      <c r="E2428" s="454"/>
      <c r="F2428" s="455"/>
      <c r="G2428" s="455"/>
      <c r="H2428" s="455"/>
      <c r="I2428" s="455"/>
      <c r="J2428" s="455"/>
    </row>
    <row r="2429">
      <c r="A2429" s="934"/>
      <c r="B2429" s="557"/>
      <c r="C2429" s="936"/>
      <c r="D2429" s="439"/>
      <c r="E2429" s="454"/>
      <c r="F2429" s="455"/>
      <c r="G2429" s="455"/>
      <c r="H2429" s="455"/>
      <c r="I2429" s="455"/>
      <c r="J2429" s="455"/>
    </row>
    <row r="2430">
      <c r="A2430" s="934"/>
      <c r="B2430" s="557"/>
      <c r="C2430" s="936"/>
      <c r="D2430" s="439"/>
      <c r="E2430" s="454"/>
      <c r="F2430" s="455"/>
      <c r="G2430" s="455"/>
      <c r="H2430" s="455"/>
      <c r="I2430" s="455"/>
      <c r="J2430" s="455"/>
    </row>
    <row r="2431">
      <c r="A2431" s="934"/>
      <c r="B2431" s="557"/>
      <c r="C2431" s="936"/>
      <c r="D2431" s="439"/>
      <c r="E2431" s="454"/>
      <c r="F2431" s="455"/>
      <c r="G2431" s="455"/>
      <c r="H2431" s="455"/>
      <c r="I2431" s="455"/>
      <c r="J2431" s="455"/>
    </row>
    <row r="2432">
      <c r="A2432" s="934"/>
      <c r="B2432" s="557"/>
      <c r="C2432" s="936"/>
      <c r="D2432" s="439"/>
      <c r="E2432" s="454"/>
      <c r="F2432" s="455"/>
      <c r="G2432" s="455"/>
      <c r="H2432" s="455"/>
      <c r="I2432" s="455"/>
      <c r="J2432" s="455"/>
    </row>
    <row r="2433">
      <c r="A2433" s="934"/>
      <c r="B2433" s="557"/>
      <c r="C2433" s="936"/>
      <c r="D2433" s="439"/>
      <c r="E2433" s="454"/>
      <c r="F2433" s="455"/>
      <c r="G2433" s="455"/>
      <c r="H2433" s="455"/>
      <c r="I2433" s="455"/>
      <c r="J2433" s="455"/>
    </row>
    <row r="2434">
      <c r="A2434" s="934"/>
      <c r="B2434" s="557"/>
      <c r="C2434" s="936"/>
      <c r="D2434" s="439"/>
      <c r="E2434" s="454"/>
      <c r="F2434" s="455"/>
      <c r="G2434" s="455"/>
      <c r="H2434" s="455"/>
      <c r="I2434" s="455"/>
      <c r="J2434" s="455"/>
    </row>
    <row r="2435">
      <c r="A2435" s="934"/>
      <c r="B2435" s="557"/>
      <c r="C2435" s="936"/>
      <c r="D2435" s="439"/>
      <c r="E2435" s="454"/>
      <c r="F2435" s="455"/>
      <c r="G2435" s="455"/>
      <c r="H2435" s="455"/>
      <c r="I2435" s="455"/>
      <c r="J2435" s="455"/>
    </row>
    <row r="2436">
      <c r="A2436" s="934"/>
      <c r="B2436" s="557"/>
      <c r="C2436" s="936"/>
      <c r="D2436" s="439"/>
      <c r="E2436" s="454"/>
      <c r="F2436" s="455"/>
      <c r="G2436" s="455"/>
      <c r="H2436" s="455"/>
      <c r="I2436" s="455"/>
      <c r="J2436" s="455"/>
    </row>
    <row r="2437">
      <c r="A2437" s="934"/>
      <c r="B2437" s="557"/>
      <c r="C2437" s="936"/>
      <c r="D2437" s="439"/>
      <c r="E2437" s="454"/>
      <c r="F2437" s="455"/>
      <c r="G2437" s="455"/>
      <c r="H2437" s="455"/>
      <c r="I2437" s="455"/>
      <c r="J2437" s="455"/>
    </row>
    <row r="2438">
      <c r="A2438" s="934"/>
      <c r="B2438" s="557"/>
      <c r="C2438" s="936"/>
      <c r="D2438" s="439"/>
      <c r="E2438" s="454"/>
      <c r="F2438" s="455"/>
      <c r="G2438" s="455"/>
      <c r="H2438" s="455"/>
      <c r="I2438" s="455"/>
      <c r="J2438" s="455"/>
    </row>
    <row r="2439">
      <c r="A2439" s="934"/>
      <c r="B2439" s="557"/>
      <c r="C2439" s="936"/>
      <c r="D2439" s="439"/>
      <c r="E2439" s="454"/>
      <c r="F2439" s="455"/>
      <c r="G2439" s="455"/>
      <c r="H2439" s="455"/>
      <c r="I2439" s="455"/>
      <c r="J2439" s="455"/>
    </row>
    <row r="2440">
      <c r="A2440" s="934"/>
      <c r="B2440" s="557"/>
      <c r="C2440" s="936"/>
      <c r="D2440" s="439"/>
      <c r="E2440" s="454"/>
      <c r="F2440" s="455"/>
      <c r="G2440" s="455"/>
      <c r="H2440" s="455"/>
      <c r="I2440" s="455"/>
      <c r="J2440" s="455"/>
    </row>
    <row r="2441">
      <c r="A2441" s="934"/>
      <c r="B2441" s="557"/>
      <c r="C2441" s="936"/>
      <c r="D2441" s="439"/>
      <c r="E2441" s="454"/>
      <c r="F2441" s="455"/>
      <c r="G2441" s="455"/>
      <c r="H2441" s="455"/>
      <c r="I2441" s="455"/>
      <c r="J2441" s="455"/>
    </row>
    <row r="2442">
      <c r="A2442" s="934"/>
      <c r="B2442" s="557"/>
      <c r="C2442" s="936"/>
      <c r="D2442" s="439"/>
      <c r="E2442" s="454"/>
      <c r="F2442" s="455"/>
      <c r="G2442" s="455"/>
      <c r="H2442" s="455"/>
      <c r="I2442" s="455"/>
      <c r="J2442" s="455"/>
    </row>
    <row r="2443">
      <c r="A2443" s="934"/>
      <c r="B2443" s="557"/>
      <c r="C2443" s="936"/>
      <c r="D2443" s="439"/>
      <c r="E2443" s="454"/>
      <c r="F2443" s="455"/>
      <c r="G2443" s="455"/>
      <c r="H2443" s="455"/>
      <c r="I2443" s="455"/>
      <c r="J2443" s="455"/>
    </row>
    <row r="2444">
      <c r="A2444" s="934"/>
      <c r="B2444" s="557"/>
      <c r="C2444" s="936"/>
      <c r="D2444" s="439"/>
      <c r="E2444" s="454"/>
      <c r="F2444" s="455"/>
      <c r="G2444" s="455"/>
      <c r="H2444" s="455"/>
      <c r="I2444" s="455"/>
      <c r="J2444" s="455"/>
    </row>
    <row r="2445">
      <c r="A2445" s="934"/>
      <c r="B2445" s="557"/>
      <c r="C2445" s="936"/>
      <c r="D2445" s="439"/>
      <c r="E2445" s="454"/>
      <c r="F2445" s="455"/>
      <c r="G2445" s="455"/>
      <c r="H2445" s="455"/>
      <c r="I2445" s="455"/>
      <c r="J2445" s="455"/>
    </row>
    <row r="2446">
      <c r="A2446" s="934"/>
      <c r="B2446" s="557"/>
      <c r="C2446" s="936"/>
      <c r="D2446" s="439"/>
      <c r="E2446" s="454"/>
      <c r="F2446" s="455"/>
      <c r="G2446" s="455"/>
      <c r="H2446" s="455"/>
      <c r="I2446" s="455"/>
      <c r="J2446" s="455"/>
    </row>
    <row r="2447">
      <c r="A2447" s="934"/>
      <c r="B2447" s="557"/>
      <c r="C2447" s="936"/>
      <c r="D2447" s="439"/>
      <c r="E2447" s="454"/>
      <c r="F2447" s="455"/>
      <c r="G2447" s="455"/>
      <c r="H2447" s="455"/>
      <c r="I2447" s="455"/>
      <c r="J2447" s="455"/>
    </row>
    <row r="2448">
      <c r="A2448" s="934"/>
      <c r="B2448" s="557"/>
      <c r="C2448" s="936"/>
      <c r="D2448" s="439"/>
      <c r="E2448" s="454"/>
      <c r="F2448" s="455"/>
      <c r="G2448" s="455"/>
      <c r="H2448" s="455"/>
      <c r="I2448" s="455"/>
      <c r="J2448" s="455"/>
    </row>
    <row r="2449">
      <c r="A2449" s="934"/>
      <c r="B2449" s="557"/>
      <c r="C2449" s="936"/>
      <c r="D2449" s="439"/>
      <c r="E2449" s="454"/>
      <c r="F2449" s="455"/>
      <c r="G2449" s="455"/>
      <c r="H2449" s="455"/>
      <c r="I2449" s="455"/>
      <c r="J2449" s="455"/>
    </row>
    <row r="2450">
      <c r="A2450" s="934"/>
      <c r="B2450" s="557"/>
      <c r="C2450" s="936"/>
      <c r="D2450" s="439"/>
      <c r="E2450" s="454"/>
      <c r="F2450" s="455"/>
      <c r="G2450" s="455"/>
      <c r="H2450" s="455"/>
      <c r="I2450" s="455"/>
      <c r="J2450" s="455"/>
    </row>
    <row r="2451">
      <c r="A2451" s="934"/>
      <c r="B2451" s="557"/>
      <c r="C2451" s="936"/>
      <c r="D2451" s="439"/>
      <c r="E2451" s="454"/>
      <c r="F2451" s="455"/>
      <c r="G2451" s="455"/>
      <c r="H2451" s="455"/>
      <c r="I2451" s="455"/>
      <c r="J2451" s="455"/>
    </row>
    <row r="2452">
      <c r="A2452" s="934"/>
      <c r="B2452" s="557"/>
      <c r="C2452" s="936"/>
      <c r="D2452" s="439"/>
      <c r="E2452" s="454"/>
      <c r="F2452" s="455"/>
      <c r="G2452" s="455"/>
      <c r="H2452" s="455"/>
      <c r="I2452" s="455"/>
      <c r="J2452" s="455"/>
    </row>
    <row r="2453">
      <c r="A2453" s="934"/>
      <c r="B2453" s="557"/>
      <c r="C2453" s="936"/>
      <c r="D2453" s="439"/>
      <c r="E2453" s="454"/>
      <c r="F2453" s="455"/>
      <c r="G2453" s="455"/>
      <c r="H2453" s="455"/>
      <c r="I2453" s="455"/>
      <c r="J2453" s="455"/>
    </row>
    <row r="2454">
      <c r="A2454" s="934"/>
      <c r="B2454" s="557"/>
      <c r="C2454" s="936"/>
      <c r="D2454" s="439"/>
      <c r="E2454" s="454"/>
      <c r="F2454" s="455"/>
      <c r="G2454" s="455"/>
      <c r="H2454" s="455"/>
      <c r="I2454" s="455"/>
      <c r="J2454" s="455"/>
    </row>
    <row r="2455">
      <c r="A2455" s="934"/>
      <c r="B2455" s="557"/>
      <c r="C2455" s="936"/>
      <c r="D2455" s="439"/>
      <c r="E2455" s="454"/>
      <c r="F2455" s="455"/>
      <c r="G2455" s="455"/>
      <c r="H2455" s="455"/>
      <c r="I2455" s="455"/>
      <c r="J2455" s="455"/>
    </row>
    <row r="2456">
      <c r="A2456" s="934"/>
      <c r="B2456" s="557"/>
      <c r="C2456" s="936"/>
      <c r="D2456" s="439"/>
      <c r="E2456" s="454"/>
      <c r="F2456" s="455"/>
      <c r="G2456" s="455"/>
      <c r="H2456" s="455"/>
      <c r="I2456" s="455"/>
      <c r="J2456" s="455"/>
    </row>
    <row r="2457">
      <c r="A2457" s="934"/>
      <c r="B2457" s="557"/>
      <c r="C2457" s="936"/>
      <c r="D2457" s="439"/>
      <c r="E2457" s="454"/>
      <c r="F2457" s="455"/>
      <c r="G2457" s="455"/>
      <c r="H2457" s="455"/>
      <c r="I2457" s="455"/>
      <c r="J2457" s="455"/>
    </row>
    <row r="2458">
      <c r="A2458" s="934"/>
      <c r="B2458" s="557"/>
      <c r="C2458" s="936"/>
      <c r="D2458" s="439"/>
      <c r="E2458" s="454"/>
      <c r="F2458" s="455"/>
      <c r="G2458" s="455"/>
      <c r="H2458" s="455"/>
      <c r="I2458" s="455"/>
      <c r="J2458" s="455"/>
    </row>
    <row r="2459">
      <c r="A2459" s="934"/>
      <c r="B2459" s="557"/>
      <c r="C2459" s="936"/>
      <c r="D2459" s="439"/>
      <c r="E2459" s="454"/>
      <c r="F2459" s="455"/>
      <c r="G2459" s="455"/>
      <c r="H2459" s="455"/>
      <c r="I2459" s="455"/>
      <c r="J2459" s="455"/>
    </row>
    <row r="2460">
      <c r="A2460" s="934"/>
      <c r="B2460" s="557"/>
      <c r="C2460" s="936"/>
      <c r="D2460" s="439"/>
      <c r="E2460" s="454"/>
      <c r="F2460" s="455"/>
      <c r="G2460" s="455"/>
      <c r="H2460" s="455"/>
      <c r="I2460" s="455"/>
      <c r="J2460" s="455"/>
    </row>
    <row r="2461">
      <c r="A2461" s="934"/>
      <c r="B2461" s="557"/>
      <c r="C2461" s="936"/>
      <c r="D2461" s="439"/>
      <c r="E2461" s="454"/>
      <c r="F2461" s="455"/>
      <c r="G2461" s="455"/>
      <c r="H2461" s="455"/>
      <c r="I2461" s="455"/>
      <c r="J2461" s="455"/>
    </row>
    <row r="2462">
      <c r="A2462" s="934"/>
      <c r="B2462" s="557"/>
      <c r="C2462" s="936"/>
      <c r="D2462" s="439"/>
      <c r="E2462" s="454"/>
      <c r="F2462" s="455"/>
      <c r="G2462" s="455"/>
      <c r="H2462" s="455"/>
      <c r="I2462" s="455"/>
      <c r="J2462" s="455"/>
    </row>
    <row r="2463">
      <c r="A2463" s="934"/>
      <c r="B2463" s="557"/>
      <c r="C2463" s="936"/>
      <c r="D2463" s="439"/>
      <c r="E2463" s="454"/>
      <c r="F2463" s="455"/>
      <c r="G2463" s="455"/>
      <c r="H2463" s="455"/>
      <c r="I2463" s="455"/>
      <c r="J2463" s="455"/>
    </row>
    <row r="2464">
      <c r="A2464" s="934"/>
      <c r="B2464" s="557"/>
      <c r="C2464" s="936"/>
      <c r="D2464" s="439"/>
      <c r="E2464" s="454"/>
      <c r="F2464" s="455"/>
      <c r="G2464" s="455"/>
      <c r="H2464" s="455"/>
      <c r="I2464" s="455"/>
      <c r="J2464" s="455"/>
    </row>
    <row r="2465">
      <c r="A2465" s="934"/>
      <c r="B2465" s="557"/>
      <c r="C2465" s="936"/>
      <c r="D2465" s="439"/>
      <c r="E2465" s="454"/>
      <c r="F2465" s="455"/>
      <c r="G2465" s="455"/>
      <c r="H2465" s="455"/>
      <c r="I2465" s="455"/>
      <c r="J2465" s="455"/>
    </row>
    <row r="2466">
      <c r="A2466" s="934"/>
      <c r="B2466" s="557"/>
      <c r="C2466" s="936"/>
      <c r="D2466" s="439"/>
      <c r="E2466" s="454"/>
      <c r="F2466" s="455"/>
      <c r="G2466" s="455"/>
      <c r="H2466" s="455"/>
      <c r="I2466" s="455"/>
      <c r="J2466" s="455"/>
    </row>
    <row r="2467">
      <c r="A2467" s="934"/>
      <c r="B2467" s="557"/>
      <c r="C2467" s="936"/>
      <c r="D2467" s="439"/>
      <c r="E2467" s="454"/>
      <c r="F2467" s="455"/>
      <c r="G2467" s="455"/>
      <c r="H2467" s="455"/>
      <c r="I2467" s="455"/>
      <c r="J2467" s="455"/>
    </row>
    <row r="2468">
      <c r="A2468" s="934"/>
      <c r="B2468" s="557"/>
      <c r="C2468" s="936"/>
      <c r="D2468" s="439"/>
      <c r="E2468" s="454"/>
      <c r="F2468" s="455"/>
      <c r="G2468" s="455"/>
      <c r="H2468" s="455"/>
      <c r="I2468" s="455"/>
      <c r="J2468" s="455"/>
    </row>
    <row r="2469">
      <c r="A2469" s="934"/>
      <c r="B2469" s="557"/>
      <c r="C2469" s="936"/>
      <c r="D2469" s="439"/>
      <c r="E2469" s="454"/>
      <c r="F2469" s="455"/>
      <c r="G2469" s="455"/>
      <c r="H2469" s="455"/>
      <c r="I2469" s="455"/>
      <c r="J2469" s="455"/>
    </row>
    <row r="2470">
      <c r="A2470" s="934"/>
      <c r="B2470" s="557"/>
      <c r="C2470" s="936"/>
      <c r="D2470" s="439"/>
      <c r="E2470" s="454"/>
      <c r="F2470" s="455"/>
      <c r="G2470" s="455"/>
      <c r="H2470" s="455"/>
      <c r="I2470" s="455"/>
      <c r="J2470" s="455"/>
    </row>
    <row r="2471">
      <c r="A2471" s="934"/>
      <c r="B2471" s="557"/>
      <c r="C2471" s="936"/>
      <c r="D2471" s="439"/>
      <c r="E2471" s="454"/>
      <c r="F2471" s="455"/>
      <c r="G2471" s="455"/>
      <c r="H2471" s="455"/>
      <c r="I2471" s="455"/>
      <c r="J2471" s="455"/>
    </row>
    <row r="2472">
      <c r="A2472" s="934"/>
      <c r="B2472" s="557"/>
      <c r="C2472" s="936"/>
      <c r="D2472" s="439"/>
      <c r="E2472" s="454"/>
      <c r="F2472" s="455"/>
      <c r="G2472" s="455"/>
      <c r="H2472" s="455"/>
      <c r="I2472" s="455"/>
      <c r="J2472" s="455"/>
    </row>
    <row r="2473">
      <c r="A2473" s="934"/>
      <c r="B2473" s="557"/>
      <c r="C2473" s="936"/>
      <c r="D2473" s="439"/>
      <c r="E2473" s="454"/>
      <c r="F2473" s="455"/>
      <c r="G2473" s="455"/>
      <c r="H2473" s="455"/>
      <c r="I2473" s="455"/>
      <c r="J2473" s="455"/>
    </row>
    <row r="2474">
      <c r="A2474" s="934"/>
      <c r="B2474" s="557"/>
      <c r="C2474" s="936"/>
      <c r="D2474" s="439"/>
      <c r="E2474" s="454"/>
      <c r="F2474" s="455"/>
      <c r="G2474" s="455"/>
      <c r="H2474" s="455"/>
      <c r="I2474" s="455"/>
      <c r="J2474" s="455"/>
    </row>
    <row r="2475">
      <c r="A2475" s="934"/>
      <c r="B2475" s="557"/>
      <c r="C2475" s="936"/>
      <c r="D2475" s="439"/>
      <c r="E2475" s="454"/>
      <c r="F2475" s="455"/>
      <c r="G2475" s="455"/>
      <c r="H2475" s="455"/>
      <c r="I2475" s="455"/>
      <c r="J2475" s="455"/>
    </row>
    <row r="2476">
      <c r="A2476" s="934"/>
      <c r="B2476" s="557"/>
      <c r="C2476" s="936"/>
      <c r="D2476" s="439"/>
      <c r="E2476" s="454"/>
      <c r="F2476" s="455"/>
      <c r="G2476" s="455"/>
      <c r="H2476" s="455"/>
      <c r="I2476" s="455"/>
      <c r="J2476" s="455"/>
    </row>
    <row r="2477">
      <c r="A2477" s="934"/>
      <c r="B2477" s="557"/>
      <c r="C2477" s="936"/>
      <c r="D2477" s="439"/>
      <c r="E2477" s="454"/>
      <c r="F2477" s="455"/>
      <c r="G2477" s="455"/>
      <c r="H2477" s="455"/>
      <c r="I2477" s="455"/>
      <c r="J2477" s="455"/>
    </row>
    <row r="2478">
      <c r="A2478" s="934"/>
      <c r="B2478" s="557"/>
      <c r="C2478" s="936"/>
      <c r="D2478" s="439"/>
      <c r="E2478" s="454"/>
      <c r="F2478" s="455"/>
      <c r="G2478" s="455"/>
      <c r="H2478" s="455"/>
      <c r="I2478" s="455"/>
      <c r="J2478" s="455"/>
    </row>
    <row r="2479">
      <c r="A2479" s="934"/>
      <c r="B2479" s="557"/>
      <c r="C2479" s="936"/>
      <c r="D2479" s="439"/>
      <c r="E2479" s="454"/>
      <c r="F2479" s="455"/>
      <c r="G2479" s="455"/>
      <c r="H2479" s="455"/>
      <c r="I2479" s="455"/>
      <c r="J2479" s="455"/>
    </row>
    <row r="2480">
      <c r="A2480" s="934"/>
      <c r="B2480" s="557"/>
      <c r="C2480" s="936"/>
      <c r="D2480" s="439"/>
      <c r="E2480" s="454"/>
      <c r="F2480" s="455"/>
      <c r="G2480" s="455"/>
      <c r="H2480" s="455"/>
      <c r="I2480" s="455"/>
      <c r="J2480" s="455"/>
    </row>
    <row r="2481">
      <c r="A2481" s="934"/>
      <c r="B2481" s="557"/>
      <c r="C2481" s="936"/>
      <c r="D2481" s="439"/>
      <c r="E2481" s="454"/>
      <c r="F2481" s="455"/>
      <c r="G2481" s="455"/>
      <c r="H2481" s="455"/>
      <c r="I2481" s="455"/>
      <c r="J2481" s="455"/>
    </row>
    <row r="2482">
      <c r="A2482" s="934"/>
      <c r="B2482" s="557"/>
      <c r="C2482" s="936"/>
      <c r="D2482" s="439"/>
      <c r="E2482" s="454"/>
      <c r="F2482" s="455"/>
      <c r="G2482" s="455"/>
      <c r="H2482" s="455"/>
      <c r="I2482" s="455"/>
      <c r="J2482" s="455"/>
    </row>
    <row r="2483">
      <c r="A2483" s="934"/>
      <c r="B2483" s="557"/>
      <c r="C2483" s="936"/>
      <c r="D2483" s="439"/>
      <c r="E2483" s="454"/>
      <c r="F2483" s="455"/>
      <c r="G2483" s="455"/>
      <c r="H2483" s="455"/>
      <c r="I2483" s="455"/>
      <c r="J2483" s="455"/>
    </row>
    <row r="2484">
      <c r="A2484" s="934"/>
      <c r="B2484" s="557"/>
      <c r="C2484" s="936"/>
      <c r="D2484" s="439"/>
      <c r="E2484" s="454"/>
      <c r="F2484" s="455"/>
      <c r="G2484" s="455"/>
      <c r="H2484" s="455"/>
      <c r="I2484" s="455"/>
      <c r="J2484" s="455"/>
    </row>
    <row r="2485">
      <c r="A2485" s="934"/>
      <c r="B2485" s="557"/>
      <c r="C2485" s="936"/>
      <c r="D2485" s="439"/>
      <c r="E2485" s="454"/>
      <c r="F2485" s="455"/>
      <c r="G2485" s="455"/>
      <c r="H2485" s="455"/>
      <c r="I2485" s="455"/>
      <c r="J2485" s="455"/>
    </row>
    <row r="2486">
      <c r="A2486" s="934"/>
      <c r="B2486" s="557"/>
      <c r="C2486" s="936"/>
      <c r="D2486" s="439"/>
      <c r="E2486" s="454"/>
      <c r="F2486" s="455"/>
      <c r="G2486" s="455"/>
      <c r="H2486" s="455"/>
      <c r="I2486" s="455"/>
      <c r="J2486" s="455"/>
    </row>
    <row r="2487">
      <c r="A2487" s="934"/>
      <c r="B2487" s="557"/>
      <c r="C2487" s="936"/>
      <c r="D2487" s="439"/>
      <c r="E2487" s="454"/>
      <c r="F2487" s="455"/>
      <c r="G2487" s="455"/>
      <c r="H2487" s="455"/>
      <c r="I2487" s="455"/>
      <c r="J2487" s="455"/>
    </row>
    <row r="2488">
      <c r="A2488" s="934"/>
      <c r="B2488" s="557"/>
      <c r="C2488" s="936"/>
      <c r="D2488" s="439"/>
      <c r="E2488" s="454"/>
      <c r="F2488" s="455"/>
      <c r="G2488" s="455"/>
      <c r="H2488" s="455"/>
      <c r="I2488" s="455"/>
      <c r="J2488" s="455"/>
    </row>
    <row r="2489">
      <c r="A2489" s="934"/>
      <c r="B2489" s="557"/>
      <c r="C2489" s="936"/>
      <c r="D2489" s="439"/>
      <c r="E2489" s="454"/>
      <c r="F2489" s="455"/>
      <c r="G2489" s="455"/>
      <c r="H2489" s="455"/>
      <c r="I2489" s="455"/>
      <c r="J2489" s="455"/>
    </row>
    <row r="2490">
      <c r="A2490" s="934"/>
      <c r="B2490" s="557"/>
      <c r="C2490" s="936"/>
      <c r="D2490" s="439"/>
      <c r="E2490" s="454"/>
      <c r="F2490" s="455"/>
      <c r="G2490" s="455"/>
      <c r="H2490" s="455"/>
      <c r="I2490" s="455"/>
      <c r="J2490" s="455"/>
    </row>
    <row r="2491">
      <c r="A2491" s="934"/>
      <c r="B2491" s="557"/>
      <c r="C2491" s="936"/>
      <c r="D2491" s="439"/>
      <c r="E2491" s="454"/>
      <c r="F2491" s="455"/>
      <c r="G2491" s="455"/>
      <c r="H2491" s="455"/>
      <c r="I2491" s="455"/>
      <c r="J2491" s="455"/>
    </row>
    <row r="2492">
      <c r="A2492" s="934"/>
      <c r="B2492" s="557"/>
      <c r="C2492" s="936"/>
      <c r="D2492" s="439"/>
      <c r="E2492" s="454"/>
      <c r="F2492" s="455"/>
      <c r="G2492" s="455"/>
      <c r="H2492" s="455"/>
      <c r="I2492" s="455"/>
      <c r="J2492" s="455"/>
    </row>
    <row r="2493">
      <c r="A2493" s="934"/>
      <c r="B2493" s="557"/>
      <c r="C2493" s="936"/>
      <c r="D2493" s="439"/>
      <c r="E2493" s="454"/>
      <c r="F2493" s="455"/>
      <c r="G2493" s="455"/>
      <c r="H2493" s="455"/>
      <c r="I2493" s="455"/>
      <c r="J2493" s="455"/>
    </row>
    <row r="2494">
      <c r="A2494" s="934"/>
      <c r="B2494" s="557"/>
      <c r="C2494" s="936"/>
      <c r="D2494" s="439"/>
      <c r="E2494" s="454"/>
      <c r="F2494" s="455"/>
      <c r="G2494" s="455"/>
      <c r="H2494" s="455"/>
      <c r="I2494" s="455"/>
      <c r="J2494" s="455"/>
    </row>
    <row r="2495">
      <c r="A2495" s="934"/>
      <c r="B2495" s="557"/>
      <c r="C2495" s="936"/>
      <c r="D2495" s="439"/>
      <c r="E2495" s="454"/>
      <c r="F2495" s="455"/>
      <c r="G2495" s="455"/>
      <c r="H2495" s="455"/>
      <c r="I2495" s="455"/>
      <c r="J2495" s="455"/>
    </row>
    <row r="2496">
      <c r="A2496" s="934"/>
      <c r="B2496" s="557"/>
      <c r="C2496" s="936"/>
      <c r="D2496" s="439"/>
      <c r="E2496" s="454"/>
      <c r="F2496" s="455"/>
      <c r="G2496" s="455"/>
      <c r="H2496" s="455"/>
      <c r="I2496" s="455"/>
      <c r="J2496" s="455"/>
    </row>
    <row r="2497">
      <c r="A2497" s="934"/>
      <c r="B2497" s="557"/>
      <c r="C2497" s="936"/>
      <c r="D2497" s="439"/>
      <c r="E2497" s="454"/>
      <c r="F2497" s="455"/>
      <c r="G2497" s="455"/>
      <c r="H2497" s="455"/>
      <c r="I2497" s="455"/>
      <c r="J2497" s="455"/>
    </row>
    <row r="2498">
      <c r="A2498" s="934"/>
      <c r="B2498" s="557"/>
      <c r="C2498" s="936"/>
      <c r="D2498" s="439"/>
      <c r="E2498" s="454"/>
      <c r="F2498" s="455"/>
      <c r="G2498" s="455"/>
      <c r="H2498" s="455"/>
      <c r="I2498" s="455"/>
      <c r="J2498" s="455"/>
    </row>
    <row r="2499">
      <c r="A2499" s="934"/>
      <c r="B2499" s="557"/>
      <c r="C2499" s="936"/>
      <c r="D2499" s="439"/>
      <c r="E2499" s="454"/>
      <c r="F2499" s="455"/>
      <c r="G2499" s="455"/>
      <c r="H2499" s="455"/>
      <c r="I2499" s="455"/>
      <c r="J2499" s="455"/>
    </row>
    <row r="2500">
      <c r="A2500" s="934"/>
      <c r="B2500" s="557"/>
      <c r="C2500" s="936"/>
      <c r="D2500" s="439"/>
      <c r="E2500" s="454"/>
      <c r="F2500" s="455"/>
      <c r="G2500" s="455"/>
      <c r="H2500" s="455"/>
      <c r="I2500" s="455"/>
      <c r="J2500" s="455"/>
    </row>
    <row r="2501">
      <c r="A2501" s="934"/>
      <c r="B2501" s="557"/>
      <c r="C2501" s="936"/>
      <c r="D2501" s="439"/>
      <c r="E2501" s="454"/>
      <c r="F2501" s="455"/>
      <c r="G2501" s="455"/>
      <c r="H2501" s="455"/>
      <c r="I2501" s="455"/>
      <c r="J2501" s="455"/>
    </row>
    <row r="2502">
      <c r="A2502" s="934"/>
      <c r="B2502" s="557"/>
      <c r="C2502" s="936"/>
      <c r="D2502" s="439"/>
      <c r="E2502" s="454"/>
      <c r="F2502" s="455"/>
      <c r="G2502" s="455"/>
      <c r="H2502" s="455"/>
      <c r="I2502" s="455"/>
      <c r="J2502" s="455"/>
    </row>
    <row r="2503">
      <c r="A2503" s="934"/>
      <c r="B2503" s="557"/>
      <c r="C2503" s="936"/>
      <c r="D2503" s="439"/>
      <c r="E2503" s="454"/>
      <c r="F2503" s="455"/>
      <c r="G2503" s="455"/>
      <c r="H2503" s="455"/>
      <c r="I2503" s="455"/>
      <c r="J2503" s="455"/>
    </row>
    <row r="2504">
      <c r="A2504" s="934"/>
      <c r="B2504" s="557"/>
      <c r="C2504" s="936"/>
      <c r="D2504" s="439"/>
      <c r="E2504" s="454"/>
      <c r="F2504" s="455"/>
      <c r="G2504" s="455"/>
      <c r="H2504" s="455"/>
      <c r="I2504" s="455"/>
      <c r="J2504" s="455"/>
    </row>
    <row r="2505">
      <c r="A2505" s="934"/>
      <c r="B2505" s="557"/>
      <c r="C2505" s="936"/>
      <c r="D2505" s="439"/>
      <c r="E2505" s="454"/>
      <c r="F2505" s="455"/>
      <c r="G2505" s="455"/>
      <c r="H2505" s="455"/>
      <c r="I2505" s="455"/>
      <c r="J2505" s="455"/>
    </row>
    <row r="2506">
      <c r="A2506" s="934"/>
      <c r="B2506" s="557"/>
      <c r="C2506" s="936"/>
      <c r="D2506" s="439"/>
      <c r="E2506" s="454"/>
      <c r="F2506" s="455"/>
      <c r="G2506" s="455"/>
      <c r="H2506" s="455"/>
      <c r="I2506" s="455"/>
      <c r="J2506" s="455"/>
    </row>
    <row r="2507">
      <c r="A2507" s="934"/>
      <c r="B2507" s="557"/>
      <c r="C2507" s="936"/>
      <c r="D2507" s="439"/>
      <c r="E2507" s="454"/>
      <c r="F2507" s="455"/>
      <c r="G2507" s="455"/>
      <c r="H2507" s="455"/>
      <c r="I2507" s="455"/>
      <c r="J2507" s="455"/>
    </row>
  </sheetData>
  <mergeCells count="1">
    <mergeCell ref="A1:B1"/>
  </mergeCells>
  <conditionalFormatting sqref="C24 C127 C356 C422:C432">
    <cfRule type="expression" dxfId="0" priority="1">
      <formula>AND($C24&lt;&gt;"",COUNTIF($C$4:$C2507,$C24)&gt;1)</formula>
    </cfRule>
  </conditionalFormatting>
  <conditionalFormatting sqref="B24 B127 B356 B422:B432">
    <cfRule type="cellIs" dxfId="1" priority="2" operator="equal">
      <formula>0</formula>
    </cfRule>
  </conditionalFormatting>
  <dataValidations>
    <dataValidation type="list" allowBlank="1" sqref="E3:E2507">
      <formula1>"Десерты,Завтраки,Салаты,Супы,Вторые блюда,Сэндвичи,Япония,Напитки,Хлеб"</formula1>
    </dataValidation>
    <dataValidation type="list" allowBlank="1" sqref="F284:F361 F429 F434:F435 F438 F448">
      <formula1>"овощной,слоёный,майонезный,премиальный,боул,морской,азиатский"</formula1>
    </dataValidation>
    <dataValidation type="list" allowBlank="1" sqref="G3:G186 G431:G432 G436:G437 G440:G441 G446">
      <formula1>"курица,свинина,говядина,рыба,без мяса"</formula1>
    </dataValidation>
    <dataValidation type="list" allowBlank="1" sqref="F187 F190 F206:F271 F424:F425 F427 F433 F444:F445">
      <formula1>"каша,драники,блины,творожное,вафли,выпечка,яичное блюдо"</formula1>
    </dataValidation>
    <dataValidation type="list" allowBlank="1" sqref="F383:F410 F428">
      <formula1>"куриный,мясной,рыбный,овощной"</formula1>
    </dataValidation>
    <dataValidation type="list" allowBlank="1" sqref="H3:H186 H271 H378 H405 H431:H432 H436:H437 H440:H441 H446">
      <formula1>"кусок,фарш,соусное"</formula1>
    </dataValidation>
    <dataValidation type="list" allowBlank="1" sqref="G188:G189 G191:G205 G383:G410 G428 G430 G447">
      <formula1>"лёгкий,сытный"</formula1>
    </dataValidation>
    <dataValidation type="list" allowBlank="1" sqref="F412:F423">
      <formula1>"онигири,ролл,ролл-сэндвич"</formula1>
    </dataValidation>
    <dataValidation type="list" allowBlank="1" sqref="F272:F283 F439">
      <formula1>"морс,компот"</formula1>
    </dataValidation>
    <dataValidation type="list" allowBlank="1" sqref="G187 G190 G206:G271 G424:G425 G427 G433 G444:G445">
      <formula1>"лёгкий,сытный,сладкий"</formula1>
    </dataValidation>
    <dataValidation type="list" allowBlank="1" sqref="G272:G283 G439">
      <formula1>"ягодный,фруктовый,смешанный"</formula1>
    </dataValidation>
    <dataValidation type="list" allowBlank="1" sqref="F188:F189 F191:F205 F430 F447">
      <formula1>"выпечка,кремовый,творожный,фруктовый,шоколадный"</formula1>
    </dataValidation>
    <dataValidation type="list" allowBlank="1" sqref="F3:F186 F431:F432 F436:F437 F440:F441 F446">
      <formula1>"картофель,макароны,рис,крупа,овощи,без гарнира,моно-блюдо"</formula1>
    </dataValidation>
    <dataValidation type="list" allowBlank="1" sqref="G362:G382 G426 G442:G443">
      <formula1>"курица,мясо,рыба,без мяса"</formula1>
    </dataValidation>
    <dataValidation type="list" allowBlank="1" sqref="G412:G423">
      <formula1>"курица,рыба,овощи"</formula1>
    </dataValidation>
    <dataValidation type="list" allowBlank="1" sqref="F362:F382 F426 F442:F443">
      <formula1>"бульон,крем-суп,густой,лёгкий"</formula1>
    </dataValidation>
    <dataValidation type="list" allowBlank="1" sqref="G284:G361 G429 G434:G435 G438 G448">
      <formula1>"овощи,курица,мясо,рыба,без белка,колбаса"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.33"/>
    <col customWidth="1" min="3" max="3" width="10.67"/>
    <col customWidth="1" min="4" max="4" width="9.67"/>
    <col customWidth="1" min="5" max="5" width="12.44"/>
    <col customWidth="1" min="6" max="6" width="12.89"/>
  </cols>
  <sheetData>
    <row r="1">
      <c r="A1" s="505" t="s">
        <v>473</v>
      </c>
      <c r="B1" s="507" t="s">
        <v>475</v>
      </c>
      <c r="C1" s="507" t="s">
        <v>476</v>
      </c>
      <c r="D1" s="507" t="s">
        <v>477</v>
      </c>
      <c r="E1" s="507" t="s">
        <v>478</v>
      </c>
      <c r="F1" s="507" t="s">
        <v>479</v>
      </c>
    </row>
    <row r="2">
      <c r="A2" s="509" t="s">
        <v>132</v>
      </c>
      <c r="B2" s="509" t="s">
        <v>675</v>
      </c>
      <c r="C2" s="509" t="s">
        <v>677</v>
      </c>
      <c r="D2" s="509"/>
      <c r="E2" s="509"/>
      <c r="F2" s="509"/>
    </row>
    <row r="3">
      <c r="A3" s="509"/>
      <c r="B3" s="509" t="s">
        <v>678</v>
      </c>
      <c r="C3" s="509" t="s">
        <v>679</v>
      </c>
      <c r="D3" s="509"/>
      <c r="E3" s="509"/>
      <c r="F3" s="509"/>
    </row>
    <row r="4">
      <c r="A4" s="509"/>
      <c r="B4" s="509" t="s">
        <v>682</v>
      </c>
      <c r="C4" s="509"/>
      <c r="D4" s="509"/>
      <c r="E4" s="509"/>
      <c r="F4" s="509"/>
    </row>
    <row r="5">
      <c r="A5" s="509"/>
      <c r="B5" s="509" t="s">
        <v>683</v>
      </c>
      <c r="C5" s="509"/>
      <c r="D5" s="509"/>
      <c r="E5" s="509"/>
      <c r="F5" s="509"/>
    </row>
    <row r="6">
      <c r="A6" s="509"/>
      <c r="B6" s="509" t="s">
        <v>685</v>
      </c>
      <c r="C6" s="509"/>
      <c r="D6" s="509"/>
      <c r="E6" s="509"/>
      <c r="F6" s="509"/>
    </row>
    <row r="7">
      <c r="A7" s="1"/>
      <c r="B7" s="1"/>
      <c r="C7" s="1"/>
      <c r="D7" s="1"/>
      <c r="E7" s="1"/>
      <c r="F7" s="1"/>
    </row>
    <row r="8">
      <c r="A8" s="505" t="s">
        <v>473</v>
      </c>
      <c r="B8" s="507" t="s">
        <v>475</v>
      </c>
      <c r="C8" s="507" t="s">
        <v>476</v>
      </c>
      <c r="D8" s="507" t="s">
        <v>477</v>
      </c>
      <c r="E8" s="507" t="s">
        <v>478</v>
      </c>
      <c r="F8" s="507" t="s">
        <v>479</v>
      </c>
    </row>
    <row r="9">
      <c r="A9" s="509" t="s">
        <v>128</v>
      </c>
      <c r="B9" s="509" t="s">
        <v>686</v>
      </c>
      <c r="C9" s="509" t="s">
        <v>677</v>
      </c>
      <c r="D9" s="509"/>
      <c r="E9" s="509"/>
      <c r="F9" s="509"/>
    </row>
    <row r="10">
      <c r="A10" s="509"/>
      <c r="B10" s="509" t="s">
        <v>689</v>
      </c>
      <c r="C10" s="509" t="s">
        <v>679</v>
      </c>
      <c r="D10" s="509"/>
      <c r="E10" s="509"/>
      <c r="F10" s="509"/>
    </row>
    <row r="11">
      <c r="A11" s="509"/>
      <c r="B11" s="509" t="s">
        <v>691</v>
      </c>
      <c r="C11" s="509"/>
      <c r="D11" s="509"/>
      <c r="E11" s="509"/>
      <c r="F11" s="509"/>
    </row>
    <row r="12">
      <c r="A12" s="509"/>
      <c r="B12" s="509" t="s">
        <v>692</v>
      </c>
      <c r="C12" s="509"/>
      <c r="D12" s="509"/>
      <c r="E12" s="509"/>
      <c r="F12" s="509"/>
    </row>
    <row r="13">
      <c r="A13" s="509"/>
      <c r="B13" s="509" t="s">
        <v>694</v>
      </c>
      <c r="C13" s="509"/>
      <c r="D13" s="509"/>
      <c r="E13" s="509"/>
      <c r="F13" s="509"/>
    </row>
    <row r="14">
      <c r="A14" s="509"/>
      <c r="B14" s="509" t="s">
        <v>675</v>
      </c>
      <c r="C14" s="509"/>
      <c r="D14" s="509"/>
      <c r="E14" s="509"/>
      <c r="F14" s="509"/>
    </row>
    <row r="15">
      <c r="A15" s="509"/>
      <c r="B15" s="509" t="s">
        <v>696</v>
      </c>
      <c r="C15" s="509"/>
      <c r="D15" s="509"/>
      <c r="E15" s="509"/>
      <c r="F15" s="509"/>
    </row>
    <row r="16">
      <c r="A16" s="1"/>
      <c r="B16" s="1"/>
      <c r="C16" s="1"/>
      <c r="D16" s="1"/>
      <c r="E16" s="1"/>
      <c r="F16" s="1"/>
    </row>
    <row r="17">
      <c r="A17" s="505" t="s">
        <v>473</v>
      </c>
      <c r="B17" s="507" t="s">
        <v>475</v>
      </c>
      <c r="C17" s="507" t="s">
        <v>476</v>
      </c>
      <c r="D17" s="507" t="s">
        <v>477</v>
      </c>
      <c r="E17" s="507" t="s">
        <v>478</v>
      </c>
      <c r="F17" s="507" t="s">
        <v>479</v>
      </c>
    </row>
    <row r="18">
      <c r="A18" s="509" t="s">
        <v>125</v>
      </c>
      <c r="B18" s="509" t="s">
        <v>699</v>
      </c>
      <c r="C18" s="509" t="s">
        <v>495</v>
      </c>
      <c r="D18" s="509"/>
      <c r="E18" s="509"/>
      <c r="F18" s="509"/>
    </row>
    <row r="19">
      <c r="A19" s="509"/>
      <c r="B19" s="509" t="s">
        <v>700</v>
      </c>
      <c r="C19" s="509" t="s">
        <v>488</v>
      </c>
      <c r="D19" s="509"/>
      <c r="E19" s="509"/>
      <c r="F19" s="509"/>
    </row>
    <row r="20">
      <c r="A20" s="509"/>
      <c r="B20" s="509" t="s">
        <v>703</v>
      </c>
      <c r="C20" s="509" t="s">
        <v>704</v>
      </c>
      <c r="D20" s="509"/>
      <c r="E20" s="509"/>
      <c r="F20" s="509"/>
    </row>
    <row r="21">
      <c r="A21" s="509"/>
      <c r="B21" s="509" t="s">
        <v>705</v>
      </c>
      <c r="C21" s="509" t="s">
        <v>504</v>
      </c>
      <c r="D21" s="509"/>
      <c r="E21" s="509"/>
      <c r="F21" s="509"/>
    </row>
    <row r="22">
      <c r="A22" s="509"/>
      <c r="B22" s="509" t="s">
        <v>707</v>
      </c>
      <c r="C22" s="509" t="s">
        <v>708</v>
      </c>
      <c r="D22" s="509"/>
      <c r="E22" s="509"/>
      <c r="F22" s="509"/>
    </row>
    <row r="23">
      <c r="A23" s="509"/>
      <c r="B23" s="510" t="s">
        <v>710</v>
      </c>
      <c r="C23" s="510" t="s">
        <v>711</v>
      </c>
      <c r="D23" s="509"/>
      <c r="E23" s="509"/>
      <c r="F23" s="509"/>
    </row>
    <row r="24">
      <c r="A24" s="509"/>
      <c r="B24" s="509" t="s">
        <v>713</v>
      </c>
      <c r="C24" s="509"/>
      <c r="D24" s="509"/>
      <c r="E24" s="509"/>
      <c r="F24" s="509"/>
    </row>
    <row r="25">
      <c r="A25" s="1"/>
      <c r="B25" s="1"/>
      <c r="C25" s="1"/>
      <c r="D25" s="1"/>
      <c r="E25" s="1"/>
      <c r="F25" s="1"/>
    </row>
    <row r="26">
      <c r="A26" s="505" t="s">
        <v>473</v>
      </c>
      <c r="B26" s="507" t="s">
        <v>475</v>
      </c>
      <c r="C26" s="507" t="s">
        <v>476</v>
      </c>
      <c r="D26" s="507" t="s">
        <v>477</v>
      </c>
      <c r="E26" s="507" t="s">
        <v>478</v>
      </c>
      <c r="F26" s="507" t="s">
        <v>479</v>
      </c>
    </row>
    <row r="27">
      <c r="A27" s="509" t="s">
        <v>124</v>
      </c>
      <c r="B27" s="509" t="s">
        <v>717</v>
      </c>
      <c r="C27" s="509" t="s">
        <v>488</v>
      </c>
      <c r="D27" s="509"/>
      <c r="E27" s="509"/>
      <c r="F27" s="509"/>
    </row>
    <row r="28">
      <c r="A28" s="509"/>
      <c r="B28" s="509" t="s">
        <v>718</v>
      </c>
      <c r="C28" s="509" t="s">
        <v>704</v>
      </c>
      <c r="D28" s="509"/>
      <c r="E28" s="509"/>
      <c r="F28" s="509"/>
    </row>
    <row r="29">
      <c r="A29" s="509"/>
      <c r="B29" s="509" t="s">
        <v>721</v>
      </c>
      <c r="C29" s="509" t="s">
        <v>504</v>
      </c>
      <c r="D29" s="509"/>
      <c r="E29" s="509"/>
      <c r="F29" s="509"/>
    </row>
    <row r="30">
      <c r="A30" s="509"/>
      <c r="B30" s="509" t="s">
        <v>677</v>
      </c>
      <c r="C30" s="509" t="s">
        <v>501</v>
      </c>
      <c r="D30" s="509"/>
      <c r="E30" s="509"/>
      <c r="F30" s="509"/>
    </row>
    <row r="31">
      <c r="A31" s="1"/>
      <c r="B31" s="1"/>
      <c r="C31" s="1"/>
      <c r="D31" s="1"/>
      <c r="E31" s="1"/>
      <c r="F31" s="1"/>
    </row>
    <row r="32">
      <c r="A32" s="505" t="s">
        <v>473</v>
      </c>
      <c r="B32" s="507" t="s">
        <v>475</v>
      </c>
      <c r="C32" s="507" t="s">
        <v>476</v>
      </c>
      <c r="D32" s="507" t="s">
        <v>477</v>
      </c>
      <c r="E32" s="507" t="s">
        <v>478</v>
      </c>
      <c r="F32" s="507" t="s">
        <v>479</v>
      </c>
    </row>
    <row r="33">
      <c r="A33" s="509" t="s">
        <v>126</v>
      </c>
      <c r="B33" s="509" t="s">
        <v>493</v>
      </c>
      <c r="C33" s="509" t="s">
        <v>488</v>
      </c>
      <c r="D33" s="509" t="s">
        <v>489</v>
      </c>
      <c r="E33" s="509"/>
      <c r="F33" s="509"/>
    </row>
    <row r="34">
      <c r="A34" s="509"/>
      <c r="B34" s="509" t="s">
        <v>487</v>
      </c>
      <c r="C34" s="509" t="s">
        <v>496</v>
      </c>
      <c r="D34" s="509" t="s">
        <v>510</v>
      </c>
      <c r="E34" s="509"/>
      <c r="F34" s="509"/>
    </row>
    <row r="35">
      <c r="A35" s="509"/>
      <c r="B35" s="509" t="s">
        <v>392</v>
      </c>
      <c r="C35" s="509" t="s">
        <v>546</v>
      </c>
      <c r="D35" s="509" t="s">
        <v>497</v>
      </c>
      <c r="E35" s="509"/>
      <c r="F35" s="509"/>
    </row>
    <row r="36">
      <c r="A36" s="509"/>
      <c r="B36" s="509" t="s">
        <v>540</v>
      </c>
      <c r="C36" s="509" t="s">
        <v>504</v>
      </c>
      <c r="D36" s="509"/>
      <c r="E36" s="509"/>
      <c r="F36" s="509"/>
    </row>
    <row r="37">
      <c r="A37" s="509"/>
      <c r="B37" s="509" t="s">
        <v>495</v>
      </c>
      <c r="C37" s="509" t="s">
        <v>501</v>
      </c>
      <c r="D37" s="509"/>
      <c r="E37" s="509"/>
      <c r="F37" s="509"/>
    </row>
    <row r="38">
      <c r="A38" s="509"/>
      <c r="B38" s="509" t="s">
        <v>549</v>
      </c>
      <c r="C38" s="509"/>
      <c r="D38" s="509"/>
      <c r="E38" s="509"/>
      <c r="F38" s="509"/>
    </row>
    <row r="39">
      <c r="A39" s="509"/>
      <c r="B39" s="509" t="s">
        <v>500</v>
      </c>
      <c r="C39" s="509"/>
      <c r="D39" s="509"/>
      <c r="E39" s="509"/>
      <c r="F39" s="509"/>
    </row>
    <row r="40">
      <c r="A40" s="1"/>
      <c r="B40" s="1"/>
      <c r="C40" s="1"/>
      <c r="D40" s="1"/>
      <c r="E40" s="1"/>
      <c r="F40" s="1"/>
    </row>
    <row r="41">
      <c r="A41" s="505" t="s">
        <v>473</v>
      </c>
      <c r="B41" s="507" t="s">
        <v>475</v>
      </c>
      <c r="C41" s="507" t="s">
        <v>476</v>
      </c>
      <c r="D41" s="507" t="s">
        <v>477</v>
      </c>
      <c r="E41" s="507" t="s">
        <v>478</v>
      </c>
      <c r="F41" s="507" t="s">
        <v>479</v>
      </c>
    </row>
    <row r="42">
      <c r="A42" s="509" t="s">
        <v>127</v>
      </c>
      <c r="B42" s="509" t="s">
        <v>737</v>
      </c>
      <c r="C42" s="509" t="s">
        <v>677</v>
      </c>
      <c r="D42" s="509"/>
      <c r="E42" s="509"/>
      <c r="F42" s="509"/>
    </row>
    <row r="43">
      <c r="A43" s="509"/>
      <c r="B43" s="509" t="s">
        <v>739</v>
      </c>
      <c r="C43" s="509" t="s">
        <v>679</v>
      </c>
      <c r="D43" s="509"/>
      <c r="E43" s="509"/>
      <c r="F43" s="509"/>
    </row>
    <row r="44">
      <c r="A44" s="509"/>
      <c r="B44" s="509" t="s">
        <v>741</v>
      </c>
      <c r="C44" s="509"/>
      <c r="D44" s="509"/>
      <c r="E44" s="509"/>
      <c r="F44" s="509"/>
    </row>
    <row r="45">
      <c r="A45" s="509"/>
      <c r="B45" s="509" t="s">
        <v>699</v>
      </c>
      <c r="C45" s="509"/>
      <c r="D45" s="509"/>
      <c r="E45" s="509"/>
      <c r="F45" s="509"/>
    </row>
    <row r="46">
      <c r="A46" s="1"/>
      <c r="B46" s="1"/>
      <c r="C46" s="1"/>
      <c r="D46" s="1"/>
      <c r="E46" s="1"/>
      <c r="F46" s="1"/>
    </row>
    <row r="47">
      <c r="A47" s="505" t="s">
        <v>473</v>
      </c>
      <c r="B47" s="507" t="s">
        <v>475</v>
      </c>
      <c r="C47" s="507" t="s">
        <v>476</v>
      </c>
      <c r="D47" s="507" t="s">
        <v>477</v>
      </c>
      <c r="E47" s="507" t="s">
        <v>478</v>
      </c>
      <c r="F47" s="507" t="s">
        <v>479</v>
      </c>
    </row>
    <row r="48">
      <c r="A48" s="509" t="s">
        <v>80</v>
      </c>
      <c r="B48" s="509" t="s">
        <v>746</v>
      </c>
      <c r="C48" s="509" t="s">
        <v>488</v>
      </c>
      <c r="D48" s="509"/>
      <c r="E48" s="509"/>
      <c r="F48" s="509"/>
    </row>
    <row r="49">
      <c r="A49" s="509"/>
      <c r="B49" s="509" t="s">
        <v>747</v>
      </c>
      <c r="C49" s="509" t="s">
        <v>504</v>
      </c>
      <c r="D49" s="509"/>
      <c r="E49" s="509"/>
      <c r="F49" s="509"/>
    </row>
    <row r="50">
      <c r="A50" s="509"/>
      <c r="B50" s="509" t="s">
        <v>748</v>
      </c>
      <c r="C50" s="509" t="s">
        <v>495</v>
      </c>
      <c r="D50" s="509"/>
      <c r="E50" s="509"/>
      <c r="F50" s="509"/>
    </row>
    <row r="51">
      <c r="A51" s="1"/>
      <c r="B51" s="1"/>
      <c r="C51" s="1"/>
      <c r="D51" s="1"/>
      <c r="E51" s="1"/>
      <c r="F51" s="1"/>
    </row>
    <row r="52">
      <c r="A52" s="505" t="s">
        <v>473</v>
      </c>
      <c r="B52" s="507" t="s">
        <v>475</v>
      </c>
      <c r="C52" s="507" t="s">
        <v>476</v>
      </c>
      <c r="D52" s="507" t="s">
        <v>477</v>
      </c>
      <c r="E52" s="507" t="s">
        <v>478</v>
      </c>
      <c r="F52" s="507" t="s">
        <v>479</v>
      </c>
    </row>
    <row r="53">
      <c r="A53" s="509" t="s">
        <v>130</v>
      </c>
      <c r="B53" s="509" t="s">
        <v>753</v>
      </c>
      <c r="C53" s="509" t="s">
        <v>754</v>
      </c>
      <c r="D53" s="509"/>
      <c r="E53" s="509"/>
      <c r="F53" s="509"/>
    </row>
    <row r="54">
      <c r="A54" s="509"/>
      <c r="B54" s="509" t="s">
        <v>756</v>
      </c>
      <c r="C54" s="509" t="s">
        <v>683</v>
      </c>
      <c r="D54" s="509"/>
      <c r="E54" s="509"/>
      <c r="F54" s="509"/>
    </row>
    <row r="55">
      <c r="A55" s="509"/>
      <c r="B55" s="509"/>
      <c r="C55" s="509" t="s">
        <v>758</v>
      </c>
      <c r="D55" s="509"/>
      <c r="E55" s="509"/>
      <c r="F55" s="509"/>
    </row>
    <row r="56">
      <c r="A56" s="1"/>
      <c r="B56" s="1"/>
      <c r="C56" s="1"/>
      <c r="D56" s="1"/>
      <c r="E56" s="1"/>
      <c r="F56" s="1"/>
    </row>
    <row r="57">
      <c r="A57" s="505" t="s">
        <v>473</v>
      </c>
      <c r="B57" s="507" t="s">
        <v>475</v>
      </c>
      <c r="C57" s="507" t="s">
        <v>476</v>
      </c>
      <c r="D57" s="507" t="s">
        <v>477</v>
      </c>
      <c r="E57" s="507" t="s">
        <v>478</v>
      </c>
      <c r="F57" s="507" t="s">
        <v>479</v>
      </c>
    </row>
    <row r="58">
      <c r="A58" s="510" t="s">
        <v>78</v>
      </c>
      <c r="B58" s="510" t="s">
        <v>759</v>
      </c>
      <c r="C58" s="509" t="s">
        <v>677</v>
      </c>
      <c r="D58" s="509"/>
      <c r="E58" s="509"/>
      <c r="F58" s="509"/>
    </row>
    <row r="59">
      <c r="A59" s="509"/>
      <c r="B59" s="510" t="s">
        <v>760</v>
      </c>
      <c r="C59" s="509" t="s">
        <v>679</v>
      </c>
      <c r="D59" s="509"/>
      <c r="E59" s="509"/>
      <c r="F59" s="509"/>
    </row>
    <row r="60">
      <c r="A60" s="509"/>
      <c r="B60" s="509"/>
      <c r="C60" s="509"/>
      <c r="D60" s="509"/>
      <c r="E60" s="509"/>
      <c r="F60" s="509"/>
    </row>
    <row r="61">
      <c r="A61" s="509"/>
      <c r="B61" s="509"/>
      <c r="C61" s="509"/>
      <c r="D61" s="509"/>
      <c r="E61" s="509"/>
      <c r="F61" s="509"/>
    </row>
    <row r="62">
      <c r="A62" s="509"/>
      <c r="B62" s="509"/>
      <c r="C62" s="509"/>
      <c r="D62" s="509"/>
      <c r="E62" s="509"/>
      <c r="F62" s="509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 fitToPage="1"/>
  </sheetPr>
  <sheetViews>
    <sheetView showGridLines="0" workbookViewId="0"/>
  </sheetViews>
  <sheetFormatPr customHeight="1" defaultColWidth="11.22" defaultRowHeight="15.0"/>
  <cols>
    <col customWidth="1" min="1" max="1" width="7.56"/>
    <col customWidth="1" min="2" max="2" width="5.0"/>
    <col customWidth="1" min="3" max="3" width="29.11"/>
    <col customWidth="1" min="4" max="4" width="5.33"/>
    <col customWidth="1" min="5" max="5" width="38.22"/>
    <col customWidth="1" min="6" max="6" width="11.67"/>
    <col customWidth="1" min="7" max="7" width="17.22"/>
    <col customWidth="1" min="8" max="8" width="7.22"/>
    <col customWidth="1" min="9" max="9" width="45.67"/>
    <col customWidth="1" min="10" max="10" width="8.33"/>
    <col customWidth="1" min="11" max="11" width="5.0"/>
    <col customWidth="1" min="12" max="12" width="3.11"/>
    <col customWidth="1" min="13" max="13" width="8.22"/>
    <col customWidth="1" min="14" max="14" width="3.89"/>
    <col customWidth="1" min="15" max="15" width="19.44"/>
    <col customWidth="1" min="16" max="16" width="3.89"/>
    <col customWidth="1" min="17" max="17" width="9.89"/>
    <col customWidth="1" min="18" max="18" width="4.78"/>
  </cols>
  <sheetData>
    <row r="1" ht="15.75" customHeight="1">
      <c r="B1" s="528" t="s">
        <v>788</v>
      </c>
      <c r="C1" s="530"/>
      <c r="D1" s="530"/>
      <c r="E1" s="532"/>
      <c r="F1" s="195"/>
      <c r="G1" s="533"/>
      <c r="H1" s="534"/>
      <c r="I1" s="536"/>
      <c r="J1" s="537"/>
      <c r="K1" s="195"/>
      <c r="L1" s="533"/>
      <c r="O1" s="539"/>
      <c r="P1" s="540"/>
      <c r="R1" s="541"/>
    </row>
    <row r="2" ht="15.75" customHeight="1">
      <c r="B2" s="542" t="s">
        <v>49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7"/>
      <c r="P2" s="540"/>
    </row>
    <row r="3" ht="15.75" customHeight="1">
      <c r="B3" s="13" t="s">
        <v>802</v>
      </c>
      <c r="C3" s="11" t="s">
        <v>66</v>
      </c>
      <c r="D3" s="11" t="s">
        <v>19</v>
      </c>
      <c r="E3" s="544" t="s">
        <v>70</v>
      </c>
      <c r="F3" s="11" t="s">
        <v>19</v>
      </c>
      <c r="G3" s="545" t="s">
        <v>74</v>
      </c>
      <c r="H3" s="544"/>
      <c r="I3" s="545" t="s">
        <v>77</v>
      </c>
      <c r="J3" s="546"/>
      <c r="K3" s="547" t="s">
        <v>807</v>
      </c>
      <c r="L3" s="545" t="s">
        <v>19</v>
      </c>
      <c r="M3" s="548" t="s">
        <v>808</v>
      </c>
      <c r="N3" s="11" t="s">
        <v>19</v>
      </c>
      <c r="O3" s="549" t="s">
        <v>79</v>
      </c>
      <c r="P3" s="545" t="s">
        <v>19</v>
      </c>
      <c r="R3" s="50" t="s">
        <v>811</v>
      </c>
    </row>
    <row r="4" ht="35.25" customHeight="1">
      <c r="A4" s="550">
        <v>46024.0</v>
      </c>
      <c r="B4" s="551"/>
      <c r="C4" s="552"/>
      <c r="D4" s="553"/>
      <c r="E4" s="554"/>
      <c r="F4" s="555"/>
      <c r="G4" s="556" t="s">
        <v>820</v>
      </c>
      <c r="H4" s="558"/>
      <c r="I4" s="559" t="s">
        <v>823</v>
      </c>
      <c r="J4" s="560"/>
      <c r="K4" s="561"/>
      <c r="L4" s="562"/>
      <c r="M4" s="563"/>
      <c r="N4" s="564"/>
      <c r="O4" s="565"/>
      <c r="P4" s="566"/>
      <c r="Q4" s="567" t="s">
        <v>111</v>
      </c>
      <c r="R4" s="13"/>
    </row>
    <row r="5" ht="27.75" customHeight="1">
      <c r="A5" s="50" t="s">
        <v>836</v>
      </c>
      <c r="B5" s="568"/>
      <c r="C5" s="569"/>
      <c r="D5" s="570"/>
      <c r="E5" s="571"/>
      <c r="F5" s="573"/>
      <c r="G5" s="574"/>
      <c r="H5" s="574"/>
      <c r="I5" s="575" t="s">
        <v>841</v>
      </c>
      <c r="J5" s="576"/>
      <c r="K5" s="577"/>
      <c r="L5" s="574"/>
      <c r="M5" s="579"/>
      <c r="N5" s="580"/>
      <c r="O5" s="574"/>
      <c r="P5" s="427"/>
      <c r="Q5" s="581" t="s">
        <v>155</v>
      </c>
      <c r="R5" s="13"/>
    </row>
    <row r="6" ht="27.75" customHeight="1">
      <c r="B6" s="568"/>
      <c r="C6" s="582"/>
      <c r="D6" s="583"/>
      <c r="E6" s="584"/>
      <c r="F6" s="573"/>
      <c r="G6" s="585"/>
      <c r="H6" s="586"/>
      <c r="I6" s="587" t="s">
        <v>853</v>
      </c>
      <c r="J6" s="576"/>
      <c r="K6" s="588"/>
      <c r="L6" s="589"/>
      <c r="M6" s="590"/>
      <c r="N6" s="591"/>
      <c r="O6" s="592"/>
      <c r="P6" s="566"/>
      <c r="Q6" s="593" t="s">
        <v>170</v>
      </c>
      <c r="R6" s="13"/>
    </row>
    <row r="7" ht="27.75" customHeight="1">
      <c r="B7" s="568"/>
      <c r="C7" s="594"/>
      <c r="D7" s="595"/>
      <c r="E7" s="596"/>
      <c r="F7" s="597"/>
      <c r="G7" s="598"/>
      <c r="H7" s="598"/>
      <c r="I7" s="599" t="s">
        <v>871</v>
      </c>
      <c r="J7" s="600"/>
      <c r="K7" s="598"/>
      <c r="L7" s="598"/>
      <c r="M7" s="592"/>
      <c r="N7" s="601"/>
      <c r="O7" s="598"/>
      <c r="P7" s="602"/>
      <c r="Q7" s="603"/>
      <c r="R7" s="13"/>
    </row>
    <row r="8" ht="30.75" customHeight="1">
      <c r="B8" s="568"/>
      <c r="C8" s="594"/>
      <c r="D8" s="595"/>
      <c r="E8" s="596"/>
      <c r="F8" s="597"/>
      <c r="G8" s="598"/>
      <c r="H8" s="598"/>
      <c r="I8" s="604"/>
      <c r="J8" s="600"/>
      <c r="K8" s="598"/>
      <c r="L8" s="598"/>
      <c r="M8" s="592"/>
      <c r="N8" s="601"/>
      <c r="O8" s="598"/>
      <c r="P8" s="602"/>
      <c r="Q8" s="605"/>
      <c r="R8" s="13"/>
    </row>
    <row r="9" ht="25.5" customHeight="1">
      <c r="B9" s="606"/>
      <c r="C9" s="607"/>
      <c r="D9" s="608"/>
      <c r="E9" s="609"/>
      <c r="F9" s="610"/>
      <c r="G9" s="577"/>
      <c r="H9" s="577"/>
      <c r="I9" s="611" t="s">
        <v>885</v>
      </c>
      <c r="J9" s="613"/>
      <c r="K9" s="577"/>
      <c r="L9" s="577"/>
      <c r="M9" s="615"/>
      <c r="N9" s="616"/>
      <c r="O9" s="577"/>
      <c r="P9" s="617"/>
      <c r="Q9" s="618" t="s">
        <v>188</v>
      </c>
    </row>
    <row r="10" ht="39.75" customHeight="1">
      <c r="A10" s="541"/>
      <c r="B10" s="544"/>
      <c r="C10" s="619"/>
      <c r="D10" s="541"/>
      <c r="E10" s="620"/>
      <c r="F10" s="621"/>
      <c r="G10" s="622"/>
      <c r="H10" s="624"/>
      <c r="I10" s="625"/>
      <c r="J10" s="626"/>
      <c r="K10" s="627"/>
      <c r="L10" s="624"/>
      <c r="M10" s="628"/>
      <c r="N10" s="629"/>
      <c r="O10" s="628"/>
      <c r="P10" s="540"/>
      <c r="Q10" s="618"/>
    </row>
    <row r="11" ht="8.25" customHeight="1">
      <c r="B11" s="545"/>
      <c r="C11" s="23"/>
      <c r="E11" s="630"/>
      <c r="F11" s="195"/>
      <c r="G11" s="631"/>
      <c r="H11" s="632"/>
      <c r="I11" s="625"/>
      <c r="J11" s="626"/>
      <c r="K11" s="633"/>
      <c r="L11" s="545"/>
      <c r="N11" s="11"/>
      <c r="O11" s="634"/>
      <c r="P11" s="545"/>
      <c r="Q11" s="635" t="s">
        <v>203</v>
      </c>
    </row>
    <row r="12" ht="25.5" customHeight="1">
      <c r="A12" s="550">
        <v>46027.0</v>
      </c>
      <c r="B12" s="551"/>
      <c r="C12" s="636"/>
      <c r="D12" s="553"/>
      <c r="E12" s="554"/>
      <c r="F12" s="637"/>
      <c r="G12" s="638"/>
      <c r="H12" s="558"/>
      <c r="I12" s="559"/>
      <c r="J12" s="639"/>
      <c r="K12" s="640"/>
      <c r="L12" s="562"/>
      <c r="M12" s="641"/>
      <c r="N12" s="564"/>
      <c r="O12" s="565"/>
      <c r="P12" s="642"/>
      <c r="Q12" s="50" t="s">
        <v>905</v>
      </c>
    </row>
    <row r="13" ht="24.75" customHeight="1">
      <c r="A13" s="50" t="s">
        <v>906</v>
      </c>
      <c r="B13" s="568"/>
      <c r="C13" s="569"/>
      <c r="D13" s="570"/>
      <c r="E13" s="643"/>
      <c r="F13" s="77"/>
      <c r="G13" s="574"/>
      <c r="H13" s="574"/>
      <c r="I13" s="587"/>
      <c r="J13" s="576"/>
      <c r="K13" s="574"/>
      <c r="L13" s="574"/>
      <c r="M13" s="590"/>
      <c r="N13" s="580"/>
      <c r="O13" s="574"/>
      <c r="P13" s="427"/>
    </row>
    <row r="14" ht="25.5" customHeight="1">
      <c r="B14" s="568"/>
      <c r="C14" s="645"/>
      <c r="D14" s="570"/>
      <c r="E14" s="646"/>
      <c r="F14" s="77"/>
      <c r="G14" s="647"/>
      <c r="H14" s="649"/>
      <c r="I14" s="575"/>
      <c r="J14" s="650"/>
      <c r="K14" s="651"/>
      <c r="L14" s="589"/>
      <c r="M14" s="590"/>
      <c r="N14" s="591"/>
      <c r="O14" s="592"/>
      <c r="P14" s="653"/>
    </row>
    <row r="15" ht="25.5" customHeight="1">
      <c r="B15" s="568"/>
      <c r="C15" s="597"/>
      <c r="D15" s="656"/>
      <c r="E15" s="659"/>
      <c r="F15" s="660"/>
      <c r="G15" s="598"/>
      <c r="H15" s="598"/>
      <c r="I15" s="662"/>
      <c r="J15" s="599"/>
      <c r="K15" s="598"/>
      <c r="L15" s="598"/>
      <c r="M15" s="592"/>
      <c r="N15" s="601"/>
      <c r="O15" s="598"/>
      <c r="P15" s="602"/>
    </row>
    <row r="16" ht="25.5" customHeight="1">
      <c r="B16" s="568"/>
      <c r="C16" s="597"/>
      <c r="D16" s="656"/>
      <c r="E16" s="659"/>
      <c r="F16" s="660"/>
      <c r="G16" s="598"/>
      <c r="H16" s="598"/>
      <c r="I16" s="599"/>
      <c r="J16" s="599"/>
      <c r="K16" s="598"/>
      <c r="L16" s="598"/>
      <c r="M16" s="592"/>
      <c r="N16" s="601"/>
      <c r="O16" s="598"/>
      <c r="P16" s="602"/>
    </row>
    <row r="17" ht="23.25" customHeight="1">
      <c r="B17" s="606"/>
      <c r="C17" s="669"/>
      <c r="D17" s="671"/>
      <c r="E17" s="673"/>
      <c r="F17" s="607"/>
      <c r="G17" s="577"/>
      <c r="H17" s="577"/>
      <c r="I17" s="674"/>
      <c r="J17" s="675"/>
      <c r="K17" s="577"/>
      <c r="L17" s="577"/>
      <c r="M17" s="676"/>
      <c r="N17" s="616"/>
      <c r="O17" s="577"/>
      <c r="P17" s="617"/>
    </row>
    <row r="18" ht="38.25" customHeight="1">
      <c r="B18" s="545"/>
      <c r="C18" s="619"/>
      <c r="D18" s="677"/>
      <c r="E18" s="678"/>
      <c r="F18" s="23"/>
      <c r="G18" s="679"/>
      <c r="H18" s="680"/>
      <c r="I18" s="681"/>
      <c r="J18" s="682"/>
      <c r="K18" s="683"/>
      <c r="L18" s="545"/>
      <c r="M18" s="684"/>
      <c r="N18" s="11"/>
      <c r="O18" s="634"/>
      <c r="P18" s="545"/>
    </row>
    <row r="19" ht="29.25" customHeight="1">
      <c r="A19" s="550">
        <v>46030.0</v>
      </c>
      <c r="B19" s="551"/>
      <c r="C19" s="685"/>
      <c r="D19" s="686"/>
      <c r="E19" s="554"/>
      <c r="F19" s="637"/>
      <c r="G19" s="687"/>
      <c r="H19" s="558"/>
      <c r="I19" s="575"/>
      <c r="J19" s="688"/>
      <c r="K19" s="640"/>
      <c r="L19" s="689"/>
      <c r="M19" s="641"/>
      <c r="N19" s="690"/>
      <c r="O19" s="565"/>
      <c r="P19" s="691"/>
    </row>
    <row r="20" ht="32.25" customHeight="1">
      <c r="A20" s="50" t="s">
        <v>931</v>
      </c>
      <c r="B20" s="568"/>
      <c r="C20" s="569"/>
      <c r="D20" s="570"/>
      <c r="E20" s="692"/>
      <c r="F20" s="77"/>
      <c r="G20" s="574"/>
      <c r="H20" s="574"/>
      <c r="I20" s="575"/>
      <c r="J20" s="576"/>
      <c r="K20" s="574"/>
      <c r="L20" s="574"/>
      <c r="M20" s="693"/>
      <c r="N20" s="580"/>
      <c r="O20" s="574"/>
      <c r="P20" s="427"/>
    </row>
    <row r="21" ht="25.5" customHeight="1">
      <c r="B21" s="568"/>
      <c r="C21" s="694"/>
      <c r="D21" s="583"/>
      <c r="E21" s="646"/>
      <c r="F21" s="77"/>
      <c r="G21" s="695"/>
      <c r="H21" s="649"/>
      <c r="I21" s="587"/>
      <c r="J21" s="576"/>
      <c r="K21" s="561"/>
      <c r="L21" s="589"/>
      <c r="M21" s="693"/>
      <c r="N21" s="591"/>
      <c r="O21" s="592"/>
      <c r="P21" s="653"/>
    </row>
    <row r="22" ht="25.5" customHeight="1">
      <c r="B22" s="568"/>
      <c r="C22" s="594"/>
      <c r="D22" s="595"/>
      <c r="E22" s="659"/>
      <c r="F22" s="660"/>
      <c r="G22" s="598"/>
      <c r="H22" s="598"/>
      <c r="I22" s="575"/>
      <c r="J22" s="600"/>
      <c r="K22" s="598"/>
      <c r="L22" s="598"/>
      <c r="M22" s="651"/>
      <c r="N22" s="601"/>
      <c r="O22" s="598"/>
      <c r="P22" s="602"/>
    </row>
    <row r="23" ht="25.5" customHeight="1">
      <c r="B23" s="568"/>
      <c r="C23" s="594"/>
      <c r="D23" s="595"/>
      <c r="E23" s="659"/>
      <c r="F23" s="660"/>
      <c r="G23" s="598"/>
      <c r="H23" s="598"/>
      <c r="I23" s="696"/>
      <c r="J23" s="600"/>
      <c r="K23" s="598"/>
      <c r="L23" s="598"/>
      <c r="M23" s="651"/>
      <c r="N23" s="601"/>
      <c r="O23" s="598"/>
      <c r="P23" s="602"/>
    </row>
    <row r="24" ht="25.5" customHeight="1">
      <c r="B24" s="606"/>
      <c r="C24" s="697"/>
      <c r="D24" s="608"/>
      <c r="E24" s="673"/>
      <c r="F24" s="698"/>
      <c r="G24" s="577"/>
      <c r="H24" s="577"/>
      <c r="I24" s="699"/>
      <c r="J24" s="613"/>
      <c r="K24" s="577"/>
      <c r="L24" s="577"/>
      <c r="M24" s="700"/>
      <c r="N24" s="616"/>
      <c r="O24" s="577"/>
      <c r="P24" s="617"/>
      <c r="Q24" s="677"/>
    </row>
    <row r="25" ht="38.25" customHeight="1">
      <c r="B25" s="701"/>
      <c r="C25" s="683"/>
      <c r="D25" s="701"/>
      <c r="E25" s="678"/>
      <c r="F25" s="702"/>
      <c r="G25" s="631"/>
      <c r="H25" s="632"/>
      <c r="I25" s="703"/>
      <c r="J25" s="626"/>
      <c r="K25" s="633"/>
      <c r="L25" s="704"/>
      <c r="M25" s="541"/>
      <c r="N25" s="705"/>
      <c r="O25" s="34"/>
      <c r="P25" s="704"/>
      <c r="Q25" s="677"/>
    </row>
    <row r="26" ht="25.5" customHeight="1">
      <c r="B26" s="706"/>
      <c r="C26" s="636"/>
      <c r="D26" s="570"/>
      <c r="E26" s="707"/>
      <c r="F26" s="77"/>
      <c r="G26" s="708"/>
      <c r="H26" s="709"/>
      <c r="I26" s="710"/>
      <c r="J26" s="576"/>
      <c r="K26" s="711"/>
      <c r="L26" s="712"/>
      <c r="M26" s="713"/>
      <c r="N26" s="580"/>
      <c r="O26" s="714"/>
      <c r="P26" s="715"/>
    </row>
    <row r="27" ht="25.5" customHeight="1">
      <c r="B27" s="568"/>
      <c r="C27" s="569"/>
      <c r="D27" s="570"/>
      <c r="E27" s="643"/>
      <c r="F27" s="77"/>
      <c r="G27" s="716"/>
      <c r="H27" s="649"/>
      <c r="I27" s="717"/>
      <c r="J27" s="576"/>
      <c r="K27" s="718"/>
      <c r="L27" s="589"/>
      <c r="M27" s="711"/>
      <c r="N27" s="591"/>
      <c r="O27" s="592"/>
      <c r="P27" s="653"/>
    </row>
    <row r="28" ht="25.5" customHeight="1">
      <c r="B28" s="568"/>
      <c r="C28" s="594"/>
      <c r="D28" s="656"/>
      <c r="E28" s="646"/>
      <c r="F28" s="77"/>
      <c r="G28" s="598"/>
      <c r="H28" s="598"/>
      <c r="I28" s="719"/>
      <c r="J28" s="600"/>
      <c r="K28" s="598"/>
      <c r="L28" s="598"/>
      <c r="M28" s="720"/>
      <c r="N28" s="601"/>
      <c r="O28" s="598"/>
      <c r="P28" s="602"/>
    </row>
    <row r="29" ht="25.5" customHeight="1">
      <c r="B29" s="568"/>
      <c r="C29" s="594"/>
      <c r="D29" s="656"/>
      <c r="E29" s="721"/>
      <c r="F29" s="77"/>
      <c r="G29" s="598"/>
      <c r="H29" s="598"/>
      <c r="I29" s="722"/>
      <c r="J29" s="600"/>
      <c r="K29" s="598"/>
      <c r="L29" s="598"/>
      <c r="M29" s="720"/>
      <c r="N29" s="601"/>
      <c r="O29" s="598"/>
      <c r="P29" s="602"/>
    </row>
    <row r="30" ht="25.5" customHeight="1">
      <c r="B30" s="606"/>
      <c r="C30" s="607"/>
      <c r="D30" s="608"/>
      <c r="E30" s="723"/>
      <c r="F30" s="145"/>
      <c r="G30" s="574"/>
      <c r="H30" s="574"/>
      <c r="I30" s="575"/>
      <c r="J30" s="613"/>
      <c r="K30" s="577"/>
      <c r="L30" s="577"/>
      <c r="M30" s="724"/>
      <c r="N30" s="616"/>
      <c r="O30" s="577"/>
      <c r="P30" s="617"/>
    </row>
    <row r="31" ht="38.25" customHeight="1">
      <c r="C31" s="23"/>
      <c r="E31" s="630"/>
      <c r="F31" s="195"/>
      <c r="G31" s="725"/>
      <c r="H31" s="632"/>
      <c r="I31" s="678"/>
      <c r="J31" s="726"/>
      <c r="K31" s="633"/>
      <c r="L31" s="545"/>
      <c r="M31" s="541"/>
      <c r="N31" s="11"/>
      <c r="O31" s="34"/>
      <c r="P31" s="545"/>
    </row>
    <row r="32" ht="25.5" customHeight="1">
      <c r="A32" s="550"/>
      <c r="B32" s="727"/>
      <c r="C32" s="636"/>
      <c r="D32" s="728"/>
      <c r="E32" s="554"/>
      <c r="F32" s="637"/>
      <c r="G32" s="729"/>
      <c r="H32" s="558"/>
      <c r="I32" s="559"/>
      <c r="J32" s="560"/>
      <c r="K32" s="561"/>
      <c r="L32" s="562"/>
      <c r="M32" s="730"/>
      <c r="N32" s="731"/>
      <c r="O32" s="732"/>
      <c r="P32" s="691"/>
    </row>
    <row r="33" ht="25.5" customHeight="1">
      <c r="B33" s="105"/>
      <c r="C33" s="636"/>
      <c r="D33" s="570"/>
      <c r="E33" s="692"/>
      <c r="F33" s="77"/>
      <c r="G33" s="574"/>
      <c r="H33" s="574"/>
      <c r="I33" s="733"/>
      <c r="J33" s="576"/>
      <c r="K33" s="577"/>
      <c r="L33" s="574"/>
      <c r="M33" s="574"/>
      <c r="N33" s="580"/>
      <c r="O33" s="574"/>
      <c r="P33" s="427"/>
    </row>
    <row r="34" ht="25.5" customHeight="1">
      <c r="B34" s="105"/>
      <c r="C34" s="734"/>
      <c r="D34" s="583"/>
      <c r="E34" s="646"/>
      <c r="F34" s="77"/>
      <c r="G34" s="735"/>
      <c r="H34" s="649"/>
      <c r="I34" s="736"/>
      <c r="J34" s="576"/>
      <c r="K34" s="718"/>
      <c r="L34" s="589"/>
      <c r="M34" s="713"/>
      <c r="N34" s="591"/>
      <c r="O34" s="592"/>
      <c r="P34" s="653"/>
    </row>
    <row r="35" ht="25.5" customHeight="1">
      <c r="B35" s="105"/>
      <c r="C35" s="737"/>
      <c r="D35" s="595"/>
      <c r="E35" s="659"/>
      <c r="F35" s="660"/>
      <c r="G35" s="598"/>
      <c r="H35" s="598"/>
      <c r="I35" s="738"/>
      <c r="J35" s="600"/>
      <c r="K35" s="598"/>
      <c r="L35" s="598"/>
      <c r="M35" s="739"/>
      <c r="N35" s="601"/>
      <c r="O35" s="598"/>
      <c r="P35" s="602"/>
    </row>
    <row r="36" ht="25.5" customHeight="1">
      <c r="B36" s="105"/>
      <c r="C36" s="737"/>
      <c r="D36" s="583"/>
      <c r="E36" s="721"/>
      <c r="F36" s="660"/>
      <c r="G36" s="598"/>
      <c r="H36" s="598"/>
      <c r="I36" s="710"/>
      <c r="J36" s="600"/>
      <c r="K36" s="598"/>
      <c r="L36" s="598"/>
      <c r="M36" s="739"/>
      <c r="N36" s="601"/>
      <c r="O36" s="598"/>
      <c r="P36" s="602"/>
    </row>
    <row r="37" ht="36.0" customHeight="1">
      <c r="B37" s="177"/>
      <c r="C37" s="740"/>
      <c r="D37" s="741"/>
      <c r="E37" s="742"/>
      <c r="F37" s="743"/>
      <c r="G37" s="577"/>
      <c r="H37" s="577"/>
      <c r="I37" s="744"/>
      <c r="J37" s="745"/>
      <c r="K37" s="577"/>
      <c r="L37" s="577"/>
      <c r="M37" s="746"/>
      <c r="N37" s="747"/>
      <c r="O37" s="577"/>
      <c r="P37" s="617"/>
    </row>
    <row r="38" ht="15.75" customHeight="1">
      <c r="B38" s="541"/>
      <c r="C38" s="748"/>
      <c r="D38" s="541"/>
      <c r="E38" s="749"/>
      <c r="F38" s="633"/>
      <c r="G38" s="544"/>
      <c r="H38" s="534"/>
      <c r="I38" s="750"/>
      <c r="J38" s="751"/>
      <c r="K38" s="752"/>
      <c r="L38" s="753"/>
      <c r="M38" s="626"/>
      <c r="N38" s="541"/>
      <c r="O38" s="754"/>
      <c r="P38" s="624"/>
    </row>
    <row r="39" ht="15.75" customHeight="1">
      <c r="B39" s="541"/>
      <c r="C39" s="748"/>
      <c r="D39" s="541"/>
      <c r="F39" s="633"/>
      <c r="G39" s="534"/>
      <c r="H39" s="534"/>
      <c r="I39" s="751"/>
      <c r="J39" s="755"/>
      <c r="K39" s="633"/>
      <c r="L39" s="534"/>
      <c r="M39" s="541"/>
      <c r="N39" s="541"/>
      <c r="O39" s="754"/>
      <c r="P39" s="624"/>
    </row>
    <row r="40" ht="15.75" customHeight="1">
      <c r="B40" s="75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7"/>
    </row>
    <row r="41" ht="15.75" customHeight="1">
      <c r="B41" s="13"/>
      <c r="C41" s="11"/>
      <c r="D41" s="11"/>
      <c r="E41" s="544"/>
      <c r="F41" s="11"/>
      <c r="G41" s="545"/>
      <c r="H41" s="544"/>
      <c r="I41" s="545"/>
      <c r="J41" s="757"/>
      <c r="K41" s="547"/>
      <c r="L41" s="545"/>
      <c r="M41" s="548"/>
      <c r="N41" s="11"/>
      <c r="O41" s="549"/>
      <c r="P41" s="545"/>
    </row>
    <row r="42" ht="32.25" customHeight="1">
      <c r="B42" s="758"/>
      <c r="C42" s="759"/>
      <c r="D42" s="760"/>
      <c r="E42" s="761"/>
      <c r="F42" s="762"/>
      <c r="G42" s="763"/>
      <c r="H42" s="764"/>
      <c r="I42" s="765"/>
      <c r="J42" s="766"/>
      <c r="K42" s="561"/>
      <c r="L42" s="767"/>
      <c r="M42" s="768"/>
      <c r="N42" s="769"/>
      <c r="O42" s="565"/>
      <c r="P42" s="642"/>
      <c r="Q42" s="567" t="s">
        <v>111</v>
      </c>
      <c r="R42" s="13"/>
    </row>
    <row r="43" ht="21.0" customHeight="1">
      <c r="A43" s="550">
        <v>45753.0</v>
      </c>
      <c r="B43" s="568"/>
      <c r="C43" s="770"/>
      <c r="D43" s="771"/>
      <c r="E43" s="772"/>
      <c r="F43" s="773"/>
      <c r="G43" s="574"/>
      <c r="H43" s="574"/>
      <c r="I43" s="774"/>
      <c r="J43" s="775"/>
      <c r="K43" s="577"/>
      <c r="L43" s="574"/>
      <c r="M43" s="776"/>
      <c r="N43" s="711"/>
      <c r="O43" s="574"/>
      <c r="P43" s="427"/>
      <c r="Q43" s="581" t="s">
        <v>155</v>
      </c>
      <c r="R43" s="13"/>
    </row>
    <row r="44" ht="21.0" customHeight="1">
      <c r="B44" s="568"/>
      <c r="C44" s="777"/>
      <c r="D44" s="778"/>
      <c r="E44" s="779"/>
      <c r="F44" s="773"/>
      <c r="G44" s="780"/>
      <c r="H44" s="781"/>
      <c r="I44" s="575"/>
      <c r="J44" s="775"/>
      <c r="K44" s="561"/>
      <c r="L44" s="782"/>
      <c r="M44" s="783"/>
      <c r="N44" s="784"/>
      <c r="O44" s="592"/>
      <c r="P44" s="566"/>
      <c r="Q44" s="593" t="s">
        <v>170</v>
      </c>
      <c r="R44" s="13"/>
    </row>
    <row r="45" ht="21.0" customHeight="1">
      <c r="B45" s="568"/>
      <c r="C45" s="597"/>
      <c r="D45" s="785"/>
      <c r="E45" s="786"/>
      <c r="F45" s="787"/>
      <c r="G45" s="598"/>
      <c r="H45" s="598"/>
      <c r="I45" s="788"/>
      <c r="J45" s="789"/>
      <c r="K45" s="598"/>
      <c r="L45" s="598"/>
      <c r="M45" s="790"/>
      <c r="N45" s="791"/>
      <c r="O45" s="598"/>
      <c r="P45" s="602"/>
      <c r="Q45" s="605"/>
      <c r="R45" s="13"/>
    </row>
    <row r="46" ht="21.0" customHeight="1">
      <c r="B46" s="568"/>
      <c r="C46" s="597"/>
      <c r="D46" s="785"/>
      <c r="E46" s="786"/>
      <c r="F46" s="787"/>
      <c r="G46" s="598"/>
      <c r="H46" s="598"/>
      <c r="I46" s="599"/>
      <c r="J46" s="789"/>
      <c r="K46" s="598"/>
      <c r="L46" s="598"/>
      <c r="M46" s="790"/>
      <c r="N46" s="791"/>
      <c r="O46" s="598"/>
      <c r="P46" s="602"/>
      <c r="Q46" s="605"/>
      <c r="R46" s="13"/>
    </row>
    <row r="47" ht="33.0" customHeight="1">
      <c r="B47" s="568"/>
      <c r="C47" s="597"/>
      <c r="D47" s="785"/>
      <c r="E47" s="792"/>
      <c r="F47" s="787"/>
      <c r="G47" s="598"/>
      <c r="H47" s="598"/>
      <c r="I47" s="793"/>
      <c r="J47" s="789"/>
      <c r="K47" s="598"/>
      <c r="L47" s="598"/>
      <c r="M47" s="790"/>
      <c r="N47" s="791"/>
      <c r="O47" s="598"/>
      <c r="P47" s="602"/>
      <c r="Q47" s="605"/>
      <c r="R47" s="13"/>
    </row>
    <row r="48" ht="21.0" customHeight="1">
      <c r="B48" s="606"/>
      <c r="C48" s="794"/>
      <c r="D48" s="795"/>
      <c r="E48" s="786"/>
      <c r="F48" s="796"/>
      <c r="G48" s="577"/>
      <c r="H48" s="577"/>
      <c r="I48" s="797"/>
      <c r="J48" s="798"/>
      <c r="K48" s="577"/>
      <c r="L48" s="577"/>
      <c r="M48" s="799"/>
      <c r="N48" s="800"/>
      <c r="O48" s="577"/>
      <c r="P48" s="617"/>
      <c r="Q48" s="618" t="s">
        <v>1084</v>
      </c>
    </row>
    <row r="49" ht="21.0" customHeight="1">
      <c r="B49" s="801"/>
      <c r="C49" s="802"/>
      <c r="D49" s="803"/>
      <c r="E49" s="804"/>
      <c r="F49" s="805"/>
      <c r="G49" s="806"/>
      <c r="H49" s="807"/>
      <c r="I49" s="808"/>
      <c r="J49" s="809"/>
      <c r="K49" s="621"/>
      <c r="L49" s="540"/>
      <c r="M49" s="624"/>
      <c r="N49" s="684"/>
      <c r="O49" s="634"/>
      <c r="P49" s="540"/>
      <c r="Q49" s="635" t="s">
        <v>203</v>
      </c>
    </row>
    <row r="50" ht="27.75" customHeight="1">
      <c r="B50" s="810"/>
      <c r="C50" s="811"/>
      <c r="D50" s="760"/>
      <c r="E50" s="812"/>
      <c r="F50" s="762"/>
      <c r="G50" s="813"/>
      <c r="H50" s="764"/>
      <c r="I50" s="814"/>
      <c r="J50" s="815"/>
      <c r="K50" s="640"/>
      <c r="L50" s="816"/>
      <c r="M50" s="817"/>
      <c r="N50" s="769"/>
      <c r="O50" s="565"/>
      <c r="P50" s="642"/>
    </row>
    <row r="51" ht="21.0" customHeight="1">
      <c r="B51" s="568"/>
      <c r="C51" s="777"/>
      <c r="D51" s="818"/>
      <c r="E51" s="819"/>
      <c r="F51" s="773"/>
      <c r="G51" s="574"/>
      <c r="H51" s="574"/>
      <c r="I51" s="820"/>
      <c r="J51" s="821"/>
      <c r="K51" s="574"/>
      <c r="L51" s="822"/>
      <c r="M51" s="693"/>
      <c r="N51" s="823"/>
      <c r="O51" s="574"/>
      <c r="P51" s="427"/>
    </row>
    <row r="52" ht="21.0" customHeight="1">
      <c r="B52" s="568"/>
      <c r="C52" s="645"/>
      <c r="D52" s="818"/>
      <c r="E52" s="824"/>
      <c r="F52" s="773"/>
      <c r="G52" s="825"/>
      <c r="H52" s="826"/>
      <c r="I52" s="774"/>
      <c r="J52" s="821"/>
      <c r="K52" s="827"/>
      <c r="L52" s="822"/>
      <c r="M52" s="828"/>
      <c r="N52" s="823"/>
      <c r="O52" s="829"/>
      <c r="P52" s="830"/>
    </row>
    <row r="53" ht="21.0" customHeight="1">
      <c r="B53" s="568"/>
      <c r="C53" s="645"/>
      <c r="D53" s="818"/>
      <c r="E53" s="824"/>
      <c r="F53" s="773"/>
      <c r="G53" s="825"/>
      <c r="H53" s="826"/>
      <c r="I53" s="820"/>
      <c r="J53" s="821"/>
      <c r="K53" s="827"/>
      <c r="L53" s="822"/>
      <c r="M53" s="828"/>
      <c r="N53" s="823"/>
      <c r="O53" s="829"/>
      <c r="P53" s="830"/>
    </row>
    <row r="54" ht="21.0" customHeight="1">
      <c r="B54" s="568"/>
      <c r="C54" s="645"/>
      <c r="D54" s="818"/>
      <c r="E54" s="824"/>
      <c r="F54" s="773"/>
      <c r="G54" s="825"/>
      <c r="H54" s="826"/>
      <c r="I54" s="831"/>
      <c r="J54" s="821"/>
      <c r="K54" s="827"/>
      <c r="L54" s="822"/>
      <c r="M54" s="828"/>
      <c r="N54" s="823"/>
      <c r="O54" s="829"/>
      <c r="P54" s="830"/>
    </row>
    <row r="55" ht="33.75" customHeight="1">
      <c r="B55" s="568"/>
      <c r="C55" s="645"/>
      <c r="D55" s="818"/>
      <c r="E55" s="832"/>
      <c r="F55" s="773"/>
      <c r="G55" s="833"/>
      <c r="H55" s="781"/>
      <c r="I55" s="834"/>
      <c r="J55" s="835"/>
      <c r="K55" s="651"/>
      <c r="L55" s="836"/>
      <c r="M55" s="837"/>
      <c r="N55" s="784"/>
      <c r="O55" s="592"/>
      <c r="P55" s="653"/>
    </row>
    <row r="56" ht="21.0" customHeight="1">
      <c r="B56" s="606"/>
      <c r="C56" s="838"/>
      <c r="D56" s="839"/>
      <c r="E56" s="840"/>
      <c r="F56" s="796"/>
      <c r="G56" s="577"/>
      <c r="H56" s="577"/>
      <c r="I56" s="841"/>
      <c r="J56" s="842"/>
      <c r="K56" s="577"/>
      <c r="L56" s="843"/>
      <c r="M56" s="669"/>
      <c r="N56" s="800"/>
      <c r="O56" s="577"/>
      <c r="P56" s="617"/>
    </row>
    <row r="57" ht="21.0" customHeight="1">
      <c r="B57" s="844"/>
      <c r="C57" s="802"/>
      <c r="D57" s="845"/>
      <c r="E57" s="846"/>
      <c r="F57" s="844"/>
      <c r="G57" s="844"/>
      <c r="H57" s="845"/>
      <c r="I57" s="847"/>
      <c r="J57" s="701"/>
      <c r="K57" s="633"/>
      <c r="M57" s="541"/>
      <c r="N57" s="541"/>
      <c r="O57" s="634"/>
    </row>
    <row r="58" ht="40.5" customHeight="1">
      <c r="B58" s="758"/>
      <c r="C58" s="759"/>
      <c r="D58" s="760"/>
      <c r="E58" s="848"/>
      <c r="F58" s="762"/>
      <c r="G58" s="849"/>
      <c r="H58" s="781"/>
      <c r="I58" s="850"/>
      <c r="J58" s="851"/>
      <c r="K58" s="561"/>
      <c r="L58" s="767"/>
      <c r="M58" s="852"/>
      <c r="N58" s="853"/>
      <c r="O58" s="565"/>
      <c r="P58" s="642"/>
    </row>
    <row r="59" ht="21.0" customHeight="1">
      <c r="B59" s="568"/>
      <c r="C59" s="855"/>
      <c r="D59" s="856"/>
      <c r="E59" s="857"/>
      <c r="F59" s="773"/>
      <c r="G59" s="574"/>
      <c r="H59" s="574"/>
      <c r="I59" s="858"/>
      <c r="J59" s="775"/>
      <c r="K59" s="577"/>
      <c r="L59" s="574"/>
      <c r="M59" s="645"/>
      <c r="N59" s="711"/>
      <c r="O59" s="574"/>
      <c r="P59" s="427"/>
    </row>
    <row r="60" ht="21.0" customHeight="1">
      <c r="B60" s="568"/>
      <c r="C60" s="777"/>
      <c r="D60" s="856"/>
      <c r="E60" s="857"/>
      <c r="F60" s="773"/>
      <c r="G60" s="859"/>
      <c r="H60" s="860"/>
      <c r="I60" s="858"/>
      <c r="J60" s="775"/>
      <c r="K60" s="861"/>
      <c r="L60" s="862"/>
      <c r="M60" s="645"/>
      <c r="N60" s="711"/>
      <c r="O60" s="829"/>
      <c r="P60" s="830"/>
    </row>
    <row r="61" ht="21.0" customHeight="1">
      <c r="B61" s="568"/>
      <c r="C61" s="645"/>
      <c r="D61" s="856"/>
      <c r="E61" s="857"/>
      <c r="F61" s="773"/>
      <c r="G61" s="859"/>
      <c r="H61" s="860"/>
      <c r="I61" s="863"/>
      <c r="J61" s="775"/>
      <c r="K61" s="861"/>
      <c r="L61" s="862"/>
      <c r="M61" s="645"/>
      <c r="N61" s="711"/>
      <c r="O61" s="829"/>
      <c r="P61" s="830"/>
    </row>
    <row r="62" ht="21.0" customHeight="1">
      <c r="B62" s="568"/>
      <c r="C62" s="645"/>
      <c r="D62" s="864"/>
      <c r="E62" s="863"/>
      <c r="F62" s="773"/>
      <c r="G62" s="866"/>
      <c r="H62" s="781"/>
      <c r="I62" s="867"/>
      <c r="J62" s="775"/>
      <c r="K62" s="718"/>
      <c r="L62" s="589"/>
      <c r="M62" s="645"/>
      <c r="N62" s="784"/>
      <c r="O62" s="592"/>
      <c r="P62" s="653"/>
    </row>
    <row r="63" ht="21.0" customHeight="1">
      <c r="B63" s="606"/>
      <c r="C63" s="838"/>
      <c r="D63" s="839"/>
      <c r="E63" s="868"/>
      <c r="F63" s="796"/>
      <c r="G63" s="577"/>
      <c r="H63" s="574"/>
      <c r="I63" s="831"/>
      <c r="J63" s="798"/>
      <c r="K63" s="577"/>
      <c r="L63" s="577"/>
      <c r="M63" s="799"/>
      <c r="N63" s="800"/>
      <c r="O63" s="577"/>
      <c r="P63" s="617"/>
    </row>
    <row r="64" ht="21.0" customHeight="1">
      <c r="B64" s="869"/>
      <c r="C64" s="802"/>
      <c r="D64" s="870"/>
      <c r="E64" s="871"/>
      <c r="F64" s="872"/>
      <c r="G64" s="873"/>
      <c r="H64" s="874"/>
      <c r="I64" s="875"/>
      <c r="J64" s="876"/>
      <c r="K64" s="877"/>
      <c r="L64" s="545"/>
      <c r="M64" s="624"/>
      <c r="N64" s="629"/>
      <c r="O64" s="34"/>
      <c r="P64" s="545"/>
    </row>
    <row r="65" ht="35.25" customHeight="1">
      <c r="B65" s="810"/>
      <c r="C65" s="878"/>
      <c r="D65" s="760"/>
      <c r="E65" s="846"/>
      <c r="F65" s="762"/>
      <c r="G65" s="879"/>
      <c r="H65" s="781"/>
      <c r="I65" s="880"/>
      <c r="J65" s="766"/>
      <c r="K65" s="881"/>
      <c r="L65" s="767"/>
      <c r="M65" s="768"/>
      <c r="N65" s="769"/>
      <c r="O65" s="565"/>
      <c r="P65" s="642"/>
    </row>
    <row r="66" ht="35.25" customHeight="1">
      <c r="B66" s="568"/>
      <c r="C66" s="878"/>
      <c r="D66" s="856"/>
      <c r="E66" s="819"/>
      <c r="F66" s="773"/>
      <c r="G66" s="574"/>
      <c r="H66" s="574"/>
      <c r="I66" s="882"/>
      <c r="J66" s="775"/>
      <c r="K66" s="574"/>
      <c r="L66" s="574"/>
      <c r="M66" s="776"/>
      <c r="N66" s="711"/>
      <c r="O66" s="574"/>
      <c r="P66" s="427"/>
    </row>
    <row r="67" ht="21.0" customHeight="1">
      <c r="B67" s="568"/>
      <c r="C67" s="645"/>
      <c r="D67" s="711"/>
      <c r="E67" s="863"/>
      <c r="F67" s="773"/>
      <c r="G67" s="780"/>
      <c r="H67" s="781"/>
      <c r="I67" s="820"/>
      <c r="J67" s="775"/>
      <c r="K67" s="561"/>
      <c r="L67" s="589"/>
      <c r="M67" s="883"/>
      <c r="N67" s="784"/>
      <c r="O67" s="592"/>
      <c r="P67" s="653"/>
    </row>
    <row r="68" ht="21.0" customHeight="1">
      <c r="B68" s="568"/>
      <c r="C68" s="594"/>
      <c r="D68" s="720"/>
      <c r="E68" s="884"/>
      <c r="F68" s="787"/>
      <c r="G68" s="598"/>
      <c r="H68" s="598"/>
      <c r="I68" s="831"/>
      <c r="J68" s="775"/>
      <c r="K68" s="598"/>
      <c r="L68" s="598"/>
      <c r="M68" s="885"/>
      <c r="N68" s="791"/>
      <c r="O68" s="598"/>
      <c r="P68" s="602"/>
    </row>
    <row r="69" ht="21.0" customHeight="1">
      <c r="B69" s="568"/>
      <c r="C69" s="594"/>
      <c r="D69" s="720"/>
      <c r="E69" s="884"/>
      <c r="F69" s="787"/>
      <c r="G69" s="598"/>
      <c r="H69" s="598"/>
      <c r="I69" s="886"/>
      <c r="J69" s="775"/>
      <c r="K69" s="598"/>
      <c r="L69" s="598"/>
      <c r="M69" s="885"/>
      <c r="N69" s="791"/>
      <c r="O69" s="598"/>
      <c r="P69" s="602"/>
    </row>
    <row r="70" ht="21.0" customHeight="1">
      <c r="B70" s="606"/>
      <c r="C70" s="838"/>
      <c r="D70" s="839"/>
      <c r="E70" s="887"/>
      <c r="F70" s="796"/>
      <c r="G70" s="577"/>
      <c r="H70" s="577"/>
      <c r="I70" s="875"/>
      <c r="J70" s="775"/>
      <c r="K70" s="577"/>
      <c r="L70" s="577"/>
      <c r="M70" s="799"/>
      <c r="N70" s="800"/>
      <c r="O70" s="577"/>
      <c r="P70" s="617"/>
    </row>
    <row r="71" ht="21.0" customHeight="1">
      <c r="B71" s="869"/>
      <c r="C71" s="23"/>
      <c r="D71" s="870"/>
      <c r="E71" s="804"/>
      <c r="F71" s="872"/>
      <c r="G71" s="873"/>
      <c r="H71" s="874"/>
      <c r="I71" s="831"/>
      <c r="J71" s="876"/>
      <c r="K71" s="877"/>
      <c r="L71" s="545"/>
      <c r="M71" s="624"/>
      <c r="N71" s="629"/>
      <c r="O71" s="34"/>
      <c r="P71" s="545"/>
    </row>
    <row r="72" ht="21.0" customHeight="1">
      <c r="B72" s="888"/>
      <c r="C72" s="645"/>
      <c r="D72" s="889"/>
      <c r="E72" s="848"/>
      <c r="F72" s="762"/>
      <c r="G72" s="879"/>
      <c r="H72" s="764"/>
      <c r="I72" s="890"/>
      <c r="J72" s="891"/>
      <c r="K72" s="561"/>
      <c r="L72" s="767"/>
      <c r="M72" s="892"/>
      <c r="N72" s="853"/>
      <c r="O72" s="565"/>
      <c r="P72" s="642"/>
    </row>
    <row r="73" ht="21.0" customHeight="1">
      <c r="B73" s="568"/>
      <c r="C73" s="645"/>
      <c r="D73" s="771"/>
      <c r="E73" s="863"/>
      <c r="F73" s="773"/>
      <c r="G73" s="574"/>
      <c r="H73" s="574"/>
      <c r="I73" s="893"/>
      <c r="J73" s="891"/>
      <c r="K73" s="577"/>
      <c r="L73" s="574"/>
      <c r="M73" s="776"/>
      <c r="N73" s="711"/>
      <c r="O73" s="574"/>
      <c r="P73" s="427"/>
    </row>
    <row r="74" ht="21.0" customHeight="1">
      <c r="B74" s="568"/>
      <c r="C74" s="645"/>
      <c r="D74" s="771"/>
      <c r="E74" s="863"/>
      <c r="F74" s="773"/>
      <c r="G74" s="894"/>
      <c r="H74" s="826"/>
      <c r="I74" s="895"/>
      <c r="J74" s="891"/>
      <c r="K74" s="861"/>
      <c r="L74" s="862"/>
      <c r="M74" s="896"/>
      <c r="N74" s="580"/>
      <c r="O74" s="829"/>
      <c r="P74" s="830"/>
    </row>
    <row r="75" ht="21.0" customHeight="1">
      <c r="B75" s="568"/>
      <c r="C75" s="645"/>
      <c r="D75" s="771"/>
      <c r="E75" s="863"/>
      <c r="F75" s="773"/>
      <c r="G75" s="894"/>
      <c r="H75" s="826"/>
      <c r="I75" s="599"/>
      <c r="J75" s="775"/>
      <c r="K75" s="861"/>
      <c r="L75" s="862"/>
      <c r="M75" s="896"/>
      <c r="N75" s="580"/>
      <c r="O75" s="829"/>
      <c r="P75" s="830"/>
    </row>
    <row r="76" ht="21.0" customHeight="1">
      <c r="B76" s="568"/>
      <c r="C76" s="645"/>
      <c r="D76" s="771"/>
      <c r="E76" s="863"/>
      <c r="F76" s="773"/>
      <c r="G76" s="894"/>
      <c r="H76" s="826"/>
      <c r="I76" s="599"/>
      <c r="J76" s="775"/>
      <c r="K76" s="861"/>
      <c r="L76" s="862"/>
      <c r="M76" s="896"/>
      <c r="N76" s="580"/>
      <c r="O76" s="829"/>
      <c r="P76" s="830"/>
    </row>
    <row r="77" ht="21.0" customHeight="1">
      <c r="B77" s="568"/>
      <c r="C77" s="645"/>
      <c r="D77" s="897"/>
      <c r="E77" s="863"/>
      <c r="F77" s="773"/>
      <c r="G77" s="898"/>
      <c r="H77" s="781"/>
      <c r="I77" s="899"/>
      <c r="J77" s="775"/>
      <c r="K77" s="561"/>
      <c r="L77" s="589"/>
      <c r="M77" s="900"/>
      <c r="N77" s="591"/>
      <c r="O77" s="592"/>
      <c r="P77" s="653"/>
    </row>
    <row r="78" ht="21.0" customHeight="1">
      <c r="B78" s="606"/>
      <c r="C78" s="645"/>
      <c r="D78" s="901"/>
      <c r="E78" s="902"/>
      <c r="F78" s="903"/>
      <c r="G78" s="577"/>
      <c r="H78" s="577"/>
      <c r="I78" s="904"/>
      <c r="J78" s="905"/>
      <c r="K78" s="577"/>
      <c r="L78" s="577"/>
      <c r="M78" s="747"/>
      <c r="N78" s="747"/>
      <c r="O78" s="577"/>
      <c r="P78" s="617"/>
    </row>
    <row r="79" ht="15.75" customHeight="1">
      <c r="C79" s="206"/>
      <c r="E79" s="906"/>
      <c r="F79" s="11"/>
      <c r="I79" s="907"/>
      <c r="J79" s="537"/>
      <c r="K79" s="195"/>
      <c r="L79" s="533"/>
      <c r="O79" s="539"/>
      <c r="P79" s="540"/>
    </row>
    <row r="80" ht="15.75" customHeight="1">
      <c r="B80" s="542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7"/>
      <c r="P80" s="540"/>
    </row>
    <row r="81" ht="15.75" customHeight="1">
      <c r="B81" s="13"/>
      <c r="C81" s="11"/>
      <c r="D81" s="11"/>
      <c r="E81" s="908"/>
      <c r="F81" s="11"/>
      <c r="G81" s="545"/>
      <c r="H81" s="544"/>
      <c r="I81" s="545"/>
      <c r="J81" s="757"/>
      <c r="K81" s="547"/>
      <c r="L81" s="545"/>
      <c r="M81" s="548"/>
      <c r="N81" s="11"/>
      <c r="O81" s="549"/>
      <c r="P81" s="545"/>
    </row>
    <row r="82" ht="21.0" customHeight="1">
      <c r="B82" s="909"/>
      <c r="C82" s="878"/>
      <c r="D82" s="731"/>
      <c r="E82" s="910"/>
      <c r="F82" s="637"/>
      <c r="G82" s="879"/>
      <c r="H82" s="911"/>
      <c r="I82" s="559"/>
      <c r="J82" s="766"/>
      <c r="K82" s="912"/>
      <c r="L82" s="562"/>
      <c r="M82" s="913"/>
      <c r="N82" s="690"/>
      <c r="O82" s="565"/>
      <c r="P82" s="691"/>
      <c r="Q82" s="567" t="s">
        <v>111</v>
      </c>
      <c r="R82" s="13"/>
    </row>
    <row r="83" ht="21.0" customHeight="1">
      <c r="A83" s="550">
        <v>45761.0</v>
      </c>
      <c r="B83" s="568"/>
      <c r="C83" s="645"/>
      <c r="D83" s="580"/>
      <c r="E83" s="721"/>
      <c r="F83" s="77"/>
      <c r="G83" s="574"/>
      <c r="H83" s="574"/>
      <c r="I83" s="914"/>
      <c r="J83" s="775"/>
      <c r="K83" s="577"/>
      <c r="L83" s="574"/>
      <c r="M83" s="574"/>
      <c r="N83" s="580"/>
      <c r="O83" s="574"/>
      <c r="P83" s="427"/>
      <c r="Q83" s="581" t="s">
        <v>155</v>
      </c>
      <c r="R83" s="13"/>
    </row>
    <row r="84" ht="21.0" customHeight="1">
      <c r="A84" s="915"/>
      <c r="B84" s="568"/>
      <c r="C84" s="573"/>
      <c r="D84" s="591"/>
      <c r="E84" s="721"/>
      <c r="F84" s="77"/>
      <c r="G84" s="916"/>
      <c r="H84" s="918"/>
      <c r="I84" s="587"/>
      <c r="J84" s="775"/>
      <c r="K84" s="912"/>
      <c r="L84" s="782"/>
      <c r="M84" s="919"/>
      <c r="N84" s="580"/>
      <c r="O84" s="592"/>
      <c r="P84" s="566"/>
      <c r="Q84" s="593" t="s">
        <v>170</v>
      </c>
      <c r="R84" s="13"/>
    </row>
    <row r="85" ht="21.0" customHeight="1">
      <c r="B85" s="606"/>
      <c r="C85" s="794"/>
      <c r="D85" s="747"/>
      <c r="E85" s="920"/>
      <c r="F85" s="698"/>
      <c r="G85" s="577"/>
      <c r="H85" s="577"/>
      <c r="I85" s="921"/>
      <c r="J85" s="922"/>
      <c r="K85" s="577"/>
      <c r="L85" s="577"/>
      <c r="M85" s="577"/>
      <c r="N85" s="616"/>
      <c r="O85" s="577"/>
      <c r="P85" s="617"/>
      <c r="Q85" s="618" t="s">
        <v>188</v>
      </c>
    </row>
    <row r="86" ht="15.0" customHeight="1">
      <c r="A86" s="701"/>
      <c r="B86" s="704"/>
      <c r="C86" s="802"/>
      <c r="D86" s="701"/>
      <c r="E86" s="630"/>
      <c r="F86" s="702"/>
      <c r="G86" s="632"/>
      <c r="H86" s="534"/>
      <c r="I86" s="923"/>
      <c r="J86" s="924"/>
      <c r="K86" s="702"/>
      <c r="L86" s="704"/>
      <c r="M86" s="701"/>
      <c r="N86" s="705"/>
      <c r="O86" s="634"/>
      <c r="P86" s="704"/>
      <c r="Q86" s="635" t="s">
        <v>203</v>
      </c>
      <c r="R86" s="701"/>
    </row>
    <row r="87" ht="21.0" customHeight="1">
      <c r="B87" s="925"/>
      <c r="C87" s="645"/>
      <c r="D87" s="690"/>
      <c r="E87" s="910"/>
      <c r="F87" s="637"/>
      <c r="G87" s="926"/>
      <c r="H87" s="911"/>
      <c r="I87" s="927"/>
      <c r="J87" s="851"/>
      <c r="K87" s="640"/>
      <c r="L87" s="767"/>
      <c r="M87" s="928"/>
      <c r="N87" s="690"/>
      <c r="O87" s="565"/>
      <c r="P87" s="642"/>
    </row>
    <row r="88" ht="21.0" customHeight="1">
      <c r="A88" s="915"/>
      <c r="B88" s="568"/>
      <c r="C88" s="645"/>
      <c r="D88" s="580"/>
      <c r="E88" s="721"/>
      <c r="F88" s="77"/>
      <c r="G88" s="574"/>
      <c r="H88" s="574"/>
      <c r="I88" s="575"/>
      <c r="J88" s="929"/>
      <c r="K88" s="574"/>
      <c r="L88" s="574"/>
      <c r="M88" s="930"/>
      <c r="N88" s="580"/>
      <c r="O88" s="574"/>
      <c r="P88" s="427"/>
    </row>
    <row r="89" ht="21.0" customHeight="1">
      <c r="B89" s="568"/>
      <c r="C89" s="596"/>
      <c r="D89" s="591"/>
      <c r="E89" s="931"/>
      <c r="F89" s="77"/>
      <c r="G89" s="597"/>
      <c r="H89" s="932"/>
      <c r="I89" s="575"/>
      <c r="J89" s="933"/>
      <c r="K89" s="651"/>
      <c r="L89" s="589"/>
      <c r="M89" s="580"/>
      <c r="N89" s="591"/>
      <c r="O89" s="592"/>
      <c r="P89" s="653"/>
    </row>
    <row r="90" ht="21.0" customHeight="1">
      <c r="B90" s="606"/>
      <c r="C90" s="645"/>
      <c r="D90" s="676"/>
      <c r="E90" s="931"/>
      <c r="F90" s="607"/>
      <c r="G90" s="577"/>
      <c r="H90" s="935"/>
      <c r="I90" s="937"/>
      <c r="J90" s="938"/>
      <c r="K90" s="577"/>
      <c r="L90" s="577"/>
      <c r="M90" s="939"/>
      <c r="N90" s="940"/>
      <c r="O90" s="577"/>
      <c r="P90" s="617"/>
    </row>
    <row r="91" ht="15.0" customHeight="1">
      <c r="A91" s="701"/>
      <c r="B91" s="704"/>
      <c r="C91" s="802"/>
      <c r="D91" s="941"/>
      <c r="E91" s="678"/>
      <c r="F91" s="942"/>
      <c r="G91" s="680"/>
      <c r="H91" s="624"/>
      <c r="I91" s="650"/>
      <c r="J91" s="809"/>
      <c r="K91" s="802"/>
      <c r="L91" s="704"/>
      <c r="M91" s="941"/>
      <c r="N91" s="705"/>
      <c r="O91" s="634"/>
      <c r="P91" s="704"/>
      <c r="Q91" s="701"/>
      <c r="R91" s="701"/>
    </row>
    <row r="92" ht="21.0" customHeight="1">
      <c r="B92" s="943"/>
      <c r="C92" s="645"/>
      <c r="D92" s="690"/>
      <c r="E92" s="910"/>
      <c r="F92" s="637"/>
      <c r="G92" s="944"/>
      <c r="H92" s="911"/>
      <c r="I92" s="559"/>
      <c r="J92" s="851"/>
      <c r="K92" s="945"/>
      <c r="L92" s="767"/>
      <c r="M92" s="776"/>
      <c r="N92" s="769"/>
      <c r="O92" s="565"/>
      <c r="P92" s="691"/>
    </row>
    <row r="93" ht="21.0" customHeight="1">
      <c r="A93" s="915"/>
      <c r="B93" s="568"/>
      <c r="C93" s="645"/>
      <c r="D93" s="580"/>
      <c r="E93" s="946"/>
      <c r="F93" s="947"/>
      <c r="G93" s="574"/>
      <c r="H93" s="574"/>
      <c r="I93" s="948"/>
      <c r="J93" s="775"/>
      <c r="K93" s="574"/>
      <c r="L93" s="574"/>
      <c r="M93" s="896"/>
      <c r="N93" s="580"/>
      <c r="O93" s="574"/>
      <c r="P93" s="427"/>
    </row>
    <row r="94" ht="21.0" customHeight="1">
      <c r="B94" s="568"/>
      <c r="C94" s="645"/>
      <c r="D94" s="591"/>
      <c r="E94" s="721"/>
      <c r="F94" s="77"/>
      <c r="G94" s="597"/>
      <c r="H94" s="918"/>
      <c r="I94" s="587"/>
      <c r="J94" s="775"/>
      <c r="K94" s="949"/>
      <c r="L94" s="782"/>
      <c r="M94" s="896"/>
      <c r="N94" s="591"/>
      <c r="O94" s="592"/>
      <c r="P94" s="653"/>
    </row>
    <row r="95" ht="21.0" customHeight="1">
      <c r="B95" s="606"/>
      <c r="C95" s="645"/>
      <c r="D95" s="747"/>
      <c r="E95" s="950"/>
      <c r="F95" s="698"/>
      <c r="G95" s="577"/>
      <c r="H95" s="577"/>
      <c r="I95" s="951"/>
      <c r="J95" s="922"/>
      <c r="K95" s="577"/>
      <c r="L95" s="577"/>
      <c r="M95" s="747"/>
      <c r="N95" s="616"/>
      <c r="O95" s="577"/>
      <c r="P95" s="617"/>
    </row>
    <row r="96" ht="15.0" customHeight="1">
      <c r="A96" s="701"/>
      <c r="B96" s="701"/>
      <c r="C96" s="802"/>
      <c r="D96" s="701"/>
      <c r="E96" s="952"/>
      <c r="F96" s="702"/>
      <c r="G96" s="632"/>
      <c r="H96" s="534"/>
      <c r="I96" s="953"/>
      <c r="J96" s="924"/>
      <c r="K96" s="702"/>
      <c r="L96" s="704"/>
      <c r="M96" s="701"/>
      <c r="N96" s="705"/>
      <c r="O96" s="34"/>
      <c r="P96" s="704"/>
      <c r="Q96" s="701"/>
      <c r="R96" s="701"/>
    </row>
    <row r="97" ht="30.0" customHeight="1">
      <c r="B97" s="954"/>
      <c r="C97" s="645"/>
      <c r="D97" s="690"/>
      <c r="E97" s="910"/>
      <c r="F97" s="637"/>
      <c r="G97" s="956"/>
      <c r="H97" s="911"/>
      <c r="I97" s="957"/>
      <c r="J97" s="766"/>
      <c r="K97" s="881"/>
      <c r="L97" s="767"/>
      <c r="M97" s="928"/>
      <c r="N97" s="690"/>
      <c r="O97" s="565"/>
      <c r="P97" s="691"/>
      <c r="Q97" s="677"/>
    </row>
    <row r="98" ht="21.0" customHeight="1">
      <c r="A98" s="915"/>
      <c r="B98" s="568"/>
      <c r="C98" s="645"/>
      <c r="D98" s="580"/>
      <c r="E98" s="958"/>
      <c r="F98" s="77"/>
      <c r="G98" s="574"/>
      <c r="H98" s="574"/>
      <c r="I98" s="959"/>
      <c r="J98" s="775"/>
      <c r="K98" s="574"/>
      <c r="L98" s="574"/>
      <c r="M98" s="960"/>
      <c r="N98" s="580"/>
      <c r="O98" s="574"/>
      <c r="P98" s="427"/>
    </row>
    <row r="99" ht="21.0" customHeight="1">
      <c r="B99" s="568"/>
      <c r="C99" s="645"/>
      <c r="D99" s="591"/>
      <c r="E99" s="961"/>
      <c r="F99" s="77"/>
      <c r="G99" s="597"/>
      <c r="H99" s="918"/>
      <c r="I99" s="948"/>
      <c r="J99" s="775"/>
      <c r="K99" s="597"/>
      <c r="L99" s="589"/>
      <c r="M99" s="962"/>
      <c r="N99" s="591"/>
      <c r="O99" s="592"/>
      <c r="P99" s="653"/>
    </row>
    <row r="100" ht="21.0" customHeight="1">
      <c r="B100" s="606"/>
      <c r="C100" s="645"/>
      <c r="D100" s="747"/>
      <c r="E100" s="931"/>
      <c r="F100" s="698"/>
      <c r="G100" s="577"/>
      <c r="H100" s="577"/>
      <c r="I100" s="963"/>
      <c r="J100" s="922"/>
      <c r="K100" s="577"/>
      <c r="L100" s="577"/>
      <c r="M100" s="747"/>
      <c r="N100" s="616"/>
      <c r="O100" s="577"/>
      <c r="P100" s="617"/>
    </row>
    <row r="101" ht="15.0" customHeight="1">
      <c r="A101" s="701"/>
      <c r="B101" s="701"/>
      <c r="C101" s="23"/>
      <c r="D101" s="701"/>
      <c r="E101" s="630"/>
      <c r="F101" s="702"/>
      <c r="G101" s="632"/>
      <c r="H101" s="534"/>
      <c r="I101" s="953"/>
      <c r="J101" s="964"/>
      <c r="K101" s="702"/>
      <c r="L101" s="704"/>
      <c r="M101" s="701"/>
      <c r="N101" s="705"/>
      <c r="O101" s="34"/>
      <c r="P101" s="704"/>
      <c r="Q101" s="701"/>
      <c r="R101" s="701"/>
    </row>
    <row r="102" ht="21.0" customHeight="1">
      <c r="B102" s="965"/>
      <c r="C102" s="645"/>
      <c r="D102" s="690"/>
      <c r="E102" s="910"/>
      <c r="F102" s="637"/>
      <c r="G102" s="966"/>
      <c r="H102" s="911"/>
      <c r="I102" s="967"/>
      <c r="J102" s="766"/>
      <c r="K102" s="968"/>
      <c r="L102" s="767"/>
      <c r="M102" s="963"/>
      <c r="N102" s="769"/>
      <c r="O102" s="565"/>
      <c r="P102" s="691"/>
    </row>
    <row r="103" ht="21.0" customHeight="1">
      <c r="A103" s="915"/>
      <c r="B103" s="568"/>
      <c r="C103" s="645"/>
      <c r="D103" s="580"/>
      <c r="E103" s="721"/>
      <c r="F103" s="77"/>
      <c r="G103" s="574"/>
      <c r="H103" s="574"/>
      <c r="I103" s="969"/>
      <c r="J103" s="775"/>
      <c r="K103" s="574"/>
      <c r="L103" s="574"/>
      <c r="M103" s="970"/>
      <c r="N103" s="580"/>
      <c r="O103" s="574"/>
      <c r="P103" s="427"/>
    </row>
    <row r="104" ht="21.0" customHeight="1">
      <c r="B104" s="568"/>
      <c r="C104" s="645"/>
      <c r="D104" s="591"/>
      <c r="E104" s="596"/>
      <c r="F104" s="947"/>
      <c r="G104" s="971"/>
      <c r="H104" s="918"/>
      <c r="I104" s="972"/>
      <c r="J104" s="775"/>
      <c r="K104" s="973"/>
      <c r="L104" s="589"/>
      <c r="M104" s="591"/>
      <c r="N104" s="591"/>
      <c r="O104" s="592"/>
      <c r="P104" s="653"/>
    </row>
    <row r="105" ht="21.0" customHeight="1">
      <c r="B105" s="606"/>
      <c r="C105" s="645"/>
      <c r="D105" s="676"/>
      <c r="E105" s="974"/>
      <c r="F105" s="975"/>
      <c r="G105" s="577"/>
      <c r="H105" s="577"/>
      <c r="I105" s="976"/>
      <c r="J105" s="922"/>
      <c r="K105" s="577"/>
      <c r="L105" s="577"/>
      <c r="M105" s="676"/>
      <c r="N105" s="676"/>
      <c r="O105" s="577"/>
      <c r="P105" s="617"/>
    </row>
    <row r="106" ht="15.75" customHeight="1">
      <c r="C106" s="206"/>
      <c r="E106" s="906"/>
      <c r="F106" s="195"/>
      <c r="G106" s="533"/>
      <c r="H106" s="534"/>
      <c r="I106" s="703"/>
      <c r="J106" s="537"/>
      <c r="K106" s="195"/>
      <c r="L106" s="533"/>
      <c r="O106" s="539"/>
      <c r="P106" s="540"/>
    </row>
    <row r="107" ht="15.75" customHeight="1">
      <c r="B107" s="977"/>
      <c r="C107" s="206"/>
      <c r="D107" s="977"/>
      <c r="E107" s="678"/>
      <c r="F107" s="206"/>
      <c r="G107" s="978"/>
      <c r="H107" s="979"/>
      <c r="I107" s="751"/>
      <c r="J107" s="980"/>
      <c r="K107" s="206"/>
      <c r="L107" s="978"/>
      <c r="M107" s="977"/>
      <c r="N107" s="977"/>
      <c r="O107" s="34"/>
      <c r="P107" s="540"/>
      <c r="Q107" s="977"/>
    </row>
    <row r="108" ht="15.75" customHeight="1">
      <c r="B108" s="981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7"/>
      <c r="Q108" s="977"/>
    </row>
    <row r="109" ht="15.75" customHeight="1">
      <c r="B109" s="13"/>
      <c r="C109" s="11"/>
      <c r="D109" s="11"/>
      <c r="E109" s="544"/>
      <c r="F109" s="11"/>
      <c r="G109" s="545"/>
      <c r="H109" s="544"/>
      <c r="I109" s="545"/>
      <c r="J109" s="757"/>
      <c r="K109" s="547"/>
      <c r="L109" s="545"/>
      <c r="M109" s="547"/>
      <c r="N109" s="11"/>
      <c r="O109" s="549"/>
      <c r="P109" s="545"/>
      <c r="Q109" s="977"/>
    </row>
    <row r="110" ht="19.5" customHeight="1">
      <c r="B110" s="982"/>
      <c r="C110" s="645"/>
      <c r="D110" s="853"/>
      <c r="E110" s="983"/>
      <c r="F110" s="984"/>
      <c r="G110" s="763"/>
      <c r="H110" s="911"/>
      <c r="I110" s="985"/>
      <c r="J110" s="766"/>
      <c r="K110" s="912"/>
      <c r="L110" s="767"/>
      <c r="M110" s="986"/>
      <c r="N110" s="987"/>
      <c r="O110" s="565"/>
      <c r="P110" s="642"/>
      <c r="Q110" s="567" t="s">
        <v>111</v>
      </c>
      <c r="R110" s="13"/>
    </row>
    <row r="111" ht="19.5" customHeight="1">
      <c r="A111" s="50">
        <v>20.04</v>
      </c>
      <c r="B111" s="568"/>
      <c r="C111" s="645"/>
      <c r="D111" s="580"/>
      <c r="E111" s="596"/>
      <c r="F111" s="988"/>
      <c r="G111" s="574"/>
      <c r="H111" s="574"/>
      <c r="I111" s="587"/>
      <c r="J111" s="775"/>
      <c r="K111" s="577"/>
      <c r="L111" s="574"/>
      <c r="M111" s="989"/>
      <c r="N111" s="990"/>
      <c r="O111" s="574"/>
      <c r="P111" s="427"/>
      <c r="Q111" s="581" t="s">
        <v>155</v>
      </c>
      <c r="R111" s="13"/>
    </row>
    <row r="112" ht="19.5" customHeight="1">
      <c r="B112" s="568"/>
      <c r="C112" s="573"/>
      <c r="D112" s="580"/>
      <c r="E112" s="920"/>
      <c r="F112" s="77"/>
      <c r="G112" s="833"/>
      <c r="H112" s="918"/>
      <c r="I112" s="575"/>
      <c r="J112" s="775"/>
      <c r="K112" s="912"/>
      <c r="L112" s="782"/>
      <c r="M112" s="900"/>
      <c r="N112" s="591"/>
      <c r="O112" s="592"/>
      <c r="P112" s="566"/>
      <c r="Q112" s="593" t="s">
        <v>170</v>
      </c>
      <c r="R112" s="13"/>
    </row>
    <row r="113" ht="19.5" customHeight="1">
      <c r="B113" s="606"/>
      <c r="C113" s="794"/>
      <c r="D113" s="676"/>
      <c r="E113" s="991"/>
      <c r="F113" s="992"/>
      <c r="G113" s="577"/>
      <c r="H113" s="577"/>
      <c r="I113" s="721"/>
      <c r="J113" s="798"/>
      <c r="K113" s="577"/>
      <c r="L113" s="577"/>
      <c r="M113" s="993"/>
      <c r="N113" s="616"/>
      <c r="O113" s="577"/>
      <c r="P113" s="617"/>
      <c r="Q113" s="618" t="s">
        <v>188</v>
      </c>
    </row>
    <row r="114" ht="15.75" customHeight="1">
      <c r="A114" s="701"/>
      <c r="B114" s="704"/>
      <c r="C114" s="802"/>
      <c r="D114" s="941"/>
      <c r="E114" s="630"/>
      <c r="F114" s="994"/>
      <c r="G114" s="995"/>
      <c r="H114" s="753"/>
      <c r="I114" s="953"/>
      <c r="J114" s="996"/>
      <c r="K114" s="997"/>
      <c r="L114" s="998"/>
      <c r="M114" s="680"/>
      <c r="N114" s="705"/>
      <c r="O114" s="634"/>
      <c r="P114" s="680"/>
      <c r="Q114" s="635" t="s">
        <v>203</v>
      </c>
      <c r="R114" s="701"/>
    </row>
    <row r="115" ht="19.5" customHeight="1">
      <c r="A115" s="550">
        <v>45768.0</v>
      </c>
      <c r="B115" s="965"/>
      <c r="C115" s="878"/>
      <c r="D115" s="731"/>
      <c r="E115" s="999"/>
      <c r="F115" s="1000"/>
      <c r="G115" s="813"/>
      <c r="H115" s="1001"/>
      <c r="I115" s="559"/>
      <c r="J115" s="851"/>
      <c r="K115" s="1003"/>
      <c r="L115" s="767"/>
      <c r="M115" s="1006"/>
      <c r="N115" s="987"/>
      <c r="O115" s="565"/>
      <c r="P115" s="642"/>
      <c r="Q115" s="977"/>
    </row>
    <row r="116">
      <c r="B116" s="568"/>
      <c r="C116" s="645"/>
      <c r="D116" s="580"/>
      <c r="E116" s="999"/>
      <c r="F116" s="1008"/>
      <c r="G116" s="574"/>
      <c r="H116" s="574"/>
      <c r="I116" s="1009"/>
      <c r="J116" s="775"/>
      <c r="K116" s="574"/>
      <c r="L116" s="574"/>
      <c r="M116" s="1010"/>
      <c r="N116" s="1011"/>
      <c r="O116" s="574"/>
      <c r="P116" s="427"/>
      <c r="Q116" s="977"/>
    </row>
    <row r="117" ht="19.5" customHeight="1">
      <c r="B117" s="568"/>
      <c r="C117" s="645"/>
      <c r="D117" s="591"/>
      <c r="E117" s="863"/>
      <c r="F117" s="1013"/>
      <c r="G117" s="833"/>
      <c r="H117" s="1015"/>
      <c r="I117" s="1016"/>
      <c r="J117" s="1017"/>
      <c r="K117" s="949"/>
      <c r="L117" s="589"/>
      <c r="M117" s="1020"/>
      <c r="N117" s="580"/>
      <c r="O117" s="592"/>
      <c r="P117" s="566"/>
      <c r="Q117" s="977"/>
    </row>
    <row r="118" ht="19.5" customHeight="1">
      <c r="B118" s="606"/>
      <c r="C118" s="838"/>
      <c r="D118" s="676"/>
      <c r="E118" s="1024"/>
      <c r="F118" s="1026"/>
      <c r="G118" s="577"/>
      <c r="H118" s="577"/>
      <c r="I118" s="1028"/>
      <c r="J118" s="1030"/>
      <c r="K118" s="577"/>
      <c r="L118" s="577"/>
      <c r="M118" s="1033"/>
      <c r="N118" s="616"/>
      <c r="O118" s="577"/>
      <c r="P118" s="617"/>
      <c r="Q118" s="977"/>
    </row>
    <row r="119" ht="15.75" customHeight="1">
      <c r="A119" s="701"/>
      <c r="B119" s="704"/>
      <c r="C119" s="802"/>
      <c r="D119" s="941"/>
      <c r="E119" s="999"/>
      <c r="F119" s="1037"/>
      <c r="G119" s="844"/>
      <c r="H119" s="1038"/>
      <c r="I119" s="809"/>
      <c r="J119" s="1040"/>
      <c r="K119" s="195"/>
      <c r="L119" s="704"/>
      <c r="M119" s="1042"/>
      <c r="N119" s="705"/>
      <c r="O119" s="634"/>
      <c r="P119" s="704"/>
      <c r="Q119" s="1043"/>
      <c r="R119" s="701"/>
    </row>
    <row r="120" ht="19.5" customHeight="1">
      <c r="A120" s="550">
        <v>45769.0</v>
      </c>
      <c r="B120" s="954"/>
      <c r="C120" s="878"/>
      <c r="D120" s="690"/>
      <c r="E120" s="1044"/>
      <c r="F120" s="1000"/>
      <c r="G120" s="849"/>
      <c r="H120" s="1001"/>
      <c r="I120" s="1047"/>
      <c r="J120" s="851"/>
      <c r="K120" s="912"/>
      <c r="L120" s="1050"/>
      <c r="M120" s="1052"/>
      <c r="N120" s="769"/>
      <c r="O120" s="565"/>
      <c r="P120" s="691"/>
      <c r="Q120" s="977"/>
    </row>
    <row r="121" ht="19.5" customHeight="1">
      <c r="B121" s="568"/>
      <c r="C121" s="645"/>
      <c r="D121" s="580"/>
      <c r="E121" s="946"/>
      <c r="F121" s="1013"/>
      <c r="G121" s="574"/>
      <c r="H121" s="574"/>
      <c r="I121" s="1058"/>
      <c r="J121" s="775"/>
      <c r="K121" s="577"/>
      <c r="L121" s="900"/>
      <c r="M121" s="1061"/>
      <c r="N121" s="580"/>
      <c r="O121" s="574"/>
      <c r="P121" s="427"/>
      <c r="Q121" s="977"/>
    </row>
    <row r="122" ht="19.5" customHeight="1">
      <c r="B122" s="568"/>
      <c r="C122" s="645"/>
      <c r="D122" s="591"/>
      <c r="E122" s="863"/>
      <c r="F122" s="1013"/>
      <c r="G122" s="866"/>
      <c r="H122" s="1015"/>
      <c r="I122" s="1064"/>
      <c r="J122" s="775"/>
      <c r="K122" s="1066"/>
      <c r="L122" s="900"/>
      <c r="M122" s="1061"/>
      <c r="N122" s="591"/>
      <c r="O122" s="592"/>
      <c r="P122" s="653"/>
      <c r="Q122" s="977"/>
    </row>
    <row r="123" ht="19.5" customHeight="1">
      <c r="B123" s="606"/>
      <c r="C123" s="838"/>
      <c r="D123" s="676"/>
      <c r="E123" s="950"/>
      <c r="F123" s="1071"/>
      <c r="G123" s="577"/>
      <c r="H123" s="577"/>
      <c r="I123" s="914"/>
      <c r="J123" s="1030"/>
      <c r="K123" s="577"/>
      <c r="L123" s="1074"/>
      <c r="M123" s="993"/>
      <c r="N123" s="616"/>
      <c r="O123" s="577"/>
      <c r="P123" s="617"/>
      <c r="Q123" s="977"/>
    </row>
    <row r="124" ht="15.75" customHeight="1">
      <c r="A124" s="701"/>
      <c r="B124" s="1043"/>
      <c r="C124" s="802"/>
      <c r="D124" s="941"/>
      <c r="E124" s="678"/>
      <c r="F124" s="1037"/>
      <c r="G124" s="873"/>
      <c r="H124" s="1038"/>
      <c r="I124" s="639"/>
      <c r="J124" s="1078"/>
      <c r="K124" s="1079"/>
      <c r="L124" s="704"/>
      <c r="M124" s="680"/>
      <c r="N124" s="705"/>
      <c r="O124" s="34"/>
      <c r="P124" s="704"/>
      <c r="Q124" s="1043"/>
      <c r="R124" s="701"/>
    </row>
    <row r="125" ht="40.5" customHeight="1">
      <c r="A125" s="550">
        <v>45770.0</v>
      </c>
      <c r="B125" s="954"/>
      <c r="C125" s="878"/>
      <c r="D125" s="853"/>
      <c r="E125" s="1082"/>
      <c r="F125" s="1000"/>
      <c r="G125" s="879"/>
      <c r="H125" s="1001"/>
      <c r="I125" s="1084"/>
      <c r="J125" s="766"/>
      <c r="K125" s="1085"/>
      <c r="L125" s="1050"/>
      <c r="M125" s="1086"/>
      <c r="N125" s="987"/>
      <c r="O125" s="565"/>
      <c r="P125" s="566"/>
      <c r="Q125" s="977"/>
    </row>
    <row r="126" ht="19.5" customHeight="1">
      <c r="B126" s="568"/>
      <c r="C126" s="645"/>
      <c r="D126" s="580"/>
      <c r="E126" s="819"/>
      <c r="F126" s="1008"/>
      <c r="G126" s="574"/>
      <c r="H126" s="574"/>
      <c r="I126" s="733"/>
      <c r="J126" s="775"/>
      <c r="K126" s="574"/>
      <c r="L126" s="1087"/>
      <c r="M126" s="1088"/>
      <c r="N126" s="1011"/>
      <c r="O126" s="574"/>
      <c r="P126" s="427"/>
      <c r="Q126" s="977"/>
    </row>
    <row r="127" ht="19.5" customHeight="1">
      <c r="B127" s="568"/>
      <c r="C127" s="645"/>
      <c r="D127" s="591"/>
      <c r="E127" s="819"/>
      <c r="F127" s="1008"/>
      <c r="G127" s="780"/>
      <c r="H127" s="1015"/>
      <c r="I127" s="1089"/>
      <c r="J127" s="775"/>
      <c r="K127" s="597"/>
      <c r="L127" s="900"/>
      <c r="M127" s="1090"/>
      <c r="N127" s="591"/>
      <c r="O127" s="592"/>
      <c r="P127" s="653"/>
      <c r="Q127" s="977"/>
    </row>
    <row r="128" ht="19.5" customHeight="1">
      <c r="B128" s="606"/>
      <c r="C128" s="1092"/>
      <c r="D128" s="1094"/>
      <c r="E128" s="868"/>
      <c r="F128" s="1096"/>
      <c r="G128" s="577"/>
      <c r="H128" s="577"/>
      <c r="I128" s="1098"/>
      <c r="J128" s="1030"/>
      <c r="K128" s="577"/>
      <c r="L128" s="1074"/>
      <c r="M128" s="993"/>
      <c r="N128" s="616"/>
      <c r="O128" s="577"/>
      <c r="P128" s="617"/>
      <c r="Q128" s="977"/>
    </row>
    <row r="129" ht="15.75" customHeight="1">
      <c r="B129" s="977"/>
      <c r="C129" s="23"/>
      <c r="D129" s="677"/>
      <c r="E129" s="630"/>
      <c r="F129" s="206"/>
      <c r="G129" s="873"/>
      <c r="H129" s="1038"/>
      <c r="I129" s="1101"/>
      <c r="J129" s="1040"/>
      <c r="K129" s="206"/>
      <c r="L129" s="545"/>
      <c r="M129" s="540"/>
      <c r="N129" s="11"/>
      <c r="O129" s="34"/>
      <c r="P129" s="545"/>
      <c r="Q129" s="977"/>
    </row>
    <row r="130" ht="19.5" customHeight="1">
      <c r="A130" s="550">
        <v>45771.0</v>
      </c>
      <c r="B130" s="925"/>
      <c r="C130" s="878"/>
      <c r="D130" s="853"/>
      <c r="E130" s="1102"/>
      <c r="F130" s="1000"/>
      <c r="G130" s="879"/>
      <c r="H130" s="1001"/>
      <c r="I130" s="1103"/>
      <c r="J130" s="766"/>
      <c r="K130" s="968"/>
      <c r="L130" s="767"/>
      <c r="M130" s="1104"/>
      <c r="N130" s="769"/>
      <c r="O130" s="732"/>
      <c r="P130" s="691"/>
      <c r="Q130" s="977"/>
    </row>
    <row r="131" ht="19.5" customHeight="1">
      <c r="A131" s="550"/>
      <c r="B131" s="568"/>
      <c r="C131" s="645"/>
      <c r="D131" s="580"/>
      <c r="E131" s="1105"/>
      <c r="F131" s="1008"/>
      <c r="G131" s="574"/>
      <c r="H131" s="574"/>
      <c r="I131" s="1104"/>
      <c r="J131" s="775"/>
      <c r="K131" s="574"/>
      <c r="L131" s="1106"/>
      <c r="M131" s="1107"/>
      <c r="N131" s="580"/>
      <c r="O131" s="574"/>
      <c r="P131" s="427"/>
      <c r="Q131" s="977"/>
    </row>
    <row r="132" ht="19.5" customHeight="1">
      <c r="B132" s="568"/>
      <c r="C132" s="645"/>
      <c r="D132" s="591"/>
      <c r="E132" s="857"/>
      <c r="F132" s="1008"/>
      <c r="G132" s="898"/>
      <c r="H132" s="1015"/>
      <c r="I132" s="575"/>
      <c r="J132" s="775"/>
      <c r="K132" s="597"/>
      <c r="L132" s="589"/>
      <c r="M132" s="1110"/>
      <c r="N132" s="591"/>
      <c r="O132" s="592"/>
      <c r="P132" s="653"/>
      <c r="Q132" s="977"/>
    </row>
    <row r="133" ht="19.5" customHeight="1">
      <c r="B133" s="606"/>
      <c r="C133" s="740"/>
      <c r="D133" s="1112"/>
      <c r="E133" s="902"/>
      <c r="F133" s="1113"/>
      <c r="G133" s="577"/>
      <c r="H133" s="577"/>
      <c r="I133" s="1114"/>
      <c r="J133" s="1116"/>
      <c r="K133" s="577"/>
      <c r="L133" s="577"/>
      <c r="M133" s="1117"/>
      <c r="N133" s="1112"/>
      <c r="O133" s="577"/>
      <c r="P133" s="617"/>
      <c r="Q133" s="1119"/>
    </row>
    <row r="134" ht="15.75" customHeight="1">
      <c r="C134" s="206"/>
      <c r="E134" s="906"/>
      <c r="F134" s="11"/>
      <c r="I134" s="650"/>
      <c r="J134" s="537"/>
      <c r="K134" s="195"/>
      <c r="L134" s="533"/>
      <c r="O134" s="539"/>
      <c r="P134" s="540"/>
    </row>
    <row r="135" ht="15.75" customHeight="1">
      <c r="C135" s="206"/>
      <c r="E135" s="906"/>
      <c r="F135" s="195"/>
      <c r="G135" s="533"/>
      <c r="H135" s="534"/>
      <c r="I135" s="536"/>
      <c r="J135" s="537"/>
      <c r="K135" s="195"/>
      <c r="L135" s="533"/>
      <c r="O135" s="539"/>
      <c r="P135" s="540"/>
    </row>
    <row r="136" ht="15.75" customHeight="1">
      <c r="C136" s="206"/>
      <c r="E136" s="906"/>
      <c r="F136" s="195"/>
      <c r="G136" s="533"/>
      <c r="H136" s="1122"/>
      <c r="I136" s="1123"/>
      <c r="J136" s="537"/>
      <c r="K136" s="195"/>
      <c r="L136" s="533"/>
      <c r="O136" s="539"/>
      <c r="P136" s="540"/>
    </row>
    <row r="137" ht="15.75" customHeight="1">
      <c r="C137" s="206"/>
      <c r="D137" s="1124"/>
      <c r="E137" s="906"/>
      <c r="F137" s="195"/>
      <c r="G137" s="533"/>
      <c r="H137" s="534"/>
      <c r="I137" s="1125"/>
      <c r="J137" s="537"/>
      <c r="K137" s="195"/>
      <c r="L137" s="533"/>
      <c r="O137" s="539"/>
      <c r="P137" s="540"/>
    </row>
    <row r="138" ht="15.75" customHeight="1">
      <c r="C138" s="206"/>
      <c r="E138" s="906"/>
      <c r="F138" s="195"/>
      <c r="G138" s="533"/>
      <c r="H138" s="534"/>
      <c r="I138" s="678"/>
      <c r="J138" s="537"/>
      <c r="K138" s="195"/>
      <c r="L138" s="533"/>
      <c r="O138" s="539"/>
      <c r="P138" s="540"/>
    </row>
    <row r="139" ht="15.75" customHeight="1">
      <c r="C139" s="206"/>
      <c r="E139" s="906"/>
      <c r="F139" s="195"/>
      <c r="G139" s="533"/>
      <c r="H139" s="534"/>
      <c r="I139" s="536"/>
      <c r="J139" s="537"/>
      <c r="K139" s="195"/>
      <c r="L139" s="533"/>
      <c r="O139" s="539"/>
      <c r="P139" s="540"/>
    </row>
    <row r="140" ht="15.75" customHeight="1">
      <c r="C140" s="1128" t="s">
        <v>1343</v>
      </c>
      <c r="E140" s="906"/>
      <c r="F140" s="195"/>
      <c r="G140" s="533"/>
      <c r="H140" s="534"/>
      <c r="I140" s="809"/>
      <c r="J140" s="537"/>
      <c r="K140" s="195"/>
      <c r="L140" s="533"/>
      <c r="O140" s="539"/>
      <c r="P140" s="540"/>
    </row>
    <row r="141" ht="15.75" customHeight="1">
      <c r="C141" s="206"/>
      <c r="E141" s="906"/>
      <c r="F141" s="195"/>
      <c r="G141" s="533"/>
      <c r="H141" s="534"/>
      <c r="I141" s="536"/>
      <c r="J141" s="537"/>
      <c r="K141" s="195"/>
      <c r="L141" s="533"/>
      <c r="O141" s="539"/>
      <c r="P141" s="540"/>
    </row>
    <row r="142" ht="15.75" customHeight="1">
      <c r="C142" s="206"/>
      <c r="E142" s="906"/>
      <c r="F142" s="195"/>
      <c r="G142" s="533"/>
      <c r="H142" s="534"/>
      <c r="I142" s="536"/>
      <c r="J142" s="537"/>
      <c r="K142" s="195"/>
      <c r="L142" s="533"/>
      <c r="O142" s="539"/>
      <c r="P142" s="540"/>
    </row>
    <row r="143" ht="15.75" customHeight="1">
      <c r="C143" s="206"/>
      <c r="E143" s="906"/>
      <c r="F143" s="195"/>
      <c r="G143" s="533"/>
      <c r="H143" s="534"/>
      <c r="I143" s="536"/>
      <c r="J143" s="537"/>
      <c r="K143" s="195"/>
      <c r="L143" s="533"/>
      <c r="O143" s="539"/>
      <c r="P143" s="540"/>
    </row>
    <row r="144" ht="15.75" customHeight="1">
      <c r="C144" s="206"/>
      <c r="E144" s="906"/>
      <c r="F144" s="195"/>
      <c r="G144" s="533"/>
      <c r="H144" s="534"/>
      <c r="I144" s="536"/>
      <c r="J144" s="537"/>
      <c r="K144" s="195"/>
      <c r="L144" s="533"/>
      <c r="O144" s="539"/>
      <c r="P144" s="540"/>
    </row>
    <row r="145" ht="15.75" customHeight="1">
      <c r="C145" s="206"/>
      <c r="E145" s="906"/>
      <c r="F145" s="195"/>
      <c r="G145" s="533"/>
      <c r="H145" s="534"/>
      <c r="I145" s="536"/>
      <c r="J145" s="537"/>
      <c r="K145" s="195"/>
      <c r="L145" s="533"/>
      <c r="O145" s="539"/>
      <c r="P145" s="540"/>
    </row>
    <row r="146" ht="15.75" customHeight="1">
      <c r="C146" s="206"/>
      <c r="E146" s="906"/>
      <c r="F146" s="195"/>
      <c r="G146" s="533"/>
      <c r="H146" s="534"/>
      <c r="I146" s="536"/>
      <c r="J146" s="537"/>
      <c r="K146" s="195"/>
      <c r="L146" s="533"/>
      <c r="O146" s="539"/>
      <c r="P146" s="540"/>
    </row>
    <row r="147" ht="15.75" customHeight="1">
      <c r="C147" s="206"/>
      <c r="E147" s="906"/>
      <c r="F147" s="195"/>
      <c r="G147" s="533"/>
      <c r="H147" s="534"/>
      <c r="I147" s="536"/>
      <c r="J147" s="537"/>
      <c r="K147" s="195"/>
      <c r="L147" s="533"/>
      <c r="O147" s="539"/>
      <c r="P147" s="540"/>
    </row>
    <row r="148" ht="15.75" customHeight="1">
      <c r="C148" s="206"/>
      <c r="E148" s="906"/>
      <c r="F148" s="195"/>
      <c r="G148" s="533"/>
      <c r="H148" s="534"/>
      <c r="I148" s="536"/>
      <c r="J148" s="537"/>
      <c r="K148" s="195"/>
      <c r="L148" s="533"/>
      <c r="O148" s="539"/>
      <c r="P148" s="540"/>
    </row>
    <row r="149" ht="15.75" customHeight="1">
      <c r="C149" s="206"/>
      <c r="E149" s="906"/>
      <c r="F149" s="195"/>
      <c r="G149" s="533"/>
      <c r="H149" s="534"/>
      <c r="I149" s="536"/>
      <c r="J149" s="537"/>
      <c r="K149" s="195"/>
      <c r="L149" s="533"/>
      <c r="O149" s="539"/>
      <c r="P149" s="540"/>
    </row>
    <row r="150" ht="15.75" customHeight="1">
      <c r="C150" s="206"/>
      <c r="E150" s="906"/>
      <c r="F150" s="195"/>
      <c r="G150" s="533"/>
      <c r="H150" s="534"/>
      <c r="I150" s="536"/>
      <c r="J150" s="537"/>
      <c r="K150" s="195"/>
      <c r="L150" s="533"/>
      <c r="O150" s="539"/>
      <c r="P150" s="540"/>
    </row>
    <row r="151" ht="15.75" customHeight="1">
      <c r="C151" s="206"/>
      <c r="E151" s="906"/>
      <c r="F151" s="195"/>
      <c r="G151" s="533"/>
      <c r="H151" s="534"/>
      <c r="I151" s="536"/>
      <c r="J151" s="537"/>
      <c r="K151" s="195"/>
      <c r="L151" s="533"/>
      <c r="O151" s="539"/>
      <c r="P151" s="540"/>
    </row>
    <row r="152" ht="15.75" customHeight="1">
      <c r="C152" s="206"/>
      <c r="E152" s="906"/>
      <c r="F152" s="195"/>
      <c r="G152" s="533"/>
      <c r="H152" s="534"/>
      <c r="I152" s="536"/>
      <c r="J152" s="537"/>
      <c r="K152" s="195"/>
      <c r="L152" s="533"/>
      <c r="O152" s="539"/>
      <c r="P152" s="540"/>
    </row>
    <row r="153" ht="15.75" customHeight="1">
      <c r="C153" s="206"/>
      <c r="E153" s="906"/>
      <c r="F153" s="195"/>
      <c r="G153" s="533"/>
      <c r="H153" s="534"/>
      <c r="I153" s="536"/>
      <c r="J153" s="537"/>
      <c r="K153" s="195"/>
      <c r="L153" s="533"/>
      <c r="O153" s="539"/>
      <c r="P153" s="540"/>
    </row>
    <row r="154" ht="15.75" customHeight="1">
      <c r="C154" s="206"/>
      <c r="E154" s="906"/>
      <c r="F154" s="195"/>
      <c r="G154" s="533"/>
      <c r="H154" s="534"/>
      <c r="I154" s="536"/>
      <c r="J154" s="537"/>
      <c r="K154" s="195"/>
      <c r="L154" s="533"/>
      <c r="O154" s="539"/>
      <c r="P154" s="540"/>
    </row>
    <row r="155" ht="15.75" customHeight="1">
      <c r="C155" s="206"/>
      <c r="E155" s="906"/>
      <c r="F155" s="195"/>
      <c r="G155" s="533"/>
      <c r="H155" s="534"/>
      <c r="I155" s="536"/>
      <c r="J155" s="537"/>
      <c r="K155" s="195"/>
      <c r="L155" s="533"/>
      <c r="O155" s="539"/>
      <c r="P155" s="540"/>
    </row>
    <row r="156" ht="15.75" customHeight="1">
      <c r="C156" s="206"/>
      <c r="E156" s="906"/>
      <c r="F156" s="195"/>
      <c r="G156" s="533"/>
      <c r="H156" s="534"/>
      <c r="I156" s="536"/>
      <c r="J156" s="537"/>
      <c r="K156" s="195"/>
      <c r="L156" s="533"/>
      <c r="O156" s="539"/>
      <c r="P156" s="540"/>
    </row>
    <row r="157" ht="15.75" customHeight="1">
      <c r="C157" s="206"/>
      <c r="E157" s="906"/>
      <c r="F157" s="195"/>
      <c r="G157" s="533"/>
      <c r="H157" s="534"/>
      <c r="I157" s="536"/>
      <c r="J157" s="537"/>
      <c r="K157" s="195"/>
      <c r="L157" s="533"/>
      <c r="O157" s="539"/>
      <c r="P157" s="540"/>
    </row>
    <row r="158" ht="15.75" customHeight="1">
      <c r="C158" s="206"/>
      <c r="E158" s="906"/>
      <c r="F158" s="195"/>
      <c r="G158" s="533"/>
      <c r="H158" s="534"/>
      <c r="I158" s="536"/>
      <c r="J158" s="537"/>
      <c r="K158" s="195"/>
      <c r="L158" s="533"/>
      <c r="O158" s="539"/>
      <c r="P158" s="540"/>
    </row>
    <row r="159" ht="15.75" customHeight="1">
      <c r="C159" s="206"/>
      <c r="E159" s="906"/>
      <c r="F159" s="195"/>
      <c r="G159" s="533"/>
      <c r="H159" s="534"/>
      <c r="I159" s="536"/>
      <c r="J159" s="537"/>
      <c r="K159" s="195"/>
      <c r="L159" s="533"/>
      <c r="O159" s="539"/>
      <c r="P159" s="540"/>
    </row>
    <row r="160" ht="15.75" customHeight="1">
      <c r="C160" s="206"/>
      <c r="E160" s="906"/>
      <c r="F160" s="195"/>
      <c r="G160" s="533"/>
      <c r="H160" s="534"/>
      <c r="I160" s="536"/>
      <c r="J160" s="537"/>
      <c r="K160" s="195"/>
      <c r="L160" s="533"/>
      <c r="O160" s="539"/>
      <c r="P160" s="540"/>
    </row>
    <row r="161" ht="15.75" customHeight="1">
      <c r="C161" s="206"/>
      <c r="E161" s="906"/>
      <c r="F161" s="195"/>
      <c r="G161" s="533"/>
      <c r="H161" s="534"/>
      <c r="I161" s="536"/>
      <c r="J161" s="537"/>
      <c r="K161" s="195"/>
      <c r="L161" s="533"/>
      <c r="O161" s="539"/>
      <c r="P161" s="540"/>
    </row>
    <row r="162" ht="15.75" customHeight="1">
      <c r="C162" s="206"/>
      <c r="E162" s="906"/>
      <c r="F162" s="195"/>
      <c r="G162" s="533"/>
      <c r="H162" s="534"/>
      <c r="I162" s="536"/>
      <c r="J162" s="537"/>
      <c r="K162" s="195"/>
      <c r="L162" s="533"/>
      <c r="O162" s="539"/>
      <c r="P162" s="540"/>
    </row>
    <row r="163" ht="15.75" customHeight="1">
      <c r="C163" s="206"/>
      <c r="E163" s="906"/>
      <c r="F163" s="195"/>
      <c r="G163" s="533"/>
      <c r="H163" s="534"/>
      <c r="I163" s="536"/>
      <c r="J163" s="537"/>
      <c r="K163" s="195"/>
      <c r="L163" s="533"/>
      <c r="O163" s="539"/>
      <c r="P163" s="540"/>
    </row>
    <row r="164" ht="15.75" customHeight="1">
      <c r="C164" s="206"/>
      <c r="E164" s="906"/>
      <c r="F164" s="195"/>
      <c r="G164" s="533"/>
      <c r="H164" s="534"/>
      <c r="I164" s="536"/>
      <c r="J164" s="537"/>
      <c r="K164" s="195"/>
      <c r="L164" s="533"/>
      <c r="O164" s="539"/>
      <c r="P164" s="540"/>
    </row>
    <row r="165" ht="15.75" customHeight="1">
      <c r="C165" s="206"/>
      <c r="E165" s="906"/>
      <c r="F165" s="195"/>
      <c r="G165" s="533"/>
      <c r="H165" s="534"/>
      <c r="I165" s="536"/>
      <c r="J165" s="537"/>
      <c r="K165" s="195"/>
      <c r="L165" s="533"/>
      <c r="O165" s="539"/>
      <c r="P165" s="540"/>
    </row>
    <row r="166" ht="15.75" customHeight="1">
      <c r="C166" s="206"/>
      <c r="E166" s="906"/>
      <c r="F166" s="195"/>
      <c r="G166" s="533"/>
      <c r="H166" s="534"/>
      <c r="I166" s="536"/>
      <c r="J166" s="537"/>
      <c r="K166" s="195"/>
      <c r="L166" s="533"/>
      <c r="O166" s="539"/>
      <c r="P166" s="540"/>
    </row>
    <row r="167" ht="15.75" customHeight="1">
      <c r="C167" s="206"/>
      <c r="E167" s="906"/>
      <c r="F167" s="195"/>
      <c r="G167" s="533"/>
      <c r="H167" s="534"/>
      <c r="I167" s="536"/>
      <c r="J167" s="537"/>
      <c r="K167" s="195"/>
      <c r="L167" s="533"/>
      <c r="O167" s="539"/>
      <c r="P167" s="540"/>
    </row>
    <row r="168" ht="15.75" customHeight="1">
      <c r="C168" s="206"/>
      <c r="E168" s="906"/>
      <c r="F168" s="195"/>
      <c r="G168" s="533"/>
      <c r="H168" s="534"/>
      <c r="I168" s="536"/>
      <c r="J168" s="537"/>
      <c r="K168" s="195"/>
      <c r="L168" s="533"/>
      <c r="O168" s="539"/>
      <c r="P168" s="540"/>
    </row>
    <row r="169" ht="15.75" customHeight="1">
      <c r="C169" s="206"/>
      <c r="E169" s="906"/>
      <c r="F169" s="195"/>
      <c r="G169" s="533"/>
      <c r="H169" s="534"/>
      <c r="I169" s="536"/>
      <c r="J169" s="537"/>
      <c r="K169" s="195"/>
      <c r="L169" s="533"/>
      <c r="O169" s="539"/>
      <c r="P169" s="540"/>
    </row>
    <row r="170" ht="15.75" customHeight="1">
      <c r="C170" s="206"/>
      <c r="E170" s="906"/>
      <c r="F170" s="195"/>
      <c r="G170" s="533"/>
      <c r="H170" s="534"/>
      <c r="I170" s="536"/>
      <c r="J170" s="537"/>
      <c r="K170" s="195"/>
      <c r="L170" s="533"/>
      <c r="O170" s="539"/>
      <c r="P170" s="540"/>
    </row>
    <row r="171" ht="15.75" customHeight="1">
      <c r="C171" s="206"/>
      <c r="E171" s="906"/>
      <c r="F171" s="195"/>
      <c r="G171" s="533"/>
      <c r="H171" s="534"/>
      <c r="I171" s="536"/>
      <c r="J171" s="537"/>
      <c r="K171" s="195"/>
      <c r="L171" s="533"/>
      <c r="O171" s="539"/>
      <c r="P171" s="540"/>
    </row>
    <row r="172" ht="15.75" customHeight="1">
      <c r="C172" s="206"/>
      <c r="E172" s="906"/>
      <c r="F172" s="195"/>
      <c r="G172" s="533"/>
      <c r="H172" s="534"/>
      <c r="I172" s="536"/>
      <c r="J172" s="537"/>
      <c r="K172" s="195"/>
      <c r="L172" s="533"/>
      <c r="O172" s="539"/>
      <c r="P172" s="540"/>
    </row>
    <row r="173" ht="15.75" customHeight="1">
      <c r="C173" s="206"/>
      <c r="E173" s="906"/>
      <c r="F173" s="195"/>
      <c r="G173" s="533"/>
      <c r="H173" s="534"/>
      <c r="I173" s="536"/>
      <c r="J173" s="537"/>
      <c r="K173" s="195"/>
      <c r="L173" s="533"/>
      <c r="O173" s="539"/>
      <c r="P173" s="540"/>
    </row>
    <row r="174" ht="15.75" customHeight="1">
      <c r="C174" s="206"/>
      <c r="E174" s="906"/>
      <c r="F174" s="195"/>
      <c r="G174" s="533"/>
      <c r="H174" s="534"/>
      <c r="I174" s="536"/>
      <c r="J174" s="537"/>
      <c r="K174" s="195"/>
      <c r="L174" s="533"/>
      <c r="O174" s="539"/>
      <c r="P174" s="540"/>
    </row>
    <row r="175" ht="15.75" customHeight="1">
      <c r="C175" s="206"/>
      <c r="E175" s="906"/>
      <c r="F175" s="195"/>
      <c r="G175" s="533"/>
      <c r="H175" s="534"/>
      <c r="I175" s="536"/>
      <c r="J175" s="537"/>
      <c r="K175" s="195"/>
      <c r="L175" s="533"/>
      <c r="O175" s="539"/>
      <c r="P175" s="540"/>
    </row>
    <row r="176" ht="15.75" customHeight="1">
      <c r="C176" s="206"/>
      <c r="E176" s="906"/>
      <c r="F176" s="195"/>
      <c r="G176" s="533"/>
      <c r="H176" s="534"/>
      <c r="I176" s="536"/>
      <c r="J176" s="537"/>
      <c r="K176" s="195"/>
      <c r="L176" s="533"/>
      <c r="O176" s="539"/>
      <c r="P176" s="540"/>
    </row>
    <row r="177" ht="15.75" customHeight="1">
      <c r="C177" s="206"/>
      <c r="E177" s="906"/>
      <c r="F177" s="195"/>
      <c r="G177" s="533"/>
      <c r="H177" s="534"/>
      <c r="I177" s="536"/>
      <c r="J177" s="537"/>
      <c r="K177" s="195"/>
      <c r="L177" s="533"/>
      <c r="O177" s="539"/>
      <c r="P177" s="540"/>
    </row>
    <row r="178" ht="15.75" customHeight="1">
      <c r="C178" s="206"/>
      <c r="E178" s="906"/>
      <c r="F178" s="195"/>
      <c r="G178" s="533"/>
      <c r="H178" s="534"/>
      <c r="I178" s="536"/>
      <c r="J178" s="537"/>
      <c r="K178" s="195"/>
      <c r="L178" s="533"/>
      <c r="O178" s="539"/>
      <c r="P178" s="540"/>
    </row>
    <row r="179" ht="15.75" customHeight="1">
      <c r="C179" s="206"/>
      <c r="E179" s="906"/>
      <c r="F179" s="195"/>
      <c r="G179" s="533"/>
      <c r="H179" s="534"/>
      <c r="I179" s="536"/>
      <c r="J179" s="537"/>
      <c r="K179" s="195"/>
      <c r="L179" s="533"/>
      <c r="O179" s="539"/>
      <c r="P179" s="540"/>
    </row>
    <row r="180" ht="15.75" customHeight="1">
      <c r="C180" s="206"/>
      <c r="E180" s="906"/>
      <c r="F180" s="195"/>
      <c r="G180" s="533"/>
      <c r="H180" s="534"/>
      <c r="I180" s="536"/>
      <c r="J180" s="537"/>
      <c r="K180" s="195"/>
      <c r="L180" s="533"/>
      <c r="O180" s="539"/>
      <c r="P180" s="540"/>
    </row>
    <row r="181" ht="15.75" customHeight="1">
      <c r="C181" s="206"/>
      <c r="E181" s="906"/>
      <c r="F181" s="195"/>
      <c r="G181" s="533"/>
      <c r="H181" s="534"/>
      <c r="I181" s="536"/>
      <c r="J181" s="537"/>
      <c r="K181" s="195"/>
      <c r="L181" s="533"/>
      <c r="O181" s="539"/>
      <c r="P181" s="540"/>
    </row>
    <row r="182" ht="15.75" customHeight="1">
      <c r="C182" s="206"/>
      <c r="E182" s="906"/>
      <c r="F182" s="195"/>
      <c r="G182" s="533"/>
      <c r="H182" s="534"/>
      <c r="I182" s="536"/>
      <c r="J182" s="537"/>
      <c r="K182" s="195"/>
      <c r="L182" s="533"/>
      <c r="O182" s="539"/>
      <c r="P182" s="540"/>
    </row>
    <row r="183" ht="15.75" customHeight="1">
      <c r="C183" s="206"/>
      <c r="E183" s="906"/>
      <c r="F183" s="195"/>
      <c r="G183" s="533"/>
      <c r="H183" s="534"/>
      <c r="I183" s="536"/>
      <c r="J183" s="537"/>
      <c r="K183" s="195"/>
      <c r="L183" s="533"/>
      <c r="O183" s="539"/>
      <c r="P183" s="540"/>
    </row>
    <row r="184" ht="15.75" customHeight="1">
      <c r="C184" s="206"/>
      <c r="E184" s="906"/>
      <c r="F184" s="195"/>
      <c r="G184" s="533"/>
      <c r="H184" s="534"/>
      <c r="I184" s="536"/>
      <c r="J184" s="537"/>
      <c r="K184" s="195"/>
      <c r="L184" s="533"/>
      <c r="O184" s="539"/>
      <c r="P184" s="540"/>
    </row>
    <row r="185" ht="15.75" customHeight="1">
      <c r="C185" s="206"/>
      <c r="E185" s="906"/>
      <c r="F185" s="195"/>
      <c r="G185" s="533"/>
      <c r="H185" s="534"/>
      <c r="I185" s="536"/>
      <c r="J185" s="537"/>
      <c r="K185" s="195"/>
      <c r="L185" s="533"/>
      <c r="O185" s="539"/>
      <c r="P185" s="540"/>
    </row>
    <row r="186" ht="15.75" customHeight="1">
      <c r="C186" s="206"/>
      <c r="E186" s="906"/>
      <c r="F186" s="195"/>
      <c r="G186" s="533"/>
      <c r="H186" s="534"/>
      <c r="I186" s="536"/>
      <c r="J186" s="537"/>
      <c r="K186" s="195"/>
      <c r="L186" s="533"/>
      <c r="O186" s="539"/>
      <c r="P186" s="540"/>
    </row>
    <row r="187" ht="15.75" customHeight="1">
      <c r="C187" s="206"/>
      <c r="E187" s="906"/>
      <c r="F187" s="195"/>
      <c r="G187" s="533"/>
      <c r="H187" s="534"/>
      <c r="I187" s="536"/>
      <c r="J187" s="537"/>
      <c r="K187" s="195"/>
      <c r="L187" s="533"/>
      <c r="O187" s="539"/>
      <c r="P187" s="540"/>
    </row>
    <row r="188" ht="15.75" customHeight="1">
      <c r="C188" s="206"/>
      <c r="E188" s="906"/>
      <c r="F188" s="195"/>
      <c r="G188" s="533"/>
      <c r="H188" s="534"/>
      <c r="I188" s="536"/>
      <c r="J188" s="537"/>
      <c r="K188" s="195"/>
      <c r="L188" s="533"/>
      <c r="O188" s="539"/>
      <c r="P188" s="540"/>
    </row>
    <row r="189" ht="15.75" customHeight="1">
      <c r="C189" s="206"/>
      <c r="E189" s="906"/>
      <c r="F189" s="195"/>
      <c r="G189" s="533"/>
      <c r="H189" s="534"/>
      <c r="I189" s="536"/>
      <c r="J189" s="537"/>
      <c r="K189" s="195"/>
      <c r="L189" s="533"/>
      <c r="O189" s="539"/>
      <c r="P189" s="540"/>
    </row>
    <row r="190" ht="15.75" customHeight="1">
      <c r="C190" s="206"/>
      <c r="E190" s="906"/>
      <c r="F190" s="195"/>
      <c r="G190" s="533"/>
      <c r="H190" s="534"/>
      <c r="I190" s="536"/>
      <c r="J190" s="537"/>
      <c r="K190" s="195"/>
      <c r="L190" s="533"/>
      <c r="O190" s="539"/>
      <c r="P190" s="540"/>
    </row>
    <row r="191" ht="15.75" customHeight="1">
      <c r="C191" s="206"/>
      <c r="E191" s="906"/>
      <c r="F191" s="195"/>
      <c r="G191" s="533"/>
      <c r="H191" s="534"/>
      <c r="I191" s="536"/>
      <c r="J191" s="537"/>
      <c r="K191" s="195"/>
      <c r="L191" s="533"/>
      <c r="O191" s="539"/>
      <c r="P191" s="540"/>
    </row>
    <row r="192" ht="15.75" customHeight="1">
      <c r="C192" s="206"/>
      <c r="E192" s="906"/>
      <c r="F192" s="195"/>
      <c r="G192" s="533"/>
      <c r="H192" s="534"/>
      <c r="I192" s="536"/>
      <c r="J192" s="537"/>
      <c r="K192" s="195"/>
      <c r="L192" s="533"/>
      <c r="O192" s="539"/>
      <c r="P192" s="540"/>
    </row>
    <row r="193" ht="15.75" customHeight="1">
      <c r="C193" s="206"/>
      <c r="E193" s="906"/>
      <c r="F193" s="195"/>
      <c r="G193" s="533"/>
      <c r="H193" s="534"/>
      <c r="I193" s="536"/>
      <c r="J193" s="537"/>
      <c r="K193" s="195"/>
      <c r="L193" s="533"/>
      <c r="O193" s="539"/>
      <c r="P193" s="540"/>
    </row>
    <row r="194" ht="15.75" customHeight="1">
      <c r="C194" s="206"/>
      <c r="E194" s="906"/>
      <c r="F194" s="195"/>
      <c r="G194" s="533"/>
      <c r="H194" s="534"/>
      <c r="I194" s="536"/>
      <c r="J194" s="537"/>
      <c r="K194" s="195"/>
      <c r="L194" s="533"/>
      <c r="O194" s="539"/>
      <c r="P194" s="540"/>
    </row>
    <row r="195" ht="15.75" customHeight="1">
      <c r="C195" s="206"/>
      <c r="E195" s="906"/>
      <c r="F195" s="195"/>
      <c r="G195" s="533"/>
      <c r="H195" s="534"/>
      <c r="I195" s="536"/>
      <c r="J195" s="537"/>
      <c r="K195" s="195"/>
      <c r="L195" s="533"/>
      <c r="O195" s="539"/>
      <c r="P195" s="540"/>
    </row>
    <row r="196" ht="15.75" customHeight="1">
      <c r="C196" s="206"/>
      <c r="E196" s="906"/>
      <c r="F196" s="195"/>
      <c r="G196" s="533"/>
      <c r="H196" s="534"/>
      <c r="I196" s="536"/>
      <c r="J196" s="537"/>
      <c r="K196" s="195"/>
      <c r="L196" s="533"/>
      <c r="O196" s="539"/>
      <c r="P196" s="540"/>
    </row>
    <row r="197" ht="15.75" customHeight="1">
      <c r="C197" s="206"/>
      <c r="E197" s="906"/>
      <c r="F197" s="195"/>
      <c r="G197" s="533"/>
      <c r="H197" s="534"/>
      <c r="I197" s="536"/>
      <c r="J197" s="537"/>
      <c r="K197" s="195"/>
      <c r="L197" s="533"/>
      <c r="O197" s="539"/>
      <c r="P197" s="540"/>
    </row>
    <row r="198" ht="15.75" customHeight="1">
      <c r="C198" s="206"/>
      <c r="E198" s="906"/>
      <c r="F198" s="195"/>
      <c r="G198" s="533"/>
      <c r="H198" s="534"/>
      <c r="I198" s="536"/>
      <c r="J198" s="537"/>
      <c r="K198" s="195"/>
      <c r="L198" s="533"/>
      <c r="O198" s="539"/>
      <c r="P198" s="540"/>
    </row>
    <row r="199" ht="15.75" customHeight="1">
      <c r="C199" s="206"/>
      <c r="E199" s="906"/>
      <c r="F199" s="195"/>
      <c r="G199" s="533"/>
      <c r="H199" s="534"/>
      <c r="I199" s="536"/>
      <c r="J199" s="537"/>
      <c r="K199" s="195"/>
      <c r="L199" s="533"/>
      <c r="O199" s="539"/>
      <c r="P199" s="540"/>
    </row>
    <row r="200" ht="15.75" customHeight="1">
      <c r="C200" s="206"/>
      <c r="E200" s="906"/>
      <c r="F200" s="195"/>
      <c r="G200" s="533"/>
      <c r="H200" s="534"/>
      <c r="I200" s="536"/>
      <c r="J200" s="537"/>
      <c r="K200" s="195"/>
      <c r="L200" s="533"/>
      <c r="O200" s="539"/>
      <c r="P200" s="540"/>
    </row>
    <row r="201" ht="15.75" customHeight="1">
      <c r="C201" s="206"/>
      <c r="E201" s="906"/>
      <c r="F201" s="195"/>
      <c r="G201" s="533"/>
      <c r="H201" s="534"/>
      <c r="I201" s="536"/>
      <c r="J201" s="537"/>
      <c r="K201" s="195"/>
      <c r="L201" s="533"/>
      <c r="O201" s="539"/>
      <c r="P201" s="540"/>
    </row>
    <row r="202" ht="15.75" customHeight="1">
      <c r="C202" s="206"/>
      <c r="E202" s="906"/>
      <c r="F202" s="195"/>
      <c r="G202" s="533"/>
      <c r="H202" s="534"/>
      <c r="I202" s="536"/>
      <c r="J202" s="537"/>
      <c r="K202" s="195"/>
      <c r="L202" s="533"/>
      <c r="O202" s="539"/>
      <c r="P202" s="540"/>
    </row>
    <row r="203" ht="15.75" customHeight="1">
      <c r="C203" s="206"/>
      <c r="E203" s="906"/>
      <c r="F203" s="195"/>
      <c r="G203" s="533"/>
      <c r="H203" s="534"/>
      <c r="I203" s="536"/>
      <c r="J203" s="537"/>
      <c r="K203" s="195"/>
      <c r="L203" s="533"/>
      <c r="O203" s="539"/>
      <c r="P203" s="540"/>
    </row>
    <row r="204" ht="15.75" customHeight="1">
      <c r="C204" s="206"/>
      <c r="E204" s="906"/>
      <c r="F204" s="195"/>
      <c r="G204" s="533"/>
      <c r="H204" s="534"/>
      <c r="I204" s="536"/>
      <c r="J204" s="537"/>
      <c r="K204" s="195"/>
      <c r="L204" s="533"/>
      <c r="O204" s="539"/>
      <c r="P204" s="540"/>
    </row>
    <row r="205" ht="15.75" customHeight="1">
      <c r="C205" s="206"/>
      <c r="E205" s="906"/>
      <c r="F205" s="195"/>
      <c r="G205" s="533"/>
      <c r="H205" s="534"/>
      <c r="I205" s="536"/>
      <c r="J205" s="537"/>
      <c r="K205" s="195"/>
      <c r="L205" s="533"/>
      <c r="O205" s="539"/>
      <c r="P205" s="540"/>
    </row>
    <row r="206" ht="15.75" customHeight="1">
      <c r="C206" s="206"/>
      <c r="E206" s="906"/>
      <c r="F206" s="195"/>
      <c r="G206" s="533"/>
      <c r="H206" s="534"/>
      <c r="I206" s="536"/>
      <c r="J206" s="537"/>
      <c r="K206" s="195"/>
      <c r="L206" s="533"/>
      <c r="O206" s="539"/>
      <c r="P206" s="540"/>
    </row>
    <row r="207" ht="15.75" customHeight="1">
      <c r="C207" s="206"/>
      <c r="E207" s="906"/>
      <c r="F207" s="195"/>
      <c r="G207" s="533"/>
      <c r="H207" s="534"/>
      <c r="I207" s="536"/>
      <c r="J207" s="537"/>
      <c r="K207" s="195"/>
      <c r="L207" s="533"/>
      <c r="O207" s="539"/>
      <c r="P207" s="540"/>
    </row>
    <row r="208" ht="15.75" customHeight="1">
      <c r="C208" s="206"/>
      <c r="E208" s="906"/>
      <c r="F208" s="195"/>
      <c r="G208" s="533"/>
      <c r="H208" s="534"/>
      <c r="I208" s="536"/>
      <c r="J208" s="537"/>
      <c r="K208" s="195"/>
      <c r="L208" s="533"/>
      <c r="O208" s="539"/>
      <c r="P208" s="540"/>
    </row>
    <row r="209" ht="15.75" customHeight="1">
      <c r="C209" s="206"/>
      <c r="E209" s="906"/>
      <c r="F209" s="195"/>
      <c r="G209" s="533"/>
      <c r="H209" s="534"/>
      <c r="I209" s="536"/>
      <c r="J209" s="537"/>
      <c r="K209" s="195"/>
      <c r="L209" s="533"/>
      <c r="O209" s="539"/>
      <c r="P209" s="540"/>
    </row>
    <row r="210" ht="15.75" customHeight="1">
      <c r="C210" s="206"/>
      <c r="E210" s="906"/>
      <c r="F210" s="195"/>
      <c r="G210" s="533"/>
      <c r="H210" s="534"/>
      <c r="I210" s="536"/>
      <c r="J210" s="537"/>
      <c r="K210" s="195"/>
      <c r="L210" s="533"/>
      <c r="O210" s="539"/>
      <c r="P210" s="540"/>
    </row>
    <row r="211" ht="15.75" customHeight="1">
      <c r="C211" s="206"/>
      <c r="E211" s="906"/>
      <c r="F211" s="195"/>
      <c r="G211" s="533"/>
      <c r="H211" s="534"/>
      <c r="I211" s="536"/>
      <c r="J211" s="537"/>
      <c r="K211" s="195"/>
      <c r="L211" s="533"/>
      <c r="O211" s="539"/>
      <c r="P211" s="540"/>
    </row>
    <row r="212" ht="15.75" customHeight="1">
      <c r="C212" s="206"/>
      <c r="E212" s="906"/>
      <c r="F212" s="195"/>
      <c r="G212" s="533"/>
      <c r="H212" s="534"/>
      <c r="I212" s="536"/>
      <c r="J212" s="537"/>
      <c r="K212" s="195"/>
      <c r="L212" s="533"/>
      <c r="O212" s="539"/>
      <c r="P212" s="540"/>
    </row>
    <row r="213" ht="15.75" customHeight="1">
      <c r="C213" s="206"/>
      <c r="E213" s="906"/>
      <c r="F213" s="195"/>
      <c r="G213" s="533"/>
      <c r="H213" s="534"/>
      <c r="I213" s="536"/>
      <c r="J213" s="537"/>
      <c r="K213" s="195"/>
      <c r="L213" s="533"/>
      <c r="O213" s="539"/>
      <c r="P213" s="540"/>
    </row>
    <row r="214" ht="15.75" customHeight="1">
      <c r="C214" s="206"/>
      <c r="E214" s="906"/>
      <c r="F214" s="195"/>
      <c r="G214" s="533"/>
      <c r="H214" s="534"/>
      <c r="I214" s="536"/>
      <c r="J214" s="537"/>
      <c r="K214" s="195"/>
      <c r="L214" s="533"/>
      <c r="O214" s="539"/>
      <c r="P214" s="540"/>
    </row>
    <row r="215" ht="15.75" customHeight="1">
      <c r="C215" s="206"/>
      <c r="E215" s="906"/>
      <c r="F215" s="195"/>
      <c r="G215" s="533"/>
      <c r="H215" s="534"/>
      <c r="I215" s="536"/>
      <c r="J215" s="537"/>
      <c r="K215" s="195"/>
      <c r="L215" s="533"/>
      <c r="O215" s="539"/>
      <c r="P215" s="540"/>
    </row>
    <row r="216" ht="15.75" customHeight="1">
      <c r="C216" s="206"/>
      <c r="E216" s="906"/>
      <c r="F216" s="195"/>
      <c r="G216" s="533"/>
      <c r="H216" s="534"/>
      <c r="I216" s="536"/>
      <c r="J216" s="537"/>
      <c r="K216" s="195"/>
      <c r="L216" s="533"/>
      <c r="O216" s="539"/>
      <c r="P216" s="540"/>
    </row>
    <row r="217" ht="15.75" customHeight="1">
      <c r="C217" s="206"/>
      <c r="E217" s="906"/>
      <c r="F217" s="195"/>
      <c r="G217" s="533"/>
      <c r="H217" s="534"/>
      <c r="I217" s="536"/>
      <c r="J217" s="537"/>
      <c r="K217" s="195"/>
      <c r="L217" s="533"/>
      <c r="O217" s="539"/>
      <c r="P217" s="540"/>
    </row>
    <row r="218" ht="15.75" customHeight="1">
      <c r="C218" s="206"/>
      <c r="E218" s="906"/>
      <c r="F218" s="195"/>
      <c r="G218" s="533"/>
      <c r="H218" s="534"/>
      <c r="I218" s="536"/>
      <c r="J218" s="537"/>
      <c r="K218" s="195"/>
      <c r="L218" s="533"/>
      <c r="O218" s="539"/>
      <c r="P218" s="540"/>
    </row>
    <row r="219" ht="15.75" customHeight="1">
      <c r="C219" s="206"/>
      <c r="E219" s="906"/>
      <c r="F219" s="195"/>
      <c r="G219" s="533"/>
      <c r="H219" s="534"/>
      <c r="I219" s="536"/>
      <c r="J219" s="537"/>
      <c r="K219" s="195"/>
      <c r="L219" s="533"/>
      <c r="O219" s="539"/>
      <c r="P219" s="540"/>
    </row>
    <row r="220" ht="15.75" customHeight="1">
      <c r="C220" s="206"/>
      <c r="E220" s="906"/>
      <c r="F220" s="195"/>
      <c r="G220" s="533"/>
      <c r="H220" s="534"/>
      <c r="I220" s="536"/>
      <c r="J220" s="537"/>
      <c r="K220" s="195"/>
      <c r="L220" s="533"/>
      <c r="O220" s="539"/>
      <c r="P220" s="540"/>
    </row>
    <row r="221" ht="15.75" customHeight="1">
      <c r="C221" s="206"/>
      <c r="E221" s="906"/>
      <c r="F221" s="195"/>
      <c r="G221" s="533"/>
      <c r="H221" s="534"/>
      <c r="I221" s="536"/>
      <c r="J221" s="537"/>
      <c r="K221" s="195"/>
      <c r="L221" s="533"/>
      <c r="O221" s="539"/>
      <c r="P221" s="540"/>
    </row>
    <row r="222" ht="15.75" customHeight="1">
      <c r="C222" s="206"/>
      <c r="E222" s="906"/>
      <c r="F222" s="195"/>
      <c r="G222" s="533"/>
      <c r="H222" s="534"/>
      <c r="I222" s="536"/>
      <c r="J222" s="537"/>
      <c r="K222" s="195"/>
      <c r="L222" s="533"/>
      <c r="O222" s="539"/>
      <c r="P222" s="540"/>
    </row>
    <row r="223" ht="15.75" customHeight="1">
      <c r="C223" s="206"/>
      <c r="E223" s="906"/>
      <c r="F223" s="195"/>
      <c r="G223" s="533"/>
      <c r="H223" s="534"/>
      <c r="I223" s="536"/>
      <c r="J223" s="537"/>
      <c r="K223" s="195"/>
      <c r="L223" s="533"/>
      <c r="O223" s="539"/>
      <c r="P223" s="540"/>
    </row>
    <row r="224" ht="15.75" customHeight="1">
      <c r="C224" s="206"/>
      <c r="E224" s="906"/>
      <c r="F224" s="195"/>
      <c r="G224" s="533"/>
      <c r="H224" s="534"/>
      <c r="I224" s="536"/>
      <c r="J224" s="537"/>
      <c r="K224" s="195"/>
      <c r="L224" s="533"/>
      <c r="O224" s="539"/>
      <c r="P224" s="540"/>
    </row>
    <row r="225" ht="15.75" customHeight="1">
      <c r="C225" s="206"/>
      <c r="E225" s="906"/>
      <c r="F225" s="195"/>
      <c r="G225" s="533"/>
      <c r="H225" s="534"/>
      <c r="I225" s="536"/>
      <c r="J225" s="537"/>
      <c r="K225" s="195"/>
      <c r="L225" s="533"/>
      <c r="O225" s="539"/>
      <c r="P225" s="540"/>
    </row>
    <row r="226" ht="15.75" customHeight="1">
      <c r="C226" s="206"/>
      <c r="E226" s="906"/>
      <c r="F226" s="195"/>
      <c r="G226" s="533"/>
      <c r="H226" s="534"/>
      <c r="I226" s="536"/>
      <c r="J226" s="537"/>
      <c r="K226" s="195"/>
      <c r="L226" s="533"/>
      <c r="O226" s="539"/>
      <c r="P226" s="540"/>
    </row>
    <row r="227" ht="15.75" customHeight="1">
      <c r="C227" s="206"/>
      <c r="E227" s="906"/>
      <c r="F227" s="195"/>
      <c r="G227" s="533"/>
      <c r="H227" s="534"/>
      <c r="I227" s="536"/>
      <c r="J227" s="537"/>
      <c r="K227" s="195"/>
      <c r="L227" s="533"/>
      <c r="O227" s="539"/>
      <c r="P227" s="540"/>
    </row>
    <row r="228" ht="15.75" customHeight="1">
      <c r="C228" s="206"/>
      <c r="E228" s="906"/>
      <c r="F228" s="195"/>
      <c r="G228" s="533"/>
      <c r="H228" s="534"/>
      <c r="I228" s="536"/>
      <c r="J228" s="537"/>
      <c r="K228" s="195"/>
      <c r="L228" s="533"/>
      <c r="O228" s="539"/>
      <c r="P228" s="540"/>
    </row>
    <row r="229" ht="15.75" customHeight="1">
      <c r="C229" s="206"/>
      <c r="E229" s="906"/>
      <c r="F229" s="195"/>
      <c r="G229" s="533"/>
      <c r="H229" s="534"/>
      <c r="I229" s="536"/>
      <c r="J229" s="537"/>
      <c r="K229" s="195"/>
      <c r="L229" s="533"/>
      <c r="O229" s="539"/>
      <c r="P229" s="540"/>
    </row>
    <row r="230" ht="15.75" customHeight="1">
      <c r="C230" s="206"/>
      <c r="E230" s="906"/>
      <c r="F230" s="195"/>
      <c r="G230" s="533"/>
      <c r="H230" s="534"/>
      <c r="I230" s="536"/>
      <c r="J230" s="537"/>
      <c r="K230" s="195"/>
      <c r="L230" s="533"/>
      <c r="O230" s="539"/>
      <c r="P230" s="540"/>
    </row>
    <row r="231" ht="15.75" customHeight="1">
      <c r="C231" s="206"/>
      <c r="E231" s="906"/>
      <c r="F231" s="195"/>
      <c r="G231" s="533"/>
      <c r="H231" s="534"/>
      <c r="I231" s="536"/>
      <c r="J231" s="537"/>
      <c r="K231" s="195"/>
      <c r="L231" s="533"/>
      <c r="O231" s="539"/>
      <c r="P231" s="540"/>
    </row>
    <row r="232" ht="15.75" customHeight="1">
      <c r="C232" s="206"/>
      <c r="E232" s="906"/>
      <c r="F232" s="195"/>
      <c r="G232" s="533"/>
      <c r="H232" s="534"/>
      <c r="I232" s="536"/>
      <c r="J232" s="537"/>
      <c r="K232" s="195"/>
      <c r="L232" s="533"/>
      <c r="O232" s="539"/>
      <c r="P232" s="540"/>
    </row>
    <row r="233" ht="15.75" customHeight="1">
      <c r="C233" s="206"/>
      <c r="E233" s="906"/>
      <c r="F233" s="195"/>
      <c r="G233" s="533"/>
      <c r="H233" s="534"/>
      <c r="I233" s="536"/>
      <c r="J233" s="537"/>
      <c r="K233" s="195"/>
      <c r="L233" s="533"/>
      <c r="O233" s="539"/>
      <c r="P233" s="540"/>
    </row>
    <row r="234" ht="15.75" customHeight="1">
      <c r="C234" s="206"/>
      <c r="E234" s="906"/>
      <c r="F234" s="195"/>
      <c r="G234" s="533"/>
      <c r="H234" s="534"/>
      <c r="I234" s="536"/>
      <c r="J234" s="537"/>
      <c r="K234" s="195"/>
      <c r="L234" s="533"/>
      <c r="O234" s="539"/>
      <c r="P234" s="540"/>
    </row>
    <row r="235" ht="15.75" customHeight="1">
      <c r="C235" s="206"/>
      <c r="E235" s="906"/>
      <c r="F235" s="195"/>
      <c r="G235" s="533"/>
      <c r="H235" s="534"/>
      <c r="I235" s="536"/>
      <c r="J235" s="537"/>
      <c r="K235" s="195"/>
      <c r="L235" s="533"/>
      <c r="O235" s="539"/>
      <c r="P235" s="540"/>
    </row>
    <row r="236" ht="15.75" customHeight="1">
      <c r="C236" s="206"/>
      <c r="E236" s="906"/>
      <c r="F236" s="195"/>
      <c r="G236" s="533"/>
      <c r="H236" s="534"/>
      <c r="I236" s="536"/>
      <c r="J236" s="537"/>
      <c r="K236" s="195"/>
      <c r="L236" s="533"/>
      <c r="O236" s="539"/>
      <c r="P236" s="540"/>
    </row>
    <row r="237" ht="15.75" customHeight="1">
      <c r="C237" s="206"/>
      <c r="E237" s="906"/>
      <c r="F237" s="195"/>
      <c r="G237" s="533"/>
      <c r="H237" s="534"/>
      <c r="I237" s="536"/>
      <c r="J237" s="537"/>
      <c r="K237" s="195"/>
      <c r="L237" s="533"/>
      <c r="O237" s="539"/>
      <c r="P237" s="540"/>
    </row>
    <row r="238" ht="15.75" customHeight="1">
      <c r="C238" s="206"/>
      <c r="E238" s="906"/>
      <c r="F238" s="195"/>
      <c r="G238" s="533"/>
      <c r="H238" s="534"/>
      <c r="I238" s="536"/>
      <c r="J238" s="537"/>
      <c r="K238" s="195"/>
      <c r="L238" s="533"/>
      <c r="O238" s="539"/>
      <c r="P238" s="540"/>
    </row>
    <row r="239" ht="15.75" customHeight="1">
      <c r="C239" s="206"/>
      <c r="E239" s="906"/>
      <c r="F239" s="195"/>
      <c r="G239" s="533"/>
      <c r="H239" s="534"/>
      <c r="I239" s="536"/>
      <c r="J239" s="537"/>
      <c r="K239" s="195"/>
      <c r="L239" s="533"/>
      <c r="O239" s="539"/>
      <c r="P239" s="540"/>
    </row>
    <row r="240" ht="15.75" customHeight="1">
      <c r="C240" s="206"/>
      <c r="E240" s="906"/>
      <c r="F240" s="195"/>
      <c r="G240" s="533"/>
      <c r="H240" s="534"/>
      <c r="I240" s="536"/>
      <c r="J240" s="537"/>
      <c r="K240" s="195"/>
      <c r="L240" s="533"/>
      <c r="O240" s="539"/>
      <c r="P240" s="540"/>
    </row>
    <row r="241" ht="15.75" customHeight="1">
      <c r="C241" s="206"/>
      <c r="E241" s="906"/>
      <c r="F241" s="195"/>
      <c r="G241" s="533"/>
      <c r="H241" s="534"/>
      <c r="I241" s="536"/>
      <c r="J241" s="537"/>
      <c r="K241" s="195"/>
      <c r="L241" s="533"/>
      <c r="O241" s="539"/>
      <c r="P241" s="540"/>
    </row>
    <row r="242" ht="15.75" customHeight="1">
      <c r="C242" s="206"/>
      <c r="E242" s="906"/>
      <c r="F242" s="195"/>
      <c r="G242" s="533"/>
      <c r="H242" s="534"/>
      <c r="I242" s="536"/>
      <c r="J242" s="537"/>
      <c r="K242" s="195"/>
      <c r="L242" s="533"/>
      <c r="O242" s="539"/>
      <c r="P242" s="540"/>
    </row>
    <row r="243" ht="15.75" customHeight="1">
      <c r="C243" s="206"/>
      <c r="E243" s="906"/>
      <c r="F243" s="195"/>
      <c r="G243" s="533"/>
      <c r="H243" s="534"/>
      <c r="I243" s="536"/>
      <c r="J243" s="537"/>
      <c r="K243" s="195"/>
      <c r="L243" s="533"/>
      <c r="O243" s="539"/>
      <c r="P243" s="540"/>
    </row>
    <row r="244" ht="15.75" customHeight="1">
      <c r="C244" s="206"/>
      <c r="E244" s="906"/>
      <c r="F244" s="195"/>
      <c r="G244" s="533"/>
      <c r="H244" s="534"/>
      <c r="I244" s="536"/>
      <c r="J244" s="537"/>
      <c r="K244" s="195"/>
      <c r="L244" s="533"/>
      <c r="O244" s="539"/>
      <c r="P244" s="540"/>
    </row>
    <row r="245" ht="15.75" customHeight="1">
      <c r="C245" s="206"/>
      <c r="E245" s="906"/>
      <c r="F245" s="195"/>
      <c r="G245" s="533"/>
      <c r="H245" s="534"/>
      <c r="I245" s="536"/>
      <c r="J245" s="537"/>
      <c r="K245" s="195"/>
      <c r="L245" s="533"/>
      <c r="O245" s="539"/>
      <c r="P245" s="540"/>
    </row>
    <row r="246" ht="15.75" customHeight="1">
      <c r="C246" s="206"/>
      <c r="E246" s="906"/>
      <c r="F246" s="195"/>
      <c r="G246" s="533"/>
      <c r="H246" s="534"/>
      <c r="I246" s="536"/>
      <c r="J246" s="537"/>
      <c r="K246" s="195"/>
      <c r="L246" s="533"/>
      <c r="O246" s="539"/>
      <c r="P246" s="540"/>
    </row>
    <row r="247" ht="15.75" customHeight="1">
      <c r="C247" s="206"/>
      <c r="E247" s="906"/>
      <c r="F247" s="195"/>
      <c r="G247" s="533"/>
      <c r="H247" s="534"/>
      <c r="I247" s="536"/>
      <c r="J247" s="537"/>
      <c r="K247" s="195"/>
      <c r="L247" s="533"/>
      <c r="O247" s="539"/>
      <c r="P247" s="540"/>
    </row>
    <row r="248" ht="15.75" customHeight="1">
      <c r="C248" s="206"/>
      <c r="E248" s="906"/>
      <c r="F248" s="195"/>
      <c r="G248" s="533"/>
      <c r="H248" s="534"/>
      <c r="I248" s="536"/>
      <c r="J248" s="537"/>
      <c r="K248" s="195"/>
      <c r="L248" s="533"/>
      <c r="O248" s="539"/>
      <c r="P248" s="540"/>
    </row>
    <row r="249" ht="15.75" customHeight="1">
      <c r="C249" s="206"/>
      <c r="E249" s="906"/>
      <c r="F249" s="195"/>
      <c r="G249" s="533"/>
      <c r="H249" s="534"/>
      <c r="I249" s="536"/>
      <c r="J249" s="537"/>
      <c r="K249" s="195"/>
      <c r="L249" s="533"/>
      <c r="O249" s="539"/>
      <c r="P249" s="540"/>
    </row>
    <row r="250" ht="15.75" customHeight="1">
      <c r="C250" s="206"/>
      <c r="E250" s="906"/>
      <c r="F250" s="195"/>
      <c r="G250" s="533"/>
      <c r="H250" s="534"/>
      <c r="I250" s="536"/>
      <c r="J250" s="537"/>
      <c r="K250" s="195"/>
      <c r="L250" s="533"/>
      <c r="O250" s="539"/>
      <c r="P250" s="540"/>
    </row>
    <row r="251" ht="15.75" customHeight="1">
      <c r="C251" s="206"/>
      <c r="E251" s="906"/>
      <c r="F251" s="195"/>
      <c r="G251" s="533"/>
      <c r="H251" s="534"/>
      <c r="I251" s="536"/>
      <c r="J251" s="537"/>
      <c r="K251" s="195"/>
      <c r="L251" s="533"/>
      <c r="O251" s="539"/>
      <c r="P251" s="540"/>
    </row>
    <row r="252" ht="15.75" customHeight="1">
      <c r="C252" s="206"/>
      <c r="E252" s="906"/>
      <c r="F252" s="195"/>
      <c r="G252" s="533"/>
      <c r="H252" s="534"/>
      <c r="I252" s="536"/>
      <c r="J252" s="537"/>
      <c r="K252" s="195"/>
      <c r="L252" s="533"/>
      <c r="O252" s="539"/>
      <c r="P252" s="540"/>
    </row>
    <row r="253" ht="15.75" customHeight="1">
      <c r="C253" s="206"/>
      <c r="E253" s="906"/>
      <c r="F253" s="195"/>
      <c r="G253" s="533"/>
      <c r="H253" s="534"/>
      <c r="I253" s="536"/>
      <c r="J253" s="537"/>
      <c r="K253" s="195"/>
      <c r="L253" s="533"/>
      <c r="O253" s="539"/>
      <c r="P253" s="540"/>
    </row>
    <row r="254" ht="15.75" customHeight="1">
      <c r="C254" s="206"/>
      <c r="E254" s="906"/>
      <c r="F254" s="195"/>
      <c r="G254" s="533"/>
      <c r="H254" s="534"/>
      <c r="I254" s="536"/>
      <c r="J254" s="537"/>
      <c r="K254" s="195"/>
      <c r="L254" s="533"/>
      <c r="O254" s="539"/>
      <c r="P254" s="540"/>
    </row>
    <row r="255" ht="15.75" customHeight="1">
      <c r="C255" s="206"/>
      <c r="E255" s="906"/>
      <c r="F255" s="195"/>
      <c r="G255" s="533"/>
      <c r="H255" s="534"/>
      <c r="I255" s="536"/>
      <c r="J255" s="537"/>
      <c r="K255" s="195"/>
      <c r="L255" s="533"/>
      <c r="O255" s="539"/>
      <c r="P255" s="540"/>
    </row>
    <row r="256" ht="15.75" customHeight="1">
      <c r="C256" s="206"/>
      <c r="E256" s="906"/>
      <c r="F256" s="195"/>
      <c r="G256" s="533"/>
      <c r="H256" s="534"/>
      <c r="I256" s="536"/>
      <c r="J256" s="537"/>
      <c r="K256" s="195"/>
      <c r="L256" s="533"/>
      <c r="O256" s="539"/>
      <c r="P256" s="540"/>
    </row>
    <row r="257" ht="15.75" customHeight="1">
      <c r="C257" s="206"/>
      <c r="E257" s="906"/>
      <c r="F257" s="195"/>
      <c r="G257" s="533"/>
      <c r="H257" s="534"/>
      <c r="I257" s="536"/>
      <c r="J257" s="537"/>
      <c r="K257" s="195"/>
      <c r="L257" s="533"/>
      <c r="O257" s="539"/>
      <c r="P257" s="540"/>
    </row>
    <row r="258" ht="15.75" customHeight="1">
      <c r="C258" s="206"/>
      <c r="E258" s="906"/>
      <c r="F258" s="195"/>
      <c r="G258" s="533"/>
      <c r="H258" s="534"/>
      <c r="I258" s="536"/>
      <c r="J258" s="537"/>
      <c r="K258" s="195"/>
      <c r="L258" s="533"/>
      <c r="O258" s="539"/>
      <c r="P258" s="540"/>
    </row>
    <row r="259" ht="15.75" customHeight="1">
      <c r="C259" s="206"/>
      <c r="E259" s="906"/>
      <c r="F259" s="195"/>
      <c r="G259" s="533"/>
      <c r="H259" s="534"/>
      <c r="I259" s="536"/>
      <c r="J259" s="537"/>
      <c r="K259" s="195"/>
      <c r="L259" s="533"/>
      <c r="O259" s="539"/>
      <c r="P259" s="540"/>
    </row>
    <row r="260" ht="15.75" customHeight="1">
      <c r="C260" s="206"/>
      <c r="E260" s="906"/>
      <c r="F260" s="195"/>
      <c r="G260" s="533"/>
      <c r="H260" s="534"/>
      <c r="I260" s="536"/>
      <c r="J260" s="537"/>
      <c r="K260" s="195"/>
      <c r="L260" s="533"/>
      <c r="O260" s="539"/>
      <c r="P260" s="540"/>
    </row>
    <row r="261" ht="15.75" customHeight="1">
      <c r="C261" s="206"/>
      <c r="E261" s="906"/>
      <c r="F261" s="195"/>
      <c r="G261" s="533"/>
      <c r="H261" s="534"/>
      <c r="I261" s="536"/>
      <c r="J261" s="537"/>
      <c r="K261" s="195"/>
      <c r="L261" s="533"/>
      <c r="O261" s="539"/>
      <c r="P261" s="540"/>
    </row>
    <row r="262" ht="15.75" customHeight="1">
      <c r="C262" s="206"/>
      <c r="E262" s="906"/>
      <c r="F262" s="195"/>
      <c r="G262" s="533"/>
      <c r="H262" s="534"/>
      <c r="I262" s="536"/>
      <c r="J262" s="537"/>
      <c r="K262" s="195"/>
      <c r="L262" s="533"/>
      <c r="O262" s="539"/>
      <c r="P262" s="540"/>
    </row>
    <row r="263" ht="15.75" customHeight="1">
      <c r="C263" s="206"/>
      <c r="E263" s="906"/>
      <c r="F263" s="195"/>
      <c r="G263" s="533"/>
      <c r="H263" s="534"/>
      <c r="I263" s="536"/>
      <c r="J263" s="537"/>
      <c r="K263" s="195"/>
      <c r="L263" s="533"/>
      <c r="O263" s="539"/>
      <c r="P263" s="540"/>
    </row>
    <row r="264" ht="15.75" customHeight="1">
      <c r="C264" s="206"/>
      <c r="E264" s="906"/>
      <c r="F264" s="195"/>
      <c r="G264" s="533"/>
      <c r="H264" s="534"/>
      <c r="I264" s="536"/>
      <c r="J264" s="537"/>
      <c r="K264" s="195"/>
      <c r="L264" s="533"/>
      <c r="O264" s="539"/>
      <c r="P264" s="540"/>
    </row>
    <row r="265" ht="15.75" customHeight="1">
      <c r="C265" s="206"/>
      <c r="E265" s="906"/>
      <c r="F265" s="195"/>
      <c r="G265" s="533"/>
      <c r="H265" s="534"/>
      <c r="I265" s="536"/>
      <c r="J265" s="537"/>
      <c r="K265" s="195"/>
      <c r="L265" s="533"/>
      <c r="O265" s="539"/>
      <c r="P265" s="540"/>
    </row>
    <row r="266" ht="15.75" customHeight="1">
      <c r="C266" s="206"/>
      <c r="E266" s="906"/>
      <c r="F266" s="195"/>
      <c r="G266" s="533"/>
      <c r="H266" s="534"/>
      <c r="I266" s="536"/>
      <c r="J266" s="537"/>
      <c r="K266" s="195"/>
      <c r="L266" s="533"/>
      <c r="O266" s="539"/>
      <c r="P266" s="540"/>
    </row>
    <row r="267" ht="15.75" customHeight="1">
      <c r="C267" s="206"/>
      <c r="E267" s="906"/>
      <c r="F267" s="195"/>
      <c r="G267" s="533"/>
      <c r="H267" s="534"/>
      <c r="I267" s="536"/>
      <c r="J267" s="537"/>
      <c r="K267" s="195"/>
      <c r="L267" s="533"/>
      <c r="O267" s="539"/>
      <c r="P267" s="540"/>
    </row>
    <row r="268" ht="15.75" customHeight="1">
      <c r="C268" s="206"/>
      <c r="E268" s="906"/>
      <c r="F268" s="195"/>
      <c r="G268" s="533"/>
      <c r="H268" s="534"/>
      <c r="I268" s="536"/>
      <c r="J268" s="537"/>
      <c r="K268" s="195"/>
      <c r="L268" s="533"/>
      <c r="O268" s="539"/>
      <c r="P268" s="540"/>
    </row>
    <row r="269" ht="15.75" customHeight="1">
      <c r="C269" s="206"/>
      <c r="E269" s="906"/>
      <c r="F269" s="195"/>
      <c r="G269" s="533"/>
      <c r="H269" s="534"/>
      <c r="I269" s="536"/>
      <c r="J269" s="537"/>
      <c r="K269" s="195"/>
      <c r="L269" s="533"/>
      <c r="O269" s="539"/>
      <c r="P269" s="540"/>
    </row>
    <row r="270" ht="15.75" customHeight="1">
      <c r="C270" s="206"/>
      <c r="E270" s="906"/>
      <c r="F270" s="195"/>
      <c r="G270" s="533"/>
      <c r="H270" s="534"/>
      <c r="I270" s="536"/>
      <c r="J270" s="537"/>
      <c r="K270" s="195"/>
      <c r="L270" s="533"/>
      <c r="O270" s="539"/>
      <c r="P270" s="540"/>
    </row>
    <row r="271" ht="15.75" customHeight="1">
      <c r="C271" s="206"/>
      <c r="E271" s="906"/>
      <c r="F271" s="195"/>
      <c r="G271" s="533"/>
      <c r="H271" s="534"/>
      <c r="I271" s="536"/>
      <c r="J271" s="537"/>
      <c r="K271" s="195"/>
      <c r="L271" s="533"/>
      <c r="O271" s="539"/>
      <c r="P271" s="540"/>
    </row>
    <row r="272" ht="15.75" customHeight="1">
      <c r="C272" s="206"/>
      <c r="E272" s="906"/>
      <c r="F272" s="195"/>
      <c r="G272" s="533"/>
      <c r="H272" s="534"/>
      <c r="I272" s="536"/>
      <c r="J272" s="537"/>
      <c r="K272" s="195"/>
      <c r="L272" s="533"/>
      <c r="O272" s="539"/>
      <c r="P272" s="540"/>
    </row>
    <row r="273" ht="15.75" customHeight="1">
      <c r="C273" s="206"/>
      <c r="E273" s="906"/>
      <c r="F273" s="195"/>
      <c r="G273" s="533"/>
      <c r="H273" s="534"/>
      <c r="I273" s="536"/>
      <c r="J273" s="537"/>
      <c r="K273" s="195"/>
      <c r="L273" s="533"/>
      <c r="O273" s="539"/>
      <c r="P273" s="540"/>
    </row>
    <row r="274" ht="15.75" customHeight="1">
      <c r="C274" s="206"/>
      <c r="E274" s="906"/>
      <c r="F274" s="195"/>
      <c r="G274" s="533"/>
      <c r="H274" s="534"/>
      <c r="I274" s="536"/>
      <c r="J274" s="537"/>
      <c r="K274" s="195"/>
      <c r="L274" s="533"/>
      <c r="O274" s="539"/>
      <c r="P274" s="540"/>
    </row>
    <row r="275" ht="15.75" customHeight="1">
      <c r="C275" s="206"/>
      <c r="E275" s="906"/>
      <c r="F275" s="195"/>
      <c r="G275" s="533"/>
      <c r="H275" s="534"/>
      <c r="I275" s="536"/>
      <c r="J275" s="537"/>
      <c r="K275" s="195"/>
      <c r="L275" s="533"/>
      <c r="O275" s="539"/>
      <c r="P275" s="540"/>
    </row>
    <row r="276" ht="15.75" customHeight="1">
      <c r="C276" s="206"/>
      <c r="E276" s="906"/>
      <c r="F276" s="195"/>
      <c r="G276" s="533"/>
      <c r="H276" s="534"/>
      <c r="I276" s="536"/>
      <c r="J276" s="537"/>
      <c r="K276" s="195"/>
      <c r="L276" s="533"/>
      <c r="O276" s="539"/>
      <c r="P276" s="540"/>
    </row>
    <row r="277" ht="15.75" customHeight="1">
      <c r="C277" s="206"/>
      <c r="E277" s="906"/>
      <c r="F277" s="195"/>
      <c r="G277" s="533"/>
      <c r="H277" s="534"/>
      <c r="I277" s="536"/>
      <c r="J277" s="537"/>
      <c r="K277" s="195"/>
      <c r="L277" s="533"/>
      <c r="O277" s="539"/>
      <c r="P277" s="540"/>
    </row>
    <row r="278" ht="15.75" customHeight="1">
      <c r="C278" s="206"/>
      <c r="E278" s="906"/>
      <c r="F278" s="195"/>
      <c r="G278" s="533"/>
      <c r="H278" s="534"/>
      <c r="I278" s="536"/>
      <c r="J278" s="537"/>
      <c r="K278" s="195"/>
      <c r="L278" s="533"/>
      <c r="O278" s="539"/>
      <c r="P278" s="540"/>
    </row>
    <row r="279" ht="15.75" customHeight="1">
      <c r="C279" s="206"/>
      <c r="E279" s="906"/>
      <c r="F279" s="195"/>
      <c r="G279" s="533"/>
      <c r="H279" s="534"/>
      <c r="I279" s="536"/>
      <c r="J279" s="537"/>
      <c r="K279" s="195"/>
      <c r="L279" s="533"/>
      <c r="O279" s="539"/>
      <c r="P279" s="540"/>
    </row>
    <row r="280" ht="15.75" customHeight="1">
      <c r="C280" s="206"/>
      <c r="E280" s="906"/>
      <c r="F280" s="195"/>
      <c r="G280" s="533"/>
      <c r="H280" s="534"/>
      <c r="I280" s="536"/>
      <c r="J280" s="537"/>
      <c r="K280" s="195"/>
      <c r="L280" s="533"/>
      <c r="O280" s="539"/>
      <c r="P280" s="540"/>
    </row>
    <row r="281" ht="15.75" customHeight="1">
      <c r="C281" s="206"/>
      <c r="E281" s="906"/>
      <c r="F281" s="195"/>
      <c r="G281" s="533"/>
      <c r="H281" s="534"/>
      <c r="I281" s="536"/>
      <c r="J281" s="537"/>
      <c r="K281" s="195"/>
      <c r="L281" s="533"/>
      <c r="O281" s="539"/>
      <c r="P281" s="540"/>
    </row>
    <row r="282" ht="15.75" customHeight="1">
      <c r="C282" s="206"/>
      <c r="E282" s="906"/>
      <c r="F282" s="195"/>
      <c r="G282" s="533"/>
      <c r="H282" s="534"/>
      <c r="I282" s="536"/>
      <c r="J282" s="537"/>
      <c r="K282" s="195"/>
      <c r="L282" s="533"/>
      <c r="O282" s="539"/>
      <c r="P282" s="540"/>
    </row>
    <row r="283" ht="15.75" customHeight="1">
      <c r="C283" s="206"/>
      <c r="E283" s="906"/>
      <c r="F283" s="195"/>
      <c r="G283" s="533"/>
      <c r="H283" s="534"/>
      <c r="I283" s="536"/>
      <c r="J283" s="537"/>
      <c r="K283" s="195"/>
      <c r="L283" s="533"/>
      <c r="O283" s="539"/>
      <c r="P283" s="540"/>
    </row>
    <row r="284" ht="15.75" customHeight="1">
      <c r="C284" s="206"/>
      <c r="E284" s="906"/>
      <c r="F284" s="195"/>
      <c r="G284" s="533"/>
      <c r="H284" s="534"/>
      <c r="I284" s="536"/>
      <c r="J284" s="537"/>
      <c r="K284" s="195"/>
      <c r="L284" s="533"/>
      <c r="O284" s="539"/>
      <c r="P284" s="540"/>
    </row>
    <row r="285" ht="15.75" customHeight="1">
      <c r="C285" s="206"/>
      <c r="E285" s="906"/>
      <c r="F285" s="195"/>
      <c r="G285" s="533"/>
      <c r="H285" s="534"/>
      <c r="I285" s="536"/>
      <c r="J285" s="537"/>
      <c r="K285" s="195"/>
      <c r="L285" s="533"/>
      <c r="O285" s="539"/>
      <c r="P285" s="540"/>
    </row>
    <row r="286" ht="15.75" customHeight="1">
      <c r="C286" s="206"/>
      <c r="E286" s="906"/>
      <c r="F286" s="195"/>
      <c r="G286" s="533"/>
      <c r="H286" s="534"/>
      <c r="I286" s="536"/>
      <c r="J286" s="537"/>
      <c r="K286" s="195"/>
      <c r="L286" s="533"/>
      <c r="O286" s="539"/>
      <c r="P286" s="540"/>
    </row>
    <row r="287" ht="15.75" customHeight="1">
      <c r="C287" s="206"/>
      <c r="E287" s="906"/>
      <c r="F287" s="195"/>
      <c r="G287" s="533"/>
      <c r="H287" s="534"/>
      <c r="I287" s="536"/>
      <c r="J287" s="537"/>
      <c r="K287" s="195"/>
      <c r="L287" s="533"/>
      <c r="O287" s="539"/>
      <c r="P287" s="540"/>
    </row>
    <row r="288" ht="15.75" customHeight="1">
      <c r="C288" s="206"/>
      <c r="E288" s="906"/>
      <c r="F288" s="195"/>
      <c r="G288" s="533"/>
      <c r="H288" s="534"/>
      <c r="I288" s="536"/>
      <c r="J288" s="537"/>
      <c r="K288" s="195"/>
      <c r="L288" s="533"/>
      <c r="O288" s="539"/>
      <c r="P288" s="533"/>
    </row>
    <row r="289" ht="15.75" customHeight="1">
      <c r="C289" s="206"/>
      <c r="E289" s="906"/>
      <c r="F289" s="195"/>
      <c r="G289" s="533"/>
      <c r="H289" s="534"/>
      <c r="I289" s="536"/>
      <c r="J289" s="537"/>
      <c r="K289" s="195"/>
      <c r="L289" s="533"/>
      <c r="O289" s="539"/>
      <c r="P289" s="533"/>
    </row>
    <row r="290" ht="15.75" customHeight="1">
      <c r="C290" s="206"/>
      <c r="E290" s="906"/>
      <c r="F290" s="195"/>
      <c r="G290" s="533"/>
      <c r="H290" s="534"/>
      <c r="I290" s="536"/>
      <c r="J290" s="537"/>
      <c r="K290" s="195"/>
      <c r="L290" s="533"/>
      <c r="O290" s="539"/>
      <c r="P290" s="533"/>
    </row>
    <row r="291" ht="15.75" customHeight="1">
      <c r="C291" s="206"/>
      <c r="E291" s="906"/>
      <c r="F291" s="195"/>
      <c r="G291" s="533"/>
      <c r="H291" s="534"/>
      <c r="I291" s="536"/>
      <c r="J291" s="537"/>
      <c r="K291" s="195"/>
      <c r="L291" s="533"/>
      <c r="O291" s="539"/>
      <c r="P291" s="533"/>
    </row>
    <row r="292" ht="15.75" customHeight="1">
      <c r="C292" s="206"/>
      <c r="E292" s="906"/>
      <c r="F292" s="195"/>
      <c r="G292" s="533"/>
      <c r="H292" s="534"/>
      <c r="I292" s="536"/>
      <c r="J292" s="537"/>
      <c r="K292" s="195"/>
      <c r="L292" s="533"/>
      <c r="O292" s="539"/>
      <c r="P292" s="533"/>
    </row>
    <row r="293" ht="15.75" customHeight="1">
      <c r="C293" s="206"/>
      <c r="E293" s="906"/>
      <c r="F293" s="195"/>
      <c r="G293" s="533"/>
      <c r="H293" s="534"/>
      <c r="I293" s="536"/>
      <c r="J293" s="537"/>
      <c r="K293" s="195"/>
      <c r="L293" s="533"/>
      <c r="O293" s="539"/>
      <c r="P293" s="533"/>
    </row>
    <row r="294" ht="15.75" customHeight="1">
      <c r="C294" s="206"/>
      <c r="E294" s="906"/>
      <c r="F294" s="195"/>
      <c r="G294" s="533"/>
      <c r="H294" s="534"/>
      <c r="I294" s="536"/>
      <c r="J294" s="537"/>
      <c r="K294" s="195"/>
      <c r="L294" s="533"/>
      <c r="O294" s="539"/>
      <c r="P294" s="533"/>
    </row>
    <row r="295" ht="15.75" customHeight="1">
      <c r="C295" s="206"/>
      <c r="E295" s="906"/>
      <c r="F295" s="195"/>
      <c r="G295" s="533"/>
      <c r="H295" s="534"/>
      <c r="I295" s="536"/>
      <c r="J295" s="537"/>
      <c r="K295" s="195"/>
      <c r="L295" s="533"/>
      <c r="O295" s="539"/>
      <c r="P295" s="533"/>
    </row>
    <row r="296" ht="15.75" customHeight="1">
      <c r="C296" s="206"/>
      <c r="E296" s="906"/>
      <c r="F296" s="195"/>
      <c r="G296" s="533"/>
      <c r="H296" s="534"/>
      <c r="I296" s="536"/>
      <c r="J296" s="537"/>
      <c r="K296" s="195"/>
      <c r="L296" s="533"/>
      <c r="O296" s="539"/>
      <c r="P296" s="533"/>
    </row>
    <row r="297" ht="15.75" customHeight="1">
      <c r="C297" s="206"/>
      <c r="E297" s="906"/>
      <c r="F297" s="195"/>
      <c r="G297" s="533"/>
      <c r="H297" s="534"/>
      <c r="I297" s="536"/>
      <c r="J297" s="537"/>
      <c r="K297" s="195"/>
      <c r="L297" s="533"/>
      <c r="O297" s="539"/>
      <c r="P297" s="533"/>
    </row>
    <row r="298" ht="15.75" customHeight="1">
      <c r="C298" s="206"/>
      <c r="E298" s="906"/>
      <c r="F298" s="195"/>
      <c r="G298" s="533"/>
      <c r="H298" s="534"/>
      <c r="I298" s="536"/>
      <c r="J298" s="537"/>
      <c r="K298" s="195"/>
      <c r="L298" s="533"/>
      <c r="O298" s="539"/>
      <c r="P298" s="533"/>
    </row>
    <row r="299" ht="15.75" customHeight="1">
      <c r="C299" s="206"/>
      <c r="E299" s="906"/>
      <c r="F299" s="195"/>
      <c r="G299" s="533"/>
      <c r="H299" s="534"/>
      <c r="I299" s="536"/>
      <c r="J299" s="537"/>
      <c r="K299" s="195"/>
      <c r="L299" s="533"/>
      <c r="O299" s="539"/>
      <c r="P299" s="533"/>
    </row>
    <row r="300" ht="15.75" customHeight="1">
      <c r="C300" s="206"/>
      <c r="E300" s="906"/>
      <c r="F300" s="195"/>
      <c r="G300" s="533"/>
      <c r="H300" s="534"/>
      <c r="I300" s="536"/>
      <c r="J300" s="537"/>
      <c r="K300" s="195"/>
      <c r="L300" s="533"/>
      <c r="O300" s="539"/>
      <c r="P300" s="533"/>
    </row>
    <row r="301" ht="15.75" customHeight="1">
      <c r="C301" s="206"/>
      <c r="E301" s="906"/>
      <c r="F301" s="195"/>
      <c r="G301" s="533"/>
      <c r="H301" s="534"/>
      <c r="I301" s="536"/>
      <c r="J301" s="537"/>
      <c r="K301" s="195"/>
      <c r="L301" s="533"/>
      <c r="O301" s="539"/>
      <c r="P301" s="533"/>
    </row>
    <row r="302" ht="15.75" customHeight="1">
      <c r="C302" s="206"/>
      <c r="E302" s="906"/>
      <c r="F302" s="195"/>
      <c r="G302" s="533"/>
      <c r="H302" s="534"/>
      <c r="I302" s="536"/>
      <c r="J302" s="537"/>
      <c r="K302" s="195"/>
      <c r="L302" s="533"/>
      <c r="O302" s="539"/>
      <c r="P302" s="533"/>
    </row>
    <row r="303" ht="15.75" customHeight="1">
      <c r="C303" s="206"/>
      <c r="E303" s="906"/>
      <c r="F303" s="195"/>
      <c r="G303" s="533"/>
      <c r="H303" s="534"/>
      <c r="I303" s="536"/>
      <c r="J303" s="537"/>
      <c r="K303" s="195"/>
      <c r="L303" s="533"/>
      <c r="O303" s="539"/>
      <c r="P303" s="533"/>
    </row>
    <row r="304" ht="15.75" customHeight="1">
      <c r="C304" s="206"/>
      <c r="E304" s="906"/>
      <c r="F304" s="195"/>
      <c r="G304" s="533"/>
      <c r="H304" s="534"/>
      <c r="I304" s="536"/>
      <c r="J304" s="537"/>
      <c r="K304" s="195"/>
      <c r="L304" s="533"/>
      <c r="O304" s="539"/>
      <c r="P304" s="533"/>
    </row>
    <row r="305" ht="15.75" customHeight="1">
      <c r="C305" s="206"/>
      <c r="E305" s="906"/>
      <c r="F305" s="195"/>
      <c r="G305" s="533"/>
      <c r="H305" s="534"/>
      <c r="I305" s="536"/>
      <c r="J305" s="537"/>
      <c r="K305" s="195"/>
      <c r="L305" s="533"/>
      <c r="O305" s="539"/>
      <c r="P305" s="533"/>
    </row>
    <row r="306" ht="15.75" customHeight="1">
      <c r="C306" s="206"/>
      <c r="E306" s="906"/>
      <c r="F306" s="195"/>
      <c r="G306" s="533"/>
      <c r="H306" s="534"/>
      <c r="I306" s="536"/>
      <c r="J306" s="537"/>
      <c r="K306" s="195"/>
      <c r="L306" s="533"/>
      <c r="O306" s="539"/>
      <c r="P306" s="533"/>
    </row>
    <row r="307" ht="15.75" customHeight="1">
      <c r="C307" s="206"/>
      <c r="E307" s="906"/>
      <c r="F307" s="195"/>
      <c r="G307" s="533"/>
      <c r="H307" s="534"/>
      <c r="I307" s="536"/>
      <c r="J307" s="537"/>
      <c r="K307" s="195"/>
      <c r="L307" s="533"/>
      <c r="O307" s="539"/>
      <c r="P307" s="533"/>
    </row>
    <row r="308" ht="15.75" customHeight="1">
      <c r="C308" s="206"/>
      <c r="E308" s="906"/>
      <c r="F308" s="195"/>
      <c r="G308" s="533"/>
      <c r="H308" s="534"/>
      <c r="I308" s="536"/>
      <c r="J308" s="537"/>
      <c r="K308" s="195"/>
      <c r="L308" s="533"/>
      <c r="O308" s="539"/>
      <c r="P308" s="533"/>
    </row>
    <row r="309" ht="15.75" customHeight="1">
      <c r="C309" s="206"/>
      <c r="E309" s="906"/>
      <c r="F309" s="195"/>
      <c r="G309" s="533"/>
      <c r="H309" s="534"/>
      <c r="I309" s="536"/>
      <c r="J309" s="537"/>
      <c r="K309" s="195"/>
      <c r="L309" s="533"/>
      <c r="O309" s="539"/>
      <c r="P309" s="533"/>
    </row>
    <row r="310" ht="15.75" customHeight="1">
      <c r="C310" s="206"/>
      <c r="E310" s="906"/>
      <c r="F310" s="195"/>
      <c r="G310" s="533"/>
      <c r="H310" s="534"/>
      <c r="I310" s="536"/>
      <c r="J310" s="537"/>
      <c r="K310" s="195"/>
      <c r="L310" s="533"/>
      <c r="O310" s="539"/>
      <c r="P310" s="533"/>
    </row>
    <row r="311" ht="15.75" customHeight="1">
      <c r="C311" s="206"/>
      <c r="E311" s="906"/>
      <c r="F311" s="195"/>
      <c r="G311" s="533"/>
      <c r="H311" s="534"/>
      <c r="I311" s="536"/>
      <c r="J311" s="537"/>
      <c r="K311" s="195"/>
      <c r="L311" s="533"/>
      <c r="O311" s="539"/>
      <c r="P311" s="533"/>
    </row>
    <row r="312" ht="15.75" customHeight="1">
      <c r="C312" s="206"/>
      <c r="E312" s="906"/>
      <c r="F312" s="195"/>
      <c r="G312" s="533"/>
      <c r="H312" s="534"/>
      <c r="I312" s="536"/>
      <c r="J312" s="537"/>
      <c r="K312" s="195"/>
      <c r="L312" s="533"/>
      <c r="O312" s="539"/>
      <c r="P312" s="533"/>
    </row>
    <row r="313" ht="15.75" customHeight="1">
      <c r="C313" s="206"/>
      <c r="E313" s="906"/>
      <c r="F313" s="195"/>
      <c r="G313" s="533"/>
      <c r="H313" s="534"/>
      <c r="I313" s="536"/>
      <c r="J313" s="537"/>
      <c r="K313" s="195"/>
      <c r="L313" s="533"/>
      <c r="O313" s="539"/>
      <c r="P313" s="533"/>
    </row>
    <row r="314" ht="15.75" customHeight="1">
      <c r="C314" s="206"/>
      <c r="E314" s="906"/>
      <c r="F314" s="195"/>
      <c r="G314" s="533"/>
      <c r="H314" s="534"/>
      <c r="I314" s="536"/>
      <c r="J314" s="537"/>
      <c r="K314" s="195"/>
      <c r="L314" s="533"/>
      <c r="O314" s="539"/>
      <c r="P314" s="533"/>
    </row>
    <row r="315" ht="15.75" customHeight="1">
      <c r="C315" s="206"/>
      <c r="E315" s="906"/>
      <c r="F315" s="195"/>
      <c r="G315" s="533"/>
      <c r="H315" s="534"/>
      <c r="I315" s="536"/>
      <c r="J315" s="537"/>
      <c r="K315" s="195"/>
      <c r="L315" s="533"/>
      <c r="O315" s="539"/>
      <c r="P315" s="533"/>
    </row>
    <row r="316" ht="15.75" customHeight="1">
      <c r="C316" s="206"/>
      <c r="E316" s="906"/>
      <c r="F316" s="195"/>
      <c r="G316" s="533"/>
      <c r="H316" s="534"/>
      <c r="I316" s="536"/>
      <c r="J316" s="537"/>
      <c r="K316" s="195"/>
      <c r="L316" s="533"/>
      <c r="O316" s="539"/>
      <c r="P316" s="533"/>
    </row>
    <row r="317" ht="15.75" customHeight="1">
      <c r="C317" s="206"/>
      <c r="E317" s="906"/>
      <c r="F317" s="195"/>
      <c r="G317" s="533"/>
      <c r="H317" s="534"/>
      <c r="I317" s="536"/>
      <c r="J317" s="537"/>
      <c r="K317" s="195"/>
      <c r="L317" s="533"/>
      <c r="O317" s="539"/>
      <c r="P317" s="533"/>
    </row>
    <row r="318" ht="15.75" customHeight="1">
      <c r="C318" s="206"/>
      <c r="E318" s="906"/>
      <c r="F318" s="195"/>
      <c r="G318" s="533"/>
      <c r="H318" s="534"/>
      <c r="I318" s="536"/>
      <c r="J318" s="537"/>
      <c r="K318" s="195"/>
      <c r="L318" s="533"/>
      <c r="O318" s="539"/>
      <c r="P318" s="533"/>
    </row>
    <row r="319" ht="15.75" customHeight="1">
      <c r="C319" s="206"/>
      <c r="E319" s="906"/>
      <c r="F319" s="195"/>
      <c r="G319" s="533"/>
      <c r="H319" s="534"/>
      <c r="I319" s="536"/>
      <c r="J319" s="537"/>
      <c r="K319" s="195"/>
      <c r="L319" s="533"/>
      <c r="O319" s="539"/>
      <c r="P319" s="533"/>
    </row>
    <row r="320" ht="15.75" customHeight="1">
      <c r="C320" s="206"/>
      <c r="E320" s="906"/>
      <c r="F320" s="195"/>
      <c r="G320" s="533"/>
      <c r="H320" s="534"/>
      <c r="I320" s="536"/>
      <c r="J320" s="537"/>
      <c r="K320" s="195"/>
      <c r="L320" s="533"/>
      <c r="O320" s="539"/>
      <c r="P320" s="533"/>
    </row>
    <row r="321" ht="15.75" customHeight="1">
      <c r="C321" s="206"/>
      <c r="E321" s="906"/>
      <c r="F321" s="195"/>
      <c r="G321" s="533"/>
      <c r="H321" s="534"/>
      <c r="I321" s="536"/>
      <c r="J321" s="537"/>
      <c r="K321" s="195"/>
      <c r="L321" s="533"/>
      <c r="O321" s="539"/>
      <c r="P321" s="533"/>
    </row>
    <row r="322" ht="15.75" customHeight="1">
      <c r="C322" s="206"/>
      <c r="E322" s="906"/>
      <c r="F322" s="195"/>
      <c r="G322" s="533"/>
      <c r="H322" s="534"/>
      <c r="I322" s="536"/>
      <c r="J322" s="537"/>
      <c r="K322" s="195"/>
      <c r="L322" s="533"/>
      <c r="O322" s="539"/>
      <c r="P322" s="533"/>
    </row>
    <row r="323" ht="15.75" customHeight="1">
      <c r="C323" s="206"/>
      <c r="E323" s="906"/>
      <c r="F323" s="195"/>
      <c r="G323" s="533"/>
      <c r="H323" s="534"/>
      <c r="I323" s="536"/>
      <c r="J323" s="537"/>
      <c r="K323" s="195"/>
      <c r="L323" s="533"/>
      <c r="O323" s="539"/>
      <c r="P323" s="533"/>
    </row>
    <row r="324" ht="15.75" customHeight="1">
      <c r="C324" s="206"/>
      <c r="E324" s="906"/>
      <c r="F324" s="195"/>
      <c r="G324" s="533"/>
      <c r="H324" s="534"/>
      <c r="I324" s="536"/>
      <c r="J324" s="537"/>
      <c r="K324" s="195"/>
      <c r="L324" s="533"/>
      <c r="O324" s="539"/>
      <c r="P324" s="533"/>
    </row>
    <row r="325" ht="15.75" customHeight="1">
      <c r="C325" s="206"/>
      <c r="E325" s="906"/>
      <c r="F325" s="195"/>
      <c r="G325" s="533"/>
      <c r="H325" s="534"/>
      <c r="I325" s="536"/>
      <c r="J325" s="537"/>
      <c r="K325" s="195"/>
      <c r="L325" s="533"/>
      <c r="O325" s="539"/>
      <c r="P325" s="533"/>
    </row>
    <row r="326" ht="15.75" customHeight="1">
      <c r="C326" s="206"/>
      <c r="E326" s="906"/>
      <c r="F326" s="195"/>
      <c r="G326" s="533"/>
      <c r="H326" s="534"/>
      <c r="I326" s="536"/>
      <c r="J326" s="537"/>
      <c r="K326" s="195"/>
      <c r="L326" s="533"/>
      <c r="O326" s="539"/>
      <c r="P326" s="533"/>
    </row>
    <row r="327" ht="15.75" customHeight="1">
      <c r="C327" s="206"/>
      <c r="E327" s="906"/>
      <c r="F327" s="195"/>
      <c r="G327" s="533"/>
      <c r="H327" s="534"/>
      <c r="I327" s="536"/>
      <c r="J327" s="537"/>
      <c r="K327" s="195"/>
      <c r="L327" s="533"/>
      <c r="O327" s="539"/>
      <c r="P327" s="533"/>
    </row>
    <row r="328" ht="15.75" customHeight="1">
      <c r="C328" s="206"/>
      <c r="E328" s="906"/>
      <c r="F328" s="195"/>
      <c r="G328" s="533"/>
      <c r="H328" s="534"/>
      <c r="I328" s="536"/>
      <c r="J328" s="537"/>
      <c r="K328" s="195"/>
      <c r="L328" s="533"/>
      <c r="O328" s="539"/>
      <c r="P328" s="533"/>
    </row>
    <row r="329" ht="15.75" customHeight="1">
      <c r="C329" s="206"/>
      <c r="E329" s="906"/>
      <c r="F329" s="195"/>
      <c r="G329" s="533"/>
      <c r="H329" s="534"/>
      <c r="I329" s="536"/>
      <c r="J329" s="537"/>
      <c r="K329" s="195"/>
      <c r="L329" s="533"/>
      <c r="O329" s="539"/>
      <c r="P329" s="533"/>
    </row>
    <row r="330" ht="15.75" customHeight="1">
      <c r="C330" s="206"/>
      <c r="E330" s="906"/>
      <c r="F330" s="195"/>
      <c r="G330" s="533"/>
      <c r="H330" s="534"/>
      <c r="I330" s="536"/>
      <c r="J330" s="537"/>
      <c r="K330" s="195"/>
      <c r="L330" s="533"/>
      <c r="O330" s="539"/>
      <c r="P330" s="533"/>
    </row>
    <row r="331" ht="15.75" customHeight="1">
      <c r="C331" s="206"/>
      <c r="E331" s="906"/>
      <c r="F331" s="195"/>
      <c r="G331" s="533"/>
      <c r="H331" s="534"/>
      <c r="I331" s="536"/>
      <c r="J331" s="537"/>
      <c r="K331" s="195"/>
      <c r="L331" s="533"/>
      <c r="O331" s="539"/>
      <c r="P331" s="533"/>
    </row>
    <row r="332" ht="15.75" customHeight="1">
      <c r="C332" s="206"/>
      <c r="E332" s="906"/>
      <c r="F332" s="195"/>
      <c r="G332" s="533"/>
      <c r="H332" s="534"/>
      <c r="I332" s="536"/>
      <c r="J332" s="537"/>
      <c r="K332" s="195"/>
      <c r="L332" s="533"/>
      <c r="O332" s="539"/>
      <c r="P332" s="533"/>
    </row>
    <row r="333" ht="15.75" customHeight="1">
      <c r="C333" s="206"/>
      <c r="E333" s="906"/>
      <c r="F333" s="195"/>
      <c r="G333" s="533"/>
      <c r="H333" s="534"/>
      <c r="I333" s="536"/>
      <c r="J333" s="537"/>
      <c r="K333" s="195"/>
      <c r="L333" s="533"/>
      <c r="O333" s="539"/>
      <c r="P333" s="533"/>
    </row>
    <row r="334" ht="15.75" customHeight="1">
      <c r="C334" s="206"/>
      <c r="E334" s="906"/>
      <c r="F334" s="195"/>
      <c r="G334" s="533"/>
      <c r="H334" s="534"/>
      <c r="I334" s="536"/>
      <c r="J334" s="537"/>
      <c r="K334" s="195"/>
      <c r="L334" s="533"/>
      <c r="O334" s="539"/>
      <c r="P334" s="533"/>
    </row>
    <row r="335" ht="15.75" customHeight="1">
      <c r="C335" s="206"/>
      <c r="E335" s="906"/>
      <c r="F335" s="195"/>
      <c r="G335" s="533"/>
      <c r="H335" s="534"/>
      <c r="I335" s="536"/>
      <c r="J335" s="537"/>
      <c r="K335" s="195"/>
      <c r="L335" s="533"/>
      <c r="O335" s="539"/>
      <c r="P335" s="533"/>
    </row>
    <row r="336" ht="15.75" customHeight="1">
      <c r="C336" s="206"/>
      <c r="E336" s="906"/>
      <c r="F336" s="195"/>
      <c r="G336" s="533"/>
      <c r="H336" s="534"/>
      <c r="I336" s="536"/>
      <c r="J336" s="537"/>
      <c r="K336" s="195"/>
      <c r="L336" s="533"/>
      <c r="O336" s="539"/>
      <c r="P336" s="533"/>
    </row>
    <row r="337" ht="15.75" customHeight="1">
      <c r="C337" s="206"/>
      <c r="E337" s="906"/>
      <c r="F337" s="195"/>
      <c r="G337" s="533"/>
      <c r="H337" s="534"/>
      <c r="I337" s="536"/>
      <c r="J337" s="537"/>
      <c r="K337" s="195"/>
      <c r="L337" s="533"/>
      <c r="O337" s="539"/>
      <c r="P337" s="533"/>
    </row>
    <row r="338" ht="15.75" customHeight="1">
      <c r="C338" s="206"/>
      <c r="E338" s="906"/>
      <c r="F338" s="195"/>
      <c r="G338" s="533"/>
      <c r="H338" s="534"/>
      <c r="I338" s="536"/>
      <c r="J338" s="537"/>
      <c r="K338" s="195"/>
      <c r="L338" s="533"/>
      <c r="O338" s="539"/>
      <c r="P338" s="533"/>
    </row>
    <row r="339" ht="15.75" customHeight="1">
      <c r="C339" s="206"/>
      <c r="E339" s="906"/>
      <c r="F339" s="195"/>
      <c r="G339" s="533"/>
      <c r="H339" s="534"/>
      <c r="I339" s="536"/>
      <c r="J339" s="537"/>
      <c r="K339" s="195"/>
      <c r="L339" s="533"/>
      <c r="O339" s="539"/>
      <c r="P339" s="533"/>
    </row>
    <row r="340" ht="15.75" customHeight="1">
      <c r="C340" s="206"/>
      <c r="E340" s="906"/>
      <c r="F340" s="195"/>
      <c r="G340" s="533"/>
      <c r="H340" s="534"/>
      <c r="I340" s="536"/>
      <c r="J340" s="537"/>
      <c r="K340" s="195"/>
      <c r="L340" s="533"/>
      <c r="O340" s="539"/>
      <c r="P340" s="533"/>
    </row>
    <row r="341" ht="15.75" customHeight="1">
      <c r="C341" s="206"/>
      <c r="E341" s="906"/>
      <c r="F341" s="195"/>
      <c r="G341" s="533"/>
      <c r="H341" s="534"/>
      <c r="I341" s="536"/>
      <c r="J341" s="537"/>
      <c r="K341" s="195"/>
      <c r="L341" s="533"/>
      <c r="O341" s="539"/>
      <c r="P341" s="533"/>
    </row>
    <row r="342" ht="15.75" customHeight="1">
      <c r="C342" s="206"/>
      <c r="E342" s="906"/>
      <c r="F342" s="195"/>
      <c r="G342" s="533"/>
      <c r="H342" s="534"/>
      <c r="I342" s="536"/>
      <c r="J342" s="537"/>
      <c r="K342" s="195"/>
      <c r="L342" s="533"/>
      <c r="O342" s="539"/>
      <c r="P342" s="533"/>
    </row>
    <row r="343" ht="15.75" customHeight="1">
      <c r="C343" s="206"/>
      <c r="E343" s="906"/>
      <c r="F343" s="195"/>
      <c r="G343" s="533"/>
      <c r="H343" s="534"/>
      <c r="I343" s="536"/>
      <c r="J343" s="537"/>
      <c r="K343" s="195"/>
      <c r="L343" s="533"/>
      <c r="O343" s="539"/>
      <c r="P343" s="533"/>
    </row>
    <row r="344" ht="15.75" customHeight="1">
      <c r="C344" s="206"/>
      <c r="E344" s="906"/>
      <c r="F344" s="195"/>
      <c r="G344" s="533"/>
      <c r="H344" s="534"/>
      <c r="I344" s="536"/>
      <c r="J344" s="537"/>
      <c r="K344" s="195"/>
      <c r="L344" s="533"/>
      <c r="O344" s="539"/>
      <c r="P344" s="533"/>
    </row>
    <row r="345" ht="15.75" customHeight="1">
      <c r="C345" s="206"/>
      <c r="E345" s="906"/>
      <c r="F345" s="195"/>
      <c r="G345" s="533"/>
      <c r="H345" s="534"/>
      <c r="I345" s="536"/>
      <c r="J345" s="537"/>
      <c r="K345" s="195"/>
      <c r="L345" s="533"/>
      <c r="O345" s="539"/>
      <c r="P345" s="533"/>
    </row>
    <row r="346" ht="15.75" customHeight="1">
      <c r="C346" s="206"/>
      <c r="E346" s="906"/>
      <c r="F346" s="195"/>
      <c r="G346" s="533"/>
      <c r="H346" s="534"/>
      <c r="I346" s="536"/>
      <c r="J346" s="537"/>
      <c r="K346" s="195"/>
      <c r="L346" s="533"/>
      <c r="O346" s="539"/>
      <c r="P346" s="533"/>
    </row>
    <row r="347" ht="15.75" customHeight="1">
      <c r="C347" s="206"/>
      <c r="E347" s="906"/>
      <c r="F347" s="195"/>
      <c r="G347" s="533"/>
      <c r="H347" s="534"/>
      <c r="I347" s="536"/>
      <c r="J347" s="537"/>
      <c r="K347" s="195"/>
      <c r="L347" s="533"/>
      <c r="O347" s="539"/>
      <c r="P347" s="533"/>
    </row>
    <row r="348" ht="15.75" customHeight="1">
      <c r="C348" s="206"/>
      <c r="E348" s="906"/>
      <c r="F348" s="195"/>
      <c r="G348" s="533"/>
      <c r="H348" s="534"/>
      <c r="I348" s="536"/>
      <c r="J348" s="537"/>
      <c r="K348" s="195"/>
      <c r="L348" s="533"/>
      <c r="O348" s="539"/>
      <c r="P348" s="533"/>
    </row>
    <row r="349" ht="15.75" customHeight="1">
      <c r="C349" s="206"/>
      <c r="E349" s="906"/>
      <c r="F349" s="195"/>
      <c r="G349" s="533"/>
      <c r="H349" s="534"/>
      <c r="I349" s="536"/>
      <c r="J349" s="537"/>
      <c r="K349" s="195"/>
      <c r="L349" s="533"/>
      <c r="O349" s="539"/>
      <c r="P349" s="533"/>
    </row>
    <row r="350" ht="15.75" customHeight="1">
      <c r="C350" s="206"/>
      <c r="E350" s="906"/>
      <c r="F350" s="195"/>
      <c r="G350" s="533"/>
      <c r="H350" s="534"/>
      <c r="I350" s="536"/>
      <c r="J350" s="537"/>
      <c r="K350" s="195"/>
      <c r="L350" s="533"/>
      <c r="O350" s="539"/>
      <c r="P350" s="533"/>
    </row>
    <row r="351" ht="15.75" customHeight="1">
      <c r="C351" s="206"/>
      <c r="E351" s="906"/>
      <c r="F351" s="195"/>
      <c r="G351" s="533"/>
      <c r="H351" s="534"/>
      <c r="I351" s="536"/>
      <c r="J351" s="537"/>
      <c r="K351" s="195"/>
      <c r="L351" s="533"/>
      <c r="O351" s="539"/>
      <c r="P351" s="533"/>
    </row>
    <row r="352" ht="15.75" customHeight="1">
      <c r="C352" s="206"/>
      <c r="E352" s="906"/>
      <c r="F352" s="195"/>
      <c r="G352" s="533"/>
      <c r="H352" s="534"/>
      <c r="I352" s="536"/>
      <c r="J352" s="537"/>
      <c r="K352" s="195"/>
      <c r="L352" s="533"/>
      <c r="O352" s="539"/>
      <c r="P352" s="533"/>
    </row>
    <row r="353" ht="15.75" customHeight="1">
      <c r="C353" s="206"/>
      <c r="E353" s="906"/>
      <c r="F353" s="195"/>
      <c r="G353" s="533"/>
      <c r="H353" s="534"/>
      <c r="I353" s="536"/>
      <c r="J353" s="537"/>
      <c r="K353" s="195"/>
      <c r="L353" s="533"/>
      <c r="O353" s="539"/>
      <c r="P353" s="533"/>
    </row>
    <row r="354" ht="15.75" customHeight="1">
      <c r="C354" s="206"/>
      <c r="E354" s="906"/>
      <c r="F354" s="195"/>
      <c r="G354" s="533"/>
      <c r="H354" s="534"/>
      <c r="I354" s="536"/>
      <c r="J354" s="537"/>
      <c r="K354" s="195"/>
      <c r="L354" s="533"/>
      <c r="O354" s="539"/>
      <c r="P354" s="533"/>
    </row>
    <row r="355" ht="15.75" customHeight="1">
      <c r="C355" s="206"/>
      <c r="E355" s="906"/>
      <c r="F355" s="195"/>
      <c r="G355" s="533"/>
      <c r="H355" s="534"/>
      <c r="I355" s="536"/>
      <c r="J355" s="537"/>
      <c r="K355" s="195"/>
      <c r="L355" s="533"/>
      <c r="O355" s="539"/>
      <c r="P355" s="533"/>
    </row>
    <row r="356" ht="15.75" customHeight="1">
      <c r="C356" s="206"/>
      <c r="E356" s="906"/>
      <c r="F356" s="195"/>
      <c r="G356" s="533"/>
      <c r="H356" s="534"/>
      <c r="I356" s="536"/>
      <c r="J356" s="537"/>
      <c r="K356" s="195"/>
      <c r="L356" s="533"/>
      <c r="O356" s="539"/>
      <c r="P356" s="533"/>
    </row>
    <row r="357" ht="15.75" customHeight="1">
      <c r="C357" s="206"/>
      <c r="E357" s="906"/>
      <c r="F357" s="195"/>
      <c r="G357" s="533"/>
      <c r="H357" s="534"/>
      <c r="I357" s="536"/>
      <c r="J357" s="537"/>
      <c r="K357" s="195"/>
      <c r="L357" s="533"/>
      <c r="O357" s="539"/>
      <c r="P357" s="533"/>
    </row>
    <row r="358" ht="15.75" customHeight="1">
      <c r="C358" s="206"/>
      <c r="E358" s="906"/>
      <c r="F358" s="195"/>
      <c r="G358" s="533"/>
      <c r="H358" s="534"/>
      <c r="I358" s="536"/>
      <c r="J358" s="537"/>
      <c r="K358" s="195"/>
      <c r="L358" s="533"/>
      <c r="O358" s="539"/>
      <c r="P358" s="533"/>
    </row>
    <row r="359" ht="15.75" customHeight="1">
      <c r="C359" s="206"/>
      <c r="E359" s="906"/>
      <c r="F359" s="195"/>
      <c r="G359" s="533"/>
      <c r="H359" s="534"/>
      <c r="I359" s="536"/>
      <c r="J359" s="537"/>
      <c r="K359" s="195"/>
      <c r="L359" s="533"/>
      <c r="O359" s="539"/>
      <c r="P359" s="533"/>
    </row>
    <row r="360" ht="15.75" customHeight="1">
      <c r="C360" s="206"/>
      <c r="E360" s="906"/>
      <c r="F360" s="195"/>
      <c r="G360" s="533"/>
      <c r="H360" s="534"/>
      <c r="I360" s="536"/>
      <c r="J360" s="537"/>
      <c r="K360" s="195"/>
      <c r="L360" s="533"/>
      <c r="O360" s="539"/>
      <c r="P360" s="533"/>
    </row>
    <row r="361" ht="15.75" customHeight="1">
      <c r="C361" s="206"/>
      <c r="E361" s="906"/>
      <c r="F361" s="195"/>
      <c r="G361" s="533"/>
      <c r="H361" s="534"/>
      <c r="I361" s="536"/>
      <c r="J361" s="537"/>
      <c r="K361" s="195"/>
      <c r="L361" s="533"/>
      <c r="O361" s="539"/>
      <c r="P361" s="533"/>
    </row>
    <row r="362" ht="15.75" customHeight="1">
      <c r="C362" s="206"/>
      <c r="E362" s="906"/>
      <c r="F362" s="195"/>
      <c r="G362" s="533"/>
      <c r="H362" s="534"/>
      <c r="I362" s="536"/>
      <c r="J362" s="537"/>
      <c r="K362" s="195"/>
      <c r="L362" s="533"/>
      <c r="O362" s="539"/>
      <c r="P362" s="533"/>
    </row>
    <row r="363" ht="15.75" customHeight="1">
      <c r="C363" s="206"/>
      <c r="E363" s="906"/>
      <c r="F363" s="195"/>
      <c r="G363" s="533"/>
      <c r="H363" s="534"/>
      <c r="I363" s="536"/>
      <c r="J363" s="537"/>
      <c r="K363" s="195"/>
      <c r="L363" s="533"/>
      <c r="O363" s="539"/>
      <c r="P363" s="533"/>
    </row>
    <row r="364" ht="15.75" customHeight="1">
      <c r="C364" s="206"/>
      <c r="E364" s="906"/>
      <c r="F364" s="195"/>
      <c r="G364" s="533"/>
      <c r="H364" s="534"/>
      <c r="I364" s="536"/>
      <c r="J364" s="537"/>
      <c r="K364" s="195"/>
      <c r="L364" s="533"/>
      <c r="O364" s="539"/>
      <c r="P364" s="533"/>
    </row>
    <row r="365" ht="15.75" customHeight="1">
      <c r="C365" s="206"/>
      <c r="E365" s="906"/>
      <c r="F365" s="195"/>
      <c r="G365" s="533"/>
      <c r="H365" s="534"/>
      <c r="I365" s="536"/>
      <c r="J365" s="537"/>
      <c r="K365" s="195"/>
      <c r="L365" s="533"/>
      <c r="O365" s="539"/>
      <c r="P365" s="533"/>
    </row>
    <row r="366" ht="15.75" customHeight="1">
      <c r="C366" s="206"/>
      <c r="E366" s="906"/>
      <c r="F366" s="195"/>
      <c r="G366" s="533"/>
      <c r="H366" s="534"/>
      <c r="I366" s="536"/>
      <c r="J366" s="537"/>
      <c r="K366" s="195"/>
      <c r="L366" s="533"/>
      <c r="O366" s="539"/>
      <c r="P366" s="533"/>
    </row>
    <row r="367" ht="15.75" customHeight="1">
      <c r="C367" s="206"/>
      <c r="E367" s="906"/>
      <c r="F367" s="195"/>
      <c r="G367" s="533"/>
      <c r="H367" s="534"/>
      <c r="I367" s="536"/>
      <c r="J367" s="537"/>
      <c r="K367" s="195"/>
      <c r="L367" s="533"/>
      <c r="O367" s="539"/>
      <c r="P367" s="533"/>
    </row>
    <row r="368" ht="15.75" customHeight="1">
      <c r="C368" s="206"/>
      <c r="E368" s="906"/>
      <c r="F368" s="195"/>
      <c r="G368" s="533"/>
      <c r="H368" s="534"/>
      <c r="I368" s="536"/>
      <c r="J368" s="537"/>
      <c r="K368" s="195"/>
      <c r="L368" s="533"/>
      <c r="O368" s="539"/>
      <c r="P368" s="533"/>
    </row>
    <row r="369" ht="15.75" customHeight="1">
      <c r="C369" s="206"/>
      <c r="E369" s="906"/>
      <c r="F369" s="195"/>
      <c r="G369" s="533"/>
      <c r="H369" s="534"/>
      <c r="I369" s="536"/>
      <c r="J369" s="537"/>
      <c r="K369" s="195"/>
      <c r="L369" s="533"/>
      <c r="O369" s="539"/>
      <c r="P369" s="533"/>
    </row>
    <row r="370" ht="15.75" customHeight="1">
      <c r="C370" s="206"/>
      <c r="E370" s="906"/>
      <c r="F370" s="195"/>
      <c r="G370" s="533"/>
      <c r="H370" s="534"/>
      <c r="I370" s="536"/>
      <c r="J370" s="537"/>
      <c r="K370" s="195"/>
      <c r="L370" s="533"/>
      <c r="O370" s="539"/>
      <c r="P370" s="533"/>
    </row>
    <row r="371" ht="15.75" customHeight="1">
      <c r="C371" s="206"/>
      <c r="E371" s="906"/>
      <c r="F371" s="195"/>
      <c r="G371" s="533"/>
      <c r="H371" s="534"/>
      <c r="I371" s="536"/>
      <c r="J371" s="537"/>
      <c r="K371" s="195"/>
      <c r="L371" s="533"/>
      <c r="O371" s="539"/>
      <c r="P371" s="533"/>
    </row>
    <row r="372" ht="15.75" customHeight="1">
      <c r="C372" s="206"/>
      <c r="E372" s="906"/>
      <c r="F372" s="195"/>
      <c r="G372" s="533"/>
      <c r="H372" s="534"/>
      <c r="I372" s="536"/>
      <c r="J372" s="537"/>
      <c r="K372" s="195"/>
      <c r="L372" s="533"/>
      <c r="O372" s="539"/>
      <c r="P372" s="533"/>
    </row>
    <row r="373" ht="15.75" customHeight="1">
      <c r="C373" s="206"/>
      <c r="E373" s="906"/>
      <c r="F373" s="195"/>
      <c r="G373" s="533"/>
      <c r="H373" s="534"/>
      <c r="I373" s="536"/>
      <c r="J373" s="537"/>
      <c r="K373" s="195"/>
      <c r="L373" s="533"/>
      <c r="O373" s="539"/>
      <c r="P373" s="533"/>
    </row>
    <row r="374" ht="15.75" customHeight="1">
      <c r="C374" s="206"/>
      <c r="E374" s="906"/>
      <c r="F374" s="195"/>
      <c r="G374" s="533"/>
      <c r="H374" s="534"/>
      <c r="I374" s="536"/>
      <c r="J374" s="537"/>
      <c r="K374" s="195"/>
      <c r="L374" s="533"/>
      <c r="O374" s="539"/>
      <c r="P374" s="533"/>
    </row>
    <row r="375" ht="15.75" customHeight="1">
      <c r="C375" s="206"/>
      <c r="E375" s="906"/>
      <c r="F375" s="195"/>
      <c r="G375" s="533"/>
      <c r="H375" s="534"/>
      <c r="I375" s="536"/>
      <c r="J375" s="537"/>
      <c r="K375" s="195"/>
      <c r="L375" s="533"/>
      <c r="O375" s="539"/>
      <c r="P375" s="533"/>
    </row>
    <row r="376" ht="15.75" customHeight="1">
      <c r="C376" s="206"/>
      <c r="E376" s="906"/>
      <c r="F376" s="195"/>
      <c r="G376" s="533"/>
      <c r="H376" s="534"/>
      <c r="I376" s="536"/>
      <c r="J376" s="537"/>
      <c r="K376" s="195"/>
      <c r="L376" s="533"/>
      <c r="O376" s="539"/>
      <c r="P376" s="533"/>
    </row>
    <row r="377" ht="15.75" customHeight="1">
      <c r="C377" s="206"/>
      <c r="E377" s="906"/>
      <c r="F377" s="195"/>
      <c r="G377" s="533"/>
      <c r="H377" s="534"/>
      <c r="I377" s="536"/>
      <c r="J377" s="537"/>
      <c r="K377" s="195"/>
      <c r="L377" s="533"/>
      <c r="O377" s="539"/>
      <c r="P377" s="533"/>
    </row>
    <row r="378" ht="15.75" customHeight="1">
      <c r="C378" s="206"/>
      <c r="E378" s="906"/>
      <c r="F378" s="195"/>
      <c r="G378" s="533"/>
      <c r="H378" s="534"/>
      <c r="I378" s="536"/>
      <c r="J378" s="537"/>
      <c r="K378" s="195"/>
      <c r="L378" s="533"/>
      <c r="O378" s="539"/>
      <c r="P378" s="533"/>
    </row>
    <row r="379" ht="15.75" customHeight="1">
      <c r="C379" s="206"/>
      <c r="E379" s="906"/>
      <c r="F379" s="195"/>
      <c r="G379" s="533"/>
      <c r="H379" s="534"/>
      <c r="I379" s="536"/>
      <c r="J379" s="537"/>
      <c r="K379" s="195"/>
      <c r="L379" s="533"/>
      <c r="O379" s="539"/>
      <c r="P379" s="533"/>
    </row>
    <row r="380" ht="15.75" customHeight="1">
      <c r="C380" s="206"/>
      <c r="E380" s="906"/>
      <c r="F380" s="195"/>
      <c r="G380" s="533"/>
      <c r="H380" s="534"/>
      <c r="I380" s="536"/>
      <c r="J380" s="537"/>
      <c r="K380" s="195"/>
      <c r="L380" s="533"/>
      <c r="O380" s="539"/>
      <c r="P380" s="533"/>
    </row>
    <row r="381" ht="15.75" customHeight="1">
      <c r="C381" s="206"/>
      <c r="E381" s="906"/>
      <c r="F381" s="195"/>
      <c r="G381" s="533"/>
      <c r="H381" s="534"/>
      <c r="I381" s="536"/>
      <c r="J381" s="537"/>
      <c r="K381" s="195"/>
      <c r="L381" s="533"/>
      <c r="O381" s="539"/>
      <c r="P381" s="533"/>
    </row>
    <row r="382" ht="15.75" customHeight="1">
      <c r="C382" s="206"/>
      <c r="E382" s="906"/>
      <c r="F382" s="195"/>
      <c r="G382" s="533"/>
      <c r="H382" s="534"/>
      <c r="I382" s="536"/>
      <c r="J382" s="537"/>
      <c r="K382" s="195"/>
      <c r="L382" s="533"/>
      <c r="O382" s="539"/>
      <c r="P382" s="533"/>
    </row>
    <row r="383" ht="15.75" customHeight="1">
      <c r="C383" s="206"/>
      <c r="E383" s="906"/>
      <c r="F383" s="195"/>
      <c r="G383" s="533"/>
      <c r="H383" s="534"/>
      <c r="I383" s="536"/>
      <c r="J383" s="537"/>
      <c r="K383" s="195"/>
      <c r="L383" s="533"/>
      <c r="O383" s="539"/>
      <c r="P383" s="533"/>
    </row>
    <row r="384" ht="15.75" customHeight="1">
      <c r="C384" s="206"/>
      <c r="E384" s="906"/>
      <c r="F384" s="195"/>
      <c r="G384" s="533"/>
      <c r="H384" s="534"/>
      <c r="I384" s="536"/>
      <c r="J384" s="537"/>
      <c r="K384" s="195"/>
      <c r="L384" s="533"/>
      <c r="O384" s="539"/>
      <c r="P384" s="533"/>
    </row>
    <row r="385" ht="15.75" customHeight="1">
      <c r="C385" s="206"/>
      <c r="E385" s="906"/>
      <c r="F385" s="195"/>
      <c r="G385" s="533"/>
      <c r="H385" s="534"/>
      <c r="I385" s="536"/>
      <c r="J385" s="537"/>
      <c r="K385" s="195"/>
      <c r="L385" s="533"/>
      <c r="O385" s="539"/>
      <c r="P385" s="533"/>
    </row>
    <row r="386" ht="15.75" customHeight="1">
      <c r="C386" s="206"/>
      <c r="E386" s="906"/>
      <c r="F386" s="195"/>
      <c r="G386" s="533"/>
      <c r="H386" s="534"/>
      <c r="I386" s="536"/>
      <c r="J386" s="537"/>
      <c r="K386" s="195"/>
      <c r="L386" s="533"/>
      <c r="O386" s="539"/>
      <c r="P386" s="533"/>
    </row>
    <row r="387" ht="15.75" customHeight="1">
      <c r="C387" s="206"/>
      <c r="E387" s="906"/>
      <c r="F387" s="195"/>
      <c r="G387" s="533"/>
      <c r="H387" s="534"/>
      <c r="I387" s="536"/>
      <c r="J387" s="537"/>
      <c r="K387" s="195"/>
      <c r="L387" s="533"/>
      <c r="O387" s="539"/>
      <c r="P387" s="533"/>
    </row>
    <row r="388" ht="15.75" customHeight="1">
      <c r="C388" s="206"/>
      <c r="E388" s="906"/>
      <c r="F388" s="195"/>
      <c r="G388" s="533"/>
      <c r="H388" s="534"/>
      <c r="I388" s="536"/>
      <c r="J388" s="537"/>
      <c r="K388" s="195"/>
      <c r="L388" s="533"/>
      <c r="O388" s="539"/>
      <c r="P388" s="533"/>
    </row>
    <row r="389" ht="15.75" customHeight="1">
      <c r="C389" s="206"/>
      <c r="E389" s="906"/>
      <c r="F389" s="195"/>
      <c r="G389" s="533"/>
      <c r="H389" s="534"/>
      <c r="I389" s="536"/>
      <c r="J389" s="537"/>
      <c r="K389" s="195"/>
      <c r="L389" s="533"/>
      <c r="O389" s="539"/>
      <c r="P389" s="533"/>
    </row>
    <row r="390" ht="15.75" customHeight="1">
      <c r="C390" s="206"/>
      <c r="E390" s="906"/>
      <c r="F390" s="195"/>
      <c r="G390" s="533"/>
      <c r="H390" s="534"/>
      <c r="I390" s="536"/>
      <c r="J390" s="537"/>
      <c r="K390" s="195"/>
      <c r="L390" s="533"/>
      <c r="O390" s="539"/>
      <c r="P390" s="533"/>
    </row>
    <row r="391" ht="15.75" customHeight="1">
      <c r="C391" s="206"/>
      <c r="E391" s="906"/>
      <c r="F391" s="195"/>
      <c r="G391" s="533"/>
      <c r="H391" s="534"/>
      <c r="I391" s="536"/>
      <c r="J391" s="537"/>
      <c r="K391" s="195"/>
      <c r="L391" s="533"/>
      <c r="O391" s="539"/>
      <c r="P391" s="533"/>
    </row>
    <row r="392" ht="15.75" customHeight="1">
      <c r="C392" s="206"/>
      <c r="E392" s="906"/>
      <c r="F392" s="195"/>
      <c r="G392" s="533"/>
      <c r="H392" s="534"/>
      <c r="I392" s="536"/>
      <c r="J392" s="537"/>
      <c r="K392" s="195"/>
      <c r="L392" s="533"/>
      <c r="O392" s="539"/>
      <c r="P392" s="533"/>
    </row>
    <row r="393" ht="15.75" customHeight="1">
      <c r="C393" s="206"/>
      <c r="E393" s="906"/>
      <c r="F393" s="195"/>
      <c r="G393" s="533"/>
      <c r="H393" s="534"/>
      <c r="I393" s="536"/>
      <c r="J393" s="537"/>
      <c r="K393" s="195"/>
      <c r="L393" s="533"/>
      <c r="O393" s="539"/>
      <c r="P393" s="533"/>
    </row>
    <row r="394" ht="15.75" customHeight="1">
      <c r="C394" s="206"/>
      <c r="E394" s="906"/>
      <c r="F394" s="195"/>
      <c r="G394" s="533"/>
      <c r="H394" s="534"/>
      <c r="I394" s="536"/>
      <c r="J394" s="537"/>
      <c r="K394" s="195"/>
      <c r="L394" s="533"/>
      <c r="O394" s="539"/>
      <c r="P394" s="533"/>
    </row>
    <row r="395" ht="15.75" customHeight="1">
      <c r="C395" s="206"/>
      <c r="E395" s="906"/>
      <c r="F395" s="195"/>
      <c r="G395" s="533"/>
      <c r="H395" s="534"/>
      <c r="I395" s="536"/>
      <c r="J395" s="537"/>
      <c r="K395" s="195"/>
      <c r="L395" s="533"/>
      <c r="O395" s="539"/>
      <c r="P395" s="533"/>
    </row>
    <row r="396" ht="15.75" customHeight="1">
      <c r="C396" s="206"/>
      <c r="E396" s="906"/>
      <c r="F396" s="195"/>
      <c r="G396" s="533"/>
      <c r="H396" s="534"/>
      <c r="I396" s="536"/>
      <c r="J396" s="537"/>
      <c r="K396" s="195"/>
      <c r="L396" s="533"/>
      <c r="O396" s="539"/>
      <c r="P396" s="533"/>
    </row>
    <row r="397" ht="15.75" customHeight="1">
      <c r="C397" s="206"/>
      <c r="E397" s="906"/>
      <c r="F397" s="195"/>
      <c r="G397" s="533"/>
      <c r="H397" s="534"/>
      <c r="I397" s="536"/>
      <c r="J397" s="537"/>
      <c r="K397" s="195"/>
      <c r="L397" s="533"/>
      <c r="O397" s="539"/>
      <c r="P397" s="533"/>
    </row>
    <row r="398" ht="15.75" customHeight="1">
      <c r="C398" s="206"/>
      <c r="E398" s="906"/>
      <c r="F398" s="195"/>
      <c r="G398" s="533"/>
      <c r="H398" s="534"/>
      <c r="I398" s="536"/>
      <c r="J398" s="537"/>
      <c r="K398" s="195"/>
      <c r="L398" s="533"/>
      <c r="O398" s="539"/>
      <c r="P398" s="533"/>
    </row>
    <row r="399" ht="15.75" customHeight="1">
      <c r="C399" s="206"/>
      <c r="E399" s="906"/>
      <c r="F399" s="195"/>
      <c r="G399" s="533"/>
      <c r="H399" s="534"/>
      <c r="I399" s="536"/>
      <c r="J399" s="537"/>
      <c r="K399" s="195"/>
      <c r="L399" s="533"/>
      <c r="O399" s="539"/>
      <c r="P399" s="533"/>
    </row>
    <row r="400" ht="15.75" customHeight="1">
      <c r="C400" s="206"/>
      <c r="E400" s="906"/>
      <c r="F400" s="195"/>
      <c r="G400" s="533"/>
      <c r="H400" s="534"/>
      <c r="I400" s="536"/>
      <c r="J400" s="537"/>
      <c r="K400" s="195"/>
      <c r="L400" s="533"/>
      <c r="O400" s="539"/>
      <c r="P400" s="533"/>
    </row>
    <row r="401" ht="15.75" customHeight="1">
      <c r="C401" s="206"/>
      <c r="E401" s="906"/>
      <c r="F401" s="195"/>
      <c r="G401" s="533"/>
      <c r="H401" s="534"/>
      <c r="I401" s="536"/>
      <c r="J401" s="537"/>
      <c r="K401" s="195"/>
      <c r="L401" s="533"/>
      <c r="O401" s="539"/>
      <c r="P401" s="533"/>
    </row>
    <row r="402" ht="15.75" customHeight="1">
      <c r="C402" s="206"/>
      <c r="E402" s="906"/>
      <c r="F402" s="195"/>
      <c r="G402" s="533"/>
      <c r="H402" s="534"/>
      <c r="I402" s="536"/>
      <c r="J402" s="537"/>
      <c r="K402" s="195"/>
      <c r="L402" s="533"/>
      <c r="O402" s="539"/>
      <c r="P402" s="533"/>
    </row>
    <row r="403" ht="15.75" customHeight="1">
      <c r="C403" s="206"/>
      <c r="E403" s="906"/>
      <c r="F403" s="195"/>
      <c r="G403" s="533"/>
      <c r="H403" s="534"/>
      <c r="I403" s="536"/>
      <c r="J403" s="537"/>
      <c r="K403" s="195"/>
      <c r="L403" s="533"/>
      <c r="O403" s="539"/>
      <c r="P403" s="533"/>
    </row>
    <row r="404" ht="15.75" customHeight="1">
      <c r="C404" s="206"/>
      <c r="E404" s="906"/>
      <c r="F404" s="195"/>
      <c r="G404" s="533"/>
      <c r="H404" s="534"/>
      <c r="I404" s="536"/>
      <c r="J404" s="537"/>
      <c r="K404" s="195"/>
      <c r="L404" s="533"/>
      <c r="O404" s="539"/>
      <c r="P404" s="533"/>
    </row>
    <row r="405" ht="15.75" customHeight="1">
      <c r="C405" s="206"/>
      <c r="E405" s="906"/>
      <c r="F405" s="195"/>
      <c r="G405" s="533"/>
      <c r="H405" s="534"/>
      <c r="I405" s="536"/>
      <c r="J405" s="537"/>
      <c r="K405" s="195"/>
      <c r="L405" s="533"/>
      <c r="O405" s="539"/>
      <c r="P405" s="533"/>
    </row>
    <row r="406" ht="15.75" customHeight="1">
      <c r="C406" s="206"/>
      <c r="E406" s="906"/>
      <c r="F406" s="195"/>
      <c r="G406" s="533"/>
      <c r="H406" s="534"/>
      <c r="I406" s="536"/>
      <c r="J406" s="537"/>
      <c r="K406" s="195"/>
      <c r="L406" s="533"/>
      <c r="O406" s="539"/>
      <c r="P406" s="533"/>
    </row>
    <row r="407" ht="15.75" customHeight="1">
      <c r="C407" s="206"/>
      <c r="E407" s="906"/>
      <c r="F407" s="195"/>
      <c r="G407" s="533"/>
      <c r="H407" s="534"/>
      <c r="I407" s="536"/>
      <c r="J407" s="537"/>
      <c r="K407" s="195"/>
      <c r="L407" s="533"/>
      <c r="O407" s="539"/>
      <c r="P407" s="533"/>
    </row>
    <row r="408" ht="15.75" customHeight="1">
      <c r="C408" s="206"/>
      <c r="E408" s="906"/>
      <c r="F408" s="195"/>
      <c r="G408" s="533"/>
      <c r="H408" s="534"/>
      <c r="I408" s="536"/>
      <c r="J408" s="537"/>
      <c r="K408" s="195"/>
      <c r="L408" s="533"/>
      <c r="O408" s="539"/>
      <c r="P408" s="533"/>
    </row>
    <row r="409" ht="15.75" customHeight="1">
      <c r="C409" s="206"/>
      <c r="E409" s="906"/>
      <c r="F409" s="195"/>
      <c r="G409" s="533"/>
      <c r="H409" s="534"/>
      <c r="I409" s="536"/>
      <c r="J409" s="537"/>
      <c r="K409" s="195"/>
      <c r="L409" s="533"/>
      <c r="O409" s="539"/>
      <c r="P409" s="533"/>
    </row>
    <row r="410" ht="15.75" customHeight="1">
      <c r="C410" s="206"/>
      <c r="E410" s="906"/>
      <c r="F410" s="195"/>
      <c r="G410" s="533"/>
      <c r="H410" s="534"/>
      <c r="I410" s="536"/>
      <c r="J410" s="537"/>
      <c r="K410" s="195"/>
      <c r="L410" s="533"/>
      <c r="O410" s="539"/>
      <c r="P410" s="533"/>
    </row>
    <row r="411" ht="15.75" customHeight="1">
      <c r="C411" s="206"/>
      <c r="E411" s="906"/>
      <c r="F411" s="195"/>
      <c r="G411" s="533"/>
      <c r="H411" s="534"/>
      <c r="I411" s="536"/>
      <c r="J411" s="537"/>
      <c r="K411" s="195"/>
      <c r="L411" s="533"/>
      <c r="O411" s="539"/>
      <c r="P411" s="533"/>
    </row>
    <row r="412" ht="15.75" customHeight="1">
      <c r="C412" s="206"/>
      <c r="E412" s="906"/>
      <c r="F412" s="195"/>
      <c r="G412" s="533"/>
      <c r="H412" s="534"/>
      <c r="I412" s="536"/>
      <c r="J412" s="537"/>
      <c r="K412" s="195"/>
      <c r="L412" s="533"/>
      <c r="O412" s="539"/>
      <c r="P412" s="533"/>
    </row>
    <row r="413" ht="15.75" customHeight="1">
      <c r="C413" s="206"/>
      <c r="E413" s="906"/>
      <c r="F413" s="195"/>
      <c r="G413" s="533"/>
      <c r="H413" s="534"/>
      <c r="I413" s="536"/>
      <c r="J413" s="537"/>
      <c r="K413" s="195"/>
      <c r="L413" s="533"/>
      <c r="O413" s="539"/>
      <c r="P413" s="533"/>
    </row>
    <row r="414" ht="15.75" customHeight="1">
      <c r="C414" s="206"/>
      <c r="E414" s="906"/>
      <c r="F414" s="195"/>
      <c r="G414" s="533"/>
      <c r="H414" s="534"/>
      <c r="I414" s="536"/>
      <c r="J414" s="537"/>
      <c r="K414" s="195"/>
      <c r="L414" s="533"/>
      <c r="O414" s="539"/>
      <c r="P414" s="533"/>
    </row>
    <row r="415" ht="15.75" customHeight="1">
      <c r="C415" s="206"/>
      <c r="E415" s="906"/>
      <c r="F415" s="195"/>
      <c r="G415" s="533"/>
      <c r="H415" s="534"/>
      <c r="I415" s="536"/>
      <c r="J415" s="537"/>
      <c r="K415" s="195"/>
      <c r="L415" s="533"/>
      <c r="O415" s="539"/>
      <c r="P415" s="533"/>
    </row>
    <row r="416" ht="15.75" customHeight="1">
      <c r="C416" s="206"/>
      <c r="E416" s="906"/>
      <c r="F416" s="195"/>
      <c r="G416" s="533"/>
      <c r="H416" s="534"/>
      <c r="I416" s="536"/>
      <c r="J416" s="537"/>
      <c r="K416" s="195"/>
      <c r="L416" s="533"/>
      <c r="O416" s="539"/>
      <c r="P416" s="533"/>
    </row>
    <row r="417" ht="15.75" customHeight="1">
      <c r="C417" s="206"/>
      <c r="E417" s="906"/>
      <c r="F417" s="195"/>
      <c r="G417" s="533"/>
      <c r="H417" s="534"/>
      <c r="I417" s="536"/>
      <c r="J417" s="537"/>
      <c r="K417" s="195"/>
      <c r="L417" s="533"/>
      <c r="O417" s="539"/>
      <c r="P417" s="533"/>
    </row>
    <row r="418" ht="15.75" customHeight="1">
      <c r="C418" s="206"/>
      <c r="E418" s="906"/>
      <c r="F418" s="195"/>
      <c r="G418" s="533"/>
      <c r="H418" s="534"/>
      <c r="I418" s="536"/>
      <c r="J418" s="537"/>
      <c r="K418" s="195"/>
      <c r="L418" s="533"/>
      <c r="O418" s="539"/>
      <c r="P418" s="533"/>
    </row>
    <row r="419" ht="15.75" customHeight="1">
      <c r="C419" s="206"/>
      <c r="E419" s="906"/>
      <c r="F419" s="195"/>
      <c r="G419" s="533"/>
      <c r="H419" s="534"/>
      <c r="I419" s="536"/>
      <c r="J419" s="537"/>
      <c r="K419" s="195"/>
      <c r="L419" s="533"/>
      <c r="O419" s="539"/>
      <c r="P419" s="533"/>
    </row>
    <row r="420" ht="15.75" customHeight="1">
      <c r="C420" s="206"/>
      <c r="E420" s="906"/>
      <c r="F420" s="195"/>
      <c r="G420" s="533"/>
      <c r="H420" s="534"/>
      <c r="I420" s="536"/>
      <c r="J420" s="537"/>
      <c r="K420" s="195"/>
      <c r="L420" s="533"/>
      <c r="O420" s="539"/>
      <c r="P420" s="533"/>
    </row>
    <row r="421" ht="15.75" customHeight="1">
      <c r="C421" s="206"/>
      <c r="E421" s="906"/>
      <c r="F421" s="195"/>
      <c r="G421" s="533"/>
      <c r="H421" s="534"/>
      <c r="I421" s="536"/>
      <c r="J421" s="537"/>
      <c r="K421" s="195"/>
      <c r="L421" s="533"/>
      <c r="O421" s="539"/>
      <c r="P421" s="533"/>
    </row>
    <row r="422" ht="15.75" customHeight="1">
      <c r="C422" s="206"/>
      <c r="E422" s="906"/>
      <c r="F422" s="195"/>
      <c r="G422" s="533"/>
      <c r="H422" s="534"/>
      <c r="I422" s="536"/>
      <c r="J422" s="537"/>
      <c r="K422" s="195"/>
      <c r="L422" s="533"/>
      <c r="O422" s="539"/>
      <c r="P422" s="533"/>
    </row>
    <row r="423" ht="15.75" customHeight="1">
      <c r="C423" s="206"/>
      <c r="E423" s="906"/>
      <c r="F423" s="195"/>
      <c r="G423" s="533"/>
      <c r="H423" s="534"/>
      <c r="I423" s="536"/>
      <c r="J423" s="537"/>
      <c r="K423" s="195"/>
      <c r="L423" s="533"/>
      <c r="O423" s="539"/>
      <c r="P423" s="533"/>
    </row>
    <row r="424" ht="15.75" customHeight="1">
      <c r="C424" s="206"/>
      <c r="E424" s="906"/>
      <c r="F424" s="195"/>
      <c r="G424" s="533"/>
      <c r="H424" s="534"/>
      <c r="I424" s="536"/>
      <c r="J424" s="537"/>
      <c r="K424" s="195"/>
      <c r="L424" s="533"/>
      <c r="O424" s="539"/>
      <c r="P424" s="533"/>
    </row>
    <row r="425" ht="15.75" customHeight="1">
      <c r="C425" s="206"/>
      <c r="E425" s="906"/>
      <c r="F425" s="195"/>
      <c r="G425" s="533"/>
      <c r="H425" s="534"/>
      <c r="I425" s="536"/>
      <c r="J425" s="537"/>
      <c r="K425" s="195"/>
      <c r="L425" s="533"/>
      <c r="O425" s="539"/>
      <c r="P425" s="533"/>
    </row>
    <row r="426" ht="15.75" customHeight="1">
      <c r="C426" s="206"/>
      <c r="E426" s="906"/>
      <c r="F426" s="195"/>
      <c r="G426" s="533"/>
      <c r="H426" s="534"/>
      <c r="I426" s="536"/>
      <c r="J426" s="537"/>
      <c r="K426" s="195"/>
      <c r="L426" s="533"/>
      <c r="O426" s="539"/>
      <c r="P426" s="533"/>
    </row>
    <row r="427" ht="15.75" customHeight="1">
      <c r="C427" s="206"/>
      <c r="E427" s="906"/>
      <c r="F427" s="195"/>
      <c r="G427" s="533"/>
      <c r="H427" s="534"/>
      <c r="I427" s="536"/>
      <c r="J427" s="537"/>
      <c r="K427" s="195"/>
      <c r="L427" s="533"/>
      <c r="O427" s="539"/>
      <c r="P427" s="533"/>
    </row>
    <row r="428" ht="15.75" customHeight="1">
      <c r="C428" s="206"/>
      <c r="E428" s="906"/>
      <c r="F428" s="195"/>
      <c r="G428" s="533"/>
      <c r="H428" s="534"/>
      <c r="I428" s="536"/>
      <c r="J428" s="537"/>
      <c r="K428" s="195"/>
      <c r="L428" s="533"/>
      <c r="O428" s="539"/>
      <c r="P428" s="533"/>
    </row>
    <row r="429" ht="15.75" customHeight="1">
      <c r="C429" s="206"/>
      <c r="E429" s="906"/>
      <c r="F429" s="195"/>
      <c r="G429" s="533"/>
      <c r="H429" s="534"/>
      <c r="I429" s="536"/>
      <c r="J429" s="537"/>
      <c r="K429" s="195"/>
      <c r="L429" s="533"/>
      <c r="O429" s="539"/>
      <c r="P429" s="533"/>
    </row>
    <row r="430" ht="15.75" customHeight="1">
      <c r="C430" s="206"/>
      <c r="E430" s="906"/>
      <c r="F430" s="195"/>
      <c r="G430" s="533"/>
      <c r="H430" s="534"/>
      <c r="I430" s="536"/>
      <c r="J430" s="537"/>
      <c r="K430" s="195"/>
      <c r="L430" s="533"/>
      <c r="O430" s="539"/>
      <c r="P430" s="533"/>
    </row>
    <row r="431" ht="15.75" customHeight="1">
      <c r="C431" s="206"/>
      <c r="E431" s="906"/>
      <c r="F431" s="195"/>
      <c r="G431" s="533"/>
      <c r="H431" s="534"/>
      <c r="I431" s="536"/>
      <c r="J431" s="537"/>
      <c r="K431" s="195"/>
      <c r="L431" s="533"/>
      <c r="O431" s="539"/>
      <c r="P431" s="533"/>
    </row>
    <row r="432" ht="15.75" customHeight="1">
      <c r="C432" s="206"/>
      <c r="E432" s="906"/>
      <c r="F432" s="195"/>
      <c r="G432" s="533"/>
      <c r="H432" s="534"/>
      <c r="I432" s="536"/>
      <c r="J432" s="537"/>
      <c r="K432" s="195"/>
      <c r="L432" s="533"/>
      <c r="O432" s="539"/>
      <c r="P432" s="533"/>
    </row>
    <row r="433" ht="15.75" customHeight="1">
      <c r="C433" s="206"/>
      <c r="E433" s="906"/>
      <c r="F433" s="195"/>
      <c r="G433" s="533"/>
      <c r="H433" s="534"/>
      <c r="I433" s="536"/>
      <c r="J433" s="537"/>
      <c r="K433" s="195"/>
      <c r="L433" s="533"/>
      <c r="O433" s="539"/>
      <c r="P433" s="533"/>
    </row>
    <row r="434" ht="15.75" customHeight="1">
      <c r="C434" s="206"/>
      <c r="E434" s="906"/>
      <c r="F434" s="195"/>
      <c r="G434" s="533"/>
      <c r="H434" s="534"/>
      <c r="I434" s="536"/>
      <c r="J434" s="537"/>
      <c r="K434" s="195"/>
      <c r="L434" s="533"/>
      <c r="O434" s="539"/>
      <c r="P434" s="533"/>
    </row>
    <row r="435" ht="15.75" customHeight="1">
      <c r="C435" s="206"/>
      <c r="E435" s="906"/>
      <c r="F435" s="195"/>
      <c r="G435" s="533"/>
      <c r="H435" s="534"/>
      <c r="I435" s="536"/>
      <c r="J435" s="537"/>
      <c r="K435" s="195"/>
      <c r="L435" s="533"/>
      <c r="O435" s="539"/>
      <c r="P435" s="533"/>
    </row>
    <row r="436" ht="15.75" customHeight="1">
      <c r="C436" s="206"/>
      <c r="E436" s="906"/>
      <c r="F436" s="195"/>
      <c r="G436" s="533"/>
      <c r="H436" s="534"/>
      <c r="I436" s="536"/>
      <c r="J436" s="537"/>
      <c r="K436" s="195"/>
      <c r="L436" s="533"/>
      <c r="O436" s="539"/>
      <c r="P436" s="533"/>
    </row>
    <row r="437" ht="15.75" customHeight="1">
      <c r="C437" s="206"/>
      <c r="E437" s="906"/>
      <c r="F437" s="195"/>
      <c r="G437" s="533"/>
      <c r="H437" s="534"/>
      <c r="I437" s="536"/>
      <c r="J437" s="537"/>
      <c r="K437" s="195"/>
      <c r="L437" s="533"/>
      <c r="O437" s="539"/>
      <c r="P437" s="533"/>
    </row>
    <row r="438" ht="15.75" customHeight="1">
      <c r="C438" s="206"/>
      <c r="E438" s="906"/>
      <c r="F438" s="195"/>
      <c r="G438" s="533"/>
      <c r="H438" s="534"/>
      <c r="I438" s="536"/>
      <c r="J438" s="537"/>
      <c r="K438" s="195"/>
      <c r="L438" s="533"/>
      <c r="O438" s="539"/>
      <c r="P438" s="533"/>
    </row>
    <row r="439" ht="15.75" customHeight="1">
      <c r="C439" s="206"/>
      <c r="E439" s="906"/>
      <c r="F439" s="195"/>
      <c r="G439" s="533"/>
      <c r="H439" s="534"/>
      <c r="I439" s="536"/>
      <c r="J439" s="537"/>
      <c r="K439" s="195"/>
      <c r="L439" s="533"/>
      <c r="O439" s="539"/>
      <c r="P439" s="533"/>
    </row>
    <row r="440" ht="15.75" customHeight="1">
      <c r="C440" s="206"/>
      <c r="E440" s="906"/>
      <c r="F440" s="195"/>
      <c r="G440" s="533"/>
      <c r="H440" s="534"/>
      <c r="I440" s="536"/>
      <c r="J440" s="537"/>
      <c r="K440" s="195"/>
      <c r="L440" s="533"/>
      <c r="O440" s="539"/>
      <c r="P440" s="533"/>
    </row>
    <row r="441" ht="15.75" customHeight="1">
      <c r="C441" s="206"/>
      <c r="E441" s="906"/>
      <c r="F441" s="195"/>
      <c r="G441" s="533"/>
      <c r="H441" s="534"/>
      <c r="I441" s="536"/>
      <c r="J441" s="537"/>
      <c r="K441" s="195"/>
      <c r="L441" s="533"/>
      <c r="O441" s="539"/>
      <c r="P441" s="533"/>
    </row>
    <row r="442" ht="15.75" customHeight="1">
      <c r="C442" s="206"/>
      <c r="E442" s="906"/>
      <c r="F442" s="195"/>
      <c r="G442" s="533"/>
      <c r="H442" s="534"/>
      <c r="I442" s="536"/>
      <c r="J442" s="537"/>
      <c r="K442" s="195"/>
      <c r="L442" s="533"/>
      <c r="O442" s="539"/>
      <c r="P442" s="533"/>
    </row>
    <row r="443" ht="15.75" customHeight="1">
      <c r="C443" s="206"/>
      <c r="E443" s="906"/>
      <c r="F443" s="195"/>
      <c r="G443" s="533"/>
      <c r="H443" s="534"/>
      <c r="I443" s="536"/>
      <c r="J443" s="537"/>
      <c r="K443" s="195"/>
      <c r="L443" s="533"/>
      <c r="O443" s="539"/>
      <c r="P443" s="533"/>
    </row>
    <row r="444" ht="15.75" customHeight="1">
      <c r="C444" s="206"/>
      <c r="E444" s="906"/>
      <c r="F444" s="195"/>
      <c r="G444" s="533"/>
      <c r="H444" s="534"/>
      <c r="I444" s="536"/>
      <c r="J444" s="537"/>
      <c r="K444" s="195"/>
      <c r="L444" s="533"/>
      <c r="O444" s="539"/>
      <c r="P444" s="533"/>
    </row>
    <row r="445" ht="15.75" customHeight="1">
      <c r="C445" s="206"/>
      <c r="E445" s="906"/>
      <c r="F445" s="195"/>
      <c r="G445" s="533"/>
      <c r="H445" s="534"/>
      <c r="I445" s="536"/>
      <c r="J445" s="537"/>
      <c r="K445" s="195"/>
      <c r="L445" s="533"/>
      <c r="O445" s="539"/>
      <c r="P445" s="533"/>
    </row>
    <row r="446" ht="15.75" customHeight="1">
      <c r="C446" s="206"/>
      <c r="E446" s="906"/>
      <c r="F446" s="195"/>
      <c r="G446" s="533"/>
      <c r="H446" s="534"/>
      <c r="I446" s="536"/>
      <c r="J446" s="537"/>
      <c r="K446" s="195"/>
      <c r="L446" s="533"/>
      <c r="O446" s="539"/>
      <c r="P446" s="533"/>
    </row>
    <row r="447" ht="15.75" customHeight="1">
      <c r="C447" s="206"/>
      <c r="E447" s="906"/>
      <c r="F447" s="195"/>
      <c r="G447" s="533"/>
      <c r="H447" s="534"/>
      <c r="I447" s="536"/>
      <c r="J447" s="537"/>
      <c r="K447" s="195"/>
      <c r="L447" s="533"/>
      <c r="O447" s="539"/>
      <c r="P447" s="533"/>
    </row>
    <row r="448" ht="15.75" customHeight="1">
      <c r="C448" s="206"/>
      <c r="E448" s="906"/>
      <c r="F448" s="195"/>
      <c r="G448" s="533"/>
      <c r="H448" s="534"/>
      <c r="I448" s="536"/>
      <c r="J448" s="537"/>
      <c r="K448" s="195"/>
      <c r="L448" s="533"/>
      <c r="O448" s="539"/>
      <c r="P448" s="533"/>
    </row>
    <row r="449" ht="15.75" customHeight="1">
      <c r="C449" s="206"/>
      <c r="E449" s="906"/>
      <c r="F449" s="195"/>
      <c r="G449" s="533"/>
      <c r="H449" s="534"/>
      <c r="I449" s="536"/>
      <c r="J449" s="537"/>
      <c r="K449" s="195"/>
      <c r="L449" s="533"/>
      <c r="O449" s="539"/>
      <c r="P449" s="533"/>
    </row>
    <row r="450" ht="15.75" customHeight="1">
      <c r="C450" s="206"/>
      <c r="E450" s="906"/>
      <c r="F450" s="195"/>
      <c r="G450" s="533"/>
      <c r="H450" s="534"/>
      <c r="I450" s="536"/>
      <c r="J450" s="537"/>
      <c r="K450" s="195"/>
      <c r="L450" s="533"/>
      <c r="O450" s="539"/>
      <c r="P450" s="533"/>
    </row>
    <row r="451" ht="15.75" customHeight="1">
      <c r="C451" s="206"/>
      <c r="E451" s="906"/>
      <c r="F451" s="195"/>
      <c r="G451" s="533"/>
      <c r="H451" s="534"/>
      <c r="I451" s="536"/>
      <c r="J451" s="537"/>
      <c r="K451" s="195"/>
      <c r="L451" s="533"/>
      <c r="O451" s="539"/>
      <c r="P451" s="533"/>
    </row>
    <row r="452" ht="15.75" customHeight="1">
      <c r="C452" s="206"/>
      <c r="E452" s="906"/>
      <c r="F452" s="195"/>
      <c r="G452" s="533"/>
      <c r="H452" s="534"/>
      <c r="I452" s="536"/>
      <c r="J452" s="537"/>
      <c r="K452" s="195"/>
      <c r="L452" s="533"/>
      <c r="O452" s="539"/>
      <c r="P452" s="533"/>
    </row>
    <row r="453" ht="15.75" customHeight="1">
      <c r="C453" s="206"/>
      <c r="E453" s="906"/>
      <c r="F453" s="195"/>
      <c r="G453" s="533"/>
      <c r="H453" s="534"/>
      <c r="I453" s="536"/>
      <c r="J453" s="537"/>
      <c r="K453" s="195"/>
      <c r="L453" s="533"/>
      <c r="O453" s="539"/>
      <c r="P453" s="533"/>
    </row>
    <row r="454" ht="15.75" customHeight="1">
      <c r="C454" s="206"/>
      <c r="E454" s="906"/>
      <c r="F454" s="195"/>
      <c r="G454" s="533"/>
      <c r="H454" s="534"/>
      <c r="I454" s="536"/>
      <c r="J454" s="537"/>
      <c r="K454" s="195"/>
      <c r="L454" s="533"/>
      <c r="O454" s="539"/>
      <c r="P454" s="533"/>
    </row>
    <row r="455" ht="15.75" customHeight="1">
      <c r="C455" s="206"/>
      <c r="E455" s="906"/>
      <c r="F455" s="195"/>
      <c r="G455" s="533"/>
      <c r="H455" s="534"/>
      <c r="I455" s="536"/>
      <c r="J455" s="537"/>
      <c r="K455" s="195"/>
      <c r="L455" s="533"/>
      <c r="O455" s="539"/>
      <c r="P455" s="533"/>
    </row>
    <row r="456" ht="15.75" customHeight="1">
      <c r="C456" s="206"/>
      <c r="E456" s="906"/>
      <c r="F456" s="195"/>
      <c r="G456" s="533"/>
      <c r="H456" s="534"/>
      <c r="I456" s="536"/>
      <c r="J456" s="537"/>
      <c r="K456" s="195"/>
      <c r="L456" s="533"/>
      <c r="O456" s="539"/>
      <c r="P456" s="533"/>
    </row>
    <row r="457" ht="15.75" customHeight="1">
      <c r="C457" s="206"/>
      <c r="E457" s="906"/>
      <c r="F457" s="195"/>
      <c r="G457" s="533"/>
      <c r="H457" s="534"/>
      <c r="I457" s="536"/>
      <c r="J457" s="537"/>
      <c r="K457" s="195"/>
      <c r="L457" s="533"/>
      <c r="O457" s="539"/>
      <c r="P457" s="533"/>
    </row>
    <row r="458" ht="15.75" customHeight="1">
      <c r="C458" s="206"/>
      <c r="E458" s="906"/>
      <c r="F458" s="195"/>
      <c r="G458" s="533"/>
      <c r="H458" s="534"/>
      <c r="I458" s="536"/>
      <c r="J458" s="537"/>
      <c r="K458" s="195"/>
      <c r="L458" s="533"/>
      <c r="O458" s="539"/>
      <c r="P458" s="533"/>
    </row>
    <row r="459" ht="15.75" customHeight="1">
      <c r="C459" s="206"/>
      <c r="E459" s="906"/>
      <c r="F459" s="195"/>
      <c r="G459" s="533"/>
      <c r="H459" s="534"/>
      <c r="I459" s="536"/>
      <c r="J459" s="537"/>
      <c r="K459" s="195"/>
      <c r="L459" s="533"/>
      <c r="O459" s="539"/>
      <c r="P459" s="533"/>
    </row>
    <row r="460" ht="15.75" customHeight="1">
      <c r="C460" s="206"/>
      <c r="E460" s="906"/>
      <c r="F460" s="195"/>
      <c r="G460" s="533"/>
      <c r="H460" s="534"/>
      <c r="I460" s="536"/>
      <c r="J460" s="537"/>
      <c r="K460" s="195"/>
      <c r="L460" s="533"/>
      <c r="O460" s="539"/>
      <c r="P460" s="533"/>
    </row>
    <row r="461" ht="15.75" customHeight="1">
      <c r="C461" s="206"/>
      <c r="E461" s="906"/>
      <c r="F461" s="195"/>
      <c r="G461" s="533"/>
      <c r="H461" s="534"/>
      <c r="I461" s="536"/>
      <c r="J461" s="537"/>
      <c r="K461" s="195"/>
      <c r="L461" s="533"/>
      <c r="O461" s="539"/>
      <c r="P461" s="533"/>
    </row>
    <row r="462" ht="15.75" customHeight="1">
      <c r="C462" s="206"/>
      <c r="E462" s="906"/>
      <c r="F462" s="195"/>
      <c r="G462" s="533"/>
      <c r="H462" s="534"/>
      <c r="I462" s="536"/>
      <c r="J462" s="537"/>
      <c r="K462" s="195"/>
      <c r="L462" s="533"/>
      <c r="O462" s="539"/>
      <c r="P462" s="533"/>
    </row>
    <row r="463" ht="15.75" customHeight="1">
      <c r="C463" s="206"/>
      <c r="E463" s="906"/>
      <c r="F463" s="195"/>
      <c r="G463" s="533"/>
      <c r="H463" s="534"/>
      <c r="I463" s="536"/>
      <c r="J463" s="537"/>
      <c r="K463" s="195"/>
      <c r="L463" s="533"/>
      <c r="O463" s="539"/>
      <c r="P463" s="533"/>
    </row>
    <row r="464" ht="15.75" customHeight="1">
      <c r="C464" s="206"/>
      <c r="E464" s="906"/>
      <c r="F464" s="195"/>
      <c r="G464" s="533"/>
      <c r="H464" s="534"/>
      <c r="I464" s="536"/>
      <c r="J464" s="537"/>
      <c r="K464" s="195"/>
      <c r="L464" s="533"/>
      <c r="O464" s="539"/>
      <c r="P464" s="533"/>
    </row>
    <row r="465" ht="15.75" customHeight="1">
      <c r="C465" s="206"/>
      <c r="E465" s="906"/>
      <c r="F465" s="195"/>
      <c r="G465" s="533"/>
      <c r="H465" s="534"/>
      <c r="I465" s="536"/>
      <c r="J465" s="537"/>
      <c r="K465" s="195"/>
      <c r="L465" s="533"/>
      <c r="O465" s="539"/>
      <c r="P465" s="533"/>
    </row>
    <row r="466" ht="15.75" customHeight="1">
      <c r="C466" s="206"/>
      <c r="E466" s="906"/>
      <c r="F466" s="195"/>
      <c r="G466" s="533"/>
      <c r="H466" s="534"/>
      <c r="I466" s="536"/>
      <c r="J466" s="537"/>
      <c r="K466" s="195"/>
      <c r="L466" s="533"/>
      <c r="O466" s="539"/>
      <c r="P466" s="533"/>
    </row>
    <row r="467" ht="15.75" customHeight="1">
      <c r="C467" s="206"/>
      <c r="E467" s="906"/>
      <c r="F467" s="195"/>
      <c r="G467" s="533"/>
      <c r="H467" s="534"/>
      <c r="I467" s="536"/>
      <c r="J467" s="537"/>
      <c r="K467" s="195"/>
      <c r="L467" s="533"/>
      <c r="O467" s="539"/>
      <c r="P467" s="533"/>
    </row>
    <row r="468" ht="15.75" customHeight="1">
      <c r="C468" s="206"/>
      <c r="E468" s="906"/>
      <c r="F468" s="195"/>
      <c r="G468" s="533"/>
      <c r="H468" s="534"/>
      <c r="I468" s="536"/>
      <c r="J468" s="537"/>
      <c r="K468" s="195"/>
      <c r="L468" s="533"/>
      <c r="O468" s="539"/>
      <c r="P468" s="533"/>
    </row>
    <row r="469" ht="15.75" customHeight="1">
      <c r="C469" s="206"/>
      <c r="E469" s="906"/>
      <c r="F469" s="195"/>
      <c r="G469" s="533"/>
      <c r="H469" s="534"/>
      <c r="I469" s="536"/>
      <c r="J469" s="537"/>
      <c r="K469" s="195"/>
      <c r="L469" s="533"/>
      <c r="O469" s="539"/>
      <c r="P469" s="533"/>
    </row>
    <row r="470" ht="15.75" customHeight="1">
      <c r="C470" s="206"/>
      <c r="E470" s="906"/>
      <c r="F470" s="195"/>
      <c r="G470" s="533"/>
      <c r="H470" s="534"/>
      <c r="I470" s="536"/>
      <c r="J470" s="537"/>
      <c r="K470" s="195"/>
      <c r="L470" s="533"/>
      <c r="O470" s="539"/>
      <c r="P470" s="533"/>
    </row>
    <row r="471" ht="15.75" customHeight="1">
      <c r="C471" s="206"/>
      <c r="E471" s="906"/>
      <c r="F471" s="195"/>
      <c r="G471" s="533"/>
      <c r="H471" s="534"/>
      <c r="I471" s="536"/>
      <c r="J471" s="537"/>
      <c r="K471" s="195"/>
      <c r="L471" s="533"/>
      <c r="O471" s="539"/>
      <c r="P471" s="533"/>
    </row>
    <row r="472" ht="15.75" customHeight="1">
      <c r="C472" s="206"/>
      <c r="E472" s="906"/>
      <c r="F472" s="195"/>
      <c r="G472" s="533"/>
      <c r="H472" s="534"/>
      <c r="I472" s="536"/>
      <c r="J472" s="537"/>
      <c r="K472" s="195"/>
      <c r="L472" s="533"/>
      <c r="O472" s="539"/>
      <c r="P472" s="533"/>
    </row>
    <row r="473" ht="15.75" customHeight="1">
      <c r="C473" s="206"/>
      <c r="E473" s="906"/>
      <c r="F473" s="195"/>
      <c r="G473" s="533"/>
      <c r="H473" s="534"/>
      <c r="I473" s="536"/>
      <c r="J473" s="537"/>
      <c r="K473" s="195"/>
      <c r="L473" s="533"/>
      <c r="O473" s="539"/>
      <c r="P473" s="533"/>
    </row>
    <row r="474" ht="15.75" customHeight="1">
      <c r="C474" s="206"/>
      <c r="E474" s="906"/>
      <c r="F474" s="195"/>
      <c r="G474" s="533"/>
      <c r="H474" s="534"/>
      <c r="I474" s="536"/>
      <c r="J474" s="537"/>
      <c r="K474" s="195"/>
      <c r="L474" s="533"/>
      <c r="O474" s="539"/>
      <c r="P474" s="533"/>
    </row>
    <row r="475" ht="15.75" customHeight="1">
      <c r="C475" s="206"/>
      <c r="E475" s="906"/>
      <c r="F475" s="195"/>
      <c r="G475" s="533"/>
      <c r="H475" s="534"/>
      <c r="I475" s="536"/>
      <c r="J475" s="537"/>
      <c r="K475" s="195"/>
      <c r="L475" s="533"/>
      <c r="O475" s="539"/>
      <c r="P475" s="533"/>
    </row>
    <row r="476" ht="15.75" customHeight="1">
      <c r="C476" s="206"/>
      <c r="E476" s="906"/>
      <c r="F476" s="195"/>
      <c r="G476" s="533"/>
      <c r="H476" s="534"/>
      <c r="I476" s="536"/>
      <c r="J476" s="537"/>
      <c r="K476" s="195"/>
      <c r="L476" s="533"/>
      <c r="O476" s="539"/>
      <c r="P476" s="533"/>
    </row>
    <row r="477" ht="15.75" customHeight="1">
      <c r="C477" s="206"/>
      <c r="E477" s="906"/>
      <c r="F477" s="195"/>
      <c r="G477" s="533"/>
      <c r="H477" s="534"/>
      <c r="I477" s="536"/>
      <c r="J477" s="537"/>
      <c r="K477" s="195"/>
      <c r="L477" s="533"/>
      <c r="O477" s="539"/>
      <c r="P477" s="533"/>
    </row>
    <row r="478" ht="15.75" customHeight="1">
      <c r="C478" s="206"/>
      <c r="E478" s="906"/>
      <c r="F478" s="195"/>
      <c r="G478" s="533"/>
      <c r="H478" s="534"/>
      <c r="I478" s="536"/>
      <c r="J478" s="537"/>
      <c r="K478" s="195"/>
      <c r="L478" s="533"/>
      <c r="O478" s="539"/>
      <c r="P478" s="533"/>
    </row>
    <row r="479" ht="15.75" customHeight="1">
      <c r="C479" s="206"/>
      <c r="E479" s="906"/>
      <c r="F479" s="195"/>
      <c r="G479" s="533"/>
      <c r="H479" s="534"/>
      <c r="I479" s="536"/>
      <c r="J479" s="537"/>
      <c r="K479" s="195"/>
      <c r="L479" s="533"/>
      <c r="O479" s="539"/>
      <c r="P479" s="533"/>
    </row>
    <row r="480" ht="15.75" customHeight="1">
      <c r="C480" s="206"/>
      <c r="E480" s="906"/>
      <c r="F480" s="195"/>
      <c r="G480" s="533"/>
      <c r="H480" s="534"/>
      <c r="I480" s="536"/>
      <c r="J480" s="537"/>
      <c r="K480" s="195"/>
      <c r="L480" s="533"/>
      <c r="O480" s="539"/>
      <c r="P480" s="533"/>
    </row>
    <row r="481" ht="15.75" customHeight="1">
      <c r="C481" s="206"/>
      <c r="E481" s="906"/>
      <c r="F481" s="195"/>
      <c r="G481" s="533"/>
      <c r="H481" s="534"/>
      <c r="I481" s="536"/>
      <c r="J481" s="537"/>
      <c r="K481" s="195"/>
      <c r="L481" s="533"/>
      <c r="O481" s="539"/>
      <c r="P481" s="533"/>
    </row>
    <row r="482" ht="15.75" customHeight="1">
      <c r="C482" s="206"/>
      <c r="E482" s="906"/>
      <c r="F482" s="195"/>
      <c r="G482" s="533"/>
      <c r="H482" s="534"/>
      <c r="I482" s="536"/>
      <c r="J482" s="537"/>
      <c r="K482" s="195"/>
      <c r="L482" s="533"/>
      <c r="O482" s="539"/>
      <c r="P482" s="533"/>
    </row>
    <row r="483" ht="15.75" customHeight="1">
      <c r="C483" s="206"/>
      <c r="E483" s="906"/>
      <c r="F483" s="195"/>
      <c r="G483" s="533"/>
      <c r="H483" s="534"/>
      <c r="I483" s="536"/>
      <c r="J483" s="537"/>
      <c r="K483" s="195"/>
      <c r="L483" s="533"/>
      <c r="O483" s="539"/>
      <c r="P483" s="533"/>
    </row>
    <row r="484" ht="15.75" customHeight="1">
      <c r="C484" s="206"/>
      <c r="E484" s="906"/>
      <c r="F484" s="195"/>
      <c r="G484" s="533"/>
      <c r="H484" s="534"/>
      <c r="I484" s="536"/>
      <c r="J484" s="537"/>
      <c r="K484" s="195"/>
      <c r="L484" s="533"/>
      <c r="O484" s="539"/>
      <c r="P484" s="533"/>
    </row>
    <row r="485" ht="15.75" customHeight="1">
      <c r="C485" s="206"/>
      <c r="E485" s="906"/>
      <c r="F485" s="195"/>
      <c r="G485" s="533"/>
      <c r="H485" s="534"/>
      <c r="I485" s="536"/>
      <c r="J485" s="537"/>
      <c r="K485" s="195"/>
      <c r="L485" s="533"/>
      <c r="O485" s="539"/>
      <c r="P485" s="533"/>
    </row>
    <row r="486" ht="15.75" customHeight="1">
      <c r="C486" s="206"/>
      <c r="E486" s="906"/>
      <c r="F486" s="195"/>
      <c r="G486" s="533"/>
      <c r="H486" s="534"/>
      <c r="I486" s="536"/>
      <c r="J486" s="537"/>
      <c r="K486" s="195"/>
      <c r="L486" s="533"/>
      <c r="O486" s="539"/>
      <c r="P486" s="533"/>
    </row>
    <row r="487" ht="15.75" customHeight="1">
      <c r="C487" s="206"/>
      <c r="E487" s="906"/>
      <c r="F487" s="195"/>
      <c r="G487" s="533"/>
      <c r="H487" s="534"/>
      <c r="I487" s="536"/>
      <c r="J487" s="537"/>
      <c r="K487" s="195"/>
      <c r="L487" s="533"/>
      <c r="O487" s="539"/>
      <c r="P487" s="533"/>
    </row>
    <row r="488" ht="15.75" customHeight="1">
      <c r="C488" s="206"/>
      <c r="E488" s="906"/>
      <c r="F488" s="195"/>
      <c r="G488" s="533"/>
      <c r="H488" s="534"/>
      <c r="I488" s="536"/>
      <c r="J488" s="537"/>
      <c r="K488" s="195"/>
      <c r="L488" s="533"/>
      <c r="O488" s="539"/>
      <c r="P488" s="533"/>
    </row>
    <row r="489" ht="15.75" customHeight="1">
      <c r="C489" s="206"/>
      <c r="E489" s="906"/>
      <c r="F489" s="195"/>
      <c r="G489" s="533"/>
      <c r="H489" s="534"/>
      <c r="I489" s="536"/>
      <c r="J489" s="537"/>
      <c r="K489" s="195"/>
      <c r="L489" s="533"/>
      <c r="O489" s="539"/>
      <c r="P489" s="533"/>
    </row>
    <row r="490" ht="15.75" customHeight="1">
      <c r="C490" s="206"/>
      <c r="E490" s="906"/>
      <c r="F490" s="195"/>
      <c r="G490" s="533"/>
      <c r="H490" s="534"/>
      <c r="I490" s="536"/>
      <c r="J490" s="537"/>
      <c r="K490" s="195"/>
      <c r="L490" s="533"/>
      <c r="O490" s="539"/>
      <c r="P490" s="533"/>
    </row>
    <row r="491" ht="15.75" customHeight="1">
      <c r="C491" s="206"/>
      <c r="E491" s="906"/>
      <c r="F491" s="195"/>
      <c r="G491" s="533"/>
      <c r="H491" s="534"/>
      <c r="I491" s="536"/>
      <c r="J491" s="537"/>
      <c r="K491" s="195"/>
      <c r="L491" s="533"/>
      <c r="O491" s="539"/>
      <c r="P491" s="533"/>
    </row>
    <row r="492" ht="15.75" customHeight="1">
      <c r="C492" s="206"/>
      <c r="E492" s="906"/>
      <c r="F492" s="195"/>
      <c r="G492" s="533"/>
      <c r="H492" s="534"/>
      <c r="I492" s="536"/>
      <c r="J492" s="537"/>
      <c r="K492" s="195"/>
      <c r="L492" s="533"/>
      <c r="O492" s="539"/>
      <c r="P492" s="533"/>
    </row>
    <row r="493" ht="15.75" customHeight="1">
      <c r="C493" s="206"/>
      <c r="E493" s="906"/>
      <c r="F493" s="195"/>
      <c r="G493" s="533"/>
      <c r="H493" s="534"/>
      <c r="I493" s="536"/>
      <c r="J493" s="537"/>
      <c r="K493" s="195"/>
      <c r="L493" s="533"/>
      <c r="O493" s="539"/>
      <c r="P493" s="533"/>
    </row>
    <row r="494" ht="15.75" customHeight="1">
      <c r="C494" s="206"/>
      <c r="E494" s="906"/>
      <c r="F494" s="195"/>
      <c r="G494" s="533"/>
      <c r="H494" s="534"/>
      <c r="I494" s="536"/>
      <c r="J494" s="537"/>
      <c r="K494" s="195"/>
      <c r="L494" s="533"/>
      <c r="O494" s="539"/>
      <c r="P494" s="533"/>
    </row>
    <row r="495" ht="15.75" customHeight="1">
      <c r="C495" s="206"/>
      <c r="E495" s="906"/>
      <c r="F495" s="195"/>
      <c r="G495" s="533"/>
      <c r="H495" s="534"/>
      <c r="I495" s="536"/>
      <c r="J495" s="537"/>
      <c r="K495" s="195"/>
      <c r="L495" s="533"/>
      <c r="O495" s="539"/>
      <c r="P495" s="533"/>
    </row>
    <row r="496" ht="15.75" customHeight="1">
      <c r="C496" s="206"/>
      <c r="E496" s="906"/>
      <c r="F496" s="195"/>
      <c r="G496" s="533"/>
      <c r="H496" s="534"/>
      <c r="I496" s="536"/>
      <c r="J496" s="537"/>
      <c r="K496" s="195"/>
      <c r="L496" s="533"/>
      <c r="O496" s="539"/>
      <c r="P496" s="533"/>
    </row>
    <row r="497" ht="15.75" customHeight="1">
      <c r="C497" s="206"/>
      <c r="E497" s="906"/>
      <c r="F497" s="195"/>
      <c r="G497" s="533"/>
      <c r="H497" s="534"/>
      <c r="I497" s="536"/>
      <c r="J497" s="537"/>
      <c r="K497" s="195"/>
      <c r="L497" s="533"/>
      <c r="O497" s="539"/>
      <c r="P497" s="533"/>
    </row>
    <row r="498" ht="15.75" customHeight="1">
      <c r="C498" s="206"/>
      <c r="E498" s="906"/>
      <c r="F498" s="195"/>
      <c r="G498" s="533"/>
      <c r="H498" s="534"/>
      <c r="I498" s="536"/>
      <c r="J498" s="537"/>
      <c r="K498" s="195"/>
      <c r="L498" s="533"/>
      <c r="O498" s="539"/>
      <c r="P498" s="533"/>
    </row>
    <row r="499" ht="15.75" customHeight="1">
      <c r="C499" s="206"/>
      <c r="E499" s="906"/>
      <c r="F499" s="195"/>
      <c r="G499" s="533"/>
      <c r="H499" s="534"/>
      <c r="I499" s="536"/>
      <c r="J499" s="537"/>
      <c r="K499" s="195"/>
      <c r="L499" s="533"/>
      <c r="O499" s="539"/>
      <c r="P499" s="533"/>
    </row>
    <row r="500" ht="15.75" customHeight="1">
      <c r="C500" s="206"/>
      <c r="E500" s="906"/>
      <c r="F500" s="195"/>
      <c r="G500" s="533"/>
      <c r="H500" s="534"/>
      <c r="I500" s="536"/>
      <c r="J500" s="537"/>
      <c r="K500" s="195"/>
      <c r="L500" s="533"/>
      <c r="O500" s="539"/>
      <c r="P500" s="533"/>
    </row>
    <row r="501" ht="15.75" customHeight="1">
      <c r="C501" s="206"/>
      <c r="E501" s="906"/>
      <c r="F501" s="195"/>
      <c r="G501" s="533"/>
      <c r="H501" s="534"/>
      <c r="I501" s="536"/>
      <c r="J501" s="537"/>
      <c r="K501" s="195"/>
      <c r="L501" s="533"/>
      <c r="O501" s="539"/>
      <c r="P501" s="533"/>
    </row>
    <row r="502" ht="15.75" customHeight="1">
      <c r="C502" s="206"/>
      <c r="E502" s="906"/>
      <c r="F502" s="195"/>
      <c r="G502" s="533"/>
      <c r="H502" s="534"/>
      <c r="I502" s="536"/>
      <c r="J502" s="537"/>
      <c r="K502" s="195"/>
      <c r="L502" s="533"/>
      <c r="O502" s="539"/>
      <c r="P502" s="533"/>
    </row>
    <row r="503" ht="15.75" customHeight="1">
      <c r="C503" s="206"/>
      <c r="E503" s="906"/>
      <c r="F503" s="195"/>
      <c r="G503" s="533"/>
      <c r="H503" s="534"/>
      <c r="I503" s="536"/>
      <c r="J503" s="537"/>
      <c r="K503" s="195"/>
      <c r="L503" s="533"/>
      <c r="O503" s="539"/>
      <c r="P503" s="533"/>
    </row>
    <row r="504" ht="15.75" customHeight="1">
      <c r="C504" s="206"/>
      <c r="E504" s="906"/>
      <c r="F504" s="195"/>
      <c r="G504" s="533"/>
      <c r="H504" s="534"/>
      <c r="I504" s="536"/>
      <c r="J504" s="537"/>
      <c r="K504" s="195"/>
      <c r="L504" s="533"/>
      <c r="O504" s="539"/>
      <c r="P504" s="533"/>
    </row>
    <row r="505" ht="15.75" customHeight="1">
      <c r="C505" s="206"/>
      <c r="E505" s="906"/>
      <c r="F505" s="195"/>
      <c r="G505" s="533"/>
      <c r="H505" s="534"/>
      <c r="I505" s="536"/>
      <c r="J505" s="537"/>
      <c r="K505" s="195"/>
      <c r="L505" s="533"/>
      <c r="O505" s="539"/>
      <c r="P505" s="533"/>
    </row>
    <row r="506" ht="15.75" customHeight="1">
      <c r="C506" s="206"/>
      <c r="E506" s="906"/>
      <c r="F506" s="195"/>
      <c r="G506" s="533"/>
      <c r="H506" s="534"/>
      <c r="I506" s="536"/>
      <c r="J506" s="537"/>
      <c r="K506" s="195"/>
      <c r="L506" s="533"/>
      <c r="O506" s="539"/>
      <c r="P506" s="533"/>
    </row>
    <row r="507" ht="15.75" customHeight="1">
      <c r="C507" s="206"/>
      <c r="E507" s="906"/>
      <c r="F507" s="195"/>
      <c r="G507" s="533"/>
      <c r="H507" s="534"/>
      <c r="I507" s="536"/>
      <c r="J507" s="537"/>
      <c r="K507" s="195"/>
      <c r="L507" s="533"/>
      <c r="O507" s="539"/>
      <c r="P507" s="533"/>
    </row>
    <row r="508" ht="15.75" customHeight="1">
      <c r="C508" s="206"/>
      <c r="E508" s="906"/>
      <c r="F508" s="195"/>
      <c r="G508" s="533"/>
      <c r="H508" s="534"/>
      <c r="I508" s="536"/>
      <c r="J508" s="537"/>
      <c r="K508" s="195"/>
      <c r="L508" s="533"/>
      <c r="O508" s="539"/>
      <c r="P508" s="533"/>
    </row>
    <row r="509" ht="15.75" customHeight="1">
      <c r="C509" s="206"/>
      <c r="E509" s="906"/>
      <c r="F509" s="195"/>
      <c r="G509" s="533"/>
      <c r="H509" s="534"/>
      <c r="I509" s="536"/>
      <c r="J509" s="537"/>
      <c r="K509" s="195"/>
      <c r="L509" s="533"/>
      <c r="O509" s="539"/>
      <c r="P509" s="533"/>
    </row>
    <row r="510" ht="15.75" customHeight="1">
      <c r="C510" s="206"/>
      <c r="E510" s="906"/>
      <c r="F510" s="195"/>
      <c r="G510" s="533"/>
      <c r="H510" s="534"/>
      <c r="I510" s="536"/>
      <c r="J510" s="537"/>
      <c r="K510" s="195"/>
      <c r="L510" s="533"/>
      <c r="O510" s="539"/>
      <c r="P510" s="533"/>
    </row>
    <row r="511" ht="15.75" customHeight="1">
      <c r="C511" s="206"/>
      <c r="E511" s="906"/>
      <c r="F511" s="195"/>
      <c r="G511" s="533"/>
      <c r="H511" s="534"/>
      <c r="I511" s="536"/>
      <c r="J511" s="537"/>
      <c r="K511" s="195"/>
      <c r="L511" s="533"/>
      <c r="O511" s="539"/>
      <c r="P511" s="533"/>
    </row>
    <row r="512" ht="15.75" customHeight="1">
      <c r="C512" s="206"/>
      <c r="E512" s="906"/>
      <c r="F512" s="195"/>
      <c r="G512" s="533"/>
      <c r="H512" s="534"/>
      <c r="I512" s="536"/>
      <c r="J512" s="537"/>
      <c r="K512" s="195"/>
      <c r="L512" s="533"/>
      <c r="O512" s="539"/>
      <c r="P512" s="533"/>
    </row>
    <row r="513" ht="15.75" customHeight="1">
      <c r="C513" s="206"/>
      <c r="E513" s="906"/>
      <c r="F513" s="195"/>
      <c r="G513" s="533"/>
      <c r="H513" s="534"/>
      <c r="I513" s="536"/>
      <c r="J513" s="537"/>
      <c r="K513" s="195"/>
      <c r="L513" s="533"/>
      <c r="O513" s="539"/>
      <c r="P513" s="533"/>
    </row>
    <row r="514" ht="15.75" customHeight="1">
      <c r="C514" s="206"/>
      <c r="E514" s="906"/>
      <c r="F514" s="195"/>
      <c r="G514" s="533"/>
      <c r="H514" s="534"/>
      <c r="I514" s="536"/>
      <c r="J514" s="537"/>
      <c r="K514" s="195"/>
      <c r="L514" s="533"/>
      <c r="O514" s="539"/>
      <c r="P514" s="533"/>
    </row>
    <row r="515" ht="15.75" customHeight="1">
      <c r="C515" s="206"/>
      <c r="E515" s="906"/>
      <c r="F515" s="195"/>
      <c r="G515" s="533"/>
      <c r="H515" s="534"/>
      <c r="I515" s="536"/>
      <c r="J515" s="537"/>
      <c r="K515" s="195"/>
      <c r="L515" s="533"/>
      <c r="O515" s="539"/>
      <c r="P515" s="533"/>
    </row>
    <row r="516" ht="15.75" customHeight="1">
      <c r="C516" s="206"/>
      <c r="E516" s="906"/>
      <c r="F516" s="195"/>
      <c r="G516" s="533"/>
      <c r="H516" s="534"/>
      <c r="I516" s="536"/>
      <c r="J516" s="537"/>
      <c r="K516" s="195"/>
      <c r="L516" s="533"/>
      <c r="O516" s="539"/>
      <c r="P516" s="533"/>
    </row>
    <row r="517" ht="15.75" customHeight="1">
      <c r="C517" s="206"/>
      <c r="E517" s="906"/>
      <c r="F517" s="195"/>
      <c r="G517" s="533"/>
      <c r="H517" s="534"/>
      <c r="I517" s="536"/>
      <c r="J517" s="537"/>
      <c r="K517" s="195"/>
      <c r="L517" s="533"/>
      <c r="O517" s="539"/>
      <c r="P517" s="533"/>
    </row>
    <row r="518" ht="15.75" customHeight="1">
      <c r="C518" s="206"/>
      <c r="E518" s="906"/>
      <c r="F518" s="195"/>
      <c r="G518" s="533"/>
      <c r="H518" s="534"/>
      <c r="I518" s="536"/>
      <c r="J518" s="537"/>
      <c r="K518" s="195"/>
      <c r="L518" s="533"/>
      <c r="O518" s="539"/>
      <c r="P518" s="533"/>
    </row>
    <row r="519" ht="15.75" customHeight="1">
      <c r="C519" s="206"/>
      <c r="E519" s="906"/>
      <c r="F519" s="195"/>
      <c r="G519" s="533"/>
      <c r="H519" s="534"/>
      <c r="I519" s="536"/>
      <c r="J519" s="537"/>
      <c r="K519" s="195"/>
      <c r="L519" s="533"/>
      <c r="O519" s="539"/>
      <c r="P519" s="533"/>
    </row>
    <row r="520" ht="15.75" customHeight="1">
      <c r="C520" s="206"/>
      <c r="E520" s="906"/>
      <c r="F520" s="195"/>
      <c r="G520" s="533"/>
      <c r="H520" s="534"/>
      <c r="I520" s="536"/>
      <c r="J520" s="537"/>
      <c r="K520" s="195"/>
      <c r="L520" s="533"/>
      <c r="O520" s="539"/>
      <c r="P520" s="533"/>
    </row>
    <row r="521" ht="15.75" customHeight="1">
      <c r="C521" s="206"/>
      <c r="E521" s="906"/>
      <c r="F521" s="195"/>
      <c r="G521" s="533"/>
      <c r="H521" s="534"/>
      <c r="I521" s="536"/>
      <c r="J521" s="537"/>
      <c r="K521" s="195"/>
      <c r="L521" s="533"/>
      <c r="O521" s="539"/>
      <c r="P521" s="533"/>
    </row>
    <row r="522" ht="15.75" customHeight="1">
      <c r="C522" s="206"/>
      <c r="E522" s="906"/>
      <c r="F522" s="195"/>
      <c r="G522" s="533"/>
      <c r="H522" s="534"/>
      <c r="I522" s="536"/>
      <c r="J522" s="537"/>
      <c r="K522" s="195"/>
      <c r="L522" s="533"/>
      <c r="O522" s="539"/>
      <c r="P522" s="533"/>
    </row>
    <row r="523" ht="15.75" customHeight="1">
      <c r="C523" s="206"/>
      <c r="E523" s="906"/>
      <c r="F523" s="195"/>
      <c r="G523" s="533"/>
      <c r="H523" s="534"/>
      <c r="I523" s="536"/>
      <c r="J523" s="537"/>
      <c r="K523" s="195"/>
      <c r="L523" s="533"/>
      <c r="O523" s="539"/>
      <c r="P523" s="533"/>
    </row>
    <row r="524" ht="15.75" customHeight="1">
      <c r="C524" s="206"/>
      <c r="E524" s="906"/>
      <c r="F524" s="195"/>
      <c r="G524" s="533"/>
      <c r="H524" s="534"/>
      <c r="I524" s="536"/>
      <c r="J524" s="537"/>
      <c r="K524" s="195"/>
      <c r="L524" s="533"/>
      <c r="O524" s="539"/>
      <c r="P524" s="533"/>
    </row>
    <row r="525" ht="15.75" customHeight="1">
      <c r="C525" s="206"/>
      <c r="E525" s="906"/>
      <c r="F525" s="195"/>
      <c r="G525" s="533"/>
      <c r="H525" s="534"/>
      <c r="I525" s="536"/>
      <c r="J525" s="537"/>
      <c r="K525" s="195"/>
      <c r="L525" s="533"/>
      <c r="O525" s="539"/>
      <c r="P525" s="533"/>
    </row>
    <row r="526" ht="15.75" customHeight="1">
      <c r="C526" s="206"/>
      <c r="E526" s="906"/>
      <c r="F526" s="195"/>
      <c r="G526" s="533"/>
      <c r="H526" s="534"/>
      <c r="I526" s="536"/>
      <c r="J526" s="537"/>
      <c r="K526" s="195"/>
      <c r="L526" s="533"/>
      <c r="O526" s="539"/>
      <c r="P526" s="533"/>
    </row>
    <row r="527" ht="15.75" customHeight="1">
      <c r="C527" s="206"/>
      <c r="E527" s="906"/>
      <c r="F527" s="195"/>
      <c r="G527" s="533"/>
      <c r="H527" s="534"/>
      <c r="I527" s="536"/>
      <c r="J527" s="537"/>
      <c r="K527" s="195"/>
      <c r="L527" s="533"/>
      <c r="O527" s="539"/>
      <c r="P527" s="533"/>
    </row>
    <row r="528" ht="15.75" customHeight="1">
      <c r="C528" s="206"/>
      <c r="E528" s="906"/>
      <c r="F528" s="195"/>
      <c r="G528" s="533"/>
      <c r="H528" s="534"/>
      <c r="I528" s="536"/>
      <c r="J528" s="537"/>
      <c r="K528" s="195"/>
      <c r="L528" s="533"/>
      <c r="O528" s="539"/>
      <c r="P528" s="533"/>
    </row>
    <row r="529" ht="15.75" customHeight="1">
      <c r="C529" s="206"/>
      <c r="E529" s="906"/>
      <c r="F529" s="195"/>
      <c r="G529" s="533"/>
      <c r="H529" s="534"/>
      <c r="I529" s="536"/>
      <c r="J529" s="537"/>
      <c r="K529" s="195"/>
      <c r="L529" s="533"/>
      <c r="O529" s="539"/>
      <c r="P529" s="533"/>
    </row>
    <row r="530" ht="15.75" customHeight="1">
      <c r="C530" s="206"/>
      <c r="E530" s="906"/>
      <c r="F530" s="195"/>
      <c r="G530" s="533"/>
      <c r="H530" s="534"/>
      <c r="I530" s="536"/>
      <c r="J530" s="537"/>
      <c r="K530" s="195"/>
      <c r="L530" s="533"/>
      <c r="O530" s="539"/>
      <c r="P530" s="533"/>
    </row>
    <row r="531" ht="15.75" customHeight="1">
      <c r="C531" s="206"/>
      <c r="E531" s="906"/>
      <c r="F531" s="195"/>
      <c r="G531" s="533"/>
      <c r="H531" s="534"/>
      <c r="I531" s="536"/>
      <c r="J531" s="537"/>
      <c r="K531" s="195"/>
      <c r="L531" s="533"/>
      <c r="O531" s="539"/>
      <c r="P531" s="533"/>
    </row>
    <row r="532" ht="15.75" customHeight="1">
      <c r="C532" s="206"/>
      <c r="E532" s="906"/>
      <c r="F532" s="195"/>
      <c r="G532" s="533"/>
      <c r="H532" s="534"/>
      <c r="I532" s="536"/>
      <c r="J532" s="537"/>
      <c r="K532" s="195"/>
      <c r="L532" s="533"/>
      <c r="O532" s="539"/>
      <c r="P532" s="533"/>
    </row>
    <row r="533" ht="15.75" customHeight="1">
      <c r="C533" s="206"/>
      <c r="E533" s="906"/>
      <c r="F533" s="195"/>
      <c r="G533" s="533"/>
      <c r="H533" s="534"/>
      <c r="I533" s="536"/>
      <c r="J533" s="537"/>
      <c r="K533" s="195"/>
      <c r="L533" s="533"/>
      <c r="O533" s="539"/>
      <c r="P533" s="533"/>
    </row>
    <row r="534" ht="15.75" customHeight="1">
      <c r="C534" s="206"/>
      <c r="E534" s="906"/>
      <c r="F534" s="195"/>
      <c r="G534" s="533"/>
      <c r="H534" s="534"/>
      <c r="I534" s="536"/>
      <c r="J534" s="537"/>
      <c r="K534" s="195"/>
      <c r="L534" s="533"/>
      <c r="O534" s="539"/>
      <c r="P534" s="533"/>
    </row>
    <row r="535" ht="15.75" customHeight="1">
      <c r="C535" s="206"/>
      <c r="E535" s="906"/>
      <c r="F535" s="195"/>
      <c r="G535" s="533"/>
      <c r="H535" s="534"/>
      <c r="I535" s="536"/>
      <c r="J535" s="537"/>
      <c r="K535" s="195"/>
      <c r="L535" s="533"/>
      <c r="O535" s="539"/>
      <c r="P535" s="533"/>
    </row>
    <row r="536" ht="15.75" customHeight="1">
      <c r="C536" s="206"/>
      <c r="E536" s="906"/>
      <c r="F536" s="195"/>
      <c r="G536" s="533"/>
      <c r="H536" s="534"/>
      <c r="I536" s="536"/>
      <c r="J536" s="537"/>
      <c r="K536" s="195"/>
      <c r="L536" s="533"/>
      <c r="O536" s="539"/>
      <c r="P536" s="533"/>
    </row>
    <row r="537" ht="15.75" customHeight="1">
      <c r="C537" s="206"/>
      <c r="E537" s="906"/>
      <c r="F537" s="195"/>
      <c r="G537" s="533"/>
      <c r="H537" s="534"/>
      <c r="I537" s="536"/>
      <c r="J537" s="537"/>
      <c r="K537" s="195"/>
      <c r="L537" s="533"/>
      <c r="O537" s="539"/>
      <c r="P537" s="533"/>
    </row>
    <row r="538" ht="15.75" customHeight="1">
      <c r="C538" s="206"/>
      <c r="E538" s="906"/>
      <c r="F538" s="195"/>
      <c r="G538" s="533"/>
      <c r="H538" s="534"/>
      <c r="I538" s="536"/>
      <c r="J538" s="537"/>
      <c r="K538" s="195"/>
      <c r="L538" s="533"/>
      <c r="O538" s="539"/>
      <c r="P538" s="533"/>
    </row>
    <row r="539" ht="15.75" customHeight="1">
      <c r="C539" s="206"/>
      <c r="E539" s="906"/>
      <c r="F539" s="195"/>
      <c r="G539" s="533"/>
      <c r="H539" s="534"/>
      <c r="I539" s="536"/>
      <c r="J539" s="537"/>
      <c r="K539" s="195"/>
      <c r="L539" s="533"/>
      <c r="O539" s="539"/>
      <c r="P539" s="533"/>
    </row>
    <row r="540" ht="15.75" customHeight="1">
      <c r="C540" s="206"/>
      <c r="E540" s="906"/>
      <c r="F540" s="195"/>
      <c r="G540" s="533"/>
      <c r="H540" s="534"/>
      <c r="I540" s="536"/>
      <c r="J540" s="537"/>
      <c r="K540" s="195"/>
      <c r="L540" s="533"/>
      <c r="O540" s="539"/>
      <c r="P540" s="533"/>
    </row>
    <row r="541" ht="15.75" customHeight="1">
      <c r="C541" s="206"/>
      <c r="E541" s="906"/>
      <c r="F541" s="195"/>
      <c r="G541" s="533"/>
      <c r="H541" s="534"/>
      <c r="I541" s="536"/>
      <c r="J541" s="537"/>
      <c r="K541" s="195"/>
      <c r="L541" s="533"/>
      <c r="O541" s="539"/>
      <c r="P541" s="533"/>
    </row>
    <row r="542" ht="15.75" customHeight="1">
      <c r="C542" s="206"/>
      <c r="E542" s="906"/>
      <c r="F542" s="195"/>
      <c r="G542" s="533"/>
      <c r="H542" s="534"/>
      <c r="I542" s="536"/>
      <c r="J542" s="537"/>
      <c r="K542" s="195"/>
      <c r="L542" s="533"/>
      <c r="O542" s="539"/>
      <c r="P542" s="533"/>
    </row>
    <row r="543" ht="15.75" customHeight="1">
      <c r="C543" s="206"/>
      <c r="E543" s="906"/>
      <c r="F543" s="195"/>
      <c r="G543" s="533"/>
      <c r="H543" s="534"/>
      <c r="I543" s="536"/>
      <c r="J543" s="537"/>
      <c r="K543" s="195"/>
      <c r="L543" s="533"/>
      <c r="O543" s="539"/>
      <c r="P543" s="533"/>
    </row>
    <row r="544" ht="15.75" customHeight="1">
      <c r="C544" s="206"/>
      <c r="E544" s="906"/>
      <c r="F544" s="195"/>
      <c r="G544" s="533"/>
      <c r="H544" s="534"/>
      <c r="I544" s="536"/>
      <c r="J544" s="537"/>
      <c r="K544" s="195"/>
      <c r="L544" s="533"/>
      <c r="O544" s="539"/>
      <c r="P544" s="533"/>
    </row>
    <row r="545" ht="15.75" customHeight="1">
      <c r="C545" s="206"/>
      <c r="E545" s="906"/>
      <c r="F545" s="195"/>
      <c r="G545" s="533"/>
      <c r="H545" s="534"/>
      <c r="I545" s="536"/>
      <c r="J545" s="537"/>
      <c r="K545" s="195"/>
      <c r="L545" s="533"/>
      <c r="O545" s="539"/>
      <c r="P545" s="533"/>
    </row>
    <row r="546" ht="15.75" customHeight="1">
      <c r="C546" s="206"/>
      <c r="E546" s="906"/>
      <c r="F546" s="195"/>
      <c r="G546" s="533"/>
      <c r="H546" s="534"/>
      <c r="I546" s="536"/>
      <c r="J546" s="537"/>
      <c r="K546" s="195"/>
      <c r="L546" s="533"/>
      <c r="O546" s="539"/>
      <c r="P546" s="533"/>
    </row>
    <row r="547" ht="15.75" customHeight="1">
      <c r="C547" s="206"/>
      <c r="E547" s="906"/>
      <c r="F547" s="195"/>
      <c r="G547" s="533"/>
      <c r="H547" s="534"/>
      <c r="I547" s="536"/>
      <c r="J547" s="537"/>
      <c r="K547" s="195"/>
      <c r="L547" s="533"/>
      <c r="O547" s="539"/>
      <c r="P547" s="533"/>
    </row>
    <row r="548" ht="15.75" customHeight="1">
      <c r="C548" s="206"/>
      <c r="E548" s="906"/>
      <c r="F548" s="195"/>
      <c r="G548" s="533"/>
      <c r="H548" s="534"/>
      <c r="I548" s="536"/>
      <c r="J548" s="537"/>
      <c r="K548" s="195"/>
      <c r="L548" s="533"/>
      <c r="O548" s="539"/>
      <c r="P548" s="533"/>
    </row>
    <row r="549" ht="15.75" customHeight="1">
      <c r="C549" s="206"/>
      <c r="E549" s="906"/>
      <c r="F549" s="195"/>
      <c r="G549" s="533"/>
      <c r="H549" s="534"/>
      <c r="I549" s="536"/>
      <c r="J549" s="537"/>
      <c r="K549" s="195"/>
      <c r="L549" s="533"/>
      <c r="O549" s="539"/>
      <c r="P549" s="533"/>
    </row>
    <row r="550" ht="15.75" customHeight="1">
      <c r="C550" s="206"/>
      <c r="E550" s="906"/>
      <c r="F550" s="195"/>
      <c r="G550" s="533"/>
      <c r="H550" s="534"/>
      <c r="I550" s="536"/>
      <c r="J550" s="537"/>
      <c r="K550" s="195"/>
      <c r="L550" s="533"/>
      <c r="O550" s="539"/>
      <c r="P550" s="533"/>
    </row>
    <row r="551" ht="15.75" customHeight="1">
      <c r="C551" s="206"/>
      <c r="E551" s="906"/>
      <c r="F551" s="195"/>
      <c r="G551" s="533"/>
      <c r="H551" s="534"/>
      <c r="I551" s="536"/>
      <c r="J551" s="537"/>
      <c r="K551" s="195"/>
      <c r="L551" s="533"/>
      <c r="O551" s="539"/>
      <c r="P551" s="533"/>
    </row>
    <row r="552" ht="15.75" customHeight="1">
      <c r="C552" s="206"/>
      <c r="E552" s="906"/>
      <c r="F552" s="195"/>
      <c r="G552" s="533"/>
      <c r="H552" s="534"/>
      <c r="I552" s="536"/>
      <c r="J552" s="537"/>
      <c r="K552" s="195"/>
      <c r="L552" s="533"/>
      <c r="O552" s="539"/>
      <c r="P552" s="533"/>
    </row>
    <row r="553" ht="15.75" customHeight="1">
      <c r="C553" s="206"/>
      <c r="E553" s="906"/>
      <c r="F553" s="195"/>
      <c r="G553" s="533"/>
      <c r="H553" s="534"/>
      <c r="I553" s="536"/>
      <c r="J553" s="537"/>
      <c r="K553" s="195"/>
      <c r="L553" s="533"/>
      <c r="O553" s="539"/>
      <c r="P553" s="533"/>
    </row>
    <row r="554" ht="15.75" customHeight="1">
      <c r="C554" s="206"/>
      <c r="E554" s="906"/>
      <c r="F554" s="195"/>
      <c r="G554" s="533"/>
      <c r="H554" s="534"/>
      <c r="I554" s="536"/>
      <c r="J554" s="537"/>
      <c r="K554" s="195"/>
      <c r="L554" s="533"/>
      <c r="O554" s="539"/>
      <c r="P554" s="533"/>
    </row>
    <row r="555" ht="15.75" customHeight="1">
      <c r="C555" s="206"/>
      <c r="E555" s="906"/>
      <c r="F555" s="195"/>
      <c r="G555" s="533"/>
      <c r="H555" s="534"/>
      <c r="I555" s="536"/>
      <c r="J555" s="537"/>
      <c r="K555" s="195"/>
      <c r="L555" s="533"/>
      <c r="O555" s="539"/>
      <c r="P555" s="533"/>
    </row>
    <row r="556" ht="15.75" customHeight="1">
      <c r="C556" s="206"/>
      <c r="E556" s="906"/>
      <c r="F556" s="195"/>
      <c r="G556" s="533"/>
      <c r="H556" s="534"/>
      <c r="I556" s="536"/>
      <c r="J556" s="537"/>
      <c r="K556" s="195"/>
      <c r="L556" s="533"/>
      <c r="O556" s="539"/>
      <c r="P556" s="533"/>
    </row>
    <row r="557" ht="15.75" customHeight="1">
      <c r="C557" s="206"/>
      <c r="E557" s="906"/>
      <c r="F557" s="195"/>
      <c r="G557" s="533"/>
      <c r="H557" s="534"/>
      <c r="I557" s="536"/>
      <c r="J557" s="537"/>
      <c r="K557" s="195"/>
      <c r="L557" s="533"/>
      <c r="O557" s="539"/>
      <c r="P557" s="533"/>
    </row>
    <row r="558" ht="15.75" customHeight="1">
      <c r="C558" s="206"/>
      <c r="E558" s="906"/>
      <c r="F558" s="195"/>
      <c r="G558" s="533"/>
      <c r="H558" s="534"/>
      <c r="I558" s="536"/>
      <c r="J558" s="537"/>
      <c r="K558" s="195"/>
      <c r="L558" s="533"/>
      <c r="O558" s="539"/>
      <c r="P558" s="533"/>
    </row>
    <row r="559" ht="15.75" customHeight="1">
      <c r="C559" s="206"/>
      <c r="E559" s="906"/>
      <c r="F559" s="195"/>
      <c r="G559" s="533"/>
      <c r="H559" s="534"/>
      <c r="I559" s="536"/>
      <c r="J559" s="537"/>
      <c r="K559" s="195"/>
      <c r="L559" s="533"/>
      <c r="O559" s="539"/>
      <c r="P559" s="533"/>
    </row>
    <row r="560" ht="15.75" customHeight="1">
      <c r="C560" s="206"/>
      <c r="E560" s="906"/>
      <c r="F560" s="195"/>
      <c r="G560" s="533"/>
      <c r="H560" s="534"/>
      <c r="I560" s="536"/>
      <c r="J560" s="537"/>
      <c r="K560" s="195"/>
      <c r="L560" s="533"/>
      <c r="O560" s="539"/>
      <c r="P560" s="533"/>
    </row>
    <row r="561" ht="15.75" customHeight="1">
      <c r="C561" s="206"/>
      <c r="E561" s="906"/>
      <c r="F561" s="195"/>
      <c r="G561" s="533"/>
      <c r="H561" s="534"/>
      <c r="I561" s="536"/>
      <c r="J561" s="537"/>
      <c r="K561" s="195"/>
      <c r="L561" s="533"/>
      <c r="O561" s="539"/>
      <c r="P561" s="533"/>
    </row>
    <row r="562" ht="15.75" customHeight="1">
      <c r="C562" s="206"/>
      <c r="E562" s="906"/>
      <c r="F562" s="195"/>
      <c r="G562" s="533"/>
      <c r="H562" s="534"/>
      <c r="I562" s="536"/>
      <c r="J562" s="537"/>
      <c r="K562" s="195"/>
      <c r="L562" s="533"/>
      <c r="O562" s="539"/>
      <c r="P562" s="533"/>
    </row>
    <row r="563" ht="15.75" customHeight="1">
      <c r="C563" s="206"/>
      <c r="E563" s="906"/>
      <c r="F563" s="195"/>
      <c r="G563" s="533"/>
      <c r="H563" s="534"/>
      <c r="I563" s="536"/>
      <c r="J563" s="537"/>
      <c r="K563" s="195"/>
      <c r="L563" s="533"/>
      <c r="O563" s="539"/>
      <c r="P563" s="533"/>
    </row>
    <row r="564" ht="15.75" customHeight="1">
      <c r="C564" s="206"/>
      <c r="E564" s="906"/>
      <c r="F564" s="195"/>
      <c r="G564" s="533"/>
      <c r="H564" s="534"/>
      <c r="I564" s="536"/>
      <c r="J564" s="537"/>
      <c r="K564" s="195"/>
      <c r="L564" s="533"/>
      <c r="O564" s="539"/>
      <c r="P564" s="533"/>
    </row>
    <row r="565" ht="15.75" customHeight="1">
      <c r="C565" s="206"/>
      <c r="E565" s="906"/>
      <c r="F565" s="195"/>
      <c r="G565" s="533"/>
      <c r="H565" s="534"/>
      <c r="I565" s="536"/>
      <c r="J565" s="537"/>
      <c r="K565" s="195"/>
      <c r="L565" s="533"/>
      <c r="O565" s="539"/>
      <c r="P565" s="533"/>
    </row>
    <row r="566" ht="15.75" customHeight="1">
      <c r="C566" s="206"/>
      <c r="E566" s="906"/>
      <c r="F566" s="195"/>
      <c r="G566" s="533"/>
      <c r="H566" s="534"/>
      <c r="I566" s="536"/>
      <c r="J566" s="537"/>
      <c r="K566" s="195"/>
      <c r="L566" s="533"/>
      <c r="O566" s="539"/>
      <c r="P566" s="533"/>
    </row>
    <row r="567" ht="15.75" customHeight="1">
      <c r="C567" s="206"/>
      <c r="E567" s="906"/>
      <c r="F567" s="195"/>
      <c r="G567" s="533"/>
      <c r="H567" s="534"/>
      <c r="I567" s="536"/>
      <c r="J567" s="537"/>
      <c r="K567" s="195"/>
      <c r="L567" s="533"/>
      <c r="O567" s="539"/>
      <c r="P567" s="533"/>
    </row>
    <row r="568" ht="15.75" customHeight="1">
      <c r="C568" s="206"/>
      <c r="E568" s="906"/>
      <c r="F568" s="195"/>
      <c r="G568" s="533"/>
      <c r="H568" s="534"/>
      <c r="I568" s="536"/>
      <c r="J568" s="537"/>
      <c r="K568" s="195"/>
      <c r="L568" s="533"/>
      <c r="O568" s="539"/>
      <c r="P568" s="533"/>
    </row>
    <row r="569" ht="15.75" customHeight="1">
      <c r="C569" s="206"/>
      <c r="E569" s="906"/>
      <c r="F569" s="195"/>
      <c r="G569" s="533"/>
      <c r="H569" s="534"/>
      <c r="I569" s="536"/>
      <c r="J569" s="537"/>
      <c r="K569" s="195"/>
      <c r="L569" s="533"/>
      <c r="O569" s="539"/>
      <c r="P569" s="533"/>
    </row>
    <row r="570" ht="15.75" customHeight="1">
      <c r="C570" s="206"/>
      <c r="E570" s="906"/>
      <c r="F570" s="195"/>
      <c r="G570" s="533"/>
      <c r="H570" s="534"/>
      <c r="I570" s="536"/>
      <c r="J570" s="537"/>
      <c r="K570" s="195"/>
      <c r="L570" s="533"/>
      <c r="O570" s="539"/>
      <c r="P570" s="533"/>
    </row>
    <row r="571" ht="15.75" customHeight="1">
      <c r="C571" s="206"/>
      <c r="E571" s="906"/>
      <c r="F571" s="195"/>
      <c r="G571" s="533"/>
      <c r="H571" s="534"/>
      <c r="I571" s="536"/>
      <c r="J571" s="537"/>
      <c r="K571" s="195"/>
      <c r="L571" s="533"/>
      <c r="O571" s="539"/>
      <c r="P571" s="533"/>
    </row>
    <row r="572" ht="15.75" customHeight="1">
      <c r="C572" s="206"/>
      <c r="E572" s="906"/>
      <c r="F572" s="195"/>
      <c r="G572" s="533"/>
      <c r="H572" s="534"/>
      <c r="I572" s="536"/>
      <c r="J572" s="537"/>
      <c r="K572" s="195"/>
      <c r="L572" s="533"/>
      <c r="O572" s="539"/>
      <c r="P572" s="533"/>
    </row>
    <row r="573" ht="15.75" customHeight="1">
      <c r="C573" s="206"/>
      <c r="E573" s="906"/>
      <c r="F573" s="195"/>
      <c r="G573" s="533"/>
      <c r="H573" s="534"/>
      <c r="I573" s="536"/>
      <c r="J573" s="537"/>
      <c r="K573" s="195"/>
      <c r="L573" s="533"/>
      <c r="O573" s="539"/>
      <c r="P573" s="533"/>
    </row>
    <row r="574" ht="15.75" customHeight="1">
      <c r="C574" s="206"/>
      <c r="E574" s="906"/>
      <c r="F574" s="195"/>
      <c r="G574" s="533"/>
      <c r="H574" s="534"/>
      <c r="I574" s="536"/>
      <c r="J574" s="537"/>
      <c r="K574" s="195"/>
      <c r="L574" s="533"/>
      <c r="O574" s="539"/>
      <c r="P574" s="533"/>
    </row>
    <row r="575" ht="15.75" customHeight="1">
      <c r="C575" s="206"/>
      <c r="E575" s="906"/>
      <c r="F575" s="195"/>
      <c r="G575" s="533"/>
      <c r="H575" s="534"/>
      <c r="I575" s="536"/>
      <c r="J575" s="537"/>
      <c r="K575" s="195"/>
      <c r="L575" s="533"/>
      <c r="O575" s="539"/>
      <c r="P575" s="533"/>
    </row>
    <row r="576" ht="15.75" customHeight="1">
      <c r="C576" s="206"/>
      <c r="E576" s="906"/>
      <c r="F576" s="195"/>
      <c r="G576" s="533"/>
      <c r="H576" s="534"/>
      <c r="I576" s="536"/>
      <c r="J576" s="537"/>
      <c r="K576" s="195"/>
      <c r="L576" s="533"/>
      <c r="O576" s="539"/>
      <c r="P576" s="533"/>
    </row>
    <row r="577" ht="15.75" customHeight="1">
      <c r="C577" s="206"/>
      <c r="E577" s="906"/>
      <c r="F577" s="195"/>
      <c r="G577" s="533"/>
      <c r="H577" s="534"/>
      <c r="I577" s="536"/>
      <c r="J577" s="537"/>
      <c r="K577" s="195"/>
      <c r="L577" s="533"/>
      <c r="O577" s="539"/>
      <c r="P577" s="533"/>
    </row>
    <row r="578" ht="15.75" customHeight="1">
      <c r="C578" s="206"/>
      <c r="E578" s="906"/>
      <c r="F578" s="195"/>
      <c r="G578" s="533"/>
      <c r="H578" s="534"/>
      <c r="I578" s="536"/>
      <c r="J578" s="537"/>
      <c r="K578" s="195"/>
      <c r="L578" s="533"/>
      <c r="O578" s="539"/>
      <c r="P578" s="533"/>
    </row>
    <row r="579" ht="15.75" customHeight="1">
      <c r="C579" s="206"/>
      <c r="E579" s="906"/>
      <c r="F579" s="195"/>
      <c r="G579" s="533"/>
      <c r="H579" s="534"/>
      <c r="I579" s="536"/>
      <c r="J579" s="537"/>
      <c r="K579" s="195"/>
      <c r="L579" s="533"/>
      <c r="O579" s="539"/>
      <c r="P579" s="533"/>
    </row>
    <row r="580" ht="15.75" customHeight="1">
      <c r="C580" s="206"/>
      <c r="E580" s="906"/>
      <c r="F580" s="195"/>
      <c r="G580" s="533"/>
      <c r="H580" s="534"/>
      <c r="I580" s="536"/>
      <c r="J580" s="537"/>
      <c r="K580" s="195"/>
      <c r="L580" s="533"/>
      <c r="O580" s="539"/>
      <c r="P580" s="533"/>
    </row>
    <row r="581" ht="15.75" customHeight="1">
      <c r="C581" s="206"/>
      <c r="E581" s="906"/>
      <c r="F581" s="195"/>
      <c r="G581" s="533"/>
      <c r="H581" s="534"/>
      <c r="I581" s="536"/>
      <c r="J581" s="537"/>
      <c r="K581" s="195"/>
      <c r="L581" s="533"/>
      <c r="O581" s="539"/>
      <c r="P581" s="533"/>
    </row>
    <row r="582" ht="15.75" customHeight="1">
      <c r="C582" s="206"/>
      <c r="E582" s="906"/>
      <c r="F582" s="195"/>
      <c r="G582" s="533"/>
      <c r="H582" s="534"/>
      <c r="I582" s="536"/>
      <c r="J582" s="537"/>
      <c r="K582" s="195"/>
      <c r="L582" s="533"/>
      <c r="O582" s="539"/>
      <c r="P582" s="533"/>
    </row>
    <row r="583" ht="15.75" customHeight="1">
      <c r="C583" s="206"/>
      <c r="E583" s="906"/>
      <c r="F583" s="195"/>
      <c r="G583" s="533"/>
      <c r="H583" s="534"/>
      <c r="I583" s="536"/>
      <c r="J583" s="537"/>
      <c r="K583" s="195"/>
      <c r="L583" s="533"/>
      <c r="O583" s="539"/>
      <c r="P583" s="533"/>
    </row>
    <row r="584" ht="15.75" customHeight="1">
      <c r="C584" s="206"/>
      <c r="E584" s="906"/>
      <c r="F584" s="195"/>
      <c r="G584" s="533"/>
      <c r="H584" s="534"/>
      <c r="I584" s="536"/>
      <c r="J584" s="537"/>
      <c r="K584" s="195"/>
      <c r="L584" s="533"/>
      <c r="O584" s="539"/>
      <c r="P584" s="533"/>
    </row>
    <row r="585" ht="15.75" customHeight="1">
      <c r="C585" s="206"/>
      <c r="E585" s="906"/>
      <c r="F585" s="195"/>
      <c r="G585" s="533"/>
      <c r="H585" s="534"/>
      <c r="I585" s="536"/>
      <c r="J585" s="537"/>
      <c r="K585" s="195"/>
      <c r="L585" s="533"/>
      <c r="O585" s="539"/>
      <c r="P585" s="533"/>
    </row>
    <row r="586" ht="15.75" customHeight="1">
      <c r="C586" s="206"/>
      <c r="E586" s="906"/>
      <c r="F586" s="195"/>
      <c r="G586" s="533"/>
      <c r="H586" s="534"/>
      <c r="I586" s="536"/>
      <c r="J586" s="537"/>
      <c r="K586" s="195"/>
      <c r="L586" s="533"/>
      <c r="O586" s="539"/>
      <c r="P586" s="533"/>
    </row>
    <row r="587" ht="15.75" customHeight="1">
      <c r="C587" s="206"/>
      <c r="E587" s="906"/>
      <c r="F587" s="195"/>
      <c r="G587" s="533"/>
      <c r="H587" s="534"/>
      <c r="I587" s="536"/>
      <c r="J587" s="537"/>
      <c r="K587" s="195"/>
      <c r="L587" s="533"/>
      <c r="O587" s="539"/>
      <c r="P587" s="533"/>
    </row>
    <row r="588" ht="15.75" customHeight="1">
      <c r="C588" s="206"/>
      <c r="E588" s="906"/>
      <c r="F588" s="195"/>
      <c r="G588" s="533"/>
      <c r="H588" s="534"/>
      <c r="I588" s="536"/>
      <c r="J588" s="537"/>
      <c r="K588" s="195"/>
      <c r="L588" s="533"/>
      <c r="O588" s="539"/>
      <c r="P588" s="533"/>
    </row>
    <row r="589" ht="15.75" customHeight="1">
      <c r="C589" s="206"/>
      <c r="E589" s="906"/>
      <c r="F589" s="195"/>
      <c r="G589" s="533"/>
      <c r="H589" s="534"/>
      <c r="I589" s="536"/>
      <c r="J589" s="537"/>
      <c r="K589" s="195"/>
      <c r="L589" s="533"/>
      <c r="O589" s="539"/>
      <c r="P589" s="533"/>
    </row>
    <row r="590" ht="15.75" customHeight="1">
      <c r="C590" s="206"/>
      <c r="E590" s="906"/>
      <c r="F590" s="195"/>
      <c r="G590" s="533"/>
      <c r="H590" s="534"/>
      <c r="I590" s="536"/>
      <c r="J590" s="537"/>
      <c r="K590" s="195"/>
      <c r="L590" s="533"/>
      <c r="O590" s="539"/>
      <c r="P590" s="533"/>
    </row>
    <row r="591" ht="15.75" customHeight="1">
      <c r="C591" s="206"/>
      <c r="E591" s="906"/>
      <c r="F591" s="195"/>
      <c r="G591" s="533"/>
      <c r="H591" s="534"/>
      <c r="I591" s="536"/>
      <c r="J591" s="537"/>
      <c r="K591" s="195"/>
      <c r="L591" s="533"/>
      <c r="O591" s="539"/>
      <c r="P591" s="533"/>
    </row>
    <row r="592" ht="15.75" customHeight="1">
      <c r="C592" s="206"/>
      <c r="E592" s="906"/>
      <c r="F592" s="195"/>
      <c r="G592" s="533"/>
      <c r="H592" s="534"/>
      <c r="I592" s="536"/>
      <c r="J592" s="537"/>
      <c r="K592" s="195"/>
      <c r="L592" s="533"/>
      <c r="O592" s="539"/>
      <c r="P592" s="533"/>
    </row>
    <row r="593" ht="15.75" customHeight="1">
      <c r="C593" s="206"/>
      <c r="E593" s="906"/>
      <c r="F593" s="195"/>
      <c r="G593" s="533"/>
      <c r="H593" s="534"/>
      <c r="I593" s="536"/>
      <c r="J593" s="537"/>
      <c r="K593" s="195"/>
      <c r="L593" s="533"/>
      <c r="O593" s="539"/>
      <c r="P593" s="533"/>
    </row>
    <row r="594" ht="15.75" customHeight="1">
      <c r="C594" s="206"/>
      <c r="E594" s="906"/>
      <c r="F594" s="195"/>
      <c r="G594" s="533"/>
      <c r="H594" s="534"/>
      <c r="I594" s="536"/>
      <c r="J594" s="537"/>
      <c r="K594" s="195"/>
      <c r="L594" s="533"/>
      <c r="O594" s="539"/>
      <c r="P594" s="533"/>
    </row>
    <row r="595" ht="15.75" customHeight="1">
      <c r="C595" s="206"/>
      <c r="E595" s="906"/>
      <c r="F595" s="195"/>
      <c r="G595" s="533"/>
      <c r="H595" s="534"/>
      <c r="I595" s="536"/>
      <c r="J595" s="537"/>
      <c r="K595" s="195"/>
      <c r="L595" s="533"/>
      <c r="O595" s="539"/>
      <c r="P595" s="533"/>
    </row>
    <row r="596" ht="15.75" customHeight="1">
      <c r="C596" s="206"/>
      <c r="E596" s="906"/>
      <c r="F596" s="195"/>
      <c r="G596" s="533"/>
      <c r="H596" s="534"/>
      <c r="I596" s="536"/>
      <c r="J596" s="537"/>
      <c r="K596" s="195"/>
      <c r="L596" s="533"/>
      <c r="O596" s="539"/>
      <c r="P596" s="533"/>
    </row>
    <row r="597" ht="15.75" customHeight="1">
      <c r="C597" s="206"/>
      <c r="E597" s="906"/>
      <c r="F597" s="195"/>
      <c r="G597" s="533"/>
      <c r="H597" s="534"/>
      <c r="I597" s="536"/>
      <c r="J597" s="537"/>
      <c r="K597" s="195"/>
      <c r="L597" s="533"/>
      <c r="O597" s="539"/>
      <c r="P597" s="533"/>
    </row>
    <row r="598" ht="15.75" customHeight="1">
      <c r="C598" s="206"/>
      <c r="E598" s="906"/>
      <c r="F598" s="195"/>
      <c r="G598" s="533"/>
      <c r="H598" s="534"/>
      <c r="I598" s="536"/>
      <c r="J598" s="537"/>
      <c r="K598" s="195"/>
      <c r="L598" s="533"/>
      <c r="O598" s="539"/>
      <c r="P598" s="533"/>
    </row>
    <row r="599" ht="15.75" customHeight="1">
      <c r="C599" s="206"/>
      <c r="E599" s="906"/>
      <c r="F599" s="195"/>
      <c r="G599" s="533"/>
      <c r="H599" s="534"/>
      <c r="I599" s="536"/>
      <c r="J599" s="537"/>
      <c r="K599" s="195"/>
      <c r="L599" s="533"/>
      <c r="O599" s="539"/>
      <c r="P599" s="533"/>
    </row>
    <row r="600" ht="15.75" customHeight="1">
      <c r="C600" s="206"/>
      <c r="E600" s="906"/>
      <c r="F600" s="195"/>
      <c r="G600" s="533"/>
      <c r="H600" s="534"/>
      <c r="I600" s="536"/>
      <c r="J600" s="537"/>
      <c r="K600" s="195"/>
      <c r="L600" s="533"/>
      <c r="O600" s="539"/>
      <c r="P600" s="533"/>
    </row>
    <row r="601" ht="15.75" customHeight="1">
      <c r="C601" s="206"/>
      <c r="E601" s="906"/>
      <c r="F601" s="195"/>
      <c r="G601" s="533"/>
      <c r="H601" s="534"/>
      <c r="I601" s="536"/>
      <c r="J601" s="537"/>
      <c r="K601" s="195"/>
      <c r="L601" s="533"/>
      <c r="O601" s="539"/>
      <c r="P601" s="533"/>
    </row>
    <row r="602" ht="15.75" customHeight="1">
      <c r="C602" s="206"/>
      <c r="E602" s="906"/>
      <c r="F602" s="195"/>
      <c r="G602" s="533"/>
      <c r="H602" s="534"/>
      <c r="I602" s="536"/>
      <c r="J602" s="537"/>
      <c r="K602" s="195"/>
      <c r="L602" s="533"/>
      <c r="O602" s="539"/>
      <c r="P602" s="533"/>
    </row>
    <row r="603" ht="15.75" customHeight="1">
      <c r="C603" s="206"/>
      <c r="E603" s="906"/>
      <c r="F603" s="195"/>
      <c r="G603" s="533"/>
      <c r="H603" s="534"/>
      <c r="I603" s="536"/>
      <c r="J603" s="537"/>
      <c r="K603" s="195"/>
      <c r="L603" s="533"/>
      <c r="O603" s="539"/>
      <c r="P603" s="533"/>
    </row>
    <row r="604" ht="15.75" customHeight="1">
      <c r="C604" s="206"/>
      <c r="E604" s="906"/>
      <c r="F604" s="195"/>
      <c r="G604" s="533"/>
      <c r="H604" s="534"/>
      <c r="I604" s="536"/>
      <c r="J604" s="537"/>
      <c r="K604" s="195"/>
      <c r="L604" s="533"/>
      <c r="O604" s="539"/>
      <c r="P604" s="533"/>
    </row>
    <row r="605" ht="15.75" customHeight="1">
      <c r="C605" s="206"/>
      <c r="E605" s="906"/>
      <c r="F605" s="195"/>
      <c r="G605" s="533"/>
      <c r="H605" s="534"/>
      <c r="I605" s="536"/>
      <c r="J605" s="537"/>
      <c r="K605" s="195"/>
      <c r="L605" s="533"/>
      <c r="O605" s="539"/>
      <c r="P605" s="533"/>
    </row>
    <row r="606" ht="15.75" customHeight="1">
      <c r="C606" s="206"/>
      <c r="E606" s="906"/>
      <c r="F606" s="195"/>
      <c r="G606" s="533"/>
      <c r="H606" s="534"/>
      <c r="I606" s="536"/>
      <c r="J606" s="537"/>
      <c r="K606" s="195"/>
      <c r="L606" s="533"/>
      <c r="O606" s="539"/>
      <c r="P606" s="533"/>
    </row>
    <row r="607" ht="15.75" customHeight="1">
      <c r="C607" s="206"/>
      <c r="E607" s="906"/>
      <c r="F607" s="195"/>
      <c r="G607" s="533"/>
      <c r="H607" s="534"/>
      <c r="I607" s="536"/>
      <c r="J607" s="537"/>
      <c r="K607" s="195"/>
      <c r="L607" s="533"/>
      <c r="O607" s="539"/>
      <c r="P607" s="533"/>
    </row>
    <row r="608" ht="15.75" customHeight="1">
      <c r="C608" s="206"/>
      <c r="E608" s="906"/>
      <c r="F608" s="195"/>
      <c r="G608" s="533"/>
      <c r="H608" s="534"/>
      <c r="I608" s="536"/>
      <c r="J608" s="537"/>
      <c r="K608" s="195"/>
      <c r="L608" s="533"/>
      <c r="O608" s="539"/>
      <c r="P608" s="533"/>
    </row>
    <row r="609" ht="15.75" customHeight="1">
      <c r="C609" s="206"/>
      <c r="E609" s="906"/>
      <c r="F609" s="195"/>
      <c r="G609" s="533"/>
      <c r="H609" s="534"/>
      <c r="I609" s="536"/>
      <c r="J609" s="537"/>
      <c r="K609" s="195"/>
      <c r="L609" s="533"/>
      <c r="O609" s="539"/>
      <c r="P609" s="533"/>
    </row>
    <row r="610" ht="15.75" customHeight="1">
      <c r="C610" s="206"/>
      <c r="E610" s="906"/>
      <c r="F610" s="195"/>
      <c r="G610" s="533"/>
      <c r="H610" s="534"/>
      <c r="I610" s="536"/>
      <c r="J610" s="537"/>
      <c r="K610" s="195"/>
      <c r="L610" s="533"/>
      <c r="O610" s="539"/>
      <c r="P610" s="533"/>
    </row>
    <row r="611" ht="15.75" customHeight="1">
      <c r="C611" s="206"/>
      <c r="E611" s="906"/>
      <c r="F611" s="195"/>
      <c r="G611" s="533"/>
      <c r="H611" s="534"/>
      <c r="I611" s="536"/>
      <c r="J611" s="537"/>
      <c r="K611" s="195"/>
      <c r="L611" s="533"/>
      <c r="O611" s="539"/>
      <c r="P611" s="533"/>
    </row>
    <row r="612" ht="15.75" customHeight="1">
      <c r="C612" s="206"/>
      <c r="E612" s="906"/>
      <c r="F612" s="195"/>
      <c r="G612" s="533"/>
      <c r="H612" s="534"/>
      <c r="I612" s="536"/>
      <c r="J612" s="537"/>
      <c r="K612" s="195"/>
      <c r="L612" s="533"/>
      <c r="O612" s="539"/>
      <c r="P612" s="533"/>
    </row>
    <row r="613" ht="15.75" customHeight="1">
      <c r="C613" s="206"/>
      <c r="E613" s="906"/>
      <c r="F613" s="195"/>
      <c r="G613" s="533"/>
      <c r="H613" s="534"/>
      <c r="I613" s="536"/>
      <c r="J613" s="537"/>
      <c r="K613" s="195"/>
      <c r="L613" s="533"/>
      <c r="O613" s="539"/>
      <c r="P613" s="533"/>
    </row>
    <row r="614" ht="15.75" customHeight="1">
      <c r="C614" s="206"/>
      <c r="E614" s="906"/>
      <c r="F614" s="195"/>
      <c r="G614" s="533"/>
      <c r="H614" s="534"/>
      <c r="I614" s="536"/>
      <c r="J614" s="537"/>
      <c r="K614" s="195"/>
      <c r="L614" s="533"/>
      <c r="O614" s="539"/>
      <c r="P614" s="533"/>
    </row>
    <row r="615" ht="15.75" customHeight="1">
      <c r="C615" s="206"/>
      <c r="E615" s="906"/>
      <c r="F615" s="195"/>
      <c r="G615" s="533"/>
      <c r="H615" s="534"/>
      <c r="I615" s="536"/>
      <c r="J615" s="537"/>
      <c r="K615" s="195"/>
      <c r="L615" s="533"/>
      <c r="O615" s="539"/>
      <c r="P615" s="533"/>
    </row>
    <row r="616" ht="15.75" customHeight="1">
      <c r="C616" s="206"/>
      <c r="E616" s="906"/>
      <c r="F616" s="195"/>
      <c r="G616" s="533"/>
      <c r="H616" s="534"/>
      <c r="I616" s="536"/>
      <c r="J616" s="537"/>
      <c r="K616" s="195"/>
      <c r="L616" s="533"/>
      <c r="O616" s="539"/>
      <c r="P616" s="533"/>
    </row>
    <row r="617" ht="15.75" customHeight="1">
      <c r="C617" s="206"/>
      <c r="E617" s="906"/>
      <c r="F617" s="195"/>
      <c r="G617" s="533"/>
      <c r="H617" s="534"/>
      <c r="I617" s="536"/>
      <c r="J617" s="537"/>
      <c r="K617" s="195"/>
      <c r="L617" s="533"/>
      <c r="O617" s="539"/>
      <c r="P617" s="533"/>
    </row>
    <row r="618" ht="15.75" customHeight="1">
      <c r="C618" s="206"/>
      <c r="E618" s="906"/>
      <c r="F618" s="195"/>
      <c r="G618" s="533"/>
      <c r="H618" s="534"/>
      <c r="I618" s="536"/>
      <c r="J618" s="537"/>
      <c r="K618" s="195"/>
      <c r="L618" s="533"/>
      <c r="O618" s="539"/>
      <c r="P618" s="533"/>
    </row>
    <row r="619" ht="15.75" customHeight="1">
      <c r="C619" s="206"/>
      <c r="E619" s="906"/>
      <c r="F619" s="195"/>
      <c r="G619" s="533"/>
      <c r="H619" s="534"/>
      <c r="I619" s="536"/>
      <c r="J619" s="537"/>
      <c r="K619" s="195"/>
      <c r="L619" s="533"/>
      <c r="O619" s="539"/>
      <c r="P619" s="533"/>
    </row>
    <row r="620" ht="15.75" customHeight="1">
      <c r="C620" s="206"/>
      <c r="E620" s="906"/>
      <c r="F620" s="195"/>
      <c r="G620" s="533"/>
      <c r="H620" s="534"/>
      <c r="I620" s="536"/>
      <c r="J620" s="537"/>
      <c r="K620" s="195"/>
      <c r="L620" s="533"/>
      <c r="O620" s="539"/>
      <c r="P620" s="533"/>
    </row>
    <row r="621" ht="15.75" customHeight="1">
      <c r="C621" s="206"/>
      <c r="E621" s="906"/>
      <c r="F621" s="195"/>
      <c r="G621" s="533"/>
      <c r="H621" s="534"/>
      <c r="I621" s="536"/>
      <c r="J621" s="537"/>
      <c r="K621" s="195"/>
      <c r="L621" s="533"/>
      <c r="O621" s="539"/>
      <c r="P621" s="533"/>
    </row>
    <row r="622" ht="15.75" customHeight="1">
      <c r="C622" s="206"/>
      <c r="E622" s="906"/>
      <c r="F622" s="195"/>
      <c r="G622" s="533"/>
      <c r="H622" s="534"/>
      <c r="I622" s="536"/>
      <c r="J622" s="537"/>
      <c r="K622" s="195"/>
      <c r="L622" s="533"/>
      <c r="O622" s="539"/>
      <c r="P622" s="533"/>
    </row>
    <row r="623" ht="15.75" customHeight="1">
      <c r="C623" s="206"/>
      <c r="E623" s="906"/>
      <c r="F623" s="195"/>
      <c r="G623" s="533"/>
      <c r="H623" s="534"/>
      <c r="I623" s="536"/>
      <c r="J623" s="537"/>
      <c r="K623" s="195"/>
      <c r="L623" s="533"/>
      <c r="O623" s="539"/>
      <c r="P623" s="533"/>
    </row>
    <row r="624" ht="15.75" customHeight="1">
      <c r="C624" s="206"/>
      <c r="E624" s="906"/>
      <c r="F624" s="195"/>
      <c r="G624" s="533"/>
      <c r="H624" s="534"/>
      <c r="I624" s="536"/>
      <c r="J624" s="537"/>
      <c r="K624" s="195"/>
      <c r="L624" s="533"/>
      <c r="O624" s="539"/>
      <c r="P624" s="533"/>
    </row>
    <row r="625" ht="15.75" customHeight="1">
      <c r="C625" s="206"/>
      <c r="E625" s="906"/>
      <c r="F625" s="195"/>
      <c r="G625" s="533"/>
      <c r="H625" s="534"/>
      <c r="I625" s="536"/>
      <c r="J625" s="537"/>
      <c r="K625" s="195"/>
      <c r="L625" s="533"/>
      <c r="O625" s="539"/>
      <c r="P625" s="533"/>
    </row>
    <row r="626" ht="15.75" customHeight="1">
      <c r="C626" s="206"/>
      <c r="E626" s="906"/>
      <c r="F626" s="195"/>
      <c r="G626" s="533"/>
      <c r="H626" s="534"/>
      <c r="I626" s="536"/>
      <c r="J626" s="537"/>
      <c r="K626" s="195"/>
      <c r="L626" s="533"/>
      <c r="O626" s="539"/>
      <c r="P626" s="533"/>
    </row>
    <row r="627" ht="15.75" customHeight="1">
      <c r="C627" s="206"/>
      <c r="E627" s="906"/>
      <c r="F627" s="195"/>
      <c r="G627" s="533"/>
      <c r="H627" s="534"/>
      <c r="I627" s="536"/>
      <c r="J627" s="537"/>
      <c r="K627" s="195"/>
      <c r="L627" s="533"/>
      <c r="O627" s="539"/>
      <c r="P627" s="533"/>
    </row>
    <row r="628" ht="15.75" customHeight="1">
      <c r="C628" s="206"/>
      <c r="E628" s="906"/>
      <c r="F628" s="195"/>
      <c r="G628" s="533"/>
      <c r="H628" s="534"/>
      <c r="I628" s="536"/>
      <c r="J628" s="537"/>
      <c r="K628" s="195"/>
      <c r="L628" s="533"/>
      <c r="O628" s="539"/>
      <c r="P628" s="533"/>
    </row>
    <row r="629" ht="15.75" customHeight="1">
      <c r="C629" s="206"/>
      <c r="E629" s="906"/>
      <c r="F629" s="195"/>
      <c r="G629" s="533"/>
      <c r="H629" s="534"/>
      <c r="I629" s="536"/>
      <c r="J629" s="537"/>
      <c r="K629" s="195"/>
      <c r="L629" s="533"/>
      <c r="O629" s="539"/>
      <c r="P629" s="533"/>
    </row>
    <row r="630" ht="15.75" customHeight="1">
      <c r="C630" s="206"/>
      <c r="E630" s="906"/>
      <c r="F630" s="195"/>
      <c r="G630" s="533"/>
      <c r="H630" s="534"/>
      <c r="I630" s="536"/>
      <c r="J630" s="537"/>
      <c r="K630" s="195"/>
      <c r="L630" s="533"/>
      <c r="O630" s="539"/>
      <c r="P630" s="533"/>
    </row>
    <row r="631" ht="15.75" customHeight="1">
      <c r="C631" s="206"/>
      <c r="E631" s="906"/>
      <c r="F631" s="195"/>
      <c r="G631" s="533"/>
      <c r="H631" s="534"/>
      <c r="I631" s="536"/>
      <c r="J631" s="537"/>
      <c r="K631" s="195"/>
      <c r="L631" s="533"/>
      <c r="O631" s="539"/>
      <c r="P631" s="533"/>
    </row>
    <row r="632" ht="15.75" customHeight="1">
      <c r="C632" s="206"/>
      <c r="E632" s="906"/>
      <c r="F632" s="195"/>
      <c r="G632" s="533"/>
      <c r="H632" s="534"/>
      <c r="I632" s="536"/>
      <c r="J632" s="537"/>
      <c r="K632" s="195"/>
      <c r="L632" s="533"/>
      <c r="O632" s="539"/>
      <c r="P632" s="533"/>
    </row>
    <row r="633" ht="15.75" customHeight="1">
      <c r="C633" s="206"/>
      <c r="E633" s="906"/>
      <c r="F633" s="195"/>
      <c r="G633" s="533"/>
      <c r="H633" s="534"/>
      <c r="I633" s="536"/>
      <c r="J633" s="537"/>
      <c r="K633" s="195"/>
      <c r="L633" s="533"/>
      <c r="O633" s="539"/>
      <c r="P633" s="533"/>
    </row>
    <row r="634" ht="15.75" customHeight="1">
      <c r="C634" s="206"/>
      <c r="E634" s="906"/>
      <c r="F634" s="195"/>
      <c r="G634" s="533"/>
      <c r="H634" s="534"/>
      <c r="I634" s="536"/>
      <c r="J634" s="537"/>
      <c r="K634" s="195"/>
      <c r="L634" s="533"/>
      <c r="O634" s="539"/>
      <c r="P634" s="533"/>
    </row>
    <row r="635" ht="15.75" customHeight="1">
      <c r="C635" s="206"/>
      <c r="E635" s="906"/>
      <c r="F635" s="195"/>
      <c r="G635" s="533"/>
      <c r="H635" s="534"/>
      <c r="I635" s="536"/>
      <c r="J635" s="537"/>
      <c r="K635" s="195"/>
      <c r="L635" s="533"/>
      <c r="O635" s="539"/>
      <c r="P635" s="533"/>
    </row>
    <row r="636" ht="15.75" customHeight="1">
      <c r="C636" s="206"/>
      <c r="E636" s="906"/>
      <c r="F636" s="195"/>
      <c r="G636" s="533"/>
      <c r="H636" s="534"/>
      <c r="I636" s="536"/>
      <c r="J636" s="537"/>
      <c r="K636" s="195"/>
      <c r="L636" s="533"/>
      <c r="O636" s="539"/>
      <c r="P636" s="533"/>
    </row>
    <row r="637" ht="15.75" customHeight="1">
      <c r="C637" s="206"/>
      <c r="E637" s="906"/>
      <c r="F637" s="195"/>
      <c r="G637" s="533"/>
      <c r="H637" s="534"/>
      <c r="I637" s="536"/>
      <c r="J637" s="537"/>
      <c r="K637" s="195"/>
      <c r="L637" s="533"/>
      <c r="O637" s="539"/>
      <c r="P637" s="533"/>
    </row>
    <row r="638" ht="15.75" customHeight="1">
      <c r="C638" s="206"/>
      <c r="E638" s="906"/>
      <c r="F638" s="195"/>
      <c r="G638" s="533"/>
      <c r="H638" s="534"/>
      <c r="I638" s="536"/>
      <c r="J638" s="537"/>
      <c r="K638" s="195"/>
      <c r="L638" s="533"/>
      <c r="O638" s="539"/>
      <c r="P638" s="533"/>
    </row>
    <row r="639" ht="15.75" customHeight="1">
      <c r="C639" s="206"/>
      <c r="E639" s="906"/>
      <c r="F639" s="195"/>
      <c r="G639" s="533"/>
      <c r="H639" s="534"/>
      <c r="I639" s="536"/>
      <c r="J639" s="537"/>
      <c r="K639" s="195"/>
      <c r="L639" s="533"/>
      <c r="O639" s="539"/>
      <c r="P639" s="533"/>
    </row>
    <row r="640" ht="15.75" customHeight="1">
      <c r="C640" s="206"/>
      <c r="E640" s="906"/>
      <c r="F640" s="195"/>
      <c r="G640" s="533"/>
      <c r="H640" s="534"/>
      <c r="I640" s="536"/>
      <c r="J640" s="537"/>
      <c r="K640" s="195"/>
      <c r="L640" s="533"/>
      <c r="O640" s="539"/>
      <c r="P640" s="533"/>
    </row>
    <row r="641" ht="15.75" customHeight="1">
      <c r="C641" s="206"/>
      <c r="E641" s="906"/>
      <c r="F641" s="195"/>
      <c r="G641" s="533"/>
      <c r="H641" s="534"/>
      <c r="I641" s="536"/>
      <c r="J641" s="537"/>
      <c r="K641" s="195"/>
      <c r="L641" s="533"/>
      <c r="O641" s="539"/>
      <c r="P641" s="533"/>
    </row>
    <row r="642" ht="15.75" customHeight="1">
      <c r="C642" s="206"/>
      <c r="E642" s="906"/>
      <c r="F642" s="195"/>
      <c r="G642" s="533"/>
      <c r="H642" s="534"/>
      <c r="I642" s="536"/>
      <c r="J642" s="537"/>
      <c r="K642" s="195"/>
      <c r="L642" s="533"/>
      <c r="O642" s="539"/>
      <c r="P642" s="533"/>
    </row>
    <row r="643" ht="15.75" customHeight="1">
      <c r="C643" s="206"/>
      <c r="E643" s="906"/>
      <c r="F643" s="195"/>
      <c r="G643" s="533"/>
      <c r="H643" s="534"/>
      <c r="I643" s="536"/>
      <c r="J643" s="537"/>
      <c r="K643" s="195"/>
      <c r="L643" s="533"/>
      <c r="O643" s="539"/>
      <c r="P643" s="533"/>
    </row>
    <row r="644" ht="15.75" customHeight="1">
      <c r="C644" s="206"/>
      <c r="E644" s="906"/>
      <c r="F644" s="195"/>
      <c r="G644" s="533"/>
      <c r="H644" s="534"/>
      <c r="I644" s="536"/>
      <c r="J644" s="537"/>
      <c r="K644" s="195"/>
      <c r="L644" s="533"/>
      <c r="O644" s="539"/>
      <c r="P644" s="533"/>
    </row>
    <row r="645" ht="15.75" customHeight="1">
      <c r="C645" s="206"/>
      <c r="E645" s="906"/>
      <c r="F645" s="195"/>
      <c r="G645" s="533"/>
      <c r="H645" s="534"/>
      <c r="I645" s="536"/>
      <c r="J645" s="537"/>
      <c r="K645" s="195"/>
      <c r="L645" s="533"/>
      <c r="O645" s="539"/>
      <c r="P645" s="533"/>
    </row>
    <row r="646" ht="15.75" customHeight="1">
      <c r="C646" s="206"/>
      <c r="E646" s="906"/>
      <c r="F646" s="195"/>
      <c r="G646" s="533"/>
      <c r="H646" s="534"/>
      <c r="I646" s="536"/>
      <c r="J646" s="537"/>
      <c r="K646" s="195"/>
      <c r="L646" s="533"/>
      <c r="O646" s="539"/>
      <c r="P646" s="533"/>
    </row>
    <row r="647" ht="15.75" customHeight="1">
      <c r="C647" s="206"/>
      <c r="E647" s="906"/>
      <c r="F647" s="195"/>
      <c r="G647" s="533"/>
      <c r="H647" s="534"/>
      <c r="I647" s="536"/>
      <c r="J647" s="537"/>
      <c r="K647" s="195"/>
      <c r="L647" s="533"/>
      <c r="O647" s="539"/>
      <c r="P647" s="533"/>
    </row>
    <row r="648" ht="15.75" customHeight="1">
      <c r="C648" s="206"/>
      <c r="E648" s="906"/>
      <c r="F648" s="195"/>
      <c r="G648" s="533"/>
      <c r="H648" s="534"/>
      <c r="I648" s="536"/>
      <c r="J648" s="537"/>
      <c r="K648" s="195"/>
      <c r="L648" s="533"/>
      <c r="O648" s="539"/>
      <c r="P648" s="533"/>
    </row>
    <row r="649" ht="15.75" customHeight="1">
      <c r="C649" s="206"/>
      <c r="E649" s="906"/>
      <c r="F649" s="195"/>
      <c r="G649" s="533"/>
      <c r="H649" s="534"/>
      <c r="I649" s="536"/>
      <c r="J649" s="537"/>
      <c r="K649" s="195"/>
      <c r="L649" s="533"/>
      <c r="O649" s="539"/>
      <c r="P649" s="533"/>
    </row>
    <row r="650" ht="15.75" customHeight="1">
      <c r="C650" s="206"/>
      <c r="E650" s="906"/>
      <c r="F650" s="195"/>
      <c r="G650" s="533"/>
      <c r="H650" s="534"/>
      <c r="I650" s="536"/>
      <c r="J650" s="537"/>
      <c r="K650" s="195"/>
      <c r="L650" s="533"/>
      <c r="O650" s="539"/>
      <c r="P650" s="533"/>
    </row>
    <row r="651" ht="15.75" customHeight="1">
      <c r="C651" s="206"/>
      <c r="E651" s="906"/>
      <c r="F651" s="195"/>
      <c r="G651" s="533"/>
      <c r="H651" s="534"/>
      <c r="I651" s="536"/>
      <c r="J651" s="537"/>
      <c r="K651" s="195"/>
      <c r="L651" s="533"/>
      <c r="O651" s="539"/>
      <c r="P651" s="533"/>
    </row>
    <row r="652" ht="15.75" customHeight="1">
      <c r="C652" s="206"/>
      <c r="E652" s="906"/>
      <c r="F652" s="195"/>
      <c r="G652" s="533"/>
      <c r="H652" s="534"/>
      <c r="I652" s="536"/>
      <c r="J652" s="537"/>
      <c r="K652" s="195"/>
      <c r="L652" s="533"/>
      <c r="O652" s="539"/>
      <c r="P652" s="533"/>
    </row>
    <row r="653" ht="15.75" customHeight="1">
      <c r="C653" s="206"/>
      <c r="E653" s="906"/>
      <c r="F653" s="195"/>
      <c r="G653" s="533"/>
      <c r="H653" s="534"/>
      <c r="I653" s="536"/>
      <c r="J653" s="537"/>
      <c r="K653" s="195"/>
      <c r="L653" s="533"/>
      <c r="O653" s="539"/>
      <c r="P653" s="533"/>
    </row>
    <row r="654" ht="15.75" customHeight="1">
      <c r="C654" s="206"/>
      <c r="E654" s="906"/>
      <c r="F654" s="195"/>
      <c r="G654" s="533"/>
      <c r="H654" s="534"/>
      <c r="I654" s="536"/>
      <c r="J654" s="537"/>
      <c r="K654" s="195"/>
      <c r="L654" s="533"/>
      <c r="O654" s="539"/>
      <c r="P654" s="533"/>
    </row>
    <row r="655" ht="15.75" customHeight="1">
      <c r="C655" s="206"/>
      <c r="E655" s="906"/>
      <c r="F655" s="195"/>
      <c r="G655" s="533"/>
      <c r="H655" s="534"/>
      <c r="I655" s="536"/>
      <c r="J655" s="537"/>
      <c r="K655" s="195"/>
      <c r="L655" s="533"/>
      <c r="O655" s="539"/>
      <c r="P655" s="533"/>
    </row>
    <row r="656" ht="15.75" customHeight="1">
      <c r="C656" s="206"/>
      <c r="E656" s="906"/>
      <c r="F656" s="195"/>
      <c r="G656" s="533"/>
      <c r="H656" s="534"/>
      <c r="I656" s="536"/>
      <c r="J656" s="537"/>
      <c r="K656" s="195"/>
      <c r="L656" s="533"/>
      <c r="O656" s="539"/>
      <c r="P656" s="533"/>
    </row>
    <row r="657" ht="15.75" customHeight="1">
      <c r="C657" s="206"/>
      <c r="E657" s="906"/>
      <c r="F657" s="195"/>
      <c r="G657" s="533"/>
      <c r="H657" s="534"/>
      <c r="I657" s="536"/>
      <c r="J657" s="537"/>
      <c r="K657" s="195"/>
      <c r="L657" s="533"/>
      <c r="O657" s="539"/>
      <c r="P657" s="533"/>
    </row>
    <row r="658" ht="15.75" customHeight="1">
      <c r="C658" s="206"/>
      <c r="E658" s="906"/>
      <c r="F658" s="195"/>
      <c r="G658" s="533"/>
      <c r="H658" s="534"/>
      <c r="I658" s="536"/>
      <c r="J658" s="537"/>
      <c r="K658" s="195"/>
      <c r="L658" s="533"/>
      <c r="O658" s="539"/>
      <c r="P658" s="533"/>
    </row>
    <row r="659" ht="15.75" customHeight="1">
      <c r="C659" s="206"/>
      <c r="E659" s="906"/>
      <c r="F659" s="195"/>
      <c r="G659" s="533"/>
      <c r="H659" s="534"/>
      <c r="I659" s="536"/>
      <c r="J659" s="537"/>
      <c r="K659" s="195"/>
      <c r="L659" s="533"/>
      <c r="O659" s="539"/>
      <c r="P659" s="533"/>
    </row>
    <row r="660" ht="15.75" customHeight="1">
      <c r="C660" s="206"/>
      <c r="E660" s="906"/>
      <c r="F660" s="195"/>
      <c r="G660" s="533"/>
      <c r="H660" s="534"/>
      <c r="I660" s="536"/>
      <c r="J660" s="537"/>
      <c r="K660" s="195"/>
      <c r="L660" s="533"/>
      <c r="O660" s="539"/>
      <c r="P660" s="533"/>
    </row>
    <row r="661" ht="15.75" customHeight="1">
      <c r="C661" s="206"/>
      <c r="E661" s="906"/>
      <c r="F661" s="195"/>
      <c r="G661" s="533"/>
      <c r="H661" s="534"/>
      <c r="I661" s="536"/>
      <c r="J661" s="537"/>
      <c r="K661" s="195"/>
      <c r="L661" s="533"/>
      <c r="O661" s="539"/>
      <c r="P661" s="533"/>
    </row>
    <row r="662" ht="15.75" customHeight="1">
      <c r="C662" s="206"/>
      <c r="E662" s="906"/>
      <c r="F662" s="195"/>
      <c r="G662" s="533"/>
      <c r="H662" s="534"/>
      <c r="I662" s="536"/>
      <c r="J662" s="537"/>
      <c r="K662" s="195"/>
      <c r="L662" s="533"/>
      <c r="O662" s="539"/>
      <c r="P662" s="533"/>
    </row>
    <row r="663" ht="15.75" customHeight="1">
      <c r="C663" s="206"/>
      <c r="E663" s="906"/>
      <c r="F663" s="195"/>
      <c r="G663" s="533"/>
      <c r="H663" s="534"/>
      <c r="I663" s="536"/>
      <c r="J663" s="537"/>
      <c r="K663" s="195"/>
      <c r="L663" s="533"/>
      <c r="O663" s="539"/>
      <c r="P663" s="533"/>
    </row>
    <row r="664" ht="15.75" customHeight="1">
      <c r="C664" s="206"/>
      <c r="E664" s="906"/>
      <c r="F664" s="195"/>
      <c r="G664" s="533"/>
      <c r="H664" s="534"/>
      <c r="I664" s="536"/>
      <c r="J664" s="537"/>
      <c r="K664" s="195"/>
      <c r="L664" s="533"/>
      <c r="O664" s="539"/>
      <c r="P664" s="533"/>
    </row>
    <row r="665" ht="15.75" customHeight="1">
      <c r="C665" s="206"/>
      <c r="E665" s="906"/>
      <c r="F665" s="195"/>
      <c r="G665" s="533"/>
      <c r="H665" s="534"/>
      <c r="I665" s="536"/>
      <c r="J665" s="537"/>
      <c r="K665" s="195"/>
      <c r="L665" s="533"/>
      <c r="O665" s="539"/>
      <c r="P665" s="533"/>
    </row>
    <row r="666" ht="15.75" customHeight="1">
      <c r="C666" s="206"/>
      <c r="E666" s="906"/>
      <c r="F666" s="195"/>
      <c r="G666" s="533"/>
      <c r="H666" s="534"/>
      <c r="I666" s="536"/>
      <c r="J666" s="537"/>
      <c r="K666" s="195"/>
      <c r="L666" s="533"/>
      <c r="O666" s="539"/>
      <c r="P666" s="533"/>
    </row>
    <row r="667" ht="15.75" customHeight="1">
      <c r="C667" s="206"/>
      <c r="E667" s="906"/>
      <c r="F667" s="195"/>
      <c r="G667" s="533"/>
      <c r="H667" s="534"/>
      <c r="I667" s="536"/>
      <c r="J667" s="537"/>
      <c r="K667" s="195"/>
      <c r="L667" s="533"/>
      <c r="O667" s="539"/>
      <c r="P667" s="533"/>
    </row>
    <row r="668" ht="15.75" customHeight="1">
      <c r="C668" s="206"/>
      <c r="E668" s="906"/>
      <c r="F668" s="195"/>
      <c r="G668" s="533"/>
      <c r="H668" s="534"/>
      <c r="I668" s="536"/>
      <c r="J668" s="537"/>
      <c r="K668" s="195"/>
      <c r="L668" s="533"/>
      <c r="O668" s="539"/>
      <c r="P668" s="533"/>
    </row>
    <row r="669" ht="15.75" customHeight="1">
      <c r="C669" s="206"/>
      <c r="E669" s="906"/>
      <c r="F669" s="195"/>
      <c r="G669" s="533"/>
      <c r="H669" s="534"/>
      <c r="I669" s="536"/>
      <c r="J669" s="537"/>
      <c r="K669" s="195"/>
      <c r="L669" s="533"/>
      <c r="O669" s="539"/>
      <c r="P669" s="533"/>
    </row>
    <row r="670" ht="15.75" customHeight="1">
      <c r="C670" s="206"/>
      <c r="E670" s="906"/>
      <c r="F670" s="195"/>
      <c r="G670" s="533"/>
      <c r="H670" s="534"/>
      <c r="I670" s="536"/>
      <c r="J670" s="537"/>
      <c r="K670" s="195"/>
      <c r="L670" s="533"/>
      <c r="O670" s="539"/>
      <c r="P670" s="533"/>
    </row>
    <row r="671" ht="15.75" customHeight="1">
      <c r="C671" s="206"/>
      <c r="E671" s="906"/>
      <c r="F671" s="195"/>
      <c r="G671" s="533"/>
      <c r="H671" s="534"/>
      <c r="I671" s="536"/>
      <c r="J671" s="537"/>
      <c r="K671" s="195"/>
      <c r="L671" s="533"/>
      <c r="O671" s="539"/>
      <c r="P671" s="533"/>
    </row>
    <row r="672" ht="15.75" customHeight="1">
      <c r="C672" s="206"/>
      <c r="E672" s="906"/>
      <c r="F672" s="195"/>
      <c r="G672" s="533"/>
      <c r="H672" s="534"/>
      <c r="I672" s="536"/>
      <c r="J672" s="537"/>
      <c r="K672" s="195"/>
      <c r="L672" s="533"/>
      <c r="O672" s="539"/>
      <c r="P672" s="533"/>
    </row>
    <row r="673" ht="15.75" customHeight="1">
      <c r="C673" s="206"/>
      <c r="E673" s="906"/>
      <c r="F673" s="195"/>
      <c r="G673" s="533"/>
      <c r="H673" s="534"/>
      <c r="I673" s="536"/>
      <c r="J673" s="537"/>
      <c r="K673" s="195"/>
      <c r="L673" s="533"/>
      <c r="O673" s="539"/>
      <c r="P673" s="533"/>
    </row>
    <row r="674" ht="15.75" customHeight="1">
      <c r="C674" s="206"/>
      <c r="E674" s="906"/>
      <c r="F674" s="195"/>
      <c r="G674" s="533"/>
      <c r="H674" s="534"/>
      <c r="I674" s="536"/>
      <c r="J674" s="537"/>
      <c r="K674" s="195"/>
      <c r="L674" s="533"/>
      <c r="O674" s="539"/>
      <c r="P674" s="533"/>
    </row>
    <row r="675" ht="15.75" customHeight="1">
      <c r="C675" s="206"/>
      <c r="E675" s="906"/>
      <c r="F675" s="195"/>
      <c r="G675" s="533"/>
      <c r="H675" s="534"/>
      <c r="I675" s="536"/>
      <c r="J675" s="537"/>
      <c r="K675" s="195"/>
      <c r="L675" s="533"/>
      <c r="O675" s="539"/>
      <c r="P675" s="533"/>
    </row>
    <row r="676" ht="15.75" customHeight="1">
      <c r="C676" s="206"/>
      <c r="E676" s="906"/>
      <c r="F676" s="195"/>
      <c r="G676" s="533"/>
      <c r="H676" s="534"/>
      <c r="I676" s="536"/>
      <c r="J676" s="537"/>
      <c r="K676" s="195"/>
      <c r="L676" s="533"/>
      <c r="O676" s="539"/>
      <c r="P676" s="533"/>
    </row>
    <row r="677" ht="15.75" customHeight="1">
      <c r="C677" s="206"/>
      <c r="E677" s="906"/>
      <c r="F677" s="195"/>
      <c r="G677" s="533"/>
      <c r="H677" s="534"/>
      <c r="I677" s="536"/>
      <c r="J677" s="537"/>
      <c r="K677" s="195"/>
      <c r="L677" s="533"/>
      <c r="O677" s="539"/>
      <c r="P677" s="533"/>
    </row>
    <row r="678" ht="15.75" customHeight="1">
      <c r="C678" s="206"/>
      <c r="E678" s="906"/>
      <c r="F678" s="195"/>
      <c r="G678" s="533"/>
      <c r="H678" s="534"/>
      <c r="I678" s="536"/>
      <c r="J678" s="537"/>
      <c r="K678" s="195"/>
      <c r="L678" s="533"/>
      <c r="O678" s="539"/>
      <c r="P678" s="533"/>
    </row>
    <row r="679" ht="15.75" customHeight="1">
      <c r="C679" s="206"/>
      <c r="E679" s="906"/>
      <c r="F679" s="195"/>
      <c r="G679" s="533"/>
      <c r="H679" s="534"/>
      <c r="I679" s="536"/>
      <c r="J679" s="537"/>
      <c r="K679" s="195"/>
      <c r="L679" s="533"/>
      <c r="O679" s="539"/>
      <c r="P679" s="533"/>
    </row>
    <row r="680" ht="15.75" customHeight="1">
      <c r="C680" s="206"/>
      <c r="E680" s="906"/>
      <c r="F680" s="195"/>
      <c r="G680" s="533"/>
      <c r="H680" s="534"/>
      <c r="I680" s="536"/>
      <c r="J680" s="537"/>
      <c r="K680" s="195"/>
      <c r="L680" s="533"/>
      <c r="O680" s="539"/>
      <c r="P680" s="533"/>
    </row>
    <row r="681" ht="15.75" customHeight="1">
      <c r="C681" s="206"/>
      <c r="E681" s="906"/>
      <c r="F681" s="195"/>
      <c r="G681" s="533"/>
      <c r="H681" s="534"/>
      <c r="I681" s="536"/>
      <c r="J681" s="537"/>
      <c r="K681" s="195"/>
      <c r="L681" s="533"/>
      <c r="O681" s="539"/>
      <c r="P681" s="533"/>
    </row>
    <row r="682" ht="15.75" customHeight="1">
      <c r="C682" s="206"/>
      <c r="E682" s="906"/>
      <c r="F682" s="195"/>
      <c r="G682" s="533"/>
      <c r="H682" s="534"/>
      <c r="I682" s="536"/>
      <c r="J682" s="537"/>
      <c r="K682" s="195"/>
      <c r="L682" s="533"/>
      <c r="O682" s="539"/>
      <c r="P682" s="533"/>
    </row>
    <row r="683" ht="15.75" customHeight="1">
      <c r="C683" s="206"/>
      <c r="E683" s="906"/>
      <c r="F683" s="195"/>
      <c r="G683" s="533"/>
      <c r="H683" s="534"/>
      <c r="I683" s="536"/>
      <c r="J683" s="537"/>
      <c r="K683" s="195"/>
      <c r="L683" s="533"/>
      <c r="O683" s="539"/>
      <c r="P683" s="533"/>
    </row>
    <row r="684" ht="15.75" customHeight="1">
      <c r="C684" s="206"/>
      <c r="E684" s="906"/>
      <c r="F684" s="195"/>
      <c r="G684" s="533"/>
      <c r="H684" s="534"/>
      <c r="I684" s="536"/>
      <c r="J684" s="537"/>
      <c r="K684" s="195"/>
      <c r="L684" s="533"/>
      <c r="O684" s="539"/>
      <c r="P684" s="533"/>
    </row>
    <row r="685" ht="15.75" customHeight="1">
      <c r="C685" s="206"/>
      <c r="E685" s="906"/>
      <c r="F685" s="195"/>
      <c r="G685" s="533"/>
      <c r="H685" s="534"/>
      <c r="I685" s="536"/>
      <c r="J685" s="537"/>
      <c r="K685" s="195"/>
      <c r="L685" s="533"/>
      <c r="O685" s="539"/>
      <c r="P685" s="533"/>
    </row>
    <row r="686" ht="15.75" customHeight="1">
      <c r="C686" s="206"/>
      <c r="E686" s="906"/>
      <c r="F686" s="195"/>
      <c r="G686" s="533"/>
      <c r="H686" s="534"/>
      <c r="I686" s="536"/>
      <c r="J686" s="537"/>
      <c r="K686" s="195"/>
      <c r="L686" s="533"/>
      <c r="O686" s="539"/>
      <c r="P686" s="533"/>
    </row>
    <row r="687" ht="15.75" customHeight="1">
      <c r="C687" s="206"/>
      <c r="E687" s="906"/>
      <c r="F687" s="195"/>
      <c r="G687" s="533"/>
      <c r="H687" s="534"/>
      <c r="I687" s="536"/>
      <c r="J687" s="537"/>
      <c r="K687" s="195"/>
      <c r="L687" s="533"/>
      <c r="O687" s="539"/>
      <c r="P687" s="533"/>
    </row>
    <row r="688" ht="15.75" customHeight="1">
      <c r="C688" s="206"/>
      <c r="E688" s="906"/>
      <c r="F688" s="195"/>
      <c r="G688" s="533"/>
      <c r="H688" s="534"/>
      <c r="I688" s="536"/>
      <c r="J688" s="537"/>
      <c r="K688" s="195"/>
      <c r="L688" s="533"/>
      <c r="O688" s="539"/>
      <c r="P688" s="533"/>
    </row>
    <row r="689" ht="15.75" customHeight="1">
      <c r="C689" s="206"/>
      <c r="E689" s="906"/>
      <c r="F689" s="195"/>
      <c r="G689" s="533"/>
      <c r="H689" s="534"/>
      <c r="I689" s="536"/>
      <c r="J689" s="537"/>
      <c r="K689" s="195"/>
      <c r="L689" s="533"/>
      <c r="O689" s="539"/>
      <c r="P689" s="533"/>
    </row>
    <row r="690" ht="15.75" customHeight="1">
      <c r="C690" s="206"/>
      <c r="E690" s="906"/>
      <c r="F690" s="195"/>
      <c r="G690" s="533"/>
      <c r="H690" s="534"/>
      <c r="I690" s="536"/>
      <c r="J690" s="537"/>
      <c r="K690" s="195"/>
      <c r="L690" s="533"/>
      <c r="O690" s="539"/>
      <c r="P690" s="533"/>
    </row>
    <row r="691" ht="15.75" customHeight="1">
      <c r="C691" s="206"/>
      <c r="E691" s="906"/>
      <c r="F691" s="195"/>
      <c r="G691" s="533"/>
      <c r="H691" s="534"/>
      <c r="I691" s="536"/>
      <c r="J691" s="537"/>
      <c r="K691" s="195"/>
      <c r="L691" s="533"/>
      <c r="O691" s="539"/>
      <c r="P691" s="533"/>
    </row>
    <row r="692" ht="15.75" customHeight="1">
      <c r="C692" s="206"/>
      <c r="E692" s="906"/>
      <c r="F692" s="195"/>
      <c r="G692" s="533"/>
      <c r="H692" s="534"/>
      <c r="I692" s="536"/>
      <c r="J692" s="537"/>
      <c r="K692" s="195"/>
      <c r="L692" s="533"/>
      <c r="O692" s="539"/>
      <c r="P692" s="533"/>
    </row>
    <row r="693" ht="15.75" customHeight="1">
      <c r="C693" s="206"/>
      <c r="E693" s="906"/>
      <c r="F693" s="195"/>
      <c r="G693" s="533"/>
      <c r="H693" s="534"/>
      <c r="I693" s="536"/>
      <c r="J693" s="537"/>
      <c r="K693" s="195"/>
      <c r="L693" s="533"/>
      <c r="O693" s="539"/>
      <c r="P693" s="533"/>
    </row>
    <row r="694" ht="15.75" customHeight="1">
      <c r="C694" s="206"/>
      <c r="E694" s="906"/>
      <c r="F694" s="195"/>
      <c r="G694" s="533"/>
      <c r="H694" s="534"/>
      <c r="I694" s="536"/>
      <c r="J694" s="537"/>
      <c r="K694" s="195"/>
      <c r="L694" s="533"/>
      <c r="O694" s="539"/>
      <c r="P694" s="533"/>
    </row>
    <row r="695" ht="15.75" customHeight="1">
      <c r="C695" s="206"/>
      <c r="E695" s="906"/>
      <c r="F695" s="195"/>
      <c r="G695" s="533"/>
      <c r="H695" s="534"/>
      <c r="I695" s="536"/>
      <c r="J695" s="537"/>
      <c r="K695" s="195"/>
      <c r="L695" s="533"/>
      <c r="O695" s="539"/>
      <c r="P695" s="533"/>
    </row>
    <row r="696" ht="15.75" customHeight="1">
      <c r="C696" s="206"/>
      <c r="E696" s="906"/>
      <c r="F696" s="195"/>
      <c r="G696" s="533"/>
      <c r="H696" s="534"/>
      <c r="I696" s="536"/>
      <c r="J696" s="537"/>
      <c r="K696" s="195"/>
      <c r="L696" s="533"/>
      <c r="O696" s="539"/>
      <c r="P696" s="533"/>
    </row>
    <row r="697" ht="15.75" customHeight="1">
      <c r="C697" s="206"/>
      <c r="E697" s="906"/>
      <c r="F697" s="195"/>
      <c r="G697" s="533"/>
      <c r="H697" s="534"/>
      <c r="I697" s="536"/>
      <c r="J697" s="537"/>
      <c r="K697" s="195"/>
      <c r="L697" s="533"/>
      <c r="O697" s="539"/>
      <c r="P697" s="533"/>
    </row>
    <row r="698" ht="15.75" customHeight="1">
      <c r="C698" s="206"/>
      <c r="E698" s="906"/>
      <c r="F698" s="195"/>
      <c r="G698" s="533"/>
      <c r="H698" s="534"/>
      <c r="I698" s="536"/>
      <c r="J698" s="537"/>
      <c r="K698" s="195"/>
      <c r="L698" s="533"/>
      <c r="O698" s="539"/>
      <c r="P698" s="533"/>
    </row>
    <row r="699" ht="15.75" customHeight="1">
      <c r="C699" s="206"/>
      <c r="E699" s="906"/>
      <c r="F699" s="195"/>
      <c r="G699" s="533"/>
      <c r="H699" s="534"/>
      <c r="I699" s="536"/>
      <c r="J699" s="537"/>
      <c r="K699" s="195"/>
      <c r="L699" s="533"/>
      <c r="O699" s="539"/>
      <c r="P699" s="533"/>
    </row>
    <row r="700" ht="15.75" customHeight="1">
      <c r="C700" s="206"/>
      <c r="E700" s="906"/>
      <c r="F700" s="195"/>
      <c r="G700" s="533"/>
      <c r="H700" s="534"/>
      <c r="I700" s="536"/>
      <c r="J700" s="537"/>
      <c r="K700" s="195"/>
      <c r="L700" s="533"/>
      <c r="O700" s="539"/>
      <c r="P700" s="533"/>
    </row>
    <row r="701" ht="15.75" customHeight="1">
      <c r="C701" s="206"/>
      <c r="E701" s="906"/>
      <c r="F701" s="195"/>
      <c r="G701" s="533"/>
      <c r="H701" s="534"/>
      <c r="I701" s="536"/>
      <c r="J701" s="537"/>
      <c r="K701" s="195"/>
      <c r="L701" s="533"/>
      <c r="O701" s="539"/>
      <c r="P701" s="533"/>
    </row>
    <row r="702" ht="15.75" customHeight="1">
      <c r="C702" s="206"/>
      <c r="E702" s="906"/>
      <c r="F702" s="195"/>
      <c r="G702" s="533"/>
      <c r="H702" s="534"/>
      <c r="I702" s="536"/>
      <c r="J702" s="537"/>
      <c r="K702" s="195"/>
      <c r="L702" s="533"/>
      <c r="O702" s="539"/>
      <c r="P702" s="533"/>
    </row>
    <row r="703" ht="15.75" customHeight="1">
      <c r="C703" s="206"/>
      <c r="E703" s="906"/>
      <c r="F703" s="195"/>
      <c r="G703" s="533"/>
      <c r="H703" s="534"/>
      <c r="I703" s="536"/>
      <c r="J703" s="537"/>
      <c r="K703" s="195"/>
      <c r="L703" s="533"/>
      <c r="O703" s="539"/>
      <c r="P703" s="533"/>
    </row>
    <row r="704" ht="15.75" customHeight="1">
      <c r="C704" s="206"/>
      <c r="E704" s="906"/>
      <c r="F704" s="195"/>
      <c r="G704" s="533"/>
      <c r="H704" s="534"/>
      <c r="I704" s="536"/>
      <c r="J704" s="537"/>
      <c r="K704" s="195"/>
      <c r="L704" s="533"/>
      <c r="O704" s="539"/>
      <c r="P704" s="533"/>
    </row>
    <row r="705" ht="15.75" customHeight="1">
      <c r="C705" s="206"/>
      <c r="E705" s="906"/>
      <c r="F705" s="195"/>
      <c r="G705" s="533"/>
      <c r="H705" s="534"/>
      <c r="I705" s="536"/>
      <c r="J705" s="537"/>
      <c r="K705" s="195"/>
      <c r="L705" s="533"/>
      <c r="O705" s="539"/>
      <c r="P705" s="533"/>
    </row>
    <row r="706" ht="15.75" customHeight="1">
      <c r="C706" s="206"/>
      <c r="E706" s="906"/>
      <c r="F706" s="195"/>
      <c r="G706" s="533"/>
      <c r="H706" s="534"/>
      <c r="I706" s="536"/>
      <c r="J706" s="537"/>
      <c r="K706" s="195"/>
      <c r="L706" s="533"/>
      <c r="O706" s="539"/>
      <c r="P706" s="533"/>
    </row>
    <row r="707" ht="15.75" customHeight="1">
      <c r="C707" s="206"/>
      <c r="E707" s="906"/>
      <c r="F707" s="195"/>
      <c r="G707" s="533"/>
      <c r="H707" s="534"/>
      <c r="I707" s="536"/>
      <c r="J707" s="537"/>
      <c r="K707" s="195"/>
      <c r="L707" s="533"/>
      <c r="O707" s="539"/>
      <c r="P707" s="533"/>
    </row>
    <row r="708" ht="15.75" customHeight="1">
      <c r="C708" s="206"/>
      <c r="E708" s="906"/>
      <c r="F708" s="195"/>
      <c r="G708" s="533"/>
      <c r="H708" s="534"/>
      <c r="I708" s="536"/>
      <c r="J708" s="537"/>
      <c r="K708" s="195"/>
      <c r="L708" s="533"/>
      <c r="O708" s="539"/>
      <c r="P708" s="533"/>
    </row>
    <row r="709" ht="15.75" customHeight="1">
      <c r="C709" s="206"/>
      <c r="E709" s="906"/>
      <c r="F709" s="195"/>
      <c r="G709" s="533"/>
      <c r="H709" s="534"/>
      <c r="I709" s="536"/>
      <c r="J709" s="537"/>
      <c r="K709" s="195"/>
      <c r="L709" s="533"/>
      <c r="O709" s="539"/>
      <c r="P709" s="533"/>
    </row>
    <row r="710" ht="15.75" customHeight="1">
      <c r="C710" s="206"/>
      <c r="E710" s="906"/>
      <c r="F710" s="195"/>
      <c r="G710" s="533"/>
      <c r="H710" s="534"/>
      <c r="I710" s="536"/>
      <c r="J710" s="537"/>
      <c r="K710" s="195"/>
      <c r="L710" s="533"/>
      <c r="O710" s="539"/>
      <c r="P710" s="533"/>
    </row>
    <row r="711" ht="15.75" customHeight="1">
      <c r="C711" s="206"/>
      <c r="E711" s="906"/>
      <c r="F711" s="195"/>
      <c r="G711" s="533"/>
      <c r="H711" s="534"/>
      <c r="I711" s="536"/>
      <c r="J711" s="537"/>
      <c r="K711" s="195"/>
      <c r="L711" s="533"/>
      <c r="O711" s="539"/>
      <c r="P711" s="533"/>
    </row>
    <row r="712" ht="15.75" customHeight="1">
      <c r="C712" s="206"/>
      <c r="E712" s="906"/>
      <c r="F712" s="195"/>
      <c r="G712" s="533"/>
      <c r="H712" s="534"/>
      <c r="I712" s="536"/>
      <c r="J712" s="537"/>
      <c r="K712" s="195"/>
      <c r="L712" s="533"/>
      <c r="O712" s="539"/>
      <c r="P712" s="533"/>
    </row>
    <row r="713" ht="15.75" customHeight="1">
      <c r="C713" s="206"/>
      <c r="E713" s="906"/>
      <c r="F713" s="195"/>
      <c r="G713" s="533"/>
      <c r="H713" s="534"/>
      <c r="I713" s="536"/>
      <c r="J713" s="537"/>
      <c r="K713" s="195"/>
      <c r="L713" s="533"/>
      <c r="O713" s="539"/>
      <c r="P713" s="533"/>
    </row>
    <row r="714" ht="15.75" customHeight="1">
      <c r="C714" s="206"/>
      <c r="E714" s="906"/>
      <c r="F714" s="195"/>
      <c r="G714" s="533"/>
      <c r="H714" s="534"/>
      <c r="I714" s="536"/>
      <c r="J714" s="537"/>
      <c r="K714" s="195"/>
      <c r="L714" s="533"/>
      <c r="O714" s="539"/>
      <c r="P714" s="533"/>
    </row>
    <row r="715" ht="15.75" customHeight="1">
      <c r="C715" s="206"/>
      <c r="E715" s="906"/>
      <c r="F715" s="195"/>
      <c r="G715" s="533"/>
      <c r="H715" s="534"/>
      <c r="I715" s="536"/>
      <c r="J715" s="537"/>
      <c r="K715" s="195"/>
      <c r="L715" s="533"/>
      <c r="O715" s="539"/>
      <c r="P715" s="533"/>
    </row>
    <row r="716" ht="15.75" customHeight="1">
      <c r="C716" s="206"/>
      <c r="E716" s="906"/>
      <c r="F716" s="195"/>
      <c r="G716" s="533"/>
      <c r="H716" s="534"/>
      <c r="I716" s="536"/>
      <c r="J716" s="537"/>
      <c r="K716" s="195"/>
      <c r="L716" s="533"/>
      <c r="O716" s="539"/>
      <c r="P716" s="533"/>
    </row>
    <row r="717" ht="15.75" customHeight="1">
      <c r="C717" s="206"/>
      <c r="E717" s="906"/>
      <c r="F717" s="195"/>
      <c r="G717" s="533"/>
      <c r="H717" s="534"/>
      <c r="I717" s="536"/>
      <c r="J717" s="537"/>
      <c r="K717" s="195"/>
      <c r="L717" s="533"/>
      <c r="O717" s="539"/>
      <c r="P717" s="533"/>
    </row>
    <row r="718" ht="15.75" customHeight="1">
      <c r="C718" s="206"/>
      <c r="E718" s="906"/>
      <c r="F718" s="195"/>
      <c r="G718" s="533"/>
      <c r="H718" s="534"/>
      <c r="I718" s="536"/>
      <c r="J718" s="537"/>
      <c r="K718" s="195"/>
      <c r="L718" s="533"/>
      <c r="O718" s="539"/>
      <c r="P718" s="533"/>
    </row>
    <row r="719" ht="15.75" customHeight="1">
      <c r="C719" s="206"/>
      <c r="E719" s="906"/>
      <c r="F719" s="195"/>
      <c r="G719" s="533"/>
      <c r="H719" s="534"/>
      <c r="I719" s="536"/>
      <c r="J719" s="537"/>
      <c r="K719" s="195"/>
      <c r="L719" s="533"/>
      <c r="O719" s="539"/>
      <c r="P719" s="533"/>
    </row>
    <row r="720" ht="15.75" customHeight="1">
      <c r="C720" s="206"/>
      <c r="E720" s="906"/>
      <c r="F720" s="195"/>
      <c r="G720" s="533"/>
      <c r="H720" s="534"/>
      <c r="I720" s="536"/>
      <c r="J720" s="537"/>
      <c r="K720" s="195"/>
      <c r="L720" s="533"/>
      <c r="O720" s="539"/>
      <c r="P720" s="533"/>
    </row>
    <row r="721" ht="15.75" customHeight="1">
      <c r="C721" s="206"/>
      <c r="E721" s="906"/>
      <c r="F721" s="195"/>
      <c r="G721" s="533"/>
      <c r="H721" s="534"/>
      <c r="I721" s="536"/>
      <c r="J721" s="537"/>
      <c r="K721" s="195"/>
      <c r="L721" s="533"/>
      <c r="O721" s="539"/>
      <c r="P721" s="533"/>
    </row>
    <row r="722" ht="15.75" customHeight="1">
      <c r="C722" s="206"/>
      <c r="E722" s="906"/>
      <c r="F722" s="195"/>
      <c r="G722" s="533"/>
      <c r="H722" s="534"/>
      <c r="I722" s="536"/>
      <c r="J722" s="537"/>
      <c r="K722" s="195"/>
      <c r="L722" s="533"/>
      <c r="O722" s="539"/>
      <c r="P722" s="533"/>
    </row>
    <row r="723" ht="15.75" customHeight="1">
      <c r="C723" s="206"/>
      <c r="E723" s="906"/>
      <c r="F723" s="195"/>
      <c r="G723" s="533"/>
      <c r="H723" s="534"/>
      <c r="I723" s="536"/>
      <c r="J723" s="537"/>
      <c r="K723" s="195"/>
      <c r="L723" s="533"/>
      <c r="O723" s="539"/>
      <c r="P723" s="533"/>
    </row>
    <row r="724" ht="15.75" customHeight="1">
      <c r="C724" s="206"/>
      <c r="E724" s="906"/>
      <c r="F724" s="195"/>
      <c r="G724" s="533"/>
      <c r="H724" s="534"/>
      <c r="I724" s="536"/>
      <c r="J724" s="537"/>
      <c r="K724" s="195"/>
      <c r="L724" s="533"/>
      <c r="O724" s="539"/>
      <c r="P724" s="533"/>
    </row>
    <row r="725" ht="15.75" customHeight="1">
      <c r="C725" s="206"/>
      <c r="E725" s="906"/>
      <c r="F725" s="195"/>
      <c r="G725" s="533"/>
      <c r="H725" s="534"/>
      <c r="I725" s="536"/>
      <c r="J725" s="537"/>
      <c r="K725" s="195"/>
      <c r="L725" s="533"/>
      <c r="O725" s="539"/>
      <c r="P725" s="533"/>
    </row>
    <row r="726" ht="15.75" customHeight="1">
      <c r="C726" s="206"/>
      <c r="E726" s="906"/>
      <c r="F726" s="195"/>
      <c r="G726" s="533"/>
      <c r="H726" s="534"/>
      <c r="I726" s="536"/>
      <c r="J726" s="537"/>
      <c r="K726" s="195"/>
      <c r="L726" s="533"/>
      <c r="O726" s="539"/>
      <c r="P726" s="533"/>
    </row>
    <row r="727" ht="15.75" customHeight="1">
      <c r="C727" s="206"/>
      <c r="E727" s="906"/>
      <c r="F727" s="195"/>
      <c r="G727" s="533"/>
      <c r="H727" s="534"/>
      <c r="I727" s="536"/>
      <c r="J727" s="537"/>
      <c r="K727" s="195"/>
      <c r="L727" s="533"/>
      <c r="O727" s="539"/>
      <c r="P727" s="533"/>
    </row>
    <row r="728" ht="15.75" customHeight="1">
      <c r="C728" s="206"/>
      <c r="E728" s="906"/>
      <c r="F728" s="195"/>
      <c r="G728" s="533"/>
      <c r="H728" s="534"/>
      <c r="I728" s="536"/>
      <c r="J728" s="537"/>
      <c r="K728" s="195"/>
      <c r="L728" s="533"/>
      <c r="O728" s="539"/>
      <c r="P728" s="533"/>
    </row>
    <row r="729" ht="15.75" customHeight="1">
      <c r="C729" s="206"/>
      <c r="E729" s="906"/>
      <c r="F729" s="195"/>
      <c r="G729" s="533"/>
      <c r="H729" s="534"/>
      <c r="I729" s="536"/>
      <c r="J729" s="537"/>
      <c r="K729" s="195"/>
      <c r="L729" s="533"/>
      <c r="O729" s="539"/>
      <c r="P729" s="533"/>
    </row>
    <row r="730" ht="15.75" customHeight="1">
      <c r="C730" s="206"/>
      <c r="E730" s="906"/>
      <c r="F730" s="195"/>
      <c r="G730" s="533"/>
      <c r="H730" s="534"/>
      <c r="I730" s="536"/>
      <c r="J730" s="537"/>
      <c r="K730" s="195"/>
      <c r="L730" s="533"/>
      <c r="O730" s="539"/>
      <c r="P730" s="533"/>
    </row>
    <row r="731" ht="15.75" customHeight="1">
      <c r="C731" s="206"/>
      <c r="E731" s="906"/>
      <c r="F731" s="195"/>
      <c r="G731" s="533"/>
      <c r="H731" s="534"/>
      <c r="I731" s="536"/>
      <c r="J731" s="537"/>
      <c r="K731" s="195"/>
      <c r="L731" s="533"/>
      <c r="O731" s="539"/>
      <c r="P731" s="533"/>
    </row>
    <row r="732" ht="15.75" customHeight="1">
      <c r="C732" s="206"/>
      <c r="E732" s="906"/>
      <c r="F732" s="195"/>
      <c r="G732" s="533"/>
      <c r="H732" s="534"/>
      <c r="I732" s="536"/>
      <c r="J732" s="537"/>
      <c r="K732" s="195"/>
      <c r="L732" s="533"/>
      <c r="O732" s="539"/>
      <c r="P732" s="533"/>
    </row>
    <row r="733" ht="15.75" customHeight="1">
      <c r="C733" s="206"/>
      <c r="E733" s="906"/>
      <c r="F733" s="195"/>
      <c r="G733" s="533"/>
      <c r="H733" s="534"/>
      <c r="I733" s="536"/>
      <c r="J733" s="537"/>
      <c r="K733" s="195"/>
      <c r="L733" s="533"/>
      <c r="O733" s="539"/>
      <c r="P733" s="533"/>
    </row>
    <row r="734" ht="15.75" customHeight="1">
      <c r="C734" s="206"/>
      <c r="E734" s="906"/>
      <c r="F734" s="195"/>
      <c r="G734" s="533"/>
      <c r="H734" s="534"/>
      <c r="I734" s="536"/>
      <c r="J734" s="537"/>
      <c r="K734" s="195"/>
      <c r="L734" s="533"/>
      <c r="O734" s="539"/>
      <c r="P734" s="533"/>
    </row>
    <row r="735" ht="15.75" customHeight="1">
      <c r="C735" s="206"/>
      <c r="E735" s="906"/>
      <c r="F735" s="195"/>
      <c r="G735" s="533"/>
      <c r="H735" s="534"/>
      <c r="I735" s="536"/>
      <c r="J735" s="537"/>
      <c r="K735" s="195"/>
      <c r="L735" s="533"/>
      <c r="O735" s="539"/>
      <c r="P735" s="533"/>
    </row>
    <row r="736" ht="15.75" customHeight="1">
      <c r="C736" s="206"/>
      <c r="E736" s="906"/>
      <c r="F736" s="195"/>
      <c r="G736" s="533"/>
      <c r="H736" s="534"/>
      <c r="I736" s="536"/>
      <c r="J736" s="537"/>
      <c r="K736" s="195"/>
      <c r="L736" s="533"/>
      <c r="O736" s="539"/>
      <c r="P736" s="533"/>
    </row>
    <row r="737" ht="15.75" customHeight="1">
      <c r="C737" s="206"/>
      <c r="E737" s="906"/>
      <c r="F737" s="195"/>
      <c r="G737" s="533"/>
      <c r="H737" s="534"/>
      <c r="I737" s="536"/>
      <c r="J737" s="537"/>
      <c r="K737" s="195"/>
      <c r="L737" s="533"/>
      <c r="O737" s="539"/>
      <c r="P737" s="533"/>
    </row>
    <row r="738" ht="15.75" customHeight="1">
      <c r="C738" s="206"/>
      <c r="E738" s="906"/>
      <c r="F738" s="195"/>
      <c r="G738" s="533"/>
      <c r="H738" s="534"/>
      <c r="I738" s="536"/>
      <c r="J738" s="537"/>
      <c r="K738" s="195"/>
      <c r="L738" s="533"/>
      <c r="O738" s="539"/>
      <c r="P738" s="533"/>
    </row>
    <row r="739" ht="15.75" customHeight="1">
      <c r="C739" s="206"/>
      <c r="E739" s="906"/>
      <c r="F739" s="195"/>
      <c r="G739" s="533"/>
      <c r="H739" s="534"/>
      <c r="I739" s="536"/>
      <c r="J739" s="537"/>
      <c r="K739" s="195"/>
      <c r="L739" s="533"/>
      <c r="O739" s="539"/>
      <c r="P739" s="533"/>
    </row>
    <row r="740" ht="15.75" customHeight="1">
      <c r="C740" s="206"/>
      <c r="E740" s="906"/>
      <c r="F740" s="195"/>
      <c r="G740" s="533"/>
      <c r="H740" s="534"/>
      <c r="I740" s="536"/>
      <c r="J740" s="537"/>
      <c r="K740" s="195"/>
      <c r="L740" s="533"/>
      <c r="O740" s="539"/>
      <c r="P740" s="533"/>
    </row>
    <row r="741" ht="15.75" customHeight="1">
      <c r="C741" s="206"/>
      <c r="E741" s="906"/>
      <c r="F741" s="195"/>
      <c r="G741" s="533"/>
      <c r="H741" s="534"/>
      <c r="I741" s="536"/>
      <c r="J741" s="537"/>
      <c r="K741" s="195"/>
      <c r="L741" s="533"/>
      <c r="O741" s="539"/>
      <c r="P741" s="533"/>
    </row>
    <row r="742" ht="15.75" customHeight="1">
      <c r="C742" s="206"/>
      <c r="E742" s="906"/>
      <c r="F742" s="195"/>
      <c r="G742" s="533"/>
      <c r="H742" s="534"/>
      <c r="I742" s="536"/>
      <c r="J742" s="537"/>
      <c r="K742" s="195"/>
      <c r="L742" s="533"/>
      <c r="O742" s="539"/>
      <c r="P742" s="533"/>
    </row>
    <row r="743" ht="15.75" customHeight="1">
      <c r="C743" s="206"/>
      <c r="E743" s="906"/>
      <c r="F743" s="195"/>
      <c r="G743" s="533"/>
      <c r="H743" s="534"/>
      <c r="I743" s="536"/>
      <c r="J743" s="537"/>
      <c r="K743" s="195"/>
      <c r="L743" s="533"/>
      <c r="O743" s="539"/>
      <c r="P743" s="533"/>
    </row>
    <row r="744" ht="15.75" customHeight="1">
      <c r="C744" s="206"/>
      <c r="E744" s="906"/>
      <c r="F744" s="195"/>
      <c r="G744" s="533"/>
      <c r="H744" s="534"/>
      <c r="I744" s="536"/>
      <c r="J744" s="537"/>
      <c r="K744" s="195"/>
      <c r="L744" s="533"/>
      <c r="O744" s="539"/>
      <c r="P744" s="533"/>
    </row>
    <row r="745" ht="15.75" customHeight="1">
      <c r="C745" s="206"/>
      <c r="E745" s="906"/>
      <c r="F745" s="195"/>
      <c r="G745" s="533"/>
      <c r="H745" s="534"/>
      <c r="I745" s="536"/>
      <c r="J745" s="537"/>
      <c r="K745" s="195"/>
      <c r="L745" s="533"/>
      <c r="O745" s="539"/>
      <c r="P745" s="533"/>
    </row>
    <row r="746" ht="15.75" customHeight="1">
      <c r="C746" s="206"/>
      <c r="E746" s="906"/>
      <c r="F746" s="195"/>
      <c r="G746" s="533"/>
      <c r="H746" s="534"/>
      <c r="I746" s="536"/>
      <c r="J746" s="537"/>
      <c r="K746" s="195"/>
      <c r="L746" s="533"/>
      <c r="O746" s="539"/>
      <c r="P746" s="533"/>
    </row>
    <row r="747" ht="15.75" customHeight="1">
      <c r="C747" s="206"/>
      <c r="E747" s="906"/>
      <c r="F747" s="195"/>
      <c r="G747" s="533"/>
      <c r="H747" s="534"/>
      <c r="I747" s="536"/>
      <c r="J747" s="537"/>
      <c r="K747" s="195"/>
      <c r="L747" s="533"/>
      <c r="O747" s="539"/>
      <c r="P747" s="533"/>
    </row>
    <row r="748" ht="15.75" customHeight="1">
      <c r="C748" s="206"/>
      <c r="E748" s="906"/>
      <c r="F748" s="195"/>
      <c r="G748" s="533"/>
      <c r="H748" s="534"/>
      <c r="I748" s="536"/>
      <c r="J748" s="537"/>
      <c r="K748" s="195"/>
      <c r="L748" s="533"/>
      <c r="O748" s="539"/>
      <c r="P748" s="533"/>
    </row>
    <row r="749" ht="15.75" customHeight="1">
      <c r="C749" s="206"/>
      <c r="E749" s="906"/>
      <c r="F749" s="195"/>
      <c r="G749" s="533"/>
      <c r="H749" s="534"/>
      <c r="I749" s="536"/>
      <c r="J749" s="537"/>
      <c r="K749" s="195"/>
      <c r="L749" s="533"/>
      <c r="O749" s="539"/>
      <c r="P749" s="533"/>
    </row>
    <row r="750" ht="15.75" customHeight="1">
      <c r="C750" s="206"/>
      <c r="E750" s="906"/>
      <c r="F750" s="195"/>
      <c r="G750" s="533"/>
      <c r="H750" s="534"/>
      <c r="I750" s="536"/>
      <c r="J750" s="537"/>
      <c r="K750" s="195"/>
      <c r="L750" s="533"/>
      <c r="O750" s="539"/>
      <c r="P750" s="533"/>
    </row>
    <row r="751" ht="15.75" customHeight="1">
      <c r="C751" s="206"/>
      <c r="E751" s="906"/>
      <c r="F751" s="195"/>
      <c r="G751" s="533"/>
      <c r="H751" s="534"/>
      <c r="I751" s="536"/>
      <c r="J751" s="537"/>
      <c r="K751" s="195"/>
      <c r="L751" s="533"/>
      <c r="O751" s="539"/>
      <c r="P751" s="533"/>
    </row>
    <row r="752" ht="15.75" customHeight="1">
      <c r="C752" s="206"/>
      <c r="E752" s="906"/>
      <c r="F752" s="195"/>
      <c r="G752" s="533"/>
      <c r="H752" s="534"/>
      <c r="I752" s="536"/>
      <c r="J752" s="537"/>
      <c r="K752" s="195"/>
      <c r="L752" s="533"/>
      <c r="O752" s="539"/>
      <c r="P752" s="533"/>
    </row>
    <row r="753" ht="15.75" customHeight="1">
      <c r="C753" s="206"/>
      <c r="E753" s="906"/>
      <c r="F753" s="195"/>
      <c r="G753" s="533"/>
      <c r="H753" s="534"/>
      <c r="I753" s="536"/>
      <c r="J753" s="537"/>
      <c r="K753" s="195"/>
      <c r="L753" s="533"/>
      <c r="O753" s="539"/>
      <c r="P753" s="533"/>
    </row>
    <row r="754" ht="15.75" customHeight="1">
      <c r="C754" s="206"/>
      <c r="E754" s="906"/>
      <c r="F754" s="195"/>
      <c r="G754" s="533"/>
      <c r="H754" s="534"/>
      <c r="I754" s="536"/>
      <c r="J754" s="537"/>
      <c r="K754" s="195"/>
      <c r="L754" s="533"/>
      <c r="O754" s="539"/>
      <c r="P754" s="533"/>
    </row>
    <row r="755" ht="15.75" customHeight="1">
      <c r="C755" s="206"/>
      <c r="E755" s="906"/>
      <c r="F755" s="195"/>
      <c r="G755" s="533"/>
      <c r="H755" s="534"/>
      <c r="I755" s="536"/>
      <c r="J755" s="537"/>
      <c r="K755" s="195"/>
      <c r="L755" s="533"/>
      <c r="O755" s="539"/>
      <c r="P755" s="533"/>
    </row>
    <row r="756" ht="15.75" customHeight="1">
      <c r="C756" s="206"/>
      <c r="E756" s="906"/>
      <c r="F756" s="195"/>
      <c r="G756" s="533"/>
      <c r="H756" s="534"/>
      <c r="I756" s="536"/>
      <c r="J756" s="537"/>
      <c r="K756" s="195"/>
      <c r="L756" s="533"/>
      <c r="O756" s="539"/>
      <c r="P756" s="533"/>
    </row>
    <row r="757" ht="15.75" customHeight="1">
      <c r="C757" s="206"/>
      <c r="E757" s="906"/>
      <c r="F757" s="195"/>
      <c r="G757" s="533"/>
      <c r="H757" s="534"/>
      <c r="I757" s="536"/>
      <c r="J757" s="537"/>
      <c r="K757" s="195"/>
      <c r="L757" s="533"/>
      <c r="O757" s="539"/>
      <c r="P757" s="533"/>
    </row>
    <row r="758" ht="15.75" customHeight="1">
      <c r="C758" s="206"/>
      <c r="E758" s="906"/>
      <c r="F758" s="195"/>
      <c r="G758" s="533"/>
      <c r="H758" s="534"/>
      <c r="I758" s="536"/>
      <c r="J758" s="537"/>
      <c r="K758" s="195"/>
      <c r="L758" s="533"/>
      <c r="O758" s="539"/>
      <c r="P758" s="533"/>
    </row>
    <row r="759" ht="15.75" customHeight="1">
      <c r="C759" s="206"/>
      <c r="E759" s="906"/>
      <c r="F759" s="195"/>
      <c r="G759" s="533"/>
      <c r="H759" s="534"/>
      <c r="I759" s="536"/>
      <c r="J759" s="537"/>
      <c r="K759" s="195"/>
      <c r="L759" s="533"/>
      <c r="O759" s="539"/>
      <c r="P759" s="533"/>
    </row>
    <row r="760" ht="15.75" customHeight="1">
      <c r="C760" s="206"/>
      <c r="E760" s="906"/>
      <c r="F760" s="195"/>
      <c r="G760" s="533"/>
      <c r="H760" s="534"/>
      <c r="I760" s="536"/>
      <c r="J760" s="537"/>
      <c r="K760" s="195"/>
      <c r="L760" s="533"/>
      <c r="O760" s="539"/>
      <c r="P760" s="533"/>
    </row>
    <row r="761" ht="15.75" customHeight="1">
      <c r="C761" s="206"/>
      <c r="E761" s="906"/>
      <c r="F761" s="195"/>
      <c r="G761" s="533"/>
      <c r="H761" s="534"/>
      <c r="I761" s="536"/>
      <c r="J761" s="537"/>
      <c r="K761" s="195"/>
      <c r="L761" s="533"/>
      <c r="O761" s="539"/>
      <c r="P761" s="533"/>
    </row>
    <row r="762" ht="15.75" customHeight="1">
      <c r="C762" s="206"/>
      <c r="E762" s="906"/>
      <c r="F762" s="195"/>
      <c r="G762" s="533"/>
      <c r="H762" s="534"/>
      <c r="I762" s="536"/>
      <c r="J762" s="537"/>
      <c r="K762" s="195"/>
      <c r="L762" s="533"/>
      <c r="O762" s="539"/>
      <c r="P762" s="533"/>
    </row>
    <row r="763" ht="15.75" customHeight="1">
      <c r="C763" s="206"/>
      <c r="E763" s="906"/>
      <c r="F763" s="195"/>
      <c r="G763" s="533"/>
      <c r="H763" s="534"/>
      <c r="I763" s="536"/>
      <c r="J763" s="537"/>
      <c r="K763" s="195"/>
      <c r="L763" s="533"/>
      <c r="O763" s="539"/>
      <c r="P763" s="533"/>
    </row>
    <row r="764" ht="15.75" customHeight="1">
      <c r="C764" s="206"/>
      <c r="E764" s="906"/>
      <c r="F764" s="195"/>
      <c r="G764" s="533"/>
      <c r="H764" s="534"/>
      <c r="I764" s="536"/>
      <c r="J764" s="537"/>
      <c r="K764" s="195"/>
      <c r="L764" s="533"/>
      <c r="O764" s="539"/>
      <c r="P764" s="533"/>
    </row>
    <row r="765" ht="15.75" customHeight="1">
      <c r="C765" s="206"/>
      <c r="E765" s="906"/>
      <c r="F765" s="195"/>
      <c r="G765" s="533"/>
      <c r="H765" s="534"/>
      <c r="I765" s="536"/>
      <c r="J765" s="537"/>
      <c r="K765" s="195"/>
      <c r="L765" s="533"/>
      <c r="O765" s="539"/>
      <c r="P765" s="533"/>
    </row>
    <row r="766" ht="15.75" customHeight="1">
      <c r="C766" s="206"/>
      <c r="E766" s="906"/>
      <c r="F766" s="195"/>
      <c r="G766" s="533"/>
      <c r="H766" s="534"/>
      <c r="I766" s="536"/>
      <c r="J766" s="537"/>
      <c r="K766" s="195"/>
      <c r="L766" s="533"/>
      <c r="O766" s="539"/>
      <c r="P766" s="533"/>
    </row>
    <row r="767" ht="15.75" customHeight="1">
      <c r="C767" s="206"/>
      <c r="E767" s="906"/>
      <c r="F767" s="195"/>
      <c r="G767" s="533"/>
      <c r="H767" s="534"/>
      <c r="I767" s="536"/>
      <c r="J767" s="537"/>
      <c r="K767" s="195"/>
      <c r="L767" s="533"/>
      <c r="O767" s="539"/>
      <c r="P767" s="533"/>
    </row>
    <row r="768" ht="15.75" customHeight="1">
      <c r="C768" s="206"/>
      <c r="E768" s="906"/>
      <c r="F768" s="195"/>
      <c r="G768" s="533"/>
      <c r="H768" s="534"/>
      <c r="I768" s="536"/>
      <c r="J768" s="537"/>
      <c r="K768" s="195"/>
      <c r="L768" s="533"/>
      <c r="O768" s="539"/>
      <c r="P768" s="533"/>
    </row>
    <row r="769" ht="15.75" customHeight="1">
      <c r="C769" s="206"/>
      <c r="E769" s="906"/>
      <c r="F769" s="195"/>
      <c r="G769" s="533"/>
      <c r="H769" s="534"/>
      <c r="I769" s="536"/>
      <c r="J769" s="537"/>
      <c r="K769" s="195"/>
      <c r="L769" s="533"/>
      <c r="O769" s="539"/>
      <c r="P769" s="533"/>
    </row>
    <row r="770" ht="15.75" customHeight="1">
      <c r="C770" s="206"/>
      <c r="E770" s="906"/>
      <c r="F770" s="195"/>
      <c r="G770" s="533"/>
      <c r="H770" s="534"/>
      <c r="I770" s="536"/>
      <c r="J770" s="537"/>
      <c r="K770" s="195"/>
      <c r="L770" s="533"/>
      <c r="O770" s="539"/>
      <c r="P770" s="533"/>
    </row>
    <row r="771" ht="15.75" customHeight="1">
      <c r="C771" s="206"/>
      <c r="E771" s="906"/>
      <c r="F771" s="195"/>
      <c r="G771" s="533"/>
      <c r="H771" s="534"/>
      <c r="I771" s="536"/>
      <c r="J771" s="537"/>
      <c r="K771" s="195"/>
      <c r="L771" s="533"/>
      <c r="O771" s="539"/>
      <c r="P771" s="533"/>
    </row>
    <row r="772" ht="15.75" customHeight="1">
      <c r="C772" s="206"/>
      <c r="E772" s="906"/>
      <c r="F772" s="195"/>
      <c r="G772" s="533"/>
      <c r="H772" s="534"/>
      <c r="I772" s="536"/>
      <c r="J772" s="537"/>
      <c r="K772" s="195"/>
      <c r="L772" s="533"/>
      <c r="O772" s="539"/>
      <c r="P772" s="533"/>
    </row>
    <row r="773" ht="15.75" customHeight="1">
      <c r="C773" s="206"/>
      <c r="E773" s="906"/>
      <c r="F773" s="195"/>
      <c r="G773" s="533"/>
      <c r="H773" s="534"/>
      <c r="I773" s="536"/>
      <c r="J773" s="537"/>
      <c r="K773" s="195"/>
      <c r="L773" s="533"/>
      <c r="O773" s="539"/>
      <c r="P773" s="533"/>
    </row>
    <row r="774" ht="15.75" customHeight="1">
      <c r="C774" s="206"/>
      <c r="E774" s="906"/>
      <c r="F774" s="195"/>
      <c r="G774" s="533"/>
      <c r="H774" s="534"/>
      <c r="I774" s="536"/>
      <c r="J774" s="537"/>
      <c r="K774" s="195"/>
      <c r="L774" s="533"/>
      <c r="O774" s="539"/>
      <c r="P774" s="533"/>
    </row>
    <row r="775" ht="15.75" customHeight="1">
      <c r="C775" s="206"/>
      <c r="E775" s="906"/>
      <c r="F775" s="195"/>
      <c r="G775" s="533"/>
      <c r="H775" s="534"/>
      <c r="I775" s="536"/>
      <c r="J775" s="537"/>
      <c r="K775" s="195"/>
      <c r="L775" s="533"/>
      <c r="O775" s="539"/>
      <c r="P775" s="533"/>
    </row>
    <row r="776" ht="15.75" customHeight="1">
      <c r="C776" s="206"/>
      <c r="E776" s="906"/>
      <c r="F776" s="195"/>
      <c r="G776" s="533"/>
      <c r="H776" s="534"/>
      <c r="I776" s="536"/>
      <c r="J776" s="537"/>
      <c r="K776" s="195"/>
      <c r="L776" s="533"/>
      <c r="O776" s="539"/>
      <c r="P776" s="533"/>
    </row>
    <row r="777" ht="15.75" customHeight="1">
      <c r="C777" s="206"/>
      <c r="E777" s="906"/>
      <c r="F777" s="195"/>
      <c r="G777" s="533"/>
      <c r="H777" s="534"/>
      <c r="I777" s="536"/>
      <c r="J777" s="537"/>
      <c r="K777" s="195"/>
      <c r="L777" s="533"/>
      <c r="O777" s="539"/>
      <c r="P777" s="533"/>
    </row>
    <row r="778" ht="15.75" customHeight="1">
      <c r="C778" s="206"/>
      <c r="E778" s="906"/>
      <c r="F778" s="195"/>
      <c r="G778" s="533"/>
      <c r="H778" s="534"/>
      <c r="I778" s="536"/>
      <c r="J778" s="537"/>
      <c r="K778" s="195"/>
      <c r="L778" s="533"/>
      <c r="O778" s="539"/>
      <c r="P778" s="533"/>
    </row>
    <row r="779" ht="15.75" customHeight="1">
      <c r="C779" s="206"/>
      <c r="E779" s="906"/>
      <c r="F779" s="195"/>
      <c r="G779" s="533"/>
      <c r="H779" s="534"/>
      <c r="I779" s="536"/>
      <c r="J779" s="537"/>
      <c r="K779" s="195"/>
      <c r="L779" s="533"/>
      <c r="O779" s="539"/>
      <c r="P779" s="533"/>
    </row>
    <row r="780" ht="15.75" customHeight="1">
      <c r="C780" s="206"/>
      <c r="E780" s="906"/>
      <c r="F780" s="195"/>
      <c r="G780" s="533"/>
      <c r="H780" s="534"/>
      <c r="I780" s="536"/>
      <c r="J780" s="537"/>
      <c r="K780" s="195"/>
      <c r="L780" s="533"/>
      <c r="O780" s="539"/>
      <c r="P780" s="533"/>
    </row>
    <row r="781" ht="15.75" customHeight="1">
      <c r="C781" s="206"/>
      <c r="E781" s="906"/>
      <c r="F781" s="195"/>
      <c r="G781" s="533"/>
      <c r="H781" s="534"/>
      <c r="I781" s="536"/>
      <c r="J781" s="537"/>
      <c r="K781" s="195"/>
      <c r="L781" s="533"/>
      <c r="O781" s="539"/>
      <c r="P781" s="533"/>
    </row>
    <row r="782" ht="15.75" customHeight="1">
      <c r="C782" s="206"/>
      <c r="E782" s="906"/>
      <c r="F782" s="195"/>
      <c r="G782" s="533"/>
      <c r="H782" s="534"/>
      <c r="I782" s="536"/>
      <c r="J782" s="537"/>
      <c r="K782" s="195"/>
      <c r="L782" s="533"/>
      <c r="O782" s="539"/>
      <c r="P782" s="533"/>
    </row>
    <row r="783" ht="15.75" customHeight="1">
      <c r="C783" s="206"/>
      <c r="E783" s="906"/>
      <c r="F783" s="195"/>
      <c r="G783" s="533"/>
      <c r="H783" s="534"/>
      <c r="I783" s="536"/>
      <c r="J783" s="537"/>
      <c r="K783" s="195"/>
      <c r="L783" s="533"/>
      <c r="O783" s="539"/>
      <c r="P783" s="533"/>
    </row>
    <row r="784" ht="15.75" customHeight="1">
      <c r="C784" s="206"/>
      <c r="E784" s="906"/>
      <c r="F784" s="195"/>
      <c r="G784" s="533"/>
      <c r="H784" s="534"/>
      <c r="I784" s="536"/>
      <c r="J784" s="537"/>
      <c r="K784" s="195"/>
      <c r="L784" s="533"/>
      <c r="O784" s="539"/>
      <c r="P784" s="533"/>
    </row>
    <row r="785" ht="15.75" customHeight="1">
      <c r="C785" s="206"/>
      <c r="E785" s="906"/>
      <c r="F785" s="195"/>
      <c r="G785" s="533"/>
      <c r="H785" s="534"/>
      <c r="I785" s="536"/>
      <c r="J785" s="537"/>
      <c r="K785" s="195"/>
      <c r="L785" s="533"/>
      <c r="O785" s="539"/>
      <c r="P785" s="533"/>
    </row>
    <row r="786" ht="15.75" customHeight="1">
      <c r="C786" s="206"/>
      <c r="E786" s="906"/>
      <c r="F786" s="195"/>
      <c r="G786" s="533"/>
      <c r="H786" s="534"/>
      <c r="I786" s="536"/>
      <c r="J786" s="537"/>
      <c r="K786" s="195"/>
      <c r="L786" s="533"/>
      <c r="O786" s="539"/>
      <c r="P786" s="533"/>
    </row>
    <row r="787" ht="15.75" customHeight="1">
      <c r="C787" s="206"/>
      <c r="E787" s="906"/>
      <c r="F787" s="195"/>
      <c r="G787" s="533"/>
      <c r="H787" s="534"/>
      <c r="I787" s="536"/>
      <c r="J787" s="537"/>
      <c r="K787" s="195"/>
      <c r="L787" s="533"/>
      <c r="O787" s="539"/>
      <c r="P787" s="533"/>
    </row>
    <row r="788" ht="15.75" customHeight="1">
      <c r="C788" s="206"/>
      <c r="E788" s="906"/>
      <c r="F788" s="195"/>
      <c r="G788" s="533"/>
      <c r="H788" s="534"/>
      <c r="I788" s="536"/>
      <c r="J788" s="537"/>
      <c r="K788" s="195"/>
      <c r="L788" s="533"/>
      <c r="O788" s="539"/>
      <c r="P788" s="533"/>
    </row>
    <row r="789" ht="15.75" customHeight="1">
      <c r="C789" s="206"/>
      <c r="E789" s="906"/>
      <c r="F789" s="195"/>
      <c r="G789" s="533"/>
      <c r="H789" s="534"/>
      <c r="I789" s="536"/>
      <c r="J789" s="537"/>
      <c r="K789" s="195"/>
      <c r="L789" s="533"/>
      <c r="O789" s="539"/>
      <c r="P789" s="533"/>
    </row>
    <row r="790" ht="15.75" customHeight="1">
      <c r="C790" s="206"/>
      <c r="E790" s="906"/>
      <c r="F790" s="195"/>
      <c r="G790" s="533"/>
      <c r="H790" s="534"/>
      <c r="I790" s="536"/>
      <c r="J790" s="537"/>
      <c r="K790" s="195"/>
      <c r="L790" s="533"/>
      <c r="O790" s="539"/>
      <c r="P790" s="533"/>
    </row>
    <row r="791" ht="15.75" customHeight="1">
      <c r="C791" s="206"/>
      <c r="E791" s="906"/>
      <c r="F791" s="195"/>
      <c r="G791" s="533"/>
      <c r="H791" s="534"/>
      <c r="I791" s="536"/>
      <c r="J791" s="537"/>
      <c r="K791" s="195"/>
      <c r="L791" s="533"/>
      <c r="O791" s="539"/>
      <c r="P791" s="533"/>
    </row>
    <row r="792" ht="15.75" customHeight="1">
      <c r="C792" s="206"/>
      <c r="E792" s="906"/>
      <c r="F792" s="195"/>
      <c r="G792" s="533"/>
      <c r="H792" s="534"/>
      <c r="I792" s="536"/>
      <c r="J792" s="537"/>
      <c r="K792" s="195"/>
      <c r="L792" s="533"/>
      <c r="O792" s="539"/>
      <c r="P792" s="533"/>
    </row>
    <row r="793" ht="15.75" customHeight="1">
      <c r="C793" s="206"/>
      <c r="E793" s="906"/>
      <c r="F793" s="195"/>
      <c r="G793" s="533"/>
      <c r="H793" s="534"/>
      <c r="I793" s="536"/>
      <c r="J793" s="537"/>
      <c r="K793" s="195"/>
      <c r="L793" s="533"/>
      <c r="O793" s="539"/>
      <c r="P793" s="533"/>
    </row>
    <row r="794" ht="15.75" customHeight="1">
      <c r="C794" s="206"/>
      <c r="E794" s="906"/>
      <c r="F794" s="195"/>
      <c r="G794" s="533"/>
      <c r="H794" s="534"/>
      <c r="I794" s="536"/>
      <c r="J794" s="537"/>
      <c r="K794" s="195"/>
      <c r="L794" s="533"/>
      <c r="O794" s="539"/>
      <c r="P794" s="533"/>
    </row>
    <row r="795" ht="15.75" customHeight="1">
      <c r="C795" s="206"/>
      <c r="E795" s="906"/>
      <c r="F795" s="195"/>
      <c r="G795" s="533"/>
      <c r="H795" s="534"/>
      <c r="I795" s="536"/>
      <c r="J795" s="537"/>
      <c r="K795" s="195"/>
      <c r="L795" s="533"/>
      <c r="O795" s="539"/>
      <c r="P795" s="533"/>
    </row>
    <row r="796" ht="15.75" customHeight="1">
      <c r="C796" s="206"/>
      <c r="E796" s="906"/>
      <c r="F796" s="195"/>
      <c r="G796" s="533"/>
      <c r="H796" s="534"/>
      <c r="I796" s="536"/>
      <c r="J796" s="537"/>
      <c r="K796" s="195"/>
      <c r="L796" s="533"/>
      <c r="O796" s="539"/>
      <c r="P796" s="533"/>
    </row>
    <row r="797" ht="15.75" customHeight="1">
      <c r="C797" s="206"/>
      <c r="E797" s="906"/>
      <c r="F797" s="195"/>
      <c r="G797" s="533"/>
      <c r="H797" s="534"/>
      <c r="I797" s="536"/>
      <c r="J797" s="537"/>
      <c r="K797" s="195"/>
      <c r="L797" s="533"/>
      <c r="O797" s="539"/>
      <c r="P797" s="533"/>
    </row>
    <row r="798" ht="15.75" customHeight="1">
      <c r="C798" s="206"/>
      <c r="E798" s="906"/>
      <c r="F798" s="195"/>
      <c r="G798" s="533"/>
      <c r="H798" s="534"/>
      <c r="I798" s="536"/>
      <c r="J798" s="537"/>
      <c r="K798" s="195"/>
      <c r="L798" s="533"/>
      <c r="O798" s="539"/>
      <c r="P798" s="533"/>
    </row>
    <row r="799" ht="15.75" customHeight="1">
      <c r="C799" s="206"/>
      <c r="E799" s="906"/>
      <c r="F799" s="195"/>
      <c r="G799" s="533"/>
      <c r="H799" s="534"/>
      <c r="I799" s="536"/>
      <c r="J799" s="537"/>
      <c r="K799" s="195"/>
      <c r="L799" s="533"/>
      <c r="O799" s="539"/>
      <c r="P799" s="533"/>
    </row>
    <row r="800" ht="15.75" customHeight="1">
      <c r="C800" s="206"/>
      <c r="E800" s="906"/>
      <c r="F800" s="195"/>
      <c r="G800" s="533"/>
      <c r="H800" s="534"/>
      <c r="I800" s="536"/>
      <c r="J800" s="537"/>
      <c r="K800" s="195"/>
      <c r="L800" s="533"/>
      <c r="O800" s="539"/>
      <c r="P800" s="533"/>
    </row>
    <row r="801" ht="15.75" customHeight="1">
      <c r="C801" s="206"/>
      <c r="E801" s="906"/>
      <c r="F801" s="195"/>
      <c r="G801" s="533"/>
      <c r="H801" s="534"/>
      <c r="I801" s="536"/>
      <c r="J801" s="537"/>
      <c r="K801" s="195"/>
      <c r="L801" s="533"/>
      <c r="O801" s="539"/>
      <c r="P801" s="533"/>
    </row>
    <row r="802" ht="15.75" customHeight="1">
      <c r="C802" s="206"/>
      <c r="E802" s="906"/>
      <c r="F802" s="195"/>
      <c r="G802" s="533"/>
      <c r="H802" s="534"/>
      <c r="I802" s="536"/>
      <c r="J802" s="537"/>
      <c r="K802" s="195"/>
      <c r="L802" s="533"/>
      <c r="O802" s="539"/>
      <c r="P802" s="533"/>
    </row>
    <row r="803" ht="15.75" customHeight="1">
      <c r="C803" s="206"/>
      <c r="E803" s="906"/>
      <c r="F803" s="195"/>
      <c r="G803" s="533"/>
      <c r="H803" s="534"/>
      <c r="I803" s="536"/>
      <c r="J803" s="537"/>
      <c r="K803" s="195"/>
      <c r="L803" s="533"/>
      <c r="O803" s="539"/>
      <c r="P803" s="533"/>
    </row>
    <row r="804" ht="15.75" customHeight="1">
      <c r="C804" s="206"/>
      <c r="E804" s="906"/>
      <c r="F804" s="195"/>
      <c r="G804" s="533"/>
      <c r="H804" s="534"/>
      <c r="I804" s="536"/>
      <c r="J804" s="537"/>
      <c r="K804" s="195"/>
      <c r="L804" s="533"/>
      <c r="O804" s="539"/>
      <c r="P804" s="533"/>
    </row>
    <row r="805" ht="15.75" customHeight="1">
      <c r="C805" s="206"/>
      <c r="E805" s="906"/>
      <c r="F805" s="195"/>
      <c r="G805" s="533"/>
      <c r="H805" s="534"/>
      <c r="I805" s="536"/>
      <c r="J805" s="537"/>
      <c r="K805" s="195"/>
      <c r="L805" s="533"/>
      <c r="O805" s="539"/>
      <c r="P805" s="533"/>
    </row>
    <row r="806" ht="15.75" customHeight="1">
      <c r="C806" s="206"/>
      <c r="E806" s="906"/>
      <c r="F806" s="195"/>
      <c r="G806" s="533"/>
      <c r="H806" s="534"/>
      <c r="I806" s="536"/>
      <c r="J806" s="537"/>
      <c r="K806" s="195"/>
      <c r="L806" s="533"/>
      <c r="O806" s="539"/>
      <c r="P806" s="533"/>
    </row>
    <row r="807" ht="15.75" customHeight="1">
      <c r="C807" s="206"/>
      <c r="E807" s="906"/>
      <c r="F807" s="195"/>
      <c r="G807" s="533"/>
      <c r="H807" s="534"/>
      <c r="I807" s="536"/>
      <c r="J807" s="537"/>
      <c r="K807" s="195"/>
      <c r="L807" s="533"/>
      <c r="O807" s="539"/>
      <c r="P807" s="533"/>
    </row>
    <row r="808" ht="15.75" customHeight="1">
      <c r="C808" s="206"/>
      <c r="E808" s="906"/>
      <c r="F808" s="195"/>
      <c r="G808" s="533"/>
      <c r="H808" s="534"/>
      <c r="I808" s="536"/>
      <c r="J808" s="537"/>
      <c r="K808" s="195"/>
      <c r="L808" s="533"/>
      <c r="O808" s="539"/>
      <c r="P808" s="533"/>
    </row>
    <row r="809" ht="15.75" customHeight="1">
      <c r="C809" s="206"/>
      <c r="E809" s="906"/>
      <c r="F809" s="195"/>
      <c r="G809" s="533"/>
      <c r="H809" s="534"/>
      <c r="I809" s="536"/>
      <c r="J809" s="537"/>
      <c r="K809" s="195"/>
      <c r="L809" s="533"/>
      <c r="O809" s="539"/>
      <c r="P809" s="533"/>
    </row>
    <row r="810" ht="15.75" customHeight="1">
      <c r="C810" s="206"/>
      <c r="E810" s="906"/>
      <c r="F810" s="195"/>
      <c r="G810" s="533"/>
      <c r="H810" s="534"/>
      <c r="I810" s="536"/>
      <c r="J810" s="537"/>
      <c r="K810" s="195"/>
      <c r="L810" s="533"/>
      <c r="O810" s="539"/>
      <c r="P810" s="533"/>
    </row>
    <row r="811" ht="15.75" customHeight="1">
      <c r="C811" s="206"/>
      <c r="E811" s="906"/>
      <c r="F811" s="195"/>
      <c r="G811" s="533"/>
      <c r="H811" s="534"/>
      <c r="I811" s="536"/>
      <c r="J811" s="537"/>
      <c r="K811" s="195"/>
      <c r="L811" s="533"/>
      <c r="O811" s="539"/>
      <c r="P811" s="533"/>
    </row>
    <row r="812" ht="15.75" customHeight="1">
      <c r="C812" s="206"/>
      <c r="E812" s="906"/>
      <c r="F812" s="195"/>
      <c r="G812" s="533"/>
      <c r="H812" s="534"/>
      <c r="I812" s="536"/>
      <c r="J812" s="537"/>
      <c r="K812" s="195"/>
      <c r="L812" s="533"/>
      <c r="O812" s="539"/>
      <c r="P812" s="533"/>
    </row>
    <row r="813" ht="15.75" customHeight="1">
      <c r="C813" s="206"/>
      <c r="E813" s="906"/>
      <c r="F813" s="195"/>
      <c r="G813" s="533"/>
      <c r="H813" s="534"/>
      <c r="I813" s="536"/>
      <c r="J813" s="537"/>
      <c r="K813" s="195"/>
      <c r="L813" s="533"/>
      <c r="O813" s="539"/>
      <c r="P813" s="533"/>
    </row>
    <row r="814" ht="15.75" customHeight="1">
      <c r="C814" s="206"/>
      <c r="E814" s="906"/>
      <c r="F814" s="195"/>
      <c r="G814" s="533"/>
      <c r="H814" s="534"/>
      <c r="I814" s="536"/>
      <c r="J814" s="537"/>
      <c r="K814" s="195"/>
      <c r="L814" s="533"/>
      <c r="O814" s="539"/>
      <c r="P814" s="533"/>
    </row>
    <row r="815" ht="15.75" customHeight="1">
      <c r="C815" s="206"/>
      <c r="E815" s="906"/>
      <c r="F815" s="195"/>
      <c r="G815" s="533"/>
      <c r="H815" s="534"/>
      <c r="I815" s="536"/>
      <c r="J815" s="537"/>
      <c r="K815" s="195"/>
      <c r="L815" s="533"/>
      <c r="O815" s="539"/>
      <c r="P815" s="533"/>
    </row>
    <row r="816" ht="15.75" customHeight="1">
      <c r="C816" s="206"/>
      <c r="E816" s="906"/>
      <c r="F816" s="195"/>
      <c r="G816" s="533"/>
      <c r="H816" s="534"/>
      <c r="I816" s="536"/>
      <c r="J816" s="537"/>
      <c r="K816" s="195"/>
      <c r="L816" s="533"/>
      <c r="O816" s="539"/>
      <c r="P816" s="533"/>
    </row>
    <row r="817" ht="15.75" customHeight="1">
      <c r="C817" s="206"/>
      <c r="E817" s="906"/>
      <c r="F817" s="195"/>
      <c r="G817" s="533"/>
      <c r="H817" s="534"/>
      <c r="I817" s="536"/>
      <c r="J817" s="537"/>
      <c r="K817" s="195"/>
      <c r="L817" s="533"/>
      <c r="O817" s="539"/>
      <c r="P817" s="533"/>
    </row>
    <row r="818" ht="15.75" customHeight="1">
      <c r="C818" s="206"/>
      <c r="E818" s="906"/>
      <c r="F818" s="195"/>
      <c r="G818" s="533"/>
      <c r="H818" s="534"/>
      <c r="I818" s="536"/>
      <c r="J818" s="537"/>
      <c r="K818" s="195"/>
      <c r="L818" s="533"/>
      <c r="O818" s="539"/>
      <c r="P818" s="533"/>
    </row>
    <row r="819" ht="15.75" customHeight="1">
      <c r="C819" s="206"/>
      <c r="E819" s="906"/>
      <c r="F819" s="195"/>
      <c r="G819" s="533"/>
      <c r="H819" s="534"/>
      <c r="I819" s="536"/>
      <c r="J819" s="537"/>
      <c r="K819" s="195"/>
      <c r="L819" s="533"/>
      <c r="O819" s="539"/>
      <c r="P819" s="533"/>
    </row>
    <row r="820" ht="15.75" customHeight="1">
      <c r="C820" s="206"/>
      <c r="E820" s="906"/>
      <c r="F820" s="195"/>
      <c r="G820" s="533"/>
      <c r="H820" s="534"/>
      <c r="I820" s="536"/>
      <c r="J820" s="537"/>
      <c r="K820" s="195"/>
      <c r="L820" s="533"/>
      <c r="O820" s="539"/>
      <c r="P820" s="533"/>
    </row>
    <row r="821" ht="15.75" customHeight="1">
      <c r="C821" s="206"/>
      <c r="E821" s="906"/>
      <c r="F821" s="195"/>
      <c r="G821" s="533"/>
      <c r="H821" s="534"/>
      <c r="I821" s="536"/>
      <c r="J821" s="537"/>
      <c r="K821" s="195"/>
      <c r="L821" s="533"/>
      <c r="O821" s="539"/>
      <c r="P821" s="533"/>
    </row>
    <row r="822" ht="15.75" customHeight="1">
      <c r="C822" s="206"/>
      <c r="E822" s="906"/>
      <c r="F822" s="195"/>
      <c r="G822" s="533"/>
      <c r="H822" s="534"/>
      <c r="I822" s="536"/>
      <c r="J822" s="537"/>
      <c r="K822" s="195"/>
      <c r="L822" s="533"/>
      <c r="O822" s="539"/>
      <c r="P822" s="533"/>
    </row>
    <row r="823" ht="15.75" customHeight="1">
      <c r="C823" s="206"/>
      <c r="E823" s="906"/>
      <c r="F823" s="195"/>
      <c r="G823" s="533"/>
      <c r="H823" s="534"/>
      <c r="I823" s="536"/>
      <c r="J823" s="537"/>
      <c r="K823" s="195"/>
      <c r="L823" s="533"/>
      <c r="O823" s="539"/>
      <c r="P823" s="533"/>
    </row>
    <row r="824" ht="15.75" customHeight="1">
      <c r="C824" s="206"/>
      <c r="E824" s="906"/>
      <c r="F824" s="195"/>
      <c r="G824" s="533"/>
      <c r="H824" s="534"/>
      <c r="I824" s="536"/>
      <c r="J824" s="537"/>
      <c r="K824" s="195"/>
      <c r="L824" s="533"/>
      <c r="O824" s="539"/>
      <c r="P824" s="533"/>
    </row>
    <row r="825" ht="15.75" customHeight="1">
      <c r="C825" s="206"/>
      <c r="E825" s="906"/>
      <c r="F825" s="195"/>
      <c r="G825" s="533"/>
      <c r="H825" s="534"/>
      <c r="I825" s="536"/>
      <c r="J825" s="537"/>
      <c r="K825" s="195"/>
      <c r="L825" s="533"/>
      <c r="O825" s="539"/>
      <c r="P825" s="533"/>
    </row>
    <row r="826" ht="15.75" customHeight="1">
      <c r="C826" s="206"/>
      <c r="E826" s="906"/>
      <c r="F826" s="195"/>
      <c r="G826" s="533"/>
      <c r="H826" s="534"/>
      <c r="I826" s="536"/>
      <c r="J826" s="537"/>
      <c r="K826" s="195"/>
      <c r="L826" s="533"/>
      <c r="O826" s="539"/>
      <c r="P826" s="533"/>
    </row>
    <row r="827" ht="15.75" customHeight="1">
      <c r="C827" s="206"/>
      <c r="E827" s="906"/>
      <c r="F827" s="195"/>
      <c r="G827" s="533"/>
      <c r="H827" s="534"/>
      <c r="I827" s="536"/>
      <c r="J827" s="537"/>
      <c r="K827" s="195"/>
      <c r="L827" s="533"/>
      <c r="O827" s="539"/>
      <c r="P827" s="533"/>
    </row>
    <row r="828" ht="15.75" customHeight="1">
      <c r="C828" s="206"/>
      <c r="E828" s="906"/>
      <c r="F828" s="195"/>
      <c r="G828" s="533"/>
      <c r="H828" s="534"/>
      <c r="I828" s="536"/>
      <c r="J828" s="537"/>
      <c r="K828" s="195"/>
      <c r="L828" s="533"/>
      <c r="O828" s="539"/>
      <c r="P828" s="533"/>
    </row>
    <row r="829" ht="15.75" customHeight="1">
      <c r="C829" s="206"/>
      <c r="E829" s="906"/>
      <c r="F829" s="195"/>
      <c r="G829" s="533"/>
      <c r="H829" s="534"/>
      <c r="I829" s="536"/>
      <c r="J829" s="537"/>
      <c r="K829" s="195"/>
      <c r="L829" s="533"/>
      <c r="O829" s="539"/>
      <c r="P829" s="533"/>
    </row>
    <row r="830" ht="15.75" customHeight="1">
      <c r="C830" s="206"/>
      <c r="E830" s="906"/>
      <c r="F830" s="195"/>
      <c r="G830" s="533"/>
      <c r="H830" s="534"/>
      <c r="I830" s="536"/>
      <c r="J830" s="537"/>
      <c r="K830" s="195"/>
      <c r="L830" s="533"/>
      <c r="O830" s="539"/>
      <c r="P830" s="533"/>
    </row>
    <row r="831" ht="15.75" customHeight="1">
      <c r="C831" s="206"/>
      <c r="E831" s="906"/>
      <c r="F831" s="195"/>
      <c r="G831" s="533"/>
      <c r="H831" s="534"/>
      <c r="I831" s="536"/>
      <c r="J831" s="537"/>
      <c r="K831" s="195"/>
      <c r="L831" s="533"/>
      <c r="O831" s="539"/>
      <c r="P831" s="533"/>
    </row>
    <row r="832" ht="15.75" customHeight="1">
      <c r="C832" s="206"/>
      <c r="E832" s="906"/>
      <c r="F832" s="195"/>
      <c r="G832" s="533"/>
      <c r="H832" s="534"/>
      <c r="I832" s="536"/>
      <c r="J832" s="537"/>
      <c r="K832" s="195"/>
      <c r="L832" s="533"/>
      <c r="O832" s="539"/>
      <c r="P832" s="533"/>
    </row>
    <row r="833" ht="15.75" customHeight="1">
      <c r="C833" s="206"/>
      <c r="E833" s="906"/>
      <c r="F833" s="195"/>
      <c r="G833" s="533"/>
      <c r="H833" s="534"/>
      <c r="I833" s="536"/>
      <c r="J833" s="537"/>
      <c r="K833" s="195"/>
      <c r="L833" s="533"/>
      <c r="O833" s="539"/>
      <c r="P833" s="533"/>
    </row>
    <row r="834" ht="15.75" customHeight="1">
      <c r="C834" s="206"/>
      <c r="E834" s="906"/>
      <c r="F834" s="195"/>
      <c r="G834" s="533"/>
      <c r="H834" s="534"/>
      <c r="I834" s="536"/>
      <c r="J834" s="537"/>
      <c r="K834" s="195"/>
      <c r="L834" s="533"/>
      <c r="O834" s="539"/>
      <c r="P834" s="533"/>
    </row>
    <row r="835" ht="15.75" customHeight="1">
      <c r="C835" s="206"/>
      <c r="E835" s="906"/>
      <c r="F835" s="195"/>
      <c r="G835" s="533"/>
      <c r="H835" s="534"/>
      <c r="I835" s="536"/>
      <c r="J835" s="537"/>
      <c r="K835" s="195"/>
      <c r="L835" s="533"/>
      <c r="O835" s="539"/>
      <c r="P835" s="533"/>
    </row>
    <row r="836" ht="15.75" customHeight="1">
      <c r="C836" s="206"/>
      <c r="E836" s="906"/>
      <c r="F836" s="195"/>
      <c r="G836" s="533"/>
      <c r="H836" s="534"/>
      <c r="I836" s="536"/>
      <c r="J836" s="537"/>
      <c r="K836" s="195"/>
      <c r="L836" s="533"/>
      <c r="O836" s="539"/>
      <c r="P836" s="533"/>
    </row>
    <row r="837" ht="15.75" customHeight="1">
      <c r="C837" s="206"/>
      <c r="E837" s="906"/>
      <c r="F837" s="195"/>
      <c r="G837" s="533"/>
      <c r="H837" s="534"/>
      <c r="I837" s="536"/>
      <c r="J837" s="537"/>
      <c r="K837" s="195"/>
      <c r="L837" s="533"/>
      <c r="O837" s="539"/>
      <c r="P837" s="533"/>
    </row>
    <row r="838" ht="15.75" customHeight="1">
      <c r="C838" s="206"/>
      <c r="E838" s="906"/>
      <c r="F838" s="195"/>
      <c r="G838" s="533"/>
      <c r="H838" s="534"/>
      <c r="I838" s="536"/>
      <c r="J838" s="537"/>
      <c r="K838" s="195"/>
      <c r="L838" s="533"/>
      <c r="O838" s="539"/>
      <c r="P838" s="533"/>
    </row>
    <row r="839" ht="15.75" customHeight="1">
      <c r="C839" s="206"/>
      <c r="E839" s="906"/>
      <c r="F839" s="195"/>
      <c r="G839" s="533"/>
      <c r="H839" s="534"/>
      <c r="I839" s="536"/>
      <c r="J839" s="537"/>
      <c r="K839" s="195"/>
      <c r="L839" s="533"/>
      <c r="O839" s="539"/>
      <c r="P839" s="533"/>
    </row>
    <row r="840" ht="15.75" customHeight="1">
      <c r="C840" s="206"/>
      <c r="E840" s="906"/>
      <c r="F840" s="195"/>
      <c r="G840" s="533"/>
      <c r="H840" s="534"/>
      <c r="I840" s="536"/>
      <c r="J840" s="537"/>
      <c r="K840" s="195"/>
      <c r="L840" s="533"/>
      <c r="O840" s="539"/>
      <c r="P840" s="533"/>
    </row>
    <row r="841" ht="15.75" customHeight="1">
      <c r="C841" s="206"/>
      <c r="E841" s="906"/>
      <c r="F841" s="195"/>
      <c r="G841" s="533"/>
      <c r="H841" s="534"/>
      <c r="I841" s="536"/>
      <c r="J841" s="537"/>
      <c r="K841" s="195"/>
      <c r="L841" s="533"/>
      <c r="O841" s="539"/>
      <c r="P841" s="533"/>
    </row>
    <row r="842" ht="15.75" customHeight="1">
      <c r="C842" s="206"/>
      <c r="E842" s="906"/>
      <c r="F842" s="195"/>
      <c r="G842" s="533"/>
      <c r="H842" s="534"/>
      <c r="I842" s="536"/>
      <c r="J842" s="537"/>
      <c r="K842" s="195"/>
      <c r="L842" s="533"/>
      <c r="O842" s="539"/>
      <c r="P842" s="533"/>
    </row>
    <row r="843" ht="15.75" customHeight="1">
      <c r="C843" s="206"/>
      <c r="E843" s="906"/>
      <c r="F843" s="195"/>
      <c r="G843" s="533"/>
      <c r="H843" s="534"/>
      <c r="I843" s="536"/>
      <c r="J843" s="537"/>
      <c r="K843" s="195"/>
      <c r="L843" s="533"/>
      <c r="O843" s="539"/>
      <c r="P843" s="533"/>
    </row>
    <row r="844" ht="15.75" customHeight="1">
      <c r="C844" s="206"/>
      <c r="E844" s="906"/>
      <c r="F844" s="195"/>
      <c r="G844" s="533"/>
      <c r="H844" s="534"/>
      <c r="I844" s="536"/>
      <c r="J844" s="537"/>
      <c r="K844" s="195"/>
      <c r="L844" s="533"/>
      <c r="O844" s="539"/>
      <c r="P844" s="533"/>
    </row>
    <row r="845" ht="15.75" customHeight="1">
      <c r="C845" s="206"/>
      <c r="E845" s="906"/>
      <c r="F845" s="195"/>
      <c r="G845" s="533"/>
      <c r="H845" s="534"/>
      <c r="I845" s="536"/>
      <c r="J845" s="537"/>
      <c r="K845" s="195"/>
      <c r="L845" s="533"/>
      <c r="O845" s="539"/>
      <c r="P845" s="533"/>
    </row>
    <row r="846" ht="15.75" customHeight="1">
      <c r="C846" s="206"/>
      <c r="E846" s="906"/>
      <c r="F846" s="195"/>
      <c r="G846" s="533"/>
      <c r="H846" s="534"/>
      <c r="I846" s="536"/>
      <c r="J846" s="537"/>
      <c r="K846" s="195"/>
      <c r="L846" s="533"/>
      <c r="O846" s="539"/>
      <c r="P846" s="533"/>
    </row>
    <row r="847" ht="15.75" customHeight="1">
      <c r="C847" s="206"/>
      <c r="E847" s="906"/>
      <c r="F847" s="195"/>
      <c r="G847" s="533"/>
      <c r="H847" s="534"/>
      <c r="I847" s="536"/>
      <c r="J847" s="537"/>
      <c r="K847" s="195"/>
      <c r="L847" s="533"/>
      <c r="O847" s="539"/>
      <c r="P847" s="533"/>
    </row>
    <row r="848" ht="15.75" customHeight="1">
      <c r="C848" s="206"/>
      <c r="E848" s="906"/>
      <c r="F848" s="195"/>
      <c r="G848" s="533"/>
      <c r="H848" s="534"/>
      <c r="I848" s="536"/>
      <c r="J848" s="537"/>
      <c r="K848" s="195"/>
      <c r="L848" s="533"/>
      <c r="O848" s="539"/>
      <c r="P848" s="533"/>
    </row>
    <row r="849" ht="15.75" customHeight="1">
      <c r="C849" s="206"/>
      <c r="E849" s="906"/>
      <c r="F849" s="195"/>
      <c r="G849" s="533"/>
      <c r="H849" s="534"/>
      <c r="I849" s="536"/>
      <c r="J849" s="537"/>
      <c r="K849" s="195"/>
      <c r="L849" s="533"/>
      <c r="O849" s="539"/>
      <c r="P849" s="533"/>
    </row>
    <row r="850" ht="15.75" customHeight="1">
      <c r="C850" s="206"/>
      <c r="E850" s="906"/>
      <c r="F850" s="195"/>
      <c r="G850" s="533"/>
      <c r="H850" s="534"/>
      <c r="I850" s="536"/>
      <c r="J850" s="537"/>
      <c r="K850" s="195"/>
      <c r="L850" s="533"/>
      <c r="O850" s="539"/>
      <c r="P850" s="533"/>
    </row>
    <row r="851" ht="15.75" customHeight="1">
      <c r="C851" s="206"/>
      <c r="E851" s="906"/>
      <c r="F851" s="195"/>
      <c r="G851" s="533"/>
      <c r="H851" s="534"/>
      <c r="I851" s="536"/>
      <c r="J851" s="537"/>
      <c r="K851" s="195"/>
      <c r="L851" s="533"/>
      <c r="O851" s="539"/>
      <c r="P851" s="533"/>
    </row>
    <row r="852" ht="15.75" customHeight="1">
      <c r="C852" s="206"/>
      <c r="E852" s="906"/>
      <c r="F852" s="195"/>
      <c r="G852" s="533"/>
      <c r="H852" s="534"/>
      <c r="I852" s="536"/>
      <c r="J852" s="537"/>
      <c r="K852" s="195"/>
      <c r="L852" s="533"/>
      <c r="O852" s="539"/>
      <c r="P852" s="533"/>
    </row>
    <row r="853" ht="15.75" customHeight="1">
      <c r="C853" s="206"/>
      <c r="E853" s="906"/>
      <c r="F853" s="195"/>
      <c r="G853" s="533"/>
      <c r="H853" s="534"/>
      <c r="I853" s="536"/>
      <c r="J853" s="537"/>
      <c r="K853" s="195"/>
      <c r="L853" s="533"/>
      <c r="O853" s="539"/>
      <c r="P853" s="533"/>
    </row>
    <row r="854" ht="15.75" customHeight="1">
      <c r="C854" s="206"/>
      <c r="E854" s="906"/>
      <c r="F854" s="195"/>
      <c r="G854" s="533"/>
      <c r="H854" s="534"/>
      <c r="I854" s="536"/>
      <c r="J854" s="537"/>
      <c r="K854" s="195"/>
      <c r="L854" s="533"/>
      <c r="O854" s="539"/>
      <c r="P854" s="533"/>
    </row>
    <row r="855" ht="15.75" customHeight="1">
      <c r="C855" s="206"/>
      <c r="E855" s="906"/>
      <c r="F855" s="195"/>
      <c r="G855" s="533"/>
      <c r="H855" s="534"/>
      <c r="I855" s="536"/>
      <c r="J855" s="537"/>
      <c r="K855" s="195"/>
      <c r="L855" s="533"/>
      <c r="O855" s="539"/>
      <c r="P855" s="533"/>
    </row>
    <row r="856" ht="15.75" customHeight="1">
      <c r="C856" s="206"/>
      <c r="E856" s="906"/>
      <c r="F856" s="195"/>
      <c r="G856" s="533"/>
      <c r="H856" s="534"/>
      <c r="I856" s="536"/>
      <c r="J856" s="537"/>
      <c r="K856" s="195"/>
      <c r="L856" s="533"/>
      <c r="O856" s="539"/>
      <c r="P856" s="533"/>
    </row>
    <row r="857" ht="15.75" customHeight="1">
      <c r="C857" s="206"/>
      <c r="E857" s="906"/>
      <c r="F857" s="195"/>
      <c r="G857" s="533"/>
      <c r="H857" s="534"/>
      <c r="I857" s="536"/>
      <c r="J857" s="537"/>
      <c r="K857" s="195"/>
      <c r="L857" s="533"/>
      <c r="O857" s="539"/>
      <c r="P857" s="533"/>
    </row>
    <row r="858" ht="15.75" customHeight="1">
      <c r="C858" s="206"/>
      <c r="E858" s="906"/>
      <c r="F858" s="195"/>
      <c r="G858" s="533"/>
      <c r="H858" s="534"/>
      <c r="I858" s="536"/>
      <c r="J858" s="537"/>
      <c r="K858" s="195"/>
      <c r="L858" s="533"/>
      <c r="O858" s="539"/>
      <c r="P858" s="533"/>
    </row>
    <row r="859" ht="15.75" customHeight="1">
      <c r="C859" s="206"/>
      <c r="E859" s="906"/>
      <c r="F859" s="195"/>
      <c r="G859" s="533"/>
      <c r="H859" s="534"/>
      <c r="I859" s="536"/>
      <c r="J859" s="537"/>
      <c r="K859" s="195"/>
      <c r="L859" s="533"/>
      <c r="O859" s="539"/>
      <c r="P859" s="533"/>
    </row>
    <row r="860" ht="15.75" customHeight="1">
      <c r="C860" s="206"/>
      <c r="E860" s="906"/>
      <c r="F860" s="195"/>
      <c r="G860" s="533"/>
      <c r="H860" s="534"/>
      <c r="I860" s="536"/>
      <c r="J860" s="537"/>
      <c r="K860" s="195"/>
      <c r="L860" s="533"/>
      <c r="O860" s="539"/>
      <c r="P860" s="533"/>
    </row>
    <row r="861" ht="15.75" customHeight="1">
      <c r="C861" s="206"/>
      <c r="E861" s="906"/>
      <c r="F861" s="195"/>
      <c r="G861" s="533"/>
      <c r="H861" s="534"/>
      <c r="I861" s="536"/>
      <c r="J861" s="537"/>
      <c r="K861" s="195"/>
      <c r="L861" s="533"/>
      <c r="O861" s="539"/>
      <c r="P861" s="533"/>
    </row>
    <row r="862" ht="15.75" customHeight="1">
      <c r="C862" s="206"/>
      <c r="E862" s="906"/>
      <c r="F862" s="195"/>
      <c r="G862" s="533"/>
      <c r="H862" s="534"/>
      <c r="I862" s="536"/>
      <c r="J862" s="537"/>
      <c r="K862" s="195"/>
      <c r="L862" s="533"/>
      <c r="O862" s="539"/>
      <c r="P862" s="533"/>
    </row>
    <row r="863" ht="15.75" customHeight="1">
      <c r="C863" s="206"/>
      <c r="E863" s="906"/>
      <c r="F863" s="195"/>
      <c r="G863" s="533"/>
      <c r="H863" s="534"/>
      <c r="I863" s="536"/>
      <c r="J863" s="537"/>
      <c r="K863" s="195"/>
      <c r="L863" s="533"/>
      <c r="O863" s="539"/>
      <c r="P863" s="533"/>
    </row>
    <row r="864" ht="15.75" customHeight="1">
      <c r="C864" s="206"/>
      <c r="E864" s="906"/>
      <c r="F864" s="195"/>
      <c r="G864" s="533"/>
      <c r="H864" s="534"/>
      <c r="I864" s="536"/>
      <c r="J864" s="537"/>
      <c r="K864" s="195"/>
      <c r="L864" s="533"/>
      <c r="O864" s="539"/>
      <c r="P864" s="533"/>
    </row>
    <row r="865" ht="15.75" customHeight="1">
      <c r="C865" s="206"/>
      <c r="E865" s="906"/>
      <c r="F865" s="195"/>
      <c r="G865" s="533"/>
      <c r="H865" s="534"/>
      <c r="I865" s="536"/>
      <c r="J865" s="537"/>
      <c r="K865" s="195"/>
      <c r="L865" s="533"/>
      <c r="O865" s="539"/>
      <c r="P865" s="533"/>
    </row>
    <row r="866" ht="15.75" customHeight="1">
      <c r="C866" s="206"/>
      <c r="E866" s="906"/>
      <c r="F866" s="195"/>
      <c r="G866" s="533"/>
      <c r="H866" s="534"/>
      <c r="I866" s="536"/>
      <c r="J866" s="537"/>
      <c r="K866" s="195"/>
      <c r="L866" s="533"/>
      <c r="O866" s="539"/>
      <c r="P866" s="533"/>
    </row>
    <row r="867" ht="15.75" customHeight="1">
      <c r="C867" s="206"/>
      <c r="E867" s="906"/>
      <c r="F867" s="195"/>
      <c r="G867" s="533"/>
      <c r="H867" s="534"/>
      <c r="I867" s="536"/>
      <c r="J867" s="537"/>
      <c r="K867" s="195"/>
      <c r="L867" s="533"/>
      <c r="O867" s="539"/>
      <c r="P867" s="533"/>
    </row>
    <row r="868" ht="15.75" customHeight="1">
      <c r="C868" s="206"/>
      <c r="E868" s="906"/>
      <c r="F868" s="195"/>
      <c r="G868" s="533"/>
      <c r="H868" s="534"/>
      <c r="I868" s="536"/>
      <c r="J868" s="537"/>
      <c r="K868" s="195"/>
      <c r="L868" s="533"/>
      <c r="O868" s="539"/>
      <c r="P868" s="533"/>
    </row>
    <row r="869" ht="15.75" customHeight="1">
      <c r="C869" s="206"/>
      <c r="E869" s="906"/>
      <c r="F869" s="195"/>
      <c r="G869" s="533"/>
      <c r="H869" s="534"/>
      <c r="I869" s="536"/>
      <c r="J869" s="537"/>
      <c r="K869" s="195"/>
      <c r="L869" s="533"/>
      <c r="O869" s="539"/>
      <c r="P869" s="533"/>
    </row>
    <row r="870" ht="15.75" customHeight="1">
      <c r="C870" s="206"/>
      <c r="E870" s="906"/>
      <c r="F870" s="195"/>
      <c r="G870" s="533"/>
      <c r="H870" s="534"/>
      <c r="I870" s="536"/>
      <c r="J870" s="537"/>
      <c r="K870" s="195"/>
      <c r="L870" s="533"/>
      <c r="O870" s="539"/>
      <c r="P870" s="533"/>
    </row>
    <row r="871" ht="15.75" customHeight="1">
      <c r="C871" s="206"/>
      <c r="E871" s="906"/>
      <c r="F871" s="195"/>
      <c r="G871" s="533"/>
      <c r="H871" s="534"/>
      <c r="I871" s="536"/>
      <c r="J871" s="537"/>
      <c r="K871" s="195"/>
      <c r="L871" s="533"/>
      <c r="O871" s="539"/>
      <c r="P871" s="533"/>
    </row>
    <row r="872" ht="15.75" customHeight="1">
      <c r="C872" s="206"/>
      <c r="E872" s="906"/>
      <c r="F872" s="195"/>
      <c r="G872" s="533"/>
      <c r="H872" s="534"/>
      <c r="I872" s="536"/>
      <c r="J872" s="537"/>
      <c r="K872" s="195"/>
      <c r="L872" s="533"/>
      <c r="O872" s="539"/>
      <c r="P872" s="533"/>
    </row>
    <row r="873" ht="15.75" customHeight="1">
      <c r="C873" s="206"/>
      <c r="E873" s="906"/>
      <c r="F873" s="195"/>
      <c r="G873" s="533"/>
      <c r="H873" s="534"/>
      <c r="I873" s="536"/>
      <c r="J873" s="537"/>
      <c r="K873" s="195"/>
      <c r="L873" s="533"/>
      <c r="O873" s="539"/>
      <c r="P873" s="533"/>
    </row>
    <row r="874" ht="15.75" customHeight="1">
      <c r="C874" s="206"/>
      <c r="E874" s="906"/>
      <c r="F874" s="195"/>
      <c r="G874" s="533"/>
      <c r="H874" s="534"/>
      <c r="I874" s="536"/>
      <c r="J874" s="537"/>
      <c r="K874" s="195"/>
      <c r="L874" s="533"/>
      <c r="O874" s="539"/>
      <c r="P874" s="533"/>
    </row>
    <row r="875" ht="15.75" customHeight="1">
      <c r="C875" s="206"/>
      <c r="E875" s="906"/>
      <c r="F875" s="195"/>
      <c r="G875" s="533"/>
      <c r="H875" s="534"/>
      <c r="I875" s="536"/>
      <c r="J875" s="537"/>
      <c r="K875" s="195"/>
      <c r="L875" s="533"/>
      <c r="O875" s="539"/>
      <c r="P875" s="533"/>
    </row>
    <row r="876" ht="15.75" customHeight="1">
      <c r="C876" s="206"/>
      <c r="E876" s="906"/>
      <c r="F876" s="195"/>
      <c r="G876" s="533"/>
      <c r="H876" s="534"/>
      <c r="I876" s="536"/>
      <c r="J876" s="537"/>
      <c r="K876" s="195"/>
      <c r="L876" s="533"/>
      <c r="O876" s="539"/>
      <c r="P876" s="533"/>
    </row>
    <row r="877" ht="15.75" customHeight="1">
      <c r="C877" s="206"/>
      <c r="E877" s="906"/>
      <c r="F877" s="195"/>
      <c r="G877" s="533"/>
      <c r="H877" s="534"/>
      <c r="I877" s="536"/>
      <c r="J877" s="537"/>
      <c r="K877" s="195"/>
      <c r="L877" s="533"/>
      <c r="O877" s="539"/>
      <c r="P877" s="533"/>
    </row>
    <row r="878" ht="15.75" customHeight="1">
      <c r="C878" s="206"/>
      <c r="E878" s="906"/>
      <c r="F878" s="195"/>
      <c r="G878" s="533"/>
      <c r="H878" s="534"/>
      <c r="I878" s="536"/>
      <c r="J878" s="537"/>
      <c r="K878" s="195"/>
      <c r="L878" s="533"/>
      <c r="O878" s="539"/>
      <c r="P878" s="533"/>
    </row>
    <row r="879" ht="15.75" customHeight="1">
      <c r="C879" s="206"/>
      <c r="E879" s="906"/>
      <c r="F879" s="195"/>
      <c r="G879" s="533"/>
      <c r="H879" s="534"/>
      <c r="I879" s="536"/>
      <c r="J879" s="537"/>
      <c r="K879" s="195"/>
      <c r="L879" s="533"/>
      <c r="O879" s="539"/>
      <c r="P879" s="533"/>
    </row>
    <row r="880" ht="15.75" customHeight="1">
      <c r="C880" s="206"/>
      <c r="E880" s="906"/>
      <c r="F880" s="195"/>
      <c r="G880" s="533"/>
      <c r="H880" s="534"/>
      <c r="I880" s="536"/>
      <c r="J880" s="537"/>
      <c r="K880" s="195"/>
      <c r="L880" s="533"/>
      <c r="O880" s="539"/>
      <c r="P880" s="533"/>
    </row>
    <row r="881" ht="15.75" customHeight="1">
      <c r="C881" s="206"/>
      <c r="E881" s="906"/>
      <c r="F881" s="195"/>
      <c r="G881" s="533"/>
      <c r="H881" s="534"/>
      <c r="I881" s="536"/>
      <c r="J881" s="537"/>
      <c r="K881" s="195"/>
      <c r="L881" s="533"/>
      <c r="O881" s="539"/>
      <c r="P881" s="533"/>
    </row>
    <row r="882" ht="15.75" customHeight="1">
      <c r="C882" s="206"/>
      <c r="E882" s="906"/>
      <c r="F882" s="195"/>
      <c r="G882" s="533"/>
      <c r="H882" s="534"/>
      <c r="I882" s="536"/>
      <c r="J882" s="537"/>
      <c r="K882" s="195"/>
      <c r="L882" s="533"/>
      <c r="O882" s="539"/>
      <c r="P882" s="533"/>
    </row>
    <row r="883" ht="15.75" customHeight="1">
      <c r="C883" s="206"/>
      <c r="E883" s="906"/>
      <c r="F883" s="195"/>
      <c r="G883" s="533"/>
      <c r="H883" s="534"/>
      <c r="I883" s="536"/>
      <c r="J883" s="537"/>
      <c r="K883" s="195"/>
      <c r="L883" s="533"/>
      <c r="O883" s="539"/>
      <c r="P883" s="533"/>
    </row>
    <row r="884" ht="15.75" customHeight="1">
      <c r="C884" s="206"/>
      <c r="E884" s="906"/>
      <c r="F884" s="195"/>
      <c r="G884" s="533"/>
      <c r="H884" s="534"/>
      <c r="I884" s="536"/>
      <c r="J884" s="537"/>
      <c r="K884" s="195"/>
      <c r="L884" s="533"/>
      <c r="O884" s="539"/>
      <c r="P884" s="533"/>
    </row>
    <row r="885" ht="15.75" customHeight="1">
      <c r="C885" s="206"/>
      <c r="E885" s="906"/>
      <c r="F885" s="195"/>
      <c r="G885" s="533"/>
      <c r="H885" s="534"/>
      <c r="I885" s="536"/>
      <c r="J885" s="537"/>
      <c r="K885" s="195"/>
      <c r="L885" s="533"/>
      <c r="O885" s="539"/>
      <c r="P885" s="533"/>
    </row>
    <row r="886" ht="15.75" customHeight="1">
      <c r="C886" s="206"/>
      <c r="E886" s="906"/>
      <c r="F886" s="195"/>
      <c r="G886" s="533"/>
      <c r="H886" s="534"/>
      <c r="I886" s="536"/>
      <c r="J886" s="537"/>
      <c r="K886" s="195"/>
      <c r="L886" s="533"/>
      <c r="O886" s="539"/>
      <c r="P886" s="533"/>
    </row>
    <row r="887" ht="15.75" customHeight="1">
      <c r="C887" s="206"/>
      <c r="E887" s="906"/>
      <c r="F887" s="195"/>
      <c r="G887" s="533"/>
      <c r="H887" s="534"/>
      <c r="I887" s="536"/>
      <c r="J887" s="537"/>
      <c r="K887" s="195"/>
      <c r="L887" s="533"/>
      <c r="O887" s="539"/>
      <c r="P887" s="533"/>
    </row>
    <row r="888" ht="15.75" customHeight="1">
      <c r="C888" s="206"/>
      <c r="E888" s="906"/>
      <c r="F888" s="195"/>
      <c r="G888" s="533"/>
      <c r="H888" s="534"/>
      <c r="I888" s="536"/>
      <c r="J888" s="537"/>
      <c r="K888" s="195"/>
      <c r="L888" s="533"/>
      <c r="O888" s="539"/>
      <c r="P888" s="533"/>
    </row>
    <row r="889" ht="15.75" customHeight="1">
      <c r="C889" s="206"/>
      <c r="E889" s="906"/>
      <c r="F889" s="195"/>
      <c r="G889" s="533"/>
      <c r="H889" s="534"/>
      <c r="I889" s="536"/>
      <c r="J889" s="537"/>
      <c r="K889" s="195"/>
      <c r="L889" s="533"/>
      <c r="O889" s="539"/>
      <c r="P889" s="533"/>
    </row>
    <row r="890" ht="15.75" customHeight="1">
      <c r="C890" s="206"/>
      <c r="E890" s="906"/>
      <c r="F890" s="195"/>
      <c r="G890" s="533"/>
      <c r="H890" s="534"/>
      <c r="I890" s="536"/>
      <c r="J890" s="537"/>
      <c r="K890" s="195"/>
      <c r="L890" s="533"/>
      <c r="O890" s="539"/>
      <c r="P890" s="533"/>
    </row>
    <row r="891" ht="15.75" customHeight="1">
      <c r="C891" s="206"/>
      <c r="E891" s="906"/>
      <c r="F891" s="195"/>
      <c r="G891" s="533"/>
      <c r="H891" s="534"/>
      <c r="I891" s="536"/>
      <c r="J891" s="537"/>
      <c r="K891" s="195"/>
      <c r="L891" s="533"/>
      <c r="O891" s="539"/>
      <c r="P891" s="533"/>
    </row>
    <row r="892" ht="15.75" customHeight="1">
      <c r="C892" s="206"/>
      <c r="E892" s="906"/>
      <c r="F892" s="195"/>
      <c r="G892" s="533"/>
      <c r="H892" s="534"/>
      <c r="I892" s="536"/>
      <c r="J892" s="537"/>
      <c r="K892" s="195"/>
      <c r="L892" s="533"/>
      <c r="O892" s="539"/>
      <c r="P892" s="533"/>
    </row>
    <row r="893" ht="15.75" customHeight="1">
      <c r="C893" s="206"/>
      <c r="E893" s="906"/>
      <c r="F893" s="195"/>
      <c r="G893" s="533"/>
      <c r="H893" s="534"/>
      <c r="I893" s="536"/>
      <c r="J893" s="537"/>
      <c r="K893" s="195"/>
      <c r="L893" s="533"/>
      <c r="O893" s="539"/>
      <c r="P893" s="533"/>
    </row>
    <row r="894" ht="15.75" customHeight="1">
      <c r="C894" s="206"/>
      <c r="E894" s="906"/>
      <c r="F894" s="195"/>
      <c r="G894" s="533"/>
      <c r="H894" s="534"/>
      <c r="I894" s="536"/>
      <c r="J894" s="537"/>
      <c r="K894" s="195"/>
      <c r="L894" s="533"/>
      <c r="O894" s="539"/>
      <c r="P894" s="533"/>
    </row>
    <row r="895" ht="15.75" customHeight="1">
      <c r="C895" s="206"/>
      <c r="E895" s="906"/>
      <c r="F895" s="195"/>
      <c r="G895" s="533"/>
      <c r="H895" s="534"/>
      <c r="I895" s="536"/>
      <c r="J895" s="537"/>
      <c r="K895" s="195"/>
      <c r="L895" s="533"/>
      <c r="O895" s="539"/>
      <c r="P895" s="533"/>
    </row>
    <row r="896" ht="15.75" customHeight="1">
      <c r="C896" s="206"/>
      <c r="E896" s="906"/>
      <c r="F896" s="195"/>
      <c r="G896" s="533"/>
      <c r="H896" s="534"/>
      <c r="I896" s="536"/>
      <c r="J896" s="537"/>
      <c r="K896" s="195"/>
      <c r="L896" s="533"/>
      <c r="O896" s="539"/>
      <c r="P896" s="533"/>
    </row>
    <row r="897" ht="15.75" customHeight="1">
      <c r="C897" s="206"/>
      <c r="E897" s="906"/>
      <c r="F897" s="195"/>
      <c r="G897" s="533"/>
      <c r="H897" s="534"/>
      <c r="I897" s="536"/>
      <c r="J897" s="537"/>
      <c r="K897" s="195"/>
      <c r="L897" s="533"/>
      <c r="O897" s="539"/>
      <c r="P897" s="533"/>
    </row>
    <row r="898" ht="15.75" customHeight="1">
      <c r="C898" s="206"/>
      <c r="E898" s="906"/>
      <c r="F898" s="195"/>
      <c r="G898" s="533"/>
      <c r="H898" s="534"/>
      <c r="I898" s="536"/>
      <c r="J898" s="537"/>
      <c r="K898" s="195"/>
      <c r="L898" s="533"/>
      <c r="O898" s="539"/>
      <c r="P898" s="533"/>
    </row>
    <row r="899" ht="15.75" customHeight="1">
      <c r="C899" s="206"/>
      <c r="E899" s="906"/>
      <c r="F899" s="195"/>
      <c r="G899" s="533"/>
      <c r="H899" s="534"/>
      <c r="I899" s="536"/>
      <c r="J899" s="537"/>
      <c r="K899" s="195"/>
      <c r="L899" s="533"/>
      <c r="O899" s="539"/>
      <c r="P899" s="533"/>
    </row>
    <row r="900" ht="15.75" customHeight="1">
      <c r="C900" s="206"/>
      <c r="E900" s="906"/>
      <c r="F900" s="195"/>
      <c r="G900" s="533"/>
      <c r="H900" s="534"/>
      <c r="I900" s="536"/>
      <c r="J900" s="537"/>
      <c r="K900" s="195"/>
      <c r="L900" s="533"/>
      <c r="O900" s="539"/>
      <c r="P900" s="533"/>
    </row>
    <row r="901" ht="15.75" customHeight="1">
      <c r="C901" s="206"/>
      <c r="E901" s="906"/>
      <c r="F901" s="195"/>
      <c r="G901" s="533"/>
      <c r="H901" s="534"/>
      <c r="I901" s="536"/>
      <c r="J901" s="537"/>
      <c r="K901" s="195"/>
      <c r="L901" s="533"/>
      <c r="O901" s="539"/>
      <c r="P901" s="533"/>
    </row>
    <row r="902" ht="15.75" customHeight="1">
      <c r="C902" s="206"/>
      <c r="E902" s="906"/>
      <c r="F902" s="195"/>
      <c r="G902" s="533"/>
      <c r="H902" s="534"/>
      <c r="I902" s="536"/>
      <c r="J902" s="537"/>
      <c r="K902" s="195"/>
      <c r="L902" s="533"/>
      <c r="O902" s="539"/>
      <c r="P902" s="533"/>
    </row>
    <row r="903" ht="15.75" customHeight="1">
      <c r="C903" s="206"/>
      <c r="E903" s="906"/>
      <c r="F903" s="195"/>
      <c r="G903" s="533"/>
      <c r="H903" s="534"/>
      <c r="I903" s="536"/>
      <c r="J903" s="537"/>
      <c r="K903" s="195"/>
      <c r="L903" s="533"/>
      <c r="O903" s="539"/>
      <c r="P903" s="533"/>
    </row>
    <row r="904" ht="15.75" customHeight="1">
      <c r="C904" s="206"/>
      <c r="E904" s="906"/>
      <c r="F904" s="195"/>
      <c r="G904" s="533"/>
      <c r="H904" s="534"/>
      <c r="I904" s="536"/>
      <c r="J904" s="537"/>
      <c r="K904" s="195"/>
      <c r="L904" s="533"/>
      <c r="O904" s="539"/>
      <c r="P904" s="533"/>
    </row>
    <row r="905" ht="15.75" customHeight="1">
      <c r="C905" s="206"/>
      <c r="E905" s="906"/>
      <c r="F905" s="195"/>
      <c r="G905" s="533"/>
      <c r="H905" s="534"/>
      <c r="I905" s="536"/>
      <c r="J905" s="537"/>
      <c r="K905" s="195"/>
      <c r="L905" s="533"/>
      <c r="O905" s="539"/>
      <c r="P905" s="533"/>
    </row>
    <row r="906" ht="15.75" customHeight="1">
      <c r="C906" s="206"/>
      <c r="E906" s="906"/>
      <c r="F906" s="195"/>
      <c r="G906" s="533"/>
      <c r="H906" s="534"/>
      <c r="I906" s="536"/>
      <c r="J906" s="537"/>
      <c r="K906" s="195"/>
      <c r="L906" s="533"/>
      <c r="O906" s="539"/>
      <c r="P906" s="533"/>
    </row>
    <row r="907" ht="15.75" customHeight="1">
      <c r="C907" s="206"/>
      <c r="E907" s="906"/>
      <c r="F907" s="195"/>
      <c r="G907" s="533"/>
      <c r="H907" s="534"/>
      <c r="I907" s="536"/>
      <c r="J907" s="537"/>
      <c r="K907" s="195"/>
      <c r="L907" s="533"/>
      <c r="O907" s="539"/>
      <c r="P907" s="533"/>
    </row>
    <row r="908" ht="15.75" customHeight="1">
      <c r="C908" s="206"/>
      <c r="E908" s="906"/>
      <c r="F908" s="195"/>
      <c r="G908" s="533"/>
      <c r="H908" s="534"/>
      <c r="I908" s="536"/>
      <c r="J908" s="537"/>
      <c r="K908" s="195"/>
      <c r="L908" s="533"/>
      <c r="O908" s="539"/>
      <c r="P908" s="533"/>
    </row>
    <row r="909" ht="15.75" customHeight="1">
      <c r="C909" s="206"/>
      <c r="E909" s="906"/>
      <c r="F909" s="195"/>
      <c r="G909" s="533"/>
      <c r="H909" s="534"/>
      <c r="I909" s="536"/>
      <c r="J909" s="537"/>
      <c r="K909" s="195"/>
      <c r="L909" s="533"/>
      <c r="O909" s="539"/>
      <c r="P909" s="533"/>
    </row>
    <row r="910" ht="15.75" customHeight="1">
      <c r="C910" s="206"/>
      <c r="E910" s="906"/>
      <c r="F910" s="195"/>
      <c r="G910" s="533"/>
      <c r="H910" s="534"/>
      <c r="I910" s="536"/>
      <c r="J910" s="537"/>
      <c r="K910" s="195"/>
      <c r="L910" s="533"/>
      <c r="O910" s="539"/>
      <c r="P910" s="533"/>
    </row>
    <row r="911" ht="15.75" customHeight="1">
      <c r="C911" s="206"/>
      <c r="E911" s="906"/>
      <c r="F911" s="195"/>
      <c r="G911" s="533"/>
      <c r="H911" s="534"/>
      <c r="I911" s="536"/>
      <c r="J911" s="537"/>
      <c r="K911" s="195"/>
      <c r="L911" s="533"/>
      <c r="O911" s="539"/>
      <c r="P911" s="533"/>
    </row>
    <row r="912" ht="15.75" customHeight="1">
      <c r="C912" s="206"/>
      <c r="E912" s="906"/>
      <c r="F912" s="195"/>
      <c r="G912" s="533"/>
      <c r="H912" s="534"/>
      <c r="I912" s="536"/>
      <c r="J912" s="537"/>
      <c r="K912" s="195"/>
      <c r="L912" s="533"/>
      <c r="O912" s="539"/>
      <c r="P912" s="533"/>
    </row>
    <row r="913" ht="15.75" customHeight="1">
      <c r="C913" s="206"/>
      <c r="E913" s="906"/>
      <c r="F913" s="195"/>
      <c r="G913" s="533"/>
      <c r="H913" s="534"/>
      <c r="I913" s="536"/>
      <c r="J913" s="537"/>
      <c r="K913" s="195"/>
      <c r="L913" s="533"/>
      <c r="O913" s="539"/>
      <c r="P913" s="533"/>
    </row>
    <row r="914" ht="15.75" customHeight="1">
      <c r="C914" s="206"/>
      <c r="E914" s="906"/>
      <c r="F914" s="195"/>
      <c r="G914" s="533"/>
      <c r="H914" s="534"/>
      <c r="I914" s="536"/>
      <c r="J914" s="537"/>
      <c r="K914" s="195"/>
      <c r="L914" s="533"/>
      <c r="O914" s="539"/>
      <c r="P914" s="533"/>
    </row>
    <row r="915" ht="15.75" customHeight="1">
      <c r="C915" s="206"/>
      <c r="E915" s="906"/>
      <c r="F915" s="195"/>
      <c r="G915" s="533"/>
      <c r="H915" s="534"/>
      <c r="I915" s="536"/>
      <c r="J915" s="537"/>
      <c r="K915" s="195"/>
      <c r="L915" s="533"/>
      <c r="O915" s="539"/>
      <c r="P915" s="533"/>
    </row>
    <row r="916" ht="15.75" customHeight="1">
      <c r="C916" s="206"/>
      <c r="E916" s="906"/>
      <c r="F916" s="195"/>
      <c r="G916" s="533"/>
      <c r="H916" s="534"/>
      <c r="I916" s="536"/>
      <c r="J916" s="537"/>
      <c r="K916" s="195"/>
      <c r="L916" s="533"/>
      <c r="O916" s="539"/>
      <c r="P916" s="533"/>
    </row>
    <row r="917" ht="15.75" customHeight="1">
      <c r="C917" s="206"/>
      <c r="E917" s="906"/>
      <c r="F917" s="195"/>
      <c r="G917" s="533"/>
      <c r="H917" s="534"/>
      <c r="I917" s="536"/>
      <c r="J917" s="537"/>
      <c r="K917" s="195"/>
      <c r="L917" s="533"/>
      <c r="O917" s="539"/>
      <c r="P917" s="533"/>
    </row>
    <row r="918" ht="15.75" customHeight="1">
      <c r="C918" s="206"/>
      <c r="E918" s="906"/>
      <c r="F918" s="195"/>
      <c r="G918" s="533"/>
      <c r="H918" s="534"/>
      <c r="I918" s="536"/>
      <c r="J918" s="537"/>
      <c r="K918" s="195"/>
      <c r="L918" s="533"/>
      <c r="O918" s="539"/>
      <c r="P918" s="533"/>
    </row>
    <row r="919" ht="15.75" customHeight="1">
      <c r="C919" s="206"/>
      <c r="E919" s="906"/>
      <c r="F919" s="195"/>
      <c r="G919" s="533"/>
      <c r="H919" s="534"/>
      <c r="I919" s="536"/>
      <c r="J919" s="537"/>
      <c r="K919" s="195"/>
      <c r="L919" s="533"/>
      <c r="O919" s="539"/>
      <c r="P919" s="533"/>
    </row>
    <row r="920" ht="15.75" customHeight="1">
      <c r="C920" s="206"/>
      <c r="E920" s="906"/>
      <c r="F920" s="195"/>
      <c r="G920" s="533"/>
      <c r="H920" s="534"/>
      <c r="I920" s="536"/>
      <c r="J920" s="537"/>
      <c r="K920" s="195"/>
      <c r="L920" s="533"/>
      <c r="O920" s="539"/>
      <c r="P920" s="533"/>
    </row>
    <row r="921" ht="15.75" customHeight="1">
      <c r="C921" s="206"/>
      <c r="E921" s="906"/>
      <c r="F921" s="195"/>
      <c r="G921" s="533"/>
      <c r="H921" s="534"/>
      <c r="I921" s="536"/>
      <c r="J921" s="537"/>
      <c r="K921" s="195"/>
      <c r="L921" s="533"/>
      <c r="O921" s="539"/>
      <c r="P921" s="533"/>
    </row>
    <row r="922" ht="15.75" customHeight="1">
      <c r="C922" s="206"/>
      <c r="E922" s="906"/>
      <c r="F922" s="195"/>
      <c r="G922" s="533"/>
      <c r="H922" s="534"/>
      <c r="I922" s="536"/>
      <c r="J922" s="537"/>
      <c r="K922" s="195"/>
      <c r="L922" s="533"/>
      <c r="O922" s="539"/>
      <c r="P922" s="533"/>
    </row>
    <row r="923" ht="15.75" customHeight="1">
      <c r="C923" s="206"/>
      <c r="E923" s="906"/>
      <c r="F923" s="195"/>
      <c r="G923" s="533"/>
      <c r="H923" s="534"/>
      <c r="I923" s="536"/>
      <c r="J923" s="537"/>
      <c r="K923" s="195"/>
      <c r="L923" s="533"/>
      <c r="O923" s="539"/>
      <c r="P923" s="533"/>
    </row>
    <row r="924" ht="15.75" customHeight="1">
      <c r="C924" s="206"/>
      <c r="E924" s="906"/>
      <c r="F924" s="195"/>
      <c r="G924" s="533"/>
      <c r="H924" s="534"/>
      <c r="I924" s="536"/>
      <c r="J924" s="537"/>
      <c r="K924" s="195"/>
      <c r="L924" s="533"/>
      <c r="O924" s="539"/>
      <c r="P924" s="533"/>
    </row>
    <row r="925" ht="15.75" customHeight="1">
      <c r="C925" s="206"/>
      <c r="E925" s="906"/>
      <c r="F925" s="195"/>
      <c r="G925" s="533"/>
      <c r="H925" s="534"/>
      <c r="I925" s="536"/>
      <c r="J925" s="537"/>
      <c r="K925" s="195"/>
      <c r="L925" s="533"/>
      <c r="O925" s="539"/>
      <c r="P925" s="533"/>
    </row>
    <row r="926" ht="15.75" customHeight="1">
      <c r="C926" s="206"/>
      <c r="E926" s="906"/>
      <c r="F926" s="195"/>
      <c r="G926" s="533"/>
      <c r="H926" s="534"/>
      <c r="I926" s="536"/>
      <c r="J926" s="537"/>
      <c r="K926" s="195"/>
      <c r="L926" s="533"/>
      <c r="O926" s="539"/>
      <c r="P926" s="533"/>
    </row>
    <row r="927" ht="15.75" customHeight="1">
      <c r="C927" s="206"/>
      <c r="E927" s="906"/>
      <c r="F927" s="195"/>
      <c r="G927" s="533"/>
      <c r="H927" s="534"/>
      <c r="I927" s="536"/>
      <c r="J927" s="537"/>
      <c r="K927" s="195"/>
      <c r="L927" s="533"/>
      <c r="O927" s="539"/>
      <c r="P927" s="533"/>
    </row>
    <row r="928" ht="15.75" customHeight="1">
      <c r="C928" s="206"/>
      <c r="E928" s="906"/>
      <c r="F928" s="195"/>
      <c r="G928" s="533"/>
      <c r="H928" s="534"/>
      <c r="I928" s="536"/>
      <c r="J928" s="537"/>
      <c r="K928" s="195"/>
      <c r="L928" s="533"/>
      <c r="O928" s="539"/>
      <c r="P928" s="533"/>
    </row>
    <row r="929" ht="15.75" customHeight="1">
      <c r="C929" s="206"/>
      <c r="E929" s="906"/>
      <c r="F929" s="195"/>
      <c r="G929" s="533"/>
      <c r="H929" s="534"/>
      <c r="I929" s="536"/>
      <c r="J929" s="537"/>
      <c r="K929" s="195"/>
      <c r="L929" s="533"/>
      <c r="O929" s="539"/>
      <c r="P929" s="533"/>
    </row>
    <row r="930" ht="15.75" customHeight="1">
      <c r="C930" s="206"/>
      <c r="E930" s="906"/>
      <c r="F930" s="195"/>
      <c r="G930" s="533"/>
      <c r="H930" s="534"/>
      <c r="I930" s="536"/>
      <c r="J930" s="537"/>
      <c r="K930" s="195"/>
      <c r="L930" s="533"/>
      <c r="O930" s="539"/>
      <c r="P930" s="533"/>
    </row>
    <row r="931" ht="15.75" customHeight="1">
      <c r="C931" s="206"/>
      <c r="E931" s="906"/>
      <c r="F931" s="195"/>
      <c r="G931" s="533"/>
      <c r="H931" s="534"/>
      <c r="I931" s="536"/>
      <c r="J931" s="537"/>
      <c r="K931" s="195"/>
      <c r="L931" s="533"/>
      <c r="O931" s="539"/>
      <c r="P931" s="533"/>
    </row>
    <row r="932" ht="15.75" customHeight="1">
      <c r="C932" s="206"/>
      <c r="E932" s="906"/>
      <c r="F932" s="195"/>
      <c r="G932" s="533"/>
      <c r="H932" s="534"/>
      <c r="I932" s="536"/>
      <c r="J932" s="537"/>
      <c r="K932" s="195"/>
      <c r="L932" s="533"/>
      <c r="O932" s="539"/>
      <c r="P932" s="533"/>
    </row>
    <row r="933" ht="15.75" customHeight="1">
      <c r="C933" s="206"/>
      <c r="E933" s="906"/>
      <c r="F933" s="195"/>
      <c r="G933" s="533"/>
      <c r="H933" s="534"/>
      <c r="I933" s="536"/>
      <c r="J933" s="537"/>
      <c r="K933" s="195"/>
      <c r="L933" s="533"/>
      <c r="O933" s="539"/>
      <c r="P933" s="533"/>
    </row>
    <row r="934" ht="15.75" customHeight="1">
      <c r="C934" s="206"/>
      <c r="E934" s="906"/>
      <c r="F934" s="195"/>
      <c r="G934" s="533"/>
      <c r="H934" s="534"/>
      <c r="I934" s="536"/>
      <c r="J934" s="537"/>
      <c r="K934" s="195"/>
      <c r="L934" s="533"/>
      <c r="O934" s="539"/>
      <c r="P934" s="533"/>
    </row>
    <row r="935" ht="15.75" customHeight="1">
      <c r="C935" s="206"/>
      <c r="E935" s="906"/>
      <c r="F935" s="195"/>
      <c r="G935" s="533"/>
      <c r="H935" s="534"/>
      <c r="I935" s="536"/>
      <c r="J935" s="537"/>
      <c r="K935" s="195"/>
      <c r="L935" s="533"/>
      <c r="O935" s="539"/>
      <c r="P935" s="533"/>
    </row>
    <row r="936" ht="15.75" customHeight="1">
      <c r="C936" s="206"/>
      <c r="E936" s="906"/>
      <c r="F936" s="195"/>
      <c r="G936" s="533"/>
      <c r="H936" s="534"/>
      <c r="I936" s="536"/>
      <c r="J936" s="537"/>
      <c r="K936" s="195"/>
      <c r="L936" s="533"/>
      <c r="O936" s="539"/>
      <c r="P936" s="533"/>
    </row>
    <row r="937" ht="15.75" customHeight="1">
      <c r="C937" s="206"/>
      <c r="E937" s="906"/>
      <c r="F937" s="195"/>
      <c r="G937" s="533"/>
      <c r="H937" s="534"/>
      <c r="I937" s="536"/>
      <c r="J937" s="537"/>
      <c r="K937" s="195"/>
      <c r="L937" s="533"/>
      <c r="O937" s="539"/>
      <c r="P937" s="533"/>
    </row>
    <row r="938" ht="15.75" customHeight="1">
      <c r="C938" s="206"/>
      <c r="E938" s="906"/>
      <c r="F938" s="195"/>
      <c r="G938" s="533"/>
      <c r="H938" s="534"/>
      <c r="I938" s="536"/>
      <c r="J938" s="537"/>
      <c r="K938" s="195"/>
      <c r="L938" s="533"/>
      <c r="O938" s="539"/>
      <c r="P938" s="533"/>
    </row>
    <row r="939" ht="15.75" customHeight="1">
      <c r="C939" s="206"/>
      <c r="E939" s="906"/>
      <c r="F939" s="195"/>
      <c r="G939" s="533"/>
      <c r="H939" s="534"/>
      <c r="I939" s="536"/>
      <c r="J939" s="537"/>
      <c r="K939" s="195"/>
      <c r="L939" s="533"/>
      <c r="O939" s="539"/>
      <c r="P939" s="533"/>
    </row>
    <row r="940" ht="15.75" customHeight="1">
      <c r="C940" s="206"/>
      <c r="E940" s="906"/>
      <c r="F940" s="195"/>
      <c r="G940" s="533"/>
      <c r="H940" s="534"/>
      <c r="I940" s="536"/>
      <c r="J940" s="537"/>
      <c r="K940" s="195"/>
      <c r="L940" s="533"/>
      <c r="O940" s="539"/>
      <c r="P940" s="533"/>
    </row>
    <row r="941" ht="15.75" customHeight="1">
      <c r="C941" s="206"/>
      <c r="E941" s="906"/>
      <c r="F941" s="195"/>
      <c r="G941" s="533"/>
      <c r="H941" s="534"/>
      <c r="I941" s="536"/>
      <c r="J941" s="537"/>
      <c r="K941" s="195"/>
      <c r="L941" s="533"/>
      <c r="O941" s="539"/>
      <c r="P941" s="533"/>
    </row>
    <row r="942" ht="15.75" customHeight="1">
      <c r="C942" s="206"/>
      <c r="E942" s="906"/>
      <c r="F942" s="195"/>
      <c r="G942" s="533"/>
      <c r="H942" s="534"/>
      <c r="I942" s="536"/>
      <c r="J942" s="537"/>
      <c r="K942" s="195"/>
      <c r="L942" s="533"/>
      <c r="O942" s="539"/>
      <c r="P942" s="533"/>
    </row>
    <row r="943" ht="15.75" customHeight="1">
      <c r="C943" s="206"/>
      <c r="E943" s="906"/>
      <c r="F943" s="195"/>
      <c r="G943" s="533"/>
      <c r="H943" s="534"/>
      <c r="I943" s="536"/>
      <c r="J943" s="537"/>
      <c r="K943" s="195"/>
      <c r="L943" s="533"/>
      <c r="O943" s="539"/>
      <c r="P943" s="533"/>
    </row>
    <row r="944" ht="15.75" customHeight="1">
      <c r="C944" s="206"/>
      <c r="E944" s="906"/>
      <c r="F944" s="195"/>
      <c r="G944" s="533"/>
      <c r="H944" s="534"/>
      <c r="I944" s="536"/>
      <c r="J944" s="537"/>
      <c r="K944" s="195"/>
      <c r="L944" s="533"/>
      <c r="O944" s="539"/>
      <c r="P944" s="533"/>
    </row>
    <row r="945" ht="15.75" customHeight="1">
      <c r="C945" s="206"/>
      <c r="E945" s="906"/>
      <c r="F945" s="195"/>
      <c r="G945" s="533"/>
      <c r="H945" s="534"/>
      <c r="I945" s="536"/>
      <c r="J945" s="537"/>
      <c r="K945" s="195"/>
      <c r="L945" s="533"/>
      <c r="O945" s="539"/>
      <c r="P945" s="533"/>
    </row>
    <row r="946" ht="15.75" customHeight="1">
      <c r="C946" s="206"/>
      <c r="E946" s="906"/>
      <c r="F946" s="195"/>
      <c r="G946" s="533"/>
      <c r="H946" s="534"/>
      <c r="I946" s="536"/>
      <c r="J946" s="537"/>
      <c r="K946" s="195"/>
      <c r="L946" s="533"/>
      <c r="O946" s="539"/>
      <c r="P946" s="533"/>
    </row>
    <row r="947" ht="15.75" customHeight="1">
      <c r="C947" s="206"/>
      <c r="E947" s="906"/>
      <c r="F947" s="195"/>
      <c r="G947" s="533"/>
      <c r="H947" s="534"/>
      <c r="I947" s="536"/>
      <c r="J947" s="537"/>
      <c r="K947" s="195"/>
      <c r="L947" s="533"/>
      <c r="O947" s="539"/>
      <c r="P947" s="533"/>
    </row>
    <row r="948" ht="15.75" customHeight="1">
      <c r="C948" s="206"/>
      <c r="E948" s="906"/>
      <c r="F948" s="195"/>
      <c r="G948" s="533"/>
      <c r="H948" s="534"/>
      <c r="I948" s="536"/>
      <c r="J948" s="537"/>
      <c r="K948" s="195"/>
      <c r="L948" s="533"/>
      <c r="O948" s="539"/>
      <c r="P948" s="533"/>
    </row>
    <row r="949" ht="15.75" customHeight="1">
      <c r="C949" s="206"/>
      <c r="E949" s="906"/>
      <c r="F949" s="195"/>
      <c r="G949" s="533"/>
      <c r="H949" s="534"/>
      <c r="I949" s="536"/>
      <c r="J949" s="537"/>
      <c r="K949" s="195"/>
      <c r="L949" s="533"/>
      <c r="O949" s="539"/>
      <c r="P949" s="533"/>
    </row>
    <row r="950" ht="15.75" customHeight="1">
      <c r="C950" s="206"/>
      <c r="E950" s="906"/>
      <c r="F950" s="195"/>
      <c r="G950" s="533"/>
      <c r="H950" s="534"/>
      <c r="I950" s="536"/>
      <c r="J950" s="537"/>
      <c r="K950" s="195"/>
      <c r="L950" s="533"/>
      <c r="O950" s="539"/>
      <c r="P950" s="533"/>
    </row>
    <row r="951" ht="15.75" customHeight="1">
      <c r="C951" s="206"/>
      <c r="E951" s="906"/>
      <c r="F951" s="195"/>
      <c r="G951" s="533"/>
      <c r="H951" s="534"/>
      <c r="I951" s="536"/>
      <c r="J951" s="537"/>
      <c r="K951" s="195"/>
      <c r="L951" s="533"/>
      <c r="O951" s="539"/>
      <c r="P951" s="533"/>
    </row>
    <row r="952" ht="15.75" customHeight="1">
      <c r="C952" s="206"/>
      <c r="E952" s="906"/>
      <c r="F952" s="195"/>
      <c r="G952" s="533"/>
      <c r="H952" s="534"/>
      <c r="I952" s="536"/>
      <c r="J952" s="537"/>
      <c r="K952" s="195"/>
      <c r="L952" s="533"/>
      <c r="O952" s="539"/>
      <c r="P952" s="533"/>
    </row>
    <row r="953" ht="15.75" customHeight="1">
      <c r="C953" s="206"/>
      <c r="E953" s="906"/>
      <c r="F953" s="195"/>
      <c r="G953" s="533"/>
      <c r="H953" s="534"/>
      <c r="I953" s="536"/>
      <c r="J953" s="537"/>
      <c r="K953" s="195"/>
      <c r="L953" s="533"/>
      <c r="O953" s="539"/>
      <c r="P953" s="533"/>
    </row>
    <row r="954" ht="15.75" customHeight="1">
      <c r="C954" s="206"/>
      <c r="E954" s="906"/>
      <c r="F954" s="195"/>
      <c r="G954" s="533"/>
      <c r="H954" s="534"/>
      <c r="I954" s="536"/>
      <c r="J954" s="537"/>
      <c r="K954" s="195"/>
      <c r="L954" s="533"/>
      <c r="O954" s="539"/>
      <c r="P954" s="533"/>
    </row>
    <row r="955" ht="15.75" customHeight="1">
      <c r="C955" s="206"/>
      <c r="E955" s="906"/>
      <c r="F955" s="195"/>
      <c r="G955" s="533"/>
      <c r="H955" s="534"/>
      <c r="I955" s="536"/>
      <c r="J955" s="537"/>
      <c r="K955" s="195"/>
      <c r="L955" s="533"/>
      <c r="O955" s="539"/>
      <c r="P955" s="533"/>
    </row>
    <row r="956" ht="15.75" customHeight="1">
      <c r="C956" s="206"/>
      <c r="E956" s="906"/>
      <c r="F956" s="195"/>
      <c r="G956" s="533"/>
      <c r="H956" s="534"/>
      <c r="I956" s="536"/>
      <c r="J956" s="537"/>
      <c r="K956" s="195"/>
      <c r="L956" s="533"/>
      <c r="O956" s="539"/>
      <c r="P956" s="533"/>
    </row>
    <row r="957" ht="15.75" customHeight="1">
      <c r="C957" s="206"/>
      <c r="E957" s="906"/>
      <c r="F957" s="195"/>
      <c r="G957" s="533"/>
      <c r="H957" s="534"/>
      <c r="I957" s="536"/>
      <c r="J957" s="537"/>
      <c r="K957" s="195"/>
      <c r="L957" s="533"/>
      <c r="O957" s="539"/>
      <c r="P957" s="533"/>
    </row>
    <row r="958" ht="15.75" customHeight="1">
      <c r="C958" s="206"/>
      <c r="E958" s="906"/>
      <c r="F958" s="195"/>
      <c r="G958" s="533"/>
      <c r="H958" s="534"/>
      <c r="I958" s="536"/>
      <c r="J958" s="537"/>
      <c r="K958" s="195"/>
      <c r="L958" s="533"/>
      <c r="O958" s="539"/>
      <c r="P958" s="533"/>
    </row>
    <row r="959" ht="15.75" customHeight="1">
      <c r="C959" s="206"/>
      <c r="E959" s="906"/>
      <c r="F959" s="195"/>
      <c r="G959" s="533"/>
      <c r="H959" s="534"/>
      <c r="I959" s="536"/>
      <c r="J959" s="537"/>
      <c r="K959" s="195"/>
      <c r="L959" s="533"/>
      <c r="O959" s="539"/>
      <c r="P959" s="533"/>
    </row>
    <row r="960" ht="15.75" customHeight="1">
      <c r="C960" s="206"/>
      <c r="E960" s="906"/>
      <c r="F960" s="195"/>
      <c r="G960" s="533"/>
      <c r="H960" s="534"/>
      <c r="I960" s="536"/>
      <c r="J960" s="537"/>
      <c r="K960" s="195"/>
      <c r="L960" s="533"/>
      <c r="O960" s="539"/>
      <c r="P960" s="533"/>
    </row>
    <row r="961" ht="15.75" customHeight="1">
      <c r="C961" s="206"/>
      <c r="E961" s="906"/>
      <c r="F961" s="195"/>
      <c r="G961" s="533"/>
      <c r="H961" s="534"/>
      <c r="I961" s="536"/>
      <c r="J961" s="537"/>
      <c r="K961" s="195"/>
      <c r="L961" s="533"/>
      <c r="O961" s="539"/>
      <c r="P961" s="533"/>
    </row>
    <row r="962" ht="15.75" customHeight="1">
      <c r="C962" s="206"/>
      <c r="E962" s="906"/>
      <c r="F962" s="195"/>
      <c r="G962" s="533"/>
      <c r="H962" s="534"/>
      <c r="I962" s="536"/>
      <c r="J962" s="537"/>
      <c r="K962" s="195"/>
      <c r="L962" s="533"/>
      <c r="O962" s="539"/>
      <c r="P962" s="533"/>
    </row>
    <row r="963" ht="15.75" customHeight="1">
      <c r="C963" s="206"/>
      <c r="E963" s="906"/>
      <c r="F963" s="195"/>
      <c r="G963" s="533"/>
      <c r="H963" s="534"/>
      <c r="I963" s="536"/>
      <c r="J963" s="537"/>
      <c r="K963" s="195"/>
      <c r="L963" s="533"/>
      <c r="O963" s="539"/>
      <c r="P963" s="533"/>
    </row>
    <row r="964" ht="15.75" customHeight="1">
      <c r="C964" s="206"/>
      <c r="E964" s="906"/>
      <c r="F964" s="195"/>
      <c r="G964" s="533"/>
      <c r="H964" s="534"/>
      <c r="I964" s="536"/>
      <c r="J964" s="537"/>
      <c r="K964" s="195"/>
      <c r="L964" s="533"/>
      <c r="O964" s="539"/>
      <c r="P964" s="533"/>
    </row>
    <row r="965" ht="15.75" customHeight="1">
      <c r="C965" s="206"/>
      <c r="E965" s="906"/>
      <c r="F965" s="195"/>
      <c r="G965" s="533"/>
      <c r="H965" s="534"/>
      <c r="I965" s="536"/>
      <c r="J965" s="537"/>
      <c r="K965" s="195"/>
      <c r="L965" s="533"/>
      <c r="O965" s="539"/>
      <c r="P965" s="533"/>
    </row>
    <row r="966" ht="15.75" customHeight="1">
      <c r="C966" s="206"/>
      <c r="E966" s="906"/>
      <c r="F966" s="195"/>
      <c r="G966" s="533"/>
      <c r="H966" s="534"/>
      <c r="I966" s="536"/>
      <c r="J966" s="537"/>
      <c r="K966" s="195"/>
      <c r="L966" s="533"/>
      <c r="O966" s="539"/>
      <c r="P966" s="533"/>
    </row>
    <row r="967" ht="15.75" customHeight="1">
      <c r="C967" s="206"/>
      <c r="E967" s="906"/>
      <c r="F967" s="195"/>
      <c r="G967" s="533"/>
      <c r="H967" s="534"/>
      <c r="I967" s="536"/>
      <c r="J967" s="537"/>
      <c r="K967" s="195"/>
      <c r="L967" s="533"/>
      <c r="O967" s="539"/>
      <c r="P967" s="533"/>
    </row>
    <row r="968" ht="15.75" customHeight="1">
      <c r="C968" s="206"/>
      <c r="E968" s="906"/>
      <c r="F968" s="195"/>
      <c r="G968" s="533"/>
      <c r="H968" s="534"/>
      <c r="I968" s="536"/>
      <c r="J968" s="537"/>
      <c r="K968" s="195"/>
      <c r="L968" s="533"/>
      <c r="O968" s="539"/>
      <c r="P968" s="533"/>
    </row>
    <row r="969" ht="15.75" customHeight="1">
      <c r="C969" s="206"/>
      <c r="E969" s="906"/>
      <c r="F969" s="195"/>
      <c r="G969" s="533"/>
      <c r="H969" s="534"/>
      <c r="I969" s="536"/>
      <c r="J969" s="537"/>
      <c r="K969" s="195"/>
      <c r="L969" s="533"/>
      <c r="O969" s="539"/>
      <c r="P969" s="533"/>
    </row>
    <row r="970" ht="15.75" customHeight="1">
      <c r="C970" s="206"/>
      <c r="E970" s="906"/>
      <c r="F970" s="195"/>
      <c r="G970" s="533"/>
      <c r="H970" s="534"/>
      <c r="I970" s="536"/>
      <c r="J970" s="537"/>
      <c r="K970" s="195"/>
      <c r="L970" s="533"/>
      <c r="O970" s="539"/>
      <c r="P970" s="533"/>
    </row>
    <row r="971" ht="15.75" customHeight="1">
      <c r="C971" s="206"/>
      <c r="E971" s="906"/>
      <c r="F971" s="195"/>
      <c r="G971" s="533"/>
      <c r="H971" s="534"/>
      <c r="I971" s="536"/>
      <c r="J971" s="537"/>
      <c r="K971" s="195"/>
      <c r="L971" s="533"/>
      <c r="O971" s="539"/>
      <c r="P971" s="533"/>
    </row>
    <row r="972" ht="15.75" customHeight="1">
      <c r="C972" s="206"/>
      <c r="E972" s="906"/>
      <c r="F972" s="195"/>
      <c r="G972" s="533"/>
      <c r="H972" s="534"/>
      <c r="I972" s="536"/>
      <c r="J972" s="537"/>
      <c r="K972" s="195"/>
      <c r="L972" s="533"/>
      <c r="O972" s="539"/>
      <c r="P972" s="533"/>
    </row>
    <row r="973" ht="15.75" customHeight="1">
      <c r="C973" s="206"/>
      <c r="E973" s="906"/>
      <c r="F973" s="195"/>
      <c r="G973" s="533"/>
      <c r="H973" s="534"/>
      <c r="I973" s="536"/>
      <c r="J973" s="537"/>
      <c r="K973" s="195"/>
      <c r="L973" s="533"/>
      <c r="O973" s="539"/>
      <c r="P973" s="533"/>
    </row>
    <row r="974" ht="15.75" customHeight="1">
      <c r="C974" s="206"/>
      <c r="E974" s="906"/>
      <c r="F974" s="195"/>
      <c r="G974" s="533"/>
      <c r="H974" s="534"/>
      <c r="I974" s="536"/>
      <c r="J974" s="537"/>
      <c r="K974" s="195"/>
      <c r="L974" s="533"/>
      <c r="O974" s="539"/>
      <c r="P974" s="533"/>
    </row>
    <row r="975" ht="15.75" customHeight="1">
      <c r="C975" s="206"/>
      <c r="E975" s="906"/>
      <c r="F975" s="195"/>
      <c r="G975" s="533"/>
      <c r="H975" s="534"/>
      <c r="I975" s="536"/>
      <c r="J975" s="537"/>
      <c r="K975" s="195"/>
      <c r="L975" s="533"/>
      <c r="O975" s="539"/>
      <c r="P975" s="533"/>
    </row>
    <row r="976" ht="15.75" customHeight="1">
      <c r="C976" s="206"/>
      <c r="E976" s="906"/>
      <c r="F976" s="195"/>
      <c r="G976" s="533"/>
      <c r="H976" s="534"/>
      <c r="I976" s="536"/>
      <c r="J976" s="537"/>
      <c r="K976" s="195"/>
      <c r="L976" s="533"/>
      <c r="O976" s="539"/>
      <c r="P976" s="533"/>
    </row>
    <row r="977" ht="15.75" customHeight="1">
      <c r="C977" s="206"/>
      <c r="E977" s="906"/>
      <c r="F977" s="195"/>
      <c r="G977" s="533"/>
      <c r="H977" s="534"/>
      <c r="I977" s="536"/>
      <c r="J977" s="537"/>
      <c r="K977" s="195"/>
      <c r="L977" s="533"/>
      <c r="O977" s="539"/>
      <c r="P977" s="533"/>
    </row>
    <row r="978" ht="15.75" customHeight="1">
      <c r="C978" s="206"/>
      <c r="E978" s="906"/>
      <c r="F978" s="195"/>
      <c r="G978" s="533"/>
      <c r="H978" s="534"/>
      <c r="I978" s="536"/>
      <c r="J978" s="537"/>
      <c r="K978" s="195"/>
      <c r="L978" s="533"/>
      <c r="O978" s="539"/>
      <c r="P978" s="533"/>
    </row>
    <row r="979" ht="15.75" customHeight="1">
      <c r="C979" s="206"/>
      <c r="E979" s="906"/>
      <c r="F979" s="195"/>
      <c r="G979" s="533"/>
      <c r="H979" s="534"/>
      <c r="I979" s="536"/>
      <c r="J979" s="537"/>
      <c r="K979" s="195"/>
      <c r="L979" s="533"/>
      <c r="O979" s="539"/>
      <c r="P979" s="533"/>
    </row>
    <row r="980" ht="15.75" customHeight="1">
      <c r="C980" s="206"/>
      <c r="E980" s="906"/>
      <c r="F980" s="195"/>
      <c r="G980" s="533"/>
      <c r="H980" s="534"/>
      <c r="I980" s="536"/>
      <c r="J980" s="537"/>
      <c r="K980" s="195"/>
      <c r="L980" s="533"/>
      <c r="O980" s="539"/>
      <c r="P980" s="533"/>
    </row>
    <row r="981" ht="15.75" customHeight="1">
      <c r="C981" s="206"/>
      <c r="E981" s="906"/>
      <c r="F981" s="195"/>
      <c r="G981" s="533"/>
      <c r="H981" s="534"/>
      <c r="I981" s="536"/>
      <c r="J981" s="537"/>
      <c r="K981" s="195"/>
      <c r="L981" s="533"/>
      <c r="O981" s="539"/>
      <c r="P981" s="533"/>
    </row>
    <row r="982" ht="15.75" customHeight="1">
      <c r="C982" s="206"/>
      <c r="E982" s="906"/>
      <c r="F982" s="195"/>
      <c r="G982" s="533"/>
      <c r="H982" s="534"/>
      <c r="I982" s="536"/>
      <c r="J982" s="537"/>
      <c r="K982" s="195"/>
      <c r="L982" s="533"/>
      <c r="O982" s="539"/>
      <c r="P982" s="533"/>
    </row>
    <row r="983" ht="15.75" customHeight="1">
      <c r="C983" s="206"/>
      <c r="E983" s="906"/>
      <c r="F983" s="195"/>
      <c r="G983" s="533"/>
      <c r="H983" s="534"/>
      <c r="I983" s="536"/>
      <c r="J983" s="537"/>
      <c r="K983" s="195"/>
      <c r="L983" s="533"/>
      <c r="O983" s="539"/>
      <c r="P983" s="533"/>
    </row>
    <row r="984" ht="15.75" customHeight="1">
      <c r="C984" s="206"/>
      <c r="E984" s="906"/>
      <c r="F984" s="195"/>
      <c r="G984" s="533"/>
      <c r="H984" s="534"/>
      <c r="I984" s="536"/>
      <c r="J984" s="537"/>
      <c r="K984" s="195"/>
      <c r="L984" s="533"/>
      <c r="O984" s="539"/>
      <c r="P984" s="533"/>
    </row>
    <row r="985" ht="15.75" customHeight="1">
      <c r="C985" s="206"/>
      <c r="E985" s="906"/>
      <c r="F985" s="195"/>
      <c r="G985" s="533"/>
      <c r="H985" s="534"/>
      <c r="I985" s="536"/>
      <c r="J985" s="537"/>
      <c r="K985" s="195"/>
      <c r="L985" s="533"/>
      <c r="O985" s="539"/>
      <c r="P985" s="533"/>
    </row>
    <row r="986" ht="15.75" customHeight="1">
      <c r="C986" s="206"/>
      <c r="E986" s="906"/>
      <c r="F986" s="195"/>
      <c r="G986" s="533"/>
      <c r="H986" s="534"/>
      <c r="I986" s="536"/>
      <c r="J986" s="537"/>
      <c r="K986" s="195"/>
      <c r="L986" s="533"/>
      <c r="O986" s="539"/>
      <c r="P986" s="533"/>
    </row>
    <row r="987" ht="15.75" customHeight="1">
      <c r="C987" s="206"/>
      <c r="E987" s="906"/>
      <c r="F987" s="195"/>
      <c r="G987" s="533"/>
      <c r="H987" s="534"/>
      <c r="I987" s="536"/>
      <c r="J987" s="537"/>
      <c r="K987" s="195"/>
      <c r="L987" s="533"/>
      <c r="O987" s="539"/>
      <c r="P987" s="533"/>
    </row>
    <row r="988" ht="15.75" customHeight="1">
      <c r="C988" s="206"/>
      <c r="E988" s="906"/>
      <c r="F988" s="195"/>
      <c r="G988" s="533"/>
      <c r="H988" s="534"/>
      <c r="I988" s="536"/>
      <c r="J988" s="537"/>
      <c r="K988" s="195"/>
      <c r="L988" s="533"/>
      <c r="O988" s="539"/>
      <c r="P988" s="533"/>
    </row>
    <row r="989" ht="15.75" customHeight="1">
      <c r="C989" s="206"/>
      <c r="E989" s="906"/>
      <c r="F989" s="195"/>
      <c r="G989" s="533"/>
      <c r="H989" s="534"/>
      <c r="I989" s="536"/>
      <c r="J989" s="537"/>
      <c r="K989" s="195"/>
      <c r="L989" s="533"/>
      <c r="O989" s="539"/>
      <c r="P989" s="533"/>
    </row>
    <row r="990" ht="15.75" customHeight="1">
      <c r="C990" s="206"/>
      <c r="E990" s="906"/>
      <c r="F990" s="195"/>
      <c r="G990" s="533"/>
      <c r="H990" s="534"/>
      <c r="I990" s="536"/>
      <c r="J990" s="537"/>
      <c r="K990" s="195"/>
      <c r="L990" s="533"/>
      <c r="O990" s="539"/>
      <c r="P990" s="533"/>
    </row>
    <row r="991" ht="15.75" customHeight="1">
      <c r="C991" s="206"/>
      <c r="E991" s="906"/>
      <c r="F991" s="195"/>
      <c r="G991" s="533"/>
      <c r="H991" s="534"/>
      <c r="I991" s="536"/>
      <c r="J991" s="537"/>
      <c r="K991" s="195"/>
      <c r="L991" s="533"/>
      <c r="O991" s="539"/>
      <c r="P991" s="533"/>
    </row>
    <row r="992" ht="15.75" customHeight="1">
      <c r="C992" s="206"/>
      <c r="E992" s="906"/>
      <c r="F992" s="195"/>
      <c r="G992" s="533"/>
      <c r="H992" s="534"/>
      <c r="I992" s="536"/>
      <c r="J992" s="537"/>
      <c r="K992" s="195"/>
      <c r="L992" s="533"/>
      <c r="O992" s="539"/>
      <c r="P992" s="533"/>
    </row>
    <row r="993" ht="15.75" customHeight="1">
      <c r="C993" s="206"/>
      <c r="E993" s="906"/>
      <c r="F993" s="195"/>
      <c r="G993" s="533"/>
      <c r="H993" s="534"/>
      <c r="I993" s="536"/>
      <c r="J993" s="537"/>
      <c r="K993" s="195"/>
      <c r="L993" s="533"/>
      <c r="O993" s="539"/>
      <c r="P993" s="533"/>
    </row>
    <row r="994" ht="15.75" customHeight="1">
      <c r="C994" s="206"/>
      <c r="E994" s="906"/>
      <c r="F994" s="195"/>
      <c r="G994" s="533"/>
      <c r="H994" s="534"/>
      <c r="I994" s="536"/>
      <c r="J994" s="537"/>
      <c r="K994" s="195"/>
      <c r="L994" s="533"/>
      <c r="O994" s="539"/>
      <c r="P994" s="533"/>
    </row>
    <row r="995" ht="15.75" customHeight="1">
      <c r="C995" s="206"/>
      <c r="E995" s="906"/>
      <c r="F995" s="195"/>
      <c r="G995" s="533"/>
      <c r="H995" s="534"/>
      <c r="I995" s="536"/>
      <c r="J995" s="537"/>
      <c r="K995" s="195"/>
      <c r="L995" s="533"/>
      <c r="O995" s="539"/>
      <c r="P995" s="533"/>
    </row>
    <row r="996" ht="15.75" customHeight="1">
      <c r="C996" s="206"/>
      <c r="E996" s="906"/>
      <c r="F996" s="195"/>
      <c r="G996" s="533"/>
      <c r="H996" s="534"/>
      <c r="I996" s="536"/>
      <c r="J996" s="537"/>
      <c r="K996" s="195"/>
      <c r="L996" s="533"/>
      <c r="O996" s="539"/>
      <c r="P996" s="533"/>
    </row>
    <row r="997" ht="15.75" customHeight="1">
      <c r="C997" s="206"/>
      <c r="E997" s="906"/>
      <c r="F997" s="195"/>
      <c r="G997" s="533"/>
      <c r="H997" s="534"/>
      <c r="I997" s="536"/>
      <c r="J997" s="537"/>
      <c r="K997" s="195"/>
      <c r="L997" s="533"/>
      <c r="O997" s="539"/>
      <c r="P997" s="533"/>
    </row>
    <row r="998" ht="15.75" customHeight="1">
      <c r="C998" s="206"/>
      <c r="E998" s="906"/>
      <c r="F998" s="195"/>
      <c r="G998" s="533"/>
      <c r="H998" s="534"/>
      <c r="I998" s="536"/>
      <c r="J998" s="537"/>
      <c r="K998" s="195"/>
      <c r="L998" s="533"/>
      <c r="O998" s="539"/>
      <c r="P998" s="533"/>
    </row>
    <row r="999" ht="15.75" customHeight="1">
      <c r="C999" s="206"/>
      <c r="E999" s="906"/>
      <c r="F999" s="195"/>
      <c r="G999" s="533"/>
      <c r="H999" s="534"/>
      <c r="I999" s="536"/>
      <c r="J999" s="537"/>
      <c r="K999" s="195"/>
      <c r="L999" s="533"/>
      <c r="O999" s="539"/>
      <c r="P999" s="533"/>
    </row>
    <row r="1000" ht="15.75" customHeight="1">
      <c r="C1000" s="206"/>
      <c r="E1000" s="906"/>
      <c r="F1000" s="195"/>
      <c r="G1000" s="533"/>
      <c r="H1000" s="534"/>
      <c r="I1000" s="536"/>
      <c r="J1000" s="537"/>
      <c r="K1000" s="195"/>
      <c r="L1000" s="533"/>
      <c r="O1000" s="539"/>
      <c r="P1000" s="533"/>
    </row>
    <row r="1001" ht="15.75" customHeight="1">
      <c r="C1001" s="206"/>
      <c r="E1001" s="906"/>
      <c r="F1001" s="195"/>
      <c r="G1001" s="533"/>
      <c r="H1001" s="534"/>
      <c r="I1001" s="536"/>
      <c r="J1001" s="537"/>
      <c r="K1001" s="195"/>
      <c r="L1001" s="533"/>
      <c r="O1001" s="539"/>
      <c r="P1001" s="533"/>
    </row>
    <row r="1002" ht="15.75" customHeight="1">
      <c r="C1002" s="206"/>
      <c r="E1002" s="906"/>
      <c r="F1002" s="195"/>
      <c r="G1002" s="533"/>
      <c r="H1002" s="534"/>
      <c r="I1002" s="536"/>
      <c r="J1002" s="537"/>
      <c r="K1002" s="195"/>
      <c r="L1002" s="533"/>
      <c r="O1002" s="539"/>
      <c r="P1002" s="533"/>
    </row>
    <row r="1003" ht="15.75" customHeight="1">
      <c r="C1003" s="206"/>
      <c r="E1003" s="906"/>
      <c r="F1003" s="195"/>
      <c r="G1003" s="533"/>
      <c r="H1003" s="534"/>
      <c r="I1003" s="536"/>
      <c r="J1003" s="537"/>
      <c r="K1003" s="195"/>
      <c r="L1003" s="533"/>
      <c r="O1003" s="539"/>
      <c r="P1003" s="533"/>
    </row>
    <row r="1004" ht="15.75" customHeight="1">
      <c r="C1004" s="206"/>
      <c r="E1004" s="906"/>
      <c r="F1004" s="195"/>
      <c r="G1004" s="533"/>
      <c r="H1004" s="534"/>
      <c r="I1004" s="536"/>
      <c r="J1004" s="537"/>
      <c r="K1004" s="195"/>
      <c r="L1004" s="533"/>
      <c r="O1004" s="539"/>
      <c r="P1004" s="533"/>
    </row>
    <row r="1005" ht="15.75" customHeight="1">
      <c r="C1005" s="206"/>
      <c r="E1005" s="906"/>
      <c r="F1005" s="195"/>
      <c r="G1005" s="533"/>
      <c r="H1005" s="534"/>
      <c r="I1005" s="536"/>
      <c r="J1005" s="537"/>
      <c r="K1005" s="195"/>
      <c r="L1005" s="533"/>
      <c r="O1005" s="539"/>
      <c r="P1005" s="533"/>
    </row>
    <row r="1006" ht="15.75" customHeight="1">
      <c r="C1006" s="206"/>
      <c r="E1006" s="906"/>
      <c r="F1006" s="195"/>
      <c r="G1006" s="533"/>
      <c r="H1006" s="534"/>
      <c r="I1006" s="536"/>
      <c r="J1006" s="537"/>
      <c r="K1006" s="195"/>
      <c r="L1006" s="533"/>
      <c r="O1006" s="539"/>
      <c r="P1006" s="533"/>
    </row>
    <row r="1007" ht="15.75" customHeight="1">
      <c r="C1007" s="206"/>
      <c r="E1007" s="906"/>
      <c r="F1007" s="195"/>
      <c r="G1007" s="533"/>
      <c r="H1007" s="534"/>
      <c r="I1007" s="536"/>
      <c r="J1007" s="537"/>
      <c r="K1007" s="195"/>
      <c r="L1007" s="533"/>
      <c r="O1007" s="539"/>
      <c r="P1007" s="533"/>
    </row>
    <row r="1008" ht="15.75" customHeight="1">
      <c r="C1008" s="206"/>
      <c r="E1008" s="906"/>
      <c r="F1008" s="195"/>
      <c r="G1008" s="533"/>
      <c r="H1008" s="534"/>
      <c r="I1008" s="536"/>
      <c r="J1008" s="537"/>
      <c r="K1008" s="195"/>
      <c r="L1008" s="533"/>
      <c r="O1008" s="539"/>
      <c r="P1008" s="533"/>
    </row>
    <row r="1009" ht="15.75" customHeight="1">
      <c r="C1009" s="206"/>
      <c r="E1009" s="906"/>
      <c r="F1009" s="195"/>
      <c r="G1009" s="533"/>
      <c r="H1009" s="534"/>
      <c r="I1009" s="536"/>
      <c r="J1009" s="537"/>
      <c r="K1009" s="195"/>
      <c r="L1009" s="533"/>
      <c r="O1009" s="539"/>
      <c r="P1009" s="533"/>
    </row>
    <row r="1010" ht="15.75" customHeight="1">
      <c r="C1010" s="206"/>
      <c r="E1010" s="906"/>
      <c r="F1010" s="195"/>
      <c r="G1010" s="533"/>
      <c r="H1010" s="534"/>
      <c r="I1010" s="536"/>
      <c r="J1010" s="537"/>
      <c r="K1010" s="195"/>
      <c r="L1010" s="533"/>
      <c r="O1010" s="539"/>
      <c r="P1010" s="533"/>
    </row>
    <row r="1011" ht="15.75" customHeight="1">
      <c r="C1011" s="206"/>
      <c r="E1011" s="906"/>
      <c r="F1011" s="195"/>
      <c r="G1011" s="533"/>
      <c r="H1011" s="534"/>
      <c r="I1011" s="536"/>
      <c r="J1011" s="537"/>
      <c r="K1011" s="195"/>
      <c r="L1011" s="533"/>
      <c r="O1011" s="539"/>
      <c r="P1011" s="533"/>
    </row>
    <row r="1012" ht="15.75" customHeight="1">
      <c r="C1012" s="206"/>
      <c r="E1012" s="906"/>
      <c r="F1012" s="195"/>
      <c r="G1012" s="533"/>
      <c r="H1012" s="534"/>
      <c r="I1012" s="536"/>
      <c r="J1012" s="537"/>
      <c r="K1012" s="195"/>
      <c r="L1012" s="533"/>
      <c r="O1012" s="539"/>
      <c r="P1012" s="533"/>
    </row>
    <row r="1013" ht="15.75" customHeight="1">
      <c r="C1013" s="206"/>
      <c r="E1013" s="906"/>
      <c r="F1013" s="195"/>
      <c r="G1013" s="533"/>
      <c r="H1013" s="534"/>
      <c r="I1013" s="536"/>
      <c r="J1013" s="537"/>
      <c r="K1013" s="195"/>
      <c r="L1013" s="533"/>
      <c r="O1013" s="539"/>
      <c r="P1013" s="533"/>
    </row>
    <row r="1014" ht="15.75" customHeight="1">
      <c r="C1014" s="206"/>
      <c r="E1014" s="906"/>
      <c r="F1014" s="195"/>
      <c r="G1014" s="533"/>
      <c r="H1014" s="534"/>
      <c r="I1014" s="536"/>
      <c r="J1014" s="537"/>
      <c r="K1014" s="195"/>
      <c r="L1014" s="533"/>
      <c r="O1014" s="539"/>
      <c r="P1014" s="533"/>
    </row>
    <row r="1015" ht="15.75" customHeight="1">
      <c r="C1015" s="206"/>
      <c r="E1015" s="906"/>
      <c r="F1015" s="195"/>
      <c r="G1015" s="533"/>
      <c r="H1015" s="534"/>
      <c r="I1015" s="536"/>
      <c r="J1015" s="537"/>
      <c r="K1015" s="195"/>
      <c r="L1015" s="533"/>
      <c r="O1015" s="539"/>
      <c r="P1015" s="533"/>
    </row>
    <row r="1016" ht="15.75" customHeight="1">
      <c r="C1016" s="206"/>
      <c r="E1016" s="906"/>
      <c r="F1016" s="195"/>
      <c r="G1016" s="533"/>
      <c r="H1016" s="534"/>
      <c r="I1016" s="536"/>
      <c r="J1016" s="537"/>
      <c r="K1016" s="195"/>
      <c r="L1016" s="533"/>
      <c r="O1016" s="539"/>
      <c r="P1016" s="533"/>
    </row>
    <row r="1017" ht="15.75" customHeight="1">
      <c r="C1017" s="206"/>
      <c r="E1017" s="906"/>
      <c r="F1017" s="195"/>
      <c r="G1017" s="533"/>
      <c r="H1017" s="534"/>
      <c r="I1017" s="536"/>
      <c r="J1017" s="537"/>
      <c r="K1017" s="195"/>
      <c r="L1017" s="533"/>
      <c r="O1017" s="539"/>
      <c r="P1017" s="533"/>
    </row>
    <row r="1018" ht="15.75" customHeight="1">
      <c r="C1018" s="206"/>
      <c r="E1018" s="906"/>
      <c r="F1018" s="195"/>
      <c r="G1018" s="533"/>
      <c r="H1018" s="534"/>
      <c r="I1018" s="536"/>
      <c r="J1018" s="537"/>
      <c r="K1018" s="195"/>
      <c r="L1018" s="533"/>
      <c r="O1018" s="539"/>
      <c r="P1018" s="533"/>
    </row>
    <row r="1019" ht="15.75" customHeight="1">
      <c r="C1019" s="206"/>
      <c r="E1019" s="906"/>
      <c r="F1019" s="195"/>
      <c r="G1019" s="533"/>
      <c r="H1019" s="534"/>
      <c r="I1019" s="536"/>
      <c r="J1019" s="537"/>
      <c r="K1019" s="195"/>
      <c r="L1019" s="533"/>
      <c r="O1019" s="539"/>
      <c r="P1019" s="533"/>
    </row>
    <row r="1020" ht="15.75" customHeight="1">
      <c r="C1020" s="206"/>
      <c r="E1020" s="906"/>
      <c r="F1020" s="195"/>
      <c r="G1020" s="533"/>
      <c r="H1020" s="534"/>
      <c r="I1020" s="536"/>
      <c r="J1020" s="537"/>
      <c r="K1020" s="195"/>
      <c r="L1020" s="533"/>
      <c r="O1020" s="539"/>
      <c r="P1020" s="533"/>
    </row>
    <row r="1021" ht="15.75" customHeight="1">
      <c r="C1021" s="206"/>
      <c r="E1021" s="906"/>
      <c r="F1021" s="195"/>
      <c r="G1021" s="533"/>
      <c r="H1021" s="534"/>
      <c r="I1021" s="536"/>
      <c r="J1021" s="537"/>
      <c r="K1021" s="195"/>
      <c r="L1021" s="533"/>
      <c r="O1021" s="539"/>
      <c r="P1021" s="533"/>
    </row>
    <row r="1022" ht="15.75" customHeight="1">
      <c r="C1022" s="206"/>
      <c r="E1022" s="906"/>
      <c r="F1022" s="195"/>
      <c r="G1022" s="533"/>
      <c r="H1022" s="534"/>
      <c r="I1022" s="536"/>
      <c r="J1022" s="537"/>
      <c r="K1022" s="195"/>
      <c r="L1022" s="533"/>
      <c r="O1022" s="539"/>
      <c r="P1022" s="533"/>
    </row>
    <row r="1023" ht="15.75" customHeight="1">
      <c r="C1023" s="206"/>
      <c r="E1023" s="906"/>
      <c r="F1023" s="195"/>
      <c r="G1023" s="533"/>
      <c r="H1023" s="534"/>
      <c r="I1023" s="536"/>
      <c r="J1023" s="537"/>
      <c r="K1023" s="195"/>
      <c r="L1023" s="533"/>
      <c r="O1023" s="539"/>
      <c r="P1023" s="533"/>
    </row>
    <row r="1024" ht="15.75" customHeight="1">
      <c r="C1024" s="206"/>
      <c r="E1024" s="906"/>
      <c r="F1024" s="195"/>
      <c r="G1024" s="533"/>
      <c r="H1024" s="534"/>
      <c r="I1024" s="536"/>
      <c r="J1024" s="537"/>
      <c r="K1024" s="195"/>
      <c r="L1024" s="533"/>
      <c r="O1024" s="539"/>
      <c r="P1024" s="533"/>
    </row>
    <row r="1025" ht="15.75" customHeight="1">
      <c r="C1025" s="206"/>
      <c r="E1025" s="906"/>
      <c r="F1025" s="195"/>
      <c r="G1025" s="533"/>
      <c r="H1025" s="534"/>
      <c r="I1025" s="536"/>
      <c r="J1025" s="537"/>
      <c r="K1025" s="195"/>
      <c r="L1025" s="533"/>
      <c r="O1025" s="539"/>
      <c r="P1025" s="533"/>
    </row>
    <row r="1026" ht="15.75" customHeight="1">
      <c r="C1026" s="206"/>
      <c r="E1026" s="906"/>
      <c r="F1026" s="195"/>
      <c r="G1026" s="533"/>
      <c r="H1026" s="534"/>
      <c r="I1026" s="536"/>
      <c r="J1026" s="537"/>
      <c r="K1026" s="195"/>
      <c r="L1026" s="533"/>
      <c r="O1026" s="539"/>
      <c r="P1026" s="533"/>
    </row>
    <row r="1027" ht="15.75" customHeight="1">
      <c r="C1027" s="206"/>
      <c r="E1027" s="906"/>
      <c r="F1027" s="195"/>
      <c r="G1027" s="533"/>
      <c r="H1027" s="534"/>
      <c r="I1027" s="536"/>
      <c r="J1027" s="537"/>
      <c r="K1027" s="195"/>
      <c r="L1027" s="533"/>
      <c r="O1027" s="539"/>
      <c r="P1027" s="533"/>
    </row>
    <row r="1028" ht="15.75" customHeight="1">
      <c r="C1028" s="206"/>
      <c r="E1028" s="906"/>
      <c r="F1028" s="195"/>
      <c r="G1028" s="533"/>
      <c r="H1028" s="534"/>
      <c r="I1028" s="536"/>
      <c r="J1028" s="537"/>
      <c r="K1028" s="195"/>
      <c r="L1028" s="533"/>
      <c r="O1028" s="539"/>
      <c r="P1028" s="533"/>
    </row>
    <row r="1029" ht="15.75" customHeight="1">
      <c r="C1029" s="206"/>
      <c r="E1029" s="906"/>
      <c r="F1029" s="195"/>
      <c r="G1029" s="533"/>
      <c r="H1029" s="534"/>
      <c r="I1029" s="536"/>
      <c r="J1029" s="537"/>
      <c r="K1029" s="195"/>
      <c r="L1029" s="533"/>
      <c r="O1029" s="539"/>
      <c r="P1029" s="533"/>
    </row>
    <row r="1030" ht="15.75" customHeight="1">
      <c r="C1030" s="206"/>
      <c r="E1030" s="906"/>
      <c r="F1030" s="195"/>
      <c r="G1030" s="533"/>
      <c r="H1030" s="534"/>
      <c r="I1030" s="536"/>
      <c r="J1030" s="537"/>
      <c r="K1030" s="195"/>
      <c r="L1030" s="533"/>
      <c r="O1030" s="539"/>
      <c r="P1030" s="533"/>
    </row>
    <row r="1031" ht="15.75" customHeight="1">
      <c r="C1031" s="206"/>
      <c r="E1031" s="906"/>
      <c r="F1031" s="195"/>
      <c r="G1031" s="533"/>
      <c r="H1031" s="534"/>
      <c r="I1031" s="536"/>
      <c r="J1031" s="537"/>
      <c r="K1031" s="195"/>
      <c r="L1031" s="533"/>
      <c r="O1031" s="539"/>
      <c r="P1031" s="533"/>
    </row>
    <row r="1032" ht="15.75" customHeight="1">
      <c r="C1032" s="206"/>
      <c r="E1032" s="906"/>
      <c r="F1032" s="195"/>
      <c r="G1032" s="533"/>
      <c r="H1032" s="534"/>
      <c r="I1032" s="536"/>
      <c r="J1032" s="537"/>
      <c r="K1032" s="195"/>
      <c r="L1032" s="533"/>
      <c r="O1032" s="539"/>
      <c r="P1032" s="533"/>
    </row>
    <row r="1033" ht="15.75" customHeight="1">
      <c r="C1033" s="206"/>
      <c r="E1033" s="906"/>
      <c r="F1033" s="195"/>
      <c r="G1033" s="533"/>
      <c r="H1033" s="534"/>
      <c r="I1033" s="536"/>
      <c r="J1033" s="537"/>
      <c r="K1033" s="195"/>
      <c r="L1033" s="533"/>
      <c r="O1033" s="539"/>
      <c r="P1033" s="533"/>
    </row>
    <row r="1034" ht="15.75" customHeight="1">
      <c r="C1034" s="206"/>
      <c r="E1034" s="906"/>
      <c r="F1034" s="195"/>
      <c r="G1034" s="533"/>
      <c r="H1034" s="534"/>
      <c r="I1034" s="536"/>
      <c r="J1034" s="537"/>
      <c r="K1034" s="195"/>
      <c r="L1034" s="533"/>
      <c r="O1034" s="539"/>
      <c r="P1034" s="533"/>
    </row>
    <row r="1035" ht="15.75" customHeight="1">
      <c r="C1035" s="206"/>
      <c r="E1035" s="906"/>
      <c r="F1035" s="195"/>
      <c r="G1035" s="533"/>
      <c r="H1035" s="534"/>
      <c r="I1035" s="536"/>
      <c r="J1035" s="537"/>
      <c r="K1035" s="195"/>
      <c r="L1035" s="533"/>
      <c r="O1035" s="539"/>
      <c r="P1035" s="533"/>
    </row>
    <row r="1036" ht="15.75" customHeight="1">
      <c r="C1036" s="206"/>
      <c r="E1036" s="906"/>
      <c r="F1036" s="195"/>
      <c r="G1036" s="533"/>
      <c r="H1036" s="534"/>
      <c r="I1036" s="536"/>
      <c r="J1036" s="537"/>
      <c r="K1036" s="195"/>
      <c r="L1036" s="533"/>
      <c r="O1036" s="539"/>
      <c r="P1036" s="533"/>
    </row>
    <row r="1037" ht="15.75" customHeight="1">
      <c r="C1037" s="206"/>
      <c r="E1037" s="906"/>
      <c r="F1037" s="195"/>
      <c r="G1037" s="533"/>
      <c r="H1037" s="534"/>
      <c r="I1037" s="536"/>
      <c r="J1037" s="537"/>
      <c r="K1037" s="195"/>
      <c r="L1037" s="533"/>
      <c r="O1037" s="539"/>
      <c r="P1037" s="533"/>
    </row>
    <row r="1038" ht="15.75" customHeight="1">
      <c r="C1038" s="206"/>
      <c r="E1038" s="906"/>
      <c r="F1038" s="195"/>
      <c r="G1038" s="533"/>
      <c r="H1038" s="534"/>
      <c r="I1038" s="536"/>
      <c r="J1038" s="537"/>
      <c r="K1038" s="195"/>
      <c r="L1038" s="533"/>
      <c r="O1038" s="539"/>
      <c r="P1038" s="533"/>
    </row>
  </sheetData>
  <mergeCells count="259">
    <mergeCell ref="K112:K113"/>
    <mergeCell ref="K115:K116"/>
    <mergeCell ref="L115:L116"/>
    <mergeCell ref="O115:O116"/>
    <mergeCell ref="P115:P116"/>
    <mergeCell ref="K110:K111"/>
    <mergeCell ref="L110:L111"/>
    <mergeCell ref="O110:O111"/>
    <mergeCell ref="P110:P111"/>
    <mergeCell ref="L112:L113"/>
    <mergeCell ref="O112:O113"/>
    <mergeCell ref="P112:P113"/>
    <mergeCell ref="K72:K73"/>
    <mergeCell ref="L72:L73"/>
    <mergeCell ref="K77:K78"/>
    <mergeCell ref="L77:L78"/>
    <mergeCell ref="O77:O78"/>
    <mergeCell ref="P77:P78"/>
    <mergeCell ref="K58:K59"/>
    <mergeCell ref="K62:K63"/>
    <mergeCell ref="L62:L63"/>
    <mergeCell ref="K65:K66"/>
    <mergeCell ref="L65:L66"/>
    <mergeCell ref="K67:K70"/>
    <mergeCell ref="L67:L70"/>
    <mergeCell ref="K82:K83"/>
    <mergeCell ref="L82:L83"/>
    <mergeCell ref="M82:M83"/>
    <mergeCell ref="P82:P83"/>
    <mergeCell ref="L84:L85"/>
    <mergeCell ref="M84:M85"/>
    <mergeCell ref="P84:P85"/>
    <mergeCell ref="O92:O93"/>
    <mergeCell ref="O94:O95"/>
    <mergeCell ref="O97:O98"/>
    <mergeCell ref="O99:O100"/>
    <mergeCell ref="O102:O103"/>
    <mergeCell ref="O104:O105"/>
    <mergeCell ref="P94:P95"/>
    <mergeCell ref="P97:P98"/>
    <mergeCell ref="P99:P100"/>
    <mergeCell ref="P102:P103"/>
    <mergeCell ref="P104:P105"/>
    <mergeCell ref="O82:O83"/>
    <mergeCell ref="O84:O85"/>
    <mergeCell ref="O87:O88"/>
    <mergeCell ref="P87:P88"/>
    <mergeCell ref="O89:O90"/>
    <mergeCell ref="P89:P90"/>
    <mergeCell ref="P92:P93"/>
    <mergeCell ref="K84:K85"/>
    <mergeCell ref="K87:K88"/>
    <mergeCell ref="L87:L88"/>
    <mergeCell ref="K89:K90"/>
    <mergeCell ref="L89:L90"/>
    <mergeCell ref="K92:K93"/>
    <mergeCell ref="L92:L93"/>
    <mergeCell ref="B1:E1"/>
    <mergeCell ref="B2:O2"/>
    <mergeCell ref="B4:B9"/>
    <mergeCell ref="G4:G5"/>
    <mergeCell ref="H4:H5"/>
    <mergeCell ref="K4:K5"/>
    <mergeCell ref="L4:L5"/>
    <mergeCell ref="O6:O9"/>
    <mergeCell ref="G14:G17"/>
    <mergeCell ref="G19:G20"/>
    <mergeCell ref="O19:O20"/>
    <mergeCell ref="P19:P20"/>
    <mergeCell ref="O21:O24"/>
    <mergeCell ref="P21:P24"/>
    <mergeCell ref="O4:O5"/>
    <mergeCell ref="P4:P5"/>
    <mergeCell ref="P6:P9"/>
    <mergeCell ref="O12:O13"/>
    <mergeCell ref="P12:P13"/>
    <mergeCell ref="O14:O17"/>
    <mergeCell ref="P14:P17"/>
    <mergeCell ref="H19:H20"/>
    <mergeCell ref="G21:G24"/>
    <mergeCell ref="H21:H24"/>
    <mergeCell ref="K19:K20"/>
    <mergeCell ref="K21:K24"/>
    <mergeCell ref="L21:L24"/>
    <mergeCell ref="K6:K9"/>
    <mergeCell ref="L6:L9"/>
    <mergeCell ref="K12:K13"/>
    <mergeCell ref="L12:L13"/>
    <mergeCell ref="K14:K17"/>
    <mergeCell ref="L14:L17"/>
    <mergeCell ref="L19:L20"/>
    <mergeCell ref="L42:L43"/>
    <mergeCell ref="O42:O43"/>
    <mergeCell ref="O44:O48"/>
    <mergeCell ref="P44:P48"/>
    <mergeCell ref="O50:O51"/>
    <mergeCell ref="P50:P51"/>
    <mergeCell ref="P55:P56"/>
    <mergeCell ref="H42:H43"/>
    <mergeCell ref="H44:H48"/>
    <mergeCell ref="K44:K48"/>
    <mergeCell ref="L44:L48"/>
    <mergeCell ref="K50:K51"/>
    <mergeCell ref="K55:K56"/>
    <mergeCell ref="L58:L59"/>
    <mergeCell ref="G6:G9"/>
    <mergeCell ref="G32:G33"/>
    <mergeCell ref="G42:G43"/>
    <mergeCell ref="G44:G48"/>
    <mergeCell ref="O27:O30"/>
    <mergeCell ref="O32:O33"/>
    <mergeCell ref="O34:O37"/>
    <mergeCell ref="P34:P37"/>
    <mergeCell ref="H27:H30"/>
    <mergeCell ref="K27:K30"/>
    <mergeCell ref="L27:L30"/>
    <mergeCell ref="P27:P30"/>
    <mergeCell ref="K32:K33"/>
    <mergeCell ref="L32:L33"/>
    <mergeCell ref="M32:M33"/>
    <mergeCell ref="P32:P33"/>
    <mergeCell ref="B32:B37"/>
    <mergeCell ref="B42:B48"/>
    <mergeCell ref="H32:H33"/>
    <mergeCell ref="G34:G37"/>
    <mergeCell ref="H34:H37"/>
    <mergeCell ref="K34:K37"/>
    <mergeCell ref="L34:L37"/>
    <mergeCell ref="B40:P40"/>
    <mergeCell ref="K42:K43"/>
    <mergeCell ref="P42:P43"/>
    <mergeCell ref="O67:O70"/>
    <mergeCell ref="P67:P70"/>
    <mergeCell ref="O72:O73"/>
    <mergeCell ref="P72:P73"/>
    <mergeCell ref="B80:O80"/>
    <mergeCell ref="O55:O56"/>
    <mergeCell ref="O58:O59"/>
    <mergeCell ref="P58:P59"/>
    <mergeCell ref="O62:O63"/>
    <mergeCell ref="P62:P63"/>
    <mergeCell ref="O65:O66"/>
    <mergeCell ref="P65:P66"/>
    <mergeCell ref="G94:G95"/>
    <mergeCell ref="H94:H95"/>
    <mergeCell ref="G97:G98"/>
    <mergeCell ref="H97:H98"/>
    <mergeCell ref="G99:G100"/>
    <mergeCell ref="H99:H100"/>
    <mergeCell ref="H102:H103"/>
    <mergeCell ref="H104:H105"/>
    <mergeCell ref="O120:O121"/>
    <mergeCell ref="P120:P121"/>
    <mergeCell ref="K122:K123"/>
    <mergeCell ref="K125:K126"/>
    <mergeCell ref="K127:K128"/>
    <mergeCell ref="K130:K131"/>
    <mergeCell ref="K132:K133"/>
    <mergeCell ref="L132:L133"/>
    <mergeCell ref="G102:G103"/>
    <mergeCell ref="G104:G105"/>
    <mergeCell ref="K117:K118"/>
    <mergeCell ref="L117:L118"/>
    <mergeCell ref="P117:P118"/>
    <mergeCell ref="K120:K121"/>
    <mergeCell ref="P122:P123"/>
    <mergeCell ref="O130:O131"/>
    <mergeCell ref="O132:O133"/>
    <mergeCell ref="O117:O118"/>
    <mergeCell ref="O122:O123"/>
    <mergeCell ref="O125:O126"/>
    <mergeCell ref="P125:P126"/>
    <mergeCell ref="O127:O128"/>
    <mergeCell ref="P127:P128"/>
    <mergeCell ref="P130:P131"/>
    <mergeCell ref="P132:P133"/>
    <mergeCell ref="K102:K103"/>
    <mergeCell ref="K104:K105"/>
    <mergeCell ref="B108:P108"/>
    <mergeCell ref="K94:K95"/>
    <mergeCell ref="L94:L95"/>
    <mergeCell ref="K97:K98"/>
    <mergeCell ref="L97:L98"/>
    <mergeCell ref="K99:K100"/>
    <mergeCell ref="L99:L100"/>
    <mergeCell ref="L102:L103"/>
    <mergeCell ref="L104:L105"/>
    <mergeCell ref="G72:G73"/>
    <mergeCell ref="G77:G78"/>
    <mergeCell ref="H77:H78"/>
    <mergeCell ref="F79:H79"/>
    <mergeCell ref="G82:G83"/>
    <mergeCell ref="H82:H83"/>
    <mergeCell ref="H84:H85"/>
    <mergeCell ref="G84:G85"/>
    <mergeCell ref="G87:G88"/>
    <mergeCell ref="H87:H88"/>
    <mergeCell ref="G89:G90"/>
    <mergeCell ref="H89:H90"/>
    <mergeCell ref="G92:G93"/>
    <mergeCell ref="H92:H93"/>
    <mergeCell ref="G110:G111"/>
    <mergeCell ref="H110:H111"/>
    <mergeCell ref="G112:G113"/>
    <mergeCell ref="H112:H113"/>
    <mergeCell ref="G115:G116"/>
    <mergeCell ref="H115:H116"/>
    <mergeCell ref="H117:H118"/>
    <mergeCell ref="G117:G118"/>
    <mergeCell ref="G120:G121"/>
    <mergeCell ref="H120:H121"/>
    <mergeCell ref="G122:G123"/>
    <mergeCell ref="H122:H123"/>
    <mergeCell ref="G125:G126"/>
    <mergeCell ref="H125:H126"/>
    <mergeCell ref="G12:G13"/>
    <mergeCell ref="G27:G30"/>
    <mergeCell ref="H6:H9"/>
    <mergeCell ref="B12:B17"/>
    <mergeCell ref="H12:H13"/>
    <mergeCell ref="H14:H17"/>
    <mergeCell ref="B19:B24"/>
    <mergeCell ref="B26:B30"/>
    <mergeCell ref="E38:E39"/>
    <mergeCell ref="B50:B56"/>
    <mergeCell ref="G50:G51"/>
    <mergeCell ref="H50:H51"/>
    <mergeCell ref="G55:G56"/>
    <mergeCell ref="H55:H56"/>
    <mergeCell ref="H58:H59"/>
    <mergeCell ref="H62:H63"/>
    <mergeCell ref="G58:G59"/>
    <mergeCell ref="G62:G63"/>
    <mergeCell ref="G65:G66"/>
    <mergeCell ref="H65:H66"/>
    <mergeCell ref="G67:G70"/>
    <mergeCell ref="H67:H70"/>
    <mergeCell ref="H72:H73"/>
    <mergeCell ref="B102:B105"/>
    <mergeCell ref="B110:B113"/>
    <mergeCell ref="B115:B118"/>
    <mergeCell ref="B120:B123"/>
    <mergeCell ref="B125:B128"/>
    <mergeCell ref="B130:B133"/>
    <mergeCell ref="B58:B63"/>
    <mergeCell ref="B65:B70"/>
    <mergeCell ref="B72:B78"/>
    <mergeCell ref="B82:B85"/>
    <mergeCell ref="B87:B90"/>
    <mergeCell ref="B92:B95"/>
    <mergeCell ref="B97:B100"/>
    <mergeCell ref="G127:G128"/>
    <mergeCell ref="H127:H128"/>
    <mergeCell ref="G130:G131"/>
    <mergeCell ref="H130:H131"/>
    <mergeCell ref="G132:G133"/>
    <mergeCell ref="H132:H133"/>
    <mergeCell ref="F134:H134"/>
    <mergeCell ref="D137:D139"/>
  </mergeCells>
  <printOptions/>
  <pageMargins bottom="0.75" footer="0.0" header="0.0" left="0.25" right="0.25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5.89"/>
    <col customWidth="1" min="3" max="3" width="6.22"/>
    <col customWidth="1" min="4" max="4" width="36.78"/>
    <col customWidth="1" min="5" max="5" width="3.44"/>
    <col customWidth="1" min="6" max="47" width="3.56"/>
    <col customWidth="1" min="48" max="48" width="4.44"/>
    <col customWidth="1" min="49" max="50" width="4.11"/>
    <col customWidth="1" min="51" max="51" width="7.67"/>
    <col customWidth="1" min="52" max="54" width="6.33"/>
    <col customWidth="1" hidden="1" min="55" max="55" width="5.11"/>
    <col customWidth="1" hidden="1" min="56" max="56" width="6.44"/>
  </cols>
  <sheetData>
    <row r="1" ht="15.75" customHeight="1">
      <c r="A1" s="1002"/>
      <c r="B1" s="1004"/>
      <c r="C1" s="1005"/>
      <c r="D1" s="977"/>
      <c r="F1" s="677"/>
      <c r="G1" s="1007">
        <v>12.0</v>
      </c>
      <c r="H1" s="677"/>
      <c r="I1" s="1007">
        <v>11.0</v>
      </c>
      <c r="J1" s="677"/>
      <c r="K1" s="1007">
        <v>53.0</v>
      </c>
      <c r="L1" s="677"/>
      <c r="M1" s="1007">
        <v>35.0</v>
      </c>
      <c r="N1" s="13"/>
      <c r="O1" s="1007">
        <v>85.0</v>
      </c>
      <c r="P1" s="677"/>
      <c r="Q1" s="50" t="s">
        <v>432</v>
      </c>
      <c r="S1" s="50">
        <v>16.0</v>
      </c>
      <c r="U1" s="1012">
        <v>19.0</v>
      </c>
      <c r="W1" s="1012">
        <v>13.0</v>
      </c>
      <c r="Y1" s="63">
        <v>14.0</v>
      </c>
      <c r="AA1" s="63">
        <v>17.0</v>
      </c>
      <c r="AC1" s="50">
        <v>19.0</v>
      </c>
      <c r="AE1" s="50">
        <v>27.0</v>
      </c>
      <c r="AG1" s="1014">
        <v>14.0</v>
      </c>
      <c r="AI1" s="1014">
        <v>11.0</v>
      </c>
      <c r="AY1" s="977"/>
    </row>
    <row r="2" ht="15.75" customHeight="1">
      <c r="A2" s="1018" t="s">
        <v>1279</v>
      </c>
      <c r="B2" s="1019"/>
      <c r="C2" s="1021">
        <v>45659.0</v>
      </c>
      <c r="D2" s="1022" t="s">
        <v>1280</v>
      </c>
      <c r="E2" s="1023"/>
      <c r="F2" s="1025"/>
      <c r="G2" s="1027"/>
      <c r="H2" s="1029"/>
      <c r="I2" s="1031"/>
      <c r="J2" s="1032"/>
      <c r="K2" s="1031"/>
      <c r="L2" s="1032"/>
      <c r="M2" s="1034"/>
      <c r="N2" s="1035" t="s">
        <v>1281</v>
      </c>
      <c r="O2" s="1031"/>
      <c r="P2" s="1036"/>
      <c r="Q2" s="1036"/>
      <c r="R2" s="1036"/>
      <c r="S2" s="1039"/>
      <c r="T2" s="1041" t="s">
        <v>1282</v>
      </c>
      <c r="U2" s="1036"/>
      <c r="V2" s="1036"/>
      <c r="W2" s="1036"/>
      <c r="X2" s="1036"/>
      <c r="Y2" s="1036"/>
      <c r="Z2" s="1036"/>
      <c r="AA2" s="1036"/>
      <c r="AB2" s="1036"/>
      <c r="AC2" s="1036"/>
      <c r="AD2" s="1036"/>
      <c r="AE2" s="1036"/>
      <c r="AF2" s="1036"/>
      <c r="AG2" s="1036"/>
      <c r="AH2" s="1036"/>
      <c r="AI2" s="1036"/>
      <c r="AJ2" s="1036"/>
      <c r="AK2" s="1036"/>
      <c r="AL2" s="1036"/>
      <c r="AM2" s="1036"/>
      <c r="AN2" s="1036"/>
      <c r="AO2" s="1036"/>
      <c r="AP2" s="1036"/>
      <c r="AQ2" s="1036"/>
      <c r="AR2" s="1036"/>
      <c r="AS2" s="1036"/>
      <c r="AT2" s="1036"/>
      <c r="AU2" s="1036"/>
      <c r="AV2" s="1036"/>
      <c r="AW2" s="1036"/>
      <c r="AX2" s="1036"/>
      <c r="AY2" s="1036"/>
      <c r="AZ2" s="1045"/>
      <c r="BA2" s="1045"/>
      <c r="BB2" s="1045"/>
      <c r="BC2" s="1032"/>
      <c r="BD2" s="1046"/>
    </row>
    <row r="3" ht="15.75" customHeight="1">
      <c r="A3" s="1048" t="s">
        <v>10</v>
      </c>
      <c r="B3" s="1049" t="s">
        <v>1283</v>
      </c>
      <c r="C3" s="1051" t="s">
        <v>1284</v>
      </c>
      <c r="D3" s="1053" t="s">
        <v>471</v>
      </c>
      <c r="E3" s="1054" t="s">
        <v>1285</v>
      </c>
      <c r="F3" s="1055" t="s">
        <v>1286</v>
      </c>
      <c r="G3" s="1056" t="s">
        <v>1287</v>
      </c>
      <c r="H3" s="1057" t="s">
        <v>1288</v>
      </c>
      <c r="I3" s="1059" t="s">
        <v>1289</v>
      </c>
      <c r="J3" s="1060" t="s">
        <v>1290</v>
      </c>
      <c r="K3" s="1054" t="s">
        <v>1291</v>
      </c>
      <c r="L3" s="1055" t="s">
        <v>1292</v>
      </c>
      <c r="M3" s="1059" t="s">
        <v>1293</v>
      </c>
      <c r="N3" s="1059" t="s">
        <v>1294</v>
      </c>
      <c r="O3" s="1054" t="s">
        <v>1295</v>
      </c>
      <c r="P3" s="1054" t="s">
        <v>1296</v>
      </c>
      <c r="Q3" s="1062" t="s">
        <v>1297</v>
      </c>
      <c r="R3" s="1062" t="s">
        <v>1298</v>
      </c>
      <c r="S3" s="1063" t="s">
        <v>1299</v>
      </c>
      <c r="T3" s="1063" t="s">
        <v>1300</v>
      </c>
      <c r="U3" s="1062" t="s">
        <v>1301</v>
      </c>
      <c r="V3" s="1062" t="s">
        <v>1302</v>
      </c>
      <c r="W3" s="1063" t="s">
        <v>1303</v>
      </c>
      <c r="X3" s="1063" t="s">
        <v>1304</v>
      </c>
      <c r="Y3" s="1063" t="s">
        <v>1305</v>
      </c>
      <c r="Z3" s="1063" t="s">
        <v>1306</v>
      </c>
      <c r="AA3" s="1062" t="s">
        <v>1307</v>
      </c>
      <c r="AB3" s="1062" t="s">
        <v>1308</v>
      </c>
      <c r="AC3" s="1065" t="s">
        <v>1309</v>
      </c>
      <c r="AD3" s="1065" t="s">
        <v>1310</v>
      </c>
      <c r="AE3" s="1067" t="s">
        <v>1311</v>
      </c>
      <c r="AF3" s="1067" t="s">
        <v>1312</v>
      </c>
      <c r="AG3" s="1065" t="s">
        <v>1313</v>
      </c>
      <c r="AH3" s="1065" t="s">
        <v>1314</v>
      </c>
      <c r="AI3" s="1065" t="s">
        <v>1315</v>
      </c>
      <c r="AJ3" s="1065" t="s">
        <v>1316</v>
      </c>
      <c r="AK3" s="1068" t="s">
        <v>1317</v>
      </c>
      <c r="AL3" s="1068" t="s">
        <v>1318</v>
      </c>
      <c r="AM3" s="1065" t="s">
        <v>1319</v>
      </c>
      <c r="AN3" s="1065" t="s">
        <v>1320</v>
      </c>
      <c r="AO3" s="1065" t="s">
        <v>1321</v>
      </c>
      <c r="AP3" s="1065" t="s">
        <v>1322</v>
      </c>
      <c r="AQ3" s="1068" t="s">
        <v>1323</v>
      </c>
      <c r="AR3" s="1068" t="s">
        <v>1324</v>
      </c>
      <c r="AS3" s="1065" t="s">
        <v>1325</v>
      </c>
      <c r="AT3" s="1065" t="s">
        <v>1326</v>
      </c>
      <c r="AU3" s="1068" t="s">
        <v>1327</v>
      </c>
      <c r="AV3" s="1068" t="s">
        <v>1328</v>
      </c>
      <c r="AW3" s="1069" t="s">
        <v>1329</v>
      </c>
      <c r="AX3" s="1070" t="s">
        <v>1330</v>
      </c>
      <c r="AY3" s="1072" t="s">
        <v>1331</v>
      </c>
      <c r="AZ3" s="1073" t="s">
        <v>1332</v>
      </c>
      <c r="BA3" s="1075" t="s">
        <v>1333</v>
      </c>
      <c r="BB3" s="1075" t="s">
        <v>297</v>
      </c>
      <c r="BC3" s="1073" t="s">
        <v>1334</v>
      </c>
      <c r="BD3" s="1076" t="s">
        <v>1335</v>
      </c>
    </row>
    <row r="4" ht="18.0" customHeight="1">
      <c r="A4" s="1048"/>
      <c r="B4" s="1049"/>
      <c r="C4" s="1077"/>
      <c r="D4" s="1080" t="s">
        <v>1336</v>
      </c>
      <c r="E4" s="1081" t="s">
        <v>1337</v>
      </c>
      <c r="F4" s="69"/>
      <c r="G4" s="1083"/>
      <c r="H4" s="69"/>
      <c r="I4" s="1083"/>
      <c r="J4" s="69"/>
      <c r="K4" s="1083">
        <v>40.0</v>
      </c>
      <c r="L4" s="69"/>
      <c r="M4" s="1083"/>
      <c r="N4" s="69"/>
      <c r="O4" s="1083"/>
      <c r="P4" s="69"/>
      <c r="Q4" s="1083"/>
      <c r="R4" s="69"/>
      <c r="S4" s="1081" t="s">
        <v>1338</v>
      </c>
      <c r="T4" s="69"/>
      <c r="U4" s="1083"/>
      <c r="V4" s="69"/>
      <c r="W4" s="1081" t="s">
        <v>1337</v>
      </c>
      <c r="X4" s="69"/>
      <c r="Y4" s="1083"/>
      <c r="Z4" s="69"/>
      <c r="AA4" s="1083"/>
      <c r="AB4" s="69"/>
      <c r="AC4" s="1083"/>
      <c r="AD4" s="69"/>
      <c r="AE4" s="1083" t="s">
        <v>1339</v>
      </c>
      <c r="AF4" s="68"/>
      <c r="AG4" s="1083"/>
      <c r="AH4" s="69"/>
      <c r="AI4" s="1083"/>
      <c r="AJ4" s="69"/>
      <c r="AK4" s="1083" t="s">
        <v>1340</v>
      </c>
      <c r="AL4" s="69"/>
      <c r="AM4" s="1083"/>
      <c r="AN4" s="69"/>
      <c r="AO4" s="1083"/>
      <c r="AP4" s="69"/>
      <c r="AQ4" s="1081" t="s">
        <v>1337</v>
      </c>
      <c r="AR4" s="69"/>
      <c r="AS4" s="1083">
        <v>20.0</v>
      </c>
      <c r="AT4" s="69"/>
      <c r="AU4" s="1081" t="s">
        <v>1337</v>
      </c>
      <c r="AV4" s="69"/>
      <c r="AW4" s="1091">
        <v>45780.0</v>
      </c>
      <c r="AX4" s="68"/>
      <c r="AY4" s="1093"/>
      <c r="AZ4" s="1095"/>
      <c r="BA4" s="1097"/>
      <c r="BB4" s="1095"/>
      <c r="BC4" s="591"/>
      <c r="BD4" s="1099"/>
    </row>
    <row r="5" ht="18.0" customHeight="1">
      <c r="A5" s="1048"/>
      <c r="B5" s="1049"/>
      <c r="C5" s="1077"/>
      <c r="D5" s="1080" t="s">
        <v>1341</v>
      </c>
      <c r="E5" s="1100"/>
      <c r="F5" s="69"/>
      <c r="G5" s="1100"/>
      <c r="H5" s="69"/>
      <c r="I5" s="1100"/>
      <c r="J5" s="69"/>
      <c r="K5" s="1100"/>
      <c r="L5" s="69"/>
      <c r="M5" s="1100"/>
      <c r="N5" s="69"/>
      <c r="O5" s="1100"/>
      <c r="P5" s="69"/>
      <c r="Q5" s="1100"/>
      <c r="R5" s="69"/>
      <c r="S5" s="1100"/>
      <c r="T5" s="69"/>
      <c r="U5" s="1100"/>
      <c r="V5" s="69"/>
      <c r="W5" s="1100"/>
      <c r="X5" s="69"/>
      <c r="Y5" s="1100"/>
      <c r="Z5" s="69"/>
      <c r="AA5" s="1100"/>
      <c r="AB5" s="69"/>
      <c r="AC5" s="1100"/>
      <c r="AD5" s="69"/>
      <c r="AE5" s="1100"/>
      <c r="AF5" s="69"/>
      <c r="AG5" s="1100"/>
      <c r="AH5" s="69"/>
      <c r="AI5" s="1100"/>
      <c r="AJ5" s="69"/>
      <c r="AK5" s="1100"/>
      <c r="AL5" s="69"/>
      <c r="AM5" s="1100"/>
      <c r="AN5" s="69"/>
      <c r="AO5" s="1100"/>
      <c r="AP5" s="69"/>
      <c r="AQ5" s="1100"/>
      <c r="AR5" s="69"/>
      <c r="AS5" s="1108" t="s">
        <v>1342</v>
      </c>
      <c r="AT5" s="69"/>
      <c r="AU5" s="1100"/>
      <c r="AV5" s="69"/>
      <c r="AW5" s="1100"/>
      <c r="AX5" s="69"/>
      <c r="AY5" s="1093"/>
      <c r="AZ5" s="1095"/>
      <c r="BA5" s="1097"/>
      <c r="BB5" s="1095"/>
      <c r="BC5" s="591"/>
      <c r="BD5" s="1099"/>
    </row>
    <row r="6" ht="18.0" customHeight="1">
      <c r="A6" s="1109">
        <v>1.0</v>
      </c>
      <c r="B6" s="1111">
        <v>2423.0</v>
      </c>
      <c r="C6" s="1115" t="str">
        <f>'Матрица 4 недели'!D3</f>
        <v>Завтрак </v>
      </c>
      <c r="D6" s="1118" t="str">
        <f>'Меню НА СЛЕДУЮЩИЙ МЕСЯЦ'!C4</f>
        <v/>
      </c>
      <c r="E6" s="1120">
        <v>20.0</v>
      </c>
      <c r="F6" s="1121">
        <v>20.0</v>
      </c>
      <c r="G6" s="1120"/>
      <c r="H6" s="1121"/>
      <c r="I6" s="1120"/>
      <c r="J6" s="1121"/>
      <c r="K6" s="1120">
        <v>10.0</v>
      </c>
      <c r="L6" s="1121">
        <v>10.0</v>
      </c>
      <c r="M6" s="1120"/>
      <c r="N6" s="1121"/>
      <c r="O6" s="1120">
        <v>9.0</v>
      </c>
      <c r="P6" s="1121">
        <v>9.0</v>
      </c>
      <c r="Q6" s="1120"/>
      <c r="R6" s="1121"/>
      <c r="S6" s="1120">
        <v>5.0</v>
      </c>
      <c r="T6" s="1121">
        <v>5.0</v>
      </c>
      <c r="U6" s="1120"/>
      <c r="V6" s="1121"/>
      <c r="W6" s="1120">
        <v>10.0</v>
      </c>
      <c r="X6" s="1121">
        <v>10.0</v>
      </c>
      <c r="Y6" s="1120">
        <v>5.0</v>
      </c>
      <c r="Z6" s="1121">
        <v>5.0</v>
      </c>
      <c r="AA6" s="1120"/>
      <c r="AB6" s="1121"/>
      <c r="AC6" s="1120"/>
      <c r="AD6" s="1121"/>
      <c r="AE6" s="1120">
        <v>5.0</v>
      </c>
      <c r="AF6" s="1121">
        <v>5.0</v>
      </c>
      <c r="AG6" s="1120"/>
      <c r="AH6" s="1121"/>
      <c r="AI6" s="1120"/>
      <c r="AJ6" s="1121"/>
      <c r="AK6" s="1120">
        <v>5.0</v>
      </c>
      <c r="AL6" s="1121">
        <v>5.0</v>
      </c>
      <c r="AM6" s="1120"/>
      <c r="AN6" s="1121"/>
      <c r="AO6" s="1126"/>
      <c r="AP6" s="1121"/>
      <c r="AQ6" s="1126">
        <v>10.0</v>
      </c>
      <c r="AR6" s="1121">
        <v>10.0</v>
      </c>
      <c r="AS6" s="1126"/>
      <c r="AT6" s="1121"/>
      <c r="AU6" s="1126">
        <v>8.0</v>
      </c>
      <c r="AV6" s="1127">
        <v>8.0</v>
      </c>
      <c r="AW6" s="1120"/>
      <c r="AX6" s="1121"/>
      <c r="AY6" s="1129">
        <f t="shared" ref="AY6:AY32" si="1">(E6+G6+I6+K6+M6+O6+Q6+S6+U6+W6+Y6+AA6+AC6+AE6+AG6+AI6+AK6+AM6+AW6+AO6+AQ6+AS6+AU6)+1</f>
        <v>88</v>
      </c>
      <c r="AZ6" s="1095">
        <f t="shared" ref="AZ6:AZ32" si="2">F6+H6+J6+L6+N6+P6+R6+T6+V6+X6+Z6+AD6+AB6+AF6+AH6+AJ6+AL6+AR6+AX6+AN6+AP6+AT6+AV6</f>
        <v>87</v>
      </c>
      <c r="BA6" s="1097">
        <f>111*AZ6</f>
        <v>9657</v>
      </c>
      <c r="BB6" s="1095"/>
      <c r="BC6" s="591">
        <v>0.15</v>
      </c>
      <c r="BD6" s="1099">
        <f>AY6*BC6</f>
        <v>13.2</v>
      </c>
    </row>
    <row r="7" ht="18.0" customHeight="1">
      <c r="A7" s="1130">
        <v>2.0</v>
      </c>
      <c r="B7" s="1111">
        <v>3624.0</v>
      </c>
      <c r="C7" s="1115" t="str">
        <f>'Матрица 4 недели'!D145</f>
        <v>Завтрак </v>
      </c>
      <c r="D7" s="1118" t="str">
        <f>'Меню НА СЛЕДУЮЩИЙ МЕСЯЦ'!C5</f>
        <v/>
      </c>
      <c r="E7" s="1120">
        <v>20.0</v>
      </c>
      <c r="F7" s="1121">
        <v>20.0</v>
      </c>
      <c r="G7" s="1120"/>
      <c r="H7" s="1121"/>
      <c r="I7" s="1120"/>
      <c r="J7" s="1121"/>
      <c r="K7" s="1120">
        <v>10.0</v>
      </c>
      <c r="L7" s="1121">
        <v>10.0</v>
      </c>
      <c r="M7" s="1120"/>
      <c r="N7" s="1121"/>
      <c r="O7" s="1120">
        <v>9.0</v>
      </c>
      <c r="P7" s="1121">
        <v>9.0</v>
      </c>
      <c r="Q7" s="1120"/>
      <c r="R7" s="1121"/>
      <c r="S7" s="1120">
        <v>5.0</v>
      </c>
      <c r="T7" s="1121">
        <v>5.0</v>
      </c>
      <c r="U7" s="1120"/>
      <c r="V7" s="1121"/>
      <c r="W7" s="1120">
        <v>10.0</v>
      </c>
      <c r="X7" s="1121">
        <v>10.0</v>
      </c>
      <c r="Y7" s="1120">
        <v>5.0</v>
      </c>
      <c r="Z7" s="1121">
        <v>5.0</v>
      </c>
      <c r="AA7" s="1120"/>
      <c r="AB7" s="1121"/>
      <c r="AC7" s="1120"/>
      <c r="AD7" s="1121"/>
      <c r="AE7" s="1120">
        <v>5.0</v>
      </c>
      <c r="AF7" s="1121">
        <v>5.0</v>
      </c>
      <c r="AG7" s="1120"/>
      <c r="AH7" s="1121"/>
      <c r="AI7" s="1120"/>
      <c r="AJ7" s="1121"/>
      <c r="AK7" s="1120">
        <v>5.0</v>
      </c>
      <c r="AL7" s="1121">
        <v>5.0</v>
      </c>
      <c r="AM7" s="1120"/>
      <c r="AN7" s="1121"/>
      <c r="AO7" s="1126"/>
      <c r="AP7" s="1121"/>
      <c r="AQ7" s="1126">
        <v>10.0</v>
      </c>
      <c r="AR7" s="1121">
        <v>10.0</v>
      </c>
      <c r="AS7" s="1126"/>
      <c r="AT7" s="1121"/>
      <c r="AU7" s="1126">
        <v>8.0</v>
      </c>
      <c r="AV7" s="1131">
        <v>8.0</v>
      </c>
      <c r="AW7" s="1120"/>
      <c r="AX7" s="1132"/>
      <c r="AY7" s="1129">
        <f t="shared" si="1"/>
        <v>88</v>
      </c>
      <c r="AZ7" s="1095">
        <f t="shared" si="2"/>
        <v>87</v>
      </c>
      <c r="BA7" s="1097">
        <f>97*AZ7</f>
        <v>8439</v>
      </c>
      <c r="BB7" s="1095"/>
      <c r="BC7" s="591"/>
      <c r="BD7" s="1099"/>
    </row>
    <row r="8" ht="18.0" customHeight="1">
      <c r="A8" s="1109">
        <v>3.0</v>
      </c>
      <c r="B8" s="1111">
        <v>3170.0</v>
      </c>
      <c r="C8" s="1133" t="s">
        <v>1344</v>
      </c>
      <c r="D8" s="1118" t="str">
        <f>'Меню НА СЛЕДУЮЩИЙ МЕСЯЦ'!E6</f>
        <v/>
      </c>
      <c r="E8" s="1120">
        <v>30.0</v>
      </c>
      <c r="F8" s="1121">
        <v>30.0</v>
      </c>
      <c r="G8" s="1120"/>
      <c r="H8" s="1121"/>
      <c r="I8" s="1120"/>
      <c r="J8" s="1121"/>
      <c r="K8" s="1120"/>
      <c r="L8" s="1121">
        <v>5.0</v>
      </c>
      <c r="M8" s="1120"/>
      <c r="N8" s="1121"/>
      <c r="O8" s="1120"/>
      <c r="P8" s="1121"/>
      <c r="Q8" s="1120"/>
      <c r="R8" s="1121"/>
      <c r="S8" s="1120"/>
      <c r="T8" s="1121"/>
      <c r="U8" s="1120"/>
      <c r="V8" s="1121"/>
      <c r="W8" s="1120"/>
      <c r="X8" s="1121">
        <v>5.0</v>
      </c>
      <c r="Y8" s="1120"/>
      <c r="Z8" s="1121"/>
      <c r="AA8" s="1120"/>
      <c r="AB8" s="1121"/>
      <c r="AC8" s="1120"/>
      <c r="AD8" s="1121"/>
      <c r="AE8" s="1120"/>
      <c r="AF8" s="1121"/>
      <c r="AG8" s="1120"/>
      <c r="AH8" s="1121"/>
      <c r="AI8" s="1120"/>
      <c r="AJ8" s="1121"/>
      <c r="AK8" s="1120"/>
      <c r="AL8" s="1121"/>
      <c r="AM8" s="1120"/>
      <c r="AN8" s="1121"/>
      <c r="AO8" s="1126"/>
      <c r="AP8" s="1121"/>
      <c r="AQ8" s="1126">
        <v>20.0</v>
      </c>
      <c r="AR8" s="1121">
        <v>20.0</v>
      </c>
      <c r="AS8" s="1126"/>
      <c r="AT8" s="1121"/>
      <c r="AU8" s="1126"/>
      <c r="AV8" s="1127"/>
      <c r="AW8" s="1120"/>
      <c r="AX8" s="1121"/>
      <c r="AY8" s="1129">
        <f t="shared" si="1"/>
        <v>51</v>
      </c>
      <c r="AZ8" s="1095">
        <f t="shared" si="2"/>
        <v>60</v>
      </c>
      <c r="BA8" s="1097">
        <f>85*AZ8</f>
        <v>5100</v>
      </c>
      <c r="BB8" s="1095"/>
      <c r="BC8" s="591"/>
      <c r="BD8" s="1099"/>
    </row>
    <row r="9" ht="18.0" customHeight="1">
      <c r="A9" s="1130">
        <v>4.0</v>
      </c>
      <c r="B9" s="1111">
        <v>47.0</v>
      </c>
      <c r="C9" s="1115" t="str">
        <f>'Матрица 4 недели'!G3</f>
        <v>Салат</v>
      </c>
      <c r="D9" s="1118" t="str">
        <f>'Меню НА СЛЕДУЮЩИЙ МЕСЯЦ'!E4</f>
        <v/>
      </c>
      <c r="E9" s="1120">
        <v>30.0</v>
      </c>
      <c r="F9" s="1121">
        <v>30.0</v>
      </c>
      <c r="G9" s="1120"/>
      <c r="H9" s="1121"/>
      <c r="I9" s="1120"/>
      <c r="J9" s="1121"/>
      <c r="K9" s="1120">
        <v>15.0</v>
      </c>
      <c r="L9" s="1121">
        <v>10.0</v>
      </c>
      <c r="M9" s="1120"/>
      <c r="N9" s="1121"/>
      <c r="O9" s="1120">
        <v>15.0</v>
      </c>
      <c r="P9" s="1121">
        <v>15.0</v>
      </c>
      <c r="Q9" s="1120"/>
      <c r="R9" s="1121"/>
      <c r="S9" s="1120">
        <v>5.0</v>
      </c>
      <c r="T9" s="1121">
        <v>5.0</v>
      </c>
      <c r="U9" s="1120"/>
      <c r="V9" s="1121"/>
      <c r="W9" s="1120">
        <v>18.0</v>
      </c>
      <c r="X9" s="1121">
        <v>13.0</v>
      </c>
      <c r="Y9" s="1120">
        <v>5.0</v>
      </c>
      <c r="Z9" s="1121">
        <v>5.0</v>
      </c>
      <c r="AA9" s="1120"/>
      <c r="AB9" s="1121"/>
      <c r="AC9" s="1120"/>
      <c r="AD9" s="1121"/>
      <c r="AE9" s="1120">
        <v>10.0</v>
      </c>
      <c r="AF9" s="1121">
        <v>10.0</v>
      </c>
      <c r="AG9" s="1120"/>
      <c r="AH9" s="1121"/>
      <c r="AI9" s="1120"/>
      <c r="AJ9" s="1121"/>
      <c r="AK9" s="1120">
        <v>8.0</v>
      </c>
      <c r="AL9" s="1121">
        <v>7.0</v>
      </c>
      <c r="AM9" s="1120"/>
      <c r="AN9" s="1121"/>
      <c r="AO9" s="1126"/>
      <c r="AP9" s="1121"/>
      <c r="AQ9" s="1126">
        <v>20.0</v>
      </c>
      <c r="AR9" s="1121">
        <v>20.0</v>
      </c>
      <c r="AS9" s="1126"/>
      <c r="AT9" s="1121"/>
      <c r="AU9" s="1126">
        <v>20.0</v>
      </c>
      <c r="AV9" s="1121">
        <v>20.0</v>
      </c>
      <c r="AW9" s="1134"/>
      <c r="AX9" s="1121"/>
      <c r="AY9" s="1129">
        <f t="shared" si="1"/>
        <v>147</v>
      </c>
      <c r="AZ9" s="1095">
        <f t="shared" si="2"/>
        <v>135</v>
      </c>
      <c r="BA9" s="1097">
        <f>98*AZ9</f>
        <v>13230</v>
      </c>
      <c r="BB9" s="1097">
        <f t="shared" ref="BB9:BB11" si="3">60*AX9</f>
        <v>0</v>
      </c>
      <c r="BC9" s="591">
        <v>0.1</v>
      </c>
      <c r="BD9" s="1099">
        <f t="shared" ref="BD9:BD11" si="4">AY9*BC9</f>
        <v>14.7</v>
      </c>
    </row>
    <row r="10" ht="18.0" customHeight="1">
      <c r="A10" s="1109">
        <v>5.0</v>
      </c>
      <c r="B10" s="1111">
        <v>3651.0</v>
      </c>
      <c r="C10" s="1115" t="str">
        <f>'Матрица 4 недели'!G3</f>
        <v>Салат</v>
      </c>
      <c r="D10" s="1118" t="str">
        <f>'Меню НА СЛЕДУЮЩИЙ МЕСЯЦ'!E5</f>
        <v/>
      </c>
      <c r="E10" s="1120">
        <v>30.0</v>
      </c>
      <c r="F10" s="1121">
        <v>35.0</v>
      </c>
      <c r="G10" s="1120"/>
      <c r="H10" s="1121"/>
      <c r="I10" s="1120"/>
      <c r="J10" s="1121"/>
      <c r="K10" s="1120">
        <v>15.0</v>
      </c>
      <c r="L10" s="1121">
        <v>20.0</v>
      </c>
      <c r="M10" s="1120"/>
      <c r="N10" s="1121"/>
      <c r="O10" s="1120">
        <v>15.0</v>
      </c>
      <c r="P10" s="1121">
        <v>15.0</v>
      </c>
      <c r="Q10" s="1120"/>
      <c r="R10" s="1121"/>
      <c r="S10" s="1120">
        <v>5.0</v>
      </c>
      <c r="T10" s="1121">
        <v>5.0</v>
      </c>
      <c r="U10" s="1120"/>
      <c r="V10" s="1121"/>
      <c r="W10" s="1120">
        <v>18.0</v>
      </c>
      <c r="X10" s="1121">
        <v>23.0</v>
      </c>
      <c r="Y10" s="1120">
        <v>5.0</v>
      </c>
      <c r="Z10" s="1121">
        <v>5.0</v>
      </c>
      <c r="AA10" s="1120"/>
      <c r="AB10" s="1121"/>
      <c r="AC10" s="1120"/>
      <c r="AD10" s="1121"/>
      <c r="AE10" s="1120">
        <v>10.0</v>
      </c>
      <c r="AF10" s="1121">
        <v>10.0</v>
      </c>
      <c r="AG10" s="1120"/>
      <c r="AH10" s="1121"/>
      <c r="AI10" s="1120"/>
      <c r="AJ10" s="1121"/>
      <c r="AK10" s="1120">
        <v>8.0</v>
      </c>
      <c r="AL10" s="1121">
        <v>8.0</v>
      </c>
      <c r="AM10" s="1120"/>
      <c r="AN10" s="1121"/>
      <c r="AO10" s="1126"/>
      <c r="AP10" s="1121"/>
      <c r="AQ10" s="1126">
        <v>20.0</v>
      </c>
      <c r="AR10" s="1121">
        <v>25.0</v>
      </c>
      <c r="AS10" s="1126"/>
      <c r="AT10" s="1121"/>
      <c r="AU10" s="1126">
        <v>20.0</v>
      </c>
      <c r="AV10" s="1121">
        <v>23.0</v>
      </c>
      <c r="AW10" s="1134"/>
      <c r="AX10" s="1135"/>
      <c r="AY10" s="1129">
        <f t="shared" si="1"/>
        <v>147</v>
      </c>
      <c r="AZ10" s="1095">
        <f t="shared" si="2"/>
        <v>169</v>
      </c>
      <c r="BA10" s="1097">
        <f t="shared" ref="BA10:BA11" si="5">98*(AZ10-AX10)</f>
        <v>16562</v>
      </c>
      <c r="BB10" s="1097">
        <f t="shared" si="3"/>
        <v>0</v>
      </c>
      <c r="BC10" s="591">
        <v>0.1</v>
      </c>
      <c r="BD10" s="1099">
        <f t="shared" si="4"/>
        <v>14.7</v>
      </c>
    </row>
    <row r="11" ht="18.0" customHeight="1">
      <c r="A11" s="1130">
        <v>6.0</v>
      </c>
      <c r="B11" s="1111"/>
      <c r="C11" s="1136" t="str">
        <f>'Матрица 4 недели'!G3</f>
        <v>Салат</v>
      </c>
      <c r="D11" s="711"/>
      <c r="E11" s="1137"/>
      <c r="F11" s="1138"/>
      <c r="G11" s="1126"/>
      <c r="H11" s="1138"/>
      <c r="I11" s="1126"/>
      <c r="J11" s="1138"/>
      <c r="K11" s="1126"/>
      <c r="L11" s="1138"/>
      <c r="M11" s="1126"/>
      <c r="N11" s="1138"/>
      <c r="O11" s="1120"/>
      <c r="P11" s="1121"/>
      <c r="Q11" s="1126"/>
      <c r="R11" s="1121"/>
      <c r="S11" s="1137"/>
      <c r="T11" s="1121"/>
      <c r="U11" s="1137"/>
      <c r="V11" s="1121"/>
      <c r="W11" s="1137"/>
      <c r="X11" s="1121"/>
      <c r="Y11" s="1120"/>
      <c r="Z11" s="1121"/>
      <c r="AA11" s="1120"/>
      <c r="AB11" s="1121"/>
      <c r="AC11" s="1120"/>
      <c r="AD11" s="1121"/>
      <c r="AE11" s="1137"/>
      <c r="AF11" s="1121"/>
      <c r="AG11" s="1120"/>
      <c r="AH11" s="1121"/>
      <c r="AI11" s="1120"/>
      <c r="AJ11" s="1121"/>
      <c r="AK11" s="1120"/>
      <c r="AL11" s="1121"/>
      <c r="AM11" s="1137"/>
      <c r="AN11" s="1138"/>
      <c r="AO11" s="1126"/>
      <c r="AP11" s="1138"/>
      <c r="AQ11" s="1126"/>
      <c r="AR11" s="1138"/>
      <c r="AS11" s="1126"/>
      <c r="AT11" s="1138"/>
      <c r="AU11" s="1126"/>
      <c r="AV11" s="1138"/>
      <c r="AW11" s="1139"/>
      <c r="AX11" s="1138"/>
      <c r="AY11" s="1129">
        <f t="shared" si="1"/>
        <v>1</v>
      </c>
      <c r="AZ11" s="1095">
        <f t="shared" si="2"/>
        <v>0</v>
      </c>
      <c r="BA11" s="1097">
        <f t="shared" si="5"/>
        <v>0</v>
      </c>
      <c r="BB11" s="1097">
        <f t="shared" si="3"/>
        <v>0</v>
      </c>
      <c r="BC11" s="591">
        <v>0.1</v>
      </c>
      <c r="BD11" s="1099">
        <f t="shared" si="4"/>
        <v>0.1</v>
      </c>
    </row>
    <row r="12" ht="18.0" customHeight="1">
      <c r="A12" s="1130">
        <v>10.0</v>
      </c>
      <c r="B12" s="1111">
        <v>380.0</v>
      </c>
      <c r="C12" s="1133" t="str">
        <f>'Матрица 4 недели'!J145</f>
        <v>Суп</v>
      </c>
      <c r="D12" s="1118" t="str">
        <f>'Меню НА СЛЕДУЮЩИЙ МЕСЯЦ'!G4</f>
        <v>Тыквенный крем-суп с имбирём</v>
      </c>
      <c r="E12" s="1137">
        <v>2.0</v>
      </c>
      <c r="F12" s="1138">
        <v>2.0</v>
      </c>
      <c r="G12" s="1126"/>
      <c r="H12" s="1140"/>
      <c r="I12" s="1126"/>
      <c r="J12" s="1138"/>
      <c r="K12" s="1141">
        <v>2.0</v>
      </c>
      <c r="L12" s="1138">
        <v>2.0</v>
      </c>
      <c r="M12" s="1126"/>
      <c r="N12" s="1138"/>
      <c r="O12" s="1126">
        <v>2.0</v>
      </c>
      <c r="P12" s="1142">
        <v>2.0</v>
      </c>
      <c r="Q12" s="1126"/>
      <c r="R12" s="1121"/>
      <c r="S12" s="1137">
        <v>2.0</v>
      </c>
      <c r="T12" s="1121">
        <v>2.0</v>
      </c>
      <c r="U12" s="1143"/>
      <c r="V12" s="1121"/>
      <c r="W12" s="1137">
        <v>2.0</v>
      </c>
      <c r="X12" s="1121">
        <v>2.0</v>
      </c>
      <c r="Y12" s="1120">
        <v>2.0</v>
      </c>
      <c r="Z12" s="1121">
        <v>2.0</v>
      </c>
      <c r="AA12" s="1120"/>
      <c r="AB12" s="1121"/>
      <c r="AC12" s="1120"/>
      <c r="AD12" s="1121"/>
      <c r="AE12" s="1137">
        <v>2.0</v>
      </c>
      <c r="AF12" s="1121">
        <v>2.0</v>
      </c>
      <c r="AG12" s="1120"/>
      <c r="AH12" s="1121"/>
      <c r="AI12" s="1120"/>
      <c r="AJ12" s="1121"/>
      <c r="AK12" s="1137">
        <v>2.0</v>
      </c>
      <c r="AL12" s="1121">
        <v>2.0</v>
      </c>
      <c r="AM12" s="1137"/>
      <c r="AN12" s="1138"/>
      <c r="AO12" s="1126"/>
      <c r="AP12" s="1138"/>
      <c r="AQ12" s="1126">
        <v>2.0</v>
      </c>
      <c r="AR12" s="1138">
        <v>2.0</v>
      </c>
      <c r="AS12" s="1126"/>
      <c r="AT12" s="1138"/>
      <c r="AU12" s="1126">
        <v>2.0</v>
      </c>
      <c r="AV12" s="1138">
        <v>2.0</v>
      </c>
      <c r="AW12" s="1139"/>
      <c r="AX12" s="1138"/>
      <c r="AY12" s="1129">
        <f t="shared" si="1"/>
        <v>21</v>
      </c>
      <c r="AZ12" s="1144">
        <f t="shared" si="2"/>
        <v>20</v>
      </c>
      <c r="BA12" s="1095"/>
      <c r="BB12" s="1095">
        <f>AZ12*60</f>
        <v>1200</v>
      </c>
      <c r="BC12" s="591"/>
      <c r="BD12" s="1099"/>
    </row>
    <row r="13" ht="18.0" customHeight="1">
      <c r="A13" s="1130">
        <v>12.0</v>
      </c>
      <c r="B13" s="1111">
        <v>69.0</v>
      </c>
      <c r="C13" s="1115" t="str">
        <f>'Матрица 4 недели'!M3</f>
        <v>Второе</v>
      </c>
      <c r="D13" s="1145" t="str">
        <f>'Меню НА СЛЕДУЮЩИЙ МЕСЯЦ'!I4</f>
        <v>Котлета домашняя с пюре </v>
      </c>
      <c r="E13" s="1137">
        <v>25.0</v>
      </c>
      <c r="F13" s="1138">
        <v>20.0</v>
      </c>
      <c r="G13" s="1126"/>
      <c r="H13" s="1140"/>
      <c r="I13" s="1126"/>
      <c r="J13" s="1138"/>
      <c r="K13" s="1126">
        <v>15.0</v>
      </c>
      <c r="L13" s="1138">
        <v>13.0</v>
      </c>
      <c r="M13" s="1126"/>
      <c r="N13" s="1138"/>
      <c r="O13" s="1120">
        <v>12.0</v>
      </c>
      <c r="P13" s="1142">
        <v>12.0</v>
      </c>
      <c r="Q13" s="1126"/>
      <c r="R13" s="1121"/>
      <c r="S13" s="1137">
        <v>4.0</v>
      </c>
      <c r="T13" s="1121">
        <v>4.0</v>
      </c>
      <c r="U13" s="1137"/>
      <c r="V13" s="1121"/>
      <c r="W13" s="1137">
        <v>23.0</v>
      </c>
      <c r="X13" s="1121">
        <v>20.0</v>
      </c>
      <c r="Y13" s="1120">
        <v>4.0</v>
      </c>
      <c r="Z13" s="1121">
        <v>4.0</v>
      </c>
      <c r="AA13" s="1120"/>
      <c r="AB13" s="1121"/>
      <c r="AC13" s="1120"/>
      <c r="AD13" s="1121"/>
      <c r="AE13" s="1137">
        <v>8.0</v>
      </c>
      <c r="AF13" s="1121">
        <v>8.0</v>
      </c>
      <c r="AG13" s="1120"/>
      <c r="AH13" s="1121"/>
      <c r="AI13" s="1126"/>
      <c r="AJ13" s="1121"/>
      <c r="AK13" s="1120">
        <v>4.0</v>
      </c>
      <c r="AL13" s="1121">
        <v>4.0</v>
      </c>
      <c r="AM13" s="1120"/>
      <c r="AN13" s="1138"/>
      <c r="AO13" s="1126"/>
      <c r="AP13" s="1138"/>
      <c r="AQ13" s="1126">
        <v>30.0</v>
      </c>
      <c r="AR13" s="1138">
        <v>30.0</v>
      </c>
      <c r="AS13" s="1126"/>
      <c r="AT13" s="1138"/>
      <c r="AU13" s="1126">
        <v>15.0</v>
      </c>
      <c r="AV13" s="1138">
        <v>15.0</v>
      </c>
      <c r="AW13" s="1134"/>
      <c r="AX13" s="1138"/>
      <c r="AY13" s="1129">
        <f t="shared" si="1"/>
        <v>141</v>
      </c>
      <c r="AZ13" s="1144">
        <f t="shared" si="2"/>
        <v>130</v>
      </c>
      <c r="BA13" s="1097">
        <f>198*(AZ13-AX13)</f>
        <v>25740</v>
      </c>
      <c r="BB13" s="1097">
        <f>160*AX13</f>
        <v>0</v>
      </c>
      <c r="BC13" s="591">
        <v>0.3</v>
      </c>
      <c r="BD13" s="1099">
        <f t="shared" ref="BD13:BD14" si="6">AY13*BC13</f>
        <v>42.3</v>
      </c>
    </row>
    <row r="14" ht="18.0" customHeight="1">
      <c r="A14" s="1109">
        <v>13.0</v>
      </c>
      <c r="B14" s="1111">
        <v>3732.0</v>
      </c>
      <c r="C14" s="1115" t="str">
        <f>'Матрица 4 недели'!M3</f>
        <v>Второе</v>
      </c>
      <c r="D14" s="1118" t="str">
        <f>'Меню НА СЛЕДУЮЩИЙ МЕСЯЦ'!I5</f>
        <v>Отбивная из курицы с Фарфале </v>
      </c>
      <c r="E14" s="1137">
        <v>20.0</v>
      </c>
      <c r="F14" s="1138">
        <v>20.0</v>
      </c>
      <c r="G14" s="1126"/>
      <c r="H14" s="1140"/>
      <c r="I14" s="1126"/>
      <c r="J14" s="1138"/>
      <c r="K14" s="1141">
        <v>10.0</v>
      </c>
      <c r="L14" s="1138">
        <v>10.0</v>
      </c>
      <c r="M14" s="1126"/>
      <c r="N14" s="1138"/>
      <c r="O14" s="1126">
        <v>7.0</v>
      </c>
      <c r="P14" s="1142">
        <v>7.0</v>
      </c>
      <c r="Q14" s="1126"/>
      <c r="R14" s="1121"/>
      <c r="S14" s="1137">
        <v>2.0</v>
      </c>
      <c r="T14" s="1121">
        <v>2.0</v>
      </c>
      <c r="U14" s="1143"/>
      <c r="V14" s="1121"/>
      <c r="W14" s="1137">
        <v>18.0</v>
      </c>
      <c r="X14" s="1121">
        <v>18.0</v>
      </c>
      <c r="Y14" s="1120">
        <v>2.0</v>
      </c>
      <c r="Z14" s="1121">
        <v>2.0</v>
      </c>
      <c r="AA14" s="1120"/>
      <c r="AB14" s="1121"/>
      <c r="AC14" s="1120"/>
      <c r="AD14" s="1121"/>
      <c r="AE14" s="1137">
        <v>4.0</v>
      </c>
      <c r="AF14" s="1121">
        <v>4.0</v>
      </c>
      <c r="AG14" s="1120"/>
      <c r="AH14" s="1121"/>
      <c r="AI14" s="1126"/>
      <c r="AJ14" s="1121"/>
      <c r="AK14" s="1137">
        <v>2.0</v>
      </c>
      <c r="AL14" s="1121">
        <v>2.0</v>
      </c>
      <c r="AM14" s="1137"/>
      <c r="AN14" s="1138"/>
      <c r="AO14" s="1126"/>
      <c r="AP14" s="1138"/>
      <c r="AQ14" s="1126">
        <v>25.0</v>
      </c>
      <c r="AR14" s="1138">
        <v>25.0</v>
      </c>
      <c r="AS14" s="1126"/>
      <c r="AT14" s="1138"/>
      <c r="AU14" s="1126">
        <v>10.0</v>
      </c>
      <c r="AV14" s="1138">
        <v>10.0</v>
      </c>
      <c r="AW14" s="1139"/>
      <c r="AX14" s="1138"/>
      <c r="AY14" s="1129">
        <f t="shared" si="1"/>
        <v>101</v>
      </c>
      <c r="AZ14" s="1144">
        <f t="shared" si="2"/>
        <v>100</v>
      </c>
      <c r="BA14" s="1097">
        <f>AZ14*198</f>
        <v>19800</v>
      </c>
      <c r="BB14" s="1095"/>
      <c r="BC14" s="591">
        <v>0.3</v>
      </c>
      <c r="BD14" s="1099">
        <f t="shared" si="6"/>
        <v>30.3</v>
      </c>
    </row>
    <row r="15" ht="18.0" customHeight="1">
      <c r="A15" s="1130">
        <v>14.0</v>
      </c>
      <c r="B15" s="1146">
        <v>3731.0</v>
      </c>
      <c r="C15" s="1147" t="str">
        <f>#REF!</f>
        <v>#REF!</v>
      </c>
      <c r="D15" s="1145" t="s">
        <v>1345</v>
      </c>
      <c r="E15" s="1137">
        <v>25.0</v>
      </c>
      <c r="F15" s="1138">
        <v>25.0</v>
      </c>
      <c r="G15" s="1126"/>
      <c r="H15" s="1140"/>
      <c r="I15" s="1126"/>
      <c r="J15" s="1138"/>
      <c r="K15" s="1141">
        <v>15.0</v>
      </c>
      <c r="L15" s="1138">
        <v>15.0</v>
      </c>
      <c r="M15" s="1126"/>
      <c r="N15" s="1138"/>
      <c r="O15" s="1126">
        <v>12.0</v>
      </c>
      <c r="P15" s="1142">
        <v>12.0</v>
      </c>
      <c r="Q15" s="1126"/>
      <c r="R15" s="1121"/>
      <c r="S15" s="1137">
        <v>4.0</v>
      </c>
      <c r="T15" s="1121">
        <v>4.0</v>
      </c>
      <c r="U15" s="1143"/>
      <c r="V15" s="1121"/>
      <c r="W15" s="1137">
        <v>23.0</v>
      </c>
      <c r="X15" s="1121">
        <v>23.0</v>
      </c>
      <c r="Y15" s="1120">
        <v>4.0</v>
      </c>
      <c r="Z15" s="1121">
        <v>4.0</v>
      </c>
      <c r="AA15" s="1120"/>
      <c r="AB15" s="1121"/>
      <c r="AC15" s="1120"/>
      <c r="AD15" s="1121"/>
      <c r="AE15" s="1137">
        <v>8.0</v>
      </c>
      <c r="AF15" s="1121">
        <v>8.0</v>
      </c>
      <c r="AG15" s="1120"/>
      <c r="AH15" s="1121"/>
      <c r="AI15" s="1126"/>
      <c r="AJ15" s="1121"/>
      <c r="AK15" s="1137">
        <v>4.0</v>
      </c>
      <c r="AL15" s="1121">
        <v>4.0</v>
      </c>
      <c r="AM15" s="1137"/>
      <c r="AN15" s="1138"/>
      <c r="AO15" s="1126"/>
      <c r="AP15" s="1138"/>
      <c r="AQ15" s="1126">
        <v>30.0</v>
      </c>
      <c r="AR15" s="1138">
        <v>30.0</v>
      </c>
      <c r="AS15" s="1126"/>
      <c r="AT15" s="1138"/>
      <c r="AU15" s="1126">
        <v>15.0</v>
      </c>
      <c r="AV15" s="1138">
        <v>15.0</v>
      </c>
      <c r="AW15" s="1139"/>
      <c r="AX15" s="1138"/>
      <c r="AY15" s="1129">
        <f t="shared" si="1"/>
        <v>141</v>
      </c>
      <c r="AZ15" s="1144">
        <f t="shared" si="2"/>
        <v>140</v>
      </c>
      <c r="BA15" s="1097">
        <f>198*AZ15</f>
        <v>27720</v>
      </c>
      <c r="BB15" s="1095"/>
      <c r="BC15" s="591"/>
      <c r="BD15" s="1099"/>
    </row>
    <row r="16" ht="18.0" customHeight="1">
      <c r="A16" s="1109">
        <v>15.0</v>
      </c>
      <c r="B16" s="1146">
        <v>3672.0</v>
      </c>
      <c r="C16" s="1147" t="str">
        <f>'Матрица 4 недели'!M3</f>
        <v>Второе</v>
      </c>
      <c r="D16" s="1118" t="str">
        <f>'Меню НА СЛЕДУЮЩИЙ МЕСЯЦ'!I9</f>
        <v>Говядина в имбирном соусе </v>
      </c>
      <c r="E16" s="1137">
        <v>25.0</v>
      </c>
      <c r="F16" s="1138">
        <v>24.0</v>
      </c>
      <c r="G16" s="1126"/>
      <c r="H16" s="1140"/>
      <c r="I16" s="1126"/>
      <c r="J16" s="1138"/>
      <c r="K16" s="1126">
        <v>15.0</v>
      </c>
      <c r="L16" s="1138">
        <v>12.0</v>
      </c>
      <c r="M16" s="1126"/>
      <c r="N16" s="1138"/>
      <c r="O16" s="1120">
        <v>12.0</v>
      </c>
      <c r="P16" s="1142">
        <v>9.0</v>
      </c>
      <c r="Q16" s="1126"/>
      <c r="R16" s="1121"/>
      <c r="S16" s="1137">
        <v>4.0</v>
      </c>
      <c r="T16" s="1121">
        <v>3.0</v>
      </c>
      <c r="U16" s="1137"/>
      <c r="V16" s="1121"/>
      <c r="W16" s="1137">
        <v>23.0</v>
      </c>
      <c r="X16" s="1121">
        <v>20.0</v>
      </c>
      <c r="Y16" s="1120">
        <v>4.0</v>
      </c>
      <c r="Z16" s="1121">
        <v>3.0</v>
      </c>
      <c r="AA16" s="1120"/>
      <c r="AB16" s="1121"/>
      <c r="AC16" s="1120"/>
      <c r="AD16" s="1121"/>
      <c r="AE16" s="1137">
        <v>8.0</v>
      </c>
      <c r="AF16" s="1121">
        <v>4.0</v>
      </c>
      <c r="AG16" s="1120"/>
      <c r="AH16" s="1121"/>
      <c r="AI16" s="1126"/>
      <c r="AJ16" s="1121"/>
      <c r="AK16" s="1120">
        <v>4.0</v>
      </c>
      <c r="AL16" s="1121">
        <v>3.0</v>
      </c>
      <c r="AM16" s="1137"/>
      <c r="AN16" s="1138"/>
      <c r="AO16" s="1126"/>
      <c r="AP16" s="1138"/>
      <c r="AQ16" s="1126">
        <v>30.0</v>
      </c>
      <c r="AR16" s="1138">
        <v>30.0</v>
      </c>
      <c r="AS16" s="1126"/>
      <c r="AT16" s="1138"/>
      <c r="AU16" s="1126">
        <v>15.0</v>
      </c>
      <c r="AV16" s="1138">
        <v>11.0</v>
      </c>
      <c r="AW16" s="1139"/>
      <c r="AX16" s="1138"/>
      <c r="AY16" s="1129">
        <f t="shared" si="1"/>
        <v>141</v>
      </c>
      <c r="AZ16" s="1144">
        <f t="shared" si="2"/>
        <v>119</v>
      </c>
      <c r="BA16" s="1097">
        <f>198*(AZ16-AX16)</f>
        <v>23562</v>
      </c>
      <c r="BB16" s="1097">
        <f t="shared" ref="BB16:BB17" si="7">160*AX16</f>
        <v>0</v>
      </c>
      <c r="BC16" s="591">
        <v>0.3</v>
      </c>
      <c r="BD16" s="1099">
        <f>AY16*BC16</f>
        <v>42.3</v>
      </c>
    </row>
    <row r="17" ht="18.0" customHeight="1">
      <c r="A17" s="1130">
        <v>16.0</v>
      </c>
      <c r="B17" s="1146">
        <v>3537.0</v>
      </c>
      <c r="C17" s="1148" t="s">
        <v>1346</v>
      </c>
      <c r="D17" s="1118" t="str">
        <f>'Меню НА СЛЕДУЮЩИЙ МЕСЯЦ'!O4</f>
        <v/>
      </c>
      <c r="E17" s="1137">
        <v>20.0</v>
      </c>
      <c r="F17" s="1138">
        <v>26.0</v>
      </c>
      <c r="G17" s="1126"/>
      <c r="H17" s="1138"/>
      <c r="I17" s="1126"/>
      <c r="J17" s="1138"/>
      <c r="K17" s="1126">
        <v>20.0</v>
      </c>
      <c r="L17" s="1138">
        <v>26.0</v>
      </c>
      <c r="M17" s="1126"/>
      <c r="N17" s="1138"/>
      <c r="O17" s="1120">
        <v>5.0</v>
      </c>
      <c r="P17" s="1121">
        <v>8.0</v>
      </c>
      <c r="Q17" s="1126"/>
      <c r="R17" s="1121"/>
      <c r="S17" s="1137">
        <v>3.0</v>
      </c>
      <c r="T17" s="1121">
        <v>6.0</v>
      </c>
      <c r="U17" s="1137"/>
      <c r="V17" s="1121"/>
      <c r="W17" s="1137">
        <v>10.0</v>
      </c>
      <c r="X17" s="1121">
        <v>17.0</v>
      </c>
      <c r="Y17" s="1120">
        <v>4.0</v>
      </c>
      <c r="Z17" s="1121">
        <v>7.0</v>
      </c>
      <c r="AA17" s="1120"/>
      <c r="AB17" s="1121"/>
      <c r="AC17" s="1120"/>
      <c r="AD17" s="1121"/>
      <c r="AE17" s="1137">
        <v>4.0</v>
      </c>
      <c r="AF17" s="1121">
        <v>7.0</v>
      </c>
      <c r="AG17" s="1120"/>
      <c r="AH17" s="1121"/>
      <c r="AI17" s="1126"/>
      <c r="AJ17" s="1121"/>
      <c r="AK17" s="1120"/>
      <c r="AL17" s="1121"/>
      <c r="AM17" s="1137"/>
      <c r="AN17" s="1138"/>
      <c r="AO17" s="1126"/>
      <c r="AP17" s="1138"/>
      <c r="AQ17" s="1126">
        <v>15.0</v>
      </c>
      <c r="AR17" s="1138">
        <v>22.0</v>
      </c>
      <c r="AS17" s="1126"/>
      <c r="AT17" s="1138"/>
      <c r="AU17" s="1126">
        <v>4.0</v>
      </c>
      <c r="AV17" s="1138">
        <v>6.0</v>
      </c>
      <c r="AW17" s="1139"/>
      <c r="AX17" s="1138"/>
      <c r="AY17" s="1129">
        <f t="shared" si="1"/>
        <v>86</v>
      </c>
      <c r="AZ17" s="1095">
        <f t="shared" si="2"/>
        <v>125</v>
      </c>
      <c r="BA17" s="1097">
        <f t="shared" ref="BA17:BA22" si="8">188*(AZ17-AX17)</f>
        <v>23500</v>
      </c>
      <c r="BB17" s="1097">
        <f t="shared" si="7"/>
        <v>0</v>
      </c>
      <c r="BC17" s="591"/>
      <c r="BD17" s="1099"/>
    </row>
    <row r="18" ht="18.0" customHeight="1">
      <c r="A18" s="1130">
        <v>17.0</v>
      </c>
      <c r="B18" s="1146">
        <v>3733.0</v>
      </c>
      <c r="C18" s="1149"/>
      <c r="D18" s="1145" t="s">
        <v>1347</v>
      </c>
      <c r="E18" s="1137">
        <v>5.0</v>
      </c>
      <c r="F18" s="1138">
        <v>5.0</v>
      </c>
      <c r="G18" s="1126"/>
      <c r="H18" s="1138"/>
      <c r="I18" s="1126"/>
      <c r="J18" s="1138"/>
      <c r="K18" s="1126">
        <v>5.0</v>
      </c>
      <c r="L18" s="1138">
        <v>5.0</v>
      </c>
      <c r="M18" s="1126"/>
      <c r="N18" s="1138"/>
      <c r="O18" s="1120">
        <v>4.0</v>
      </c>
      <c r="P18" s="1121">
        <v>4.0</v>
      </c>
      <c r="Q18" s="1126"/>
      <c r="R18" s="1121"/>
      <c r="S18" s="1137">
        <v>2.0</v>
      </c>
      <c r="T18" s="1121">
        <v>2.0</v>
      </c>
      <c r="U18" s="1137"/>
      <c r="V18" s="1121"/>
      <c r="W18" s="1137">
        <v>5.0</v>
      </c>
      <c r="X18" s="1121">
        <v>5.0</v>
      </c>
      <c r="Y18" s="1120">
        <v>2.0</v>
      </c>
      <c r="Z18" s="1121">
        <v>3.0</v>
      </c>
      <c r="AA18" s="1120"/>
      <c r="AB18" s="1121"/>
      <c r="AC18" s="1120"/>
      <c r="AD18" s="1121"/>
      <c r="AE18" s="1137">
        <v>4.0</v>
      </c>
      <c r="AF18" s="1121">
        <v>4.0</v>
      </c>
      <c r="AG18" s="1120"/>
      <c r="AH18" s="1121"/>
      <c r="AI18" s="1126"/>
      <c r="AJ18" s="1121"/>
      <c r="AK18" s="1120">
        <v>2.0</v>
      </c>
      <c r="AL18" s="1121">
        <v>2.0</v>
      </c>
      <c r="AM18" s="1137"/>
      <c r="AN18" s="1138"/>
      <c r="AO18" s="1126"/>
      <c r="AP18" s="1138"/>
      <c r="AQ18" s="1126">
        <v>5.0</v>
      </c>
      <c r="AR18" s="1138">
        <v>5.0</v>
      </c>
      <c r="AS18" s="1126"/>
      <c r="AT18" s="1138"/>
      <c r="AU18" s="1126">
        <v>5.0</v>
      </c>
      <c r="AV18" s="1138">
        <v>4.0</v>
      </c>
      <c r="AW18" s="1139"/>
      <c r="AX18" s="1138"/>
      <c r="AY18" s="1129">
        <f t="shared" si="1"/>
        <v>40</v>
      </c>
      <c r="AZ18" s="1095">
        <f t="shared" si="2"/>
        <v>39</v>
      </c>
      <c r="BA18" s="1097">
        <f t="shared" si="8"/>
        <v>7332</v>
      </c>
      <c r="BB18" s="1095"/>
      <c r="BC18" s="591"/>
      <c r="BD18" s="1099"/>
    </row>
    <row r="19" ht="18.0" customHeight="1">
      <c r="A19" s="1109">
        <v>18.0</v>
      </c>
      <c r="B19" s="1146"/>
      <c r="C19" s="1150"/>
      <c r="D19" s="711"/>
      <c r="E19" s="1151"/>
      <c r="F19" s="1138"/>
      <c r="G19" s="1126"/>
      <c r="H19" s="1138"/>
      <c r="I19" s="1126"/>
      <c r="J19" s="1138"/>
      <c r="K19" s="1152"/>
      <c r="L19" s="1138"/>
      <c r="M19" s="1151"/>
      <c r="N19" s="1138"/>
      <c r="O19" s="1151"/>
      <c r="P19" s="1138"/>
      <c r="Q19" s="1126"/>
      <c r="R19" s="1138"/>
      <c r="S19" s="1126"/>
      <c r="T19" s="1138"/>
      <c r="U19" s="1126"/>
      <c r="V19" s="1138"/>
      <c r="W19" s="1126"/>
      <c r="X19" s="1138"/>
      <c r="Y19" s="1152"/>
      <c r="Z19" s="1138"/>
      <c r="AA19" s="1126"/>
      <c r="AB19" s="1138"/>
      <c r="AC19" s="1151"/>
      <c r="AD19" s="1138"/>
      <c r="AE19" s="1151"/>
      <c r="AF19" s="1138"/>
      <c r="AG19" s="1126"/>
      <c r="AH19" s="1138"/>
      <c r="AI19" s="1151"/>
      <c r="AJ19" s="1138"/>
      <c r="AK19" s="1151"/>
      <c r="AL19" s="1138"/>
      <c r="AM19" s="1152"/>
      <c r="AN19" s="1138"/>
      <c r="AO19" s="1126"/>
      <c r="AP19" s="1138"/>
      <c r="AQ19" s="1151"/>
      <c r="AR19" s="1138"/>
      <c r="AS19" s="1152"/>
      <c r="AT19" s="1138"/>
      <c r="AU19" s="1126"/>
      <c r="AV19" s="1131"/>
      <c r="AW19" s="1152"/>
      <c r="AX19" s="1138"/>
      <c r="AY19" s="1129">
        <f t="shared" si="1"/>
        <v>1</v>
      </c>
      <c r="AZ19" s="1095">
        <f t="shared" si="2"/>
        <v>0</v>
      </c>
      <c r="BA19" s="1097">
        <f t="shared" si="8"/>
        <v>0</v>
      </c>
      <c r="BB19" s="1095"/>
      <c r="BC19" s="591"/>
      <c r="BD19" s="1099"/>
    </row>
    <row r="20" ht="18.0" customHeight="1">
      <c r="A20" s="1130">
        <v>19.0</v>
      </c>
      <c r="B20" s="77"/>
      <c r="C20" s="1153" t="s">
        <v>1348</v>
      </c>
      <c r="D20" s="1154"/>
      <c r="E20" s="1126"/>
      <c r="F20" s="1121"/>
      <c r="G20" s="1126"/>
      <c r="H20" s="1121"/>
      <c r="I20" s="1126"/>
      <c r="J20" s="1121"/>
      <c r="K20" s="1126"/>
      <c r="L20" s="1121"/>
      <c r="M20" s="1126"/>
      <c r="N20" s="1121"/>
      <c r="O20" s="1126"/>
      <c r="P20" s="1121"/>
      <c r="Q20" s="1126"/>
      <c r="R20" s="1121"/>
      <c r="S20" s="1126"/>
      <c r="T20" s="1121"/>
      <c r="U20" s="1126"/>
      <c r="V20" s="1121"/>
      <c r="W20" s="1126"/>
      <c r="X20" s="1121"/>
      <c r="Y20" s="1126"/>
      <c r="Z20" s="1121"/>
      <c r="AA20" s="1126"/>
      <c r="AB20" s="1121"/>
      <c r="AC20" s="1126"/>
      <c r="AD20" s="1121"/>
      <c r="AE20" s="1126"/>
      <c r="AF20" s="1121"/>
      <c r="AG20" s="1126"/>
      <c r="AH20" s="1121"/>
      <c r="AI20" s="1126"/>
      <c r="AJ20" s="1121"/>
      <c r="AK20" s="1126"/>
      <c r="AL20" s="1121"/>
      <c r="AM20" s="1126"/>
      <c r="AN20" s="1138"/>
      <c r="AO20" s="1126"/>
      <c r="AP20" s="1138"/>
      <c r="AQ20" s="1126"/>
      <c r="AR20" s="1138"/>
      <c r="AS20" s="1126"/>
      <c r="AT20" s="1138"/>
      <c r="AU20" s="1126"/>
      <c r="AV20" s="1131"/>
      <c r="AW20" s="1152"/>
      <c r="AX20" s="1138"/>
      <c r="AY20" s="1129">
        <f t="shared" si="1"/>
        <v>1</v>
      </c>
      <c r="AZ20" s="1095">
        <f t="shared" si="2"/>
        <v>0</v>
      </c>
      <c r="BA20" s="1097">
        <f t="shared" si="8"/>
        <v>0</v>
      </c>
      <c r="BB20" s="1095"/>
      <c r="BC20" s="591">
        <v>0.3</v>
      </c>
      <c r="BD20" s="1099">
        <f>AY20*BC20</f>
        <v>0.3</v>
      </c>
    </row>
    <row r="21" ht="18.0" customHeight="1">
      <c r="A21" s="1130">
        <v>20.0</v>
      </c>
      <c r="B21" s="77">
        <v>3691.0</v>
      </c>
      <c r="C21" s="1148" t="s">
        <v>1348</v>
      </c>
      <c r="D21" s="1155" t="s">
        <v>1349</v>
      </c>
      <c r="E21" s="1126">
        <v>26.0</v>
      </c>
      <c r="F21" s="1138">
        <v>26.0</v>
      </c>
      <c r="G21" s="1126"/>
      <c r="H21" s="1138"/>
      <c r="I21" s="1126"/>
      <c r="J21" s="1138"/>
      <c r="K21" s="1126"/>
      <c r="L21" s="1138"/>
      <c r="M21" s="1126"/>
      <c r="N21" s="1138"/>
      <c r="O21" s="1126"/>
      <c r="P21" s="1138"/>
      <c r="Q21" s="1120"/>
      <c r="R21" s="1138"/>
      <c r="S21" s="1137"/>
      <c r="T21" s="1138"/>
      <c r="U21" s="1126"/>
      <c r="V21" s="1138"/>
      <c r="W21" s="1126"/>
      <c r="X21" s="1138"/>
      <c r="Y21" s="1126"/>
      <c r="Z21" s="1138"/>
      <c r="AA21" s="1120"/>
      <c r="AB21" s="1138"/>
      <c r="AC21" s="1137"/>
      <c r="AD21" s="1138"/>
      <c r="AE21" s="1137"/>
      <c r="AF21" s="1138"/>
      <c r="AG21" s="1137"/>
      <c r="AH21" s="1138"/>
      <c r="AI21" s="1137"/>
      <c r="AJ21" s="1138"/>
      <c r="AK21" s="1120"/>
      <c r="AL21" s="1138"/>
      <c r="AM21" s="1137"/>
      <c r="AN21" s="1138"/>
      <c r="AO21" s="1126"/>
      <c r="AP21" s="1138"/>
      <c r="AQ21" s="1126"/>
      <c r="AR21" s="1138"/>
      <c r="AS21" s="1126"/>
      <c r="AT21" s="1138"/>
      <c r="AU21" s="1126"/>
      <c r="AV21" s="1138"/>
      <c r="AW21" s="1139"/>
      <c r="AX21" s="1138"/>
      <c r="AY21" s="1129">
        <f t="shared" si="1"/>
        <v>27</v>
      </c>
      <c r="AZ21" s="1095">
        <f t="shared" si="2"/>
        <v>26</v>
      </c>
      <c r="BA21" s="1097">
        <f t="shared" si="8"/>
        <v>4888</v>
      </c>
      <c r="BB21" s="1095"/>
      <c r="BC21" s="591"/>
      <c r="BD21" s="1099"/>
    </row>
    <row r="22" ht="18.0" customHeight="1">
      <c r="A22" s="1109">
        <v>21.0</v>
      </c>
      <c r="B22" s="1146">
        <v>3517.0</v>
      </c>
      <c r="C22" s="1148" t="s">
        <v>1348</v>
      </c>
      <c r="D22" s="1155" t="s">
        <v>1350</v>
      </c>
      <c r="E22" s="1126">
        <v>25.0</v>
      </c>
      <c r="F22" s="1121">
        <v>28.0</v>
      </c>
      <c r="G22" s="1126"/>
      <c r="H22" s="1121"/>
      <c r="I22" s="1126"/>
      <c r="J22" s="1121"/>
      <c r="K22" s="1126"/>
      <c r="L22" s="1121"/>
      <c r="M22" s="1126"/>
      <c r="N22" s="1121"/>
      <c r="O22" s="1126"/>
      <c r="P22" s="1121"/>
      <c r="Q22" s="1126"/>
      <c r="R22" s="1121"/>
      <c r="S22" s="1126"/>
      <c r="T22" s="1121"/>
      <c r="U22" s="1126"/>
      <c r="V22" s="1121"/>
      <c r="W22" s="1126"/>
      <c r="X22" s="1121"/>
      <c r="Y22" s="1126"/>
      <c r="Z22" s="1121"/>
      <c r="AA22" s="1126"/>
      <c r="AB22" s="1121"/>
      <c r="AC22" s="1126"/>
      <c r="AD22" s="1121"/>
      <c r="AE22" s="1126"/>
      <c r="AF22" s="1121"/>
      <c r="AG22" s="1126"/>
      <c r="AH22" s="1121"/>
      <c r="AI22" s="1126"/>
      <c r="AJ22" s="1121"/>
      <c r="AK22" s="1126"/>
      <c r="AL22" s="1121"/>
      <c r="AM22" s="1126"/>
      <c r="AN22" s="1138"/>
      <c r="AO22" s="1126"/>
      <c r="AP22" s="1138"/>
      <c r="AQ22" s="1126"/>
      <c r="AR22" s="1138"/>
      <c r="AS22" s="1126"/>
      <c r="AT22" s="1138"/>
      <c r="AU22" s="1126"/>
      <c r="AV22" s="1138"/>
      <c r="AW22" s="1139"/>
      <c r="AX22" s="1138"/>
      <c r="AY22" s="1129">
        <f t="shared" si="1"/>
        <v>26</v>
      </c>
      <c r="AZ22" s="1095">
        <f t="shared" si="2"/>
        <v>28</v>
      </c>
      <c r="BA22" s="1097">
        <f t="shared" si="8"/>
        <v>5264</v>
      </c>
      <c r="BB22" s="1095"/>
      <c r="BC22" s="591"/>
      <c r="BD22" s="1099"/>
    </row>
    <row r="23" ht="18.0" customHeight="1">
      <c r="A23" s="1130">
        <v>22.0</v>
      </c>
      <c r="B23" s="1146">
        <v>2531.0</v>
      </c>
      <c r="C23" s="1156" t="s">
        <v>1348</v>
      </c>
      <c r="D23" s="1157" t="s">
        <v>884</v>
      </c>
      <c r="E23" s="1126">
        <v>10.0</v>
      </c>
      <c r="F23" s="1138">
        <v>11.0</v>
      </c>
      <c r="G23" s="1126"/>
      <c r="H23" s="1138"/>
      <c r="I23" s="1126"/>
      <c r="J23" s="1138"/>
      <c r="K23" s="1126">
        <v>15.0</v>
      </c>
      <c r="L23" s="1138">
        <v>15.0</v>
      </c>
      <c r="M23" s="1126"/>
      <c r="N23" s="1138"/>
      <c r="O23" s="1120">
        <v>5.0</v>
      </c>
      <c r="P23" s="1138">
        <v>5.0</v>
      </c>
      <c r="Q23" s="1126"/>
      <c r="R23" s="1138"/>
      <c r="S23" s="1126">
        <v>5.0</v>
      </c>
      <c r="T23" s="1138">
        <v>5.0</v>
      </c>
      <c r="U23" s="1126"/>
      <c r="V23" s="1138"/>
      <c r="W23" s="1126">
        <v>5.0</v>
      </c>
      <c r="X23" s="1138">
        <v>5.0</v>
      </c>
      <c r="Y23" s="1126">
        <v>3.0</v>
      </c>
      <c r="Z23" s="1138">
        <v>3.0</v>
      </c>
      <c r="AA23" s="1126"/>
      <c r="AB23" s="1138"/>
      <c r="AC23" s="1126"/>
      <c r="AD23" s="1138"/>
      <c r="AE23" s="1126">
        <v>3.0</v>
      </c>
      <c r="AF23" s="1138">
        <v>3.0</v>
      </c>
      <c r="AG23" s="1126"/>
      <c r="AH23" s="1138"/>
      <c r="AI23" s="1126"/>
      <c r="AJ23" s="1138"/>
      <c r="AK23" s="1126">
        <v>3.0</v>
      </c>
      <c r="AL23" s="1138">
        <v>3.0</v>
      </c>
      <c r="AM23" s="1126"/>
      <c r="AN23" s="1138"/>
      <c r="AO23" s="1126"/>
      <c r="AP23" s="1138"/>
      <c r="AQ23" s="1126">
        <v>0.0</v>
      </c>
      <c r="AR23" s="1138"/>
      <c r="AS23" s="1126"/>
      <c r="AT23" s="1138"/>
      <c r="AU23" s="1126">
        <v>0.0</v>
      </c>
      <c r="AV23" s="1138"/>
      <c r="AW23" s="1139"/>
      <c r="AX23" s="1138"/>
      <c r="AY23" s="1129">
        <f t="shared" si="1"/>
        <v>50</v>
      </c>
      <c r="AZ23" s="1095">
        <f t="shared" si="2"/>
        <v>50</v>
      </c>
      <c r="BA23" s="1097">
        <f>198*AZ23</f>
        <v>9900</v>
      </c>
      <c r="BB23" s="1095"/>
      <c r="BC23" s="591"/>
      <c r="BD23" s="1099"/>
    </row>
    <row r="24" ht="18.0" customHeight="1">
      <c r="A24" s="1130">
        <v>23.0</v>
      </c>
      <c r="B24" s="1146">
        <v>5.0</v>
      </c>
      <c r="C24" s="1158" t="str">
        <f>'Матрица 4 недели'!S3</f>
        <v>Сэндвич</v>
      </c>
      <c r="D24" s="1159"/>
      <c r="E24" s="1126"/>
      <c r="F24" s="1138"/>
      <c r="G24" s="1120"/>
      <c r="H24" s="1121"/>
      <c r="I24" s="1120"/>
      <c r="J24" s="1138"/>
      <c r="K24" s="1120"/>
      <c r="L24" s="1138"/>
      <c r="M24" s="1120"/>
      <c r="N24" s="1138"/>
      <c r="O24" s="1120"/>
      <c r="P24" s="1138"/>
      <c r="Q24" s="1120"/>
      <c r="R24" s="1138"/>
      <c r="S24" s="1120"/>
      <c r="T24" s="1138"/>
      <c r="U24" s="1120"/>
      <c r="V24" s="1138"/>
      <c r="W24" s="1120"/>
      <c r="X24" s="1138"/>
      <c r="Y24" s="1120"/>
      <c r="Z24" s="1138"/>
      <c r="AA24" s="1120"/>
      <c r="AB24" s="1138"/>
      <c r="AC24" s="1120"/>
      <c r="AD24" s="1138"/>
      <c r="AE24" s="1120"/>
      <c r="AF24" s="1138"/>
      <c r="AG24" s="1120"/>
      <c r="AH24" s="1138"/>
      <c r="AI24" s="1120"/>
      <c r="AJ24" s="1138"/>
      <c r="AK24" s="1120"/>
      <c r="AL24" s="1138"/>
      <c r="AM24" s="1120"/>
      <c r="AN24" s="1138"/>
      <c r="AO24" s="1126"/>
      <c r="AP24" s="1138"/>
      <c r="AQ24" s="1126"/>
      <c r="AR24" s="1138"/>
      <c r="AS24" s="1126"/>
      <c r="AT24" s="1138"/>
      <c r="AU24" s="1126"/>
      <c r="AV24" s="1138"/>
      <c r="AW24" s="1134"/>
      <c r="AX24" s="1138"/>
      <c r="AY24" s="1129">
        <f t="shared" si="1"/>
        <v>1</v>
      </c>
      <c r="AZ24" s="1095">
        <f t="shared" si="2"/>
        <v>0</v>
      </c>
      <c r="BA24" s="1097">
        <f>160*AZ24</f>
        <v>0</v>
      </c>
      <c r="BB24" s="1095"/>
      <c r="BC24" s="591">
        <v>0.16</v>
      </c>
      <c r="BD24" s="1099">
        <f>AY24*BC24</f>
        <v>0.16</v>
      </c>
    </row>
    <row r="25" ht="18.0" customHeight="1">
      <c r="A25" s="1109">
        <v>24.0</v>
      </c>
      <c r="B25" s="1146"/>
      <c r="C25" s="1158" t="str">
        <f>'Матрица 4 недели'!S145</f>
        <v>Сэндвич</v>
      </c>
      <c r="D25" s="1159"/>
      <c r="E25" s="1126"/>
      <c r="F25" s="1138"/>
      <c r="G25" s="1126"/>
      <c r="H25" s="1121"/>
      <c r="I25" s="1126"/>
      <c r="J25" s="1160"/>
      <c r="K25" s="1161"/>
      <c r="L25" s="1162"/>
      <c r="M25" s="1126"/>
      <c r="N25" s="1121"/>
      <c r="O25" s="1126"/>
      <c r="P25" s="1121"/>
      <c r="Q25" s="1126"/>
      <c r="R25" s="1121"/>
      <c r="S25" s="1126"/>
      <c r="T25" s="1121"/>
      <c r="U25" s="1137"/>
      <c r="V25" s="1121"/>
      <c r="W25" s="1137"/>
      <c r="X25" s="1121"/>
      <c r="Y25" s="1137"/>
      <c r="Z25" s="1121"/>
      <c r="AA25" s="1137"/>
      <c r="AB25" s="1121"/>
      <c r="AC25" s="1137"/>
      <c r="AD25" s="1121"/>
      <c r="AE25" s="1120"/>
      <c r="AF25" s="1121"/>
      <c r="AG25" s="1137"/>
      <c r="AH25" s="1121"/>
      <c r="AI25" s="1120"/>
      <c r="AJ25" s="1121"/>
      <c r="AK25" s="1120"/>
      <c r="AL25" s="1121"/>
      <c r="AM25" s="1120"/>
      <c r="AN25" s="1138"/>
      <c r="AO25" s="1126"/>
      <c r="AP25" s="1138"/>
      <c r="AQ25" s="1126"/>
      <c r="AR25" s="1138"/>
      <c r="AS25" s="1126"/>
      <c r="AT25" s="1138"/>
      <c r="AU25" s="1126"/>
      <c r="AV25" s="1138"/>
      <c r="AW25" s="1134"/>
      <c r="AX25" s="1121"/>
      <c r="AY25" s="1129">
        <f t="shared" si="1"/>
        <v>1</v>
      </c>
      <c r="AZ25" s="1095">
        <f t="shared" si="2"/>
        <v>0</v>
      </c>
      <c r="BA25" s="1163">
        <f>155*AZ25</f>
        <v>0</v>
      </c>
      <c r="BB25" s="1129"/>
      <c r="BC25" s="677"/>
      <c r="BD25" s="1099"/>
    </row>
    <row r="26" ht="18.0" customHeight="1">
      <c r="A26" s="1130">
        <v>25.0</v>
      </c>
      <c r="B26" s="1164">
        <v>3518.0</v>
      </c>
      <c r="C26" s="1153" t="s">
        <v>78</v>
      </c>
      <c r="D26" s="721"/>
      <c r="E26" s="1126"/>
      <c r="F26" s="1138"/>
      <c r="G26" s="1126"/>
      <c r="H26" s="1138"/>
      <c r="I26" s="1126"/>
      <c r="J26" s="1138"/>
      <c r="K26" s="1126"/>
      <c r="L26" s="1138"/>
      <c r="M26" s="1126"/>
      <c r="N26" s="1138"/>
      <c r="O26" s="1126"/>
      <c r="P26" s="1138"/>
      <c r="Q26" s="1120"/>
      <c r="R26" s="1121"/>
      <c r="S26" s="1137"/>
      <c r="T26" s="1121"/>
      <c r="U26" s="1137"/>
      <c r="V26" s="1121"/>
      <c r="W26" s="1137"/>
      <c r="X26" s="1121"/>
      <c r="Y26" s="1137"/>
      <c r="Z26" s="1138"/>
      <c r="AA26" s="1120"/>
      <c r="AB26" s="1138"/>
      <c r="AC26" s="1120"/>
      <c r="AD26" s="1138"/>
      <c r="AE26" s="1120"/>
      <c r="AF26" s="1138"/>
      <c r="AG26" s="1120"/>
      <c r="AH26" s="1138"/>
      <c r="AI26" s="1120"/>
      <c r="AJ26" s="1138"/>
      <c r="AK26" s="1120"/>
      <c r="AL26" s="1138"/>
      <c r="AM26" s="1120"/>
      <c r="AN26" s="1121"/>
      <c r="AO26" s="1120"/>
      <c r="AP26" s="1138"/>
      <c r="AQ26" s="1120"/>
      <c r="AR26" s="1138"/>
      <c r="AS26" s="1126"/>
      <c r="AT26" s="1138"/>
      <c r="AU26" s="1126"/>
      <c r="AV26" s="1131"/>
      <c r="AW26" s="1134"/>
      <c r="AX26" s="1121"/>
      <c r="AY26" s="1129">
        <f t="shared" si="1"/>
        <v>1</v>
      </c>
      <c r="AZ26" s="1095">
        <f t="shared" si="2"/>
        <v>0</v>
      </c>
      <c r="BA26" s="1129"/>
      <c r="BB26" s="1129"/>
      <c r="BC26" s="1165"/>
      <c r="BD26" s="1166"/>
    </row>
    <row r="27" ht="18.0" customHeight="1">
      <c r="A27" s="1130">
        <v>26.0</v>
      </c>
      <c r="B27" s="1164"/>
      <c r="C27" s="1153" t="s">
        <v>78</v>
      </c>
      <c r="D27" s="721"/>
      <c r="E27" s="1126"/>
      <c r="F27" s="1138"/>
      <c r="G27" s="1126"/>
      <c r="H27" s="1138"/>
      <c r="I27" s="1126"/>
      <c r="J27" s="1138"/>
      <c r="K27" s="1126"/>
      <c r="L27" s="1138"/>
      <c r="M27" s="1126"/>
      <c r="N27" s="1138"/>
      <c r="O27" s="1126"/>
      <c r="P27" s="1138"/>
      <c r="Q27" s="1120"/>
      <c r="R27" s="1121"/>
      <c r="S27" s="1137"/>
      <c r="T27" s="1121"/>
      <c r="U27" s="1137"/>
      <c r="V27" s="1121"/>
      <c r="W27" s="1137"/>
      <c r="X27" s="1121"/>
      <c r="Y27" s="1137"/>
      <c r="Z27" s="1138"/>
      <c r="AA27" s="1120"/>
      <c r="AB27" s="1138"/>
      <c r="AC27" s="1120"/>
      <c r="AD27" s="1138"/>
      <c r="AE27" s="1120"/>
      <c r="AF27" s="1138"/>
      <c r="AG27" s="1120"/>
      <c r="AH27" s="1138"/>
      <c r="AI27" s="1120"/>
      <c r="AJ27" s="1138"/>
      <c r="AK27" s="1120"/>
      <c r="AL27" s="1138"/>
      <c r="AM27" s="1120"/>
      <c r="AN27" s="1121"/>
      <c r="AO27" s="1120"/>
      <c r="AP27" s="1138"/>
      <c r="AQ27" s="1120"/>
      <c r="AR27" s="1167"/>
      <c r="AS27" s="1075"/>
      <c r="AT27" s="1167"/>
      <c r="AU27" s="1075"/>
      <c r="AV27" s="1168"/>
      <c r="AW27" s="1139"/>
      <c r="AX27" s="1138"/>
      <c r="AY27" s="1129">
        <f t="shared" si="1"/>
        <v>1</v>
      </c>
      <c r="AZ27" s="1095">
        <f t="shared" si="2"/>
        <v>0</v>
      </c>
      <c r="BA27" s="1129"/>
      <c r="BB27" s="1129"/>
      <c r="BC27" s="1165"/>
      <c r="BD27" s="1166"/>
    </row>
    <row r="28" ht="18.0" customHeight="1">
      <c r="A28" s="1109">
        <v>27.0</v>
      </c>
      <c r="B28" s="1164"/>
      <c r="C28" s="1153" t="str">
        <f>'Матрица 4 недели'!P145</f>
        <v>Выпечка</v>
      </c>
      <c r="D28" s="721"/>
      <c r="E28" s="1137"/>
      <c r="F28" s="1121"/>
      <c r="G28" s="1126"/>
      <c r="H28" s="1121"/>
      <c r="I28" s="1126"/>
      <c r="J28" s="1121"/>
      <c r="K28" s="1126"/>
      <c r="L28" s="1121"/>
      <c r="M28" s="1126"/>
      <c r="N28" s="1121"/>
      <c r="O28" s="1126"/>
      <c r="P28" s="1121"/>
      <c r="Q28" s="1137"/>
      <c r="R28" s="1121"/>
      <c r="S28" s="1126"/>
      <c r="T28" s="1138"/>
      <c r="U28" s="1137"/>
      <c r="V28" s="1138"/>
      <c r="W28" s="1137"/>
      <c r="X28" s="1138"/>
      <c r="Y28" s="1137"/>
      <c r="Z28" s="1138"/>
      <c r="AA28" s="1137"/>
      <c r="AB28" s="1138"/>
      <c r="AC28" s="1137"/>
      <c r="AD28" s="1138"/>
      <c r="AE28" s="1126"/>
      <c r="AF28" s="1138"/>
      <c r="AG28" s="1120"/>
      <c r="AH28" s="1138"/>
      <c r="AI28" s="1126"/>
      <c r="AJ28" s="1138"/>
      <c r="AK28" s="1120"/>
      <c r="AL28" s="1138"/>
      <c r="AM28" s="1120"/>
      <c r="AN28" s="1121"/>
      <c r="AO28" s="1126"/>
      <c r="AP28" s="1138"/>
      <c r="AQ28" s="1120"/>
      <c r="AR28" s="1121"/>
      <c r="AS28" s="1126"/>
      <c r="AT28" s="1121"/>
      <c r="AU28" s="1126"/>
      <c r="AV28" s="1121"/>
      <c r="AW28" s="1169"/>
      <c r="AX28" s="1170"/>
      <c r="AY28" s="1129">
        <f t="shared" si="1"/>
        <v>1</v>
      </c>
      <c r="AZ28" s="1095">
        <f t="shared" si="2"/>
        <v>0</v>
      </c>
      <c r="BA28" s="1129"/>
      <c r="BB28" s="1129"/>
      <c r="BC28" s="1165"/>
      <c r="BD28" s="1166"/>
    </row>
    <row r="29" ht="18.0" customHeight="1">
      <c r="A29" s="1130">
        <v>28.0</v>
      </c>
      <c r="B29" s="1171">
        <v>822.0</v>
      </c>
      <c r="C29" s="1153" t="s">
        <v>1351</v>
      </c>
      <c r="D29" s="721"/>
      <c r="E29" s="1126"/>
      <c r="F29" s="1138"/>
      <c r="G29" s="1126"/>
      <c r="H29" s="1170"/>
      <c r="I29" s="1126"/>
      <c r="J29" s="1170"/>
      <c r="K29" s="1126"/>
      <c r="L29" s="1138"/>
      <c r="M29" s="1126"/>
      <c r="N29" s="1138"/>
      <c r="O29" s="1126"/>
      <c r="P29" s="1138"/>
      <c r="Q29" s="1120"/>
      <c r="R29" s="1138"/>
      <c r="S29" s="1137"/>
      <c r="T29" s="1138"/>
      <c r="U29" s="1137"/>
      <c r="V29" s="1138"/>
      <c r="W29" s="1137"/>
      <c r="X29" s="1138"/>
      <c r="Y29" s="1137"/>
      <c r="Z29" s="1138"/>
      <c r="AA29" s="1120"/>
      <c r="AB29" s="1138"/>
      <c r="AC29" s="1137"/>
      <c r="AD29" s="1138"/>
      <c r="AE29" s="1137"/>
      <c r="AF29" s="1121"/>
      <c r="AG29" s="1120"/>
      <c r="AH29" s="1121"/>
      <c r="AI29" s="1120"/>
      <c r="AJ29" s="1121"/>
      <c r="AK29" s="1137"/>
      <c r="AL29" s="1121"/>
      <c r="AM29" s="1137"/>
      <c r="AN29" s="1138"/>
      <c r="AO29" s="1126"/>
      <c r="AP29" s="1138"/>
      <c r="AQ29" s="1126"/>
      <c r="AR29" s="1138"/>
      <c r="AS29" s="1126"/>
      <c r="AT29" s="1138"/>
      <c r="AU29" s="1126"/>
      <c r="AV29" s="1138"/>
      <c r="AW29" s="1139"/>
      <c r="AX29" s="1138"/>
      <c r="AY29" s="1129">
        <f t="shared" si="1"/>
        <v>1</v>
      </c>
      <c r="AZ29" s="1095">
        <f t="shared" si="2"/>
        <v>0</v>
      </c>
      <c r="BA29" s="1129"/>
      <c r="BB29" s="1129">
        <f>AX29*5</f>
        <v>0</v>
      </c>
      <c r="BC29" s="1165"/>
      <c r="BD29" s="1166"/>
    </row>
    <row r="30" ht="18.0" customHeight="1">
      <c r="A30" s="1130">
        <v>29.0</v>
      </c>
      <c r="B30" s="1164"/>
      <c r="C30" s="1153" t="s">
        <v>1351</v>
      </c>
      <c r="D30" s="1172"/>
      <c r="E30" s="1137"/>
      <c r="F30" s="1138"/>
      <c r="G30" s="1126"/>
      <c r="H30" s="1140"/>
      <c r="I30" s="1126"/>
      <c r="J30" s="1138"/>
      <c r="K30" s="1126"/>
      <c r="L30" s="1138"/>
      <c r="M30" s="1126"/>
      <c r="N30" s="1138"/>
      <c r="O30" s="1120"/>
      <c r="P30" s="1142"/>
      <c r="Q30" s="1126"/>
      <c r="R30" s="1121"/>
      <c r="S30" s="1137"/>
      <c r="T30" s="1121"/>
      <c r="U30" s="1137"/>
      <c r="V30" s="1121"/>
      <c r="W30" s="1137"/>
      <c r="X30" s="1121"/>
      <c r="Y30" s="1120"/>
      <c r="Z30" s="1121"/>
      <c r="AA30" s="1120"/>
      <c r="AB30" s="1121"/>
      <c r="AC30" s="1120"/>
      <c r="AD30" s="1121"/>
      <c r="AE30" s="1137"/>
      <c r="AF30" s="1121"/>
      <c r="AG30" s="1137"/>
      <c r="AH30" s="1121"/>
      <c r="AI30" s="1137"/>
      <c r="AJ30" s="1121"/>
      <c r="AK30" s="1137"/>
      <c r="AL30" s="1138"/>
      <c r="AM30" s="1137"/>
      <c r="AN30" s="1138"/>
      <c r="AO30" s="1126"/>
      <c r="AP30" s="1138"/>
      <c r="AQ30" s="1126"/>
      <c r="AR30" s="1138"/>
      <c r="AS30" s="1126"/>
      <c r="AT30" s="1138"/>
      <c r="AU30" s="1126"/>
      <c r="AV30" s="1131"/>
      <c r="AW30" s="1137"/>
      <c r="AX30" s="1173"/>
      <c r="AY30" s="1129">
        <f t="shared" si="1"/>
        <v>1</v>
      </c>
      <c r="AZ30" s="1144">
        <f t="shared" si="2"/>
        <v>0</v>
      </c>
      <c r="BA30" s="1129"/>
      <c r="BB30" s="1129"/>
      <c r="BC30" s="1165"/>
      <c r="BD30" s="1166"/>
    </row>
    <row r="31" ht="18.0" customHeight="1">
      <c r="A31" s="1109">
        <v>30.0</v>
      </c>
      <c r="B31" s="1164"/>
      <c r="C31" s="1174" t="s">
        <v>1351</v>
      </c>
      <c r="D31" s="1172"/>
      <c r="E31" s="1137"/>
      <c r="F31" s="1138"/>
      <c r="G31" s="1126"/>
      <c r="H31" s="1138"/>
      <c r="I31" s="1126"/>
      <c r="J31" s="1138"/>
      <c r="K31" s="1126"/>
      <c r="L31" s="1138"/>
      <c r="M31" s="1126"/>
      <c r="N31" s="1138"/>
      <c r="O31" s="1126"/>
      <c r="P31" s="1121"/>
      <c r="Q31" s="1126"/>
      <c r="R31" s="1121"/>
      <c r="S31" s="1137"/>
      <c r="T31" s="1121"/>
      <c r="U31" s="1137"/>
      <c r="V31" s="1121"/>
      <c r="W31" s="1137"/>
      <c r="X31" s="1121"/>
      <c r="Y31" s="1120"/>
      <c r="Z31" s="1121"/>
      <c r="AA31" s="1120"/>
      <c r="AB31" s="1121"/>
      <c r="AC31" s="1120"/>
      <c r="AD31" s="1121"/>
      <c r="AE31" s="1137"/>
      <c r="AF31" s="1121"/>
      <c r="AG31" s="1120"/>
      <c r="AH31" s="1121"/>
      <c r="AI31" s="1120"/>
      <c r="AJ31" s="1121"/>
      <c r="AK31" s="1137"/>
      <c r="AL31" s="1138"/>
      <c r="AM31" s="1137"/>
      <c r="AN31" s="1138"/>
      <c r="AO31" s="1137"/>
      <c r="AP31" s="1138"/>
      <c r="AQ31" s="1126"/>
      <c r="AR31" s="1131"/>
      <c r="AS31" s="1126"/>
      <c r="AT31" s="1138"/>
      <c r="AU31" s="1126"/>
      <c r="AV31" s="1131"/>
      <c r="AW31" s="1137"/>
      <c r="AX31" s="1173"/>
      <c r="AY31" s="1129">
        <f t="shared" si="1"/>
        <v>1</v>
      </c>
      <c r="AZ31" s="1095">
        <f t="shared" si="2"/>
        <v>0</v>
      </c>
      <c r="BA31" s="1129"/>
      <c r="BB31" s="1129"/>
      <c r="BC31" s="1165"/>
      <c r="BD31" s="1166"/>
    </row>
    <row r="32" ht="18.0" customHeight="1">
      <c r="A32" s="1130">
        <v>31.0</v>
      </c>
      <c r="B32" s="1164"/>
      <c r="C32" s="1174" t="s">
        <v>1351</v>
      </c>
      <c r="D32" s="1172"/>
      <c r="E32" s="1126"/>
      <c r="F32" s="1138"/>
      <c r="G32" s="1126"/>
      <c r="H32" s="1138"/>
      <c r="I32" s="1126"/>
      <c r="J32" s="1138"/>
      <c r="K32" s="1126"/>
      <c r="L32" s="1138"/>
      <c r="M32" s="1126"/>
      <c r="N32" s="1138"/>
      <c r="O32" s="1137"/>
      <c r="P32" s="1138"/>
      <c r="Q32" s="1126"/>
      <c r="R32" s="1121"/>
      <c r="S32" s="1137"/>
      <c r="T32" s="1121"/>
      <c r="U32" s="1137"/>
      <c r="V32" s="1121"/>
      <c r="W32" s="1137"/>
      <c r="X32" s="1121"/>
      <c r="Y32" s="1175"/>
      <c r="Z32" s="1121"/>
      <c r="AA32" s="1120"/>
      <c r="AB32" s="1127"/>
      <c r="AC32" s="1176"/>
      <c r="AD32" s="1127"/>
      <c r="AE32" s="1137"/>
      <c r="AF32" s="1127"/>
      <c r="AG32" s="1137"/>
      <c r="AH32" s="1127"/>
      <c r="AI32" s="1137"/>
      <c r="AJ32" s="1127"/>
      <c r="AK32" s="1137"/>
      <c r="AL32" s="1127"/>
      <c r="AM32" s="1137"/>
      <c r="AN32" s="1127"/>
      <c r="AO32" s="1126"/>
      <c r="AP32" s="1127"/>
      <c r="AQ32" s="1126"/>
      <c r="AR32" s="1127"/>
      <c r="AS32" s="1126"/>
      <c r="AT32" s="1127"/>
      <c r="AU32" s="1126"/>
      <c r="AV32" s="1127"/>
      <c r="AW32" s="1137"/>
      <c r="AX32" s="1121"/>
      <c r="AY32" s="1129">
        <f t="shared" si="1"/>
        <v>1</v>
      </c>
      <c r="AZ32" s="1095">
        <f t="shared" si="2"/>
        <v>0</v>
      </c>
      <c r="BA32" s="1129"/>
      <c r="BB32" s="1129"/>
      <c r="BC32" s="1165"/>
      <c r="BD32" s="1166"/>
    </row>
    <row r="33" ht="15.75" customHeight="1">
      <c r="A33" s="1177"/>
      <c r="B33" s="1002"/>
      <c r="C33" s="1178"/>
      <c r="D33" s="1179"/>
      <c r="E33" s="1180"/>
      <c r="F33" s="1181"/>
      <c r="G33" s="1180"/>
      <c r="H33" s="1181"/>
      <c r="I33" s="1180"/>
      <c r="J33" s="1181"/>
      <c r="K33" s="1180"/>
      <c r="L33" s="1181"/>
      <c r="M33" s="1180"/>
      <c r="N33" s="1181"/>
      <c r="O33" s="1180"/>
      <c r="P33" s="1181"/>
      <c r="Q33" s="1180"/>
      <c r="R33" s="1181"/>
      <c r="S33" s="1180"/>
      <c r="T33" s="1181"/>
      <c r="U33" s="1182"/>
      <c r="V33" s="1181"/>
      <c r="W33" s="1182"/>
      <c r="X33" s="1181"/>
      <c r="Y33" s="1180"/>
      <c r="Z33" s="1181"/>
      <c r="AA33" s="1183"/>
      <c r="AB33" s="1181"/>
      <c r="AC33" s="1183"/>
      <c r="AD33" s="1181"/>
      <c r="AE33" s="1180"/>
      <c r="AF33" s="1181"/>
      <c r="AG33" s="1180"/>
      <c r="AH33" s="1181"/>
      <c r="AI33" s="1180"/>
      <c r="AJ33" s="1181"/>
      <c r="AK33" s="1184"/>
      <c r="AL33" s="1181"/>
      <c r="AM33" s="1181"/>
      <c r="AN33" s="1181"/>
      <c r="AO33" s="1181"/>
      <c r="AP33" s="1181"/>
      <c r="AQ33" s="1181"/>
      <c r="AR33" s="1181"/>
      <c r="AS33" s="1181"/>
      <c r="AT33" s="1181"/>
      <c r="AU33" s="1181"/>
      <c r="AV33" s="1181"/>
      <c r="AW33" s="1184"/>
      <c r="AX33" s="1181"/>
      <c r="AY33" s="1185">
        <f t="shared" ref="AY33:BB33" si="9">SUM(AY6:AY32)</f>
        <v>1307</v>
      </c>
      <c r="AZ33" s="1185">
        <f t="shared" si="9"/>
        <v>1315</v>
      </c>
      <c r="BA33" s="1185">
        <f t="shared" si="9"/>
        <v>200694</v>
      </c>
      <c r="BB33" s="1185">
        <f t="shared" si="9"/>
        <v>1200</v>
      </c>
      <c r="BC33" s="1165" t="s">
        <v>1352</v>
      </c>
      <c r="BD33" s="1166">
        <f>SUM(BD6:BD24)</f>
        <v>158.06</v>
      </c>
    </row>
    <row r="34" ht="15.75" customHeight="1">
      <c r="A34" s="1177"/>
      <c r="B34" s="1002"/>
      <c r="C34" s="1178" t="s">
        <v>1353</v>
      </c>
      <c r="D34" s="1186"/>
      <c r="E34" s="1187"/>
      <c r="F34" s="1188"/>
      <c r="G34" s="1187"/>
      <c r="H34" s="1188"/>
      <c r="I34" s="1187"/>
      <c r="J34" s="1188"/>
      <c r="K34" s="1187"/>
      <c r="L34" s="1188"/>
      <c r="M34" s="1187"/>
      <c r="N34" s="1187"/>
      <c r="O34" s="13"/>
      <c r="P34" s="677"/>
      <c r="U34" s="1189"/>
      <c r="W34" s="1189"/>
      <c r="Y34" s="1190"/>
      <c r="AA34" s="1190"/>
      <c r="AG34" s="701"/>
      <c r="AI34" s="701"/>
      <c r="AY34" s="977"/>
      <c r="BA34" s="1191">
        <f>BA33+BB33</f>
        <v>201894</v>
      </c>
      <c r="BD34" s="1192"/>
    </row>
    <row r="35" ht="15.75" customHeight="1">
      <c r="A35" s="1177"/>
      <c r="B35" s="1002"/>
      <c r="C35" s="1178"/>
      <c r="D35" s="1186"/>
      <c r="E35" s="1187"/>
      <c r="F35" s="1188"/>
      <c r="G35" s="1187"/>
      <c r="H35" s="1188"/>
      <c r="I35" s="1187"/>
      <c r="J35" s="1188"/>
      <c r="K35" s="1187"/>
      <c r="L35" s="1188"/>
      <c r="M35" s="1187"/>
      <c r="N35" s="1187"/>
      <c r="O35" s="1187"/>
      <c r="P35" s="1187"/>
      <c r="Q35" s="1187"/>
      <c r="R35" s="1187"/>
      <c r="S35" s="1187"/>
      <c r="T35" s="1187"/>
      <c r="U35" s="757"/>
      <c r="V35" s="1187"/>
      <c r="W35" s="757"/>
      <c r="X35" s="1187"/>
      <c r="Y35" s="1187"/>
      <c r="Z35" s="1187"/>
      <c r="AA35" s="1187"/>
      <c r="AB35" s="1187"/>
      <c r="AC35" s="1187"/>
      <c r="AD35" s="1187"/>
      <c r="AE35" s="1187"/>
      <c r="AF35" s="1187"/>
      <c r="AG35" s="757"/>
      <c r="AH35" s="1187"/>
      <c r="AI35" s="757"/>
      <c r="AJ35" s="1187"/>
      <c r="AK35" s="1187"/>
      <c r="AL35" s="1187"/>
      <c r="AM35" s="1187"/>
      <c r="AN35" s="1187"/>
      <c r="AO35" s="1187"/>
      <c r="AP35" s="1187"/>
      <c r="AQ35" s="1187"/>
      <c r="AR35" s="1187"/>
      <c r="AS35" s="1187"/>
      <c r="AT35" s="1187"/>
      <c r="AU35" s="1187"/>
      <c r="AV35" s="1187"/>
      <c r="AW35" s="620"/>
      <c r="AX35" s="541"/>
      <c r="AY35" s="1193"/>
      <c r="AZ35" s="1187"/>
      <c r="BA35" s="1187"/>
      <c r="BB35" s="1187"/>
      <c r="BD35" s="1192"/>
    </row>
    <row r="36" ht="15.75" customHeight="1">
      <c r="A36" s="1194" t="s">
        <v>1354</v>
      </c>
      <c r="B36" s="1195"/>
      <c r="C36" s="1196">
        <f>C2</f>
        <v>45659</v>
      </c>
      <c r="D36" s="1197" t="s">
        <v>1355</v>
      </c>
      <c r="E36" s="1198"/>
      <c r="F36" s="1199"/>
      <c r="G36" s="13"/>
      <c r="H36" s="677"/>
      <c r="I36" s="13" t="s">
        <v>1356</v>
      </c>
      <c r="J36" s="677"/>
      <c r="K36" s="11"/>
      <c r="L36" s="23"/>
      <c r="M36" s="13"/>
      <c r="N36" s="13"/>
      <c r="O36" s="13"/>
      <c r="P36" s="677"/>
      <c r="U36" s="1189"/>
      <c r="W36" s="1189"/>
      <c r="Y36" s="1190"/>
      <c r="AA36" s="1190"/>
      <c r="AG36" s="701"/>
      <c r="AI36" s="701"/>
      <c r="BD36" s="1192"/>
    </row>
    <row r="37" ht="15.75" customHeight="1">
      <c r="A37" s="1109" t="s">
        <v>10</v>
      </c>
      <c r="B37" s="1111" t="str">
        <f>B3</f>
        <v>Код</v>
      </c>
      <c r="C37" s="1200" t="s">
        <v>1284</v>
      </c>
      <c r="D37" s="80" t="s">
        <v>471</v>
      </c>
      <c r="E37" s="1201" t="s">
        <v>1357</v>
      </c>
      <c r="F37" s="69"/>
      <c r="G37" s="1201" t="s">
        <v>1287</v>
      </c>
      <c r="H37" s="69"/>
      <c r="I37" s="1202" t="s">
        <v>1358</v>
      </c>
      <c r="J37" s="69"/>
      <c r="K37" s="1201" t="s">
        <v>1359</v>
      </c>
      <c r="L37" s="69"/>
      <c r="M37" s="1201" t="s">
        <v>1360</v>
      </c>
      <c r="N37" s="69"/>
      <c r="O37" s="1201" t="s">
        <v>1361</v>
      </c>
      <c r="P37" s="69"/>
      <c r="Q37" s="1201" t="s">
        <v>1362</v>
      </c>
      <c r="R37" s="69"/>
      <c r="S37" s="1201" t="s">
        <v>1299</v>
      </c>
      <c r="T37" s="69"/>
      <c r="U37" s="1203" t="s">
        <v>1301</v>
      </c>
      <c r="V37" s="69"/>
      <c r="W37" s="1203" t="s">
        <v>1363</v>
      </c>
      <c r="X37" s="69"/>
      <c r="Y37" s="1203" t="s">
        <v>1305</v>
      </c>
      <c r="Z37" s="69"/>
      <c r="AA37" s="1203" t="s">
        <v>1307</v>
      </c>
      <c r="AB37" s="69"/>
      <c r="AC37" s="1203" t="s">
        <v>1309</v>
      </c>
      <c r="AD37" s="69"/>
      <c r="AE37" s="1203" t="s">
        <v>1311</v>
      </c>
      <c r="AF37" s="69"/>
      <c r="AG37" s="1203" t="s">
        <v>1313</v>
      </c>
      <c r="AH37" s="69"/>
      <c r="AI37" s="1203" t="s">
        <v>1315</v>
      </c>
      <c r="AJ37" s="69"/>
      <c r="AK37" s="1203" t="s">
        <v>1317</v>
      </c>
      <c r="AL37" s="69"/>
      <c r="AM37" s="1203" t="s">
        <v>1319</v>
      </c>
      <c r="AN37" s="69"/>
      <c r="AO37" s="1203" t="s">
        <v>1321</v>
      </c>
      <c r="AP37" s="69"/>
      <c r="AQ37" s="1203" t="s">
        <v>1323</v>
      </c>
      <c r="AR37" s="69"/>
      <c r="AS37" s="1203" t="s">
        <v>1325</v>
      </c>
      <c r="AT37" s="69"/>
      <c r="AU37" s="1203" t="s">
        <v>1327</v>
      </c>
      <c r="AV37" s="69"/>
      <c r="AW37" s="1204" t="s">
        <v>297</v>
      </c>
      <c r="AX37" s="69"/>
      <c r="AY37" s="1073" t="s">
        <v>5</v>
      </c>
      <c r="AZ37" s="11"/>
      <c r="BA37" s="11"/>
      <c r="BB37" s="11"/>
      <c r="BD37" s="1192"/>
    </row>
    <row r="38" ht="22.5" customHeight="1">
      <c r="A38" s="1109">
        <f t="shared" ref="A38:D38" si="10">A6</f>
        <v>1</v>
      </c>
      <c r="B38" s="1111">
        <f t="shared" si="10"/>
        <v>2423</v>
      </c>
      <c r="C38" s="1205" t="str">
        <f t="shared" si="10"/>
        <v>Завтрак </v>
      </c>
      <c r="D38" s="1129" t="str">
        <f t="shared" si="10"/>
        <v/>
      </c>
      <c r="E38" s="1206">
        <f t="shared" ref="E38:E64" si="12">F6</f>
        <v>20</v>
      </c>
      <c r="F38" s="69"/>
      <c r="G38" s="1206" t="str">
        <f t="shared" ref="G38:G64" si="13">H6</f>
        <v/>
      </c>
      <c r="H38" s="69"/>
      <c r="I38" s="1206" t="str">
        <f t="shared" ref="I38:I64" si="14">J6</f>
        <v/>
      </c>
      <c r="J38" s="69"/>
      <c r="K38" s="1206">
        <f t="shared" ref="K38:K64" si="15">L6</f>
        <v>10</v>
      </c>
      <c r="L38" s="69"/>
      <c r="M38" s="1206" t="str">
        <f t="shared" ref="M38:M64" si="16">N6</f>
        <v/>
      </c>
      <c r="N38" s="69"/>
      <c r="O38" s="1206">
        <f t="shared" ref="O38:O64" si="17">P6</f>
        <v>9</v>
      </c>
      <c r="P38" s="69"/>
      <c r="Q38" s="1206" t="str">
        <f t="shared" ref="Q38:Q64" si="18">R6</f>
        <v/>
      </c>
      <c r="R38" s="69"/>
      <c r="S38" s="1206">
        <f t="shared" ref="S38:S63" si="19">T6</f>
        <v>5</v>
      </c>
      <c r="T38" s="69"/>
      <c r="U38" s="1206" t="str">
        <f t="shared" ref="U38:U64" si="20">V6</f>
        <v/>
      </c>
      <c r="V38" s="69"/>
      <c r="W38" s="1206">
        <f t="shared" ref="W38:W64" si="21">X6</f>
        <v>10</v>
      </c>
      <c r="X38" s="69"/>
      <c r="Y38" s="1206">
        <f t="shared" ref="Y38:Y64" si="22">Z6</f>
        <v>5</v>
      </c>
      <c r="Z38" s="69"/>
      <c r="AA38" s="1206" t="str">
        <f t="shared" ref="AA38:AA64" si="23">AB6</f>
        <v/>
      </c>
      <c r="AB38" s="69"/>
      <c r="AC38" s="1206" t="str">
        <f t="shared" ref="AC38:AC64" si="24">AD6</f>
        <v/>
      </c>
      <c r="AD38" s="69"/>
      <c r="AE38" s="1206">
        <f t="shared" ref="AE38:AE64" si="25">AF6</f>
        <v>5</v>
      </c>
      <c r="AF38" s="69"/>
      <c r="AG38" s="1206" t="str">
        <f t="shared" ref="AG38:AG63" si="26">AH6</f>
        <v/>
      </c>
      <c r="AH38" s="69"/>
      <c r="AI38" s="1206" t="str">
        <f t="shared" ref="AI38:AI64" si="27">AJ6</f>
        <v/>
      </c>
      <c r="AJ38" s="69"/>
      <c r="AK38" s="1206">
        <f t="shared" ref="AK38:AK64" si="28">AL6</f>
        <v>5</v>
      </c>
      <c r="AL38" s="69"/>
      <c r="AM38" s="1206" t="str">
        <f t="shared" ref="AM38:AM64" si="29">AN6</f>
        <v/>
      </c>
      <c r="AN38" s="69"/>
      <c r="AO38" s="1206" t="str">
        <f t="shared" ref="AO38:AO64" si="30">AP6</f>
        <v/>
      </c>
      <c r="AP38" s="69"/>
      <c r="AQ38" s="1206">
        <f t="shared" ref="AQ38:AQ64" si="31">AR6</f>
        <v>10</v>
      </c>
      <c r="AR38" s="69"/>
      <c r="AS38" s="1206" t="str">
        <f t="shared" ref="AS38:AS64" si="32">AT6</f>
        <v/>
      </c>
      <c r="AT38" s="69"/>
      <c r="AU38" s="1206">
        <f t="shared" ref="AU38:AU64" si="33">AV6</f>
        <v>8</v>
      </c>
      <c r="AV38" s="69"/>
      <c r="AW38" s="1206" t="str">
        <f t="shared" ref="AW38:AW64" si="34">AX6</f>
        <v/>
      </c>
      <c r="AX38" s="69"/>
      <c r="AY38" s="1207">
        <f t="shared" ref="AY38:AY65" si="35">SUM(E38:AX38)</f>
        <v>87</v>
      </c>
      <c r="AZ38" s="1208"/>
      <c r="BA38" s="1208"/>
      <c r="BB38" s="1208"/>
      <c r="BD38" s="1192"/>
    </row>
    <row r="39" ht="22.5" customHeight="1">
      <c r="A39" s="1109">
        <f t="shared" ref="A39:D39" si="11">A7</f>
        <v>2</v>
      </c>
      <c r="B39" s="1111">
        <f t="shared" si="11"/>
        <v>3624</v>
      </c>
      <c r="C39" s="1205" t="str">
        <f t="shared" si="11"/>
        <v>Завтрак </v>
      </c>
      <c r="D39" s="1129" t="str">
        <f t="shared" si="11"/>
        <v/>
      </c>
      <c r="E39" s="1206">
        <f t="shared" si="12"/>
        <v>20</v>
      </c>
      <c r="F39" s="69"/>
      <c r="G39" s="1206" t="str">
        <f t="shared" si="13"/>
        <v/>
      </c>
      <c r="H39" s="69"/>
      <c r="I39" s="1206" t="str">
        <f t="shared" si="14"/>
        <v/>
      </c>
      <c r="J39" s="69"/>
      <c r="K39" s="1206">
        <f t="shared" si="15"/>
        <v>10</v>
      </c>
      <c r="L39" s="69"/>
      <c r="M39" s="1206" t="str">
        <f t="shared" si="16"/>
        <v/>
      </c>
      <c r="N39" s="69"/>
      <c r="O39" s="1206">
        <f t="shared" si="17"/>
        <v>9</v>
      </c>
      <c r="P39" s="69"/>
      <c r="Q39" s="1206" t="str">
        <f t="shared" si="18"/>
        <v/>
      </c>
      <c r="R39" s="69"/>
      <c r="S39" s="1206">
        <f t="shared" si="19"/>
        <v>5</v>
      </c>
      <c r="T39" s="69"/>
      <c r="U39" s="1206" t="str">
        <f t="shared" si="20"/>
        <v/>
      </c>
      <c r="V39" s="69"/>
      <c r="W39" s="1206">
        <f t="shared" si="21"/>
        <v>10</v>
      </c>
      <c r="X39" s="69"/>
      <c r="Y39" s="1206">
        <f t="shared" si="22"/>
        <v>5</v>
      </c>
      <c r="Z39" s="69"/>
      <c r="AA39" s="1206" t="str">
        <f t="shared" si="23"/>
        <v/>
      </c>
      <c r="AB39" s="69"/>
      <c r="AC39" s="1206" t="str">
        <f t="shared" si="24"/>
        <v/>
      </c>
      <c r="AD39" s="69"/>
      <c r="AE39" s="1206">
        <f t="shared" si="25"/>
        <v>5</v>
      </c>
      <c r="AF39" s="69"/>
      <c r="AG39" s="1206" t="str">
        <f t="shared" si="26"/>
        <v/>
      </c>
      <c r="AH39" s="69"/>
      <c r="AI39" s="1206" t="str">
        <f t="shared" si="27"/>
        <v/>
      </c>
      <c r="AJ39" s="69"/>
      <c r="AK39" s="1206">
        <f t="shared" si="28"/>
        <v>5</v>
      </c>
      <c r="AL39" s="69"/>
      <c r="AM39" s="1206" t="str">
        <f t="shared" si="29"/>
        <v/>
      </c>
      <c r="AN39" s="69"/>
      <c r="AO39" s="1206" t="str">
        <f t="shared" si="30"/>
        <v/>
      </c>
      <c r="AP39" s="69"/>
      <c r="AQ39" s="1206">
        <f t="shared" si="31"/>
        <v>10</v>
      </c>
      <c r="AR39" s="69"/>
      <c r="AS39" s="1206" t="str">
        <f t="shared" si="32"/>
        <v/>
      </c>
      <c r="AT39" s="69"/>
      <c r="AU39" s="1206">
        <f t="shared" si="33"/>
        <v>8</v>
      </c>
      <c r="AV39" s="69"/>
      <c r="AW39" s="1206" t="str">
        <f t="shared" si="34"/>
        <v/>
      </c>
      <c r="AX39" s="69"/>
      <c r="AY39" s="1207">
        <f t="shared" si="35"/>
        <v>87</v>
      </c>
      <c r="AZ39" s="1209"/>
      <c r="BA39" s="1209"/>
      <c r="BB39" s="1209"/>
      <c r="BD39" s="1192"/>
    </row>
    <row r="40" ht="22.5" customHeight="1">
      <c r="A40" s="1109">
        <f t="shared" ref="A40:D40" si="36">A8</f>
        <v>3</v>
      </c>
      <c r="B40" s="1111">
        <f t="shared" si="36"/>
        <v>3170</v>
      </c>
      <c r="C40" s="1205" t="str">
        <f t="shared" si="36"/>
        <v>салат </v>
      </c>
      <c r="D40" s="1129" t="str">
        <f t="shared" si="36"/>
        <v/>
      </c>
      <c r="E40" s="1206">
        <f t="shared" si="12"/>
        <v>30</v>
      </c>
      <c r="F40" s="69"/>
      <c r="G40" s="1206" t="str">
        <f t="shared" si="13"/>
        <v/>
      </c>
      <c r="H40" s="69"/>
      <c r="I40" s="1206" t="str">
        <f t="shared" si="14"/>
        <v/>
      </c>
      <c r="J40" s="69"/>
      <c r="K40" s="1206">
        <f t="shared" si="15"/>
        <v>5</v>
      </c>
      <c r="L40" s="69"/>
      <c r="M40" s="1206" t="str">
        <f t="shared" si="16"/>
        <v/>
      </c>
      <c r="N40" s="69"/>
      <c r="O40" s="1206" t="str">
        <f t="shared" si="17"/>
        <v/>
      </c>
      <c r="P40" s="69"/>
      <c r="Q40" s="1206" t="str">
        <f t="shared" si="18"/>
        <v/>
      </c>
      <c r="R40" s="69"/>
      <c r="S40" s="1206" t="str">
        <f t="shared" si="19"/>
        <v/>
      </c>
      <c r="T40" s="69"/>
      <c r="U40" s="1206" t="str">
        <f t="shared" si="20"/>
        <v/>
      </c>
      <c r="V40" s="69"/>
      <c r="W40" s="1206">
        <f t="shared" si="21"/>
        <v>5</v>
      </c>
      <c r="X40" s="69"/>
      <c r="Y40" s="1206" t="str">
        <f t="shared" si="22"/>
        <v/>
      </c>
      <c r="Z40" s="69"/>
      <c r="AA40" s="1206" t="str">
        <f t="shared" si="23"/>
        <v/>
      </c>
      <c r="AB40" s="69"/>
      <c r="AC40" s="1206" t="str">
        <f t="shared" si="24"/>
        <v/>
      </c>
      <c r="AD40" s="69"/>
      <c r="AE40" s="1206" t="str">
        <f t="shared" si="25"/>
        <v/>
      </c>
      <c r="AF40" s="69"/>
      <c r="AG40" s="1206" t="str">
        <f t="shared" si="26"/>
        <v/>
      </c>
      <c r="AH40" s="69"/>
      <c r="AI40" s="1206" t="str">
        <f t="shared" si="27"/>
        <v/>
      </c>
      <c r="AJ40" s="69"/>
      <c r="AK40" s="1206" t="str">
        <f t="shared" si="28"/>
        <v/>
      </c>
      <c r="AL40" s="69"/>
      <c r="AM40" s="1206" t="str">
        <f t="shared" si="29"/>
        <v/>
      </c>
      <c r="AN40" s="69"/>
      <c r="AO40" s="1206" t="str">
        <f t="shared" si="30"/>
        <v/>
      </c>
      <c r="AP40" s="69"/>
      <c r="AQ40" s="1206">
        <f t="shared" si="31"/>
        <v>20</v>
      </c>
      <c r="AR40" s="69"/>
      <c r="AS40" s="1206" t="str">
        <f t="shared" si="32"/>
        <v/>
      </c>
      <c r="AT40" s="69"/>
      <c r="AU40" s="1206" t="str">
        <f t="shared" si="33"/>
        <v/>
      </c>
      <c r="AV40" s="69"/>
      <c r="AW40" s="1206" t="str">
        <f t="shared" si="34"/>
        <v/>
      </c>
      <c r="AX40" s="69"/>
      <c r="AY40" s="1207">
        <f t="shared" si="35"/>
        <v>60</v>
      </c>
      <c r="AZ40" s="1208"/>
      <c r="BA40" s="1208"/>
      <c r="BB40" s="1208"/>
      <c r="BD40" s="1192"/>
    </row>
    <row r="41" ht="22.5" customHeight="1">
      <c r="A41" s="1109">
        <f t="shared" ref="A41:D41" si="37">A9</f>
        <v>4</v>
      </c>
      <c r="B41" s="1111">
        <f t="shared" si="37"/>
        <v>47</v>
      </c>
      <c r="C41" s="1205" t="str">
        <f t="shared" si="37"/>
        <v>Салат</v>
      </c>
      <c r="D41" s="1129" t="str">
        <f t="shared" si="37"/>
        <v/>
      </c>
      <c r="E41" s="1206">
        <f t="shared" si="12"/>
        <v>30</v>
      </c>
      <c r="F41" s="69"/>
      <c r="G41" s="1206" t="str">
        <f t="shared" si="13"/>
        <v/>
      </c>
      <c r="H41" s="69"/>
      <c r="I41" s="1206" t="str">
        <f t="shared" si="14"/>
        <v/>
      </c>
      <c r="J41" s="69"/>
      <c r="K41" s="1206">
        <f t="shared" si="15"/>
        <v>10</v>
      </c>
      <c r="L41" s="69"/>
      <c r="M41" s="1206" t="str">
        <f t="shared" si="16"/>
        <v/>
      </c>
      <c r="N41" s="69"/>
      <c r="O41" s="1206">
        <f t="shared" si="17"/>
        <v>15</v>
      </c>
      <c r="P41" s="69"/>
      <c r="Q41" s="1206" t="str">
        <f t="shared" si="18"/>
        <v/>
      </c>
      <c r="R41" s="69"/>
      <c r="S41" s="1206">
        <f t="shared" si="19"/>
        <v>5</v>
      </c>
      <c r="T41" s="69"/>
      <c r="U41" s="1206" t="str">
        <f t="shared" si="20"/>
        <v/>
      </c>
      <c r="V41" s="69"/>
      <c r="W41" s="1206">
        <f t="shared" si="21"/>
        <v>13</v>
      </c>
      <c r="X41" s="69"/>
      <c r="Y41" s="1206">
        <f t="shared" si="22"/>
        <v>5</v>
      </c>
      <c r="Z41" s="69"/>
      <c r="AA41" s="1206" t="str">
        <f t="shared" si="23"/>
        <v/>
      </c>
      <c r="AB41" s="69"/>
      <c r="AC41" s="1206" t="str">
        <f t="shared" si="24"/>
        <v/>
      </c>
      <c r="AD41" s="69"/>
      <c r="AE41" s="1206">
        <f t="shared" si="25"/>
        <v>10</v>
      </c>
      <c r="AF41" s="69"/>
      <c r="AG41" s="1206" t="str">
        <f t="shared" si="26"/>
        <v/>
      </c>
      <c r="AH41" s="69"/>
      <c r="AI41" s="1206" t="str">
        <f t="shared" si="27"/>
        <v/>
      </c>
      <c r="AJ41" s="69"/>
      <c r="AK41" s="1206">
        <f t="shared" si="28"/>
        <v>7</v>
      </c>
      <c r="AL41" s="69"/>
      <c r="AM41" s="1206" t="str">
        <f t="shared" si="29"/>
        <v/>
      </c>
      <c r="AN41" s="69"/>
      <c r="AO41" s="1206" t="str">
        <f t="shared" si="30"/>
        <v/>
      </c>
      <c r="AP41" s="69"/>
      <c r="AQ41" s="1206">
        <f t="shared" si="31"/>
        <v>20</v>
      </c>
      <c r="AR41" s="69"/>
      <c r="AS41" s="1206" t="str">
        <f t="shared" si="32"/>
        <v/>
      </c>
      <c r="AT41" s="69"/>
      <c r="AU41" s="1206">
        <f t="shared" si="33"/>
        <v>20</v>
      </c>
      <c r="AV41" s="69"/>
      <c r="AW41" s="1206" t="str">
        <f t="shared" si="34"/>
        <v/>
      </c>
      <c r="AX41" s="69"/>
      <c r="AY41" s="1207">
        <f t="shared" si="35"/>
        <v>135</v>
      </c>
      <c r="AZ41" s="1208"/>
      <c r="BA41" s="1208"/>
      <c r="BB41" s="1208"/>
      <c r="BD41" s="1192"/>
    </row>
    <row r="42" ht="22.5" customHeight="1">
      <c r="A42" s="1109">
        <f t="shared" ref="A42:D42" si="38">A10</f>
        <v>5</v>
      </c>
      <c r="B42" s="1111">
        <f t="shared" si="38"/>
        <v>3651</v>
      </c>
      <c r="C42" s="1205" t="str">
        <f t="shared" si="38"/>
        <v>Салат</v>
      </c>
      <c r="D42" s="1129" t="str">
        <f t="shared" si="38"/>
        <v/>
      </c>
      <c r="E42" s="1206">
        <f t="shared" si="12"/>
        <v>35</v>
      </c>
      <c r="F42" s="69"/>
      <c r="G42" s="1206" t="str">
        <f t="shared" si="13"/>
        <v/>
      </c>
      <c r="H42" s="69"/>
      <c r="I42" s="1206" t="str">
        <f t="shared" si="14"/>
        <v/>
      </c>
      <c r="J42" s="69"/>
      <c r="K42" s="1206">
        <f t="shared" si="15"/>
        <v>20</v>
      </c>
      <c r="L42" s="69"/>
      <c r="M42" s="1206" t="str">
        <f t="shared" si="16"/>
        <v/>
      </c>
      <c r="N42" s="69"/>
      <c r="O42" s="1206">
        <f t="shared" si="17"/>
        <v>15</v>
      </c>
      <c r="P42" s="69"/>
      <c r="Q42" s="1206" t="str">
        <f t="shared" si="18"/>
        <v/>
      </c>
      <c r="R42" s="69"/>
      <c r="S42" s="1206">
        <f t="shared" si="19"/>
        <v>5</v>
      </c>
      <c r="T42" s="69"/>
      <c r="U42" s="1206" t="str">
        <f t="shared" si="20"/>
        <v/>
      </c>
      <c r="V42" s="69"/>
      <c r="W42" s="1206">
        <f t="shared" si="21"/>
        <v>23</v>
      </c>
      <c r="X42" s="69"/>
      <c r="Y42" s="1206">
        <f t="shared" si="22"/>
        <v>5</v>
      </c>
      <c r="Z42" s="69"/>
      <c r="AA42" s="1206" t="str">
        <f t="shared" si="23"/>
        <v/>
      </c>
      <c r="AB42" s="69"/>
      <c r="AC42" s="1206" t="str">
        <f t="shared" si="24"/>
        <v/>
      </c>
      <c r="AD42" s="69"/>
      <c r="AE42" s="1206">
        <f t="shared" si="25"/>
        <v>10</v>
      </c>
      <c r="AF42" s="69"/>
      <c r="AG42" s="1206" t="str">
        <f t="shared" si="26"/>
        <v/>
      </c>
      <c r="AH42" s="69"/>
      <c r="AI42" s="1206" t="str">
        <f t="shared" si="27"/>
        <v/>
      </c>
      <c r="AJ42" s="69"/>
      <c r="AK42" s="1206">
        <f t="shared" si="28"/>
        <v>8</v>
      </c>
      <c r="AL42" s="69"/>
      <c r="AM42" s="1206" t="str">
        <f t="shared" si="29"/>
        <v/>
      </c>
      <c r="AN42" s="69"/>
      <c r="AO42" s="1206" t="str">
        <f t="shared" si="30"/>
        <v/>
      </c>
      <c r="AP42" s="69"/>
      <c r="AQ42" s="1206">
        <f t="shared" si="31"/>
        <v>25</v>
      </c>
      <c r="AR42" s="69"/>
      <c r="AS42" s="1206" t="str">
        <f t="shared" si="32"/>
        <v/>
      </c>
      <c r="AT42" s="69"/>
      <c r="AU42" s="1206">
        <f t="shared" si="33"/>
        <v>23</v>
      </c>
      <c r="AV42" s="69"/>
      <c r="AW42" s="1206" t="str">
        <f t="shared" si="34"/>
        <v/>
      </c>
      <c r="AX42" s="69"/>
      <c r="AY42" s="1207">
        <f t="shared" si="35"/>
        <v>169</v>
      </c>
      <c r="AZ42" s="1209"/>
      <c r="BA42" s="1209"/>
      <c r="BB42" s="1209"/>
      <c r="BD42" s="1192"/>
    </row>
    <row r="43" ht="22.5" customHeight="1">
      <c r="A43" s="1109">
        <f t="shared" ref="A43:D43" si="39">A11</f>
        <v>6</v>
      </c>
      <c r="B43" s="1111" t="str">
        <f t="shared" si="39"/>
        <v/>
      </c>
      <c r="C43" s="1205" t="str">
        <f t="shared" si="39"/>
        <v>Салат</v>
      </c>
      <c r="D43" s="1129" t="str">
        <f t="shared" si="39"/>
        <v/>
      </c>
      <c r="E43" s="1206" t="str">
        <f t="shared" si="12"/>
        <v/>
      </c>
      <c r="F43" s="69"/>
      <c r="G43" s="1206" t="str">
        <f t="shared" si="13"/>
        <v/>
      </c>
      <c r="H43" s="69"/>
      <c r="I43" s="1206" t="str">
        <f t="shared" si="14"/>
        <v/>
      </c>
      <c r="J43" s="69"/>
      <c r="K43" s="1206" t="str">
        <f t="shared" si="15"/>
        <v/>
      </c>
      <c r="L43" s="69"/>
      <c r="M43" s="1206" t="str">
        <f t="shared" si="16"/>
        <v/>
      </c>
      <c r="N43" s="69"/>
      <c r="O43" s="1206" t="str">
        <f t="shared" si="17"/>
        <v/>
      </c>
      <c r="P43" s="69"/>
      <c r="Q43" s="1206" t="str">
        <f t="shared" si="18"/>
        <v/>
      </c>
      <c r="R43" s="69"/>
      <c r="S43" s="1206" t="str">
        <f t="shared" si="19"/>
        <v/>
      </c>
      <c r="T43" s="69"/>
      <c r="U43" s="1206" t="str">
        <f t="shared" si="20"/>
        <v/>
      </c>
      <c r="V43" s="69"/>
      <c r="W43" s="1206" t="str">
        <f t="shared" si="21"/>
        <v/>
      </c>
      <c r="X43" s="69"/>
      <c r="Y43" s="1206" t="str">
        <f t="shared" si="22"/>
        <v/>
      </c>
      <c r="Z43" s="69"/>
      <c r="AA43" s="1206" t="str">
        <f t="shared" si="23"/>
        <v/>
      </c>
      <c r="AB43" s="69"/>
      <c r="AC43" s="1206" t="str">
        <f t="shared" si="24"/>
        <v/>
      </c>
      <c r="AD43" s="69"/>
      <c r="AE43" s="1206" t="str">
        <f t="shared" si="25"/>
        <v/>
      </c>
      <c r="AF43" s="69"/>
      <c r="AG43" s="1206" t="str">
        <f t="shared" si="26"/>
        <v/>
      </c>
      <c r="AH43" s="69"/>
      <c r="AI43" s="1206" t="str">
        <f t="shared" si="27"/>
        <v/>
      </c>
      <c r="AJ43" s="69"/>
      <c r="AK43" s="1206" t="str">
        <f t="shared" si="28"/>
        <v/>
      </c>
      <c r="AL43" s="69"/>
      <c r="AM43" s="1206" t="str">
        <f t="shared" si="29"/>
        <v/>
      </c>
      <c r="AN43" s="69"/>
      <c r="AO43" s="1206" t="str">
        <f t="shared" si="30"/>
        <v/>
      </c>
      <c r="AP43" s="69"/>
      <c r="AQ43" s="1206" t="str">
        <f t="shared" si="31"/>
        <v/>
      </c>
      <c r="AR43" s="69"/>
      <c r="AS43" s="1206" t="str">
        <f t="shared" si="32"/>
        <v/>
      </c>
      <c r="AT43" s="69"/>
      <c r="AU43" s="1206" t="str">
        <f t="shared" si="33"/>
        <v/>
      </c>
      <c r="AV43" s="69"/>
      <c r="AW43" s="1206" t="str">
        <f t="shared" si="34"/>
        <v/>
      </c>
      <c r="AX43" s="69"/>
      <c r="AY43" s="1207">
        <f t="shared" si="35"/>
        <v>0</v>
      </c>
      <c r="AZ43" s="1208"/>
      <c r="BA43" s="1208"/>
      <c r="BB43" s="1208"/>
      <c r="BD43" s="1192"/>
    </row>
    <row r="44" ht="22.5" customHeight="1">
      <c r="A44" s="1109">
        <f t="shared" ref="A44:D44" si="40">A12</f>
        <v>10</v>
      </c>
      <c r="B44" s="1111">
        <f t="shared" si="40"/>
        <v>380</v>
      </c>
      <c r="C44" s="1205" t="str">
        <f t="shared" si="40"/>
        <v>Суп</v>
      </c>
      <c r="D44" s="1129" t="str">
        <f t="shared" si="40"/>
        <v>Тыквенный крем-суп с имбирём</v>
      </c>
      <c r="E44" s="1206">
        <f t="shared" si="12"/>
        <v>2</v>
      </c>
      <c r="F44" s="69"/>
      <c r="G44" s="1210" t="str">
        <f t="shared" si="13"/>
        <v/>
      </c>
      <c r="H44" s="69"/>
      <c r="I44" s="1206" t="str">
        <f t="shared" si="14"/>
        <v/>
      </c>
      <c r="J44" s="69"/>
      <c r="K44" s="1206">
        <f t="shared" si="15"/>
        <v>2</v>
      </c>
      <c r="L44" s="69"/>
      <c r="M44" s="1206" t="str">
        <f t="shared" si="16"/>
        <v/>
      </c>
      <c r="N44" s="69"/>
      <c r="O44" s="1210">
        <f t="shared" si="17"/>
        <v>2</v>
      </c>
      <c r="P44" s="69"/>
      <c r="Q44" s="1206" t="str">
        <f t="shared" si="18"/>
        <v/>
      </c>
      <c r="R44" s="69"/>
      <c r="S44" s="1206">
        <f t="shared" si="19"/>
        <v>2</v>
      </c>
      <c r="T44" s="69"/>
      <c r="U44" s="1206" t="str">
        <f t="shared" si="20"/>
        <v/>
      </c>
      <c r="V44" s="69"/>
      <c r="W44" s="1206">
        <f t="shared" si="21"/>
        <v>2</v>
      </c>
      <c r="X44" s="69"/>
      <c r="Y44" s="1206">
        <f t="shared" si="22"/>
        <v>2</v>
      </c>
      <c r="Z44" s="69"/>
      <c r="AA44" s="1206" t="str">
        <f t="shared" si="23"/>
        <v/>
      </c>
      <c r="AB44" s="69"/>
      <c r="AC44" s="1206" t="str">
        <f t="shared" si="24"/>
        <v/>
      </c>
      <c r="AD44" s="69"/>
      <c r="AE44" s="1206">
        <f t="shared" si="25"/>
        <v>2</v>
      </c>
      <c r="AF44" s="69"/>
      <c r="AG44" s="1206" t="str">
        <f t="shared" si="26"/>
        <v/>
      </c>
      <c r="AH44" s="69"/>
      <c r="AI44" s="1206" t="str">
        <f t="shared" si="27"/>
        <v/>
      </c>
      <c r="AJ44" s="69"/>
      <c r="AK44" s="1206">
        <f t="shared" si="28"/>
        <v>2</v>
      </c>
      <c r="AL44" s="69"/>
      <c r="AM44" s="1206" t="str">
        <f t="shared" si="29"/>
        <v/>
      </c>
      <c r="AN44" s="69"/>
      <c r="AO44" s="1206" t="str">
        <f t="shared" si="30"/>
        <v/>
      </c>
      <c r="AP44" s="69"/>
      <c r="AQ44" s="1206">
        <f t="shared" si="31"/>
        <v>2</v>
      </c>
      <c r="AR44" s="69"/>
      <c r="AS44" s="1206" t="str">
        <f t="shared" si="32"/>
        <v/>
      </c>
      <c r="AT44" s="69"/>
      <c r="AU44" s="1206">
        <f t="shared" si="33"/>
        <v>2</v>
      </c>
      <c r="AV44" s="69"/>
      <c r="AW44" s="1206" t="str">
        <f t="shared" si="34"/>
        <v/>
      </c>
      <c r="AX44" s="69"/>
      <c r="AY44" s="1207">
        <f t="shared" si="35"/>
        <v>20</v>
      </c>
      <c r="AZ44" s="1209"/>
      <c r="BA44" s="1209"/>
      <c r="BB44" s="1209"/>
      <c r="BD44" s="1192"/>
    </row>
    <row r="45" ht="22.5" customHeight="1">
      <c r="A45" s="1109">
        <f t="shared" ref="A45:D45" si="41">A13</f>
        <v>12</v>
      </c>
      <c r="B45" s="1111">
        <f t="shared" si="41"/>
        <v>69</v>
      </c>
      <c r="C45" s="1205" t="str">
        <f t="shared" si="41"/>
        <v>Второе</v>
      </c>
      <c r="D45" s="1129" t="str">
        <f t="shared" si="41"/>
        <v>Котлета домашняя с пюре </v>
      </c>
      <c r="E45" s="1206">
        <f t="shared" si="12"/>
        <v>20</v>
      </c>
      <c r="F45" s="69"/>
      <c r="G45" s="1210" t="str">
        <f t="shared" si="13"/>
        <v/>
      </c>
      <c r="H45" s="69"/>
      <c r="I45" s="1206" t="str">
        <f t="shared" si="14"/>
        <v/>
      </c>
      <c r="J45" s="69"/>
      <c r="K45" s="1206">
        <f t="shared" si="15"/>
        <v>13</v>
      </c>
      <c r="L45" s="69"/>
      <c r="M45" s="1206" t="str">
        <f t="shared" si="16"/>
        <v/>
      </c>
      <c r="N45" s="69"/>
      <c r="O45" s="1210">
        <f t="shared" si="17"/>
        <v>12</v>
      </c>
      <c r="P45" s="69"/>
      <c r="Q45" s="1206" t="str">
        <f t="shared" si="18"/>
        <v/>
      </c>
      <c r="R45" s="69"/>
      <c r="S45" s="1206">
        <f t="shared" si="19"/>
        <v>4</v>
      </c>
      <c r="T45" s="69"/>
      <c r="U45" s="1206" t="str">
        <f t="shared" si="20"/>
        <v/>
      </c>
      <c r="V45" s="69"/>
      <c r="W45" s="1206">
        <f t="shared" si="21"/>
        <v>20</v>
      </c>
      <c r="X45" s="69"/>
      <c r="Y45" s="1206">
        <f t="shared" si="22"/>
        <v>4</v>
      </c>
      <c r="Z45" s="69"/>
      <c r="AA45" s="1206" t="str">
        <f t="shared" si="23"/>
        <v/>
      </c>
      <c r="AB45" s="69"/>
      <c r="AC45" s="1206" t="str">
        <f t="shared" si="24"/>
        <v/>
      </c>
      <c r="AD45" s="69"/>
      <c r="AE45" s="1206">
        <f t="shared" si="25"/>
        <v>8</v>
      </c>
      <c r="AF45" s="69"/>
      <c r="AG45" s="1206" t="str">
        <f t="shared" si="26"/>
        <v/>
      </c>
      <c r="AH45" s="69"/>
      <c r="AI45" s="1206" t="str">
        <f t="shared" si="27"/>
        <v/>
      </c>
      <c r="AJ45" s="69"/>
      <c r="AK45" s="1206">
        <f t="shared" si="28"/>
        <v>4</v>
      </c>
      <c r="AL45" s="69"/>
      <c r="AM45" s="1206" t="str">
        <f t="shared" si="29"/>
        <v/>
      </c>
      <c r="AN45" s="69"/>
      <c r="AO45" s="1206" t="str">
        <f t="shared" si="30"/>
        <v/>
      </c>
      <c r="AP45" s="69"/>
      <c r="AQ45" s="1206">
        <f t="shared" si="31"/>
        <v>30</v>
      </c>
      <c r="AR45" s="69"/>
      <c r="AS45" s="1206" t="str">
        <f t="shared" si="32"/>
        <v/>
      </c>
      <c r="AT45" s="69"/>
      <c r="AU45" s="1206">
        <f t="shared" si="33"/>
        <v>15</v>
      </c>
      <c r="AV45" s="69"/>
      <c r="AW45" s="1206" t="str">
        <f t="shared" si="34"/>
        <v/>
      </c>
      <c r="AX45" s="69"/>
      <c r="AY45" s="1207">
        <f t="shared" si="35"/>
        <v>130</v>
      </c>
      <c r="AZ45" s="1208"/>
      <c r="BA45" s="1208"/>
      <c r="BB45" s="1208"/>
      <c r="BD45" s="1192"/>
    </row>
    <row r="46" ht="22.5" customHeight="1">
      <c r="A46" s="1109">
        <f t="shared" ref="A46:D46" si="42">A14</f>
        <v>13</v>
      </c>
      <c r="B46" s="1111">
        <f t="shared" si="42"/>
        <v>3732</v>
      </c>
      <c r="C46" s="1205" t="str">
        <f t="shared" si="42"/>
        <v>Второе</v>
      </c>
      <c r="D46" s="1129" t="str">
        <f t="shared" si="42"/>
        <v>Отбивная из курицы с Фарфале </v>
      </c>
      <c r="E46" s="1206">
        <f t="shared" si="12"/>
        <v>20</v>
      </c>
      <c r="F46" s="69"/>
      <c r="G46" s="1210" t="str">
        <f t="shared" si="13"/>
        <v/>
      </c>
      <c r="H46" s="69"/>
      <c r="I46" s="1206" t="str">
        <f t="shared" si="14"/>
        <v/>
      </c>
      <c r="J46" s="69"/>
      <c r="K46" s="1206">
        <f t="shared" si="15"/>
        <v>10</v>
      </c>
      <c r="L46" s="69"/>
      <c r="M46" s="1206" t="str">
        <f t="shared" si="16"/>
        <v/>
      </c>
      <c r="N46" s="69"/>
      <c r="O46" s="1210">
        <f t="shared" si="17"/>
        <v>7</v>
      </c>
      <c r="P46" s="69"/>
      <c r="Q46" s="1206" t="str">
        <f t="shared" si="18"/>
        <v/>
      </c>
      <c r="R46" s="69"/>
      <c r="S46" s="1206">
        <f t="shared" si="19"/>
        <v>2</v>
      </c>
      <c r="T46" s="69"/>
      <c r="U46" s="1206" t="str">
        <f t="shared" si="20"/>
        <v/>
      </c>
      <c r="V46" s="69"/>
      <c r="W46" s="1206">
        <f t="shared" si="21"/>
        <v>18</v>
      </c>
      <c r="X46" s="69"/>
      <c r="Y46" s="1206">
        <f t="shared" si="22"/>
        <v>2</v>
      </c>
      <c r="Z46" s="69"/>
      <c r="AA46" s="1206" t="str">
        <f t="shared" si="23"/>
        <v/>
      </c>
      <c r="AB46" s="69"/>
      <c r="AC46" s="1206" t="str">
        <f t="shared" si="24"/>
        <v/>
      </c>
      <c r="AD46" s="69"/>
      <c r="AE46" s="1206">
        <f t="shared" si="25"/>
        <v>4</v>
      </c>
      <c r="AF46" s="69"/>
      <c r="AG46" s="1206" t="str">
        <f t="shared" si="26"/>
        <v/>
      </c>
      <c r="AH46" s="69"/>
      <c r="AI46" s="1206" t="str">
        <f t="shared" si="27"/>
        <v/>
      </c>
      <c r="AJ46" s="69"/>
      <c r="AK46" s="1206">
        <f t="shared" si="28"/>
        <v>2</v>
      </c>
      <c r="AL46" s="69"/>
      <c r="AM46" s="1206" t="str">
        <f t="shared" si="29"/>
        <v/>
      </c>
      <c r="AN46" s="69"/>
      <c r="AO46" s="1206" t="str">
        <f t="shared" si="30"/>
        <v/>
      </c>
      <c r="AP46" s="69"/>
      <c r="AQ46" s="1206">
        <f t="shared" si="31"/>
        <v>25</v>
      </c>
      <c r="AR46" s="69"/>
      <c r="AS46" s="1206" t="str">
        <f t="shared" si="32"/>
        <v/>
      </c>
      <c r="AT46" s="69"/>
      <c r="AU46" s="1206">
        <f t="shared" si="33"/>
        <v>10</v>
      </c>
      <c r="AV46" s="69"/>
      <c r="AW46" s="1206" t="str">
        <f t="shared" si="34"/>
        <v/>
      </c>
      <c r="AX46" s="69"/>
      <c r="AY46" s="1207">
        <f t="shared" si="35"/>
        <v>100</v>
      </c>
      <c r="AZ46" s="1208"/>
      <c r="BA46" s="1208"/>
      <c r="BB46" s="1208"/>
      <c r="BD46" s="1192"/>
    </row>
    <row r="47" ht="22.5" customHeight="1">
      <c r="A47" s="1109">
        <f t="shared" ref="A47:D47" si="43">A15</f>
        <v>14</v>
      </c>
      <c r="B47" s="1111">
        <f t="shared" si="43"/>
        <v>3731</v>
      </c>
      <c r="C47" s="1205" t="str">
        <f t="shared" si="43"/>
        <v>#REF!</v>
      </c>
      <c r="D47" s="1129" t="str">
        <f t="shared" si="43"/>
        <v>Биточки куриные с гречкой </v>
      </c>
      <c r="E47" s="1206">
        <f t="shared" si="12"/>
        <v>25</v>
      </c>
      <c r="F47" s="69"/>
      <c r="G47" s="1210" t="str">
        <f t="shared" si="13"/>
        <v/>
      </c>
      <c r="H47" s="69"/>
      <c r="I47" s="1206" t="str">
        <f t="shared" si="14"/>
        <v/>
      </c>
      <c r="J47" s="69"/>
      <c r="K47" s="1206">
        <f t="shared" si="15"/>
        <v>15</v>
      </c>
      <c r="L47" s="69"/>
      <c r="M47" s="1206" t="str">
        <f t="shared" si="16"/>
        <v/>
      </c>
      <c r="N47" s="69"/>
      <c r="O47" s="1210">
        <f t="shared" si="17"/>
        <v>12</v>
      </c>
      <c r="P47" s="69"/>
      <c r="Q47" s="1206" t="str">
        <f t="shared" si="18"/>
        <v/>
      </c>
      <c r="R47" s="69"/>
      <c r="S47" s="1206">
        <f t="shared" si="19"/>
        <v>4</v>
      </c>
      <c r="T47" s="69"/>
      <c r="U47" s="1206" t="str">
        <f t="shared" si="20"/>
        <v/>
      </c>
      <c r="V47" s="69"/>
      <c r="W47" s="1206">
        <f t="shared" si="21"/>
        <v>23</v>
      </c>
      <c r="X47" s="69"/>
      <c r="Y47" s="1206">
        <f t="shared" si="22"/>
        <v>4</v>
      </c>
      <c r="Z47" s="69"/>
      <c r="AA47" s="1206" t="str">
        <f t="shared" si="23"/>
        <v/>
      </c>
      <c r="AB47" s="69"/>
      <c r="AC47" s="1206" t="str">
        <f t="shared" si="24"/>
        <v/>
      </c>
      <c r="AD47" s="69"/>
      <c r="AE47" s="1206">
        <f t="shared" si="25"/>
        <v>8</v>
      </c>
      <c r="AF47" s="69"/>
      <c r="AG47" s="1206" t="str">
        <f t="shared" si="26"/>
        <v/>
      </c>
      <c r="AH47" s="69"/>
      <c r="AI47" s="1206" t="str">
        <f t="shared" si="27"/>
        <v/>
      </c>
      <c r="AJ47" s="69"/>
      <c r="AK47" s="1206">
        <f t="shared" si="28"/>
        <v>4</v>
      </c>
      <c r="AL47" s="69"/>
      <c r="AM47" s="1206" t="str">
        <f t="shared" si="29"/>
        <v/>
      </c>
      <c r="AN47" s="69"/>
      <c r="AO47" s="1206" t="str">
        <f t="shared" si="30"/>
        <v/>
      </c>
      <c r="AP47" s="69"/>
      <c r="AQ47" s="1206">
        <f t="shared" si="31"/>
        <v>30</v>
      </c>
      <c r="AR47" s="69"/>
      <c r="AS47" s="1206" t="str">
        <f t="shared" si="32"/>
        <v/>
      </c>
      <c r="AT47" s="69"/>
      <c r="AU47" s="1206">
        <f t="shared" si="33"/>
        <v>15</v>
      </c>
      <c r="AV47" s="69"/>
      <c r="AW47" s="1206" t="str">
        <f t="shared" si="34"/>
        <v/>
      </c>
      <c r="AX47" s="69"/>
      <c r="AY47" s="1207">
        <f t="shared" si="35"/>
        <v>140</v>
      </c>
      <c r="AZ47" s="1208"/>
      <c r="BA47" s="1208"/>
      <c r="BB47" s="1208"/>
      <c r="BD47" s="1192"/>
    </row>
    <row r="48" ht="22.5" customHeight="1">
      <c r="A48" s="1109">
        <f t="shared" ref="A48:D48" si="44">A16</f>
        <v>15</v>
      </c>
      <c r="B48" s="1111">
        <f t="shared" si="44"/>
        <v>3672</v>
      </c>
      <c r="C48" s="1205" t="str">
        <f t="shared" si="44"/>
        <v>Второе</v>
      </c>
      <c r="D48" s="1129" t="str">
        <f t="shared" si="44"/>
        <v>Говядина в имбирном соусе </v>
      </c>
      <c r="E48" s="1206">
        <f t="shared" si="12"/>
        <v>24</v>
      </c>
      <c r="F48" s="69"/>
      <c r="G48" s="1210" t="str">
        <f t="shared" si="13"/>
        <v/>
      </c>
      <c r="H48" s="69"/>
      <c r="I48" s="1206" t="str">
        <f t="shared" si="14"/>
        <v/>
      </c>
      <c r="J48" s="69"/>
      <c r="K48" s="1206">
        <f t="shared" si="15"/>
        <v>12</v>
      </c>
      <c r="L48" s="69"/>
      <c r="M48" s="1206" t="str">
        <f t="shared" si="16"/>
        <v/>
      </c>
      <c r="N48" s="69"/>
      <c r="O48" s="1210">
        <f t="shared" si="17"/>
        <v>9</v>
      </c>
      <c r="P48" s="69"/>
      <c r="Q48" s="1206" t="str">
        <f t="shared" si="18"/>
        <v/>
      </c>
      <c r="R48" s="69"/>
      <c r="S48" s="1206">
        <f t="shared" si="19"/>
        <v>3</v>
      </c>
      <c r="T48" s="69"/>
      <c r="U48" s="1206" t="str">
        <f t="shared" si="20"/>
        <v/>
      </c>
      <c r="V48" s="69"/>
      <c r="W48" s="1206">
        <f t="shared" si="21"/>
        <v>20</v>
      </c>
      <c r="X48" s="69"/>
      <c r="Y48" s="1206">
        <f t="shared" si="22"/>
        <v>3</v>
      </c>
      <c r="Z48" s="69"/>
      <c r="AA48" s="1206" t="str">
        <f t="shared" si="23"/>
        <v/>
      </c>
      <c r="AB48" s="69"/>
      <c r="AC48" s="1206" t="str">
        <f t="shared" si="24"/>
        <v/>
      </c>
      <c r="AD48" s="69"/>
      <c r="AE48" s="1206">
        <f t="shared" si="25"/>
        <v>4</v>
      </c>
      <c r="AF48" s="69"/>
      <c r="AG48" s="1206" t="str">
        <f t="shared" si="26"/>
        <v/>
      </c>
      <c r="AH48" s="69"/>
      <c r="AI48" s="1206" t="str">
        <f t="shared" si="27"/>
        <v/>
      </c>
      <c r="AJ48" s="69"/>
      <c r="AK48" s="1206">
        <f t="shared" si="28"/>
        <v>3</v>
      </c>
      <c r="AL48" s="69"/>
      <c r="AM48" s="1206" t="str">
        <f t="shared" si="29"/>
        <v/>
      </c>
      <c r="AN48" s="69"/>
      <c r="AO48" s="1206" t="str">
        <f t="shared" si="30"/>
        <v/>
      </c>
      <c r="AP48" s="69"/>
      <c r="AQ48" s="1206">
        <f t="shared" si="31"/>
        <v>30</v>
      </c>
      <c r="AR48" s="69"/>
      <c r="AS48" s="1206" t="str">
        <f t="shared" si="32"/>
        <v/>
      </c>
      <c r="AT48" s="69"/>
      <c r="AU48" s="1206">
        <f t="shared" si="33"/>
        <v>11</v>
      </c>
      <c r="AV48" s="69"/>
      <c r="AW48" s="1206" t="str">
        <f t="shared" si="34"/>
        <v/>
      </c>
      <c r="AX48" s="69"/>
      <c r="AY48" s="1207">
        <f t="shared" si="35"/>
        <v>119</v>
      </c>
      <c r="AZ48" s="1209"/>
      <c r="BA48" s="1209"/>
      <c r="BB48" s="1209"/>
      <c r="BD48" s="1192"/>
    </row>
    <row r="49" ht="22.5" customHeight="1">
      <c r="A49" s="1109">
        <f t="shared" ref="A49:D49" si="45">A17</f>
        <v>16</v>
      </c>
      <c r="B49" s="1111">
        <f t="shared" si="45"/>
        <v>3537</v>
      </c>
      <c r="C49" s="1205" t="str">
        <f t="shared" si="45"/>
        <v>сэндвич</v>
      </c>
      <c r="D49" s="1129" t="str">
        <f t="shared" si="45"/>
        <v/>
      </c>
      <c r="E49" s="1206">
        <f t="shared" si="12"/>
        <v>26</v>
      </c>
      <c r="F49" s="69"/>
      <c r="G49" s="1206" t="str">
        <f t="shared" si="13"/>
        <v/>
      </c>
      <c r="H49" s="69"/>
      <c r="I49" s="1206" t="str">
        <f t="shared" si="14"/>
        <v/>
      </c>
      <c r="J49" s="69"/>
      <c r="K49" s="1206">
        <f t="shared" si="15"/>
        <v>26</v>
      </c>
      <c r="L49" s="69"/>
      <c r="M49" s="1206" t="str">
        <f t="shared" si="16"/>
        <v/>
      </c>
      <c r="N49" s="69"/>
      <c r="O49" s="1206">
        <f t="shared" si="17"/>
        <v>8</v>
      </c>
      <c r="P49" s="69"/>
      <c r="Q49" s="1206" t="str">
        <f t="shared" si="18"/>
        <v/>
      </c>
      <c r="R49" s="69"/>
      <c r="S49" s="1206">
        <f t="shared" si="19"/>
        <v>6</v>
      </c>
      <c r="T49" s="69"/>
      <c r="U49" s="1206" t="str">
        <f t="shared" si="20"/>
        <v/>
      </c>
      <c r="V49" s="69"/>
      <c r="W49" s="1206">
        <f t="shared" si="21"/>
        <v>17</v>
      </c>
      <c r="X49" s="69"/>
      <c r="Y49" s="1206">
        <f t="shared" si="22"/>
        <v>7</v>
      </c>
      <c r="Z49" s="69"/>
      <c r="AA49" s="1206" t="str">
        <f t="shared" si="23"/>
        <v/>
      </c>
      <c r="AB49" s="69"/>
      <c r="AC49" s="1206" t="str">
        <f t="shared" si="24"/>
        <v/>
      </c>
      <c r="AD49" s="69"/>
      <c r="AE49" s="1206">
        <f t="shared" si="25"/>
        <v>7</v>
      </c>
      <c r="AF49" s="69"/>
      <c r="AG49" s="1206" t="str">
        <f t="shared" si="26"/>
        <v/>
      </c>
      <c r="AH49" s="69"/>
      <c r="AI49" s="1206" t="str">
        <f t="shared" si="27"/>
        <v/>
      </c>
      <c r="AJ49" s="69"/>
      <c r="AK49" s="1206" t="str">
        <f t="shared" si="28"/>
        <v/>
      </c>
      <c r="AL49" s="69"/>
      <c r="AM49" s="1206" t="str">
        <f t="shared" si="29"/>
        <v/>
      </c>
      <c r="AN49" s="69"/>
      <c r="AO49" s="1206" t="str">
        <f t="shared" si="30"/>
        <v/>
      </c>
      <c r="AP49" s="69"/>
      <c r="AQ49" s="1206">
        <f t="shared" si="31"/>
        <v>22</v>
      </c>
      <c r="AR49" s="69"/>
      <c r="AS49" s="1206" t="str">
        <f t="shared" si="32"/>
        <v/>
      </c>
      <c r="AT49" s="69"/>
      <c r="AU49" s="1206">
        <f t="shared" si="33"/>
        <v>6</v>
      </c>
      <c r="AV49" s="69"/>
      <c r="AW49" s="1206" t="str">
        <f t="shared" si="34"/>
        <v/>
      </c>
      <c r="AX49" s="69"/>
      <c r="AY49" s="1207">
        <f t="shared" si="35"/>
        <v>125</v>
      </c>
      <c r="AZ49" s="1209"/>
      <c r="BA49" s="1209"/>
      <c r="BB49" s="1209"/>
      <c r="BD49" s="1192"/>
    </row>
    <row r="50" ht="22.5" customHeight="1">
      <c r="A50" s="1109">
        <f t="shared" ref="A50:D50" si="46">A18</f>
        <v>17</v>
      </c>
      <c r="B50" s="1111">
        <f t="shared" si="46"/>
        <v>3733</v>
      </c>
      <c r="C50" s="1205" t="str">
        <f t="shared" si="46"/>
        <v/>
      </c>
      <c r="D50" s="1129" t="str">
        <f t="shared" si="46"/>
        <v>Чкмерули из курицы с гречкой </v>
      </c>
      <c r="E50" s="1206">
        <f t="shared" si="12"/>
        <v>5</v>
      </c>
      <c r="F50" s="69"/>
      <c r="G50" s="1206" t="str">
        <f t="shared" si="13"/>
        <v/>
      </c>
      <c r="H50" s="69"/>
      <c r="I50" s="1206" t="str">
        <f t="shared" si="14"/>
        <v/>
      </c>
      <c r="J50" s="69"/>
      <c r="K50" s="1206">
        <f t="shared" si="15"/>
        <v>5</v>
      </c>
      <c r="L50" s="69"/>
      <c r="M50" s="1206" t="str">
        <f t="shared" si="16"/>
        <v/>
      </c>
      <c r="N50" s="69"/>
      <c r="O50" s="1206">
        <f t="shared" si="17"/>
        <v>4</v>
      </c>
      <c r="P50" s="69"/>
      <c r="Q50" s="1206" t="str">
        <f t="shared" si="18"/>
        <v/>
      </c>
      <c r="R50" s="69"/>
      <c r="S50" s="1206">
        <f t="shared" si="19"/>
        <v>2</v>
      </c>
      <c r="T50" s="69"/>
      <c r="U50" s="1206" t="str">
        <f t="shared" si="20"/>
        <v/>
      </c>
      <c r="V50" s="69"/>
      <c r="W50" s="1206">
        <f t="shared" si="21"/>
        <v>5</v>
      </c>
      <c r="X50" s="69"/>
      <c r="Y50" s="1206">
        <f t="shared" si="22"/>
        <v>3</v>
      </c>
      <c r="Z50" s="69"/>
      <c r="AA50" s="1206" t="str">
        <f t="shared" si="23"/>
        <v/>
      </c>
      <c r="AB50" s="69"/>
      <c r="AC50" s="1206" t="str">
        <f t="shared" si="24"/>
        <v/>
      </c>
      <c r="AD50" s="69"/>
      <c r="AE50" s="1206">
        <f t="shared" si="25"/>
        <v>4</v>
      </c>
      <c r="AF50" s="69"/>
      <c r="AG50" s="1206" t="str">
        <f t="shared" si="26"/>
        <v/>
      </c>
      <c r="AH50" s="69"/>
      <c r="AI50" s="1206" t="str">
        <f t="shared" si="27"/>
        <v/>
      </c>
      <c r="AJ50" s="69"/>
      <c r="AK50" s="1206">
        <f t="shared" si="28"/>
        <v>2</v>
      </c>
      <c r="AL50" s="69"/>
      <c r="AM50" s="1206" t="str">
        <f t="shared" si="29"/>
        <v/>
      </c>
      <c r="AN50" s="69"/>
      <c r="AO50" s="1206" t="str">
        <f t="shared" si="30"/>
        <v/>
      </c>
      <c r="AP50" s="69"/>
      <c r="AQ50" s="1206">
        <f t="shared" si="31"/>
        <v>5</v>
      </c>
      <c r="AR50" s="69"/>
      <c r="AS50" s="1206" t="str">
        <f t="shared" si="32"/>
        <v/>
      </c>
      <c r="AT50" s="69"/>
      <c r="AU50" s="1206">
        <f t="shared" si="33"/>
        <v>4</v>
      </c>
      <c r="AV50" s="69"/>
      <c r="AW50" s="1206" t="str">
        <f t="shared" si="34"/>
        <v/>
      </c>
      <c r="AX50" s="69"/>
      <c r="AY50" s="1207">
        <f t="shared" si="35"/>
        <v>39</v>
      </c>
      <c r="AZ50" s="1208"/>
      <c r="BA50" s="1208"/>
      <c r="BB50" s="1208"/>
      <c r="BD50" s="1192"/>
    </row>
    <row r="51" ht="22.5" customHeight="1">
      <c r="A51" s="1109">
        <f t="shared" ref="A51:D51" si="47">A19</f>
        <v>18</v>
      </c>
      <c r="B51" s="1111" t="str">
        <f t="shared" si="47"/>
        <v/>
      </c>
      <c r="C51" s="1205" t="str">
        <f t="shared" si="47"/>
        <v/>
      </c>
      <c r="D51" s="1129" t="str">
        <f t="shared" si="47"/>
        <v/>
      </c>
      <c r="E51" s="1206" t="str">
        <f t="shared" si="12"/>
        <v/>
      </c>
      <c r="F51" s="69"/>
      <c r="G51" s="1206" t="str">
        <f t="shared" si="13"/>
        <v/>
      </c>
      <c r="H51" s="69"/>
      <c r="I51" s="1206" t="str">
        <f t="shared" si="14"/>
        <v/>
      </c>
      <c r="J51" s="69"/>
      <c r="K51" s="1206" t="str">
        <f t="shared" si="15"/>
        <v/>
      </c>
      <c r="L51" s="69"/>
      <c r="M51" s="1206" t="str">
        <f t="shared" si="16"/>
        <v/>
      </c>
      <c r="N51" s="69"/>
      <c r="O51" s="1206" t="str">
        <f t="shared" si="17"/>
        <v/>
      </c>
      <c r="P51" s="69"/>
      <c r="Q51" s="1206" t="str">
        <f t="shared" si="18"/>
        <v/>
      </c>
      <c r="R51" s="69"/>
      <c r="S51" s="1206" t="str">
        <f t="shared" si="19"/>
        <v/>
      </c>
      <c r="T51" s="69"/>
      <c r="U51" s="1206" t="str">
        <f t="shared" si="20"/>
        <v/>
      </c>
      <c r="V51" s="69"/>
      <c r="W51" s="1206" t="str">
        <f t="shared" si="21"/>
        <v/>
      </c>
      <c r="X51" s="69"/>
      <c r="Y51" s="1206" t="str">
        <f t="shared" si="22"/>
        <v/>
      </c>
      <c r="Z51" s="69"/>
      <c r="AA51" s="1206" t="str">
        <f t="shared" si="23"/>
        <v/>
      </c>
      <c r="AB51" s="69"/>
      <c r="AC51" s="1206" t="str">
        <f t="shared" si="24"/>
        <v/>
      </c>
      <c r="AD51" s="69"/>
      <c r="AE51" s="1206" t="str">
        <f t="shared" si="25"/>
        <v/>
      </c>
      <c r="AF51" s="69"/>
      <c r="AG51" s="1206" t="str">
        <f t="shared" si="26"/>
        <v/>
      </c>
      <c r="AH51" s="69"/>
      <c r="AI51" s="1206" t="str">
        <f t="shared" si="27"/>
        <v/>
      </c>
      <c r="AJ51" s="69"/>
      <c r="AK51" s="1206" t="str">
        <f t="shared" si="28"/>
        <v/>
      </c>
      <c r="AL51" s="69"/>
      <c r="AM51" s="1206" t="str">
        <f t="shared" si="29"/>
        <v/>
      </c>
      <c r="AN51" s="69"/>
      <c r="AO51" s="1206" t="str">
        <f t="shared" si="30"/>
        <v/>
      </c>
      <c r="AP51" s="69"/>
      <c r="AQ51" s="1206" t="str">
        <f t="shared" si="31"/>
        <v/>
      </c>
      <c r="AR51" s="69"/>
      <c r="AS51" s="1206" t="str">
        <f t="shared" si="32"/>
        <v/>
      </c>
      <c r="AT51" s="69"/>
      <c r="AU51" s="1206" t="str">
        <f t="shared" si="33"/>
        <v/>
      </c>
      <c r="AV51" s="69"/>
      <c r="AW51" s="1206" t="str">
        <f t="shared" si="34"/>
        <v/>
      </c>
      <c r="AX51" s="69"/>
      <c r="AY51" s="1207">
        <f t="shared" si="35"/>
        <v>0</v>
      </c>
      <c r="AZ51" s="1208"/>
      <c r="BA51" s="1208"/>
      <c r="BB51" s="1208"/>
      <c r="BD51" s="1192"/>
    </row>
    <row r="52" ht="22.5" customHeight="1">
      <c r="A52" s="1109">
        <f t="shared" ref="A52:D52" si="48">A20</f>
        <v>19</v>
      </c>
      <c r="B52" s="1111" t="str">
        <f t="shared" si="48"/>
        <v/>
      </c>
      <c r="C52" s="1205" t="str">
        <f t="shared" si="48"/>
        <v>Доп-но</v>
      </c>
      <c r="D52" s="1129" t="str">
        <f t="shared" si="48"/>
        <v/>
      </c>
      <c r="E52" s="1206" t="str">
        <f t="shared" si="12"/>
        <v/>
      </c>
      <c r="F52" s="69"/>
      <c r="G52" s="1206" t="str">
        <f t="shared" si="13"/>
        <v/>
      </c>
      <c r="H52" s="69"/>
      <c r="I52" s="1206" t="str">
        <f t="shared" si="14"/>
        <v/>
      </c>
      <c r="J52" s="69"/>
      <c r="K52" s="1206" t="str">
        <f t="shared" si="15"/>
        <v/>
      </c>
      <c r="L52" s="69"/>
      <c r="M52" s="1206" t="str">
        <f t="shared" si="16"/>
        <v/>
      </c>
      <c r="N52" s="69"/>
      <c r="O52" s="1206" t="str">
        <f t="shared" si="17"/>
        <v/>
      </c>
      <c r="P52" s="69"/>
      <c r="Q52" s="1206" t="str">
        <f t="shared" si="18"/>
        <v/>
      </c>
      <c r="R52" s="69"/>
      <c r="S52" s="1206" t="str">
        <f t="shared" si="19"/>
        <v/>
      </c>
      <c r="T52" s="69"/>
      <c r="U52" s="1206" t="str">
        <f t="shared" si="20"/>
        <v/>
      </c>
      <c r="V52" s="69"/>
      <c r="W52" s="1206" t="str">
        <f t="shared" si="21"/>
        <v/>
      </c>
      <c r="X52" s="69"/>
      <c r="Y52" s="1206" t="str">
        <f t="shared" si="22"/>
        <v/>
      </c>
      <c r="Z52" s="69"/>
      <c r="AA52" s="1206" t="str">
        <f t="shared" si="23"/>
        <v/>
      </c>
      <c r="AB52" s="69"/>
      <c r="AC52" s="1206" t="str">
        <f t="shared" si="24"/>
        <v/>
      </c>
      <c r="AD52" s="69"/>
      <c r="AE52" s="1206" t="str">
        <f t="shared" si="25"/>
        <v/>
      </c>
      <c r="AF52" s="69"/>
      <c r="AG52" s="1206" t="str">
        <f t="shared" si="26"/>
        <v/>
      </c>
      <c r="AH52" s="69"/>
      <c r="AI52" s="1206" t="str">
        <f t="shared" si="27"/>
        <v/>
      </c>
      <c r="AJ52" s="69"/>
      <c r="AK52" s="1206" t="str">
        <f t="shared" si="28"/>
        <v/>
      </c>
      <c r="AL52" s="69"/>
      <c r="AM52" s="1206" t="str">
        <f t="shared" si="29"/>
        <v/>
      </c>
      <c r="AN52" s="69"/>
      <c r="AO52" s="1206" t="str">
        <f t="shared" si="30"/>
        <v/>
      </c>
      <c r="AP52" s="69"/>
      <c r="AQ52" s="1206" t="str">
        <f t="shared" si="31"/>
        <v/>
      </c>
      <c r="AR52" s="69"/>
      <c r="AS52" s="1206" t="str">
        <f t="shared" si="32"/>
        <v/>
      </c>
      <c r="AT52" s="69"/>
      <c r="AU52" s="1206" t="str">
        <f t="shared" si="33"/>
        <v/>
      </c>
      <c r="AV52" s="69"/>
      <c r="AW52" s="1206" t="str">
        <f t="shared" si="34"/>
        <v/>
      </c>
      <c r="AX52" s="69"/>
      <c r="AY52" s="1207">
        <f t="shared" si="35"/>
        <v>0</v>
      </c>
      <c r="AZ52" s="1209"/>
      <c r="BA52" s="1209"/>
      <c r="BB52" s="1209"/>
      <c r="BD52" s="1192"/>
    </row>
    <row r="53" ht="22.5" customHeight="1">
      <c r="A53" s="1109">
        <f t="shared" ref="A53:D53" si="49">A21</f>
        <v>20</v>
      </c>
      <c r="B53" s="1111">
        <f t="shared" si="49"/>
        <v>3691</v>
      </c>
      <c r="C53" s="1205" t="str">
        <f t="shared" si="49"/>
        <v>Доп-но</v>
      </c>
      <c r="D53" s="1129" t="str">
        <f t="shared" si="49"/>
        <v>Свинина по тайски с рисом </v>
      </c>
      <c r="E53" s="1206">
        <f t="shared" si="12"/>
        <v>26</v>
      </c>
      <c r="F53" s="69"/>
      <c r="G53" s="1206" t="str">
        <f t="shared" si="13"/>
        <v/>
      </c>
      <c r="H53" s="69"/>
      <c r="I53" s="1206" t="str">
        <f t="shared" si="14"/>
        <v/>
      </c>
      <c r="J53" s="69"/>
      <c r="K53" s="1206" t="str">
        <f t="shared" si="15"/>
        <v/>
      </c>
      <c r="L53" s="69"/>
      <c r="M53" s="1206" t="str">
        <f t="shared" si="16"/>
        <v/>
      </c>
      <c r="N53" s="69"/>
      <c r="O53" s="1206" t="str">
        <f t="shared" si="17"/>
        <v/>
      </c>
      <c r="P53" s="69"/>
      <c r="Q53" s="1206" t="str">
        <f t="shared" si="18"/>
        <v/>
      </c>
      <c r="R53" s="69"/>
      <c r="S53" s="1206" t="str">
        <f t="shared" si="19"/>
        <v/>
      </c>
      <c r="T53" s="69"/>
      <c r="U53" s="1206" t="str">
        <f t="shared" si="20"/>
        <v/>
      </c>
      <c r="V53" s="69"/>
      <c r="W53" s="1206" t="str">
        <f t="shared" si="21"/>
        <v/>
      </c>
      <c r="X53" s="69"/>
      <c r="Y53" s="1206" t="str">
        <f t="shared" si="22"/>
        <v/>
      </c>
      <c r="Z53" s="69"/>
      <c r="AA53" s="1206" t="str">
        <f t="shared" si="23"/>
        <v/>
      </c>
      <c r="AB53" s="69"/>
      <c r="AC53" s="1206" t="str">
        <f t="shared" si="24"/>
        <v/>
      </c>
      <c r="AD53" s="69"/>
      <c r="AE53" s="1206" t="str">
        <f t="shared" si="25"/>
        <v/>
      </c>
      <c r="AF53" s="69"/>
      <c r="AG53" s="1206" t="str">
        <f t="shared" si="26"/>
        <v/>
      </c>
      <c r="AH53" s="69"/>
      <c r="AI53" s="1206" t="str">
        <f t="shared" si="27"/>
        <v/>
      </c>
      <c r="AJ53" s="69"/>
      <c r="AK53" s="1206" t="str">
        <f t="shared" si="28"/>
        <v/>
      </c>
      <c r="AL53" s="69"/>
      <c r="AM53" s="1206" t="str">
        <f t="shared" si="29"/>
        <v/>
      </c>
      <c r="AN53" s="69"/>
      <c r="AO53" s="1206" t="str">
        <f t="shared" si="30"/>
        <v/>
      </c>
      <c r="AP53" s="69"/>
      <c r="AQ53" s="1206" t="str">
        <f t="shared" si="31"/>
        <v/>
      </c>
      <c r="AR53" s="69"/>
      <c r="AS53" s="1206" t="str">
        <f t="shared" si="32"/>
        <v/>
      </c>
      <c r="AT53" s="69"/>
      <c r="AU53" s="1206" t="str">
        <f t="shared" si="33"/>
        <v/>
      </c>
      <c r="AV53" s="69"/>
      <c r="AW53" s="1206" t="str">
        <f t="shared" si="34"/>
        <v/>
      </c>
      <c r="AX53" s="69"/>
      <c r="AY53" s="1207">
        <f t="shared" si="35"/>
        <v>26</v>
      </c>
      <c r="AZ53" s="1209"/>
      <c r="BA53" s="1209"/>
      <c r="BB53" s="1209"/>
      <c r="BC53" s="677"/>
      <c r="BD53" s="1192"/>
    </row>
    <row r="54" ht="22.5" customHeight="1">
      <c r="A54" s="1109">
        <f t="shared" ref="A54:D54" si="50">A22</f>
        <v>21</v>
      </c>
      <c r="B54" s="1111">
        <f t="shared" si="50"/>
        <v>3517</v>
      </c>
      <c r="C54" s="1205" t="str">
        <f t="shared" si="50"/>
        <v>Доп-но</v>
      </c>
      <c r="D54" s="1129" t="str">
        <f t="shared" si="50"/>
        <v>Тефтели рыбные   с пюре </v>
      </c>
      <c r="E54" s="1206">
        <f t="shared" si="12"/>
        <v>28</v>
      </c>
      <c r="F54" s="69"/>
      <c r="G54" s="1206" t="str">
        <f t="shared" si="13"/>
        <v/>
      </c>
      <c r="H54" s="69"/>
      <c r="I54" s="1206" t="str">
        <f t="shared" si="14"/>
        <v/>
      </c>
      <c r="J54" s="69"/>
      <c r="K54" s="1206" t="str">
        <f t="shared" si="15"/>
        <v/>
      </c>
      <c r="L54" s="69"/>
      <c r="M54" s="1206" t="str">
        <f t="shared" si="16"/>
        <v/>
      </c>
      <c r="N54" s="69"/>
      <c r="O54" s="1206" t="str">
        <f t="shared" si="17"/>
        <v/>
      </c>
      <c r="P54" s="69"/>
      <c r="Q54" s="1206" t="str">
        <f t="shared" si="18"/>
        <v/>
      </c>
      <c r="R54" s="69"/>
      <c r="S54" s="1206" t="str">
        <f t="shared" si="19"/>
        <v/>
      </c>
      <c r="T54" s="69"/>
      <c r="U54" s="1206" t="str">
        <f t="shared" si="20"/>
        <v/>
      </c>
      <c r="V54" s="69"/>
      <c r="W54" s="1206" t="str">
        <f t="shared" si="21"/>
        <v/>
      </c>
      <c r="X54" s="69"/>
      <c r="Y54" s="1206" t="str">
        <f t="shared" si="22"/>
        <v/>
      </c>
      <c r="Z54" s="69"/>
      <c r="AA54" s="1206" t="str">
        <f t="shared" si="23"/>
        <v/>
      </c>
      <c r="AB54" s="69"/>
      <c r="AC54" s="1206" t="str">
        <f t="shared" si="24"/>
        <v/>
      </c>
      <c r="AD54" s="69"/>
      <c r="AE54" s="1206" t="str">
        <f t="shared" si="25"/>
        <v/>
      </c>
      <c r="AF54" s="69"/>
      <c r="AG54" s="1206" t="str">
        <f t="shared" si="26"/>
        <v/>
      </c>
      <c r="AH54" s="69"/>
      <c r="AI54" s="1206" t="str">
        <f t="shared" si="27"/>
        <v/>
      </c>
      <c r="AJ54" s="69"/>
      <c r="AK54" s="1206" t="str">
        <f t="shared" si="28"/>
        <v/>
      </c>
      <c r="AL54" s="69"/>
      <c r="AM54" s="1206" t="str">
        <f t="shared" si="29"/>
        <v/>
      </c>
      <c r="AN54" s="69"/>
      <c r="AO54" s="1206" t="str">
        <f t="shared" si="30"/>
        <v/>
      </c>
      <c r="AP54" s="69"/>
      <c r="AQ54" s="1206" t="str">
        <f t="shared" si="31"/>
        <v/>
      </c>
      <c r="AR54" s="69"/>
      <c r="AS54" s="1206" t="str">
        <f t="shared" si="32"/>
        <v/>
      </c>
      <c r="AT54" s="69"/>
      <c r="AU54" s="1206" t="str">
        <f t="shared" si="33"/>
        <v/>
      </c>
      <c r="AV54" s="69"/>
      <c r="AW54" s="1206" t="str">
        <f t="shared" si="34"/>
        <v/>
      </c>
      <c r="AX54" s="69"/>
      <c r="AY54" s="1207">
        <f t="shared" si="35"/>
        <v>28</v>
      </c>
      <c r="AZ54" s="1209"/>
      <c r="BA54" s="1209"/>
      <c r="BB54" s="1209"/>
      <c r="BC54" s="677"/>
      <c r="BD54" s="1192"/>
    </row>
    <row r="55" ht="22.5" customHeight="1">
      <c r="A55" s="1109">
        <f t="shared" ref="A55:D55" si="51">A23</f>
        <v>22</v>
      </c>
      <c r="B55" s="1111">
        <f t="shared" si="51"/>
        <v>2531</v>
      </c>
      <c r="C55" s="1205" t="str">
        <f t="shared" si="51"/>
        <v>Доп-но</v>
      </c>
      <c r="D55" s="1129" t="str">
        <f t="shared" si="51"/>
        <v>Хлеб</v>
      </c>
      <c r="E55" s="1206">
        <f t="shared" si="12"/>
        <v>11</v>
      </c>
      <c r="F55" s="69"/>
      <c r="G55" s="1206" t="str">
        <f t="shared" si="13"/>
        <v/>
      </c>
      <c r="H55" s="69"/>
      <c r="I55" s="1206" t="str">
        <f t="shared" si="14"/>
        <v/>
      </c>
      <c r="J55" s="69"/>
      <c r="K55" s="1206">
        <f t="shared" si="15"/>
        <v>15</v>
      </c>
      <c r="L55" s="69"/>
      <c r="M55" s="1206" t="str">
        <f t="shared" si="16"/>
        <v/>
      </c>
      <c r="N55" s="69"/>
      <c r="O55" s="1206">
        <f t="shared" si="17"/>
        <v>5</v>
      </c>
      <c r="P55" s="69"/>
      <c r="Q55" s="1206" t="str">
        <f t="shared" si="18"/>
        <v/>
      </c>
      <c r="R55" s="69"/>
      <c r="S55" s="1206">
        <f t="shared" si="19"/>
        <v>5</v>
      </c>
      <c r="T55" s="69"/>
      <c r="U55" s="1206" t="str">
        <f t="shared" si="20"/>
        <v/>
      </c>
      <c r="V55" s="69"/>
      <c r="W55" s="1206">
        <f t="shared" si="21"/>
        <v>5</v>
      </c>
      <c r="X55" s="69"/>
      <c r="Y55" s="1206">
        <f t="shared" si="22"/>
        <v>3</v>
      </c>
      <c r="Z55" s="69"/>
      <c r="AA55" s="1206" t="str">
        <f t="shared" si="23"/>
        <v/>
      </c>
      <c r="AB55" s="69"/>
      <c r="AC55" s="1206" t="str">
        <f t="shared" si="24"/>
        <v/>
      </c>
      <c r="AD55" s="69"/>
      <c r="AE55" s="1206">
        <f t="shared" si="25"/>
        <v>3</v>
      </c>
      <c r="AF55" s="69"/>
      <c r="AG55" s="1206" t="str">
        <f t="shared" si="26"/>
        <v/>
      </c>
      <c r="AH55" s="69"/>
      <c r="AI55" s="1206" t="str">
        <f t="shared" si="27"/>
        <v/>
      </c>
      <c r="AJ55" s="69"/>
      <c r="AK55" s="1206">
        <f t="shared" si="28"/>
        <v>3</v>
      </c>
      <c r="AL55" s="69"/>
      <c r="AM55" s="1206" t="str">
        <f t="shared" si="29"/>
        <v/>
      </c>
      <c r="AN55" s="69"/>
      <c r="AO55" s="1206" t="str">
        <f t="shared" si="30"/>
        <v/>
      </c>
      <c r="AP55" s="69"/>
      <c r="AQ55" s="1206" t="str">
        <f t="shared" si="31"/>
        <v/>
      </c>
      <c r="AR55" s="69"/>
      <c r="AS55" s="1206" t="str">
        <f t="shared" si="32"/>
        <v/>
      </c>
      <c r="AT55" s="69"/>
      <c r="AU55" s="1206" t="str">
        <f t="shared" si="33"/>
        <v/>
      </c>
      <c r="AV55" s="69"/>
      <c r="AW55" s="1206" t="str">
        <f t="shared" si="34"/>
        <v/>
      </c>
      <c r="AX55" s="69"/>
      <c r="AY55" s="1207">
        <f t="shared" si="35"/>
        <v>50</v>
      </c>
      <c r="AZ55" s="1209"/>
      <c r="BA55" s="1209"/>
      <c r="BB55" s="1209"/>
      <c r="BC55" s="677"/>
      <c r="BD55" s="1192"/>
    </row>
    <row r="56" ht="22.5" customHeight="1">
      <c r="A56" s="1109">
        <f t="shared" ref="A56:D56" si="52">A24</f>
        <v>23</v>
      </c>
      <c r="B56" s="1111">
        <f t="shared" si="52"/>
        <v>5</v>
      </c>
      <c r="C56" s="1205" t="str">
        <f t="shared" si="52"/>
        <v>Сэндвич</v>
      </c>
      <c r="D56" s="1129" t="str">
        <f t="shared" si="52"/>
        <v/>
      </c>
      <c r="E56" s="1206" t="str">
        <f t="shared" si="12"/>
        <v/>
      </c>
      <c r="F56" s="69"/>
      <c r="G56" s="1206" t="str">
        <f t="shared" si="13"/>
        <v/>
      </c>
      <c r="H56" s="69"/>
      <c r="I56" s="1206" t="str">
        <f t="shared" si="14"/>
        <v/>
      </c>
      <c r="J56" s="69"/>
      <c r="K56" s="1206" t="str">
        <f t="shared" si="15"/>
        <v/>
      </c>
      <c r="L56" s="69"/>
      <c r="M56" s="1206" t="str">
        <f t="shared" si="16"/>
        <v/>
      </c>
      <c r="N56" s="69"/>
      <c r="O56" s="1206" t="str">
        <f t="shared" si="17"/>
        <v/>
      </c>
      <c r="P56" s="69"/>
      <c r="Q56" s="1206" t="str">
        <f t="shared" si="18"/>
        <v/>
      </c>
      <c r="R56" s="69"/>
      <c r="S56" s="1206" t="str">
        <f t="shared" si="19"/>
        <v/>
      </c>
      <c r="T56" s="69"/>
      <c r="U56" s="1206" t="str">
        <f t="shared" si="20"/>
        <v/>
      </c>
      <c r="V56" s="69"/>
      <c r="W56" s="1206" t="str">
        <f t="shared" si="21"/>
        <v/>
      </c>
      <c r="X56" s="69"/>
      <c r="Y56" s="1206" t="str">
        <f t="shared" si="22"/>
        <v/>
      </c>
      <c r="Z56" s="69"/>
      <c r="AA56" s="1206" t="str">
        <f t="shared" si="23"/>
        <v/>
      </c>
      <c r="AB56" s="69"/>
      <c r="AC56" s="1206" t="str">
        <f t="shared" si="24"/>
        <v/>
      </c>
      <c r="AD56" s="69"/>
      <c r="AE56" s="1206" t="str">
        <f t="shared" si="25"/>
        <v/>
      </c>
      <c r="AF56" s="69"/>
      <c r="AG56" s="1206" t="str">
        <f t="shared" si="26"/>
        <v/>
      </c>
      <c r="AH56" s="69"/>
      <c r="AI56" s="1206" t="str">
        <f t="shared" si="27"/>
        <v/>
      </c>
      <c r="AJ56" s="69"/>
      <c r="AK56" s="1206" t="str">
        <f t="shared" si="28"/>
        <v/>
      </c>
      <c r="AL56" s="69"/>
      <c r="AM56" s="1206" t="str">
        <f t="shared" si="29"/>
        <v/>
      </c>
      <c r="AN56" s="69"/>
      <c r="AO56" s="1206" t="str">
        <f t="shared" si="30"/>
        <v/>
      </c>
      <c r="AP56" s="69"/>
      <c r="AQ56" s="1206" t="str">
        <f t="shared" si="31"/>
        <v/>
      </c>
      <c r="AR56" s="69"/>
      <c r="AS56" s="1206" t="str">
        <f t="shared" si="32"/>
        <v/>
      </c>
      <c r="AT56" s="69"/>
      <c r="AU56" s="1206" t="str">
        <f t="shared" si="33"/>
        <v/>
      </c>
      <c r="AV56" s="69"/>
      <c r="AW56" s="1206" t="str">
        <f t="shared" si="34"/>
        <v/>
      </c>
      <c r="AX56" s="69"/>
      <c r="AY56" s="1207">
        <f t="shared" si="35"/>
        <v>0</v>
      </c>
      <c r="AZ56" s="1209"/>
      <c r="BA56" s="1209"/>
      <c r="BB56" s="1209"/>
      <c r="BC56" s="677"/>
      <c r="BD56" s="1192"/>
    </row>
    <row r="57" ht="22.5" customHeight="1">
      <c r="A57" s="1109">
        <f t="shared" ref="A57:D57" si="53">A25</f>
        <v>24</v>
      </c>
      <c r="B57" s="1111" t="str">
        <f t="shared" si="53"/>
        <v/>
      </c>
      <c r="C57" s="1205" t="str">
        <f t="shared" si="53"/>
        <v>Сэндвич</v>
      </c>
      <c r="D57" s="1129" t="str">
        <f t="shared" si="53"/>
        <v/>
      </c>
      <c r="E57" s="1206" t="str">
        <f t="shared" si="12"/>
        <v/>
      </c>
      <c r="F57" s="69"/>
      <c r="G57" s="1206" t="str">
        <f t="shared" si="13"/>
        <v/>
      </c>
      <c r="H57" s="69"/>
      <c r="I57" s="1206" t="str">
        <f t="shared" si="14"/>
        <v/>
      </c>
      <c r="J57" s="69"/>
      <c r="K57" s="1206" t="str">
        <f t="shared" si="15"/>
        <v/>
      </c>
      <c r="L57" s="69"/>
      <c r="M57" s="1206" t="str">
        <f t="shared" si="16"/>
        <v/>
      </c>
      <c r="N57" s="69"/>
      <c r="O57" s="1206" t="str">
        <f t="shared" si="17"/>
        <v/>
      </c>
      <c r="P57" s="69"/>
      <c r="Q57" s="1206" t="str">
        <f t="shared" si="18"/>
        <v/>
      </c>
      <c r="R57" s="69"/>
      <c r="S57" s="1206" t="str">
        <f t="shared" si="19"/>
        <v/>
      </c>
      <c r="T57" s="69"/>
      <c r="U57" s="1206" t="str">
        <f t="shared" si="20"/>
        <v/>
      </c>
      <c r="V57" s="69"/>
      <c r="W57" s="1206" t="str">
        <f t="shared" si="21"/>
        <v/>
      </c>
      <c r="X57" s="69"/>
      <c r="Y57" s="1206" t="str">
        <f t="shared" si="22"/>
        <v/>
      </c>
      <c r="Z57" s="69"/>
      <c r="AA57" s="1206" t="str">
        <f t="shared" si="23"/>
        <v/>
      </c>
      <c r="AB57" s="69"/>
      <c r="AC57" s="1206" t="str">
        <f t="shared" si="24"/>
        <v/>
      </c>
      <c r="AD57" s="69"/>
      <c r="AE57" s="1206" t="str">
        <f t="shared" si="25"/>
        <v/>
      </c>
      <c r="AF57" s="69"/>
      <c r="AG57" s="1206" t="str">
        <f t="shared" si="26"/>
        <v/>
      </c>
      <c r="AH57" s="69"/>
      <c r="AI57" s="1206" t="str">
        <f t="shared" si="27"/>
        <v/>
      </c>
      <c r="AJ57" s="69"/>
      <c r="AK57" s="1206" t="str">
        <f t="shared" si="28"/>
        <v/>
      </c>
      <c r="AL57" s="69"/>
      <c r="AM57" s="1206" t="str">
        <f t="shared" si="29"/>
        <v/>
      </c>
      <c r="AN57" s="69"/>
      <c r="AO57" s="1206" t="str">
        <f t="shared" si="30"/>
        <v/>
      </c>
      <c r="AP57" s="69"/>
      <c r="AQ57" s="1206" t="str">
        <f t="shared" si="31"/>
        <v/>
      </c>
      <c r="AR57" s="69"/>
      <c r="AS57" s="1206" t="str">
        <f t="shared" si="32"/>
        <v/>
      </c>
      <c r="AT57" s="69"/>
      <c r="AU57" s="1206" t="str">
        <f t="shared" si="33"/>
        <v/>
      </c>
      <c r="AV57" s="69"/>
      <c r="AW57" s="1206" t="str">
        <f t="shared" si="34"/>
        <v/>
      </c>
      <c r="AX57" s="69"/>
      <c r="AY57" s="1207">
        <f t="shared" si="35"/>
        <v>0</v>
      </c>
      <c r="AZ57" s="1209"/>
      <c r="BA57" s="1209"/>
      <c r="BB57" s="1209"/>
      <c r="BC57" s="677"/>
      <c r="BD57" s="1192"/>
    </row>
    <row r="58" ht="22.5" customHeight="1">
      <c r="A58" s="1109">
        <f t="shared" ref="A58:D58" si="54">A26</f>
        <v>25</v>
      </c>
      <c r="B58" s="1111">
        <f t="shared" si="54"/>
        <v>3518</v>
      </c>
      <c r="C58" s="1205" t="str">
        <f t="shared" si="54"/>
        <v>Выпечка</v>
      </c>
      <c r="D58" s="1129" t="str">
        <f t="shared" si="54"/>
        <v/>
      </c>
      <c r="E58" s="1206" t="str">
        <f t="shared" si="12"/>
        <v/>
      </c>
      <c r="F58" s="69"/>
      <c r="G58" s="1206" t="str">
        <f t="shared" si="13"/>
        <v/>
      </c>
      <c r="H58" s="69"/>
      <c r="I58" s="1206" t="str">
        <f t="shared" si="14"/>
        <v/>
      </c>
      <c r="J58" s="69"/>
      <c r="K58" s="1206" t="str">
        <f t="shared" si="15"/>
        <v/>
      </c>
      <c r="L58" s="69"/>
      <c r="M58" s="1206" t="str">
        <f t="shared" si="16"/>
        <v/>
      </c>
      <c r="N58" s="69"/>
      <c r="O58" s="1206" t="str">
        <f t="shared" si="17"/>
        <v/>
      </c>
      <c r="P58" s="69"/>
      <c r="Q58" s="1206" t="str">
        <f t="shared" si="18"/>
        <v/>
      </c>
      <c r="R58" s="69"/>
      <c r="S58" s="1206" t="str">
        <f t="shared" si="19"/>
        <v/>
      </c>
      <c r="T58" s="69"/>
      <c r="U58" s="1206" t="str">
        <f t="shared" si="20"/>
        <v/>
      </c>
      <c r="V58" s="69"/>
      <c r="W58" s="1206" t="str">
        <f t="shared" si="21"/>
        <v/>
      </c>
      <c r="X58" s="69"/>
      <c r="Y58" s="1206" t="str">
        <f t="shared" si="22"/>
        <v/>
      </c>
      <c r="Z58" s="69"/>
      <c r="AA58" s="1206" t="str">
        <f t="shared" si="23"/>
        <v/>
      </c>
      <c r="AB58" s="69"/>
      <c r="AC58" s="1206" t="str">
        <f t="shared" si="24"/>
        <v/>
      </c>
      <c r="AD58" s="69"/>
      <c r="AE58" s="1206" t="str">
        <f t="shared" si="25"/>
        <v/>
      </c>
      <c r="AF58" s="69"/>
      <c r="AG58" s="1206" t="str">
        <f t="shared" si="26"/>
        <v/>
      </c>
      <c r="AH58" s="69"/>
      <c r="AI58" s="1206" t="str">
        <f t="shared" si="27"/>
        <v/>
      </c>
      <c r="AJ58" s="69"/>
      <c r="AK58" s="1206" t="str">
        <f t="shared" si="28"/>
        <v/>
      </c>
      <c r="AL58" s="69"/>
      <c r="AM58" s="1206" t="str">
        <f t="shared" si="29"/>
        <v/>
      </c>
      <c r="AN58" s="69"/>
      <c r="AO58" s="1206" t="str">
        <f t="shared" si="30"/>
        <v/>
      </c>
      <c r="AP58" s="69"/>
      <c r="AQ58" s="1206" t="str">
        <f t="shared" si="31"/>
        <v/>
      </c>
      <c r="AR58" s="69"/>
      <c r="AS58" s="1206" t="str">
        <f t="shared" si="32"/>
        <v/>
      </c>
      <c r="AT58" s="69"/>
      <c r="AU58" s="1206" t="str">
        <f t="shared" si="33"/>
        <v/>
      </c>
      <c r="AV58" s="69"/>
      <c r="AW58" s="1206" t="str">
        <f t="shared" si="34"/>
        <v/>
      </c>
      <c r="AX58" s="69"/>
      <c r="AY58" s="1207">
        <f t="shared" si="35"/>
        <v>0</v>
      </c>
      <c r="AZ58" s="1209"/>
      <c r="BA58" s="1209"/>
      <c r="BB58" s="1209"/>
      <c r="BC58" s="677"/>
      <c r="BD58" s="1192"/>
    </row>
    <row r="59" ht="22.5" customHeight="1">
      <c r="A59" s="1109">
        <f t="shared" ref="A59:D59" si="55">A27</f>
        <v>26</v>
      </c>
      <c r="B59" s="1111" t="str">
        <f t="shared" si="55"/>
        <v/>
      </c>
      <c r="C59" s="1205" t="str">
        <f t="shared" si="55"/>
        <v>Выпечка</v>
      </c>
      <c r="D59" s="1129" t="str">
        <f t="shared" si="55"/>
        <v/>
      </c>
      <c r="E59" s="1206" t="str">
        <f t="shared" si="12"/>
        <v/>
      </c>
      <c r="F59" s="69"/>
      <c r="G59" s="1206" t="str">
        <f t="shared" si="13"/>
        <v/>
      </c>
      <c r="H59" s="69"/>
      <c r="I59" s="1206" t="str">
        <f t="shared" si="14"/>
        <v/>
      </c>
      <c r="J59" s="69"/>
      <c r="K59" s="1206" t="str">
        <f t="shared" si="15"/>
        <v/>
      </c>
      <c r="L59" s="69"/>
      <c r="M59" s="1206" t="str">
        <f t="shared" si="16"/>
        <v/>
      </c>
      <c r="N59" s="69"/>
      <c r="O59" s="1206" t="str">
        <f t="shared" si="17"/>
        <v/>
      </c>
      <c r="P59" s="69"/>
      <c r="Q59" s="1206" t="str">
        <f t="shared" si="18"/>
        <v/>
      </c>
      <c r="R59" s="69"/>
      <c r="S59" s="1206" t="str">
        <f t="shared" si="19"/>
        <v/>
      </c>
      <c r="T59" s="69"/>
      <c r="U59" s="1206" t="str">
        <f t="shared" si="20"/>
        <v/>
      </c>
      <c r="V59" s="69"/>
      <c r="W59" s="1206" t="str">
        <f t="shared" si="21"/>
        <v/>
      </c>
      <c r="X59" s="69"/>
      <c r="Y59" s="1206" t="str">
        <f t="shared" si="22"/>
        <v/>
      </c>
      <c r="Z59" s="69"/>
      <c r="AA59" s="1206" t="str">
        <f t="shared" si="23"/>
        <v/>
      </c>
      <c r="AB59" s="69"/>
      <c r="AC59" s="1206" t="str">
        <f t="shared" si="24"/>
        <v/>
      </c>
      <c r="AD59" s="69"/>
      <c r="AE59" s="1206" t="str">
        <f t="shared" si="25"/>
        <v/>
      </c>
      <c r="AF59" s="69"/>
      <c r="AG59" s="1206" t="str">
        <f t="shared" si="26"/>
        <v/>
      </c>
      <c r="AH59" s="69"/>
      <c r="AI59" s="1206" t="str">
        <f t="shared" si="27"/>
        <v/>
      </c>
      <c r="AJ59" s="69"/>
      <c r="AK59" s="1206" t="str">
        <f t="shared" si="28"/>
        <v/>
      </c>
      <c r="AL59" s="69"/>
      <c r="AM59" s="1206" t="str">
        <f t="shared" si="29"/>
        <v/>
      </c>
      <c r="AN59" s="69"/>
      <c r="AO59" s="1206" t="str">
        <f t="shared" si="30"/>
        <v/>
      </c>
      <c r="AP59" s="69"/>
      <c r="AQ59" s="1206" t="str">
        <f t="shared" si="31"/>
        <v/>
      </c>
      <c r="AR59" s="69"/>
      <c r="AS59" s="1206" t="str">
        <f t="shared" si="32"/>
        <v/>
      </c>
      <c r="AT59" s="69"/>
      <c r="AU59" s="1206" t="str">
        <f t="shared" si="33"/>
        <v/>
      </c>
      <c r="AV59" s="69"/>
      <c r="AW59" s="1206" t="str">
        <f t="shared" si="34"/>
        <v/>
      </c>
      <c r="AX59" s="69"/>
      <c r="AY59" s="1207">
        <f t="shared" si="35"/>
        <v>0</v>
      </c>
      <c r="AZ59" s="1209"/>
      <c r="BA59" s="1209"/>
      <c r="BB59" s="1209"/>
      <c r="BC59" s="677"/>
      <c r="BD59" s="1192"/>
    </row>
    <row r="60" ht="22.5" customHeight="1">
      <c r="A60" s="1109">
        <f t="shared" ref="A60:D60" si="56">A28</f>
        <v>27</v>
      </c>
      <c r="B60" s="1111" t="str">
        <f t="shared" si="56"/>
        <v/>
      </c>
      <c r="C60" s="1205" t="str">
        <f t="shared" si="56"/>
        <v>Выпечка</v>
      </c>
      <c r="D60" s="1129" t="str">
        <f t="shared" si="56"/>
        <v/>
      </c>
      <c r="E60" s="1206" t="str">
        <f t="shared" si="12"/>
        <v/>
      </c>
      <c r="F60" s="69"/>
      <c r="G60" s="1206" t="str">
        <f t="shared" si="13"/>
        <v/>
      </c>
      <c r="H60" s="69"/>
      <c r="I60" s="1206" t="str">
        <f t="shared" si="14"/>
        <v/>
      </c>
      <c r="J60" s="69"/>
      <c r="K60" s="1206" t="str">
        <f t="shared" si="15"/>
        <v/>
      </c>
      <c r="L60" s="69"/>
      <c r="M60" s="1206" t="str">
        <f t="shared" si="16"/>
        <v/>
      </c>
      <c r="N60" s="69"/>
      <c r="O60" s="1206" t="str">
        <f t="shared" si="17"/>
        <v/>
      </c>
      <c r="P60" s="69"/>
      <c r="Q60" s="1206" t="str">
        <f t="shared" si="18"/>
        <v/>
      </c>
      <c r="R60" s="69"/>
      <c r="S60" s="1206" t="str">
        <f t="shared" si="19"/>
        <v/>
      </c>
      <c r="T60" s="69"/>
      <c r="U60" s="1206" t="str">
        <f t="shared" si="20"/>
        <v/>
      </c>
      <c r="V60" s="69"/>
      <c r="W60" s="1206" t="str">
        <f t="shared" si="21"/>
        <v/>
      </c>
      <c r="X60" s="69"/>
      <c r="Y60" s="1206" t="str">
        <f t="shared" si="22"/>
        <v/>
      </c>
      <c r="Z60" s="69"/>
      <c r="AA60" s="1206" t="str">
        <f t="shared" si="23"/>
        <v/>
      </c>
      <c r="AB60" s="69"/>
      <c r="AC60" s="1206" t="str">
        <f t="shared" si="24"/>
        <v/>
      </c>
      <c r="AD60" s="69"/>
      <c r="AE60" s="1206" t="str">
        <f t="shared" si="25"/>
        <v/>
      </c>
      <c r="AF60" s="69"/>
      <c r="AG60" s="1206" t="str">
        <f t="shared" si="26"/>
        <v/>
      </c>
      <c r="AH60" s="69"/>
      <c r="AI60" s="1206" t="str">
        <f t="shared" si="27"/>
        <v/>
      </c>
      <c r="AJ60" s="69"/>
      <c r="AK60" s="1206" t="str">
        <f t="shared" si="28"/>
        <v/>
      </c>
      <c r="AL60" s="69"/>
      <c r="AM60" s="1206" t="str">
        <f t="shared" si="29"/>
        <v/>
      </c>
      <c r="AN60" s="69"/>
      <c r="AO60" s="1206" t="str">
        <f t="shared" si="30"/>
        <v/>
      </c>
      <c r="AP60" s="69"/>
      <c r="AQ60" s="1206" t="str">
        <f t="shared" si="31"/>
        <v/>
      </c>
      <c r="AR60" s="69"/>
      <c r="AS60" s="1206" t="str">
        <f t="shared" si="32"/>
        <v/>
      </c>
      <c r="AT60" s="69"/>
      <c r="AU60" s="1206" t="str">
        <f t="shared" si="33"/>
        <v/>
      </c>
      <c r="AV60" s="69"/>
      <c r="AW60" s="1206" t="str">
        <f t="shared" si="34"/>
        <v/>
      </c>
      <c r="AX60" s="69"/>
      <c r="AY60" s="1207">
        <f t="shared" si="35"/>
        <v>0</v>
      </c>
      <c r="AZ60" s="1209"/>
      <c r="BA60" s="1209"/>
      <c r="BB60" s="1209"/>
      <c r="BC60" s="677"/>
      <c r="BD60" s="1192"/>
    </row>
    <row r="61" ht="22.5" customHeight="1">
      <c r="A61" s="1109">
        <f t="shared" ref="A61:D61" si="57">A29</f>
        <v>28</v>
      </c>
      <c r="B61" s="1111">
        <f t="shared" si="57"/>
        <v>822</v>
      </c>
      <c r="C61" s="1205" t="str">
        <f t="shared" si="57"/>
        <v>Внеплан</v>
      </c>
      <c r="D61" s="1129" t="str">
        <f t="shared" si="57"/>
        <v/>
      </c>
      <c r="E61" s="1206" t="str">
        <f t="shared" si="12"/>
        <v/>
      </c>
      <c r="F61" s="69"/>
      <c r="G61" s="1206" t="str">
        <f t="shared" si="13"/>
        <v/>
      </c>
      <c r="H61" s="69"/>
      <c r="I61" s="1206" t="str">
        <f t="shared" si="14"/>
        <v/>
      </c>
      <c r="J61" s="69"/>
      <c r="K61" s="1206" t="str">
        <f t="shared" si="15"/>
        <v/>
      </c>
      <c r="L61" s="69"/>
      <c r="M61" s="1206" t="str">
        <f t="shared" si="16"/>
        <v/>
      </c>
      <c r="N61" s="69"/>
      <c r="O61" s="1206" t="str">
        <f t="shared" si="17"/>
        <v/>
      </c>
      <c r="P61" s="69"/>
      <c r="Q61" s="1206" t="str">
        <f t="shared" si="18"/>
        <v/>
      </c>
      <c r="R61" s="69"/>
      <c r="S61" s="1206" t="str">
        <f t="shared" si="19"/>
        <v/>
      </c>
      <c r="T61" s="69"/>
      <c r="U61" s="1206" t="str">
        <f t="shared" si="20"/>
        <v/>
      </c>
      <c r="V61" s="69"/>
      <c r="W61" s="1206" t="str">
        <f t="shared" si="21"/>
        <v/>
      </c>
      <c r="X61" s="69"/>
      <c r="Y61" s="1206" t="str">
        <f t="shared" si="22"/>
        <v/>
      </c>
      <c r="Z61" s="69"/>
      <c r="AA61" s="1206" t="str">
        <f t="shared" si="23"/>
        <v/>
      </c>
      <c r="AB61" s="69"/>
      <c r="AC61" s="1206" t="str">
        <f t="shared" si="24"/>
        <v/>
      </c>
      <c r="AD61" s="69"/>
      <c r="AE61" s="1206" t="str">
        <f t="shared" si="25"/>
        <v/>
      </c>
      <c r="AF61" s="69"/>
      <c r="AG61" s="1206" t="str">
        <f t="shared" si="26"/>
        <v/>
      </c>
      <c r="AH61" s="69"/>
      <c r="AI61" s="1206" t="str">
        <f t="shared" si="27"/>
        <v/>
      </c>
      <c r="AJ61" s="69"/>
      <c r="AK61" s="1206" t="str">
        <f t="shared" si="28"/>
        <v/>
      </c>
      <c r="AL61" s="69"/>
      <c r="AM61" s="1206" t="str">
        <f t="shared" si="29"/>
        <v/>
      </c>
      <c r="AN61" s="69"/>
      <c r="AO61" s="1206" t="str">
        <f t="shared" si="30"/>
        <v/>
      </c>
      <c r="AP61" s="69"/>
      <c r="AQ61" s="1206" t="str">
        <f t="shared" si="31"/>
        <v/>
      </c>
      <c r="AR61" s="69"/>
      <c r="AS61" s="1206" t="str">
        <f t="shared" si="32"/>
        <v/>
      </c>
      <c r="AT61" s="69"/>
      <c r="AU61" s="1206" t="str">
        <f t="shared" si="33"/>
        <v/>
      </c>
      <c r="AV61" s="69"/>
      <c r="AW61" s="1206" t="str">
        <f t="shared" si="34"/>
        <v/>
      </c>
      <c r="AX61" s="69"/>
      <c r="AY61" s="1207">
        <f t="shared" si="35"/>
        <v>0</v>
      </c>
      <c r="AZ61" s="1209"/>
      <c r="BA61" s="1209"/>
      <c r="BB61" s="1209"/>
      <c r="BC61" s="677"/>
      <c r="BD61" s="1192"/>
    </row>
    <row r="62" ht="15.75" customHeight="1">
      <c r="A62" s="1109">
        <f t="shared" ref="A62:D62" si="58">A30</f>
        <v>29</v>
      </c>
      <c r="B62" s="1111" t="str">
        <f t="shared" si="58"/>
        <v/>
      </c>
      <c r="C62" s="1205" t="str">
        <f t="shared" si="58"/>
        <v>Внеплан</v>
      </c>
      <c r="D62" s="1129" t="str">
        <f t="shared" si="58"/>
        <v/>
      </c>
      <c r="E62" s="1206" t="str">
        <f t="shared" si="12"/>
        <v/>
      </c>
      <c r="F62" s="69"/>
      <c r="G62" s="1210" t="str">
        <f t="shared" si="13"/>
        <v/>
      </c>
      <c r="H62" s="69"/>
      <c r="I62" s="1206" t="str">
        <f t="shared" si="14"/>
        <v/>
      </c>
      <c r="J62" s="69"/>
      <c r="K62" s="1206" t="str">
        <f t="shared" si="15"/>
        <v/>
      </c>
      <c r="L62" s="69"/>
      <c r="M62" s="1206" t="str">
        <f t="shared" si="16"/>
        <v/>
      </c>
      <c r="N62" s="69"/>
      <c r="O62" s="1210" t="str">
        <f t="shared" si="17"/>
        <v/>
      </c>
      <c r="P62" s="69"/>
      <c r="Q62" s="1206" t="str">
        <f t="shared" si="18"/>
        <v/>
      </c>
      <c r="R62" s="69"/>
      <c r="S62" s="1206" t="str">
        <f t="shared" si="19"/>
        <v/>
      </c>
      <c r="T62" s="69"/>
      <c r="U62" s="1206" t="str">
        <f t="shared" si="20"/>
        <v/>
      </c>
      <c r="V62" s="69"/>
      <c r="W62" s="1206" t="str">
        <f t="shared" si="21"/>
        <v/>
      </c>
      <c r="X62" s="69"/>
      <c r="Y62" s="1206" t="str">
        <f t="shared" si="22"/>
        <v/>
      </c>
      <c r="Z62" s="69"/>
      <c r="AA62" s="1206" t="str">
        <f t="shared" si="23"/>
        <v/>
      </c>
      <c r="AB62" s="69"/>
      <c r="AC62" s="1206" t="str">
        <f t="shared" si="24"/>
        <v/>
      </c>
      <c r="AD62" s="69"/>
      <c r="AE62" s="1206" t="str">
        <f t="shared" si="25"/>
        <v/>
      </c>
      <c r="AF62" s="69"/>
      <c r="AG62" s="1206" t="str">
        <f t="shared" si="26"/>
        <v/>
      </c>
      <c r="AH62" s="69"/>
      <c r="AI62" s="1206" t="str">
        <f t="shared" si="27"/>
        <v/>
      </c>
      <c r="AJ62" s="69"/>
      <c r="AK62" s="1206" t="str">
        <f t="shared" si="28"/>
        <v/>
      </c>
      <c r="AL62" s="69"/>
      <c r="AM62" s="1206" t="str">
        <f t="shared" si="29"/>
        <v/>
      </c>
      <c r="AN62" s="69"/>
      <c r="AO62" s="1206" t="str">
        <f t="shared" si="30"/>
        <v/>
      </c>
      <c r="AP62" s="69"/>
      <c r="AQ62" s="1206" t="str">
        <f t="shared" si="31"/>
        <v/>
      </c>
      <c r="AR62" s="69"/>
      <c r="AS62" s="1206" t="str">
        <f t="shared" si="32"/>
        <v/>
      </c>
      <c r="AT62" s="69"/>
      <c r="AU62" s="1206" t="str">
        <f t="shared" si="33"/>
        <v/>
      </c>
      <c r="AV62" s="69"/>
      <c r="AW62" s="1206" t="str">
        <f t="shared" si="34"/>
        <v/>
      </c>
      <c r="AX62" s="69"/>
      <c r="AY62" s="1207">
        <f t="shared" si="35"/>
        <v>0</v>
      </c>
      <c r="AZ62" s="1187"/>
      <c r="BA62" s="1187"/>
      <c r="BB62" s="1187"/>
      <c r="BC62" s="677"/>
      <c r="BD62" s="1192"/>
    </row>
    <row r="63" ht="15.75" customHeight="1">
      <c r="A63" s="1109">
        <f t="shared" ref="A63:D63" si="59">A31</f>
        <v>30</v>
      </c>
      <c r="B63" s="1111" t="str">
        <f t="shared" si="59"/>
        <v/>
      </c>
      <c r="C63" s="1205" t="str">
        <f t="shared" si="59"/>
        <v>Внеплан</v>
      </c>
      <c r="D63" s="1129" t="str">
        <f t="shared" si="59"/>
        <v/>
      </c>
      <c r="E63" s="1206" t="str">
        <f t="shared" si="12"/>
        <v/>
      </c>
      <c r="F63" s="69"/>
      <c r="G63" s="1206" t="str">
        <f t="shared" si="13"/>
        <v/>
      </c>
      <c r="H63" s="69"/>
      <c r="I63" s="1206" t="str">
        <f t="shared" si="14"/>
        <v/>
      </c>
      <c r="J63" s="69"/>
      <c r="K63" s="1206" t="str">
        <f t="shared" si="15"/>
        <v/>
      </c>
      <c r="L63" s="69"/>
      <c r="M63" s="1206" t="str">
        <f t="shared" si="16"/>
        <v/>
      </c>
      <c r="N63" s="69"/>
      <c r="O63" s="1206" t="str">
        <f t="shared" si="17"/>
        <v/>
      </c>
      <c r="P63" s="69"/>
      <c r="Q63" s="1206" t="str">
        <f t="shared" si="18"/>
        <v/>
      </c>
      <c r="R63" s="69"/>
      <c r="S63" s="1206" t="str">
        <f t="shared" si="19"/>
        <v/>
      </c>
      <c r="T63" s="69"/>
      <c r="U63" s="1206" t="str">
        <f t="shared" si="20"/>
        <v/>
      </c>
      <c r="V63" s="69"/>
      <c r="W63" s="1206" t="str">
        <f t="shared" si="21"/>
        <v/>
      </c>
      <c r="X63" s="69"/>
      <c r="Y63" s="1206" t="str">
        <f t="shared" si="22"/>
        <v/>
      </c>
      <c r="Z63" s="69"/>
      <c r="AA63" s="1206" t="str">
        <f t="shared" si="23"/>
        <v/>
      </c>
      <c r="AB63" s="69"/>
      <c r="AC63" s="1206" t="str">
        <f t="shared" si="24"/>
        <v/>
      </c>
      <c r="AD63" s="69"/>
      <c r="AE63" s="1206" t="str">
        <f t="shared" si="25"/>
        <v/>
      </c>
      <c r="AF63" s="69"/>
      <c r="AG63" s="1206" t="str">
        <f t="shared" si="26"/>
        <v/>
      </c>
      <c r="AH63" s="69"/>
      <c r="AI63" s="1206" t="str">
        <f t="shared" si="27"/>
        <v/>
      </c>
      <c r="AJ63" s="69"/>
      <c r="AK63" s="1206" t="str">
        <f t="shared" si="28"/>
        <v/>
      </c>
      <c r="AL63" s="69"/>
      <c r="AM63" s="1206" t="str">
        <f t="shared" si="29"/>
        <v/>
      </c>
      <c r="AN63" s="69"/>
      <c r="AO63" s="1206" t="str">
        <f t="shared" si="30"/>
        <v/>
      </c>
      <c r="AP63" s="69"/>
      <c r="AQ63" s="1206" t="str">
        <f t="shared" si="31"/>
        <v/>
      </c>
      <c r="AR63" s="69"/>
      <c r="AS63" s="1206" t="str">
        <f t="shared" si="32"/>
        <v/>
      </c>
      <c r="AT63" s="69"/>
      <c r="AU63" s="1206" t="str">
        <f t="shared" si="33"/>
        <v/>
      </c>
      <c r="AV63" s="69"/>
      <c r="AW63" s="1206" t="str">
        <f t="shared" si="34"/>
        <v/>
      </c>
      <c r="AX63" s="69"/>
      <c r="AY63" s="1207">
        <f t="shared" si="35"/>
        <v>0</v>
      </c>
      <c r="AZ63" s="1214"/>
      <c r="BA63" s="1214"/>
      <c r="BB63" s="1214"/>
      <c r="BC63" s="1215"/>
      <c r="BD63" s="1216"/>
    </row>
    <row r="64" ht="15.75" customHeight="1">
      <c r="A64" s="1109">
        <f t="shared" ref="A64:D64" si="60">A32</f>
        <v>31</v>
      </c>
      <c r="B64" s="1111" t="str">
        <f t="shared" si="60"/>
        <v/>
      </c>
      <c r="C64" s="1205" t="str">
        <f t="shared" si="60"/>
        <v>Внеплан</v>
      </c>
      <c r="D64" s="1129" t="str">
        <f t="shared" si="60"/>
        <v/>
      </c>
      <c r="E64" s="1206" t="str">
        <f t="shared" si="12"/>
        <v/>
      </c>
      <c r="F64" s="69"/>
      <c r="G64" s="1206" t="str">
        <f t="shared" si="13"/>
        <v/>
      </c>
      <c r="H64" s="69"/>
      <c r="I64" s="1206" t="str">
        <f t="shared" si="14"/>
        <v/>
      </c>
      <c r="J64" s="69"/>
      <c r="K64" s="1206" t="str">
        <f t="shared" si="15"/>
        <v/>
      </c>
      <c r="L64" s="69"/>
      <c r="M64" s="1206" t="str">
        <f t="shared" si="16"/>
        <v/>
      </c>
      <c r="N64" s="69"/>
      <c r="O64" s="1206" t="str">
        <f t="shared" si="17"/>
        <v/>
      </c>
      <c r="P64" s="69"/>
      <c r="Q64" s="1206" t="str">
        <f t="shared" si="18"/>
        <v/>
      </c>
      <c r="R64" s="69"/>
      <c r="S64" s="1206" t="str">
        <f>T30</f>
        <v/>
      </c>
      <c r="T64" s="69"/>
      <c r="U64" s="1206" t="str">
        <f t="shared" si="20"/>
        <v/>
      </c>
      <c r="V64" s="69"/>
      <c r="W64" s="1206" t="str">
        <f t="shared" si="21"/>
        <v/>
      </c>
      <c r="X64" s="69"/>
      <c r="Y64" s="1206" t="str">
        <f t="shared" si="22"/>
        <v/>
      </c>
      <c r="Z64" s="69"/>
      <c r="AA64" s="1206" t="str">
        <f t="shared" si="23"/>
        <v/>
      </c>
      <c r="AB64" s="69"/>
      <c r="AC64" s="1206" t="str">
        <f t="shared" si="24"/>
        <v/>
      </c>
      <c r="AD64" s="69"/>
      <c r="AE64" s="1206" t="str">
        <f t="shared" si="25"/>
        <v/>
      </c>
      <c r="AF64" s="69"/>
      <c r="AG64" s="1206" t="str">
        <f>AH30</f>
        <v/>
      </c>
      <c r="AH64" s="69"/>
      <c r="AI64" s="1206" t="str">
        <f t="shared" si="27"/>
        <v/>
      </c>
      <c r="AJ64" s="69"/>
      <c r="AK64" s="1206" t="str">
        <f t="shared" si="28"/>
        <v/>
      </c>
      <c r="AL64" s="69"/>
      <c r="AM64" s="1206" t="str">
        <f t="shared" si="29"/>
        <v/>
      </c>
      <c r="AN64" s="69"/>
      <c r="AO64" s="1206" t="str">
        <f t="shared" si="30"/>
        <v/>
      </c>
      <c r="AP64" s="69"/>
      <c r="AQ64" s="1206" t="str">
        <f t="shared" si="31"/>
        <v/>
      </c>
      <c r="AR64" s="69"/>
      <c r="AS64" s="1206" t="str">
        <f t="shared" si="32"/>
        <v/>
      </c>
      <c r="AT64" s="69"/>
      <c r="AU64" s="1206" t="str">
        <f t="shared" si="33"/>
        <v/>
      </c>
      <c r="AV64" s="69"/>
      <c r="AW64" s="1206" t="str">
        <f t="shared" si="34"/>
        <v/>
      </c>
      <c r="AX64" s="69"/>
      <c r="AY64" s="1207">
        <f t="shared" si="35"/>
        <v>0</v>
      </c>
    </row>
    <row r="65" ht="15.75" customHeight="1">
      <c r="A65" s="1004"/>
      <c r="B65" s="1004"/>
      <c r="C65" s="1005"/>
      <c r="D65" s="977"/>
      <c r="E65" s="13"/>
      <c r="G65" s="13"/>
      <c r="H65" s="677"/>
      <c r="I65" s="13"/>
      <c r="J65" s="677"/>
      <c r="K65" s="13"/>
      <c r="L65" s="677"/>
      <c r="M65" s="13"/>
      <c r="N65" s="13"/>
      <c r="O65" s="13"/>
      <c r="P65" s="677"/>
      <c r="S65" s="1206" t="str">
        <f>T32</f>
        <v/>
      </c>
      <c r="T65" s="69"/>
      <c r="U65" s="1189"/>
      <c r="W65" s="1189"/>
      <c r="Y65" s="1190"/>
      <c r="AA65" s="1190"/>
      <c r="AG65" s="701"/>
      <c r="AI65" s="701"/>
      <c r="AW65" s="1218" t="s">
        <v>1365</v>
      </c>
      <c r="AY65" s="1207">
        <f t="shared" si="35"/>
        <v>0</v>
      </c>
    </row>
    <row r="66" ht="15.75" customHeight="1">
      <c r="A66" s="1004"/>
      <c r="B66" s="1004"/>
      <c r="C66" s="1005"/>
      <c r="D66" s="977"/>
      <c r="E66" s="13"/>
      <c r="F66" s="13"/>
      <c r="G66" s="13"/>
      <c r="H66" s="677"/>
      <c r="I66" s="13"/>
      <c r="J66" s="677"/>
      <c r="K66" s="13"/>
      <c r="L66" s="677"/>
      <c r="M66" s="13"/>
      <c r="N66" s="13"/>
      <c r="O66" s="13"/>
      <c r="P66" s="677"/>
      <c r="U66" s="1189"/>
      <c r="W66" s="1189"/>
      <c r="Y66" s="1190"/>
      <c r="Z66" s="1190"/>
      <c r="AA66" s="1190"/>
      <c r="AG66" s="701"/>
      <c r="AH66" s="701"/>
      <c r="AI66" s="701"/>
      <c r="AW66" s="1187"/>
      <c r="AY66" s="11"/>
    </row>
    <row r="67" ht="15.75" customHeight="1">
      <c r="A67" s="1018" t="s">
        <v>1279</v>
      </c>
      <c r="B67" s="1019"/>
      <c r="C67" s="1222">
        <v>45662.0</v>
      </c>
      <c r="D67" s="1022" t="s">
        <v>1368</v>
      </c>
      <c r="E67" s="1224"/>
      <c r="F67" s="1225"/>
      <c r="G67" s="1226"/>
      <c r="H67" s="1227"/>
      <c r="I67" s="1228"/>
      <c r="J67" s="1230"/>
      <c r="K67" s="1228"/>
      <c r="L67" s="1230"/>
      <c r="M67" s="1228"/>
      <c r="N67" s="1231"/>
      <c r="O67" s="1228"/>
      <c r="P67" s="1233"/>
      <c r="AZ67" s="1235"/>
      <c r="BA67" s="1235"/>
      <c r="BB67" s="1235"/>
      <c r="BC67" s="1230"/>
      <c r="BD67" s="1237"/>
    </row>
    <row r="68" ht="15.75" customHeight="1">
      <c r="A68" s="1048" t="s">
        <v>10</v>
      </c>
      <c r="B68" s="1049" t="s">
        <v>1283</v>
      </c>
      <c r="C68" s="1051" t="s">
        <v>1284</v>
      </c>
      <c r="D68" s="1053" t="s">
        <v>471</v>
      </c>
      <c r="E68" s="1054" t="s">
        <v>1285</v>
      </c>
      <c r="F68" s="1055" t="s">
        <v>1286</v>
      </c>
      <c r="G68" s="1240" t="s">
        <v>1287</v>
      </c>
      <c r="H68" s="1242" t="s">
        <v>1288</v>
      </c>
      <c r="I68" s="1059" t="s">
        <v>1289</v>
      </c>
      <c r="J68" s="1060" t="s">
        <v>1290</v>
      </c>
      <c r="K68" s="1054" t="s">
        <v>1291</v>
      </c>
      <c r="L68" s="1055" t="s">
        <v>1292</v>
      </c>
      <c r="M68" s="1054" t="s">
        <v>1293</v>
      </c>
      <c r="N68" s="1054" t="s">
        <v>1294</v>
      </c>
      <c r="O68" s="1054" t="s">
        <v>1295</v>
      </c>
      <c r="P68" s="1054" t="s">
        <v>1296</v>
      </c>
      <c r="Q68" s="1062" t="s">
        <v>1297</v>
      </c>
      <c r="R68" s="1062" t="s">
        <v>1298</v>
      </c>
      <c r="S68" s="1063" t="s">
        <v>1299</v>
      </c>
      <c r="T68" s="1063" t="s">
        <v>1300</v>
      </c>
      <c r="U68" s="1062" t="s">
        <v>1301</v>
      </c>
      <c r="V68" s="1062" t="s">
        <v>1302</v>
      </c>
      <c r="W68" s="1063" t="s">
        <v>1303</v>
      </c>
      <c r="X68" s="1063" t="s">
        <v>1304</v>
      </c>
      <c r="Y68" s="1063" t="s">
        <v>1305</v>
      </c>
      <c r="Z68" s="1063" t="s">
        <v>1306</v>
      </c>
      <c r="AA68" s="1062" t="s">
        <v>1307</v>
      </c>
      <c r="AB68" s="1062" t="s">
        <v>1308</v>
      </c>
      <c r="AC68" s="1065" t="s">
        <v>1309</v>
      </c>
      <c r="AD68" s="1065" t="s">
        <v>1310</v>
      </c>
      <c r="AE68" s="1067" t="s">
        <v>1311</v>
      </c>
      <c r="AF68" s="1067" t="s">
        <v>1312</v>
      </c>
      <c r="AG68" s="1065" t="s">
        <v>1313</v>
      </c>
      <c r="AH68" s="1065" t="s">
        <v>1314</v>
      </c>
      <c r="AI68" s="1065" t="s">
        <v>1315</v>
      </c>
      <c r="AJ68" s="1065" t="s">
        <v>1316</v>
      </c>
      <c r="AK68" s="1068" t="s">
        <v>1317</v>
      </c>
      <c r="AL68" s="1068" t="s">
        <v>1318</v>
      </c>
      <c r="AM68" s="1065" t="s">
        <v>1319</v>
      </c>
      <c r="AN68" s="1065" t="s">
        <v>1320</v>
      </c>
      <c r="AO68" s="1065" t="s">
        <v>1321</v>
      </c>
      <c r="AP68" s="1065" t="s">
        <v>1322</v>
      </c>
      <c r="AQ68" s="1068" t="s">
        <v>1323</v>
      </c>
      <c r="AR68" s="1068" t="s">
        <v>1324</v>
      </c>
      <c r="AS68" s="1068" t="s">
        <v>1325</v>
      </c>
      <c r="AT68" s="1068" t="s">
        <v>1326</v>
      </c>
      <c r="AU68" s="1068" t="s">
        <v>1327</v>
      </c>
      <c r="AV68" s="1068" t="s">
        <v>1328</v>
      </c>
      <c r="AW68" s="1069" t="s">
        <v>1329</v>
      </c>
      <c r="AX68" s="1070" t="s">
        <v>1330</v>
      </c>
      <c r="AY68" s="1072" t="s">
        <v>1331</v>
      </c>
      <c r="AZ68" s="1073" t="s">
        <v>1332</v>
      </c>
      <c r="BA68" s="1073"/>
      <c r="BB68" s="1073"/>
      <c r="BC68" s="1073" t="s">
        <v>1334</v>
      </c>
      <c r="BD68" s="1076" t="s">
        <v>1335</v>
      </c>
    </row>
    <row r="69" ht="19.5" customHeight="1">
      <c r="A69" s="1246"/>
      <c r="B69" s="1247"/>
      <c r="C69" s="1249"/>
      <c r="D69" s="1250" t="s">
        <v>1336</v>
      </c>
      <c r="E69" s="1081" t="s">
        <v>1337</v>
      </c>
      <c r="F69" s="69"/>
      <c r="G69" s="1083"/>
      <c r="H69" s="69"/>
      <c r="I69" s="1083"/>
      <c r="J69" s="69"/>
      <c r="K69" s="1083">
        <v>40.0</v>
      </c>
      <c r="L69" s="69"/>
      <c r="M69" s="1083">
        <v>20.0</v>
      </c>
      <c r="N69" s="69"/>
      <c r="O69" s="1083"/>
      <c r="P69" s="69"/>
      <c r="Q69" s="1083"/>
      <c r="R69" s="69"/>
      <c r="S69" s="1081" t="s">
        <v>1338</v>
      </c>
      <c r="T69" s="69"/>
      <c r="U69" s="1083"/>
      <c r="V69" s="69"/>
      <c r="W69" s="1081" t="s">
        <v>1337</v>
      </c>
      <c r="X69" s="69"/>
      <c r="Y69" s="1083"/>
      <c r="Z69" s="69"/>
      <c r="AA69" s="1083"/>
      <c r="AB69" s="69"/>
      <c r="AC69" s="1083"/>
      <c r="AD69" s="69"/>
      <c r="AE69" s="1083" t="s">
        <v>1339</v>
      </c>
      <c r="AF69" s="68"/>
      <c r="AG69" s="1083"/>
      <c r="AH69" s="69"/>
      <c r="AI69" s="1083"/>
      <c r="AJ69" s="69"/>
      <c r="AK69" s="1083" t="s">
        <v>1340</v>
      </c>
      <c r="AL69" s="69"/>
      <c r="AM69" s="1083"/>
      <c r="AN69" s="69"/>
      <c r="AO69" s="1083"/>
      <c r="AP69" s="69"/>
      <c r="AQ69" s="1081" t="s">
        <v>1337</v>
      </c>
      <c r="AR69" s="69"/>
      <c r="AS69" s="1083">
        <v>20.0</v>
      </c>
      <c r="AT69" s="69"/>
      <c r="AU69" s="1081" t="s">
        <v>1337</v>
      </c>
      <c r="AV69" s="69"/>
      <c r="AW69" s="1091">
        <v>45780.0</v>
      </c>
      <c r="AX69" s="68"/>
      <c r="AY69" s="1093"/>
      <c r="AZ69" s="1254"/>
      <c r="BA69" s="1254"/>
      <c r="BB69" s="1254"/>
      <c r="BC69" s="591"/>
      <c r="BD69" s="1099"/>
    </row>
    <row r="70" ht="21.0" customHeight="1">
      <c r="A70" s="1246"/>
      <c r="B70" s="1247"/>
      <c r="C70" s="1249"/>
      <c r="D70" s="1250" t="s">
        <v>1341</v>
      </c>
      <c r="E70" s="1100"/>
      <c r="F70" s="69"/>
      <c r="G70" s="1255">
        <v>45813.0</v>
      </c>
      <c r="H70" s="69"/>
      <c r="I70" s="1100"/>
      <c r="J70" s="69"/>
      <c r="K70" s="1100"/>
      <c r="L70" s="69"/>
      <c r="M70" s="1100" t="s">
        <v>1398</v>
      </c>
      <c r="N70" s="69"/>
      <c r="O70" s="1100"/>
      <c r="P70" s="69"/>
      <c r="Q70" s="1100"/>
      <c r="R70" s="69"/>
      <c r="S70" s="1100"/>
      <c r="T70" s="69"/>
      <c r="U70" s="1100"/>
      <c r="V70" s="69"/>
      <c r="W70" s="1100"/>
      <c r="X70" s="69"/>
      <c r="Y70" s="1257" t="s">
        <v>1401</v>
      </c>
      <c r="Z70" s="69"/>
      <c r="AA70" s="1100"/>
      <c r="AB70" s="69"/>
      <c r="AC70" s="1100"/>
      <c r="AD70" s="69"/>
      <c r="AE70" s="1100"/>
      <c r="AF70" s="69"/>
      <c r="AG70" s="1100"/>
      <c r="AH70" s="69"/>
      <c r="AI70" s="1100"/>
      <c r="AJ70" s="69"/>
      <c r="AK70" s="1100"/>
      <c r="AL70" s="69"/>
      <c r="AM70" s="1100"/>
      <c r="AN70" s="69"/>
      <c r="AO70" s="1100"/>
      <c r="AP70" s="69"/>
      <c r="AQ70" s="1100"/>
      <c r="AR70" s="69"/>
      <c r="AS70" s="1108"/>
      <c r="AT70" s="69"/>
      <c r="AU70" s="1100"/>
      <c r="AV70" s="69"/>
      <c r="AW70" s="1100"/>
      <c r="AX70" s="69"/>
      <c r="AY70" s="1093"/>
      <c r="AZ70" s="1254"/>
      <c r="BA70" s="1254"/>
      <c r="BB70" s="1254"/>
      <c r="BC70" s="591"/>
      <c r="BD70" s="1099"/>
    </row>
    <row r="71" ht="19.5" customHeight="1">
      <c r="A71" s="1130">
        <v>1.0</v>
      </c>
      <c r="B71" s="1259">
        <v>3038.0</v>
      </c>
      <c r="C71" s="1261" t="str">
        <f>C6</f>
        <v>Завтрак </v>
      </c>
      <c r="D71" s="1262" t="str">
        <f>'Меню НА СЛЕДУЮЩИЙ МЕСЯЦ'!C12</f>
        <v/>
      </c>
      <c r="E71" s="1120">
        <v>14.0</v>
      </c>
      <c r="F71" s="1121">
        <v>14.0</v>
      </c>
      <c r="G71" s="1120">
        <v>2.0</v>
      </c>
      <c r="H71" s="1121">
        <v>2.0</v>
      </c>
      <c r="I71" s="1120"/>
      <c r="J71" s="1121"/>
      <c r="K71" s="1120">
        <v>15.0</v>
      </c>
      <c r="L71" s="1121">
        <v>15.0</v>
      </c>
      <c r="M71" s="1120">
        <v>2.0</v>
      </c>
      <c r="N71" s="1121">
        <v>2.0</v>
      </c>
      <c r="O71" s="1120">
        <v>4.0</v>
      </c>
      <c r="P71" s="1121">
        <v>4.0</v>
      </c>
      <c r="Q71" s="1120"/>
      <c r="R71" s="1121"/>
      <c r="S71" s="1120"/>
      <c r="T71" s="1121"/>
      <c r="U71" s="1120"/>
      <c r="V71" s="1121"/>
      <c r="W71" s="1120">
        <v>5.0</v>
      </c>
      <c r="X71" s="1121">
        <v>5.0</v>
      </c>
      <c r="Y71" s="1120"/>
      <c r="Z71" s="1121"/>
      <c r="AA71" s="1120"/>
      <c r="AB71" s="1121"/>
      <c r="AC71" s="1120"/>
      <c r="AD71" s="1121"/>
      <c r="AE71" s="1120">
        <v>3.0</v>
      </c>
      <c r="AF71" s="1121">
        <v>3.0</v>
      </c>
      <c r="AG71" s="1120"/>
      <c r="AH71" s="1121"/>
      <c r="AI71" s="1120"/>
      <c r="AJ71" s="1121"/>
      <c r="AK71" s="1120"/>
      <c r="AL71" s="1121"/>
      <c r="AM71" s="1120"/>
      <c r="AN71" s="1138"/>
      <c r="AO71" s="1126"/>
      <c r="AP71" s="1121"/>
      <c r="AQ71" s="1126">
        <v>20.0</v>
      </c>
      <c r="AR71" s="1121">
        <v>20.0</v>
      </c>
      <c r="AS71" s="1126"/>
      <c r="AT71" s="1121"/>
      <c r="AU71" s="1126"/>
      <c r="AV71" s="1121"/>
      <c r="AW71" s="1120"/>
      <c r="AX71" s="1121"/>
      <c r="AY71" s="1129">
        <f t="shared" ref="AY71:AY76" si="61">(E71+G71+I71+K71+M71+O71+Q71+S71+U71+W71+Y71+AA71+AC572+AC71+AE71+AG71+AI71+AK71+AM71+AW71+AO71+AQ71+AS71+AU71)+1</f>
        <v>66</v>
      </c>
      <c r="AZ71" s="1254">
        <f t="shared" ref="AZ71:AZ95" si="62">F71+H71+J71+L71+N71+P71+R71+T71+V71+X71+Z71+AD71+AF71+AH71+AJ71+AL71+AB71+AR71+AX71+AN71+AP71+AT71+AV71</f>
        <v>65</v>
      </c>
      <c r="BA71" s="1254"/>
      <c r="BB71" s="1254"/>
      <c r="BC71" s="591">
        <v>0.1</v>
      </c>
      <c r="BD71" s="1099">
        <f>AY71*BC71</f>
        <v>6.6</v>
      </c>
    </row>
    <row r="72" ht="19.5" customHeight="1">
      <c r="A72" s="1130">
        <v>2.0</v>
      </c>
      <c r="B72" s="1247">
        <v>3735.0</v>
      </c>
      <c r="C72" s="1271" t="s">
        <v>66</v>
      </c>
      <c r="D72" s="1274" t="str">
        <f>'Меню НА СЛЕДУЮЩИЙ МЕСЯЦ'!C13</f>
        <v/>
      </c>
      <c r="E72" s="1120">
        <v>10.0</v>
      </c>
      <c r="F72" s="1138">
        <v>10.0</v>
      </c>
      <c r="G72" s="1120">
        <v>2.0</v>
      </c>
      <c r="H72" s="1138">
        <v>2.0</v>
      </c>
      <c r="I72" s="1120"/>
      <c r="J72" s="1138"/>
      <c r="K72" s="1120">
        <v>15.0</v>
      </c>
      <c r="L72" s="1138">
        <v>15.0</v>
      </c>
      <c r="M72" s="1120">
        <v>3.0</v>
      </c>
      <c r="N72" s="1138">
        <v>3.0</v>
      </c>
      <c r="O72" s="1120">
        <v>9.0</v>
      </c>
      <c r="P72" s="1138">
        <v>9.0</v>
      </c>
      <c r="Q72" s="1120"/>
      <c r="R72" s="1138"/>
      <c r="S72" s="1120"/>
      <c r="T72" s="1138"/>
      <c r="U72" s="1120"/>
      <c r="V72" s="1138"/>
      <c r="W72" s="1120">
        <v>8.0</v>
      </c>
      <c r="X72" s="1138">
        <v>8.0</v>
      </c>
      <c r="Y72" s="1120"/>
      <c r="Z72" s="1138"/>
      <c r="AA72" s="1120"/>
      <c r="AB72" s="1138"/>
      <c r="AC72" s="1120"/>
      <c r="AD72" s="1138"/>
      <c r="AE72" s="1120">
        <v>3.0</v>
      </c>
      <c r="AF72" s="1138">
        <v>3.0</v>
      </c>
      <c r="AG72" s="1120"/>
      <c r="AH72" s="1138"/>
      <c r="AI72" s="1120"/>
      <c r="AJ72" s="1138"/>
      <c r="AK72" s="1120">
        <v>2.0</v>
      </c>
      <c r="AL72" s="1138">
        <v>2.0</v>
      </c>
      <c r="AM72" s="1120"/>
      <c r="AN72" s="1138"/>
      <c r="AO72" s="1126"/>
      <c r="AP72" s="1138"/>
      <c r="AQ72" s="1126">
        <v>10.0</v>
      </c>
      <c r="AR72" s="1138">
        <v>10.0</v>
      </c>
      <c r="AS72" s="1126">
        <v>4.0</v>
      </c>
      <c r="AT72" s="1138">
        <v>4.0</v>
      </c>
      <c r="AU72" s="1126">
        <v>4.0</v>
      </c>
      <c r="AV72" s="1138">
        <v>4.0</v>
      </c>
      <c r="AW72" s="1120"/>
      <c r="AX72" s="1138"/>
      <c r="AY72" s="1129">
        <f t="shared" si="61"/>
        <v>71</v>
      </c>
      <c r="AZ72" s="1254">
        <f t="shared" si="62"/>
        <v>70</v>
      </c>
      <c r="BA72" s="1254"/>
      <c r="BB72" s="1254"/>
      <c r="BC72" s="591"/>
      <c r="BD72" s="1099"/>
    </row>
    <row r="73" ht="19.5" customHeight="1">
      <c r="A73" s="1130">
        <v>3.0</v>
      </c>
      <c r="B73" s="1247"/>
      <c r="C73" s="1279" t="s">
        <v>66</v>
      </c>
      <c r="D73" s="1280"/>
      <c r="E73" s="1120"/>
      <c r="F73" s="1121"/>
      <c r="G73" s="1120"/>
      <c r="H73" s="1121"/>
      <c r="I73" s="1120"/>
      <c r="J73" s="1121"/>
      <c r="K73" s="1120"/>
      <c r="L73" s="1121"/>
      <c r="M73" s="1120"/>
      <c r="N73" s="1121"/>
      <c r="O73" s="1120"/>
      <c r="P73" s="1121"/>
      <c r="Q73" s="1120"/>
      <c r="R73" s="1121"/>
      <c r="S73" s="1120"/>
      <c r="T73" s="1121"/>
      <c r="U73" s="1120"/>
      <c r="V73" s="1121"/>
      <c r="W73" s="1120"/>
      <c r="X73" s="1121"/>
      <c r="Y73" s="1120"/>
      <c r="Z73" s="1121"/>
      <c r="AA73" s="1120"/>
      <c r="AB73" s="1121"/>
      <c r="AC73" s="1120"/>
      <c r="AD73" s="1127"/>
      <c r="AE73" s="1120"/>
      <c r="AF73" s="1127"/>
      <c r="AG73" s="1120"/>
      <c r="AH73" s="1127"/>
      <c r="AI73" s="1120"/>
      <c r="AJ73" s="1127"/>
      <c r="AK73" s="1120"/>
      <c r="AL73" s="1127"/>
      <c r="AM73" s="1120"/>
      <c r="AN73" s="1138"/>
      <c r="AO73" s="1126"/>
      <c r="AP73" s="1121"/>
      <c r="AQ73" s="1126"/>
      <c r="AR73" s="1121"/>
      <c r="AS73" s="1126"/>
      <c r="AT73" s="1121"/>
      <c r="AU73" s="1126"/>
      <c r="AV73" s="1121"/>
      <c r="AW73" s="1120"/>
      <c r="AX73" s="1138"/>
      <c r="AY73" s="1129">
        <f t="shared" si="61"/>
        <v>1</v>
      </c>
      <c r="AZ73" s="1254">
        <f t="shared" si="62"/>
        <v>0</v>
      </c>
      <c r="BA73" s="1254"/>
      <c r="BB73" s="1254"/>
      <c r="BC73" s="591"/>
      <c r="BD73" s="1099"/>
    </row>
    <row r="74" ht="19.5" customHeight="1">
      <c r="A74" s="1130">
        <v>4.0</v>
      </c>
      <c r="B74" s="1247">
        <v>3301.0</v>
      </c>
      <c r="C74" s="1281" t="str">
        <f t="shared" ref="C74:C76" si="63">C9</f>
        <v>Салат</v>
      </c>
      <c r="D74" s="1282" t="str">
        <f>'Меню НА СЛЕДУЮЩИЙ МЕСЯЦ'!E12</f>
        <v/>
      </c>
      <c r="E74" s="1120">
        <v>20.0</v>
      </c>
      <c r="F74" s="1121">
        <v>20.0</v>
      </c>
      <c r="G74" s="1126">
        <v>2.0</v>
      </c>
      <c r="H74" s="1121">
        <v>3.0</v>
      </c>
      <c r="I74" s="1126"/>
      <c r="J74" s="1121"/>
      <c r="K74" s="1126">
        <v>12.0</v>
      </c>
      <c r="L74" s="1121">
        <v>12.0</v>
      </c>
      <c r="M74" s="1126">
        <v>10.0</v>
      </c>
      <c r="N74" s="1121">
        <v>10.0</v>
      </c>
      <c r="O74" s="1126">
        <v>5.0</v>
      </c>
      <c r="P74" s="1121">
        <v>5.0</v>
      </c>
      <c r="Q74" s="1120"/>
      <c r="R74" s="1121"/>
      <c r="S74" s="1120"/>
      <c r="T74" s="1138"/>
      <c r="U74" s="1120"/>
      <c r="V74" s="1138"/>
      <c r="W74" s="1137">
        <v>15.0</v>
      </c>
      <c r="X74" s="1138">
        <v>15.0</v>
      </c>
      <c r="Y74" s="1120"/>
      <c r="Z74" s="1138"/>
      <c r="AA74" s="1120"/>
      <c r="AB74" s="1138"/>
      <c r="AC74" s="1120"/>
      <c r="AD74" s="1138"/>
      <c r="AE74" s="1120">
        <v>3.0</v>
      </c>
      <c r="AF74" s="1138">
        <v>3.0</v>
      </c>
      <c r="AG74" s="1120"/>
      <c r="AH74" s="1138"/>
      <c r="AI74" s="1137"/>
      <c r="AJ74" s="1138"/>
      <c r="AK74" s="1120">
        <v>3.0</v>
      </c>
      <c r="AL74" s="1138">
        <v>3.0</v>
      </c>
      <c r="AM74" s="1120"/>
      <c r="AN74" s="1138"/>
      <c r="AO74" s="1126"/>
      <c r="AP74" s="1138"/>
      <c r="AQ74" s="1126">
        <v>20.0</v>
      </c>
      <c r="AR74" s="1138">
        <v>20.0</v>
      </c>
      <c r="AS74" s="1126">
        <v>10.0</v>
      </c>
      <c r="AT74" s="1138">
        <v>10.0</v>
      </c>
      <c r="AU74" s="1126">
        <v>8.0</v>
      </c>
      <c r="AV74" s="1138">
        <v>8.0</v>
      </c>
      <c r="AW74" s="1120"/>
      <c r="AX74" s="1138"/>
      <c r="AY74" s="1129">
        <f t="shared" si="61"/>
        <v>109</v>
      </c>
      <c r="AZ74" s="1254">
        <f t="shared" si="62"/>
        <v>109</v>
      </c>
      <c r="BA74" s="1254">
        <f t="shared" ref="BA74:BA82" si="64">AY74*AZ74</f>
        <v>11881</v>
      </c>
      <c r="BB74" s="1254"/>
      <c r="BC74" s="591">
        <v>0.1</v>
      </c>
      <c r="BD74" s="1099">
        <f t="shared" ref="BD74:BD78" si="65">AY74*BC74</f>
        <v>10.9</v>
      </c>
    </row>
    <row r="75" ht="19.5" customHeight="1">
      <c r="A75" s="1130">
        <v>5.0</v>
      </c>
      <c r="B75" s="1283">
        <v>3660.0</v>
      </c>
      <c r="C75" s="1281" t="str">
        <f t="shared" si="63"/>
        <v>Салат</v>
      </c>
      <c r="D75" s="1282" t="str">
        <f>'Меню НА СЛЕДУЮЩИЙ МЕСЯЦ'!E13</f>
        <v/>
      </c>
      <c r="E75" s="1120">
        <v>20.0</v>
      </c>
      <c r="F75" s="1121">
        <v>20.0</v>
      </c>
      <c r="G75" s="1120">
        <v>2.0</v>
      </c>
      <c r="H75" s="1121">
        <v>3.0</v>
      </c>
      <c r="I75" s="1120"/>
      <c r="J75" s="1121"/>
      <c r="K75" s="1120">
        <v>12.0</v>
      </c>
      <c r="L75" s="1121">
        <v>12.0</v>
      </c>
      <c r="M75" s="1120">
        <v>10.0</v>
      </c>
      <c r="N75" s="1121">
        <v>10.0</v>
      </c>
      <c r="O75" s="1120">
        <v>5.0</v>
      </c>
      <c r="P75" s="1121">
        <v>5.0</v>
      </c>
      <c r="Q75" s="1120"/>
      <c r="R75" s="1121"/>
      <c r="S75" s="1120"/>
      <c r="T75" s="1121"/>
      <c r="U75" s="1120"/>
      <c r="V75" s="1121"/>
      <c r="W75" s="1120">
        <v>15.0</v>
      </c>
      <c r="X75" s="1121">
        <v>15.0</v>
      </c>
      <c r="Y75" s="1120"/>
      <c r="Z75" s="1121"/>
      <c r="AA75" s="1120"/>
      <c r="AB75" s="1127"/>
      <c r="AC75" s="1120"/>
      <c r="AD75" s="1127"/>
      <c r="AE75" s="1120">
        <v>3.0</v>
      </c>
      <c r="AF75" s="1127">
        <v>3.0</v>
      </c>
      <c r="AG75" s="1120"/>
      <c r="AH75" s="1127"/>
      <c r="AI75" s="1120"/>
      <c r="AJ75" s="1127"/>
      <c r="AK75" s="1120">
        <v>3.0</v>
      </c>
      <c r="AL75" s="1127">
        <v>3.0</v>
      </c>
      <c r="AM75" s="1120"/>
      <c r="AN75" s="1138"/>
      <c r="AO75" s="1126"/>
      <c r="AP75" s="1121"/>
      <c r="AQ75" s="1126">
        <v>20.0</v>
      </c>
      <c r="AR75" s="1121">
        <v>20.0</v>
      </c>
      <c r="AS75" s="1126">
        <v>10.0</v>
      </c>
      <c r="AT75" s="1121">
        <v>10.0</v>
      </c>
      <c r="AU75" s="1126">
        <v>8.0</v>
      </c>
      <c r="AV75" s="1121">
        <v>8.0</v>
      </c>
      <c r="AW75" s="1120"/>
      <c r="AX75" s="1121"/>
      <c r="AY75" s="1129">
        <f t="shared" si="61"/>
        <v>109</v>
      </c>
      <c r="AZ75" s="1254">
        <f t="shared" si="62"/>
        <v>109</v>
      </c>
      <c r="BA75" s="1254">
        <f t="shared" si="64"/>
        <v>11881</v>
      </c>
      <c r="BB75" s="1254"/>
      <c r="BC75" s="591">
        <v>0.1</v>
      </c>
      <c r="BD75" s="1099">
        <f t="shared" si="65"/>
        <v>10.9</v>
      </c>
    </row>
    <row r="76" ht="19.5" customHeight="1">
      <c r="A76" s="1130">
        <v>6.0</v>
      </c>
      <c r="B76" s="1247">
        <v>3141.0</v>
      </c>
      <c r="C76" s="1281" t="str">
        <f t="shared" si="63"/>
        <v>Салат</v>
      </c>
      <c r="D76" s="1274" t="s">
        <v>1422</v>
      </c>
      <c r="E76" s="1284"/>
      <c r="F76" s="1285"/>
      <c r="G76" s="1284"/>
      <c r="H76" s="1285"/>
      <c r="I76" s="1284"/>
      <c r="J76" s="1285"/>
      <c r="K76" s="1286"/>
      <c r="L76" s="1285"/>
      <c r="M76" s="1284"/>
      <c r="N76" s="1285"/>
      <c r="O76" s="1286"/>
      <c r="P76" s="1142"/>
      <c r="Q76" s="1120"/>
      <c r="R76" s="1142"/>
      <c r="S76" s="1126"/>
      <c r="T76" s="1142"/>
      <c r="U76" s="1287"/>
      <c r="V76" s="1288"/>
      <c r="W76" s="1137"/>
      <c r="X76" s="1289"/>
      <c r="Y76" s="1120"/>
      <c r="Z76" s="1142"/>
      <c r="AA76" s="1137"/>
      <c r="AB76" s="1289"/>
      <c r="AC76" s="1290"/>
      <c r="AD76" s="1289"/>
      <c r="AE76" s="1290"/>
      <c r="AF76" s="1289"/>
      <c r="AG76" s="1120"/>
      <c r="AH76" s="1291"/>
      <c r="AI76" s="1290"/>
      <c r="AJ76" s="1289"/>
      <c r="AK76" s="1120"/>
      <c r="AL76" s="1138"/>
      <c r="AM76" s="1120"/>
      <c r="AN76" s="1138"/>
      <c r="AO76" s="1126"/>
      <c r="AP76" s="1138"/>
      <c r="AQ76" s="1126">
        <v>20.0</v>
      </c>
      <c r="AR76" s="1138">
        <v>22.0</v>
      </c>
      <c r="AS76" s="1126"/>
      <c r="AT76" s="1138"/>
      <c r="AU76" s="1126"/>
      <c r="AV76" s="1138"/>
      <c r="AW76" s="1120"/>
      <c r="AX76" s="1138"/>
      <c r="AY76" s="1292">
        <f t="shared" si="61"/>
        <v>21</v>
      </c>
      <c r="AZ76" s="1293">
        <f t="shared" si="62"/>
        <v>22</v>
      </c>
      <c r="BA76" s="1254">
        <f t="shared" si="64"/>
        <v>462</v>
      </c>
      <c r="BB76" s="1254"/>
      <c r="BC76" s="591">
        <v>0.1</v>
      </c>
      <c r="BD76" s="1099">
        <f t="shared" si="65"/>
        <v>2.1</v>
      </c>
    </row>
    <row r="77" ht="19.5" customHeight="1">
      <c r="A77" s="1130">
        <v>8.0</v>
      </c>
      <c r="B77" s="1247">
        <v>793.0</v>
      </c>
      <c r="C77" s="1271" t="s">
        <v>1423</v>
      </c>
      <c r="D77" s="1274" t="str">
        <f>'Меню НА СЛЕДУЮЩИЙ МЕСЯЦ'!G12</f>
        <v/>
      </c>
      <c r="E77" s="1137">
        <v>2.0</v>
      </c>
      <c r="F77" s="1138">
        <v>2.0</v>
      </c>
      <c r="G77" s="1126">
        <v>2.0</v>
      </c>
      <c r="H77" s="1138">
        <v>2.0</v>
      </c>
      <c r="I77" s="1126"/>
      <c r="J77" s="1138"/>
      <c r="K77" s="1126">
        <v>2.0</v>
      </c>
      <c r="L77" s="1138">
        <v>2.0</v>
      </c>
      <c r="M77" s="1126">
        <v>2.0</v>
      </c>
      <c r="N77" s="1138">
        <v>2.0</v>
      </c>
      <c r="O77" s="1126">
        <v>2.0</v>
      </c>
      <c r="P77" s="1121">
        <v>2.0</v>
      </c>
      <c r="Q77" s="1126"/>
      <c r="R77" s="1121"/>
      <c r="S77" s="1137"/>
      <c r="T77" s="1121"/>
      <c r="U77" s="1137"/>
      <c r="V77" s="1121"/>
      <c r="W77" s="1137">
        <v>2.0</v>
      </c>
      <c r="X77" s="1121">
        <v>2.0</v>
      </c>
      <c r="Y77" s="1126"/>
      <c r="Z77" s="1121"/>
      <c r="AA77" s="1120"/>
      <c r="AB77" s="1127"/>
      <c r="AC77" s="1120"/>
      <c r="AD77" s="1127"/>
      <c r="AE77" s="1137">
        <v>2.0</v>
      </c>
      <c r="AF77" s="1127">
        <v>2.0</v>
      </c>
      <c r="AG77" s="1137"/>
      <c r="AH77" s="1127"/>
      <c r="AI77" s="1137"/>
      <c r="AJ77" s="1127"/>
      <c r="AK77" s="1126">
        <v>2.0</v>
      </c>
      <c r="AL77" s="1121">
        <v>2.0</v>
      </c>
      <c r="AM77" s="1137"/>
      <c r="AN77" s="1138"/>
      <c r="AO77" s="1126"/>
      <c r="AP77" s="1138"/>
      <c r="AQ77" s="1126">
        <v>2.0</v>
      </c>
      <c r="AR77" s="1138">
        <v>2.0</v>
      </c>
      <c r="AS77" s="1126">
        <v>2.0</v>
      </c>
      <c r="AT77" s="1138">
        <v>2.0</v>
      </c>
      <c r="AU77" s="1126">
        <v>2.0</v>
      </c>
      <c r="AV77" s="1138">
        <v>2.0</v>
      </c>
      <c r="AW77" s="1137"/>
      <c r="AX77" s="1138"/>
      <c r="AY77" s="1129">
        <f t="shared" ref="AY77:AY95" si="66">(E77+G77+I77+K77+M77+O77+Q77+S77+U77+W77+Y77+AA77+AC579+AC77+AE77+AG77+AI77+AK77+AM77+AW77+AO77+AQ77+AS77+AU77)+1</f>
        <v>23</v>
      </c>
      <c r="AZ77" s="1254">
        <f t="shared" si="62"/>
        <v>22</v>
      </c>
      <c r="BA77" s="1254">
        <f t="shared" si="64"/>
        <v>506</v>
      </c>
      <c r="BB77" s="1254"/>
      <c r="BC77" s="591">
        <v>0.25</v>
      </c>
      <c r="BD77" s="1099">
        <f t="shared" si="65"/>
        <v>5.75</v>
      </c>
    </row>
    <row r="78" ht="19.5" customHeight="1">
      <c r="A78" s="1130">
        <v>9.0</v>
      </c>
      <c r="B78" s="1247">
        <v>3276.0</v>
      </c>
      <c r="C78" s="1271" t="s">
        <v>1424</v>
      </c>
      <c r="D78" s="1274" t="str">
        <f>'Меню НА СЛЕДУЮЩИЙ МЕСЯЦ'!I12</f>
        <v/>
      </c>
      <c r="E78" s="1120">
        <v>15.0</v>
      </c>
      <c r="F78" s="1121">
        <v>15.0</v>
      </c>
      <c r="G78" s="1120">
        <v>7.0</v>
      </c>
      <c r="H78" s="1121">
        <v>7.0</v>
      </c>
      <c r="I78" s="1120"/>
      <c r="J78" s="1121"/>
      <c r="K78" s="1120">
        <v>20.0</v>
      </c>
      <c r="L78" s="1121">
        <v>20.0</v>
      </c>
      <c r="M78" s="1120">
        <v>3.0</v>
      </c>
      <c r="N78" s="1121">
        <v>3.0</v>
      </c>
      <c r="O78" s="1120">
        <v>5.0</v>
      </c>
      <c r="P78" s="1121">
        <v>5.0</v>
      </c>
      <c r="Q78" s="1126"/>
      <c r="R78" s="1121"/>
      <c r="S78" s="1120"/>
      <c r="T78" s="1121"/>
      <c r="U78" s="1120"/>
      <c r="V78" s="1121"/>
      <c r="W78" s="1120">
        <v>20.0</v>
      </c>
      <c r="X78" s="1121">
        <v>20.0</v>
      </c>
      <c r="Y78" s="1120"/>
      <c r="Z78" s="1121"/>
      <c r="AA78" s="1120"/>
      <c r="AB78" s="1121"/>
      <c r="AC78" s="1120"/>
      <c r="AD78" s="1121"/>
      <c r="AE78" s="1120">
        <v>3.0</v>
      </c>
      <c r="AF78" s="1121">
        <v>3.0</v>
      </c>
      <c r="AG78" s="1120"/>
      <c r="AH78" s="1121"/>
      <c r="AI78" s="1120"/>
      <c r="AJ78" s="1121"/>
      <c r="AK78" s="1120">
        <v>3.0</v>
      </c>
      <c r="AL78" s="1121">
        <v>3.0</v>
      </c>
      <c r="AM78" s="1120"/>
      <c r="AN78" s="1138"/>
      <c r="AO78" s="1126"/>
      <c r="AP78" s="1121"/>
      <c r="AQ78" s="1126">
        <v>20.0</v>
      </c>
      <c r="AR78" s="1121">
        <v>20.0</v>
      </c>
      <c r="AS78" s="1126">
        <v>8.0</v>
      </c>
      <c r="AT78" s="1121">
        <v>8.0</v>
      </c>
      <c r="AU78" s="1126">
        <v>8.0</v>
      </c>
      <c r="AV78" s="1121">
        <v>8.0</v>
      </c>
      <c r="AW78" s="1120"/>
      <c r="AX78" s="1121"/>
      <c r="AY78" s="1129">
        <f t="shared" si="66"/>
        <v>113</v>
      </c>
      <c r="AZ78" s="1254">
        <f t="shared" si="62"/>
        <v>112</v>
      </c>
      <c r="BA78" s="1254">
        <f t="shared" si="64"/>
        <v>12656</v>
      </c>
      <c r="BB78" s="1294"/>
      <c r="BC78" s="591">
        <v>0.3</v>
      </c>
      <c r="BD78" s="1099">
        <f t="shared" si="65"/>
        <v>33.9</v>
      </c>
    </row>
    <row r="79" ht="19.5" customHeight="1">
      <c r="A79" s="1130">
        <v>10.0</v>
      </c>
      <c r="B79" s="1247">
        <v>3734.0</v>
      </c>
      <c r="C79" s="1271" t="s">
        <v>1424</v>
      </c>
      <c r="D79" s="1282" t="str">
        <f>'Меню НА СЛЕДУЮЩИЙ МЕСЯЦ'!I13</f>
        <v/>
      </c>
      <c r="E79" s="1295">
        <v>15.0</v>
      </c>
      <c r="F79" s="1285">
        <v>15.0</v>
      </c>
      <c r="G79" s="1284">
        <v>7.0</v>
      </c>
      <c r="H79" s="1285">
        <v>7.0</v>
      </c>
      <c r="I79" s="1284"/>
      <c r="J79" s="1285"/>
      <c r="K79" s="1286">
        <v>20.0</v>
      </c>
      <c r="L79" s="1285">
        <v>20.0</v>
      </c>
      <c r="M79" s="1284">
        <v>3.0</v>
      </c>
      <c r="N79" s="1285">
        <v>3.0</v>
      </c>
      <c r="O79" s="1284">
        <v>5.0</v>
      </c>
      <c r="P79" s="1142">
        <v>5.0</v>
      </c>
      <c r="Q79" s="1286"/>
      <c r="R79" s="1142"/>
      <c r="S79" s="1284"/>
      <c r="T79" s="1142"/>
      <c r="U79" s="1287"/>
      <c r="V79" s="1288"/>
      <c r="W79" s="1290">
        <v>20.0</v>
      </c>
      <c r="X79" s="1289">
        <v>20.0</v>
      </c>
      <c r="Y79" s="1295"/>
      <c r="Z79" s="1142"/>
      <c r="AA79" s="1295"/>
      <c r="AB79" s="1296"/>
      <c r="AC79" s="1290"/>
      <c r="AD79" s="1289"/>
      <c r="AE79" s="1297">
        <v>3.0</v>
      </c>
      <c r="AF79" s="1289">
        <v>3.0</v>
      </c>
      <c r="AG79" s="1120"/>
      <c r="AH79" s="1289"/>
      <c r="AI79" s="1290"/>
      <c r="AJ79" s="1289"/>
      <c r="AK79" s="1290">
        <v>3.0</v>
      </c>
      <c r="AL79" s="1296">
        <v>3.0</v>
      </c>
      <c r="AM79" s="1290"/>
      <c r="AN79" s="1138"/>
      <c r="AO79" s="1120"/>
      <c r="AP79" s="1131"/>
      <c r="AQ79" s="1126">
        <v>20.0</v>
      </c>
      <c r="AR79" s="1121">
        <v>20.0</v>
      </c>
      <c r="AS79" s="1126">
        <v>8.0</v>
      </c>
      <c r="AT79" s="1121">
        <v>8.0</v>
      </c>
      <c r="AU79" s="1126">
        <v>8.0</v>
      </c>
      <c r="AV79" s="1121">
        <v>8.0</v>
      </c>
      <c r="AW79" s="1120"/>
      <c r="AX79" s="1121"/>
      <c r="AY79" s="1292">
        <f t="shared" si="66"/>
        <v>113</v>
      </c>
      <c r="AZ79" s="1293">
        <f t="shared" si="62"/>
        <v>112</v>
      </c>
      <c r="BA79" s="1254">
        <f t="shared" si="64"/>
        <v>12656</v>
      </c>
      <c r="BB79" s="1294"/>
      <c r="BC79" s="591"/>
      <c r="BD79" s="1099"/>
    </row>
    <row r="80" ht="19.5" customHeight="1">
      <c r="A80" s="1130">
        <v>11.0</v>
      </c>
      <c r="B80" s="1247">
        <v>3703.0</v>
      </c>
      <c r="C80" s="1271" t="s">
        <v>1424</v>
      </c>
      <c r="D80" s="1282" t="str">
        <f>'Меню НА СЛЕДУЮЩИЙ МЕСЯЦ'!I14</f>
        <v/>
      </c>
      <c r="E80" s="1137">
        <v>15.0</v>
      </c>
      <c r="F80" s="1121">
        <v>15.0</v>
      </c>
      <c r="G80" s="1126">
        <v>7.0</v>
      </c>
      <c r="H80" s="1121">
        <v>6.0</v>
      </c>
      <c r="I80" s="1126"/>
      <c r="J80" s="1121"/>
      <c r="K80" s="1126">
        <v>20.0</v>
      </c>
      <c r="L80" s="1121">
        <v>20.0</v>
      </c>
      <c r="M80" s="1126">
        <v>3.0</v>
      </c>
      <c r="N80" s="1121">
        <v>3.0</v>
      </c>
      <c r="O80" s="1126">
        <v>5.0</v>
      </c>
      <c r="P80" s="1121">
        <v>5.0</v>
      </c>
      <c r="Q80" s="1126"/>
      <c r="R80" s="1121"/>
      <c r="S80" s="1126"/>
      <c r="T80" s="1138"/>
      <c r="U80" s="1137"/>
      <c r="V80" s="1138"/>
      <c r="W80" s="1137">
        <v>20.0</v>
      </c>
      <c r="X80" s="1138">
        <v>20.0</v>
      </c>
      <c r="Y80" s="1137"/>
      <c r="Z80" s="1138"/>
      <c r="AA80" s="1137"/>
      <c r="AB80" s="1138"/>
      <c r="AC80" s="1137"/>
      <c r="AD80" s="1138"/>
      <c r="AE80" s="1137">
        <v>3.0</v>
      </c>
      <c r="AF80" s="1138">
        <v>3.0</v>
      </c>
      <c r="AG80" s="1120"/>
      <c r="AH80" s="1138"/>
      <c r="AI80" s="1137"/>
      <c r="AJ80" s="1138"/>
      <c r="AK80" s="1120">
        <v>3.0</v>
      </c>
      <c r="AL80" s="1131">
        <v>3.0</v>
      </c>
      <c r="AM80" s="1120"/>
      <c r="AN80" s="1138"/>
      <c r="AO80" s="1120"/>
      <c r="AP80" s="1131"/>
      <c r="AQ80" s="1126">
        <v>20.0</v>
      </c>
      <c r="AR80" s="1138">
        <v>20.0</v>
      </c>
      <c r="AS80" s="1126">
        <v>8.0</v>
      </c>
      <c r="AT80" s="1138">
        <v>8.0</v>
      </c>
      <c r="AU80" s="1126">
        <v>8.0</v>
      </c>
      <c r="AV80" s="1138">
        <v>8.0</v>
      </c>
      <c r="AW80" s="1137"/>
      <c r="AX80" s="1138"/>
      <c r="AY80" s="1129">
        <f t="shared" si="66"/>
        <v>113</v>
      </c>
      <c r="AZ80" s="1254">
        <f t="shared" si="62"/>
        <v>111</v>
      </c>
      <c r="BA80" s="1254">
        <f t="shared" si="64"/>
        <v>12543</v>
      </c>
      <c r="BB80" s="1294"/>
      <c r="BC80" s="591">
        <v>0.3</v>
      </c>
      <c r="BD80" s="1099">
        <f>AY80*BC80</f>
        <v>33.9</v>
      </c>
    </row>
    <row r="81" ht="21.0" customHeight="1">
      <c r="A81" s="1130">
        <v>12.0</v>
      </c>
      <c r="B81" s="1247">
        <v>3532.0</v>
      </c>
      <c r="C81" s="1271" t="s">
        <v>1346</v>
      </c>
      <c r="D81" s="1298" t="str">
        <f>'Меню НА СЛЕДУЮЩИЙ МЕСЯЦ'!O12</f>
        <v/>
      </c>
      <c r="E81" s="1137">
        <v>8.0</v>
      </c>
      <c r="F81" s="1138">
        <v>8.0</v>
      </c>
      <c r="G81" s="1126"/>
      <c r="H81" s="1138"/>
      <c r="I81" s="1126"/>
      <c r="J81" s="1138"/>
      <c r="K81" s="1126">
        <v>5.0</v>
      </c>
      <c r="L81" s="1138">
        <v>8.0</v>
      </c>
      <c r="M81" s="1126">
        <v>3.0</v>
      </c>
      <c r="N81" s="1138">
        <v>3.0</v>
      </c>
      <c r="O81" s="1120">
        <v>3.0</v>
      </c>
      <c r="P81" s="1121">
        <v>3.0</v>
      </c>
      <c r="Q81" s="1126"/>
      <c r="R81" s="1121"/>
      <c r="S81" s="1137"/>
      <c r="T81" s="1121"/>
      <c r="U81" s="1137"/>
      <c r="V81" s="1121"/>
      <c r="W81" s="1137">
        <v>3.0</v>
      </c>
      <c r="X81" s="1121">
        <v>3.0</v>
      </c>
      <c r="Y81" s="1120"/>
      <c r="Z81" s="1121"/>
      <c r="AA81" s="1120"/>
      <c r="AB81" s="1121"/>
      <c r="AC81" s="1120"/>
      <c r="AD81" s="1121"/>
      <c r="AE81" s="1137">
        <v>3.0</v>
      </c>
      <c r="AF81" s="1121">
        <v>3.0</v>
      </c>
      <c r="AG81" s="1120"/>
      <c r="AH81" s="1121"/>
      <c r="AI81" s="1126"/>
      <c r="AJ81" s="1121"/>
      <c r="AK81" s="1120"/>
      <c r="AL81" s="1121"/>
      <c r="AM81" s="1137"/>
      <c r="AN81" s="1138"/>
      <c r="AO81" s="1126"/>
      <c r="AP81" s="1138"/>
      <c r="AQ81" s="1126">
        <v>8.0</v>
      </c>
      <c r="AR81" s="1138">
        <v>9.0</v>
      </c>
      <c r="AS81" s="1126">
        <v>2.0</v>
      </c>
      <c r="AT81" s="1138">
        <v>2.0</v>
      </c>
      <c r="AU81" s="1126">
        <v>2.0</v>
      </c>
      <c r="AV81" s="1138">
        <v>2.0</v>
      </c>
      <c r="AW81" s="1137"/>
      <c r="AX81" s="1138"/>
      <c r="AY81" s="1129">
        <f t="shared" si="66"/>
        <v>38</v>
      </c>
      <c r="AZ81" s="1254">
        <f t="shared" si="62"/>
        <v>41</v>
      </c>
      <c r="BA81" s="1254">
        <f t="shared" si="64"/>
        <v>1558</v>
      </c>
      <c r="BB81" s="1254"/>
      <c r="BC81" s="591"/>
      <c r="BD81" s="1099"/>
    </row>
    <row r="82" ht="19.5" customHeight="1">
      <c r="A82" s="1130">
        <v>13.0</v>
      </c>
      <c r="B82" s="1247">
        <v>822.0</v>
      </c>
      <c r="C82" s="1281"/>
      <c r="D82" s="1274" t="s">
        <v>884</v>
      </c>
      <c r="E82" s="1137">
        <v>15.0</v>
      </c>
      <c r="F82" s="1138">
        <v>10.0</v>
      </c>
      <c r="G82" s="1126"/>
      <c r="H82" s="1138"/>
      <c r="I82" s="1126"/>
      <c r="J82" s="1138"/>
      <c r="K82" s="1126">
        <v>20.0</v>
      </c>
      <c r="L82" s="1138">
        <v>13.0</v>
      </c>
      <c r="M82" s="1126">
        <v>3.0</v>
      </c>
      <c r="N82" s="1138">
        <v>3.0</v>
      </c>
      <c r="O82" s="1126">
        <v>10.0</v>
      </c>
      <c r="P82" s="1142">
        <v>8.0</v>
      </c>
      <c r="Q82" s="1126"/>
      <c r="R82" s="1121"/>
      <c r="S82" s="1137"/>
      <c r="T82" s="1121"/>
      <c r="U82" s="1137"/>
      <c r="V82" s="1121"/>
      <c r="W82" s="1137">
        <v>10.0</v>
      </c>
      <c r="X82" s="1121">
        <v>8.0</v>
      </c>
      <c r="Y82" s="1120"/>
      <c r="Z82" s="1121"/>
      <c r="AA82" s="1120"/>
      <c r="AB82" s="1121"/>
      <c r="AC82" s="1120"/>
      <c r="AD82" s="1121"/>
      <c r="AE82" s="1126">
        <v>5.0</v>
      </c>
      <c r="AF82" s="1121">
        <v>5.0</v>
      </c>
      <c r="AG82" s="1120"/>
      <c r="AH82" s="1121"/>
      <c r="AI82" s="1120"/>
      <c r="AJ82" s="1121"/>
      <c r="AK82" s="1120"/>
      <c r="AL82" s="1121"/>
      <c r="AM82" s="1137"/>
      <c r="AN82" s="1138"/>
      <c r="AO82" s="1126"/>
      <c r="AP82" s="1138"/>
      <c r="AQ82" s="1126"/>
      <c r="AR82" s="1138"/>
      <c r="AS82" s="1126">
        <v>3.0</v>
      </c>
      <c r="AT82" s="1138">
        <v>3.0</v>
      </c>
      <c r="AU82" s="1126">
        <v>3.0</v>
      </c>
      <c r="AV82" s="1138">
        <v>3.0</v>
      </c>
      <c r="AW82" s="1137"/>
      <c r="AX82" s="1138"/>
      <c r="AY82" s="1129">
        <f t="shared" si="66"/>
        <v>70</v>
      </c>
      <c r="AZ82" s="1293">
        <f t="shared" si="62"/>
        <v>53</v>
      </c>
      <c r="BA82" s="1254">
        <f t="shared" si="64"/>
        <v>3710</v>
      </c>
      <c r="BB82" s="1254"/>
      <c r="BC82" s="591">
        <v>0.3</v>
      </c>
      <c r="BD82" s="1099">
        <f t="shared" ref="BD82:BD83" si="67">AY82*BC82</f>
        <v>21</v>
      </c>
    </row>
    <row r="83" ht="19.5" customHeight="1">
      <c r="A83" s="1130">
        <v>14.0</v>
      </c>
      <c r="B83" s="1247"/>
      <c r="C83" s="1249"/>
      <c r="D83" s="1299"/>
      <c r="E83" s="1126"/>
      <c r="F83" s="1121"/>
      <c r="G83" s="1120"/>
      <c r="H83" s="1121"/>
      <c r="I83" s="1120"/>
      <c r="J83" s="1121"/>
      <c r="K83" s="1300"/>
      <c r="L83" s="1121"/>
      <c r="M83" s="1120"/>
      <c r="N83" s="1121"/>
      <c r="O83" s="1120"/>
      <c r="P83" s="1121"/>
      <c r="Q83" s="1126"/>
      <c r="R83" s="1121"/>
      <c r="S83" s="1120"/>
      <c r="T83" s="1121"/>
      <c r="U83" s="1120"/>
      <c r="V83" s="1121"/>
      <c r="W83" s="1120"/>
      <c r="X83" s="1121"/>
      <c r="Y83" s="1120"/>
      <c r="Z83" s="1121"/>
      <c r="AA83" s="1120"/>
      <c r="AB83" s="1121"/>
      <c r="AC83" s="1120"/>
      <c r="AD83" s="1121"/>
      <c r="AE83" s="1126"/>
      <c r="AF83" s="1121"/>
      <c r="AG83" s="1120"/>
      <c r="AH83" s="1121"/>
      <c r="AI83" s="1120"/>
      <c r="AJ83" s="1121"/>
      <c r="AK83" s="1120"/>
      <c r="AL83" s="1121"/>
      <c r="AM83" s="1120"/>
      <c r="AN83" s="1138"/>
      <c r="AO83" s="1126"/>
      <c r="AP83" s="1121"/>
      <c r="AQ83" s="1126"/>
      <c r="AR83" s="1121"/>
      <c r="AS83" s="1126"/>
      <c r="AT83" s="1121"/>
      <c r="AU83" s="1126"/>
      <c r="AV83" s="1121"/>
      <c r="AW83" s="1120"/>
      <c r="AX83" s="1138"/>
      <c r="AY83" s="1129">
        <f t="shared" si="66"/>
        <v>1</v>
      </c>
      <c r="AZ83" s="1254">
        <f t="shared" si="62"/>
        <v>0</v>
      </c>
      <c r="BA83" s="1254"/>
      <c r="BB83" s="1254"/>
      <c r="BC83" s="591">
        <v>0.03</v>
      </c>
      <c r="BD83" s="1099">
        <f t="shared" si="67"/>
        <v>0.03</v>
      </c>
    </row>
    <row r="84" ht="19.5" customHeight="1">
      <c r="A84" s="1130">
        <v>15.0</v>
      </c>
      <c r="B84" s="1247"/>
      <c r="C84" s="1279"/>
      <c r="D84" s="1299"/>
      <c r="E84" s="1126"/>
      <c r="F84" s="1121"/>
      <c r="G84" s="1120"/>
      <c r="H84" s="1121"/>
      <c r="I84" s="1120"/>
      <c r="J84" s="1138"/>
      <c r="K84" s="1120"/>
      <c r="L84" s="1138"/>
      <c r="M84" s="1120"/>
      <c r="N84" s="1138"/>
      <c r="O84" s="1120"/>
      <c r="P84" s="1138"/>
      <c r="Q84" s="1120"/>
      <c r="R84" s="1138"/>
      <c r="S84" s="1120"/>
      <c r="T84" s="1138"/>
      <c r="U84" s="1120"/>
      <c r="V84" s="1138"/>
      <c r="W84" s="1120"/>
      <c r="X84" s="1138"/>
      <c r="Y84" s="1120"/>
      <c r="Z84" s="1138"/>
      <c r="AA84" s="1120"/>
      <c r="AB84" s="1138"/>
      <c r="AC84" s="1120"/>
      <c r="AD84" s="1138"/>
      <c r="AE84" s="1126"/>
      <c r="AF84" s="1138"/>
      <c r="AG84" s="1126"/>
      <c r="AH84" s="1138"/>
      <c r="AI84" s="1120"/>
      <c r="AJ84" s="1138"/>
      <c r="AK84" s="1126"/>
      <c r="AL84" s="1138"/>
      <c r="AM84" s="1120"/>
      <c r="AN84" s="1138"/>
      <c r="AO84" s="1120"/>
      <c r="AP84" s="1138"/>
      <c r="AQ84" s="1126"/>
      <c r="AR84" s="1121"/>
      <c r="AS84" s="1126"/>
      <c r="AT84" s="1121"/>
      <c r="AU84" s="1126"/>
      <c r="AV84" s="1121"/>
      <c r="AW84" s="1120"/>
      <c r="AX84" s="1121"/>
      <c r="AY84" s="1129">
        <f t="shared" si="66"/>
        <v>1</v>
      </c>
      <c r="AZ84" s="1254">
        <f t="shared" si="62"/>
        <v>0</v>
      </c>
      <c r="BA84" s="1254"/>
      <c r="BB84" s="1254"/>
      <c r="BC84" s="591"/>
      <c r="BD84" s="1099"/>
    </row>
    <row r="85" ht="19.5" customHeight="1">
      <c r="A85" s="1130">
        <v>16.0</v>
      </c>
      <c r="B85" s="1247"/>
      <c r="C85" s="1279"/>
      <c r="D85" s="580"/>
      <c r="E85" s="1126"/>
      <c r="F85" s="1301"/>
      <c r="G85" s="1302"/>
      <c r="H85" s="1303"/>
      <c r="I85" s="1302"/>
      <c r="J85" s="1303"/>
      <c r="K85" s="1302"/>
      <c r="L85" s="1304"/>
      <c r="M85" s="1302"/>
      <c r="N85" s="1304"/>
      <c r="O85" s="1302"/>
      <c r="P85" s="1303"/>
      <c r="Q85" s="1302"/>
      <c r="R85" s="1305"/>
      <c r="S85" s="1302"/>
      <c r="T85" s="1305"/>
      <c r="U85" s="1302"/>
      <c r="V85" s="1305"/>
      <c r="W85" s="1302"/>
      <c r="X85" s="1305"/>
      <c r="Y85" s="1302"/>
      <c r="Z85" s="1305"/>
      <c r="AA85" s="1120"/>
      <c r="AB85" s="1121"/>
      <c r="AC85" s="1120"/>
      <c r="AD85" s="1121"/>
      <c r="AE85" s="1120"/>
      <c r="AF85" s="1121"/>
      <c r="AG85" s="1120"/>
      <c r="AH85" s="1121"/>
      <c r="AI85" s="1120"/>
      <c r="AJ85" s="1121"/>
      <c r="AK85" s="1120"/>
      <c r="AL85" s="1121"/>
      <c r="AM85" s="1120"/>
      <c r="AN85" s="1138"/>
      <c r="AO85" s="1126"/>
      <c r="AP85" s="1121"/>
      <c r="AQ85" s="1126"/>
      <c r="AR85" s="1121"/>
      <c r="AS85" s="1126"/>
      <c r="AT85" s="1121"/>
      <c r="AU85" s="1126"/>
      <c r="AV85" s="1121"/>
      <c r="AW85" s="1120"/>
      <c r="AX85" s="1121"/>
      <c r="AY85" s="1129">
        <f t="shared" si="66"/>
        <v>1</v>
      </c>
      <c r="AZ85" s="1254">
        <f t="shared" si="62"/>
        <v>0</v>
      </c>
      <c r="BA85" s="1254"/>
      <c r="BB85" s="1254"/>
      <c r="BC85" s="591">
        <v>0.3</v>
      </c>
      <c r="BD85" s="1099">
        <f>AY85*BC85</f>
        <v>0.3</v>
      </c>
    </row>
    <row r="86" ht="19.5" customHeight="1">
      <c r="A86" s="1130">
        <v>17.0</v>
      </c>
      <c r="B86" s="1247"/>
      <c r="C86" s="1249"/>
      <c r="D86" s="580"/>
      <c r="E86" s="1126"/>
      <c r="F86" s="1138"/>
      <c r="G86" s="1126"/>
      <c r="H86" s="1138"/>
      <c r="I86" s="1126"/>
      <c r="J86" s="1138"/>
      <c r="K86" s="1126"/>
      <c r="L86" s="1138"/>
      <c r="M86" s="1126"/>
      <c r="N86" s="1138"/>
      <c r="O86" s="1126"/>
      <c r="P86" s="1138"/>
      <c r="Q86" s="1120"/>
      <c r="R86" s="1138"/>
      <c r="S86" s="1137"/>
      <c r="T86" s="1138"/>
      <c r="U86" s="1137"/>
      <c r="V86" s="1138"/>
      <c r="W86" s="1137"/>
      <c r="X86" s="1138"/>
      <c r="Y86" s="1137"/>
      <c r="Z86" s="1138"/>
      <c r="AA86" s="1120"/>
      <c r="AB86" s="1138"/>
      <c r="AC86" s="1137"/>
      <c r="AD86" s="1138"/>
      <c r="AE86" s="1137"/>
      <c r="AF86" s="1138"/>
      <c r="AG86" s="1120"/>
      <c r="AH86" s="1138"/>
      <c r="AI86" s="1120"/>
      <c r="AJ86" s="1138"/>
      <c r="AK86" s="1137"/>
      <c r="AL86" s="1138"/>
      <c r="AM86" s="1137"/>
      <c r="AN86" s="1138"/>
      <c r="AO86" s="1306"/>
      <c r="AP86" s="1170"/>
      <c r="AQ86" s="1306"/>
      <c r="AR86" s="1170"/>
      <c r="AS86" s="1126"/>
      <c r="AT86" s="1138"/>
      <c r="AU86" s="1126"/>
      <c r="AV86" s="1138"/>
      <c r="AW86" s="1137"/>
      <c r="AX86" s="1138"/>
      <c r="AY86" s="1129">
        <f t="shared" si="66"/>
        <v>1</v>
      </c>
      <c r="AZ86" s="1254">
        <f t="shared" si="62"/>
        <v>0</v>
      </c>
      <c r="BA86" s="1254"/>
      <c r="BB86" s="1254"/>
      <c r="BC86" s="591"/>
      <c r="BD86" s="1099"/>
    </row>
    <row r="87" ht="19.5" customHeight="1">
      <c r="A87" s="1130">
        <v>18.0</v>
      </c>
      <c r="B87" s="1247"/>
      <c r="C87" s="1249"/>
      <c r="D87" s="1299"/>
      <c r="E87" s="1137"/>
      <c r="F87" s="1121"/>
      <c r="G87" s="1126"/>
      <c r="H87" s="1121"/>
      <c r="I87" s="1126"/>
      <c r="J87" s="1160"/>
      <c r="K87" s="1161"/>
      <c r="L87" s="1160"/>
      <c r="M87" s="1126"/>
      <c r="N87" s="1121"/>
      <c r="O87" s="1126"/>
      <c r="P87" s="1121"/>
      <c r="Q87" s="1126"/>
      <c r="R87" s="1121"/>
      <c r="S87" s="1126"/>
      <c r="T87" s="1138"/>
      <c r="U87" s="1137"/>
      <c r="V87" s="1138"/>
      <c r="W87" s="1137"/>
      <c r="X87" s="1138"/>
      <c r="Y87" s="1137"/>
      <c r="Z87" s="1138"/>
      <c r="AA87" s="1137"/>
      <c r="AB87" s="1138"/>
      <c r="AC87" s="1137"/>
      <c r="AD87" s="1138"/>
      <c r="AE87" s="1137"/>
      <c r="AF87" s="1138"/>
      <c r="AG87" s="1137"/>
      <c r="AH87" s="1138"/>
      <c r="AI87" s="1137"/>
      <c r="AJ87" s="1138"/>
      <c r="AK87" s="1120"/>
      <c r="AL87" s="1138"/>
      <c r="AM87" s="1120"/>
      <c r="AN87" s="1138"/>
      <c r="AO87" s="1120"/>
      <c r="AP87" s="1138"/>
      <c r="AQ87" s="1141"/>
      <c r="AR87" s="1305"/>
      <c r="AS87" s="1141"/>
      <c r="AT87" s="1305"/>
      <c r="AU87" s="1141"/>
      <c r="AV87" s="1305"/>
      <c r="AW87" s="1302"/>
      <c r="AX87" s="1138"/>
      <c r="AY87" s="1129">
        <f t="shared" si="66"/>
        <v>1</v>
      </c>
      <c r="AZ87" s="1254">
        <f t="shared" si="62"/>
        <v>0</v>
      </c>
      <c r="BA87" s="1254"/>
      <c r="BB87" s="1254"/>
      <c r="BC87" s="591">
        <v>0.16</v>
      </c>
      <c r="BD87" s="1099">
        <f>AY87*BC87</f>
        <v>0.16</v>
      </c>
    </row>
    <row r="88" ht="19.5" customHeight="1">
      <c r="A88" s="1130">
        <v>19.0</v>
      </c>
      <c r="B88" s="1164"/>
      <c r="C88" s="1174"/>
      <c r="D88" s="580"/>
      <c r="E88" s="1126"/>
      <c r="F88" s="1121"/>
      <c r="G88" s="1126"/>
      <c r="H88" s="1121"/>
      <c r="I88" s="1126"/>
      <c r="J88" s="1121"/>
      <c r="K88" s="1126"/>
      <c r="L88" s="1121"/>
      <c r="M88" s="1126"/>
      <c r="N88" s="1121"/>
      <c r="O88" s="1126"/>
      <c r="P88" s="1121"/>
      <c r="Q88" s="1120"/>
      <c r="R88" s="1121"/>
      <c r="S88" s="1126"/>
      <c r="T88" s="1291"/>
      <c r="U88" s="1126"/>
      <c r="V88" s="1121"/>
      <c r="W88" s="1137"/>
      <c r="X88" s="1121"/>
      <c r="Y88" s="1120"/>
      <c r="Z88" s="1121"/>
      <c r="AA88" s="1137"/>
      <c r="AB88" s="1138"/>
      <c r="AC88" s="1120"/>
      <c r="AD88" s="1138"/>
      <c r="AE88" s="1137"/>
      <c r="AF88" s="1138"/>
      <c r="AG88" s="1120"/>
      <c r="AH88" s="1138"/>
      <c r="AI88" s="1120"/>
      <c r="AJ88" s="1138"/>
      <c r="AK88" s="1137"/>
      <c r="AL88" s="1121"/>
      <c r="AM88" s="1137"/>
      <c r="AN88" s="1138"/>
      <c r="AO88" s="1137"/>
      <c r="AP88" s="1138"/>
      <c r="AQ88" s="1141"/>
      <c r="AR88" s="1307"/>
      <c r="AS88" s="1141"/>
      <c r="AT88" s="1307"/>
      <c r="AU88" s="1141"/>
      <c r="AV88" s="1307"/>
      <c r="AW88" s="1302"/>
      <c r="AX88" s="1138"/>
      <c r="AY88" s="1129">
        <f t="shared" si="66"/>
        <v>1</v>
      </c>
      <c r="AZ88" s="1254">
        <f t="shared" si="62"/>
        <v>0</v>
      </c>
      <c r="BA88" s="1308"/>
      <c r="BB88" s="1308"/>
      <c r="BC88" s="1165"/>
      <c r="BD88" s="1166"/>
    </row>
    <row r="89" ht="19.5" customHeight="1">
      <c r="A89" s="1130">
        <v>20.0</v>
      </c>
      <c r="B89" s="1164"/>
      <c r="C89" s="1174"/>
      <c r="D89" s="580"/>
      <c r="E89" s="1126"/>
      <c r="F89" s="1138"/>
      <c r="G89" s="1126"/>
      <c r="H89" s="1138"/>
      <c r="I89" s="1126"/>
      <c r="J89" s="1138"/>
      <c r="K89" s="1126"/>
      <c r="L89" s="1138"/>
      <c r="M89" s="1126"/>
      <c r="N89" s="1138"/>
      <c r="O89" s="1126"/>
      <c r="P89" s="1138"/>
      <c r="Q89" s="1120"/>
      <c r="R89" s="1121"/>
      <c r="S89" s="1137"/>
      <c r="T89" s="1121"/>
      <c r="U89" s="1137"/>
      <c r="V89" s="1121"/>
      <c r="W89" s="1137"/>
      <c r="X89" s="1121"/>
      <c r="Y89" s="1137"/>
      <c r="Z89" s="1138"/>
      <c r="AA89" s="1120"/>
      <c r="AB89" s="1138"/>
      <c r="AC89" s="1120"/>
      <c r="AD89" s="1138"/>
      <c r="AE89" s="1120"/>
      <c r="AF89" s="1138"/>
      <c r="AG89" s="1120"/>
      <c r="AH89" s="1138"/>
      <c r="AI89" s="1120"/>
      <c r="AJ89" s="1138"/>
      <c r="AK89" s="1120"/>
      <c r="AL89" s="1138"/>
      <c r="AM89" s="1120"/>
      <c r="AN89" s="1127"/>
      <c r="AO89" s="1120"/>
      <c r="AP89" s="1138"/>
      <c r="AQ89" s="1120"/>
      <c r="AR89" s="1131"/>
      <c r="AS89" s="1126"/>
      <c r="AT89" s="1131"/>
      <c r="AU89" s="1126"/>
      <c r="AV89" s="1131"/>
      <c r="AW89" s="1137"/>
      <c r="AX89" s="1170"/>
      <c r="AY89" s="1129">
        <f t="shared" si="66"/>
        <v>1</v>
      </c>
      <c r="AZ89" s="1254">
        <f t="shared" si="62"/>
        <v>0</v>
      </c>
      <c r="BA89" s="1308"/>
      <c r="BB89" s="1308"/>
      <c r="BC89" s="1165"/>
      <c r="BD89" s="1166"/>
    </row>
    <row r="90" ht="19.5" customHeight="1">
      <c r="A90" s="1130">
        <v>21.0</v>
      </c>
      <c r="B90" s="1164"/>
      <c r="C90" s="1174"/>
      <c r="D90" s="580"/>
      <c r="E90" s="1137"/>
      <c r="F90" s="1121"/>
      <c r="G90" s="1126"/>
      <c r="H90" s="1121"/>
      <c r="I90" s="1126"/>
      <c r="J90" s="1160"/>
      <c r="K90" s="1161"/>
      <c r="L90" s="1162"/>
      <c r="M90" s="1126"/>
      <c r="N90" s="1121"/>
      <c r="O90" s="1126"/>
      <c r="P90" s="1121"/>
      <c r="Q90" s="1120"/>
      <c r="R90" s="1121"/>
      <c r="S90" s="1126"/>
      <c r="T90" s="1121"/>
      <c r="U90" s="1137"/>
      <c r="V90" s="1121"/>
      <c r="W90" s="1137"/>
      <c r="X90" s="1121"/>
      <c r="Y90" s="1137"/>
      <c r="Z90" s="1121"/>
      <c r="AA90" s="1137"/>
      <c r="AB90" s="1121"/>
      <c r="AC90" s="1137"/>
      <c r="AD90" s="1121"/>
      <c r="AE90" s="1120"/>
      <c r="AF90" s="1121"/>
      <c r="AG90" s="1137"/>
      <c r="AH90" s="1121"/>
      <c r="AI90" s="1120"/>
      <c r="AJ90" s="1121"/>
      <c r="AK90" s="1120"/>
      <c r="AL90" s="1121"/>
      <c r="AM90" s="1120"/>
      <c r="AN90" s="1309"/>
      <c r="AO90" s="1310"/>
      <c r="AP90" s="1167"/>
      <c r="AQ90" s="1120"/>
      <c r="AR90" s="1167"/>
      <c r="AS90" s="1075"/>
      <c r="AT90" s="1311"/>
      <c r="AU90" s="1312"/>
      <c r="AV90" s="1313"/>
      <c r="AW90" s="1302"/>
      <c r="AX90" s="1138"/>
      <c r="AY90" s="1129">
        <f t="shared" si="66"/>
        <v>1</v>
      </c>
      <c r="AZ90" s="1254">
        <f t="shared" si="62"/>
        <v>0</v>
      </c>
      <c r="BA90" s="1308"/>
      <c r="BB90" s="1308"/>
      <c r="BC90" s="1165"/>
      <c r="BD90" s="1166"/>
    </row>
    <row r="91" ht="19.5" customHeight="1">
      <c r="A91" s="1130">
        <v>22.0</v>
      </c>
      <c r="B91" s="1164"/>
      <c r="C91" s="1174"/>
      <c r="D91" s="580"/>
      <c r="E91" s="1126"/>
      <c r="F91" s="1138"/>
      <c r="G91" s="1126"/>
      <c r="H91" s="1170"/>
      <c r="I91" s="1126"/>
      <c r="J91" s="1170"/>
      <c r="K91" s="1126"/>
      <c r="L91" s="1138"/>
      <c r="M91" s="1126"/>
      <c r="N91" s="1138"/>
      <c r="O91" s="1126"/>
      <c r="P91" s="1138"/>
      <c r="Q91" s="1120"/>
      <c r="R91" s="1138"/>
      <c r="S91" s="1137"/>
      <c r="T91" s="1138"/>
      <c r="U91" s="1137"/>
      <c r="V91" s="1138"/>
      <c r="W91" s="1137"/>
      <c r="X91" s="1138"/>
      <c r="Y91" s="1137"/>
      <c r="Z91" s="1138"/>
      <c r="AA91" s="1120"/>
      <c r="AB91" s="1138"/>
      <c r="AC91" s="1137"/>
      <c r="AD91" s="1138"/>
      <c r="AE91" s="1137"/>
      <c r="AF91" s="1121"/>
      <c r="AG91" s="1120"/>
      <c r="AH91" s="1121"/>
      <c r="AI91" s="1120"/>
      <c r="AJ91" s="1121"/>
      <c r="AK91" s="1137"/>
      <c r="AL91" s="1121"/>
      <c r="AM91" s="1137"/>
      <c r="AN91" s="1138"/>
      <c r="AO91" s="1126"/>
      <c r="AP91" s="1138"/>
      <c r="AQ91" s="1126"/>
      <c r="AR91" s="1138"/>
      <c r="AS91" s="1126"/>
      <c r="AT91" s="1138"/>
      <c r="AU91" s="1126"/>
      <c r="AV91" s="1138"/>
      <c r="AW91" s="1137"/>
      <c r="AX91" s="1138"/>
      <c r="AY91" s="1129">
        <f t="shared" si="66"/>
        <v>1</v>
      </c>
      <c r="AZ91" s="1254">
        <f t="shared" si="62"/>
        <v>0</v>
      </c>
      <c r="BA91" s="1308"/>
      <c r="BB91" s="1308"/>
      <c r="BC91" s="1165"/>
      <c r="BD91" s="1166"/>
    </row>
    <row r="92" ht="19.5" customHeight="1">
      <c r="A92" s="1130">
        <v>23.0</v>
      </c>
      <c r="B92" s="1164"/>
      <c r="C92" s="1174"/>
      <c r="D92" s="580"/>
      <c r="E92" s="1137"/>
      <c r="F92" s="1121"/>
      <c r="G92" s="1126"/>
      <c r="H92" s="1121"/>
      <c r="I92" s="1126"/>
      <c r="J92" s="1121"/>
      <c r="K92" s="1126"/>
      <c r="L92" s="1121"/>
      <c r="M92" s="1126"/>
      <c r="N92" s="1127"/>
      <c r="O92" s="1126"/>
      <c r="P92" s="1121"/>
      <c r="Q92" s="1120"/>
      <c r="R92" s="1291"/>
      <c r="S92" s="1126"/>
      <c r="T92" s="1138"/>
      <c r="U92" s="1137"/>
      <c r="V92" s="1138"/>
      <c r="W92" s="1137"/>
      <c r="X92" s="1138"/>
      <c r="Y92" s="1137"/>
      <c r="Z92" s="1138"/>
      <c r="AA92" s="1137"/>
      <c r="AB92" s="1138"/>
      <c r="AC92" s="1120"/>
      <c r="AD92" s="1138"/>
      <c r="AE92" s="1120"/>
      <c r="AF92" s="1138"/>
      <c r="AG92" s="1137"/>
      <c r="AH92" s="1138"/>
      <c r="AI92" s="1314"/>
      <c r="AJ92" s="1138"/>
      <c r="AK92" s="1137"/>
      <c r="AL92" s="1138"/>
      <c r="AM92" s="1137"/>
      <c r="AN92" s="1138"/>
      <c r="AO92" s="1126"/>
      <c r="AP92" s="1138"/>
      <c r="AQ92" s="1126"/>
      <c r="AR92" s="1138"/>
      <c r="AS92" s="1126"/>
      <c r="AT92" s="1138"/>
      <c r="AU92" s="1126"/>
      <c r="AV92" s="1138"/>
      <c r="AW92" s="1137"/>
      <c r="AX92" s="1138"/>
      <c r="AY92" s="1129">
        <f t="shared" si="66"/>
        <v>1</v>
      </c>
      <c r="AZ92" s="1254">
        <f t="shared" si="62"/>
        <v>0</v>
      </c>
      <c r="BA92" s="1308"/>
      <c r="BB92" s="1308"/>
      <c r="BC92" s="1165"/>
      <c r="BD92" s="1166"/>
    </row>
    <row r="93" ht="15.75" customHeight="1">
      <c r="A93" s="1130">
        <v>24.0</v>
      </c>
      <c r="B93" s="1164"/>
      <c r="C93" s="1174"/>
      <c r="D93" s="580"/>
      <c r="E93" s="1120"/>
      <c r="F93" s="1131"/>
      <c r="G93" s="1126"/>
      <c r="H93" s="1131"/>
      <c r="I93" s="1126"/>
      <c r="J93" s="1131"/>
      <c r="K93" s="1126"/>
      <c r="L93" s="1131"/>
      <c r="M93" s="1126"/>
      <c r="N93" s="1131"/>
      <c r="O93" s="1120"/>
      <c r="P93" s="1131"/>
      <c r="Q93" s="1126"/>
      <c r="R93" s="1131"/>
      <c r="S93" s="1126"/>
      <c r="T93" s="1131"/>
      <c r="U93" s="1126"/>
      <c r="V93" s="1131"/>
      <c r="W93" s="1126"/>
      <c r="X93" s="1131"/>
      <c r="Y93" s="1126"/>
      <c r="Z93" s="1131"/>
      <c r="AA93" s="1126"/>
      <c r="AB93" s="1131"/>
      <c r="AC93" s="1126"/>
      <c r="AD93" s="1131"/>
      <c r="AE93" s="1126"/>
      <c r="AF93" s="1131"/>
      <c r="AG93" s="1126"/>
      <c r="AH93" s="1131"/>
      <c r="AI93" s="1126"/>
      <c r="AJ93" s="1131"/>
      <c r="AK93" s="1126"/>
      <c r="AL93" s="1131"/>
      <c r="AM93" s="1126"/>
      <c r="AN93" s="1131"/>
      <c r="AO93" s="1126"/>
      <c r="AP93" s="1131"/>
      <c r="AQ93" s="1126"/>
      <c r="AR93" s="1131"/>
      <c r="AS93" s="1126"/>
      <c r="AT93" s="1131"/>
      <c r="AU93" s="1126"/>
      <c r="AV93" s="1131"/>
      <c r="AW93" s="1120"/>
      <c r="AX93" s="1121"/>
      <c r="AY93" s="1129">
        <f t="shared" si="66"/>
        <v>1</v>
      </c>
      <c r="AZ93" s="1254">
        <f t="shared" si="62"/>
        <v>0</v>
      </c>
      <c r="BA93" s="1315"/>
      <c r="BB93" s="1308"/>
      <c r="BC93" s="1165"/>
      <c r="BD93" s="1166"/>
    </row>
    <row r="94" ht="15.75" customHeight="1">
      <c r="A94" s="1130">
        <v>25.0</v>
      </c>
      <c r="B94" s="1164"/>
      <c r="C94" s="1174"/>
      <c r="D94" s="580"/>
      <c r="E94" s="1126"/>
      <c r="F94" s="1131"/>
      <c r="G94" s="1126"/>
      <c r="H94" s="1131"/>
      <c r="I94" s="1126"/>
      <c r="J94" s="1131"/>
      <c r="K94" s="1126"/>
      <c r="L94" s="1131"/>
      <c r="M94" s="1126"/>
      <c r="N94" s="1131"/>
      <c r="O94" s="1120"/>
      <c r="P94" s="1131"/>
      <c r="Q94" s="1126"/>
      <c r="R94" s="1131"/>
      <c r="S94" s="1126"/>
      <c r="T94" s="1131"/>
      <c r="U94" s="1126"/>
      <c r="V94" s="1131"/>
      <c r="W94" s="1126"/>
      <c r="X94" s="1131"/>
      <c r="Y94" s="1126"/>
      <c r="Z94" s="1131"/>
      <c r="AA94" s="1126"/>
      <c r="AB94" s="1131"/>
      <c r="AC94" s="1126"/>
      <c r="AD94" s="1131"/>
      <c r="AE94" s="1126"/>
      <c r="AF94" s="1131"/>
      <c r="AG94" s="1126"/>
      <c r="AH94" s="1131"/>
      <c r="AI94" s="1126"/>
      <c r="AJ94" s="1131"/>
      <c r="AK94" s="1126"/>
      <c r="AL94" s="1131"/>
      <c r="AM94" s="1126"/>
      <c r="AN94" s="1131"/>
      <c r="AO94" s="1126"/>
      <c r="AP94" s="1131"/>
      <c r="AQ94" s="1126"/>
      <c r="AR94" s="1131"/>
      <c r="AS94" s="1126"/>
      <c r="AT94" s="1131"/>
      <c r="AU94" s="1126"/>
      <c r="AV94" s="1131"/>
      <c r="AW94" s="1120"/>
      <c r="AX94" s="1121"/>
      <c r="AY94" s="1129">
        <f t="shared" si="66"/>
        <v>1</v>
      </c>
      <c r="AZ94" s="1254">
        <f t="shared" si="62"/>
        <v>0</v>
      </c>
      <c r="BA94" s="1308"/>
      <c r="BB94" s="1308"/>
      <c r="BC94" s="1165"/>
      <c r="BD94" s="1166"/>
    </row>
    <row r="95" ht="15.75" customHeight="1">
      <c r="A95" s="1130">
        <v>26.0</v>
      </c>
      <c r="B95" s="1171"/>
      <c r="C95" s="1174"/>
      <c r="D95" s="580"/>
      <c r="E95" s="1120"/>
      <c r="F95" s="1121"/>
      <c r="G95" s="1120"/>
      <c r="H95" s="1121"/>
      <c r="I95" s="1120"/>
      <c r="J95" s="1121"/>
      <c r="K95" s="1120"/>
      <c r="L95" s="1127"/>
      <c r="M95" s="1120"/>
      <c r="N95" s="1127"/>
      <c r="O95" s="1120"/>
      <c r="P95" s="1121"/>
      <c r="Q95" s="1120"/>
      <c r="R95" s="1121"/>
      <c r="S95" s="1120"/>
      <c r="T95" s="1121"/>
      <c r="U95" s="1120"/>
      <c r="V95" s="1121"/>
      <c r="W95" s="1120"/>
      <c r="X95" s="1121"/>
      <c r="Y95" s="1120"/>
      <c r="Z95" s="1121"/>
      <c r="AA95" s="1120"/>
      <c r="AB95" s="1121"/>
      <c r="AC95" s="1120"/>
      <c r="AD95" s="1121"/>
      <c r="AE95" s="1120"/>
      <c r="AF95" s="1121"/>
      <c r="AG95" s="1120"/>
      <c r="AH95" s="1121"/>
      <c r="AI95" s="1120"/>
      <c r="AJ95" s="1121"/>
      <c r="AK95" s="1120"/>
      <c r="AL95" s="1121"/>
      <c r="AM95" s="1120"/>
      <c r="AN95" s="1138"/>
      <c r="AO95" s="1126"/>
      <c r="AP95" s="1121"/>
      <c r="AQ95" s="1126"/>
      <c r="AR95" s="1121"/>
      <c r="AS95" s="1126"/>
      <c r="AT95" s="1121"/>
      <c r="AU95" s="1126"/>
      <c r="AV95" s="1121"/>
      <c r="AW95" s="1120"/>
      <c r="AX95" s="1121"/>
      <c r="AY95" s="1129">
        <f t="shared" si="66"/>
        <v>1</v>
      </c>
      <c r="AZ95" s="1254">
        <f t="shared" si="62"/>
        <v>0</v>
      </c>
      <c r="BA95" s="1308"/>
      <c r="BB95" s="1308"/>
      <c r="BC95" s="1165"/>
      <c r="BD95" s="1166"/>
    </row>
    <row r="96" ht="15.75" customHeight="1">
      <c r="A96" s="1177"/>
      <c r="B96" s="1002"/>
      <c r="C96" s="1178"/>
      <c r="D96" s="1316"/>
      <c r="E96" s="1317"/>
      <c r="F96" s="1318"/>
      <c r="G96" s="1317"/>
      <c r="H96" s="1318"/>
      <c r="I96" s="1317"/>
      <c r="J96" s="1318"/>
      <c r="K96" s="1319"/>
      <c r="L96" s="1318"/>
      <c r="M96" s="1317"/>
      <c r="N96" s="1318"/>
      <c r="O96" s="1317"/>
      <c r="P96" s="1318"/>
      <c r="Q96" s="1317"/>
      <c r="R96" s="1318"/>
      <c r="S96" s="1317"/>
      <c r="T96" s="1318"/>
      <c r="U96" s="1317"/>
      <c r="V96" s="1318"/>
      <c r="W96" s="1317"/>
      <c r="X96" s="1318"/>
      <c r="Y96" s="1317"/>
      <c r="Z96" s="1318"/>
      <c r="AA96" s="1317"/>
      <c r="AB96" s="1318"/>
      <c r="AC96" s="1317"/>
      <c r="AD96" s="1318"/>
      <c r="AE96" s="1317"/>
      <c r="AF96" s="1318"/>
      <c r="AG96" s="1317"/>
      <c r="AH96" s="1318"/>
      <c r="AI96" s="1317"/>
      <c r="AJ96" s="1318"/>
      <c r="AK96" s="1317"/>
      <c r="AL96" s="1318"/>
      <c r="AM96" s="1317"/>
      <c r="AN96" s="1318"/>
      <c r="AO96" s="1317"/>
      <c r="AP96" s="1318"/>
      <c r="AQ96" s="1317"/>
      <c r="AR96" s="1317"/>
      <c r="AS96" s="1317"/>
      <c r="AT96" s="1317"/>
      <c r="AU96" s="1187"/>
      <c r="AV96" s="1187"/>
      <c r="AW96" s="1187"/>
      <c r="AX96" s="1187"/>
      <c r="AY96" s="1185">
        <f t="shared" ref="AY96:AZ96" si="68">SUM(AY71:AY92)</f>
        <v>857</v>
      </c>
      <c r="AZ96" s="1185">
        <f t="shared" si="68"/>
        <v>826</v>
      </c>
      <c r="BA96" s="1187"/>
      <c r="BB96" s="1187"/>
      <c r="BC96" s="1165" t="s">
        <v>1352</v>
      </c>
      <c r="BD96" s="1166">
        <f>SUM(BD71:BD87)</f>
        <v>125.54</v>
      </c>
    </row>
    <row r="97" ht="15.75" customHeight="1">
      <c r="A97" s="1177"/>
      <c r="B97" s="1002"/>
      <c r="C97" s="1178" t="s">
        <v>1353</v>
      </c>
      <c r="D97" s="1320"/>
      <c r="E97" s="1317"/>
      <c r="F97" s="1318"/>
      <c r="G97" s="1317"/>
      <c r="H97" s="1318"/>
      <c r="I97" s="1317"/>
      <c r="J97" s="1318"/>
      <c r="K97" s="1317"/>
      <c r="L97" s="1318"/>
      <c r="M97" s="1317"/>
      <c r="N97" s="1318"/>
      <c r="O97" s="1317"/>
      <c r="P97" s="1318"/>
      <c r="Q97" s="1317"/>
      <c r="R97" s="1318"/>
      <c r="S97" s="1317"/>
      <c r="T97" s="1318"/>
      <c r="U97" s="1317"/>
      <c r="V97" s="1318"/>
      <c r="W97" s="1317"/>
      <c r="X97" s="1318"/>
      <c r="Y97" s="1317"/>
      <c r="Z97" s="1318"/>
      <c r="AA97" s="1317"/>
      <c r="AB97" s="1318"/>
      <c r="AC97" s="1317"/>
      <c r="AD97" s="1318"/>
      <c r="AE97" s="1317"/>
      <c r="AF97" s="1318"/>
      <c r="AG97" s="1317"/>
      <c r="AH97" s="1318"/>
      <c r="AI97" s="1317"/>
      <c r="AJ97" s="1318"/>
      <c r="AK97" s="1317"/>
      <c r="AL97" s="1318"/>
      <c r="AM97" s="1317"/>
      <c r="AN97" s="1318"/>
      <c r="AO97" s="1317"/>
      <c r="AP97" s="1318"/>
      <c r="AQ97" s="1317"/>
      <c r="AR97" s="1317"/>
      <c r="AS97" s="1317"/>
      <c r="AT97" s="1317"/>
      <c r="AY97" s="977"/>
      <c r="BD97" s="1192"/>
    </row>
    <row r="98" ht="15.75" customHeight="1">
      <c r="A98" s="1177"/>
      <c r="B98" s="1002"/>
      <c r="C98" s="1178"/>
      <c r="D98" s="1320"/>
      <c r="E98" s="1317"/>
      <c r="F98" s="1318"/>
      <c r="G98" s="1317"/>
      <c r="H98" s="1318"/>
      <c r="I98" s="1317"/>
      <c r="J98" s="1318"/>
      <c r="K98" s="1317"/>
      <c r="L98" s="1318"/>
      <c r="M98" s="1317"/>
      <c r="N98" s="1318"/>
      <c r="O98" s="1317"/>
      <c r="P98" s="1318"/>
      <c r="Q98" s="1317"/>
      <c r="R98" s="1318"/>
      <c r="S98" s="1317"/>
      <c r="T98" s="1318"/>
      <c r="U98" s="1317"/>
      <c r="V98" s="1318"/>
      <c r="W98" s="1317"/>
      <c r="X98" s="1318"/>
      <c r="Y98" s="1317"/>
      <c r="Z98" s="1318"/>
      <c r="AA98" s="1317"/>
      <c r="AB98" s="1318"/>
      <c r="AC98" s="1317"/>
      <c r="AD98" s="1318"/>
      <c r="AE98" s="1317"/>
      <c r="AF98" s="1318"/>
      <c r="AG98" s="1317"/>
      <c r="AH98" s="1318"/>
      <c r="AI98" s="1317"/>
      <c r="AJ98" s="1318"/>
      <c r="AK98" s="1317"/>
      <c r="AL98" s="1318"/>
      <c r="AM98" s="1317"/>
      <c r="AN98" s="1318"/>
      <c r="AO98" s="1317"/>
      <c r="AP98" s="1318"/>
      <c r="AQ98" s="1317"/>
      <c r="AR98" s="1317"/>
      <c r="AS98" s="1317"/>
      <c r="AT98" s="1317"/>
      <c r="AU98" s="1187"/>
      <c r="AV98" s="1187"/>
      <c r="AW98" s="1187"/>
      <c r="AX98" s="1187"/>
      <c r="AY98" s="1187"/>
      <c r="AZ98" s="1187"/>
      <c r="BA98" s="1187"/>
      <c r="BB98" s="1187"/>
      <c r="BD98" s="1192"/>
    </row>
    <row r="99" ht="15.75" customHeight="1">
      <c r="A99" s="1194" t="s">
        <v>1354</v>
      </c>
      <c r="B99" s="1195"/>
      <c r="C99" s="1196">
        <f>C67</f>
        <v>45662</v>
      </c>
      <c r="D99" s="1197" t="s">
        <v>1355</v>
      </c>
      <c r="E99" s="1198"/>
      <c r="F99" s="1199"/>
      <c r="G99" s="13"/>
      <c r="H99" s="677"/>
      <c r="I99" s="13" t="s">
        <v>1356</v>
      </c>
      <c r="J99" s="677"/>
      <c r="K99" s="11"/>
      <c r="L99" s="23"/>
      <c r="M99" s="13"/>
      <c r="N99" s="13"/>
      <c r="O99" s="13"/>
      <c r="P99" s="677"/>
      <c r="U99" s="1189"/>
      <c r="W99" s="1189"/>
      <c r="Y99" s="1190"/>
      <c r="AA99" s="1190"/>
      <c r="AG99" s="701"/>
      <c r="AI99" s="701"/>
      <c r="AY99" s="977"/>
      <c r="BD99" s="1192"/>
    </row>
    <row r="100" ht="19.5" customHeight="1">
      <c r="A100" s="1109" t="s">
        <v>10</v>
      </c>
      <c r="B100" s="1111" t="str">
        <f>B68</f>
        <v>Код</v>
      </c>
      <c r="C100" s="1200" t="s">
        <v>1284</v>
      </c>
      <c r="D100" s="80" t="s">
        <v>471</v>
      </c>
      <c r="E100" s="1321" t="s">
        <v>1357</v>
      </c>
      <c r="F100" s="69"/>
      <c r="G100" s="1321" t="s">
        <v>1287</v>
      </c>
      <c r="H100" s="69"/>
      <c r="I100" s="1322" t="s">
        <v>1358</v>
      </c>
      <c r="J100" s="69"/>
      <c r="K100" s="1321" t="s">
        <v>1359</v>
      </c>
      <c r="L100" s="69"/>
      <c r="M100" s="1321" t="s">
        <v>1360</v>
      </c>
      <c r="N100" s="69"/>
      <c r="O100" s="1321" t="s">
        <v>1361</v>
      </c>
      <c r="P100" s="69"/>
      <c r="Q100" s="1321" t="s">
        <v>1362</v>
      </c>
      <c r="R100" s="69"/>
      <c r="S100" s="1321" t="s">
        <v>1299</v>
      </c>
      <c r="T100" s="69"/>
      <c r="U100" s="1323" t="s">
        <v>1301</v>
      </c>
      <c r="V100" s="69"/>
      <c r="W100" s="1323" t="s">
        <v>1363</v>
      </c>
      <c r="X100" s="69"/>
      <c r="Y100" s="1323" t="s">
        <v>1305</v>
      </c>
      <c r="Z100" s="69"/>
      <c r="AA100" s="1323" t="s">
        <v>1307</v>
      </c>
      <c r="AB100" s="69"/>
      <c r="AC100" s="1323" t="s">
        <v>1309</v>
      </c>
      <c r="AD100" s="69"/>
      <c r="AE100" s="1323" t="s">
        <v>1311</v>
      </c>
      <c r="AF100" s="69"/>
      <c r="AG100" s="1323" t="s">
        <v>1313</v>
      </c>
      <c r="AH100" s="69"/>
      <c r="AI100" s="1323" t="s">
        <v>1315</v>
      </c>
      <c r="AJ100" s="69"/>
      <c r="AK100" s="1323" t="s">
        <v>1317</v>
      </c>
      <c r="AL100" s="69"/>
      <c r="AM100" s="1323" t="s">
        <v>1319</v>
      </c>
      <c r="AN100" s="69"/>
      <c r="AO100" s="1323" t="s">
        <v>1321</v>
      </c>
      <c r="AP100" s="69"/>
      <c r="AQ100" s="1323" t="s">
        <v>1323</v>
      </c>
      <c r="AR100" s="69"/>
      <c r="AS100" s="1323" t="s">
        <v>1325</v>
      </c>
      <c r="AT100" s="69"/>
      <c r="AU100" s="1323" t="s">
        <v>1327</v>
      </c>
      <c r="AV100" s="69"/>
      <c r="AW100" s="1323" t="s">
        <v>1425</v>
      </c>
      <c r="AX100" s="69"/>
      <c r="AY100" s="1073" t="s">
        <v>5</v>
      </c>
      <c r="AZ100" s="11"/>
      <c r="BA100" s="11"/>
      <c r="BB100" s="11"/>
      <c r="BD100" s="1192"/>
    </row>
    <row r="101" ht="19.5" customHeight="1">
      <c r="A101" s="1109">
        <f t="shared" ref="A101:D101" si="69">A71</f>
        <v>1</v>
      </c>
      <c r="B101" s="1111">
        <f t="shared" si="69"/>
        <v>3038</v>
      </c>
      <c r="C101" s="1200" t="str">
        <f t="shared" si="69"/>
        <v>Завтрак </v>
      </c>
      <c r="D101" s="591" t="str">
        <f t="shared" si="69"/>
        <v/>
      </c>
      <c r="E101" s="1324">
        <f t="shared" ref="E101:E125" si="71">F71</f>
        <v>14</v>
      </c>
      <c r="F101" s="69"/>
      <c r="G101" s="1324">
        <f t="shared" ref="G101:G125" si="72">H71</f>
        <v>2</v>
      </c>
      <c r="H101" s="69"/>
      <c r="I101" s="1324" t="str">
        <f t="shared" ref="I101:I125" si="73">J71</f>
        <v/>
      </c>
      <c r="J101" s="69"/>
      <c r="K101" s="1324">
        <f t="shared" ref="K101:K125" si="74">L71</f>
        <v>15</v>
      </c>
      <c r="L101" s="69"/>
      <c r="M101" s="1324">
        <f t="shared" ref="M101:M125" si="75">N71</f>
        <v>2</v>
      </c>
      <c r="N101" s="69"/>
      <c r="O101" s="1321">
        <f t="shared" ref="O101:O125" si="76">P71</f>
        <v>4</v>
      </c>
      <c r="P101" s="69"/>
      <c r="Q101" s="1324" t="str">
        <f t="shared" ref="Q101:Q125" si="77">R71</f>
        <v/>
      </c>
      <c r="R101" s="69"/>
      <c r="S101" s="1324" t="str">
        <f t="shared" ref="S101:S125" si="78">T71</f>
        <v/>
      </c>
      <c r="T101" s="69"/>
      <c r="U101" s="1324" t="str">
        <f t="shared" ref="U101:U125" si="79">V71</f>
        <v/>
      </c>
      <c r="V101" s="69"/>
      <c r="W101" s="1321">
        <f t="shared" ref="W101:W125" si="80">X71</f>
        <v>5</v>
      </c>
      <c r="X101" s="69"/>
      <c r="Y101" s="1324" t="str">
        <f t="shared" ref="Y101:Y125" si="81">Z71</f>
        <v/>
      </c>
      <c r="Z101" s="69"/>
      <c r="AA101" s="1324" t="str">
        <f t="shared" ref="AA101:AA125" si="82">AB71</f>
        <v/>
      </c>
      <c r="AB101" s="69"/>
      <c r="AC101" s="1324" t="str">
        <f t="shared" ref="AC101:AC125" si="83">AD71</f>
        <v/>
      </c>
      <c r="AD101" s="69"/>
      <c r="AE101" s="1324">
        <f t="shared" ref="AE101:AE125" si="84">AF71</f>
        <v>3</v>
      </c>
      <c r="AF101" s="69"/>
      <c r="AG101" s="1324" t="str">
        <f t="shared" ref="AG101:AG125" si="85">AH71</f>
        <v/>
      </c>
      <c r="AH101" s="69"/>
      <c r="AI101" s="1324" t="str">
        <f t="shared" ref="AI101:AI125" si="86">AJ71</f>
        <v/>
      </c>
      <c r="AJ101" s="69"/>
      <c r="AK101" s="1324" t="str">
        <f t="shared" ref="AK101:AK125" si="87">AL71</f>
        <v/>
      </c>
      <c r="AL101" s="69"/>
      <c r="AM101" s="1324" t="str">
        <f t="shared" ref="AM101:AM125" si="88">AN71</f>
        <v/>
      </c>
      <c r="AN101" s="69"/>
      <c r="AO101" s="1324" t="str">
        <f t="shared" ref="AO101:AO125" si="89">AP71</f>
        <v/>
      </c>
      <c r="AP101" s="69"/>
      <c r="AQ101" s="1324">
        <f t="shared" ref="AQ101:AQ125" si="90">AR71</f>
        <v>20</v>
      </c>
      <c r="AR101" s="69"/>
      <c r="AS101" s="1324" t="str">
        <f t="shared" ref="AS101:AS125" si="91">AT71</f>
        <v/>
      </c>
      <c r="AT101" s="69"/>
      <c r="AU101" s="1324" t="str">
        <f t="shared" ref="AU101:AU125" si="92">AV71</f>
        <v/>
      </c>
      <c r="AV101" s="69"/>
      <c r="AW101" s="1324" t="str">
        <f t="shared" ref="AW101:AW125" si="93">AX71</f>
        <v/>
      </c>
      <c r="AX101" s="69"/>
      <c r="AY101" s="1073">
        <f t="shared" ref="AY101:AY125" si="94">SUM(E101:AX101)</f>
        <v>65</v>
      </c>
      <c r="AZ101" s="1188"/>
      <c r="BA101" s="1188"/>
      <c r="BB101" s="1188"/>
      <c r="BD101" s="1192"/>
    </row>
    <row r="102" ht="19.5" customHeight="1">
      <c r="A102" s="1109">
        <f t="shared" ref="A102:D102" si="70">A72</f>
        <v>2</v>
      </c>
      <c r="B102" s="1111">
        <f t="shared" si="70"/>
        <v>3735</v>
      </c>
      <c r="C102" s="1200" t="str">
        <f t="shared" si="70"/>
        <v>Завтрак </v>
      </c>
      <c r="D102" s="591" t="str">
        <f t="shared" si="70"/>
        <v/>
      </c>
      <c r="E102" s="1324">
        <f t="shared" si="71"/>
        <v>10</v>
      </c>
      <c r="F102" s="69"/>
      <c r="G102" s="1324">
        <f t="shared" si="72"/>
        <v>2</v>
      </c>
      <c r="H102" s="69"/>
      <c r="I102" s="1324" t="str">
        <f t="shared" si="73"/>
        <v/>
      </c>
      <c r="J102" s="69"/>
      <c r="K102" s="1324">
        <f t="shared" si="74"/>
        <v>15</v>
      </c>
      <c r="L102" s="69"/>
      <c r="M102" s="1324">
        <f t="shared" si="75"/>
        <v>3</v>
      </c>
      <c r="N102" s="69"/>
      <c r="O102" s="1321">
        <f t="shared" si="76"/>
        <v>9</v>
      </c>
      <c r="P102" s="69"/>
      <c r="Q102" s="1324" t="str">
        <f t="shared" si="77"/>
        <v/>
      </c>
      <c r="R102" s="69"/>
      <c r="S102" s="1324" t="str">
        <f t="shared" si="78"/>
        <v/>
      </c>
      <c r="T102" s="69"/>
      <c r="U102" s="1324" t="str">
        <f t="shared" si="79"/>
        <v/>
      </c>
      <c r="V102" s="69"/>
      <c r="W102" s="1321">
        <f t="shared" si="80"/>
        <v>8</v>
      </c>
      <c r="X102" s="69"/>
      <c r="Y102" s="1324" t="str">
        <f t="shared" si="81"/>
        <v/>
      </c>
      <c r="Z102" s="69"/>
      <c r="AA102" s="1324" t="str">
        <f t="shared" si="82"/>
        <v/>
      </c>
      <c r="AB102" s="69"/>
      <c r="AC102" s="1324" t="str">
        <f t="shared" si="83"/>
        <v/>
      </c>
      <c r="AD102" s="69"/>
      <c r="AE102" s="1324">
        <f t="shared" si="84"/>
        <v>3</v>
      </c>
      <c r="AF102" s="69"/>
      <c r="AG102" s="1324" t="str">
        <f t="shared" si="85"/>
        <v/>
      </c>
      <c r="AH102" s="69"/>
      <c r="AI102" s="1324" t="str">
        <f t="shared" si="86"/>
        <v/>
      </c>
      <c r="AJ102" s="69"/>
      <c r="AK102" s="1324">
        <f t="shared" si="87"/>
        <v>2</v>
      </c>
      <c r="AL102" s="69"/>
      <c r="AM102" s="1324" t="str">
        <f t="shared" si="88"/>
        <v/>
      </c>
      <c r="AN102" s="69"/>
      <c r="AO102" s="1324" t="str">
        <f t="shared" si="89"/>
        <v/>
      </c>
      <c r="AP102" s="69"/>
      <c r="AQ102" s="1324">
        <f t="shared" si="90"/>
        <v>10</v>
      </c>
      <c r="AR102" s="69"/>
      <c r="AS102" s="1324">
        <f t="shared" si="91"/>
        <v>4</v>
      </c>
      <c r="AT102" s="69"/>
      <c r="AU102" s="1324">
        <f t="shared" si="92"/>
        <v>4</v>
      </c>
      <c r="AV102" s="69"/>
      <c r="AW102" s="1324" t="str">
        <f t="shared" si="93"/>
        <v/>
      </c>
      <c r="AX102" s="69"/>
      <c r="AY102" s="1073">
        <f t="shared" si="94"/>
        <v>70</v>
      </c>
      <c r="AZ102" s="1188"/>
      <c r="BA102" s="1188"/>
      <c r="BB102" s="1188"/>
      <c r="BD102" s="1192"/>
    </row>
    <row r="103" ht="19.5" customHeight="1">
      <c r="A103" s="1109">
        <f t="shared" ref="A103:D103" si="95">A73</f>
        <v>3</v>
      </c>
      <c r="B103" s="1111" t="str">
        <f t="shared" si="95"/>
        <v/>
      </c>
      <c r="C103" s="1200" t="str">
        <f t="shared" si="95"/>
        <v>Завтрак </v>
      </c>
      <c r="D103" s="591" t="str">
        <f t="shared" si="95"/>
        <v/>
      </c>
      <c r="E103" s="1324" t="str">
        <f t="shared" si="71"/>
        <v/>
      </c>
      <c r="F103" s="69"/>
      <c r="G103" s="1324" t="str">
        <f t="shared" si="72"/>
        <v/>
      </c>
      <c r="H103" s="69"/>
      <c r="I103" s="1324" t="str">
        <f t="shared" si="73"/>
        <v/>
      </c>
      <c r="J103" s="69"/>
      <c r="K103" s="1324" t="str">
        <f t="shared" si="74"/>
        <v/>
      </c>
      <c r="L103" s="69"/>
      <c r="M103" s="1324" t="str">
        <f t="shared" si="75"/>
        <v/>
      </c>
      <c r="N103" s="69"/>
      <c r="O103" s="1321" t="str">
        <f t="shared" si="76"/>
        <v/>
      </c>
      <c r="P103" s="69"/>
      <c r="Q103" s="1324" t="str">
        <f t="shared" si="77"/>
        <v/>
      </c>
      <c r="R103" s="69"/>
      <c r="S103" s="1324" t="str">
        <f t="shared" si="78"/>
        <v/>
      </c>
      <c r="T103" s="69"/>
      <c r="U103" s="1324" t="str">
        <f t="shared" si="79"/>
        <v/>
      </c>
      <c r="V103" s="69"/>
      <c r="W103" s="1321" t="str">
        <f t="shared" si="80"/>
        <v/>
      </c>
      <c r="X103" s="69"/>
      <c r="Y103" s="1324" t="str">
        <f t="shared" si="81"/>
        <v/>
      </c>
      <c r="Z103" s="69"/>
      <c r="AA103" s="1324" t="str">
        <f t="shared" si="82"/>
        <v/>
      </c>
      <c r="AB103" s="69"/>
      <c r="AC103" s="1324" t="str">
        <f t="shared" si="83"/>
        <v/>
      </c>
      <c r="AD103" s="69"/>
      <c r="AE103" s="1324" t="str">
        <f t="shared" si="84"/>
        <v/>
      </c>
      <c r="AF103" s="69"/>
      <c r="AG103" s="1324" t="str">
        <f t="shared" si="85"/>
        <v/>
      </c>
      <c r="AH103" s="69"/>
      <c r="AI103" s="1324" t="str">
        <f t="shared" si="86"/>
        <v/>
      </c>
      <c r="AJ103" s="69"/>
      <c r="AK103" s="1324" t="str">
        <f t="shared" si="87"/>
        <v/>
      </c>
      <c r="AL103" s="69"/>
      <c r="AM103" s="1324" t="str">
        <f t="shared" si="88"/>
        <v/>
      </c>
      <c r="AN103" s="69"/>
      <c r="AO103" s="1324" t="str">
        <f t="shared" si="89"/>
        <v/>
      </c>
      <c r="AP103" s="69"/>
      <c r="AQ103" s="1324" t="str">
        <f t="shared" si="90"/>
        <v/>
      </c>
      <c r="AR103" s="69"/>
      <c r="AS103" s="1324" t="str">
        <f t="shared" si="91"/>
        <v/>
      </c>
      <c r="AT103" s="69"/>
      <c r="AU103" s="1324" t="str">
        <f t="shared" si="92"/>
        <v/>
      </c>
      <c r="AV103" s="69"/>
      <c r="AW103" s="1324" t="str">
        <f t="shared" si="93"/>
        <v/>
      </c>
      <c r="AX103" s="69"/>
      <c r="AY103" s="1073">
        <f t="shared" si="94"/>
        <v>0</v>
      </c>
      <c r="AZ103" s="1188"/>
      <c r="BA103" s="1188"/>
      <c r="BB103" s="1188"/>
      <c r="BD103" s="1192"/>
    </row>
    <row r="104" ht="19.5" customHeight="1">
      <c r="A104" s="1109">
        <f t="shared" ref="A104:D104" si="96">A74</f>
        <v>4</v>
      </c>
      <c r="B104" s="1111">
        <f t="shared" si="96"/>
        <v>3301</v>
      </c>
      <c r="C104" s="1200" t="str">
        <f t="shared" si="96"/>
        <v>Салат</v>
      </c>
      <c r="D104" s="591" t="str">
        <f t="shared" si="96"/>
        <v/>
      </c>
      <c r="E104" s="1324">
        <f t="shared" si="71"/>
        <v>20</v>
      </c>
      <c r="F104" s="69"/>
      <c r="G104" s="1324">
        <f t="shared" si="72"/>
        <v>3</v>
      </c>
      <c r="H104" s="69"/>
      <c r="I104" s="1324" t="str">
        <f t="shared" si="73"/>
        <v/>
      </c>
      <c r="J104" s="69"/>
      <c r="K104" s="1324">
        <f t="shared" si="74"/>
        <v>12</v>
      </c>
      <c r="L104" s="69"/>
      <c r="M104" s="1324">
        <f t="shared" si="75"/>
        <v>10</v>
      </c>
      <c r="N104" s="69"/>
      <c r="O104" s="1321">
        <f t="shared" si="76"/>
        <v>5</v>
      </c>
      <c r="P104" s="69"/>
      <c r="Q104" s="1324" t="str">
        <f t="shared" si="77"/>
        <v/>
      </c>
      <c r="R104" s="69"/>
      <c r="S104" s="1324" t="str">
        <f t="shared" si="78"/>
        <v/>
      </c>
      <c r="T104" s="69"/>
      <c r="U104" s="1324" t="str">
        <f t="shared" si="79"/>
        <v/>
      </c>
      <c r="V104" s="69"/>
      <c r="W104" s="1321">
        <f t="shared" si="80"/>
        <v>15</v>
      </c>
      <c r="X104" s="69"/>
      <c r="Y104" s="1324" t="str">
        <f t="shared" si="81"/>
        <v/>
      </c>
      <c r="Z104" s="69"/>
      <c r="AA104" s="1324" t="str">
        <f t="shared" si="82"/>
        <v/>
      </c>
      <c r="AB104" s="69"/>
      <c r="AC104" s="1324" t="str">
        <f t="shared" si="83"/>
        <v/>
      </c>
      <c r="AD104" s="69"/>
      <c r="AE104" s="1324">
        <f t="shared" si="84"/>
        <v>3</v>
      </c>
      <c r="AF104" s="69"/>
      <c r="AG104" s="1324" t="str">
        <f t="shared" si="85"/>
        <v/>
      </c>
      <c r="AH104" s="69"/>
      <c r="AI104" s="1324" t="str">
        <f t="shared" si="86"/>
        <v/>
      </c>
      <c r="AJ104" s="69"/>
      <c r="AK104" s="1324">
        <f t="shared" si="87"/>
        <v>3</v>
      </c>
      <c r="AL104" s="69"/>
      <c r="AM104" s="1324" t="str">
        <f t="shared" si="88"/>
        <v/>
      </c>
      <c r="AN104" s="69"/>
      <c r="AO104" s="1324" t="str">
        <f t="shared" si="89"/>
        <v/>
      </c>
      <c r="AP104" s="69"/>
      <c r="AQ104" s="1324">
        <f t="shared" si="90"/>
        <v>20</v>
      </c>
      <c r="AR104" s="69"/>
      <c r="AS104" s="1324">
        <f t="shared" si="91"/>
        <v>10</v>
      </c>
      <c r="AT104" s="69"/>
      <c r="AU104" s="1324">
        <f t="shared" si="92"/>
        <v>8</v>
      </c>
      <c r="AV104" s="69"/>
      <c r="AW104" s="1324" t="str">
        <f t="shared" si="93"/>
        <v/>
      </c>
      <c r="AX104" s="69"/>
      <c r="AY104" s="1073">
        <f t="shared" si="94"/>
        <v>109</v>
      </c>
      <c r="AZ104" s="1188"/>
      <c r="BA104" s="1188"/>
      <c r="BB104" s="1188"/>
      <c r="BD104" s="1192"/>
    </row>
    <row r="105" ht="19.5" customHeight="1">
      <c r="A105" s="1109">
        <f t="shared" ref="A105:D105" si="97">A75</f>
        <v>5</v>
      </c>
      <c r="B105" s="1111">
        <f t="shared" si="97"/>
        <v>3660</v>
      </c>
      <c r="C105" s="1200" t="str">
        <f t="shared" si="97"/>
        <v>Салат</v>
      </c>
      <c r="D105" s="591" t="str">
        <f t="shared" si="97"/>
        <v/>
      </c>
      <c r="E105" s="1324">
        <f t="shared" si="71"/>
        <v>20</v>
      </c>
      <c r="F105" s="69"/>
      <c r="G105" s="1324">
        <f t="shared" si="72"/>
        <v>3</v>
      </c>
      <c r="H105" s="69"/>
      <c r="I105" s="1324" t="str">
        <f t="shared" si="73"/>
        <v/>
      </c>
      <c r="J105" s="69"/>
      <c r="K105" s="1324">
        <f t="shared" si="74"/>
        <v>12</v>
      </c>
      <c r="L105" s="69"/>
      <c r="M105" s="1324">
        <f t="shared" si="75"/>
        <v>10</v>
      </c>
      <c r="N105" s="69"/>
      <c r="O105" s="1321">
        <f t="shared" si="76"/>
        <v>5</v>
      </c>
      <c r="P105" s="69"/>
      <c r="Q105" s="1324" t="str">
        <f t="shared" si="77"/>
        <v/>
      </c>
      <c r="R105" s="69"/>
      <c r="S105" s="1324" t="str">
        <f t="shared" si="78"/>
        <v/>
      </c>
      <c r="T105" s="69"/>
      <c r="U105" s="1324" t="str">
        <f t="shared" si="79"/>
        <v/>
      </c>
      <c r="V105" s="69"/>
      <c r="W105" s="1321">
        <f t="shared" si="80"/>
        <v>15</v>
      </c>
      <c r="X105" s="69"/>
      <c r="Y105" s="1324" t="str">
        <f t="shared" si="81"/>
        <v/>
      </c>
      <c r="Z105" s="69"/>
      <c r="AA105" s="1324" t="str">
        <f t="shared" si="82"/>
        <v/>
      </c>
      <c r="AB105" s="69"/>
      <c r="AC105" s="1324" t="str">
        <f t="shared" si="83"/>
        <v/>
      </c>
      <c r="AD105" s="69"/>
      <c r="AE105" s="1324">
        <f t="shared" si="84"/>
        <v>3</v>
      </c>
      <c r="AF105" s="69"/>
      <c r="AG105" s="1324" t="str">
        <f t="shared" si="85"/>
        <v/>
      </c>
      <c r="AH105" s="69"/>
      <c r="AI105" s="1324" t="str">
        <f t="shared" si="86"/>
        <v/>
      </c>
      <c r="AJ105" s="69"/>
      <c r="AK105" s="1324">
        <f t="shared" si="87"/>
        <v>3</v>
      </c>
      <c r="AL105" s="69"/>
      <c r="AM105" s="1324" t="str">
        <f t="shared" si="88"/>
        <v/>
      </c>
      <c r="AN105" s="69"/>
      <c r="AO105" s="1324" t="str">
        <f t="shared" si="89"/>
        <v/>
      </c>
      <c r="AP105" s="69"/>
      <c r="AQ105" s="1324">
        <f t="shared" si="90"/>
        <v>20</v>
      </c>
      <c r="AR105" s="69"/>
      <c r="AS105" s="1324">
        <f t="shared" si="91"/>
        <v>10</v>
      </c>
      <c r="AT105" s="69"/>
      <c r="AU105" s="1324">
        <f t="shared" si="92"/>
        <v>8</v>
      </c>
      <c r="AV105" s="69"/>
      <c r="AW105" s="1324" t="str">
        <f t="shared" si="93"/>
        <v/>
      </c>
      <c r="AX105" s="69"/>
      <c r="AY105" s="1073">
        <f t="shared" si="94"/>
        <v>109</v>
      </c>
      <c r="AZ105" s="1188"/>
      <c r="BA105" s="1188"/>
      <c r="BB105" s="1188"/>
      <c r="BD105" s="1192"/>
    </row>
    <row r="106" ht="19.5" customHeight="1">
      <c r="A106" s="1109">
        <f t="shared" ref="A106:D106" si="98">A76</f>
        <v>6</v>
      </c>
      <c r="B106" s="1111">
        <f t="shared" si="98"/>
        <v>3141</v>
      </c>
      <c r="C106" s="1200" t="str">
        <f t="shared" si="98"/>
        <v>Салат</v>
      </c>
      <c r="D106" s="591" t="str">
        <f t="shared" si="98"/>
        <v>Салат капустный </v>
      </c>
      <c r="E106" s="1325" t="str">
        <f t="shared" si="71"/>
        <v/>
      </c>
      <c r="F106" s="69"/>
      <c r="G106" s="1325" t="str">
        <f t="shared" si="72"/>
        <v/>
      </c>
      <c r="H106" s="69"/>
      <c r="I106" s="1325" t="str">
        <f t="shared" si="73"/>
        <v/>
      </c>
      <c r="J106" s="69"/>
      <c r="K106" s="1325" t="str">
        <f t="shared" si="74"/>
        <v/>
      </c>
      <c r="L106" s="69"/>
      <c r="M106" s="1325" t="str">
        <f t="shared" si="75"/>
        <v/>
      </c>
      <c r="N106" s="69"/>
      <c r="O106" s="1326" t="str">
        <f t="shared" si="76"/>
        <v/>
      </c>
      <c r="P106" s="69"/>
      <c r="Q106" s="1325" t="str">
        <f t="shared" si="77"/>
        <v/>
      </c>
      <c r="R106" s="69"/>
      <c r="S106" s="1325" t="str">
        <f t="shared" si="78"/>
        <v/>
      </c>
      <c r="T106" s="69"/>
      <c r="U106" s="1325" t="str">
        <f t="shared" si="79"/>
        <v/>
      </c>
      <c r="V106" s="69"/>
      <c r="W106" s="1326" t="str">
        <f t="shared" si="80"/>
        <v/>
      </c>
      <c r="X106" s="69"/>
      <c r="Y106" s="1325" t="str">
        <f t="shared" si="81"/>
        <v/>
      </c>
      <c r="Z106" s="69"/>
      <c r="AA106" s="1325" t="str">
        <f t="shared" si="82"/>
        <v/>
      </c>
      <c r="AB106" s="69"/>
      <c r="AC106" s="1325" t="str">
        <f t="shared" si="83"/>
        <v/>
      </c>
      <c r="AD106" s="69"/>
      <c r="AE106" s="1325" t="str">
        <f t="shared" si="84"/>
        <v/>
      </c>
      <c r="AF106" s="69"/>
      <c r="AG106" s="1324" t="str">
        <f t="shared" si="85"/>
        <v/>
      </c>
      <c r="AH106" s="69"/>
      <c r="AI106" s="1325" t="str">
        <f t="shared" si="86"/>
        <v/>
      </c>
      <c r="AJ106" s="69"/>
      <c r="AK106" s="1324" t="str">
        <f t="shared" si="87"/>
        <v/>
      </c>
      <c r="AL106" s="69"/>
      <c r="AM106" s="1324" t="str">
        <f t="shared" si="88"/>
        <v/>
      </c>
      <c r="AN106" s="69"/>
      <c r="AO106" s="1324" t="str">
        <f t="shared" si="89"/>
        <v/>
      </c>
      <c r="AP106" s="69"/>
      <c r="AQ106" s="1324">
        <f t="shared" si="90"/>
        <v>22</v>
      </c>
      <c r="AR106" s="69"/>
      <c r="AS106" s="1324" t="str">
        <f t="shared" si="91"/>
        <v/>
      </c>
      <c r="AT106" s="69"/>
      <c r="AU106" s="1324" t="str">
        <f t="shared" si="92"/>
        <v/>
      </c>
      <c r="AV106" s="69"/>
      <c r="AW106" s="1324" t="str">
        <f t="shared" si="93"/>
        <v/>
      </c>
      <c r="AX106" s="69"/>
      <c r="AY106" s="1327">
        <f t="shared" si="94"/>
        <v>22</v>
      </c>
      <c r="AZ106" s="1188"/>
      <c r="BA106" s="1188"/>
      <c r="BB106" s="1188"/>
      <c r="BD106" s="1192"/>
    </row>
    <row r="107" ht="19.5" customHeight="1">
      <c r="A107" s="1109">
        <f t="shared" ref="A107:D107" si="99">A77</f>
        <v>8</v>
      </c>
      <c r="B107" s="1111">
        <f t="shared" si="99"/>
        <v>793</v>
      </c>
      <c r="C107" s="1200" t="str">
        <f t="shared" si="99"/>
        <v>суп </v>
      </c>
      <c r="D107" s="591" t="str">
        <f t="shared" si="99"/>
        <v/>
      </c>
      <c r="E107" s="1324">
        <f t="shared" si="71"/>
        <v>2</v>
      </c>
      <c r="F107" s="69"/>
      <c r="G107" s="1324">
        <f t="shared" si="72"/>
        <v>2</v>
      </c>
      <c r="H107" s="69"/>
      <c r="I107" s="1324" t="str">
        <f t="shared" si="73"/>
        <v/>
      </c>
      <c r="J107" s="69"/>
      <c r="K107" s="1324">
        <f t="shared" si="74"/>
        <v>2</v>
      </c>
      <c r="L107" s="69"/>
      <c r="M107" s="1324">
        <f t="shared" si="75"/>
        <v>2</v>
      </c>
      <c r="N107" s="69"/>
      <c r="O107" s="1321">
        <f t="shared" si="76"/>
        <v>2</v>
      </c>
      <c r="P107" s="69"/>
      <c r="Q107" s="1324" t="str">
        <f t="shared" si="77"/>
        <v/>
      </c>
      <c r="R107" s="69"/>
      <c r="S107" s="1324" t="str">
        <f t="shared" si="78"/>
        <v/>
      </c>
      <c r="T107" s="69"/>
      <c r="U107" s="1324" t="str">
        <f t="shared" si="79"/>
        <v/>
      </c>
      <c r="V107" s="69"/>
      <c r="W107" s="1321">
        <f t="shared" si="80"/>
        <v>2</v>
      </c>
      <c r="X107" s="69"/>
      <c r="Y107" s="1324" t="str">
        <f t="shared" si="81"/>
        <v/>
      </c>
      <c r="Z107" s="69"/>
      <c r="AA107" s="1324" t="str">
        <f t="shared" si="82"/>
        <v/>
      </c>
      <c r="AB107" s="69"/>
      <c r="AC107" s="1324" t="str">
        <f t="shared" si="83"/>
        <v/>
      </c>
      <c r="AD107" s="69"/>
      <c r="AE107" s="1324">
        <f t="shared" si="84"/>
        <v>2</v>
      </c>
      <c r="AF107" s="69"/>
      <c r="AG107" s="1324" t="str">
        <f t="shared" si="85"/>
        <v/>
      </c>
      <c r="AH107" s="69"/>
      <c r="AI107" s="1324" t="str">
        <f t="shared" si="86"/>
        <v/>
      </c>
      <c r="AJ107" s="69"/>
      <c r="AK107" s="1324">
        <f t="shared" si="87"/>
        <v>2</v>
      </c>
      <c r="AL107" s="69"/>
      <c r="AM107" s="1324" t="str">
        <f t="shared" si="88"/>
        <v/>
      </c>
      <c r="AN107" s="69"/>
      <c r="AO107" s="1324" t="str">
        <f t="shared" si="89"/>
        <v/>
      </c>
      <c r="AP107" s="69"/>
      <c r="AQ107" s="1324">
        <f t="shared" si="90"/>
        <v>2</v>
      </c>
      <c r="AR107" s="69"/>
      <c r="AS107" s="1324">
        <f t="shared" si="91"/>
        <v>2</v>
      </c>
      <c r="AT107" s="69"/>
      <c r="AU107" s="1324">
        <f t="shared" si="92"/>
        <v>2</v>
      </c>
      <c r="AV107" s="69"/>
      <c r="AW107" s="1324" t="str">
        <f t="shared" si="93"/>
        <v/>
      </c>
      <c r="AX107" s="69"/>
      <c r="AY107" s="1073">
        <f t="shared" si="94"/>
        <v>22</v>
      </c>
      <c r="AZ107" s="1188"/>
      <c r="BA107" s="1188"/>
      <c r="BB107" s="1188"/>
      <c r="BD107" s="1192"/>
    </row>
    <row r="108" ht="19.5" customHeight="1">
      <c r="A108" s="1109">
        <f t="shared" ref="A108:D108" si="100">A78</f>
        <v>9</v>
      </c>
      <c r="B108" s="1111">
        <f t="shared" si="100"/>
        <v>3276</v>
      </c>
      <c r="C108" s="1200" t="str">
        <f t="shared" si="100"/>
        <v>Второе </v>
      </c>
      <c r="D108" s="591" t="str">
        <f t="shared" si="100"/>
        <v/>
      </c>
      <c r="E108" s="1324">
        <f t="shared" si="71"/>
        <v>15</v>
      </c>
      <c r="F108" s="69"/>
      <c r="G108" s="1324">
        <f t="shared" si="72"/>
        <v>7</v>
      </c>
      <c r="H108" s="69"/>
      <c r="I108" s="1324" t="str">
        <f t="shared" si="73"/>
        <v/>
      </c>
      <c r="J108" s="69"/>
      <c r="K108" s="1324">
        <f t="shared" si="74"/>
        <v>20</v>
      </c>
      <c r="L108" s="69"/>
      <c r="M108" s="1324">
        <f t="shared" si="75"/>
        <v>3</v>
      </c>
      <c r="N108" s="69"/>
      <c r="O108" s="1321">
        <f t="shared" si="76"/>
        <v>5</v>
      </c>
      <c r="P108" s="69"/>
      <c r="Q108" s="1324" t="str">
        <f t="shared" si="77"/>
        <v/>
      </c>
      <c r="R108" s="69"/>
      <c r="S108" s="1324" t="str">
        <f t="shared" si="78"/>
        <v/>
      </c>
      <c r="T108" s="69"/>
      <c r="U108" s="1324" t="str">
        <f t="shared" si="79"/>
        <v/>
      </c>
      <c r="V108" s="69"/>
      <c r="W108" s="1321">
        <f t="shared" si="80"/>
        <v>20</v>
      </c>
      <c r="X108" s="69"/>
      <c r="Y108" s="1324" t="str">
        <f t="shared" si="81"/>
        <v/>
      </c>
      <c r="Z108" s="69"/>
      <c r="AA108" s="1324" t="str">
        <f t="shared" si="82"/>
        <v/>
      </c>
      <c r="AB108" s="69"/>
      <c r="AC108" s="1324" t="str">
        <f t="shared" si="83"/>
        <v/>
      </c>
      <c r="AD108" s="69"/>
      <c r="AE108" s="1324">
        <f t="shared" si="84"/>
        <v>3</v>
      </c>
      <c r="AF108" s="69"/>
      <c r="AG108" s="1324" t="str">
        <f t="shared" si="85"/>
        <v/>
      </c>
      <c r="AH108" s="69"/>
      <c r="AI108" s="1324" t="str">
        <f t="shared" si="86"/>
        <v/>
      </c>
      <c r="AJ108" s="69"/>
      <c r="AK108" s="1324">
        <f t="shared" si="87"/>
        <v>3</v>
      </c>
      <c r="AL108" s="69"/>
      <c r="AM108" s="1324" t="str">
        <f t="shared" si="88"/>
        <v/>
      </c>
      <c r="AN108" s="69"/>
      <c r="AO108" s="1324" t="str">
        <f t="shared" si="89"/>
        <v/>
      </c>
      <c r="AP108" s="69"/>
      <c r="AQ108" s="1324">
        <f t="shared" si="90"/>
        <v>20</v>
      </c>
      <c r="AR108" s="69"/>
      <c r="AS108" s="1324">
        <f t="shared" si="91"/>
        <v>8</v>
      </c>
      <c r="AT108" s="69"/>
      <c r="AU108" s="1324">
        <f t="shared" si="92"/>
        <v>8</v>
      </c>
      <c r="AV108" s="69"/>
      <c r="AW108" s="1324" t="str">
        <f t="shared" si="93"/>
        <v/>
      </c>
      <c r="AX108" s="69"/>
      <c r="AY108" s="1073">
        <f t="shared" si="94"/>
        <v>112</v>
      </c>
      <c r="AZ108" s="1188"/>
      <c r="BA108" s="1188"/>
      <c r="BB108" s="1188"/>
      <c r="BD108" s="1192"/>
    </row>
    <row r="109" ht="19.5" customHeight="1">
      <c r="A109" s="1109">
        <f t="shared" ref="A109:D109" si="101">A79</f>
        <v>10</v>
      </c>
      <c r="B109" s="1111">
        <f t="shared" si="101"/>
        <v>3734</v>
      </c>
      <c r="C109" s="1200" t="str">
        <f t="shared" si="101"/>
        <v>Второе </v>
      </c>
      <c r="D109" s="591" t="str">
        <f t="shared" si="101"/>
        <v/>
      </c>
      <c r="E109" s="1325">
        <f t="shared" si="71"/>
        <v>15</v>
      </c>
      <c r="F109" s="69"/>
      <c r="G109" s="1325">
        <f t="shared" si="72"/>
        <v>7</v>
      </c>
      <c r="H109" s="69"/>
      <c r="I109" s="1325" t="str">
        <f t="shared" si="73"/>
        <v/>
      </c>
      <c r="J109" s="69"/>
      <c r="K109" s="1325">
        <f t="shared" si="74"/>
        <v>20</v>
      </c>
      <c r="L109" s="69"/>
      <c r="M109" s="1325">
        <f t="shared" si="75"/>
        <v>3</v>
      </c>
      <c r="N109" s="69"/>
      <c r="O109" s="1326">
        <f t="shared" si="76"/>
        <v>5</v>
      </c>
      <c r="P109" s="69"/>
      <c r="Q109" s="1325" t="str">
        <f t="shared" si="77"/>
        <v/>
      </c>
      <c r="R109" s="69"/>
      <c r="S109" s="1325" t="str">
        <f t="shared" si="78"/>
        <v/>
      </c>
      <c r="T109" s="69"/>
      <c r="U109" s="1325" t="str">
        <f t="shared" si="79"/>
        <v/>
      </c>
      <c r="V109" s="69"/>
      <c r="W109" s="1326">
        <f t="shared" si="80"/>
        <v>20</v>
      </c>
      <c r="X109" s="69"/>
      <c r="Y109" s="1325" t="str">
        <f t="shared" si="81"/>
        <v/>
      </c>
      <c r="Z109" s="69"/>
      <c r="AA109" s="1325" t="str">
        <f t="shared" si="82"/>
        <v/>
      </c>
      <c r="AB109" s="69"/>
      <c r="AC109" s="1325" t="str">
        <f t="shared" si="83"/>
        <v/>
      </c>
      <c r="AD109" s="69"/>
      <c r="AE109" s="1325">
        <f t="shared" si="84"/>
        <v>3</v>
      </c>
      <c r="AF109" s="69"/>
      <c r="AG109" s="1325" t="str">
        <f t="shared" si="85"/>
        <v/>
      </c>
      <c r="AH109" s="69"/>
      <c r="AI109" s="1325" t="str">
        <f t="shared" si="86"/>
        <v/>
      </c>
      <c r="AJ109" s="69"/>
      <c r="AK109" s="1325">
        <f t="shared" si="87"/>
        <v>3</v>
      </c>
      <c r="AL109" s="69"/>
      <c r="AM109" s="1324" t="str">
        <f t="shared" si="88"/>
        <v/>
      </c>
      <c r="AN109" s="69"/>
      <c r="AO109" s="1324" t="str">
        <f t="shared" si="89"/>
        <v/>
      </c>
      <c r="AP109" s="69"/>
      <c r="AQ109" s="1324">
        <f t="shared" si="90"/>
        <v>20</v>
      </c>
      <c r="AR109" s="69"/>
      <c r="AS109" s="1324">
        <f t="shared" si="91"/>
        <v>8</v>
      </c>
      <c r="AT109" s="69"/>
      <c r="AU109" s="1324">
        <f t="shared" si="92"/>
        <v>8</v>
      </c>
      <c r="AV109" s="69"/>
      <c r="AW109" s="1324" t="str">
        <f t="shared" si="93"/>
        <v/>
      </c>
      <c r="AX109" s="69"/>
      <c r="AY109" s="1327">
        <f t="shared" si="94"/>
        <v>112</v>
      </c>
      <c r="AZ109" s="1188"/>
      <c r="BA109" s="1188"/>
      <c r="BB109" s="1188"/>
      <c r="BD109" s="1192"/>
    </row>
    <row r="110" ht="19.5" customHeight="1">
      <c r="A110" s="1109">
        <f t="shared" ref="A110:D110" si="102">A80</f>
        <v>11</v>
      </c>
      <c r="B110" s="1111">
        <f t="shared" si="102"/>
        <v>3703</v>
      </c>
      <c r="C110" s="1200" t="str">
        <f t="shared" si="102"/>
        <v>Второе </v>
      </c>
      <c r="D110" s="591" t="str">
        <f t="shared" si="102"/>
        <v/>
      </c>
      <c r="E110" s="1324">
        <f t="shared" si="71"/>
        <v>15</v>
      </c>
      <c r="F110" s="69"/>
      <c r="G110" s="1324">
        <f t="shared" si="72"/>
        <v>6</v>
      </c>
      <c r="H110" s="69"/>
      <c r="I110" s="1324" t="str">
        <f t="shared" si="73"/>
        <v/>
      </c>
      <c r="J110" s="69"/>
      <c r="K110" s="1324">
        <f t="shared" si="74"/>
        <v>20</v>
      </c>
      <c r="L110" s="69"/>
      <c r="M110" s="1324">
        <f t="shared" si="75"/>
        <v>3</v>
      </c>
      <c r="N110" s="69"/>
      <c r="O110" s="1321">
        <f t="shared" si="76"/>
        <v>5</v>
      </c>
      <c r="P110" s="69"/>
      <c r="Q110" s="1324" t="str">
        <f t="shared" si="77"/>
        <v/>
      </c>
      <c r="R110" s="69"/>
      <c r="S110" s="1324" t="str">
        <f t="shared" si="78"/>
        <v/>
      </c>
      <c r="T110" s="69"/>
      <c r="U110" s="1324" t="str">
        <f t="shared" si="79"/>
        <v/>
      </c>
      <c r="V110" s="69"/>
      <c r="W110" s="1321">
        <f t="shared" si="80"/>
        <v>20</v>
      </c>
      <c r="X110" s="69"/>
      <c r="Y110" s="1324" t="str">
        <f t="shared" si="81"/>
        <v/>
      </c>
      <c r="Z110" s="69"/>
      <c r="AA110" s="1324" t="str">
        <f t="shared" si="82"/>
        <v/>
      </c>
      <c r="AB110" s="69"/>
      <c r="AC110" s="1324" t="str">
        <f t="shared" si="83"/>
        <v/>
      </c>
      <c r="AD110" s="69"/>
      <c r="AE110" s="1324">
        <f t="shared" si="84"/>
        <v>3</v>
      </c>
      <c r="AF110" s="69"/>
      <c r="AG110" s="1324" t="str">
        <f t="shared" si="85"/>
        <v/>
      </c>
      <c r="AH110" s="69"/>
      <c r="AI110" s="1324" t="str">
        <f t="shared" si="86"/>
        <v/>
      </c>
      <c r="AJ110" s="69"/>
      <c r="AK110" s="1324">
        <f t="shared" si="87"/>
        <v>3</v>
      </c>
      <c r="AL110" s="69"/>
      <c r="AM110" s="1324" t="str">
        <f t="shared" si="88"/>
        <v/>
      </c>
      <c r="AN110" s="69"/>
      <c r="AO110" s="1324" t="str">
        <f t="shared" si="89"/>
        <v/>
      </c>
      <c r="AP110" s="69"/>
      <c r="AQ110" s="1324">
        <f t="shared" si="90"/>
        <v>20</v>
      </c>
      <c r="AR110" s="69"/>
      <c r="AS110" s="1324">
        <f t="shared" si="91"/>
        <v>8</v>
      </c>
      <c r="AT110" s="69"/>
      <c r="AU110" s="1324">
        <f t="shared" si="92"/>
        <v>8</v>
      </c>
      <c r="AV110" s="69"/>
      <c r="AW110" s="1324" t="str">
        <f t="shared" si="93"/>
        <v/>
      </c>
      <c r="AX110" s="69"/>
      <c r="AY110" s="1073">
        <f t="shared" si="94"/>
        <v>111</v>
      </c>
      <c r="AZ110" s="1188"/>
      <c r="BA110" s="1188"/>
      <c r="BB110" s="1188"/>
      <c r="BD110" s="1192"/>
    </row>
    <row r="111" ht="19.5" customHeight="1">
      <c r="A111" s="1109">
        <f t="shared" ref="A111:D111" si="103">A81</f>
        <v>12</v>
      </c>
      <c r="B111" s="1111">
        <f t="shared" si="103"/>
        <v>3532</v>
      </c>
      <c r="C111" s="1200" t="str">
        <f t="shared" si="103"/>
        <v>сэндвич</v>
      </c>
      <c r="D111" s="591" t="str">
        <f t="shared" si="103"/>
        <v/>
      </c>
      <c r="E111" s="1324">
        <f t="shared" si="71"/>
        <v>8</v>
      </c>
      <c r="F111" s="69"/>
      <c r="G111" s="1324" t="str">
        <f t="shared" si="72"/>
        <v/>
      </c>
      <c r="H111" s="69"/>
      <c r="I111" s="1324" t="str">
        <f t="shared" si="73"/>
        <v/>
      </c>
      <c r="J111" s="69"/>
      <c r="K111" s="1324">
        <f t="shared" si="74"/>
        <v>8</v>
      </c>
      <c r="L111" s="69"/>
      <c r="M111" s="1324">
        <f t="shared" si="75"/>
        <v>3</v>
      </c>
      <c r="N111" s="69"/>
      <c r="O111" s="1321">
        <f t="shared" si="76"/>
        <v>3</v>
      </c>
      <c r="P111" s="69"/>
      <c r="Q111" s="1324" t="str">
        <f t="shared" si="77"/>
        <v/>
      </c>
      <c r="R111" s="69"/>
      <c r="S111" s="1324" t="str">
        <f t="shared" si="78"/>
        <v/>
      </c>
      <c r="T111" s="69"/>
      <c r="U111" s="1324" t="str">
        <f t="shared" si="79"/>
        <v/>
      </c>
      <c r="V111" s="69"/>
      <c r="W111" s="1321">
        <f t="shared" si="80"/>
        <v>3</v>
      </c>
      <c r="X111" s="69"/>
      <c r="Y111" s="1324" t="str">
        <f t="shared" si="81"/>
        <v/>
      </c>
      <c r="Z111" s="69"/>
      <c r="AA111" s="1324" t="str">
        <f t="shared" si="82"/>
        <v/>
      </c>
      <c r="AB111" s="69"/>
      <c r="AC111" s="1324" t="str">
        <f t="shared" si="83"/>
        <v/>
      </c>
      <c r="AD111" s="69"/>
      <c r="AE111" s="1324">
        <f t="shared" si="84"/>
        <v>3</v>
      </c>
      <c r="AF111" s="69"/>
      <c r="AG111" s="1324" t="str">
        <f t="shared" si="85"/>
        <v/>
      </c>
      <c r="AH111" s="69"/>
      <c r="AI111" s="1324" t="str">
        <f t="shared" si="86"/>
        <v/>
      </c>
      <c r="AJ111" s="69"/>
      <c r="AK111" s="1324" t="str">
        <f t="shared" si="87"/>
        <v/>
      </c>
      <c r="AL111" s="69"/>
      <c r="AM111" s="1324" t="str">
        <f t="shared" si="88"/>
        <v/>
      </c>
      <c r="AN111" s="69"/>
      <c r="AO111" s="1324" t="str">
        <f t="shared" si="89"/>
        <v/>
      </c>
      <c r="AP111" s="69"/>
      <c r="AQ111" s="1324">
        <f t="shared" si="90"/>
        <v>9</v>
      </c>
      <c r="AR111" s="69"/>
      <c r="AS111" s="1324">
        <f t="shared" si="91"/>
        <v>2</v>
      </c>
      <c r="AT111" s="69"/>
      <c r="AU111" s="1324">
        <f t="shared" si="92"/>
        <v>2</v>
      </c>
      <c r="AV111" s="69"/>
      <c r="AW111" s="1324" t="str">
        <f t="shared" si="93"/>
        <v/>
      </c>
      <c r="AX111" s="69"/>
      <c r="AY111" s="1073">
        <f t="shared" si="94"/>
        <v>41</v>
      </c>
      <c r="AZ111" s="1188"/>
      <c r="BA111" s="1188"/>
      <c r="BB111" s="1188"/>
      <c r="BD111" s="1192"/>
    </row>
    <row r="112" ht="19.5" customHeight="1">
      <c r="A112" s="1109">
        <f t="shared" ref="A112:D112" si="104">A82</f>
        <v>13</v>
      </c>
      <c r="B112" s="1111">
        <f t="shared" si="104"/>
        <v>822</v>
      </c>
      <c r="C112" s="1200" t="str">
        <f t="shared" si="104"/>
        <v/>
      </c>
      <c r="D112" s="591" t="str">
        <f t="shared" si="104"/>
        <v>Хлеб</v>
      </c>
      <c r="E112" s="1324">
        <f t="shared" si="71"/>
        <v>10</v>
      </c>
      <c r="F112" s="69"/>
      <c r="G112" s="1324" t="str">
        <f t="shared" si="72"/>
        <v/>
      </c>
      <c r="H112" s="69"/>
      <c r="I112" s="1324" t="str">
        <f t="shared" si="73"/>
        <v/>
      </c>
      <c r="J112" s="69"/>
      <c r="K112" s="1324">
        <f t="shared" si="74"/>
        <v>13</v>
      </c>
      <c r="L112" s="69"/>
      <c r="M112" s="1324">
        <f t="shared" si="75"/>
        <v>3</v>
      </c>
      <c r="N112" s="69"/>
      <c r="O112" s="1326">
        <f t="shared" si="76"/>
        <v>8</v>
      </c>
      <c r="P112" s="69"/>
      <c r="Q112" s="1324" t="str">
        <f t="shared" si="77"/>
        <v/>
      </c>
      <c r="R112" s="69"/>
      <c r="S112" s="1324" t="str">
        <f t="shared" si="78"/>
        <v/>
      </c>
      <c r="T112" s="69"/>
      <c r="U112" s="1324" t="str">
        <f t="shared" si="79"/>
        <v/>
      </c>
      <c r="V112" s="69"/>
      <c r="W112" s="1321">
        <f t="shared" si="80"/>
        <v>8</v>
      </c>
      <c r="X112" s="69"/>
      <c r="Y112" s="1324" t="str">
        <f t="shared" si="81"/>
        <v/>
      </c>
      <c r="Z112" s="69"/>
      <c r="AA112" s="1324" t="str">
        <f t="shared" si="82"/>
        <v/>
      </c>
      <c r="AB112" s="69"/>
      <c r="AC112" s="1324" t="str">
        <f t="shared" si="83"/>
        <v/>
      </c>
      <c r="AD112" s="69"/>
      <c r="AE112" s="1324">
        <f t="shared" si="84"/>
        <v>5</v>
      </c>
      <c r="AF112" s="69"/>
      <c r="AG112" s="1324" t="str">
        <f t="shared" si="85"/>
        <v/>
      </c>
      <c r="AH112" s="69"/>
      <c r="AI112" s="1324" t="str">
        <f t="shared" si="86"/>
        <v/>
      </c>
      <c r="AJ112" s="69"/>
      <c r="AK112" s="1324" t="str">
        <f t="shared" si="87"/>
        <v/>
      </c>
      <c r="AL112" s="69"/>
      <c r="AM112" s="1324" t="str">
        <f t="shared" si="88"/>
        <v/>
      </c>
      <c r="AN112" s="69"/>
      <c r="AO112" s="1324" t="str">
        <f t="shared" si="89"/>
        <v/>
      </c>
      <c r="AP112" s="69"/>
      <c r="AQ112" s="1324" t="str">
        <f t="shared" si="90"/>
        <v/>
      </c>
      <c r="AR112" s="69"/>
      <c r="AS112" s="1324">
        <f t="shared" si="91"/>
        <v>3</v>
      </c>
      <c r="AT112" s="69"/>
      <c r="AU112" s="1324">
        <f t="shared" si="92"/>
        <v>3</v>
      </c>
      <c r="AV112" s="69"/>
      <c r="AW112" s="1324" t="str">
        <f t="shared" si="93"/>
        <v/>
      </c>
      <c r="AX112" s="69"/>
      <c r="AY112" s="1073">
        <f t="shared" si="94"/>
        <v>53</v>
      </c>
      <c r="AZ112" s="1188"/>
      <c r="BA112" s="1188"/>
      <c r="BB112" s="1188"/>
      <c r="BD112" s="1192"/>
    </row>
    <row r="113" ht="19.5" customHeight="1">
      <c r="A113" s="1109">
        <f t="shared" ref="A113:D113" si="105">A83</f>
        <v>14</v>
      </c>
      <c r="B113" s="1111" t="str">
        <f t="shared" si="105"/>
        <v/>
      </c>
      <c r="C113" s="1200" t="str">
        <f t="shared" si="105"/>
        <v/>
      </c>
      <c r="D113" s="591" t="str">
        <f t="shared" si="105"/>
        <v/>
      </c>
      <c r="E113" s="1324" t="str">
        <f t="shared" si="71"/>
        <v/>
      </c>
      <c r="F113" s="69"/>
      <c r="G113" s="1324" t="str">
        <f t="shared" si="72"/>
        <v/>
      </c>
      <c r="H113" s="69"/>
      <c r="I113" s="1324" t="str">
        <f t="shared" si="73"/>
        <v/>
      </c>
      <c r="J113" s="69"/>
      <c r="K113" s="1324" t="str">
        <f t="shared" si="74"/>
        <v/>
      </c>
      <c r="L113" s="69"/>
      <c r="M113" s="1324" t="str">
        <f t="shared" si="75"/>
        <v/>
      </c>
      <c r="N113" s="69"/>
      <c r="O113" s="1321" t="str">
        <f t="shared" si="76"/>
        <v/>
      </c>
      <c r="P113" s="69"/>
      <c r="Q113" s="1324" t="str">
        <f t="shared" si="77"/>
        <v/>
      </c>
      <c r="R113" s="69"/>
      <c r="S113" s="1324" t="str">
        <f t="shared" si="78"/>
        <v/>
      </c>
      <c r="T113" s="69"/>
      <c r="U113" s="1324" t="str">
        <f t="shared" si="79"/>
        <v/>
      </c>
      <c r="V113" s="69"/>
      <c r="W113" s="1321" t="str">
        <f t="shared" si="80"/>
        <v/>
      </c>
      <c r="X113" s="69"/>
      <c r="Y113" s="1324" t="str">
        <f t="shared" si="81"/>
        <v/>
      </c>
      <c r="Z113" s="69"/>
      <c r="AA113" s="1324" t="str">
        <f t="shared" si="82"/>
        <v/>
      </c>
      <c r="AB113" s="69"/>
      <c r="AC113" s="1324" t="str">
        <f t="shared" si="83"/>
        <v/>
      </c>
      <c r="AD113" s="69"/>
      <c r="AE113" s="1324" t="str">
        <f t="shared" si="84"/>
        <v/>
      </c>
      <c r="AF113" s="69"/>
      <c r="AG113" s="1324" t="str">
        <f t="shared" si="85"/>
        <v/>
      </c>
      <c r="AH113" s="69"/>
      <c r="AI113" s="1324" t="str">
        <f t="shared" si="86"/>
        <v/>
      </c>
      <c r="AJ113" s="69"/>
      <c r="AK113" s="1324" t="str">
        <f t="shared" si="87"/>
        <v/>
      </c>
      <c r="AL113" s="69"/>
      <c r="AM113" s="1324" t="str">
        <f t="shared" si="88"/>
        <v/>
      </c>
      <c r="AN113" s="69"/>
      <c r="AO113" s="1324" t="str">
        <f t="shared" si="89"/>
        <v/>
      </c>
      <c r="AP113" s="69"/>
      <c r="AQ113" s="1324" t="str">
        <f t="shared" si="90"/>
        <v/>
      </c>
      <c r="AR113" s="69"/>
      <c r="AS113" s="1324" t="str">
        <f t="shared" si="91"/>
        <v/>
      </c>
      <c r="AT113" s="69"/>
      <c r="AU113" s="1324" t="str">
        <f t="shared" si="92"/>
        <v/>
      </c>
      <c r="AV113" s="69"/>
      <c r="AW113" s="1324" t="str">
        <f t="shared" si="93"/>
        <v/>
      </c>
      <c r="AX113" s="69"/>
      <c r="AY113" s="1073">
        <f t="shared" si="94"/>
        <v>0</v>
      </c>
      <c r="AZ113" s="1188"/>
      <c r="BA113" s="1188"/>
      <c r="BB113" s="1188"/>
      <c r="BD113" s="1192"/>
    </row>
    <row r="114" ht="19.5" customHeight="1">
      <c r="A114" s="1109">
        <f t="shared" ref="A114:D114" si="106">A84</f>
        <v>15</v>
      </c>
      <c r="B114" s="1111" t="str">
        <f t="shared" si="106"/>
        <v/>
      </c>
      <c r="C114" s="1200" t="str">
        <f t="shared" si="106"/>
        <v/>
      </c>
      <c r="D114" s="591" t="str">
        <f t="shared" si="106"/>
        <v/>
      </c>
      <c r="E114" s="1324" t="str">
        <f t="shared" si="71"/>
        <v/>
      </c>
      <c r="F114" s="69"/>
      <c r="G114" s="1324" t="str">
        <f t="shared" si="72"/>
        <v/>
      </c>
      <c r="H114" s="69"/>
      <c r="I114" s="1324" t="str">
        <f t="shared" si="73"/>
        <v/>
      </c>
      <c r="J114" s="69"/>
      <c r="K114" s="1324" t="str">
        <f t="shared" si="74"/>
        <v/>
      </c>
      <c r="L114" s="69"/>
      <c r="M114" s="1324" t="str">
        <f t="shared" si="75"/>
        <v/>
      </c>
      <c r="N114" s="69"/>
      <c r="O114" s="1321" t="str">
        <f t="shared" si="76"/>
        <v/>
      </c>
      <c r="P114" s="69"/>
      <c r="Q114" s="1324" t="str">
        <f t="shared" si="77"/>
        <v/>
      </c>
      <c r="R114" s="69"/>
      <c r="S114" s="1324" t="str">
        <f t="shared" si="78"/>
        <v/>
      </c>
      <c r="T114" s="69"/>
      <c r="U114" s="1324" t="str">
        <f t="shared" si="79"/>
        <v/>
      </c>
      <c r="V114" s="69"/>
      <c r="W114" s="1321" t="str">
        <f t="shared" si="80"/>
        <v/>
      </c>
      <c r="X114" s="69"/>
      <c r="Y114" s="1324" t="str">
        <f t="shared" si="81"/>
        <v/>
      </c>
      <c r="Z114" s="69"/>
      <c r="AA114" s="1324" t="str">
        <f t="shared" si="82"/>
        <v/>
      </c>
      <c r="AB114" s="69"/>
      <c r="AC114" s="1324" t="str">
        <f t="shared" si="83"/>
        <v/>
      </c>
      <c r="AD114" s="69"/>
      <c r="AE114" s="1324" t="str">
        <f t="shared" si="84"/>
        <v/>
      </c>
      <c r="AF114" s="69"/>
      <c r="AG114" s="1324" t="str">
        <f t="shared" si="85"/>
        <v/>
      </c>
      <c r="AH114" s="69"/>
      <c r="AI114" s="1324" t="str">
        <f t="shared" si="86"/>
        <v/>
      </c>
      <c r="AJ114" s="69"/>
      <c r="AK114" s="1324" t="str">
        <f t="shared" si="87"/>
        <v/>
      </c>
      <c r="AL114" s="69"/>
      <c r="AM114" s="1324" t="str">
        <f t="shared" si="88"/>
        <v/>
      </c>
      <c r="AN114" s="69"/>
      <c r="AO114" s="1324" t="str">
        <f t="shared" si="89"/>
        <v/>
      </c>
      <c r="AP114" s="69"/>
      <c r="AQ114" s="1324" t="str">
        <f t="shared" si="90"/>
        <v/>
      </c>
      <c r="AR114" s="69"/>
      <c r="AS114" s="1324" t="str">
        <f t="shared" si="91"/>
        <v/>
      </c>
      <c r="AT114" s="69"/>
      <c r="AU114" s="1324" t="str">
        <f t="shared" si="92"/>
        <v/>
      </c>
      <c r="AV114" s="69"/>
      <c r="AW114" s="1324" t="str">
        <f t="shared" si="93"/>
        <v/>
      </c>
      <c r="AX114" s="69"/>
      <c r="AY114" s="1073">
        <f t="shared" si="94"/>
        <v>0</v>
      </c>
      <c r="AZ114" s="1187"/>
      <c r="BA114" s="1187"/>
      <c r="BB114" s="1187"/>
      <c r="BC114" s="677"/>
      <c r="BD114" s="1192"/>
    </row>
    <row r="115" ht="19.5" customHeight="1">
      <c r="A115" s="1109">
        <f t="shared" ref="A115:D115" si="107">A85</f>
        <v>16</v>
      </c>
      <c r="B115" s="1111" t="str">
        <f t="shared" si="107"/>
        <v/>
      </c>
      <c r="C115" s="1200" t="str">
        <f t="shared" si="107"/>
        <v/>
      </c>
      <c r="D115" s="591" t="str">
        <f t="shared" si="107"/>
        <v/>
      </c>
      <c r="E115" s="1324" t="str">
        <f t="shared" si="71"/>
        <v/>
      </c>
      <c r="F115" s="69"/>
      <c r="G115" s="1324" t="str">
        <f t="shared" si="72"/>
        <v/>
      </c>
      <c r="H115" s="69"/>
      <c r="I115" s="1324" t="str">
        <f t="shared" si="73"/>
        <v/>
      </c>
      <c r="J115" s="69"/>
      <c r="K115" s="1324" t="str">
        <f t="shared" si="74"/>
        <v/>
      </c>
      <c r="L115" s="69"/>
      <c r="M115" s="1324" t="str">
        <f t="shared" si="75"/>
        <v/>
      </c>
      <c r="N115" s="69"/>
      <c r="O115" s="1321" t="str">
        <f t="shared" si="76"/>
        <v/>
      </c>
      <c r="P115" s="69"/>
      <c r="Q115" s="1324" t="str">
        <f t="shared" si="77"/>
        <v/>
      </c>
      <c r="R115" s="69"/>
      <c r="S115" s="1324" t="str">
        <f t="shared" si="78"/>
        <v/>
      </c>
      <c r="T115" s="69"/>
      <c r="U115" s="1324" t="str">
        <f t="shared" si="79"/>
        <v/>
      </c>
      <c r="V115" s="69"/>
      <c r="W115" s="1321" t="str">
        <f t="shared" si="80"/>
        <v/>
      </c>
      <c r="X115" s="69"/>
      <c r="Y115" s="1324" t="str">
        <f t="shared" si="81"/>
        <v/>
      </c>
      <c r="Z115" s="69"/>
      <c r="AA115" s="1324" t="str">
        <f t="shared" si="82"/>
        <v/>
      </c>
      <c r="AB115" s="69"/>
      <c r="AC115" s="1324" t="str">
        <f t="shared" si="83"/>
        <v/>
      </c>
      <c r="AD115" s="69"/>
      <c r="AE115" s="1324" t="str">
        <f t="shared" si="84"/>
        <v/>
      </c>
      <c r="AF115" s="69"/>
      <c r="AG115" s="1324" t="str">
        <f t="shared" si="85"/>
        <v/>
      </c>
      <c r="AH115" s="69"/>
      <c r="AI115" s="1324" t="str">
        <f t="shared" si="86"/>
        <v/>
      </c>
      <c r="AJ115" s="69"/>
      <c r="AK115" s="1324" t="str">
        <f t="shared" si="87"/>
        <v/>
      </c>
      <c r="AL115" s="69"/>
      <c r="AM115" s="1324" t="str">
        <f t="shared" si="88"/>
        <v/>
      </c>
      <c r="AN115" s="69"/>
      <c r="AO115" s="1324" t="str">
        <f t="shared" si="89"/>
        <v/>
      </c>
      <c r="AP115" s="69"/>
      <c r="AQ115" s="1324" t="str">
        <f t="shared" si="90"/>
        <v/>
      </c>
      <c r="AR115" s="69"/>
      <c r="AS115" s="1324" t="str">
        <f t="shared" si="91"/>
        <v/>
      </c>
      <c r="AT115" s="69"/>
      <c r="AU115" s="1324" t="str">
        <f t="shared" si="92"/>
        <v/>
      </c>
      <c r="AV115" s="69"/>
      <c r="AW115" s="1324" t="str">
        <f t="shared" si="93"/>
        <v/>
      </c>
      <c r="AX115" s="69"/>
      <c r="AY115" s="1073">
        <f t="shared" si="94"/>
        <v>0</v>
      </c>
      <c r="AZ115" s="1187"/>
      <c r="BA115" s="1187"/>
      <c r="BB115" s="1187"/>
      <c r="BC115" s="677"/>
      <c r="BD115" s="1192"/>
    </row>
    <row r="116" ht="19.5" customHeight="1">
      <c r="A116" s="1109">
        <f t="shared" ref="A116:D116" si="108">A86</f>
        <v>17</v>
      </c>
      <c r="B116" s="1111" t="str">
        <f t="shared" si="108"/>
        <v/>
      </c>
      <c r="C116" s="1200" t="str">
        <f t="shared" si="108"/>
        <v/>
      </c>
      <c r="D116" s="591" t="str">
        <f t="shared" si="108"/>
        <v/>
      </c>
      <c r="E116" s="1324" t="str">
        <f t="shared" si="71"/>
        <v/>
      </c>
      <c r="F116" s="69"/>
      <c r="G116" s="1324" t="str">
        <f t="shared" si="72"/>
        <v/>
      </c>
      <c r="H116" s="69"/>
      <c r="I116" s="1324" t="str">
        <f t="shared" si="73"/>
        <v/>
      </c>
      <c r="J116" s="69"/>
      <c r="K116" s="1324" t="str">
        <f t="shared" si="74"/>
        <v/>
      </c>
      <c r="L116" s="69"/>
      <c r="M116" s="1324" t="str">
        <f t="shared" si="75"/>
        <v/>
      </c>
      <c r="N116" s="69"/>
      <c r="O116" s="1321" t="str">
        <f t="shared" si="76"/>
        <v/>
      </c>
      <c r="P116" s="69"/>
      <c r="Q116" s="1324" t="str">
        <f t="shared" si="77"/>
        <v/>
      </c>
      <c r="R116" s="69"/>
      <c r="S116" s="1324" t="str">
        <f t="shared" si="78"/>
        <v/>
      </c>
      <c r="T116" s="69"/>
      <c r="U116" s="1324" t="str">
        <f t="shared" si="79"/>
        <v/>
      </c>
      <c r="V116" s="69"/>
      <c r="W116" s="1321" t="str">
        <f t="shared" si="80"/>
        <v/>
      </c>
      <c r="X116" s="69"/>
      <c r="Y116" s="1324" t="str">
        <f t="shared" si="81"/>
        <v/>
      </c>
      <c r="Z116" s="69"/>
      <c r="AA116" s="1324" t="str">
        <f t="shared" si="82"/>
        <v/>
      </c>
      <c r="AB116" s="69"/>
      <c r="AC116" s="1324" t="str">
        <f t="shared" si="83"/>
        <v/>
      </c>
      <c r="AD116" s="69"/>
      <c r="AE116" s="1324" t="str">
        <f t="shared" si="84"/>
        <v/>
      </c>
      <c r="AF116" s="69"/>
      <c r="AG116" s="1324" t="str">
        <f t="shared" si="85"/>
        <v/>
      </c>
      <c r="AH116" s="69"/>
      <c r="AI116" s="1324" t="str">
        <f t="shared" si="86"/>
        <v/>
      </c>
      <c r="AJ116" s="69"/>
      <c r="AK116" s="1324" t="str">
        <f t="shared" si="87"/>
        <v/>
      </c>
      <c r="AL116" s="69"/>
      <c r="AM116" s="1324" t="str">
        <f t="shared" si="88"/>
        <v/>
      </c>
      <c r="AN116" s="69"/>
      <c r="AO116" s="1324" t="str">
        <f t="shared" si="89"/>
        <v/>
      </c>
      <c r="AP116" s="69"/>
      <c r="AQ116" s="1324" t="str">
        <f t="shared" si="90"/>
        <v/>
      </c>
      <c r="AR116" s="69"/>
      <c r="AS116" s="1324" t="str">
        <f t="shared" si="91"/>
        <v/>
      </c>
      <c r="AT116" s="69"/>
      <c r="AU116" s="1324" t="str">
        <f t="shared" si="92"/>
        <v/>
      </c>
      <c r="AV116" s="69"/>
      <c r="AW116" s="1324" t="str">
        <f t="shared" si="93"/>
        <v/>
      </c>
      <c r="AX116" s="69"/>
      <c r="AY116" s="1073">
        <f t="shared" si="94"/>
        <v>0</v>
      </c>
      <c r="AZ116" s="1187"/>
      <c r="BA116" s="1187"/>
      <c r="BB116" s="1187"/>
      <c r="BC116" s="677"/>
      <c r="BD116" s="1192"/>
    </row>
    <row r="117" ht="19.5" customHeight="1">
      <c r="A117" s="1109">
        <f t="shared" ref="A117:D117" si="109">A87</f>
        <v>18</v>
      </c>
      <c r="B117" s="1111" t="str">
        <f t="shared" si="109"/>
        <v/>
      </c>
      <c r="C117" s="1200" t="str">
        <f t="shared" si="109"/>
        <v/>
      </c>
      <c r="D117" s="591" t="str">
        <f t="shared" si="109"/>
        <v/>
      </c>
      <c r="E117" s="1324" t="str">
        <f t="shared" si="71"/>
        <v/>
      </c>
      <c r="F117" s="69"/>
      <c r="G117" s="1324" t="str">
        <f t="shared" si="72"/>
        <v/>
      </c>
      <c r="H117" s="69"/>
      <c r="I117" s="1324" t="str">
        <f t="shared" si="73"/>
        <v/>
      </c>
      <c r="J117" s="69"/>
      <c r="K117" s="1324" t="str">
        <f t="shared" si="74"/>
        <v/>
      </c>
      <c r="L117" s="69"/>
      <c r="M117" s="1324" t="str">
        <f t="shared" si="75"/>
        <v/>
      </c>
      <c r="N117" s="69"/>
      <c r="O117" s="1321" t="str">
        <f t="shared" si="76"/>
        <v/>
      </c>
      <c r="P117" s="69"/>
      <c r="Q117" s="1324" t="str">
        <f t="shared" si="77"/>
        <v/>
      </c>
      <c r="R117" s="69"/>
      <c r="S117" s="1324" t="str">
        <f t="shared" si="78"/>
        <v/>
      </c>
      <c r="T117" s="69"/>
      <c r="U117" s="1324" t="str">
        <f t="shared" si="79"/>
        <v/>
      </c>
      <c r="V117" s="69"/>
      <c r="W117" s="1321" t="str">
        <f t="shared" si="80"/>
        <v/>
      </c>
      <c r="X117" s="69"/>
      <c r="Y117" s="1324" t="str">
        <f t="shared" si="81"/>
        <v/>
      </c>
      <c r="Z117" s="69"/>
      <c r="AA117" s="1324" t="str">
        <f t="shared" si="82"/>
        <v/>
      </c>
      <c r="AB117" s="69"/>
      <c r="AC117" s="1324" t="str">
        <f t="shared" si="83"/>
        <v/>
      </c>
      <c r="AD117" s="69"/>
      <c r="AE117" s="1324" t="str">
        <f t="shared" si="84"/>
        <v/>
      </c>
      <c r="AF117" s="69"/>
      <c r="AG117" s="1324" t="str">
        <f t="shared" si="85"/>
        <v/>
      </c>
      <c r="AH117" s="69"/>
      <c r="AI117" s="1324" t="str">
        <f t="shared" si="86"/>
        <v/>
      </c>
      <c r="AJ117" s="69"/>
      <c r="AK117" s="1324" t="str">
        <f t="shared" si="87"/>
        <v/>
      </c>
      <c r="AL117" s="69"/>
      <c r="AM117" s="1324" t="str">
        <f t="shared" si="88"/>
        <v/>
      </c>
      <c r="AN117" s="69"/>
      <c r="AO117" s="1324" t="str">
        <f t="shared" si="89"/>
        <v/>
      </c>
      <c r="AP117" s="69"/>
      <c r="AQ117" s="1324" t="str">
        <f t="shared" si="90"/>
        <v/>
      </c>
      <c r="AR117" s="69"/>
      <c r="AS117" s="1324" t="str">
        <f t="shared" si="91"/>
        <v/>
      </c>
      <c r="AT117" s="69"/>
      <c r="AU117" s="1324" t="str">
        <f t="shared" si="92"/>
        <v/>
      </c>
      <c r="AV117" s="69"/>
      <c r="AW117" s="1324" t="str">
        <f t="shared" si="93"/>
        <v/>
      </c>
      <c r="AX117" s="69"/>
      <c r="AY117" s="1073">
        <f t="shared" si="94"/>
        <v>0</v>
      </c>
      <c r="AZ117" s="1187"/>
      <c r="BA117" s="1187"/>
      <c r="BB117" s="1187"/>
      <c r="BC117" s="677"/>
      <c r="BD117" s="1192"/>
    </row>
    <row r="118" ht="19.5" customHeight="1">
      <c r="A118" s="1109">
        <f t="shared" ref="A118:D118" si="110">A88</f>
        <v>19</v>
      </c>
      <c r="B118" s="1111" t="str">
        <f t="shared" si="110"/>
        <v/>
      </c>
      <c r="C118" s="1200" t="str">
        <f t="shared" si="110"/>
        <v/>
      </c>
      <c r="D118" s="591" t="str">
        <f t="shared" si="110"/>
        <v/>
      </c>
      <c r="E118" s="1324" t="str">
        <f t="shared" si="71"/>
        <v/>
      </c>
      <c r="F118" s="69"/>
      <c r="G118" s="1324" t="str">
        <f t="shared" si="72"/>
        <v/>
      </c>
      <c r="H118" s="69"/>
      <c r="I118" s="1324" t="str">
        <f t="shared" si="73"/>
        <v/>
      </c>
      <c r="J118" s="69"/>
      <c r="K118" s="1324" t="str">
        <f t="shared" si="74"/>
        <v/>
      </c>
      <c r="L118" s="69"/>
      <c r="M118" s="1324" t="str">
        <f t="shared" si="75"/>
        <v/>
      </c>
      <c r="N118" s="69"/>
      <c r="O118" s="1321" t="str">
        <f t="shared" si="76"/>
        <v/>
      </c>
      <c r="P118" s="69"/>
      <c r="Q118" s="1324" t="str">
        <f t="shared" si="77"/>
        <v/>
      </c>
      <c r="R118" s="69"/>
      <c r="S118" s="1324" t="str">
        <f t="shared" si="78"/>
        <v/>
      </c>
      <c r="T118" s="69"/>
      <c r="U118" s="1324" t="str">
        <f t="shared" si="79"/>
        <v/>
      </c>
      <c r="V118" s="69"/>
      <c r="W118" s="1321" t="str">
        <f t="shared" si="80"/>
        <v/>
      </c>
      <c r="X118" s="69"/>
      <c r="Y118" s="1324" t="str">
        <f t="shared" si="81"/>
        <v/>
      </c>
      <c r="Z118" s="69"/>
      <c r="AA118" s="1324" t="str">
        <f t="shared" si="82"/>
        <v/>
      </c>
      <c r="AB118" s="69"/>
      <c r="AC118" s="1324" t="str">
        <f t="shared" si="83"/>
        <v/>
      </c>
      <c r="AD118" s="69"/>
      <c r="AE118" s="1324" t="str">
        <f t="shared" si="84"/>
        <v/>
      </c>
      <c r="AF118" s="69"/>
      <c r="AG118" s="1324" t="str">
        <f t="shared" si="85"/>
        <v/>
      </c>
      <c r="AH118" s="69"/>
      <c r="AI118" s="1324" t="str">
        <f t="shared" si="86"/>
        <v/>
      </c>
      <c r="AJ118" s="69"/>
      <c r="AK118" s="1324" t="str">
        <f t="shared" si="87"/>
        <v/>
      </c>
      <c r="AL118" s="69"/>
      <c r="AM118" s="1324" t="str">
        <f t="shared" si="88"/>
        <v/>
      </c>
      <c r="AN118" s="69"/>
      <c r="AO118" s="1324" t="str">
        <f t="shared" si="89"/>
        <v/>
      </c>
      <c r="AP118" s="69"/>
      <c r="AQ118" s="1324" t="str">
        <f t="shared" si="90"/>
        <v/>
      </c>
      <c r="AR118" s="69"/>
      <c r="AS118" s="1324" t="str">
        <f t="shared" si="91"/>
        <v/>
      </c>
      <c r="AT118" s="69"/>
      <c r="AU118" s="1324" t="str">
        <f t="shared" si="92"/>
        <v/>
      </c>
      <c r="AV118" s="69"/>
      <c r="AW118" s="1324" t="str">
        <f t="shared" si="93"/>
        <v/>
      </c>
      <c r="AX118" s="69"/>
      <c r="AY118" s="1073">
        <f t="shared" si="94"/>
        <v>0</v>
      </c>
      <c r="AZ118" s="1187"/>
      <c r="BA118" s="1187"/>
      <c r="BB118" s="1187"/>
      <c r="BC118" s="677"/>
      <c r="BD118" s="1192"/>
    </row>
    <row r="119" ht="19.5" customHeight="1">
      <c r="A119" s="1109">
        <f t="shared" ref="A119:D119" si="111">A89</f>
        <v>20</v>
      </c>
      <c r="B119" s="1111" t="str">
        <f t="shared" si="111"/>
        <v/>
      </c>
      <c r="C119" s="1200" t="str">
        <f t="shared" si="111"/>
        <v/>
      </c>
      <c r="D119" s="591" t="str">
        <f t="shared" si="111"/>
        <v/>
      </c>
      <c r="E119" s="1324" t="str">
        <f t="shared" si="71"/>
        <v/>
      </c>
      <c r="F119" s="69"/>
      <c r="G119" s="1324" t="str">
        <f t="shared" si="72"/>
        <v/>
      </c>
      <c r="H119" s="69"/>
      <c r="I119" s="1324" t="str">
        <f t="shared" si="73"/>
        <v/>
      </c>
      <c r="J119" s="69"/>
      <c r="K119" s="1324" t="str">
        <f t="shared" si="74"/>
        <v/>
      </c>
      <c r="L119" s="69"/>
      <c r="M119" s="1324" t="str">
        <f t="shared" si="75"/>
        <v/>
      </c>
      <c r="N119" s="69"/>
      <c r="O119" s="1321" t="str">
        <f t="shared" si="76"/>
        <v/>
      </c>
      <c r="P119" s="69"/>
      <c r="Q119" s="1324" t="str">
        <f t="shared" si="77"/>
        <v/>
      </c>
      <c r="R119" s="69"/>
      <c r="S119" s="1324" t="str">
        <f t="shared" si="78"/>
        <v/>
      </c>
      <c r="T119" s="69"/>
      <c r="U119" s="1324" t="str">
        <f t="shared" si="79"/>
        <v/>
      </c>
      <c r="V119" s="69"/>
      <c r="W119" s="1321" t="str">
        <f t="shared" si="80"/>
        <v/>
      </c>
      <c r="X119" s="69"/>
      <c r="Y119" s="1324" t="str">
        <f t="shared" si="81"/>
        <v/>
      </c>
      <c r="Z119" s="69"/>
      <c r="AA119" s="1324" t="str">
        <f t="shared" si="82"/>
        <v/>
      </c>
      <c r="AB119" s="69"/>
      <c r="AC119" s="1324" t="str">
        <f t="shared" si="83"/>
        <v/>
      </c>
      <c r="AD119" s="69"/>
      <c r="AE119" s="1324" t="str">
        <f t="shared" si="84"/>
        <v/>
      </c>
      <c r="AF119" s="69"/>
      <c r="AG119" s="1324" t="str">
        <f t="shared" si="85"/>
        <v/>
      </c>
      <c r="AH119" s="69"/>
      <c r="AI119" s="1324" t="str">
        <f t="shared" si="86"/>
        <v/>
      </c>
      <c r="AJ119" s="69"/>
      <c r="AK119" s="1324" t="str">
        <f t="shared" si="87"/>
        <v/>
      </c>
      <c r="AL119" s="69"/>
      <c r="AM119" s="1324" t="str">
        <f t="shared" si="88"/>
        <v/>
      </c>
      <c r="AN119" s="69"/>
      <c r="AO119" s="1324" t="str">
        <f t="shared" si="89"/>
        <v/>
      </c>
      <c r="AP119" s="69"/>
      <c r="AQ119" s="1324" t="str">
        <f t="shared" si="90"/>
        <v/>
      </c>
      <c r="AR119" s="69"/>
      <c r="AS119" s="1324" t="str">
        <f t="shared" si="91"/>
        <v/>
      </c>
      <c r="AT119" s="69"/>
      <c r="AU119" s="1324" t="str">
        <f t="shared" si="92"/>
        <v/>
      </c>
      <c r="AV119" s="69"/>
      <c r="AW119" s="1324" t="str">
        <f t="shared" si="93"/>
        <v/>
      </c>
      <c r="AX119" s="69"/>
      <c r="AY119" s="1073">
        <f t="shared" si="94"/>
        <v>0</v>
      </c>
      <c r="AZ119" s="1187"/>
      <c r="BA119" s="1187"/>
      <c r="BB119" s="1187"/>
      <c r="BC119" s="1215"/>
      <c r="BD119" s="1216"/>
    </row>
    <row r="120" ht="19.5" customHeight="1">
      <c r="A120" s="1109">
        <f t="shared" ref="A120:D120" si="112">A90</f>
        <v>21</v>
      </c>
      <c r="B120" s="1111" t="str">
        <f t="shared" si="112"/>
        <v/>
      </c>
      <c r="C120" s="1200" t="str">
        <f t="shared" si="112"/>
        <v/>
      </c>
      <c r="D120" s="591" t="str">
        <f t="shared" si="112"/>
        <v/>
      </c>
      <c r="E120" s="1324" t="str">
        <f t="shared" si="71"/>
        <v/>
      </c>
      <c r="F120" s="69"/>
      <c r="G120" s="1324" t="str">
        <f t="shared" si="72"/>
        <v/>
      </c>
      <c r="H120" s="69"/>
      <c r="I120" s="1324" t="str">
        <f t="shared" si="73"/>
        <v/>
      </c>
      <c r="J120" s="69"/>
      <c r="K120" s="1324" t="str">
        <f t="shared" si="74"/>
        <v/>
      </c>
      <c r="L120" s="69"/>
      <c r="M120" s="1324" t="str">
        <f t="shared" si="75"/>
        <v/>
      </c>
      <c r="N120" s="69"/>
      <c r="O120" s="1321" t="str">
        <f t="shared" si="76"/>
        <v/>
      </c>
      <c r="P120" s="69"/>
      <c r="Q120" s="1324" t="str">
        <f t="shared" si="77"/>
        <v/>
      </c>
      <c r="R120" s="69"/>
      <c r="S120" s="1324" t="str">
        <f t="shared" si="78"/>
        <v/>
      </c>
      <c r="T120" s="69"/>
      <c r="U120" s="1324" t="str">
        <f t="shared" si="79"/>
        <v/>
      </c>
      <c r="V120" s="69"/>
      <c r="W120" s="1321" t="str">
        <f t="shared" si="80"/>
        <v/>
      </c>
      <c r="X120" s="69"/>
      <c r="Y120" s="1324" t="str">
        <f t="shared" si="81"/>
        <v/>
      </c>
      <c r="Z120" s="69"/>
      <c r="AA120" s="1324" t="str">
        <f t="shared" si="82"/>
        <v/>
      </c>
      <c r="AB120" s="69"/>
      <c r="AC120" s="1324" t="str">
        <f t="shared" si="83"/>
        <v/>
      </c>
      <c r="AD120" s="69"/>
      <c r="AE120" s="1324" t="str">
        <f t="shared" si="84"/>
        <v/>
      </c>
      <c r="AF120" s="69"/>
      <c r="AG120" s="1324" t="str">
        <f t="shared" si="85"/>
        <v/>
      </c>
      <c r="AH120" s="69"/>
      <c r="AI120" s="1324" t="str">
        <f t="shared" si="86"/>
        <v/>
      </c>
      <c r="AJ120" s="69"/>
      <c r="AK120" s="1324" t="str">
        <f t="shared" si="87"/>
        <v/>
      </c>
      <c r="AL120" s="69"/>
      <c r="AM120" s="1324" t="str">
        <f t="shared" si="88"/>
        <v/>
      </c>
      <c r="AN120" s="69"/>
      <c r="AO120" s="1324" t="str">
        <f t="shared" si="89"/>
        <v/>
      </c>
      <c r="AP120" s="69"/>
      <c r="AQ120" s="1324" t="str">
        <f t="shared" si="90"/>
        <v/>
      </c>
      <c r="AR120" s="69"/>
      <c r="AS120" s="1324" t="str">
        <f t="shared" si="91"/>
        <v/>
      </c>
      <c r="AT120" s="69"/>
      <c r="AU120" s="1324" t="str">
        <f t="shared" si="92"/>
        <v/>
      </c>
      <c r="AV120" s="69"/>
      <c r="AW120" s="1324" t="str">
        <f t="shared" si="93"/>
        <v/>
      </c>
      <c r="AX120" s="69"/>
      <c r="AY120" s="1073">
        <f t="shared" si="94"/>
        <v>0</v>
      </c>
      <c r="AZ120" s="1373"/>
      <c r="BA120" s="1373"/>
      <c r="BB120" s="1373"/>
    </row>
    <row r="121" ht="19.5" customHeight="1">
      <c r="A121" s="1109">
        <f t="shared" ref="A121:D121" si="113">A91</f>
        <v>22</v>
      </c>
      <c r="B121" s="1111" t="str">
        <f t="shared" si="113"/>
        <v/>
      </c>
      <c r="C121" s="1200" t="str">
        <f t="shared" si="113"/>
        <v/>
      </c>
      <c r="D121" s="591" t="str">
        <f t="shared" si="113"/>
        <v/>
      </c>
      <c r="E121" s="1324" t="str">
        <f t="shared" si="71"/>
        <v/>
      </c>
      <c r="F121" s="69"/>
      <c r="G121" s="1324" t="str">
        <f t="shared" si="72"/>
        <v/>
      </c>
      <c r="H121" s="69"/>
      <c r="I121" s="1324" t="str">
        <f t="shared" si="73"/>
        <v/>
      </c>
      <c r="J121" s="69"/>
      <c r="K121" s="1324" t="str">
        <f t="shared" si="74"/>
        <v/>
      </c>
      <c r="L121" s="69"/>
      <c r="M121" s="1324" t="str">
        <f t="shared" si="75"/>
        <v/>
      </c>
      <c r="N121" s="69"/>
      <c r="O121" s="1321" t="str">
        <f t="shared" si="76"/>
        <v/>
      </c>
      <c r="P121" s="69"/>
      <c r="Q121" s="1324" t="str">
        <f t="shared" si="77"/>
        <v/>
      </c>
      <c r="R121" s="69"/>
      <c r="S121" s="1324" t="str">
        <f t="shared" si="78"/>
        <v/>
      </c>
      <c r="T121" s="69"/>
      <c r="U121" s="1324" t="str">
        <f t="shared" si="79"/>
        <v/>
      </c>
      <c r="V121" s="69"/>
      <c r="W121" s="1321" t="str">
        <f t="shared" si="80"/>
        <v/>
      </c>
      <c r="X121" s="69"/>
      <c r="Y121" s="1324" t="str">
        <f t="shared" si="81"/>
        <v/>
      </c>
      <c r="Z121" s="69"/>
      <c r="AA121" s="1324" t="str">
        <f t="shared" si="82"/>
        <v/>
      </c>
      <c r="AB121" s="69"/>
      <c r="AC121" s="1324" t="str">
        <f t="shared" si="83"/>
        <v/>
      </c>
      <c r="AD121" s="69"/>
      <c r="AE121" s="1324" t="str">
        <f t="shared" si="84"/>
        <v/>
      </c>
      <c r="AF121" s="69"/>
      <c r="AG121" s="1324" t="str">
        <f t="shared" si="85"/>
        <v/>
      </c>
      <c r="AH121" s="69"/>
      <c r="AI121" s="1324" t="str">
        <f t="shared" si="86"/>
        <v/>
      </c>
      <c r="AJ121" s="69"/>
      <c r="AK121" s="1324" t="str">
        <f t="shared" si="87"/>
        <v/>
      </c>
      <c r="AL121" s="69"/>
      <c r="AM121" s="1324" t="str">
        <f t="shared" si="88"/>
        <v/>
      </c>
      <c r="AN121" s="69"/>
      <c r="AO121" s="1324" t="str">
        <f t="shared" si="89"/>
        <v/>
      </c>
      <c r="AP121" s="69"/>
      <c r="AQ121" s="1324" t="str">
        <f t="shared" si="90"/>
        <v/>
      </c>
      <c r="AR121" s="69"/>
      <c r="AS121" s="1324" t="str">
        <f t="shared" si="91"/>
        <v/>
      </c>
      <c r="AT121" s="69"/>
      <c r="AU121" s="1324" t="str">
        <f t="shared" si="92"/>
        <v/>
      </c>
      <c r="AV121" s="69"/>
      <c r="AW121" s="1324" t="str">
        <f t="shared" si="93"/>
        <v/>
      </c>
      <c r="AX121" s="69"/>
      <c r="AY121" s="1073">
        <f t="shared" si="94"/>
        <v>0</v>
      </c>
      <c r="AZ121" s="1373"/>
      <c r="BA121" s="1373"/>
      <c r="BB121" s="1373"/>
    </row>
    <row r="122" ht="19.5" customHeight="1">
      <c r="A122" s="1109">
        <f t="shared" ref="A122:D122" si="114">A92</f>
        <v>23</v>
      </c>
      <c r="B122" s="1111" t="str">
        <f t="shared" si="114"/>
        <v/>
      </c>
      <c r="C122" s="1200" t="str">
        <f t="shared" si="114"/>
        <v/>
      </c>
      <c r="D122" s="591" t="str">
        <f t="shared" si="114"/>
        <v/>
      </c>
      <c r="E122" s="1324" t="str">
        <f t="shared" si="71"/>
        <v/>
      </c>
      <c r="F122" s="69"/>
      <c r="G122" s="1324" t="str">
        <f t="shared" si="72"/>
        <v/>
      </c>
      <c r="H122" s="69"/>
      <c r="I122" s="1324" t="str">
        <f t="shared" si="73"/>
        <v/>
      </c>
      <c r="J122" s="69"/>
      <c r="K122" s="1324" t="str">
        <f t="shared" si="74"/>
        <v/>
      </c>
      <c r="L122" s="69"/>
      <c r="M122" s="1324" t="str">
        <f t="shared" si="75"/>
        <v/>
      </c>
      <c r="N122" s="69"/>
      <c r="O122" s="1321" t="str">
        <f t="shared" si="76"/>
        <v/>
      </c>
      <c r="P122" s="69"/>
      <c r="Q122" s="1324" t="str">
        <f t="shared" si="77"/>
        <v/>
      </c>
      <c r="R122" s="69"/>
      <c r="S122" s="1324" t="str">
        <f t="shared" si="78"/>
        <v/>
      </c>
      <c r="T122" s="69"/>
      <c r="U122" s="1324" t="str">
        <f t="shared" si="79"/>
        <v/>
      </c>
      <c r="V122" s="69"/>
      <c r="W122" s="1321" t="str">
        <f t="shared" si="80"/>
        <v/>
      </c>
      <c r="X122" s="69"/>
      <c r="Y122" s="1324" t="str">
        <f t="shared" si="81"/>
        <v/>
      </c>
      <c r="Z122" s="69"/>
      <c r="AA122" s="1324" t="str">
        <f t="shared" si="82"/>
        <v/>
      </c>
      <c r="AB122" s="69"/>
      <c r="AC122" s="1324" t="str">
        <f t="shared" si="83"/>
        <v/>
      </c>
      <c r="AD122" s="69"/>
      <c r="AE122" s="1324" t="str">
        <f t="shared" si="84"/>
        <v/>
      </c>
      <c r="AF122" s="69"/>
      <c r="AG122" s="1324" t="str">
        <f t="shared" si="85"/>
        <v/>
      </c>
      <c r="AH122" s="69"/>
      <c r="AI122" s="1324" t="str">
        <f t="shared" si="86"/>
        <v/>
      </c>
      <c r="AJ122" s="69"/>
      <c r="AK122" s="1324" t="str">
        <f t="shared" si="87"/>
        <v/>
      </c>
      <c r="AL122" s="69"/>
      <c r="AM122" s="1324" t="str">
        <f t="shared" si="88"/>
        <v/>
      </c>
      <c r="AN122" s="69"/>
      <c r="AO122" s="1324" t="str">
        <f t="shared" si="89"/>
        <v/>
      </c>
      <c r="AP122" s="69"/>
      <c r="AQ122" s="1324" t="str">
        <f t="shared" si="90"/>
        <v/>
      </c>
      <c r="AR122" s="69"/>
      <c r="AS122" s="1324" t="str">
        <f t="shared" si="91"/>
        <v/>
      </c>
      <c r="AT122" s="69"/>
      <c r="AU122" s="1324" t="str">
        <f t="shared" si="92"/>
        <v/>
      </c>
      <c r="AV122" s="69"/>
      <c r="AW122" s="1324" t="str">
        <f t="shared" si="93"/>
        <v/>
      </c>
      <c r="AX122" s="69"/>
      <c r="AY122" s="1073">
        <f t="shared" si="94"/>
        <v>0</v>
      </c>
      <c r="AZ122" s="1373"/>
      <c r="BA122" s="1373"/>
      <c r="BB122" s="1373"/>
    </row>
    <row r="123" ht="19.5" customHeight="1">
      <c r="A123" s="1109">
        <f t="shared" ref="A123:D123" si="115">A93</f>
        <v>24</v>
      </c>
      <c r="B123" s="1111" t="str">
        <f t="shared" si="115"/>
        <v/>
      </c>
      <c r="C123" s="1200" t="str">
        <f t="shared" si="115"/>
        <v/>
      </c>
      <c r="D123" s="591" t="str">
        <f t="shared" si="115"/>
        <v/>
      </c>
      <c r="E123" s="1324" t="str">
        <f t="shared" si="71"/>
        <v/>
      </c>
      <c r="F123" s="69"/>
      <c r="G123" s="1324" t="str">
        <f t="shared" si="72"/>
        <v/>
      </c>
      <c r="H123" s="69"/>
      <c r="I123" s="1324" t="str">
        <f t="shared" si="73"/>
        <v/>
      </c>
      <c r="J123" s="69"/>
      <c r="K123" s="1324" t="str">
        <f t="shared" si="74"/>
        <v/>
      </c>
      <c r="L123" s="69"/>
      <c r="M123" s="1324" t="str">
        <f t="shared" si="75"/>
        <v/>
      </c>
      <c r="N123" s="69"/>
      <c r="O123" s="1321" t="str">
        <f t="shared" si="76"/>
        <v/>
      </c>
      <c r="P123" s="69"/>
      <c r="Q123" s="1324" t="str">
        <f t="shared" si="77"/>
        <v/>
      </c>
      <c r="R123" s="69"/>
      <c r="S123" s="1324" t="str">
        <f t="shared" si="78"/>
        <v/>
      </c>
      <c r="T123" s="69"/>
      <c r="U123" s="1324" t="str">
        <f t="shared" si="79"/>
        <v/>
      </c>
      <c r="V123" s="69"/>
      <c r="W123" s="1321" t="str">
        <f t="shared" si="80"/>
        <v/>
      </c>
      <c r="X123" s="69"/>
      <c r="Y123" s="1324" t="str">
        <f t="shared" si="81"/>
        <v/>
      </c>
      <c r="Z123" s="69"/>
      <c r="AA123" s="1324" t="str">
        <f t="shared" si="82"/>
        <v/>
      </c>
      <c r="AB123" s="69"/>
      <c r="AC123" s="1324" t="str">
        <f t="shared" si="83"/>
        <v/>
      </c>
      <c r="AD123" s="69"/>
      <c r="AE123" s="1324" t="str">
        <f t="shared" si="84"/>
        <v/>
      </c>
      <c r="AF123" s="69"/>
      <c r="AG123" s="1324" t="str">
        <f t="shared" si="85"/>
        <v/>
      </c>
      <c r="AH123" s="69"/>
      <c r="AI123" s="1324" t="str">
        <f t="shared" si="86"/>
        <v/>
      </c>
      <c r="AJ123" s="69"/>
      <c r="AK123" s="1324" t="str">
        <f t="shared" si="87"/>
        <v/>
      </c>
      <c r="AL123" s="69"/>
      <c r="AM123" s="1324" t="str">
        <f t="shared" si="88"/>
        <v/>
      </c>
      <c r="AN123" s="69"/>
      <c r="AO123" s="1324" t="str">
        <f t="shared" si="89"/>
        <v/>
      </c>
      <c r="AP123" s="69"/>
      <c r="AQ123" s="1324" t="str">
        <f t="shared" si="90"/>
        <v/>
      </c>
      <c r="AR123" s="69"/>
      <c r="AS123" s="1324" t="str">
        <f t="shared" si="91"/>
        <v/>
      </c>
      <c r="AT123" s="69"/>
      <c r="AU123" s="1324" t="str">
        <f t="shared" si="92"/>
        <v/>
      </c>
      <c r="AV123" s="69"/>
      <c r="AW123" s="1324" t="str">
        <f t="shared" si="93"/>
        <v/>
      </c>
      <c r="AX123" s="69"/>
      <c r="AY123" s="1073">
        <f t="shared" si="94"/>
        <v>0</v>
      </c>
    </row>
    <row r="124" ht="19.5" customHeight="1">
      <c r="A124" s="1109">
        <f t="shared" ref="A124:D124" si="116">A94</f>
        <v>25</v>
      </c>
      <c r="B124" s="1111" t="str">
        <f t="shared" si="116"/>
        <v/>
      </c>
      <c r="C124" s="1200" t="str">
        <f t="shared" si="116"/>
        <v/>
      </c>
      <c r="D124" s="591" t="str">
        <f t="shared" si="116"/>
        <v/>
      </c>
      <c r="E124" s="1324" t="str">
        <f t="shared" si="71"/>
        <v/>
      </c>
      <c r="F124" s="69"/>
      <c r="G124" s="1324" t="str">
        <f t="shared" si="72"/>
        <v/>
      </c>
      <c r="H124" s="69"/>
      <c r="I124" s="1324" t="str">
        <f t="shared" si="73"/>
        <v/>
      </c>
      <c r="J124" s="69"/>
      <c r="K124" s="1324" t="str">
        <f t="shared" si="74"/>
        <v/>
      </c>
      <c r="L124" s="69"/>
      <c r="M124" s="1324" t="str">
        <f t="shared" si="75"/>
        <v/>
      </c>
      <c r="N124" s="69"/>
      <c r="O124" s="1321" t="str">
        <f t="shared" si="76"/>
        <v/>
      </c>
      <c r="P124" s="69"/>
      <c r="Q124" s="1324" t="str">
        <f t="shared" si="77"/>
        <v/>
      </c>
      <c r="R124" s="69"/>
      <c r="S124" s="1324" t="str">
        <f t="shared" si="78"/>
        <v/>
      </c>
      <c r="T124" s="69"/>
      <c r="U124" s="1324" t="str">
        <f t="shared" si="79"/>
        <v/>
      </c>
      <c r="V124" s="69"/>
      <c r="W124" s="1321" t="str">
        <f t="shared" si="80"/>
        <v/>
      </c>
      <c r="X124" s="69"/>
      <c r="Y124" s="1324" t="str">
        <f t="shared" si="81"/>
        <v/>
      </c>
      <c r="Z124" s="69"/>
      <c r="AA124" s="1324" t="str">
        <f t="shared" si="82"/>
        <v/>
      </c>
      <c r="AB124" s="69"/>
      <c r="AC124" s="1324" t="str">
        <f t="shared" si="83"/>
        <v/>
      </c>
      <c r="AD124" s="69"/>
      <c r="AE124" s="1324" t="str">
        <f t="shared" si="84"/>
        <v/>
      </c>
      <c r="AF124" s="69"/>
      <c r="AG124" s="1324" t="str">
        <f t="shared" si="85"/>
        <v/>
      </c>
      <c r="AH124" s="69"/>
      <c r="AI124" s="1324" t="str">
        <f t="shared" si="86"/>
        <v/>
      </c>
      <c r="AJ124" s="69"/>
      <c r="AK124" s="1324" t="str">
        <f t="shared" si="87"/>
        <v/>
      </c>
      <c r="AL124" s="69"/>
      <c r="AM124" s="1324" t="str">
        <f t="shared" si="88"/>
        <v/>
      </c>
      <c r="AN124" s="69"/>
      <c r="AO124" s="1324" t="str">
        <f t="shared" si="89"/>
        <v/>
      </c>
      <c r="AP124" s="69"/>
      <c r="AQ124" s="1324" t="str">
        <f t="shared" si="90"/>
        <v/>
      </c>
      <c r="AR124" s="69"/>
      <c r="AS124" s="1324" t="str">
        <f t="shared" si="91"/>
        <v/>
      </c>
      <c r="AT124" s="69"/>
      <c r="AU124" s="1324" t="str">
        <f t="shared" si="92"/>
        <v/>
      </c>
      <c r="AV124" s="69"/>
      <c r="AW124" s="1324" t="str">
        <f t="shared" si="93"/>
        <v/>
      </c>
      <c r="AX124" s="69"/>
      <c r="AY124" s="1073">
        <f t="shared" si="94"/>
        <v>0</v>
      </c>
    </row>
    <row r="125" ht="19.5" customHeight="1">
      <c r="A125" s="1109">
        <f t="shared" ref="A125:D125" si="117">A95</f>
        <v>26</v>
      </c>
      <c r="B125" s="1111" t="str">
        <f t="shared" si="117"/>
        <v/>
      </c>
      <c r="C125" s="1200" t="str">
        <f t="shared" si="117"/>
        <v/>
      </c>
      <c r="D125" s="591" t="str">
        <f t="shared" si="117"/>
        <v/>
      </c>
      <c r="E125" s="1324" t="str">
        <f t="shared" si="71"/>
        <v/>
      </c>
      <c r="F125" s="69"/>
      <c r="G125" s="1324" t="str">
        <f t="shared" si="72"/>
        <v/>
      </c>
      <c r="H125" s="69"/>
      <c r="I125" s="1324" t="str">
        <f t="shared" si="73"/>
        <v/>
      </c>
      <c r="J125" s="69"/>
      <c r="K125" s="1324" t="str">
        <f t="shared" si="74"/>
        <v/>
      </c>
      <c r="L125" s="69"/>
      <c r="M125" s="1324" t="str">
        <f t="shared" si="75"/>
        <v/>
      </c>
      <c r="N125" s="69"/>
      <c r="O125" s="1321" t="str">
        <f t="shared" si="76"/>
        <v/>
      </c>
      <c r="P125" s="69"/>
      <c r="Q125" s="1324" t="str">
        <f t="shared" si="77"/>
        <v/>
      </c>
      <c r="R125" s="69"/>
      <c r="S125" s="1324" t="str">
        <f t="shared" si="78"/>
        <v/>
      </c>
      <c r="T125" s="69"/>
      <c r="U125" s="1324" t="str">
        <f t="shared" si="79"/>
        <v/>
      </c>
      <c r="V125" s="69"/>
      <c r="W125" s="1321" t="str">
        <f t="shared" si="80"/>
        <v/>
      </c>
      <c r="X125" s="69"/>
      <c r="Y125" s="1324" t="str">
        <f t="shared" si="81"/>
        <v/>
      </c>
      <c r="Z125" s="69"/>
      <c r="AA125" s="1324" t="str">
        <f t="shared" si="82"/>
        <v/>
      </c>
      <c r="AB125" s="69"/>
      <c r="AC125" s="1324" t="str">
        <f t="shared" si="83"/>
        <v/>
      </c>
      <c r="AD125" s="69"/>
      <c r="AE125" s="1324" t="str">
        <f t="shared" si="84"/>
        <v/>
      </c>
      <c r="AF125" s="69"/>
      <c r="AG125" s="1324" t="str">
        <f t="shared" si="85"/>
        <v/>
      </c>
      <c r="AH125" s="69"/>
      <c r="AI125" s="1324" t="str">
        <f t="shared" si="86"/>
        <v/>
      </c>
      <c r="AJ125" s="69"/>
      <c r="AK125" s="1324" t="str">
        <f t="shared" si="87"/>
        <v/>
      </c>
      <c r="AL125" s="69"/>
      <c r="AM125" s="1324" t="str">
        <f t="shared" si="88"/>
        <v/>
      </c>
      <c r="AN125" s="69"/>
      <c r="AO125" s="1324" t="str">
        <f t="shared" si="89"/>
        <v/>
      </c>
      <c r="AP125" s="69"/>
      <c r="AQ125" s="1324" t="str">
        <f t="shared" si="90"/>
        <v/>
      </c>
      <c r="AR125" s="69"/>
      <c r="AS125" s="1324" t="str">
        <f t="shared" si="91"/>
        <v/>
      </c>
      <c r="AT125" s="69"/>
      <c r="AU125" s="1324" t="str">
        <f t="shared" si="92"/>
        <v/>
      </c>
      <c r="AV125" s="69"/>
      <c r="AW125" s="1324" t="str">
        <f t="shared" si="93"/>
        <v/>
      </c>
      <c r="AX125" s="69"/>
      <c r="AY125" s="1073">
        <f t="shared" si="94"/>
        <v>0</v>
      </c>
    </row>
    <row r="126" ht="15.75" customHeight="1">
      <c r="A126" s="1004"/>
      <c r="B126" s="1004"/>
      <c r="C126" s="1005"/>
      <c r="D126" s="977"/>
      <c r="E126" s="13"/>
      <c r="F126" s="677"/>
      <c r="G126" s="13"/>
      <c r="H126" s="677"/>
      <c r="I126" s="13"/>
      <c r="J126" s="677"/>
      <c r="K126" s="13"/>
      <c r="L126" s="677"/>
      <c r="M126" s="13"/>
      <c r="N126" s="13"/>
      <c r="O126" s="13"/>
      <c r="P126" s="677"/>
      <c r="U126" s="1189"/>
      <c r="W126" s="1189"/>
      <c r="Y126" s="1190"/>
      <c r="AA126" s="1190"/>
      <c r="AG126" s="701"/>
      <c r="AI126" s="701"/>
      <c r="AW126" s="1269" t="s">
        <v>1365</v>
      </c>
      <c r="AY126" s="1374">
        <f>SUM(AY101:AY125)</f>
        <v>826</v>
      </c>
    </row>
    <row r="127" ht="15.75" customHeight="1">
      <c r="A127" s="1004"/>
      <c r="B127" s="1004"/>
      <c r="C127" s="1005"/>
      <c r="D127" s="977"/>
      <c r="E127" s="1007"/>
      <c r="F127" s="677"/>
      <c r="G127" s="1007"/>
      <c r="H127" s="677"/>
      <c r="I127" s="1007"/>
      <c r="J127" s="677"/>
      <c r="K127" s="1007"/>
      <c r="L127" s="677"/>
      <c r="M127" s="1007"/>
      <c r="N127" s="13"/>
      <c r="O127" s="1007"/>
      <c r="P127" s="677"/>
      <c r="U127" s="1012"/>
      <c r="W127" s="1012"/>
      <c r="Y127" s="63"/>
      <c r="AA127" s="63"/>
      <c r="AG127" s="1014"/>
      <c r="AI127" s="1014"/>
      <c r="AY127" s="977"/>
    </row>
    <row r="128" ht="15.75" customHeight="1">
      <c r="A128" s="1018" t="s">
        <v>1279</v>
      </c>
      <c r="B128" s="1019"/>
      <c r="C128" s="1222">
        <v>46030.0</v>
      </c>
      <c r="D128" s="1022" t="s">
        <v>1860</v>
      </c>
      <c r="E128" s="1375"/>
      <c r="F128" s="1376"/>
      <c r="G128" s="1377"/>
      <c r="H128" s="1230"/>
      <c r="I128" s="1231"/>
      <c r="J128" s="1230"/>
      <c r="K128" s="1231"/>
      <c r="L128" s="1230"/>
      <c r="M128" s="1231"/>
      <c r="N128" s="1231"/>
      <c r="O128" s="1231"/>
      <c r="P128" s="1233"/>
      <c r="AZ128" s="1235"/>
      <c r="BA128" s="1235"/>
      <c r="BB128" s="1235"/>
      <c r="BC128" s="1230"/>
      <c r="BD128" s="1237"/>
    </row>
    <row r="129" ht="15.75" customHeight="1">
      <c r="A129" s="1378" t="s">
        <v>10</v>
      </c>
      <c r="B129" s="1171" t="s">
        <v>1283</v>
      </c>
      <c r="C129" s="1200" t="s">
        <v>1284</v>
      </c>
      <c r="D129" s="1053" t="s">
        <v>471</v>
      </c>
      <c r="E129" s="1054" t="s">
        <v>1285</v>
      </c>
      <c r="F129" s="1055" t="s">
        <v>1286</v>
      </c>
      <c r="G129" s="1056" t="s">
        <v>1287</v>
      </c>
      <c r="H129" s="1057" t="s">
        <v>1288</v>
      </c>
      <c r="I129" s="1059" t="s">
        <v>1289</v>
      </c>
      <c r="J129" s="1060" t="s">
        <v>1290</v>
      </c>
      <c r="K129" s="1054" t="s">
        <v>1291</v>
      </c>
      <c r="L129" s="1055" t="s">
        <v>1292</v>
      </c>
      <c r="M129" s="1054" t="s">
        <v>1293</v>
      </c>
      <c r="N129" s="1054" t="s">
        <v>1294</v>
      </c>
      <c r="O129" s="1054" t="s">
        <v>1295</v>
      </c>
      <c r="P129" s="1054" t="s">
        <v>1296</v>
      </c>
      <c r="Q129" s="1062" t="s">
        <v>1297</v>
      </c>
      <c r="R129" s="1062" t="s">
        <v>1298</v>
      </c>
      <c r="S129" s="1063" t="s">
        <v>1299</v>
      </c>
      <c r="T129" s="1063" t="s">
        <v>1300</v>
      </c>
      <c r="U129" s="1062" t="s">
        <v>1301</v>
      </c>
      <c r="V129" s="1062" t="s">
        <v>1302</v>
      </c>
      <c r="W129" s="1063" t="s">
        <v>1303</v>
      </c>
      <c r="X129" s="1063" t="s">
        <v>1304</v>
      </c>
      <c r="Y129" s="1063" t="s">
        <v>1305</v>
      </c>
      <c r="Z129" s="1063" t="s">
        <v>1306</v>
      </c>
      <c r="AA129" s="1062" t="s">
        <v>1307</v>
      </c>
      <c r="AB129" s="1062" t="s">
        <v>1308</v>
      </c>
      <c r="AC129" s="1065" t="s">
        <v>1309</v>
      </c>
      <c r="AD129" s="1065" t="s">
        <v>1310</v>
      </c>
      <c r="AE129" s="1067" t="s">
        <v>1311</v>
      </c>
      <c r="AF129" s="1067" t="s">
        <v>1312</v>
      </c>
      <c r="AG129" s="1065" t="s">
        <v>1313</v>
      </c>
      <c r="AH129" s="1065" t="s">
        <v>1314</v>
      </c>
      <c r="AI129" s="1065" t="s">
        <v>1315</v>
      </c>
      <c r="AJ129" s="1065" t="s">
        <v>1316</v>
      </c>
      <c r="AK129" s="1068" t="s">
        <v>1317</v>
      </c>
      <c r="AL129" s="1068" t="s">
        <v>1318</v>
      </c>
      <c r="AM129" s="1065" t="s">
        <v>1319</v>
      </c>
      <c r="AN129" s="1065" t="s">
        <v>1320</v>
      </c>
      <c r="AO129" s="1065" t="s">
        <v>1321</v>
      </c>
      <c r="AP129" s="1065" t="s">
        <v>1322</v>
      </c>
      <c r="AQ129" s="1068" t="s">
        <v>1323</v>
      </c>
      <c r="AR129" s="1068" t="s">
        <v>1324</v>
      </c>
      <c r="AS129" s="1065" t="s">
        <v>1325</v>
      </c>
      <c r="AT129" s="1065" t="s">
        <v>1326</v>
      </c>
      <c r="AU129" s="1068" t="s">
        <v>1327</v>
      </c>
      <c r="AV129" s="1068" t="s">
        <v>1328</v>
      </c>
      <c r="AW129" s="1069" t="s">
        <v>1329</v>
      </c>
      <c r="AX129" s="1070" t="s">
        <v>1330</v>
      </c>
      <c r="AY129" s="1072" t="s">
        <v>1331</v>
      </c>
      <c r="AZ129" s="1073" t="s">
        <v>1332</v>
      </c>
      <c r="BA129" s="1073"/>
      <c r="BB129" s="1073"/>
      <c r="BC129" s="1073" t="s">
        <v>1334</v>
      </c>
      <c r="BD129" s="1076" t="s">
        <v>1335</v>
      </c>
    </row>
    <row r="130" ht="15.75" customHeight="1">
      <c r="A130" s="1379"/>
      <c r="B130" s="1111"/>
      <c r="C130" s="1136"/>
      <c r="D130" s="1250" t="s">
        <v>1336</v>
      </c>
      <c r="E130" s="1081" t="s">
        <v>1337</v>
      </c>
      <c r="F130" s="69"/>
      <c r="G130" s="1083"/>
      <c r="H130" s="69"/>
      <c r="I130" s="1083"/>
      <c r="J130" s="69"/>
      <c r="K130" s="1083">
        <v>40.0</v>
      </c>
      <c r="L130" s="69"/>
      <c r="M130" s="1083"/>
      <c r="N130" s="69"/>
      <c r="O130" s="1083"/>
      <c r="P130" s="69"/>
      <c r="Q130" s="1083"/>
      <c r="R130" s="69"/>
      <c r="S130" s="1081" t="s">
        <v>1338</v>
      </c>
      <c r="T130" s="69"/>
      <c r="U130" s="1083"/>
      <c r="V130" s="69"/>
      <c r="W130" s="1081" t="s">
        <v>1337</v>
      </c>
      <c r="X130" s="69"/>
      <c r="Y130" s="1083"/>
      <c r="Z130" s="69"/>
      <c r="AA130" s="1083"/>
      <c r="AB130" s="69"/>
      <c r="AC130" s="1083"/>
      <c r="AD130" s="69"/>
      <c r="AE130" s="1083" t="s">
        <v>1339</v>
      </c>
      <c r="AF130" s="68"/>
      <c r="AG130" s="1083"/>
      <c r="AH130" s="69"/>
      <c r="AI130" s="1083"/>
      <c r="AJ130" s="69"/>
      <c r="AK130" s="1083" t="s">
        <v>1340</v>
      </c>
      <c r="AL130" s="69"/>
      <c r="AM130" s="1083"/>
      <c r="AN130" s="69"/>
      <c r="AO130" s="1083"/>
      <c r="AP130" s="69"/>
      <c r="AQ130" s="1081" t="s">
        <v>1337</v>
      </c>
      <c r="AR130" s="69"/>
      <c r="AS130" s="1083">
        <v>20.0</v>
      </c>
      <c r="AT130" s="69"/>
      <c r="AU130" s="1081" t="s">
        <v>1337</v>
      </c>
      <c r="AV130" s="69"/>
      <c r="AW130" s="1091">
        <v>45780.0</v>
      </c>
      <c r="AX130" s="69"/>
      <c r="AY130" s="1093"/>
      <c r="AZ130" s="1385"/>
      <c r="BA130" s="1385"/>
      <c r="BB130" s="1385"/>
      <c r="BC130" s="591"/>
      <c r="BD130" s="1099"/>
    </row>
    <row r="131" ht="15.75" customHeight="1">
      <c r="A131" s="1379"/>
      <c r="B131" s="1111"/>
      <c r="C131" s="1136"/>
      <c r="D131" s="1250" t="s">
        <v>1341</v>
      </c>
      <c r="E131" s="1100"/>
      <c r="F131" s="69"/>
      <c r="G131" s="1100" t="s">
        <v>1912</v>
      </c>
      <c r="H131" s="69"/>
      <c r="I131" s="1100"/>
      <c r="J131" s="69"/>
      <c r="K131" s="1100"/>
      <c r="L131" s="69"/>
      <c r="M131" s="1100"/>
      <c r="N131" s="69"/>
      <c r="O131" s="1100"/>
      <c r="P131" s="69"/>
      <c r="Q131" s="1100"/>
      <c r="R131" s="69"/>
      <c r="S131" s="1100"/>
      <c r="T131" s="69"/>
      <c r="U131" s="1100"/>
      <c r="V131" s="69"/>
      <c r="W131" s="1100"/>
      <c r="X131" s="69"/>
      <c r="Y131" s="1386" t="s">
        <v>1922</v>
      </c>
      <c r="Z131" s="69"/>
      <c r="AA131" s="1100"/>
      <c r="AB131" s="69"/>
      <c r="AC131" s="1100"/>
      <c r="AD131" s="69"/>
      <c r="AE131" s="1100"/>
      <c r="AF131" s="69"/>
      <c r="AG131" s="1100"/>
      <c r="AH131" s="69"/>
      <c r="AI131" s="1100"/>
      <c r="AJ131" s="69"/>
      <c r="AK131" s="1100"/>
      <c r="AL131" s="69"/>
      <c r="AM131" s="1100"/>
      <c r="AN131" s="69"/>
      <c r="AO131" s="1100"/>
      <c r="AP131" s="69"/>
      <c r="AQ131" s="1100"/>
      <c r="AR131" s="69"/>
      <c r="AS131" s="1108"/>
      <c r="AT131" s="69"/>
      <c r="AU131" s="1100"/>
      <c r="AV131" s="69"/>
      <c r="AW131" s="1100"/>
      <c r="AX131" s="69"/>
      <c r="AY131" s="1093"/>
      <c r="AZ131" s="1385"/>
      <c r="BA131" s="1385"/>
      <c r="BB131" s="1385"/>
      <c r="BC131" s="591"/>
      <c r="BD131" s="1099"/>
    </row>
    <row r="132" ht="15.75" customHeight="1">
      <c r="A132" s="1109">
        <v>1.0</v>
      </c>
      <c r="B132" s="1111">
        <v>3196.0</v>
      </c>
      <c r="C132" s="1136" t="str">
        <f>C71</f>
        <v>Завтрак </v>
      </c>
      <c r="D132" s="784" t="str">
        <f>'Меню НА СЛЕДУЮЩИЙ МЕСЯЦ'!C19</f>
        <v/>
      </c>
      <c r="E132" s="1120">
        <v>20.0</v>
      </c>
      <c r="F132" s="1121"/>
      <c r="G132" s="1120">
        <v>2.0</v>
      </c>
      <c r="H132" s="1121"/>
      <c r="I132" s="1120"/>
      <c r="J132" s="1121"/>
      <c r="K132" s="1120">
        <v>10.0</v>
      </c>
      <c r="L132" s="1121"/>
      <c r="M132" s="1120">
        <v>5.0</v>
      </c>
      <c r="N132" s="1121"/>
      <c r="O132" s="1120">
        <v>9.0</v>
      </c>
      <c r="P132" s="1121"/>
      <c r="Q132" s="1120"/>
      <c r="R132" s="1121"/>
      <c r="S132" s="1120"/>
      <c r="T132" s="1121"/>
      <c r="U132" s="1120"/>
      <c r="V132" s="1121"/>
      <c r="W132" s="1120">
        <v>10.0</v>
      </c>
      <c r="X132" s="1121"/>
      <c r="Y132" s="1120">
        <v>4.0</v>
      </c>
      <c r="Z132" s="1121"/>
      <c r="AA132" s="1120"/>
      <c r="AB132" s="1121"/>
      <c r="AC132" s="1120"/>
      <c r="AD132" s="1121"/>
      <c r="AE132" s="1120">
        <v>5.0</v>
      </c>
      <c r="AF132" s="1121"/>
      <c r="AG132" s="1120"/>
      <c r="AH132" s="1121"/>
      <c r="AI132" s="1120"/>
      <c r="AJ132" s="1121"/>
      <c r="AK132" s="1120"/>
      <c r="AL132" s="1121"/>
      <c r="AM132" s="1120"/>
      <c r="AN132" s="1138"/>
      <c r="AO132" s="1126"/>
      <c r="AP132" s="1121"/>
      <c r="AQ132" s="1126">
        <v>5.0</v>
      </c>
      <c r="AR132" s="1121"/>
      <c r="AS132" s="1126">
        <v>2.0</v>
      </c>
      <c r="AT132" s="1121"/>
      <c r="AU132" s="1126">
        <v>8.0</v>
      </c>
      <c r="AV132" s="1138"/>
      <c r="AW132" s="1137"/>
      <c r="AX132" s="1138"/>
      <c r="AY132" s="1129">
        <f t="shared" ref="AY132:AY159" si="118">(E132+G132+I132+K132+M132+O132+Q132+S132+U132+W132+Y132+AA132+AC132+AE132+AG132+AI132+AK132+AM132+AW132+AO132+AQ132+AS132+AU132)+1</f>
        <v>81</v>
      </c>
      <c r="AZ132" s="1385">
        <f t="shared" ref="AZ132:AZ159" si="119">F132+H132+J132+L132+N132+P132+R132+T132+V132+X132+Z132+AD132+AB132+AF132+AH132+AJ132+AL132+AR132+AX132+AN132+AP132+AT132+AV132</f>
        <v>0</v>
      </c>
      <c r="BA132" s="1385"/>
      <c r="BB132" s="1385"/>
      <c r="BC132" s="591">
        <v>0.1</v>
      </c>
      <c r="BD132" s="1099">
        <f>AY132*BC132</f>
        <v>8.1</v>
      </c>
    </row>
    <row r="133" ht="15.75" customHeight="1">
      <c r="A133" s="1130">
        <v>2.0</v>
      </c>
      <c r="B133" s="1111">
        <v>3523.0</v>
      </c>
      <c r="C133" s="1153" t="s">
        <v>66</v>
      </c>
      <c r="D133" s="784" t="str">
        <f>'Меню НА СЛЕДУЮЩИЙ МЕСЯЦ'!C20</f>
        <v/>
      </c>
      <c r="E133" s="1120">
        <v>20.0</v>
      </c>
      <c r="F133" s="1138"/>
      <c r="G133" s="1120">
        <v>2.0</v>
      </c>
      <c r="H133" s="1138"/>
      <c r="I133" s="1120"/>
      <c r="J133" s="1138"/>
      <c r="K133" s="1120">
        <v>10.0</v>
      </c>
      <c r="L133" s="1138"/>
      <c r="M133" s="1120">
        <v>5.0</v>
      </c>
      <c r="N133" s="1138"/>
      <c r="O133" s="1120">
        <v>9.0</v>
      </c>
      <c r="P133" s="1138"/>
      <c r="Q133" s="1120"/>
      <c r="R133" s="1138"/>
      <c r="S133" s="1120"/>
      <c r="T133" s="1138"/>
      <c r="U133" s="1120"/>
      <c r="V133" s="1138"/>
      <c r="W133" s="1120">
        <v>10.0</v>
      </c>
      <c r="X133" s="1138"/>
      <c r="Y133" s="1120">
        <v>4.0</v>
      </c>
      <c r="Z133" s="1138"/>
      <c r="AA133" s="1120"/>
      <c r="AB133" s="1138"/>
      <c r="AC133" s="1120"/>
      <c r="AD133" s="1138"/>
      <c r="AE133" s="1120">
        <v>5.0</v>
      </c>
      <c r="AF133" s="1138"/>
      <c r="AG133" s="1120"/>
      <c r="AH133" s="1138"/>
      <c r="AI133" s="1120"/>
      <c r="AJ133" s="1138"/>
      <c r="AK133" s="1120"/>
      <c r="AL133" s="1138"/>
      <c r="AM133" s="1120"/>
      <c r="AN133" s="1138"/>
      <c r="AO133" s="1126"/>
      <c r="AP133" s="1138"/>
      <c r="AQ133" s="1126">
        <v>5.0</v>
      </c>
      <c r="AR133" s="1138"/>
      <c r="AS133" s="1126">
        <v>2.0</v>
      </c>
      <c r="AT133" s="1138"/>
      <c r="AU133" s="1126">
        <v>8.0</v>
      </c>
      <c r="AV133" s="1138"/>
      <c r="AW133" s="1120"/>
      <c r="AX133" s="1132"/>
      <c r="AY133" s="1129">
        <f t="shared" si="118"/>
        <v>81</v>
      </c>
      <c r="AZ133" s="1385">
        <f t="shared" si="119"/>
        <v>0</v>
      </c>
      <c r="BA133" s="1385">
        <f t="shared" ref="BA133:BA134" si="120">AY133*AZ133</f>
        <v>0</v>
      </c>
      <c r="BB133" s="1385"/>
      <c r="BC133" s="591"/>
      <c r="BD133" s="1099"/>
    </row>
    <row r="134" ht="15.75" customHeight="1">
      <c r="A134" s="1109">
        <v>3.0</v>
      </c>
      <c r="B134" s="1111"/>
      <c r="C134" s="1153"/>
      <c r="D134" s="784"/>
      <c r="E134" s="1120"/>
      <c r="F134" s="1121"/>
      <c r="G134" s="1120"/>
      <c r="H134" s="1121"/>
      <c r="I134" s="1120"/>
      <c r="J134" s="1121"/>
      <c r="K134" s="1120"/>
      <c r="L134" s="1121"/>
      <c r="M134" s="1120"/>
      <c r="N134" s="1121"/>
      <c r="O134" s="1120"/>
      <c r="P134" s="1121"/>
      <c r="Q134" s="1120"/>
      <c r="R134" s="1121"/>
      <c r="S134" s="1120"/>
      <c r="T134" s="1121"/>
      <c r="U134" s="1120"/>
      <c r="V134" s="1121"/>
      <c r="W134" s="1120"/>
      <c r="X134" s="1121"/>
      <c r="Y134" s="1120"/>
      <c r="Z134" s="1121"/>
      <c r="AA134" s="1120"/>
      <c r="AB134" s="1121"/>
      <c r="AC134" s="1120"/>
      <c r="AD134" s="1127"/>
      <c r="AE134" s="1120"/>
      <c r="AF134" s="1127"/>
      <c r="AG134" s="1120"/>
      <c r="AH134" s="1127"/>
      <c r="AI134" s="1120"/>
      <c r="AJ134" s="1127"/>
      <c r="AK134" s="1120"/>
      <c r="AL134" s="1127"/>
      <c r="AM134" s="1120"/>
      <c r="AN134" s="1138"/>
      <c r="AO134" s="1126"/>
      <c r="AP134" s="1121"/>
      <c r="AQ134" s="1126"/>
      <c r="AR134" s="1121"/>
      <c r="AS134" s="1126"/>
      <c r="AT134" s="1121"/>
      <c r="AU134" s="1126"/>
      <c r="AV134" s="1138"/>
      <c r="AW134" s="1120"/>
      <c r="AX134" s="1138"/>
      <c r="AY134" s="1129">
        <f t="shared" si="118"/>
        <v>1</v>
      </c>
      <c r="AZ134" s="1385">
        <f t="shared" si="119"/>
        <v>0</v>
      </c>
      <c r="BA134" s="1385">
        <f t="shared" si="120"/>
        <v>0</v>
      </c>
      <c r="BB134" s="1385"/>
      <c r="BC134" s="591"/>
      <c r="BD134" s="1099"/>
    </row>
    <row r="135" ht="15.75" customHeight="1">
      <c r="A135" s="1109"/>
      <c r="B135" s="1111"/>
      <c r="C135" s="1153"/>
      <c r="D135" s="778" t="s">
        <v>1988</v>
      </c>
      <c r="E135" s="1120"/>
      <c r="F135" s="1121"/>
      <c r="G135" s="1120"/>
      <c r="H135" s="1121"/>
      <c r="I135" s="1120"/>
      <c r="J135" s="1121"/>
      <c r="K135" s="1120"/>
      <c r="L135" s="1121"/>
      <c r="M135" s="1120"/>
      <c r="N135" s="1121"/>
      <c r="O135" s="1120"/>
      <c r="P135" s="1121"/>
      <c r="Q135" s="1120"/>
      <c r="R135" s="1121"/>
      <c r="S135" s="1120"/>
      <c r="T135" s="1121"/>
      <c r="U135" s="1120"/>
      <c r="V135" s="1121"/>
      <c r="W135" s="1120"/>
      <c r="X135" s="1121"/>
      <c r="Y135" s="1120"/>
      <c r="Z135" s="1121"/>
      <c r="AA135" s="1120"/>
      <c r="AB135" s="1121"/>
      <c r="AC135" s="1120"/>
      <c r="AD135" s="1127"/>
      <c r="AE135" s="1120"/>
      <c r="AF135" s="1127"/>
      <c r="AG135" s="1120"/>
      <c r="AH135" s="1127"/>
      <c r="AI135" s="1120"/>
      <c r="AJ135" s="1127"/>
      <c r="AK135" s="1120"/>
      <c r="AL135" s="1127"/>
      <c r="AM135" s="1120"/>
      <c r="AN135" s="1138"/>
      <c r="AO135" s="1126"/>
      <c r="AP135" s="1121"/>
      <c r="AQ135" s="1126"/>
      <c r="AR135" s="1121"/>
      <c r="AS135" s="1126"/>
      <c r="AT135" s="1121"/>
      <c r="AU135" s="1126"/>
      <c r="AV135" s="1138"/>
      <c r="AW135" s="1120"/>
      <c r="AX135" s="1138"/>
      <c r="AY135" s="1129">
        <f t="shared" si="118"/>
        <v>1</v>
      </c>
      <c r="AZ135" s="1385">
        <f t="shared" si="119"/>
        <v>0</v>
      </c>
      <c r="BA135" s="1385"/>
      <c r="BB135" s="1385"/>
      <c r="BC135" s="591"/>
      <c r="BD135" s="1099"/>
    </row>
    <row r="136" ht="15.75" customHeight="1">
      <c r="A136" s="1109"/>
      <c r="B136" s="1111"/>
      <c r="C136" s="1153"/>
      <c r="D136" s="778" t="s">
        <v>1993</v>
      </c>
      <c r="E136" s="1120"/>
      <c r="F136" s="1121"/>
      <c r="G136" s="1120"/>
      <c r="H136" s="1121"/>
      <c r="I136" s="1120"/>
      <c r="J136" s="1121"/>
      <c r="K136" s="1120"/>
      <c r="L136" s="1121"/>
      <c r="M136" s="1120"/>
      <c r="N136" s="1121"/>
      <c r="O136" s="1120"/>
      <c r="P136" s="1121"/>
      <c r="Q136" s="1120"/>
      <c r="R136" s="1121"/>
      <c r="S136" s="1120"/>
      <c r="T136" s="1121"/>
      <c r="U136" s="1120"/>
      <c r="V136" s="1121"/>
      <c r="W136" s="1120"/>
      <c r="X136" s="1121"/>
      <c r="Y136" s="1120"/>
      <c r="Z136" s="1121"/>
      <c r="AA136" s="1120"/>
      <c r="AB136" s="1121"/>
      <c r="AC136" s="1120"/>
      <c r="AD136" s="1127"/>
      <c r="AE136" s="1120"/>
      <c r="AF136" s="1127"/>
      <c r="AG136" s="1120"/>
      <c r="AH136" s="1127"/>
      <c r="AI136" s="1120"/>
      <c r="AJ136" s="1127"/>
      <c r="AK136" s="1120"/>
      <c r="AL136" s="1127"/>
      <c r="AM136" s="1120"/>
      <c r="AN136" s="1138"/>
      <c r="AO136" s="1126"/>
      <c r="AP136" s="1121"/>
      <c r="AQ136" s="1126"/>
      <c r="AR136" s="1121"/>
      <c r="AS136" s="1126"/>
      <c r="AT136" s="1121"/>
      <c r="AU136" s="1126"/>
      <c r="AV136" s="1138"/>
      <c r="AW136" s="1120"/>
      <c r="AX136" s="1138"/>
      <c r="AY136" s="1129">
        <f t="shared" si="118"/>
        <v>1</v>
      </c>
      <c r="AZ136" s="1385">
        <f t="shared" si="119"/>
        <v>0</v>
      </c>
      <c r="BA136" s="1385"/>
      <c r="BB136" s="1385"/>
      <c r="BC136" s="591"/>
      <c r="BD136" s="1099"/>
    </row>
    <row r="137" ht="15.75" customHeight="1">
      <c r="A137" s="1109">
        <v>4.0</v>
      </c>
      <c r="B137" s="1111">
        <v>3433.0</v>
      </c>
      <c r="C137" s="1136" t="str">
        <f t="shared" ref="C137:C139" si="121">C74</f>
        <v>Салат</v>
      </c>
      <c r="D137" s="1118" t="str">
        <f>'Меню НА СЛЕДУЮЩИЙ МЕСЯЦ'!E19</f>
        <v/>
      </c>
      <c r="E137" s="1120">
        <v>22.0</v>
      </c>
      <c r="F137" s="1121">
        <v>22.0</v>
      </c>
      <c r="G137" s="1126">
        <v>2.0</v>
      </c>
      <c r="H137" s="1121">
        <v>2.0</v>
      </c>
      <c r="I137" s="1126"/>
      <c r="J137" s="1121"/>
      <c r="K137" s="1126">
        <v>15.0</v>
      </c>
      <c r="L137" s="1121">
        <v>15.0</v>
      </c>
      <c r="M137" s="1126">
        <v>5.0</v>
      </c>
      <c r="N137" s="1121">
        <v>5.0</v>
      </c>
      <c r="O137" s="1126">
        <v>10.0</v>
      </c>
      <c r="P137" s="1121">
        <v>10.0</v>
      </c>
      <c r="Q137" s="1120"/>
      <c r="R137" s="1121"/>
      <c r="S137" s="1120"/>
      <c r="T137" s="1138"/>
      <c r="U137" s="1120"/>
      <c r="V137" s="1138"/>
      <c r="W137" s="1137">
        <v>18.0</v>
      </c>
      <c r="X137" s="1138">
        <v>18.0</v>
      </c>
      <c r="Y137" s="1120">
        <v>5.0</v>
      </c>
      <c r="Z137" s="1138">
        <v>5.0</v>
      </c>
      <c r="AA137" s="1120"/>
      <c r="AB137" s="1138"/>
      <c r="AC137" s="1120"/>
      <c r="AD137" s="1138"/>
      <c r="AE137" s="1120">
        <v>4.0</v>
      </c>
      <c r="AF137" s="1138">
        <v>4.0</v>
      </c>
      <c r="AG137" s="1120"/>
      <c r="AH137" s="1138"/>
      <c r="AI137" s="1137"/>
      <c r="AJ137" s="1138"/>
      <c r="AK137" s="1120"/>
      <c r="AL137" s="1138"/>
      <c r="AM137" s="1120"/>
      <c r="AN137" s="1138"/>
      <c r="AO137" s="1126"/>
      <c r="AP137" s="1138"/>
      <c r="AQ137" s="1126">
        <v>10.0</v>
      </c>
      <c r="AR137" s="1138">
        <v>10.0</v>
      </c>
      <c r="AS137" s="1126">
        <v>5.0</v>
      </c>
      <c r="AT137" s="1138">
        <v>5.0</v>
      </c>
      <c r="AU137" s="1126">
        <v>10.0</v>
      </c>
      <c r="AV137" s="1121">
        <v>10.0</v>
      </c>
      <c r="AW137" s="1134"/>
      <c r="AX137" s="1138"/>
      <c r="AY137" s="1129">
        <f t="shared" si="118"/>
        <v>107</v>
      </c>
      <c r="AZ137" s="1385">
        <f t="shared" si="119"/>
        <v>106</v>
      </c>
      <c r="BA137" s="1385">
        <f t="shared" ref="BA137:BA161" si="122">AY137*AZ137</f>
        <v>11342</v>
      </c>
      <c r="BB137" s="1385"/>
      <c r="BC137" s="591">
        <v>0.1</v>
      </c>
      <c r="BD137" s="1099">
        <f t="shared" ref="BD137:BD139" si="123">AY137*BC137</f>
        <v>10.7</v>
      </c>
    </row>
    <row r="138" ht="15.75" customHeight="1">
      <c r="A138" s="1130">
        <v>5.0</v>
      </c>
      <c r="B138" s="1111">
        <v>3668.0</v>
      </c>
      <c r="C138" s="1136" t="str">
        <f t="shared" si="121"/>
        <v>Салат</v>
      </c>
      <c r="D138" s="1118" t="str">
        <f>'Меню НА СЛЕДУЮЩИЙ МЕСЯЦ'!E20</f>
        <v/>
      </c>
      <c r="E138" s="1120">
        <v>22.0</v>
      </c>
      <c r="F138" s="1121">
        <v>23.0</v>
      </c>
      <c r="G138" s="1120">
        <v>2.0</v>
      </c>
      <c r="H138" s="1121">
        <v>3.0</v>
      </c>
      <c r="I138" s="1120"/>
      <c r="J138" s="1121"/>
      <c r="K138" s="1120">
        <v>15.0</v>
      </c>
      <c r="L138" s="1121">
        <v>15.0</v>
      </c>
      <c r="M138" s="1120">
        <v>5.0</v>
      </c>
      <c r="N138" s="1121">
        <v>5.0</v>
      </c>
      <c r="O138" s="1120">
        <v>10.0</v>
      </c>
      <c r="P138" s="1121">
        <v>10.0</v>
      </c>
      <c r="Q138" s="1120"/>
      <c r="R138" s="1121"/>
      <c r="S138" s="1120"/>
      <c r="T138" s="1121"/>
      <c r="U138" s="1120"/>
      <c r="V138" s="1121"/>
      <c r="W138" s="1120">
        <v>18.0</v>
      </c>
      <c r="X138" s="1121">
        <v>18.0</v>
      </c>
      <c r="Y138" s="1120">
        <v>5.0</v>
      </c>
      <c r="Z138" s="1121">
        <v>5.0</v>
      </c>
      <c r="AA138" s="1120"/>
      <c r="AB138" s="1127"/>
      <c r="AC138" s="1120"/>
      <c r="AD138" s="1127"/>
      <c r="AE138" s="1120">
        <v>4.0</v>
      </c>
      <c r="AF138" s="1127">
        <v>4.0</v>
      </c>
      <c r="AG138" s="1120"/>
      <c r="AH138" s="1127"/>
      <c r="AI138" s="1120"/>
      <c r="AJ138" s="1127"/>
      <c r="AK138" s="1120"/>
      <c r="AL138" s="1127"/>
      <c r="AM138" s="1120"/>
      <c r="AN138" s="1138"/>
      <c r="AO138" s="1126"/>
      <c r="AP138" s="1121"/>
      <c r="AQ138" s="1126">
        <v>10.0</v>
      </c>
      <c r="AR138" s="1121">
        <v>10.0</v>
      </c>
      <c r="AS138" s="1126">
        <v>5.0</v>
      </c>
      <c r="AT138" s="1121">
        <v>5.0</v>
      </c>
      <c r="AU138" s="1126">
        <v>10.0</v>
      </c>
      <c r="AV138" s="1121">
        <v>10.0</v>
      </c>
      <c r="AW138" s="1134"/>
      <c r="AX138" s="1138"/>
      <c r="AY138" s="1129">
        <f t="shared" si="118"/>
        <v>107</v>
      </c>
      <c r="AZ138" s="1385">
        <f t="shared" si="119"/>
        <v>108</v>
      </c>
      <c r="BA138" s="1385">
        <f t="shared" si="122"/>
        <v>11556</v>
      </c>
      <c r="BB138" s="1385"/>
      <c r="BC138" s="591">
        <v>0.1</v>
      </c>
      <c r="BD138" s="1099">
        <f t="shared" si="123"/>
        <v>10.7</v>
      </c>
    </row>
    <row r="139" ht="15.75" customHeight="1">
      <c r="A139" s="1109">
        <v>6.0</v>
      </c>
      <c r="B139" s="1111"/>
      <c r="C139" s="1136" t="str">
        <f t="shared" si="121"/>
        <v>Салат</v>
      </c>
      <c r="D139" s="580"/>
      <c r="E139" s="1295"/>
      <c r="F139" s="1285"/>
      <c r="G139" s="1284"/>
      <c r="H139" s="1285"/>
      <c r="I139" s="1284"/>
      <c r="J139" s="1285"/>
      <c r="K139" s="1286"/>
      <c r="L139" s="1285"/>
      <c r="M139" s="1284"/>
      <c r="N139" s="1285"/>
      <c r="O139" s="1286"/>
      <c r="P139" s="1142"/>
      <c r="Q139" s="1120"/>
      <c r="R139" s="1142"/>
      <c r="S139" s="1126"/>
      <c r="T139" s="1142"/>
      <c r="U139" s="1287"/>
      <c r="V139" s="1288"/>
      <c r="W139" s="1137"/>
      <c r="X139" s="1289"/>
      <c r="Y139" s="1120"/>
      <c r="Z139" s="1142"/>
      <c r="AA139" s="1137"/>
      <c r="AB139" s="1289"/>
      <c r="AC139" s="1290"/>
      <c r="AD139" s="1289"/>
      <c r="AE139" s="1290"/>
      <c r="AF139" s="1289"/>
      <c r="AG139" s="1120"/>
      <c r="AH139" s="1291"/>
      <c r="AI139" s="1290"/>
      <c r="AJ139" s="1289"/>
      <c r="AK139" s="1120"/>
      <c r="AL139" s="1138"/>
      <c r="AM139" s="1120"/>
      <c r="AN139" s="1138"/>
      <c r="AO139" s="1126"/>
      <c r="AP139" s="1138"/>
      <c r="AQ139" s="1126"/>
      <c r="AR139" s="1138"/>
      <c r="AS139" s="1126"/>
      <c r="AT139" s="1138"/>
      <c r="AU139" s="1126"/>
      <c r="AV139" s="1121"/>
      <c r="AW139" s="1134"/>
      <c r="AX139" s="1138"/>
      <c r="AY139" s="1292">
        <f t="shared" si="118"/>
        <v>1</v>
      </c>
      <c r="AZ139" s="1402">
        <f t="shared" si="119"/>
        <v>0</v>
      </c>
      <c r="BA139" s="1385">
        <f t="shared" si="122"/>
        <v>0</v>
      </c>
      <c r="BB139" s="1385"/>
      <c r="BC139" s="591">
        <v>0.1</v>
      </c>
      <c r="BD139" s="1099">
        <f t="shared" si="123"/>
        <v>0.1</v>
      </c>
    </row>
    <row r="140" ht="15.75" customHeight="1">
      <c r="A140" s="1109">
        <v>7.0</v>
      </c>
      <c r="B140" s="1111">
        <v>3457.0</v>
      </c>
      <c r="C140" s="1153" t="s">
        <v>2079</v>
      </c>
      <c r="D140" s="784" t="str">
        <f>'Меню НА СЛЕДУЮЩИЙ МЕСЯЦ'!G19</f>
        <v/>
      </c>
      <c r="E140" s="1137">
        <v>2.0</v>
      </c>
      <c r="F140" s="1138"/>
      <c r="G140" s="1126">
        <v>2.0</v>
      </c>
      <c r="H140" s="1138"/>
      <c r="I140" s="1126"/>
      <c r="J140" s="1138"/>
      <c r="K140" s="1126">
        <v>2.0</v>
      </c>
      <c r="L140" s="1138"/>
      <c r="M140" s="1126">
        <v>2.0</v>
      </c>
      <c r="N140" s="1138"/>
      <c r="O140" s="1126">
        <v>2.0</v>
      </c>
      <c r="P140" s="1121"/>
      <c r="Q140" s="1126"/>
      <c r="R140" s="1121"/>
      <c r="S140" s="1137"/>
      <c r="T140" s="1121"/>
      <c r="U140" s="1137"/>
      <c r="V140" s="1121"/>
      <c r="W140" s="1137">
        <v>2.0</v>
      </c>
      <c r="X140" s="1121"/>
      <c r="Y140" s="1126">
        <v>2.0</v>
      </c>
      <c r="Z140" s="1121"/>
      <c r="AA140" s="1120"/>
      <c r="AB140" s="1127"/>
      <c r="AC140" s="1120"/>
      <c r="AD140" s="1127"/>
      <c r="AE140" s="1137">
        <v>2.0</v>
      </c>
      <c r="AF140" s="1127"/>
      <c r="AG140" s="1137"/>
      <c r="AH140" s="1127"/>
      <c r="AI140" s="1137"/>
      <c r="AJ140" s="1127"/>
      <c r="AK140" s="1126"/>
      <c r="AL140" s="1121"/>
      <c r="AM140" s="1137"/>
      <c r="AN140" s="1138"/>
      <c r="AO140" s="1126"/>
      <c r="AP140" s="1138"/>
      <c r="AQ140" s="1126">
        <v>2.0</v>
      </c>
      <c r="AR140" s="1138"/>
      <c r="AS140" s="1126">
        <v>2.0</v>
      </c>
      <c r="AT140" s="1138"/>
      <c r="AU140" s="1126">
        <v>2.0</v>
      </c>
      <c r="AV140" s="1121"/>
      <c r="AW140" s="1134"/>
      <c r="AX140" s="1121"/>
      <c r="AY140" s="1129">
        <f t="shared" si="118"/>
        <v>23</v>
      </c>
      <c r="AZ140" s="1385">
        <f t="shared" si="119"/>
        <v>0</v>
      </c>
      <c r="BA140" s="1385">
        <f t="shared" si="122"/>
        <v>0</v>
      </c>
      <c r="BB140" s="1385"/>
      <c r="BC140" s="591"/>
      <c r="BD140" s="1099"/>
    </row>
    <row r="141" ht="15.75" customHeight="1">
      <c r="A141" s="1130">
        <v>8.0</v>
      </c>
      <c r="B141" s="1111"/>
      <c r="C141" s="1136"/>
      <c r="D141" s="784"/>
      <c r="E141" s="1120"/>
      <c r="F141" s="1121"/>
      <c r="G141" s="1120"/>
      <c r="H141" s="1121"/>
      <c r="I141" s="1120"/>
      <c r="J141" s="1121"/>
      <c r="K141" s="1120"/>
      <c r="L141" s="1121"/>
      <c r="M141" s="1120"/>
      <c r="N141" s="1121"/>
      <c r="O141" s="1120"/>
      <c r="P141" s="1121"/>
      <c r="Q141" s="1126"/>
      <c r="R141" s="1121"/>
      <c r="S141" s="1120"/>
      <c r="T141" s="1121"/>
      <c r="U141" s="1120"/>
      <c r="V141" s="1121"/>
      <c r="W141" s="1120"/>
      <c r="X141" s="1121"/>
      <c r="Y141" s="1120"/>
      <c r="Z141" s="1121"/>
      <c r="AA141" s="1120"/>
      <c r="AB141" s="1121"/>
      <c r="AC141" s="1120"/>
      <c r="AD141" s="1121"/>
      <c r="AE141" s="1120"/>
      <c r="AF141" s="1121"/>
      <c r="AG141" s="1120"/>
      <c r="AH141" s="1121"/>
      <c r="AI141" s="1120"/>
      <c r="AJ141" s="1121"/>
      <c r="AK141" s="1120"/>
      <c r="AL141" s="1121"/>
      <c r="AM141" s="1120"/>
      <c r="AN141" s="1138"/>
      <c r="AO141" s="1126"/>
      <c r="AP141" s="1121"/>
      <c r="AQ141" s="1126"/>
      <c r="AR141" s="1121"/>
      <c r="AS141" s="1126"/>
      <c r="AT141" s="1121"/>
      <c r="AU141" s="1126"/>
      <c r="AV141" s="1121"/>
      <c r="AW141" s="1139"/>
      <c r="AX141" s="1138"/>
      <c r="AY141" s="1129">
        <f t="shared" si="118"/>
        <v>1</v>
      </c>
      <c r="AZ141" s="1385">
        <f t="shared" si="119"/>
        <v>0</v>
      </c>
      <c r="BA141" s="1385">
        <f t="shared" si="122"/>
        <v>0</v>
      </c>
      <c r="BB141" s="1385"/>
      <c r="BC141" s="591">
        <v>0.25</v>
      </c>
      <c r="BD141" s="1099">
        <f t="shared" ref="BD141:BD144" si="124">AY141*BC141</f>
        <v>0.25</v>
      </c>
    </row>
    <row r="142" ht="15.75" customHeight="1">
      <c r="A142" s="1109">
        <v>9.0</v>
      </c>
      <c r="B142" s="1111">
        <v>3516.0</v>
      </c>
      <c r="C142" s="1136" t="str">
        <f>C80</f>
        <v>Второе </v>
      </c>
      <c r="D142" s="580" t="s">
        <v>2115</v>
      </c>
      <c r="E142" s="1120">
        <v>17.0</v>
      </c>
      <c r="F142" s="1121">
        <v>6.0</v>
      </c>
      <c r="G142" s="1120">
        <v>2.0</v>
      </c>
      <c r="H142" s="1121">
        <v>2.0</v>
      </c>
      <c r="I142" s="1120"/>
      <c r="J142" s="1121"/>
      <c r="K142" s="1120">
        <v>20.0</v>
      </c>
      <c r="L142" s="1121">
        <v>4.0</v>
      </c>
      <c r="M142" s="1120">
        <v>2.0</v>
      </c>
      <c r="N142" s="1121">
        <v>2.0</v>
      </c>
      <c r="O142" s="1120">
        <v>9.0</v>
      </c>
      <c r="P142" s="1121">
        <v>2.0</v>
      </c>
      <c r="Q142" s="1126"/>
      <c r="R142" s="1121"/>
      <c r="S142" s="1120"/>
      <c r="T142" s="1121"/>
      <c r="U142" s="1120"/>
      <c r="V142" s="1121"/>
      <c r="W142" s="1120">
        <v>10.0</v>
      </c>
      <c r="X142" s="1121">
        <v>2.0</v>
      </c>
      <c r="Y142" s="1120">
        <v>5.0</v>
      </c>
      <c r="Z142" s="1121">
        <v>2.0</v>
      </c>
      <c r="AA142" s="1120"/>
      <c r="AB142" s="1121"/>
      <c r="AC142" s="1120"/>
      <c r="AD142" s="1121"/>
      <c r="AE142" s="1120">
        <v>2.0</v>
      </c>
      <c r="AF142" s="1121">
        <v>2.0</v>
      </c>
      <c r="AG142" s="1120"/>
      <c r="AH142" s="1121"/>
      <c r="AI142" s="1120"/>
      <c r="AJ142" s="1121"/>
      <c r="AK142" s="1120"/>
      <c r="AL142" s="1121"/>
      <c r="AM142" s="1120"/>
      <c r="AN142" s="1138"/>
      <c r="AO142" s="1126"/>
      <c r="AP142" s="1121"/>
      <c r="AQ142" s="1126">
        <v>3.0</v>
      </c>
      <c r="AR142" s="1121">
        <v>3.0</v>
      </c>
      <c r="AS142" s="1126">
        <v>2.0</v>
      </c>
      <c r="AT142" s="1121">
        <v>2.0</v>
      </c>
      <c r="AU142" s="1126">
        <v>13.0</v>
      </c>
      <c r="AV142" s="1121">
        <v>0.0</v>
      </c>
      <c r="AW142" s="1134"/>
      <c r="AX142" s="1138"/>
      <c r="AY142" s="1129">
        <f t="shared" si="118"/>
        <v>86</v>
      </c>
      <c r="AZ142" s="1385">
        <f t="shared" si="119"/>
        <v>27</v>
      </c>
      <c r="BA142" s="1385">
        <f t="shared" si="122"/>
        <v>2322</v>
      </c>
      <c r="BB142" s="1385"/>
      <c r="BC142" s="591">
        <v>0.3</v>
      </c>
      <c r="BD142" s="1099">
        <f t="shared" si="124"/>
        <v>25.8</v>
      </c>
    </row>
    <row r="143" ht="15.75" customHeight="1">
      <c r="A143" s="1109">
        <v>10.0</v>
      </c>
      <c r="B143" s="1111">
        <v>3405.0</v>
      </c>
      <c r="C143" s="1200" t="str">
        <f>'Матрица 4 недели'!M3</f>
        <v>Второе</v>
      </c>
      <c r="D143" s="580" t="s">
        <v>2134</v>
      </c>
      <c r="E143" s="1295">
        <v>17.0</v>
      </c>
      <c r="F143" s="1285">
        <v>5.0</v>
      </c>
      <c r="G143" s="1284">
        <v>2.0</v>
      </c>
      <c r="H143" s="1285">
        <v>0.0</v>
      </c>
      <c r="I143" s="1284"/>
      <c r="J143" s="1285"/>
      <c r="K143" s="1286">
        <v>20.0</v>
      </c>
      <c r="L143" s="1285"/>
      <c r="M143" s="1284">
        <v>2.0</v>
      </c>
      <c r="N143" s="1285">
        <v>2.0</v>
      </c>
      <c r="O143" s="1284">
        <v>9.0</v>
      </c>
      <c r="P143" s="1142">
        <v>2.0</v>
      </c>
      <c r="Q143" s="1286"/>
      <c r="R143" s="1142"/>
      <c r="S143" s="1284"/>
      <c r="T143" s="1142"/>
      <c r="U143" s="1287"/>
      <c r="V143" s="1288"/>
      <c r="W143" s="1290">
        <v>10.0</v>
      </c>
      <c r="X143" s="1142"/>
      <c r="Y143" s="1295">
        <v>5.0</v>
      </c>
      <c r="Z143" s="1142"/>
      <c r="AA143" s="1295"/>
      <c r="AB143" s="1296"/>
      <c r="AC143" s="1290"/>
      <c r="AD143" s="1289"/>
      <c r="AE143" s="1297">
        <v>2.0</v>
      </c>
      <c r="AF143" s="1142">
        <v>2.0</v>
      </c>
      <c r="AG143" s="1120"/>
      <c r="AH143" s="1289"/>
      <c r="AI143" s="1290"/>
      <c r="AJ143" s="1289"/>
      <c r="AK143" s="1290"/>
      <c r="AL143" s="1296"/>
      <c r="AM143" s="1290"/>
      <c r="AN143" s="1138"/>
      <c r="AO143" s="1120"/>
      <c r="AP143" s="1131"/>
      <c r="AQ143" s="1126">
        <v>3.0</v>
      </c>
      <c r="AR143" s="1121">
        <v>0.0</v>
      </c>
      <c r="AS143" s="1126">
        <v>2.0</v>
      </c>
      <c r="AT143" s="1121">
        <v>2.0</v>
      </c>
      <c r="AU143" s="1126">
        <v>13.0</v>
      </c>
      <c r="AV143" s="1121"/>
      <c r="AW143" s="1139"/>
      <c r="AX143" s="1138"/>
      <c r="AY143" s="1292">
        <f t="shared" si="118"/>
        <v>86</v>
      </c>
      <c r="AZ143" s="1402">
        <f t="shared" si="119"/>
        <v>13</v>
      </c>
      <c r="BA143" s="1385">
        <f t="shared" si="122"/>
        <v>1118</v>
      </c>
      <c r="BB143" s="1385"/>
      <c r="BC143" s="591">
        <v>0.3</v>
      </c>
      <c r="BD143" s="1099">
        <f t="shared" si="124"/>
        <v>25.8</v>
      </c>
    </row>
    <row r="144" ht="15.75" customHeight="1">
      <c r="A144" s="1130">
        <v>11.0</v>
      </c>
      <c r="B144" s="1111">
        <v>3406.0</v>
      </c>
      <c r="C144" s="1174" t="s">
        <v>77</v>
      </c>
      <c r="D144" s="580" t="s">
        <v>2154</v>
      </c>
      <c r="E144" s="1137">
        <v>17.0</v>
      </c>
      <c r="F144" s="1121">
        <v>0.0</v>
      </c>
      <c r="G144" s="1126">
        <v>2.0</v>
      </c>
      <c r="H144" s="1121">
        <v>1.0</v>
      </c>
      <c r="I144" s="1126"/>
      <c r="J144" s="1121"/>
      <c r="K144" s="1126">
        <v>20.0</v>
      </c>
      <c r="L144" s="1121">
        <v>6.0</v>
      </c>
      <c r="M144" s="1126">
        <v>2.0</v>
      </c>
      <c r="N144" s="1121">
        <v>2.0</v>
      </c>
      <c r="O144" s="1126">
        <v>9.0</v>
      </c>
      <c r="P144" s="1121"/>
      <c r="Q144" s="1126"/>
      <c r="R144" s="1121"/>
      <c r="S144" s="1126"/>
      <c r="T144" s="1138"/>
      <c r="U144" s="1137"/>
      <c r="V144" s="1138"/>
      <c r="W144" s="1137">
        <v>10.0</v>
      </c>
      <c r="X144" s="1121"/>
      <c r="Y144" s="1137">
        <v>5.0</v>
      </c>
      <c r="Z144" s="1121">
        <v>0.0</v>
      </c>
      <c r="AA144" s="1137"/>
      <c r="AB144" s="1138"/>
      <c r="AC144" s="1137"/>
      <c r="AD144" s="1138"/>
      <c r="AE144" s="1137">
        <v>2.0</v>
      </c>
      <c r="AF144" s="1121">
        <v>0.0</v>
      </c>
      <c r="AG144" s="1120"/>
      <c r="AH144" s="1138"/>
      <c r="AI144" s="1137"/>
      <c r="AJ144" s="1138"/>
      <c r="AK144" s="1120"/>
      <c r="AL144" s="1131"/>
      <c r="AM144" s="1120"/>
      <c r="AN144" s="1138"/>
      <c r="AO144" s="1120"/>
      <c r="AP144" s="1131"/>
      <c r="AQ144" s="1126">
        <v>3.0</v>
      </c>
      <c r="AR144" s="1121">
        <v>3.0</v>
      </c>
      <c r="AS144" s="1126">
        <v>2.0</v>
      </c>
      <c r="AT144" s="1121">
        <v>0.0</v>
      </c>
      <c r="AU144" s="1126">
        <v>13.0</v>
      </c>
      <c r="AV144" s="1121"/>
      <c r="AW144" s="1139"/>
      <c r="AX144" s="1138"/>
      <c r="AY144" s="1129">
        <f t="shared" si="118"/>
        <v>86</v>
      </c>
      <c r="AZ144" s="1385">
        <f t="shared" si="119"/>
        <v>12</v>
      </c>
      <c r="BA144" s="1385">
        <f t="shared" si="122"/>
        <v>1032</v>
      </c>
      <c r="BB144" s="1385"/>
      <c r="BC144" s="591">
        <v>0.03</v>
      </c>
      <c r="BD144" s="1099">
        <f t="shared" si="124"/>
        <v>2.58</v>
      </c>
    </row>
    <row r="145" ht="15.75" customHeight="1">
      <c r="A145" s="1109">
        <v>12.0</v>
      </c>
      <c r="B145" s="1111">
        <v>3351.0</v>
      </c>
      <c r="C145" s="1174" t="s">
        <v>77</v>
      </c>
      <c r="D145" s="1299" t="s">
        <v>2170</v>
      </c>
      <c r="E145" s="1126"/>
      <c r="F145" s="1121">
        <v>3.0</v>
      </c>
      <c r="G145" s="1126"/>
      <c r="H145" s="1121"/>
      <c r="I145" s="1126"/>
      <c r="J145" s="1121"/>
      <c r="K145" s="1126"/>
      <c r="L145" s="1121">
        <v>3.0</v>
      </c>
      <c r="M145" s="1126"/>
      <c r="N145" s="1121"/>
      <c r="O145" s="1126"/>
      <c r="P145" s="1121">
        <v>2.0</v>
      </c>
      <c r="Q145" s="1126"/>
      <c r="R145" s="1121"/>
      <c r="S145" s="1126"/>
      <c r="T145" s="1138"/>
      <c r="U145" s="1126"/>
      <c r="V145" s="1138"/>
      <c r="W145" s="1137"/>
      <c r="X145" s="1121">
        <v>2.0</v>
      </c>
      <c r="Y145" s="1126"/>
      <c r="Z145" s="1121"/>
      <c r="AA145" s="1126"/>
      <c r="AB145" s="1138"/>
      <c r="AC145" s="1137"/>
      <c r="AD145" s="1138"/>
      <c r="AE145" s="1137"/>
      <c r="AF145" s="1121"/>
      <c r="AG145" s="1120"/>
      <c r="AH145" s="1138"/>
      <c r="AI145" s="1137"/>
      <c r="AJ145" s="1138"/>
      <c r="AK145" s="1126"/>
      <c r="AL145" s="1138"/>
      <c r="AM145" s="1126"/>
      <c r="AN145" s="1138"/>
      <c r="AO145" s="1126"/>
      <c r="AP145" s="1138"/>
      <c r="AQ145" s="1126"/>
      <c r="AR145" s="1121"/>
      <c r="AS145" s="1126"/>
      <c r="AT145" s="1121"/>
      <c r="AU145" s="1126"/>
      <c r="AV145" s="1121">
        <v>3.0</v>
      </c>
      <c r="AW145" s="1139"/>
      <c r="AX145" s="1138"/>
      <c r="AY145" s="1129">
        <f t="shared" si="118"/>
        <v>1</v>
      </c>
      <c r="AZ145" s="1385">
        <f t="shared" si="119"/>
        <v>13</v>
      </c>
      <c r="BA145" s="1385">
        <f t="shared" si="122"/>
        <v>13</v>
      </c>
      <c r="BB145" s="1385"/>
      <c r="BC145" s="591"/>
      <c r="BD145" s="1099"/>
    </row>
    <row r="146" ht="15.75" customHeight="1">
      <c r="A146" s="1109">
        <v>13.0</v>
      </c>
      <c r="B146" s="1111">
        <v>1046.0</v>
      </c>
      <c r="C146" s="1174" t="s">
        <v>77</v>
      </c>
      <c r="D146" s="1299" t="s">
        <v>2185</v>
      </c>
      <c r="E146" s="1126"/>
      <c r="F146" s="1121">
        <v>5.0</v>
      </c>
      <c r="G146" s="1126"/>
      <c r="H146" s="1121"/>
      <c r="I146" s="1126"/>
      <c r="J146" s="1121"/>
      <c r="K146" s="1126"/>
      <c r="L146" s="1121">
        <v>3.0</v>
      </c>
      <c r="M146" s="1126"/>
      <c r="N146" s="1121"/>
      <c r="O146" s="1126"/>
      <c r="P146" s="1121">
        <v>2.0</v>
      </c>
      <c r="Q146" s="1126"/>
      <c r="R146" s="1121"/>
      <c r="S146" s="1126"/>
      <c r="T146" s="1121"/>
      <c r="U146" s="1126"/>
      <c r="V146" s="1138"/>
      <c r="W146" s="1137"/>
      <c r="X146" s="1121">
        <v>2.0</v>
      </c>
      <c r="Y146" s="1126"/>
      <c r="Z146" s="1121"/>
      <c r="AA146" s="1126"/>
      <c r="AB146" s="1138"/>
      <c r="AC146" s="1137"/>
      <c r="AD146" s="1138"/>
      <c r="AE146" s="1137"/>
      <c r="AF146" s="1121"/>
      <c r="AG146" s="1120"/>
      <c r="AH146" s="1138"/>
      <c r="AI146" s="1137"/>
      <c r="AJ146" s="1138"/>
      <c r="AK146" s="1126"/>
      <c r="AL146" s="1138"/>
      <c r="AM146" s="1126"/>
      <c r="AN146" s="1138"/>
      <c r="AO146" s="1126"/>
      <c r="AP146" s="1138"/>
      <c r="AQ146" s="1126"/>
      <c r="AR146" s="1121"/>
      <c r="AS146" s="1126"/>
      <c r="AT146" s="1121"/>
      <c r="AU146" s="1126"/>
      <c r="AV146" s="1121">
        <v>3.0</v>
      </c>
      <c r="AW146" s="1152"/>
      <c r="AX146" s="1138"/>
      <c r="AY146" s="1129">
        <f t="shared" si="118"/>
        <v>1</v>
      </c>
      <c r="AZ146" s="1385">
        <f t="shared" si="119"/>
        <v>15</v>
      </c>
      <c r="BA146" s="1385">
        <f t="shared" si="122"/>
        <v>15</v>
      </c>
      <c r="BB146" s="1385"/>
      <c r="BC146" s="591">
        <v>0.3</v>
      </c>
      <c r="BD146" s="1099">
        <f>AY146*BC146</f>
        <v>0.3</v>
      </c>
    </row>
    <row r="147" ht="15.75" customHeight="1">
      <c r="A147" s="1130">
        <v>14.0</v>
      </c>
      <c r="B147" s="1111"/>
      <c r="C147" s="1153" t="s">
        <v>77</v>
      </c>
      <c r="D147" s="580"/>
      <c r="E147" s="1126"/>
      <c r="F147" s="1121"/>
      <c r="G147" s="1126"/>
      <c r="H147" s="1121"/>
      <c r="I147" s="1126"/>
      <c r="J147" s="1138"/>
      <c r="K147" s="1126"/>
      <c r="L147" s="1138">
        <v>0.0</v>
      </c>
      <c r="M147" s="1126"/>
      <c r="N147" s="1138"/>
      <c r="O147" s="1120"/>
      <c r="P147" s="1121"/>
      <c r="Q147" s="1126"/>
      <c r="R147" s="1121"/>
      <c r="S147" s="1137"/>
      <c r="T147" s="1121"/>
      <c r="U147" s="1137"/>
      <c r="V147" s="1121"/>
      <c r="W147" s="1137"/>
      <c r="X147" s="1121"/>
      <c r="Y147" s="1120"/>
      <c r="Z147" s="1121"/>
      <c r="AA147" s="1120"/>
      <c r="AB147" s="1121"/>
      <c r="AC147" s="1120"/>
      <c r="AD147" s="1121"/>
      <c r="AE147" s="1137"/>
      <c r="AF147" s="1121"/>
      <c r="AG147" s="1120"/>
      <c r="AH147" s="1121"/>
      <c r="AI147" s="1126"/>
      <c r="AJ147" s="1121"/>
      <c r="AK147" s="1120"/>
      <c r="AL147" s="1121"/>
      <c r="AM147" s="1137"/>
      <c r="AN147" s="1138"/>
      <c r="AO147" s="1126"/>
      <c r="AP147" s="1138"/>
      <c r="AQ147" s="1126"/>
      <c r="AR147" s="1121"/>
      <c r="AS147" s="1126"/>
      <c r="AT147" s="1121"/>
      <c r="AU147" s="1126"/>
      <c r="AV147" s="1121"/>
      <c r="AW147" s="1152"/>
      <c r="AX147" s="1138"/>
      <c r="AY147" s="1129">
        <f t="shared" si="118"/>
        <v>1</v>
      </c>
      <c r="AZ147" s="1385">
        <f t="shared" si="119"/>
        <v>0</v>
      </c>
      <c r="BA147" s="1385">
        <f t="shared" si="122"/>
        <v>0</v>
      </c>
      <c r="BB147" s="1385"/>
      <c r="BC147" s="591"/>
      <c r="BD147" s="1099"/>
    </row>
    <row r="148" ht="15.75" customHeight="1">
      <c r="A148" s="1109">
        <v>15.0</v>
      </c>
      <c r="B148" s="1111">
        <v>3728.0</v>
      </c>
      <c r="C148" s="1153" t="s">
        <v>77</v>
      </c>
      <c r="D148" s="580" t="s">
        <v>2212</v>
      </c>
      <c r="E148" s="1126"/>
      <c r="F148" s="1121">
        <v>10.0</v>
      </c>
      <c r="G148" s="1126"/>
      <c r="H148" s="1121">
        <v>0.0</v>
      </c>
      <c r="I148" s="1126"/>
      <c r="J148" s="1405"/>
      <c r="K148" s="1161"/>
      <c r="L148" s="1405">
        <v>12.0</v>
      </c>
      <c r="M148" s="1302"/>
      <c r="N148" s="1138"/>
      <c r="O148" s="1126"/>
      <c r="P148" s="1406">
        <v>5.0</v>
      </c>
      <c r="Q148" s="1126"/>
      <c r="R148" s="1138"/>
      <c r="S148" s="1126"/>
      <c r="T148" s="1138"/>
      <c r="U148" s="1126"/>
      <c r="V148" s="1138"/>
      <c r="W148" s="1126"/>
      <c r="X148" s="1121">
        <v>5.0</v>
      </c>
      <c r="Y148" s="1126"/>
      <c r="Z148" s="1121"/>
      <c r="AA148" s="1120"/>
      <c r="AB148" s="1138"/>
      <c r="AC148" s="1120"/>
      <c r="AD148" s="1138"/>
      <c r="AE148" s="1120"/>
      <c r="AF148" s="1121"/>
      <c r="AG148" s="1120"/>
      <c r="AH148" s="1138"/>
      <c r="AI148" s="1120"/>
      <c r="AJ148" s="1138"/>
      <c r="AK148" s="1120"/>
      <c r="AL148" s="1138"/>
      <c r="AM148" s="1126"/>
      <c r="AN148" s="1307"/>
      <c r="AO148" s="1141"/>
      <c r="AP148" s="1307"/>
      <c r="AQ148" s="1126"/>
      <c r="AR148" s="1121"/>
      <c r="AS148" s="1126"/>
      <c r="AT148" s="1121"/>
      <c r="AU148" s="1126"/>
      <c r="AV148" s="1121">
        <v>7.0</v>
      </c>
      <c r="AW148" s="1152"/>
      <c r="AX148" s="1138"/>
      <c r="AY148" s="1129">
        <f t="shared" si="118"/>
        <v>1</v>
      </c>
      <c r="AZ148" s="1385">
        <f t="shared" si="119"/>
        <v>39</v>
      </c>
      <c r="BA148" s="1385">
        <f t="shared" si="122"/>
        <v>39</v>
      </c>
      <c r="BB148" s="1385"/>
      <c r="BC148" s="591"/>
      <c r="BD148" s="1099"/>
    </row>
    <row r="149" ht="15.75" customHeight="1">
      <c r="A149" s="1109">
        <v>16.0</v>
      </c>
      <c r="B149" s="1111">
        <v>654.0</v>
      </c>
      <c r="C149" s="1153" t="s">
        <v>79</v>
      </c>
      <c r="D149" s="591" t="str">
        <f>'Меню НА СЛЕДУЮЩИЙ МЕСЯЦ'!O19</f>
        <v/>
      </c>
      <c r="E149" s="1137">
        <v>10.0</v>
      </c>
      <c r="F149" s="1121"/>
      <c r="G149" s="1126"/>
      <c r="H149" s="1121"/>
      <c r="I149" s="1126"/>
      <c r="J149" s="1138"/>
      <c r="K149" s="1126">
        <v>10.0</v>
      </c>
      <c r="L149" s="1138"/>
      <c r="M149" s="1126">
        <v>2.0</v>
      </c>
      <c r="N149" s="1138"/>
      <c r="O149" s="1120">
        <v>4.0</v>
      </c>
      <c r="P149" s="1121"/>
      <c r="Q149" s="1126"/>
      <c r="R149" s="1121"/>
      <c r="S149" s="1137"/>
      <c r="T149" s="1121"/>
      <c r="U149" s="1137"/>
      <c r="V149" s="1121"/>
      <c r="W149" s="1137">
        <v>7.0</v>
      </c>
      <c r="X149" s="1121"/>
      <c r="Y149" s="1120">
        <v>2.0</v>
      </c>
      <c r="Z149" s="1121"/>
      <c r="AA149" s="1120"/>
      <c r="AB149" s="1121"/>
      <c r="AC149" s="1120"/>
      <c r="AD149" s="1121"/>
      <c r="AE149" s="1137">
        <v>2.0</v>
      </c>
      <c r="AF149" s="1121"/>
      <c r="AG149" s="1120"/>
      <c r="AH149" s="1121"/>
      <c r="AI149" s="1126"/>
      <c r="AJ149" s="1121"/>
      <c r="AK149" s="1120"/>
      <c r="AL149" s="1121"/>
      <c r="AM149" s="1137"/>
      <c r="AN149" s="1138"/>
      <c r="AO149" s="1126"/>
      <c r="AP149" s="1138"/>
      <c r="AQ149" s="1126">
        <v>10.0</v>
      </c>
      <c r="AR149" s="1121"/>
      <c r="AS149" s="1126"/>
      <c r="AT149" s="1121"/>
      <c r="AU149" s="1126">
        <v>3.0</v>
      </c>
      <c r="AV149" s="1121"/>
      <c r="AW149" s="1134"/>
      <c r="AX149" s="1138"/>
      <c r="AY149" s="1129">
        <f t="shared" si="118"/>
        <v>51</v>
      </c>
      <c r="AZ149" s="1385">
        <f t="shared" si="119"/>
        <v>0</v>
      </c>
      <c r="BA149" s="1385">
        <f t="shared" si="122"/>
        <v>0</v>
      </c>
      <c r="BB149" s="1385"/>
      <c r="BC149" s="591"/>
      <c r="BD149" s="1099"/>
    </row>
    <row r="150" ht="15.75" customHeight="1">
      <c r="A150" s="1130">
        <v>17.0</v>
      </c>
      <c r="B150" s="1111">
        <v>3437.0</v>
      </c>
      <c r="C150" s="1153" t="s">
        <v>77</v>
      </c>
      <c r="D150" s="580" t="s">
        <v>2253</v>
      </c>
      <c r="E150" s="1137"/>
      <c r="F150" s="1121">
        <v>6.0</v>
      </c>
      <c r="G150" s="1126"/>
      <c r="H150" s="1121"/>
      <c r="I150" s="1126"/>
      <c r="J150" s="1160"/>
      <c r="K150" s="1161"/>
      <c r="L150" s="1162">
        <v>6.0</v>
      </c>
      <c r="M150" s="1126"/>
      <c r="N150" s="1121"/>
      <c r="O150" s="1126"/>
      <c r="P150" s="1121">
        <v>3.0</v>
      </c>
      <c r="Q150" s="1120"/>
      <c r="R150" s="1121"/>
      <c r="S150" s="1126"/>
      <c r="T150" s="1121"/>
      <c r="U150" s="1137"/>
      <c r="V150" s="1121"/>
      <c r="W150" s="1137"/>
      <c r="X150" s="1121">
        <v>3.0</v>
      </c>
      <c r="Y150" s="1137"/>
      <c r="Z150" s="1121"/>
      <c r="AA150" s="1137"/>
      <c r="AB150" s="1121"/>
      <c r="AC150" s="1137"/>
      <c r="AD150" s="1121"/>
      <c r="AE150" s="1120"/>
      <c r="AF150" s="1121">
        <v>2.0</v>
      </c>
      <c r="AG150" s="1137"/>
      <c r="AH150" s="1121"/>
      <c r="AI150" s="1120"/>
      <c r="AJ150" s="1121"/>
      <c r="AK150" s="1120"/>
      <c r="AL150" s="1121"/>
      <c r="AM150" s="1120"/>
      <c r="AN150" s="1307"/>
      <c r="AO150" s="1141"/>
      <c r="AP150" s="1307"/>
      <c r="AQ150" s="1126"/>
      <c r="AR150" s="1121"/>
      <c r="AS150" s="1126"/>
      <c r="AT150" s="1121"/>
      <c r="AU150" s="1126"/>
      <c r="AV150" s="1121"/>
      <c r="AW150" s="1134"/>
      <c r="AX150" s="1138"/>
      <c r="AY150" s="1129">
        <f t="shared" si="118"/>
        <v>1</v>
      </c>
      <c r="AZ150" s="1385">
        <f t="shared" si="119"/>
        <v>20</v>
      </c>
      <c r="BA150" s="1385">
        <f t="shared" si="122"/>
        <v>20</v>
      </c>
      <c r="BB150" s="1385"/>
      <c r="BC150" s="591">
        <v>0.16</v>
      </c>
      <c r="BD150" s="1099">
        <f>AY150*BC150</f>
        <v>0.16</v>
      </c>
    </row>
    <row r="151" ht="15.75" customHeight="1">
      <c r="A151" s="1109">
        <v>18.0</v>
      </c>
      <c r="B151" s="1111">
        <v>3177.0</v>
      </c>
      <c r="C151" s="1153" t="s">
        <v>77</v>
      </c>
      <c r="D151" s="1145" t="s">
        <v>2274</v>
      </c>
      <c r="E151" s="1137"/>
      <c r="F151" s="1121">
        <v>10.0</v>
      </c>
      <c r="G151" s="1126"/>
      <c r="H151" s="1121">
        <v>2.0</v>
      </c>
      <c r="I151" s="1126"/>
      <c r="J151" s="1121"/>
      <c r="K151" s="1126"/>
      <c r="L151" s="1121">
        <v>12.0</v>
      </c>
      <c r="M151" s="1126"/>
      <c r="N151" s="1121"/>
      <c r="O151" s="1126"/>
      <c r="P151" s="1121">
        <v>8.0</v>
      </c>
      <c r="Q151" s="1137"/>
      <c r="R151" s="1121"/>
      <c r="S151" s="1126"/>
      <c r="T151" s="1138"/>
      <c r="U151" s="1137"/>
      <c r="V151" s="1138"/>
      <c r="W151" s="1137"/>
      <c r="X151" s="1121">
        <v>10.0</v>
      </c>
      <c r="Y151" s="1137"/>
      <c r="Z151" s="1121">
        <v>5.0</v>
      </c>
      <c r="AA151" s="1137"/>
      <c r="AB151" s="1138"/>
      <c r="AC151" s="1137"/>
      <c r="AD151" s="1138"/>
      <c r="AE151" s="1126"/>
      <c r="AF151" s="1121"/>
      <c r="AG151" s="1120"/>
      <c r="AH151" s="1138"/>
      <c r="AI151" s="1126"/>
      <c r="AJ151" s="1138"/>
      <c r="AK151" s="1120"/>
      <c r="AL151" s="1138"/>
      <c r="AM151" s="1120"/>
      <c r="AN151" s="1121"/>
      <c r="AO151" s="1126"/>
      <c r="AP151" s="1138"/>
      <c r="AQ151" s="1120"/>
      <c r="AR151" s="1121"/>
      <c r="AS151" s="1126"/>
      <c r="AT151" s="1121"/>
      <c r="AU151" s="1126"/>
      <c r="AV151" s="1121">
        <v>13.0</v>
      </c>
      <c r="AW151" s="1139"/>
      <c r="AX151" s="1138"/>
      <c r="AY151" s="1129">
        <f t="shared" si="118"/>
        <v>1</v>
      </c>
      <c r="AZ151" s="1385">
        <f t="shared" si="119"/>
        <v>60</v>
      </c>
      <c r="BA151" s="1385">
        <f t="shared" si="122"/>
        <v>60</v>
      </c>
      <c r="BB151" s="726"/>
      <c r="BC151" s="1165"/>
      <c r="BD151" s="1166"/>
    </row>
    <row r="152" ht="15.75" customHeight="1">
      <c r="A152" s="1109">
        <v>19.0</v>
      </c>
      <c r="B152" s="1171">
        <v>883.0</v>
      </c>
      <c r="C152" s="1153" t="s">
        <v>77</v>
      </c>
      <c r="D152" s="1145" t="s">
        <v>2297</v>
      </c>
      <c r="E152" s="1126"/>
      <c r="F152" s="1121">
        <v>2.0</v>
      </c>
      <c r="G152" s="1126"/>
      <c r="H152" s="1121">
        <v>0.0</v>
      </c>
      <c r="I152" s="1126"/>
      <c r="J152" s="1138"/>
      <c r="K152" s="1126"/>
      <c r="L152" s="1138">
        <v>12.0</v>
      </c>
      <c r="M152" s="1126"/>
      <c r="N152" s="1138"/>
      <c r="O152" s="1126"/>
      <c r="P152" s="1121">
        <v>3.0</v>
      </c>
      <c r="Q152" s="1120"/>
      <c r="R152" s="1121"/>
      <c r="S152" s="1137"/>
      <c r="T152" s="1121"/>
      <c r="U152" s="1137"/>
      <c r="V152" s="1121"/>
      <c r="W152" s="1137"/>
      <c r="X152" s="1121">
        <v>6.0</v>
      </c>
      <c r="Y152" s="1137"/>
      <c r="Z152" s="1121">
        <v>4.0</v>
      </c>
      <c r="AA152" s="1120"/>
      <c r="AB152" s="1138"/>
      <c r="AC152" s="1120"/>
      <c r="AD152" s="1138"/>
      <c r="AE152" s="1120"/>
      <c r="AF152" s="1138"/>
      <c r="AG152" s="1120"/>
      <c r="AH152" s="1138"/>
      <c r="AI152" s="1120"/>
      <c r="AJ152" s="1138"/>
      <c r="AK152" s="1120"/>
      <c r="AL152" s="1138"/>
      <c r="AM152" s="1120"/>
      <c r="AN152" s="1121"/>
      <c r="AO152" s="1120"/>
      <c r="AP152" s="1138"/>
      <c r="AQ152" s="1120"/>
      <c r="AR152" s="1121">
        <v>4.0</v>
      </c>
      <c r="AS152" s="1126"/>
      <c r="AT152" s="1121">
        <v>2.0</v>
      </c>
      <c r="AU152" s="1126"/>
      <c r="AV152" s="1121">
        <v>11.0</v>
      </c>
      <c r="AW152" s="1134"/>
      <c r="AX152" s="1121"/>
      <c r="AY152" s="1129">
        <f t="shared" si="118"/>
        <v>1</v>
      </c>
      <c r="AZ152" s="1385">
        <f t="shared" si="119"/>
        <v>44</v>
      </c>
      <c r="BA152" s="1385">
        <f t="shared" si="122"/>
        <v>44</v>
      </c>
      <c r="BB152" s="726"/>
      <c r="BC152" s="1165"/>
      <c r="BD152" s="1166"/>
    </row>
    <row r="153" ht="15.75" customHeight="1">
      <c r="A153" s="1130">
        <v>20.0</v>
      </c>
      <c r="B153" s="1171">
        <v>3541.0</v>
      </c>
      <c r="C153" s="1153" t="s">
        <v>77</v>
      </c>
      <c r="D153" s="1299" t="s">
        <v>2317</v>
      </c>
      <c r="E153" s="1126"/>
      <c r="F153" s="1121">
        <v>3.0</v>
      </c>
      <c r="G153" s="1126"/>
      <c r="H153" s="1121"/>
      <c r="I153" s="1126"/>
      <c r="J153" s="1138"/>
      <c r="K153" s="1126"/>
      <c r="L153" s="1138">
        <v>2.0</v>
      </c>
      <c r="M153" s="1126"/>
      <c r="N153" s="1138"/>
      <c r="O153" s="1126"/>
      <c r="P153" s="1121"/>
      <c r="Q153" s="1120"/>
      <c r="R153" s="1138"/>
      <c r="S153" s="1126"/>
      <c r="T153" s="1138"/>
      <c r="U153" s="1126"/>
      <c r="V153" s="1138"/>
      <c r="W153" s="1126"/>
      <c r="X153" s="1121"/>
      <c r="Y153" s="1126"/>
      <c r="Z153" s="1121"/>
      <c r="AA153" s="1126"/>
      <c r="AB153" s="1138"/>
      <c r="AC153" s="1137"/>
      <c r="AD153" s="1138"/>
      <c r="AE153" s="1137"/>
      <c r="AF153" s="1138"/>
      <c r="AG153" s="1137"/>
      <c r="AH153" s="1138"/>
      <c r="AI153" s="1137"/>
      <c r="AJ153" s="1138"/>
      <c r="AK153" s="1120"/>
      <c r="AL153" s="1168"/>
      <c r="AM153" s="1075"/>
      <c r="AN153" s="1168"/>
      <c r="AO153" s="1075"/>
      <c r="AP153" s="1167"/>
      <c r="AQ153" s="1075"/>
      <c r="AR153" s="1409"/>
      <c r="AS153" s="1075"/>
      <c r="AT153" s="1409"/>
      <c r="AU153" s="1075"/>
      <c r="AV153" s="1167"/>
      <c r="AW153" s="1139"/>
      <c r="AX153" s="1138"/>
      <c r="AY153" s="1129">
        <f t="shared" si="118"/>
        <v>1</v>
      </c>
      <c r="AZ153" s="1385">
        <f t="shared" si="119"/>
        <v>5</v>
      </c>
      <c r="BA153" s="1385">
        <f t="shared" si="122"/>
        <v>5</v>
      </c>
      <c r="BB153" s="726"/>
      <c r="BC153" s="1165"/>
      <c r="BD153" s="1166"/>
    </row>
    <row r="154" ht="15.75" customHeight="1">
      <c r="A154" s="1109">
        <v>21.0</v>
      </c>
      <c r="B154" s="1171">
        <v>3734.0</v>
      </c>
      <c r="C154" s="1153" t="s">
        <v>77</v>
      </c>
      <c r="D154" s="1410" t="s">
        <v>2340</v>
      </c>
      <c r="E154" s="1126"/>
      <c r="F154" s="1138">
        <v>0.0</v>
      </c>
      <c r="G154" s="1126"/>
      <c r="H154" s="1138">
        <v>2.0</v>
      </c>
      <c r="I154" s="1126"/>
      <c r="J154" s="1138"/>
      <c r="K154" s="1126"/>
      <c r="L154" s="1138">
        <v>2.0</v>
      </c>
      <c r="M154" s="1126"/>
      <c r="N154" s="1138"/>
      <c r="O154" s="1126"/>
      <c r="P154" s="1121"/>
      <c r="Q154" s="1120"/>
      <c r="R154" s="1138"/>
      <c r="S154" s="1137"/>
      <c r="T154" s="1138"/>
      <c r="U154" s="1137"/>
      <c r="V154" s="1138"/>
      <c r="W154" s="1137"/>
      <c r="X154" s="1138"/>
      <c r="Y154" s="1137"/>
      <c r="Z154" s="1138">
        <v>3.0</v>
      </c>
      <c r="AA154" s="1120"/>
      <c r="AB154" s="1138"/>
      <c r="AC154" s="1137"/>
      <c r="AD154" s="1138"/>
      <c r="AE154" s="1411"/>
      <c r="AF154" s="1412"/>
      <c r="AG154" s="1413"/>
      <c r="AH154" s="1412"/>
      <c r="AI154" s="1413"/>
      <c r="AJ154" s="1412"/>
      <c r="AK154" s="1411"/>
      <c r="AL154" s="1412"/>
      <c r="AM154" s="1411"/>
      <c r="AN154" s="1167"/>
      <c r="AO154" s="1411"/>
      <c r="AP154" s="1167"/>
      <c r="AQ154" s="1411"/>
      <c r="AR154" s="1168"/>
      <c r="AS154" s="1075"/>
      <c r="AT154" s="1168"/>
      <c r="AU154" s="1126"/>
      <c r="AV154" s="1121"/>
      <c r="AW154" s="1134"/>
      <c r="AX154" s="1138"/>
      <c r="AY154" s="1129">
        <f t="shared" si="118"/>
        <v>1</v>
      </c>
      <c r="AZ154" s="1385">
        <f t="shared" si="119"/>
        <v>7</v>
      </c>
      <c r="BA154" s="1385">
        <f t="shared" si="122"/>
        <v>7</v>
      </c>
      <c r="BB154" s="726"/>
      <c r="BC154" s="1165"/>
      <c r="BD154" s="1166"/>
    </row>
    <row r="155" ht="15.75" customHeight="1">
      <c r="A155" s="1109">
        <v>22.0</v>
      </c>
      <c r="B155" s="1171"/>
      <c r="C155" s="1153"/>
      <c r="D155" s="721"/>
      <c r="E155" s="1126"/>
      <c r="F155" s="1138"/>
      <c r="G155" s="1126"/>
      <c r="H155" s="1170"/>
      <c r="I155" s="1126"/>
      <c r="J155" s="1170"/>
      <c r="K155" s="1126"/>
      <c r="L155" s="1138"/>
      <c r="M155" s="1126"/>
      <c r="N155" s="1138"/>
      <c r="O155" s="1126"/>
      <c r="P155" s="1121"/>
      <c r="Q155" s="1120"/>
      <c r="R155" s="1138"/>
      <c r="S155" s="1137"/>
      <c r="T155" s="1138"/>
      <c r="U155" s="1137"/>
      <c r="V155" s="1138"/>
      <c r="W155" s="1137"/>
      <c r="X155" s="1138"/>
      <c r="Y155" s="1137"/>
      <c r="Z155" s="1138"/>
      <c r="AA155" s="1120"/>
      <c r="AB155" s="1138"/>
      <c r="AC155" s="1137"/>
      <c r="AD155" s="1138"/>
      <c r="AE155" s="1137"/>
      <c r="AF155" s="1121"/>
      <c r="AG155" s="1120"/>
      <c r="AH155" s="1121"/>
      <c r="AI155" s="1120"/>
      <c r="AJ155" s="1121"/>
      <c r="AK155" s="1137"/>
      <c r="AL155" s="1121"/>
      <c r="AM155" s="1137"/>
      <c r="AN155" s="1138"/>
      <c r="AO155" s="1126"/>
      <c r="AP155" s="1138"/>
      <c r="AQ155" s="1126"/>
      <c r="AR155" s="1138"/>
      <c r="AS155" s="1126"/>
      <c r="AT155" s="1138"/>
      <c r="AU155" s="1126"/>
      <c r="AV155" s="1121"/>
      <c r="AW155" s="1134"/>
      <c r="AX155" s="1138"/>
      <c r="AY155" s="1129">
        <f t="shared" si="118"/>
        <v>1</v>
      </c>
      <c r="AZ155" s="1385">
        <f t="shared" si="119"/>
        <v>0</v>
      </c>
      <c r="BA155" s="1385">
        <f t="shared" si="122"/>
        <v>0</v>
      </c>
      <c r="BB155" s="726"/>
      <c r="BC155" s="1165"/>
      <c r="BD155" s="1166"/>
    </row>
    <row r="156" ht="15.75" customHeight="1">
      <c r="A156" s="1130">
        <v>23.0</v>
      </c>
      <c r="B156" s="1171"/>
      <c r="C156" s="1153"/>
      <c r="D156" s="1414"/>
      <c r="E156" s="1126"/>
      <c r="F156" s="1138"/>
      <c r="G156" s="1126"/>
      <c r="H156" s="1138"/>
      <c r="I156" s="1126"/>
      <c r="J156" s="1138"/>
      <c r="K156" s="1126"/>
      <c r="L156" s="1138"/>
      <c r="M156" s="1126"/>
      <c r="N156" s="1138"/>
      <c r="O156" s="1120"/>
      <c r="P156" s="1131"/>
      <c r="Q156" s="1126"/>
      <c r="R156" s="1138"/>
      <c r="S156" s="1126"/>
      <c r="T156" s="1138"/>
      <c r="U156" s="1126"/>
      <c r="V156" s="1138"/>
      <c r="W156" s="1126"/>
      <c r="X156" s="1138"/>
      <c r="Y156" s="1126"/>
      <c r="Z156" s="1138"/>
      <c r="AA156" s="1126"/>
      <c r="AB156" s="1138"/>
      <c r="AC156" s="1126"/>
      <c r="AD156" s="1138"/>
      <c r="AE156" s="1126"/>
      <c r="AF156" s="1138"/>
      <c r="AG156" s="1126"/>
      <c r="AH156" s="1138"/>
      <c r="AI156" s="1126"/>
      <c r="AJ156" s="1138"/>
      <c r="AK156" s="1126"/>
      <c r="AL156" s="1138"/>
      <c r="AM156" s="1126"/>
      <c r="AN156" s="1138"/>
      <c r="AO156" s="1126"/>
      <c r="AP156" s="1121"/>
      <c r="AQ156" s="1126"/>
      <c r="AR156" s="1121"/>
      <c r="AS156" s="1126"/>
      <c r="AT156" s="1121"/>
      <c r="AU156" s="1126"/>
      <c r="AV156" s="1121"/>
      <c r="AW156" s="1137"/>
      <c r="AX156" s="1138"/>
      <c r="AY156" s="1129">
        <f t="shared" si="118"/>
        <v>1</v>
      </c>
      <c r="AZ156" s="1385">
        <f t="shared" si="119"/>
        <v>0</v>
      </c>
      <c r="BA156" s="1385">
        <f t="shared" si="122"/>
        <v>0</v>
      </c>
      <c r="BB156" s="726"/>
      <c r="BC156" s="1165"/>
      <c r="BD156" s="1166"/>
    </row>
    <row r="157" ht="15.75" customHeight="1">
      <c r="A157" s="1109">
        <v>24.0</v>
      </c>
      <c r="B157" s="1171"/>
      <c r="C157" s="1153"/>
      <c r="D157" s="1414"/>
      <c r="E157" s="1126"/>
      <c r="F157" s="1138"/>
      <c r="G157" s="1126"/>
      <c r="H157" s="1138"/>
      <c r="I157" s="1126"/>
      <c r="J157" s="1138"/>
      <c r="K157" s="1126"/>
      <c r="L157" s="1138"/>
      <c r="M157" s="1126"/>
      <c r="N157" s="1138"/>
      <c r="O157" s="1126"/>
      <c r="P157" s="1138"/>
      <c r="Q157" s="1120"/>
      <c r="R157" s="1138"/>
      <c r="S157" s="1137"/>
      <c r="T157" s="1138"/>
      <c r="U157" s="1126"/>
      <c r="V157" s="1138"/>
      <c r="W157" s="1126"/>
      <c r="X157" s="1138"/>
      <c r="Y157" s="1126"/>
      <c r="Z157" s="1138"/>
      <c r="AA157" s="1120"/>
      <c r="AB157" s="1138"/>
      <c r="AC157" s="1137"/>
      <c r="AD157" s="1138"/>
      <c r="AE157" s="1137"/>
      <c r="AF157" s="1138"/>
      <c r="AG157" s="1137"/>
      <c r="AH157" s="1138"/>
      <c r="AI157" s="1137"/>
      <c r="AJ157" s="1138"/>
      <c r="AK157" s="1120"/>
      <c r="AL157" s="1138"/>
      <c r="AM157" s="1137"/>
      <c r="AN157" s="1138"/>
      <c r="AO157" s="1126"/>
      <c r="AP157" s="1121"/>
      <c r="AQ157" s="1126"/>
      <c r="AR157" s="1121"/>
      <c r="AS157" s="1126"/>
      <c r="AT157" s="1121"/>
      <c r="AU157" s="1126"/>
      <c r="AV157" s="1121"/>
      <c r="AW157" s="1120"/>
      <c r="AX157" s="1138"/>
      <c r="AY157" s="1129">
        <f t="shared" si="118"/>
        <v>1</v>
      </c>
      <c r="AZ157" s="1385">
        <f t="shared" si="119"/>
        <v>0</v>
      </c>
      <c r="BA157" s="1385">
        <f t="shared" si="122"/>
        <v>0</v>
      </c>
      <c r="BB157" s="726"/>
      <c r="BC157" s="1165"/>
      <c r="BD157" s="1166"/>
    </row>
    <row r="158" ht="15.75" customHeight="1">
      <c r="A158" s="1109">
        <v>25.0</v>
      </c>
      <c r="B158" s="1171"/>
      <c r="C158" s="1153"/>
      <c r="D158" s="1415"/>
      <c r="E158" s="1126"/>
      <c r="F158" s="1138"/>
      <c r="G158" s="1126"/>
      <c r="H158" s="1138"/>
      <c r="I158" s="1126"/>
      <c r="J158" s="1138"/>
      <c r="K158" s="1126"/>
      <c r="L158" s="1138"/>
      <c r="M158" s="1126"/>
      <c r="N158" s="1138"/>
      <c r="O158" s="1120"/>
      <c r="P158" s="1131"/>
      <c r="Q158" s="1126"/>
      <c r="R158" s="1138"/>
      <c r="S158" s="1126"/>
      <c r="T158" s="1138"/>
      <c r="U158" s="1126"/>
      <c r="V158" s="1138"/>
      <c r="W158" s="1126"/>
      <c r="X158" s="1138"/>
      <c r="Y158" s="1126"/>
      <c r="Z158" s="1138"/>
      <c r="AA158" s="1126"/>
      <c r="AB158" s="1138"/>
      <c r="AC158" s="1126"/>
      <c r="AD158" s="1138"/>
      <c r="AE158" s="1126"/>
      <c r="AF158" s="1138"/>
      <c r="AG158" s="1126"/>
      <c r="AH158" s="1138"/>
      <c r="AI158" s="1126"/>
      <c r="AJ158" s="1138"/>
      <c r="AK158" s="1126"/>
      <c r="AL158" s="1138"/>
      <c r="AM158" s="1126"/>
      <c r="AN158" s="1138"/>
      <c r="AO158" s="1126"/>
      <c r="AP158" s="1138"/>
      <c r="AQ158" s="1126"/>
      <c r="AR158" s="1138"/>
      <c r="AS158" s="1126"/>
      <c r="AT158" s="1138"/>
      <c r="AU158" s="1126"/>
      <c r="AV158" s="1138"/>
      <c r="AW158" s="1137"/>
      <c r="AX158" s="1138"/>
      <c r="AY158" s="1129">
        <f t="shared" si="118"/>
        <v>1</v>
      </c>
      <c r="AZ158" s="1385">
        <f t="shared" si="119"/>
        <v>0</v>
      </c>
      <c r="BA158" s="1385">
        <f t="shared" si="122"/>
        <v>0</v>
      </c>
      <c r="BB158" s="726"/>
      <c r="BC158" s="1165"/>
      <c r="BD158" s="1166"/>
    </row>
    <row r="159" ht="15.75" customHeight="1">
      <c r="A159" s="1130">
        <v>26.0</v>
      </c>
      <c r="B159" s="1171"/>
      <c r="C159" s="1174"/>
      <c r="D159" s="1414"/>
      <c r="E159" s="1126"/>
      <c r="F159" s="1138"/>
      <c r="G159" s="1126"/>
      <c r="H159" s="1138"/>
      <c r="I159" s="1126"/>
      <c r="J159" s="1138"/>
      <c r="K159" s="1126"/>
      <c r="L159" s="1138"/>
      <c r="M159" s="1126"/>
      <c r="N159" s="1138"/>
      <c r="O159" s="1126"/>
      <c r="P159" s="1138"/>
      <c r="Q159" s="1120"/>
      <c r="R159" s="1138"/>
      <c r="S159" s="1137"/>
      <c r="T159" s="1138"/>
      <c r="U159" s="1126"/>
      <c r="V159" s="1138"/>
      <c r="W159" s="1126"/>
      <c r="X159" s="1138"/>
      <c r="Y159" s="1126"/>
      <c r="Z159" s="1138"/>
      <c r="AA159" s="1120"/>
      <c r="AB159" s="1138"/>
      <c r="AC159" s="1137"/>
      <c r="AD159" s="1138"/>
      <c r="AE159" s="1137"/>
      <c r="AF159" s="1138"/>
      <c r="AG159" s="1137"/>
      <c r="AH159" s="1138"/>
      <c r="AI159" s="1137"/>
      <c r="AJ159" s="1138"/>
      <c r="AK159" s="1120"/>
      <c r="AL159" s="1138"/>
      <c r="AM159" s="1087"/>
      <c r="AN159" s="1138"/>
      <c r="AO159" s="1126"/>
      <c r="AP159" s="1138"/>
      <c r="AQ159" s="1126"/>
      <c r="AR159" s="1138"/>
      <c r="AS159" s="1126"/>
      <c r="AT159" s="1138"/>
      <c r="AU159" s="1126"/>
      <c r="AV159" s="1138"/>
      <c r="AW159" s="1175"/>
      <c r="AX159" s="1138"/>
      <c r="AY159" s="1129">
        <f t="shared" si="118"/>
        <v>1</v>
      </c>
      <c r="AZ159" s="1385">
        <f t="shared" si="119"/>
        <v>0</v>
      </c>
      <c r="BA159" s="1385">
        <f t="shared" si="122"/>
        <v>0</v>
      </c>
      <c r="BB159" s="726"/>
      <c r="BC159" s="1165"/>
      <c r="BD159" s="1166"/>
    </row>
    <row r="160" ht="15.75" customHeight="1">
      <c r="A160" s="1177"/>
      <c r="B160" s="1002"/>
      <c r="C160" s="1416"/>
      <c r="D160" s="1417"/>
      <c r="E160" s="1182"/>
      <c r="F160" s="1418"/>
      <c r="G160" s="1182"/>
      <c r="H160" s="1418"/>
      <c r="I160" s="1182"/>
      <c r="J160" s="1418"/>
      <c r="K160" s="1209"/>
      <c r="L160" s="1188"/>
      <c r="M160" s="1209"/>
      <c r="N160" s="1187"/>
      <c r="O160" s="1209"/>
      <c r="P160" s="1187"/>
      <c r="Q160" s="1209"/>
      <c r="R160" s="1187"/>
      <c r="S160" s="1209"/>
      <c r="T160" s="1187"/>
      <c r="U160" s="546"/>
      <c r="V160" s="1187"/>
      <c r="W160" s="546"/>
      <c r="X160" s="1187"/>
      <c r="Y160" s="1209"/>
      <c r="Z160" s="1187"/>
      <c r="AA160" s="1209"/>
      <c r="AB160" s="1187"/>
      <c r="AC160" s="1209"/>
      <c r="AD160" s="1187"/>
      <c r="AE160" s="1209"/>
      <c r="AG160" s="1014"/>
      <c r="AI160" s="1014"/>
      <c r="AK160" s="1209"/>
      <c r="AL160" s="1187"/>
      <c r="AM160" s="1209"/>
      <c r="AN160" s="1187"/>
      <c r="AO160" s="1187"/>
      <c r="AP160" s="1187"/>
      <c r="AQ160" s="1187"/>
      <c r="AR160" s="1187"/>
      <c r="AS160" s="1187"/>
      <c r="AT160" s="1187"/>
      <c r="AU160" s="1187"/>
      <c r="AV160" s="1187"/>
      <c r="AW160" s="1187"/>
      <c r="AX160" s="1187"/>
      <c r="AY160" s="1185">
        <f t="shared" ref="AY160:AZ160" si="125">SUM(AY132:AY159)</f>
        <v>727</v>
      </c>
      <c r="AZ160" s="1185">
        <f t="shared" si="125"/>
        <v>469</v>
      </c>
      <c r="BA160" s="1385">
        <f t="shared" si="122"/>
        <v>340963</v>
      </c>
      <c r="BB160" s="1187"/>
      <c r="BC160" s="1165" t="s">
        <v>1352</v>
      </c>
      <c r="BD160" s="1166">
        <f>SUM(BD132:BD150)</f>
        <v>84.49</v>
      </c>
    </row>
    <row r="161" ht="15.75" customHeight="1">
      <c r="A161" s="1177"/>
      <c r="B161" s="1002"/>
      <c r="C161" s="1416" t="s">
        <v>1353</v>
      </c>
      <c r="D161" s="1419"/>
      <c r="E161" s="1420"/>
      <c r="F161" s="1420"/>
      <c r="G161" s="1420"/>
      <c r="H161" s="1188"/>
      <c r="I161" s="1209"/>
      <c r="J161" s="1188"/>
      <c r="K161" s="1209"/>
      <c r="L161" s="1188"/>
      <c r="M161" s="1209"/>
      <c r="N161" s="1187"/>
      <c r="O161" s="13"/>
      <c r="P161" s="677"/>
      <c r="U161" s="1012"/>
      <c r="W161" s="1012"/>
      <c r="Y161" s="63"/>
      <c r="AA161" s="63"/>
      <c r="AG161" s="1014"/>
      <c r="AI161" s="1014"/>
      <c r="AY161" s="977"/>
      <c r="BA161" s="1385">
        <f t="shared" si="122"/>
        <v>0</v>
      </c>
      <c r="BD161" s="1192"/>
    </row>
    <row r="162" ht="15.75" customHeight="1">
      <c r="A162" s="1177"/>
      <c r="B162" s="1002"/>
      <c r="C162" s="1178"/>
      <c r="D162" s="1186"/>
      <c r="E162" s="1187"/>
      <c r="F162" s="1188"/>
      <c r="G162" s="1187"/>
      <c r="H162" s="1188"/>
      <c r="I162" s="1187"/>
      <c r="J162" s="1188"/>
      <c r="K162" s="1187"/>
      <c r="L162" s="1188"/>
      <c r="M162" s="1187"/>
      <c r="N162" s="1187"/>
      <c r="O162" s="1187"/>
      <c r="P162" s="1187"/>
      <c r="Q162" s="1187"/>
      <c r="R162" s="1187"/>
      <c r="S162" s="1187"/>
      <c r="T162" s="1187"/>
      <c r="U162" s="757"/>
      <c r="V162" s="1187"/>
      <c r="W162" s="757"/>
      <c r="X162" s="1187"/>
      <c r="Y162" s="1187"/>
      <c r="Z162" s="1187"/>
      <c r="AA162" s="1187"/>
      <c r="AB162" s="1187"/>
      <c r="AC162" s="1187"/>
      <c r="AD162" s="1187"/>
      <c r="AE162" s="1187"/>
      <c r="AF162" s="1187"/>
      <c r="AG162" s="757"/>
      <c r="AH162" s="1187"/>
      <c r="AI162" s="757"/>
      <c r="AJ162" s="1187"/>
      <c r="AK162" s="1187"/>
      <c r="AL162" s="1187"/>
      <c r="AM162" s="1187"/>
      <c r="AN162" s="1187"/>
      <c r="AO162" s="1187"/>
      <c r="AP162" s="1187"/>
      <c r="AQ162" s="1187"/>
      <c r="AR162" s="1187"/>
      <c r="AS162" s="1187"/>
      <c r="AT162" s="1187"/>
      <c r="AU162" s="1187"/>
      <c r="AV162" s="1187"/>
      <c r="AW162" s="1187"/>
      <c r="AX162" s="1187"/>
      <c r="AY162" s="1187"/>
      <c r="AZ162" s="1187"/>
      <c r="BA162" s="1187"/>
      <c r="BB162" s="1187"/>
      <c r="BD162" s="1192"/>
    </row>
    <row r="163" ht="15.75" customHeight="1">
      <c r="A163" s="1194" t="s">
        <v>1354</v>
      </c>
      <c r="B163" s="1195"/>
      <c r="C163" s="1196">
        <f>C128</f>
        <v>46030</v>
      </c>
      <c r="D163" s="1197" t="s">
        <v>1355</v>
      </c>
      <c r="E163" s="1198"/>
      <c r="F163" s="1199"/>
      <c r="G163" s="13"/>
      <c r="H163" s="677"/>
      <c r="I163" s="13" t="s">
        <v>1356</v>
      </c>
      <c r="J163" s="677"/>
      <c r="K163" s="11"/>
      <c r="L163" s="23"/>
      <c r="M163" s="13"/>
      <c r="N163" s="13"/>
      <c r="O163" s="13"/>
      <c r="P163" s="677"/>
      <c r="U163" s="1189"/>
      <c r="W163" s="1189"/>
      <c r="Y163" s="1190"/>
      <c r="AA163" s="1190"/>
      <c r="AG163" s="701"/>
      <c r="AI163" s="701"/>
      <c r="AY163" s="977"/>
      <c r="BD163" s="1192"/>
    </row>
    <row r="164" ht="18.75" customHeight="1">
      <c r="A164" s="1109" t="s">
        <v>10</v>
      </c>
      <c r="B164" s="1111" t="str">
        <f>B129</f>
        <v>Код</v>
      </c>
      <c r="C164" s="1200" t="s">
        <v>1284</v>
      </c>
      <c r="D164" s="80" t="s">
        <v>471</v>
      </c>
      <c r="E164" s="1321" t="s">
        <v>1357</v>
      </c>
      <c r="F164" s="69"/>
      <c r="G164" s="1321" t="s">
        <v>1287</v>
      </c>
      <c r="H164" s="69"/>
      <c r="I164" s="1322" t="s">
        <v>1358</v>
      </c>
      <c r="J164" s="69"/>
      <c r="K164" s="1321" t="s">
        <v>1359</v>
      </c>
      <c r="L164" s="69"/>
      <c r="M164" s="1321" t="s">
        <v>1360</v>
      </c>
      <c r="N164" s="69"/>
      <c r="O164" s="1321" t="s">
        <v>1361</v>
      </c>
      <c r="P164" s="69"/>
      <c r="Q164" s="1321" t="s">
        <v>1362</v>
      </c>
      <c r="R164" s="69"/>
      <c r="S164" s="1321" t="s">
        <v>1299</v>
      </c>
      <c r="T164" s="69"/>
      <c r="U164" s="1323" t="s">
        <v>1301</v>
      </c>
      <c r="V164" s="69"/>
      <c r="W164" s="1323" t="s">
        <v>1363</v>
      </c>
      <c r="X164" s="69"/>
      <c r="Y164" s="1323" t="s">
        <v>1305</v>
      </c>
      <c r="Z164" s="69"/>
      <c r="AA164" s="1323" t="s">
        <v>1307</v>
      </c>
      <c r="AB164" s="69"/>
      <c r="AC164" s="1323" t="s">
        <v>1309</v>
      </c>
      <c r="AD164" s="69"/>
      <c r="AE164" s="1323" t="s">
        <v>1311</v>
      </c>
      <c r="AF164" s="69"/>
      <c r="AG164" s="1323" t="s">
        <v>1313</v>
      </c>
      <c r="AH164" s="69"/>
      <c r="AI164" s="1323" t="s">
        <v>1315</v>
      </c>
      <c r="AJ164" s="69"/>
      <c r="AK164" s="1323" t="s">
        <v>1317</v>
      </c>
      <c r="AL164" s="69"/>
      <c r="AM164" s="1323" t="s">
        <v>1319</v>
      </c>
      <c r="AN164" s="69"/>
      <c r="AO164" s="1323" t="s">
        <v>1321</v>
      </c>
      <c r="AP164" s="69"/>
      <c r="AQ164" s="1323" t="s">
        <v>1323</v>
      </c>
      <c r="AR164" s="69"/>
      <c r="AS164" s="1323" t="s">
        <v>1325</v>
      </c>
      <c r="AT164" s="69"/>
      <c r="AU164" s="1323" t="s">
        <v>1327</v>
      </c>
      <c r="AV164" s="69"/>
      <c r="AW164" s="1323" t="s">
        <v>297</v>
      </c>
      <c r="AX164" s="69"/>
      <c r="AY164" s="1073" t="s">
        <v>5</v>
      </c>
      <c r="AZ164" s="11"/>
      <c r="BA164" s="11"/>
      <c r="BB164" s="11"/>
      <c r="BD164" s="1192"/>
    </row>
    <row r="165" ht="18.75" customHeight="1">
      <c r="A165" s="1109">
        <f t="shared" ref="A165:D165" si="126">A132</f>
        <v>1</v>
      </c>
      <c r="B165" s="1111">
        <f t="shared" si="126"/>
        <v>3196</v>
      </c>
      <c r="C165" s="1200" t="str">
        <f t="shared" si="126"/>
        <v>Завтрак </v>
      </c>
      <c r="D165" s="591" t="str">
        <f t="shared" si="126"/>
        <v/>
      </c>
      <c r="E165" s="1072" t="str">
        <f t="shared" ref="E165:E167" si="128">F132</f>
        <v/>
      </c>
      <c r="F165" s="69"/>
      <c r="G165" s="1072" t="str">
        <f t="shared" ref="G165:G167" si="129">H132</f>
        <v/>
      </c>
      <c r="H165" s="69"/>
      <c r="I165" s="1422" t="str">
        <f t="shared" ref="I165:I167" si="130">J132</f>
        <v/>
      </c>
      <c r="J165" s="69"/>
      <c r="K165" s="1072" t="str">
        <f t="shared" ref="K165:K167" si="131">L132</f>
        <v/>
      </c>
      <c r="L165" s="69"/>
      <c r="M165" s="1072" t="str">
        <f t="shared" ref="M165:M167" si="132">N132</f>
        <v/>
      </c>
      <c r="N165" s="69"/>
      <c r="O165" s="1072" t="str">
        <f t="shared" ref="O165:O167" si="133">P132</f>
        <v/>
      </c>
      <c r="P165" s="69"/>
      <c r="Q165" s="1072" t="str">
        <f t="shared" ref="Q165:Q167" si="134">R132</f>
        <v/>
      </c>
      <c r="R165" s="69"/>
      <c r="S165" s="1072" t="str">
        <f t="shared" ref="S165:S167" si="135">T132</f>
        <v/>
      </c>
      <c r="T165" s="69"/>
      <c r="U165" s="1426" t="str">
        <f t="shared" ref="U165:U167" si="136">V132</f>
        <v/>
      </c>
      <c r="V165" s="69"/>
      <c r="W165" s="1426" t="str">
        <f t="shared" ref="W165:W167" si="137">X132</f>
        <v/>
      </c>
      <c r="X165" s="69"/>
      <c r="Y165" s="1426" t="str">
        <f t="shared" ref="Y165:Y167" si="138">Z132</f>
        <v/>
      </c>
      <c r="Z165" s="69"/>
      <c r="AA165" s="1427" t="str">
        <f t="shared" ref="AA165:AA167" si="139">AB132</f>
        <v/>
      </c>
      <c r="AB165" s="69"/>
      <c r="AC165" s="1427" t="str">
        <f t="shared" ref="AC165:AC167" si="140">AD132</f>
        <v/>
      </c>
      <c r="AD165" s="69"/>
      <c r="AE165" s="1427" t="str">
        <f t="shared" ref="AE165:AE167" si="141">AF132</f>
        <v/>
      </c>
      <c r="AF165" s="69"/>
      <c r="AG165" s="1427" t="str">
        <f t="shared" ref="AG165:AG167" si="142">AH132</f>
        <v/>
      </c>
      <c r="AH165" s="69"/>
      <c r="AI165" s="1427" t="str">
        <f t="shared" ref="AI165:AI167" si="143">AJ132</f>
        <v/>
      </c>
      <c r="AJ165" s="69"/>
      <c r="AK165" s="1427" t="str">
        <f t="shared" ref="AK165:AK167" si="144">AL132</f>
        <v/>
      </c>
      <c r="AL165" s="69"/>
      <c r="AM165" s="1427" t="str">
        <f t="shared" ref="AM165:AM167" si="145">AN132</f>
        <v/>
      </c>
      <c r="AN165" s="69"/>
      <c r="AO165" s="1427" t="str">
        <f t="shared" ref="AO165:AO167" si="146">AP132</f>
        <v/>
      </c>
      <c r="AP165" s="69"/>
      <c r="AQ165" s="1427" t="str">
        <f t="shared" ref="AQ165:AQ167" si="147">AR132</f>
        <v/>
      </c>
      <c r="AR165" s="69"/>
      <c r="AS165" s="1427" t="str">
        <f t="shared" ref="AS165:AS167" si="148">AT132</f>
        <v/>
      </c>
      <c r="AT165" s="69"/>
      <c r="AU165" s="1427" t="str">
        <f t="shared" ref="AU165:AU167" si="149">AV132</f>
        <v/>
      </c>
      <c r="AV165" s="69"/>
      <c r="AW165" s="1427" t="str">
        <f t="shared" ref="AW165:AW167" si="150">AX132</f>
        <v/>
      </c>
      <c r="AX165" s="69"/>
      <c r="AY165" s="1073">
        <f t="shared" ref="AY165:AY190" si="151">SUM(E165:AX165)</f>
        <v>0</v>
      </c>
      <c r="AZ165" s="1188"/>
      <c r="BA165" s="1188"/>
      <c r="BB165" s="1188"/>
      <c r="BD165" s="1192"/>
    </row>
    <row r="166" ht="18.75" customHeight="1">
      <c r="A166" s="1109">
        <f t="shared" ref="A166:D166" si="127">A133</f>
        <v>2</v>
      </c>
      <c r="B166" s="1111">
        <f t="shared" si="127"/>
        <v>3523</v>
      </c>
      <c r="C166" s="1200" t="str">
        <f t="shared" si="127"/>
        <v>Завтрак </v>
      </c>
      <c r="D166" s="591" t="str">
        <f t="shared" si="127"/>
        <v/>
      </c>
      <c r="E166" s="1072" t="str">
        <f t="shared" si="128"/>
        <v/>
      </c>
      <c r="F166" s="69"/>
      <c r="G166" s="1072" t="str">
        <f t="shared" si="129"/>
        <v/>
      </c>
      <c r="H166" s="69"/>
      <c r="I166" s="1422" t="str">
        <f t="shared" si="130"/>
        <v/>
      </c>
      <c r="J166" s="69"/>
      <c r="K166" s="1072" t="str">
        <f t="shared" si="131"/>
        <v/>
      </c>
      <c r="L166" s="69"/>
      <c r="M166" s="1072" t="str">
        <f t="shared" si="132"/>
        <v/>
      </c>
      <c r="N166" s="69"/>
      <c r="O166" s="1072" t="str">
        <f t="shared" si="133"/>
        <v/>
      </c>
      <c r="P166" s="69"/>
      <c r="Q166" s="1072" t="str">
        <f t="shared" si="134"/>
        <v/>
      </c>
      <c r="R166" s="69"/>
      <c r="S166" s="1072" t="str">
        <f t="shared" si="135"/>
        <v/>
      </c>
      <c r="T166" s="69"/>
      <c r="U166" s="1426" t="str">
        <f t="shared" si="136"/>
        <v/>
      </c>
      <c r="V166" s="69"/>
      <c r="W166" s="1426" t="str">
        <f t="shared" si="137"/>
        <v/>
      </c>
      <c r="X166" s="69"/>
      <c r="Y166" s="1426" t="str">
        <f t="shared" si="138"/>
        <v/>
      </c>
      <c r="Z166" s="69"/>
      <c r="AA166" s="1427" t="str">
        <f t="shared" si="139"/>
        <v/>
      </c>
      <c r="AB166" s="69"/>
      <c r="AC166" s="1427" t="str">
        <f t="shared" si="140"/>
        <v/>
      </c>
      <c r="AD166" s="69"/>
      <c r="AE166" s="1427" t="str">
        <f t="shared" si="141"/>
        <v/>
      </c>
      <c r="AF166" s="69"/>
      <c r="AG166" s="1427" t="str">
        <f t="shared" si="142"/>
        <v/>
      </c>
      <c r="AH166" s="69"/>
      <c r="AI166" s="1427" t="str">
        <f t="shared" si="143"/>
        <v/>
      </c>
      <c r="AJ166" s="69"/>
      <c r="AK166" s="1427" t="str">
        <f t="shared" si="144"/>
        <v/>
      </c>
      <c r="AL166" s="69"/>
      <c r="AM166" s="1427" t="str">
        <f t="shared" si="145"/>
        <v/>
      </c>
      <c r="AN166" s="69"/>
      <c r="AO166" s="1427" t="str">
        <f t="shared" si="146"/>
        <v/>
      </c>
      <c r="AP166" s="69"/>
      <c r="AQ166" s="1427" t="str">
        <f t="shared" si="147"/>
        <v/>
      </c>
      <c r="AR166" s="69"/>
      <c r="AS166" s="1427" t="str">
        <f t="shared" si="148"/>
        <v/>
      </c>
      <c r="AT166" s="69"/>
      <c r="AU166" s="1427" t="str">
        <f t="shared" si="149"/>
        <v/>
      </c>
      <c r="AV166" s="69"/>
      <c r="AW166" s="1427" t="str">
        <f t="shared" si="150"/>
        <v/>
      </c>
      <c r="AX166" s="69"/>
      <c r="AY166" s="1073">
        <f t="shared" si="151"/>
        <v>0</v>
      </c>
      <c r="AZ166" s="1188"/>
      <c r="BA166" s="1188"/>
      <c r="BB166" s="1188"/>
      <c r="BD166" s="1192"/>
    </row>
    <row r="167" ht="18.75" customHeight="1">
      <c r="A167" s="1109">
        <f t="shared" ref="A167:D167" si="152">A134</f>
        <v>3</v>
      </c>
      <c r="B167" s="1111" t="str">
        <f t="shared" si="152"/>
        <v/>
      </c>
      <c r="C167" s="1200" t="str">
        <f t="shared" si="152"/>
        <v/>
      </c>
      <c r="D167" s="591" t="str">
        <f t="shared" si="152"/>
        <v/>
      </c>
      <c r="E167" s="1072" t="str">
        <f t="shared" si="128"/>
        <v/>
      </c>
      <c r="F167" s="69"/>
      <c r="G167" s="1072" t="str">
        <f t="shared" si="129"/>
        <v/>
      </c>
      <c r="H167" s="69"/>
      <c r="I167" s="1422" t="str">
        <f t="shared" si="130"/>
        <v/>
      </c>
      <c r="J167" s="69"/>
      <c r="K167" s="1072" t="str">
        <f t="shared" si="131"/>
        <v/>
      </c>
      <c r="L167" s="69"/>
      <c r="M167" s="1072" t="str">
        <f t="shared" si="132"/>
        <v/>
      </c>
      <c r="N167" s="69"/>
      <c r="O167" s="1072" t="str">
        <f t="shared" si="133"/>
        <v/>
      </c>
      <c r="P167" s="69"/>
      <c r="Q167" s="1072" t="str">
        <f t="shared" si="134"/>
        <v/>
      </c>
      <c r="R167" s="69"/>
      <c r="S167" s="1072" t="str">
        <f t="shared" si="135"/>
        <v/>
      </c>
      <c r="T167" s="69"/>
      <c r="U167" s="1426" t="str">
        <f t="shared" si="136"/>
        <v/>
      </c>
      <c r="V167" s="69"/>
      <c r="W167" s="1426" t="str">
        <f t="shared" si="137"/>
        <v/>
      </c>
      <c r="X167" s="69"/>
      <c r="Y167" s="1426" t="str">
        <f t="shared" si="138"/>
        <v/>
      </c>
      <c r="Z167" s="69"/>
      <c r="AA167" s="1427" t="str">
        <f t="shared" si="139"/>
        <v/>
      </c>
      <c r="AB167" s="69"/>
      <c r="AC167" s="1427" t="str">
        <f t="shared" si="140"/>
        <v/>
      </c>
      <c r="AD167" s="69"/>
      <c r="AE167" s="1427" t="str">
        <f t="shared" si="141"/>
        <v/>
      </c>
      <c r="AF167" s="69"/>
      <c r="AG167" s="1427" t="str">
        <f t="shared" si="142"/>
        <v/>
      </c>
      <c r="AH167" s="69"/>
      <c r="AI167" s="1427" t="str">
        <f t="shared" si="143"/>
        <v/>
      </c>
      <c r="AJ167" s="69"/>
      <c r="AK167" s="1427" t="str">
        <f t="shared" si="144"/>
        <v/>
      </c>
      <c r="AL167" s="69"/>
      <c r="AM167" s="1427" t="str">
        <f t="shared" si="145"/>
        <v/>
      </c>
      <c r="AN167" s="69"/>
      <c r="AO167" s="1427" t="str">
        <f t="shared" si="146"/>
        <v/>
      </c>
      <c r="AP167" s="69"/>
      <c r="AQ167" s="1427" t="str">
        <f t="shared" si="147"/>
        <v/>
      </c>
      <c r="AR167" s="69"/>
      <c r="AS167" s="1427" t="str">
        <f t="shared" si="148"/>
        <v/>
      </c>
      <c r="AT167" s="69"/>
      <c r="AU167" s="1427" t="str">
        <f t="shared" si="149"/>
        <v/>
      </c>
      <c r="AV167" s="69"/>
      <c r="AW167" s="1427" t="str">
        <f t="shared" si="150"/>
        <v/>
      </c>
      <c r="AX167" s="69"/>
      <c r="AY167" s="1073">
        <f t="shared" si="151"/>
        <v>0</v>
      </c>
      <c r="AZ167" s="1188"/>
      <c r="BA167" s="1188"/>
      <c r="BB167" s="1188"/>
      <c r="BD167" s="1192"/>
    </row>
    <row r="168" ht="18.75" customHeight="1">
      <c r="A168" s="1109">
        <f t="shared" ref="A168:C168" si="153">A137</f>
        <v>4</v>
      </c>
      <c r="B168" s="1111">
        <f t="shared" si="153"/>
        <v>3433</v>
      </c>
      <c r="C168" s="1200" t="str">
        <f t="shared" si="153"/>
        <v>Салат</v>
      </c>
      <c r="D168" s="580" t="s">
        <v>2699</v>
      </c>
      <c r="E168" s="1072">
        <f t="shared" ref="E168:E190" si="155">F137</f>
        <v>22</v>
      </c>
      <c r="F168" s="69"/>
      <c r="G168" s="1072">
        <f t="shared" ref="G168:G190" si="156">H137</f>
        <v>2</v>
      </c>
      <c r="H168" s="69"/>
      <c r="I168" s="1422" t="str">
        <f t="shared" ref="I168:I190" si="157">J137</f>
        <v/>
      </c>
      <c r="J168" s="69"/>
      <c r="K168" s="1072">
        <f t="shared" ref="K168:K190" si="158">L137</f>
        <v>15</v>
      </c>
      <c r="L168" s="69"/>
      <c r="M168" s="1072">
        <f t="shared" ref="M168:M190" si="159">N137</f>
        <v>5</v>
      </c>
      <c r="N168" s="69"/>
      <c r="O168" s="1072">
        <f t="shared" ref="O168:O190" si="160">P137</f>
        <v>10</v>
      </c>
      <c r="P168" s="69"/>
      <c r="Q168" s="1072" t="str">
        <f t="shared" ref="Q168:Q190" si="161">R137</f>
        <v/>
      </c>
      <c r="R168" s="69"/>
      <c r="S168" s="1072" t="str">
        <f t="shared" ref="S168:S190" si="162">T137</f>
        <v/>
      </c>
      <c r="T168" s="69"/>
      <c r="U168" s="1426" t="str">
        <f t="shared" ref="U168:U190" si="163">V137</f>
        <v/>
      </c>
      <c r="V168" s="69"/>
      <c r="W168" s="1426">
        <f t="shared" ref="W168:W190" si="164">X137</f>
        <v>18</v>
      </c>
      <c r="X168" s="69"/>
      <c r="Y168" s="1426">
        <f t="shared" ref="Y168:Y190" si="165">Z137</f>
        <v>5</v>
      </c>
      <c r="Z168" s="69"/>
      <c r="AA168" s="1427" t="str">
        <f t="shared" ref="AA168:AA190" si="166">AB137</f>
        <v/>
      </c>
      <c r="AB168" s="69"/>
      <c r="AC168" s="1427" t="str">
        <f t="shared" ref="AC168:AC190" si="167">AD137</f>
        <v/>
      </c>
      <c r="AD168" s="69"/>
      <c r="AE168" s="1427">
        <f t="shared" ref="AE168:AE190" si="168">AF137</f>
        <v>4</v>
      </c>
      <c r="AF168" s="69"/>
      <c r="AG168" s="1427" t="str">
        <f t="shared" ref="AG168:AG190" si="169">AH137</f>
        <v/>
      </c>
      <c r="AH168" s="69"/>
      <c r="AI168" s="1427" t="str">
        <f t="shared" ref="AI168:AI190" si="170">AJ137</f>
        <v/>
      </c>
      <c r="AJ168" s="69"/>
      <c r="AK168" s="1427" t="str">
        <f t="shared" ref="AK168:AK190" si="171">AL137</f>
        <v/>
      </c>
      <c r="AL168" s="69"/>
      <c r="AM168" s="1427" t="str">
        <f t="shared" ref="AM168:AM191" si="172">AN137</f>
        <v/>
      </c>
      <c r="AN168" s="69"/>
      <c r="AO168" s="1427" t="str">
        <f t="shared" ref="AO168:AO190" si="173">AP137</f>
        <v/>
      </c>
      <c r="AP168" s="69"/>
      <c r="AQ168" s="1427">
        <f t="shared" ref="AQ168:AQ190" si="174">AR137</f>
        <v>10</v>
      </c>
      <c r="AR168" s="69"/>
      <c r="AS168" s="1427">
        <f t="shared" ref="AS168:AS190" si="175">AT137</f>
        <v>5</v>
      </c>
      <c r="AT168" s="69"/>
      <c r="AU168" s="1427">
        <f t="shared" ref="AU168:AU190" si="176">AV137</f>
        <v>10</v>
      </c>
      <c r="AV168" s="69"/>
      <c r="AW168" s="1427" t="str">
        <f t="shared" ref="AW168:AW190" si="177">AX137</f>
        <v/>
      </c>
      <c r="AX168" s="69"/>
      <c r="AY168" s="1073">
        <f t="shared" si="151"/>
        <v>106</v>
      </c>
      <c r="AZ168" s="1188"/>
      <c r="BA168" s="1188"/>
      <c r="BB168" s="1188"/>
      <c r="BD168" s="1192"/>
    </row>
    <row r="169" ht="18.75" customHeight="1">
      <c r="A169" s="1109">
        <f t="shared" ref="A169:D169" si="154">A138</f>
        <v>5</v>
      </c>
      <c r="B169" s="1111">
        <f t="shared" si="154"/>
        <v>3668</v>
      </c>
      <c r="C169" s="1200" t="str">
        <f t="shared" si="154"/>
        <v>Салат</v>
      </c>
      <c r="D169" s="591" t="str">
        <f t="shared" si="154"/>
        <v/>
      </c>
      <c r="E169" s="1072">
        <f t="shared" si="155"/>
        <v>23</v>
      </c>
      <c r="F169" s="69"/>
      <c r="G169" s="1072">
        <f t="shared" si="156"/>
        <v>3</v>
      </c>
      <c r="H169" s="69"/>
      <c r="I169" s="1422" t="str">
        <f t="shared" si="157"/>
        <v/>
      </c>
      <c r="J169" s="69"/>
      <c r="K169" s="1072">
        <f t="shared" si="158"/>
        <v>15</v>
      </c>
      <c r="L169" s="69"/>
      <c r="M169" s="1072">
        <f t="shared" si="159"/>
        <v>5</v>
      </c>
      <c r="N169" s="69"/>
      <c r="O169" s="1072">
        <f t="shared" si="160"/>
        <v>10</v>
      </c>
      <c r="P169" s="69"/>
      <c r="Q169" s="1072" t="str">
        <f t="shared" si="161"/>
        <v/>
      </c>
      <c r="R169" s="69"/>
      <c r="S169" s="1072" t="str">
        <f t="shared" si="162"/>
        <v/>
      </c>
      <c r="T169" s="69"/>
      <c r="U169" s="1426" t="str">
        <f t="shared" si="163"/>
        <v/>
      </c>
      <c r="V169" s="69"/>
      <c r="W169" s="1426">
        <f t="shared" si="164"/>
        <v>18</v>
      </c>
      <c r="X169" s="69"/>
      <c r="Y169" s="1426">
        <f t="shared" si="165"/>
        <v>5</v>
      </c>
      <c r="Z169" s="69"/>
      <c r="AA169" s="1427" t="str">
        <f t="shared" si="166"/>
        <v/>
      </c>
      <c r="AB169" s="69"/>
      <c r="AC169" s="1427" t="str">
        <f t="shared" si="167"/>
        <v/>
      </c>
      <c r="AD169" s="69"/>
      <c r="AE169" s="1427">
        <f t="shared" si="168"/>
        <v>4</v>
      </c>
      <c r="AF169" s="69"/>
      <c r="AG169" s="1427" t="str">
        <f t="shared" si="169"/>
        <v/>
      </c>
      <c r="AH169" s="69"/>
      <c r="AI169" s="1427" t="str">
        <f t="shared" si="170"/>
        <v/>
      </c>
      <c r="AJ169" s="69"/>
      <c r="AK169" s="1427" t="str">
        <f t="shared" si="171"/>
        <v/>
      </c>
      <c r="AL169" s="69"/>
      <c r="AM169" s="1427" t="str">
        <f t="shared" si="172"/>
        <v/>
      </c>
      <c r="AN169" s="69"/>
      <c r="AO169" s="1427" t="str">
        <f t="shared" si="173"/>
        <v/>
      </c>
      <c r="AP169" s="69"/>
      <c r="AQ169" s="1427">
        <f t="shared" si="174"/>
        <v>10</v>
      </c>
      <c r="AR169" s="69"/>
      <c r="AS169" s="1427">
        <f t="shared" si="175"/>
        <v>5</v>
      </c>
      <c r="AT169" s="69"/>
      <c r="AU169" s="1427">
        <f t="shared" si="176"/>
        <v>10</v>
      </c>
      <c r="AV169" s="69"/>
      <c r="AW169" s="1427" t="str">
        <f t="shared" si="177"/>
        <v/>
      </c>
      <c r="AX169" s="69"/>
      <c r="AY169" s="1073">
        <f t="shared" si="151"/>
        <v>108</v>
      </c>
      <c r="AZ169" s="1188"/>
      <c r="BA169" s="1188"/>
      <c r="BB169" s="1188"/>
      <c r="BD169" s="1192"/>
    </row>
    <row r="170" ht="18.75" customHeight="1">
      <c r="A170" s="1109">
        <f t="shared" ref="A170:D170" si="178">A139</f>
        <v>6</v>
      </c>
      <c r="B170" s="1111" t="str">
        <f t="shared" si="178"/>
        <v/>
      </c>
      <c r="C170" s="1200" t="str">
        <f t="shared" si="178"/>
        <v>Салат</v>
      </c>
      <c r="D170" s="591" t="str">
        <f t="shared" si="178"/>
        <v/>
      </c>
      <c r="E170" s="1435" t="str">
        <f t="shared" si="155"/>
        <v/>
      </c>
      <c r="F170" s="69"/>
      <c r="G170" s="1435" t="str">
        <f t="shared" si="156"/>
        <v/>
      </c>
      <c r="H170" s="69"/>
      <c r="I170" s="1436" t="str">
        <f t="shared" si="157"/>
        <v/>
      </c>
      <c r="J170" s="69"/>
      <c r="K170" s="1435" t="str">
        <f t="shared" si="158"/>
        <v/>
      </c>
      <c r="L170" s="69"/>
      <c r="M170" s="1435" t="str">
        <f t="shared" si="159"/>
        <v/>
      </c>
      <c r="N170" s="69"/>
      <c r="O170" s="1435" t="str">
        <f t="shared" si="160"/>
        <v/>
      </c>
      <c r="P170" s="69"/>
      <c r="Q170" s="1435" t="str">
        <f t="shared" si="161"/>
        <v/>
      </c>
      <c r="R170" s="69"/>
      <c r="S170" s="1435" t="str">
        <f t="shared" si="162"/>
        <v/>
      </c>
      <c r="T170" s="69"/>
      <c r="U170" s="1437" t="str">
        <f t="shared" si="163"/>
        <v/>
      </c>
      <c r="V170" s="69"/>
      <c r="W170" s="1437" t="str">
        <f t="shared" si="164"/>
        <v/>
      </c>
      <c r="X170" s="69"/>
      <c r="Y170" s="1437" t="str">
        <f t="shared" si="165"/>
        <v/>
      </c>
      <c r="Z170" s="69"/>
      <c r="AA170" s="1438" t="str">
        <f t="shared" si="166"/>
        <v/>
      </c>
      <c r="AB170" s="69"/>
      <c r="AC170" s="1438" t="str">
        <f t="shared" si="167"/>
        <v/>
      </c>
      <c r="AD170" s="69"/>
      <c r="AE170" s="1438" t="str">
        <f t="shared" si="168"/>
        <v/>
      </c>
      <c r="AF170" s="69"/>
      <c r="AG170" s="1427" t="str">
        <f t="shared" si="169"/>
        <v/>
      </c>
      <c r="AH170" s="69"/>
      <c r="AI170" s="1438" t="str">
        <f t="shared" si="170"/>
        <v/>
      </c>
      <c r="AJ170" s="69"/>
      <c r="AK170" s="1427" t="str">
        <f t="shared" si="171"/>
        <v/>
      </c>
      <c r="AL170" s="69"/>
      <c r="AM170" s="1427" t="str">
        <f t="shared" si="172"/>
        <v/>
      </c>
      <c r="AN170" s="69"/>
      <c r="AO170" s="1427" t="str">
        <f t="shared" si="173"/>
        <v/>
      </c>
      <c r="AP170" s="69"/>
      <c r="AQ170" s="1427" t="str">
        <f t="shared" si="174"/>
        <v/>
      </c>
      <c r="AR170" s="69"/>
      <c r="AS170" s="1427" t="str">
        <f t="shared" si="175"/>
        <v/>
      </c>
      <c r="AT170" s="69"/>
      <c r="AU170" s="1427" t="str">
        <f t="shared" si="176"/>
        <v/>
      </c>
      <c r="AV170" s="69"/>
      <c r="AW170" s="1427" t="str">
        <f t="shared" si="177"/>
        <v/>
      </c>
      <c r="AX170" s="69"/>
      <c r="AY170" s="1327">
        <f t="shared" si="151"/>
        <v>0</v>
      </c>
      <c r="AZ170" s="1188"/>
      <c r="BA170" s="1188"/>
      <c r="BB170" s="1188"/>
      <c r="BD170" s="1192"/>
    </row>
    <row r="171" ht="18.75" customHeight="1">
      <c r="A171" s="1109">
        <f t="shared" ref="A171:D171" si="179">A140</f>
        <v>7</v>
      </c>
      <c r="B171" s="1111">
        <f t="shared" si="179"/>
        <v>3457</v>
      </c>
      <c r="C171" s="1200" t="str">
        <f t="shared" si="179"/>
        <v>Суп </v>
      </c>
      <c r="D171" s="591" t="str">
        <f t="shared" si="179"/>
        <v/>
      </c>
      <c r="E171" s="1072" t="str">
        <f t="shared" si="155"/>
        <v/>
      </c>
      <c r="F171" s="69"/>
      <c r="G171" s="1072" t="str">
        <f t="shared" si="156"/>
        <v/>
      </c>
      <c r="H171" s="69"/>
      <c r="I171" s="1422" t="str">
        <f t="shared" si="157"/>
        <v/>
      </c>
      <c r="J171" s="69"/>
      <c r="K171" s="1072" t="str">
        <f t="shared" si="158"/>
        <v/>
      </c>
      <c r="L171" s="69"/>
      <c r="M171" s="1072" t="str">
        <f t="shared" si="159"/>
        <v/>
      </c>
      <c r="N171" s="69"/>
      <c r="O171" s="1072" t="str">
        <f t="shared" si="160"/>
        <v/>
      </c>
      <c r="P171" s="69"/>
      <c r="Q171" s="1072" t="str">
        <f t="shared" si="161"/>
        <v/>
      </c>
      <c r="R171" s="69"/>
      <c r="S171" s="1072" t="str">
        <f t="shared" si="162"/>
        <v/>
      </c>
      <c r="T171" s="69"/>
      <c r="U171" s="1426" t="str">
        <f t="shared" si="163"/>
        <v/>
      </c>
      <c r="V171" s="69"/>
      <c r="W171" s="1426" t="str">
        <f t="shared" si="164"/>
        <v/>
      </c>
      <c r="X171" s="69"/>
      <c r="Y171" s="1426" t="str">
        <f t="shared" si="165"/>
        <v/>
      </c>
      <c r="Z171" s="69"/>
      <c r="AA171" s="1427" t="str">
        <f t="shared" si="166"/>
        <v/>
      </c>
      <c r="AB171" s="69"/>
      <c r="AC171" s="1427" t="str">
        <f t="shared" si="167"/>
        <v/>
      </c>
      <c r="AD171" s="69"/>
      <c r="AE171" s="1427" t="str">
        <f t="shared" si="168"/>
        <v/>
      </c>
      <c r="AF171" s="69"/>
      <c r="AG171" s="1427" t="str">
        <f t="shared" si="169"/>
        <v/>
      </c>
      <c r="AH171" s="69"/>
      <c r="AI171" s="1427" t="str">
        <f t="shared" si="170"/>
        <v/>
      </c>
      <c r="AJ171" s="69"/>
      <c r="AK171" s="1427" t="str">
        <f t="shared" si="171"/>
        <v/>
      </c>
      <c r="AL171" s="69"/>
      <c r="AM171" s="1427" t="str">
        <f t="shared" si="172"/>
        <v/>
      </c>
      <c r="AN171" s="69"/>
      <c r="AO171" s="1427" t="str">
        <f t="shared" si="173"/>
        <v/>
      </c>
      <c r="AP171" s="69"/>
      <c r="AQ171" s="1427" t="str">
        <f t="shared" si="174"/>
        <v/>
      </c>
      <c r="AR171" s="69"/>
      <c r="AS171" s="1427" t="str">
        <f t="shared" si="175"/>
        <v/>
      </c>
      <c r="AT171" s="69"/>
      <c r="AU171" s="1427" t="str">
        <f t="shared" si="176"/>
        <v/>
      </c>
      <c r="AV171" s="69"/>
      <c r="AW171" s="1427" t="str">
        <f t="shared" si="177"/>
        <v/>
      </c>
      <c r="AX171" s="69"/>
      <c r="AY171" s="1073">
        <f t="shared" si="151"/>
        <v>0</v>
      </c>
      <c r="AZ171" s="1188"/>
      <c r="BA171" s="1188"/>
      <c r="BB171" s="1188"/>
      <c r="BD171" s="1192"/>
    </row>
    <row r="172" ht="18.75" customHeight="1">
      <c r="A172" s="1109">
        <f t="shared" ref="A172:D172" si="180">A141</f>
        <v>8</v>
      </c>
      <c r="B172" s="1111" t="str">
        <f t="shared" si="180"/>
        <v/>
      </c>
      <c r="C172" s="1200" t="str">
        <f t="shared" si="180"/>
        <v/>
      </c>
      <c r="D172" s="591" t="str">
        <f t="shared" si="180"/>
        <v/>
      </c>
      <c r="E172" s="1072" t="str">
        <f t="shared" si="155"/>
        <v/>
      </c>
      <c r="F172" s="69"/>
      <c r="G172" s="1072" t="str">
        <f t="shared" si="156"/>
        <v/>
      </c>
      <c r="H172" s="69"/>
      <c r="I172" s="1422" t="str">
        <f t="shared" si="157"/>
        <v/>
      </c>
      <c r="J172" s="69"/>
      <c r="K172" s="1072" t="str">
        <f t="shared" si="158"/>
        <v/>
      </c>
      <c r="L172" s="69"/>
      <c r="M172" s="1072" t="str">
        <f t="shared" si="159"/>
        <v/>
      </c>
      <c r="N172" s="69"/>
      <c r="O172" s="1072" t="str">
        <f t="shared" si="160"/>
        <v/>
      </c>
      <c r="P172" s="69"/>
      <c r="Q172" s="1072" t="str">
        <f t="shared" si="161"/>
        <v/>
      </c>
      <c r="R172" s="69"/>
      <c r="S172" s="1072" t="str">
        <f t="shared" si="162"/>
        <v/>
      </c>
      <c r="T172" s="69"/>
      <c r="U172" s="1426" t="str">
        <f t="shared" si="163"/>
        <v/>
      </c>
      <c r="V172" s="69"/>
      <c r="W172" s="1426" t="str">
        <f t="shared" si="164"/>
        <v/>
      </c>
      <c r="X172" s="69"/>
      <c r="Y172" s="1426" t="str">
        <f t="shared" si="165"/>
        <v/>
      </c>
      <c r="Z172" s="69"/>
      <c r="AA172" s="1427" t="str">
        <f t="shared" si="166"/>
        <v/>
      </c>
      <c r="AB172" s="69"/>
      <c r="AC172" s="1427" t="str">
        <f t="shared" si="167"/>
        <v/>
      </c>
      <c r="AD172" s="69"/>
      <c r="AE172" s="1427" t="str">
        <f t="shared" si="168"/>
        <v/>
      </c>
      <c r="AF172" s="69"/>
      <c r="AG172" s="1427" t="str">
        <f t="shared" si="169"/>
        <v/>
      </c>
      <c r="AH172" s="69"/>
      <c r="AI172" s="1427" t="str">
        <f t="shared" si="170"/>
        <v/>
      </c>
      <c r="AJ172" s="69"/>
      <c r="AK172" s="1427" t="str">
        <f t="shared" si="171"/>
        <v/>
      </c>
      <c r="AL172" s="69"/>
      <c r="AM172" s="1427" t="str">
        <f t="shared" si="172"/>
        <v/>
      </c>
      <c r="AN172" s="69"/>
      <c r="AO172" s="1427" t="str">
        <f t="shared" si="173"/>
        <v/>
      </c>
      <c r="AP172" s="69"/>
      <c r="AQ172" s="1427" t="str">
        <f t="shared" si="174"/>
        <v/>
      </c>
      <c r="AR172" s="69"/>
      <c r="AS172" s="1427" t="str">
        <f t="shared" si="175"/>
        <v/>
      </c>
      <c r="AT172" s="69"/>
      <c r="AU172" s="1427" t="str">
        <f t="shared" si="176"/>
        <v/>
      </c>
      <c r="AV172" s="69"/>
      <c r="AW172" s="1427" t="str">
        <f t="shared" si="177"/>
        <v/>
      </c>
      <c r="AX172" s="69"/>
      <c r="AY172" s="1073">
        <f t="shared" si="151"/>
        <v>0</v>
      </c>
      <c r="AZ172" s="1188"/>
      <c r="BA172" s="1188"/>
      <c r="BB172" s="1188"/>
      <c r="BD172" s="1192"/>
    </row>
    <row r="173" ht="18.75" customHeight="1">
      <c r="A173" s="1109">
        <f t="shared" ref="A173:D173" si="181">A142</f>
        <v>9</v>
      </c>
      <c r="B173" s="1111">
        <f t="shared" si="181"/>
        <v>3516</v>
      </c>
      <c r="C173" s="1200" t="str">
        <f t="shared" si="181"/>
        <v>Второе </v>
      </c>
      <c r="D173" s="591" t="str">
        <f t="shared" si="181"/>
        <v>Филе куриное в овощном соусе с гречкой 28 шт</v>
      </c>
      <c r="E173" s="1072">
        <f t="shared" si="155"/>
        <v>6</v>
      </c>
      <c r="F173" s="69"/>
      <c r="G173" s="1072">
        <f t="shared" si="156"/>
        <v>2</v>
      </c>
      <c r="H173" s="69"/>
      <c r="I173" s="1422" t="str">
        <f t="shared" si="157"/>
        <v/>
      </c>
      <c r="J173" s="69"/>
      <c r="K173" s="1072">
        <f t="shared" si="158"/>
        <v>4</v>
      </c>
      <c r="L173" s="69"/>
      <c r="M173" s="1072">
        <f t="shared" si="159"/>
        <v>2</v>
      </c>
      <c r="N173" s="69"/>
      <c r="O173" s="1072">
        <f t="shared" si="160"/>
        <v>2</v>
      </c>
      <c r="P173" s="69"/>
      <c r="Q173" s="1072" t="str">
        <f t="shared" si="161"/>
        <v/>
      </c>
      <c r="R173" s="69"/>
      <c r="S173" s="1072" t="str">
        <f t="shared" si="162"/>
        <v/>
      </c>
      <c r="T173" s="69"/>
      <c r="U173" s="1426" t="str">
        <f t="shared" si="163"/>
        <v/>
      </c>
      <c r="V173" s="69"/>
      <c r="W173" s="1426">
        <f t="shared" si="164"/>
        <v>2</v>
      </c>
      <c r="X173" s="69"/>
      <c r="Y173" s="1426">
        <f t="shared" si="165"/>
        <v>2</v>
      </c>
      <c r="Z173" s="69"/>
      <c r="AA173" s="1427" t="str">
        <f t="shared" si="166"/>
        <v/>
      </c>
      <c r="AB173" s="69"/>
      <c r="AC173" s="1427" t="str">
        <f t="shared" si="167"/>
        <v/>
      </c>
      <c r="AD173" s="69"/>
      <c r="AE173" s="1427">
        <f t="shared" si="168"/>
        <v>2</v>
      </c>
      <c r="AF173" s="69"/>
      <c r="AG173" s="1427" t="str">
        <f t="shared" si="169"/>
        <v/>
      </c>
      <c r="AH173" s="69"/>
      <c r="AI173" s="1427" t="str">
        <f t="shared" si="170"/>
        <v/>
      </c>
      <c r="AJ173" s="69"/>
      <c r="AK173" s="1427" t="str">
        <f t="shared" si="171"/>
        <v/>
      </c>
      <c r="AL173" s="69"/>
      <c r="AM173" s="1427" t="str">
        <f t="shared" si="172"/>
        <v/>
      </c>
      <c r="AN173" s="69"/>
      <c r="AO173" s="1427" t="str">
        <f t="shared" si="173"/>
        <v/>
      </c>
      <c r="AP173" s="69"/>
      <c r="AQ173" s="1427">
        <f t="shared" si="174"/>
        <v>3</v>
      </c>
      <c r="AR173" s="69"/>
      <c r="AS173" s="1427">
        <f t="shared" si="175"/>
        <v>2</v>
      </c>
      <c r="AT173" s="69"/>
      <c r="AU173" s="1427">
        <f t="shared" si="176"/>
        <v>0</v>
      </c>
      <c r="AV173" s="69"/>
      <c r="AW173" s="1427" t="str">
        <f t="shared" si="177"/>
        <v/>
      </c>
      <c r="AX173" s="69"/>
      <c r="AY173" s="1073">
        <f t="shared" si="151"/>
        <v>27</v>
      </c>
      <c r="AZ173" s="1188"/>
      <c r="BA173" s="1188"/>
      <c r="BB173" s="1188"/>
      <c r="BD173" s="1192"/>
    </row>
    <row r="174" ht="18.75" customHeight="1">
      <c r="A174" s="1109">
        <f t="shared" ref="A174:D174" si="182">A143</f>
        <v>10</v>
      </c>
      <c r="B174" s="1111">
        <f t="shared" si="182"/>
        <v>3405</v>
      </c>
      <c r="C174" s="1200" t="str">
        <f t="shared" si="182"/>
        <v>Второе</v>
      </c>
      <c r="D174" s="591" t="str">
        <f t="shared" si="182"/>
        <v>Азу из курицы с рисом 14 шт</v>
      </c>
      <c r="E174" s="1435">
        <f t="shared" si="155"/>
        <v>5</v>
      </c>
      <c r="F174" s="69"/>
      <c r="G174" s="1435">
        <f t="shared" si="156"/>
        <v>0</v>
      </c>
      <c r="H174" s="69"/>
      <c r="I174" s="1436" t="str">
        <f t="shared" si="157"/>
        <v/>
      </c>
      <c r="J174" s="69"/>
      <c r="K174" s="1435" t="str">
        <f t="shared" si="158"/>
        <v/>
      </c>
      <c r="L174" s="69"/>
      <c r="M174" s="1435">
        <f t="shared" si="159"/>
        <v>2</v>
      </c>
      <c r="N174" s="69"/>
      <c r="O174" s="1435">
        <f t="shared" si="160"/>
        <v>2</v>
      </c>
      <c r="P174" s="69"/>
      <c r="Q174" s="1435" t="str">
        <f t="shared" si="161"/>
        <v/>
      </c>
      <c r="R174" s="69"/>
      <c r="S174" s="1435" t="str">
        <f t="shared" si="162"/>
        <v/>
      </c>
      <c r="T174" s="69"/>
      <c r="U174" s="1437" t="str">
        <f t="shared" si="163"/>
        <v/>
      </c>
      <c r="V174" s="69"/>
      <c r="W174" s="1437" t="str">
        <f t="shared" si="164"/>
        <v/>
      </c>
      <c r="X174" s="69"/>
      <c r="Y174" s="1437" t="str">
        <f t="shared" si="165"/>
        <v/>
      </c>
      <c r="Z174" s="69"/>
      <c r="AA174" s="1438" t="str">
        <f t="shared" si="166"/>
        <v/>
      </c>
      <c r="AB174" s="69"/>
      <c r="AC174" s="1438" t="str">
        <f t="shared" si="167"/>
        <v/>
      </c>
      <c r="AD174" s="69"/>
      <c r="AE174" s="1438">
        <f t="shared" si="168"/>
        <v>2</v>
      </c>
      <c r="AF174" s="69"/>
      <c r="AG174" s="1438" t="str">
        <f t="shared" si="169"/>
        <v/>
      </c>
      <c r="AH174" s="69"/>
      <c r="AI174" s="1438" t="str">
        <f t="shared" si="170"/>
        <v/>
      </c>
      <c r="AJ174" s="69"/>
      <c r="AK174" s="1438" t="str">
        <f t="shared" si="171"/>
        <v/>
      </c>
      <c r="AL174" s="69"/>
      <c r="AM174" s="1427" t="str">
        <f t="shared" si="172"/>
        <v/>
      </c>
      <c r="AN174" s="69"/>
      <c r="AO174" s="1427" t="str">
        <f t="shared" si="173"/>
        <v/>
      </c>
      <c r="AP174" s="69"/>
      <c r="AQ174" s="1427">
        <f t="shared" si="174"/>
        <v>0</v>
      </c>
      <c r="AR174" s="69"/>
      <c r="AS174" s="1427">
        <f t="shared" si="175"/>
        <v>2</v>
      </c>
      <c r="AT174" s="69"/>
      <c r="AU174" s="1427" t="str">
        <f t="shared" si="176"/>
        <v/>
      </c>
      <c r="AV174" s="69"/>
      <c r="AW174" s="1427" t="str">
        <f t="shared" si="177"/>
        <v/>
      </c>
      <c r="AX174" s="69"/>
      <c r="AY174" s="1327">
        <f t="shared" si="151"/>
        <v>13</v>
      </c>
      <c r="AZ174" s="1188"/>
      <c r="BA174" s="1188"/>
      <c r="BB174" s="1188"/>
      <c r="BD174" s="1192"/>
    </row>
    <row r="175" ht="18.75" customHeight="1">
      <c r="A175" s="1109">
        <f t="shared" ref="A175:D175" si="183">A144</f>
        <v>11</v>
      </c>
      <c r="B175" s="1111">
        <f t="shared" si="183"/>
        <v>3406</v>
      </c>
      <c r="C175" s="1200" t="str">
        <f t="shared" si="183"/>
        <v>Второе</v>
      </c>
      <c r="D175" s="591" t="str">
        <f t="shared" si="183"/>
        <v>Гречка томленная с овощами и свининой 13 шт</v>
      </c>
      <c r="E175" s="1072">
        <f t="shared" si="155"/>
        <v>0</v>
      </c>
      <c r="F175" s="69"/>
      <c r="G175" s="1072">
        <f t="shared" si="156"/>
        <v>1</v>
      </c>
      <c r="H175" s="69"/>
      <c r="I175" s="1422" t="str">
        <f t="shared" si="157"/>
        <v/>
      </c>
      <c r="J175" s="69"/>
      <c r="K175" s="1072">
        <f t="shared" si="158"/>
        <v>6</v>
      </c>
      <c r="L175" s="69"/>
      <c r="M175" s="1072">
        <f t="shared" si="159"/>
        <v>2</v>
      </c>
      <c r="N175" s="69"/>
      <c r="O175" s="1072" t="str">
        <f t="shared" si="160"/>
        <v/>
      </c>
      <c r="P175" s="69"/>
      <c r="Q175" s="1072" t="str">
        <f t="shared" si="161"/>
        <v/>
      </c>
      <c r="R175" s="69"/>
      <c r="S175" s="1072" t="str">
        <f t="shared" si="162"/>
        <v/>
      </c>
      <c r="T175" s="69"/>
      <c r="U175" s="1426" t="str">
        <f t="shared" si="163"/>
        <v/>
      </c>
      <c r="V175" s="69"/>
      <c r="W175" s="1426" t="str">
        <f t="shared" si="164"/>
        <v/>
      </c>
      <c r="X175" s="69"/>
      <c r="Y175" s="1426">
        <f t="shared" si="165"/>
        <v>0</v>
      </c>
      <c r="Z175" s="69"/>
      <c r="AA175" s="1427" t="str">
        <f t="shared" si="166"/>
        <v/>
      </c>
      <c r="AB175" s="69"/>
      <c r="AC175" s="1427" t="str">
        <f t="shared" si="167"/>
        <v/>
      </c>
      <c r="AD175" s="69"/>
      <c r="AE175" s="1427">
        <f t="shared" si="168"/>
        <v>0</v>
      </c>
      <c r="AF175" s="69"/>
      <c r="AG175" s="1427" t="str">
        <f t="shared" si="169"/>
        <v/>
      </c>
      <c r="AH175" s="69"/>
      <c r="AI175" s="1427" t="str">
        <f t="shared" si="170"/>
        <v/>
      </c>
      <c r="AJ175" s="69"/>
      <c r="AK175" s="1427" t="str">
        <f t="shared" si="171"/>
        <v/>
      </c>
      <c r="AL175" s="69"/>
      <c r="AM175" s="1427" t="str">
        <f t="shared" si="172"/>
        <v/>
      </c>
      <c r="AN175" s="69"/>
      <c r="AO175" s="1427" t="str">
        <f t="shared" si="173"/>
        <v/>
      </c>
      <c r="AP175" s="69"/>
      <c r="AQ175" s="1427">
        <f t="shared" si="174"/>
        <v>3</v>
      </c>
      <c r="AR175" s="69"/>
      <c r="AS175" s="1427">
        <f t="shared" si="175"/>
        <v>0</v>
      </c>
      <c r="AT175" s="69"/>
      <c r="AU175" s="1427" t="str">
        <f t="shared" si="176"/>
        <v/>
      </c>
      <c r="AV175" s="69"/>
      <c r="AW175" s="1427" t="str">
        <f t="shared" si="177"/>
        <v/>
      </c>
      <c r="AX175" s="69"/>
      <c r="AY175" s="1073">
        <f t="shared" si="151"/>
        <v>12</v>
      </c>
      <c r="AZ175" s="1188"/>
      <c r="BA175" s="1188"/>
      <c r="BB175" s="1188"/>
      <c r="BD175" s="1192"/>
    </row>
    <row r="176" ht="18.75" customHeight="1">
      <c r="A176" s="1109">
        <f t="shared" ref="A176:D176" si="184">A145</f>
        <v>12</v>
      </c>
      <c r="B176" s="1111">
        <f t="shared" si="184"/>
        <v>3351</v>
      </c>
      <c r="C176" s="1200" t="str">
        <f t="shared" si="184"/>
        <v>Второе</v>
      </c>
      <c r="D176" s="591" t="str">
        <f t="shared" si="184"/>
        <v>Азу из говядины с макаронами 14 шт</v>
      </c>
      <c r="E176" s="1072">
        <f t="shared" si="155"/>
        <v>3</v>
      </c>
      <c r="F176" s="69"/>
      <c r="G176" s="1072" t="str">
        <f t="shared" si="156"/>
        <v/>
      </c>
      <c r="H176" s="69"/>
      <c r="I176" s="1422" t="str">
        <f t="shared" si="157"/>
        <v/>
      </c>
      <c r="J176" s="69"/>
      <c r="K176" s="1072">
        <f t="shared" si="158"/>
        <v>3</v>
      </c>
      <c r="L176" s="69"/>
      <c r="M176" s="1072" t="str">
        <f t="shared" si="159"/>
        <v/>
      </c>
      <c r="N176" s="69"/>
      <c r="O176" s="1072">
        <f t="shared" si="160"/>
        <v>2</v>
      </c>
      <c r="P176" s="69"/>
      <c r="Q176" s="1072" t="str">
        <f t="shared" si="161"/>
        <v/>
      </c>
      <c r="R176" s="69"/>
      <c r="S176" s="1072" t="str">
        <f t="shared" si="162"/>
        <v/>
      </c>
      <c r="T176" s="69"/>
      <c r="U176" s="1426" t="str">
        <f t="shared" si="163"/>
        <v/>
      </c>
      <c r="V176" s="69"/>
      <c r="W176" s="1426">
        <f t="shared" si="164"/>
        <v>2</v>
      </c>
      <c r="X176" s="69"/>
      <c r="Y176" s="1426" t="str">
        <f t="shared" si="165"/>
        <v/>
      </c>
      <c r="Z176" s="69"/>
      <c r="AA176" s="1427" t="str">
        <f t="shared" si="166"/>
        <v/>
      </c>
      <c r="AB176" s="69"/>
      <c r="AC176" s="1427" t="str">
        <f t="shared" si="167"/>
        <v/>
      </c>
      <c r="AD176" s="69"/>
      <c r="AE176" s="1427" t="str">
        <f t="shared" si="168"/>
        <v/>
      </c>
      <c r="AF176" s="69"/>
      <c r="AG176" s="1427" t="str">
        <f t="shared" si="169"/>
        <v/>
      </c>
      <c r="AH176" s="69"/>
      <c r="AI176" s="1427" t="str">
        <f t="shared" si="170"/>
        <v/>
      </c>
      <c r="AJ176" s="69"/>
      <c r="AK176" s="1427" t="str">
        <f t="shared" si="171"/>
        <v/>
      </c>
      <c r="AL176" s="69"/>
      <c r="AM176" s="1427" t="str">
        <f t="shared" si="172"/>
        <v/>
      </c>
      <c r="AN176" s="69"/>
      <c r="AO176" s="1427" t="str">
        <f t="shared" si="173"/>
        <v/>
      </c>
      <c r="AP176" s="69"/>
      <c r="AQ176" s="1427" t="str">
        <f t="shared" si="174"/>
        <v/>
      </c>
      <c r="AR176" s="69"/>
      <c r="AS176" s="1427" t="str">
        <f t="shared" si="175"/>
        <v/>
      </c>
      <c r="AT176" s="69"/>
      <c r="AU176" s="1427">
        <f t="shared" si="176"/>
        <v>3</v>
      </c>
      <c r="AV176" s="69"/>
      <c r="AW176" s="1427" t="str">
        <f t="shared" si="177"/>
        <v/>
      </c>
      <c r="AX176" s="69"/>
      <c r="AY176" s="1073">
        <f t="shared" si="151"/>
        <v>13</v>
      </c>
      <c r="AZ176" s="1188"/>
      <c r="BA176" s="1188"/>
      <c r="BB176" s="1188"/>
      <c r="BD176" s="1192"/>
    </row>
    <row r="177" ht="18.75" customHeight="1">
      <c r="A177" s="1109">
        <f t="shared" ref="A177:D177" si="185">A146</f>
        <v>13</v>
      </c>
      <c r="B177" s="1111">
        <f t="shared" si="185"/>
        <v>1046</v>
      </c>
      <c r="C177" s="1200" t="str">
        <f t="shared" si="185"/>
        <v>Второе</v>
      </c>
      <c r="D177" s="591" t="str">
        <f t="shared" si="185"/>
        <v>Чахохбили с макаронами 16 шт</v>
      </c>
      <c r="E177" s="1072">
        <f t="shared" si="155"/>
        <v>5</v>
      </c>
      <c r="F177" s="69"/>
      <c r="G177" s="1072" t="str">
        <f t="shared" si="156"/>
        <v/>
      </c>
      <c r="H177" s="69"/>
      <c r="I177" s="1422" t="str">
        <f t="shared" si="157"/>
        <v/>
      </c>
      <c r="J177" s="69"/>
      <c r="K177" s="1072">
        <f t="shared" si="158"/>
        <v>3</v>
      </c>
      <c r="L177" s="69"/>
      <c r="M177" s="1072" t="str">
        <f t="shared" si="159"/>
        <v/>
      </c>
      <c r="N177" s="69"/>
      <c r="O177" s="1072">
        <f t="shared" si="160"/>
        <v>2</v>
      </c>
      <c r="P177" s="69"/>
      <c r="Q177" s="1072" t="str">
        <f t="shared" si="161"/>
        <v/>
      </c>
      <c r="R177" s="69"/>
      <c r="S177" s="1072" t="str">
        <f t="shared" si="162"/>
        <v/>
      </c>
      <c r="T177" s="69"/>
      <c r="U177" s="1426" t="str">
        <f t="shared" si="163"/>
        <v/>
      </c>
      <c r="V177" s="69"/>
      <c r="W177" s="1426">
        <f t="shared" si="164"/>
        <v>2</v>
      </c>
      <c r="X177" s="69"/>
      <c r="Y177" s="1426" t="str">
        <f t="shared" si="165"/>
        <v/>
      </c>
      <c r="Z177" s="69"/>
      <c r="AA177" s="1427" t="str">
        <f t="shared" si="166"/>
        <v/>
      </c>
      <c r="AB177" s="69"/>
      <c r="AC177" s="1427" t="str">
        <f t="shared" si="167"/>
        <v/>
      </c>
      <c r="AD177" s="69"/>
      <c r="AE177" s="1427" t="str">
        <f t="shared" si="168"/>
        <v/>
      </c>
      <c r="AF177" s="69"/>
      <c r="AG177" s="1427" t="str">
        <f t="shared" si="169"/>
        <v/>
      </c>
      <c r="AH177" s="69"/>
      <c r="AI177" s="1427" t="str">
        <f t="shared" si="170"/>
        <v/>
      </c>
      <c r="AJ177" s="69"/>
      <c r="AK177" s="1427" t="str">
        <f t="shared" si="171"/>
        <v/>
      </c>
      <c r="AL177" s="69"/>
      <c r="AM177" s="1427" t="str">
        <f t="shared" si="172"/>
        <v/>
      </c>
      <c r="AN177" s="69"/>
      <c r="AO177" s="1427" t="str">
        <f t="shared" si="173"/>
        <v/>
      </c>
      <c r="AP177" s="69"/>
      <c r="AQ177" s="1427" t="str">
        <f t="shared" si="174"/>
        <v/>
      </c>
      <c r="AR177" s="69"/>
      <c r="AS177" s="1427" t="str">
        <f t="shared" si="175"/>
        <v/>
      </c>
      <c r="AT177" s="69"/>
      <c r="AU177" s="1427">
        <f t="shared" si="176"/>
        <v>3</v>
      </c>
      <c r="AV177" s="69"/>
      <c r="AW177" s="1427" t="str">
        <f t="shared" si="177"/>
        <v/>
      </c>
      <c r="AX177" s="69"/>
      <c r="AY177" s="1073">
        <f t="shared" si="151"/>
        <v>15</v>
      </c>
      <c r="AZ177" s="1188"/>
      <c r="BA177" s="1188"/>
      <c r="BB177" s="1188"/>
      <c r="BD177" s="1192"/>
    </row>
    <row r="178" ht="18.75" customHeight="1">
      <c r="A178" s="1109">
        <f t="shared" ref="A178:D178" si="186">A147</f>
        <v>14</v>
      </c>
      <c r="B178" s="1111" t="str">
        <f t="shared" si="186"/>
        <v/>
      </c>
      <c r="C178" s="1200" t="str">
        <f t="shared" si="186"/>
        <v>Второе</v>
      </c>
      <c r="D178" s="591" t="str">
        <f t="shared" si="186"/>
        <v/>
      </c>
      <c r="E178" s="1072" t="str">
        <f t="shared" si="155"/>
        <v/>
      </c>
      <c r="F178" s="69"/>
      <c r="G178" s="1072" t="str">
        <f t="shared" si="156"/>
        <v/>
      </c>
      <c r="H178" s="69"/>
      <c r="I178" s="1422" t="str">
        <f t="shared" si="157"/>
        <v/>
      </c>
      <c r="J178" s="69"/>
      <c r="K178" s="1072">
        <f t="shared" si="158"/>
        <v>0</v>
      </c>
      <c r="L178" s="69"/>
      <c r="M178" s="1072" t="str">
        <f t="shared" si="159"/>
        <v/>
      </c>
      <c r="N178" s="69"/>
      <c r="O178" s="1072" t="str">
        <f t="shared" si="160"/>
        <v/>
      </c>
      <c r="P178" s="69"/>
      <c r="Q178" s="1072" t="str">
        <f t="shared" si="161"/>
        <v/>
      </c>
      <c r="R178" s="69"/>
      <c r="S178" s="1072" t="str">
        <f t="shared" si="162"/>
        <v/>
      </c>
      <c r="T178" s="69"/>
      <c r="U178" s="1426" t="str">
        <f t="shared" si="163"/>
        <v/>
      </c>
      <c r="V178" s="69"/>
      <c r="W178" s="1426" t="str">
        <f t="shared" si="164"/>
        <v/>
      </c>
      <c r="X178" s="69"/>
      <c r="Y178" s="1426" t="str">
        <f t="shared" si="165"/>
        <v/>
      </c>
      <c r="Z178" s="69"/>
      <c r="AA178" s="1427" t="str">
        <f t="shared" si="166"/>
        <v/>
      </c>
      <c r="AB178" s="69"/>
      <c r="AC178" s="1427" t="str">
        <f t="shared" si="167"/>
        <v/>
      </c>
      <c r="AD178" s="69"/>
      <c r="AE178" s="1427" t="str">
        <f t="shared" si="168"/>
        <v/>
      </c>
      <c r="AF178" s="69"/>
      <c r="AG178" s="1427" t="str">
        <f t="shared" si="169"/>
        <v/>
      </c>
      <c r="AH178" s="69"/>
      <c r="AI178" s="1427" t="str">
        <f t="shared" si="170"/>
        <v/>
      </c>
      <c r="AJ178" s="69"/>
      <c r="AK178" s="1427" t="str">
        <f t="shared" si="171"/>
        <v/>
      </c>
      <c r="AL178" s="69"/>
      <c r="AM178" s="1427" t="str">
        <f t="shared" si="172"/>
        <v/>
      </c>
      <c r="AN178" s="69"/>
      <c r="AO178" s="1427" t="str">
        <f t="shared" si="173"/>
        <v/>
      </c>
      <c r="AP178" s="69"/>
      <c r="AQ178" s="1427" t="str">
        <f t="shared" si="174"/>
        <v/>
      </c>
      <c r="AR178" s="69"/>
      <c r="AS178" s="1427" t="str">
        <f t="shared" si="175"/>
        <v/>
      </c>
      <c r="AT178" s="69"/>
      <c r="AU178" s="1427" t="str">
        <f t="shared" si="176"/>
        <v/>
      </c>
      <c r="AV178" s="69"/>
      <c r="AW178" s="1427" t="str">
        <f t="shared" si="177"/>
        <v/>
      </c>
      <c r="AX178" s="69"/>
      <c r="AY178" s="1073">
        <f t="shared" si="151"/>
        <v>0</v>
      </c>
      <c r="AZ178" s="1188"/>
      <c r="BA178" s="1188"/>
      <c r="BB178" s="1188"/>
      <c r="BD178" s="1192"/>
    </row>
    <row r="179" ht="15.75" customHeight="1">
      <c r="A179" s="1109">
        <f t="shared" ref="A179:D179" si="187">A148</f>
        <v>15</v>
      </c>
      <c r="B179" s="1111">
        <f t="shared" si="187"/>
        <v>3728</v>
      </c>
      <c r="C179" s="1200" t="str">
        <f t="shared" si="187"/>
        <v>Второе</v>
      </c>
      <c r="D179" s="591" t="str">
        <f t="shared" si="187"/>
        <v>Свинина "Демиглас" с гречкой 40 шт</v>
      </c>
      <c r="E179" s="1072">
        <f t="shared" si="155"/>
        <v>10</v>
      </c>
      <c r="F179" s="69"/>
      <c r="G179" s="1072">
        <f t="shared" si="156"/>
        <v>0</v>
      </c>
      <c r="H179" s="69"/>
      <c r="I179" s="1422" t="str">
        <f t="shared" si="157"/>
        <v/>
      </c>
      <c r="J179" s="69"/>
      <c r="K179" s="1072">
        <f t="shared" si="158"/>
        <v>12</v>
      </c>
      <c r="L179" s="69"/>
      <c r="M179" s="1072" t="str">
        <f t="shared" si="159"/>
        <v/>
      </c>
      <c r="N179" s="69"/>
      <c r="O179" s="1072">
        <f t="shared" si="160"/>
        <v>5</v>
      </c>
      <c r="P179" s="69"/>
      <c r="Q179" s="1072" t="str">
        <f t="shared" si="161"/>
        <v/>
      </c>
      <c r="R179" s="69"/>
      <c r="S179" s="1072" t="str">
        <f t="shared" si="162"/>
        <v/>
      </c>
      <c r="T179" s="69"/>
      <c r="U179" s="1426" t="str">
        <f t="shared" si="163"/>
        <v/>
      </c>
      <c r="V179" s="69"/>
      <c r="W179" s="1426">
        <f t="shared" si="164"/>
        <v>5</v>
      </c>
      <c r="X179" s="69"/>
      <c r="Y179" s="1426" t="str">
        <f t="shared" si="165"/>
        <v/>
      </c>
      <c r="Z179" s="69"/>
      <c r="AA179" s="1427" t="str">
        <f t="shared" si="166"/>
        <v/>
      </c>
      <c r="AB179" s="69"/>
      <c r="AC179" s="1427" t="str">
        <f t="shared" si="167"/>
        <v/>
      </c>
      <c r="AD179" s="69"/>
      <c r="AE179" s="1427" t="str">
        <f t="shared" si="168"/>
        <v/>
      </c>
      <c r="AF179" s="69"/>
      <c r="AG179" s="1427" t="str">
        <f t="shared" si="169"/>
        <v/>
      </c>
      <c r="AH179" s="69"/>
      <c r="AI179" s="1427" t="str">
        <f t="shared" si="170"/>
        <v/>
      </c>
      <c r="AJ179" s="69"/>
      <c r="AK179" s="1427" t="str">
        <f t="shared" si="171"/>
        <v/>
      </c>
      <c r="AL179" s="69"/>
      <c r="AM179" s="1427" t="str">
        <f t="shared" si="172"/>
        <v/>
      </c>
      <c r="AN179" s="69"/>
      <c r="AO179" s="1427" t="str">
        <f t="shared" si="173"/>
        <v/>
      </c>
      <c r="AP179" s="69"/>
      <c r="AQ179" s="1427" t="str">
        <f t="shared" si="174"/>
        <v/>
      </c>
      <c r="AR179" s="69"/>
      <c r="AS179" s="1427" t="str">
        <f t="shared" si="175"/>
        <v/>
      </c>
      <c r="AT179" s="69"/>
      <c r="AU179" s="1427">
        <f t="shared" si="176"/>
        <v>7</v>
      </c>
      <c r="AV179" s="69"/>
      <c r="AW179" s="1427" t="str">
        <f t="shared" si="177"/>
        <v/>
      </c>
      <c r="AX179" s="69"/>
      <c r="AY179" s="1073">
        <f t="shared" si="151"/>
        <v>39</v>
      </c>
      <c r="AZ179" s="1188"/>
      <c r="BA179" s="1188"/>
      <c r="BB179" s="1188"/>
      <c r="BD179" s="1192"/>
    </row>
    <row r="180" ht="18.75" customHeight="1">
      <c r="A180" s="1109">
        <f t="shared" ref="A180:D180" si="188">A149</f>
        <v>16</v>
      </c>
      <c r="B180" s="1111">
        <f t="shared" si="188"/>
        <v>654</v>
      </c>
      <c r="C180" s="1200" t="str">
        <f t="shared" si="188"/>
        <v>Сэндвич</v>
      </c>
      <c r="D180" s="591" t="str">
        <f t="shared" si="188"/>
        <v/>
      </c>
      <c r="E180" s="1072" t="str">
        <f t="shared" si="155"/>
        <v/>
      </c>
      <c r="F180" s="69"/>
      <c r="G180" s="1072" t="str">
        <f t="shared" si="156"/>
        <v/>
      </c>
      <c r="H180" s="69"/>
      <c r="I180" s="1422" t="str">
        <f t="shared" si="157"/>
        <v/>
      </c>
      <c r="J180" s="69"/>
      <c r="K180" s="1072" t="str">
        <f t="shared" si="158"/>
        <v/>
      </c>
      <c r="L180" s="69"/>
      <c r="M180" s="1072" t="str">
        <f t="shared" si="159"/>
        <v/>
      </c>
      <c r="N180" s="69"/>
      <c r="O180" s="1072" t="str">
        <f t="shared" si="160"/>
        <v/>
      </c>
      <c r="P180" s="69"/>
      <c r="Q180" s="1072" t="str">
        <f t="shared" si="161"/>
        <v/>
      </c>
      <c r="R180" s="69"/>
      <c r="S180" s="1072" t="str">
        <f t="shared" si="162"/>
        <v/>
      </c>
      <c r="T180" s="69"/>
      <c r="U180" s="1426" t="str">
        <f t="shared" si="163"/>
        <v/>
      </c>
      <c r="V180" s="69"/>
      <c r="W180" s="1426" t="str">
        <f t="shared" si="164"/>
        <v/>
      </c>
      <c r="X180" s="69"/>
      <c r="Y180" s="1426" t="str">
        <f t="shared" si="165"/>
        <v/>
      </c>
      <c r="Z180" s="69"/>
      <c r="AA180" s="1427" t="str">
        <f t="shared" si="166"/>
        <v/>
      </c>
      <c r="AB180" s="69"/>
      <c r="AC180" s="1427" t="str">
        <f t="shared" si="167"/>
        <v/>
      </c>
      <c r="AD180" s="69"/>
      <c r="AE180" s="1427" t="str">
        <f t="shared" si="168"/>
        <v/>
      </c>
      <c r="AF180" s="69"/>
      <c r="AG180" s="1427" t="str">
        <f t="shared" si="169"/>
        <v/>
      </c>
      <c r="AH180" s="69"/>
      <c r="AI180" s="1427" t="str">
        <f t="shared" si="170"/>
        <v/>
      </c>
      <c r="AJ180" s="69"/>
      <c r="AK180" s="1427" t="str">
        <f t="shared" si="171"/>
        <v/>
      </c>
      <c r="AL180" s="69"/>
      <c r="AM180" s="1427" t="str">
        <f t="shared" si="172"/>
        <v/>
      </c>
      <c r="AN180" s="69"/>
      <c r="AO180" s="1427" t="str">
        <f t="shared" si="173"/>
        <v/>
      </c>
      <c r="AP180" s="69"/>
      <c r="AQ180" s="1427" t="str">
        <f t="shared" si="174"/>
        <v/>
      </c>
      <c r="AR180" s="69"/>
      <c r="AS180" s="1427" t="str">
        <f t="shared" si="175"/>
        <v/>
      </c>
      <c r="AT180" s="69"/>
      <c r="AU180" s="1427" t="str">
        <f t="shared" si="176"/>
        <v/>
      </c>
      <c r="AV180" s="69"/>
      <c r="AW180" s="1427" t="str">
        <f t="shared" si="177"/>
        <v/>
      </c>
      <c r="AX180" s="69"/>
      <c r="AY180" s="1073">
        <f t="shared" si="151"/>
        <v>0</v>
      </c>
      <c r="AZ180" s="1188"/>
      <c r="BA180" s="1188"/>
      <c r="BB180" s="1188"/>
      <c r="BD180" s="1192"/>
    </row>
    <row r="181" ht="18.75" customHeight="1">
      <c r="A181" s="1109">
        <f t="shared" ref="A181:D181" si="189">A150</f>
        <v>17</v>
      </c>
      <c r="B181" s="1111">
        <f t="shared" si="189"/>
        <v>3437</v>
      </c>
      <c r="C181" s="1200" t="str">
        <f t="shared" si="189"/>
        <v>Второе</v>
      </c>
      <c r="D181" s="591" t="str">
        <f t="shared" si="189"/>
        <v>Макароны по-флотски 21 шт</v>
      </c>
      <c r="E181" s="1072">
        <f t="shared" si="155"/>
        <v>6</v>
      </c>
      <c r="F181" s="69"/>
      <c r="G181" s="1072" t="str">
        <f t="shared" si="156"/>
        <v/>
      </c>
      <c r="H181" s="69"/>
      <c r="I181" s="1422" t="str">
        <f t="shared" si="157"/>
        <v/>
      </c>
      <c r="J181" s="69"/>
      <c r="K181" s="1072">
        <f t="shared" si="158"/>
        <v>6</v>
      </c>
      <c r="L181" s="69"/>
      <c r="M181" s="1072" t="str">
        <f t="shared" si="159"/>
        <v/>
      </c>
      <c r="N181" s="69"/>
      <c r="O181" s="1072">
        <f t="shared" si="160"/>
        <v>3</v>
      </c>
      <c r="P181" s="69"/>
      <c r="Q181" s="1072" t="str">
        <f t="shared" si="161"/>
        <v/>
      </c>
      <c r="R181" s="69"/>
      <c r="S181" s="1072" t="str">
        <f t="shared" si="162"/>
        <v/>
      </c>
      <c r="T181" s="69"/>
      <c r="U181" s="1426" t="str">
        <f t="shared" si="163"/>
        <v/>
      </c>
      <c r="V181" s="69"/>
      <c r="W181" s="1426">
        <f t="shared" si="164"/>
        <v>3</v>
      </c>
      <c r="X181" s="69"/>
      <c r="Y181" s="1426" t="str">
        <f t="shared" si="165"/>
        <v/>
      </c>
      <c r="Z181" s="69"/>
      <c r="AA181" s="1427" t="str">
        <f t="shared" si="166"/>
        <v/>
      </c>
      <c r="AB181" s="69"/>
      <c r="AC181" s="1427" t="str">
        <f t="shared" si="167"/>
        <v/>
      </c>
      <c r="AD181" s="69"/>
      <c r="AE181" s="1427">
        <f t="shared" si="168"/>
        <v>2</v>
      </c>
      <c r="AF181" s="69"/>
      <c r="AG181" s="1427" t="str">
        <f t="shared" si="169"/>
        <v/>
      </c>
      <c r="AH181" s="69"/>
      <c r="AI181" s="1427" t="str">
        <f t="shared" si="170"/>
        <v/>
      </c>
      <c r="AJ181" s="69"/>
      <c r="AK181" s="1427" t="str">
        <f t="shared" si="171"/>
        <v/>
      </c>
      <c r="AL181" s="69"/>
      <c r="AM181" s="1427" t="str">
        <f t="shared" si="172"/>
        <v/>
      </c>
      <c r="AN181" s="69"/>
      <c r="AO181" s="1427" t="str">
        <f t="shared" si="173"/>
        <v/>
      </c>
      <c r="AP181" s="69"/>
      <c r="AQ181" s="1427" t="str">
        <f t="shared" si="174"/>
        <v/>
      </c>
      <c r="AR181" s="69"/>
      <c r="AS181" s="1427" t="str">
        <f t="shared" si="175"/>
        <v/>
      </c>
      <c r="AT181" s="69"/>
      <c r="AU181" s="1427" t="str">
        <f t="shared" si="176"/>
        <v/>
      </c>
      <c r="AV181" s="69"/>
      <c r="AW181" s="1427" t="str">
        <f t="shared" si="177"/>
        <v/>
      </c>
      <c r="AX181" s="69"/>
      <c r="AY181" s="1073">
        <f t="shared" si="151"/>
        <v>20</v>
      </c>
      <c r="AZ181" s="1188"/>
      <c r="BA181" s="1188"/>
      <c r="BB181" s="1188"/>
      <c r="BD181" s="1192"/>
    </row>
    <row r="182" ht="18.75" customHeight="1">
      <c r="A182" s="1109">
        <f t="shared" ref="A182:D182" si="190">A151</f>
        <v>18</v>
      </c>
      <c r="B182" s="1111">
        <f t="shared" si="190"/>
        <v>3177</v>
      </c>
      <c r="C182" s="1200" t="str">
        <f t="shared" si="190"/>
        <v>Второе</v>
      </c>
      <c r="D182" s="591" t="str">
        <f t="shared" si="190"/>
        <v>Бифштекс с рисом 61 шт</v>
      </c>
      <c r="E182" s="1072">
        <f t="shared" si="155"/>
        <v>10</v>
      </c>
      <c r="F182" s="69"/>
      <c r="G182" s="1072">
        <f t="shared" si="156"/>
        <v>2</v>
      </c>
      <c r="H182" s="69"/>
      <c r="I182" s="1422" t="str">
        <f t="shared" si="157"/>
        <v/>
      </c>
      <c r="J182" s="69"/>
      <c r="K182" s="1072">
        <f t="shared" si="158"/>
        <v>12</v>
      </c>
      <c r="L182" s="69"/>
      <c r="M182" s="1072" t="str">
        <f t="shared" si="159"/>
        <v/>
      </c>
      <c r="N182" s="69"/>
      <c r="O182" s="1072">
        <f t="shared" si="160"/>
        <v>8</v>
      </c>
      <c r="P182" s="69"/>
      <c r="Q182" s="1072" t="str">
        <f t="shared" si="161"/>
        <v/>
      </c>
      <c r="R182" s="69"/>
      <c r="S182" s="1072" t="str">
        <f t="shared" si="162"/>
        <v/>
      </c>
      <c r="T182" s="69"/>
      <c r="U182" s="1426" t="str">
        <f t="shared" si="163"/>
        <v/>
      </c>
      <c r="V182" s="69"/>
      <c r="W182" s="1426">
        <f t="shared" si="164"/>
        <v>10</v>
      </c>
      <c r="X182" s="69"/>
      <c r="Y182" s="1426">
        <f t="shared" si="165"/>
        <v>5</v>
      </c>
      <c r="Z182" s="69"/>
      <c r="AA182" s="1427" t="str">
        <f t="shared" si="166"/>
        <v/>
      </c>
      <c r="AB182" s="69"/>
      <c r="AC182" s="1427" t="str">
        <f t="shared" si="167"/>
        <v/>
      </c>
      <c r="AD182" s="69"/>
      <c r="AE182" s="1427" t="str">
        <f t="shared" si="168"/>
        <v/>
      </c>
      <c r="AF182" s="69"/>
      <c r="AG182" s="1427" t="str">
        <f t="shared" si="169"/>
        <v/>
      </c>
      <c r="AH182" s="69"/>
      <c r="AI182" s="1427" t="str">
        <f t="shared" si="170"/>
        <v/>
      </c>
      <c r="AJ182" s="69"/>
      <c r="AK182" s="1427" t="str">
        <f t="shared" si="171"/>
        <v/>
      </c>
      <c r="AL182" s="69"/>
      <c r="AM182" s="1427" t="str">
        <f t="shared" si="172"/>
        <v/>
      </c>
      <c r="AN182" s="69"/>
      <c r="AO182" s="1427" t="str">
        <f t="shared" si="173"/>
        <v/>
      </c>
      <c r="AP182" s="69"/>
      <c r="AQ182" s="1427" t="str">
        <f t="shared" si="174"/>
        <v/>
      </c>
      <c r="AR182" s="69"/>
      <c r="AS182" s="1427" t="str">
        <f t="shared" si="175"/>
        <v/>
      </c>
      <c r="AT182" s="69"/>
      <c r="AU182" s="1427">
        <f t="shared" si="176"/>
        <v>13</v>
      </c>
      <c r="AV182" s="69"/>
      <c r="AW182" s="1427" t="str">
        <f t="shared" si="177"/>
        <v/>
      </c>
      <c r="AX182" s="69"/>
      <c r="AY182" s="1073">
        <f t="shared" si="151"/>
        <v>60</v>
      </c>
      <c r="AZ182" s="1187"/>
      <c r="BA182" s="1187"/>
      <c r="BB182" s="1187"/>
      <c r="BC182" s="677"/>
      <c r="BD182" s="1192"/>
    </row>
    <row r="183" ht="18.75" customHeight="1">
      <c r="A183" s="1109">
        <f t="shared" ref="A183:D183" si="191">A152</f>
        <v>19</v>
      </c>
      <c r="B183" s="1111">
        <f t="shared" si="191"/>
        <v>883</v>
      </c>
      <c r="C183" s="1200" t="str">
        <f t="shared" si="191"/>
        <v>Второе</v>
      </c>
      <c r="D183" s="591" t="str">
        <f t="shared" si="191"/>
        <v>Тефтели рыбные с пюре 45 шт</v>
      </c>
      <c r="E183" s="1072">
        <f t="shared" si="155"/>
        <v>2</v>
      </c>
      <c r="F183" s="69"/>
      <c r="G183" s="1072">
        <f t="shared" si="156"/>
        <v>0</v>
      </c>
      <c r="H183" s="69"/>
      <c r="I183" s="1422" t="str">
        <f t="shared" si="157"/>
        <v/>
      </c>
      <c r="J183" s="69"/>
      <c r="K183" s="1072">
        <f t="shared" si="158"/>
        <v>12</v>
      </c>
      <c r="L183" s="69"/>
      <c r="M183" s="1072" t="str">
        <f t="shared" si="159"/>
        <v/>
      </c>
      <c r="N183" s="69"/>
      <c r="O183" s="1072">
        <f t="shared" si="160"/>
        <v>3</v>
      </c>
      <c r="P183" s="69"/>
      <c r="Q183" s="1072" t="str">
        <f t="shared" si="161"/>
        <v/>
      </c>
      <c r="R183" s="69"/>
      <c r="S183" s="1072" t="str">
        <f t="shared" si="162"/>
        <v/>
      </c>
      <c r="T183" s="69"/>
      <c r="U183" s="1426" t="str">
        <f t="shared" si="163"/>
        <v/>
      </c>
      <c r="V183" s="69"/>
      <c r="W183" s="1426">
        <f t="shared" si="164"/>
        <v>6</v>
      </c>
      <c r="X183" s="69"/>
      <c r="Y183" s="1426">
        <f t="shared" si="165"/>
        <v>4</v>
      </c>
      <c r="Z183" s="69"/>
      <c r="AA183" s="1427" t="str">
        <f t="shared" si="166"/>
        <v/>
      </c>
      <c r="AB183" s="69"/>
      <c r="AC183" s="1427" t="str">
        <f t="shared" si="167"/>
        <v/>
      </c>
      <c r="AD183" s="69"/>
      <c r="AE183" s="1427" t="str">
        <f t="shared" si="168"/>
        <v/>
      </c>
      <c r="AF183" s="69"/>
      <c r="AG183" s="1427" t="str">
        <f t="shared" si="169"/>
        <v/>
      </c>
      <c r="AH183" s="69"/>
      <c r="AI183" s="1427" t="str">
        <f t="shared" si="170"/>
        <v/>
      </c>
      <c r="AJ183" s="69"/>
      <c r="AK183" s="1427" t="str">
        <f t="shared" si="171"/>
        <v/>
      </c>
      <c r="AL183" s="69"/>
      <c r="AM183" s="1427" t="str">
        <f t="shared" si="172"/>
        <v/>
      </c>
      <c r="AN183" s="69"/>
      <c r="AO183" s="1427" t="str">
        <f t="shared" si="173"/>
        <v/>
      </c>
      <c r="AP183" s="69"/>
      <c r="AQ183" s="1427">
        <f t="shared" si="174"/>
        <v>4</v>
      </c>
      <c r="AR183" s="69"/>
      <c r="AS183" s="1427">
        <f t="shared" si="175"/>
        <v>2</v>
      </c>
      <c r="AT183" s="69"/>
      <c r="AU183" s="1427">
        <f t="shared" si="176"/>
        <v>11</v>
      </c>
      <c r="AV183" s="69"/>
      <c r="AW183" s="1427" t="str">
        <f t="shared" si="177"/>
        <v/>
      </c>
      <c r="AX183" s="69"/>
      <c r="AY183" s="1073">
        <f t="shared" si="151"/>
        <v>44</v>
      </c>
      <c r="AZ183" s="1187"/>
      <c r="BA183" s="1187"/>
      <c r="BB183" s="1187"/>
      <c r="BC183" s="677"/>
      <c r="BD183" s="1192"/>
    </row>
    <row r="184" ht="18.75" customHeight="1">
      <c r="A184" s="1109">
        <f t="shared" ref="A184:D184" si="192">A153</f>
        <v>20</v>
      </c>
      <c r="B184" s="1111">
        <f t="shared" si="192"/>
        <v>3541</v>
      </c>
      <c r="C184" s="1200" t="str">
        <f t="shared" si="192"/>
        <v>Второе</v>
      </c>
      <c r="D184" s="591" t="str">
        <f t="shared" si="192"/>
        <v>Азу из курицы с гречкой 6 шт</v>
      </c>
      <c r="E184" s="1072">
        <f t="shared" si="155"/>
        <v>3</v>
      </c>
      <c r="F184" s="69"/>
      <c r="G184" s="1072" t="str">
        <f t="shared" si="156"/>
        <v/>
      </c>
      <c r="H184" s="69"/>
      <c r="I184" s="1422" t="str">
        <f t="shared" si="157"/>
        <v/>
      </c>
      <c r="J184" s="69"/>
      <c r="K184" s="1072">
        <f t="shared" si="158"/>
        <v>2</v>
      </c>
      <c r="L184" s="69"/>
      <c r="M184" s="1072" t="str">
        <f t="shared" si="159"/>
        <v/>
      </c>
      <c r="N184" s="69"/>
      <c r="O184" s="1072" t="str">
        <f t="shared" si="160"/>
        <v/>
      </c>
      <c r="P184" s="69"/>
      <c r="Q184" s="1072" t="str">
        <f t="shared" si="161"/>
        <v/>
      </c>
      <c r="R184" s="69"/>
      <c r="S184" s="1072" t="str">
        <f t="shared" si="162"/>
        <v/>
      </c>
      <c r="T184" s="69"/>
      <c r="U184" s="1426" t="str">
        <f t="shared" si="163"/>
        <v/>
      </c>
      <c r="V184" s="69"/>
      <c r="W184" s="1426" t="str">
        <f t="shared" si="164"/>
        <v/>
      </c>
      <c r="X184" s="69"/>
      <c r="Y184" s="1426" t="str">
        <f t="shared" si="165"/>
        <v/>
      </c>
      <c r="Z184" s="69"/>
      <c r="AA184" s="1427" t="str">
        <f t="shared" si="166"/>
        <v/>
      </c>
      <c r="AB184" s="69"/>
      <c r="AC184" s="1427" t="str">
        <f t="shared" si="167"/>
        <v/>
      </c>
      <c r="AD184" s="69"/>
      <c r="AE184" s="1427" t="str">
        <f t="shared" si="168"/>
        <v/>
      </c>
      <c r="AF184" s="69"/>
      <c r="AG184" s="1427" t="str">
        <f t="shared" si="169"/>
        <v/>
      </c>
      <c r="AH184" s="69"/>
      <c r="AI184" s="1427" t="str">
        <f t="shared" si="170"/>
        <v/>
      </c>
      <c r="AJ184" s="69"/>
      <c r="AK184" s="1427" t="str">
        <f t="shared" si="171"/>
        <v/>
      </c>
      <c r="AL184" s="69"/>
      <c r="AM184" s="1427" t="str">
        <f t="shared" si="172"/>
        <v/>
      </c>
      <c r="AN184" s="69"/>
      <c r="AO184" s="1427" t="str">
        <f t="shared" si="173"/>
        <v/>
      </c>
      <c r="AP184" s="69"/>
      <c r="AQ184" s="1427" t="str">
        <f t="shared" si="174"/>
        <v/>
      </c>
      <c r="AR184" s="69"/>
      <c r="AS184" s="1427" t="str">
        <f t="shared" si="175"/>
        <v/>
      </c>
      <c r="AT184" s="69"/>
      <c r="AU184" s="1427" t="str">
        <f t="shared" si="176"/>
        <v/>
      </c>
      <c r="AV184" s="69"/>
      <c r="AW184" s="1427" t="str">
        <f t="shared" si="177"/>
        <v/>
      </c>
      <c r="AX184" s="69"/>
      <c r="AY184" s="1073">
        <f t="shared" si="151"/>
        <v>5</v>
      </c>
      <c r="AZ184" s="1187"/>
      <c r="BA184" s="1187"/>
      <c r="BB184" s="1187"/>
      <c r="BC184" s="677"/>
      <c r="BD184" s="1192"/>
    </row>
    <row r="185" ht="18.75" customHeight="1">
      <c r="A185" s="1109">
        <f t="shared" ref="A185:D185" si="193">A154</f>
        <v>21</v>
      </c>
      <c r="B185" s="1111">
        <f t="shared" si="193"/>
        <v>3734</v>
      </c>
      <c r="C185" s="1200" t="str">
        <f t="shared" si="193"/>
        <v>Второе</v>
      </c>
      <c r="D185" s="591" t="str">
        <f t="shared" si="193"/>
        <v>Свинина в соусе сальса с макаронами 8 шт</v>
      </c>
      <c r="E185" s="1072">
        <f t="shared" si="155"/>
        <v>0</v>
      </c>
      <c r="F185" s="69"/>
      <c r="G185" s="1072">
        <f t="shared" si="156"/>
        <v>2</v>
      </c>
      <c r="H185" s="69"/>
      <c r="I185" s="1422" t="str">
        <f t="shared" si="157"/>
        <v/>
      </c>
      <c r="J185" s="69"/>
      <c r="K185" s="1072">
        <f t="shared" si="158"/>
        <v>2</v>
      </c>
      <c r="L185" s="69"/>
      <c r="M185" s="1072" t="str">
        <f t="shared" si="159"/>
        <v/>
      </c>
      <c r="N185" s="69"/>
      <c r="O185" s="1072" t="str">
        <f t="shared" si="160"/>
        <v/>
      </c>
      <c r="P185" s="69"/>
      <c r="Q185" s="1072" t="str">
        <f t="shared" si="161"/>
        <v/>
      </c>
      <c r="R185" s="69"/>
      <c r="S185" s="1072" t="str">
        <f t="shared" si="162"/>
        <v/>
      </c>
      <c r="T185" s="69"/>
      <c r="U185" s="1426" t="str">
        <f t="shared" si="163"/>
        <v/>
      </c>
      <c r="V185" s="69"/>
      <c r="W185" s="1426" t="str">
        <f t="shared" si="164"/>
        <v/>
      </c>
      <c r="X185" s="69"/>
      <c r="Y185" s="1426">
        <f t="shared" si="165"/>
        <v>3</v>
      </c>
      <c r="Z185" s="69"/>
      <c r="AA185" s="1427" t="str">
        <f t="shared" si="166"/>
        <v/>
      </c>
      <c r="AB185" s="69"/>
      <c r="AC185" s="1427" t="str">
        <f t="shared" si="167"/>
        <v/>
      </c>
      <c r="AD185" s="69"/>
      <c r="AE185" s="1427" t="str">
        <f t="shared" si="168"/>
        <v/>
      </c>
      <c r="AF185" s="69"/>
      <c r="AG185" s="1427" t="str">
        <f t="shared" si="169"/>
        <v/>
      </c>
      <c r="AH185" s="69"/>
      <c r="AI185" s="1427" t="str">
        <f t="shared" si="170"/>
        <v/>
      </c>
      <c r="AJ185" s="69"/>
      <c r="AK185" s="1427" t="str">
        <f t="shared" si="171"/>
        <v/>
      </c>
      <c r="AL185" s="69"/>
      <c r="AM185" s="1427" t="str">
        <f t="shared" si="172"/>
        <v/>
      </c>
      <c r="AN185" s="69"/>
      <c r="AO185" s="1427" t="str">
        <f t="shared" si="173"/>
        <v/>
      </c>
      <c r="AP185" s="69"/>
      <c r="AQ185" s="1427" t="str">
        <f t="shared" si="174"/>
        <v/>
      </c>
      <c r="AR185" s="69"/>
      <c r="AS185" s="1427" t="str">
        <f t="shared" si="175"/>
        <v/>
      </c>
      <c r="AT185" s="69"/>
      <c r="AU185" s="1427" t="str">
        <f t="shared" si="176"/>
        <v/>
      </c>
      <c r="AV185" s="69"/>
      <c r="AW185" s="1427" t="str">
        <f t="shared" si="177"/>
        <v/>
      </c>
      <c r="AX185" s="69"/>
      <c r="AY185" s="1073">
        <f t="shared" si="151"/>
        <v>7</v>
      </c>
      <c r="AZ185" s="1187"/>
      <c r="BA185" s="1187"/>
      <c r="BB185" s="1187"/>
      <c r="BC185" s="677"/>
      <c r="BD185" s="1192"/>
    </row>
    <row r="186" ht="18.75" customHeight="1">
      <c r="A186" s="1109">
        <f t="shared" ref="A186:D186" si="194">A155</f>
        <v>22</v>
      </c>
      <c r="B186" s="1111" t="str">
        <f t="shared" si="194"/>
        <v/>
      </c>
      <c r="C186" s="1200" t="str">
        <f t="shared" si="194"/>
        <v/>
      </c>
      <c r="D186" s="591" t="str">
        <f t="shared" si="194"/>
        <v/>
      </c>
      <c r="E186" s="1072" t="str">
        <f t="shared" si="155"/>
        <v/>
      </c>
      <c r="F186" s="69"/>
      <c r="G186" s="1072" t="str">
        <f t="shared" si="156"/>
        <v/>
      </c>
      <c r="H186" s="69"/>
      <c r="I186" s="1422" t="str">
        <f t="shared" si="157"/>
        <v/>
      </c>
      <c r="J186" s="69"/>
      <c r="K186" s="1072" t="str">
        <f t="shared" si="158"/>
        <v/>
      </c>
      <c r="L186" s="69"/>
      <c r="M186" s="1072" t="str">
        <f t="shared" si="159"/>
        <v/>
      </c>
      <c r="N186" s="69"/>
      <c r="O186" s="1072" t="str">
        <f t="shared" si="160"/>
        <v/>
      </c>
      <c r="P186" s="69"/>
      <c r="Q186" s="1072" t="str">
        <f t="shared" si="161"/>
        <v/>
      </c>
      <c r="R186" s="69"/>
      <c r="S186" s="1072" t="str">
        <f t="shared" si="162"/>
        <v/>
      </c>
      <c r="T186" s="69"/>
      <c r="U186" s="1426" t="str">
        <f t="shared" si="163"/>
        <v/>
      </c>
      <c r="V186" s="69"/>
      <c r="W186" s="1426" t="str">
        <f t="shared" si="164"/>
        <v/>
      </c>
      <c r="X186" s="69"/>
      <c r="Y186" s="1426" t="str">
        <f t="shared" si="165"/>
        <v/>
      </c>
      <c r="Z186" s="69"/>
      <c r="AA186" s="1427" t="str">
        <f t="shared" si="166"/>
        <v/>
      </c>
      <c r="AB186" s="69"/>
      <c r="AC186" s="1427" t="str">
        <f t="shared" si="167"/>
        <v/>
      </c>
      <c r="AD186" s="69"/>
      <c r="AE186" s="1427" t="str">
        <f t="shared" si="168"/>
        <v/>
      </c>
      <c r="AF186" s="69"/>
      <c r="AG186" s="1427" t="str">
        <f t="shared" si="169"/>
        <v/>
      </c>
      <c r="AH186" s="69"/>
      <c r="AI186" s="1427" t="str">
        <f t="shared" si="170"/>
        <v/>
      </c>
      <c r="AJ186" s="69"/>
      <c r="AK186" s="1427" t="str">
        <f t="shared" si="171"/>
        <v/>
      </c>
      <c r="AL186" s="69"/>
      <c r="AM186" s="1427" t="str">
        <f t="shared" si="172"/>
        <v/>
      </c>
      <c r="AN186" s="69"/>
      <c r="AO186" s="1427" t="str">
        <f t="shared" si="173"/>
        <v/>
      </c>
      <c r="AP186" s="69"/>
      <c r="AQ186" s="1427" t="str">
        <f t="shared" si="174"/>
        <v/>
      </c>
      <c r="AR186" s="69"/>
      <c r="AS186" s="1427" t="str">
        <f t="shared" si="175"/>
        <v/>
      </c>
      <c r="AT186" s="69"/>
      <c r="AU186" s="1427" t="str">
        <f t="shared" si="176"/>
        <v/>
      </c>
      <c r="AV186" s="69"/>
      <c r="AW186" s="1427" t="str">
        <f t="shared" si="177"/>
        <v/>
      </c>
      <c r="AX186" s="69"/>
      <c r="AY186" s="1073">
        <f t="shared" si="151"/>
        <v>0</v>
      </c>
      <c r="AZ186" s="1187"/>
      <c r="BA186" s="1187"/>
      <c r="BB186" s="1187"/>
      <c r="BC186" s="677"/>
      <c r="BD186" s="1192"/>
    </row>
    <row r="187" ht="18.75" customHeight="1">
      <c r="A187" s="1109">
        <f t="shared" ref="A187:D187" si="195">A156</f>
        <v>23</v>
      </c>
      <c r="B187" s="1111" t="str">
        <f t="shared" si="195"/>
        <v/>
      </c>
      <c r="C187" s="1200" t="str">
        <f t="shared" si="195"/>
        <v/>
      </c>
      <c r="D187" s="591" t="str">
        <f t="shared" si="195"/>
        <v/>
      </c>
      <c r="E187" s="1072" t="str">
        <f t="shared" si="155"/>
        <v/>
      </c>
      <c r="F187" s="69"/>
      <c r="G187" s="1072" t="str">
        <f t="shared" si="156"/>
        <v/>
      </c>
      <c r="H187" s="69"/>
      <c r="I187" s="1422" t="str">
        <f t="shared" si="157"/>
        <v/>
      </c>
      <c r="J187" s="69"/>
      <c r="K187" s="1072" t="str">
        <f t="shared" si="158"/>
        <v/>
      </c>
      <c r="L187" s="69"/>
      <c r="M187" s="1072" t="str">
        <f t="shared" si="159"/>
        <v/>
      </c>
      <c r="N187" s="69"/>
      <c r="O187" s="1072" t="str">
        <f t="shared" si="160"/>
        <v/>
      </c>
      <c r="P187" s="69"/>
      <c r="Q187" s="1072" t="str">
        <f t="shared" si="161"/>
        <v/>
      </c>
      <c r="R187" s="69"/>
      <c r="S187" s="1072" t="str">
        <f t="shared" si="162"/>
        <v/>
      </c>
      <c r="T187" s="69"/>
      <c r="U187" s="1426" t="str">
        <f t="shared" si="163"/>
        <v/>
      </c>
      <c r="V187" s="69"/>
      <c r="W187" s="1426" t="str">
        <f t="shared" si="164"/>
        <v/>
      </c>
      <c r="X187" s="69"/>
      <c r="Y187" s="1426" t="str">
        <f t="shared" si="165"/>
        <v/>
      </c>
      <c r="Z187" s="69"/>
      <c r="AA187" s="1427" t="str">
        <f t="shared" si="166"/>
        <v/>
      </c>
      <c r="AB187" s="69"/>
      <c r="AC187" s="1427" t="str">
        <f t="shared" si="167"/>
        <v/>
      </c>
      <c r="AD187" s="69"/>
      <c r="AE187" s="1427" t="str">
        <f t="shared" si="168"/>
        <v/>
      </c>
      <c r="AF187" s="69"/>
      <c r="AG187" s="1427" t="str">
        <f t="shared" si="169"/>
        <v/>
      </c>
      <c r="AH187" s="69"/>
      <c r="AI187" s="1427" t="str">
        <f t="shared" si="170"/>
        <v/>
      </c>
      <c r="AJ187" s="69"/>
      <c r="AK187" s="1427" t="str">
        <f t="shared" si="171"/>
        <v/>
      </c>
      <c r="AL187" s="69"/>
      <c r="AM187" s="1427" t="str">
        <f t="shared" si="172"/>
        <v/>
      </c>
      <c r="AN187" s="69"/>
      <c r="AO187" s="1427" t="str">
        <f t="shared" si="173"/>
        <v/>
      </c>
      <c r="AP187" s="69"/>
      <c r="AQ187" s="1427" t="str">
        <f t="shared" si="174"/>
        <v/>
      </c>
      <c r="AR187" s="69"/>
      <c r="AS187" s="1427" t="str">
        <f t="shared" si="175"/>
        <v/>
      </c>
      <c r="AT187" s="69"/>
      <c r="AU187" s="1427" t="str">
        <f t="shared" si="176"/>
        <v/>
      </c>
      <c r="AV187" s="69"/>
      <c r="AW187" s="1427" t="str">
        <f t="shared" si="177"/>
        <v/>
      </c>
      <c r="AX187" s="69"/>
      <c r="AY187" s="1073">
        <f t="shared" si="151"/>
        <v>0</v>
      </c>
      <c r="AZ187" s="1187"/>
      <c r="BA187" s="1187"/>
      <c r="BB187" s="1187"/>
      <c r="BC187" s="677"/>
      <c r="BD187" s="1192"/>
    </row>
    <row r="188" ht="18.75" customHeight="1">
      <c r="A188" s="1109">
        <f t="shared" ref="A188:D188" si="196">A157</f>
        <v>24</v>
      </c>
      <c r="B188" s="1111" t="str">
        <f t="shared" si="196"/>
        <v/>
      </c>
      <c r="C188" s="1200" t="str">
        <f t="shared" si="196"/>
        <v/>
      </c>
      <c r="D188" s="591" t="str">
        <f t="shared" si="196"/>
        <v/>
      </c>
      <c r="E188" s="1072" t="str">
        <f t="shared" si="155"/>
        <v/>
      </c>
      <c r="F188" s="69"/>
      <c r="G188" s="1072" t="str">
        <f t="shared" si="156"/>
        <v/>
      </c>
      <c r="H188" s="69"/>
      <c r="I188" s="1422" t="str">
        <f t="shared" si="157"/>
        <v/>
      </c>
      <c r="J188" s="69"/>
      <c r="K188" s="1072" t="str">
        <f t="shared" si="158"/>
        <v/>
      </c>
      <c r="L188" s="69"/>
      <c r="M188" s="1072" t="str">
        <f t="shared" si="159"/>
        <v/>
      </c>
      <c r="N188" s="69"/>
      <c r="O188" s="1072" t="str">
        <f t="shared" si="160"/>
        <v/>
      </c>
      <c r="P188" s="69"/>
      <c r="Q188" s="1072" t="str">
        <f t="shared" si="161"/>
        <v/>
      </c>
      <c r="R188" s="69"/>
      <c r="S188" s="1072" t="str">
        <f t="shared" si="162"/>
        <v/>
      </c>
      <c r="T188" s="69"/>
      <c r="U188" s="1426" t="str">
        <f t="shared" si="163"/>
        <v/>
      </c>
      <c r="V188" s="69"/>
      <c r="W188" s="1426" t="str">
        <f t="shared" si="164"/>
        <v/>
      </c>
      <c r="X188" s="69"/>
      <c r="Y188" s="1426" t="str">
        <f t="shared" si="165"/>
        <v/>
      </c>
      <c r="Z188" s="69"/>
      <c r="AA188" s="1427" t="str">
        <f t="shared" si="166"/>
        <v/>
      </c>
      <c r="AB188" s="69"/>
      <c r="AC188" s="1427" t="str">
        <f t="shared" si="167"/>
        <v/>
      </c>
      <c r="AD188" s="69"/>
      <c r="AE188" s="1427" t="str">
        <f t="shared" si="168"/>
        <v/>
      </c>
      <c r="AF188" s="69"/>
      <c r="AG188" s="1427" t="str">
        <f t="shared" si="169"/>
        <v/>
      </c>
      <c r="AH188" s="69"/>
      <c r="AI188" s="1427" t="str">
        <f t="shared" si="170"/>
        <v/>
      </c>
      <c r="AJ188" s="69"/>
      <c r="AK188" s="1427" t="str">
        <f t="shared" si="171"/>
        <v/>
      </c>
      <c r="AL188" s="69"/>
      <c r="AM188" s="1427" t="str">
        <f t="shared" si="172"/>
        <v/>
      </c>
      <c r="AN188" s="69"/>
      <c r="AO188" s="1427" t="str">
        <f t="shared" si="173"/>
        <v/>
      </c>
      <c r="AP188" s="69"/>
      <c r="AQ188" s="1427" t="str">
        <f t="shared" si="174"/>
        <v/>
      </c>
      <c r="AR188" s="69"/>
      <c r="AS188" s="1427" t="str">
        <f t="shared" si="175"/>
        <v/>
      </c>
      <c r="AT188" s="69"/>
      <c r="AU188" s="1427" t="str">
        <f t="shared" si="176"/>
        <v/>
      </c>
      <c r="AV188" s="69"/>
      <c r="AW188" s="1427" t="str">
        <f t="shared" si="177"/>
        <v/>
      </c>
      <c r="AX188" s="69"/>
      <c r="AY188" s="1073">
        <f t="shared" si="151"/>
        <v>0</v>
      </c>
      <c r="AZ188" s="1187"/>
      <c r="BA188" s="1187"/>
      <c r="BB188" s="1187"/>
      <c r="BC188" s="677"/>
      <c r="BD188" s="1192"/>
    </row>
    <row r="189" ht="18.75" customHeight="1">
      <c r="A189" s="1109">
        <f t="shared" ref="A189:D189" si="197">A158</f>
        <v>25</v>
      </c>
      <c r="B189" s="1111" t="str">
        <f t="shared" si="197"/>
        <v/>
      </c>
      <c r="C189" s="1200" t="str">
        <f t="shared" si="197"/>
        <v/>
      </c>
      <c r="D189" s="591" t="str">
        <f t="shared" si="197"/>
        <v/>
      </c>
      <c r="E189" s="1072" t="str">
        <f t="shared" si="155"/>
        <v/>
      </c>
      <c r="F189" s="69"/>
      <c r="G189" s="1072" t="str">
        <f t="shared" si="156"/>
        <v/>
      </c>
      <c r="H189" s="69"/>
      <c r="I189" s="1422" t="str">
        <f t="shared" si="157"/>
        <v/>
      </c>
      <c r="J189" s="69"/>
      <c r="K189" s="1072" t="str">
        <f t="shared" si="158"/>
        <v/>
      </c>
      <c r="L189" s="69"/>
      <c r="M189" s="1072" t="str">
        <f t="shared" si="159"/>
        <v/>
      </c>
      <c r="N189" s="69"/>
      <c r="O189" s="1072" t="str">
        <f t="shared" si="160"/>
        <v/>
      </c>
      <c r="P189" s="69"/>
      <c r="Q189" s="1072" t="str">
        <f t="shared" si="161"/>
        <v/>
      </c>
      <c r="R189" s="69"/>
      <c r="S189" s="1072" t="str">
        <f t="shared" si="162"/>
        <v/>
      </c>
      <c r="T189" s="69"/>
      <c r="U189" s="1426" t="str">
        <f t="shared" si="163"/>
        <v/>
      </c>
      <c r="V189" s="69"/>
      <c r="W189" s="1426" t="str">
        <f t="shared" si="164"/>
        <v/>
      </c>
      <c r="X189" s="69"/>
      <c r="Y189" s="1426" t="str">
        <f t="shared" si="165"/>
        <v/>
      </c>
      <c r="Z189" s="69"/>
      <c r="AA189" s="1427" t="str">
        <f t="shared" si="166"/>
        <v/>
      </c>
      <c r="AB189" s="69"/>
      <c r="AC189" s="1427" t="str">
        <f t="shared" si="167"/>
        <v/>
      </c>
      <c r="AD189" s="69"/>
      <c r="AE189" s="1427" t="str">
        <f t="shared" si="168"/>
        <v/>
      </c>
      <c r="AF189" s="69"/>
      <c r="AG189" s="1427" t="str">
        <f t="shared" si="169"/>
        <v/>
      </c>
      <c r="AH189" s="69"/>
      <c r="AI189" s="1427" t="str">
        <f t="shared" si="170"/>
        <v/>
      </c>
      <c r="AJ189" s="69"/>
      <c r="AK189" s="1427" t="str">
        <f t="shared" si="171"/>
        <v/>
      </c>
      <c r="AL189" s="69"/>
      <c r="AM189" s="1427" t="str">
        <f t="shared" si="172"/>
        <v/>
      </c>
      <c r="AN189" s="69"/>
      <c r="AO189" s="1427" t="str">
        <f t="shared" si="173"/>
        <v/>
      </c>
      <c r="AP189" s="69"/>
      <c r="AQ189" s="1427" t="str">
        <f t="shared" si="174"/>
        <v/>
      </c>
      <c r="AR189" s="69"/>
      <c r="AS189" s="1427" t="str">
        <f t="shared" si="175"/>
        <v/>
      </c>
      <c r="AT189" s="69"/>
      <c r="AU189" s="1427" t="str">
        <f t="shared" si="176"/>
        <v/>
      </c>
      <c r="AV189" s="69"/>
      <c r="AW189" s="1427" t="str">
        <f t="shared" si="177"/>
        <v/>
      </c>
      <c r="AX189" s="69"/>
      <c r="AY189" s="1073">
        <f t="shared" si="151"/>
        <v>0</v>
      </c>
      <c r="AZ189" s="1187"/>
      <c r="BA189" s="1187"/>
      <c r="BB189" s="1187"/>
      <c r="BC189" s="677"/>
      <c r="BD189" s="1192"/>
    </row>
    <row r="190" ht="18.75" customHeight="1">
      <c r="A190" s="1109">
        <f t="shared" ref="A190:D190" si="198">A159</f>
        <v>26</v>
      </c>
      <c r="B190" s="1111" t="str">
        <f t="shared" si="198"/>
        <v/>
      </c>
      <c r="C190" s="1200" t="str">
        <f t="shared" si="198"/>
        <v/>
      </c>
      <c r="D190" s="591" t="str">
        <f t="shared" si="198"/>
        <v/>
      </c>
      <c r="E190" s="1072" t="str">
        <f t="shared" si="155"/>
        <v/>
      </c>
      <c r="F190" s="69"/>
      <c r="G190" s="1072" t="str">
        <f t="shared" si="156"/>
        <v/>
      </c>
      <c r="H190" s="69"/>
      <c r="I190" s="1422" t="str">
        <f t="shared" si="157"/>
        <v/>
      </c>
      <c r="J190" s="69"/>
      <c r="K190" s="1072" t="str">
        <f t="shared" si="158"/>
        <v/>
      </c>
      <c r="L190" s="69"/>
      <c r="M190" s="1072" t="str">
        <f t="shared" si="159"/>
        <v/>
      </c>
      <c r="N190" s="69"/>
      <c r="O190" s="1072" t="str">
        <f t="shared" si="160"/>
        <v/>
      </c>
      <c r="P190" s="69"/>
      <c r="Q190" s="1072" t="str">
        <f t="shared" si="161"/>
        <v/>
      </c>
      <c r="R190" s="69"/>
      <c r="S190" s="1072" t="str">
        <f t="shared" si="162"/>
        <v/>
      </c>
      <c r="T190" s="69"/>
      <c r="U190" s="1426" t="str">
        <f t="shared" si="163"/>
        <v/>
      </c>
      <c r="V190" s="69"/>
      <c r="W190" s="1426" t="str">
        <f t="shared" si="164"/>
        <v/>
      </c>
      <c r="X190" s="69"/>
      <c r="Y190" s="1426" t="str">
        <f t="shared" si="165"/>
        <v/>
      </c>
      <c r="Z190" s="69"/>
      <c r="AA190" s="1427" t="str">
        <f t="shared" si="166"/>
        <v/>
      </c>
      <c r="AB190" s="69"/>
      <c r="AC190" s="1427" t="str">
        <f t="shared" si="167"/>
        <v/>
      </c>
      <c r="AD190" s="69"/>
      <c r="AE190" s="1427" t="str">
        <f t="shared" si="168"/>
        <v/>
      </c>
      <c r="AF190" s="69"/>
      <c r="AG190" s="1427" t="str">
        <f t="shared" si="169"/>
        <v/>
      </c>
      <c r="AH190" s="69"/>
      <c r="AI190" s="1427" t="str">
        <f t="shared" si="170"/>
        <v/>
      </c>
      <c r="AJ190" s="69"/>
      <c r="AK190" s="1427" t="str">
        <f t="shared" si="171"/>
        <v/>
      </c>
      <c r="AL190" s="69"/>
      <c r="AM190" s="1427" t="str">
        <f t="shared" si="172"/>
        <v/>
      </c>
      <c r="AN190" s="69"/>
      <c r="AO190" s="1427" t="str">
        <f t="shared" si="173"/>
        <v/>
      </c>
      <c r="AP190" s="69"/>
      <c r="AQ190" s="1427" t="str">
        <f t="shared" si="174"/>
        <v/>
      </c>
      <c r="AR190" s="69"/>
      <c r="AS190" s="1427" t="str">
        <f t="shared" si="175"/>
        <v/>
      </c>
      <c r="AT190" s="69"/>
      <c r="AU190" s="1427" t="str">
        <f t="shared" si="176"/>
        <v/>
      </c>
      <c r="AV190" s="69"/>
      <c r="AW190" s="1427" t="str">
        <f t="shared" si="177"/>
        <v/>
      </c>
      <c r="AX190" s="69"/>
      <c r="AY190" s="1073">
        <f t="shared" si="151"/>
        <v>0</v>
      </c>
      <c r="AZ190" s="1187"/>
      <c r="BA190" s="1187"/>
      <c r="BB190" s="1187"/>
      <c r="BC190" s="677"/>
      <c r="BD190" s="1192"/>
    </row>
    <row r="191" ht="15.75" customHeight="1">
      <c r="A191" s="1464"/>
      <c r="B191" s="1465"/>
      <c r="C191" s="1466"/>
      <c r="D191" s="1467"/>
      <c r="E191" s="1214"/>
      <c r="F191" s="1468"/>
      <c r="G191" s="1214"/>
      <c r="H191" s="1468"/>
      <c r="I191" s="1214"/>
      <c r="J191" s="1468"/>
      <c r="K191" s="1214"/>
      <c r="L191" s="1468"/>
      <c r="M191" s="1214"/>
      <c r="N191" s="1214"/>
      <c r="O191" s="1214"/>
      <c r="P191" s="1214"/>
      <c r="Q191" s="1214"/>
      <c r="R191" s="1469"/>
      <c r="S191" s="1470"/>
      <c r="T191" s="1470"/>
      <c r="U191" s="1471"/>
      <c r="V191" s="1469"/>
      <c r="W191" s="1472"/>
      <c r="X191" s="1469"/>
      <c r="Y191" s="1472"/>
      <c r="Z191" s="1469"/>
      <c r="AA191" s="1472"/>
      <c r="AB191" s="1469"/>
      <c r="AC191" s="1472"/>
      <c r="AD191" s="1472"/>
      <c r="AE191" s="1472"/>
      <c r="AF191" s="1472"/>
      <c r="AG191" s="1472"/>
      <c r="AH191" s="1472"/>
      <c r="AI191" s="1472"/>
      <c r="AJ191" s="1472"/>
      <c r="AK191" s="1472"/>
      <c r="AL191" s="1472"/>
      <c r="AM191" s="1427" t="str">
        <f t="shared" si="172"/>
        <v/>
      </c>
      <c r="AN191" s="69"/>
      <c r="AO191" s="1472"/>
      <c r="AP191" s="1472"/>
      <c r="AQ191" s="1472"/>
      <c r="AR191" s="1472"/>
      <c r="AS191" s="1472"/>
      <c r="AT191" s="1472"/>
      <c r="AU191" s="1472"/>
      <c r="AV191" s="1472"/>
      <c r="AW191" s="1473" t="s">
        <v>1365</v>
      </c>
      <c r="AX191" s="1474"/>
      <c r="AY191" s="1475">
        <f>SUM(AY165:AY190)</f>
        <v>469</v>
      </c>
      <c r="AZ191" s="1214"/>
      <c r="BA191" s="1214"/>
      <c r="BB191" s="1214"/>
      <c r="BC191" s="1215"/>
      <c r="BD191" s="1216"/>
    </row>
    <row r="192" ht="15.75" customHeight="1">
      <c r="A192" s="1004"/>
      <c r="B192" s="1004"/>
      <c r="C192" s="1005"/>
      <c r="D192" s="977"/>
      <c r="E192" s="13"/>
      <c r="F192" s="677"/>
      <c r="G192" s="13"/>
      <c r="H192" s="677"/>
      <c r="I192" s="13"/>
      <c r="J192" s="677"/>
      <c r="K192" s="13"/>
      <c r="L192" s="677"/>
      <c r="M192" s="13"/>
      <c r="N192" s="13"/>
      <c r="O192" s="13"/>
      <c r="P192" s="677"/>
      <c r="U192" s="1189"/>
      <c r="W192" s="1189"/>
      <c r="Y192" s="1190"/>
      <c r="AA192" s="1190"/>
      <c r="AG192" s="701"/>
      <c r="AI192" s="701"/>
      <c r="AY192" s="977"/>
    </row>
    <row r="193" ht="15.75" customHeight="1">
      <c r="A193" s="1004"/>
      <c r="B193" s="1004"/>
      <c r="C193" s="1005"/>
      <c r="D193" s="977"/>
      <c r="E193" s="1007"/>
      <c r="F193" s="677"/>
      <c r="G193" s="1007"/>
      <c r="H193" s="677"/>
      <c r="I193" s="1007"/>
      <c r="J193" s="677"/>
      <c r="K193" s="1007"/>
      <c r="L193" s="677"/>
      <c r="M193" s="1007"/>
      <c r="N193" s="13"/>
      <c r="O193" s="1007"/>
      <c r="P193" s="677"/>
      <c r="U193" s="1012"/>
      <c r="W193" s="1012"/>
      <c r="Y193" s="63"/>
      <c r="AA193" s="63"/>
      <c r="AB193" s="63"/>
      <c r="AG193" s="1014"/>
      <c r="AI193" s="1014"/>
      <c r="AY193" s="977"/>
    </row>
    <row r="194" ht="15.75" customHeight="1">
      <c r="A194" s="1018" t="s">
        <v>1279</v>
      </c>
      <c r="B194" s="1019"/>
      <c r="C194" s="1021">
        <v>45966.0</v>
      </c>
      <c r="D194" s="1022" t="s">
        <v>3040</v>
      </c>
      <c r="E194" s="1476"/>
      <c r="F194" s="1477"/>
      <c r="G194" s="1478"/>
      <c r="H194" s="1230"/>
      <c r="I194" s="1231" t="s">
        <v>3041</v>
      </c>
      <c r="J194" s="1230"/>
      <c r="K194" s="1231"/>
      <c r="L194" s="1230"/>
      <c r="M194" s="1231"/>
      <c r="N194" s="1231"/>
      <c r="O194" s="1231" t="s">
        <v>10</v>
      </c>
      <c r="P194" s="1233" t="s">
        <v>3042</v>
      </c>
      <c r="Q194" s="1479"/>
      <c r="R194" s="1479"/>
      <c r="S194" s="1479"/>
      <c r="T194" s="1479"/>
      <c r="U194" s="1479"/>
      <c r="V194" s="1479"/>
      <c r="W194" s="1479"/>
      <c r="X194" s="1479"/>
      <c r="Y194" s="1479"/>
      <c r="Z194" s="1479"/>
      <c r="AA194" s="1479"/>
      <c r="AB194" s="1479"/>
      <c r="AC194" s="1479"/>
      <c r="AD194" s="1479"/>
      <c r="AE194" s="1479"/>
      <c r="AF194" s="1479"/>
      <c r="AG194" s="1479"/>
      <c r="AH194" s="1479"/>
      <c r="AI194" s="1479"/>
      <c r="AJ194" s="1479"/>
      <c r="AK194" s="1479"/>
      <c r="AL194" s="1479"/>
      <c r="AM194" s="1479"/>
      <c r="AN194" s="1479"/>
      <c r="AO194" s="1479"/>
      <c r="AP194" s="1479"/>
      <c r="AQ194" s="1479"/>
      <c r="AR194" s="1479"/>
      <c r="AS194" s="1479"/>
      <c r="AT194" s="1479"/>
      <c r="AU194" s="1479"/>
      <c r="AV194" s="1479"/>
      <c r="AW194" s="1479"/>
      <c r="AX194" s="1479"/>
      <c r="AY194" s="1479"/>
      <c r="AZ194" s="1235"/>
      <c r="BA194" s="1235"/>
      <c r="BB194" s="1235"/>
      <c r="BC194" s="1230"/>
      <c r="BD194" s="1237"/>
    </row>
    <row r="195" ht="15.75" customHeight="1">
      <c r="A195" s="1048" t="s">
        <v>10</v>
      </c>
      <c r="B195" s="1049" t="s">
        <v>1283</v>
      </c>
      <c r="C195" s="1051" t="s">
        <v>1284</v>
      </c>
      <c r="D195" s="1053" t="s">
        <v>471</v>
      </c>
      <c r="E195" s="1480" t="s">
        <v>1285</v>
      </c>
      <c r="F195" s="1481" t="s">
        <v>1286</v>
      </c>
      <c r="G195" s="1482" t="s">
        <v>1287</v>
      </c>
      <c r="H195" s="1412" t="s">
        <v>1288</v>
      </c>
      <c r="I195" s="1073" t="s">
        <v>1289</v>
      </c>
      <c r="J195" s="1483" t="s">
        <v>1290</v>
      </c>
      <c r="K195" s="1073" t="s">
        <v>1291</v>
      </c>
      <c r="L195" s="1483" t="s">
        <v>1292</v>
      </c>
      <c r="M195" s="1073" t="s">
        <v>1293</v>
      </c>
      <c r="N195" s="1484" t="s">
        <v>1294</v>
      </c>
      <c r="O195" s="1073" t="s">
        <v>1295</v>
      </c>
      <c r="P195" s="1484" t="s">
        <v>1296</v>
      </c>
      <c r="Q195" s="1485" t="s">
        <v>1297</v>
      </c>
      <c r="R195" s="1486" t="s">
        <v>3043</v>
      </c>
      <c r="S195" s="1485" t="s">
        <v>1299</v>
      </c>
      <c r="T195" s="1486" t="s">
        <v>1300</v>
      </c>
      <c r="U195" s="1427" t="s">
        <v>1301</v>
      </c>
      <c r="V195" s="1486" t="s">
        <v>1302</v>
      </c>
      <c r="W195" s="1485" t="s">
        <v>1303</v>
      </c>
      <c r="X195" s="1486" t="s">
        <v>1304</v>
      </c>
      <c r="Y195" s="1427" t="s">
        <v>1305</v>
      </c>
      <c r="Z195" s="1486" t="s">
        <v>1306</v>
      </c>
      <c r="AA195" s="1487" t="s">
        <v>1307</v>
      </c>
      <c r="AB195" s="1486" t="s">
        <v>1308</v>
      </c>
      <c r="AC195" s="1488" t="s">
        <v>1309</v>
      </c>
      <c r="AD195" s="1070" t="s">
        <v>1310</v>
      </c>
      <c r="AE195" s="1489" t="s">
        <v>1311</v>
      </c>
      <c r="AF195" s="1070" t="s">
        <v>1312</v>
      </c>
      <c r="AG195" s="1489" t="s">
        <v>1313</v>
      </c>
      <c r="AH195" s="1070" t="s">
        <v>1314</v>
      </c>
      <c r="AI195" s="1489" t="s">
        <v>1315</v>
      </c>
      <c r="AJ195" s="1070" t="s">
        <v>1316</v>
      </c>
      <c r="AK195" s="1489" t="s">
        <v>1317</v>
      </c>
      <c r="AL195" s="1070" t="s">
        <v>1318</v>
      </c>
      <c r="AM195" s="1489" t="s">
        <v>1319</v>
      </c>
      <c r="AN195" s="1070" t="s">
        <v>1320</v>
      </c>
      <c r="AO195" s="1069" t="s">
        <v>1321</v>
      </c>
      <c r="AP195" s="1490" t="s">
        <v>1322</v>
      </c>
      <c r="AQ195" s="1069" t="s">
        <v>1323</v>
      </c>
      <c r="AR195" s="1490" t="s">
        <v>1324</v>
      </c>
      <c r="AS195" s="1069" t="s">
        <v>1325</v>
      </c>
      <c r="AT195" s="1490" t="s">
        <v>1326</v>
      </c>
      <c r="AU195" s="1491" t="s">
        <v>1329</v>
      </c>
      <c r="AV195" s="1070" t="s">
        <v>1330</v>
      </c>
      <c r="AW195" s="1489" t="s">
        <v>1425</v>
      </c>
      <c r="AX195" s="1490" t="s">
        <v>3045</v>
      </c>
      <c r="AY195" s="1072" t="s">
        <v>1331</v>
      </c>
      <c r="AZ195" s="1073" t="s">
        <v>1332</v>
      </c>
      <c r="BA195" s="1075" t="s">
        <v>3046</v>
      </c>
      <c r="BB195" s="1075" t="s">
        <v>3047</v>
      </c>
      <c r="BC195" s="1073" t="s">
        <v>1334</v>
      </c>
      <c r="BD195" s="1076" t="s">
        <v>1335</v>
      </c>
    </row>
    <row r="196" ht="15.75" customHeight="1">
      <c r="A196" s="1109">
        <v>1.0</v>
      </c>
      <c r="B196" s="1259">
        <v>2847.0</v>
      </c>
      <c r="C196" s="1115" t="str">
        <f>C132</f>
        <v>Завтрак </v>
      </c>
      <c r="D196" s="1118" t="str">
        <f>'Матрица 4 недели'!D173</f>
        <v>Шакшука с томатом</v>
      </c>
      <c r="E196" s="1120"/>
      <c r="F196" s="1138"/>
      <c r="G196" s="1120"/>
      <c r="H196" s="1138"/>
      <c r="I196" s="1120"/>
      <c r="J196" s="1138"/>
      <c r="K196" s="1120"/>
      <c r="L196" s="1138"/>
      <c r="M196" s="1120"/>
      <c r="N196" s="1138"/>
      <c r="O196" s="1120"/>
      <c r="P196" s="1138"/>
      <c r="Q196" s="1120"/>
      <c r="R196" s="1138"/>
      <c r="S196" s="1120"/>
      <c r="T196" s="1138"/>
      <c r="U196" s="1120"/>
      <c r="V196" s="1138"/>
      <c r="W196" s="1120"/>
      <c r="X196" s="1138"/>
      <c r="Y196" s="1120"/>
      <c r="Z196" s="1138"/>
      <c r="AA196" s="1120"/>
      <c r="AB196" s="1138"/>
      <c r="AC196" s="1120"/>
      <c r="AD196" s="1138"/>
      <c r="AE196" s="1120"/>
      <c r="AF196" s="1138"/>
      <c r="AG196" s="1120"/>
      <c r="AH196" s="1138"/>
      <c r="AI196" s="1120"/>
      <c r="AJ196" s="1138"/>
      <c r="AK196" s="1120"/>
      <c r="AL196" s="1138"/>
      <c r="AM196" s="1120"/>
      <c r="AN196" s="1138"/>
      <c r="AO196" s="1126"/>
      <c r="AP196" s="1138"/>
      <c r="AQ196" s="1126"/>
      <c r="AR196" s="1138"/>
      <c r="AS196" s="1126"/>
      <c r="AT196" s="1138"/>
      <c r="AU196" s="1126"/>
      <c r="AV196" s="1138"/>
      <c r="AW196" s="1120"/>
      <c r="AX196" s="1138"/>
      <c r="AY196" s="1129">
        <f t="shared" ref="AY196:AY220" si="199">(E196+G196+I196+K196+M196+O196+Q196+S196+U196+W196+Y196+AA196+AC196+AE196+AG196+AI196+AK196+AM196+AW196+AO196+AQ196+AS196+AU196)+1</f>
        <v>1</v>
      </c>
      <c r="AZ196" s="1095">
        <f t="shared" ref="AZ196:AZ220" si="200">F196+H196+J196+L196+N196+P196+R196+T196+V196+X196+Z196+AD196+AF196+AH196+AJ196+AL196+AB196+AR196+AX196+AN196+AP196+AT196+AV196</f>
        <v>0</v>
      </c>
      <c r="BA196" s="1494">
        <v>2.0</v>
      </c>
      <c r="BB196" s="1496">
        <v>0.4791666666666667</v>
      </c>
      <c r="BC196" s="591">
        <v>0.1</v>
      </c>
      <c r="BD196" s="1099">
        <f>AY196*BC196</f>
        <v>0.1</v>
      </c>
    </row>
    <row r="197" ht="15.75" customHeight="1">
      <c r="A197" s="1130">
        <v>2.0</v>
      </c>
      <c r="B197" s="1259">
        <v>1404.0</v>
      </c>
      <c r="C197" s="1133" t="s">
        <v>66</v>
      </c>
      <c r="D197" s="1145" t="str">
        <f>'Матрица 4 недели'!D174</f>
        <v>Запеканка творожная</v>
      </c>
      <c r="E197" s="1120"/>
      <c r="F197" s="1138"/>
      <c r="G197" s="1120"/>
      <c r="H197" s="1138"/>
      <c r="I197" s="1120"/>
      <c r="J197" s="1138"/>
      <c r="K197" s="1120"/>
      <c r="L197" s="1138"/>
      <c r="M197" s="1120"/>
      <c r="N197" s="1138"/>
      <c r="O197" s="1120"/>
      <c r="P197" s="1138"/>
      <c r="Q197" s="1120"/>
      <c r="R197" s="1138"/>
      <c r="S197" s="1120"/>
      <c r="T197" s="1138"/>
      <c r="U197" s="1120"/>
      <c r="V197" s="1138"/>
      <c r="W197" s="1120"/>
      <c r="X197" s="1138"/>
      <c r="Y197" s="1120"/>
      <c r="Z197" s="1138"/>
      <c r="AA197" s="1120"/>
      <c r="AB197" s="1138"/>
      <c r="AC197" s="1120"/>
      <c r="AD197" s="1138"/>
      <c r="AE197" s="1120"/>
      <c r="AF197" s="1138"/>
      <c r="AG197" s="1120"/>
      <c r="AH197" s="1138"/>
      <c r="AI197" s="1120"/>
      <c r="AJ197" s="1138"/>
      <c r="AK197" s="1120"/>
      <c r="AL197" s="1138"/>
      <c r="AM197" s="1120"/>
      <c r="AN197" s="1138"/>
      <c r="AO197" s="1126"/>
      <c r="AP197" s="1138"/>
      <c r="AQ197" s="1126"/>
      <c r="AR197" s="1138"/>
      <c r="AS197" s="1126"/>
      <c r="AT197" s="1138"/>
      <c r="AU197" s="1126"/>
      <c r="AV197" s="1138"/>
      <c r="AW197" s="1120"/>
      <c r="AX197" s="1140"/>
      <c r="AY197" s="1129">
        <f t="shared" si="199"/>
        <v>1</v>
      </c>
      <c r="AZ197" s="1144">
        <f t="shared" si="200"/>
        <v>0</v>
      </c>
      <c r="BA197" s="1494">
        <v>3.0</v>
      </c>
      <c r="BB197" s="1496">
        <v>0.625</v>
      </c>
      <c r="BC197" s="591"/>
      <c r="BD197" s="1099"/>
    </row>
    <row r="198" ht="15.75" customHeight="1">
      <c r="A198" s="1109">
        <v>3.0</v>
      </c>
      <c r="B198" s="1259">
        <v>3236.0</v>
      </c>
      <c r="C198" s="1133" t="s">
        <v>66</v>
      </c>
      <c r="D198" s="1118" t="str">
        <f>'Матрица 4 недели'!D175</f>
        <v>Блин с ветчиной и сыром</v>
      </c>
      <c r="E198" s="1120"/>
      <c r="F198" s="1138"/>
      <c r="G198" s="1120"/>
      <c r="H198" s="1138"/>
      <c r="I198" s="1120"/>
      <c r="J198" s="1138"/>
      <c r="K198" s="1120"/>
      <c r="L198" s="1138"/>
      <c r="M198" s="1120"/>
      <c r="N198" s="1138"/>
      <c r="O198" s="1120"/>
      <c r="P198" s="1138"/>
      <c r="Q198" s="1120"/>
      <c r="R198" s="1138"/>
      <c r="S198" s="1120"/>
      <c r="T198" s="1138"/>
      <c r="U198" s="1120"/>
      <c r="V198" s="1138"/>
      <c r="W198" s="1120"/>
      <c r="X198" s="1138"/>
      <c r="Y198" s="1120"/>
      <c r="Z198" s="1138"/>
      <c r="AA198" s="1120"/>
      <c r="AB198" s="1138"/>
      <c r="AC198" s="1120"/>
      <c r="AD198" s="1138"/>
      <c r="AE198" s="1120"/>
      <c r="AF198" s="1138"/>
      <c r="AG198" s="1120"/>
      <c r="AH198" s="1138"/>
      <c r="AI198" s="1120"/>
      <c r="AJ198" s="1138"/>
      <c r="AK198" s="1120"/>
      <c r="AL198" s="1138"/>
      <c r="AM198" s="1120"/>
      <c r="AN198" s="1138"/>
      <c r="AO198" s="1126"/>
      <c r="AP198" s="1138"/>
      <c r="AQ198" s="1126"/>
      <c r="AR198" s="1138"/>
      <c r="AS198" s="1126"/>
      <c r="AT198" s="1138"/>
      <c r="AU198" s="1126"/>
      <c r="AV198" s="1138"/>
      <c r="AW198" s="1137"/>
      <c r="AX198" s="1138"/>
      <c r="AY198" s="1129">
        <f t="shared" si="199"/>
        <v>1</v>
      </c>
      <c r="AZ198" s="1095">
        <f t="shared" si="200"/>
        <v>0</v>
      </c>
      <c r="BA198" s="1494">
        <v>1.0</v>
      </c>
      <c r="BB198" s="1496">
        <v>0.3611111111111111</v>
      </c>
      <c r="BC198" s="591"/>
      <c r="BD198" s="1099"/>
    </row>
    <row r="199" ht="15.75" customHeight="1">
      <c r="A199" s="1130">
        <v>4.0</v>
      </c>
      <c r="B199" s="1259">
        <v>3147.0</v>
      </c>
      <c r="C199" s="1115" t="str">
        <f t="shared" ref="C199:C201" si="201">C137</f>
        <v>Салат</v>
      </c>
      <c r="D199" s="1118" t="str">
        <f>'Матрица 4 недели'!G173</f>
        <v>Салат ''Витаминный с крабом'' 120 г</v>
      </c>
      <c r="E199" s="1137"/>
      <c r="F199" s="1121"/>
      <c r="G199" s="1126"/>
      <c r="H199" s="1121"/>
      <c r="I199" s="1126"/>
      <c r="J199" s="1121"/>
      <c r="K199" s="1126"/>
      <c r="L199" s="1121"/>
      <c r="M199" s="1126"/>
      <c r="N199" s="1121"/>
      <c r="O199" s="1126"/>
      <c r="P199" s="1121"/>
      <c r="Q199" s="1126"/>
      <c r="R199" s="1121"/>
      <c r="S199" s="1126"/>
      <c r="T199" s="1138"/>
      <c r="U199" s="1137"/>
      <c r="V199" s="1138"/>
      <c r="W199" s="1137"/>
      <c r="X199" s="1138"/>
      <c r="Y199" s="1137"/>
      <c r="Z199" s="1138"/>
      <c r="AA199" s="1137"/>
      <c r="AB199" s="1138"/>
      <c r="AC199" s="1137"/>
      <c r="AD199" s="1138"/>
      <c r="AE199" s="1137"/>
      <c r="AF199" s="1138"/>
      <c r="AG199" s="1120"/>
      <c r="AH199" s="1138"/>
      <c r="AI199" s="1137"/>
      <c r="AJ199" s="1138"/>
      <c r="AK199" s="1120"/>
      <c r="AL199" s="1138"/>
      <c r="AM199" s="1120"/>
      <c r="AN199" s="1138"/>
      <c r="AO199" s="1126"/>
      <c r="AP199" s="1138"/>
      <c r="AQ199" s="1126"/>
      <c r="AR199" s="1138"/>
      <c r="AS199" s="1126"/>
      <c r="AT199" s="1138"/>
      <c r="AU199" s="1126"/>
      <c r="AV199" s="1138"/>
      <c r="AW199" s="1139"/>
      <c r="AX199" s="1138"/>
      <c r="AY199" s="1129">
        <f t="shared" si="199"/>
        <v>1</v>
      </c>
      <c r="AZ199" s="1095">
        <f t="shared" si="200"/>
        <v>0</v>
      </c>
      <c r="BA199" s="1500"/>
      <c r="BB199" s="1501"/>
      <c r="BC199" s="591">
        <v>0.1</v>
      </c>
      <c r="BD199" s="1099">
        <f t="shared" ref="BD199:BD201" si="202">AY199*BC199</f>
        <v>0.1</v>
      </c>
    </row>
    <row r="200" ht="15.75" customHeight="1">
      <c r="A200" s="1109">
        <v>5.0</v>
      </c>
      <c r="B200" s="1259">
        <v>41.0</v>
      </c>
      <c r="C200" s="1115" t="str">
        <f t="shared" si="201"/>
        <v>Салат</v>
      </c>
      <c r="D200" s="1118" t="str">
        <f>'Матрица 4 недели'!G174</f>
        <v>Салат ''Пикник'' (печень)</v>
      </c>
      <c r="E200" s="1137"/>
      <c r="F200" s="1138"/>
      <c r="G200" s="1126"/>
      <c r="H200" s="1138"/>
      <c r="I200" s="1126"/>
      <c r="J200" s="1138"/>
      <c r="K200" s="1126"/>
      <c r="L200" s="1138"/>
      <c r="M200" s="1126"/>
      <c r="N200" s="1138"/>
      <c r="O200" s="1126"/>
      <c r="P200" s="1121"/>
      <c r="Q200" s="1126"/>
      <c r="R200" s="1121"/>
      <c r="S200" s="1137"/>
      <c r="T200" s="1121"/>
      <c r="U200" s="1137"/>
      <c r="V200" s="1121"/>
      <c r="W200" s="1137"/>
      <c r="X200" s="1121"/>
      <c r="Y200" s="1120"/>
      <c r="Z200" s="1121"/>
      <c r="AA200" s="1120"/>
      <c r="AB200" s="1121"/>
      <c r="AC200" s="1120"/>
      <c r="AD200" s="1121"/>
      <c r="AE200" s="1137"/>
      <c r="AF200" s="1121"/>
      <c r="AG200" s="1120"/>
      <c r="AH200" s="1121"/>
      <c r="AI200" s="1120"/>
      <c r="AJ200" s="1121"/>
      <c r="AK200" s="1137"/>
      <c r="AL200" s="1121"/>
      <c r="AM200" s="1120"/>
      <c r="AN200" s="1138"/>
      <c r="AO200" s="1126"/>
      <c r="AP200" s="1138"/>
      <c r="AQ200" s="1126"/>
      <c r="AR200" s="1138"/>
      <c r="AS200" s="1126"/>
      <c r="AT200" s="1138"/>
      <c r="AU200" s="1126"/>
      <c r="AV200" s="1138"/>
      <c r="AW200" s="1134"/>
      <c r="AX200" s="1138"/>
      <c r="AY200" s="1129">
        <f t="shared" si="199"/>
        <v>1</v>
      </c>
      <c r="AZ200" s="1095">
        <f t="shared" si="200"/>
        <v>0</v>
      </c>
      <c r="BA200" s="1500"/>
      <c r="BB200" s="1501"/>
      <c r="BC200" s="591">
        <v>0.1</v>
      </c>
      <c r="BD200" s="1099">
        <f t="shared" si="202"/>
        <v>0.1</v>
      </c>
    </row>
    <row r="201" ht="15.75" customHeight="1">
      <c r="A201" s="1130">
        <v>6.0</v>
      </c>
      <c r="B201" s="1259">
        <v>3155.0</v>
      </c>
      <c r="C201" s="1115" t="str">
        <f t="shared" si="201"/>
        <v>Салат</v>
      </c>
      <c r="D201" s="1118" t="str">
        <f>'Матрица 4 недели'!G175</f>
        <v>Салат ''Прага'' (ветчина кур.)</v>
      </c>
      <c r="E201" s="1120"/>
      <c r="F201" s="1121"/>
      <c r="G201" s="1126"/>
      <c r="H201" s="1121"/>
      <c r="I201" s="1126"/>
      <c r="J201" s="1121"/>
      <c r="K201" s="1126"/>
      <c r="L201" s="1121"/>
      <c r="M201" s="1126"/>
      <c r="N201" s="1121"/>
      <c r="O201" s="1126"/>
      <c r="P201" s="1121"/>
      <c r="Q201" s="1126"/>
      <c r="R201" s="1121"/>
      <c r="S201" s="1120"/>
      <c r="T201" s="1138"/>
      <c r="U201" s="1120"/>
      <c r="V201" s="1138"/>
      <c r="W201" s="1137"/>
      <c r="X201" s="1138"/>
      <c r="Y201" s="1120"/>
      <c r="Z201" s="1138"/>
      <c r="AA201" s="1120"/>
      <c r="AB201" s="1138"/>
      <c r="AC201" s="1120"/>
      <c r="AD201" s="1138"/>
      <c r="AE201" s="1120"/>
      <c r="AF201" s="1138"/>
      <c r="AG201" s="1120"/>
      <c r="AH201" s="1138"/>
      <c r="AI201" s="1137"/>
      <c r="AJ201" s="1138"/>
      <c r="AK201" s="1120"/>
      <c r="AL201" s="1138"/>
      <c r="AM201" s="1120"/>
      <c r="AN201" s="1138"/>
      <c r="AO201" s="1126"/>
      <c r="AP201" s="1138"/>
      <c r="AQ201" s="1126"/>
      <c r="AR201" s="1138"/>
      <c r="AS201" s="1126"/>
      <c r="AT201" s="1138"/>
      <c r="AU201" s="1126"/>
      <c r="AV201" s="1138"/>
      <c r="AW201" s="1134"/>
      <c r="AX201" s="1138"/>
      <c r="AY201" s="1129">
        <f t="shared" si="199"/>
        <v>1</v>
      </c>
      <c r="AZ201" s="1095">
        <f t="shared" si="200"/>
        <v>0</v>
      </c>
      <c r="BA201" s="1500"/>
      <c r="BB201" s="1501"/>
      <c r="BC201" s="591">
        <v>0.1</v>
      </c>
      <c r="BD201" s="1099">
        <f t="shared" si="202"/>
        <v>0.1</v>
      </c>
    </row>
    <row r="202" ht="15.75" customHeight="1">
      <c r="A202" s="1109">
        <v>7.0</v>
      </c>
      <c r="B202" s="1259">
        <v>2954.0</v>
      </c>
      <c r="C202" s="1503" t="s">
        <v>537</v>
      </c>
      <c r="D202" s="1118" t="str">
        <f>'Матрица 4 недели'!G176</f>
        <v>Салат "Генеральский" (курица, грецкий орех) 220гр</v>
      </c>
      <c r="E202" s="1120"/>
      <c r="F202" s="1121"/>
      <c r="G202" s="1120"/>
      <c r="H202" s="1121"/>
      <c r="I202" s="1120"/>
      <c r="J202" s="1121"/>
      <c r="K202" s="1120"/>
      <c r="L202" s="1121"/>
      <c r="M202" s="1120"/>
      <c r="N202" s="1121"/>
      <c r="O202" s="1120"/>
      <c r="P202" s="1121"/>
      <c r="Q202" s="1120"/>
      <c r="R202" s="1121"/>
      <c r="S202" s="1120"/>
      <c r="T202" s="1121"/>
      <c r="U202" s="1120"/>
      <c r="V202" s="1121"/>
      <c r="W202" s="1120"/>
      <c r="X202" s="1121"/>
      <c r="Y202" s="1120"/>
      <c r="Z202" s="1121"/>
      <c r="AA202" s="1120"/>
      <c r="AB202" s="1121"/>
      <c r="AC202" s="1120"/>
      <c r="AD202" s="1121"/>
      <c r="AE202" s="1120"/>
      <c r="AF202" s="1121"/>
      <c r="AG202" s="1120"/>
      <c r="AH202" s="1121"/>
      <c r="AI202" s="1120"/>
      <c r="AJ202" s="1121"/>
      <c r="AK202" s="1120"/>
      <c r="AL202" s="1121"/>
      <c r="AM202" s="1120"/>
      <c r="AN202" s="1138"/>
      <c r="AO202" s="1126"/>
      <c r="AP202" s="1121"/>
      <c r="AQ202" s="1126"/>
      <c r="AR202" s="1121"/>
      <c r="AS202" s="1126"/>
      <c r="AT202" s="1121"/>
      <c r="AU202" s="1126"/>
      <c r="AV202" s="1121"/>
      <c r="AW202" s="1139"/>
      <c r="AX202" s="1138"/>
      <c r="AY202" s="1129">
        <f t="shared" si="199"/>
        <v>1</v>
      </c>
      <c r="AZ202" s="1095">
        <f t="shared" si="200"/>
        <v>0</v>
      </c>
      <c r="BA202" s="1500"/>
      <c r="BB202" s="1501"/>
      <c r="BC202" s="591"/>
      <c r="BD202" s="1099"/>
    </row>
    <row r="203" ht="15.75" customHeight="1">
      <c r="A203" s="1130">
        <v>8.0</v>
      </c>
      <c r="B203" s="1259">
        <v>793.0</v>
      </c>
      <c r="C203" s="1115" t="str">
        <f>C141</f>
        <v/>
      </c>
      <c r="D203" s="1118" t="str">
        <f>'Матрица 4 недели'!J173</f>
        <v>Солянка</v>
      </c>
      <c r="E203" s="1141"/>
      <c r="F203" s="1303"/>
      <c r="G203" s="1141"/>
      <c r="H203" s="1303"/>
      <c r="I203" s="1141"/>
      <c r="J203" s="1303"/>
      <c r="K203" s="1141"/>
      <c r="L203" s="1303"/>
      <c r="M203" s="1141"/>
      <c r="N203" s="1303"/>
      <c r="O203" s="1126"/>
      <c r="P203" s="1121"/>
      <c r="Q203" s="1126"/>
      <c r="R203" s="1138"/>
      <c r="S203" s="1126"/>
      <c r="T203" s="1138"/>
      <c r="U203" s="1137"/>
      <c r="V203" s="1138"/>
      <c r="W203" s="1137"/>
      <c r="X203" s="1138"/>
      <c r="Y203" s="1143"/>
      <c r="Z203" s="1138"/>
      <c r="AA203" s="1120"/>
      <c r="AB203" s="1138"/>
      <c r="AC203" s="1137"/>
      <c r="AD203" s="1138"/>
      <c r="AE203" s="1137"/>
      <c r="AF203" s="1138"/>
      <c r="AG203" s="1137"/>
      <c r="AH203" s="1138"/>
      <c r="AI203" s="1137"/>
      <c r="AJ203" s="1138"/>
      <c r="AK203" s="1137"/>
      <c r="AL203" s="1138"/>
      <c r="AM203" s="1137"/>
      <c r="AN203" s="1138"/>
      <c r="AO203" s="1126"/>
      <c r="AP203" s="1138"/>
      <c r="AQ203" s="1126"/>
      <c r="AR203" s="1138"/>
      <c r="AS203" s="1126"/>
      <c r="AT203" s="1138"/>
      <c r="AU203" s="1126"/>
      <c r="AV203" s="1138"/>
      <c r="AW203" s="1139"/>
      <c r="AX203" s="1138"/>
      <c r="AY203" s="1129">
        <f t="shared" si="199"/>
        <v>1</v>
      </c>
      <c r="AZ203" s="1095">
        <f t="shared" si="200"/>
        <v>0</v>
      </c>
      <c r="BA203" s="1504">
        <v>5.0</v>
      </c>
      <c r="BB203" s="1505">
        <v>0.625</v>
      </c>
      <c r="BC203" s="591">
        <v>0.25</v>
      </c>
      <c r="BD203" s="1099">
        <f t="shared" ref="BD203:BD206" si="203">AY203*BC203</f>
        <v>0.25</v>
      </c>
    </row>
    <row r="204" ht="15.75" customHeight="1">
      <c r="A204" s="1130">
        <v>10.0</v>
      </c>
      <c r="B204" s="1259">
        <v>3467.0</v>
      </c>
      <c r="C204" s="1115" t="str">
        <f>'Матрица 4 недели'!M145</f>
        <v>Второе</v>
      </c>
      <c r="D204" s="1118" t="str">
        <f>'Матрица 4 недели'!M173</f>
        <v>Купаты куриные с овощным гарниром</v>
      </c>
      <c r="E204" s="1120"/>
      <c r="F204" s="1121"/>
      <c r="G204" s="1120"/>
      <c r="H204" s="1121"/>
      <c r="I204" s="1120"/>
      <c r="J204" s="1121"/>
      <c r="K204" s="1120"/>
      <c r="L204" s="1121"/>
      <c r="M204" s="1120"/>
      <c r="N204" s="1121"/>
      <c r="O204" s="1120"/>
      <c r="P204" s="1121"/>
      <c r="Q204" s="1120"/>
      <c r="R204" s="1121"/>
      <c r="S204" s="1120"/>
      <c r="T204" s="1121"/>
      <c r="U204" s="1120"/>
      <c r="V204" s="1121"/>
      <c r="W204" s="1120"/>
      <c r="X204" s="1121"/>
      <c r="Y204" s="1120"/>
      <c r="Z204" s="1121"/>
      <c r="AA204" s="1120"/>
      <c r="AB204" s="1121"/>
      <c r="AC204" s="1120"/>
      <c r="AD204" s="1121"/>
      <c r="AE204" s="1120"/>
      <c r="AF204" s="1121"/>
      <c r="AG204" s="1120"/>
      <c r="AH204" s="1138"/>
      <c r="AI204" s="1120"/>
      <c r="AJ204" s="1138"/>
      <c r="AK204" s="1137"/>
      <c r="AL204" s="1138"/>
      <c r="AM204" s="1137"/>
      <c r="AN204" s="1138"/>
      <c r="AO204" s="1126"/>
      <c r="AP204" s="1138"/>
      <c r="AQ204" s="1126"/>
      <c r="AR204" s="1138"/>
      <c r="AS204" s="1126"/>
      <c r="AT204" s="1138"/>
      <c r="AU204" s="1126"/>
      <c r="AV204" s="1138"/>
      <c r="AW204" s="1139"/>
      <c r="AX204" s="1138"/>
      <c r="AY204" s="1129">
        <f t="shared" si="199"/>
        <v>1</v>
      </c>
      <c r="AZ204" s="1095">
        <f t="shared" si="200"/>
        <v>0</v>
      </c>
      <c r="BA204" s="1504">
        <v>3.0</v>
      </c>
      <c r="BB204" s="1505">
        <v>0.5833333333333334</v>
      </c>
      <c r="BC204" s="591">
        <v>0.3</v>
      </c>
      <c r="BD204" s="1099">
        <f t="shared" si="203"/>
        <v>0.3</v>
      </c>
    </row>
    <row r="205" ht="15.75" customHeight="1">
      <c r="A205" s="1109">
        <v>11.0</v>
      </c>
      <c r="B205" s="1259">
        <v>3468.0</v>
      </c>
      <c r="C205" s="1115" t="str">
        <f t="shared" ref="C205:C206" si="204">C142</f>
        <v>Второе </v>
      </c>
      <c r="D205" s="1118" t="str">
        <f>'Матрица 4 недели'!M174</f>
        <v>Горбуша запеченная с картофельным пюре</v>
      </c>
      <c r="E205" s="1137"/>
      <c r="F205" s="1121"/>
      <c r="G205" s="1137"/>
      <c r="H205" s="1121"/>
      <c r="I205" s="1137"/>
      <c r="J205" s="1121"/>
      <c r="K205" s="1141"/>
      <c r="L205" s="1121"/>
      <c r="M205" s="1141"/>
      <c r="N205" s="1121"/>
      <c r="O205" s="1126"/>
      <c r="P205" s="1121"/>
      <c r="Q205" s="1120"/>
      <c r="R205" s="1121"/>
      <c r="S205" s="1126"/>
      <c r="T205" s="1291"/>
      <c r="U205" s="1141"/>
      <c r="V205" s="1121"/>
      <c r="W205" s="1141"/>
      <c r="X205" s="1121"/>
      <c r="Y205" s="1120"/>
      <c r="Z205" s="1121"/>
      <c r="AA205" s="1137"/>
      <c r="AB205" s="1138"/>
      <c r="AC205" s="1141"/>
      <c r="AD205" s="1138"/>
      <c r="AE205" s="1141"/>
      <c r="AF205" s="1138"/>
      <c r="AG205" s="1120"/>
      <c r="AH205" s="1138"/>
      <c r="AI205" s="1137"/>
      <c r="AJ205" s="1138"/>
      <c r="AK205" s="1120"/>
      <c r="AL205" s="1138"/>
      <c r="AM205" s="1120"/>
      <c r="AN205" s="1138"/>
      <c r="AO205" s="1126"/>
      <c r="AP205" s="1138"/>
      <c r="AQ205" s="1126"/>
      <c r="AR205" s="1138"/>
      <c r="AS205" s="1126"/>
      <c r="AT205" s="1138"/>
      <c r="AU205" s="1126"/>
      <c r="AV205" s="1138"/>
      <c r="AW205" s="1134"/>
      <c r="AX205" s="1138"/>
      <c r="AY205" s="1129">
        <f t="shared" si="199"/>
        <v>1</v>
      </c>
      <c r="AZ205" s="1095">
        <f t="shared" si="200"/>
        <v>0</v>
      </c>
      <c r="BA205" s="1504">
        <v>3.0</v>
      </c>
      <c r="BB205" s="1505">
        <v>0.5833333333333334</v>
      </c>
      <c r="BC205" s="591">
        <v>0.3</v>
      </c>
      <c r="BD205" s="1099">
        <f t="shared" si="203"/>
        <v>0.3</v>
      </c>
    </row>
    <row r="206" ht="15.75" customHeight="1">
      <c r="A206" s="1130">
        <v>12.0</v>
      </c>
      <c r="B206" s="1259">
        <v>3469.0</v>
      </c>
      <c r="C206" s="1115" t="str">
        <f t="shared" si="204"/>
        <v>Второе</v>
      </c>
      <c r="D206" s="1118" t="str">
        <f>'Матрица 4 недели'!M175</f>
        <v>Гуляш из свинины с макаронами</v>
      </c>
      <c r="E206" s="1137"/>
      <c r="F206" s="1121"/>
      <c r="G206" s="1137"/>
      <c r="H206" s="1121"/>
      <c r="I206" s="1137"/>
      <c r="J206" s="1121"/>
      <c r="K206" s="1141"/>
      <c r="L206" s="1121"/>
      <c r="M206" s="1141"/>
      <c r="N206" s="1121"/>
      <c r="O206" s="1126"/>
      <c r="P206" s="1121"/>
      <c r="Q206" s="1120"/>
      <c r="R206" s="1121"/>
      <c r="S206" s="1126"/>
      <c r="T206" s="1291"/>
      <c r="U206" s="1141"/>
      <c r="V206" s="1121"/>
      <c r="W206" s="1141"/>
      <c r="X206" s="1121"/>
      <c r="Y206" s="1120"/>
      <c r="Z206" s="1121"/>
      <c r="AA206" s="1137"/>
      <c r="AB206" s="1138"/>
      <c r="AC206" s="1141"/>
      <c r="AD206" s="1138"/>
      <c r="AE206" s="1141"/>
      <c r="AF206" s="1138"/>
      <c r="AG206" s="1120"/>
      <c r="AH206" s="1138"/>
      <c r="AI206" s="1137"/>
      <c r="AJ206" s="1138"/>
      <c r="AK206" s="1120"/>
      <c r="AL206" s="1138"/>
      <c r="AM206" s="1120"/>
      <c r="AN206" s="1138"/>
      <c r="AO206" s="1126"/>
      <c r="AP206" s="1138"/>
      <c r="AQ206" s="1126"/>
      <c r="AR206" s="1138"/>
      <c r="AS206" s="1126"/>
      <c r="AT206" s="1138"/>
      <c r="AU206" s="1126"/>
      <c r="AV206" s="1138"/>
      <c r="AW206" s="1134"/>
      <c r="AX206" s="1138"/>
      <c r="AY206" s="1129">
        <f t="shared" si="199"/>
        <v>1</v>
      </c>
      <c r="AZ206" s="1095">
        <f t="shared" si="200"/>
        <v>0</v>
      </c>
      <c r="BA206" s="1504">
        <v>2.0</v>
      </c>
      <c r="BB206" s="1505">
        <v>0.4375</v>
      </c>
      <c r="BC206" s="591">
        <v>0.3</v>
      </c>
      <c r="BD206" s="1099">
        <f t="shared" si="203"/>
        <v>0.3</v>
      </c>
    </row>
    <row r="207" ht="15.75" customHeight="1">
      <c r="A207" s="1109">
        <v>13.0</v>
      </c>
      <c r="B207" s="1259">
        <v>1151.0</v>
      </c>
      <c r="C207" s="1115" t="str">
        <f>C206</f>
        <v>Второе</v>
      </c>
      <c r="D207" s="1507" t="str">
        <f>'Матрица 4 недели'!M176</f>
        <v>Горбуша запеченная с рисом светофор</v>
      </c>
      <c r="E207" s="1137"/>
      <c r="F207" s="1121"/>
      <c r="G207" s="1137"/>
      <c r="H207" s="1121"/>
      <c r="I207" s="1137"/>
      <c r="J207" s="1121"/>
      <c r="K207" s="1141"/>
      <c r="L207" s="1121"/>
      <c r="M207" s="1141"/>
      <c r="N207" s="1121"/>
      <c r="O207" s="1126"/>
      <c r="P207" s="1121"/>
      <c r="Q207" s="1120"/>
      <c r="R207" s="1121"/>
      <c r="S207" s="1126"/>
      <c r="T207" s="1291"/>
      <c r="U207" s="1141"/>
      <c r="V207" s="1121"/>
      <c r="W207" s="1141"/>
      <c r="X207" s="1121"/>
      <c r="Y207" s="1120"/>
      <c r="Z207" s="1121"/>
      <c r="AA207" s="1137"/>
      <c r="AB207" s="1138"/>
      <c r="AC207" s="1141"/>
      <c r="AD207" s="1138"/>
      <c r="AE207" s="1141"/>
      <c r="AF207" s="1138"/>
      <c r="AG207" s="1120"/>
      <c r="AH207" s="1138"/>
      <c r="AI207" s="1137"/>
      <c r="AJ207" s="1138"/>
      <c r="AK207" s="1120"/>
      <c r="AL207" s="1138"/>
      <c r="AM207" s="1120"/>
      <c r="AN207" s="1138"/>
      <c r="AO207" s="1126"/>
      <c r="AP207" s="1138"/>
      <c r="AQ207" s="1126"/>
      <c r="AR207" s="1138"/>
      <c r="AS207" s="1126"/>
      <c r="AT207" s="1138"/>
      <c r="AU207" s="1126"/>
      <c r="AV207" s="1138"/>
      <c r="AW207" s="1134"/>
      <c r="AX207" s="1138"/>
      <c r="AY207" s="1129">
        <f t="shared" si="199"/>
        <v>1</v>
      </c>
      <c r="AZ207" s="1095">
        <f t="shared" si="200"/>
        <v>0</v>
      </c>
      <c r="BA207" s="1504">
        <v>2.0</v>
      </c>
      <c r="BB207" s="1508">
        <v>0.4166666666666667</v>
      </c>
      <c r="BC207" s="591"/>
      <c r="BD207" s="1099"/>
    </row>
    <row r="208" ht="15.75" customHeight="1">
      <c r="A208" s="1130">
        <v>14.0</v>
      </c>
      <c r="B208" s="1259">
        <v>1327.0</v>
      </c>
      <c r="C208" s="1115" t="str">
        <f>C144</f>
        <v>Второе</v>
      </c>
      <c r="D208" s="1509" t="str">
        <f>'Матрица 4 недели'!M178</f>
        <v>Курочка в сырном соусе с картофелем</v>
      </c>
      <c r="E208" s="1120"/>
      <c r="F208" s="1138"/>
      <c r="G208" s="1120"/>
      <c r="H208" s="1138"/>
      <c r="I208" s="1120"/>
      <c r="J208" s="1138"/>
      <c r="K208" s="1120"/>
      <c r="L208" s="1138"/>
      <c r="M208" s="1120"/>
      <c r="N208" s="1138"/>
      <c r="O208" s="1120"/>
      <c r="P208" s="1138"/>
      <c r="Q208" s="1120"/>
      <c r="R208" s="1138"/>
      <c r="S208" s="1120"/>
      <c r="T208" s="1138"/>
      <c r="U208" s="1120"/>
      <c r="V208" s="1138"/>
      <c r="W208" s="1120"/>
      <c r="X208" s="1138"/>
      <c r="Y208" s="1120"/>
      <c r="Z208" s="1138"/>
      <c r="AA208" s="1120"/>
      <c r="AB208" s="1138"/>
      <c r="AC208" s="1120"/>
      <c r="AD208" s="1138"/>
      <c r="AE208" s="1120"/>
      <c r="AF208" s="1138"/>
      <c r="AG208" s="1120"/>
      <c r="AH208" s="1138"/>
      <c r="AI208" s="1120"/>
      <c r="AJ208" s="1121"/>
      <c r="AK208" s="1120"/>
      <c r="AL208" s="1121"/>
      <c r="AM208" s="1120"/>
      <c r="AN208" s="1138"/>
      <c r="AO208" s="1120"/>
      <c r="AP208" s="1138"/>
      <c r="AQ208" s="1126"/>
      <c r="AR208" s="1138"/>
      <c r="AS208" s="1126"/>
      <c r="AT208" s="1138"/>
      <c r="AU208" s="1126"/>
      <c r="AV208" s="1138"/>
      <c r="AW208" s="1139"/>
      <c r="AX208" s="1138"/>
      <c r="AY208" s="1129">
        <f t="shared" si="199"/>
        <v>1</v>
      </c>
      <c r="AZ208" s="1095">
        <f t="shared" si="200"/>
        <v>0</v>
      </c>
      <c r="BA208" s="1504">
        <v>4.0</v>
      </c>
      <c r="BB208" s="1505">
        <v>0.6041666666666666</v>
      </c>
      <c r="BC208" s="591">
        <v>0.03</v>
      </c>
      <c r="BD208" s="1099">
        <f>AY208*BC208</f>
        <v>0.03</v>
      </c>
    </row>
    <row r="209" ht="15.75" customHeight="1">
      <c r="A209" s="1109">
        <v>15.0</v>
      </c>
      <c r="B209" s="1259">
        <v>1414.0</v>
      </c>
      <c r="C209" s="1133" t="str">
        <f>'Матрица 4 недели'!M145</f>
        <v>Второе</v>
      </c>
      <c r="D209" s="1145" t="str">
        <f>'Матрица 4 недели'!M177</f>
        <v>Курочка в сырном соусе со спагетти </v>
      </c>
      <c r="E209" s="1120"/>
      <c r="F209" s="1121"/>
      <c r="G209" s="1120"/>
      <c r="H209" s="1121"/>
      <c r="I209" s="1120"/>
      <c r="J209" s="1121"/>
      <c r="K209" s="1120"/>
      <c r="L209" s="1121"/>
      <c r="M209" s="1120"/>
      <c r="N209" s="1121"/>
      <c r="O209" s="1120"/>
      <c r="P209" s="1121"/>
      <c r="Q209" s="1120"/>
      <c r="R209" s="1121"/>
      <c r="S209" s="1120"/>
      <c r="T209" s="1121"/>
      <c r="U209" s="1120"/>
      <c r="V209" s="1121"/>
      <c r="W209" s="1120"/>
      <c r="X209" s="1121"/>
      <c r="Y209" s="1120"/>
      <c r="Z209" s="1121"/>
      <c r="AA209" s="1120"/>
      <c r="AB209" s="1121"/>
      <c r="AC209" s="1120"/>
      <c r="AD209" s="1121"/>
      <c r="AE209" s="1120"/>
      <c r="AF209" s="1121"/>
      <c r="AG209" s="1120"/>
      <c r="AH209" s="1138"/>
      <c r="AI209" s="1120"/>
      <c r="AJ209" s="1138"/>
      <c r="AK209" s="1137"/>
      <c r="AL209" s="1138"/>
      <c r="AM209" s="1137"/>
      <c r="AN209" s="1138"/>
      <c r="AO209" s="1126"/>
      <c r="AP209" s="1138"/>
      <c r="AQ209" s="1126"/>
      <c r="AR209" s="1138"/>
      <c r="AS209" s="1126"/>
      <c r="AT209" s="1138"/>
      <c r="AU209" s="1126"/>
      <c r="AV209" s="1138"/>
      <c r="AW209" s="1139"/>
      <c r="AX209" s="1138"/>
      <c r="AY209" s="1129">
        <f t="shared" si="199"/>
        <v>1</v>
      </c>
      <c r="AZ209" s="1095">
        <f t="shared" si="200"/>
        <v>0</v>
      </c>
      <c r="BA209" s="1504">
        <v>2.0</v>
      </c>
      <c r="BB209" s="1505">
        <v>0.4375</v>
      </c>
      <c r="BC209" s="591"/>
      <c r="BD209" s="1099"/>
    </row>
    <row r="210" ht="15.75" customHeight="1">
      <c r="A210" s="1130">
        <v>16.0</v>
      </c>
      <c r="B210" s="1259">
        <v>3461.0</v>
      </c>
      <c r="C210" s="1133" t="s">
        <v>77</v>
      </c>
      <c r="D210" s="575" t="str">
        <f>'Матрица 4 недели'!M179</f>
        <v/>
      </c>
      <c r="E210" s="1126"/>
      <c r="F210" s="1138"/>
      <c r="G210" s="1126"/>
      <c r="H210" s="1138"/>
      <c r="I210" s="1126"/>
      <c r="J210" s="1138"/>
      <c r="K210" s="1126"/>
      <c r="L210" s="1138"/>
      <c r="M210" s="1126"/>
      <c r="N210" s="1138"/>
      <c r="O210" s="1120"/>
      <c r="P210" s="1138"/>
      <c r="Q210" s="1126"/>
      <c r="R210" s="1138"/>
      <c r="S210" s="1126"/>
      <c r="T210" s="1138"/>
      <c r="U210" s="1126"/>
      <c r="V210" s="1138"/>
      <c r="W210" s="1126"/>
      <c r="X210" s="1138"/>
      <c r="Y210" s="1126"/>
      <c r="Z210" s="1138"/>
      <c r="AA210" s="1126"/>
      <c r="AB210" s="1138"/>
      <c r="AC210" s="1126"/>
      <c r="AD210" s="1138"/>
      <c r="AE210" s="1126"/>
      <c r="AF210" s="1138"/>
      <c r="AG210" s="1126"/>
      <c r="AH210" s="1138"/>
      <c r="AI210" s="1126"/>
      <c r="AJ210" s="1138"/>
      <c r="AK210" s="1126"/>
      <c r="AL210" s="1138"/>
      <c r="AM210" s="1126"/>
      <c r="AN210" s="1138"/>
      <c r="AO210" s="1126"/>
      <c r="AP210" s="1138"/>
      <c r="AQ210" s="1126"/>
      <c r="AR210" s="1138"/>
      <c r="AS210" s="1126"/>
      <c r="AT210" s="1138"/>
      <c r="AU210" s="1126"/>
      <c r="AV210" s="1138"/>
      <c r="AW210" s="1152"/>
      <c r="AX210" s="1138"/>
      <c r="AY210" s="1129">
        <f t="shared" si="199"/>
        <v>1</v>
      </c>
      <c r="AZ210" s="1095">
        <f t="shared" si="200"/>
        <v>0</v>
      </c>
      <c r="BA210" s="1504">
        <v>1.0</v>
      </c>
      <c r="BB210" s="1510" t="s">
        <v>3063</v>
      </c>
      <c r="BC210" s="591">
        <v>0.3</v>
      </c>
      <c r="BD210" s="1099">
        <f t="shared" ref="BD210:BD211" si="205">AY210*BC210</f>
        <v>0.3</v>
      </c>
    </row>
    <row r="211" ht="15.75" customHeight="1">
      <c r="A211" s="1109">
        <v>17.0</v>
      </c>
      <c r="B211" s="1259">
        <v>3460.0</v>
      </c>
      <c r="C211" s="1115" t="str">
        <f>'Матрица 4 недели'!M145</f>
        <v>Второе</v>
      </c>
      <c r="D211" s="575" t="str">
        <f>'Матрица 4 недели'!M180</f>
        <v>Гречка по-купечески с томленой говядиной </v>
      </c>
      <c r="E211" s="1120"/>
      <c r="F211" s="1301"/>
      <c r="G211" s="1302"/>
      <c r="H211" s="1303"/>
      <c r="I211" s="1302"/>
      <c r="J211" s="1303"/>
      <c r="K211" s="1302"/>
      <c r="L211" s="1303"/>
      <c r="M211" s="1302"/>
      <c r="N211" s="1303"/>
      <c r="O211" s="1302"/>
      <c r="P211" s="1303"/>
      <c r="Q211" s="1302"/>
      <c r="R211" s="1305"/>
      <c r="S211" s="1302"/>
      <c r="T211" s="1305"/>
      <c r="U211" s="1302"/>
      <c r="V211" s="1305"/>
      <c r="W211" s="1302"/>
      <c r="X211" s="1305"/>
      <c r="Y211" s="1302"/>
      <c r="Z211" s="1305"/>
      <c r="AA211" s="1120"/>
      <c r="AB211" s="1121"/>
      <c r="AC211" s="1120"/>
      <c r="AD211" s="1121"/>
      <c r="AE211" s="1120"/>
      <c r="AF211" s="1121"/>
      <c r="AG211" s="1120"/>
      <c r="AH211" s="1121"/>
      <c r="AI211" s="1120"/>
      <c r="AJ211" s="1121"/>
      <c r="AK211" s="1120"/>
      <c r="AL211" s="1121"/>
      <c r="AM211" s="1120"/>
      <c r="AN211" s="1138"/>
      <c r="AO211" s="1126"/>
      <c r="AP211" s="1121"/>
      <c r="AQ211" s="1126"/>
      <c r="AR211" s="1121"/>
      <c r="AS211" s="1126"/>
      <c r="AT211" s="1121"/>
      <c r="AU211" s="1126"/>
      <c r="AV211" s="1121"/>
      <c r="AW211" s="1134"/>
      <c r="AX211" s="1138"/>
      <c r="AY211" s="1129">
        <f t="shared" si="199"/>
        <v>1</v>
      </c>
      <c r="AZ211" s="1095">
        <f t="shared" si="200"/>
        <v>0</v>
      </c>
      <c r="BA211" s="1511">
        <v>1.0</v>
      </c>
      <c r="BB211" s="1512">
        <v>0.3958333333333333</v>
      </c>
      <c r="BC211" s="591">
        <v>0.16</v>
      </c>
      <c r="BD211" s="1099">
        <f t="shared" si="205"/>
        <v>0.16</v>
      </c>
    </row>
    <row r="212" ht="15.75" customHeight="1">
      <c r="A212" s="1130">
        <v>18.0</v>
      </c>
      <c r="B212" s="1164">
        <v>2782.0</v>
      </c>
      <c r="C212" s="1133" t="s">
        <v>79</v>
      </c>
      <c r="D212" s="733" t="str">
        <f>'Матрица 4 недели'!S173</f>
        <v>Сэндвич ''Цезарь''</v>
      </c>
      <c r="E212" s="1137"/>
      <c r="F212" s="1121"/>
      <c r="G212" s="1126"/>
      <c r="H212" s="1121"/>
      <c r="I212" s="1126"/>
      <c r="J212" s="1160"/>
      <c r="K212" s="1161"/>
      <c r="L212" s="1162"/>
      <c r="M212" s="1126"/>
      <c r="N212" s="1121"/>
      <c r="O212" s="1126"/>
      <c r="P212" s="1121"/>
      <c r="Q212" s="1120"/>
      <c r="R212" s="1121"/>
      <c r="S212" s="1126"/>
      <c r="T212" s="1121"/>
      <c r="U212" s="1137"/>
      <c r="V212" s="1121"/>
      <c r="W212" s="1137"/>
      <c r="X212" s="1121"/>
      <c r="Y212" s="1137"/>
      <c r="Z212" s="1121"/>
      <c r="AA212" s="1137"/>
      <c r="AB212" s="1121"/>
      <c r="AC212" s="1137"/>
      <c r="AD212" s="1121"/>
      <c r="AE212" s="1120"/>
      <c r="AF212" s="1121"/>
      <c r="AG212" s="1137"/>
      <c r="AH212" s="1121"/>
      <c r="AI212" s="1120"/>
      <c r="AJ212" s="1121"/>
      <c r="AK212" s="1120"/>
      <c r="AL212" s="1121"/>
      <c r="AM212" s="1120"/>
      <c r="AN212" s="1307"/>
      <c r="AO212" s="1141"/>
      <c r="AP212" s="1307"/>
      <c r="AQ212" s="1141"/>
      <c r="AR212" s="1307"/>
      <c r="AS212" s="1141"/>
      <c r="AT212" s="1307"/>
      <c r="AU212" s="1141"/>
      <c r="AV212" s="1307"/>
      <c r="AW212" s="1513"/>
      <c r="AX212" s="1138"/>
      <c r="AY212" s="1129">
        <f t="shared" si="199"/>
        <v>1</v>
      </c>
      <c r="AZ212" s="1095">
        <f t="shared" si="200"/>
        <v>0</v>
      </c>
      <c r="BA212" s="1514"/>
      <c r="BB212" s="1515"/>
      <c r="BC212" s="1165"/>
      <c r="BD212" s="1166"/>
    </row>
    <row r="213" ht="15.75" customHeight="1">
      <c r="A213" s="1109">
        <v>19.0</v>
      </c>
      <c r="B213" s="1164">
        <v>5.0</v>
      </c>
      <c r="C213" s="1133" t="str">
        <f>'Матрица 4 недели'!S145</f>
        <v>Сэндвич</v>
      </c>
      <c r="D213" s="733" t="str">
        <f>'Матрица 4 недели'!S175</f>
        <v/>
      </c>
      <c r="E213" s="1126"/>
      <c r="F213" s="1121"/>
      <c r="G213" s="1126"/>
      <c r="H213" s="1121"/>
      <c r="I213" s="1126"/>
      <c r="J213" s="1121"/>
      <c r="K213" s="1126"/>
      <c r="L213" s="1121"/>
      <c r="M213" s="1126"/>
      <c r="N213" s="1121"/>
      <c r="O213" s="1126"/>
      <c r="P213" s="1121"/>
      <c r="Q213" s="1126"/>
      <c r="R213" s="1138"/>
      <c r="S213" s="1126"/>
      <c r="T213" s="1138"/>
      <c r="U213" s="1137"/>
      <c r="V213" s="1138"/>
      <c r="W213" s="1137"/>
      <c r="X213" s="1138"/>
      <c r="Y213" s="1143"/>
      <c r="Z213" s="1138"/>
      <c r="AA213" s="1120"/>
      <c r="AB213" s="1138"/>
      <c r="AC213" s="1126"/>
      <c r="AD213" s="1138"/>
      <c r="AE213" s="1126"/>
      <c r="AF213" s="1138"/>
      <c r="AG213" s="1137"/>
      <c r="AH213" s="1138"/>
      <c r="AI213" s="1120"/>
      <c r="AJ213" s="1138"/>
      <c r="AK213" s="1137"/>
      <c r="AL213" s="1138"/>
      <c r="AM213" s="1137"/>
      <c r="AN213" s="1138"/>
      <c r="AO213" s="1126"/>
      <c r="AP213" s="1138"/>
      <c r="AQ213" s="1126"/>
      <c r="AR213" s="1138"/>
      <c r="AS213" s="1126"/>
      <c r="AT213" s="1138"/>
      <c r="AU213" s="1126"/>
      <c r="AV213" s="1138"/>
      <c r="AW213" s="1139"/>
      <c r="AX213" s="1138"/>
      <c r="AY213" s="1129">
        <f t="shared" si="199"/>
        <v>1</v>
      </c>
      <c r="AZ213" s="1095">
        <f t="shared" si="200"/>
        <v>0</v>
      </c>
      <c r="BA213" s="1514"/>
      <c r="BB213" s="1515"/>
      <c r="BC213" s="1165"/>
      <c r="BD213" s="1166"/>
    </row>
    <row r="214" ht="15.75" customHeight="1">
      <c r="A214" s="1130">
        <v>20.0</v>
      </c>
      <c r="B214" s="1164">
        <v>3045.0</v>
      </c>
      <c r="C214" s="1133" t="s">
        <v>1351</v>
      </c>
      <c r="D214" s="733" t="s">
        <v>3064</v>
      </c>
      <c r="E214" s="1120"/>
      <c r="F214" s="1138"/>
      <c r="G214" s="1120"/>
      <c r="H214" s="1138"/>
      <c r="I214" s="1120"/>
      <c r="J214" s="1138"/>
      <c r="K214" s="1120"/>
      <c r="L214" s="1138"/>
      <c r="M214" s="1120"/>
      <c r="N214" s="1138"/>
      <c r="O214" s="1120"/>
      <c r="P214" s="1138"/>
      <c r="Q214" s="1120"/>
      <c r="R214" s="1138"/>
      <c r="S214" s="1120"/>
      <c r="T214" s="1138"/>
      <c r="U214" s="1120"/>
      <c r="V214" s="1138"/>
      <c r="W214" s="1120"/>
      <c r="X214" s="1138"/>
      <c r="Y214" s="1120"/>
      <c r="Z214" s="1138"/>
      <c r="AA214" s="1120"/>
      <c r="AB214" s="1138"/>
      <c r="AC214" s="1120"/>
      <c r="AD214" s="1138"/>
      <c r="AE214" s="1120"/>
      <c r="AF214" s="1138"/>
      <c r="AG214" s="1120"/>
      <c r="AH214" s="1138"/>
      <c r="AI214" s="1120"/>
      <c r="AJ214" s="1138"/>
      <c r="AK214" s="1120"/>
      <c r="AL214" s="1138"/>
      <c r="AM214" s="1120"/>
      <c r="AN214" s="1138"/>
      <c r="AO214" s="1126"/>
      <c r="AP214" s="1138"/>
      <c r="AQ214" s="1126"/>
      <c r="AR214" s="1138"/>
      <c r="AS214" s="1126"/>
      <c r="AT214" s="1138"/>
      <c r="AU214" s="1126"/>
      <c r="AV214" s="1138"/>
      <c r="AW214" s="1139"/>
      <c r="AX214" s="1138"/>
      <c r="AY214" s="1129">
        <f t="shared" si="199"/>
        <v>1</v>
      </c>
      <c r="AZ214" s="1095">
        <f t="shared" si="200"/>
        <v>0</v>
      </c>
      <c r="BA214" s="1516"/>
      <c r="BB214" s="1129"/>
      <c r="BC214" s="1165"/>
      <c r="BD214" s="1166"/>
    </row>
    <row r="215" ht="15.75" customHeight="1">
      <c r="A215" s="1109">
        <v>21.0</v>
      </c>
      <c r="B215" s="1164">
        <v>822.0</v>
      </c>
      <c r="C215" s="1133" t="s">
        <v>1351</v>
      </c>
      <c r="D215" s="1145" t="s">
        <v>3065</v>
      </c>
      <c r="E215" s="1137"/>
      <c r="F215" s="1138"/>
      <c r="G215" s="1126"/>
      <c r="H215" s="1140"/>
      <c r="I215" s="1126"/>
      <c r="J215" s="1405"/>
      <c r="K215" s="1161"/>
      <c r="L215" s="1405"/>
      <c r="M215" s="1126"/>
      <c r="N215" s="1138"/>
      <c r="O215" s="1120"/>
      <c r="P215" s="1142"/>
      <c r="Q215" s="1126"/>
      <c r="R215" s="1121"/>
      <c r="S215" s="1137"/>
      <c r="T215" s="1121"/>
      <c r="U215" s="1314"/>
      <c r="V215" s="1121"/>
      <c r="W215" s="1137"/>
      <c r="X215" s="1121"/>
      <c r="Y215" s="1120"/>
      <c r="Z215" s="1121"/>
      <c r="AA215" s="1120"/>
      <c r="AB215" s="1121"/>
      <c r="AC215" s="1120"/>
      <c r="AD215" s="1121"/>
      <c r="AE215" s="1137"/>
      <c r="AF215" s="1121"/>
      <c r="AG215" s="1120"/>
      <c r="AH215" s="1121"/>
      <c r="AI215" s="1120"/>
      <c r="AJ215" s="1121"/>
      <c r="AK215" s="1137"/>
      <c r="AL215" s="1121"/>
      <c r="AM215" s="1126"/>
      <c r="AN215" s="1121"/>
      <c r="AO215" s="1126"/>
      <c r="AP215" s="1121"/>
      <c r="AQ215" s="1126"/>
      <c r="AR215" s="1138"/>
      <c r="AS215" s="1126"/>
      <c r="AT215" s="1138"/>
      <c r="AU215" s="1126"/>
      <c r="AV215" s="1138"/>
      <c r="AW215" s="1134"/>
      <c r="AX215" s="1138"/>
      <c r="AY215" s="1129">
        <f t="shared" si="199"/>
        <v>1</v>
      </c>
      <c r="AZ215" s="1144">
        <f t="shared" si="200"/>
        <v>0</v>
      </c>
      <c r="BA215" s="1516"/>
      <c r="BB215" s="1129"/>
      <c r="BC215" s="1165"/>
      <c r="BD215" s="1166"/>
    </row>
    <row r="216" ht="18.75" customHeight="1">
      <c r="A216" s="1130">
        <v>22.0</v>
      </c>
      <c r="B216" s="1164">
        <v>3527.0</v>
      </c>
      <c r="C216" s="1133" t="str">
        <f>'Матрица 4 недели'!P145</f>
        <v>Выпечка</v>
      </c>
      <c r="D216" s="1145" t="str">
        <f>'Матрица 4 недели'!P173</f>
        <v>Рулетик с корицей 100 гр</v>
      </c>
      <c r="E216" s="1126"/>
      <c r="F216" s="1138"/>
      <c r="G216" s="1126"/>
      <c r="H216" s="1138"/>
      <c r="I216" s="1126"/>
      <c r="J216" s="1138"/>
      <c r="K216" s="1126"/>
      <c r="L216" s="1138"/>
      <c r="M216" s="1126"/>
      <c r="N216" s="1138"/>
      <c r="O216" s="1126"/>
      <c r="P216" s="1138"/>
      <c r="Q216" s="1120"/>
      <c r="R216" s="1121"/>
      <c r="S216" s="1137"/>
      <c r="T216" s="1121"/>
      <c r="U216" s="1137"/>
      <c r="V216" s="1121"/>
      <c r="W216" s="1137"/>
      <c r="X216" s="1121"/>
      <c r="Y216" s="1137"/>
      <c r="Z216" s="1138"/>
      <c r="AA216" s="1120"/>
      <c r="AB216" s="1138"/>
      <c r="AC216" s="1120"/>
      <c r="AD216" s="1138"/>
      <c r="AE216" s="1120"/>
      <c r="AF216" s="1138"/>
      <c r="AG216" s="1120"/>
      <c r="AH216" s="1138"/>
      <c r="AI216" s="1120"/>
      <c r="AJ216" s="1138"/>
      <c r="AK216" s="1120"/>
      <c r="AL216" s="1138"/>
      <c r="AM216" s="1120"/>
      <c r="AN216" s="1121"/>
      <c r="AO216" s="1120"/>
      <c r="AP216" s="1138"/>
      <c r="AQ216" s="1120"/>
      <c r="AR216" s="1138"/>
      <c r="AS216" s="1126"/>
      <c r="AT216" s="1138"/>
      <c r="AU216" s="1126"/>
      <c r="AV216" s="1138"/>
      <c r="AW216" s="1134"/>
      <c r="AX216" s="1138"/>
      <c r="AY216" s="1129">
        <f t="shared" si="199"/>
        <v>1</v>
      </c>
      <c r="AZ216" s="1095">
        <f t="shared" si="200"/>
        <v>0</v>
      </c>
      <c r="BA216" s="1516"/>
      <c r="BB216" s="1129"/>
      <c r="BC216" s="1165"/>
      <c r="BD216" s="1166"/>
    </row>
    <row r="217" ht="18.75" customHeight="1">
      <c r="A217" s="1109">
        <v>23.0</v>
      </c>
      <c r="B217" s="1164">
        <v>3454.0</v>
      </c>
      <c r="C217" s="1133" t="str">
        <f>'Матрица 4 недели'!P145</f>
        <v>Выпечка</v>
      </c>
      <c r="D217" s="1157" t="str">
        <f>'Матрица 4 недели'!P174</f>
        <v>Хачапури 100 гр</v>
      </c>
      <c r="E217" s="1126"/>
      <c r="F217" s="1138"/>
      <c r="G217" s="1126"/>
      <c r="H217" s="1138"/>
      <c r="I217" s="1126"/>
      <c r="J217" s="1138"/>
      <c r="K217" s="1126"/>
      <c r="L217" s="1138"/>
      <c r="M217" s="1126"/>
      <c r="N217" s="1138"/>
      <c r="O217" s="1126"/>
      <c r="P217" s="1138"/>
      <c r="Q217" s="1120"/>
      <c r="R217" s="1121"/>
      <c r="S217" s="1137"/>
      <c r="T217" s="1121"/>
      <c r="U217" s="1137"/>
      <c r="V217" s="1121"/>
      <c r="W217" s="1137"/>
      <c r="X217" s="1121"/>
      <c r="Y217" s="1137"/>
      <c r="Z217" s="1138"/>
      <c r="AA217" s="1120"/>
      <c r="AB217" s="1138"/>
      <c r="AC217" s="1120"/>
      <c r="AD217" s="1138"/>
      <c r="AE217" s="1120"/>
      <c r="AF217" s="1138"/>
      <c r="AG217" s="1120"/>
      <c r="AH217" s="1138"/>
      <c r="AI217" s="1120"/>
      <c r="AJ217" s="1138"/>
      <c r="AK217" s="1120"/>
      <c r="AL217" s="1138"/>
      <c r="AM217" s="1120"/>
      <c r="AN217" s="1121"/>
      <c r="AO217" s="1120"/>
      <c r="AP217" s="1138"/>
      <c r="AQ217" s="1120"/>
      <c r="AR217" s="1138"/>
      <c r="AS217" s="1126"/>
      <c r="AT217" s="1138"/>
      <c r="AU217" s="1126"/>
      <c r="AV217" s="1138"/>
      <c r="AW217" s="1139"/>
      <c r="AX217" s="1138"/>
      <c r="AY217" s="1129">
        <f t="shared" si="199"/>
        <v>1</v>
      </c>
      <c r="AZ217" s="1095">
        <f t="shared" si="200"/>
        <v>0</v>
      </c>
      <c r="BA217" s="1516"/>
      <c r="BB217" s="1129"/>
      <c r="BC217" s="1165"/>
      <c r="BD217" s="1166"/>
    </row>
    <row r="218" ht="18.75" customHeight="1">
      <c r="A218" s="1130">
        <v>24.0</v>
      </c>
      <c r="B218" s="1164">
        <v>3411.0</v>
      </c>
      <c r="C218" s="1133" t="str">
        <f>C214</f>
        <v>Внеплан</v>
      </c>
      <c r="D218" s="1157" t="str">
        <f>'Матрица 4 недели'!P175</f>
        <v>Вафельная трубочка с вареной сгущенкой</v>
      </c>
      <c r="E218" s="1126"/>
      <c r="F218" s="1138"/>
      <c r="G218" s="1126"/>
      <c r="H218" s="1138"/>
      <c r="I218" s="1126"/>
      <c r="J218" s="1138"/>
      <c r="K218" s="1126"/>
      <c r="L218" s="1138"/>
      <c r="M218" s="1126"/>
      <c r="N218" s="1138"/>
      <c r="O218" s="1126"/>
      <c r="P218" s="1138"/>
      <c r="Q218" s="1120"/>
      <c r="R218" s="1121"/>
      <c r="S218" s="1137"/>
      <c r="T218" s="1121"/>
      <c r="U218" s="1137"/>
      <c r="V218" s="1121"/>
      <c r="W218" s="1137"/>
      <c r="X218" s="1121"/>
      <c r="Y218" s="1137"/>
      <c r="Z218" s="1138"/>
      <c r="AA218" s="1120"/>
      <c r="AB218" s="1138"/>
      <c r="AC218" s="1120"/>
      <c r="AD218" s="1138"/>
      <c r="AE218" s="1120"/>
      <c r="AF218" s="1138"/>
      <c r="AG218" s="1120"/>
      <c r="AH218" s="1138"/>
      <c r="AI218" s="1120"/>
      <c r="AJ218" s="1138"/>
      <c r="AK218" s="1120"/>
      <c r="AL218" s="1138"/>
      <c r="AM218" s="1120"/>
      <c r="AN218" s="1121"/>
      <c r="AO218" s="1120"/>
      <c r="AP218" s="1138"/>
      <c r="AQ218" s="1120"/>
      <c r="AR218" s="1138"/>
      <c r="AS218" s="1126"/>
      <c r="AT218" s="1138"/>
      <c r="AU218" s="1126"/>
      <c r="AV218" s="1138"/>
      <c r="AW218" s="1175"/>
      <c r="AX218" s="1138"/>
      <c r="AY218" s="1129">
        <f t="shared" si="199"/>
        <v>1</v>
      </c>
      <c r="AZ218" s="1095">
        <f t="shared" si="200"/>
        <v>0</v>
      </c>
      <c r="BA218" s="1516"/>
      <c r="BB218" s="1129"/>
      <c r="BC218" s="1165"/>
      <c r="BD218" s="1166"/>
    </row>
    <row r="219" ht="15.75" customHeight="1">
      <c r="A219" s="1171">
        <v>25.0</v>
      </c>
      <c r="B219" s="1171">
        <v>2592.0</v>
      </c>
      <c r="C219" s="1133" t="s">
        <v>80</v>
      </c>
      <c r="D219" s="733" t="s">
        <v>3066</v>
      </c>
      <c r="E219" s="1126"/>
      <c r="F219" s="1138"/>
      <c r="G219" s="1126"/>
      <c r="H219" s="1138"/>
      <c r="I219" s="1126"/>
      <c r="J219" s="1138"/>
      <c r="K219" s="1126"/>
      <c r="L219" s="1291"/>
      <c r="M219" s="1126"/>
      <c r="N219" s="1138"/>
      <c r="O219" s="1126"/>
      <c r="P219" s="1138"/>
      <c r="Q219" s="1126"/>
      <c r="R219" s="1138"/>
      <c r="S219" s="1126"/>
      <c r="T219" s="1121"/>
      <c r="U219" s="1126"/>
      <c r="V219" s="1121"/>
      <c r="W219" s="1126"/>
      <c r="X219" s="1121"/>
      <c r="Y219" s="1126"/>
      <c r="Z219" s="1121"/>
      <c r="AA219" s="1126"/>
      <c r="AB219" s="1121"/>
      <c r="AC219" s="1126"/>
      <c r="AD219" s="1121"/>
      <c r="AE219" s="1126"/>
      <c r="AF219" s="1121"/>
      <c r="AG219" s="1126"/>
      <c r="AH219" s="1121"/>
      <c r="AI219" s="1126"/>
      <c r="AJ219" s="1121"/>
      <c r="AK219" s="1126"/>
      <c r="AL219" s="1121"/>
      <c r="AM219" s="1306"/>
      <c r="AN219" s="1517"/>
      <c r="AO219" s="1126"/>
      <c r="AP219" s="1121"/>
      <c r="AQ219" s="1306"/>
      <c r="AR219" s="1517"/>
      <c r="AS219" s="1306"/>
      <c r="AT219" s="1517"/>
      <c r="AU219" s="1306"/>
      <c r="AV219" s="1517"/>
      <c r="AW219" s="1306"/>
      <c r="AX219" s="1518"/>
      <c r="AY219" s="1129">
        <f t="shared" si="199"/>
        <v>1</v>
      </c>
      <c r="AZ219" s="1095">
        <f t="shared" si="200"/>
        <v>0</v>
      </c>
      <c r="BA219" s="1516"/>
      <c r="BB219" s="1129"/>
      <c r="BC219" s="1165" t="s">
        <v>1352</v>
      </c>
      <c r="BD219" s="1166">
        <f>SUM(BD196:BD211)</f>
        <v>2.04</v>
      </c>
    </row>
    <row r="220" ht="15.75" customHeight="1">
      <c r="A220" s="1171"/>
      <c r="B220" s="1171"/>
      <c r="C220" s="1200" t="s">
        <v>1353</v>
      </c>
      <c r="D220" s="1163"/>
      <c r="E220" s="1126"/>
      <c r="F220" s="1138"/>
      <c r="G220" s="1126"/>
      <c r="H220" s="1138"/>
      <c r="I220" s="1126"/>
      <c r="J220" s="1138"/>
      <c r="K220" s="1126"/>
      <c r="L220" s="1291"/>
      <c r="M220" s="1126"/>
      <c r="N220" s="1138"/>
      <c r="O220" s="1126"/>
      <c r="P220" s="1138"/>
      <c r="Q220" s="1519"/>
      <c r="R220" s="1138"/>
      <c r="S220" s="1519"/>
      <c r="T220" s="1518"/>
      <c r="U220" s="1520"/>
      <c r="V220" s="1518"/>
      <c r="W220" s="1520"/>
      <c r="X220" s="1518"/>
      <c r="Y220" s="1521"/>
      <c r="Z220" s="1518"/>
      <c r="AA220" s="1521"/>
      <c r="AB220" s="1518"/>
      <c r="AC220" s="1519"/>
      <c r="AD220" s="1518"/>
      <c r="AE220" s="1519"/>
      <c r="AF220" s="1518"/>
      <c r="AG220" s="1522"/>
      <c r="AH220" s="1518"/>
      <c r="AI220" s="1522"/>
      <c r="AJ220" s="1518"/>
      <c r="AK220" s="1519"/>
      <c r="AL220" s="1518"/>
      <c r="AM220" s="1519"/>
      <c r="AN220" s="1518"/>
      <c r="AO220" s="1519"/>
      <c r="AP220" s="1518"/>
      <c r="AQ220" s="1519"/>
      <c r="AR220" s="1518"/>
      <c r="AS220" s="1523"/>
      <c r="AT220" s="1518"/>
      <c r="AU220" s="1523"/>
      <c r="AV220" s="1518"/>
      <c r="AW220" s="1519"/>
      <c r="AX220" s="1518"/>
      <c r="AY220" s="1129">
        <f t="shared" si="199"/>
        <v>1</v>
      </c>
      <c r="AZ220" s="1095">
        <f t="shared" si="200"/>
        <v>0</v>
      </c>
      <c r="BA220" s="1516"/>
      <c r="BB220" s="1129"/>
      <c r="BD220" s="1192"/>
    </row>
    <row r="221" ht="15.75" customHeight="1">
      <c r="A221" s="1177"/>
      <c r="B221" s="1002"/>
      <c r="C221" s="1178"/>
      <c r="D221" s="1186"/>
      <c r="E221" s="1187"/>
      <c r="F221" s="1188"/>
      <c r="G221" s="1187"/>
      <c r="H221" s="1188"/>
      <c r="I221" s="1187"/>
      <c r="J221" s="1188"/>
      <c r="K221" s="1187"/>
      <c r="L221" s="1188"/>
      <c r="M221" s="1187"/>
      <c r="N221" s="1187"/>
      <c r="O221" s="1187"/>
      <c r="P221" s="1187"/>
      <c r="Q221" s="1187"/>
      <c r="R221" s="1187"/>
      <c r="S221" s="1187"/>
      <c r="T221" s="1187"/>
      <c r="U221" s="757"/>
      <c r="V221" s="1187"/>
      <c r="W221" s="757"/>
      <c r="X221" s="1187"/>
      <c r="Y221" s="1187"/>
      <c r="Z221" s="1187"/>
      <c r="AA221" s="1187"/>
      <c r="AB221" s="1187"/>
      <c r="AC221" s="1187"/>
      <c r="AD221" s="1187"/>
      <c r="AE221" s="1187"/>
      <c r="AF221" s="1187"/>
      <c r="AG221" s="757"/>
      <c r="AH221" s="1187"/>
      <c r="AI221" s="757"/>
      <c r="AJ221" s="1187"/>
      <c r="AK221" s="1187"/>
      <c r="AL221" s="1187"/>
      <c r="AM221" s="1187"/>
      <c r="AN221" s="1187"/>
      <c r="AO221" s="1187"/>
      <c r="AP221" s="1187"/>
      <c r="AQ221" s="1187"/>
      <c r="AR221" s="1187"/>
      <c r="AS221" s="1187"/>
      <c r="AT221" s="1187"/>
      <c r="AU221" s="1187"/>
      <c r="AV221" s="1187"/>
      <c r="AW221" s="1187"/>
      <c r="AX221" s="1187" t="s">
        <v>1365</v>
      </c>
      <c r="AY221" s="1185">
        <f>SUM(AY196:AY218)</f>
        <v>23</v>
      </c>
      <c r="AZ221" s="1185">
        <f>SUM(AZ196:AZ220)</f>
        <v>0</v>
      </c>
      <c r="BA221" s="1185"/>
      <c r="BB221" s="1185"/>
      <c r="BD221" s="1192"/>
    </row>
    <row r="222" ht="21.75" customHeight="1">
      <c r="A222" s="1194" t="s">
        <v>1354</v>
      </c>
      <c r="B222" s="1195"/>
      <c r="C222" s="1196">
        <f>C194</f>
        <v>45966</v>
      </c>
      <c r="D222" s="1197" t="s">
        <v>1355</v>
      </c>
      <c r="E222" s="1524"/>
      <c r="F222" s="1525"/>
      <c r="G222" s="1526"/>
      <c r="H222" s="1527"/>
      <c r="I222" s="1526" t="s">
        <v>1356</v>
      </c>
      <c r="J222" s="1527"/>
      <c r="K222" s="1528"/>
      <c r="L222" s="1529"/>
      <c r="M222" s="1526"/>
      <c r="N222" s="1526"/>
      <c r="O222" s="1526"/>
      <c r="P222" s="1527"/>
      <c r="Q222" s="1530"/>
      <c r="R222" s="1530"/>
      <c r="S222" s="1530"/>
      <c r="T222" s="1530"/>
      <c r="U222" s="1531"/>
      <c r="V222" s="1530"/>
      <c r="W222" s="1531"/>
      <c r="X222" s="1530"/>
      <c r="Y222" s="1532"/>
      <c r="Z222" s="1530"/>
      <c r="AA222" s="1532"/>
      <c r="AB222" s="1530"/>
      <c r="AC222" s="1530"/>
      <c r="AD222" s="1530"/>
      <c r="AE222" s="1530"/>
      <c r="AF222" s="1530"/>
      <c r="AG222" s="1533"/>
      <c r="AH222" s="1530"/>
      <c r="AI222" s="1533"/>
      <c r="AJ222" s="1530"/>
      <c r="AK222" s="1530"/>
      <c r="AL222" s="1530"/>
      <c r="AM222" s="1530"/>
      <c r="AN222" s="1530"/>
      <c r="AO222" s="1530"/>
      <c r="AP222" s="1530"/>
      <c r="AQ222" s="1530"/>
      <c r="AR222" s="1530"/>
      <c r="AS222" s="1530"/>
      <c r="AT222" s="1530"/>
      <c r="AU222" s="1530"/>
      <c r="AV222" s="1530"/>
      <c r="AW222" s="1530"/>
      <c r="AX222" s="1530"/>
      <c r="AY222" s="977"/>
      <c r="BD222" s="1192"/>
    </row>
    <row r="223" ht="21.75" customHeight="1">
      <c r="A223" s="1109" t="s">
        <v>10</v>
      </c>
      <c r="B223" s="1111" t="str">
        <f>B195</f>
        <v>Код</v>
      </c>
      <c r="C223" s="1200" t="s">
        <v>1284</v>
      </c>
      <c r="D223" s="80" t="s">
        <v>471</v>
      </c>
      <c r="E223" s="1485" t="s">
        <v>1357</v>
      </c>
      <c r="F223" s="69"/>
      <c r="G223" s="1485" t="s">
        <v>1287</v>
      </c>
      <c r="H223" s="69"/>
      <c r="I223" s="1534" t="s">
        <v>1358</v>
      </c>
      <c r="J223" s="69"/>
      <c r="K223" s="1485" t="s">
        <v>1359</v>
      </c>
      <c r="L223" s="69"/>
      <c r="M223" s="1485" t="s">
        <v>1360</v>
      </c>
      <c r="N223" s="69"/>
      <c r="O223" s="1485" t="s">
        <v>1361</v>
      </c>
      <c r="P223" s="69"/>
      <c r="Q223" s="1485" t="s">
        <v>1362</v>
      </c>
      <c r="R223" s="69"/>
      <c r="S223" s="1485" t="s">
        <v>1299</v>
      </c>
      <c r="T223" s="69"/>
      <c r="U223" s="1427" t="s">
        <v>1301</v>
      </c>
      <c r="V223" s="69"/>
      <c r="W223" s="1427" t="s">
        <v>1363</v>
      </c>
      <c r="X223" s="69"/>
      <c r="Y223" s="1427" t="s">
        <v>1305</v>
      </c>
      <c r="Z223" s="69"/>
      <c r="AA223" s="1427" t="s">
        <v>1307</v>
      </c>
      <c r="AB223" s="69"/>
      <c r="AC223" s="1323" t="s">
        <v>1309</v>
      </c>
      <c r="AD223" s="69"/>
      <c r="AE223" s="1323" t="s">
        <v>1311</v>
      </c>
      <c r="AF223" s="69"/>
      <c r="AG223" s="1323" t="s">
        <v>1313</v>
      </c>
      <c r="AH223" s="69"/>
      <c r="AI223" s="1323" t="s">
        <v>1315</v>
      </c>
      <c r="AJ223" s="69"/>
      <c r="AK223" s="1323" t="s">
        <v>1317</v>
      </c>
      <c r="AL223" s="69"/>
      <c r="AM223" s="1323" t="s">
        <v>1319</v>
      </c>
      <c r="AN223" s="69"/>
      <c r="AO223" s="1323" t="s">
        <v>1321</v>
      </c>
      <c r="AP223" s="69"/>
      <c r="AQ223" s="1323" t="s">
        <v>1323</v>
      </c>
      <c r="AR223" s="69"/>
      <c r="AS223" s="1323" t="s">
        <v>1325</v>
      </c>
      <c r="AT223" s="69"/>
      <c r="AU223" s="1323" t="s">
        <v>1329</v>
      </c>
      <c r="AV223" s="69"/>
      <c r="AW223" s="1535" t="s">
        <v>297</v>
      </c>
      <c r="AX223" s="69"/>
      <c r="AY223" s="1073" t="s">
        <v>5</v>
      </c>
      <c r="AZ223" s="11"/>
      <c r="BA223" s="11"/>
      <c r="BB223" s="11"/>
      <c r="BD223" s="1192"/>
    </row>
    <row r="224" ht="21.75" customHeight="1">
      <c r="A224" s="1109">
        <f t="shared" ref="A224:D224" si="206">A196</f>
        <v>1</v>
      </c>
      <c r="B224" s="1111">
        <f t="shared" si="206"/>
        <v>2847</v>
      </c>
      <c r="C224" s="1200" t="str">
        <f t="shared" si="206"/>
        <v>Завтрак </v>
      </c>
      <c r="D224" s="591" t="str">
        <f t="shared" si="206"/>
        <v>Шакшука с томатом</v>
      </c>
      <c r="E224" s="1485" t="str">
        <f t="shared" ref="E224:E247" si="208">F196</f>
        <v/>
      </c>
      <c r="F224" s="69"/>
      <c r="G224" s="1485" t="str">
        <f t="shared" ref="G224:G247" si="209">H196</f>
        <v/>
      </c>
      <c r="H224" s="69"/>
      <c r="I224" s="1534" t="str">
        <f t="shared" ref="I224:I247" si="210">J196</f>
        <v/>
      </c>
      <c r="J224" s="69"/>
      <c r="K224" s="1485" t="str">
        <f t="shared" ref="K224:K248" si="211">L196</f>
        <v/>
      </c>
      <c r="L224" s="69"/>
      <c r="M224" s="1485" t="str">
        <f t="shared" ref="M224:M247" si="212">N196</f>
        <v/>
      </c>
      <c r="N224" s="69"/>
      <c r="O224" s="1072" t="str">
        <f t="shared" ref="O224:O247" si="213">P196</f>
        <v/>
      </c>
      <c r="P224" s="69"/>
      <c r="Q224" s="1072" t="str">
        <f t="shared" ref="Q224:Q247" si="214">R196</f>
        <v/>
      </c>
      <c r="R224" s="69"/>
      <c r="S224" s="1072" t="str">
        <f t="shared" ref="S224:S247" si="215">T196</f>
        <v/>
      </c>
      <c r="T224" s="69"/>
      <c r="U224" s="1426" t="str">
        <f t="shared" ref="U224:U247" si="216">V196</f>
        <v/>
      </c>
      <c r="V224" s="69"/>
      <c r="W224" s="1426" t="str">
        <f t="shared" ref="W224:W247" si="217">X196</f>
        <v/>
      </c>
      <c r="X224" s="69"/>
      <c r="Y224" s="1426" t="str">
        <f t="shared" ref="Y224:Y247" si="218">Z196</f>
        <v/>
      </c>
      <c r="Z224" s="69"/>
      <c r="AA224" s="1427" t="str">
        <f t="shared" ref="AA224:AA247" si="219">AB196</f>
        <v/>
      </c>
      <c r="AB224" s="69"/>
      <c r="AC224" s="1427" t="str">
        <f t="shared" ref="AC224:AC247" si="220">AD196</f>
        <v/>
      </c>
      <c r="AD224" s="69"/>
      <c r="AE224" s="1427" t="str">
        <f t="shared" ref="AE224:AE247" si="221">AF196</f>
        <v/>
      </c>
      <c r="AF224" s="69"/>
      <c r="AG224" s="1427" t="str">
        <f t="shared" ref="AG224:AG247" si="222">AH196</f>
        <v/>
      </c>
      <c r="AH224" s="69"/>
      <c r="AI224" s="1427" t="str">
        <f t="shared" ref="AI224:AI247" si="223">AJ196</f>
        <v/>
      </c>
      <c r="AJ224" s="69"/>
      <c r="AK224" s="1427" t="str">
        <f t="shared" ref="AK224:AK247" si="224">AL196</f>
        <v/>
      </c>
      <c r="AL224" s="69"/>
      <c r="AM224" s="1323" t="str">
        <f t="shared" ref="AM224:AM247" si="225">AN196</f>
        <v/>
      </c>
      <c r="AN224" s="69"/>
      <c r="AO224" s="1323" t="str">
        <f t="shared" ref="AO224:AO247" si="226">AP196</f>
        <v/>
      </c>
      <c r="AP224" s="69"/>
      <c r="AQ224" s="1323" t="str">
        <f t="shared" ref="AQ224:AQ247" si="227">AR196</f>
        <v/>
      </c>
      <c r="AR224" s="69"/>
      <c r="AS224" s="1323" t="str">
        <f t="shared" ref="AS224:AS247" si="228">AT196</f>
        <v/>
      </c>
      <c r="AT224" s="69"/>
      <c r="AU224" s="1323" t="str">
        <f t="shared" ref="AU224:AU247" si="229">AV196</f>
        <v/>
      </c>
      <c r="AV224" s="69"/>
      <c r="AW224" s="1536" t="str">
        <f t="shared" ref="AW224:AW227" si="230">AX196</f>
        <v/>
      </c>
      <c r="AX224" s="69"/>
      <c r="AY224" s="1073">
        <f t="shared" ref="AY224:AY249" si="231">SUM(E224:AX224)</f>
        <v>0</v>
      </c>
      <c r="AZ224" s="1188"/>
      <c r="BA224" s="1188"/>
      <c r="BB224" s="1188"/>
      <c r="BD224" s="1192"/>
    </row>
    <row r="225" ht="21.75" customHeight="1">
      <c r="A225" s="1109">
        <f t="shared" ref="A225:D225" si="207">A197</f>
        <v>2</v>
      </c>
      <c r="B225" s="1111">
        <f t="shared" si="207"/>
        <v>1404</v>
      </c>
      <c r="C225" s="1200" t="str">
        <f t="shared" si="207"/>
        <v>Завтрак </v>
      </c>
      <c r="D225" s="591" t="str">
        <f t="shared" si="207"/>
        <v>Запеканка творожная</v>
      </c>
      <c r="E225" s="1485" t="str">
        <f t="shared" si="208"/>
        <v/>
      </c>
      <c r="F225" s="69"/>
      <c r="G225" s="1485" t="str">
        <f t="shared" si="209"/>
        <v/>
      </c>
      <c r="H225" s="69"/>
      <c r="I225" s="1534" t="str">
        <f t="shared" si="210"/>
        <v/>
      </c>
      <c r="J225" s="69"/>
      <c r="K225" s="1485" t="str">
        <f t="shared" si="211"/>
        <v/>
      </c>
      <c r="L225" s="69"/>
      <c r="M225" s="1485" t="str">
        <f t="shared" si="212"/>
        <v/>
      </c>
      <c r="N225" s="69"/>
      <c r="O225" s="1072" t="str">
        <f t="shared" si="213"/>
        <v/>
      </c>
      <c r="P225" s="69"/>
      <c r="Q225" s="1072" t="str">
        <f t="shared" si="214"/>
        <v/>
      </c>
      <c r="R225" s="69"/>
      <c r="S225" s="1072" t="str">
        <f t="shared" si="215"/>
        <v/>
      </c>
      <c r="T225" s="69"/>
      <c r="U225" s="1426" t="str">
        <f t="shared" si="216"/>
        <v/>
      </c>
      <c r="V225" s="69"/>
      <c r="W225" s="1426" t="str">
        <f t="shared" si="217"/>
        <v/>
      </c>
      <c r="X225" s="69"/>
      <c r="Y225" s="1426" t="str">
        <f t="shared" si="218"/>
        <v/>
      </c>
      <c r="Z225" s="69"/>
      <c r="AA225" s="1427" t="str">
        <f t="shared" si="219"/>
        <v/>
      </c>
      <c r="AB225" s="69"/>
      <c r="AC225" s="1427" t="str">
        <f t="shared" si="220"/>
        <v/>
      </c>
      <c r="AD225" s="69"/>
      <c r="AE225" s="1427" t="str">
        <f t="shared" si="221"/>
        <v/>
      </c>
      <c r="AF225" s="69"/>
      <c r="AG225" s="1427" t="str">
        <f t="shared" si="222"/>
        <v/>
      </c>
      <c r="AH225" s="69"/>
      <c r="AI225" s="1427" t="str">
        <f t="shared" si="223"/>
        <v/>
      </c>
      <c r="AJ225" s="69"/>
      <c r="AK225" s="1427" t="str">
        <f t="shared" si="224"/>
        <v/>
      </c>
      <c r="AL225" s="69"/>
      <c r="AM225" s="1323" t="str">
        <f t="shared" si="225"/>
        <v/>
      </c>
      <c r="AN225" s="69"/>
      <c r="AO225" s="1323" t="str">
        <f t="shared" si="226"/>
        <v/>
      </c>
      <c r="AP225" s="69"/>
      <c r="AQ225" s="1323" t="str">
        <f t="shared" si="227"/>
        <v/>
      </c>
      <c r="AR225" s="69"/>
      <c r="AS225" s="1323" t="str">
        <f t="shared" si="228"/>
        <v/>
      </c>
      <c r="AT225" s="69"/>
      <c r="AU225" s="1323" t="str">
        <f t="shared" si="229"/>
        <v/>
      </c>
      <c r="AV225" s="69"/>
      <c r="AW225" s="1537" t="str">
        <f t="shared" si="230"/>
        <v/>
      </c>
      <c r="AX225" s="69"/>
      <c r="AY225" s="1073">
        <f t="shared" si="231"/>
        <v>0</v>
      </c>
      <c r="AZ225" s="1188"/>
      <c r="BA225" s="1188"/>
      <c r="BB225" s="1188"/>
      <c r="BD225" s="1192"/>
    </row>
    <row r="226" ht="21.75" customHeight="1">
      <c r="A226" s="1109">
        <f t="shared" ref="A226:D226" si="232">A198</f>
        <v>3</v>
      </c>
      <c r="B226" s="1111">
        <f t="shared" si="232"/>
        <v>3236</v>
      </c>
      <c r="C226" s="1200" t="str">
        <f t="shared" si="232"/>
        <v>Завтрак </v>
      </c>
      <c r="D226" s="591" t="str">
        <f t="shared" si="232"/>
        <v>Блин с ветчиной и сыром</v>
      </c>
      <c r="E226" s="1485" t="str">
        <f t="shared" si="208"/>
        <v/>
      </c>
      <c r="F226" s="69"/>
      <c r="G226" s="1485" t="str">
        <f t="shared" si="209"/>
        <v/>
      </c>
      <c r="H226" s="69"/>
      <c r="I226" s="1534" t="str">
        <f t="shared" si="210"/>
        <v/>
      </c>
      <c r="J226" s="69"/>
      <c r="K226" s="1485" t="str">
        <f t="shared" si="211"/>
        <v/>
      </c>
      <c r="L226" s="69"/>
      <c r="M226" s="1485" t="str">
        <f t="shared" si="212"/>
        <v/>
      </c>
      <c r="N226" s="69"/>
      <c r="O226" s="1072" t="str">
        <f t="shared" si="213"/>
        <v/>
      </c>
      <c r="P226" s="69"/>
      <c r="Q226" s="1072" t="str">
        <f t="shared" si="214"/>
        <v/>
      </c>
      <c r="R226" s="69"/>
      <c r="S226" s="1072" t="str">
        <f t="shared" si="215"/>
        <v/>
      </c>
      <c r="T226" s="69"/>
      <c r="U226" s="1426" t="str">
        <f t="shared" si="216"/>
        <v/>
      </c>
      <c r="V226" s="69"/>
      <c r="W226" s="1426" t="str">
        <f t="shared" si="217"/>
        <v/>
      </c>
      <c r="X226" s="69"/>
      <c r="Y226" s="1426" t="str">
        <f t="shared" si="218"/>
        <v/>
      </c>
      <c r="Z226" s="69"/>
      <c r="AA226" s="1427" t="str">
        <f t="shared" si="219"/>
        <v/>
      </c>
      <c r="AB226" s="69"/>
      <c r="AC226" s="1427" t="str">
        <f t="shared" si="220"/>
        <v/>
      </c>
      <c r="AD226" s="69"/>
      <c r="AE226" s="1427" t="str">
        <f t="shared" si="221"/>
        <v/>
      </c>
      <c r="AF226" s="69"/>
      <c r="AG226" s="1427" t="str">
        <f t="shared" si="222"/>
        <v/>
      </c>
      <c r="AH226" s="69"/>
      <c r="AI226" s="1427" t="str">
        <f t="shared" si="223"/>
        <v/>
      </c>
      <c r="AJ226" s="69"/>
      <c r="AK226" s="1427" t="str">
        <f t="shared" si="224"/>
        <v/>
      </c>
      <c r="AL226" s="69"/>
      <c r="AM226" s="1323" t="str">
        <f t="shared" si="225"/>
        <v/>
      </c>
      <c r="AN226" s="69"/>
      <c r="AO226" s="1323" t="str">
        <f t="shared" si="226"/>
        <v/>
      </c>
      <c r="AP226" s="69"/>
      <c r="AQ226" s="1323" t="str">
        <f t="shared" si="227"/>
        <v/>
      </c>
      <c r="AR226" s="69"/>
      <c r="AS226" s="1323" t="str">
        <f t="shared" si="228"/>
        <v/>
      </c>
      <c r="AT226" s="69"/>
      <c r="AU226" s="1323" t="str">
        <f t="shared" si="229"/>
        <v/>
      </c>
      <c r="AV226" s="69"/>
      <c r="AW226" s="1536" t="str">
        <f t="shared" si="230"/>
        <v/>
      </c>
      <c r="AX226" s="69"/>
      <c r="AY226" s="1073">
        <f t="shared" si="231"/>
        <v>0</v>
      </c>
      <c r="AZ226" s="1188"/>
      <c r="BA226" s="1188"/>
      <c r="BB226" s="1188"/>
      <c r="BD226" s="1192"/>
    </row>
    <row r="227" ht="21.75" customHeight="1">
      <c r="A227" s="1109">
        <f t="shared" ref="A227:D227" si="233">A199</f>
        <v>4</v>
      </c>
      <c r="B227" s="1111">
        <f t="shared" si="233"/>
        <v>3147</v>
      </c>
      <c r="C227" s="1200" t="str">
        <f t="shared" si="233"/>
        <v>Салат</v>
      </c>
      <c r="D227" s="591" t="str">
        <f t="shared" si="233"/>
        <v>Салат ''Витаминный с крабом'' 120 г</v>
      </c>
      <c r="E227" s="1485" t="str">
        <f t="shared" si="208"/>
        <v/>
      </c>
      <c r="F227" s="69"/>
      <c r="G227" s="1485" t="str">
        <f t="shared" si="209"/>
        <v/>
      </c>
      <c r="H227" s="69"/>
      <c r="I227" s="1534" t="str">
        <f t="shared" si="210"/>
        <v/>
      </c>
      <c r="J227" s="69"/>
      <c r="K227" s="1485" t="str">
        <f t="shared" si="211"/>
        <v/>
      </c>
      <c r="L227" s="69"/>
      <c r="M227" s="1485" t="str">
        <f t="shared" si="212"/>
        <v/>
      </c>
      <c r="N227" s="69"/>
      <c r="O227" s="1072" t="str">
        <f t="shared" si="213"/>
        <v/>
      </c>
      <c r="P227" s="69"/>
      <c r="Q227" s="1072" t="str">
        <f t="shared" si="214"/>
        <v/>
      </c>
      <c r="R227" s="69"/>
      <c r="S227" s="1072" t="str">
        <f t="shared" si="215"/>
        <v/>
      </c>
      <c r="T227" s="69"/>
      <c r="U227" s="1426" t="str">
        <f t="shared" si="216"/>
        <v/>
      </c>
      <c r="V227" s="69"/>
      <c r="W227" s="1426" t="str">
        <f t="shared" si="217"/>
        <v/>
      </c>
      <c r="X227" s="69"/>
      <c r="Y227" s="1426" t="str">
        <f t="shared" si="218"/>
        <v/>
      </c>
      <c r="Z227" s="69"/>
      <c r="AA227" s="1427" t="str">
        <f t="shared" si="219"/>
        <v/>
      </c>
      <c r="AB227" s="69"/>
      <c r="AC227" s="1427" t="str">
        <f t="shared" si="220"/>
        <v/>
      </c>
      <c r="AD227" s="69"/>
      <c r="AE227" s="1427" t="str">
        <f t="shared" si="221"/>
        <v/>
      </c>
      <c r="AF227" s="69"/>
      <c r="AG227" s="1427" t="str">
        <f t="shared" si="222"/>
        <v/>
      </c>
      <c r="AH227" s="69"/>
      <c r="AI227" s="1427" t="str">
        <f t="shared" si="223"/>
        <v/>
      </c>
      <c r="AJ227" s="69"/>
      <c r="AK227" s="1427" t="str">
        <f t="shared" si="224"/>
        <v/>
      </c>
      <c r="AL227" s="69"/>
      <c r="AM227" s="1323" t="str">
        <f t="shared" si="225"/>
        <v/>
      </c>
      <c r="AN227" s="69"/>
      <c r="AO227" s="1323" t="str">
        <f t="shared" si="226"/>
        <v/>
      </c>
      <c r="AP227" s="69"/>
      <c r="AQ227" s="1323" t="str">
        <f t="shared" si="227"/>
        <v/>
      </c>
      <c r="AR227" s="69"/>
      <c r="AS227" s="1323" t="str">
        <f t="shared" si="228"/>
        <v/>
      </c>
      <c r="AT227" s="69"/>
      <c r="AU227" s="1323" t="str">
        <f t="shared" si="229"/>
        <v/>
      </c>
      <c r="AV227" s="69"/>
      <c r="AW227" s="1536" t="str">
        <f t="shared" si="230"/>
        <v/>
      </c>
      <c r="AX227" s="69"/>
      <c r="AY227" s="1073">
        <f t="shared" si="231"/>
        <v>0</v>
      </c>
      <c r="AZ227" s="1188"/>
      <c r="BA227" s="1188"/>
      <c r="BB227" s="1188"/>
      <c r="BD227" s="1192"/>
    </row>
    <row r="228" ht="21.75" customHeight="1">
      <c r="A228" s="1109">
        <f t="shared" ref="A228:D228" si="234">A200</f>
        <v>5</v>
      </c>
      <c r="B228" s="1111">
        <f t="shared" si="234"/>
        <v>41</v>
      </c>
      <c r="C228" s="1200" t="str">
        <f t="shared" si="234"/>
        <v>Салат</v>
      </c>
      <c r="D228" s="591" t="str">
        <f t="shared" si="234"/>
        <v>Салат ''Пикник'' (печень)</v>
      </c>
      <c r="E228" s="1485" t="str">
        <f t="shared" si="208"/>
        <v/>
      </c>
      <c r="F228" s="69"/>
      <c r="G228" s="1485" t="str">
        <f t="shared" si="209"/>
        <v/>
      </c>
      <c r="H228" s="69"/>
      <c r="I228" s="1534" t="str">
        <f t="shared" si="210"/>
        <v/>
      </c>
      <c r="J228" s="69"/>
      <c r="K228" s="1485" t="str">
        <f t="shared" si="211"/>
        <v/>
      </c>
      <c r="L228" s="69"/>
      <c r="M228" s="1485" t="str">
        <f t="shared" si="212"/>
        <v/>
      </c>
      <c r="N228" s="69"/>
      <c r="O228" s="1072" t="str">
        <f t="shared" si="213"/>
        <v/>
      </c>
      <c r="P228" s="69"/>
      <c r="Q228" s="1072" t="str">
        <f t="shared" si="214"/>
        <v/>
      </c>
      <c r="R228" s="69"/>
      <c r="S228" s="1072" t="str">
        <f t="shared" si="215"/>
        <v/>
      </c>
      <c r="T228" s="69"/>
      <c r="U228" s="1426" t="str">
        <f t="shared" si="216"/>
        <v/>
      </c>
      <c r="V228" s="69"/>
      <c r="W228" s="1426" t="str">
        <f t="shared" si="217"/>
        <v/>
      </c>
      <c r="X228" s="69"/>
      <c r="Y228" s="1426" t="str">
        <f t="shared" si="218"/>
        <v/>
      </c>
      <c r="Z228" s="69"/>
      <c r="AA228" s="1427" t="str">
        <f t="shared" si="219"/>
        <v/>
      </c>
      <c r="AB228" s="69"/>
      <c r="AC228" s="1427" t="str">
        <f t="shared" si="220"/>
        <v/>
      </c>
      <c r="AD228" s="69"/>
      <c r="AE228" s="1427" t="str">
        <f t="shared" si="221"/>
        <v/>
      </c>
      <c r="AF228" s="69"/>
      <c r="AG228" s="1427" t="str">
        <f t="shared" si="222"/>
        <v/>
      </c>
      <c r="AH228" s="69"/>
      <c r="AI228" s="1427" t="str">
        <f t="shared" si="223"/>
        <v/>
      </c>
      <c r="AJ228" s="69"/>
      <c r="AK228" s="1427" t="str">
        <f t="shared" si="224"/>
        <v/>
      </c>
      <c r="AL228" s="69"/>
      <c r="AM228" s="1323" t="str">
        <f t="shared" si="225"/>
        <v/>
      </c>
      <c r="AN228" s="69"/>
      <c r="AO228" s="1323" t="str">
        <f t="shared" si="226"/>
        <v/>
      </c>
      <c r="AP228" s="69"/>
      <c r="AQ228" s="1323" t="str">
        <f t="shared" si="227"/>
        <v/>
      </c>
      <c r="AR228" s="69"/>
      <c r="AS228" s="1323" t="str">
        <f t="shared" si="228"/>
        <v/>
      </c>
      <c r="AT228" s="69"/>
      <c r="AU228" s="1323" t="str">
        <f t="shared" si="229"/>
        <v/>
      </c>
      <c r="AV228" s="69"/>
      <c r="AW228" s="1536">
        <v>80.0</v>
      </c>
      <c r="AX228" s="69"/>
      <c r="AY228" s="1073">
        <f t="shared" si="231"/>
        <v>80</v>
      </c>
      <c r="AZ228" s="1188"/>
      <c r="BA228" s="1188"/>
      <c r="BB228" s="1188"/>
      <c r="BD228" s="1192"/>
    </row>
    <row r="229" ht="21.75" customHeight="1">
      <c r="A229" s="1109">
        <f t="shared" ref="A229:D229" si="235">A201</f>
        <v>6</v>
      </c>
      <c r="B229" s="1111">
        <f t="shared" si="235"/>
        <v>3155</v>
      </c>
      <c r="C229" s="1200" t="str">
        <f t="shared" si="235"/>
        <v>Салат</v>
      </c>
      <c r="D229" s="591" t="str">
        <f t="shared" si="235"/>
        <v>Салат ''Прага'' (ветчина кур.)</v>
      </c>
      <c r="E229" s="1485" t="str">
        <f t="shared" si="208"/>
        <v/>
      </c>
      <c r="F229" s="69"/>
      <c r="G229" s="1485" t="str">
        <f t="shared" si="209"/>
        <v/>
      </c>
      <c r="H229" s="69"/>
      <c r="I229" s="1534" t="str">
        <f t="shared" si="210"/>
        <v/>
      </c>
      <c r="J229" s="69"/>
      <c r="K229" s="1485" t="str">
        <f t="shared" si="211"/>
        <v/>
      </c>
      <c r="L229" s="69"/>
      <c r="M229" s="1485" t="str">
        <f t="shared" si="212"/>
        <v/>
      </c>
      <c r="N229" s="69"/>
      <c r="O229" s="1072" t="str">
        <f t="shared" si="213"/>
        <v/>
      </c>
      <c r="P229" s="69"/>
      <c r="Q229" s="1072" t="str">
        <f t="shared" si="214"/>
        <v/>
      </c>
      <c r="R229" s="69"/>
      <c r="S229" s="1072" t="str">
        <f t="shared" si="215"/>
        <v/>
      </c>
      <c r="T229" s="69"/>
      <c r="U229" s="1426" t="str">
        <f t="shared" si="216"/>
        <v/>
      </c>
      <c r="V229" s="69"/>
      <c r="W229" s="1426" t="str">
        <f t="shared" si="217"/>
        <v/>
      </c>
      <c r="X229" s="69"/>
      <c r="Y229" s="1426" t="str">
        <f t="shared" si="218"/>
        <v/>
      </c>
      <c r="Z229" s="69"/>
      <c r="AA229" s="1427" t="str">
        <f t="shared" si="219"/>
        <v/>
      </c>
      <c r="AB229" s="69"/>
      <c r="AC229" s="1427" t="str">
        <f t="shared" si="220"/>
        <v/>
      </c>
      <c r="AD229" s="69"/>
      <c r="AE229" s="1427" t="str">
        <f t="shared" si="221"/>
        <v/>
      </c>
      <c r="AF229" s="69"/>
      <c r="AG229" s="1427" t="str">
        <f t="shared" si="222"/>
        <v/>
      </c>
      <c r="AH229" s="69"/>
      <c r="AI229" s="1427" t="str">
        <f t="shared" si="223"/>
        <v/>
      </c>
      <c r="AJ229" s="69"/>
      <c r="AK229" s="1427" t="str">
        <f t="shared" si="224"/>
        <v/>
      </c>
      <c r="AL229" s="69"/>
      <c r="AM229" s="1323" t="str">
        <f t="shared" si="225"/>
        <v/>
      </c>
      <c r="AN229" s="69"/>
      <c r="AO229" s="1323" t="str">
        <f t="shared" si="226"/>
        <v/>
      </c>
      <c r="AP229" s="69"/>
      <c r="AQ229" s="1323" t="str">
        <f t="shared" si="227"/>
        <v/>
      </c>
      <c r="AR229" s="69"/>
      <c r="AS229" s="1323" t="str">
        <f t="shared" si="228"/>
        <v/>
      </c>
      <c r="AT229" s="69"/>
      <c r="AU229" s="1323" t="str">
        <f t="shared" si="229"/>
        <v/>
      </c>
      <c r="AV229" s="69"/>
      <c r="AW229" s="1536"/>
      <c r="AX229" s="69"/>
      <c r="AY229" s="1073">
        <f t="shared" si="231"/>
        <v>0</v>
      </c>
      <c r="AZ229" s="1188"/>
      <c r="BA229" s="1188"/>
      <c r="BB229" s="1188"/>
      <c r="BD229" s="1192"/>
    </row>
    <row r="230" ht="21.75" customHeight="1">
      <c r="A230" s="1109">
        <f t="shared" ref="A230:D230" si="236">A202</f>
        <v>7</v>
      </c>
      <c r="B230" s="1111">
        <f t="shared" si="236"/>
        <v>2954</v>
      </c>
      <c r="C230" s="1200" t="str">
        <f t="shared" si="236"/>
        <v>Премиум</v>
      </c>
      <c r="D230" s="591" t="str">
        <f t="shared" si="236"/>
        <v>Салат "Генеральский" (курица, грецкий орех) 220гр</v>
      </c>
      <c r="E230" s="1485" t="str">
        <f t="shared" si="208"/>
        <v/>
      </c>
      <c r="F230" s="69"/>
      <c r="G230" s="1485" t="str">
        <f t="shared" si="209"/>
        <v/>
      </c>
      <c r="H230" s="69"/>
      <c r="I230" s="1534" t="str">
        <f t="shared" si="210"/>
        <v/>
      </c>
      <c r="J230" s="69"/>
      <c r="K230" s="1485" t="str">
        <f t="shared" si="211"/>
        <v/>
      </c>
      <c r="L230" s="69"/>
      <c r="M230" s="1485" t="str">
        <f t="shared" si="212"/>
        <v/>
      </c>
      <c r="N230" s="69"/>
      <c r="O230" s="1072" t="str">
        <f t="shared" si="213"/>
        <v/>
      </c>
      <c r="P230" s="69"/>
      <c r="Q230" s="1072" t="str">
        <f t="shared" si="214"/>
        <v/>
      </c>
      <c r="R230" s="69"/>
      <c r="S230" s="1072" t="str">
        <f t="shared" si="215"/>
        <v/>
      </c>
      <c r="T230" s="69"/>
      <c r="U230" s="1426" t="str">
        <f t="shared" si="216"/>
        <v/>
      </c>
      <c r="V230" s="69"/>
      <c r="W230" s="1426" t="str">
        <f t="shared" si="217"/>
        <v/>
      </c>
      <c r="X230" s="69"/>
      <c r="Y230" s="1426" t="str">
        <f t="shared" si="218"/>
        <v/>
      </c>
      <c r="Z230" s="69"/>
      <c r="AA230" s="1427" t="str">
        <f t="shared" si="219"/>
        <v/>
      </c>
      <c r="AB230" s="69"/>
      <c r="AC230" s="1427" t="str">
        <f t="shared" si="220"/>
        <v/>
      </c>
      <c r="AD230" s="69"/>
      <c r="AE230" s="1427" t="str">
        <f t="shared" si="221"/>
        <v/>
      </c>
      <c r="AF230" s="69"/>
      <c r="AG230" s="1427" t="str">
        <f t="shared" si="222"/>
        <v/>
      </c>
      <c r="AH230" s="69"/>
      <c r="AI230" s="1427" t="str">
        <f t="shared" si="223"/>
        <v/>
      </c>
      <c r="AJ230" s="69"/>
      <c r="AK230" s="1427" t="str">
        <f t="shared" si="224"/>
        <v/>
      </c>
      <c r="AL230" s="69"/>
      <c r="AM230" s="1323" t="str">
        <f t="shared" si="225"/>
        <v/>
      </c>
      <c r="AN230" s="69"/>
      <c r="AO230" s="1323" t="str">
        <f t="shared" si="226"/>
        <v/>
      </c>
      <c r="AP230" s="69"/>
      <c r="AQ230" s="1323" t="str">
        <f t="shared" si="227"/>
        <v/>
      </c>
      <c r="AR230" s="69"/>
      <c r="AS230" s="1323" t="str">
        <f t="shared" si="228"/>
        <v/>
      </c>
      <c r="AT230" s="69"/>
      <c r="AU230" s="1323" t="str">
        <f t="shared" si="229"/>
        <v/>
      </c>
      <c r="AV230" s="69"/>
      <c r="AW230" s="1536" t="str">
        <f t="shared" ref="AW230:AW247" si="238">AX202</f>
        <v/>
      </c>
      <c r="AX230" s="69"/>
      <c r="AY230" s="1073">
        <f t="shared" si="231"/>
        <v>0</v>
      </c>
      <c r="AZ230" s="1188"/>
      <c r="BA230" s="1188"/>
      <c r="BB230" s="1188"/>
      <c r="BD230" s="1192"/>
    </row>
    <row r="231" ht="21.75" customHeight="1">
      <c r="A231" s="1109">
        <f t="shared" ref="A231:D231" si="237">A203</f>
        <v>8</v>
      </c>
      <c r="B231" s="1111">
        <f t="shared" si="237"/>
        <v>793</v>
      </c>
      <c r="C231" s="1200" t="str">
        <f t="shared" si="237"/>
        <v/>
      </c>
      <c r="D231" s="591" t="str">
        <f t="shared" si="237"/>
        <v>Солянка</v>
      </c>
      <c r="E231" s="1485" t="str">
        <f t="shared" si="208"/>
        <v/>
      </c>
      <c r="F231" s="69"/>
      <c r="G231" s="1485" t="str">
        <f t="shared" si="209"/>
        <v/>
      </c>
      <c r="H231" s="69"/>
      <c r="I231" s="1534" t="str">
        <f t="shared" si="210"/>
        <v/>
      </c>
      <c r="J231" s="69"/>
      <c r="K231" s="1485" t="str">
        <f t="shared" si="211"/>
        <v/>
      </c>
      <c r="L231" s="69"/>
      <c r="M231" s="1485" t="str">
        <f t="shared" si="212"/>
        <v/>
      </c>
      <c r="N231" s="69"/>
      <c r="O231" s="1072" t="str">
        <f t="shared" si="213"/>
        <v/>
      </c>
      <c r="P231" s="69"/>
      <c r="Q231" s="1072" t="str">
        <f t="shared" si="214"/>
        <v/>
      </c>
      <c r="R231" s="69"/>
      <c r="S231" s="1072" t="str">
        <f t="shared" si="215"/>
        <v/>
      </c>
      <c r="T231" s="69"/>
      <c r="U231" s="1426" t="str">
        <f t="shared" si="216"/>
        <v/>
      </c>
      <c r="V231" s="69"/>
      <c r="W231" s="1426" t="str">
        <f t="shared" si="217"/>
        <v/>
      </c>
      <c r="X231" s="69"/>
      <c r="Y231" s="1426" t="str">
        <f t="shared" si="218"/>
        <v/>
      </c>
      <c r="Z231" s="69"/>
      <c r="AA231" s="1427" t="str">
        <f t="shared" si="219"/>
        <v/>
      </c>
      <c r="AB231" s="69"/>
      <c r="AC231" s="1427" t="str">
        <f t="shared" si="220"/>
        <v/>
      </c>
      <c r="AD231" s="69"/>
      <c r="AE231" s="1427" t="str">
        <f t="shared" si="221"/>
        <v/>
      </c>
      <c r="AF231" s="69"/>
      <c r="AG231" s="1427" t="str">
        <f t="shared" si="222"/>
        <v/>
      </c>
      <c r="AH231" s="69"/>
      <c r="AI231" s="1427" t="str">
        <f t="shared" si="223"/>
        <v/>
      </c>
      <c r="AJ231" s="69"/>
      <c r="AK231" s="1427" t="str">
        <f t="shared" si="224"/>
        <v/>
      </c>
      <c r="AL231" s="69"/>
      <c r="AM231" s="1323" t="str">
        <f t="shared" si="225"/>
        <v/>
      </c>
      <c r="AN231" s="69"/>
      <c r="AO231" s="1323" t="str">
        <f t="shared" si="226"/>
        <v/>
      </c>
      <c r="AP231" s="69"/>
      <c r="AQ231" s="1323" t="str">
        <f t="shared" si="227"/>
        <v/>
      </c>
      <c r="AR231" s="69"/>
      <c r="AS231" s="1323" t="str">
        <f t="shared" si="228"/>
        <v/>
      </c>
      <c r="AT231" s="69"/>
      <c r="AU231" s="1323" t="str">
        <f t="shared" si="229"/>
        <v/>
      </c>
      <c r="AV231" s="69"/>
      <c r="AW231" s="1536" t="str">
        <f t="shared" si="238"/>
        <v/>
      </c>
      <c r="AX231" s="69"/>
      <c r="AY231" s="1073">
        <f t="shared" si="231"/>
        <v>0</v>
      </c>
      <c r="AZ231" s="1188"/>
      <c r="BA231" s="1188"/>
      <c r="BB231" s="1188"/>
      <c r="BD231" s="1192"/>
    </row>
    <row r="232" ht="21.75" customHeight="1">
      <c r="A232" s="1109">
        <f t="shared" ref="A232:D232" si="239">A204</f>
        <v>10</v>
      </c>
      <c r="B232" s="1111">
        <f t="shared" si="239"/>
        <v>3467</v>
      </c>
      <c r="C232" s="1200" t="str">
        <f t="shared" si="239"/>
        <v>Второе</v>
      </c>
      <c r="D232" s="591" t="str">
        <f t="shared" si="239"/>
        <v>Купаты куриные с овощным гарниром</v>
      </c>
      <c r="E232" s="1485" t="str">
        <f t="shared" si="208"/>
        <v/>
      </c>
      <c r="F232" s="69"/>
      <c r="G232" s="1485" t="str">
        <f t="shared" si="209"/>
        <v/>
      </c>
      <c r="H232" s="69"/>
      <c r="I232" s="1534" t="str">
        <f t="shared" si="210"/>
        <v/>
      </c>
      <c r="J232" s="69"/>
      <c r="K232" s="1485" t="str">
        <f t="shared" si="211"/>
        <v/>
      </c>
      <c r="L232" s="69"/>
      <c r="M232" s="1485" t="str">
        <f t="shared" si="212"/>
        <v/>
      </c>
      <c r="N232" s="69"/>
      <c r="O232" s="1072" t="str">
        <f t="shared" si="213"/>
        <v/>
      </c>
      <c r="P232" s="69"/>
      <c r="Q232" s="1072" t="str">
        <f t="shared" si="214"/>
        <v/>
      </c>
      <c r="R232" s="69"/>
      <c r="S232" s="1072" t="str">
        <f t="shared" si="215"/>
        <v/>
      </c>
      <c r="T232" s="69"/>
      <c r="U232" s="1426" t="str">
        <f t="shared" si="216"/>
        <v/>
      </c>
      <c r="V232" s="69"/>
      <c r="W232" s="1426" t="str">
        <f t="shared" si="217"/>
        <v/>
      </c>
      <c r="X232" s="69"/>
      <c r="Y232" s="1426" t="str">
        <f t="shared" si="218"/>
        <v/>
      </c>
      <c r="Z232" s="69"/>
      <c r="AA232" s="1427" t="str">
        <f t="shared" si="219"/>
        <v/>
      </c>
      <c r="AB232" s="69"/>
      <c r="AC232" s="1427" t="str">
        <f t="shared" si="220"/>
        <v/>
      </c>
      <c r="AD232" s="69"/>
      <c r="AE232" s="1427" t="str">
        <f t="shared" si="221"/>
        <v/>
      </c>
      <c r="AF232" s="69"/>
      <c r="AG232" s="1427" t="str">
        <f t="shared" si="222"/>
        <v/>
      </c>
      <c r="AH232" s="69"/>
      <c r="AI232" s="1427" t="str">
        <f t="shared" si="223"/>
        <v/>
      </c>
      <c r="AJ232" s="69"/>
      <c r="AK232" s="1427" t="str">
        <f t="shared" si="224"/>
        <v/>
      </c>
      <c r="AL232" s="69"/>
      <c r="AM232" s="1323" t="str">
        <f t="shared" si="225"/>
        <v/>
      </c>
      <c r="AN232" s="69"/>
      <c r="AO232" s="1323" t="str">
        <f t="shared" si="226"/>
        <v/>
      </c>
      <c r="AP232" s="69"/>
      <c r="AQ232" s="1323" t="str">
        <f t="shared" si="227"/>
        <v/>
      </c>
      <c r="AR232" s="69"/>
      <c r="AS232" s="1323" t="str">
        <f t="shared" si="228"/>
        <v/>
      </c>
      <c r="AT232" s="69"/>
      <c r="AU232" s="1323" t="str">
        <f t="shared" si="229"/>
        <v/>
      </c>
      <c r="AV232" s="69"/>
      <c r="AW232" s="1536" t="str">
        <f t="shared" si="238"/>
        <v/>
      </c>
      <c r="AX232" s="69"/>
      <c r="AY232" s="1073">
        <f t="shared" si="231"/>
        <v>0</v>
      </c>
      <c r="AZ232" s="1188"/>
      <c r="BA232" s="1188"/>
      <c r="BB232" s="1188"/>
      <c r="BD232" s="1192"/>
    </row>
    <row r="233" ht="21.75" customHeight="1">
      <c r="A233" s="1109">
        <f t="shared" ref="A233:D233" si="240">A205</f>
        <v>11</v>
      </c>
      <c r="B233" s="1111">
        <f t="shared" si="240"/>
        <v>3468</v>
      </c>
      <c r="C233" s="1200" t="str">
        <f t="shared" si="240"/>
        <v>Второе </v>
      </c>
      <c r="D233" s="591" t="str">
        <f t="shared" si="240"/>
        <v>Горбуша запеченная с картофельным пюре</v>
      </c>
      <c r="E233" s="1485" t="str">
        <f t="shared" si="208"/>
        <v/>
      </c>
      <c r="F233" s="69"/>
      <c r="G233" s="1485" t="str">
        <f t="shared" si="209"/>
        <v/>
      </c>
      <c r="H233" s="69"/>
      <c r="I233" s="1534" t="str">
        <f t="shared" si="210"/>
        <v/>
      </c>
      <c r="J233" s="69"/>
      <c r="K233" s="1485" t="str">
        <f t="shared" si="211"/>
        <v/>
      </c>
      <c r="L233" s="69"/>
      <c r="M233" s="1485" t="str">
        <f t="shared" si="212"/>
        <v/>
      </c>
      <c r="N233" s="69"/>
      <c r="O233" s="1072" t="str">
        <f t="shared" si="213"/>
        <v/>
      </c>
      <c r="P233" s="69"/>
      <c r="Q233" s="1072" t="str">
        <f t="shared" si="214"/>
        <v/>
      </c>
      <c r="R233" s="69"/>
      <c r="S233" s="1072" t="str">
        <f t="shared" si="215"/>
        <v/>
      </c>
      <c r="T233" s="69"/>
      <c r="U233" s="1426" t="str">
        <f t="shared" si="216"/>
        <v/>
      </c>
      <c r="V233" s="69"/>
      <c r="W233" s="1426" t="str">
        <f t="shared" si="217"/>
        <v/>
      </c>
      <c r="X233" s="69"/>
      <c r="Y233" s="1426" t="str">
        <f t="shared" si="218"/>
        <v/>
      </c>
      <c r="Z233" s="69"/>
      <c r="AA233" s="1427" t="str">
        <f t="shared" si="219"/>
        <v/>
      </c>
      <c r="AB233" s="69"/>
      <c r="AC233" s="1427" t="str">
        <f t="shared" si="220"/>
        <v/>
      </c>
      <c r="AD233" s="69"/>
      <c r="AE233" s="1427" t="str">
        <f t="shared" si="221"/>
        <v/>
      </c>
      <c r="AF233" s="69"/>
      <c r="AG233" s="1427" t="str">
        <f t="shared" si="222"/>
        <v/>
      </c>
      <c r="AH233" s="69"/>
      <c r="AI233" s="1427" t="str">
        <f t="shared" si="223"/>
        <v/>
      </c>
      <c r="AJ233" s="69"/>
      <c r="AK233" s="1427" t="str">
        <f t="shared" si="224"/>
        <v/>
      </c>
      <c r="AL233" s="69"/>
      <c r="AM233" s="1323" t="str">
        <f t="shared" si="225"/>
        <v/>
      </c>
      <c r="AN233" s="69"/>
      <c r="AO233" s="1323" t="str">
        <f t="shared" si="226"/>
        <v/>
      </c>
      <c r="AP233" s="69"/>
      <c r="AQ233" s="1323" t="str">
        <f t="shared" si="227"/>
        <v/>
      </c>
      <c r="AR233" s="69"/>
      <c r="AS233" s="1323" t="str">
        <f t="shared" si="228"/>
        <v/>
      </c>
      <c r="AT233" s="69"/>
      <c r="AU233" s="1323" t="str">
        <f t="shared" si="229"/>
        <v/>
      </c>
      <c r="AV233" s="69"/>
      <c r="AW233" s="1536" t="str">
        <f t="shared" si="238"/>
        <v/>
      </c>
      <c r="AX233" s="69"/>
      <c r="AY233" s="1073">
        <f t="shared" si="231"/>
        <v>0</v>
      </c>
      <c r="AZ233" s="1188"/>
      <c r="BA233" s="1188"/>
      <c r="BB233" s="1188"/>
      <c r="BD233" s="1192"/>
    </row>
    <row r="234" ht="21.75" customHeight="1">
      <c r="A234" s="1109">
        <f t="shared" ref="A234:D234" si="241">A206</f>
        <v>12</v>
      </c>
      <c r="B234" s="1111">
        <f t="shared" si="241"/>
        <v>3469</v>
      </c>
      <c r="C234" s="1200" t="str">
        <f t="shared" si="241"/>
        <v>Второе</v>
      </c>
      <c r="D234" s="591" t="str">
        <f t="shared" si="241"/>
        <v>Гуляш из свинины с макаронами</v>
      </c>
      <c r="E234" s="1485" t="str">
        <f t="shared" si="208"/>
        <v/>
      </c>
      <c r="F234" s="69"/>
      <c r="G234" s="1485" t="str">
        <f t="shared" si="209"/>
        <v/>
      </c>
      <c r="H234" s="69"/>
      <c r="I234" s="1534" t="str">
        <f t="shared" si="210"/>
        <v/>
      </c>
      <c r="J234" s="69"/>
      <c r="K234" s="1485" t="str">
        <f t="shared" si="211"/>
        <v/>
      </c>
      <c r="L234" s="69"/>
      <c r="M234" s="1485" t="str">
        <f t="shared" si="212"/>
        <v/>
      </c>
      <c r="N234" s="69"/>
      <c r="O234" s="1072" t="str">
        <f t="shared" si="213"/>
        <v/>
      </c>
      <c r="P234" s="69"/>
      <c r="Q234" s="1072" t="str">
        <f t="shared" si="214"/>
        <v/>
      </c>
      <c r="R234" s="69"/>
      <c r="S234" s="1072" t="str">
        <f t="shared" si="215"/>
        <v/>
      </c>
      <c r="T234" s="69"/>
      <c r="U234" s="1426" t="str">
        <f t="shared" si="216"/>
        <v/>
      </c>
      <c r="V234" s="69"/>
      <c r="W234" s="1426" t="str">
        <f t="shared" si="217"/>
        <v/>
      </c>
      <c r="X234" s="69"/>
      <c r="Y234" s="1426" t="str">
        <f t="shared" si="218"/>
        <v/>
      </c>
      <c r="Z234" s="69"/>
      <c r="AA234" s="1427" t="str">
        <f t="shared" si="219"/>
        <v/>
      </c>
      <c r="AB234" s="69"/>
      <c r="AC234" s="1427" t="str">
        <f t="shared" si="220"/>
        <v/>
      </c>
      <c r="AD234" s="69"/>
      <c r="AE234" s="1427" t="str">
        <f t="shared" si="221"/>
        <v/>
      </c>
      <c r="AF234" s="69"/>
      <c r="AG234" s="1427" t="str">
        <f t="shared" si="222"/>
        <v/>
      </c>
      <c r="AH234" s="69"/>
      <c r="AI234" s="1427" t="str">
        <f t="shared" si="223"/>
        <v/>
      </c>
      <c r="AJ234" s="69"/>
      <c r="AK234" s="1427" t="str">
        <f t="shared" si="224"/>
        <v/>
      </c>
      <c r="AL234" s="69"/>
      <c r="AM234" s="1323" t="str">
        <f t="shared" si="225"/>
        <v/>
      </c>
      <c r="AN234" s="69"/>
      <c r="AO234" s="1323" t="str">
        <f t="shared" si="226"/>
        <v/>
      </c>
      <c r="AP234" s="69"/>
      <c r="AQ234" s="1323" t="str">
        <f t="shared" si="227"/>
        <v/>
      </c>
      <c r="AR234" s="69"/>
      <c r="AS234" s="1323" t="str">
        <f t="shared" si="228"/>
        <v/>
      </c>
      <c r="AT234" s="69"/>
      <c r="AU234" s="1323" t="str">
        <f t="shared" si="229"/>
        <v/>
      </c>
      <c r="AV234" s="69"/>
      <c r="AW234" s="1536" t="str">
        <f t="shared" si="238"/>
        <v/>
      </c>
      <c r="AX234" s="69"/>
      <c r="AY234" s="1073">
        <f t="shared" si="231"/>
        <v>0</v>
      </c>
      <c r="AZ234" s="1188"/>
      <c r="BA234" s="1188"/>
      <c r="BB234" s="1188"/>
      <c r="BD234" s="1192"/>
    </row>
    <row r="235" ht="21.75" customHeight="1">
      <c r="A235" s="1109">
        <f t="shared" ref="A235:D235" si="242">A207</f>
        <v>13</v>
      </c>
      <c r="B235" s="1111">
        <f t="shared" si="242"/>
        <v>1151</v>
      </c>
      <c r="C235" s="1200" t="str">
        <f t="shared" si="242"/>
        <v>Второе</v>
      </c>
      <c r="D235" s="591" t="str">
        <f t="shared" si="242"/>
        <v>Горбуша запеченная с рисом светофор</v>
      </c>
      <c r="E235" s="1485" t="str">
        <f t="shared" si="208"/>
        <v/>
      </c>
      <c r="F235" s="69"/>
      <c r="G235" s="1485" t="str">
        <f t="shared" si="209"/>
        <v/>
      </c>
      <c r="H235" s="69"/>
      <c r="I235" s="1534" t="str">
        <f t="shared" si="210"/>
        <v/>
      </c>
      <c r="J235" s="69"/>
      <c r="K235" s="1485" t="str">
        <f t="shared" si="211"/>
        <v/>
      </c>
      <c r="L235" s="69"/>
      <c r="M235" s="1485" t="str">
        <f t="shared" si="212"/>
        <v/>
      </c>
      <c r="N235" s="69"/>
      <c r="O235" s="1072" t="str">
        <f t="shared" si="213"/>
        <v/>
      </c>
      <c r="P235" s="69"/>
      <c r="Q235" s="1072" t="str">
        <f t="shared" si="214"/>
        <v/>
      </c>
      <c r="R235" s="69"/>
      <c r="S235" s="1072" t="str">
        <f t="shared" si="215"/>
        <v/>
      </c>
      <c r="T235" s="69"/>
      <c r="U235" s="1426" t="str">
        <f t="shared" si="216"/>
        <v/>
      </c>
      <c r="V235" s="69"/>
      <c r="W235" s="1426" t="str">
        <f t="shared" si="217"/>
        <v/>
      </c>
      <c r="X235" s="69"/>
      <c r="Y235" s="1426" t="str">
        <f t="shared" si="218"/>
        <v/>
      </c>
      <c r="Z235" s="69"/>
      <c r="AA235" s="1427" t="str">
        <f t="shared" si="219"/>
        <v/>
      </c>
      <c r="AB235" s="69"/>
      <c r="AC235" s="1427" t="str">
        <f t="shared" si="220"/>
        <v/>
      </c>
      <c r="AD235" s="69"/>
      <c r="AE235" s="1427" t="str">
        <f t="shared" si="221"/>
        <v/>
      </c>
      <c r="AF235" s="69"/>
      <c r="AG235" s="1427" t="str">
        <f t="shared" si="222"/>
        <v/>
      </c>
      <c r="AH235" s="69"/>
      <c r="AI235" s="1427" t="str">
        <f t="shared" si="223"/>
        <v/>
      </c>
      <c r="AJ235" s="69"/>
      <c r="AK235" s="1427" t="str">
        <f t="shared" si="224"/>
        <v/>
      </c>
      <c r="AL235" s="69"/>
      <c r="AM235" s="1323" t="str">
        <f t="shared" si="225"/>
        <v/>
      </c>
      <c r="AN235" s="69"/>
      <c r="AO235" s="1323" t="str">
        <f t="shared" si="226"/>
        <v/>
      </c>
      <c r="AP235" s="69"/>
      <c r="AQ235" s="1323" t="str">
        <f t="shared" si="227"/>
        <v/>
      </c>
      <c r="AR235" s="69"/>
      <c r="AS235" s="1323" t="str">
        <f t="shared" si="228"/>
        <v/>
      </c>
      <c r="AT235" s="69"/>
      <c r="AU235" s="1323" t="str">
        <f t="shared" si="229"/>
        <v/>
      </c>
      <c r="AV235" s="69"/>
      <c r="AW235" s="1536" t="str">
        <f t="shared" si="238"/>
        <v/>
      </c>
      <c r="AX235" s="69"/>
      <c r="AY235" s="1073">
        <f t="shared" si="231"/>
        <v>0</v>
      </c>
      <c r="AZ235" s="1188"/>
      <c r="BA235" s="1188"/>
      <c r="BB235" s="1188"/>
      <c r="BD235" s="1192"/>
    </row>
    <row r="236" ht="21.75" customHeight="1">
      <c r="A236" s="1109">
        <f t="shared" ref="A236:D236" si="243">A208</f>
        <v>14</v>
      </c>
      <c r="B236" s="1111">
        <f t="shared" si="243"/>
        <v>1327</v>
      </c>
      <c r="C236" s="1200" t="str">
        <f t="shared" si="243"/>
        <v>Второе</v>
      </c>
      <c r="D236" s="591" t="str">
        <f t="shared" si="243"/>
        <v>Курочка в сырном соусе с картофелем</v>
      </c>
      <c r="E236" s="1485" t="str">
        <f t="shared" si="208"/>
        <v/>
      </c>
      <c r="F236" s="69"/>
      <c r="G236" s="1485" t="str">
        <f t="shared" si="209"/>
        <v/>
      </c>
      <c r="H236" s="69"/>
      <c r="I236" s="1534" t="str">
        <f t="shared" si="210"/>
        <v/>
      </c>
      <c r="J236" s="69"/>
      <c r="K236" s="1485" t="str">
        <f t="shared" si="211"/>
        <v/>
      </c>
      <c r="L236" s="69"/>
      <c r="M236" s="1485" t="str">
        <f t="shared" si="212"/>
        <v/>
      </c>
      <c r="N236" s="69"/>
      <c r="O236" s="1072" t="str">
        <f t="shared" si="213"/>
        <v/>
      </c>
      <c r="P236" s="69"/>
      <c r="Q236" s="1072" t="str">
        <f t="shared" si="214"/>
        <v/>
      </c>
      <c r="R236" s="69"/>
      <c r="S236" s="1072" t="str">
        <f t="shared" si="215"/>
        <v/>
      </c>
      <c r="T236" s="69"/>
      <c r="U236" s="1426" t="str">
        <f t="shared" si="216"/>
        <v/>
      </c>
      <c r="V236" s="69"/>
      <c r="W236" s="1426" t="str">
        <f t="shared" si="217"/>
        <v/>
      </c>
      <c r="X236" s="69"/>
      <c r="Y236" s="1426" t="str">
        <f t="shared" si="218"/>
        <v/>
      </c>
      <c r="Z236" s="69"/>
      <c r="AA236" s="1427" t="str">
        <f t="shared" si="219"/>
        <v/>
      </c>
      <c r="AB236" s="69"/>
      <c r="AC236" s="1427" t="str">
        <f t="shared" si="220"/>
        <v/>
      </c>
      <c r="AD236" s="69"/>
      <c r="AE236" s="1427" t="str">
        <f t="shared" si="221"/>
        <v/>
      </c>
      <c r="AF236" s="69"/>
      <c r="AG236" s="1427" t="str">
        <f t="shared" si="222"/>
        <v/>
      </c>
      <c r="AH236" s="69"/>
      <c r="AI236" s="1427" t="str">
        <f t="shared" si="223"/>
        <v/>
      </c>
      <c r="AJ236" s="69"/>
      <c r="AK236" s="1427" t="str">
        <f t="shared" si="224"/>
        <v/>
      </c>
      <c r="AL236" s="69"/>
      <c r="AM236" s="1323" t="str">
        <f t="shared" si="225"/>
        <v/>
      </c>
      <c r="AN236" s="69"/>
      <c r="AO236" s="1323" t="str">
        <f t="shared" si="226"/>
        <v/>
      </c>
      <c r="AP236" s="69"/>
      <c r="AQ236" s="1323" t="str">
        <f t="shared" si="227"/>
        <v/>
      </c>
      <c r="AR236" s="69"/>
      <c r="AS236" s="1323" t="str">
        <f t="shared" si="228"/>
        <v/>
      </c>
      <c r="AT236" s="69"/>
      <c r="AU236" s="1323" t="str">
        <f t="shared" si="229"/>
        <v/>
      </c>
      <c r="AV236" s="69"/>
      <c r="AW236" s="1536" t="str">
        <f t="shared" si="238"/>
        <v/>
      </c>
      <c r="AX236" s="69"/>
      <c r="AY236" s="1073">
        <f t="shared" si="231"/>
        <v>0</v>
      </c>
      <c r="AZ236" s="1188"/>
      <c r="BA236" s="1188"/>
      <c r="BB236" s="1188"/>
      <c r="BD236" s="1192"/>
    </row>
    <row r="237" ht="21.75" customHeight="1">
      <c r="A237" s="1109">
        <f t="shared" ref="A237:D237" si="244">A209</f>
        <v>15</v>
      </c>
      <c r="B237" s="1111">
        <f t="shared" si="244"/>
        <v>1414</v>
      </c>
      <c r="C237" s="1200" t="str">
        <f t="shared" si="244"/>
        <v>Второе</v>
      </c>
      <c r="D237" s="591" t="str">
        <f t="shared" si="244"/>
        <v>Курочка в сырном соусе со спагетти </v>
      </c>
      <c r="E237" s="1485" t="str">
        <f t="shared" si="208"/>
        <v/>
      </c>
      <c r="F237" s="69"/>
      <c r="G237" s="1485" t="str">
        <f t="shared" si="209"/>
        <v/>
      </c>
      <c r="H237" s="69"/>
      <c r="I237" s="1534" t="str">
        <f t="shared" si="210"/>
        <v/>
      </c>
      <c r="J237" s="69"/>
      <c r="K237" s="1485" t="str">
        <f t="shared" si="211"/>
        <v/>
      </c>
      <c r="L237" s="69"/>
      <c r="M237" s="1485" t="str">
        <f t="shared" si="212"/>
        <v/>
      </c>
      <c r="N237" s="69"/>
      <c r="O237" s="1072" t="str">
        <f t="shared" si="213"/>
        <v/>
      </c>
      <c r="P237" s="69"/>
      <c r="Q237" s="1072" t="str">
        <f t="shared" si="214"/>
        <v/>
      </c>
      <c r="R237" s="69"/>
      <c r="S237" s="1072" t="str">
        <f t="shared" si="215"/>
        <v/>
      </c>
      <c r="T237" s="69"/>
      <c r="U237" s="1426" t="str">
        <f t="shared" si="216"/>
        <v/>
      </c>
      <c r="V237" s="69"/>
      <c r="W237" s="1426" t="str">
        <f t="shared" si="217"/>
        <v/>
      </c>
      <c r="X237" s="69"/>
      <c r="Y237" s="1426" t="str">
        <f t="shared" si="218"/>
        <v/>
      </c>
      <c r="Z237" s="69"/>
      <c r="AA237" s="1427" t="str">
        <f t="shared" si="219"/>
        <v/>
      </c>
      <c r="AB237" s="69"/>
      <c r="AC237" s="1427" t="str">
        <f t="shared" si="220"/>
        <v/>
      </c>
      <c r="AD237" s="69"/>
      <c r="AE237" s="1427" t="str">
        <f t="shared" si="221"/>
        <v/>
      </c>
      <c r="AF237" s="69"/>
      <c r="AG237" s="1427" t="str">
        <f t="shared" si="222"/>
        <v/>
      </c>
      <c r="AH237" s="69"/>
      <c r="AI237" s="1427" t="str">
        <f t="shared" si="223"/>
        <v/>
      </c>
      <c r="AJ237" s="69"/>
      <c r="AK237" s="1427" t="str">
        <f t="shared" si="224"/>
        <v/>
      </c>
      <c r="AL237" s="69"/>
      <c r="AM237" s="1323" t="str">
        <f t="shared" si="225"/>
        <v/>
      </c>
      <c r="AN237" s="69"/>
      <c r="AO237" s="1323" t="str">
        <f t="shared" si="226"/>
        <v/>
      </c>
      <c r="AP237" s="69"/>
      <c r="AQ237" s="1323" t="str">
        <f t="shared" si="227"/>
        <v/>
      </c>
      <c r="AR237" s="69"/>
      <c r="AS237" s="1323" t="str">
        <f t="shared" si="228"/>
        <v/>
      </c>
      <c r="AT237" s="69"/>
      <c r="AU237" s="1323" t="str">
        <f t="shared" si="229"/>
        <v/>
      </c>
      <c r="AV237" s="69"/>
      <c r="AW237" s="1536" t="str">
        <f t="shared" si="238"/>
        <v/>
      </c>
      <c r="AX237" s="69"/>
      <c r="AY237" s="1073">
        <f t="shared" si="231"/>
        <v>0</v>
      </c>
      <c r="AZ237" s="1188"/>
      <c r="BA237" s="1188"/>
      <c r="BB237" s="1188"/>
      <c r="BD237" s="1192"/>
    </row>
    <row r="238" ht="21.75" customHeight="1">
      <c r="A238" s="1109">
        <f t="shared" ref="A238:D238" si="245">A210</f>
        <v>16</v>
      </c>
      <c r="B238" s="1111">
        <f t="shared" si="245"/>
        <v>3461</v>
      </c>
      <c r="C238" s="1200" t="str">
        <f t="shared" si="245"/>
        <v>Второе</v>
      </c>
      <c r="D238" s="591" t="str">
        <f t="shared" si="245"/>
        <v/>
      </c>
      <c r="E238" s="1485" t="str">
        <f t="shared" si="208"/>
        <v/>
      </c>
      <c r="F238" s="69"/>
      <c r="G238" s="1485" t="str">
        <f t="shared" si="209"/>
        <v/>
      </c>
      <c r="H238" s="69"/>
      <c r="I238" s="1534" t="str">
        <f t="shared" si="210"/>
        <v/>
      </c>
      <c r="J238" s="69"/>
      <c r="K238" s="1485" t="str">
        <f t="shared" si="211"/>
        <v/>
      </c>
      <c r="L238" s="69"/>
      <c r="M238" s="1485" t="str">
        <f t="shared" si="212"/>
        <v/>
      </c>
      <c r="N238" s="69"/>
      <c r="O238" s="1072" t="str">
        <f t="shared" si="213"/>
        <v/>
      </c>
      <c r="P238" s="69"/>
      <c r="Q238" s="1072" t="str">
        <f t="shared" si="214"/>
        <v/>
      </c>
      <c r="R238" s="69"/>
      <c r="S238" s="1072" t="str">
        <f t="shared" si="215"/>
        <v/>
      </c>
      <c r="T238" s="69"/>
      <c r="U238" s="1426" t="str">
        <f t="shared" si="216"/>
        <v/>
      </c>
      <c r="V238" s="69"/>
      <c r="W238" s="1426" t="str">
        <f t="shared" si="217"/>
        <v/>
      </c>
      <c r="X238" s="69"/>
      <c r="Y238" s="1426" t="str">
        <f t="shared" si="218"/>
        <v/>
      </c>
      <c r="Z238" s="69"/>
      <c r="AA238" s="1427" t="str">
        <f t="shared" si="219"/>
        <v/>
      </c>
      <c r="AB238" s="69"/>
      <c r="AC238" s="1427" t="str">
        <f t="shared" si="220"/>
        <v/>
      </c>
      <c r="AD238" s="69"/>
      <c r="AE238" s="1427" t="str">
        <f t="shared" si="221"/>
        <v/>
      </c>
      <c r="AF238" s="69"/>
      <c r="AG238" s="1427" t="str">
        <f t="shared" si="222"/>
        <v/>
      </c>
      <c r="AH238" s="69"/>
      <c r="AI238" s="1427" t="str">
        <f t="shared" si="223"/>
        <v/>
      </c>
      <c r="AJ238" s="69"/>
      <c r="AK238" s="1427" t="str">
        <f t="shared" si="224"/>
        <v/>
      </c>
      <c r="AL238" s="69"/>
      <c r="AM238" s="1323" t="str">
        <f t="shared" si="225"/>
        <v/>
      </c>
      <c r="AN238" s="69"/>
      <c r="AO238" s="1323" t="str">
        <f t="shared" si="226"/>
        <v/>
      </c>
      <c r="AP238" s="69"/>
      <c r="AQ238" s="1323" t="str">
        <f t="shared" si="227"/>
        <v/>
      </c>
      <c r="AR238" s="69"/>
      <c r="AS238" s="1323" t="str">
        <f t="shared" si="228"/>
        <v/>
      </c>
      <c r="AT238" s="69"/>
      <c r="AU238" s="1323" t="str">
        <f t="shared" si="229"/>
        <v/>
      </c>
      <c r="AV238" s="69"/>
      <c r="AW238" s="1536" t="str">
        <f t="shared" si="238"/>
        <v/>
      </c>
      <c r="AX238" s="69"/>
      <c r="AY238" s="1073">
        <f t="shared" si="231"/>
        <v>0</v>
      </c>
      <c r="AZ238" s="1188"/>
      <c r="BA238" s="1188"/>
      <c r="BB238" s="1188"/>
      <c r="BD238" s="1192"/>
    </row>
    <row r="239" ht="21.75" customHeight="1">
      <c r="A239" s="1109">
        <f t="shared" ref="A239:D239" si="246">A211</f>
        <v>17</v>
      </c>
      <c r="B239" s="1111">
        <f t="shared" si="246"/>
        <v>3460</v>
      </c>
      <c r="C239" s="1200" t="str">
        <f t="shared" si="246"/>
        <v>Второе</v>
      </c>
      <c r="D239" s="591" t="str">
        <f t="shared" si="246"/>
        <v>Гречка по-купечески с томленой говядиной </v>
      </c>
      <c r="E239" s="1485" t="str">
        <f t="shared" si="208"/>
        <v/>
      </c>
      <c r="F239" s="69"/>
      <c r="G239" s="1485" t="str">
        <f t="shared" si="209"/>
        <v/>
      </c>
      <c r="H239" s="69"/>
      <c r="I239" s="1534" t="str">
        <f t="shared" si="210"/>
        <v/>
      </c>
      <c r="J239" s="69"/>
      <c r="K239" s="1485" t="str">
        <f t="shared" si="211"/>
        <v/>
      </c>
      <c r="L239" s="69"/>
      <c r="M239" s="1485" t="str">
        <f t="shared" si="212"/>
        <v/>
      </c>
      <c r="N239" s="69"/>
      <c r="O239" s="1072" t="str">
        <f t="shared" si="213"/>
        <v/>
      </c>
      <c r="P239" s="69"/>
      <c r="Q239" s="1072" t="str">
        <f t="shared" si="214"/>
        <v/>
      </c>
      <c r="R239" s="69"/>
      <c r="S239" s="1072" t="str">
        <f t="shared" si="215"/>
        <v/>
      </c>
      <c r="T239" s="69"/>
      <c r="U239" s="1426" t="str">
        <f t="shared" si="216"/>
        <v/>
      </c>
      <c r="V239" s="69"/>
      <c r="W239" s="1426" t="str">
        <f t="shared" si="217"/>
        <v/>
      </c>
      <c r="X239" s="69"/>
      <c r="Y239" s="1426" t="str">
        <f t="shared" si="218"/>
        <v/>
      </c>
      <c r="Z239" s="69"/>
      <c r="AA239" s="1427" t="str">
        <f t="shared" si="219"/>
        <v/>
      </c>
      <c r="AB239" s="69"/>
      <c r="AC239" s="1427" t="str">
        <f t="shared" si="220"/>
        <v/>
      </c>
      <c r="AD239" s="69"/>
      <c r="AE239" s="1427" t="str">
        <f t="shared" si="221"/>
        <v/>
      </c>
      <c r="AF239" s="69"/>
      <c r="AG239" s="1427" t="str">
        <f t="shared" si="222"/>
        <v/>
      </c>
      <c r="AH239" s="69"/>
      <c r="AI239" s="1427" t="str">
        <f t="shared" si="223"/>
        <v/>
      </c>
      <c r="AJ239" s="69"/>
      <c r="AK239" s="1427" t="str">
        <f t="shared" si="224"/>
        <v/>
      </c>
      <c r="AL239" s="69"/>
      <c r="AM239" s="1323" t="str">
        <f t="shared" si="225"/>
        <v/>
      </c>
      <c r="AN239" s="69"/>
      <c r="AO239" s="1323" t="str">
        <f t="shared" si="226"/>
        <v/>
      </c>
      <c r="AP239" s="69"/>
      <c r="AQ239" s="1323" t="str">
        <f t="shared" si="227"/>
        <v/>
      </c>
      <c r="AR239" s="69"/>
      <c r="AS239" s="1323" t="str">
        <f t="shared" si="228"/>
        <v/>
      </c>
      <c r="AT239" s="69"/>
      <c r="AU239" s="1323" t="str">
        <f t="shared" si="229"/>
        <v/>
      </c>
      <c r="AV239" s="69"/>
      <c r="AW239" s="1536" t="str">
        <f t="shared" si="238"/>
        <v/>
      </c>
      <c r="AX239" s="69"/>
      <c r="AY239" s="1073">
        <f t="shared" si="231"/>
        <v>0</v>
      </c>
      <c r="AZ239" s="1188"/>
      <c r="BA239" s="1188"/>
      <c r="BB239" s="1188"/>
      <c r="BD239" s="1192"/>
    </row>
    <row r="240" ht="21.75" customHeight="1">
      <c r="A240" s="1109">
        <f t="shared" ref="A240:D240" si="247">A212</f>
        <v>18</v>
      </c>
      <c r="B240" s="1111">
        <f t="shared" si="247"/>
        <v>2782</v>
      </c>
      <c r="C240" s="1200" t="str">
        <f t="shared" si="247"/>
        <v>Сэндвич</v>
      </c>
      <c r="D240" s="591" t="str">
        <f t="shared" si="247"/>
        <v>Сэндвич ''Цезарь''</v>
      </c>
      <c r="E240" s="1485" t="str">
        <f t="shared" si="208"/>
        <v/>
      </c>
      <c r="F240" s="69"/>
      <c r="G240" s="1485" t="str">
        <f t="shared" si="209"/>
        <v/>
      </c>
      <c r="H240" s="69"/>
      <c r="I240" s="1534" t="str">
        <f t="shared" si="210"/>
        <v/>
      </c>
      <c r="J240" s="69"/>
      <c r="K240" s="1485" t="str">
        <f t="shared" si="211"/>
        <v/>
      </c>
      <c r="L240" s="69"/>
      <c r="M240" s="1485" t="str">
        <f t="shared" si="212"/>
        <v/>
      </c>
      <c r="N240" s="69"/>
      <c r="O240" s="1072" t="str">
        <f t="shared" si="213"/>
        <v/>
      </c>
      <c r="P240" s="69"/>
      <c r="Q240" s="1072" t="str">
        <f t="shared" si="214"/>
        <v/>
      </c>
      <c r="R240" s="69"/>
      <c r="S240" s="1072" t="str">
        <f t="shared" si="215"/>
        <v/>
      </c>
      <c r="T240" s="69"/>
      <c r="U240" s="1426" t="str">
        <f t="shared" si="216"/>
        <v/>
      </c>
      <c r="V240" s="69"/>
      <c r="W240" s="1426" t="str">
        <f t="shared" si="217"/>
        <v/>
      </c>
      <c r="X240" s="69"/>
      <c r="Y240" s="1426" t="str">
        <f t="shared" si="218"/>
        <v/>
      </c>
      <c r="Z240" s="69"/>
      <c r="AA240" s="1427" t="str">
        <f t="shared" si="219"/>
        <v/>
      </c>
      <c r="AB240" s="69"/>
      <c r="AC240" s="1427" t="str">
        <f t="shared" si="220"/>
        <v/>
      </c>
      <c r="AD240" s="69"/>
      <c r="AE240" s="1427" t="str">
        <f t="shared" si="221"/>
        <v/>
      </c>
      <c r="AF240" s="69"/>
      <c r="AG240" s="1427" t="str">
        <f t="shared" si="222"/>
        <v/>
      </c>
      <c r="AH240" s="69"/>
      <c r="AI240" s="1427" t="str">
        <f t="shared" si="223"/>
        <v/>
      </c>
      <c r="AJ240" s="69"/>
      <c r="AK240" s="1427" t="str">
        <f t="shared" si="224"/>
        <v/>
      </c>
      <c r="AL240" s="69"/>
      <c r="AM240" s="1323" t="str">
        <f t="shared" si="225"/>
        <v/>
      </c>
      <c r="AN240" s="69"/>
      <c r="AO240" s="1323" t="str">
        <f t="shared" si="226"/>
        <v/>
      </c>
      <c r="AP240" s="69"/>
      <c r="AQ240" s="1323" t="str">
        <f t="shared" si="227"/>
        <v/>
      </c>
      <c r="AR240" s="69"/>
      <c r="AS240" s="1323" t="str">
        <f t="shared" si="228"/>
        <v/>
      </c>
      <c r="AT240" s="69"/>
      <c r="AU240" s="1323" t="str">
        <f t="shared" si="229"/>
        <v/>
      </c>
      <c r="AV240" s="69"/>
      <c r="AW240" s="1536" t="str">
        <f t="shared" si="238"/>
        <v/>
      </c>
      <c r="AX240" s="69"/>
      <c r="AY240" s="1073">
        <f t="shared" si="231"/>
        <v>0</v>
      </c>
      <c r="AZ240" s="1187"/>
      <c r="BA240" s="1187"/>
      <c r="BB240" s="1187"/>
      <c r="BC240" s="677"/>
      <c r="BD240" s="1192"/>
    </row>
    <row r="241" ht="21.75" customHeight="1">
      <c r="A241" s="1109">
        <f t="shared" ref="A241:D241" si="248">A213</f>
        <v>19</v>
      </c>
      <c r="B241" s="1111">
        <f t="shared" si="248"/>
        <v>5</v>
      </c>
      <c r="C241" s="1200" t="str">
        <f t="shared" si="248"/>
        <v>Сэндвич</v>
      </c>
      <c r="D241" s="591" t="str">
        <f t="shared" si="248"/>
        <v/>
      </c>
      <c r="E241" s="1485" t="str">
        <f t="shared" si="208"/>
        <v/>
      </c>
      <c r="F241" s="69"/>
      <c r="G241" s="1485" t="str">
        <f t="shared" si="209"/>
        <v/>
      </c>
      <c r="H241" s="69"/>
      <c r="I241" s="1534" t="str">
        <f t="shared" si="210"/>
        <v/>
      </c>
      <c r="J241" s="69"/>
      <c r="K241" s="1485" t="str">
        <f t="shared" si="211"/>
        <v/>
      </c>
      <c r="L241" s="69"/>
      <c r="M241" s="1485" t="str">
        <f t="shared" si="212"/>
        <v/>
      </c>
      <c r="N241" s="69"/>
      <c r="O241" s="1072" t="str">
        <f t="shared" si="213"/>
        <v/>
      </c>
      <c r="P241" s="69"/>
      <c r="Q241" s="1072" t="str">
        <f t="shared" si="214"/>
        <v/>
      </c>
      <c r="R241" s="69"/>
      <c r="S241" s="1072" t="str">
        <f t="shared" si="215"/>
        <v/>
      </c>
      <c r="T241" s="69"/>
      <c r="U241" s="1426" t="str">
        <f t="shared" si="216"/>
        <v/>
      </c>
      <c r="V241" s="69"/>
      <c r="W241" s="1426" t="str">
        <f t="shared" si="217"/>
        <v/>
      </c>
      <c r="X241" s="69"/>
      <c r="Y241" s="1426" t="str">
        <f t="shared" si="218"/>
        <v/>
      </c>
      <c r="Z241" s="69"/>
      <c r="AA241" s="1427" t="str">
        <f t="shared" si="219"/>
        <v/>
      </c>
      <c r="AB241" s="69"/>
      <c r="AC241" s="1427" t="str">
        <f t="shared" si="220"/>
        <v/>
      </c>
      <c r="AD241" s="69"/>
      <c r="AE241" s="1427" t="str">
        <f t="shared" si="221"/>
        <v/>
      </c>
      <c r="AF241" s="69"/>
      <c r="AG241" s="1427" t="str">
        <f t="shared" si="222"/>
        <v/>
      </c>
      <c r="AH241" s="69"/>
      <c r="AI241" s="1427" t="str">
        <f t="shared" si="223"/>
        <v/>
      </c>
      <c r="AJ241" s="69"/>
      <c r="AK241" s="1427" t="str">
        <f t="shared" si="224"/>
        <v/>
      </c>
      <c r="AL241" s="69"/>
      <c r="AM241" s="1323" t="str">
        <f t="shared" si="225"/>
        <v/>
      </c>
      <c r="AN241" s="69"/>
      <c r="AO241" s="1323" t="str">
        <f t="shared" si="226"/>
        <v/>
      </c>
      <c r="AP241" s="69"/>
      <c r="AQ241" s="1323" t="str">
        <f t="shared" si="227"/>
        <v/>
      </c>
      <c r="AR241" s="69"/>
      <c r="AS241" s="1323" t="str">
        <f t="shared" si="228"/>
        <v/>
      </c>
      <c r="AT241" s="69"/>
      <c r="AU241" s="1323" t="str">
        <f t="shared" si="229"/>
        <v/>
      </c>
      <c r="AV241" s="69"/>
      <c r="AW241" s="1536" t="str">
        <f t="shared" si="238"/>
        <v/>
      </c>
      <c r="AX241" s="69"/>
      <c r="AY241" s="1073">
        <f t="shared" si="231"/>
        <v>0</v>
      </c>
      <c r="AZ241" s="1187"/>
      <c r="BA241" s="1187"/>
      <c r="BB241" s="1187"/>
      <c r="BC241" s="677"/>
      <c r="BD241" s="1192"/>
    </row>
    <row r="242" ht="21.75" customHeight="1">
      <c r="A242" s="1109">
        <f t="shared" ref="A242:D242" si="249">A214</f>
        <v>20</v>
      </c>
      <c r="B242" s="1111">
        <f t="shared" si="249"/>
        <v>3045</v>
      </c>
      <c r="C242" s="1200" t="str">
        <f t="shared" si="249"/>
        <v>Внеплан</v>
      </c>
      <c r="D242" s="591" t="str">
        <f t="shared" si="249"/>
        <v>Сырники с вишней 50 шт</v>
      </c>
      <c r="E242" s="1485" t="str">
        <f t="shared" si="208"/>
        <v/>
      </c>
      <c r="F242" s="69"/>
      <c r="G242" s="1485" t="str">
        <f t="shared" si="209"/>
        <v/>
      </c>
      <c r="H242" s="69"/>
      <c r="I242" s="1534" t="str">
        <f t="shared" si="210"/>
        <v/>
      </c>
      <c r="J242" s="69"/>
      <c r="K242" s="1485" t="str">
        <f t="shared" si="211"/>
        <v/>
      </c>
      <c r="L242" s="69"/>
      <c r="M242" s="1485" t="str">
        <f t="shared" si="212"/>
        <v/>
      </c>
      <c r="N242" s="69"/>
      <c r="O242" s="1072" t="str">
        <f t="shared" si="213"/>
        <v/>
      </c>
      <c r="P242" s="69"/>
      <c r="Q242" s="1072" t="str">
        <f t="shared" si="214"/>
        <v/>
      </c>
      <c r="R242" s="69"/>
      <c r="S242" s="1072" t="str">
        <f t="shared" si="215"/>
        <v/>
      </c>
      <c r="T242" s="69"/>
      <c r="U242" s="1426" t="str">
        <f t="shared" si="216"/>
        <v/>
      </c>
      <c r="V242" s="69"/>
      <c r="W242" s="1426" t="str">
        <f t="shared" si="217"/>
        <v/>
      </c>
      <c r="X242" s="69"/>
      <c r="Y242" s="1426" t="str">
        <f t="shared" si="218"/>
        <v/>
      </c>
      <c r="Z242" s="69"/>
      <c r="AA242" s="1427" t="str">
        <f t="shared" si="219"/>
        <v/>
      </c>
      <c r="AB242" s="69"/>
      <c r="AC242" s="1427" t="str">
        <f t="shared" si="220"/>
        <v/>
      </c>
      <c r="AD242" s="69"/>
      <c r="AE242" s="1427" t="str">
        <f t="shared" si="221"/>
        <v/>
      </c>
      <c r="AF242" s="69"/>
      <c r="AG242" s="1427" t="str">
        <f t="shared" si="222"/>
        <v/>
      </c>
      <c r="AH242" s="69"/>
      <c r="AI242" s="1427" t="str">
        <f t="shared" si="223"/>
        <v/>
      </c>
      <c r="AJ242" s="69"/>
      <c r="AK242" s="1427" t="str">
        <f t="shared" si="224"/>
        <v/>
      </c>
      <c r="AL242" s="69"/>
      <c r="AM242" s="1323" t="str">
        <f t="shared" si="225"/>
        <v/>
      </c>
      <c r="AN242" s="69"/>
      <c r="AO242" s="1323" t="str">
        <f t="shared" si="226"/>
        <v/>
      </c>
      <c r="AP242" s="69"/>
      <c r="AQ242" s="1323" t="str">
        <f t="shared" si="227"/>
        <v/>
      </c>
      <c r="AR242" s="69"/>
      <c r="AS242" s="1323" t="str">
        <f t="shared" si="228"/>
        <v/>
      </c>
      <c r="AT242" s="69"/>
      <c r="AU242" s="1323" t="str">
        <f t="shared" si="229"/>
        <v/>
      </c>
      <c r="AV242" s="69"/>
      <c r="AW242" s="1536" t="str">
        <f t="shared" si="238"/>
        <v/>
      </c>
      <c r="AX242" s="69"/>
      <c r="AY242" s="1073">
        <f t="shared" si="231"/>
        <v>0</v>
      </c>
      <c r="AZ242" s="1187"/>
      <c r="BA242" s="1187"/>
      <c r="BB242" s="1187"/>
      <c r="BC242" s="677"/>
      <c r="BD242" s="1192"/>
    </row>
    <row r="243" ht="21.75" customHeight="1">
      <c r="A243" s="1109">
        <f t="shared" ref="A243:D243" si="250">A215</f>
        <v>21</v>
      </c>
      <c r="B243" s="1111">
        <f t="shared" si="250"/>
        <v>822</v>
      </c>
      <c r="C243" s="1200" t="str">
        <f t="shared" si="250"/>
        <v>Внеплан</v>
      </c>
      <c r="D243" s="591" t="str">
        <f t="shared" si="250"/>
        <v>Хлеб (197 СПК+ 79 Маркеты)</v>
      </c>
      <c r="E243" s="1485" t="str">
        <f t="shared" si="208"/>
        <v/>
      </c>
      <c r="F243" s="69"/>
      <c r="G243" s="1561" t="str">
        <f t="shared" si="209"/>
        <v/>
      </c>
      <c r="H243" s="69"/>
      <c r="I243" s="1534" t="str">
        <f t="shared" si="210"/>
        <v/>
      </c>
      <c r="J243" s="69"/>
      <c r="K243" s="1485" t="str">
        <f t="shared" si="211"/>
        <v/>
      </c>
      <c r="L243" s="69"/>
      <c r="M243" s="1485" t="str">
        <f t="shared" si="212"/>
        <v/>
      </c>
      <c r="N243" s="69"/>
      <c r="O243" s="1435" t="str">
        <f t="shared" si="213"/>
        <v/>
      </c>
      <c r="P243" s="69"/>
      <c r="Q243" s="1072" t="str">
        <f t="shared" si="214"/>
        <v/>
      </c>
      <c r="R243" s="69"/>
      <c r="S243" s="1072" t="str">
        <f t="shared" si="215"/>
        <v/>
      </c>
      <c r="T243" s="69"/>
      <c r="U243" s="1426" t="str">
        <f t="shared" si="216"/>
        <v/>
      </c>
      <c r="V243" s="69"/>
      <c r="W243" s="1426" t="str">
        <f t="shared" si="217"/>
        <v/>
      </c>
      <c r="X243" s="69"/>
      <c r="Y243" s="1426" t="str">
        <f t="shared" si="218"/>
        <v/>
      </c>
      <c r="Z243" s="69"/>
      <c r="AA243" s="1427" t="str">
        <f t="shared" si="219"/>
        <v/>
      </c>
      <c r="AB243" s="69"/>
      <c r="AC243" s="1427" t="str">
        <f t="shared" si="220"/>
        <v/>
      </c>
      <c r="AD243" s="69"/>
      <c r="AE243" s="1427" t="str">
        <f t="shared" si="221"/>
        <v/>
      </c>
      <c r="AF243" s="69"/>
      <c r="AG243" s="1427" t="str">
        <f t="shared" si="222"/>
        <v/>
      </c>
      <c r="AH243" s="69"/>
      <c r="AI243" s="1427" t="str">
        <f t="shared" si="223"/>
        <v/>
      </c>
      <c r="AJ243" s="69"/>
      <c r="AK243" s="1427" t="str">
        <f t="shared" si="224"/>
        <v/>
      </c>
      <c r="AL243" s="69"/>
      <c r="AM243" s="1323" t="str">
        <f t="shared" si="225"/>
        <v/>
      </c>
      <c r="AN243" s="69"/>
      <c r="AO243" s="1323" t="str">
        <f t="shared" si="226"/>
        <v/>
      </c>
      <c r="AP243" s="69"/>
      <c r="AQ243" s="1323" t="str">
        <f t="shared" si="227"/>
        <v/>
      </c>
      <c r="AR243" s="69"/>
      <c r="AS243" s="1323" t="str">
        <f t="shared" si="228"/>
        <v/>
      </c>
      <c r="AT243" s="69"/>
      <c r="AU243" s="1323" t="str">
        <f t="shared" si="229"/>
        <v/>
      </c>
      <c r="AV243" s="69"/>
      <c r="AW243" s="1536" t="str">
        <f t="shared" si="238"/>
        <v/>
      </c>
      <c r="AX243" s="69"/>
      <c r="AY243" s="1073">
        <f t="shared" si="231"/>
        <v>0</v>
      </c>
      <c r="AZ243" s="1187"/>
      <c r="BA243" s="1187"/>
      <c r="BB243" s="1187"/>
      <c r="BC243" s="677"/>
      <c r="BD243" s="1192"/>
    </row>
    <row r="244" ht="21.75" customHeight="1">
      <c r="A244" s="1109">
        <f t="shared" ref="A244:D244" si="251">A216</f>
        <v>22</v>
      </c>
      <c r="B244" s="1111">
        <f t="shared" si="251"/>
        <v>3527</v>
      </c>
      <c r="C244" s="1200" t="str">
        <f t="shared" si="251"/>
        <v>Выпечка</v>
      </c>
      <c r="D244" s="591" t="str">
        <f t="shared" si="251"/>
        <v>Рулетик с корицей 100 гр</v>
      </c>
      <c r="E244" s="1485" t="str">
        <f t="shared" si="208"/>
        <v/>
      </c>
      <c r="F244" s="69"/>
      <c r="G244" s="1485" t="str">
        <f t="shared" si="209"/>
        <v/>
      </c>
      <c r="H244" s="69"/>
      <c r="I244" s="1534" t="str">
        <f t="shared" si="210"/>
        <v/>
      </c>
      <c r="J244" s="69"/>
      <c r="K244" s="1485" t="str">
        <f t="shared" si="211"/>
        <v/>
      </c>
      <c r="L244" s="69"/>
      <c r="M244" s="1485" t="str">
        <f t="shared" si="212"/>
        <v/>
      </c>
      <c r="N244" s="69"/>
      <c r="O244" s="1072" t="str">
        <f t="shared" si="213"/>
        <v/>
      </c>
      <c r="P244" s="69"/>
      <c r="Q244" s="1072" t="str">
        <f t="shared" si="214"/>
        <v/>
      </c>
      <c r="R244" s="69"/>
      <c r="S244" s="1072" t="str">
        <f t="shared" si="215"/>
        <v/>
      </c>
      <c r="T244" s="69"/>
      <c r="U244" s="1426" t="str">
        <f t="shared" si="216"/>
        <v/>
      </c>
      <c r="V244" s="69"/>
      <c r="W244" s="1426" t="str">
        <f t="shared" si="217"/>
        <v/>
      </c>
      <c r="X244" s="69"/>
      <c r="Y244" s="1426" t="str">
        <f t="shared" si="218"/>
        <v/>
      </c>
      <c r="Z244" s="69"/>
      <c r="AA244" s="1427" t="str">
        <f t="shared" si="219"/>
        <v/>
      </c>
      <c r="AB244" s="69"/>
      <c r="AC244" s="1427" t="str">
        <f t="shared" si="220"/>
        <v/>
      </c>
      <c r="AD244" s="69"/>
      <c r="AE244" s="1427" t="str">
        <f t="shared" si="221"/>
        <v/>
      </c>
      <c r="AF244" s="69"/>
      <c r="AG244" s="1427" t="str">
        <f t="shared" si="222"/>
        <v/>
      </c>
      <c r="AH244" s="69"/>
      <c r="AI244" s="1427" t="str">
        <f t="shared" si="223"/>
        <v/>
      </c>
      <c r="AJ244" s="69"/>
      <c r="AK244" s="1427" t="str">
        <f t="shared" si="224"/>
        <v/>
      </c>
      <c r="AL244" s="69"/>
      <c r="AM244" s="1323" t="str">
        <f t="shared" si="225"/>
        <v/>
      </c>
      <c r="AN244" s="69"/>
      <c r="AO244" s="1323" t="str">
        <f t="shared" si="226"/>
        <v/>
      </c>
      <c r="AP244" s="69"/>
      <c r="AQ244" s="1323" t="str">
        <f t="shared" si="227"/>
        <v/>
      </c>
      <c r="AR244" s="69"/>
      <c r="AS244" s="1323" t="str">
        <f t="shared" si="228"/>
        <v/>
      </c>
      <c r="AT244" s="69"/>
      <c r="AU244" s="1323" t="str">
        <f t="shared" si="229"/>
        <v/>
      </c>
      <c r="AV244" s="69"/>
      <c r="AW244" s="1536" t="str">
        <f t="shared" si="238"/>
        <v/>
      </c>
      <c r="AX244" s="69"/>
      <c r="AY244" s="1073">
        <f t="shared" si="231"/>
        <v>0</v>
      </c>
      <c r="AZ244" s="1187"/>
      <c r="BA244" s="1187"/>
      <c r="BB244" s="1187"/>
      <c r="BC244" s="677"/>
      <c r="BD244" s="1192"/>
    </row>
    <row r="245" ht="21.75" customHeight="1">
      <c r="A245" s="1109">
        <f t="shared" ref="A245:D245" si="252">A217</f>
        <v>23</v>
      </c>
      <c r="B245" s="1111">
        <f t="shared" si="252"/>
        <v>3454</v>
      </c>
      <c r="C245" s="1200" t="str">
        <f t="shared" si="252"/>
        <v>Выпечка</v>
      </c>
      <c r="D245" s="591" t="str">
        <f t="shared" si="252"/>
        <v>Хачапури 100 гр</v>
      </c>
      <c r="E245" s="1485" t="str">
        <f t="shared" si="208"/>
        <v/>
      </c>
      <c r="F245" s="69"/>
      <c r="G245" s="1485" t="str">
        <f t="shared" si="209"/>
        <v/>
      </c>
      <c r="H245" s="69"/>
      <c r="I245" s="1534" t="str">
        <f t="shared" si="210"/>
        <v/>
      </c>
      <c r="J245" s="69"/>
      <c r="K245" s="1485" t="str">
        <f t="shared" si="211"/>
        <v/>
      </c>
      <c r="L245" s="69"/>
      <c r="M245" s="1485" t="str">
        <f t="shared" si="212"/>
        <v/>
      </c>
      <c r="N245" s="69"/>
      <c r="O245" s="1072" t="str">
        <f t="shared" si="213"/>
        <v/>
      </c>
      <c r="P245" s="69"/>
      <c r="Q245" s="1072" t="str">
        <f t="shared" si="214"/>
        <v/>
      </c>
      <c r="R245" s="69"/>
      <c r="S245" s="1072" t="str">
        <f t="shared" si="215"/>
        <v/>
      </c>
      <c r="T245" s="69"/>
      <c r="U245" s="1426" t="str">
        <f t="shared" si="216"/>
        <v/>
      </c>
      <c r="V245" s="69"/>
      <c r="W245" s="1426" t="str">
        <f t="shared" si="217"/>
        <v/>
      </c>
      <c r="X245" s="69"/>
      <c r="Y245" s="1426" t="str">
        <f t="shared" si="218"/>
        <v/>
      </c>
      <c r="Z245" s="69"/>
      <c r="AA245" s="1427" t="str">
        <f t="shared" si="219"/>
        <v/>
      </c>
      <c r="AB245" s="69"/>
      <c r="AC245" s="1427" t="str">
        <f t="shared" si="220"/>
        <v/>
      </c>
      <c r="AD245" s="69"/>
      <c r="AE245" s="1427" t="str">
        <f t="shared" si="221"/>
        <v/>
      </c>
      <c r="AF245" s="69"/>
      <c r="AG245" s="1427" t="str">
        <f t="shared" si="222"/>
        <v/>
      </c>
      <c r="AH245" s="69"/>
      <c r="AI245" s="1427" t="str">
        <f t="shared" si="223"/>
        <v/>
      </c>
      <c r="AJ245" s="69"/>
      <c r="AK245" s="1427" t="str">
        <f t="shared" si="224"/>
        <v/>
      </c>
      <c r="AL245" s="69"/>
      <c r="AM245" s="1323" t="str">
        <f t="shared" si="225"/>
        <v/>
      </c>
      <c r="AN245" s="69"/>
      <c r="AO245" s="1323" t="str">
        <f t="shared" si="226"/>
        <v/>
      </c>
      <c r="AP245" s="69"/>
      <c r="AQ245" s="1323" t="str">
        <f t="shared" si="227"/>
        <v/>
      </c>
      <c r="AR245" s="69"/>
      <c r="AS245" s="1323" t="str">
        <f t="shared" si="228"/>
        <v/>
      </c>
      <c r="AT245" s="69"/>
      <c r="AU245" s="1323" t="str">
        <f t="shared" si="229"/>
        <v/>
      </c>
      <c r="AV245" s="69"/>
      <c r="AW245" s="1536" t="str">
        <f t="shared" si="238"/>
        <v/>
      </c>
      <c r="AX245" s="69"/>
      <c r="AY245" s="1073">
        <f t="shared" si="231"/>
        <v>0</v>
      </c>
      <c r="AZ245" s="1187"/>
      <c r="BA245" s="1187"/>
      <c r="BB245" s="1187"/>
      <c r="BC245" s="677"/>
      <c r="BD245" s="1192"/>
    </row>
    <row r="246" ht="15.75" customHeight="1">
      <c r="A246" s="1109">
        <f t="shared" ref="A246:D246" si="253">A218</f>
        <v>24</v>
      </c>
      <c r="B246" s="1111">
        <f t="shared" si="253"/>
        <v>3411</v>
      </c>
      <c r="C246" s="1200" t="str">
        <f t="shared" si="253"/>
        <v>Внеплан</v>
      </c>
      <c r="D246" s="591" t="str">
        <f t="shared" si="253"/>
        <v>Вафельная трубочка с вареной сгущенкой</v>
      </c>
      <c r="E246" s="1485" t="str">
        <f t="shared" si="208"/>
        <v/>
      </c>
      <c r="F246" s="69"/>
      <c r="G246" s="1485" t="str">
        <f t="shared" si="209"/>
        <v/>
      </c>
      <c r="H246" s="69"/>
      <c r="I246" s="1485" t="str">
        <f t="shared" si="210"/>
        <v/>
      </c>
      <c r="J246" s="69"/>
      <c r="K246" s="1485" t="str">
        <f t="shared" si="211"/>
        <v/>
      </c>
      <c r="L246" s="69"/>
      <c r="M246" s="1485" t="str">
        <f t="shared" si="212"/>
        <v/>
      </c>
      <c r="N246" s="69"/>
      <c r="O246" s="1485" t="str">
        <f t="shared" si="213"/>
        <v/>
      </c>
      <c r="P246" s="69"/>
      <c r="Q246" s="1485" t="str">
        <f t="shared" si="214"/>
        <v/>
      </c>
      <c r="R246" s="69"/>
      <c r="S246" s="1485" t="str">
        <f t="shared" si="215"/>
        <v/>
      </c>
      <c r="T246" s="69"/>
      <c r="U246" s="1485" t="str">
        <f t="shared" si="216"/>
        <v/>
      </c>
      <c r="V246" s="69"/>
      <c r="W246" s="1485" t="str">
        <f t="shared" si="217"/>
        <v/>
      </c>
      <c r="X246" s="69"/>
      <c r="Y246" s="1485" t="str">
        <f t="shared" si="218"/>
        <v/>
      </c>
      <c r="Z246" s="69"/>
      <c r="AA246" s="1485" t="str">
        <f t="shared" si="219"/>
        <v/>
      </c>
      <c r="AB246" s="69"/>
      <c r="AC246" s="1485" t="str">
        <f t="shared" si="220"/>
        <v/>
      </c>
      <c r="AD246" s="69"/>
      <c r="AE246" s="1485" t="str">
        <f t="shared" si="221"/>
        <v/>
      </c>
      <c r="AF246" s="69"/>
      <c r="AG246" s="1485" t="str">
        <f t="shared" si="222"/>
        <v/>
      </c>
      <c r="AH246" s="69"/>
      <c r="AI246" s="1485" t="str">
        <f t="shared" si="223"/>
        <v/>
      </c>
      <c r="AJ246" s="69"/>
      <c r="AK246" s="1485" t="str">
        <f t="shared" si="224"/>
        <v/>
      </c>
      <c r="AL246" s="69"/>
      <c r="AM246" s="1485" t="str">
        <f t="shared" si="225"/>
        <v/>
      </c>
      <c r="AN246" s="69"/>
      <c r="AO246" s="1485" t="str">
        <f t="shared" si="226"/>
        <v/>
      </c>
      <c r="AP246" s="69"/>
      <c r="AQ246" s="1485" t="str">
        <f t="shared" si="227"/>
        <v/>
      </c>
      <c r="AR246" s="69"/>
      <c r="AS246" s="1323" t="str">
        <f t="shared" si="228"/>
        <v/>
      </c>
      <c r="AT246" s="69"/>
      <c r="AU246" s="1323" t="str">
        <f t="shared" si="229"/>
        <v/>
      </c>
      <c r="AV246" s="69"/>
      <c r="AW246" s="1485" t="str">
        <f t="shared" si="238"/>
        <v/>
      </c>
      <c r="AX246" s="69"/>
      <c r="AY246" s="1073">
        <f t="shared" si="231"/>
        <v>0</v>
      </c>
      <c r="AZ246" s="1574"/>
      <c r="BA246" s="1187"/>
      <c r="BB246" s="1187"/>
      <c r="BC246" s="677"/>
      <c r="BD246" s="1192"/>
    </row>
    <row r="247" ht="15.75" customHeight="1">
      <c r="A247" s="1109">
        <f t="shared" ref="A247:D247" si="254">A219</f>
        <v>25</v>
      </c>
      <c r="B247" s="1111">
        <f t="shared" si="254"/>
        <v>2592</v>
      </c>
      <c r="C247" s="1200" t="str">
        <f t="shared" si="254"/>
        <v>Япония</v>
      </c>
      <c r="D247" s="591" t="str">
        <f t="shared" si="254"/>
        <v>СушиРита с лососем 45 шт</v>
      </c>
      <c r="E247" s="1485" t="str">
        <f t="shared" si="208"/>
        <v/>
      </c>
      <c r="F247" s="69"/>
      <c r="G247" s="1485" t="str">
        <f t="shared" si="209"/>
        <v/>
      </c>
      <c r="H247" s="69"/>
      <c r="I247" s="1485" t="str">
        <f t="shared" si="210"/>
        <v/>
      </c>
      <c r="J247" s="69"/>
      <c r="K247" s="1485" t="str">
        <f t="shared" si="211"/>
        <v/>
      </c>
      <c r="L247" s="69"/>
      <c r="M247" s="1485" t="str">
        <f t="shared" si="212"/>
        <v/>
      </c>
      <c r="N247" s="69"/>
      <c r="O247" s="1485" t="str">
        <f t="shared" si="213"/>
        <v/>
      </c>
      <c r="P247" s="69"/>
      <c r="Q247" s="1485" t="str">
        <f t="shared" si="214"/>
        <v/>
      </c>
      <c r="R247" s="69"/>
      <c r="S247" s="1485" t="str">
        <f t="shared" si="215"/>
        <v/>
      </c>
      <c r="T247" s="69"/>
      <c r="U247" s="1485" t="str">
        <f t="shared" si="216"/>
        <v/>
      </c>
      <c r="V247" s="69"/>
      <c r="W247" s="1485" t="str">
        <f t="shared" si="217"/>
        <v/>
      </c>
      <c r="X247" s="69"/>
      <c r="Y247" s="1485" t="str">
        <f t="shared" si="218"/>
        <v/>
      </c>
      <c r="Z247" s="69"/>
      <c r="AA247" s="1485" t="str">
        <f t="shared" si="219"/>
        <v/>
      </c>
      <c r="AB247" s="69"/>
      <c r="AC247" s="1485" t="str">
        <f t="shared" si="220"/>
        <v/>
      </c>
      <c r="AD247" s="69"/>
      <c r="AE247" s="1485" t="str">
        <f t="shared" si="221"/>
        <v/>
      </c>
      <c r="AF247" s="69"/>
      <c r="AG247" s="1485" t="str">
        <f t="shared" si="222"/>
        <v/>
      </c>
      <c r="AH247" s="69"/>
      <c r="AI247" s="1485" t="str">
        <f t="shared" si="223"/>
        <v/>
      </c>
      <c r="AJ247" s="69"/>
      <c r="AK247" s="1485" t="str">
        <f t="shared" si="224"/>
        <v/>
      </c>
      <c r="AL247" s="69"/>
      <c r="AM247" s="1485" t="str">
        <f t="shared" si="225"/>
        <v/>
      </c>
      <c r="AN247" s="69"/>
      <c r="AO247" s="1485" t="str">
        <f t="shared" si="226"/>
        <v/>
      </c>
      <c r="AP247" s="69"/>
      <c r="AQ247" s="1485" t="str">
        <f t="shared" si="227"/>
        <v/>
      </c>
      <c r="AR247" s="69"/>
      <c r="AS247" s="1323" t="str">
        <f t="shared" si="228"/>
        <v/>
      </c>
      <c r="AT247" s="69"/>
      <c r="AU247" s="1323" t="str">
        <f t="shared" si="229"/>
        <v/>
      </c>
      <c r="AV247" s="69"/>
      <c r="AW247" s="1485" t="str">
        <f t="shared" si="238"/>
        <v/>
      </c>
      <c r="AX247" s="69"/>
      <c r="AY247" s="1073">
        <f t="shared" si="231"/>
        <v>0</v>
      </c>
      <c r="AZ247" s="1187"/>
      <c r="BA247" s="1187"/>
      <c r="BB247" s="1187"/>
      <c r="BC247" s="1215"/>
      <c r="BD247" s="1216"/>
    </row>
    <row r="248" ht="15.75" customHeight="1">
      <c r="A248" s="1109" t="str">
        <f t="shared" ref="A248:D248" si="255">A220</f>
        <v/>
      </c>
      <c r="B248" s="1111" t="str">
        <f t="shared" si="255"/>
        <v/>
      </c>
      <c r="C248" s="1200" t="str">
        <f t="shared" si="255"/>
        <v>______________________________________________________________________________________</v>
      </c>
      <c r="D248" s="591" t="str">
        <f t="shared" si="255"/>
        <v/>
      </c>
      <c r="E248" s="1187"/>
      <c r="F248" s="1188"/>
      <c r="G248" s="1187"/>
      <c r="H248" s="1188"/>
      <c r="I248" s="1187"/>
      <c r="J248" s="1188"/>
      <c r="K248" s="1485" t="str">
        <f t="shared" si="211"/>
        <v/>
      </c>
      <c r="L248" s="69"/>
      <c r="M248" s="1187"/>
      <c r="N248" s="1187"/>
      <c r="U248" s="1189"/>
      <c r="W248" s="1189"/>
      <c r="Y248" s="1190"/>
      <c r="AA248" s="1190"/>
      <c r="AG248" s="701"/>
      <c r="AI248" s="701"/>
      <c r="AY248" s="1073">
        <f t="shared" si="231"/>
        <v>0</v>
      </c>
      <c r="AZ248" s="1187"/>
      <c r="BA248" s="1187"/>
      <c r="BB248" s="1187"/>
      <c r="BC248" s="677"/>
      <c r="BD248" s="677"/>
    </row>
    <row r="249" ht="15.75" customHeight="1">
      <c r="A249" s="1002"/>
      <c r="B249" s="1195"/>
      <c r="C249" s="1178"/>
      <c r="D249" s="677"/>
      <c r="E249" s="1187"/>
      <c r="F249" s="1188"/>
      <c r="G249" s="1187"/>
      <c r="H249" s="1188"/>
      <c r="I249" s="1187"/>
      <c r="J249" s="1188"/>
      <c r="K249" s="547"/>
      <c r="L249" s="547"/>
      <c r="M249" s="1187"/>
      <c r="N249" s="1187"/>
      <c r="U249" s="1189"/>
      <c r="W249" s="1189"/>
      <c r="Y249" s="1190"/>
      <c r="AA249" s="1190"/>
      <c r="AG249" s="701"/>
      <c r="AI249" s="701"/>
      <c r="AW249" s="1536" t="str">
        <f>AX221</f>
        <v>ИТОГО</v>
      </c>
      <c r="AX249" s="69"/>
      <c r="AY249" s="1073">
        <f t="shared" si="231"/>
        <v>0</v>
      </c>
      <c r="AZ249" s="1187"/>
      <c r="BA249" s="1187"/>
      <c r="BB249" s="1187"/>
      <c r="BC249" s="677"/>
      <c r="BD249" s="677"/>
    </row>
    <row r="250" ht="15.75" customHeight="1">
      <c r="A250" s="1002"/>
      <c r="B250" s="1195"/>
      <c r="C250" s="1178"/>
      <c r="D250" s="677"/>
      <c r="E250" s="1187"/>
      <c r="F250" s="1188"/>
      <c r="G250" s="1187"/>
      <c r="H250" s="1188"/>
      <c r="I250" s="1187"/>
      <c r="J250" s="1188"/>
      <c r="K250" s="547"/>
      <c r="L250" s="547"/>
      <c r="M250" s="1187"/>
      <c r="N250" s="1187"/>
      <c r="U250" s="1189"/>
      <c r="W250" s="1189"/>
      <c r="Y250" s="1190"/>
      <c r="AA250" s="1190"/>
      <c r="AG250" s="701"/>
      <c r="AI250" s="701"/>
      <c r="AW250" s="1575"/>
      <c r="AX250" s="1575"/>
      <c r="AY250" s="11"/>
      <c r="AZ250" s="1187"/>
      <c r="BA250" s="1187"/>
      <c r="BB250" s="1187"/>
      <c r="BC250" s="677"/>
      <c r="BD250" s="677"/>
    </row>
    <row r="251" ht="15.75" customHeight="1">
      <c r="A251" s="1004"/>
      <c r="B251" s="1004"/>
      <c r="C251" s="1005"/>
      <c r="D251" s="977"/>
      <c r="E251" s="1007"/>
      <c r="F251" s="677"/>
      <c r="G251" s="1007"/>
      <c r="H251" s="677"/>
      <c r="I251" s="1007"/>
      <c r="J251" s="677"/>
      <c r="K251" s="1007"/>
      <c r="L251" s="677"/>
      <c r="M251" s="1007"/>
      <c r="N251" s="13"/>
      <c r="O251" s="1007"/>
      <c r="P251" s="677"/>
      <c r="U251" s="1012"/>
      <c r="W251" s="1012"/>
      <c r="Y251" s="63"/>
      <c r="AA251" s="63"/>
      <c r="AG251" s="1014"/>
      <c r="AI251" s="1014"/>
      <c r="AY251" s="977"/>
    </row>
    <row r="252" ht="15.75" customHeight="1">
      <c r="A252" s="1018" t="s">
        <v>1279</v>
      </c>
      <c r="B252" s="1019"/>
      <c r="C252" s="1577">
        <v>45967.0</v>
      </c>
      <c r="D252" s="1022" t="s">
        <v>1860</v>
      </c>
      <c r="E252" s="1476"/>
      <c r="F252" s="1477"/>
      <c r="G252" s="1478"/>
      <c r="H252" s="1230"/>
      <c r="I252" s="1231" t="s">
        <v>3041</v>
      </c>
      <c r="J252" s="1230"/>
      <c r="K252" s="1231"/>
      <c r="L252" s="1230"/>
      <c r="M252" s="1231"/>
      <c r="N252" s="1231"/>
      <c r="O252" s="1231" t="s">
        <v>10</v>
      </c>
      <c r="P252" s="1233" t="s">
        <v>3042</v>
      </c>
      <c r="Q252" s="1479"/>
      <c r="R252" s="1479"/>
      <c r="S252" s="1479"/>
      <c r="T252" s="1479"/>
      <c r="U252" s="1479"/>
      <c r="V252" s="1479"/>
      <c r="W252" s="1479"/>
      <c r="X252" s="1479"/>
      <c r="Y252" s="1479"/>
      <c r="Z252" s="1479"/>
      <c r="AA252" s="1479"/>
      <c r="AB252" s="1479"/>
      <c r="AC252" s="1479"/>
      <c r="AD252" s="1479"/>
      <c r="AE252" s="1479"/>
      <c r="AF252" s="1479"/>
      <c r="AG252" s="1479"/>
      <c r="AH252" s="1479"/>
      <c r="AI252" s="1479"/>
      <c r="AJ252" s="1479"/>
      <c r="AK252" s="1479"/>
      <c r="AL252" s="1479"/>
      <c r="AM252" s="1479"/>
      <c r="AN252" s="1479"/>
      <c r="AO252" s="1479"/>
      <c r="AP252" s="1479"/>
      <c r="AQ252" s="1479"/>
      <c r="AR252" s="1479"/>
      <c r="AS252" s="1479"/>
      <c r="AT252" s="1479"/>
      <c r="AU252" s="1479"/>
      <c r="AV252" s="1479"/>
      <c r="AW252" s="1479"/>
      <c r="AX252" s="1479"/>
      <c r="AY252" s="1479"/>
      <c r="AZ252" s="1235"/>
      <c r="BA252" s="1235"/>
      <c r="BB252" s="1235"/>
      <c r="BC252" s="1230"/>
      <c r="BD252" s="1237"/>
    </row>
    <row r="253" ht="15.75" customHeight="1">
      <c r="A253" s="1048" t="s">
        <v>10</v>
      </c>
      <c r="B253" s="1049" t="s">
        <v>1283</v>
      </c>
      <c r="C253" s="1051" t="s">
        <v>1284</v>
      </c>
      <c r="D253" s="1053" t="s">
        <v>471</v>
      </c>
      <c r="E253" s="1480" t="s">
        <v>1285</v>
      </c>
      <c r="F253" s="1481" t="s">
        <v>1286</v>
      </c>
      <c r="G253" s="1482" t="s">
        <v>1287</v>
      </c>
      <c r="H253" s="1167" t="s">
        <v>1288</v>
      </c>
      <c r="I253" s="1578" t="s">
        <v>1289</v>
      </c>
      <c r="J253" s="1579" t="s">
        <v>1290</v>
      </c>
      <c r="K253" s="1073" t="s">
        <v>1291</v>
      </c>
      <c r="L253" s="1483" t="s">
        <v>1292</v>
      </c>
      <c r="M253" s="1073" t="s">
        <v>1293</v>
      </c>
      <c r="N253" s="1484" t="s">
        <v>1294</v>
      </c>
      <c r="O253" s="1073" t="s">
        <v>1295</v>
      </c>
      <c r="P253" s="1484" t="s">
        <v>1296</v>
      </c>
      <c r="Q253" s="1581" t="s">
        <v>1297</v>
      </c>
      <c r="R253" s="1486" t="s">
        <v>3043</v>
      </c>
      <c r="S253" s="1487" t="s">
        <v>1299</v>
      </c>
      <c r="T253" s="1486" t="s">
        <v>1300</v>
      </c>
      <c r="U253" s="1427" t="s">
        <v>1301</v>
      </c>
      <c r="V253" s="1486" t="s">
        <v>1302</v>
      </c>
      <c r="W253" s="1427" t="s">
        <v>1303</v>
      </c>
      <c r="X253" s="1486" t="s">
        <v>1304</v>
      </c>
      <c r="Y253" s="1427" t="s">
        <v>1305</v>
      </c>
      <c r="Z253" s="1486" t="s">
        <v>1306</v>
      </c>
      <c r="AA253" s="1487" t="s">
        <v>1307</v>
      </c>
      <c r="AB253" s="1486" t="s">
        <v>1308</v>
      </c>
      <c r="AC253" s="1487" t="s">
        <v>1309</v>
      </c>
      <c r="AD253" s="1070" t="s">
        <v>1310</v>
      </c>
      <c r="AE253" s="1488" t="s">
        <v>1311</v>
      </c>
      <c r="AF253" s="1070" t="s">
        <v>1312</v>
      </c>
      <c r="AG253" s="1489" t="s">
        <v>1313</v>
      </c>
      <c r="AH253" s="1070" t="s">
        <v>1314</v>
      </c>
      <c r="AI253" s="1582" t="s">
        <v>1315</v>
      </c>
      <c r="AJ253" s="1070" t="s">
        <v>1316</v>
      </c>
      <c r="AK253" s="1488" t="s">
        <v>1317</v>
      </c>
      <c r="AL253" s="1070" t="s">
        <v>1318</v>
      </c>
      <c r="AM253" s="1582" t="s">
        <v>1319</v>
      </c>
      <c r="AN253" s="1070" t="s">
        <v>1320</v>
      </c>
      <c r="AO253" s="1582" t="s">
        <v>1321</v>
      </c>
      <c r="AP253" s="1070" t="s">
        <v>1322</v>
      </c>
      <c r="AQ253" s="1069" t="s">
        <v>1323</v>
      </c>
      <c r="AR253" s="1070" t="s">
        <v>1324</v>
      </c>
      <c r="AS253" s="1069" t="s">
        <v>1325</v>
      </c>
      <c r="AT253" s="1070" t="s">
        <v>1326</v>
      </c>
      <c r="AU253" s="1069" t="s">
        <v>1329</v>
      </c>
      <c r="AV253" s="1070" t="s">
        <v>1330</v>
      </c>
      <c r="AW253" s="1489" t="s">
        <v>3045</v>
      </c>
      <c r="AX253" s="1583" t="s">
        <v>297</v>
      </c>
      <c r="AY253" s="1072" t="s">
        <v>1331</v>
      </c>
      <c r="AZ253" s="1073" t="s">
        <v>1332</v>
      </c>
      <c r="BA253" s="1073"/>
      <c r="BB253" s="1073"/>
      <c r="BC253" s="1073" t="s">
        <v>1334</v>
      </c>
      <c r="BD253" s="1076" t="s">
        <v>1335</v>
      </c>
    </row>
    <row r="254" ht="15.75" customHeight="1">
      <c r="A254" s="1109">
        <v>1.0</v>
      </c>
      <c r="B254" s="1584">
        <v>3144.0</v>
      </c>
      <c r="C254" s="1115" t="str">
        <f t="shared" ref="C254:C256" si="256">C196</f>
        <v>Завтрак </v>
      </c>
      <c r="D254" s="1118" t="str">
        <f>'Матрица 4 недели'!D182</f>
        <v>Омлет с ветчиной</v>
      </c>
      <c r="E254" s="1411">
        <v>10.0</v>
      </c>
      <c r="F254" s="1167">
        <v>11.0</v>
      </c>
      <c r="G254" s="1075">
        <v>5.0</v>
      </c>
      <c r="H254" s="1167">
        <v>5.0</v>
      </c>
      <c r="I254" s="1075">
        <v>3.0</v>
      </c>
      <c r="J254" s="1167">
        <v>3.0</v>
      </c>
      <c r="K254" s="1075">
        <v>10.0</v>
      </c>
      <c r="L254" s="1167">
        <v>10.0</v>
      </c>
      <c r="M254" s="1075">
        <v>7.0</v>
      </c>
      <c r="N254" s="1167">
        <v>7.0</v>
      </c>
      <c r="O254" s="1075">
        <v>3.0</v>
      </c>
      <c r="P254" s="1412">
        <v>4.0</v>
      </c>
      <c r="Q254" s="1075">
        <v>3.0</v>
      </c>
      <c r="R254" s="1412">
        <v>3.0</v>
      </c>
      <c r="S254" s="1411">
        <v>3.0</v>
      </c>
      <c r="T254" s="1412">
        <v>4.0</v>
      </c>
      <c r="U254" s="1411">
        <v>4.0</v>
      </c>
      <c r="V254" s="1412">
        <v>4.0</v>
      </c>
      <c r="W254" s="1411">
        <v>10.0</v>
      </c>
      <c r="X254" s="1412">
        <v>10.0</v>
      </c>
      <c r="Y254" s="1413">
        <v>4.0</v>
      </c>
      <c r="Z254" s="1412">
        <v>4.0</v>
      </c>
      <c r="AA254" s="1413">
        <v>2.0</v>
      </c>
      <c r="AB254" s="1412">
        <v>2.0</v>
      </c>
      <c r="AC254" s="1413">
        <v>5.0</v>
      </c>
      <c r="AD254" s="1412">
        <v>5.0</v>
      </c>
      <c r="AE254" s="1411">
        <v>7.0</v>
      </c>
      <c r="AF254" s="1412">
        <v>7.0</v>
      </c>
      <c r="AG254" s="1413">
        <v>2.0</v>
      </c>
      <c r="AH254" s="1412">
        <v>2.0</v>
      </c>
      <c r="AI254" s="1413">
        <v>3.0</v>
      </c>
      <c r="AJ254" s="1412">
        <v>3.0</v>
      </c>
      <c r="AK254" s="1411">
        <v>3.0</v>
      </c>
      <c r="AL254" s="1168">
        <v>3.0</v>
      </c>
      <c r="AM254" s="1411">
        <v>2.0</v>
      </c>
      <c r="AN254" s="1412">
        <v>2.0</v>
      </c>
      <c r="AO254" s="1411">
        <v>2.0</v>
      </c>
      <c r="AP254" s="1168">
        <v>2.0</v>
      </c>
      <c r="AQ254" s="1411">
        <v>10.0</v>
      </c>
      <c r="AR254" s="1167">
        <v>12.0</v>
      </c>
      <c r="AS254" s="1075">
        <v>2.0</v>
      </c>
      <c r="AT254" s="1167">
        <v>2.0</v>
      </c>
      <c r="AU254" s="1075">
        <v>8.0</v>
      </c>
      <c r="AV254" s="1167">
        <v>8.0</v>
      </c>
      <c r="AW254" s="1411"/>
      <c r="AX254" s="1167"/>
      <c r="AY254" s="1129">
        <f t="shared" ref="AY254:AY281" si="257">(E254+G254+I254+K254+M254+O254+Q254+S254+U254+W254+Y254+AA254+AC254+AE254+AG254+AI254+AK254+AM254+AW254+AO254+AQ254+AS254+AU254)+1</f>
        <v>109</v>
      </c>
      <c r="AZ254" s="1095">
        <f t="shared" ref="AZ254:AZ281" si="258">F254+H254+J254+L254+N254+P254+R254+T254+V254+X254+Z254+AD254+AB254+AF254+AH254+AJ254+AL254+AR254+AX254+AN254+AP254+AT254+AV254</f>
        <v>113</v>
      </c>
      <c r="BA254" s="1095"/>
      <c r="BB254" s="1095"/>
      <c r="BC254" s="591">
        <v>0.1</v>
      </c>
      <c r="BD254" s="1099">
        <f>AY254*BC254</f>
        <v>10.9</v>
      </c>
    </row>
    <row r="255" ht="15.75" customHeight="1">
      <c r="A255" s="1130">
        <v>2.0</v>
      </c>
      <c r="B255" s="1584">
        <v>1076.0</v>
      </c>
      <c r="C255" s="1115" t="str">
        <f t="shared" si="256"/>
        <v>Завтрак </v>
      </c>
      <c r="D255" s="1118" t="str">
        <f>'Матрица 4 недели'!D183</f>
        <v>Сырники со сметаной</v>
      </c>
      <c r="E255" s="1284">
        <v>10.0</v>
      </c>
      <c r="F255" s="1288">
        <v>12.0</v>
      </c>
      <c r="G255" s="1284">
        <v>3.0</v>
      </c>
      <c r="H255" s="1288">
        <v>3.0</v>
      </c>
      <c r="I255" s="1284">
        <v>4.0</v>
      </c>
      <c r="J255" s="1288">
        <v>4.0</v>
      </c>
      <c r="K255" s="1286">
        <v>10.0</v>
      </c>
      <c r="L255" s="1288">
        <v>10.0</v>
      </c>
      <c r="M255" s="1284">
        <v>7.0</v>
      </c>
      <c r="N255" s="1288">
        <v>7.0</v>
      </c>
      <c r="O255" s="1286">
        <v>3.0</v>
      </c>
      <c r="P255" s="1142">
        <v>3.0</v>
      </c>
      <c r="Q255" s="1286">
        <v>3.0</v>
      </c>
      <c r="R255" s="1142">
        <v>3.0</v>
      </c>
      <c r="S255" s="1290">
        <v>5.0</v>
      </c>
      <c r="T255" s="1142">
        <v>6.0</v>
      </c>
      <c r="U255" s="1287">
        <v>4.0</v>
      </c>
      <c r="V255" s="1588">
        <v>5.0</v>
      </c>
      <c r="W255" s="1290">
        <v>10.0</v>
      </c>
      <c r="X255" s="1289">
        <v>10.0</v>
      </c>
      <c r="Y255" s="1295">
        <v>4.0</v>
      </c>
      <c r="Z255" s="1142">
        <v>4.0</v>
      </c>
      <c r="AA255" s="1297">
        <v>3.0</v>
      </c>
      <c r="AB255" s="1296">
        <v>5.0</v>
      </c>
      <c r="AC255" s="1290">
        <v>6.0</v>
      </c>
      <c r="AD255" s="1289">
        <v>8.0</v>
      </c>
      <c r="AE255" s="1297">
        <v>8.0</v>
      </c>
      <c r="AF255" s="1289">
        <v>10.0</v>
      </c>
      <c r="AG255" s="1120">
        <v>3.0</v>
      </c>
      <c r="AH255" s="1289">
        <v>3.0</v>
      </c>
      <c r="AI255" s="1290">
        <v>3.0</v>
      </c>
      <c r="AJ255" s="1289">
        <v>3.0</v>
      </c>
      <c r="AK255" s="1120">
        <v>3.0</v>
      </c>
      <c r="AL255" s="1131">
        <v>3.0</v>
      </c>
      <c r="AM255" s="1120">
        <v>2.0</v>
      </c>
      <c r="AN255" s="1167">
        <v>2.0</v>
      </c>
      <c r="AO255" s="1413">
        <v>4.0</v>
      </c>
      <c r="AP255" s="1168">
        <v>4.0</v>
      </c>
      <c r="AQ255" s="1413">
        <v>10.0</v>
      </c>
      <c r="AR255" s="1167">
        <v>10.0</v>
      </c>
      <c r="AS255" s="1075">
        <v>0.0</v>
      </c>
      <c r="AT255" s="1167"/>
      <c r="AU255" s="1075">
        <v>8.0</v>
      </c>
      <c r="AV255" s="1167">
        <v>8.0</v>
      </c>
      <c r="AW255" s="1413"/>
      <c r="AX255" s="1167"/>
      <c r="AY255" s="1292">
        <f t="shared" si="257"/>
        <v>114</v>
      </c>
      <c r="AZ255" s="1144">
        <f t="shared" si="258"/>
        <v>123</v>
      </c>
      <c r="BA255" s="1095"/>
      <c r="BB255" s="1095"/>
      <c r="BC255" s="591"/>
      <c r="BD255" s="1099"/>
    </row>
    <row r="256" ht="15.75" customHeight="1">
      <c r="A256" s="1109">
        <v>3.0</v>
      </c>
      <c r="B256" s="1584">
        <v>1287.0</v>
      </c>
      <c r="C256" s="1115" t="str">
        <f t="shared" si="256"/>
        <v>Завтрак </v>
      </c>
      <c r="D256" s="1118" t="str">
        <f>'Матрица 4 недели'!D184</f>
        <v>Каша пшенная (на молоке)</v>
      </c>
      <c r="E256" s="1284">
        <v>15.0</v>
      </c>
      <c r="F256" s="1288">
        <v>15.0</v>
      </c>
      <c r="G256" s="1284">
        <v>6.0</v>
      </c>
      <c r="H256" s="1288">
        <v>6.0</v>
      </c>
      <c r="I256" s="1284">
        <v>5.0</v>
      </c>
      <c r="J256" s="1288">
        <v>5.0</v>
      </c>
      <c r="K256" s="1286">
        <v>15.0</v>
      </c>
      <c r="L256" s="1288">
        <v>15.0</v>
      </c>
      <c r="M256" s="1284">
        <v>7.0</v>
      </c>
      <c r="N256" s="1288">
        <v>8.0</v>
      </c>
      <c r="O256" s="1284">
        <v>3.0</v>
      </c>
      <c r="P256" s="1142">
        <v>4.0</v>
      </c>
      <c r="Q256" s="1286">
        <v>3.0</v>
      </c>
      <c r="R256" s="1142">
        <v>3.0</v>
      </c>
      <c r="S256" s="1290">
        <v>4.0</v>
      </c>
      <c r="T256" s="1142">
        <v>4.0</v>
      </c>
      <c r="U256" s="1287">
        <v>4.0</v>
      </c>
      <c r="V256" s="1288">
        <v>6.0</v>
      </c>
      <c r="W256" s="1290">
        <v>10.0</v>
      </c>
      <c r="X256" s="1289">
        <v>10.0</v>
      </c>
      <c r="Y256" s="1295">
        <v>4.0</v>
      </c>
      <c r="Z256" s="1142">
        <v>4.0</v>
      </c>
      <c r="AA256" s="1297">
        <v>3.0</v>
      </c>
      <c r="AB256" s="1140">
        <v>4.0</v>
      </c>
      <c r="AC256" s="1290">
        <v>4.0</v>
      </c>
      <c r="AD256" s="1289">
        <v>5.0</v>
      </c>
      <c r="AE256" s="1297">
        <v>8.0</v>
      </c>
      <c r="AF256" s="1289">
        <v>8.0</v>
      </c>
      <c r="AG256" s="1120">
        <v>5.0</v>
      </c>
      <c r="AH256" s="1289">
        <v>5.0</v>
      </c>
      <c r="AI256" s="1290">
        <v>6.0</v>
      </c>
      <c r="AJ256" s="1289">
        <v>6.0</v>
      </c>
      <c r="AK256" s="1120">
        <v>3.0</v>
      </c>
      <c r="AL256" s="1167">
        <v>3.0</v>
      </c>
      <c r="AM256" s="1413">
        <v>3.0</v>
      </c>
      <c r="AN256" s="1167">
        <v>3.0</v>
      </c>
      <c r="AO256" s="1075">
        <v>3.0</v>
      </c>
      <c r="AP256" s="1167">
        <v>3.0</v>
      </c>
      <c r="AQ256" s="1075">
        <v>15.0</v>
      </c>
      <c r="AR256" s="1167">
        <v>15.0</v>
      </c>
      <c r="AS256" s="1075">
        <v>4.0</v>
      </c>
      <c r="AT256" s="1167">
        <v>4.0</v>
      </c>
      <c r="AU256" s="1075">
        <v>8.0</v>
      </c>
      <c r="AV256" s="1167">
        <v>8.0</v>
      </c>
      <c r="AW256" s="1413"/>
      <c r="AX256" s="1167"/>
      <c r="AY256" s="1292">
        <f t="shared" si="257"/>
        <v>139</v>
      </c>
      <c r="AZ256" s="1144">
        <f t="shared" si="258"/>
        <v>144</v>
      </c>
      <c r="BA256" s="1095"/>
      <c r="BB256" s="1095"/>
      <c r="BC256" s="591"/>
      <c r="BD256" s="1099"/>
    </row>
    <row r="257" ht="15.75" customHeight="1">
      <c r="A257" s="1109">
        <v>4.0</v>
      </c>
      <c r="B257" s="1584"/>
      <c r="C257" s="1200" t="str">
        <f>'Матрица 4 недели'!D145</f>
        <v>Завтрак </v>
      </c>
      <c r="D257" s="591" t="str">
        <f>'Матрица 4 недели'!D185</f>
        <v/>
      </c>
      <c r="E257" s="1284"/>
      <c r="F257" s="1288"/>
      <c r="G257" s="1284"/>
      <c r="H257" s="1288"/>
      <c r="I257" s="1284"/>
      <c r="J257" s="1288"/>
      <c r="K257" s="1286"/>
      <c r="L257" s="1288"/>
      <c r="M257" s="1284"/>
      <c r="N257" s="1288"/>
      <c r="O257" s="1284"/>
      <c r="P257" s="1142"/>
      <c r="Q257" s="1286"/>
      <c r="R257" s="1142"/>
      <c r="S257" s="1290"/>
      <c r="T257" s="1142"/>
      <c r="U257" s="1287"/>
      <c r="V257" s="1288"/>
      <c r="W257" s="1290"/>
      <c r="X257" s="1289"/>
      <c r="Y257" s="1295"/>
      <c r="Z257" s="1142"/>
      <c r="AA257" s="1297"/>
      <c r="AB257" s="1140"/>
      <c r="AC257" s="1290"/>
      <c r="AD257" s="1289"/>
      <c r="AE257" s="1297"/>
      <c r="AF257" s="1289"/>
      <c r="AG257" s="1120"/>
      <c r="AH257" s="1289"/>
      <c r="AI257" s="1290"/>
      <c r="AJ257" s="1289"/>
      <c r="AK257" s="1120"/>
      <c r="AL257" s="1167"/>
      <c r="AM257" s="1413"/>
      <c r="AN257" s="1167"/>
      <c r="AO257" s="1075"/>
      <c r="AP257" s="1167"/>
      <c r="AQ257" s="1075"/>
      <c r="AR257" s="1167"/>
      <c r="AS257" s="1075"/>
      <c r="AT257" s="1167"/>
      <c r="AU257" s="1075"/>
      <c r="AV257" s="1167"/>
      <c r="AW257" s="1413"/>
      <c r="AX257" s="1167"/>
      <c r="AY257" s="1292">
        <f t="shared" si="257"/>
        <v>1</v>
      </c>
      <c r="AZ257" s="1144">
        <f t="shared" si="258"/>
        <v>0</v>
      </c>
      <c r="BA257" s="1095"/>
      <c r="BB257" s="1095"/>
      <c r="BC257" s="591"/>
      <c r="BD257" s="1099"/>
    </row>
    <row r="258" ht="15.75" customHeight="1">
      <c r="A258" s="1130">
        <v>5.0</v>
      </c>
      <c r="B258" s="1584">
        <v>3067.0</v>
      </c>
      <c r="C258" s="1115" t="str">
        <f t="shared" ref="C258:C260" si="259">C199</f>
        <v>Салат</v>
      </c>
      <c r="D258" s="1118" t="str">
        <f>'Матрица 4 недели'!G182</f>
        <v>Салат ''Зимний'' (колбаса варен)</v>
      </c>
      <c r="E258" s="1284">
        <v>18.0</v>
      </c>
      <c r="F258" s="1285">
        <v>18.0</v>
      </c>
      <c r="G258" s="1284">
        <v>2.0</v>
      </c>
      <c r="H258" s="1285">
        <v>2.0</v>
      </c>
      <c r="I258" s="1284">
        <v>2.0</v>
      </c>
      <c r="J258" s="1285">
        <v>3.0</v>
      </c>
      <c r="K258" s="1286">
        <v>20.0</v>
      </c>
      <c r="L258" s="1285">
        <v>22.0</v>
      </c>
      <c r="M258" s="1284">
        <v>6.0</v>
      </c>
      <c r="N258" s="1285">
        <v>8.0</v>
      </c>
      <c r="O258" s="1286">
        <v>4.0</v>
      </c>
      <c r="P258" s="1142">
        <v>4.0</v>
      </c>
      <c r="Q258" s="1286">
        <v>4.0</v>
      </c>
      <c r="R258" s="1142">
        <v>4.0</v>
      </c>
      <c r="S258" s="1290">
        <v>4.0</v>
      </c>
      <c r="T258" s="1142">
        <v>5.0</v>
      </c>
      <c r="U258" s="1287">
        <v>6.0</v>
      </c>
      <c r="V258" s="1588">
        <v>6.0</v>
      </c>
      <c r="W258" s="1290">
        <v>10.0</v>
      </c>
      <c r="X258" s="1289">
        <v>10.0</v>
      </c>
      <c r="Y258" s="1295">
        <v>9.0</v>
      </c>
      <c r="Z258" s="1142">
        <v>9.0</v>
      </c>
      <c r="AA258" s="1297">
        <v>5.0</v>
      </c>
      <c r="AB258" s="1296">
        <v>6.0</v>
      </c>
      <c r="AC258" s="1290">
        <v>8.0</v>
      </c>
      <c r="AD258" s="1289">
        <v>8.0</v>
      </c>
      <c r="AE258" s="1297">
        <v>4.0</v>
      </c>
      <c r="AF258" s="1289">
        <v>5.0</v>
      </c>
      <c r="AG258" s="1120">
        <v>4.0</v>
      </c>
      <c r="AH258" s="1289">
        <v>4.0</v>
      </c>
      <c r="AI258" s="1290">
        <v>2.0</v>
      </c>
      <c r="AJ258" s="1289">
        <v>2.0</v>
      </c>
      <c r="AK258" s="1120">
        <v>5.0</v>
      </c>
      <c r="AL258" s="1131">
        <v>5.0</v>
      </c>
      <c r="AM258" s="1120">
        <v>4.0</v>
      </c>
      <c r="AN258" s="1167">
        <v>4.0</v>
      </c>
      <c r="AO258" s="1413">
        <v>6.0</v>
      </c>
      <c r="AP258" s="1168">
        <v>6.0</v>
      </c>
      <c r="AQ258" s="1075">
        <v>15.0</v>
      </c>
      <c r="AR258" s="1167">
        <v>15.0</v>
      </c>
      <c r="AS258" s="1075">
        <v>4.0</v>
      </c>
      <c r="AT258" s="1167">
        <v>4.0</v>
      </c>
      <c r="AU258" s="1075">
        <v>8.0</v>
      </c>
      <c r="AV258" s="1167">
        <v>8.0</v>
      </c>
      <c r="AW258" s="1598">
        <v>70.0</v>
      </c>
      <c r="AX258" s="1167"/>
      <c r="AY258" s="1292">
        <f t="shared" si="257"/>
        <v>221</v>
      </c>
      <c r="AZ258" s="1144">
        <f t="shared" si="258"/>
        <v>158</v>
      </c>
      <c r="BA258" s="1095"/>
      <c r="BB258" s="1095"/>
      <c r="BC258" s="591">
        <v>0.1</v>
      </c>
      <c r="BD258" s="1099">
        <f t="shared" ref="BD258:BD260" si="260">AY258*BC258</f>
        <v>22.1</v>
      </c>
    </row>
    <row r="259" ht="15.75" customHeight="1">
      <c r="A259" s="1109">
        <v>6.0</v>
      </c>
      <c r="B259" s="1584">
        <v>2070.0</v>
      </c>
      <c r="C259" s="1115" t="str">
        <f t="shared" si="259"/>
        <v>Салат</v>
      </c>
      <c r="D259" s="1118" t="str">
        <f>'Матрица 4 недели'!G183</f>
        <v>Салат ''Морковь по-корейски'' 120 г</v>
      </c>
      <c r="E259" s="1284">
        <v>8.0</v>
      </c>
      <c r="F259" s="1285"/>
      <c r="G259" s="1290">
        <v>2.0</v>
      </c>
      <c r="H259" s="1285">
        <v>2.0</v>
      </c>
      <c r="I259" s="1284"/>
      <c r="J259" s="1285"/>
      <c r="K259" s="1286">
        <v>15.0</v>
      </c>
      <c r="L259" s="1285"/>
      <c r="M259" s="1286">
        <v>5.0</v>
      </c>
      <c r="N259" s="1285"/>
      <c r="O259" s="1286">
        <v>4.0</v>
      </c>
      <c r="P259" s="1142"/>
      <c r="Q259" s="1286"/>
      <c r="R259" s="1142"/>
      <c r="S259" s="1290"/>
      <c r="T259" s="1142"/>
      <c r="U259" s="1286"/>
      <c r="V259" s="1142"/>
      <c r="W259" s="1290"/>
      <c r="X259" s="1289"/>
      <c r="Y259" s="1295"/>
      <c r="Z259" s="1142"/>
      <c r="AA259" s="1297"/>
      <c r="AB259" s="1140"/>
      <c r="AC259" s="1290"/>
      <c r="AD259" s="1289"/>
      <c r="AE259" s="1297"/>
      <c r="AF259" s="1289"/>
      <c r="AG259" s="1120"/>
      <c r="AH259" s="1289"/>
      <c r="AI259" s="1290"/>
      <c r="AJ259" s="1289"/>
      <c r="AK259" s="1120"/>
      <c r="AL259" s="1167"/>
      <c r="AM259" s="1413"/>
      <c r="AN259" s="1167"/>
      <c r="AO259" s="1075"/>
      <c r="AP259" s="1167"/>
      <c r="AQ259" s="1075">
        <v>10.0</v>
      </c>
      <c r="AR259" s="1167">
        <v>10.0</v>
      </c>
      <c r="AS259" s="1075"/>
      <c r="AT259" s="1167"/>
      <c r="AU259" s="1075"/>
      <c r="AV259" s="1167"/>
      <c r="AW259" s="1598">
        <v>35.0</v>
      </c>
      <c r="AX259" s="1167"/>
      <c r="AY259" s="1292">
        <f t="shared" si="257"/>
        <v>80</v>
      </c>
      <c r="AZ259" s="1144">
        <f t="shared" si="258"/>
        <v>12</v>
      </c>
      <c r="BA259" s="1095"/>
      <c r="BB259" s="1095"/>
      <c r="BC259" s="591">
        <v>0.1</v>
      </c>
      <c r="BD259" s="1099">
        <f t="shared" si="260"/>
        <v>8</v>
      </c>
    </row>
    <row r="260" ht="15.75" customHeight="1">
      <c r="A260" s="1109">
        <v>7.0</v>
      </c>
      <c r="B260" s="1584">
        <v>3173.0</v>
      </c>
      <c r="C260" s="1115" t="str">
        <f t="shared" si="259"/>
        <v>Салат</v>
      </c>
      <c r="D260" s="1118" t="str">
        <f>'Матрица 4 недели'!G184</f>
        <v>Закуска с селёдкой 120 г</v>
      </c>
      <c r="E260" s="1120">
        <v>10.0</v>
      </c>
      <c r="F260" s="1121">
        <v>18.0</v>
      </c>
      <c r="G260" s="1126">
        <v>2.0</v>
      </c>
      <c r="H260" s="1121">
        <v>2.0</v>
      </c>
      <c r="I260" s="1126">
        <v>2.0</v>
      </c>
      <c r="J260" s="1121">
        <v>2.0</v>
      </c>
      <c r="K260" s="1126">
        <v>20.0</v>
      </c>
      <c r="L260" s="1121">
        <v>20.0</v>
      </c>
      <c r="M260" s="1126">
        <v>5.0</v>
      </c>
      <c r="N260" s="1121">
        <v>8.0</v>
      </c>
      <c r="O260" s="1126">
        <v>4.0</v>
      </c>
      <c r="P260" s="1121">
        <v>6.0</v>
      </c>
      <c r="Q260" s="1126">
        <v>4.0</v>
      </c>
      <c r="R260" s="1121">
        <v>4.0</v>
      </c>
      <c r="S260" s="1120">
        <v>4.0</v>
      </c>
      <c r="T260" s="1138">
        <v>4.0</v>
      </c>
      <c r="U260" s="1120">
        <v>7.0</v>
      </c>
      <c r="V260" s="1138">
        <v>8.0</v>
      </c>
      <c r="W260" s="1137">
        <v>9.0</v>
      </c>
      <c r="X260" s="1138">
        <v>12.0</v>
      </c>
      <c r="Y260" s="1120">
        <v>9.0</v>
      </c>
      <c r="Z260" s="1138">
        <v>9.0</v>
      </c>
      <c r="AA260" s="1120">
        <v>5.0</v>
      </c>
      <c r="AB260" s="1138">
        <v>6.0</v>
      </c>
      <c r="AC260" s="1120">
        <v>8.0</v>
      </c>
      <c r="AD260" s="1138">
        <v>8.0</v>
      </c>
      <c r="AE260" s="1120">
        <v>4.0</v>
      </c>
      <c r="AF260" s="1138">
        <v>8.0</v>
      </c>
      <c r="AG260" s="1120">
        <v>4.0</v>
      </c>
      <c r="AH260" s="1138">
        <v>4.0</v>
      </c>
      <c r="AI260" s="1137">
        <v>2.0</v>
      </c>
      <c r="AJ260" s="1138">
        <v>2.0</v>
      </c>
      <c r="AK260" s="1120">
        <v>5.0</v>
      </c>
      <c r="AL260" s="1138">
        <v>5.0</v>
      </c>
      <c r="AM260" s="1120">
        <v>4.0</v>
      </c>
      <c r="AN260" s="1138">
        <v>4.0</v>
      </c>
      <c r="AO260" s="1126">
        <v>6.0</v>
      </c>
      <c r="AP260" s="1138">
        <v>6.0</v>
      </c>
      <c r="AQ260" s="1126">
        <v>15.0</v>
      </c>
      <c r="AR260" s="1138">
        <v>15.0</v>
      </c>
      <c r="AS260" s="1126">
        <v>4.0</v>
      </c>
      <c r="AT260" s="1138">
        <v>4.0</v>
      </c>
      <c r="AU260" s="1126">
        <v>8.0</v>
      </c>
      <c r="AV260" s="1138">
        <v>8.0</v>
      </c>
      <c r="AW260" s="1134">
        <v>70.0</v>
      </c>
      <c r="AX260" s="1138"/>
      <c r="AY260" s="1129">
        <f t="shared" si="257"/>
        <v>212</v>
      </c>
      <c r="AZ260" s="1095">
        <f t="shared" si="258"/>
        <v>163</v>
      </c>
      <c r="BA260" s="1095"/>
      <c r="BB260" s="1095"/>
      <c r="BC260" s="591">
        <v>0.1</v>
      </c>
      <c r="BD260" s="1099">
        <f t="shared" si="260"/>
        <v>21.2</v>
      </c>
    </row>
    <row r="261" ht="15.75" customHeight="1">
      <c r="A261" s="1130">
        <v>8.0</v>
      </c>
      <c r="B261" s="1584">
        <v>1450.0</v>
      </c>
      <c r="C261" s="1607" t="s">
        <v>537</v>
      </c>
      <c r="D261" s="1118" t="str">
        <f>'Матрица 4 недели'!G185</f>
        <v>Боул с крабом, бобами эдамаме и овощами</v>
      </c>
      <c r="E261" s="1411">
        <v>7.0</v>
      </c>
      <c r="F261" s="1167">
        <v>7.0</v>
      </c>
      <c r="G261" s="1075">
        <v>2.0</v>
      </c>
      <c r="H261" s="1167">
        <v>4.0</v>
      </c>
      <c r="I261" s="1075">
        <v>0.0</v>
      </c>
      <c r="J261" s="1167"/>
      <c r="K261" s="1075">
        <v>6.0</v>
      </c>
      <c r="L261" s="1167">
        <v>6.0</v>
      </c>
      <c r="M261" s="1075">
        <v>2.0</v>
      </c>
      <c r="N261" s="1167">
        <v>2.0</v>
      </c>
      <c r="O261" s="1075">
        <v>2.0</v>
      </c>
      <c r="P261" s="1412">
        <v>2.0</v>
      </c>
      <c r="Q261" s="1120">
        <v>0.0</v>
      </c>
      <c r="R261" s="1412"/>
      <c r="S261" s="1411">
        <v>2.0</v>
      </c>
      <c r="T261" s="1412">
        <v>2.0</v>
      </c>
      <c r="U261" s="1411">
        <v>2.0</v>
      </c>
      <c r="V261" s="1412">
        <v>2.0</v>
      </c>
      <c r="W261" s="1411">
        <v>7.0</v>
      </c>
      <c r="X261" s="1412">
        <v>7.0</v>
      </c>
      <c r="Y261" s="1413">
        <v>0.0</v>
      </c>
      <c r="Z261" s="1412"/>
      <c r="AA261" s="1413">
        <v>0.0</v>
      </c>
      <c r="AB261" s="1412"/>
      <c r="AC261" s="1413">
        <v>2.0</v>
      </c>
      <c r="AD261" s="1412">
        <v>2.0</v>
      </c>
      <c r="AE261" s="1411">
        <v>4.0</v>
      </c>
      <c r="AF261" s="1412">
        <v>4.0</v>
      </c>
      <c r="AG261" s="1413">
        <v>2.0</v>
      </c>
      <c r="AH261" s="1412">
        <v>2.0</v>
      </c>
      <c r="AI261" s="1413">
        <v>2.0</v>
      </c>
      <c r="AJ261" s="1412">
        <v>2.0</v>
      </c>
      <c r="AK261" s="1120">
        <v>2.0</v>
      </c>
      <c r="AL261" s="1412">
        <v>2.0</v>
      </c>
      <c r="AM261" s="1411">
        <v>2.0</v>
      </c>
      <c r="AN261" s="1167">
        <v>2.0</v>
      </c>
      <c r="AO261" s="1411">
        <v>0.0</v>
      </c>
      <c r="AP261" s="1167"/>
      <c r="AQ261" s="1411">
        <v>5.0</v>
      </c>
      <c r="AR261" s="1168">
        <v>5.0</v>
      </c>
      <c r="AS261" s="1075">
        <v>2.0</v>
      </c>
      <c r="AT261" s="1168">
        <v>2.0</v>
      </c>
      <c r="AU261" s="1075">
        <v>6.0</v>
      </c>
      <c r="AV261" s="1168">
        <v>6.0</v>
      </c>
      <c r="AW261" s="1598"/>
      <c r="AX261" s="1167"/>
      <c r="AY261" s="1129">
        <f t="shared" si="257"/>
        <v>58</v>
      </c>
      <c r="AZ261" s="1095">
        <f t="shared" si="258"/>
        <v>59</v>
      </c>
      <c r="BA261" s="1095"/>
      <c r="BB261" s="1095"/>
      <c r="BC261" s="591"/>
      <c r="BD261" s="1099"/>
    </row>
    <row r="262" ht="15.75" customHeight="1">
      <c r="A262" s="1109">
        <v>9.0</v>
      </c>
      <c r="B262" s="1584"/>
      <c r="C262" s="1200" t="str">
        <f>'Матрица 4 недели'!G145</f>
        <v>Салат</v>
      </c>
      <c r="D262" s="591" t="str">
        <f>'Матрица 4 недели'!G190</f>
        <v/>
      </c>
      <c r="E262" s="1614"/>
      <c r="F262" s="1615"/>
      <c r="G262" s="1614"/>
      <c r="H262" s="1615"/>
      <c r="I262" s="1614"/>
      <c r="J262" s="1615"/>
      <c r="K262" s="1614"/>
      <c r="L262" s="1615"/>
      <c r="M262" s="1614"/>
      <c r="N262" s="1615"/>
      <c r="O262" s="1286"/>
      <c r="P262" s="1412"/>
      <c r="Q262" s="1075"/>
      <c r="R262" s="1167"/>
      <c r="S262" s="1075"/>
      <c r="T262" s="1167"/>
      <c r="U262" s="1411"/>
      <c r="V262" s="1167"/>
      <c r="W262" s="1411"/>
      <c r="X262" s="1167"/>
      <c r="Y262" s="1616"/>
      <c r="Z262" s="1167"/>
      <c r="AA262" s="1413"/>
      <c r="AB262" s="1167"/>
      <c r="AC262" s="1411"/>
      <c r="AD262" s="1167"/>
      <c r="AE262" s="1411"/>
      <c r="AF262" s="1167"/>
      <c r="AG262" s="1411"/>
      <c r="AH262" s="1167"/>
      <c r="AI262" s="1411"/>
      <c r="AJ262" s="1167"/>
      <c r="AK262" s="1411"/>
      <c r="AL262" s="1167"/>
      <c r="AM262" s="1126"/>
      <c r="AN262" s="1167"/>
      <c r="AO262" s="1075"/>
      <c r="AP262" s="1167"/>
      <c r="AQ262" s="1075"/>
      <c r="AR262" s="1167"/>
      <c r="AS262" s="1075"/>
      <c r="AT262" s="1167"/>
      <c r="AU262" s="1075"/>
      <c r="AV262" s="1167"/>
      <c r="AW262" s="1617"/>
      <c r="AX262" s="1618"/>
      <c r="AY262" s="1292">
        <f t="shared" si="257"/>
        <v>1</v>
      </c>
      <c r="AZ262" s="1095">
        <f t="shared" si="258"/>
        <v>0</v>
      </c>
      <c r="BA262" s="1095"/>
      <c r="BB262" s="1095"/>
      <c r="BC262" s="591">
        <v>0.25</v>
      </c>
      <c r="BD262" s="1099">
        <f t="shared" ref="BD262:BD265" si="261">AY262*BC262</f>
        <v>0.25</v>
      </c>
    </row>
    <row r="263" ht="15.75" customHeight="1">
      <c r="A263" s="1109">
        <v>10.0</v>
      </c>
      <c r="B263" s="1584">
        <v>2288.0</v>
      </c>
      <c r="C263" s="1115" t="str">
        <f>'Матрица 4 недели'!J145</f>
        <v>Суп</v>
      </c>
      <c r="D263" s="1118" t="str">
        <f>'Матрица 4 недели'!J182</f>
        <v>Суп гороховый 250 мл</v>
      </c>
      <c r="E263" s="1284"/>
      <c r="F263" s="1285"/>
      <c r="G263" s="1284"/>
      <c r="H263" s="1285"/>
      <c r="I263" s="1284"/>
      <c r="J263" s="1285"/>
      <c r="K263" s="1284">
        <v>5.0</v>
      </c>
      <c r="L263" s="1285"/>
      <c r="M263" s="1284"/>
      <c r="N263" s="1285"/>
      <c r="O263" s="1284"/>
      <c r="P263" s="1142"/>
      <c r="Q263" s="1286"/>
      <c r="R263" s="1142"/>
      <c r="S263" s="1284"/>
      <c r="T263" s="1142"/>
      <c r="U263" s="1287"/>
      <c r="V263" s="1288"/>
      <c r="W263" s="1287"/>
      <c r="X263" s="1289"/>
      <c r="Y263" s="1284"/>
      <c r="Z263" s="1142"/>
      <c r="AA263" s="1284"/>
      <c r="AB263" s="1140"/>
      <c r="AC263" s="1284"/>
      <c r="AD263" s="1289"/>
      <c r="AE263" s="1284"/>
      <c r="AF263" s="1289"/>
      <c r="AG263" s="1284"/>
      <c r="AH263" s="1167"/>
      <c r="AI263" s="1284"/>
      <c r="AJ263" s="1289"/>
      <c r="AK263" s="1284"/>
      <c r="AL263" s="1167"/>
      <c r="AM263" s="1126"/>
      <c r="AN263" s="1167"/>
      <c r="AO263" s="1075"/>
      <c r="AP263" s="1167"/>
      <c r="AQ263" s="1075">
        <v>5.0</v>
      </c>
      <c r="AR263" s="1167"/>
      <c r="AS263" s="1075"/>
      <c r="AT263" s="1167"/>
      <c r="AU263" s="1075">
        <v>8.0</v>
      </c>
      <c r="AV263" s="1167">
        <v>4.0</v>
      </c>
      <c r="AW263" s="1598">
        <v>170.0</v>
      </c>
      <c r="AX263" s="1167"/>
      <c r="AY263" s="1292">
        <f t="shared" si="257"/>
        <v>189</v>
      </c>
      <c r="AZ263" s="1144">
        <f t="shared" si="258"/>
        <v>4</v>
      </c>
      <c r="BA263" s="1095"/>
      <c r="BB263" s="1095"/>
      <c r="BC263" s="591">
        <v>0.3</v>
      </c>
      <c r="BD263" s="1099">
        <f t="shared" si="261"/>
        <v>56.7</v>
      </c>
    </row>
    <row r="264" ht="15.75" customHeight="1">
      <c r="A264" s="1130">
        <v>11.0</v>
      </c>
      <c r="B264" s="1584">
        <v>3474.0</v>
      </c>
      <c r="C264" s="1115" t="str">
        <f t="shared" ref="C264:C265" si="262">C205</f>
        <v>Второе </v>
      </c>
      <c r="D264" s="1118" t="str">
        <f>'Матрица 4 недели'!M182</f>
        <v>Паприкаш из говядины с гречкой</v>
      </c>
      <c r="E264" s="1120">
        <v>6.0</v>
      </c>
      <c r="F264" s="1121">
        <v>6.0</v>
      </c>
      <c r="G264" s="1126"/>
      <c r="H264" s="1121"/>
      <c r="I264" s="1126"/>
      <c r="J264" s="1121"/>
      <c r="K264" s="1141">
        <v>10.0</v>
      </c>
      <c r="L264" s="1121">
        <v>10.0</v>
      </c>
      <c r="M264" s="1141">
        <v>3.0</v>
      </c>
      <c r="N264" s="1121">
        <v>3.0</v>
      </c>
      <c r="O264" s="1126">
        <v>3.0</v>
      </c>
      <c r="P264" s="1121">
        <v>3.0</v>
      </c>
      <c r="Q264" s="1120"/>
      <c r="R264" s="1121"/>
      <c r="S264" s="1126">
        <v>2.0</v>
      </c>
      <c r="T264" s="1291">
        <v>2.0</v>
      </c>
      <c r="U264" s="1141">
        <v>2.0</v>
      </c>
      <c r="V264" s="1121">
        <v>2.0</v>
      </c>
      <c r="W264" s="1141">
        <v>5.0</v>
      </c>
      <c r="X264" s="1121">
        <v>5.0</v>
      </c>
      <c r="Y264" s="1120">
        <v>2.0</v>
      </c>
      <c r="Z264" s="1121">
        <v>2.0</v>
      </c>
      <c r="AA264" s="1137">
        <v>2.0</v>
      </c>
      <c r="AB264" s="1138">
        <v>2.0</v>
      </c>
      <c r="AC264" s="1141">
        <v>3.0</v>
      </c>
      <c r="AD264" s="1138">
        <v>3.0</v>
      </c>
      <c r="AE264" s="1141">
        <v>2.0</v>
      </c>
      <c r="AF264" s="1138">
        <v>2.0</v>
      </c>
      <c r="AG264" s="1120">
        <v>0.0</v>
      </c>
      <c r="AH264" s="1167"/>
      <c r="AI264" s="1137">
        <v>2.0</v>
      </c>
      <c r="AJ264" s="1138">
        <v>2.0</v>
      </c>
      <c r="AK264" s="1137">
        <v>2.0</v>
      </c>
      <c r="AL264" s="1167">
        <v>2.0</v>
      </c>
      <c r="AM264" s="1126">
        <v>2.0</v>
      </c>
      <c r="AN264" s="1167">
        <v>2.0</v>
      </c>
      <c r="AO264" s="1075">
        <v>2.0</v>
      </c>
      <c r="AP264" s="1167">
        <v>2.0</v>
      </c>
      <c r="AQ264" s="1075">
        <v>5.0</v>
      </c>
      <c r="AR264" s="1167">
        <v>5.0</v>
      </c>
      <c r="AS264" s="1075">
        <v>2.0</v>
      </c>
      <c r="AT264" s="1167">
        <v>2.0</v>
      </c>
      <c r="AU264" s="1075">
        <v>5.0</v>
      </c>
      <c r="AV264" s="1167">
        <v>5.0</v>
      </c>
      <c r="AW264" s="1598">
        <v>70.0</v>
      </c>
      <c r="AX264" s="1167"/>
      <c r="AY264" s="1129">
        <f t="shared" si="257"/>
        <v>131</v>
      </c>
      <c r="AZ264" s="1095">
        <f t="shared" si="258"/>
        <v>60</v>
      </c>
      <c r="BA264" s="1095"/>
      <c r="BB264" s="1095"/>
      <c r="BC264" s="591">
        <v>0.3</v>
      </c>
      <c r="BD264" s="1099">
        <f t="shared" si="261"/>
        <v>39.3</v>
      </c>
    </row>
    <row r="265" ht="15.75" customHeight="1">
      <c r="A265" s="1109">
        <v>12.0</v>
      </c>
      <c r="B265" s="1584">
        <v>3473.0</v>
      </c>
      <c r="C265" s="1115" t="str">
        <f t="shared" si="262"/>
        <v>Второе</v>
      </c>
      <c r="D265" s="1118" t="str">
        <f>'Матрица 4 недели'!M183</f>
        <v>Паприкаш из говядины с картофельным пюре</v>
      </c>
      <c r="E265" s="1120">
        <v>6.0</v>
      </c>
      <c r="F265" s="1121">
        <v>6.0</v>
      </c>
      <c r="G265" s="1126">
        <v>4.0</v>
      </c>
      <c r="H265" s="1121">
        <v>4.0</v>
      </c>
      <c r="I265" s="1126">
        <v>2.0</v>
      </c>
      <c r="J265" s="1121">
        <v>2.0</v>
      </c>
      <c r="K265" s="1141">
        <v>10.0</v>
      </c>
      <c r="L265" s="1121">
        <v>10.0</v>
      </c>
      <c r="M265" s="1141">
        <v>3.0</v>
      </c>
      <c r="N265" s="1121">
        <v>3.0</v>
      </c>
      <c r="O265" s="1126">
        <v>3.0</v>
      </c>
      <c r="P265" s="1121">
        <v>3.0</v>
      </c>
      <c r="Q265" s="1120">
        <v>4.0</v>
      </c>
      <c r="R265" s="1121">
        <v>4.0</v>
      </c>
      <c r="S265" s="1126">
        <v>2.0</v>
      </c>
      <c r="T265" s="1291">
        <v>2.0</v>
      </c>
      <c r="U265" s="1141">
        <v>2.0</v>
      </c>
      <c r="V265" s="1121">
        <v>2.0</v>
      </c>
      <c r="W265" s="1141">
        <v>5.0</v>
      </c>
      <c r="X265" s="1121">
        <v>5.0</v>
      </c>
      <c r="Y265" s="1120">
        <v>2.0</v>
      </c>
      <c r="Z265" s="1121">
        <v>2.0</v>
      </c>
      <c r="AA265" s="1137">
        <v>2.0</v>
      </c>
      <c r="AB265" s="1138">
        <v>2.0</v>
      </c>
      <c r="AC265" s="1141">
        <v>3.0</v>
      </c>
      <c r="AD265" s="1138">
        <v>3.0</v>
      </c>
      <c r="AE265" s="1141">
        <v>2.0</v>
      </c>
      <c r="AF265" s="1138">
        <v>2.0</v>
      </c>
      <c r="AG265" s="1120">
        <v>4.0</v>
      </c>
      <c r="AH265" s="1167">
        <v>4.0</v>
      </c>
      <c r="AI265" s="1137">
        <v>3.0</v>
      </c>
      <c r="AJ265" s="1138">
        <v>3.0</v>
      </c>
      <c r="AK265" s="1137">
        <v>2.0</v>
      </c>
      <c r="AL265" s="1138">
        <v>2.0</v>
      </c>
      <c r="AM265" s="1120">
        <v>2.0</v>
      </c>
      <c r="AN265" s="1138">
        <v>2.0</v>
      </c>
      <c r="AO265" s="1126">
        <v>2.0</v>
      </c>
      <c r="AP265" s="1138">
        <v>2.0</v>
      </c>
      <c r="AQ265" s="1126">
        <v>5.0</v>
      </c>
      <c r="AR265" s="1138">
        <v>5.0</v>
      </c>
      <c r="AS265" s="1126">
        <v>2.0</v>
      </c>
      <c r="AT265" s="1138">
        <v>2.0</v>
      </c>
      <c r="AU265" s="1126">
        <v>5.0</v>
      </c>
      <c r="AV265" s="1138">
        <v>4.0</v>
      </c>
      <c r="AW265" s="1134"/>
      <c r="AX265" s="1138"/>
      <c r="AY265" s="1129">
        <f t="shared" si="257"/>
        <v>76</v>
      </c>
      <c r="AZ265" s="1095">
        <f t="shared" si="258"/>
        <v>74</v>
      </c>
      <c r="BA265" s="1095"/>
      <c r="BB265" s="1095"/>
      <c r="BC265" s="591">
        <v>0.3</v>
      </c>
      <c r="BD265" s="1099">
        <f t="shared" si="261"/>
        <v>22.8</v>
      </c>
    </row>
    <row r="266" ht="15.75" customHeight="1">
      <c r="A266" s="1109">
        <v>13.0</v>
      </c>
      <c r="B266" s="1584">
        <v>898.0</v>
      </c>
      <c r="C266" s="1133" t="s">
        <v>77</v>
      </c>
      <c r="D266" s="1509" t="str">
        <f>'Матрица 4 недели'!M184</f>
        <v>Паприкаш из говядины с макаронами</v>
      </c>
      <c r="E266" s="1126">
        <v>12.0</v>
      </c>
      <c r="F266" s="1138">
        <v>5.0</v>
      </c>
      <c r="G266" s="1126">
        <v>4.0</v>
      </c>
      <c r="H266" s="1138">
        <v>2.0</v>
      </c>
      <c r="I266" s="1126">
        <v>3.0</v>
      </c>
      <c r="J266" s="1138">
        <v>3.0</v>
      </c>
      <c r="K266" s="1284">
        <v>15.0</v>
      </c>
      <c r="L266" s="1138">
        <v>5.0</v>
      </c>
      <c r="M266" s="1141">
        <v>6.0</v>
      </c>
      <c r="N266" s="1138">
        <v>6.0</v>
      </c>
      <c r="O266" s="1126">
        <v>6.0</v>
      </c>
      <c r="P266" s="1138">
        <v>6.0</v>
      </c>
      <c r="Q266" s="1120">
        <v>4.0</v>
      </c>
      <c r="R266" s="1138">
        <v>4.0</v>
      </c>
      <c r="S266" s="1126">
        <v>4.0</v>
      </c>
      <c r="T266" s="1138">
        <v>4.0</v>
      </c>
      <c r="U266" s="1141">
        <v>4.0</v>
      </c>
      <c r="V266" s="1138">
        <v>4.0</v>
      </c>
      <c r="W266" s="1141">
        <v>8.0</v>
      </c>
      <c r="X266" s="1138">
        <v>5.0</v>
      </c>
      <c r="Y266" s="1126">
        <v>4.0</v>
      </c>
      <c r="Z266" s="1138">
        <v>4.0</v>
      </c>
      <c r="AA266" s="1126">
        <v>4.0</v>
      </c>
      <c r="AB266" s="1138">
        <v>4.0</v>
      </c>
      <c r="AC266" s="1141">
        <v>6.0</v>
      </c>
      <c r="AD266" s="1138">
        <v>6.0</v>
      </c>
      <c r="AE266" s="1141">
        <v>4.0</v>
      </c>
      <c r="AF266" s="1138">
        <v>4.0</v>
      </c>
      <c r="AG266" s="1290">
        <v>2.0</v>
      </c>
      <c r="AH266" s="1167">
        <v>2.0</v>
      </c>
      <c r="AI266" s="1137">
        <v>2.0</v>
      </c>
      <c r="AJ266" s="1289">
        <v>2.0</v>
      </c>
      <c r="AK266" s="1126">
        <v>4.0</v>
      </c>
      <c r="AL266" s="1138">
        <v>4.0</v>
      </c>
      <c r="AM266" s="1126">
        <v>3.0</v>
      </c>
      <c r="AN266" s="1138">
        <v>3.0</v>
      </c>
      <c r="AO266" s="1126">
        <v>3.0</v>
      </c>
      <c r="AP266" s="1138">
        <v>3.0</v>
      </c>
      <c r="AQ266" s="1126">
        <v>10.0</v>
      </c>
      <c r="AR266" s="1138">
        <v>10.0</v>
      </c>
      <c r="AS266" s="1126">
        <v>2.0</v>
      </c>
      <c r="AT266" s="1138">
        <v>2.0</v>
      </c>
      <c r="AU266" s="1126">
        <v>10.0</v>
      </c>
      <c r="AV266" s="1138">
        <v>10.0</v>
      </c>
      <c r="AW266" s="1134"/>
      <c r="AX266" s="1138"/>
      <c r="AY266" s="1292">
        <f t="shared" si="257"/>
        <v>121</v>
      </c>
      <c r="AZ266" s="1144">
        <f t="shared" si="258"/>
        <v>98</v>
      </c>
      <c r="BA266" s="1095"/>
      <c r="BB266" s="1095"/>
      <c r="BC266" s="591"/>
      <c r="BD266" s="1099"/>
    </row>
    <row r="267" ht="15.75" customHeight="1">
      <c r="A267" s="1130">
        <v>14.0</v>
      </c>
      <c r="B267" s="1584">
        <v>3476.0</v>
      </c>
      <c r="C267" s="1115" t="str">
        <f>'Матрица 4 недели'!M145</f>
        <v>Второе</v>
      </c>
      <c r="D267" s="1507" t="str">
        <f>'Матрица 4 недели'!M185</f>
        <v>Крылышки пикантные с картофелем запеченным</v>
      </c>
      <c r="E267" s="1126">
        <v>12.0</v>
      </c>
      <c r="F267" s="1138">
        <v>14.0</v>
      </c>
      <c r="G267" s="1126">
        <v>4.0</v>
      </c>
      <c r="H267" s="1138">
        <v>4.0</v>
      </c>
      <c r="I267" s="1126">
        <v>3.0</v>
      </c>
      <c r="J267" s="1138">
        <v>3.0</v>
      </c>
      <c r="K267" s="1284">
        <v>15.0</v>
      </c>
      <c r="L267" s="1138">
        <v>15.0</v>
      </c>
      <c r="M267" s="1126">
        <v>6.0</v>
      </c>
      <c r="N267" s="1138">
        <v>6.0</v>
      </c>
      <c r="O267" s="1126">
        <v>6.0</v>
      </c>
      <c r="P267" s="1138">
        <v>6.0</v>
      </c>
      <c r="Q267" s="1120">
        <v>4.0</v>
      </c>
      <c r="R267" s="1138">
        <v>4.0</v>
      </c>
      <c r="S267" s="1126">
        <v>3.0</v>
      </c>
      <c r="T267" s="1138">
        <v>3.0</v>
      </c>
      <c r="U267" s="1126">
        <v>4.0</v>
      </c>
      <c r="V267" s="1138">
        <v>4.0</v>
      </c>
      <c r="W267" s="1126">
        <v>10.0</v>
      </c>
      <c r="X267" s="1138">
        <v>12.0</v>
      </c>
      <c r="Y267" s="1126">
        <v>4.0</v>
      </c>
      <c r="Z267" s="1138">
        <v>4.0</v>
      </c>
      <c r="AA267" s="1126">
        <v>4.0</v>
      </c>
      <c r="AB267" s="1138">
        <v>4.0</v>
      </c>
      <c r="AC267" s="1126">
        <v>6.0</v>
      </c>
      <c r="AD267" s="1138">
        <v>6.0</v>
      </c>
      <c r="AE267" s="1126">
        <v>4.0</v>
      </c>
      <c r="AF267" s="1138">
        <v>4.0</v>
      </c>
      <c r="AG267" s="1290">
        <v>4.0</v>
      </c>
      <c r="AH267" s="1167">
        <v>4.0</v>
      </c>
      <c r="AI267" s="1137">
        <v>2.0</v>
      </c>
      <c r="AJ267" s="1289">
        <v>2.0</v>
      </c>
      <c r="AK267" s="1126">
        <v>4.0</v>
      </c>
      <c r="AL267" s="1138">
        <v>4.0</v>
      </c>
      <c r="AM267" s="1126">
        <v>3.0</v>
      </c>
      <c r="AN267" s="1138">
        <v>3.0</v>
      </c>
      <c r="AO267" s="1126">
        <v>3.0</v>
      </c>
      <c r="AP267" s="1138">
        <v>3.0</v>
      </c>
      <c r="AQ267" s="1126">
        <v>10.0</v>
      </c>
      <c r="AR267" s="1138">
        <v>10.0</v>
      </c>
      <c r="AS267" s="1126">
        <v>0.0</v>
      </c>
      <c r="AT267" s="1138"/>
      <c r="AU267" s="1126">
        <v>10.0</v>
      </c>
      <c r="AV267" s="1138">
        <v>10.0</v>
      </c>
      <c r="AW267" s="1134">
        <v>50.0</v>
      </c>
      <c r="AX267" s="1138"/>
      <c r="AY267" s="1292">
        <f t="shared" si="257"/>
        <v>172</v>
      </c>
      <c r="AZ267" s="1144">
        <f t="shared" si="258"/>
        <v>125</v>
      </c>
      <c r="BA267" s="1095"/>
      <c r="BB267" s="1095"/>
      <c r="BC267" s="591"/>
      <c r="BD267" s="1099"/>
    </row>
    <row r="268" ht="15.75" customHeight="1">
      <c r="A268" s="1109">
        <v>15.0</v>
      </c>
      <c r="B268" s="1584">
        <v>3006.0</v>
      </c>
      <c r="C268" s="1629" t="s">
        <v>537</v>
      </c>
      <c r="D268" s="1509" t="str">
        <f>'Матрица 4 недели'!M186</f>
        <v>Филе с томатом и сыром с зеленым рисом </v>
      </c>
      <c r="E268" s="1137">
        <v>6.0</v>
      </c>
      <c r="F268" s="1138">
        <v>6.0</v>
      </c>
      <c r="G268" s="1126">
        <v>4.0</v>
      </c>
      <c r="H268" s="1138">
        <v>4.0</v>
      </c>
      <c r="I268" s="1126">
        <v>2.0</v>
      </c>
      <c r="J268" s="1138">
        <v>2.0</v>
      </c>
      <c r="K268" s="1126">
        <v>8.0</v>
      </c>
      <c r="L268" s="1138">
        <v>8.0</v>
      </c>
      <c r="M268" s="1126">
        <v>4.0</v>
      </c>
      <c r="N268" s="1138">
        <v>4.0</v>
      </c>
      <c r="O268" s="1120">
        <v>4.0</v>
      </c>
      <c r="P268" s="1121">
        <v>4.0</v>
      </c>
      <c r="Q268" s="1126">
        <v>0.0</v>
      </c>
      <c r="R268" s="1121"/>
      <c r="S268" s="1137">
        <v>2.0</v>
      </c>
      <c r="T268" s="1121">
        <v>2.0</v>
      </c>
      <c r="U268" s="1137">
        <v>2.0</v>
      </c>
      <c r="V268" s="1121">
        <v>2.0</v>
      </c>
      <c r="W268" s="1137">
        <v>2.0</v>
      </c>
      <c r="X268" s="1121">
        <v>2.0</v>
      </c>
      <c r="Y268" s="1120">
        <v>0.0</v>
      </c>
      <c r="Z268" s="1121"/>
      <c r="AA268" s="1120">
        <v>2.0</v>
      </c>
      <c r="AB268" s="1121">
        <v>2.0</v>
      </c>
      <c r="AC268" s="1120">
        <v>4.0</v>
      </c>
      <c r="AD268" s="1121">
        <v>4.0</v>
      </c>
      <c r="AE268" s="1137">
        <v>2.0</v>
      </c>
      <c r="AF268" s="1121">
        <v>2.0</v>
      </c>
      <c r="AG268" s="1120">
        <v>2.0</v>
      </c>
      <c r="AH268" s="1121">
        <v>2.0</v>
      </c>
      <c r="AI268" s="1126">
        <v>3.0</v>
      </c>
      <c r="AJ268" s="1121">
        <v>3.0</v>
      </c>
      <c r="AK268" s="1120">
        <v>2.0</v>
      </c>
      <c r="AL268" s="1121">
        <v>2.0</v>
      </c>
      <c r="AM268" s="1137">
        <v>2.0</v>
      </c>
      <c r="AN268" s="1138">
        <v>2.0</v>
      </c>
      <c r="AO268" s="1126">
        <v>0.0</v>
      </c>
      <c r="AP268" s="1138"/>
      <c r="AQ268" s="1126">
        <v>4.0</v>
      </c>
      <c r="AR268" s="1138">
        <v>4.0</v>
      </c>
      <c r="AS268" s="1126">
        <v>0.0</v>
      </c>
      <c r="AT268" s="1138"/>
      <c r="AU268" s="1126">
        <v>4.0</v>
      </c>
      <c r="AV268" s="1138">
        <v>4.0</v>
      </c>
      <c r="AW268" s="1139"/>
      <c r="AX268" s="1138"/>
      <c r="AY268" s="1129">
        <f t="shared" si="257"/>
        <v>60</v>
      </c>
      <c r="AZ268" s="1095">
        <f t="shared" si="258"/>
        <v>59</v>
      </c>
      <c r="BA268" s="1095"/>
      <c r="BB268" s="1095"/>
      <c r="BC268" s="591">
        <v>0.03</v>
      </c>
      <c r="BD268" s="1099">
        <f t="shared" ref="BD268:BD270" si="263">AY268*BC268</f>
        <v>1.8</v>
      </c>
    </row>
    <row r="269" ht="15.75" customHeight="1">
      <c r="A269" s="1109">
        <v>16.0</v>
      </c>
      <c r="B269" s="1631">
        <v>2859.0</v>
      </c>
      <c r="C269" s="1632" t="str">
        <f>'Матрица 4 недели'!M145</f>
        <v>Второе</v>
      </c>
      <c r="D269" s="1633" t="str">
        <f>'Матрица 4 недели'!M187</f>
        <v>Манты со сметаной </v>
      </c>
      <c r="E269" s="1634">
        <v>8.0</v>
      </c>
      <c r="F269" s="1635">
        <v>8.0</v>
      </c>
      <c r="G269" s="1634">
        <v>5.0</v>
      </c>
      <c r="H269" s="1635">
        <v>5.0</v>
      </c>
      <c r="I269" s="1636">
        <v>2.0</v>
      </c>
      <c r="J269" s="1635">
        <v>2.0</v>
      </c>
      <c r="K269" s="1637">
        <v>10.0</v>
      </c>
      <c r="L269" s="1635">
        <v>10.0</v>
      </c>
      <c r="M269" s="1636">
        <v>4.0</v>
      </c>
      <c r="N269" s="1635">
        <v>4.0</v>
      </c>
      <c r="O269" s="1638">
        <v>4.0</v>
      </c>
      <c r="P269" s="1635">
        <v>4.0</v>
      </c>
      <c r="Q269" s="1634">
        <v>4.0</v>
      </c>
      <c r="R269" s="1639">
        <v>4.0</v>
      </c>
      <c r="S269" s="1634">
        <v>0.0</v>
      </c>
      <c r="T269" s="1641"/>
      <c r="U269" s="1642">
        <v>4.0</v>
      </c>
      <c r="V269" s="1641">
        <v>4.0</v>
      </c>
      <c r="W269" s="1642">
        <v>10.0</v>
      </c>
      <c r="X269" s="1641">
        <v>10.0</v>
      </c>
      <c r="Y269" s="1643">
        <v>6.0</v>
      </c>
      <c r="Z269" s="1641">
        <v>6.0</v>
      </c>
      <c r="AA269" s="1643">
        <v>2.0</v>
      </c>
      <c r="AB269" s="1644">
        <v>2.0</v>
      </c>
      <c r="AC269" s="1643">
        <v>4.0</v>
      </c>
      <c r="AD269" s="1641">
        <v>4.0</v>
      </c>
      <c r="AE269" s="1643">
        <v>2.0</v>
      </c>
      <c r="AF269" s="1621">
        <v>2.0</v>
      </c>
      <c r="AG269" s="1642">
        <v>2.0</v>
      </c>
      <c r="AH269" s="1641">
        <v>2.0</v>
      </c>
      <c r="AI269" s="1642">
        <v>2.0</v>
      </c>
      <c r="AJ269" s="1641">
        <v>2.0</v>
      </c>
      <c r="AK269" s="1642">
        <v>2.0</v>
      </c>
      <c r="AL269" s="1641">
        <v>2.0</v>
      </c>
      <c r="AM269" s="1622">
        <v>2.0</v>
      </c>
      <c r="AN269" s="1641">
        <v>2.0</v>
      </c>
      <c r="AO269" s="1634">
        <v>2.0</v>
      </c>
      <c r="AP269" s="1641">
        <v>2.0</v>
      </c>
      <c r="AQ269" s="1634">
        <v>4.0</v>
      </c>
      <c r="AR269" s="1641">
        <v>4.0</v>
      </c>
      <c r="AS269" s="1634">
        <v>2.0</v>
      </c>
      <c r="AT269" s="1641">
        <v>2.0</v>
      </c>
      <c r="AU269" s="1634"/>
      <c r="AV269" s="1641"/>
      <c r="AW269" s="1645"/>
      <c r="AX269" s="1639"/>
      <c r="AY269" s="1292">
        <f t="shared" si="257"/>
        <v>82</v>
      </c>
      <c r="AZ269" s="1095">
        <f t="shared" si="258"/>
        <v>81</v>
      </c>
      <c r="BA269" s="1646"/>
      <c r="BB269" s="1646"/>
      <c r="BC269" s="601">
        <v>0.3</v>
      </c>
      <c r="BD269" s="1647">
        <f t="shared" si="263"/>
        <v>24.6</v>
      </c>
    </row>
    <row r="270" ht="15.75" customHeight="1">
      <c r="A270" s="1130">
        <v>17.0</v>
      </c>
      <c r="B270" s="1648">
        <v>2222.0</v>
      </c>
      <c r="C270" s="1115" t="str">
        <f>C211</f>
        <v>Второе</v>
      </c>
      <c r="D270" s="1652" t="str">
        <f>'Матрица 4 недели'!M188</f>
        <v>Котлета куриная с тушеной капустой</v>
      </c>
      <c r="E270" s="1137">
        <v>10.0</v>
      </c>
      <c r="F270" s="1121">
        <v>12.0</v>
      </c>
      <c r="G270" s="1126">
        <v>5.0</v>
      </c>
      <c r="H270" s="1121">
        <v>5.0</v>
      </c>
      <c r="I270" s="1126">
        <v>3.0</v>
      </c>
      <c r="J270" s="1121">
        <v>3.0</v>
      </c>
      <c r="K270" s="1126">
        <v>15.0</v>
      </c>
      <c r="L270" s="1121">
        <v>15.0</v>
      </c>
      <c r="M270" s="1126">
        <v>5.0</v>
      </c>
      <c r="N270" s="1121">
        <v>5.0</v>
      </c>
      <c r="O270" s="1126">
        <v>5.0</v>
      </c>
      <c r="P270" s="1121">
        <v>5.0</v>
      </c>
      <c r="Q270" s="1126">
        <v>2.0</v>
      </c>
      <c r="R270" s="1121">
        <v>2.0</v>
      </c>
      <c r="S270" s="1126">
        <v>2.0</v>
      </c>
      <c r="T270" s="1138">
        <v>2.0</v>
      </c>
      <c r="U270" s="1137">
        <v>4.0</v>
      </c>
      <c r="V270" s="1138">
        <v>4.0</v>
      </c>
      <c r="W270" s="1137">
        <v>10.0</v>
      </c>
      <c r="X270" s="1138">
        <v>12.0</v>
      </c>
      <c r="Y270" s="1137">
        <v>5.0</v>
      </c>
      <c r="Z270" s="1138">
        <v>5.0</v>
      </c>
      <c r="AA270" s="1137">
        <v>4.0</v>
      </c>
      <c r="AB270" s="1138">
        <v>4.0</v>
      </c>
      <c r="AC270" s="1137">
        <v>5.0</v>
      </c>
      <c r="AD270" s="1138">
        <v>5.0</v>
      </c>
      <c r="AE270" s="1137">
        <v>4.0</v>
      </c>
      <c r="AF270" s="1138">
        <v>4.0</v>
      </c>
      <c r="AG270" s="1137">
        <v>4.0</v>
      </c>
      <c r="AH270" s="1138">
        <v>4.0</v>
      </c>
      <c r="AI270" s="1137">
        <v>2.0</v>
      </c>
      <c r="AJ270" s="1138">
        <v>2.0</v>
      </c>
      <c r="AK270" s="1120">
        <v>4.0</v>
      </c>
      <c r="AL270" s="1138">
        <v>4.0</v>
      </c>
      <c r="AM270" s="1120">
        <v>4.0</v>
      </c>
      <c r="AN270" s="1653">
        <v>4.0</v>
      </c>
      <c r="AO270" s="1654">
        <v>2.0</v>
      </c>
      <c r="AP270" s="1653">
        <v>2.0</v>
      </c>
      <c r="AQ270" s="1654">
        <v>10.0</v>
      </c>
      <c r="AR270" s="1653">
        <v>12.0</v>
      </c>
      <c r="AS270" s="1654">
        <v>2.0</v>
      </c>
      <c r="AT270" s="1653">
        <v>2.0</v>
      </c>
      <c r="AU270" s="1654"/>
      <c r="AV270" s="1653"/>
      <c r="AW270" s="1656"/>
      <c r="AX270" s="1138"/>
      <c r="AY270" s="1129">
        <f t="shared" si="257"/>
        <v>108</v>
      </c>
      <c r="AZ270" s="1095">
        <f t="shared" si="258"/>
        <v>113</v>
      </c>
      <c r="BA270" s="1129"/>
      <c r="BB270" s="1129"/>
      <c r="BC270" s="591">
        <v>0.16</v>
      </c>
      <c r="BD270" s="1099">
        <f t="shared" si="263"/>
        <v>17.28</v>
      </c>
    </row>
    <row r="271" ht="15.75" customHeight="1">
      <c r="A271" s="1109">
        <v>18.0</v>
      </c>
      <c r="B271" s="1648">
        <v>54.0</v>
      </c>
      <c r="C271" s="1133" t="s">
        <v>79</v>
      </c>
      <c r="D271" s="1652" t="str">
        <f>'Матрица 4 недели'!S182</f>
        <v>Сэндвич с ветчиной и сыром</v>
      </c>
      <c r="E271" s="1137">
        <v>16.0</v>
      </c>
      <c r="F271" s="1121">
        <v>16.0</v>
      </c>
      <c r="G271" s="1126">
        <v>4.0</v>
      </c>
      <c r="H271" s="1121">
        <v>4.0</v>
      </c>
      <c r="I271" s="1126">
        <v>2.0</v>
      </c>
      <c r="J271" s="1160">
        <v>2.0</v>
      </c>
      <c r="K271" s="1161">
        <v>13.0</v>
      </c>
      <c r="L271" s="1160">
        <v>15.0</v>
      </c>
      <c r="M271" s="1126">
        <v>5.0</v>
      </c>
      <c r="N271" s="1121">
        <v>5.0</v>
      </c>
      <c r="O271" s="1126">
        <v>4.0</v>
      </c>
      <c r="P271" s="1121">
        <v>4.0</v>
      </c>
      <c r="Q271" s="1120">
        <v>3.0</v>
      </c>
      <c r="R271" s="1121">
        <v>3.0</v>
      </c>
      <c r="S271" s="1126">
        <v>3.0</v>
      </c>
      <c r="T271" s="1138">
        <v>3.0</v>
      </c>
      <c r="U271" s="1137">
        <v>2.0</v>
      </c>
      <c r="V271" s="1138">
        <v>2.0</v>
      </c>
      <c r="W271" s="1137">
        <v>6.0</v>
      </c>
      <c r="X271" s="1138">
        <v>6.0</v>
      </c>
      <c r="Y271" s="1137">
        <v>2.0</v>
      </c>
      <c r="Z271" s="1138">
        <v>2.0</v>
      </c>
      <c r="AA271" s="1137">
        <v>4.0</v>
      </c>
      <c r="AB271" s="1138">
        <v>4.0</v>
      </c>
      <c r="AC271" s="1137">
        <v>7.0</v>
      </c>
      <c r="AD271" s="1138">
        <v>7.0</v>
      </c>
      <c r="AE271" s="1137">
        <v>10.0</v>
      </c>
      <c r="AF271" s="1138">
        <v>10.0</v>
      </c>
      <c r="AG271" s="1137">
        <v>5.0</v>
      </c>
      <c r="AH271" s="1138">
        <v>5.0</v>
      </c>
      <c r="AI271" s="1137">
        <v>2.0</v>
      </c>
      <c r="AJ271" s="1138">
        <v>2.0</v>
      </c>
      <c r="AK271" s="1120">
        <v>4.0</v>
      </c>
      <c r="AL271" s="1138">
        <v>4.0</v>
      </c>
      <c r="AM271" s="1120">
        <v>0.0</v>
      </c>
      <c r="AN271" s="1305"/>
      <c r="AO271" s="1141">
        <v>4.0</v>
      </c>
      <c r="AP271" s="1305">
        <v>4.0</v>
      </c>
      <c r="AQ271" s="1141">
        <v>8.0</v>
      </c>
      <c r="AR271" s="1305">
        <v>8.0</v>
      </c>
      <c r="AS271" s="1141">
        <v>3.0</v>
      </c>
      <c r="AT271" s="1305">
        <v>3.0</v>
      </c>
      <c r="AU271" s="1141">
        <v>4.0</v>
      </c>
      <c r="AV271" s="1305">
        <v>4.0</v>
      </c>
      <c r="AW271" s="1513"/>
      <c r="AX271" s="1138"/>
      <c r="AY271" s="1129">
        <f t="shared" si="257"/>
        <v>112</v>
      </c>
      <c r="AZ271" s="1095">
        <f t="shared" si="258"/>
        <v>113</v>
      </c>
      <c r="BA271" s="1188"/>
      <c r="BB271" s="1188"/>
      <c r="BC271" s="1165"/>
      <c r="BD271" s="1166"/>
    </row>
    <row r="272" ht="15.75" customHeight="1">
      <c r="A272" s="1109">
        <v>19.0</v>
      </c>
      <c r="B272" s="1648">
        <v>3222.0</v>
      </c>
      <c r="C272" s="1115" t="str">
        <f>'Матрица 4 недели'!S145</f>
        <v>Сэндвич</v>
      </c>
      <c r="D272" s="1118" t="str">
        <f>'Матрица 4 недели'!S184</f>
        <v/>
      </c>
      <c r="E272" s="1126">
        <v>9.0</v>
      </c>
      <c r="F272" s="1121">
        <v>6.0</v>
      </c>
      <c r="G272" s="1126">
        <v>4.0</v>
      </c>
      <c r="H272" s="1121">
        <v>2.0</v>
      </c>
      <c r="I272" s="1126">
        <v>2.0</v>
      </c>
      <c r="J272" s="1121">
        <v>2.0</v>
      </c>
      <c r="K272" s="1284">
        <v>15.0</v>
      </c>
      <c r="L272" s="1121">
        <v>12.0</v>
      </c>
      <c r="M272" s="1126">
        <v>7.0</v>
      </c>
      <c r="N272" s="1121">
        <v>5.0</v>
      </c>
      <c r="O272" s="1286"/>
      <c r="P272" s="1121"/>
      <c r="Q272" s="1126">
        <v>3.0</v>
      </c>
      <c r="R272" s="1291">
        <v>3.0</v>
      </c>
      <c r="S272" s="1126">
        <v>3.0</v>
      </c>
      <c r="T272" s="1138">
        <v>3.0</v>
      </c>
      <c r="U272" s="1137">
        <v>3.0</v>
      </c>
      <c r="V272" s="1138">
        <v>3.0</v>
      </c>
      <c r="W272" s="1137">
        <v>5.0</v>
      </c>
      <c r="X272" s="1138">
        <v>5.0</v>
      </c>
      <c r="Y272" s="1137">
        <v>2.0</v>
      </c>
      <c r="Z272" s="1138">
        <v>2.0</v>
      </c>
      <c r="AA272" s="1137">
        <v>7.0</v>
      </c>
      <c r="AB272" s="1138">
        <v>7.0</v>
      </c>
      <c r="AC272" s="1137">
        <v>7.0</v>
      </c>
      <c r="AD272" s="1138">
        <v>7.0</v>
      </c>
      <c r="AE272" s="1137">
        <v>10.0</v>
      </c>
      <c r="AF272" s="1138">
        <v>10.0</v>
      </c>
      <c r="AG272" s="1137">
        <v>5.0</v>
      </c>
      <c r="AH272" s="1138">
        <v>5.0</v>
      </c>
      <c r="AI272" s="1137">
        <v>4.0</v>
      </c>
      <c r="AJ272" s="1138">
        <v>4.0</v>
      </c>
      <c r="AK272" s="1137">
        <v>4.0</v>
      </c>
      <c r="AL272" s="1138">
        <v>4.0</v>
      </c>
      <c r="AM272" s="1126">
        <v>2.0</v>
      </c>
      <c r="AN272" s="1138">
        <v>2.0</v>
      </c>
      <c r="AO272" s="1126">
        <v>6.0</v>
      </c>
      <c r="AP272" s="1138">
        <v>6.0</v>
      </c>
      <c r="AQ272" s="1126">
        <v>6.0</v>
      </c>
      <c r="AR272" s="1138">
        <v>6.0</v>
      </c>
      <c r="AS272" s="1126"/>
      <c r="AT272" s="1138"/>
      <c r="AU272" s="1126">
        <v>4.0</v>
      </c>
      <c r="AV272" s="1138">
        <v>4.0</v>
      </c>
      <c r="AW272" s="1134"/>
      <c r="AX272" s="1138"/>
      <c r="AY272" s="1292">
        <f t="shared" si="257"/>
        <v>109</v>
      </c>
      <c r="AZ272" s="1095">
        <f t="shared" si="258"/>
        <v>98</v>
      </c>
      <c r="BA272" s="1188"/>
      <c r="BB272" s="1188"/>
      <c r="BC272" s="1165"/>
      <c r="BD272" s="1166"/>
    </row>
    <row r="273" ht="15.75" customHeight="1">
      <c r="A273" s="1130">
        <v>20.0</v>
      </c>
      <c r="B273" s="1648"/>
      <c r="C273" s="1174" t="s">
        <v>1351</v>
      </c>
      <c r="D273" s="580" t="str">
        <f>'Матрица 4 недели'!M189</f>
        <v>Курочка в томатном соусе с макаронами</v>
      </c>
      <c r="E273" s="1137"/>
      <c r="F273" s="1121"/>
      <c r="G273" s="1126"/>
      <c r="H273" s="1121"/>
      <c r="I273" s="1126"/>
      <c r="J273" s="1121"/>
      <c r="K273" s="1284"/>
      <c r="L273" s="1121"/>
      <c r="M273" s="1126"/>
      <c r="N273" s="1121"/>
      <c r="O273" s="1286"/>
      <c r="P273" s="1121"/>
      <c r="Q273" s="1126"/>
      <c r="R273" s="1121"/>
      <c r="S273" s="1126"/>
      <c r="T273" s="1138"/>
      <c r="U273" s="1137"/>
      <c r="V273" s="1138"/>
      <c r="W273" s="1137"/>
      <c r="X273" s="1138"/>
      <c r="Y273" s="1137"/>
      <c r="Z273" s="1138"/>
      <c r="AA273" s="1137"/>
      <c r="AB273" s="1138"/>
      <c r="AC273" s="1137"/>
      <c r="AD273" s="1138"/>
      <c r="AE273" s="1137"/>
      <c r="AF273" s="1138"/>
      <c r="AG273" s="1413"/>
      <c r="AH273" s="1138"/>
      <c r="AI273" s="1413"/>
      <c r="AJ273" s="1138"/>
      <c r="AK273" s="1411"/>
      <c r="AL273" s="1167"/>
      <c r="AM273" s="1126"/>
      <c r="AN273" s="1579"/>
      <c r="AO273" s="1073"/>
      <c r="AP273" s="1579"/>
      <c r="AQ273" s="1073"/>
      <c r="AR273" s="1579"/>
      <c r="AS273" s="1073"/>
      <c r="AT273" s="1579"/>
      <c r="AU273" s="1073"/>
      <c r="AV273" s="1579"/>
      <c r="AW273" s="1617"/>
      <c r="AX273" s="1618"/>
      <c r="AY273" s="1292">
        <f t="shared" si="257"/>
        <v>1</v>
      </c>
      <c r="AZ273" s="1095">
        <f t="shared" si="258"/>
        <v>0</v>
      </c>
      <c r="BA273" s="1188"/>
      <c r="BB273" s="1188"/>
      <c r="BC273" s="1165"/>
      <c r="BD273" s="1166"/>
    </row>
    <row r="274" ht="15.75" customHeight="1">
      <c r="A274" s="1109">
        <v>21.0</v>
      </c>
      <c r="B274" s="1648">
        <v>3172.0</v>
      </c>
      <c r="C274" s="1133" t="s">
        <v>1351</v>
      </c>
      <c r="D274" s="733" t="s">
        <v>3098</v>
      </c>
      <c r="E274" s="1614">
        <v>5.0</v>
      </c>
      <c r="F274" s="1658">
        <v>5.0</v>
      </c>
      <c r="G274" s="1614">
        <v>3.0</v>
      </c>
      <c r="H274" s="1658">
        <v>3.0</v>
      </c>
      <c r="I274" s="1614">
        <v>2.0</v>
      </c>
      <c r="J274" s="1658">
        <v>2.0</v>
      </c>
      <c r="K274" s="1614">
        <v>4.0</v>
      </c>
      <c r="L274" s="1658">
        <v>4.0</v>
      </c>
      <c r="M274" s="1614">
        <v>4.0</v>
      </c>
      <c r="N274" s="1658">
        <v>4.0</v>
      </c>
      <c r="O274" s="1614"/>
      <c r="P274" s="1658"/>
      <c r="Q274" s="1614">
        <v>3.0</v>
      </c>
      <c r="R274" s="1659">
        <v>3.0</v>
      </c>
      <c r="S274" s="1614">
        <v>4.0</v>
      </c>
      <c r="T274" s="1309">
        <v>4.0</v>
      </c>
      <c r="U274" s="1616">
        <v>5.0</v>
      </c>
      <c r="V274" s="1309">
        <v>5.0</v>
      </c>
      <c r="W274" s="1616">
        <v>4.0</v>
      </c>
      <c r="X274" s="1167">
        <v>4.0</v>
      </c>
      <c r="Y274" s="1413">
        <v>2.0</v>
      </c>
      <c r="Z274" s="1167">
        <v>2.0</v>
      </c>
      <c r="AA274" s="1413">
        <v>4.0</v>
      </c>
      <c r="AB274" s="1167">
        <v>4.0</v>
      </c>
      <c r="AC274" s="1413">
        <v>4.0</v>
      </c>
      <c r="AD274" s="1167">
        <v>4.0</v>
      </c>
      <c r="AE274" s="1413">
        <v>5.0</v>
      </c>
      <c r="AF274" s="1167">
        <v>5.0</v>
      </c>
      <c r="AG274" s="1413">
        <v>4.0</v>
      </c>
      <c r="AH274" s="1167">
        <v>4.0</v>
      </c>
      <c r="AI274" s="1413">
        <v>4.0</v>
      </c>
      <c r="AJ274" s="1167">
        <v>4.0</v>
      </c>
      <c r="AK274" s="1413">
        <v>4.0</v>
      </c>
      <c r="AL274" s="1167">
        <v>4.0</v>
      </c>
      <c r="AM274" s="1413"/>
      <c r="AN274" s="1138"/>
      <c r="AO274" s="1126">
        <v>4.0</v>
      </c>
      <c r="AP274" s="1138">
        <v>4.0</v>
      </c>
      <c r="AQ274" s="1126"/>
      <c r="AR274" s="1138"/>
      <c r="AS274" s="1126"/>
      <c r="AT274" s="1138"/>
      <c r="AU274" s="1126"/>
      <c r="AV274" s="1138"/>
      <c r="AW274" s="1134"/>
      <c r="AX274" s="1138"/>
      <c r="AY274" s="1129">
        <f t="shared" si="257"/>
        <v>66</v>
      </c>
      <c r="AZ274" s="1095">
        <f t="shared" si="258"/>
        <v>65</v>
      </c>
      <c r="BA274" s="1188"/>
      <c r="BB274" s="1188"/>
      <c r="BC274" s="1165"/>
      <c r="BD274" s="1166"/>
    </row>
    <row r="275" ht="15.75" customHeight="1">
      <c r="A275" s="1109">
        <v>22.0</v>
      </c>
      <c r="B275" s="1648">
        <v>3197.0</v>
      </c>
      <c r="C275" s="1115" t="s">
        <v>1351</v>
      </c>
      <c r="D275" s="733" t="s">
        <v>3099</v>
      </c>
      <c r="E275" s="1614">
        <v>5.0</v>
      </c>
      <c r="F275" s="1615">
        <v>5.0</v>
      </c>
      <c r="G275" s="1614">
        <v>4.0</v>
      </c>
      <c r="H275" s="1615">
        <v>4.0</v>
      </c>
      <c r="I275" s="1614">
        <v>2.0</v>
      </c>
      <c r="J275" s="1615">
        <v>2.0</v>
      </c>
      <c r="K275" s="1614">
        <v>4.0</v>
      </c>
      <c r="L275" s="1615">
        <v>4.0</v>
      </c>
      <c r="M275" s="1614">
        <v>4.0</v>
      </c>
      <c r="N275" s="1615">
        <v>4.0</v>
      </c>
      <c r="O275" s="1614"/>
      <c r="P275" s="1615"/>
      <c r="Q275" s="1614"/>
      <c r="R275" s="1659"/>
      <c r="S275" s="1614">
        <v>4.0</v>
      </c>
      <c r="T275" s="1309">
        <v>4.0</v>
      </c>
      <c r="U275" s="1616">
        <v>4.0</v>
      </c>
      <c r="V275" s="1309">
        <v>4.0</v>
      </c>
      <c r="W275" s="1616">
        <v>4.0</v>
      </c>
      <c r="X275" s="1167">
        <v>4.0</v>
      </c>
      <c r="Y275" s="1413">
        <v>2.0</v>
      </c>
      <c r="Z275" s="1167">
        <v>2.0</v>
      </c>
      <c r="AA275" s="1413">
        <v>4.0</v>
      </c>
      <c r="AB275" s="1167">
        <v>4.0</v>
      </c>
      <c r="AC275" s="1413">
        <v>6.0</v>
      </c>
      <c r="AD275" s="1167">
        <v>6.0</v>
      </c>
      <c r="AE275" s="1413">
        <v>6.0</v>
      </c>
      <c r="AF275" s="1167">
        <v>6.0</v>
      </c>
      <c r="AG275" s="1413">
        <v>6.0</v>
      </c>
      <c r="AH275" s="1167">
        <v>6.0</v>
      </c>
      <c r="AI275" s="1413">
        <v>4.0</v>
      </c>
      <c r="AJ275" s="1167">
        <v>4.0</v>
      </c>
      <c r="AK275" s="1413">
        <v>4.0</v>
      </c>
      <c r="AL275" s="1167">
        <v>4.0</v>
      </c>
      <c r="AM275" s="1413"/>
      <c r="AN275" s="1138"/>
      <c r="AO275" s="1126">
        <v>2.0</v>
      </c>
      <c r="AP275" s="1138">
        <v>2.0</v>
      </c>
      <c r="AQ275" s="1126"/>
      <c r="AR275" s="1138"/>
      <c r="AS275" s="1126"/>
      <c r="AT275" s="1138"/>
      <c r="AU275" s="1126"/>
      <c r="AV275" s="1138"/>
      <c r="AW275" s="1134"/>
      <c r="AX275" s="1138"/>
      <c r="AY275" s="1129">
        <f t="shared" si="257"/>
        <v>66</v>
      </c>
      <c r="AZ275" s="1095">
        <f t="shared" si="258"/>
        <v>65</v>
      </c>
      <c r="BA275" s="1188"/>
      <c r="BB275" s="1188"/>
      <c r="BC275" s="1165"/>
      <c r="BD275" s="1166"/>
    </row>
    <row r="276" ht="15.75" customHeight="1">
      <c r="A276" s="1130">
        <v>23.0</v>
      </c>
      <c r="B276" s="1648">
        <v>822.0</v>
      </c>
      <c r="C276" s="1115" t="s">
        <v>1351</v>
      </c>
      <c r="D276" s="1145" t="s">
        <v>3100</v>
      </c>
      <c r="E276" s="1137">
        <v>4.0</v>
      </c>
      <c r="F276" s="1138">
        <v>4.0</v>
      </c>
      <c r="G276" s="1126"/>
      <c r="H276" s="1140"/>
      <c r="I276" s="1126"/>
      <c r="J276" s="1405"/>
      <c r="K276" s="1161">
        <v>20.0</v>
      </c>
      <c r="L276" s="1405">
        <v>20.0</v>
      </c>
      <c r="M276" s="1126">
        <v>6.0</v>
      </c>
      <c r="N276" s="1138">
        <v>6.0</v>
      </c>
      <c r="O276" s="1120"/>
      <c r="P276" s="1142"/>
      <c r="Q276" s="1126">
        <v>4.0</v>
      </c>
      <c r="R276" s="1121">
        <v>4.0</v>
      </c>
      <c r="S276" s="1137"/>
      <c r="T276" s="1121"/>
      <c r="U276" s="1314">
        <v>4.0</v>
      </c>
      <c r="V276" s="1121">
        <v>4.0</v>
      </c>
      <c r="W276" s="1137"/>
      <c r="X276" s="1121"/>
      <c r="Y276" s="1120">
        <v>4.0</v>
      </c>
      <c r="Z276" s="1121">
        <v>4.0</v>
      </c>
      <c r="AA276" s="1120">
        <v>4.0</v>
      </c>
      <c r="AB276" s="1121">
        <v>4.0</v>
      </c>
      <c r="AC276" s="1120">
        <v>4.0</v>
      </c>
      <c r="AD276" s="1121">
        <v>4.0</v>
      </c>
      <c r="AE276" s="1137">
        <v>4.0</v>
      </c>
      <c r="AF276" s="1121">
        <v>4.0</v>
      </c>
      <c r="AG276" s="1120">
        <v>2.0</v>
      </c>
      <c r="AH276" s="1121">
        <v>2.0</v>
      </c>
      <c r="AI276" s="1120">
        <v>2.0</v>
      </c>
      <c r="AJ276" s="1121">
        <v>2.0</v>
      </c>
      <c r="AK276" s="1137"/>
      <c r="AL276" s="1121"/>
      <c r="AM276" s="1087">
        <v>4.0</v>
      </c>
      <c r="AN276" s="1121">
        <v>4.0</v>
      </c>
      <c r="AO276" s="1126"/>
      <c r="AP276" s="1138"/>
      <c r="AQ276" s="1126"/>
      <c r="AR276" s="1138"/>
      <c r="AS276" s="1126"/>
      <c r="AT276" s="1138"/>
      <c r="AU276" s="1126"/>
      <c r="AV276" s="1138"/>
      <c r="AW276" s="1134">
        <v>175.0</v>
      </c>
      <c r="AX276" s="1138"/>
      <c r="AY276" s="1129">
        <f t="shared" si="257"/>
        <v>238</v>
      </c>
      <c r="AZ276" s="1144">
        <f t="shared" si="258"/>
        <v>62</v>
      </c>
      <c r="BA276" s="1188"/>
      <c r="BB276" s="1188"/>
      <c r="BC276" s="1165"/>
      <c r="BD276" s="1166"/>
    </row>
    <row r="277" ht="15.75" customHeight="1">
      <c r="A277" s="1109">
        <v>24.0</v>
      </c>
      <c r="B277" s="1648">
        <v>3528.0</v>
      </c>
      <c r="C277" s="1115" t="s">
        <v>1351</v>
      </c>
      <c r="D277" s="1145" t="s">
        <v>3101</v>
      </c>
      <c r="E277" s="1137"/>
      <c r="F277" s="1121"/>
      <c r="G277" s="1126"/>
      <c r="H277" s="1121"/>
      <c r="I277" s="1126"/>
      <c r="J277" s="1160"/>
      <c r="K277" s="1161"/>
      <c r="L277" s="1160"/>
      <c r="M277" s="1126"/>
      <c r="N277" s="1121"/>
      <c r="O277" s="1286"/>
      <c r="P277" s="1121"/>
      <c r="Q277" s="1126"/>
      <c r="R277" s="1121"/>
      <c r="S277" s="1126"/>
      <c r="T277" s="1138"/>
      <c r="U277" s="1137"/>
      <c r="V277" s="1138"/>
      <c r="W277" s="1137"/>
      <c r="X277" s="1138"/>
      <c r="Y277" s="1137"/>
      <c r="Z277" s="1138"/>
      <c r="AA277" s="1137"/>
      <c r="AB277" s="1138"/>
      <c r="AC277" s="1137"/>
      <c r="AD277" s="1138"/>
      <c r="AE277" s="1137"/>
      <c r="AF277" s="1138"/>
      <c r="AG277" s="1120"/>
      <c r="AH277" s="1138"/>
      <c r="AI277" s="1120"/>
      <c r="AJ277" s="1138"/>
      <c r="AK277" s="1120"/>
      <c r="AL277" s="1138"/>
      <c r="AM277" s="1126"/>
      <c r="AN277" s="1138"/>
      <c r="AO277" s="1126"/>
      <c r="AP277" s="1138"/>
      <c r="AQ277" s="1126"/>
      <c r="AR277" s="1138"/>
      <c r="AS277" s="1126"/>
      <c r="AT277" s="1138"/>
      <c r="AU277" s="1126"/>
      <c r="AV277" s="1138"/>
      <c r="AW277" s="1134">
        <v>10.0</v>
      </c>
      <c r="AX277" s="1138"/>
      <c r="AY277" s="1292">
        <f t="shared" si="257"/>
        <v>11</v>
      </c>
      <c r="AZ277" s="1095">
        <f t="shared" si="258"/>
        <v>0</v>
      </c>
      <c r="BA277" s="1188"/>
      <c r="BB277" s="1188"/>
      <c r="BC277" s="1165"/>
      <c r="BD277" s="1166"/>
    </row>
    <row r="278" ht="15.75" customHeight="1">
      <c r="A278" s="1109">
        <v>25.0</v>
      </c>
      <c r="B278" s="1648">
        <v>763.0</v>
      </c>
      <c r="C278" s="1133" t="s">
        <v>1351</v>
      </c>
      <c r="D278" s="580" t="s">
        <v>3102</v>
      </c>
      <c r="E278" s="1616"/>
      <c r="F278" s="1309"/>
      <c r="G278" s="1614"/>
      <c r="H278" s="1661"/>
      <c r="I278" s="1614"/>
      <c r="J278" s="1309"/>
      <c r="K278" s="1614"/>
      <c r="L278" s="1309"/>
      <c r="M278" s="1614"/>
      <c r="N278" s="1309"/>
      <c r="O278" s="1310"/>
      <c r="P278" s="1662"/>
      <c r="Q278" s="1614"/>
      <c r="R278" s="1658"/>
      <c r="S278" s="1616"/>
      <c r="T278" s="1658"/>
      <c r="U278" s="1664"/>
      <c r="V278" s="1658"/>
      <c r="W278" s="1616"/>
      <c r="X278" s="1412"/>
      <c r="Y278" s="1413"/>
      <c r="Z278" s="1412"/>
      <c r="AA278" s="1413"/>
      <c r="AB278" s="1412"/>
      <c r="AC278" s="1413"/>
      <c r="AD278" s="1412"/>
      <c r="AE278" s="1411"/>
      <c r="AF278" s="1412"/>
      <c r="AG278" s="1413"/>
      <c r="AH278" s="1412"/>
      <c r="AI278" s="1413"/>
      <c r="AJ278" s="1412"/>
      <c r="AK278" s="1411"/>
      <c r="AL278" s="1412"/>
      <c r="AM278" s="77"/>
      <c r="AN278" s="1412"/>
      <c r="AO278" s="1126"/>
      <c r="AP278" s="1138"/>
      <c r="AQ278" s="1126"/>
      <c r="AR278" s="1138"/>
      <c r="AS278" s="1126"/>
      <c r="AT278" s="1138"/>
      <c r="AU278" s="1126"/>
      <c r="AV278" s="1138"/>
      <c r="AW278" s="1134">
        <v>55.0</v>
      </c>
      <c r="AX278" s="1138"/>
      <c r="AY278" s="1129">
        <f t="shared" si="257"/>
        <v>56</v>
      </c>
      <c r="AZ278" s="1144">
        <f t="shared" si="258"/>
        <v>0</v>
      </c>
      <c r="BA278" s="1188"/>
      <c r="BB278" s="1188"/>
      <c r="BC278" s="1165"/>
      <c r="BD278" s="1166"/>
    </row>
    <row r="279" ht="15.75" customHeight="1">
      <c r="A279" s="1130">
        <v>26.0</v>
      </c>
      <c r="B279" s="1648">
        <v>1831.0</v>
      </c>
      <c r="C279" s="1133" t="s">
        <v>1351</v>
      </c>
      <c r="D279" s="1145" t="s">
        <v>3103</v>
      </c>
      <c r="E279" s="1137">
        <v>9.0</v>
      </c>
      <c r="F279" s="1121">
        <v>9.0</v>
      </c>
      <c r="G279" s="1126"/>
      <c r="H279" s="1121"/>
      <c r="I279" s="1126"/>
      <c r="J279" s="1160"/>
      <c r="K279" s="1284">
        <v>15.0</v>
      </c>
      <c r="L279" s="1160">
        <v>15.0</v>
      </c>
      <c r="M279" s="1126">
        <v>5.0</v>
      </c>
      <c r="N279" s="1121">
        <v>5.0</v>
      </c>
      <c r="O279" s="1126">
        <v>4.0</v>
      </c>
      <c r="P279" s="1121">
        <v>4.0</v>
      </c>
      <c r="Q279" s="1126"/>
      <c r="R279" s="1121"/>
      <c r="S279" s="1126"/>
      <c r="T279" s="1138"/>
      <c r="U279" s="1137"/>
      <c r="V279" s="1667"/>
      <c r="W279" s="1137"/>
      <c r="X279" s="1138"/>
      <c r="Y279" s="1137"/>
      <c r="Z279" s="1138"/>
      <c r="AA279" s="1137"/>
      <c r="AB279" s="1138"/>
      <c r="AC279" s="1137"/>
      <c r="AD279" s="1138"/>
      <c r="AE279" s="1137"/>
      <c r="AF279" s="1138"/>
      <c r="AG279" s="1137"/>
      <c r="AH279" s="1138"/>
      <c r="AI279" s="1137"/>
      <c r="AJ279" s="1138"/>
      <c r="AK279" s="1120"/>
      <c r="AL279" s="1138"/>
      <c r="AM279" s="1126"/>
      <c r="AN279" s="1138"/>
      <c r="AO279" s="1126"/>
      <c r="AP279" s="1138"/>
      <c r="AQ279" s="1126"/>
      <c r="AR279" s="1138"/>
      <c r="AS279" s="1126"/>
      <c r="AT279" s="1138"/>
      <c r="AU279" s="1126"/>
      <c r="AV279" s="1138"/>
      <c r="AW279" s="1137"/>
      <c r="AX279" s="1138"/>
      <c r="AY279" s="1292">
        <f t="shared" si="257"/>
        <v>34</v>
      </c>
      <c r="AZ279" s="1095">
        <f t="shared" si="258"/>
        <v>33</v>
      </c>
      <c r="BA279" s="1188"/>
      <c r="BB279" s="1188"/>
      <c r="BC279" s="1165"/>
      <c r="BD279" s="1166"/>
    </row>
    <row r="280" ht="15.75" customHeight="1">
      <c r="A280" s="1109">
        <v>27.0</v>
      </c>
      <c r="B280" s="1648">
        <v>2955.0</v>
      </c>
      <c r="C280" s="1133" t="s">
        <v>1351</v>
      </c>
      <c r="D280" s="1145" t="s">
        <v>3105</v>
      </c>
      <c r="E280" s="1126"/>
      <c r="F280" s="1121">
        <v>7.0</v>
      </c>
      <c r="G280" s="1126"/>
      <c r="H280" s="1121"/>
      <c r="I280" s="1126"/>
      <c r="J280" s="1160"/>
      <c r="K280" s="1141"/>
      <c r="L280" s="1160">
        <v>8.0</v>
      </c>
      <c r="M280" s="1141"/>
      <c r="N280" s="1121"/>
      <c r="O280" s="1126"/>
      <c r="P280" s="1121"/>
      <c r="Q280" s="1126"/>
      <c r="R280" s="1121"/>
      <c r="S280" s="1126"/>
      <c r="T280" s="1291"/>
      <c r="U280" s="1141"/>
      <c r="V280" s="1121"/>
      <c r="W280" s="1137"/>
      <c r="X280" s="1121"/>
      <c r="Y280" s="1126"/>
      <c r="Z280" s="1121"/>
      <c r="AA280" s="1126"/>
      <c r="AB280" s="1138"/>
      <c r="AC280" s="1126"/>
      <c r="AD280" s="1138"/>
      <c r="AE280" s="1126"/>
      <c r="AF280" s="1138"/>
      <c r="AG280" s="1126"/>
      <c r="AH280" s="1138"/>
      <c r="AI280" s="1126"/>
      <c r="AJ280" s="1138"/>
      <c r="AK280" s="1126"/>
      <c r="AL280" s="1138"/>
      <c r="AM280" s="1126"/>
      <c r="AN280" s="1138"/>
      <c r="AO280" s="1126"/>
      <c r="AP280" s="1138"/>
      <c r="AQ280" s="1126"/>
      <c r="AR280" s="1138"/>
      <c r="AS280" s="1126"/>
      <c r="AT280" s="1138"/>
      <c r="AU280" s="1126"/>
      <c r="AV280" s="1138"/>
      <c r="AW280" s="1120"/>
      <c r="AX280" s="1138"/>
      <c r="AY280" s="1129">
        <f t="shared" si="257"/>
        <v>1</v>
      </c>
      <c r="AZ280" s="1095">
        <f t="shared" si="258"/>
        <v>15</v>
      </c>
      <c r="BA280" s="1188"/>
      <c r="BB280" s="1188"/>
      <c r="BC280" s="1165"/>
      <c r="BD280" s="1166"/>
    </row>
    <row r="281" ht="15.75" customHeight="1">
      <c r="A281" s="1109">
        <v>28.0</v>
      </c>
      <c r="B281" s="1648"/>
      <c r="C281" s="1174" t="s">
        <v>1351</v>
      </c>
      <c r="D281" s="580"/>
      <c r="E281" s="1075"/>
      <c r="F281" s="1412"/>
      <c r="G281" s="1075"/>
      <c r="H281" s="1412"/>
      <c r="I281" s="1075"/>
      <c r="J281" s="1412"/>
      <c r="K281" s="1075"/>
      <c r="L281" s="1412"/>
      <c r="M281" s="1075"/>
      <c r="N281" s="1412"/>
      <c r="O281" s="1075"/>
      <c r="P281" s="1412"/>
      <c r="Q281" s="1075"/>
      <c r="R281" s="1618"/>
      <c r="S281" s="1075"/>
      <c r="T281" s="1167"/>
      <c r="U281" s="1411"/>
      <c r="V281" s="1167"/>
      <c r="W281" s="1411"/>
      <c r="X281" s="1167"/>
      <c r="Y281" s="1411"/>
      <c r="Z281" s="1167"/>
      <c r="AA281" s="1413"/>
      <c r="AB281" s="1167"/>
      <c r="AC281" s="1411"/>
      <c r="AD281" s="1167"/>
      <c r="AE281" s="1411"/>
      <c r="AF281" s="1167"/>
      <c r="AG281" s="1411"/>
      <c r="AH281" s="1167"/>
      <c r="AI281" s="1411"/>
      <c r="AJ281" s="1167"/>
      <c r="AK281" s="1411"/>
      <c r="AL281" s="1167"/>
      <c r="AM281" s="1411"/>
      <c r="AN281" s="1167"/>
      <c r="AO281" s="1075"/>
      <c r="AP281" s="1167"/>
      <c r="AQ281" s="1075"/>
      <c r="AR281" s="1167"/>
      <c r="AS281" s="1075"/>
      <c r="AT281" s="1167"/>
      <c r="AU281" s="1075"/>
      <c r="AV281" s="1167"/>
      <c r="AW281" s="1411"/>
      <c r="AX281" s="1618"/>
      <c r="AY281" s="1129">
        <f t="shared" si="257"/>
        <v>1</v>
      </c>
      <c r="AZ281" s="1095">
        <f t="shared" si="258"/>
        <v>0</v>
      </c>
      <c r="BA281" s="1188"/>
      <c r="BB281" s="1188"/>
      <c r="BC281" s="1165"/>
      <c r="BD281" s="1166"/>
    </row>
    <row r="282" ht="15.75" customHeight="1">
      <c r="A282" s="1177"/>
      <c r="B282" s="1002"/>
      <c r="C282" s="1178"/>
      <c r="D282" s="1179"/>
      <c r="E282" s="1182"/>
      <c r="F282" s="1418"/>
      <c r="G282" s="1182"/>
      <c r="H282" s="1418"/>
      <c r="I282" s="1182"/>
      <c r="J282" s="1418"/>
      <c r="K282" s="1209"/>
      <c r="L282" s="1188"/>
      <c r="M282" s="1209"/>
      <c r="N282" s="1187"/>
      <c r="O282" s="546"/>
      <c r="P282" s="1187"/>
      <c r="Q282" s="1209"/>
      <c r="R282" s="1187"/>
      <c r="S282" s="1209"/>
      <c r="T282" s="1187"/>
      <c r="U282" s="546"/>
      <c r="V282" s="1187"/>
      <c r="W282" s="546"/>
      <c r="X282" s="1187"/>
      <c r="Y282" s="1209"/>
      <c r="Z282" s="1187"/>
      <c r="AA282" s="1209"/>
      <c r="AB282" s="1187"/>
      <c r="AC282" s="1209"/>
      <c r="AD282" s="1187"/>
      <c r="AE282" s="1209"/>
      <c r="AF282" s="1187"/>
      <c r="AG282" s="546"/>
      <c r="AH282" s="1187"/>
      <c r="AI282" s="546"/>
      <c r="AJ282" s="1187"/>
      <c r="AK282" s="1187"/>
      <c r="AL282" s="1187"/>
      <c r="AM282" s="1187"/>
      <c r="AN282" s="1187"/>
      <c r="AO282" s="1187"/>
      <c r="AP282" s="1187"/>
      <c r="AQ282" s="1187"/>
      <c r="AR282" s="1187"/>
      <c r="AS282" s="1187"/>
      <c r="AT282" s="1187"/>
      <c r="AU282" s="1187"/>
      <c r="AV282" s="1187"/>
      <c r="AW282" s="1187"/>
      <c r="AX282" s="1187"/>
      <c r="AY282" s="1129">
        <f t="shared" ref="AY282:AZ282" si="264">SUM(AY254:AY281)</f>
        <v>2569</v>
      </c>
      <c r="AZ282" s="1185">
        <f t="shared" si="264"/>
        <v>1837</v>
      </c>
      <c r="BA282" s="1187"/>
      <c r="BB282" s="1187"/>
      <c r="BC282" s="1165" t="s">
        <v>1352</v>
      </c>
      <c r="BD282" s="1166">
        <f>SUM(BD254:BD270)</f>
        <v>224.93</v>
      </c>
    </row>
    <row r="283" ht="15.75" customHeight="1">
      <c r="A283" s="1177"/>
      <c r="B283" s="1002"/>
      <c r="C283" s="1178" t="s">
        <v>1353</v>
      </c>
      <c r="D283" s="1186"/>
      <c r="E283" s="1187"/>
      <c r="F283" s="1188"/>
      <c r="G283" s="1187"/>
      <c r="H283" s="1188"/>
      <c r="I283" s="1187"/>
      <c r="J283" s="1188"/>
      <c r="K283" s="1187"/>
      <c r="L283" s="1188"/>
      <c r="M283" s="1187"/>
      <c r="N283" s="1187"/>
      <c r="O283" s="13"/>
      <c r="P283" s="677"/>
      <c r="U283" s="1189"/>
      <c r="W283" s="1189"/>
      <c r="Y283" s="1190"/>
      <c r="AA283" s="1190"/>
      <c r="AG283" s="701"/>
      <c r="AI283" s="701"/>
      <c r="AY283" s="1129"/>
      <c r="BD283" s="1192"/>
    </row>
    <row r="284" ht="15.75" customHeight="1">
      <c r="A284" s="1177"/>
      <c r="B284" s="1002"/>
      <c r="C284" s="1178"/>
      <c r="D284" s="1186"/>
      <c r="E284" s="1187"/>
      <c r="F284" s="1188"/>
      <c r="G284" s="1187"/>
      <c r="H284" s="1188"/>
      <c r="I284" s="1187"/>
      <c r="J284" s="1188"/>
      <c r="K284" s="1187"/>
      <c r="L284" s="1188"/>
      <c r="M284" s="1187"/>
      <c r="N284" s="1187"/>
      <c r="O284" s="1187"/>
      <c r="P284" s="1187"/>
      <c r="Q284" s="1187"/>
      <c r="R284" s="1187"/>
      <c r="S284" s="1187"/>
      <c r="T284" s="1187"/>
      <c r="U284" s="757"/>
      <c r="V284" s="1187"/>
      <c r="W284" s="757"/>
      <c r="X284" s="1187"/>
      <c r="Y284" s="1187"/>
      <c r="Z284" s="1187"/>
      <c r="AA284" s="1187"/>
      <c r="AB284" s="1187"/>
      <c r="AC284" s="1187"/>
      <c r="AD284" s="1187"/>
      <c r="AE284" s="1187"/>
      <c r="AF284" s="1187"/>
      <c r="AG284" s="757"/>
      <c r="AH284" s="1187"/>
      <c r="AI284" s="757"/>
      <c r="AJ284" s="1187"/>
      <c r="AK284" s="1187"/>
      <c r="AL284" s="1187"/>
      <c r="AM284" s="1187"/>
      <c r="AN284" s="1187"/>
      <c r="AO284" s="1187"/>
      <c r="AP284" s="1187"/>
      <c r="AQ284" s="1187"/>
      <c r="AR284" s="1187"/>
      <c r="AS284" s="1187"/>
      <c r="AT284" s="1187"/>
      <c r="AU284" s="1187"/>
      <c r="AV284" s="1187"/>
      <c r="AW284" s="1187"/>
      <c r="AX284" s="1187"/>
      <c r="AY284" s="1187"/>
      <c r="AZ284" s="1187"/>
      <c r="BA284" s="1187"/>
      <c r="BB284" s="1187"/>
      <c r="BD284" s="1192"/>
    </row>
    <row r="285" ht="21.0" customHeight="1">
      <c r="A285" s="1194" t="s">
        <v>1354</v>
      </c>
      <c r="B285" s="1195"/>
      <c r="C285" s="1196">
        <f>C252</f>
        <v>45967</v>
      </c>
      <c r="D285" s="1197" t="s">
        <v>1355</v>
      </c>
      <c r="E285" s="1524"/>
      <c r="F285" s="1525"/>
      <c r="G285" s="1526"/>
      <c r="H285" s="1527"/>
      <c r="I285" s="1526" t="s">
        <v>1356</v>
      </c>
      <c r="J285" s="1527"/>
      <c r="K285" s="1528"/>
      <c r="L285" s="1529"/>
      <c r="M285" s="1526"/>
      <c r="N285" s="1526"/>
      <c r="O285" s="1526"/>
      <c r="P285" s="1527"/>
      <c r="Q285" s="1530"/>
      <c r="R285" s="1530"/>
      <c r="S285" s="1530"/>
      <c r="T285" s="1530"/>
      <c r="U285" s="1531"/>
      <c r="V285" s="1530"/>
      <c r="W285" s="1531"/>
      <c r="X285" s="1530"/>
      <c r="Y285" s="1532"/>
      <c r="Z285" s="1530"/>
      <c r="AA285" s="1532"/>
      <c r="AB285" s="1530"/>
      <c r="AC285" s="1530"/>
      <c r="AD285" s="1530"/>
      <c r="AE285" s="1530"/>
      <c r="AF285" s="1530"/>
      <c r="AG285" s="1533"/>
      <c r="AH285" s="1530"/>
      <c r="AI285" s="1533"/>
      <c r="AJ285" s="1530"/>
      <c r="AK285" s="1530"/>
      <c r="AL285" s="1530"/>
      <c r="AM285" s="1530"/>
      <c r="AN285" s="1530"/>
      <c r="AO285" s="1530"/>
      <c r="AP285" s="1530"/>
      <c r="AQ285" s="1530"/>
      <c r="AR285" s="1530"/>
      <c r="AS285" s="1530"/>
      <c r="AT285" s="1530"/>
      <c r="AU285" s="1530"/>
      <c r="AV285" s="1530"/>
      <c r="AW285" s="1530"/>
      <c r="AX285" s="1530"/>
      <c r="AY285" s="977"/>
      <c r="AZ285" s="1530"/>
      <c r="BA285" s="1530"/>
      <c r="BB285" s="1530"/>
      <c r="BC285" s="1530"/>
      <c r="BD285" s="1697"/>
    </row>
    <row r="286" ht="21.0" customHeight="1">
      <c r="A286" s="1109" t="s">
        <v>10</v>
      </c>
      <c r="B286" s="1111" t="str">
        <f>B253</f>
        <v>Код</v>
      </c>
      <c r="C286" s="1200" t="s">
        <v>1284</v>
      </c>
      <c r="D286" s="80" t="s">
        <v>471</v>
      </c>
      <c r="E286" s="1201" t="s">
        <v>1285</v>
      </c>
      <c r="F286" s="69"/>
      <c r="G286" s="1201" t="s">
        <v>1287</v>
      </c>
      <c r="H286" s="69"/>
      <c r="I286" s="1201" t="s">
        <v>1289</v>
      </c>
      <c r="J286" s="69"/>
      <c r="K286" s="1201" t="s">
        <v>1291</v>
      </c>
      <c r="L286" s="69"/>
      <c r="M286" s="1201" t="s">
        <v>1293</v>
      </c>
      <c r="N286" s="69"/>
      <c r="O286" s="1201" t="s">
        <v>1295</v>
      </c>
      <c r="P286" s="69"/>
      <c r="Q286" s="1201" t="s">
        <v>1297</v>
      </c>
      <c r="R286" s="69"/>
      <c r="S286" s="1201" t="s">
        <v>3107</v>
      </c>
      <c r="T286" s="69"/>
      <c r="U286" s="1203" t="s">
        <v>3108</v>
      </c>
      <c r="V286" s="69"/>
      <c r="W286" s="1203" t="s">
        <v>3109</v>
      </c>
      <c r="X286" s="69"/>
      <c r="Y286" s="1203" t="s">
        <v>3110</v>
      </c>
      <c r="Z286" s="69"/>
      <c r="AA286" s="1203" t="s">
        <v>3111</v>
      </c>
      <c r="AB286" s="69"/>
      <c r="AC286" s="1323" t="s">
        <v>1309</v>
      </c>
      <c r="AD286" s="69"/>
      <c r="AE286" s="1323" t="s">
        <v>1311</v>
      </c>
      <c r="AF286" s="69"/>
      <c r="AG286" s="1323" t="s">
        <v>1313</v>
      </c>
      <c r="AH286" s="69"/>
      <c r="AI286" s="1323" t="s">
        <v>1315</v>
      </c>
      <c r="AJ286" s="69"/>
      <c r="AK286" s="1323" t="s">
        <v>1317</v>
      </c>
      <c r="AL286" s="69"/>
      <c r="AM286" s="1323" t="s">
        <v>1319</v>
      </c>
      <c r="AN286" s="69"/>
      <c r="AO286" s="1323" t="s">
        <v>1321</v>
      </c>
      <c r="AP286" s="69"/>
      <c r="AQ286" s="1323" t="s">
        <v>1323</v>
      </c>
      <c r="AR286" s="69"/>
      <c r="AS286" s="1323" t="s">
        <v>1325</v>
      </c>
      <c r="AT286" s="69"/>
      <c r="AU286" s="1323" t="s">
        <v>1329</v>
      </c>
      <c r="AV286" s="69"/>
      <c r="AW286" s="1323" t="s">
        <v>297</v>
      </c>
      <c r="AX286" s="69"/>
      <c r="AY286" s="1073" t="s">
        <v>5</v>
      </c>
      <c r="AZ286" s="1528"/>
      <c r="BA286" s="1528"/>
      <c r="BB286" s="1528"/>
      <c r="BC286" s="1530"/>
      <c r="BD286" s="1697"/>
    </row>
    <row r="287" ht="21.0" customHeight="1">
      <c r="A287" s="1130">
        <f t="shared" ref="A287:D287" si="265">A254</f>
        <v>1</v>
      </c>
      <c r="B287" s="1111">
        <f t="shared" si="265"/>
        <v>3144</v>
      </c>
      <c r="C287" s="1200" t="str">
        <f t="shared" si="265"/>
        <v>Завтрак </v>
      </c>
      <c r="D287" s="591" t="str">
        <f t="shared" si="265"/>
        <v>Омлет с ветчиной</v>
      </c>
      <c r="E287" s="1705">
        <f t="shared" ref="E287:E314" si="267">F254</f>
        <v>11</v>
      </c>
      <c r="F287" s="69"/>
      <c r="G287" s="1705">
        <f t="shared" ref="G287:G314" si="268">H254</f>
        <v>5</v>
      </c>
      <c r="H287" s="69"/>
      <c r="I287" s="1705">
        <f t="shared" ref="I287:I314" si="269">J254</f>
        <v>3</v>
      </c>
      <c r="J287" s="69"/>
      <c r="K287" s="1705">
        <f t="shared" ref="K287:K314" si="270">L254</f>
        <v>10</v>
      </c>
      <c r="L287" s="69"/>
      <c r="M287" s="1705">
        <f t="shared" ref="M287:M314" si="271">N254</f>
        <v>7</v>
      </c>
      <c r="N287" s="69"/>
      <c r="O287" s="1705">
        <f t="shared" ref="O287:O314" si="272">P254</f>
        <v>4</v>
      </c>
      <c r="P287" s="69"/>
      <c r="Q287" s="1705">
        <f t="shared" ref="Q287:Q314" si="273">R254</f>
        <v>3</v>
      </c>
      <c r="R287" s="69"/>
      <c r="S287" s="1705">
        <f t="shared" ref="S287:S314" si="274">T254</f>
        <v>4</v>
      </c>
      <c r="T287" s="69"/>
      <c r="U287" s="1705">
        <f t="shared" ref="U287:U314" si="275">V254</f>
        <v>4</v>
      </c>
      <c r="V287" s="69"/>
      <c r="W287" s="1705">
        <f t="shared" ref="W287:W314" si="276">X254</f>
        <v>10</v>
      </c>
      <c r="X287" s="69"/>
      <c r="Y287" s="1705">
        <f t="shared" ref="Y287:Y315" si="277">Z254</f>
        <v>4</v>
      </c>
      <c r="Z287" s="69"/>
      <c r="AA287" s="1705">
        <f t="shared" ref="AA287:AA314" si="278">AB254</f>
        <v>2</v>
      </c>
      <c r="AB287" s="69"/>
      <c r="AC287" s="1705">
        <f t="shared" ref="AC287:AC314" si="279">AD254</f>
        <v>5</v>
      </c>
      <c r="AD287" s="69"/>
      <c r="AE287" s="1705">
        <f t="shared" ref="AE287:AE315" si="280">AF254</f>
        <v>7</v>
      </c>
      <c r="AF287" s="69"/>
      <c r="AG287" s="1705">
        <f t="shared" ref="AG287:AG314" si="281">AH254</f>
        <v>2</v>
      </c>
      <c r="AH287" s="69"/>
      <c r="AI287" s="1705">
        <f t="shared" ref="AI287:AI315" si="282">AJ254</f>
        <v>3</v>
      </c>
      <c r="AJ287" s="69"/>
      <c r="AK287" s="1705">
        <f t="shared" ref="AK287:AK314" si="283">AL254</f>
        <v>3</v>
      </c>
      <c r="AL287" s="69"/>
      <c r="AM287" s="1705">
        <f t="shared" ref="AM287:AM315" si="284">AN254</f>
        <v>2</v>
      </c>
      <c r="AN287" s="69"/>
      <c r="AO287" s="1705">
        <f t="shared" ref="AO287:AO315" si="285">AP254</f>
        <v>2</v>
      </c>
      <c r="AP287" s="69"/>
      <c r="AQ287" s="1705">
        <f t="shared" ref="AQ287:AQ314" si="286">AR254</f>
        <v>12</v>
      </c>
      <c r="AR287" s="69"/>
      <c r="AS287" s="1705">
        <f t="shared" ref="AS287:AS314" si="287">AT254</f>
        <v>2</v>
      </c>
      <c r="AT287" s="69"/>
      <c r="AU287" s="1705">
        <f t="shared" ref="AU287:AU314" si="288">AV254</f>
        <v>8</v>
      </c>
      <c r="AV287" s="69"/>
      <c r="AW287" s="1705" t="str">
        <f t="shared" ref="AW287:AW314" si="289">AX254</f>
        <v/>
      </c>
      <c r="AX287" s="69"/>
      <c r="AY287" s="1073">
        <f t="shared" ref="AY287:AY314" si="290">SUM(E287:AX287)</f>
        <v>113</v>
      </c>
      <c r="AZ287" s="1711"/>
      <c r="BA287" s="1711"/>
      <c r="BB287" s="1711"/>
      <c r="BC287" s="1530"/>
      <c r="BD287" s="1697"/>
    </row>
    <row r="288" ht="21.0" customHeight="1">
      <c r="A288" s="1130">
        <f t="shared" ref="A288:D288" si="266">A255</f>
        <v>2</v>
      </c>
      <c r="B288" s="1111">
        <f t="shared" si="266"/>
        <v>1076</v>
      </c>
      <c r="C288" s="1200" t="str">
        <f t="shared" si="266"/>
        <v>Завтрак </v>
      </c>
      <c r="D288" s="591" t="str">
        <f t="shared" si="266"/>
        <v>Сырники со сметаной</v>
      </c>
      <c r="E288" s="1713">
        <f t="shared" si="267"/>
        <v>12</v>
      </c>
      <c r="F288" s="69"/>
      <c r="G288" s="1713">
        <f t="shared" si="268"/>
        <v>3</v>
      </c>
      <c r="H288" s="69"/>
      <c r="I288" s="1713">
        <f t="shared" si="269"/>
        <v>4</v>
      </c>
      <c r="J288" s="69"/>
      <c r="K288" s="1713">
        <f t="shared" si="270"/>
        <v>10</v>
      </c>
      <c r="L288" s="69"/>
      <c r="M288" s="1713">
        <f t="shared" si="271"/>
        <v>7</v>
      </c>
      <c r="N288" s="69"/>
      <c r="O288" s="1713">
        <f t="shared" si="272"/>
        <v>3</v>
      </c>
      <c r="P288" s="69"/>
      <c r="Q288" s="1713">
        <f t="shared" si="273"/>
        <v>3</v>
      </c>
      <c r="R288" s="69"/>
      <c r="S288" s="1713">
        <f t="shared" si="274"/>
        <v>6</v>
      </c>
      <c r="T288" s="69"/>
      <c r="U288" s="1713">
        <f t="shared" si="275"/>
        <v>5</v>
      </c>
      <c r="V288" s="69"/>
      <c r="W288" s="1713">
        <f t="shared" si="276"/>
        <v>10</v>
      </c>
      <c r="X288" s="69"/>
      <c r="Y288" s="1713">
        <f t="shared" si="277"/>
        <v>4</v>
      </c>
      <c r="Z288" s="69"/>
      <c r="AA288" s="1713">
        <f t="shared" si="278"/>
        <v>5</v>
      </c>
      <c r="AB288" s="69"/>
      <c r="AC288" s="1713">
        <f t="shared" si="279"/>
        <v>8</v>
      </c>
      <c r="AD288" s="69"/>
      <c r="AE288" s="1713">
        <f t="shared" si="280"/>
        <v>10</v>
      </c>
      <c r="AF288" s="69"/>
      <c r="AG288" s="1713">
        <f t="shared" si="281"/>
        <v>3</v>
      </c>
      <c r="AH288" s="69"/>
      <c r="AI288" s="1713">
        <f t="shared" si="282"/>
        <v>3</v>
      </c>
      <c r="AJ288" s="69"/>
      <c r="AK288" s="1705">
        <f t="shared" si="283"/>
        <v>3</v>
      </c>
      <c r="AL288" s="69"/>
      <c r="AM288" s="1705">
        <f t="shared" si="284"/>
        <v>2</v>
      </c>
      <c r="AN288" s="69"/>
      <c r="AO288" s="1705">
        <f t="shared" si="285"/>
        <v>4</v>
      </c>
      <c r="AP288" s="69"/>
      <c r="AQ288" s="1705">
        <f t="shared" si="286"/>
        <v>10</v>
      </c>
      <c r="AR288" s="69"/>
      <c r="AS288" s="1705" t="str">
        <f t="shared" si="287"/>
        <v/>
      </c>
      <c r="AT288" s="69"/>
      <c r="AU288" s="1705">
        <f t="shared" si="288"/>
        <v>8</v>
      </c>
      <c r="AV288" s="69"/>
      <c r="AW288" s="1705" t="str">
        <f t="shared" si="289"/>
        <v/>
      </c>
      <c r="AX288" s="69"/>
      <c r="AY288" s="1327">
        <f t="shared" si="290"/>
        <v>123</v>
      </c>
      <c r="AZ288" s="1711"/>
      <c r="BA288" s="1711"/>
      <c r="BB288" s="1711"/>
      <c r="BC288" s="1530"/>
      <c r="BD288" s="1697"/>
    </row>
    <row r="289" ht="21.0" customHeight="1">
      <c r="A289" s="1130">
        <f t="shared" ref="A289:D289" si="291">A256</f>
        <v>3</v>
      </c>
      <c r="B289" s="1111">
        <f t="shared" si="291"/>
        <v>1287</v>
      </c>
      <c r="C289" s="1200" t="str">
        <f t="shared" si="291"/>
        <v>Завтрак </v>
      </c>
      <c r="D289" s="591" t="str">
        <f t="shared" si="291"/>
        <v>Каша пшенная (на молоке)</v>
      </c>
      <c r="E289" s="1713">
        <f t="shared" si="267"/>
        <v>15</v>
      </c>
      <c r="F289" s="69"/>
      <c r="G289" s="1713">
        <f t="shared" si="268"/>
        <v>6</v>
      </c>
      <c r="H289" s="69"/>
      <c r="I289" s="1713">
        <f t="shared" si="269"/>
        <v>5</v>
      </c>
      <c r="J289" s="69"/>
      <c r="K289" s="1713">
        <f t="shared" si="270"/>
        <v>15</v>
      </c>
      <c r="L289" s="69"/>
      <c r="M289" s="1713">
        <f t="shared" si="271"/>
        <v>8</v>
      </c>
      <c r="N289" s="69"/>
      <c r="O289" s="1713">
        <f t="shared" si="272"/>
        <v>4</v>
      </c>
      <c r="P289" s="69"/>
      <c r="Q289" s="1713">
        <f t="shared" si="273"/>
        <v>3</v>
      </c>
      <c r="R289" s="69"/>
      <c r="S289" s="1713">
        <f t="shared" si="274"/>
        <v>4</v>
      </c>
      <c r="T289" s="69"/>
      <c r="U289" s="1713">
        <f t="shared" si="275"/>
        <v>6</v>
      </c>
      <c r="V289" s="69"/>
      <c r="W289" s="1713">
        <f t="shared" si="276"/>
        <v>10</v>
      </c>
      <c r="X289" s="69"/>
      <c r="Y289" s="1713">
        <f t="shared" si="277"/>
        <v>4</v>
      </c>
      <c r="Z289" s="69"/>
      <c r="AA289" s="1713">
        <f t="shared" si="278"/>
        <v>4</v>
      </c>
      <c r="AB289" s="69"/>
      <c r="AC289" s="1713">
        <f t="shared" si="279"/>
        <v>5</v>
      </c>
      <c r="AD289" s="69"/>
      <c r="AE289" s="1713">
        <f t="shared" si="280"/>
        <v>8</v>
      </c>
      <c r="AF289" s="69"/>
      <c r="AG289" s="1713">
        <f t="shared" si="281"/>
        <v>5</v>
      </c>
      <c r="AH289" s="69"/>
      <c r="AI289" s="1713">
        <f t="shared" si="282"/>
        <v>6</v>
      </c>
      <c r="AJ289" s="69"/>
      <c r="AK289" s="1705">
        <f t="shared" si="283"/>
        <v>3</v>
      </c>
      <c r="AL289" s="69"/>
      <c r="AM289" s="1705">
        <f t="shared" si="284"/>
        <v>3</v>
      </c>
      <c r="AN289" s="69"/>
      <c r="AO289" s="1705">
        <f t="shared" si="285"/>
        <v>3</v>
      </c>
      <c r="AP289" s="69"/>
      <c r="AQ289" s="1705">
        <f t="shared" si="286"/>
        <v>15</v>
      </c>
      <c r="AR289" s="69"/>
      <c r="AS289" s="1705">
        <f t="shared" si="287"/>
        <v>4</v>
      </c>
      <c r="AT289" s="69"/>
      <c r="AU289" s="1705">
        <f t="shared" si="288"/>
        <v>8</v>
      </c>
      <c r="AV289" s="69"/>
      <c r="AW289" s="1705" t="str">
        <f t="shared" si="289"/>
        <v/>
      </c>
      <c r="AX289" s="69"/>
      <c r="AY289" s="1327">
        <f t="shared" si="290"/>
        <v>144</v>
      </c>
      <c r="AZ289" s="1711"/>
      <c r="BA289" s="1711"/>
      <c r="BB289" s="1711"/>
      <c r="BC289" s="1530"/>
      <c r="BD289" s="1697"/>
    </row>
    <row r="290" ht="21.0" customHeight="1">
      <c r="A290" s="1130"/>
      <c r="B290" s="1111" t="str">
        <f t="shared" ref="B290:D290" si="292">B257</f>
        <v/>
      </c>
      <c r="C290" s="1200" t="str">
        <f t="shared" si="292"/>
        <v>Завтрак </v>
      </c>
      <c r="D290" s="591" t="str">
        <f t="shared" si="292"/>
        <v/>
      </c>
      <c r="E290" s="1713" t="str">
        <f t="shared" si="267"/>
        <v/>
      </c>
      <c r="F290" s="69"/>
      <c r="G290" s="1713" t="str">
        <f t="shared" si="268"/>
        <v/>
      </c>
      <c r="H290" s="69"/>
      <c r="I290" s="1713" t="str">
        <f t="shared" si="269"/>
        <v/>
      </c>
      <c r="J290" s="69"/>
      <c r="K290" s="1713" t="str">
        <f t="shared" si="270"/>
        <v/>
      </c>
      <c r="L290" s="69"/>
      <c r="M290" s="1713" t="str">
        <f t="shared" si="271"/>
        <v/>
      </c>
      <c r="N290" s="69"/>
      <c r="O290" s="1713" t="str">
        <f t="shared" si="272"/>
        <v/>
      </c>
      <c r="P290" s="69"/>
      <c r="Q290" s="1713" t="str">
        <f t="shared" si="273"/>
        <v/>
      </c>
      <c r="R290" s="69"/>
      <c r="S290" s="1713" t="str">
        <f t="shared" si="274"/>
        <v/>
      </c>
      <c r="T290" s="69"/>
      <c r="U290" s="1713" t="str">
        <f t="shared" si="275"/>
        <v/>
      </c>
      <c r="V290" s="69"/>
      <c r="W290" s="1713" t="str">
        <f t="shared" si="276"/>
        <v/>
      </c>
      <c r="X290" s="69"/>
      <c r="Y290" s="1713" t="str">
        <f t="shared" si="277"/>
        <v/>
      </c>
      <c r="Z290" s="69"/>
      <c r="AA290" s="1713" t="str">
        <f t="shared" si="278"/>
        <v/>
      </c>
      <c r="AB290" s="69"/>
      <c r="AC290" s="1713" t="str">
        <f t="shared" si="279"/>
        <v/>
      </c>
      <c r="AD290" s="69"/>
      <c r="AE290" s="1713" t="str">
        <f t="shared" si="280"/>
        <v/>
      </c>
      <c r="AF290" s="69"/>
      <c r="AG290" s="1713" t="str">
        <f t="shared" si="281"/>
        <v/>
      </c>
      <c r="AH290" s="69"/>
      <c r="AI290" s="1713" t="str">
        <f t="shared" si="282"/>
        <v/>
      </c>
      <c r="AJ290" s="69"/>
      <c r="AK290" s="1705" t="str">
        <f t="shared" si="283"/>
        <v/>
      </c>
      <c r="AL290" s="69"/>
      <c r="AM290" s="1705" t="str">
        <f t="shared" si="284"/>
        <v/>
      </c>
      <c r="AN290" s="69"/>
      <c r="AO290" s="1705" t="str">
        <f t="shared" si="285"/>
        <v/>
      </c>
      <c r="AP290" s="69"/>
      <c r="AQ290" s="1705" t="str">
        <f t="shared" si="286"/>
        <v/>
      </c>
      <c r="AR290" s="69"/>
      <c r="AS290" s="1705" t="str">
        <f t="shared" si="287"/>
        <v/>
      </c>
      <c r="AT290" s="69"/>
      <c r="AU290" s="1705" t="str">
        <f t="shared" si="288"/>
        <v/>
      </c>
      <c r="AV290" s="69"/>
      <c r="AW290" s="1705" t="str">
        <f t="shared" si="289"/>
        <v/>
      </c>
      <c r="AX290" s="69"/>
      <c r="AY290" s="1327">
        <f t="shared" si="290"/>
        <v>0</v>
      </c>
      <c r="AZ290" s="1711"/>
      <c r="BA290" s="1711"/>
      <c r="BB290" s="1711"/>
      <c r="BC290" s="1530"/>
      <c r="BD290" s="1697"/>
    </row>
    <row r="291" ht="21.0" customHeight="1">
      <c r="A291" s="1130">
        <f t="shared" ref="A291:D291" si="293">A258</f>
        <v>5</v>
      </c>
      <c r="B291" s="1111">
        <f t="shared" si="293"/>
        <v>3067</v>
      </c>
      <c r="C291" s="1200" t="str">
        <f t="shared" si="293"/>
        <v>Салат</v>
      </c>
      <c r="D291" s="591" t="str">
        <f t="shared" si="293"/>
        <v>Салат ''Зимний'' (колбаса варен)</v>
      </c>
      <c r="E291" s="1713">
        <f t="shared" si="267"/>
        <v>18</v>
      </c>
      <c r="F291" s="69"/>
      <c r="G291" s="1713">
        <f t="shared" si="268"/>
        <v>2</v>
      </c>
      <c r="H291" s="69"/>
      <c r="I291" s="1713">
        <f t="shared" si="269"/>
        <v>3</v>
      </c>
      <c r="J291" s="69"/>
      <c r="K291" s="1713">
        <f t="shared" si="270"/>
        <v>22</v>
      </c>
      <c r="L291" s="69"/>
      <c r="M291" s="1713">
        <f t="shared" si="271"/>
        <v>8</v>
      </c>
      <c r="N291" s="69"/>
      <c r="O291" s="1713">
        <f t="shared" si="272"/>
        <v>4</v>
      </c>
      <c r="P291" s="69"/>
      <c r="Q291" s="1713">
        <f t="shared" si="273"/>
        <v>4</v>
      </c>
      <c r="R291" s="69"/>
      <c r="S291" s="1713">
        <f t="shared" si="274"/>
        <v>5</v>
      </c>
      <c r="T291" s="69"/>
      <c r="U291" s="1713">
        <f t="shared" si="275"/>
        <v>6</v>
      </c>
      <c r="V291" s="69"/>
      <c r="W291" s="1713">
        <f t="shared" si="276"/>
        <v>10</v>
      </c>
      <c r="X291" s="69"/>
      <c r="Y291" s="1713">
        <f t="shared" si="277"/>
        <v>9</v>
      </c>
      <c r="Z291" s="69"/>
      <c r="AA291" s="1713">
        <f t="shared" si="278"/>
        <v>6</v>
      </c>
      <c r="AB291" s="69"/>
      <c r="AC291" s="1713">
        <f t="shared" si="279"/>
        <v>8</v>
      </c>
      <c r="AD291" s="69"/>
      <c r="AE291" s="1713">
        <f t="shared" si="280"/>
        <v>5</v>
      </c>
      <c r="AF291" s="69"/>
      <c r="AG291" s="1713">
        <f t="shared" si="281"/>
        <v>4</v>
      </c>
      <c r="AH291" s="69"/>
      <c r="AI291" s="1713">
        <f t="shared" si="282"/>
        <v>2</v>
      </c>
      <c r="AJ291" s="69"/>
      <c r="AK291" s="1705">
        <f t="shared" si="283"/>
        <v>5</v>
      </c>
      <c r="AL291" s="69"/>
      <c r="AM291" s="1705">
        <f t="shared" si="284"/>
        <v>4</v>
      </c>
      <c r="AN291" s="69"/>
      <c r="AO291" s="1705">
        <f t="shared" si="285"/>
        <v>6</v>
      </c>
      <c r="AP291" s="69"/>
      <c r="AQ291" s="1705">
        <f t="shared" si="286"/>
        <v>15</v>
      </c>
      <c r="AR291" s="69"/>
      <c r="AS291" s="1705">
        <f t="shared" si="287"/>
        <v>4</v>
      </c>
      <c r="AT291" s="69"/>
      <c r="AU291" s="1705">
        <f t="shared" si="288"/>
        <v>8</v>
      </c>
      <c r="AV291" s="69"/>
      <c r="AW291" s="1705" t="str">
        <f t="shared" si="289"/>
        <v/>
      </c>
      <c r="AX291" s="69"/>
      <c r="AY291" s="1327">
        <f t="shared" si="290"/>
        <v>158</v>
      </c>
      <c r="AZ291" s="1711"/>
      <c r="BA291" s="1711"/>
      <c r="BB291" s="1711"/>
      <c r="BC291" s="1530"/>
      <c r="BD291" s="1697"/>
    </row>
    <row r="292" ht="21.0" customHeight="1">
      <c r="A292" s="1130">
        <f t="shared" ref="A292:D292" si="294">A259</f>
        <v>6</v>
      </c>
      <c r="B292" s="1111">
        <f t="shared" si="294"/>
        <v>2070</v>
      </c>
      <c r="C292" s="1200" t="str">
        <f t="shared" si="294"/>
        <v>Салат</v>
      </c>
      <c r="D292" s="591" t="str">
        <f t="shared" si="294"/>
        <v>Салат ''Морковь по-корейски'' 120 г</v>
      </c>
      <c r="E292" s="1713" t="str">
        <f t="shared" si="267"/>
        <v/>
      </c>
      <c r="F292" s="69"/>
      <c r="G292" s="1713">
        <f t="shared" si="268"/>
        <v>2</v>
      </c>
      <c r="H292" s="69"/>
      <c r="I292" s="1713" t="str">
        <f t="shared" si="269"/>
        <v/>
      </c>
      <c r="J292" s="69"/>
      <c r="K292" s="1713" t="str">
        <f t="shared" si="270"/>
        <v/>
      </c>
      <c r="L292" s="69"/>
      <c r="M292" s="1713" t="str">
        <f t="shared" si="271"/>
        <v/>
      </c>
      <c r="N292" s="69"/>
      <c r="O292" s="1713" t="str">
        <f t="shared" si="272"/>
        <v/>
      </c>
      <c r="P292" s="69"/>
      <c r="Q292" s="1713" t="str">
        <f t="shared" si="273"/>
        <v/>
      </c>
      <c r="R292" s="69"/>
      <c r="S292" s="1713" t="str">
        <f t="shared" si="274"/>
        <v/>
      </c>
      <c r="T292" s="69"/>
      <c r="U292" s="1713" t="str">
        <f t="shared" si="275"/>
        <v/>
      </c>
      <c r="V292" s="69"/>
      <c r="W292" s="1713" t="str">
        <f t="shared" si="276"/>
        <v/>
      </c>
      <c r="X292" s="69"/>
      <c r="Y292" s="1713" t="str">
        <f t="shared" si="277"/>
        <v/>
      </c>
      <c r="Z292" s="69"/>
      <c r="AA292" s="1713" t="str">
        <f t="shared" si="278"/>
        <v/>
      </c>
      <c r="AB292" s="69"/>
      <c r="AC292" s="1713" t="str">
        <f t="shared" si="279"/>
        <v/>
      </c>
      <c r="AD292" s="69"/>
      <c r="AE292" s="1713" t="str">
        <f t="shared" si="280"/>
        <v/>
      </c>
      <c r="AF292" s="69"/>
      <c r="AG292" s="1713" t="str">
        <f t="shared" si="281"/>
        <v/>
      </c>
      <c r="AH292" s="69"/>
      <c r="AI292" s="1713" t="str">
        <f t="shared" si="282"/>
        <v/>
      </c>
      <c r="AJ292" s="69"/>
      <c r="AK292" s="1705" t="str">
        <f t="shared" si="283"/>
        <v/>
      </c>
      <c r="AL292" s="69"/>
      <c r="AM292" s="1705" t="str">
        <f t="shared" si="284"/>
        <v/>
      </c>
      <c r="AN292" s="69"/>
      <c r="AO292" s="1705" t="str">
        <f t="shared" si="285"/>
        <v/>
      </c>
      <c r="AP292" s="69"/>
      <c r="AQ292" s="1705">
        <f t="shared" si="286"/>
        <v>10</v>
      </c>
      <c r="AR292" s="69"/>
      <c r="AS292" s="1705" t="str">
        <f t="shared" si="287"/>
        <v/>
      </c>
      <c r="AT292" s="69"/>
      <c r="AU292" s="1705" t="str">
        <f t="shared" si="288"/>
        <v/>
      </c>
      <c r="AV292" s="69"/>
      <c r="AW292" s="1705" t="str">
        <f t="shared" si="289"/>
        <v/>
      </c>
      <c r="AX292" s="69"/>
      <c r="AY292" s="1327">
        <f t="shared" si="290"/>
        <v>12</v>
      </c>
      <c r="AZ292" s="1711"/>
      <c r="BA292" s="1711"/>
      <c r="BB292" s="1711"/>
      <c r="BC292" s="1530"/>
      <c r="BD292" s="1697"/>
    </row>
    <row r="293" ht="21.0" customHeight="1">
      <c r="A293" s="1130">
        <f t="shared" ref="A293:D293" si="295">A260</f>
        <v>7</v>
      </c>
      <c r="B293" s="1111">
        <f t="shared" si="295"/>
        <v>3173</v>
      </c>
      <c r="C293" s="1200" t="str">
        <f t="shared" si="295"/>
        <v>Салат</v>
      </c>
      <c r="D293" s="591" t="str">
        <f t="shared" si="295"/>
        <v>Закуска с селёдкой 120 г</v>
      </c>
      <c r="E293" s="1705">
        <f t="shared" si="267"/>
        <v>18</v>
      </c>
      <c r="F293" s="69"/>
      <c r="G293" s="1705">
        <f t="shared" si="268"/>
        <v>2</v>
      </c>
      <c r="H293" s="69"/>
      <c r="I293" s="1705">
        <f t="shared" si="269"/>
        <v>2</v>
      </c>
      <c r="J293" s="69"/>
      <c r="K293" s="1705">
        <f t="shared" si="270"/>
        <v>20</v>
      </c>
      <c r="L293" s="69"/>
      <c r="M293" s="1705">
        <f t="shared" si="271"/>
        <v>8</v>
      </c>
      <c r="N293" s="69"/>
      <c r="O293" s="1705">
        <f t="shared" si="272"/>
        <v>6</v>
      </c>
      <c r="P293" s="69"/>
      <c r="Q293" s="1705">
        <f t="shared" si="273"/>
        <v>4</v>
      </c>
      <c r="R293" s="69"/>
      <c r="S293" s="1705">
        <f t="shared" si="274"/>
        <v>4</v>
      </c>
      <c r="T293" s="69"/>
      <c r="U293" s="1705">
        <f t="shared" si="275"/>
        <v>8</v>
      </c>
      <c r="V293" s="69"/>
      <c r="W293" s="1705">
        <f t="shared" si="276"/>
        <v>12</v>
      </c>
      <c r="X293" s="69"/>
      <c r="Y293" s="1705">
        <f t="shared" si="277"/>
        <v>9</v>
      </c>
      <c r="Z293" s="69"/>
      <c r="AA293" s="1705">
        <f t="shared" si="278"/>
        <v>6</v>
      </c>
      <c r="AB293" s="69"/>
      <c r="AC293" s="1705">
        <f t="shared" si="279"/>
        <v>8</v>
      </c>
      <c r="AD293" s="69"/>
      <c r="AE293" s="1705">
        <f t="shared" si="280"/>
        <v>8</v>
      </c>
      <c r="AF293" s="69"/>
      <c r="AG293" s="1705">
        <f t="shared" si="281"/>
        <v>4</v>
      </c>
      <c r="AH293" s="69"/>
      <c r="AI293" s="1705">
        <f t="shared" si="282"/>
        <v>2</v>
      </c>
      <c r="AJ293" s="69"/>
      <c r="AK293" s="1705">
        <f t="shared" si="283"/>
        <v>5</v>
      </c>
      <c r="AL293" s="69"/>
      <c r="AM293" s="1705">
        <f t="shared" si="284"/>
        <v>4</v>
      </c>
      <c r="AN293" s="69"/>
      <c r="AO293" s="1705">
        <f t="shared" si="285"/>
        <v>6</v>
      </c>
      <c r="AP293" s="69"/>
      <c r="AQ293" s="1705">
        <f t="shared" si="286"/>
        <v>15</v>
      </c>
      <c r="AR293" s="69"/>
      <c r="AS293" s="1705">
        <f t="shared" si="287"/>
        <v>4</v>
      </c>
      <c r="AT293" s="69"/>
      <c r="AU293" s="1705">
        <f t="shared" si="288"/>
        <v>8</v>
      </c>
      <c r="AV293" s="69"/>
      <c r="AW293" s="1705" t="str">
        <f t="shared" si="289"/>
        <v/>
      </c>
      <c r="AX293" s="69"/>
      <c r="AY293" s="1073">
        <f t="shared" si="290"/>
        <v>163</v>
      </c>
      <c r="AZ293" s="1711"/>
      <c r="BA293" s="1711"/>
      <c r="BB293" s="1711"/>
      <c r="BC293" s="1530"/>
      <c r="BD293" s="1697"/>
    </row>
    <row r="294" ht="21.0" customHeight="1">
      <c r="A294" s="1130">
        <f t="shared" ref="A294:D294" si="296">A261</f>
        <v>8</v>
      </c>
      <c r="B294" s="1111">
        <f t="shared" si="296"/>
        <v>1450</v>
      </c>
      <c r="C294" s="1200" t="str">
        <f t="shared" si="296"/>
        <v>Премиум</v>
      </c>
      <c r="D294" s="591" t="str">
        <f t="shared" si="296"/>
        <v>Боул с крабом, бобами эдамаме и овощами</v>
      </c>
      <c r="E294" s="1705">
        <f t="shared" si="267"/>
        <v>7</v>
      </c>
      <c r="F294" s="69"/>
      <c r="G294" s="1705">
        <f t="shared" si="268"/>
        <v>4</v>
      </c>
      <c r="H294" s="69"/>
      <c r="I294" s="1705" t="str">
        <f t="shared" si="269"/>
        <v/>
      </c>
      <c r="J294" s="69"/>
      <c r="K294" s="1705">
        <f t="shared" si="270"/>
        <v>6</v>
      </c>
      <c r="L294" s="69"/>
      <c r="M294" s="1705">
        <f t="shared" si="271"/>
        <v>2</v>
      </c>
      <c r="N294" s="69"/>
      <c r="O294" s="1705">
        <f t="shared" si="272"/>
        <v>2</v>
      </c>
      <c r="P294" s="69"/>
      <c r="Q294" s="1705" t="str">
        <f t="shared" si="273"/>
        <v/>
      </c>
      <c r="R294" s="69"/>
      <c r="S294" s="1705">
        <f t="shared" si="274"/>
        <v>2</v>
      </c>
      <c r="T294" s="69"/>
      <c r="U294" s="1705">
        <f t="shared" si="275"/>
        <v>2</v>
      </c>
      <c r="V294" s="69"/>
      <c r="W294" s="1705">
        <f t="shared" si="276"/>
        <v>7</v>
      </c>
      <c r="X294" s="69"/>
      <c r="Y294" s="1705" t="str">
        <f t="shared" si="277"/>
        <v/>
      </c>
      <c r="Z294" s="69"/>
      <c r="AA294" s="1705" t="str">
        <f t="shared" si="278"/>
        <v/>
      </c>
      <c r="AB294" s="69"/>
      <c r="AC294" s="1705">
        <f t="shared" si="279"/>
        <v>2</v>
      </c>
      <c r="AD294" s="69"/>
      <c r="AE294" s="1705">
        <f t="shared" si="280"/>
        <v>4</v>
      </c>
      <c r="AF294" s="69"/>
      <c r="AG294" s="1705">
        <f t="shared" si="281"/>
        <v>2</v>
      </c>
      <c r="AH294" s="69"/>
      <c r="AI294" s="1705">
        <f t="shared" si="282"/>
        <v>2</v>
      </c>
      <c r="AJ294" s="69"/>
      <c r="AK294" s="1705">
        <f t="shared" si="283"/>
        <v>2</v>
      </c>
      <c r="AL294" s="69"/>
      <c r="AM294" s="1705">
        <f t="shared" si="284"/>
        <v>2</v>
      </c>
      <c r="AN294" s="69"/>
      <c r="AO294" s="1705" t="str">
        <f t="shared" si="285"/>
        <v/>
      </c>
      <c r="AP294" s="69"/>
      <c r="AQ294" s="1705">
        <f t="shared" si="286"/>
        <v>5</v>
      </c>
      <c r="AR294" s="69"/>
      <c r="AS294" s="1705">
        <f t="shared" si="287"/>
        <v>2</v>
      </c>
      <c r="AT294" s="69"/>
      <c r="AU294" s="1705">
        <f t="shared" si="288"/>
        <v>6</v>
      </c>
      <c r="AV294" s="69"/>
      <c r="AW294" s="1705" t="str">
        <f t="shared" si="289"/>
        <v/>
      </c>
      <c r="AX294" s="69"/>
      <c r="AY294" s="1073">
        <f t="shared" si="290"/>
        <v>59</v>
      </c>
      <c r="AZ294" s="1711"/>
      <c r="BA294" s="1711"/>
      <c r="BB294" s="1711"/>
      <c r="BC294" s="1530"/>
      <c r="BD294" s="1697"/>
    </row>
    <row r="295" ht="21.0" customHeight="1">
      <c r="A295" s="1130">
        <f t="shared" ref="A295:D295" si="297">A262</f>
        <v>9</v>
      </c>
      <c r="B295" s="1111" t="str">
        <f t="shared" si="297"/>
        <v/>
      </c>
      <c r="C295" s="1200" t="str">
        <f t="shared" si="297"/>
        <v>Салат</v>
      </c>
      <c r="D295" s="591" t="str">
        <f t="shared" si="297"/>
        <v/>
      </c>
      <c r="E295" s="1705" t="str">
        <f t="shared" si="267"/>
        <v/>
      </c>
      <c r="F295" s="69"/>
      <c r="G295" s="1705" t="str">
        <f t="shared" si="268"/>
        <v/>
      </c>
      <c r="H295" s="69"/>
      <c r="I295" s="1705" t="str">
        <f t="shared" si="269"/>
        <v/>
      </c>
      <c r="J295" s="69"/>
      <c r="K295" s="1705" t="str">
        <f t="shared" si="270"/>
        <v/>
      </c>
      <c r="L295" s="69"/>
      <c r="M295" s="1705" t="str">
        <f t="shared" si="271"/>
        <v/>
      </c>
      <c r="N295" s="69"/>
      <c r="O295" s="1705" t="str">
        <f t="shared" si="272"/>
        <v/>
      </c>
      <c r="P295" s="69"/>
      <c r="Q295" s="1705" t="str">
        <f t="shared" si="273"/>
        <v/>
      </c>
      <c r="R295" s="69"/>
      <c r="S295" s="1705" t="str">
        <f t="shared" si="274"/>
        <v/>
      </c>
      <c r="T295" s="69"/>
      <c r="U295" s="1705" t="str">
        <f t="shared" si="275"/>
        <v/>
      </c>
      <c r="V295" s="69"/>
      <c r="W295" s="1705" t="str">
        <f t="shared" si="276"/>
        <v/>
      </c>
      <c r="X295" s="69"/>
      <c r="Y295" s="1705" t="str">
        <f t="shared" si="277"/>
        <v/>
      </c>
      <c r="Z295" s="69"/>
      <c r="AA295" s="1705" t="str">
        <f t="shared" si="278"/>
        <v/>
      </c>
      <c r="AB295" s="69"/>
      <c r="AC295" s="1705" t="str">
        <f t="shared" si="279"/>
        <v/>
      </c>
      <c r="AD295" s="69"/>
      <c r="AE295" s="1705" t="str">
        <f t="shared" si="280"/>
        <v/>
      </c>
      <c r="AF295" s="69"/>
      <c r="AG295" s="1705" t="str">
        <f t="shared" si="281"/>
        <v/>
      </c>
      <c r="AH295" s="69"/>
      <c r="AI295" s="1705" t="str">
        <f t="shared" si="282"/>
        <v/>
      </c>
      <c r="AJ295" s="69"/>
      <c r="AK295" s="1705" t="str">
        <f t="shared" si="283"/>
        <v/>
      </c>
      <c r="AL295" s="69"/>
      <c r="AM295" s="1705" t="str">
        <f t="shared" si="284"/>
        <v/>
      </c>
      <c r="AN295" s="69"/>
      <c r="AO295" s="1705" t="str">
        <f t="shared" si="285"/>
        <v/>
      </c>
      <c r="AP295" s="69"/>
      <c r="AQ295" s="1705" t="str">
        <f t="shared" si="286"/>
        <v/>
      </c>
      <c r="AR295" s="69"/>
      <c r="AS295" s="1705" t="str">
        <f t="shared" si="287"/>
        <v/>
      </c>
      <c r="AT295" s="69"/>
      <c r="AU295" s="1705" t="str">
        <f t="shared" si="288"/>
        <v/>
      </c>
      <c r="AV295" s="69"/>
      <c r="AW295" s="1705" t="str">
        <f t="shared" si="289"/>
        <v/>
      </c>
      <c r="AX295" s="69"/>
      <c r="AY295" s="1073">
        <f t="shared" si="290"/>
        <v>0</v>
      </c>
      <c r="AZ295" s="1711"/>
      <c r="BA295" s="1711"/>
      <c r="BB295" s="1711"/>
      <c r="BC295" s="1530"/>
      <c r="BD295" s="1697"/>
    </row>
    <row r="296" ht="21.0" customHeight="1">
      <c r="A296" s="1130">
        <f t="shared" ref="A296:D296" si="298">A263</f>
        <v>10</v>
      </c>
      <c r="B296" s="1111">
        <f t="shared" si="298"/>
        <v>2288</v>
      </c>
      <c r="C296" s="1200" t="str">
        <f t="shared" si="298"/>
        <v>Суп</v>
      </c>
      <c r="D296" s="591" t="str">
        <f t="shared" si="298"/>
        <v>Суп гороховый 250 мл</v>
      </c>
      <c r="E296" s="1713" t="str">
        <f t="shared" si="267"/>
        <v/>
      </c>
      <c r="F296" s="69"/>
      <c r="G296" s="1713" t="str">
        <f t="shared" si="268"/>
        <v/>
      </c>
      <c r="H296" s="69"/>
      <c r="I296" s="1713" t="str">
        <f t="shared" si="269"/>
        <v/>
      </c>
      <c r="J296" s="69"/>
      <c r="K296" s="1713" t="str">
        <f t="shared" si="270"/>
        <v/>
      </c>
      <c r="L296" s="69"/>
      <c r="M296" s="1713" t="str">
        <f t="shared" si="271"/>
        <v/>
      </c>
      <c r="N296" s="69"/>
      <c r="O296" s="1713" t="str">
        <f t="shared" si="272"/>
        <v/>
      </c>
      <c r="P296" s="69"/>
      <c r="Q296" s="1713" t="str">
        <f t="shared" si="273"/>
        <v/>
      </c>
      <c r="R296" s="69"/>
      <c r="S296" s="1713" t="str">
        <f t="shared" si="274"/>
        <v/>
      </c>
      <c r="T296" s="69"/>
      <c r="U296" s="1713" t="str">
        <f t="shared" si="275"/>
        <v/>
      </c>
      <c r="V296" s="69"/>
      <c r="W296" s="1713" t="str">
        <f t="shared" si="276"/>
        <v/>
      </c>
      <c r="X296" s="69"/>
      <c r="Y296" s="1713" t="str">
        <f t="shared" si="277"/>
        <v/>
      </c>
      <c r="Z296" s="69"/>
      <c r="AA296" s="1713" t="str">
        <f t="shared" si="278"/>
        <v/>
      </c>
      <c r="AB296" s="69"/>
      <c r="AC296" s="1713" t="str">
        <f t="shared" si="279"/>
        <v/>
      </c>
      <c r="AD296" s="69"/>
      <c r="AE296" s="1713" t="str">
        <f t="shared" si="280"/>
        <v/>
      </c>
      <c r="AF296" s="69"/>
      <c r="AG296" s="1705" t="str">
        <f t="shared" si="281"/>
        <v/>
      </c>
      <c r="AH296" s="69"/>
      <c r="AI296" s="1713" t="str">
        <f t="shared" si="282"/>
        <v/>
      </c>
      <c r="AJ296" s="69"/>
      <c r="AK296" s="1705" t="str">
        <f t="shared" si="283"/>
        <v/>
      </c>
      <c r="AL296" s="69"/>
      <c r="AM296" s="1705" t="str">
        <f t="shared" si="284"/>
        <v/>
      </c>
      <c r="AN296" s="69"/>
      <c r="AO296" s="1705" t="str">
        <f t="shared" si="285"/>
        <v/>
      </c>
      <c r="AP296" s="69"/>
      <c r="AQ296" s="1705" t="str">
        <f t="shared" si="286"/>
        <v/>
      </c>
      <c r="AR296" s="69"/>
      <c r="AS296" s="1705" t="str">
        <f t="shared" si="287"/>
        <v/>
      </c>
      <c r="AT296" s="69"/>
      <c r="AU296" s="1705">
        <f t="shared" si="288"/>
        <v>4</v>
      </c>
      <c r="AV296" s="69"/>
      <c r="AW296" s="1705" t="str">
        <f t="shared" si="289"/>
        <v/>
      </c>
      <c r="AX296" s="69"/>
      <c r="AY296" s="1327">
        <f t="shared" si="290"/>
        <v>4</v>
      </c>
      <c r="AZ296" s="1711"/>
      <c r="BA296" s="1711"/>
      <c r="BB296" s="1711"/>
      <c r="BC296" s="1530"/>
      <c r="BD296" s="1697"/>
    </row>
    <row r="297" ht="21.0" customHeight="1">
      <c r="A297" s="1130">
        <f t="shared" ref="A297:D297" si="299">A264</f>
        <v>11</v>
      </c>
      <c r="B297" s="1111">
        <f t="shared" si="299"/>
        <v>3474</v>
      </c>
      <c r="C297" s="1200" t="str">
        <f t="shared" si="299"/>
        <v>Второе </v>
      </c>
      <c r="D297" s="591" t="str">
        <f t="shared" si="299"/>
        <v>Паприкаш из говядины с гречкой</v>
      </c>
      <c r="E297" s="1705">
        <f t="shared" si="267"/>
        <v>6</v>
      </c>
      <c r="F297" s="69"/>
      <c r="G297" s="1705" t="str">
        <f t="shared" si="268"/>
        <v/>
      </c>
      <c r="H297" s="69"/>
      <c r="I297" s="1705" t="str">
        <f t="shared" si="269"/>
        <v/>
      </c>
      <c r="J297" s="69"/>
      <c r="K297" s="1705">
        <f t="shared" si="270"/>
        <v>10</v>
      </c>
      <c r="L297" s="69"/>
      <c r="M297" s="1705">
        <f t="shared" si="271"/>
        <v>3</v>
      </c>
      <c r="N297" s="69"/>
      <c r="O297" s="1705">
        <f t="shared" si="272"/>
        <v>3</v>
      </c>
      <c r="P297" s="69"/>
      <c r="Q297" s="1705" t="str">
        <f t="shared" si="273"/>
        <v/>
      </c>
      <c r="R297" s="69"/>
      <c r="S297" s="1705">
        <f t="shared" si="274"/>
        <v>2</v>
      </c>
      <c r="T297" s="69"/>
      <c r="U297" s="1705">
        <f t="shared" si="275"/>
        <v>2</v>
      </c>
      <c r="V297" s="69"/>
      <c r="W297" s="1705">
        <f t="shared" si="276"/>
        <v>5</v>
      </c>
      <c r="X297" s="69"/>
      <c r="Y297" s="1705">
        <f t="shared" si="277"/>
        <v>2</v>
      </c>
      <c r="Z297" s="69"/>
      <c r="AA297" s="1705">
        <f t="shared" si="278"/>
        <v>2</v>
      </c>
      <c r="AB297" s="69"/>
      <c r="AC297" s="1705">
        <f t="shared" si="279"/>
        <v>3</v>
      </c>
      <c r="AD297" s="69"/>
      <c r="AE297" s="1705">
        <f t="shared" si="280"/>
        <v>2</v>
      </c>
      <c r="AF297" s="69"/>
      <c r="AG297" s="1705" t="str">
        <f t="shared" si="281"/>
        <v/>
      </c>
      <c r="AH297" s="69"/>
      <c r="AI297" s="1705">
        <f t="shared" si="282"/>
        <v>2</v>
      </c>
      <c r="AJ297" s="69"/>
      <c r="AK297" s="1705">
        <f t="shared" si="283"/>
        <v>2</v>
      </c>
      <c r="AL297" s="69"/>
      <c r="AM297" s="1705">
        <f t="shared" si="284"/>
        <v>2</v>
      </c>
      <c r="AN297" s="69"/>
      <c r="AO297" s="1705">
        <f t="shared" si="285"/>
        <v>2</v>
      </c>
      <c r="AP297" s="69"/>
      <c r="AQ297" s="1705">
        <f t="shared" si="286"/>
        <v>5</v>
      </c>
      <c r="AR297" s="69"/>
      <c r="AS297" s="1705">
        <f t="shared" si="287"/>
        <v>2</v>
      </c>
      <c r="AT297" s="69"/>
      <c r="AU297" s="1705">
        <f t="shared" si="288"/>
        <v>5</v>
      </c>
      <c r="AV297" s="69"/>
      <c r="AW297" s="1705" t="str">
        <f t="shared" si="289"/>
        <v/>
      </c>
      <c r="AX297" s="69"/>
      <c r="AY297" s="1073">
        <f t="shared" si="290"/>
        <v>60</v>
      </c>
      <c r="AZ297" s="1711"/>
      <c r="BA297" s="1711"/>
      <c r="BB297" s="1711"/>
      <c r="BC297" s="1530"/>
      <c r="BD297" s="1697"/>
    </row>
    <row r="298" ht="21.0" customHeight="1">
      <c r="A298" s="1130">
        <f t="shared" ref="A298:D298" si="300">A265</f>
        <v>12</v>
      </c>
      <c r="B298" s="1111">
        <f t="shared" si="300"/>
        <v>3473</v>
      </c>
      <c r="C298" s="1200" t="str">
        <f t="shared" si="300"/>
        <v>Второе</v>
      </c>
      <c r="D298" s="591" t="str">
        <f t="shared" si="300"/>
        <v>Паприкаш из говядины с картофельным пюре</v>
      </c>
      <c r="E298" s="1705">
        <f t="shared" si="267"/>
        <v>6</v>
      </c>
      <c r="F298" s="69"/>
      <c r="G298" s="1705">
        <f t="shared" si="268"/>
        <v>4</v>
      </c>
      <c r="H298" s="69"/>
      <c r="I298" s="1705">
        <f t="shared" si="269"/>
        <v>2</v>
      </c>
      <c r="J298" s="69"/>
      <c r="K298" s="1705">
        <f t="shared" si="270"/>
        <v>10</v>
      </c>
      <c r="L298" s="69"/>
      <c r="M298" s="1705">
        <f t="shared" si="271"/>
        <v>3</v>
      </c>
      <c r="N298" s="69"/>
      <c r="O298" s="1705">
        <f t="shared" si="272"/>
        <v>3</v>
      </c>
      <c r="P298" s="69"/>
      <c r="Q298" s="1705">
        <f t="shared" si="273"/>
        <v>4</v>
      </c>
      <c r="R298" s="69"/>
      <c r="S298" s="1705">
        <f t="shared" si="274"/>
        <v>2</v>
      </c>
      <c r="T298" s="69"/>
      <c r="U298" s="1705">
        <f t="shared" si="275"/>
        <v>2</v>
      </c>
      <c r="V298" s="69"/>
      <c r="W298" s="1705">
        <f t="shared" si="276"/>
        <v>5</v>
      </c>
      <c r="X298" s="69"/>
      <c r="Y298" s="1705">
        <f t="shared" si="277"/>
        <v>2</v>
      </c>
      <c r="Z298" s="69"/>
      <c r="AA298" s="1705">
        <f t="shared" si="278"/>
        <v>2</v>
      </c>
      <c r="AB298" s="69"/>
      <c r="AC298" s="1705">
        <f t="shared" si="279"/>
        <v>3</v>
      </c>
      <c r="AD298" s="69"/>
      <c r="AE298" s="1705">
        <f t="shared" si="280"/>
        <v>2</v>
      </c>
      <c r="AF298" s="69"/>
      <c r="AG298" s="1705">
        <f t="shared" si="281"/>
        <v>4</v>
      </c>
      <c r="AH298" s="69"/>
      <c r="AI298" s="1705">
        <f t="shared" si="282"/>
        <v>3</v>
      </c>
      <c r="AJ298" s="69"/>
      <c r="AK298" s="1705">
        <f t="shared" si="283"/>
        <v>2</v>
      </c>
      <c r="AL298" s="69"/>
      <c r="AM298" s="1705">
        <f t="shared" si="284"/>
        <v>2</v>
      </c>
      <c r="AN298" s="69"/>
      <c r="AO298" s="1705">
        <f t="shared" si="285"/>
        <v>2</v>
      </c>
      <c r="AP298" s="69"/>
      <c r="AQ298" s="1705">
        <f t="shared" si="286"/>
        <v>5</v>
      </c>
      <c r="AR298" s="69"/>
      <c r="AS298" s="1705">
        <f t="shared" si="287"/>
        <v>2</v>
      </c>
      <c r="AT298" s="69"/>
      <c r="AU298" s="1705">
        <f t="shared" si="288"/>
        <v>4</v>
      </c>
      <c r="AV298" s="69"/>
      <c r="AW298" s="1705" t="str">
        <f t="shared" si="289"/>
        <v/>
      </c>
      <c r="AX298" s="69"/>
      <c r="AY298" s="1073">
        <f t="shared" si="290"/>
        <v>74</v>
      </c>
      <c r="AZ298" s="1711"/>
      <c r="BA298" s="1711"/>
      <c r="BB298" s="1711"/>
      <c r="BC298" s="1530"/>
      <c r="BD298" s="1697"/>
    </row>
    <row r="299" ht="21.0" customHeight="1">
      <c r="A299" s="1130"/>
      <c r="B299" s="1111">
        <f t="shared" ref="B299:D299" si="301">B266</f>
        <v>898</v>
      </c>
      <c r="C299" s="1200" t="str">
        <f t="shared" si="301"/>
        <v>Второе</v>
      </c>
      <c r="D299" s="591" t="str">
        <f t="shared" si="301"/>
        <v>Паприкаш из говядины с макаронами</v>
      </c>
      <c r="E299" s="1705">
        <f t="shared" si="267"/>
        <v>5</v>
      </c>
      <c r="F299" s="69"/>
      <c r="G299" s="1705">
        <f t="shared" si="268"/>
        <v>2</v>
      </c>
      <c r="H299" s="69"/>
      <c r="I299" s="1705">
        <f t="shared" si="269"/>
        <v>3</v>
      </c>
      <c r="J299" s="69"/>
      <c r="K299" s="1705">
        <f t="shared" si="270"/>
        <v>5</v>
      </c>
      <c r="L299" s="69"/>
      <c r="M299" s="1705">
        <f t="shared" si="271"/>
        <v>6</v>
      </c>
      <c r="N299" s="69"/>
      <c r="O299" s="1705">
        <f t="shared" si="272"/>
        <v>6</v>
      </c>
      <c r="P299" s="69"/>
      <c r="Q299" s="1705">
        <f t="shared" si="273"/>
        <v>4</v>
      </c>
      <c r="R299" s="69"/>
      <c r="S299" s="1705">
        <f t="shared" si="274"/>
        <v>4</v>
      </c>
      <c r="T299" s="69"/>
      <c r="U299" s="1705">
        <f t="shared" si="275"/>
        <v>4</v>
      </c>
      <c r="V299" s="69"/>
      <c r="W299" s="1705">
        <f t="shared" si="276"/>
        <v>5</v>
      </c>
      <c r="X299" s="69"/>
      <c r="Y299" s="1705">
        <f t="shared" si="277"/>
        <v>4</v>
      </c>
      <c r="Z299" s="69"/>
      <c r="AA299" s="1705">
        <f t="shared" si="278"/>
        <v>4</v>
      </c>
      <c r="AB299" s="69"/>
      <c r="AC299" s="1705">
        <f t="shared" si="279"/>
        <v>6</v>
      </c>
      <c r="AD299" s="69"/>
      <c r="AE299" s="1705">
        <f t="shared" si="280"/>
        <v>4</v>
      </c>
      <c r="AF299" s="69"/>
      <c r="AG299" s="1705">
        <f t="shared" si="281"/>
        <v>2</v>
      </c>
      <c r="AH299" s="69"/>
      <c r="AI299" s="1713">
        <f t="shared" si="282"/>
        <v>2</v>
      </c>
      <c r="AJ299" s="69"/>
      <c r="AK299" s="1705">
        <f t="shared" si="283"/>
        <v>4</v>
      </c>
      <c r="AL299" s="69"/>
      <c r="AM299" s="1705">
        <f t="shared" si="284"/>
        <v>3</v>
      </c>
      <c r="AN299" s="69"/>
      <c r="AO299" s="1705">
        <f t="shared" si="285"/>
        <v>3</v>
      </c>
      <c r="AP299" s="69"/>
      <c r="AQ299" s="1705">
        <f t="shared" si="286"/>
        <v>10</v>
      </c>
      <c r="AR299" s="69"/>
      <c r="AS299" s="1705">
        <f t="shared" si="287"/>
        <v>2</v>
      </c>
      <c r="AT299" s="69"/>
      <c r="AU299" s="1705">
        <f t="shared" si="288"/>
        <v>10</v>
      </c>
      <c r="AV299" s="69"/>
      <c r="AW299" s="1705" t="str">
        <f t="shared" si="289"/>
        <v/>
      </c>
      <c r="AX299" s="69"/>
      <c r="AY299" s="1073">
        <f t="shared" si="290"/>
        <v>98</v>
      </c>
      <c r="AZ299" s="1711"/>
      <c r="BA299" s="1711"/>
      <c r="BB299" s="1711"/>
      <c r="BC299" s="1530"/>
      <c r="BD299" s="1697"/>
    </row>
    <row r="300" ht="21.0" customHeight="1">
      <c r="A300" s="1130">
        <f t="shared" ref="A300:D300" si="302">A267</f>
        <v>14</v>
      </c>
      <c r="B300" s="1111">
        <f t="shared" si="302"/>
        <v>3476</v>
      </c>
      <c r="C300" s="1200" t="str">
        <f t="shared" si="302"/>
        <v>Второе</v>
      </c>
      <c r="D300" s="591" t="str">
        <f t="shared" si="302"/>
        <v>Крылышки пикантные с картофелем запеченным</v>
      </c>
      <c r="E300" s="1705">
        <f t="shared" si="267"/>
        <v>14</v>
      </c>
      <c r="F300" s="69"/>
      <c r="G300" s="1705">
        <f t="shared" si="268"/>
        <v>4</v>
      </c>
      <c r="H300" s="69"/>
      <c r="I300" s="1705">
        <f t="shared" si="269"/>
        <v>3</v>
      </c>
      <c r="J300" s="69"/>
      <c r="K300" s="1705">
        <f t="shared" si="270"/>
        <v>15</v>
      </c>
      <c r="L300" s="69"/>
      <c r="M300" s="1705">
        <f t="shared" si="271"/>
        <v>6</v>
      </c>
      <c r="N300" s="69"/>
      <c r="O300" s="1705">
        <f t="shared" si="272"/>
        <v>6</v>
      </c>
      <c r="P300" s="69"/>
      <c r="Q300" s="1705">
        <f t="shared" si="273"/>
        <v>4</v>
      </c>
      <c r="R300" s="69"/>
      <c r="S300" s="1705">
        <f t="shared" si="274"/>
        <v>3</v>
      </c>
      <c r="T300" s="69"/>
      <c r="U300" s="1705">
        <f t="shared" si="275"/>
        <v>4</v>
      </c>
      <c r="V300" s="69"/>
      <c r="W300" s="1705">
        <f t="shared" si="276"/>
        <v>12</v>
      </c>
      <c r="X300" s="69"/>
      <c r="Y300" s="1705">
        <f t="shared" si="277"/>
        <v>4</v>
      </c>
      <c r="Z300" s="69"/>
      <c r="AA300" s="1705">
        <f t="shared" si="278"/>
        <v>4</v>
      </c>
      <c r="AB300" s="69"/>
      <c r="AC300" s="1705">
        <f t="shared" si="279"/>
        <v>6</v>
      </c>
      <c r="AD300" s="69"/>
      <c r="AE300" s="1705">
        <f t="shared" si="280"/>
        <v>4</v>
      </c>
      <c r="AF300" s="69"/>
      <c r="AG300" s="1705">
        <f t="shared" si="281"/>
        <v>4</v>
      </c>
      <c r="AH300" s="69"/>
      <c r="AI300" s="1713">
        <f t="shared" si="282"/>
        <v>2</v>
      </c>
      <c r="AJ300" s="69"/>
      <c r="AK300" s="1705">
        <f t="shared" si="283"/>
        <v>4</v>
      </c>
      <c r="AL300" s="69"/>
      <c r="AM300" s="1705">
        <f t="shared" si="284"/>
        <v>3</v>
      </c>
      <c r="AN300" s="69"/>
      <c r="AO300" s="1705">
        <f t="shared" si="285"/>
        <v>3</v>
      </c>
      <c r="AP300" s="69"/>
      <c r="AQ300" s="1705">
        <f t="shared" si="286"/>
        <v>10</v>
      </c>
      <c r="AR300" s="69"/>
      <c r="AS300" s="1705" t="str">
        <f t="shared" si="287"/>
        <v/>
      </c>
      <c r="AT300" s="69"/>
      <c r="AU300" s="1705">
        <f t="shared" si="288"/>
        <v>10</v>
      </c>
      <c r="AV300" s="69"/>
      <c r="AW300" s="1705" t="str">
        <f t="shared" si="289"/>
        <v/>
      </c>
      <c r="AX300" s="69"/>
      <c r="AY300" s="1073">
        <f t="shared" si="290"/>
        <v>125</v>
      </c>
      <c r="AZ300" s="1711"/>
      <c r="BA300" s="1711"/>
      <c r="BB300" s="1711"/>
      <c r="BC300" s="1530"/>
      <c r="BD300" s="1697"/>
    </row>
    <row r="301" ht="21.0" customHeight="1">
      <c r="A301" s="1130">
        <f t="shared" ref="A301:D301" si="303">A268</f>
        <v>15</v>
      </c>
      <c r="B301" s="1111">
        <f t="shared" si="303"/>
        <v>3006</v>
      </c>
      <c r="C301" s="1200" t="str">
        <f t="shared" si="303"/>
        <v>Премиум</v>
      </c>
      <c r="D301" s="591" t="str">
        <f t="shared" si="303"/>
        <v>Филе с томатом и сыром с зеленым рисом </v>
      </c>
      <c r="E301" s="1705">
        <f t="shared" si="267"/>
        <v>6</v>
      </c>
      <c r="F301" s="69"/>
      <c r="G301" s="1705">
        <f t="shared" si="268"/>
        <v>4</v>
      </c>
      <c r="H301" s="69"/>
      <c r="I301" s="1705">
        <f t="shared" si="269"/>
        <v>2</v>
      </c>
      <c r="J301" s="69"/>
      <c r="K301" s="1705">
        <f t="shared" si="270"/>
        <v>8</v>
      </c>
      <c r="L301" s="69"/>
      <c r="M301" s="1705">
        <f t="shared" si="271"/>
        <v>4</v>
      </c>
      <c r="N301" s="69"/>
      <c r="O301" s="1705">
        <f t="shared" si="272"/>
        <v>4</v>
      </c>
      <c r="P301" s="69"/>
      <c r="Q301" s="1705" t="str">
        <f t="shared" si="273"/>
        <v/>
      </c>
      <c r="R301" s="69"/>
      <c r="S301" s="1705">
        <f t="shared" si="274"/>
        <v>2</v>
      </c>
      <c r="T301" s="69"/>
      <c r="U301" s="1705">
        <f t="shared" si="275"/>
        <v>2</v>
      </c>
      <c r="V301" s="69"/>
      <c r="W301" s="1705">
        <f t="shared" si="276"/>
        <v>2</v>
      </c>
      <c r="X301" s="69"/>
      <c r="Y301" s="1705" t="str">
        <f t="shared" si="277"/>
        <v/>
      </c>
      <c r="Z301" s="69"/>
      <c r="AA301" s="1705">
        <f t="shared" si="278"/>
        <v>2</v>
      </c>
      <c r="AB301" s="69"/>
      <c r="AC301" s="1705">
        <f t="shared" si="279"/>
        <v>4</v>
      </c>
      <c r="AD301" s="69"/>
      <c r="AE301" s="1705">
        <f t="shared" si="280"/>
        <v>2</v>
      </c>
      <c r="AF301" s="69"/>
      <c r="AG301" s="1705">
        <f t="shared" si="281"/>
        <v>2</v>
      </c>
      <c r="AH301" s="69"/>
      <c r="AI301" s="1705">
        <f t="shared" si="282"/>
        <v>3</v>
      </c>
      <c r="AJ301" s="69"/>
      <c r="AK301" s="1705">
        <f t="shared" si="283"/>
        <v>2</v>
      </c>
      <c r="AL301" s="69"/>
      <c r="AM301" s="1705">
        <f t="shared" si="284"/>
        <v>2</v>
      </c>
      <c r="AN301" s="69"/>
      <c r="AO301" s="1705" t="str">
        <f t="shared" si="285"/>
        <v/>
      </c>
      <c r="AP301" s="69"/>
      <c r="AQ301" s="1705">
        <f t="shared" si="286"/>
        <v>4</v>
      </c>
      <c r="AR301" s="69"/>
      <c r="AS301" s="1705" t="str">
        <f t="shared" si="287"/>
        <v/>
      </c>
      <c r="AT301" s="69"/>
      <c r="AU301" s="1705">
        <f t="shared" si="288"/>
        <v>4</v>
      </c>
      <c r="AV301" s="69"/>
      <c r="AW301" s="1705" t="str">
        <f t="shared" si="289"/>
        <v/>
      </c>
      <c r="AX301" s="69"/>
      <c r="AY301" s="1073">
        <f t="shared" si="290"/>
        <v>59</v>
      </c>
      <c r="AZ301" s="1711"/>
      <c r="BA301" s="1711"/>
      <c r="BB301" s="1711"/>
      <c r="BC301" s="1530"/>
      <c r="BD301" s="1697"/>
    </row>
    <row r="302" ht="21.0" customHeight="1">
      <c r="A302" s="1130">
        <f t="shared" ref="A302:D302" si="304">A269</f>
        <v>16</v>
      </c>
      <c r="B302" s="1111">
        <f t="shared" si="304"/>
        <v>2859</v>
      </c>
      <c r="C302" s="1200" t="str">
        <f t="shared" si="304"/>
        <v>Второе</v>
      </c>
      <c r="D302" s="591" t="str">
        <f t="shared" si="304"/>
        <v>Манты со сметаной </v>
      </c>
      <c r="E302" s="1705">
        <f t="shared" si="267"/>
        <v>8</v>
      </c>
      <c r="F302" s="69"/>
      <c r="G302" s="1705">
        <f t="shared" si="268"/>
        <v>5</v>
      </c>
      <c r="H302" s="69"/>
      <c r="I302" s="1705">
        <f t="shared" si="269"/>
        <v>2</v>
      </c>
      <c r="J302" s="69"/>
      <c r="K302" s="1705">
        <f t="shared" si="270"/>
        <v>10</v>
      </c>
      <c r="L302" s="69"/>
      <c r="M302" s="1705">
        <f t="shared" si="271"/>
        <v>4</v>
      </c>
      <c r="N302" s="69"/>
      <c r="O302" s="1705">
        <f t="shared" si="272"/>
        <v>4</v>
      </c>
      <c r="P302" s="69"/>
      <c r="Q302" s="1705">
        <f t="shared" si="273"/>
        <v>4</v>
      </c>
      <c r="R302" s="69"/>
      <c r="S302" s="1705" t="str">
        <f t="shared" si="274"/>
        <v/>
      </c>
      <c r="T302" s="69"/>
      <c r="U302" s="1705">
        <f t="shared" si="275"/>
        <v>4</v>
      </c>
      <c r="V302" s="69"/>
      <c r="W302" s="1705">
        <f t="shared" si="276"/>
        <v>10</v>
      </c>
      <c r="X302" s="69"/>
      <c r="Y302" s="1705">
        <f t="shared" si="277"/>
        <v>6</v>
      </c>
      <c r="Z302" s="69"/>
      <c r="AA302" s="1705">
        <f t="shared" si="278"/>
        <v>2</v>
      </c>
      <c r="AB302" s="69"/>
      <c r="AC302" s="1705">
        <f t="shared" si="279"/>
        <v>4</v>
      </c>
      <c r="AD302" s="69"/>
      <c r="AE302" s="1705">
        <f t="shared" si="280"/>
        <v>2</v>
      </c>
      <c r="AF302" s="69"/>
      <c r="AG302" s="1705">
        <f t="shared" si="281"/>
        <v>2</v>
      </c>
      <c r="AH302" s="69"/>
      <c r="AI302" s="1705">
        <f t="shared" si="282"/>
        <v>2</v>
      </c>
      <c r="AJ302" s="69"/>
      <c r="AK302" s="1705">
        <f t="shared" si="283"/>
        <v>2</v>
      </c>
      <c r="AL302" s="69"/>
      <c r="AM302" s="1705">
        <f t="shared" si="284"/>
        <v>2</v>
      </c>
      <c r="AN302" s="69"/>
      <c r="AO302" s="1705">
        <f t="shared" si="285"/>
        <v>2</v>
      </c>
      <c r="AP302" s="69"/>
      <c r="AQ302" s="1705">
        <f t="shared" si="286"/>
        <v>4</v>
      </c>
      <c r="AR302" s="69"/>
      <c r="AS302" s="1705">
        <f t="shared" si="287"/>
        <v>2</v>
      </c>
      <c r="AT302" s="69"/>
      <c r="AU302" s="1705" t="str">
        <f t="shared" si="288"/>
        <v/>
      </c>
      <c r="AV302" s="69"/>
      <c r="AW302" s="1705" t="str">
        <f t="shared" si="289"/>
        <v/>
      </c>
      <c r="AX302" s="69"/>
      <c r="AY302" s="1073">
        <f t="shared" si="290"/>
        <v>81</v>
      </c>
      <c r="AZ302" s="1711"/>
      <c r="BA302" s="1711"/>
      <c r="BB302" s="1711"/>
      <c r="BC302" s="1530"/>
      <c r="BD302" s="1697"/>
    </row>
    <row r="303" ht="21.0" customHeight="1">
      <c r="A303" s="1130">
        <f t="shared" ref="A303:D303" si="305">A270</f>
        <v>17</v>
      </c>
      <c r="B303" s="1111">
        <f t="shared" si="305"/>
        <v>2222</v>
      </c>
      <c r="C303" s="1200" t="str">
        <f t="shared" si="305"/>
        <v>Второе</v>
      </c>
      <c r="D303" s="591" t="str">
        <f t="shared" si="305"/>
        <v>Котлета куриная с тушеной капустой</v>
      </c>
      <c r="E303" s="1705">
        <f t="shared" si="267"/>
        <v>12</v>
      </c>
      <c r="F303" s="69"/>
      <c r="G303" s="1705">
        <f t="shared" si="268"/>
        <v>5</v>
      </c>
      <c r="H303" s="69"/>
      <c r="I303" s="1705">
        <f t="shared" si="269"/>
        <v>3</v>
      </c>
      <c r="J303" s="69"/>
      <c r="K303" s="1705">
        <f t="shared" si="270"/>
        <v>15</v>
      </c>
      <c r="L303" s="69"/>
      <c r="M303" s="1705">
        <f t="shared" si="271"/>
        <v>5</v>
      </c>
      <c r="N303" s="69"/>
      <c r="O303" s="1705">
        <f t="shared" si="272"/>
        <v>5</v>
      </c>
      <c r="P303" s="69"/>
      <c r="Q303" s="1705">
        <f t="shared" si="273"/>
        <v>2</v>
      </c>
      <c r="R303" s="69"/>
      <c r="S303" s="1705">
        <f t="shared" si="274"/>
        <v>2</v>
      </c>
      <c r="T303" s="69"/>
      <c r="U303" s="1705">
        <f t="shared" si="275"/>
        <v>4</v>
      </c>
      <c r="V303" s="69"/>
      <c r="W303" s="1705">
        <f t="shared" si="276"/>
        <v>12</v>
      </c>
      <c r="X303" s="69"/>
      <c r="Y303" s="1705">
        <f t="shared" si="277"/>
        <v>5</v>
      </c>
      <c r="Z303" s="69"/>
      <c r="AA303" s="1705">
        <f t="shared" si="278"/>
        <v>4</v>
      </c>
      <c r="AB303" s="69"/>
      <c r="AC303" s="1705">
        <f t="shared" si="279"/>
        <v>5</v>
      </c>
      <c r="AD303" s="69"/>
      <c r="AE303" s="1705">
        <f t="shared" si="280"/>
        <v>4</v>
      </c>
      <c r="AF303" s="69"/>
      <c r="AG303" s="1705">
        <f t="shared" si="281"/>
        <v>4</v>
      </c>
      <c r="AH303" s="69"/>
      <c r="AI303" s="1705">
        <f t="shared" si="282"/>
        <v>2</v>
      </c>
      <c r="AJ303" s="69"/>
      <c r="AK303" s="1705">
        <f t="shared" si="283"/>
        <v>4</v>
      </c>
      <c r="AL303" s="69"/>
      <c r="AM303" s="1705">
        <f t="shared" si="284"/>
        <v>4</v>
      </c>
      <c r="AN303" s="69"/>
      <c r="AO303" s="1705">
        <f t="shared" si="285"/>
        <v>2</v>
      </c>
      <c r="AP303" s="69"/>
      <c r="AQ303" s="1705">
        <f t="shared" si="286"/>
        <v>12</v>
      </c>
      <c r="AR303" s="69"/>
      <c r="AS303" s="1705">
        <f t="shared" si="287"/>
        <v>2</v>
      </c>
      <c r="AT303" s="69"/>
      <c r="AU303" s="1705" t="str">
        <f t="shared" si="288"/>
        <v/>
      </c>
      <c r="AV303" s="69"/>
      <c r="AW303" s="1705" t="str">
        <f t="shared" si="289"/>
        <v/>
      </c>
      <c r="AX303" s="69"/>
      <c r="AY303" s="1073">
        <f t="shared" si="290"/>
        <v>113</v>
      </c>
      <c r="AZ303" s="1727"/>
      <c r="BA303" s="1727"/>
      <c r="BB303" s="1727"/>
      <c r="BC303" s="1527"/>
      <c r="BD303" s="1697"/>
    </row>
    <row r="304" ht="21.0" customHeight="1">
      <c r="A304" s="1130">
        <f t="shared" ref="A304:D304" si="306">A271</f>
        <v>18</v>
      </c>
      <c r="B304" s="1111">
        <f t="shared" si="306"/>
        <v>54</v>
      </c>
      <c r="C304" s="1200" t="str">
        <f t="shared" si="306"/>
        <v>Сэндвич</v>
      </c>
      <c r="D304" s="591" t="str">
        <f t="shared" si="306"/>
        <v>Сэндвич с ветчиной и сыром</v>
      </c>
      <c r="E304" s="1705">
        <f t="shared" si="267"/>
        <v>16</v>
      </c>
      <c r="F304" s="69"/>
      <c r="G304" s="1705">
        <f t="shared" si="268"/>
        <v>4</v>
      </c>
      <c r="H304" s="69"/>
      <c r="I304" s="1705">
        <f t="shared" si="269"/>
        <v>2</v>
      </c>
      <c r="J304" s="69"/>
      <c r="K304" s="1705">
        <f t="shared" si="270"/>
        <v>15</v>
      </c>
      <c r="L304" s="69"/>
      <c r="M304" s="1705">
        <f t="shared" si="271"/>
        <v>5</v>
      </c>
      <c r="N304" s="69"/>
      <c r="O304" s="1705">
        <f t="shared" si="272"/>
        <v>4</v>
      </c>
      <c r="P304" s="69"/>
      <c r="Q304" s="1705">
        <f t="shared" si="273"/>
        <v>3</v>
      </c>
      <c r="R304" s="69"/>
      <c r="S304" s="1705">
        <f t="shared" si="274"/>
        <v>3</v>
      </c>
      <c r="T304" s="69"/>
      <c r="U304" s="1705">
        <f t="shared" si="275"/>
        <v>2</v>
      </c>
      <c r="V304" s="69"/>
      <c r="W304" s="1705">
        <f t="shared" si="276"/>
        <v>6</v>
      </c>
      <c r="X304" s="69"/>
      <c r="Y304" s="1705">
        <f t="shared" si="277"/>
        <v>2</v>
      </c>
      <c r="Z304" s="69"/>
      <c r="AA304" s="1705">
        <f t="shared" si="278"/>
        <v>4</v>
      </c>
      <c r="AB304" s="69"/>
      <c r="AC304" s="1705">
        <f t="shared" si="279"/>
        <v>7</v>
      </c>
      <c r="AD304" s="69"/>
      <c r="AE304" s="1705">
        <f t="shared" si="280"/>
        <v>10</v>
      </c>
      <c r="AF304" s="69"/>
      <c r="AG304" s="1705">
        <f t="shared" si="281"/>
        <v>5</v>
      </c>
      <c r="AH304" s="69"/>
      <c r="AI304" s="1705">
        <f t="shared" si="282"/>
        <v>2</v>
      </c>
      <c r="AJ304" s="69"/>
      <c r="AK304" s="1705">
        <f t="shared" si="283"/>
        <v>4</v>
      </c>
      <c r="AL304" s="69"/>
      <c r="AM304" s="1705" t="str">
        <f t="shared" si="284"/>
        <v/>
      </c>
      <c r="AN304" s="69"/>
      <c r="AO304" s="1705">
        <f t="shared" si="285"/>
        <v>4</v>
      </c>
      <c r="AP304" s="69"/>
      <c r="AQ304" s="1705">
        <f t="shared" si="286"/>
        <v>8</v>
      </c>
      <c r="AR304" s="69"/>
      <c r="AS304" s="1705">
        <f t="shared" si="287"/>
        <v>3</v>
      </c>
      <c r="AT304" s="69"/>
      <c r="AU304" s="1705">
        <f t="shared" si="288"/>
        <v>4</v>
      </c>
      <c r="AV304" s="69"/>
      <c r="AW304" s="1705" t="str">
        <f t="shared" si="289"/>
        <v/>
      </c>
      <c r="AX304" s="69"/>
      <c r="AY304" s="1073">
        <f t="shared" si="290"/>
        <v>113</v>
      </c>
      <c r="AZ304" s="1727"/>
      <c r="BA304" s="1727"/>
      <c r="BB304" s="1727"/>
      <c r="BC304" s="1527"/>
      <c r="BD304" s="1697"/>
    </row>
    <row r="305" ht="21.0" customHeight="1">
      <c r="A305" s="1130">
        <f t="shared" ref="A305:D305" si="307">A272</f>
        <v>19</v>
      </c>
      <c r="B305" s="1111">
        <f t="shared" si="307"/>
        <v>3222</v>
      </c>
      <c r="C305" s="1200" t="str">
        <f t="shared" si="307"/>
        <v>Сэндвич</v>
      </c>
      <c r="D305" s="591" t="str">
        <f t="shared" si="307"/>
        <v/>
      </c>
      <c r="E305" s="1705">
        <f t="shared" si="267"/>
        <v>6</v>
      </c>
      <c r="F305" s="69"/>
      <c r="G305" s="1705">
        <f t="shared" si="268"/>
        <v>2</v>
      </c>
      <c r="H305" s="69"/>
      <c r="I305" s="1705">
        <f t="shared" si="269"/>
        <v>2</v>
      </c>
      <c r="J305" s="69"/>
      <c r="K305" s="1705">
        <f t="shared" si="270"/>
        <v>12</v>
      </c>
      <c r="L305" s="69"/>
      <c r="M305" s="1705">
        <f t="shared" si="271"/>
        <v>5</v>
      </c>
      <c r="N305" s="69"/>
      <c r="O305" s="1705" t="str">
        <f t="shared" si="272"/>
        <v/>
      </c>
      <c r="P305" s="69"/>
      <c r="Q305" s="1705">
        <f t="shared" si="273"/>
        <v>3</v>
      </c>
      <c r="R305" s="69"/>
      <c r="S305" s="1705">
        <f t="shared" si="274"/>
        <v>3</v>
      </c>
      <c r="T305" s="69"/>
      <c r="U305" s="1705">
        <f t="shared" si="275"/>
        <v>3</v>
      </c>
      <c r="V305" s="69"/>
      <c r="W305" s="1705">
        <f t="shared" si="276"/>
        <v>5</v>
      </c>
      <c r="X305" s="69"/>
      <c r="Y305" s="1705">
        <f t="shared" si="277"/>
        <v>2</v>
      </c>
      <c r="Z305" s="69"/>
      <c r="AA305" s="1705">
        <f t="shared" si="278"/>
        <v>7</v>
      </c>
      <c r="AB305" s="69"/>
      <c r="AC305" s="1705">
        <f t="shared" si="279"/>
        <v>7</v>
      </c>
      <c r="AD305" s="69"/>
      <c r="AE305" s="1705">
        <f t="shared" si="280"/>
        <v>10</v>
      </c>
      <c r="AF305" s="69"/>
      <c r="AG305" s="1705">
        <f t="shared" si="281"/>
        <v>5</v>
      </c>
      <c r="AH305" s="69"/>
      <c r="AI305" s="1705">
        <f t="shared" si="282"/>
        <v>4</v>
      </c>
      <c r="AJ305" s="69"/>
      <c r="AK305" s="1705">
        <f t="shared" si="283"/>
        <v>4</v>
      </c>
      <c r="AL305" s="69"/>
      <c r="AM305" s="1705">
        <f t="shared" si="284"/>
        <v>2</v>
      </c>
      <c r="AN305" s="69"/>
      <c r="AO305" s="1705">
        <f t="shared" si="285"/>
        <v>6</v>
      </c>
      <c r="AP305" s="69"/>
      <c r="AQ305" s="1705">
        <f t="shared" si="286"/>
        <v>6</v>
      </c>
      <c r="AR305" s="69"/>
      <c r="AS305" s="1705" t="str">
        <f t="shared" si="287"/>
        <v/>
      </c>
      <c r="AT305" s="69"/>
      <c r="AU305" s="1705">
        <f t="shared" si="288"/>
        <v>4</v>
      </c>
      <c r="AV305" s="69"/>
      <c r="AW305" s="1705" t="str">
        <f t="shared" si="289"/>
        <v/>
      </c>
      <c r="AX305" s="69"/>
      <c r="AY305" s="1073">
        <f t="shared" si="290"/>
        <v>98</v>
      </c>
      <c r="AZ305" s="1727"/>
      <c r="BA305" s="1727"/>
      <c r="BB305" s="1727"/>
      <c r="BC305" s="1527"/>
      <c r="BD305" s="1697"/>
    </row>
    <row r="306" ht="21.0" customHeight="1">
      <c r="A306" s="1130"/>
      <c r="B306" s="1111" t="str">
        <f t="shared" ref="B306:B307" si="308">B273</f>
        <v/>
      </c>
      <c r="C306" s="1200"/>
      <c r="D306" s="591" t="str">
        <f t="shared" ref="D306:D307" si="309">D273</f>
        <v>Курочка в томатном соусе с макаронами</v>
      </c>
      <c r="E306" s="1705" t="str">
        <f t="shared" si="267"/>
        <v/>
      </c>
      <c r="F306" s="69"/>
      <c r="G306" s="1705" t="str">
        <f t="shared" si="268"/>
        <v/>
      </c>
      <c r="H306" s="69"/>
      <c r="I306" s="1705" t="str">
        <f t="shared" si="269"/>
        <v/>
      </c>
      <c r="J306" s="69"/>
      <c r="K306" s="1705" t="str">
        <f t="shared" si="270"/>
        <v/>
      </c>
      <c r="L306" s="69"/>
      <c r="M306" s="1705" t="str">
        <f t="shared" si="271"/>
        <v/>
      </c>
      <c r="N306" s="69"/>
      <c r="O306" s="1705" t="str">
        <f t="shared" si="272"/>
        <v/>
      </c>
      <c r="P306" s="69"/>
      <c r="Q306" s="1705" t="str">
        <f t="shared" si="273"/>
        <v/>
      </c>
      <c r="R306" s="69"/>
      <c r="S306" s="1705" t="str">
        <f t="shared" si="274"/>
        <v/>
      </c>
      <c r="T306" s="69"/>
      <c r="U306" s="1705" t="str">
        <f t="shared" si="275"/>
        <v/>
      </c>
      <c r="V306" s="69"/>
      <c r="W306" s="1705" t="str">
        <f t="shared" si="276"/>
        <v/>
      </c>
      <c r="X306" s="69"/>
      <c r="Y306" s="1705" t="str">
        <f t="shared" si="277"/>
        <v/>
      </c>
      <c r="Z306" s="69"/>
      <c r="AA306" s="1705" t="str">
        <f t="shared" si="278"/>
        <v/>
      </c>
      <c r="AB306" s="69"/>
      <c r="AC306" s="1705" t="str">
        <f t="shared" si="279"/>
        <v/>
      </c>
      <c r="AD306" s="69"/>
      <c r="AE306" s="1705" t="str">
        <f t="shared" si="280"/>
        <v/>
      </c>
      <c r="AF306" s="69"/>
      <c r="AG306" s="1705" t="str">
        <f t="shared" si="281"/>
        <v/>
      </c>
      <c r="AH306" s="69"/>
      <c r="AI306" s="1705" t="str">
        <f t="shared" si="282"/>
        <v/>
      </c>
      <c r="AJ306" s="69"/>
      <c r="AK306" s="1705" t="str">
        <f t="shared" si="283"/>
        <v/>
      </c>
      <c r="AL306" s="69"/>
      <c r="AM306" s="1705" t="str">
        <f t="shared" si="284"/>
        <v/>
      </c>
      <c r="AN306" s="69"/>
      <c r="AO306" s="1705" t="str">
        <f t="shared" si="285"/>
        <v/>
      </c>
      <c r="AP306" s="69"/>
      <c r="AQ306" s="1705" t="str">
        <f t="shared" si="286"/>
        <v/>
      </c>
      <c r="AR306" s="69"/>
      <c r="AS306" s="1705" t="str">
        <f t="shared" si="287"/>
        <v/>
      </c>
      <c r="AT306" s="69"/>
      <c r="AU306" s="1705" t="str">
        <f t="shared" si="288"/>
        <v/>
      </c>
      <c r="AV306" s="69"/>
      <c r="AW306" s="1705" t="str">
        <f t="shared" si="289"/>
        <v/>
      </c>
      <c r="AX306" s="69"/>
      <c r="AY306" s="1073">
        <f t="shared" si="290"/>
        <v>0</v>
      </c>
      <c r="AZ306" s="1727"/>
      <c r="BA306" s="1727"/>
      <c r="BB306" s="1727"/>
      <c r="BC306" s="1527"/>
      <c r="BD306" s="1697"/>
    </row>
    <row r="307" ht="21.0" customHeight="1">
      <c r="A307" s="1130">
        <f>A273</f>
        <v>20</v>
      </c>
      <c r="B307" s="1111">
        <f t="shared" si="308"/>
        <v>3172</v>
      </c>
      <c r="C307" s="1200" t="str">
        <f>C273</f>
        <v>Внеплан</v>
      </c>
      <c r="D307" s="591" t="str">
        <f t="shared" si="309"/>
        <v>Орешки (8 шт) 65 шт</v>
      </c>
      <c r="E307" s="1705">
        <f t="shared" si="267"/>
        <v>5</v>
      </c>
      <c r="F307" s="69"/>
      <c r="G307" s="1705">
        <f t="shared" si="268"/>
        <v>3</v>
      </c>
      <c r="H307" s="69"/>
      <c r="I307" s="1705">
        <f t="shared" si="269"/>
        <v>2</v>
      </c>
      <c r="J307" s="69"/>
      <c r="K307" s="1705">
        <f t="shared" si="270"/>
        <v>4</v>
      </c>
      <c r="L307" s="69"/>
      <c r="M307" s="1705">
        <f t="shared" si="271"/>
        <v>4</v>
      </c>
      <c r="N307" s="69"/>
      <c r="O307" s="1705" t="str">
        <f t="shared" si="272"/>
        <v/>
      </c>
      <c r="P307" s="69"/>
      <c r="Q307" s="1705">
        <f t="shared" si="273"/>
        <v>3</v>
      </c>
      <c r="R307" s="69"/>
      <c r="S307" s="1705">
        <f t="shared" si="274"/>
        <v>4</v>
      </c>
      <c r="T307" s="69"/>
      <c r="U307" s="1705">
        <f t="shared" si="275"/>
        <v>5</v>
      </c>
      <c r="V307" s="69"/>
      <c r="W307" s="1705">
        <f t="shared" si="276"/>
        <v>4</v>
      </c>
      <c r="X307" s="69"/>
      <c r="Y307" s="1705">
        <f t="shared" si="277"/>
        <v>2</v>
      </c>
      <c r="Z307" s="69"/>
      <c r="AA307" s="1705">
        <f t="shared" si="278"/>
        <v>4</v>
      </c>
      <c r="AB307" s="69"/>
      <c r="AC307" s="1705">
        <f t="shared" si="279"/>
        <v>4</v>
      </c>
      <c r="AD307" s="69"/>
      <c r="AE307" s="1705">
        <f t="shared" si="280"/>
        <v>5</v>
      </c>
      <c r="AF307" s="69"/>
      <c r="AG307" s="1705">
        <f t="shared" si="281"/>
        <v>4</v>
      </c>
      <c r="AH307" s="69"/>
      <c r="AI307" s="1705">
        <f t="shared" si="282"/>
        <v>4</v>
      </c>
      <c r="AJ307" s="69"/>
      <c r="AK307" s="1705">
        <f t="shared" si="283"/>
        <v>4</v>
      </c>
      <c r="AL307" s="69"/>
      <c r="AM307" s="1705" t="str">
        <f t="shared" si="284"/>
        <v/>
      </c>
      <c r="AN307" s="69"/>
      <c r="AO307" s="1705">
        <f t="shared" si="285"/>
        <v>4</v>
      </c>
      <c r="AP307" s="69"/>
      <c r="AQ307" s="1705" t="str">
        <f t="shared" si="286"/>
        <v/>
      </c>
      <c r="AR307" s="69"/>
      <c r="AS307" s="1705" t="str">
        <f t="shared" si="287"/>
        <v/>
      </c>
      <c r="AT307" s="69"/>
      <c r="AU307" s="1705" t="str">
        <f t="shared" si="288"/>
        <v/>
      </c>
      <c r="AV307" s="69"/>
      <c r="AW307" s="1705" t="str">
        <f t="shared" si="289"/>
        <v/>
      </c>
      <c r="AX307" s="69"/>
      <c r="AY307" s="1073">
        <f t="shared" si="290"/>
        <v>65</v>
      </c>
      <c r="AZ307" s="1727"/>
      <c r="BA307" s="1727"/>
      <c r="BB307" s="1727"/>
      <c r="BC307" s="1527"/>
      <c r="BD307" s="1697"/>
    </row>
    <row r="308" ht="21.0" customHeight="1">
      <c r="A308" s="1130">
        <f t="shared" ref="A308:D308" si="310">A275</f>
        <v>22</v>
      </c>
      <c r="B308" s="1111">
        <f t="shared" si="310"/>
        <v>3197</v>
      </c>
      <c r="C308" s="1200" t="str">
        <f t="shared" si="310"/>
        <v>Внеплан</v>
      </c>
      <c r="D308" s="591" t="str">
        <f t="shared" si="310"/>
        <v>Орешки (5 шт) 65 шт</v>
      </c>
      <c r="E308" s="1705">
        <f t="shared" si="267"/>
        <v>5</v>
      </c>
      <c r="F308" s="69"/>
      <c r="G308" s="1705">
        <f t="shared" si="268"/>
        <v>4</v>
      </c>
      <c r="H308" s="69"/>
      <c r="I308" s="1705">
        <f t="shared" si="269"/>
        <v>2</v>
      </c>
      <c r="J308" s="69"/>
      <c r="K308" s="1705">
        <f t="shared" si="270"/>
        <v>4</v>
      </c>
      <c r="L308" s="69"/>
      <c r="M308" s="1705">
        <f t="shared" si="271"/>
        <v>4</v>
      </c>
      <c r="N308" s="69"/>
      <c r="O308" s="1705" t="str">
        <f t="shared" si="272"/>
        <v/>
      </c>
      <c r="P308" s="69"/>
      <c r="Q308" s="1705" t="str">
        <f t="shared" si="273"/>
        <v/>
      </c>
      <c r="R308" s="69"/>
      <c r="S308" s="1705">
        <f t="shared" si="274"/>
        <v>4</v>
      </c>
      <c r="T308" s="69"/>
      <c r="U308" s="1705">
        <f t="shared" si="275"/>
        <v>4</v>
      </c>
      <c r="V308" s="69"/>
      <c r="W308" s="1705">
        <f t="shared" si="276"/>
        <v>4</v>
      </c>
      <c r="X308" s="69"/>
      <c r="Y308" s="1705">
        <f t="shared" si="277"/>
        <v>2</v>
      </c>
      <c r="Z308" s="69"/>
      <c r="AA308" s="1705">
        <f t="shared" si="278"/>
        <v>4</v>
      </c>
      <c r="AB308" s="69"/>
      <c r="AC308" s="1705">
        <f t="shared" si="279"/>
        <v>6</v>
      </c>
      <c r="AD308" s="69"/>
      <c r="AE308" s="1705">
        <f t="shared" si="280"/>
        <v>6</v>
      </c>
      <c r="AF308" s="69"/>
      <c r="AG308" s="1705">
        <f t="shared" si="281"/>
        <v>6</v>
      </c>
      <c r="AH308" s="69"/>
      <c r="AI308" s="1705">
        <f t="shared" si="282"/>
        <v>4</v>
      </c>
      <c r="AJ308" s="69"/>
      <c r="AK308" s="1705">
        <f t="shared" si="283"/>
        <v>4</v>
      </c>
      <c r="AL308" s="69"/>
      <c r="AM308" s="1705" t="str">
        <f t="shared" si="284"/>
        <v/>
      </c>
      <c r="AN308" s="69"/>
      <c r="AO308" s="1705">
        <f t="shared" si="285"/>
        <v>2</v>
      </c>
      <c r="AP308" s="69"/>
      <c r="AQ308" s="1705" t="str">
        <f t="shared" si="286"/>
        <v/>
      </c>
      <c r="AR308" s="69"/>
      <c r="AS308" s="1705" t="str">
        <f t="shared" si="287"/>
        <v/>
      </c>
      <c r="AT308" s="69"/>
      <c r="AU308" s="1705" t="str">
        <f t="shared" si="288"/>
        <v/>
      </c>
      <c r="AV308" s="69"/>
      <c r="AW308" s="1705" t="str">
        <f t="shared" si="289"/>
        <v/>
      </c>
      <c r="AX308" s="69"/>
      <c r="AY308" s="1073">
        <f t="shared" si="290"/>
        <v>65</v>
      </c>
      <c r="AZ308" s="1727"/>
      <c r="BA308" s="1727"/>
      <c r="BB308" s="1727"/>
      <c r="BC308" s="1527"/>
      <c r="BD308" s="1697"/>
    </row>
    <row r="309" ht="21.0" customHeight="1">
      <c r="A309" s="1130">
        <f t="shared" ref="A309:D309" si="311">A276</f>
        <v>23</v>
      </c>
      <c r="B309" s="1111">
        <f t="shared" si="311"/>
        <v>822</v>
      </c>
      <c r="C309" s="1200" t="str">
        <f t="shared" si="311"/>
        <v>Внеплан</v>
      </c>
      <c r="D309" s="591" t="str">
        <f t="shared" si="311"/>
        <v>Хлеб (180 СПК+70 Маркеты)</v>
      </c>
      <c r="E309" s="1705">
        <f t="shared" si="267"/>
        <v>4</v>
      </c>
      <c r="F309" s="69"/>
      <c r="G309" s="1713" t="str">
        <f t="shared" si="268"/>
        <v/>
      </c>
      <c r="H309" s="69"/>
      <c r="I309" s="1705" t="str">
        <f t="shared" si="269"/>
        <v/>
      </c>
      <c r="J309" s="69"/>
      <c r="K309" s="1705">
        <f t="shared" si="270"/>
        <v>20</v>
      </c>
      <c r="L309" s="69"/>
      <c r="M309" s="1705">
        <f t="shared" si="271"/>
        <v>6</v>
      </c>
      <c r="N309" s="69"/>
      <c r="O309" s="1713" t="str">
        <f t="shared" si="272"/>
        <v/>
      </c>
      <c r="P309" s="69"/>
      <c r="Q309" s="1705">
        <f t="shared" si="273"/>
        <v>4</v>
      </c>
      <c r="R309" s="69"/>
      <c r="S309" s="1705" t="str">
        <f t="shared" si="274"/>
        <v/>
      </c>
      <c r="T309" s="69"/>
      <c r="U309" s="1705">
        <f t="shared" si="275"/>
        <v>4</v>
      </c>
      <c r="V309" s="69"/>
      <c r="W309" s="1705" t="str">
        <f t="shared" si="276"/>
        <v/>
      </c>
      <c r="X309" s="69"/>
      <c r="Y309" s="1705">
        <f t="shared" si="277"/>
        <v>4</v>
      </c>
      <c r="Z309" s="69"/>
      <c r="AA309" s="1705">
        <f t="shared" si="278"/>
        <v>4</v>
      </c>
      <c r="AB309" s="69"/>
      <c r="AC309" s="1705">
        <f t="shared" si="279"/>
        <v>4</v>
      </c>
      <c r="AD309" s="69"/>
      <c r="AE309" s="1705">
        <f t="shared" si="280"/>
        <v>4</v>
      </c>
      <c r="AF309" s="69"/>
      <c r="AG309" s="1705">
        <f t="shared" si="281"/>
        <v>2</v>
      </c>
      <c r="AH309" s="69"/>
      <c r="AI309" s="1705">
        <f t="shared" si="282"/>
        <v>2</v>
      </c>
      <c r="AJ309" s="69"/>
      <c r="AK309" s="1705" t="str">
        <f t="shared" si="283"/>
        <v/>
      </c>
      <c r="AL309" s="69"/>
      <c r="AM309" s="1705">
        <f t="shared" si="284"/>
        <v>4</v>
      </c>
      <c r="AN309" s="69"/>
      <c r="AO309" s="1705" t="str">
        <f t="shared" si="285"/>
        <v/>
      </c>
      <c r="AP309" s="69"/>
      <c r="AQ309" s="1705" t="str">
        <f t="shared" si="286"/>
        <v/>
      </c>
      <c r="AR309" s="69"/>
      <c r="AS309" s="1705" t="str">
        <f t="shared" si="287"/>
        <v/>
      </c>
      <c r="AT309" s="69"/>
      <c r="AU309" s="1705" t="str">
        <f t="shared" si="288"/>
        <v/>
      </c>
      <c r="AV309" s="69"/>
      <c r="AW309" s="1705" t="str">
        <f t="shared" si="289"/>
        <v/>
      </c>
      <c r="AX309" s="69"/>
      <c r="AY309" s="1073">
        <f t="shared" si="290"/>
        <v>62</v>
      </c>
      <c r="AZ309" s="1727"/>
      <c r="BA309" s="1727"/>
      <c r="BB309" s="1727"/>
      <c r="BC309" s="1527"/>
      <c r="BD309" s="1697"/>
    </row>
    <row r="310" ht="21.0" customHeight="1">
      <c r="A310" s="1130">
        <f t="shared" ref="A310:D310" si="312">A277</f>
        <v>24</v>
      </c>
      <c r="B310" s="1111">
        <f t="shared" si="312"/>
        <v>3528</v>
      </c>
      <c r="C310" s="1200" t="str">
        <f t="shared" si="312"/>
        <v>Внеплан</v>
      </c>
      <c r="D310" s="591" t="str">
        <f t="shared" si="312"/>
        <v>Сырная палочка 15 шт</v>
      </c>
      <c r="E310" s="1705" t="str">
        <f t="shared" si="267"/>
        <v/>
      </c>
      <c r="F310" s="69"/>
      <c r="G310" s="1705" t="str">
        <f t="shared" si="268"/>
        <v/>
      </c>
      <c r="H310" s="69"/>
      <c r="I310" s="1705" t="str">
        <f t="shared" si="269"/>
        <v/>
      </c>
      <c r="J310" s="69"/>
      <c r="K310" s="1705" t="str">
        <f t="shared" si="270"/>
        <v/>
      </c>
      <c r="L310" s="69"/>
      <c r="M310" s="1705" t="str">
        <f t="shared" si="271"/>
        <v/>
      </c>
      <c r="N310" s="69"/>
      <c r="O310" s="1705" t="str">
        <f t="shared" si="272"/>
        <v/>
      </c>
      <c r="P310" s="69"/>
      <c r="Q310" s="1705" t="str">
        <f t="shared" si="273"/>
        <v/>
      </c>
      <c r="R310" s="69"/>
      <c r="S310" s="1705" t="str">
        <f t="shared" si="274"/>
        <v/>
      </c>
      <c r="T310" s="69"/>
      <c r="U310" s="1705" t="str">
        <f t="shared" si="275"/>
        <v/>
      </c>
      <c r="V310" s="69"/>
      <c r="W310" s="1705" t="str">
        <f t="shared" si="276"/>
        <v/>
      </c>
      <c r="X310" s="69"/>
      <c r="Y310" s="1705" t="str">
        <f t="shared" si="277"/>
        <v/>
      </c>
      <c r="Z310" s="69"/>
      <c r="AA310" s="1705" t="str">
        <f t="shared" si="278"/>
        <v/>
      </c>
      <c r="AB310" s="69"/>
      <c r="AC310" s="1705" t="str">
        <f t="shared" si="279"/>
        <v/>
      </c>
      <c r="AD310" s="69"/>
      <c r="AE310" s="1705" t="str">
        <f t="shared" si="280"/>
        <v/>
      </c>
      <c r="AF310" s="69"/>
      <c r="AG310" s="1705" t="str">
        <f t="shared" si="281"/>
        <v/>
      </c>
      <c r="AH310" s="69"/>
      <c r="AI310" s="1705" t="str">
        <f t="shared" si="282"/>
        <v/>
      </c>
      <c r="AJ310" s="69"/>
      <c r="AK310" s="1705" t="str">
        <f t="shared" si="283"/>
        <v/>
      </c>
      <c r="AL310" s="69"/>
      <c r="AM310" s="1705" t="str">
        <f t="shared" si="284"/>
        <v/>
      </c>
      <c r="AN310" s="69"/>
      <c r="AO310" s="1705" t="str">
        <f t="shared" si="285"/>
        <v/>
      </c>
      <c r="AP310" s="69"/>
      <c r="AQ310" s="1705" t="str">
        <f t="shared" si="286"/>
        <v/>
      </c>
      <c r="AR310" s="69"/>
      <c r="AS310" s="1705" t="str">
        <f t="shared" si="287"/>
        <v/>
      </c>
      <c r="AT310" s="69"/>
      <c r="AU310" s="1705" t="str">
        <f t="shared" si="288"/>
        <v/>
      </c>
      <c r="AV310" s="69"/>
      <c r="AW310" s="1705" t="str">
        <f t="shared" si="289"/>
        <v/>
      </c>
      <c r="AX310" s="69"/>
      <c r="AY310" s="1073">
        <f t="shared" si="290"/>
        <v>0</v>
      </c>
      <c r="AZ310" s="1727"/>
      <c r="BA310" s="1727"/>
      <c r="BB310" s="1727"/>
      <c r="BC310" s="1527"/>
      <c r="BD310" s="1697"/>
    </row>
    <row r="311" ht="21.0" customHeight="1">
      <c r="A311" s="1130">
        <f t="shared" ref="A311:D311" si="313">A278</f>
        <v>25</v>
      </c>
      <c r="B311" s="1111">
        <f t="shared" si="313"/>
        <v>763</v>
      </c>
      <c r="C311" s="1200" t="str">
        <f t="shared" si="313"/>
        <v>Внеплан</v>
      </c>
      <c r="D311" s="591" t="str">
        <f t="shared" si="313"/>
        <v>Люля с картофелем запеченым 55шт СПК</v>
      </c>
      <c r="E311" s="1705" t="str">
        <f t="shared" si="267"/>
        <v/>
      </c>
      <c r="F311" s="69"/>
      <c r="G311" s="1713" t="str">
        <f t="shared" si="268"/>
        <v/>
      </c>
      <c r="H311" s="69"/>
      <c r="I311" s="1705" t="str">
        <f t="shared" si="269"/>
        <v/>
      </c>
      <c r="J311" s="69"/>
      <c r="K311" s="1705" t="str">
        <f t="shared" si="270"/>
        <v/>
      </c>
      <c r="L311" s="69"/>
      <c r="M311" s="1705" t="str">
        <f t="shared" si="271"/>
        <v/>
      </c>
      <c r="N311" s="69"/>
      <c r="O311" s="1713" t="str">
        <f t="shared" si="272"/>
        <v/>
      </c>
      <c r="P311" s="69"/>
      <c r="Q311" s="1705" t="str">
        <f t="shared" si="273"/>
        <v/>
      </c>
      <c r="R311" s="69"/>
      <c r="S311" s="1705" t="str">
        <f t="shared" si="274"/>
        <v/>
      </c>
      <c r="T311" s="69"/>
      <c r="U311" s="1705" t="str">
        <f t="shared" si="275"/>
        <v/>
      </c>
      <c r="V311" s="69"/>
      <c r="W311" s="1705" t="str">
        <f t="shared" si="276"/>
        <v/>
      </c>
      <c r="X311" s="69"/>
      <c r="Y311" s="1705" t="str">
        <f t="shared" si="277"/>
        <v/>
      </c>
      <c r="Z311" s="69"/>
      <c r="AA311" s="1705" t="str">
        <f t="shared" si="278"/>
        <v/>
      </c>
      <c r="AB311" s="69"/>
      <c r="AC311" s="1705" t="str">
        <f t="shared" si="279"/>
        <v/>
      </c>
      <c r="AD311" s="69"/>
      <c r="AE311" s="1705" t="str">
        <f t="shared" si="280"/>
        <v/>
      </c>
      <c r="AF311" s="69"/>
      <c r="AG311" s="1705" t="str">
        <f t="shared" si="281"/>
        <v/>
      </c>
      <c r="AH311" s="69"/>
      <c r="AI311" s="1705" t="str">
        <f t="shared" si="282"/>
        <v/>
      </c>
      <c r="AJ311" s="69"/>
      <c r="AK311" s="1705" t="str">
        <f t="shared" si="283"/>
        <v/>
      </c>
      <c r="AL311" s="69"/>
      <c r="AM311" s="1705" t="str">
        <f t="shared" si="284"/>
        <v/>
      </c>
      <c r="AN311" s="69"/>
      <c r="AO311" s="1705" t="str">
        <f t="shared" si="285"/>
        <v/>
      </c>
      <c r="AP311" s="69"/>
      <c r="AQ311" s="1705" t="str">
        <f t="shared" si="286"/>
        <v/>
      </c>
      <c r="AR311" s="69"/>
      <c r="AS311" s="1705" t="str">
        <f t="shared" si="287"/>
        <v/>
      </c>
      <c r="AT311" s="69"/>
      <c r="AU311" s="1705" t="str">
        <f t="shared" si="288"/>
        <v/>
      </c>
      <c r="AV311" s="69"/>
      <c r="AW311" s="1705" t="str">
        <f t="shared" si="289"/>
        <v/>
      </c>
      <c r="AX311" s="69"/>
      <c r="AY311" s="1073">
        <f t="shared" si="290"/>
        <v>0</v>
      </c>
      <c r="AZ311" s="1727"/>
      <c r="BA311" s="1727"/>
      <c r="BB311" s="1727"/>
      <c r="BC311" s="1527"/>
      <c r="BD311" s="1697"/>
    </row>
    <row r="312" ht="21.0" customHeight="1">
      <c r="A312" s="1130">
        <f t="shared" ref="A312:D312" si="314">A279</f>
        <v>26</v>
      </c>
      <c r="B312" s="1111">
        <f t="shared" si="314"/>
        <v>1831</v>
      </c>
      <c r="C312" s="1200" t="str">
        <f t="shared" si="314"/>
        <v>Внеплан</v>
      </c>
      <c r="D312" s="591" t="str">
        <f t="shared" si="314"/>
        <v>Капуста маринованная 34 шт СПК</v>
      </c>
      <c r="E312" s="1705">
        <f t="shared" si="267"/>
        <v>9</v>
      </c>
      <c r="F312" s="69"/>
      <c r="G312" s="1705" t="str">
        <f t="shared" si="268"/>
        <v/>
      </c>
      <c r="H312" s="69"/>
      <c r="I312" s="1705" t="str">
        <f t="shared" si="269"/>
        <v/>
      </c>
      <c r="J312" s="69"/>
      <c r="K312" s="1705">
        <f t="shared" si="270"/>
        <v>15</v>
      </c>
      <c r="L312" s="69"/>
      <c r="M312" s="1705">
        <f t="shared" si="271"/>
        <v>5</v>
      </c>
      <c r="N312" s="69"/>
      <c r="O312" s="1705">
        <f t="shared" si="272"/>
        <v>4</v>
      </c>
      <c r="P312" s="69"/>
      <c r="Q312" s="1705" t="str">
        <f t="shared" si="273"/>
        <v/>
      </c>
      <c r="R312" s="69"/>
      <c r="S312" s="1705" t="str">
        <f t="shared" si="274"/>
        <v/>
      </c>
      <c r="T312" s="69"/>
      <c r="U312" s="1705" t="str">
        <f t="shared" si="275"/>
        <v/>
      </c>
      <c r="V312" s="69"/>
      <c r="W312" s="1705" t="str">
        <f t="shared" si="276"/>
        <v/>
      </c>
      <c r="X312" s="69"/>
      <c r="Y312" s="1705" t="str">
        <f t="shared" si="277"/>
        <v/>
      </c>
      <c r="Z312" s="69"/>
      <c r="AA312" s="1705" t="str">
        <f t="shared" si="278"/>
        <v/>
      </c>
      <c r="AB312" s="69"/>
      <c r="AC312" s="1705" t="str">
        <f t="shared" si="279"/>
        <v/>
      </c>
      <c r="AD312" s="69"/>
      <c r="AE312" s="1705" t="str">
        <f t="shared" si="280"/>
        <v/>
      </c>
      <c r="AF312" s="69"/>
      <c r="AG312" s="1705" t="str">
        <f t="shared" si="281"/>
        <v/>
      </c>
      <c r="AH312" s="69"/>
      <c r="AI312" s="1705" t="str">
        <f t="shared" si="282"/>
        <v/>
      </c>
      <c r="AJ312" s="69"/>
      <c r="AK312" s="1705" t="str">
        <f t="shared" si="283"/>
        <v/>
      </c>
      <c r="AL312" s="69"/>
      <c r="AM312" s="1705" t="str">
        <f t="shared" si="284"/>
        <v/>
      </c>
      <c r="AN312" s="69"/>
      <c r="AO312" s="1705" t="str">
        <f t="shared" si="285"/>
        <v/>
      </c>
      <c r="AP312" s="69"/>
      <c r="AQ312" s="1705" t="str">
        <f t="shared" si="286"/>
        <v/>
      </c>
      <c r="AR312" s="69"/>
      <c r="AS312" s="1705" t="str">
        <f t="shared" si="287"/>
        <v/>
      </c>
      <c r="AT312" s="69"/>
      <c r="AU312" s="1705" t="str">
        <f t="shared" si="288"/>
        <v/>
      </c>
      <c r="AV312" s="69"/>
      <c r="AW312" s="1705" t="str">
        <f t="shared" si="289"/>
        <v/>
      </c>
      <c r="AX312" s="69"/>
      <c r="AY312" s="1073">
        <f t="shared" si="290"/>
        <v>33</v>
      </c>
      <c r="AZ312" s="1727"/>
      <c r="BA312" s="1727"/>
      <c r="BB312" s="1727"/>
      <c r="BC312" s="1527"/>
      <c r="BD312" s="1697"/>
    </row>
    <row r="313" ht="15.75" customHeight="1">
      <c r="A313" s="1130">
        <f t="shared" ref="A313:D313" si="315">A280</f>
        <v>27</v>
      </c>
      <c r="B313" s="1111">
        <f t="shared" si="315"/>
        <v>2955</v>
      </c>
      <c r="C313" s="1200" t="str">
        <f t="shared" si="315"/>
        <v>Внеплан</v>
      </c>
      <c r="D313" s="784" t="str">
        <f t="shared" si="315"/>
        <v>Котлета мясная с соусом и гречкой 15 шт</v>
      </c>
      <c r="E313" s="1703">
        <f t="shared" si="267"/>
        <v>7</v>
      </c>
      <c r="F313" s="69"/>
      <c r="G313" s="1703" t="str">
        <f t="shared" si="268"/>
        <v/>
      </c>
      <c r="H313" s="69"/>
      <c r="I313" s="1703" t="str">
        <f t="shared" si="269"/>
        <v/>
      </c>
      <c r="J313" s="69"/>
      <c r="K313" s="1703">
        <f t="shared" si="270"/>
        <v>8</v>
      </c>
      <c r="L313" s="69"/>
      <c r="M313" s="1703" t="str">
        <f t="shared" si="271"/>
        <v/>
      </c>
      <c r="N313" s="69"/>
      <c r="O313" s="1703" t="str">
        <f t="shared" si="272"/>
        <v/>
      </c>
      <c r="P313" s="69"/>
      <c r="Q313" s="1703" t="str">
        <f t="shared" si="273"/>
        <v/>
      </c>
      <c r="R313" s="69"/>
      <c r="S313" s="1703" t="str">
        <f t="shared" si="274"/>
        <v/>
      </c>
      <c r="T313" s="69"/>
      <c r="U313" s="1703" t="str">
        <f t="shared" si="275"/>
        <v/>
      </c>
      <c r="V313" s="69"/>
      <c r="W313" s="1703" t="str">
        <f t="shared" si="276"/>
        <v/>
      </c>
      <c r="X313" s="69"/>
      <c r="Y313" s="1703" t="str">
        <f t="shared" si="277"/>
        <v/>
      </c>
      <c r="Z313" s="69"/>
      <c r="AA313" s="1703" t="str">
        <f t="shared" si="278"/>
        <v/>
      </c>
      <c r="AB313" s="69"/>
      <c r="AC313" s="1703" t="str">
        <f t="shared" si="279"/>
        <v/>
      </c>
      <c r="AD313" s="69"/>
      <c r="AE313" s="1706" t="str">
        <f t="shared" si="280"/>
        <v/>
      </c>
      <c r="AF313" s="69"/>
      <c r="AG313" s="1703" t="str">
        <f t="shared" si="281"/>
        <v/>
      </c>
      <c r="AH313" s="69"/>
      <c r="AI313" s="1706" t="str">
        <f t="shared" si="282"/>
        <v/>
      </c>
      <c r="AJ313" s="69"/>
      <c r="AK313" s="1703" t="str">
        <f t="shared" si="283"/>
        <v/>
      </c>
      <c r="AL313" s="69"/>
      <c r="AM313" s="1703" t="str">
        <f t="shared" si="284"/>
        <v/>
      </c>
      <c r="AN313" s="69"/>
      <c r="AO313" s="1703" t="str">
        <f t="shared" si="285"/>
        <v/>
      </c>
      <c r="AP313" s="69"/>
      <c r="AQ313" s="1703" t="str">
        <f t="shared" si="286"/>
        <v/>
      </c>
      <c r="AR313" s="69"/>
      <c r="AS313" s="1705" t="str">
        <f t="shared" si="287"/>
        <v/>
      </c>
      <c r="AT313" s="69"/>
      <c r="AU313" s="1705" t="str">
        <f t="shared" si="288"/>
        <v/>
      </c>
      <c r="AV313" s="69"/>
      <c r="AW313" s="1703" t="str">
        <f t="shared" si="289"/>
        <v/>
      </c>
      <c r="AX313" s="69"/>
      <c r="AY313" s="1073">
        <f t="shared" si="290"/>
        <v>15</v>
      </c>
      <c r="AZ313" s="1187"/>
      <c r="BA313" s="1187"/>
      <c r="BB313" s="1187"/>
      <c r="BC313" s="677"/>
      <c r="BD313" s="1192"/>
    </row>
    <row r="314" ht="15.75" customHeight="1">
      <c r="A314" s="1130">
        <f t="shared" ref="A314:D314" si="316">A281</f>
        <v>28</v>
      </c>
      <c r="B314" s="1111" t="str">
        <f t="shared" si="316"/>
        <v/>
      </c>
      <c r="C314" s="1200" t="str">
        <f t="shared" si="316"/>
        <v>Внеплан</v>
      </c>
      <c r="D314" s="784" t="str">
        <f t="shared" si="316"/>
        <v/>
      </c>
      <c r="E314" s="1703" t="str">
        <f t="shared" si="267"/>
        <v/>
      </c>
      <c r="F314" s="69"/>
      <c r="G314" s="1703" t="str">
        <f t="shared" si="268"/>
        <v/>
      </c>
      <c r="H314" s="69"/>
      <c r="I314" s="1703" t="str">
        <f t="shared" si="269"/>
        <v/>
      </c>
      <c r="J314" s="69"/>
      <c r="K314" s="1703" t="str">
        <f t="shared" si="270"/>
        <v/>
      </c>
      <c r="L314" s="69"/>
      <c r="M314" s="1703" t="str">
        <f t="shared" si="271"/>
        <v/>
      </c>
      <c r="N314" s="69"/>
      <c r="O314" s="1703" t="str">
        <f t="shared" si="272"/>
        <v/>
      </c>
      <c r="P314" s="69"/>
      <c r="Q314" s="1703" t="str">
        <f t="shared" si="273"/>
        <v/>
      </c>
      <c r="R314" s="69"/>
      <c r="S314" s="1703" t="str">
        <f t="shared" si="274"/>
        <v/>
      </c>
      <c r="T314" s="69"/>
      <c r="U314" s="1703" t="str">
        <f t="shared" si="275"/>
        <v/>
      </c>
      <c r="V314" s="69"/>
      <c r="W314" s="1703" t="str">
        <f t="shared" si="276"/>
        <v/>
      </c>
      <c r="X314" s="69"/>
      <c r="Y314" s="1703" t="str">
        <f t="shared" si="277"/>
        <v/>
      </c>
      <c r="Z314" s="69"/>
      <c r="AA314" s="1706" t="str">
        <f t="shared" si="278"/>
        <v/>
      </c>
      <c r="AB314" s="69"/>
      <c r="AC314" s="1706" t="str">
        <f t="shared" si="279"/>
        <v/>
      </c>
      <c r="AD314" s="69"/>
      <c r="AE314" s="1706" t="str">
        <f t="shared" si="280"/>
        <v/>
      </c>
      <c r="AF314" s="69"/>
      <c r="AG314" s="1706" t="str">
        <f t="shared" si="281"/>
        <v/>
      </c>
      <c r="AH314" s="69"/>
      <c r="AI314" s="1706" t="str">
        <f t="shared" si="282"/>
        <v/>
      </c>
      <c r="AJ314" s="69"/>
      <c r="AK314" s="1706" t="str">
        <f t="shared" si="283"/>
        <v/>
      </c>
      <c r="AL314" s="69"/>
      <c r="AM314" s="1724" t="str">
        <f t="shared" si="284"/>
        <v/>
      </c>
      <c r="AN314" s="69"/>
      <c r="AO314" s="1724" t="str">
        <f t="shared" si="285"/>
        <v/>
      </c>
      <c r="AP314" s="69"/>
      <c r="AQ314" s="1724" t="str">
        <f t="shared" si="286"/>
        <v/>
      </c>
      <c r="AR314" s="69"/>
      <c r="AS314" s="1705" t="str">
        <f t="shared" si="287"/>
        <v/>
      </c>
      <c r="AT314" s="69"/>
      <c r="AU314" s="1705" t="str">
        <f t="shared" si="288"/>
        <v/>
      </c>
      <c r="AV314" s="69"/>
      <c r="AW314" s="1706" t="str">
        <f t="shared" si="289"/>
        <v/>
      </c>
      <c r="AX314" s="69"/>
      <c r="AY314" s="1073">
        <f t="shared" si="290"/>
        <v>0</v>
      </c>
      <c r="AZ314" s="1187"/>
      <c r="BA314" s="1187"/>
      <c r="BB314" s="1187"/>
      <c r="BC314" s="677"/>
      <c r="BD314" s="1192"/>
    </row>
    <row r="315" ht="15.75" customHeight="1">
      <c r="A315" s="1742"/>
      <c r="B315" s="1465"/>
      <c r="C315" s="1466"/>
      <c r="D315" s="1467"/>
      <c r="E315" s="1214"/>
      <c r="F315" s="1469"/>
      <c r="G315" s="1214"/>
      <c r="H315" s="1468"/>
      <c r="I315" s="1214"/>
      <c r="J315" s="1468"/>
      <c r="K315" s="1214"/>
      <c r="L315" s="1468"/>
      <c r="M315" s="1214"/>
      <c r="N315" s="1214"/>
      <c r="O315" s="1470"/>
      <c r="P315" s="1214"/>
      <c r="Q315" s="1214"/>
      <c r="R315" s="1469"/>
      <c r="S315" s="1214"/>
      <c r="T315" s="1469"/>
      <c r="U315" s="1472"/>
      <c r="V315" s="1469"/>
      <c r="W315" s="1472"/>
      <c r="X315" s="1469"/>
      <c r="Y315" s="1743" t="str">
        <f t="shared" si="277"/>
        <v/>
      </c>
      <c r="Z315" s="1469"/>
      <c r="AA315" s="1744" t="str">
        <f>AB281</f>
        <v/>
      </c>
      <c r="AB315" s="1469"/>
      <c r="AC315" s="1745"/>
      <c r="AD315" s="1469"/>
      <c r="AE315" s="1745" t="str">
        <f t="shared" si="280"/>
        <v/>
      </c>
      <c r="AF315" s="1469"/>
      <c r="AG315" s="1746"/>
      <c r="AH315" s="1469"/>
      <c r="AI315" s="1744" t="str">
        <f t="shared" si="282"/>
        <v/>
      </c>
      <c r="AJ315" s="1469"/>
      <c r="AK315" s="1745"/>
      <c r="AL315" s="1469"/>
      <c r="AM315" s="1746" t="str">
        <f t="shared" si="284"/>
        <v/>
      </c>
      <c r="AN315" s="1469"/>
      <c r="AO315" s="1746" t="str">
        <f t="shared" si="285"/>
        <v/>
      </c>
      <c r="AP315" s="1469"/>
      <c r="AQ315" s="1746"/>
      <c r="AR315" s="1469"/>
      <c r="AS315" s="1746"/>
      <c r="AT315" s="1746"/>
      <c r="AU315" s="1746"/>
      <c r="AV315" s="1746"/>
      <c r="AW315" s="1747" t="s">
        <v>1365</v>
      </c>
      <c r="AX315" s="1474"/>
      <c r="AY315" s="1073">
        <f>SUM(AY287:AY314)</f>
        <v>1837</v>
      </c>
      <c r="AZ315" s="1214"/>
      <c r="BA315" s="1214"/>
      <c r="BB315" s="1214"/>
      <c r="BC315" s="1215"/>
      <c r="BD315" s="1216"/>
    </row>
    <row r="316" ht="15.75" customHeight="1">
      <c r="A316" s="1004"/>
      <c r="B316" s="1004"/>
      <c r="C316" s="1005"/>
      <c r="D316" s="977"/>
      <c r="E316" s="13"/>
      <c r="G316" s="13"/>
      <c r="H316" s="677"/>
      <c r="I316" s="13"/>
      <c r="J316" s="677"/>
      <c r="K316" s="13"/>
      <c r="L316" s="677"/>
      <c r="M316" s="13"/>
      <c r="N316" s="13"/>
      <c r="O316" s="13"/>
      <c r="P316" s="677"/>
      <c r="U316" s="1189"/>
      <c r="W316" s="1189"/>
      <c r="Y316" s="1190"/>
      <c r="AA316" s="1190"/>
      <c r="AG316" s="701"/>
      <c r="AI316" s="701"/>
      <c r="AY316" s="1073"/>
    </row>
    <row r="317" ht="15.75" customHeight="1">
      <c r="A317" s="1004"/>
      <c r="B317" s="1004"/>
      <c r="C317" s="1005"/>
      <c r="D317" s="977"/>
      <c r="E317" s="13"/>
      <c r="G317" s="13"/>
      <c r="H317" s="677"/>
      <c r="I317" s="13"/>
      <c r="J317" s="677"/>
      <c r="K317" s="13"/>
      <c r="L317" s="677"/>
      <c r="M317" s="13"/>
      <c r="N317" s="13"/>
      <c r="O317" s="13"/>
      <c r="P317" s="677"/>
      <c r="U317" s="1189"/>
      <c r="W317" s="1189"/>
      <c r="Y317" s="1190"/>
      <c r="AA317" s="1190"/>
      <c r="AG317" s="701"/>
      <c r="AI317" s="701"/>
      <c r="AY317" s="977"/>
    </row>
    <row r="318" ht="15.75" customHeight="1">
      <c r="A318" s="1004"/>
      <c r="B318" s="1004"/>
      <c r="C318" s="1005"/>
      <c r="D318" s="977"/>
      <c r="E318" s="13"/>
      <c r="G318" s="13"/>
      <c r="H318" s="677"/>
      <c r="I318" s="13"/>
      <c r="J318" s="677"/>
      <c r="K318" s="13"/>
      <c r="L318" s="677"/>
      <c r="M318" s="13"/>
      <c r="N318" s="13"/>
      <c r="O318" s="13"/>
      <c r="P318" s="677"/>
      <c r="U318" s="1189"/>
      <c r="W318" s="1189"/>
      <c r="Y318" s="1190"/>
      <c r="AA318" s="1190"/>
      <c r="AG318" s="701"/>
      <c r="AI318" s="701"/>
      <c r="AY318" s="977"/>
    </row>
    <row r="319" ht="15.75" customHeight="1">
      <c r="A319" s="1004"/>
      <c r="B319" s="1004"/>
      <c r="C319" s="1005"/>
      <c r="D319" s="977"/>
      <c r="E319" s="13"/>
      <c r="G319" s="13"/>
      <c r="H319" s="677"/>
      <c r="I319" s="13"/>
      <c r="J319" s="677"/>
      <c r="K319" s="13"/>
      <c r="L319" s="677"/>
      <c r="M319" s="13"/>
      <c r="N319" s="13"/>
      <c r="O319" s="13"/>
      <c r="P319" s="677"/>
      <c r="U319" s="1189"/>
      <c r="W319" s="1189"/>
      <c r="Y319" s="1190"/>
      <c r="AA319" s="1190"/>
      <c r="AG319" s="701"/>
      <c r="AI319" s="701"/>
      <c r="AY319" s="977"/>
    </row>
    <row r="320" ht="15.75" customHeight="1">
      <c r="A320" s="1004"/>
      <c r="B320" s="1004"/>
      <c r="C320" s="1005"/>
      <c r="D320" s="977"/>
      <c r="E320" s="13"/>
      <c r="G320" s="13"/>
      <c r="H320" s="677"/>
      <c r="I320" s="13"/>
      <c r="J320" s="677"/>
      <c r="K320" s="13"/>
      <c r="L320" s="677"/>
      <c r="M320" s="13"/>
      <c r="N320" s="13"/>
      <c r="O320" s="13"/>
      <c r="P320" s="677"/>
      <c r="U320" s="1189"/>
      <c r="W320" s="1189"/>
      <c r="Y320" s="1190"/>
      <c r="AA320" s="1190"/>
      <c r="AG320" s="701"/>
      <c r="AI320" s="701"/>
      <c r="AY320" s="977"/>
    </row>
    <row r="321" ht="15.75" customHeight="1">
      <c r="A321" s="1004"/>
      <c r="B321" s="1004"/>
      <c r="C321" s="1005"/>
      <c r="D321" s="977"/>
      <c r="E321" s="13"/>
      <c r="G321" s="13"/>
      <c r="H321" s="677"/>
      <c r="I321" s="13"/>
      <c r="J321" s="677"/>
      <c r="K321" s="13"/>
      <c r="L321" s="677"/>
      <c r="M321" s="13"/>
      <c r="N321" s="13"/>
      <c r="O321" s="13"/>
      <c r="P321" s="677"/>
      <c r="U321" s="1189"/>
      <c r="W321" s="1189"/>
      <c r="Y321" s="1190"/>
      <c r="AA321" s="1190"/>
      <c r="AG321" s="701"/>
      <c r="AI321" s="701"/>
      <c r="AY321" s="977"/>
    </row>
    <row r="322" ht="15.75" customHeight="1">
      <c r="A322" s="1004"/>
      <c r="B322" s="1004"/>
      <c r="C322" s="1005"/>
      <c r="D322" s="977"/>
      <c r="E322" s="13"/>
      <c r="G322" s="13"/>
      <c r="H322" s="677"/>
      <c r="I322" s="13"/>
      <c r="J322" s="677"/>
      <c r="K322" s="13"/>
      <c r="L322" s="677"/>
      <c r="M322" s="13"/>
      <c r="N322" s="13"/>
      <c r="O322" s="13"/>
      <c r="P322" s="677"/>
      <c r="U322" s="1189"/>
      <c r="W322" s="1189"/>
      <c r="Y322" s="1190"/>
      <c r="AA322" s="1190"/>
      <c r="AG322" s="701"/>
      <c r="AI322" s="701"/>
      <c r="AY322" s="977"/>
    </row>
    <row r="323" ht="15.75" customHeight="1">
      <c r="A323" s="1004"/>
      <c r="B323" s="1004"/>
      <c r="C323" s="1005"/>
      <c r="D323" s="977"/>
      <c r="E323" s="13"/>
      <c r="G323" s="13"/>
      <c r="H323" s="677"/>
      <c r="I323" s="13"/>
      <c r="J323" s="677"/>
      <c r="K323" s="13"/>
      <c r="L323" s="677"/>
      <c r="M323" s="13"/>
      <c r="N323" s="13"/>
      <c r="O323" s="13"/>
      <c r="P323" s="677"/>
      <c r="U323" s="1189"/>
      <c r="W323" s="1189"/>
      <c r="Y323" s="1190"/>
      <c r="AA323" s="1190"/>
      <c r="AG323" s="701"/>
      <c r="AI323" s="701"/>
      <c r="AY323" s="977"/>
    </row>
    <row r="324" ht="15.75" customHeight="1">
      <c r="A324" s="1004"/>
      <c r="B324" s="1004"/>
      <c r="C324" s="1005"/>
      <c r="D324" s="977"/>
      <c r="E324" s="13"/>
      <c r="G324" s="13"/>
      <c r="H324" s="677"/>
      <c r="I324" s="13"/>
      <c r="J324" s="677"/>
      <c r="K324" s="13"/>
      <c r="L324" s="677"/>
      <c r="M324" s="13"/>
      <c r="N324" s="13"/>
      <c r="O324" s="13"/>
      <c r="P324" s="677"/>
      <c r="U324" s="1189"/>
      <c r="W324" s="1189"/>
      <c r="Y324" s="1190"/>
      <c r="AA324" s="1190"/>
      <c r="AG324" s="701"/>
      <c r="AI324" s="701"/>
      <c r="AY324" s="977"/>
    </row>
    <row r="325" ht="15.75" customHeight="1">
      <c r="A325" s="1004"/>
      <c r="B325" s="1004"/>
      <c r="C325" s="1005"/>
      <c r="D325" s="977"/>
      <c r="E325" s="13"/>
      <c r="G325" s="13"/>
      <c r="H325" s="677"/>
      <c r="I325" s="13"/>
      <c r="J325" s="677"/>
      <c r="K325" s="13"/>
      <c r="L325" s="677"/>
      <c r="M325" s="13"/>
      <c r="N325" s="13"/>
      <c r="O325" s="13"/>
      <c r="P325" s="677"/>
      <c r="U325" s="1189"/>
      <c r="W325" s="1189"/>
      <c r="Y325" s="1190"/>
      <c r="AA325" s="1190"/>
      <c r="AG325" s="701"/>
      <c r="AI325" s="701"/>
      <c r="AY325" s="977"/>
    </row>
    <row r="326" ht="15.75" customHeight="1">
      <c r="A326" s="1004"/>
      <c r="B326" s="1004"/>
      <c r="C326" s="1005"/>
      <c r="D326" s="977"/>
      <c r="E326" s="13"/>
      <c r="G326" s="13"/>
      <c r="H326" s="677"/>
      <c r="I326" s="13"/>
      <c r="J326" s="677"/>
      <c r="K326" s="13"/>
      <c r="L326" s="677"/>
      <c r="M326" s="13"/>
      <c r="N326" s="13"/>
      <c r="O326" s="13"/>
      <c r="P326" s="677"/>
      <c r="U326" s="1189"/>
      <c r="W326" s="1189"/>
      <c r="Y326" s="1190"/>
      <c r="AA326" s="1190"/>
      <c r="AG326" s="701"/>
      <c r="AI326" s="701"/>
      <c r="AY326" s="977"/>
    </row>
    <row r="327" ht="15.75" customHeight="1">
      <c r="A327" s="1004"/>
      <c r="B327" s="1004"/>
      <c r="C327" s="1005"/>
      <c r="D327" s="977"/>
      <c r="E327" s="13"/>
      <c r="G327" s="13"/>
      <c r="H327" s="677"/>
      <c r="I327" s="13"/>
      <c r="J327" s="677"/>
      <c r="K327" s="13"/>
      <c r="L327" s="677"/>
      <c r="M327" s="13"/>
      <c r="N327" s="13"/>
      <c r="O327" s="13"/>
      <c r="P327" s="677"/>
      <c r="U327" s="1189"/>
      <c r="W327" s="1189"/>
      <c r="Y327" s="1190"/>
      <c r="AA327" s="1190"/>
      <c r="AG327" s="701"/>
      <c r="AI327" s="701"/>
      <c r="AY327" s="977"/>
    </row>
    <row r="328" ht="15.75" customHeight="1">
      <c r="A328" s="1004"/>
      <c r="B328" s="1004"/>
      <c r="C328" s="1005"/>
      <c r="D328" s="977"/>
      <c r="E328" s="13"/>
      <c r="G328" s="13"/>
      <c r="H328" s="677"/>
      <c r="I328" s="13"/>
      <c r="J328" s="677"/>
      <c r="K328" s="13"/>
      <c r="L328" s="677"/>
      <c r="M328" s="13"/>
      <c r="N328" s="13"/>
      <c r="O328" s="13"/>
      <c r="P328" s="677"/>
      <c r="U328" s="1189"/>
      <c r="W328" s="1189"/>
      <c r="Y328" s="1190"/>
      <c r="AA328" s="1190"/>
      <c r="AG328" s="701"/>
      <c r="AI328" s="701"/>
      <c r="AY328" s="977"/>
    </row>
    <row r="329" ht="15.75" customHeight="1">
      <c r="A329" s="1004"/>
      <c r="B329" s="1004"/>
      <c r="C329" s="1005"/>
      <c r="D329" s="977"/>
      <c r="E329" s="13"/>
      <c r="G329" s="13"/>
      <c r="H329" s="677"/>
      <c r="I329" s="13"/>
      <c r="J329" s="677"/>
      <c r="K329" s="13"/>
      <c r="L329" s="677"/>
      <c r="M329" s="13"/>
      <c r="N329" s="13"/>
      <c r="O329" s="13"/>
      <c r="P329" s="677"/>
      <c r="U329" s="1189"/>
      <c r="W329" s="1189"/>
      <c r="Y329" s="1190"/>
      <c r="AA329" s="1190"/>
      <c r="AG329" s="701"/>
      <c r="AI329" s="701"/>
      <c r="AY329" s="977"/>
    </row>
    <row r="330" ht="15.75" customHeight="1">
      <c r="A330" s="1004"/>
      <c r="B330" s="1004"/>
      <c r="C330" s="1005"/>
      <c r="D330" s="977"/>
      <c r="E330" s="13"/>
      <c r="G330" s="13"/>
      <c r="H330" s="677"/>
      <c r="I330" s="13"/>
      <c r="J330" s="677"/>
      <c r="K330" s="13"/>
      <c r="L330" s="677"/>
      <c r="M330" s="13"/>
      <c r="N330" s="13"/>
      <c r="O330" s="13"/>
      <c r="P330" s="677"/>
      <c r="U330" s="1189"/>
      <c r="W330" s="1189"/>
      <c r="Y330" s="1190"/>
      <c r="AA330" s="1190"/>
      <c r="AG330" s="701"/>
      <c r="AI330" s="701"/>
      <c r="AY330" s="977"/>
    </row>
    <row r="331" ht="15.75" customHeight="1">
      <c r="A331" s="1004"/>
      <c r="B331" s="1004"/>
      <c r="C331" s="1005"/>
      <c r="D331" s="977"/>
      <c r="E331" s="13"/>
      <c r="G331" s="13"/>
      <c r="H331" s="677"/>
      <c r="I331" s="13"/>
      <c r="J331" s="677"/>
      <c r="K331" s="13"/>
      <c r="L331" s="677"/>
      <c r="M331" s="13"/>
      <c r="N331" s="13"/>
      <c r="O331" s="13"/>
      <c r="P331" s="677"/>
      <c r="U331" s="1189"/>
      <c r="W331" s="1189"/>
      <c r="Y331" s="1190"/>
      <c r="AA331" s="1190"/>
      <c r="AG331" s="701"/>
      <c r="AI331" s="701"/>
      <c r="AY331" s="977"/>
    </row>
    <row r="332" ht="15.75" customHeight="1">
      <c r="A332" s="1004"/>
      <c r="B332" s="1004"/>
      <c r="C332" s="1005"/>
      <c r="D332" s="977"/>
      <c r="E332" s="13"/>
      <c r="G332" s="13"/>
      <c r="H332" s="677"/>
      <c r="I332" s="13"/>
      <c r="J332" s="677"/>
      <c r="K332" s="13"/>
      <c r="L332" s="677"/>
      <c r="M332" s="13"/>
      <c r="N332" s="13"/>
      <c r="O332" s="13"/>
      <c r="P332" s="677"/>
      <c r="U332" s="1189"/>
      <c r="W332" s="1189"/>
      <c r="Y332" s="1190"/>
      <c r="AA332" s="1190"/>
      <c r="AG332" s="701"/>
      <c r="AI332" s="701"/>
      <c r="AY332" s="977"/>
    </row>
    <row r="333" ht="15.75" customHeight="1">
      <c r="A333" s="1004"/>
      <c r="B333" s="1004"/>
      <c r="C333" s="1005"/>
      <c r="D333" s="977"/>
      <c r="E333" s="13"/>
      <c r="F333" s="677"/>
      <c r="G333" s="13"/>
      <c r="H333" s="677"/>
      <c r="I333" s="13"/>
      <c r="J333" s="677"/>
      <c r="K333" s="13"/>
      <c r="L333" s="677"/>
      <c r="M333" s="13"/>
      <c r="N333" s="13"/>
      <c r="O333" s="13"/>
      <c r="P333" s="677"/>
      <c r="U333" s="1189"/>
      <c r="W333" s="1189"/>
      <c r="Y333" s="1190"/>
      <c r="AA333" s="1190"/>
      <c r="AG333" s="701"/>
      <c r="AI333" s="701"/>
      <c r="AY333" s="977"/>
    </row>
    <row r="334" ht="15.75" customHeight="1">
      <c r="A334" s="1004"/>
      <c r="B334" s="1004"/>
      <c r="C334" s="1005"/>
      <c r="D334" s="977"/>
      <c r="E334" s="13"/>
      <c r="F334" s="677"/>
      <c r="G334" s="13"/>
      <c r="H334" s="677"/>
      <c r="I334" s="13"/>
      <c r="J334" s="677"/>
      <c r="K334" s="13"/>
      <c r="L334" s="677"/>
      <c r="M334" s="13"/>
      <c r="N334" s="13"/>
      <c r="O334" s="13"/>
      <c r="P334" s="677"/>
      <c r="U334" s="1189"/>
      <c r="W334" s="1189"/>
      <c r="Y334" s="1190"/>
      <c r="AA334" s="1190"/>
      <c r="AG334" s="701"/>
      <c r="AI334" s="701"/>
      <c r="AY334" s="977"/>
    </row>
    <row r="335" ht="15.75" customHeight="1">
      <c r="A335" s="1004"/>
      <c r="B335" s="1004"/>
      <c r="C335" s="1005"/>
      <c r="D335" s="977"/>
      <c r="E335" s="13"/>
      <c r="F335" s="677"/>
      <c r="G335" s="13"/>
      <c r="H335" s="677"/>
      <c r="I335" s="13"/>
      <c r="J335" s="677"/>
      <c r="K335" s="13"/>
      <c r="L335" s="677"/>
      <c r="M335" s="13"/>
      <c r="N335" s="13"/>
      <c r="O335" s="13"/>
      <c r="P335" s="677"/>
      <c r="U335" s="1189"/>
      <c r="W335" s="1189"/>
      <c r="Y335" s="1190"/>
      <c r="AA335" s="1190"/>
      <c r="AG335" s="701"/>
      <c r="AI335" s="701"/>
      <c r="AY335" s="977"/>
    </row>
    <row r="336" ht="15.75" customHeight="1">
      <c r="A336" s="1004"/>
      <c r="B336" s="1004"/>
      <c r="C336" s="1005"/>
      <c r="D336" s="977"/>
      <c r="E336" s="13"/>
      <c r="F336" s="677"/>
      <c r="G336" s="13"/>
      <c r="H336" s="677"/>
      <c r="I336" s="13"/>
      <c r="J336" s="677"/>
      <c r="K336" s="13"/>
      <c r="L336" s="677"/>
      <c r="M336" s="13"/>
      <c r="N336" s="13"/>
      <c r="O336" s="13"/>
      <c r="P336" s="677"/>
      <c r="U336" s="1189"/>
      <c r="W336" s="1189"/>
      <c r="Y336" s="1190"/>
      <c r="AA336" s="1190"/>
      <c r="AG336" s="701"/>
      <c r="AI336" s="701"/>
      <c r="AY336" s="977"/>
    </row>
    <row r="337" ht="15.75" customHeight="1">
      <c r="A337" s="1004"/>
      <c r="B337" s="1004"/>
      <c r="C337" s="1005"/>
      <c r="D337" s="977"/>
      <c r="E337" s="13"/>
      <c r="F337" s="677"/>
      <c r="G337" s="13"/>
      <c r="H337" s="677"/>
      <c r="I337" s="13"/>
      <c r="J337" s="677"/>
      <c r="K337" s="13"/>
      <c r="L337" s="677"/>
      <c r="M337" s="13"/>
      <c r="N337" s="13"/>
      <c r="O337" s="13"/>
      <c r="P337" s="677"/>
      <c r="U337" s="1189"/>
      <c r="W337" s="1189"/>
      <c r="Y337" s="1190"/>
      <c r="AA337" s="1190"/>
      <c r="AG337" s="701"/>
      <c r="AI337" s="701"/>
      <c r="AY337" s="977"/>
    </row>
    <row r="338" ht="15.75" customHeight="1">
      <c r="A338" s="1004"/>
      <c r="B338" s="1004"/>
      <c r="C338" s="1005"/>
      <c r="D338" s="977"/>
      <c r="E338" s="13"/>
      <c r="F338" s="677"/>
      <c r="G338" s="13"/>
      <c r="H338" s="677"/>
      <c r="I338" s="13"/>
      <c r="J338" s="677"/>
      <c r="K338" s="13"/>
      <c r="L338" s="677"/>
      <c r="M338" s="13"/>
      <c r="N338" s="13"/>
      <c r="O338" s="13"/>
      <c r="P338" s="677"/>
      <c r="U338" s="1189"/>
      <c r="W338" s="1189"/>
      <c r="Y338" s="1190"/>
      <c r="AA338" s="1190"/>
      <c r="AG338" s="701"/>
      <c r="AI338" s="701"/>
      <c r="AY338" s="977"/>
    </row>
    <row r="339" ht="15.75" customHeight="1">
      <c r="A339" s="1004"/>
      <c r="B339" s="1004"/>
      <c r="C339" s="1005"/>
      <c r="D339" s="977"/>
      <c r="E339" s="13"/>
      <c r="F339" s="677"/>
      <c r="G339" s="13"/>
      <c r="H339" s="677"/>
      <c r="I339" s="13"/>
      <c r="J339" s="677"/>
      <c r="K339" s="13"/>
      <c r="L339" s="677"/>
      <c r="M339" s="13"/>
      <c r="N339" s="13"/>
      <c r="O339" s="13"/>
      <c r="P339" s="677"/>
      <c r="U339" s="1189"/>
      <c r="W339" s="1189"/>
      <c r="Y339" s="1190"/>
      <c r="AA339" s="1190"/>
      <c r="AG339" s="701"/>
      <c r="AI339" s="701"/>
      <c r="AY339" s="977"/>
    </row>
    <row r="340" ht="15.75" customHeight="1">
      <c r="A340" s="1004"/>
      <c r="B340" s="1004"/>
      <c r="C340" s="1005"/>
      <c r="D340" s="977"/>
      <c r="E340" s="13"/>
      <c r="F340" s="677"/>
      <c r="G340" s="13"/>
      <c r="H340" s="677"/>
      <c r="I340" s="13"/>
      <c r="J340" s="677"/>
      <c r="K340" s="13"/>
      <c r="L340" s="677"/>
      <c r="M340" s="13"/>
      <c r="N340" s="13"/>
      <c r="O340" s="13"/>
      <c r="P340" s="677"/>
      <c r="U340" s="1189"/>
      <c r="W340" s="1189"/>
      <c r="Y340" s="1190"/>
      <c r="AA340" s="1190"/>
      <c r="AG340" s="701"/>
      <c r="AI340" s="701"/>
      <c r="AY340" s="977"/>
    </row>
    <row r="341" ht="15.75" customHeight="1">
      <c r="A341" s="1004"/>
      <c r="B341" s="1004"/>
      <c r="C341" s="1005"/>
      <c r="D341" s="977"/>
      <c r="E341" s="13"/>
      <c r="F341" s="677"/>
      <c r="G341" s="13"/>
      <c r="H341" s="677"/>
      <c r="I341" s="13"/>
      <c r="J341" s="677"/>
      <c r="K341" s="13"/>
      <c r="L341" s="677"/>
      <c r="M341" s="13"/>
      <c r="N341" s="13"/>
      <c r="O341" s="13"/>
      <c r="P341" s="677"/>
      <c r="U341" s="1189"/>
      <c r="W341" s="1189"/>
      <c r="Y341" s="1190"/>
      <c r="AA341" s="1190"/>
      <c r="AG341" s="701"/>
      <c r="AI341" s="701"/>
      <c r="AY341" s="977"/>
    </row>
    <row r="342" ht="15.75" customHeight="1">
      <c r="A342" s="1004"/>
      <c r="B342" s="1004"/>
      <c r="C342" s="1005"/>
      <c r="D342" s="977"/>
      <c r="E342" s="13"/>
      <c r="F342" s="677"/>
      <c r="G342" s="13"/>
      <c r="H342" s="677"/>
      <c r="I342" s="13"/>
      <c r="J342" s="677"/>
      <c r="K342" s="13"/>
      <c r="L342" s="677"/>
      <c r="M342" s="13"/>
      <c r="N342" s="13"/>
      <c r="O342" s="13"/>
      <c r="P342" s="677"/>
      <c r="U342" s="1189"/>
      <c r="W342" s="1189"/>
      <c r="Y342" s="1190"/>
      <c r="AA342" s="1190"/>
      <c r="AG342" s="701"/>
      <c r="AI342" s="701"/>
      <c r="AY342" s="977"/>
    </row>
    <row r="343" ht="15.75" customHeight="1">
      <c r="A343" s="1004"/>
      <c r="B343" s="1004"/>
      <c r="C343" s="1005"/>
      <c r="D343" s="977"/>
      <c r="E343" s="13"/>
      <c r="F343" s="677"/>
      <c r="G343" s="13"/>
      <c r="H343" s="677"/>
      <c r="I343" s="13"/>
      <c r="J343" s="677"/>
      <c r="K343" s="13"/>
      <c r="L343" s="677"/>
      <c r="M343" s="13"/>
      <c r="N343" s="13"/>
      <c r="O343" s="13"/>
      <c r="P343" s="677"/>
      <c r="U343" s="1189"/>
      <c r="W343" s="1189"/>
      <c r="Y343" s="1190"/>
      <c r="AA343" s="1190"/>
      <c r="AG343" s="701"/>
      <c r="AI343" s="701"/>
      <c r="AY343" s="977"/>
    </row>
    <row r="344" ht="15.75" customHeight="1">
      <c r="A344" s="1004"/>
      <c r="B344" s="1004"/>
      <c r="C344" s="1005"/>
      <c r="D344" s="977"/>
      <c r="E344" s="13"/>
      <c r="F344" s="677"/>
      <c r="G344" s="13"/>
      <c r="H344" s="677"/>
      <c r="I344" s="13"/>
      <c r="J344" s="677"/>
      <c r="K344" s="13"/>
      <c r="L344" s="677"/>
      <c r="M344" s="13"/>
      <c r="N344" s="13"/>
      <c r="O344" s="13"/>
      <c r="P344" s="677"/>
      <c r="U344" s="1189"/>
      <c r="W344" s="1189"/>
      <c r="Y344" s="1190"/>
      <c r="AA344" s="1190"/>
      <c r="AG344" s="701"/>
      <c r="AI344" s="701"/>
      <c r="AY344" s="977"/>
    </row>
    <row r="345" ht="15.75" customHeight="1">
      <c r="A345" s="1004"/>
      <c r="B345" s="1004"/>
      <c r="C345" s="1005"/>
      <c r="D345" s="977"/>
      <c r="E345" s="13"/>
      <c r="F345" s="677"/>
      <c r="G345" s="13"/>
      <c r="H345" s="677"/>
      <c r="I345" s="13"/>
      <c r="J345" s="677"/>
      <c r="K345" s="13"/>
      <c r="L345" s="677"/>
      <c r="M345" s="13"/>
      <c r="N345" s="13"/>
      <c r="O345" s="13"/>
      <c r="P345" s="677"/>
      <c r="U345" s="1189"/>
      <c r="W345" s="1189"/>
      <c r="Y345" s="1190"/>
      <c r="AA345" s="1190"/>
      <c r="AG345" s="701"/>
      <c r="AI345" s="701"/>
      <c r="AY345" s="977"/>
    </row>
    <row r="346" ht="15.75" customHeight="1">
      <c r="A346" s="1004"/>
      <c r="B346" s="1004"/>
      <c r="C346" s="1005"/>
      <c r="D346" s="977"/>
      <c r="E346" s="13"/>
      <c r="F346" s="677"/>
      <c r="G346" s="13"/>
      <c r="H346" s="677"/>
      <c r="I346" s="13"/>
      <c r="J346" s="677"/>
      <c r="K346" s="13"/>
      <c r="L346" s="677"/>
      <c r="M346" s="13"/>
      <c r="N346" s="13"/>
      <c r="O346" s="13"/>
      <c r="P346" s="677"/>
      <c r="U346" s="1189"/>
      <c r="W346" s="1189"/>
      <c r="Y346" s="1190"/>
      <c r="AA346" s="1190"/>
      <c r="AG346" s="701"/>
      <c r="AI346" s="701"/>
      <c r="AY346" s="977"/>
    </row>
    <row r="347" ht="15.75" customHeight="1">
      <c r="A347" s="1004"/>
      <c r="B347" s="1004"/>
      <c r="C347" s="1005"/>
      <c r="D347" s="977"/>
      <c r="E347" s="13"/>
      <c r="F347" s="677"/>
      <c r="G347" s="13"/>
      <c r="H347" s="677"/>
      <c r="I347" s="13"/>
      <c r="J347" s="677"/>
      <c r="K347" s="13"/>
      <c r="L347" s="677"/>
      <c r="M347" s="13"/>
      <c r="N347" s="13"/>
      <c r="O347" s="13"/>
      <c r="P347" s="677"/>
      <c r="U347" s="1189"/>
      <c r="W347" s="1189"/>
      <c r="Y347" s="1190"/>
      <c r="AA347" s="1190"/>
      <c r="AG347" s="701"/>
      <c r="AI347" s="701"/>
      <c r="AY347" s="977"/>
    </row>
    <row r="348" ht="15.75" customHeight="1">
      <c r="A348" s="1004"/>
      <c r="B348" s="1004"/>
      <c r="C348" s="1005"/>
      <c r="D348" s="977"/>
      <c r="E348" s="13"/>
      <c r="F348" s="677"/>
      <c r="G348" s="13"/>
      <c r="H348" s="677"/>
      <c r="I348" s="13"/>
      <c r="J348" s="677"/>
      <c r="K348" s="13"/>
      <c r="L348" s="677"/>
      <c r="M348" s="13"/>
      <c r="N348" s="13"/>
      <c r="O348" s="13"/>
      <c r="P348" s="677"/>
      <c r="U348" s="1189"/>
      <c r="W348" s="1189"/>
      <c r="Y348" s="1190"/>
      <c r="AA348" s="1190"/>
      <c r="AG348" s="701"/>
      <c r="AI348" s="701"/>
      <c r="AY348" s="977"/>
    </row>
    <row r="349" ht="15.75" customHeight="1">
      <c r="A349" s="1004"/>
      <c r="B349" s="1004"/>
      <c r="C349" s="1005"/>
      <c r="D349" s="977"/>
      <c r="E349" s="13"/>
      <c r="F349" s="677"/>
      <c r="G349" s="13"/>
      <c r="H349" s="677"/>
      <c r="I349" s="13"/>
      <c r="J349" s="677"/>
      <c r="K349" s="13"/>
      <c r="L349" s="677"/>
      <c r="M349" s="13"/>
      <c r="N349" s="13"/>
      <c r="O349" s="13"/>
      <c r="P349" s="677"/>
      <c r="U349" s="1189"/>
      <c r="W349" s="1189"/>
      <c r="Y349" s="1190"/>
      <c r="AA349" s="1190"/>
      <c r="AG349" s="701"/>
      <c r="AI349" s="701"/>
      <c r="AY349" s="977"/>
    </row>
    <row r="350" ht="15.75" customHeight="1">
      <c r="A350" s="1004"/>
      <c r="B350" s="1004"/>
      <c r="C350" s="1005"/>
      <c r="D350" s="977"/>
      <c r="E350" s="13"/>
      <c r="F350" s="677"/>
      <c r="G350" s="13"/>
      <c r="H350" s="677"/>
      <c r="I350" s="13"/>
      <c r="J350" s="677"/>
      <c r="K350" s="13"/>
      <c r="L350" s="677"/>
      <c r="M350" s="13"/>
      <c r="N350" s="13"/>
      <c r="O350" s="13"/>
      <c r="P350" s="677"/>
      <c r="U350" s="1189"/>
      <c r="W350" s="1189"/>
      <c r="Y350" s="1190"/>
      <c r="AA350" s="1190"/>
      <c r="AG350" s="701"/>
      <c r="AI350" s="701"/>
      <c r="AY350" s="977"/>
    </row>
    <row r="351" ht="15.75" customHeight="1">
      <c r="A351" s="1004"/>
      <c r="B351" s="1004"/>
      <c r="C351" s="1005"/>
      <c r="D351" s="977"/>
      <c r="E351" s="13"/>
      <c r="F351" s="677"/>
      <c r="G351" s="13"/>
      <c r="H351" s="677"/>
      <c r="I351" s="13"/>
      <c r="J351" s="677"/>
      <c r="K351" s="13"/>
      <c r="L351" s="677"/>
      <c r="M351" s="13"/>
      <c r="N351" s="13"/>
      <c r="O351" s="13"/>
      <c r="P351" s="677"/>
      <c r="U351" s="1189"/>
      <c r="W351" s="1189"/>
      <c r="Y351" s="1190"/>
      <c r="AA351" s="1190"/>
      <c r="AG351" s="701"/>
      <c r="AI351" s="701"/>
      <c r="AY351" s="977"/>
    </row>
    <row r="352" ht="15.75" customHeight="1">
      <c r="A352" s="1004"/>
      <c r="B352" s="1004"/>
      <c r="C352" s="1005"/>
      <c r="D352" s="977"/>
      <c r="E352" s="13"/>
      <c r="F352" s="677"/>
      <c r="G352" s="13"/>
      <c r="H352" s="677"/>
      <c r="I352" s="13"/>
      <c r="J352" s="677"/>
      <c r="K352" s="13"/>
      <c r="L352" s="677"/>
      <c r="M352" s="13"/>
      <c r="N352" s="13"/>
      <c r="O352" s="13"/>
      <c r="P352" s="677"/>
      <c r="U352" s="1189"/>
      <c r="W352" s="1189"/>
      <c r="Y352" s="1190"/>
      <c r="AA352" s="1190"/>
      <c r="AG352" s="701"/>
      <c r="AI352" s="701"/>
      <c r="AY352" s="977"/>
    </row>
    <row r="353" ht="15.75" customHeight="1">
      <c r="A353" s="1004"/>
      <c r="B353" s="1004"/>
      <c r="C353" s="1005"/>
      <c r="D353" s="977"/>
      <c r="E353" s="13"/>
      <c r="F353" s="677"/>
      <c r="G353" s="13"/>
      <c r="H353" s="677"/>
      <c r="I353" s="13"/>
      <c r="J353" s="677"/>
      <c r="K353" s="13"/>
      <c r="L353" s="677"/>
      <c r="M353" s="13"/>
      <c r="N353" s="13"/>
      <c r="O353" s="13"/>
      <c r="P353" s="677"/>
      <c r="U353" s="1189"/>
      <c r="W353" s="1189"/>
      <c r="Y353" s="1190"/>
      <c r="AA353" s="1190"/>
      <c r="AG353" s="701"/>
      <c r="AI353" s="701"/>
      <c r="AY353" s="977"/>
    </row>
    <row r="354" ht="15.75" customHeight="1">
      <c r="A354" s="1004"/>
      <c r="B354" s="1004"/>
      <c r="C354" s="1005"/>
      <c r="D354" s="977"/>
      <c r="E354" s="13"/>
      <c r="F354" s="677"/>
      <c r="G354" s="13"/>
      <c r="H354" s="677"/>
      <c r="I354" s="13"/>
      <c r="J354" s="677"/>
      <c r="K354" s="13"/>
      <c r="L354" s="677"/>
      <c r="M354" s="13"/>
      <c r="N354" s="13"/>
      <c r="O354" s="13"/>
      <c r="P354" s="677"/>
      <c r="U354" s="1189"/>
      <c r="W354" s="1189"/>
      <c r="Y354" s="1190"/>
      <c r="AA354" s="1190"/>
      <c r="AG354" s="701"/>
      <c r="AI354" s="701"/>
      <c r="AY354" s="977"/>
    </row>
    <row r="355" ht="15.75" customHeight="1">
      <c r="A355" s="1004"/>
      <c r="B355" s="1004"/>
      <c r="C355" s="1005"/>
      <c r="D355" s="977"/>
      <c r="E355" s="13"/>
      <c r="F355" s="677"/>
      <c r="G355" s="13"/>
      <c r="H355" s="677"/>
      <c r="I355" s="13"/>
      <c r="J355" s="677"/>
      <c r="K355" s="13"/>
      <c r="L355" s="677"/>
      <c r="M355" s="13"/>
      <c r="N355" s="13"/>
      <c r="O355" s="13"/>
      <c r="P355" s="677"/>
      <c r="U355" s="1189"/>
      <c r="W355" s="1189"/>
      <c r="Y355" s="1190"/>
      <c r="AA355" s="1190"/>
      <c r="AG355" s="701"/>
      <c r="AI355" s="701"/>
      <c r="AY355" s="977"/>
    </row>
    <row r="356" ht="15.75" customHeight="1">
      <c r="A356" s="1004"/>
      <c r="B356" s="1004"/>
      <c r="C356" s="1005"/>
      <c r="D356" s="977"/>
      <c r="E356" s="13"/>
      <c r="F356" s="677"/>
      <c r="G356" s="13"/>
      <c r="H356" s="677"/>
      <c r="I356" s="13"/>
      <c r="J356" s="677"/>
      <c r="K356" s="13"/>
      <c r="L356" s="677"/>
      <c r="M356" s="13"/>
      <c r="N356" s="13"/>
      <c r="O356" s="13"/>
      <c r="P356" s="677"/>
      <c r="U356" s="1189"/>
      <c r="W356" s="1189"/>
      <c r="Y356" s="1190"/>
      <c r="AA356" s="1190"/>
      <c r="AG356" s="701"/>
      <c r="AI356" s="701"/>
      <c r="AY356" s="977"/>
    </row>
    <row r="357" ht="15.75" customHeight="1">
      <c r="A357" s="1004"/>
      <c r="B357" s="1004"/>
      <c r="C357" s="1005"/>
      <c r="D357" s="977"/>
      <c r="E357" s="13"/>
      <c r="F357" s="677"/>
      <c r="G357" s="13"/>
      <c r="H357" s="677"/>
      <c r="I357" s="13"/>
      <c r="J357" s="677"/>
      <c r="K357" s="13"/>
      <c r="L357" s="677"/>
      <c r="M357" s="13"/>
      <c r="N357" s="13"/>
      <c r="O357" s="13"/>
      <c r="P357" s="677"/>
      <c r="U357" s="1189"/>
      <c r="W357" s="1189"/>
      <c r="Y357" s="1190"/>
      <c r="AA357" s="1190"/>
      <c r="AG357" s="701"/>
      <c r="AI357" s="701"/>
      <c r="AY357" s="977"/>
    </row>
    <row r="358" ht="15.75" customHeight="1">
      <c r="A358" s="1004"/>
      <c r="B358" s="1004"/>
      <c r="C358" s="1005"/>
      <c r="D358" s="977"/>
      <c r="E358" s="13"/>
      <c r="F358" s="677"/>
      <c r="G358" s="13"/>
      <c r="H358" s="677"/>
      <c r="I358" s="13"/>
      <c r="J358" s="677"/>
      <c r="K358" s="13"/>
      <c r="L358" s="677"/>
      <c r="M358" s="13"/>
      <c r="N358" s="13"/>
      <c r="O358" s="13"/>
      <c r="P358" s="677"/>
      <c r="U358" s="1189"/>
      <c r="W358" s="1189"/>
      <c r="Y358" s="1190"/>
      <c r="AA358" s="1190"/>
      <c r="AG358" s="701"/>
      <c r="AI358" s="701"/>
      <c r="AY358" s="977"/>
    </row>
    <row r="359" ht="15.75" customHeight="1">
      <c r="A359" s="1004"/>
      <c r="B359" s="1004"/>
      <c r="C359" s="1005"/>
      <c r="D359" s="977"/>
      <c r="E359" s="13"/>
      <c r="F359" s="677"/>
      <c r="G359" s="13"/>
      <c r="H359" s="677"/>
      <c r="I359" s="13"/>
      <c r="J359" s="677"/>
      <c r="K359" s="13"/>
      <c r="L359" s="677"/>
      <c r="M359" s="13"/>
      <c r="N359" s="13"/>
      <c r="O359" s="13"/>
      <c r="P359" s="677"/>
      <c r="U359" s="1189"/>
      <c r="W359" s="1189"/>
      <c r="Y359" s="1190"/>
      <c r="AA359" s="1190"/>
      <c r="AG359" s="701"/>
      <c r="AI359" s="701"/>
      <c r="AY359" s="977"/>
    </row>
    <row r="360" ht="15.75" customHeight="1">
      <c r="A360" s="1004"/>
      <c r="B360" s="1004"/>
      <c r="C360" s="1005"/>
      <c r="D360" s="977"/>
      <c r="E360" s="13"/>
      <c r="F360" s="677"/>
      <c r="G360" s="13"/>
      <c r="H360" s="677"/>
      <c r="I360" s="13"/>
      <c r="J360" s="677"/>
      <c r="K360" s="13"/>
      <c r="L360" s="677"/>
      <c r="M360" s="13"/>
      <c r="N360" s="13"/>
      <c r="O360" s="13"/>
      <c r="P360" s="677"/>
      <c r="U360" s="1189"/>
      <c r="W360" s="1189"/>
      <c r="Y360" s="1190"/>
      <c r="AA360" s="1190"/>
      <c r="AG360" s="701"/>
      <c r="AI360" s="701"/>
      <c r="AY360" s="977"/>
    </row>
    <row r="361" ht="15.75" customHeight="1">
      <c r="A361" s="1004"/>
      <c r="B361" s="1004"/>
      <c r="C361" s="1005"/>
      <c r="D361" s="977"/>
      <c r="E361" s="13"/>
      <c r="F361" s="677"/>
      <c r="G361" s="13"/>
      <c r="H361" s="677"/>
      <c r="I361" s="13"/>
      <c r="J361" s="677"/>
      <c r="K361" s="13"/>
      <c r="L361" s="677"/>
      <c r="M361" s="13"/>
      <c r="N361" s="13"/>
      <c r="O361" s="13"/>
      <c r="P361" s="677"/>
      <c r="U361" s="1189"/>
      <c r="W361" s="1189"/>
      <c r="Y361" s="1190"/>
      <c r="AA361" s="1190"/>
      <c r="AG361" s="701"/>
      <c r="AI361" s="701"/>
      <c r="AY361" s="977"/>
    </row>
    <row r="362" ht="15.75" customHeight="1">
      <c r="A362" s="1004"/>
      <c r="B362" s="1004"/>
      <c r="C362" s="1005"/>
      <c r="D362" s="977"/>
      <c r="E362" s="13"/>
      <c r="F362" s="677"/>
      <c r="G362" s="13"/>
      <c r="H362" s="677"/>
      <c r="I362" s="13"/>
      <c r="J362" s="677"/>
      <c r="K362" s="13"/>
      <c r="L362" s="677"/>
      <c r="M362" s="13"/>
      <c r="N362" s="13"/>
      <c r="O362" s="13"/>
      <c r="P362" s="677"/>
      <c r="U362" s="1189"/>
      <c r="W362" s="1189"/>
      <c r="Y362" s="1190"/>
      <c r="AA362" s="1190"/>
      <c r="AG362" s="701"/>
      <c r="AI362" s="701"/>
      <c r="AY362" s="977"/>
    </row>
    <row r="363" ht="15.75" customHeight="1">
      <c r="A363" s="1004"/>
      <c r="B363" s="1004"/>
      <c r="C363" s="1005"/>
      <c r="D363" s="977"/>
      <c r="E363" s="13"/>
      <c r="F363" s="677"/>
      <c r="G363" s="13"/>
      <c r="H363" s="677"/>
      <c r="I363" s="13"/>
      <c r="J363" s="677"/>
      <c r="K363" s="13"/>
      <c r="L363" s="677"/>
      <c r="M363" s="13"/>
      <c r="N363" s="13"/>
      <c r="O363" s="13"/>
      <c r="P363" s="677"/>
      <c r="U363" s="1189"/>
      <c r="W363" s="1189"/>
      <c r="Y363" s="1190"/>
      <c r="AA363" s="1190"/>
      <c r="AG363" s="701"/>
      <c r="AI363" s="701"/>
      <c r="AY363" s="977"/>
    </row>
    <row r="364" ht="15.75" customHeight="1">
      <c r="A364" s="1004"/>
      <c r="B364" s="1004"/>
      <c r="C364" s="1005"/>
      <c r="D364" s="977"/>
      <c r="E364" s="13"/>
      <c r="F364" s="677"/>
      <c r="G364" s="13"/>
      <c r="H364" s="677"/>
      <c r="I364" s="13"/>
      <c r="J364" s="677"/>
      <c r="K364" s="13"/>
      <c r="L364" s="677"/>
      <c r="M364" s="13"/>
      <c r="N364" s="13"/>
      <c r="O364" s="13"/>
      <c r="P364" s="677"/>
      <c r="U364" s="1189"/>
      <c r="W364" s="1189"/>
      <c r="Y364" s="1190"/>
      <c r="AA364" s="1190"/>
      <c r="AG364" s="701"/>
      <c r="AI364" s="701"/>
      <c r="AY364" s="977"/>
    </row>
    <row r="365" ht="15.75" customHeight="1">
      <c r="A365" s="1004"/>
      <c r="B365" s="1004"/>
      <c r="C365" s="1005"/>
      <c r="D365" s="977"/>
      <c r="E365" s="13"/>
      <c r="F365" s="677"/>
      <c r="G365" s="13"/>
      <c r="H365" s="677"/>
      <c r="I365" s="13"/>
      <c r="J365" s="677"/>
      <c r="K365" s="13"/>
      <c r="L365" s="677"/>
      <c r="M365" s="13"/>
      <c r="N365" s="13"/>
      <c r="O365" s="13"/>
      <c r="P365" s="677"/>
      <c r="U365" s="1189"/>
      <c r="W365" s="1189"/>
      <c r="Y365" s="1190"/>
      <c r="AA365" s="1190"/>
      <c r="AG365" s="701"/>
      <c r="AI365" s="701"/>
      <c r="AY365" s="977"/>
    </row>
    <row r="366" ht="15.75" customHeight="1">
      <c r="A366" s="1004"/>
      <c r="B366" s="1004"/>
      <c r="C366" s="1005"/>
      <c r="D366" s="977"/>
      <c r="E366" s="13"/>
      <c r="F366" s="677"/>
      <c r="G366" s="13"/>
      <c r="H366" s="677"/>
      <c r="I366" s="13"/>
      <c r="J366" s="677"/>
      <c r="K366" s="13"/>
      <c r="L366" s="677"/>
      <c r="M366" s="13"/>
      <c r="N366" s="13"/>
      <c r="O366" s="13"/>
      <c r="P366" s="677"/>
      <c r="U366" s="1189"/>
      <c r="W366" s="1189"/>
      <c r="Y366" s="1190"/>
      <c r="AA366" s="1190"/>
      <c r="AG366" s="701"/>
      <c r="AI366" s="701"/>
      <c r="AY366" s="977"/>
    </row>
    <row r="367" ht="15.75" customHeight="1">
      <c r="A367" s="1004"/>
      <c r="B367" s="1004"/>
      <c r="C367" s="1005"/>
      <c r="D367" s="977"/>
      <c r="E367" s="13"/>
      <c r="F367" s="677"/>
      <c r="G367" s="13"/>
      <c r="H367" s="677"/>
      <c r="I367" s="13"/>
      <c r="J367" s="677"/>
      <c r="K367" s="13"/>
      <c r="L367" s="677"/>
      <c r="M367" s="13"/>
      <c r="N367" s="13"/>
      <c r="O367" s="13"/>
      <c r="P367" s="677"/>
      <c r="U367" s="1189"/>
      <c r="W367" s="1189"/>
      <c r="Y367" s="1190"/>
      <c r="AA367" s="1190"/>
      <c r="AG367" s="701"/>
      <c r="AI367" s="701"/>
      <c r="AY367" s="977"/>
    </row>
    <row r="368" ht="15.75" customHeight="1">
      <c r="A368" s="1004"/>
      <c r="B368" s="1004"/>
      <c r="C368" s="1005"/>
      <c r="D368" s="977"/>
      <c r="E368" s="13"/>
      <c r="F368" s="677"/>
      <c r="G368" s="13"/>
      <c r="H368" s="677"/>
      <c r="I368" s="13"/>
      <c r="J368" s="677"/>
      <c r="K368" s="13"/>
      <c r="L368" s="677"/>
      <c r="M368" s="13"/>
      <c r="N368" s="13"/>
      <c r="O368" s="13"/>
      <c r="P368" s="677"/>
      <c r="U368" s="1189"/>
      <c r="W368" s="1189"/>
      <c r="Y368" s="1190"/>
      <c r="AA368" s="1190"/>
      <c r="AG368" s="701"/>
      <c r="AI368" s="701"/>
      <c r="AY368" s="977"/>
    </row>
    <row r="369" ht="15.75" customHeight="1">
      <c r="A369" s="1004"/>
      <c r="B369" s="1004"/>
      <c r="C369" s="1005"/>
      <c r="D369" s="977"/>
      <c r="E369" s="13"/>
      <c r="F369" s="677"/>
      <c r="G369" s="13"/>
      <c r="H369" s="677"/>
      <c r="I369" s="13"/>
      <c r="J369" s="677"/>
      <c r="K369" s="13"/>
      <c r="L369" s="677"/>
      <c r="M369" s="13"/>
      <c r="N369" s="13"/>
      <c r="O369" s="13"/>
      <c r="P369" s="677"/>
      <c r="U369" s="1189"/>
      <c r="W369" s="1189"/>
      <c r="Y369" s="1190"/>
      <c r="AA369" s="1190"/>
      <c r="AG369" s="701"/>
      <c r="AI369" s="701"/>
      <c r="AY369" s="977"/>
    </row>
    <row r="370" ht="15.75" customHeight="1">
      <c r="A370" s="1004"/>
      <c r="B370" s="1004"/>
      <c r="C370" s="1005"/>
      <c r="D370" s="977"/>
      <c r="E370" s="13"/>
      <c r="F370" s="677"/>
      <c r="G370" s="13"/>
      <c r="H370" s="677"/>
      <c r="I370" s="13"/>
      <c r="J370" s="677"/>
      <c r="K370" s="13"/>
      <c r="L370" s="677"/>
      <c r="M370" s="13"/>
      <c r="N370" s="13"/>
      <c r="O370" s="13"/>
      <c r="P370" s="677"/>
      <c r="U370" s="1189"/>
      <c r="W370" s="1189"/>
      <c r="Y370" s="1190"/>
      <c r="AA370" s="1190"/>
      <c r="AG370" s="701"/>
      <c r="AI370" s="701"/>
      <c r="AY370" s="977"/>
    </row>
    <row r="371" ht="15.75" customHeight="1">
      <c r="A371" s="1004"/>
      <c r="B371" s="1004"/>
      <c r="C371" s="1005"/>
      <c r="D371" s="977"/>
      <c r="E371" s="13"/>
      <c r="F371" s="677"/>
      <c r="G371" s="13"/>
      <c r="H371" s="677"/>
      <c r="I371" s="13"/>
      <c r="J371" s="677"/>
      <c r="K371" s="13"/>
      <c r="L371" s="677"/>
      <c r="M371" s="13"/>
      <c r="N371" s="13"/>
      <c r="O371" s="13"/>
      <c r="P371" s="677"/>
      <c r="U371" s="1189"/>
      <c r="W371" s="1189"/>
      <c r="Y371" s="1190"/>
      <c r="AA371" s="1190"/>
      <c r="AG371" s="701"/>
      <c r="AI371" s="701"/>
      <c r="AY371" s="977"/>
    </row>
    <row r="372" ht="15.75" customHeight="1">
      <c r="A372" s="1004"/>
      <c r="B372" s="1004"/>
      <c r="C372" s="1005"/>
      <c r="D372" s="977"/>
      <c r="E372" s="13"/>
      <c r="F372" s="677"/>
      <c r="G372" s="13"/>
      <c r="H372" s="677"/>
      <c r="I372" s="13"/>
      <c r="J372" s="677"/>
      <c r="K372" s="13"/>
      <c r="L372" s="677"/>
      <c r="M372" s="13"/>
      <c r="N372" s="13"/>
      <c r="O372" s="13"/>
      <c r="P372" s="677"/>
      <c r="U372" s="1189"/>
      <c r="W372" s="1189"/>
      <c r="Y372" s="1190"/>
      <c r="AA372" s="1190"/>
      <c r="AG372" s="701"/>
      <c r="AI372" s="701"/>
      <c r="AY372" s="977"/>
    </row>
    <row r="373" ht="15.75" customHeight="1">
      <c r="A373" s="1004"/>
      <c r="B373" s="1004"/>
      <c r="C373" s="1005"/>
      <c r="D373" s="977"/>
      <c r="E373" s="13"/>
      <c r="F373" s="677"/>
      <c r="G373" s="13"/>
      <c r="H373" s="677"/>
      <c r="I373" s="13"/>
      <c r="J373" s="677"/>
      <c r="K373" s="13"/>
      <c r="L373" s="677"/>
      <c r="M373" s="13"/>
      <c r="N373" s="13"/>
      <c r="O373" s="13"/>
      <c r="P373" s="677"/>
      <c r="U373" s="1189"/>
      <c r="W373" s="1189"/>
      <c r="Y373" s="1190"/>
      <c r="AA373" s="1190"/>
      <c r="AG373" s="701"/>
      <c r="AI373" s="701"/>
      <c r="AY373" s="977"/>
    </row>
    <row r="374" ht="15.75" customHeight="1">
      <c r="A374" s="1004"/>
      <c r="B374" s="1004"/>
      <c r="C374" s="1005"/>
      <c r="D374" s="977"/>
      <c r="E374" s="13"/>
      <c r="F374" s="677"/>
      <c r="G374" s="13"/>
      <c r="H374" s="677"/>
      <c r="I374" s="13"/>
      <c r="J374" s="677"/>
      <c r="K374" s="13"/>
      <c r="L374" s="677"/>
      <c r="M374" s="13"/>
      <c r="N374" s="13"/>
      <c r="O374" s="13"/>
      <c r="P374" s="677"/>
      <c r="U374" s="1189"/>
      <c r="W374" s="1189"/>
      <c r="Y374" s="1190"/>
      <c r="AA374" s="1190"/>
      <c r="AG374" s="701"/>
      <c r="AI374" s="701"/>
      <c r="AY374" s="977"/>
    </row>
    <row r="375" ht="15.75" customHeight="1">
      <c r="A375" s="1004"/>
      <c r="B375" s="1004"/>
      <c r="C375" s="1005"/>
      <c r="D375" s="977"/>
      <c r="E375" s="13"/>
      <c r="F375" s="677"/>
      <c r="G375" s="13"/>
      <c r="H375" s="677"/>
      <c r="I375" s="13"/>
      <c r="J375" s="677"/>
      <c r="K375" s="13"/>
      <c r="L375" s="677"/>
      <c r="M375" s="13"/>
      <c r="N375" s="13"/>
      <c r="O375" s="13"/>
      <c r="P375" s="677"/>
      <c r="U375" s="1189"/>
      <c r="W375" s="1189"/>
      <c r="Y375" s="1190"/>
      <c r="AA375" s="1190"/>
      <c r="AG375" s="701"/>
      <c r="AI375" s="701"/>
      <c r="AY375" s="977"/>
    </row>
    <row r="376" ht="15.75" customHeight="1">
      <c r="A376" s="1004"/>
      <c r="B376" s="1004"/>
      <c r="C376" s="1005"/>
      <c r="D376" s="977"/>
      <c r="E376" s="13"/>
      <c r="F376" s="677"/>
      <c r="G376" s="13"/>
      <c r="H376" s="677"/>
      <c r="I376" s="13"/>
      <c r="J376" s="677"/>
      <c r="K376" s="13"/>
      <c r="L376" s="677"/>
      <c r="M376" s="13"/>
      <c r="N376" s="13"/>
      <c r="O376" s="13"/>
      <c r="P376" s="677"/>
      <c r="U376" s="1189"/>
      <c r="W376" s="1189"/>
      <c r="Y376" s="1190"/>
      <c r="AA376" s="1190"/>
      <c r="AG376" s="701"/>
      <c r="AI376" s="701"/>
      <c r="AY376" s="977"/>
    </row>
    <row r="377" ht="15.75" customHeight="1">
      <c r="A377" s="1004"/>
      <c r="B377" s="1004"/>
      <c r="C377" s="1005"/>
      <c r="D377" s="977"/>
      <c r="E377" s="13"/>
      <c r="F377" s="677"/>
      <c r="G377" s="13"/>
      <c r="H377" s="677"/>
      <c r="I377" s="13"/>
      <c r="J377" s="677"/>
      <c r="K377" s="13"/>
      <c r="L377" s="677"/>
      <c r="M377" s="13"/>
      <c r="N377" s="13"/>
      <c r="O377" s="13"/>
      <c r="P377" s="677"/>
      <c r="U377" s="1189"/>
      <c r="W377" s="1189"/>
      <c r="Y377" s="1190"/>
      <c r="AA377" s="1190"/>
      <c r="AG377" s="701"/>
      <c r="AI377" s="701"/>
      <c r="AY377" s="977"/>
    </row>
    <row r="378" ht="15.75" customHeight="1">
      <c r="A378" s="1004"/>
      <c r="B378" s="1004"/>
      <c r="C378" s="1005"/>
      <c r="D378" s="977"/>
      <c r="E378" s="13"/>
      <c r="F378" s="677"/>
      <c r="G378" s="13"/>
      <c r="H378" s="677"/>
      <c r="I378" s="13"/>
      <c r="J378" s="677"/>
      <c r="K378" s="13"/>
      <c r="L378" s="677"/>
      <c r="M378" s="13"/>
      <c r="N378" s="13"/>
      <c r="O378" s="13"/>
      <c r="P378" s="677"/>
      <c r="U378" s="1189"/>
      <c r="W378" s="1189"/>
      <c r="Y378" s="1190"/>
      <c r="AA378" s="1190"/>
      <c r="AG378" s="701"/>
      <c r="AI378" s="701"/>
      <c r="AY378" s="977"/>
    </row>
    <row r="379" ht="15.75" customHeight="1">
      <c r="A379" s="1004"/>
      <c r="B379" s="1004"/>
      <c r="C379" s="1005"/>
      <c r="D379" s="977"/>
      <c r="E379" s="13"/>
      <c r="F379" s="677"/>
      <c r="G379" s="13"/>
      <c r="H379" s="677"/>
      <c r="I379" s="13"/>
      <c r="J379" s="677"/>
      <c r="K379" s="13"/>
      <c r="L379" s="677"/>
      <c r="M379" s="13"/>
      <c r="N379" s="13"/>
      <c r="O379" s="13"/>
      <c r="P379" s="677"/>
      <c r="U379" s="1189"/>
      <c r="W379" s="1189"/>
      <c r="Y379" s="1190"/>
      <c r="AA379" s="1190"/>
      <c r="AG379" s="701"/>
      <c r="AI379" s="701"/>
      <c r="AY379" s="977"/>
    </row>
    <row r="380" ht="15.75" customHeight="1">
      <c r="A380" s="1004"/>
      <c r="B380" s="1004"/>
      <c r="C380" s="1005"/>
      <c r="D380" s="977"/>
      <c r="E380" s="13"/>
      <c r="F380" s="677"/>
      <c r="G380" s="13"/>
      <c r="H380" s="677"/>
      <c r="I380" s="13"/>
      <c r="J380" s="677"/>
      <c r="K380" s="13"/>
      <c r="L380" s="677"/>
      <c r="M380" s="13"/>
      <c r="N380" s="13"/>
      <c r="O380" s="13"/>
      <c r="P380" s="677"/>
      <c r="U380" s="1189"/>
      <c r="W380" s="1189"/>
      <c r="Y380" s="1190"/>
      <c r="AA380" s="1190"/>
      <c r="AG380" s="701"/>
      <c r="AI380" s="701"/>
      <c r="AY380" s="977"/>
    </row>
    <row r="381" ht="15.75" customHeight="1">
      <c r="A381" s="1004"/>
      <c r="B381" s="1004"/>
      <c r="C381" s="1005"/>
      <c r="D381" s="977"/>
      <c r="E381" s="13"/>
      <c r="F381" s="677"/>
      <c r="G381" s="13"/>
      <c r="H381" s="677"/>
      <c r="I381" s="13"/>
      <c r="J381" s="677"/>
      <c r="K381" s="13"/>
      <c r="L381" s="677"/>
      <c r="M381" s="13"/>
      <c r="N381" s="13"/>
      <c r="O381" s="13"/>
      <c r="P381" s="677"/>
      <c r="U381" s="1189"/>
      <c r="W381" s="1189"/>
      <c r="Y381" s="1190"/>
      <c r="AA381" s="1190"/>
      <c r="AG381" s="701"/>
      <c r="AI381" s="701"/>
      <c r="AY381" s="977"/>
    </row>
    <row r="382" ht="15.75" customHeight="1">
      <c r="A382" s="1004"/>
      <c r="B382" s="1004"/>
      <c r="C382" s="1005"/>
      <c r="D382" s="977"/>
      <c r="E382" s="13"/>
      <c r="F382" s="677"/>
      <c r="G382" s="13"/>
      <c r="H382" s="677"/>
      <c r="I382" s="13"/>
      <c r="J382" s="677"/>
      <c r="K382" s="13"/>
      <c r="L382" s="677"/>
      <c r="M382" s="13"/>
      <c r="N382" s="13"/>
      <c r="O382" s="13"/>
      <c r="P382" s="677"/>
      <c r="U382" s="1189"/>
      <c r="W382" s="1189"/>
      <c r="Y382" s="1190"/>
      <c r="AA382" s="1190"/>
      <c r="AG382" s="701"/>
      <c r="AI382" s="701"/>
      <c r="AY382" s="977"/>
    </row>
    <row r="383" ht="15.75" customHeight="1">
      <c r="A383" s="1004"/>
      <c r="B383" s="1004"/>
      <c r="C383" s="1005"/>
      <c r="D383" s="977"/>
      <c r="E383" s="13"/>
      <c r="F383" s="677"/>
      <c r="G383" s="13"/>
      <c r="H383" s="677"/>
      <c r="I383" s="13"/>
      <c r="J383" s="677"/>
      <c r="K383" s="13"/>
      <c r="L383" s="677"/>
      <c r="M383" s="13"/>
      <c r="N383" s="13"/>
      <c r="O383" s="13"/>
      <c r="P383" s="677"/>
      <c r="U383" s="1189"/>
      <c r="W383" s="1189"/>
      <c r="Y383" s="1190"/>
      <c r="AA383" s="1190"/>
      <c r="AG383" s="701"/>
      <c r="AI383" s="701"/>
      <c r="AY383" s="977"/>
    </row>
    <row r="384" ht="15.75" customHeight="1">
      <c r="A384" s="1004"/>
      <c r="B384" s="1004"/>
      <c r="C384" s="1005"/>
      <c r="D384" s="977"/>
      <c r="E384" s="13"/>
      <c r="F384" s="677"/>
      <c r="G384" s="13"/>
      <c r="H384" s="677"/>
      <c r="I384" s="13"/>
      <c r="J384" s="677"/>
      <c r="K384" s="13"/>
      <c r="L384" s="677"/>
      <c r="M384" s="13"/>
      <c r="N384" s="13"/>
      <c r="O384" s="13"/>
      <c r="P384" s="677"/>
      <c r="U384" s="1189"/>
      <c r="W384" s="1189"/>
      <c r="Y384" s="1190"/>
      <c r="AA384" s="1190"/>
      <c r="AG384" s="701"/>
      <c r="AI384" s="701"/>
      <c r="AY384" s="977"/>
    </row>
    <row r="385" ht="15.75" customHeight="1">
      <c r="A385" s="1004"/>
      <c r="B385" s="1004"/>
      <c r="C385" s="1005"/>
      <c r="D385" s="977"/>
      <c r="E385" s="13"/>
      <c r="F385" s="677"/>
      <c r="G385" s="13"/>
      <c r="H385" s="677"/>
      <c r="I385" s="13"/>
      <c r="J385" s="677"/>
      <c r="K385" s="13"/>
      <c r="L385" s="677"/>
      <c r="M385" s="13"/>
      <c r="N385" s="13"/>
      <c r="O385" s="13"/>
      <c r="P385" s="677"/>
      <c r="U385" s="1189"/>
      <c r="W385" s="1189"/>
      <c r="Y385" s="1190"/>
      <c r="AA385" s="1190"/>
      <c r="AG385" s="701"/>
      <c r="AI385" s="701"/>
      <c r="AY385" s="977"/>
    </row>
    <row r="386" ht="15.75" customHeight="1">
      <c r="A386" s="1004"/>
      <c r="B386" s="1004"/>
      <c r="C386" s="1005"/>
      <c r="D386" s="977"/>
      <c r="E386" s="13"/>
      <c r="F386" s="677"/>
      <c r="G386" s="13"/>
      <c r="H386" s="677"/>
      <c r="I386" s="13"/>
      <c r="J386" s="677"/>
      <c r="K386" s="13"/>
      <c r="L386" s="677"/>
      <c r="M386" s="13"/>
      <c r="N386" s="13"/>
      <c r="O386" s="13"/>
      <c r="P386" s="677"/>
      <c r="U386" s="1189"/>
      <c r="W386" s="1189"/>
      <c r="Y386" s="1190"/>
      <c r="AA386" s="1190"/>
      <c r="AG386" s="701"/>
      <c r="AI386" s="701"/>
      <c r="AY386" s="977"/>
    </row>
    <row r="387" ht="15.75" customHeight="1">
      <c r="A387" s="1004"/>
      <c r="B387" s="1004"/>
      <c r="C387" s="1005"/>
      <c r="D387" s="977"/>
      <c r="E387" s="13"/>
      <c r="F387" s="677"/>
      <c r="G387" s="13"/>
      <c r="H387" s="677"/>
      <c r="I387" s="13"/>
      <c r="J387" s="677"/>
      <c r="K387" s="13"/>
      <c r="L387" s="677"/>
      <c r="M387" s="13"/>
      <c r="N387" s="13"/>
      <c r="O387" s="13"/>
      <c r="P387" s="677"/>
      <c r="U387" s="1189"/>
      <c r="W387" s="1189"/>
      <c r="Y387" s="1190"/>
      <c r="AA387" s="1190"/>
      <c r="AG387" s="701"/>
      <c r="AI387" s="701"/>
      <c r="AY387" s="977"/>
    </row>
    <row r="388" ht="15.75" customHeight="1">
      <c r="A388" s="1004"/>
      <c r="B388" s="1004"/>
      <c r="C388" s="1005"/>
      <c r="D388" s="977"/>
      <c r="E388" s="13"/>
      <c r="F388" s="677"/>
      <c r="G388" s="13"/>
      <c r="H388" s="677"/>
      <c r="I388" s="13"/>
      <c r="J388" s="677"/>
      <c r="K388" s="13"/>
      <c r="L388" s="677"/>
      <c r="M388" s="13"/>
      <c r="N388" s="13"/>
      <c r="O388" s="13"/>
      <c r="P388" s="677"/>
      <c r="U388" s="1189"/>
      <c r="W388" s="1189"/>
      <c r="Y388" s="1190"/>
      <c r="AA388" s="1190"/>
      <c r="AG388" s="701"/>
      <c r="AI388" s="701"/>
      <c r="AY388" s="977"/>
    </row>
    <row r="389" ht="15.75" customHeight="1">
      <c r="A389" s="1004"/>
      <c r="B389" s="1004"/>
      <c r="C389" s="1005"/>
      <c r="D389" s="977"/>
      <c r="E389" s="13"/>
      <c r="F389" s="677"/>
      <c r="G389" s="13"/>
      <c r="H389" s="677"/>
      <c r="I389" s="13"/>
      <c r="J389" s="677"/>
      <c r="K389" s="13"/>
      <c r="L389" s="677"/>
      <c r="M389" s="13"/>
      <c r="N389" s="13"/>
      <c r="O389" s="13"/>
      <c r="P389" s="677"/>
      <c r="U389" s="1189"/>
      <c r="W389" s="1189"/>
      <c r="Y389" s="1190"/>
      <c r="AA389" s="1190"/>
      <c r="AG389" s="701"/>
      <c r="AI389" s="701"/>
      <c r="AY389" s="977"/>
    </row>
    <row r="390" ht="15.75" customHeight="1">
      <c r="A390" s="1004"/>
      <c r="B390" s="1004"/>
      <c r="C390" s="1005"/>
      <c r="D390" s="977"/>
      <c r="E390" s="13"/>
      <c r="F390" s="677"/>
      <c r="G390" s="13"/>
      <c r="H390" s="677"/>
      <c r="I390" s="13"/>
      <c r="J390" s="677"/>
      <c r="K390" s="13"/>
      <c r="L390" s="677"/>
      <c r="M390" s="13"/>
      <c r="N390" s="13"/>
      <c r="O390" s="13"/>
      <c r="P390" s="677"/>
      <c r="U390" s="1189"/>
      <c r="W390" s="1189"/>
      <c r="Y390" s="1190"/>
      <c r="AA390" s="1190"/>
      <c r="AG390" s="701"/>
      <c r="AI390" s="701"/>
      <c r="AY390" s="977"/>
    </row>
    <row r="391" ht="15.75" customHeight="1">
      <c r="A391" s="1004"/>
      <c r="B391" s="1004"/>
      <c r="C391" s="1005"/>
      <c r="D391" s="977"/>
      <c r="E391" s="13"/>
      <c r="F391" s="677"/>
      <c r="G391" s="13"/>
      <c r="H391" s="677"/>
      <c r="I391" s="13"/>
      <c r="J391" s="677"/>
      <c r="K391" s="13"/>
      <c r="L391" s="677"/>
      <c r="M391" s="13"/>
      <c r="N391" s="13"/>
      <c r="O391" s="13"/>
      <c r="P391" s="677"/>
      <c r="U391" s="1189"/>
      <c r="W391" s="1189"/>
      <c r="Y391" s="1190"/>
      <c r="AA391" s="1190"/>
      <c r="AG391" s="701"/>
      <c r="AI391" s="701"/>
      <c r="AY391" s="977"/>
    </row>
    <row r="392" ht="15.75" customHeight="1">
      <c r="A392" s="1004"/>
      <c r="B392" s="1004"/>
      <c r="C392" s="1005"/>
      <c r="D392" s="977"/>
      <c r="E392" s="13"/>
      <c r="F392" s="677"/>
      <c r="G392" s="13"/>
      <c r="H392" s="677"/>
      <c r="I392" s="13"/>
      <c r="J392" s="677"/>
      <c r="K392" s="13"/>
      <c r="L392" s="677"/>
      <c r="M392" s="13"/>
      <c r="N392" s="13"/>
      <c r="O392" s="13"/>
      <c r="P392" s="677"/>
      <c r="U392" s="1189"/>
      <c r="W392" s="1189"/>
      <c r="Y392" s="1190"/>
      <c r="AA392" s="1190"/>
      <c r="AG392" s="701"/>
      <c r="AI392" s="701"/>
      <c r="AY392" s="977"/>
    </row>
    <row r="393" ht="15.75" customHeight="1">
      <c r="A393" s="1004"/>
      <c r="B393" s="1004"/>
      <c r="C393" s="1005"/>
      <c r="D393" s="977"/>
      <c r="E393" s="13"/>
      <c r="F393" s="677"/>
      <c r="G393" s="13"/>
      <c r="H393" s="677"/>
      <c r="I393" s="13"/>
      <c r="J393" s="677"/>
      <c r="K393" s="13"/>
      <c r="L393" s="677"/>
      <c r="M393" s="13"/>
      <c r="N393" s="13"/>
      <c r="O393" s="13"/>
      <c r="P393" s="677"/>
      <c r="U393" s="1189"/>
      <c r="W393" s="1189"/>
      <c r="Y393" s="1190"/>
      <c r="AA393" s="1190"/>
      <c r="AG393" s="701"/>
      <c r="AI393" s="701"/>
      <c r="AY393" s="977"/>
    </row>
    <row r="394" ht="15.75" customHeight="1">
      <c r="A394" s="1004"/>
      <c r="B394" s="1004"/>
      <c r="C394" s="1005"/>
      <c r="D394" s="977"/>
      <c r="E394" s="13"/>
      <c r="F394" s="677"/>
      <c r="G394" s="13"/>
      <c r="H394" s="677"/>
      <c r="I394" s="13"/>
      <c r="J394" s="677"/>
      <c r="K394" s="13"/>
      <c r="L394" s="677"/>
      <c r="M394" s="13"/>
      <c r="N394" s="13"/>
      <c r="O394" s="13"/>
      <c r="P394" s="677"/>
      <c r="U394" s="1189"/>
      <c r="W394" s="1189"/>
      <c r="Y394" s="1190"/>
      <c r="AA394" s="1190"/>
      <c r="AG394" s="701"/>
      <c r="AI394" s="701"/>
      <c r="AY394" s="977"/>
    </row>
    <row r="395" ht="15.75" customHeight="1">
      <c r="A395" s="1004"/>
      <c r="B395" s="1004"/>
      <c r="C395" s="1005"/>
      <c r="D395" s="977"/>
      <c r="E395" s="13"/>
      <c r="F395" s="677"/>
      <c r="G395" s="13"/>
      <c r="H395" s="677"/>
      <c r="I395" s="13"/>
      <c r="J395" s="677"/>
      <c r="K395" s="13"/>
      <c r="L395" s="677"/>
      <c r="M395" s="13"/>
      <c r="N395" s="13"/>
      <c r="O395" s="13"/>
      <c r="P395" s="677"/>
      <c r="U395" s="1189"/>
      <c r="W395" s="1189"/>
      <c r="Y395" s="1190"/>
      <c r="AA395" s="1190"/>
      <c r="AG395" s="701"/>
      <c r="AI395" s="701"/>
      <c r="AY395" s="977"/>
    </row>
    <row r="396" ht="15.75" customHeight="1">
      <c r="A396" s="1004"/>
      <c r="B396" s="1004"/>
      <c r="C396" s="1005"/>
      <c r="D396" s="977"/>
      <c r="E396" s="13"/>
      <c r="F396" s="1779"/>
      <c r="G396" s="13"/>
      <c r="H396" s="1779"/>
      <c r="I396" s="13"/>
      <c r="J396" s="1779"/>
      <c r="K396" s="13"/>
      <c r="L396" s="1779"/>
      <c r="M396" s="13"/>
      <c r="N396" s="1780"/>
      <c r="O396" s="13"/>
      <c r="P396" s="1779"/>
      <c r="U396" s="1189"/>
      <c r="W396" s="1189"/>
      <c r="Y396" s="1190"/>
      <c r="AA396" s="1190"/>
      <c r="AG396" s="701"/>
      <c r="AI396" s="701"/>
      <c r="AY396" s="977"/>
    </row>
    <row r="397" ht="15.75" customHeight="1">
      <c r="A397" s="1004"/>
      <c r="B397" s="1004"/>
      <c r="C397" s="1005"/>
      <c r="D397" s="977"/>
      <c r="E397" s="13"/>
      <c r="F397" s="1779"/>
      <c r="G397" s="13"/>
      <c r="H397" s="1779"/>
      <c r="I397" s="13"/>
      <c r="J397" s="1779"/>
      <c r="K397" s="13"/>
      <c r="L397" s="1779"/>
      <c r="M397" s="13"/>
      <c r="N397" s="1780"/>
      <c r="O397" s="13"/>
      <c r="P397" s="1779"/>
      <c r="U397" s="1189"/>
      <c r="W397" s="1189"/>
      <c r="Y397" s="1190"/>
      <c r="AA397" s="1190"/>
      <c r="AG397" s="701"/>
      <c r="AI397" s="701"/>
      <c r="AY397" s="977"/>
    </row>
    <row r="398" ht="15.75" customHeight="1">
      <c r="A398" s="1004"/>
      <c r="B398" s="1004"/>
      <c r="C398" s="1005"/>
      <c r="D398" s="977"/>
      <c r="E398" s="13"/>
      <c r="F398" s="1779"/>
      <c r="G398" s="13"/>
      <c r="H398" s="1779"/>
      <c r="I398" s="13"/>
      <c r="J398" s="1779"/>
      <c r="K398" s="13"/>
      <c r="L398" s="1779"/>
      <c r="M398" s="13"/>
      <c r="N398" s="1780"/>
      <c r="O398" s="13"/>
      <c r="P398" s="1779"/>
      <c r="U398" s="1189"/>
      <c r="W398" s="1189"/>
      <c r="Y398" s="1190"/>
      <c r="AA398" s="1190"/>
      <c r="AG398" s="701"/>
      <c r="AI398" s="701"/>
      <c r="AY398" s="977"/>
    </row>
    <row r="399" ht="15.75" customHeight="1">
      <c r="A399" s="1004"/>
      <c r="B399" s="1004"/>
      <c r="C399" s="1005"/>
      <c r="D399" s="977"/>
      <c r="E399" s="13"/>
      <c r="F399" s="1779"/>
      <c r="G399" s="13"/>
      <c r="H399" s="1779"/>
      <c r="I399" s="13"/>
      <c r="J399" s="1779"/>
      <c r="K399" s="13"/>
      <c r="L399" s="1779"/>
      <c r="M399" s="13"/>
      <c r="N399" s="1780"/>
      <c r="O399" s="13"/>
      <c r="P399" s="1779"/>
      <c r="U399" s="1189"/>
      <c r="W399" s="1189"/>
      <c r="Y399" s="1190"/>
      <c r="AA399" s="1190"/>
      <c r="AG399" s="701"/>
      <c r="AI399" s="701"/>
      <c r="AY399" s="977"/>
    </row>
    <row r="400" ht="15.75" customHeight="1">
      <c r="A400" s="1004"/>
      <c r="B400" s="1004"/>
      <c r="C400" s="1005"/>
      <c r="D400" s="977"/>
      <c r="E400" s="13"/>
      <c r="F400" s="1779"/>
      <c r="G400" s="13"/>
      <c r="H400" s="1779"/>
      <c r="I400" s="13"/>
      <c r="J400" s="1779"/>
      <c r="K400" s="13"/>
      <c r="L400" s="1779"/>
      <c r="M400" s="13"/>
      <c r="N400" s="1780"/>
      <c r="O400" s="13"/>
      <c r="P400" s="1779"/>
      <c r="U400" s="1189"/>
      <c r="W400" s="1189"/>
      <c r="Y400" s="1190"/>
      <c r="AA400" s="1190"/>
      <c r="AG400" s="701"/>
      <c r="AI400" s="701"/>
      <c r="AY400" s="977"/>
    </row>
    <row r="401" ht="15.75" customHeight="1">
      <c r="A401" s="1004"/>
      <c r="B401" s="1004"/>
      <c r="C401" s="1005"/>
      <c r="D401" s="977"/>
      <c r="E401" s="13"/>
      <c r="F401" s="1779"/>
      <c r="G401" s="13"/>
      <c r="H401" s="1779"/>
      <c r="I401" s="13"/>
      <c r="J401" s="1779"/>
      <c r="K401" s="13"/>
      <c r="L401" s="1779"/>
      <c r="M401" s="13"/>
      <c r="N401" s="1780"/>
      <c r="O401" s="13"/>
      <c r="P401" s="1779"/>
      <c r="U401" s="1189"/>
      <c r="W401" s="1189"/>
      <c r="Y401" s="1190"/>
      <c r="AA401" s="1190"/>
      <c r="AG401" s="701"/>
      <c r="AI401" s="701"/>
      <c r="AY401" s="977"/>
    </row>
    <row r="402" ht="15.75" customHeight="1">
      <c r="A402" s="1004"/>
      <c r="B402" s="1004"/>
      <c r="C402" s="1005"/>
      <c r="D402" s="977"/>
      <c r="E402" s="13"/>
      <c r="F402" s="1779"/>
      <c r="G402" s="13"/>
      <c r="H402" s="1779"/>
      <c r="I402" s="13"/>
      <c r="J402" s="1779"/>
      <c r="K402" s="13"/>
      <c r="L402" s="1779"/>
      <c r="M402" s="13"/>
      <c r="N402" s="1780"/>
      <c r="O402" s="13"/>
      <c r="P402" s="1779"/>
      <c r="U402" s="1189"/>
      <c r="W402" s="1189"/>
      <c r="Y402" s="1190"/>
      <c r="AA402" s="1190"/>
      <c r="AG402" s="701"/>
      <c r="AI402" s="701"/>
      <c r="AY402" s="977"/>
    </row>
    <row r="403" ht="15.75" customHeight="1">
      <c r="A403" s="1004"/>
      <c r="B403" s="1004"/>
      <c r="C403" s="1005"/>
      <c r="D403" s="977"/>
      <c r="E403" s="13"/>
      <c r="F403" s="1779"/>
      <c r="G403" s="13"/>
      <c r="H403" s="1779"/>
      <c r="I403" s="13"/>
      <c r="J403" s="1779"/>
      <c r="K403" s="13"/>
      <c r="L403" s="1779"/>
      <c r="M403" s="13"/>
      <c r="N403" s="1780"/>
      <c r="O403" s="13"/>
      <c r="P403" s="1779"/>
      <c r="U403" s="1189"/>
      <c r="W403" s="1189"/>
      <c r="Y403" s="1190"/>
      <c r="AA403" s="1190"/>
      <c r="AG403" s="701"/>
      <c r="AI403" s="701"/>
      <c r="AY403" s="977"/>
    </row>
    <row r="404" ht="15.75" customHeight="1">
      <c r="A404" s="1004"/>
      <c r="B404" s="1004"/>
      <c r="C404" s="1005"/>
      <c r="D404" s="977"/>
      <c r="E404" s="13"/>
      <c r="F404" s="1779"/>
      <c r="G404" s="13"/>
      <c r="H404" s="1779"/>
      <c r="I404" s="13"/>
      <c r="J404" s="1779"/>
      <c r="K404" s="13"/>
      <c r="L404" s="1779"/>
      <c r="M404" s="13"/>
      <c r="N404" s="1780"/>
      <c r="O404" s="13"/>
      <c r="P404" s="1779"/>
      <c r="U404" s="1189"/>
      <c r="W404" s="1189"/>
      <c r="Y404" s="1190"/>
      <c r="AA404" s="1190"/>
      <c r="AG404" s="701"/>
      <c r="AI404" s="701"/>
      <c r="AY404" s="977"/>
    </row>
    <row r="405" ht="15.75" customHeight="1">
      <c r="A405" s="1004"/>
      <c r="B405" s="1004"/>
      <c r="C405" s="1005"/>
      <c r="D405" s="977"/>
      <c r="E405" s="13"/>
      <c r="F405" s="1779"/>
      <c r="G405" s="13"/>
      <c r="H405" s="1779"/>
      <c r="I405" s="13"/>
      <c r="J405" s="1779"/>
      <c r="K405" s="13"/>
      <c r="L405" s="1779"/>
      <c r="M405" s="13"/>
      <c r="N405" s="1780"/>
      <c r="O405" s="13"/>
      <c r="P405" s="1779"/>
      <c r="U405" s="1189"/>
      <c r="W405" s="1189"/>
      <c r="Y405" s="1190"/>
      <c r="AA405" s="1190"/>
      <c r="AG405" s="701"/>
      <c r="AI405" s="701"/>
      <c r="AY405" s="977"/>
    </row>
    <row r="406" ht="15.75" customHeight="1">
      <c r="A406" s="1004"/>
      <c r="B406" s="1004"/>
      <c r="C406" s="1005"/>
      <c r="D406" s="977"/>
      <c r="E406" s="13"/>
      <c r="F406" s="1779"/>
      <c r="G406" s="13"/>
      <c r="H406" s="1779"/>
      <c r="I406" s="13"/>
      <c r="J406" s="1779"/>
      <c r="K406" s="13"/>
      <c r="L406" s="1779"/>
      <c r="M406" s="13"/>
      <c r="N406" s="1780"/>
      <c r="O406" s="13"/>
      <c r="P406" s="1779"/>
      <c r="U406" s="1189"/>
      <c r="W406" s="1189"/>
      <c r="Y406" s="1190"/>
      <c r="AA406" s="1190"/>
      <c r="AG406" s="701"/>
      <c r="AI406" s="701"/>
      <c r="AY406" s="977"/>
    </row>
    <row r="407" ht="15.75" customHeight="1">
      <c r="A407" s="1004"/>
      <c r="B407" s="1004"/>
      <c r="C407" s="1005"/>
      <c r="D407" s="977"/>
      <c r="E407" s="13"/>
      <c r="F407" s="1779"/>
      <c r="G407" s="13"/>
      <c r="H407" s="1779"/>
      <c r="I407" s="13"/>
      <c r="J407" s="1779"/>
      <c r="K407" s="13"/>
      <c r="L407" s="1779"/>
      <c r="M407" s="13"/>
      <c r="N407" s="1780"/>
      <c r="O407" s="13"/>
      <c r="P407" s="1779"/>
      <c r="U407" s="1189"/>
      <c r="W407" s="1189"/>
      <c r="Y407" s="1190"/>
      <c r="AA407" s="1190"/>
      <c r="AG407" s="701"/>
      <c r="AI407" s="701"/>
      <c r="AY407" s="977"/>
    </row>
    <row r="408" ht="15.75" customHeight="1">
      <c r="A408" s="1004"/>
      <c r="B408" s="1004"/>
      <c r="C408" s="1005"/>
      <c r="D408" s="977"/>
      <c r="E408" s="13"/>
      <c r="F408" s="1779"/>
      <c r="G408" s="13"/>
      <c r="H408" s="1779"/>
      <c r="I408" s="13"/>
      <c r="J408" s="1779"/>
      <c r="K408" s="13"/>
      <c r="L408" s="1779"/>
      <c r="M408" s="13"/>
      <c r="N408" s="1780"/>
      <c r="O408" s="13"/>
      <c r="P408" s="1779"/>
      <c r="U408" s="1189"/>
      <c r="W408" s="1189"/>
      <c r="Y408" s="1190"/>
      <c r="AA408" s="1190"/>
      <c r="AG408" s="701"/>
      <c r="AI408" s="701"/>
      <c r="AY408" s="977"/>
    </row>
    <row r="409" ht="15.75" customHeight="1">
      <c r="A409" s="1004"/>
      <c r="B409" s="1004"/>
      <c r="C409" s="1005"/>
      <c r="D409" s="977"/>
      <c r="E409" s="13"/>
      <c r="F409" s="1779"/>
      <c r="G409" s="13"/>
      <c r="H409" s="1779"/>
      <c r="I409" s="13"/>
      <c r="J409" s="1779"/>
      <c r="K409" s="13"/>
      <c r="L409" s="1779"/>
      <c r="M409" s="13"/>
      <c r="N409" s="1780"/>
      <c r="O409" s="13"/>
      <c r="P409" s="1779"/>
      <c r="U409" s="1189"/>
      <c r="W409" s="1189"/>
      <c r="Y409" s="1190"/>
      <c r="AA409" s="1190"/>
      <c r="AG409" s="701"/>
      <c r="AI409" s="701"/>
      <c r="AY409" s="977"/>
    </row>
    <row r="410" ht="15.75" customHeight="1">
      <c r="A410" s="1004"/>
      <c r="B410" s="1004"/>
      <c r="C410" s="1005"/>
      <c r="D410" s="977"/>
      <c r="E410" s="13"/>
      <c r="F410" s="1779"/>
      <c r="G410" s="13"/>
      <c r="H410" s="1779"/>
      <c r="I410" s="13"/>
      <c r="J410" s="1779"/>
      <c r="K410" s="13"/>
      <c r="L410" s="1779"/>
      <c r="M410" s="13"/>
      <c r="N410" s="1780"/>
      <c r="O410" s="13"/>
      <c r="P410" s="1779"/>
      <c r="U410" s="1189"/>
      <c r="W410" s="1189"/>
      <c r="Y410" s="1190"/>
      <c r="AA410" s="1190"/>
      <c r="AG410" s="701"/>
      <c r="AI410" s="701"/>
      <c r="AY410" s="977"/>
    </row>
    <row r="411" ht="15.75" customHeight="1">
      <c r="A411" s="1004"/>
      <c r="B411" s="1004"/>
      <c r="C411" s="1005"/>
      <c r="D411" s="977"/>
      <c r="E411" s="13"/>
      <c r="F411" s="1779"/>
      <c r="G411" s="13"/>
      <c r="H411" s="1779"/>
      <c r="I411" s="13"/>
      <c r="J411" s="1779"/>
      <c r="K411" s="13"/>
      <c r="L411" s="1779"/>
      <c r="M411" s="13"/>
      <c r="N411" s="1780"/>
      <c r="O411" s="13"/>
      <c r="P411" s="1779"/>
      <c r="U411" s="1189"/>
      <c r="W411" s="1189"/>
      <c r="Y411" s="1190"/>
      <c r="AA411" s="1190"/>
      <c r="AG411" s="701"/>
      <c r="AI411" s="701"/>
      <c r="AY411" s="977"/>
    </row>
    <row r="412" ht="15.75" customHeight="1">
      <c r="A412" s="1004"/>
      <c r="B412" s="1004"/>
      <c r="C412" s="1005"/>
      <c r="D412" s="977"/>
      <c r="E412" s="13"/>
      <c r="F412" s="1779"/>
      <c r="G412" s="13"/>
      <c r="H412" s="1779"/>
      <c r="I412" s="13"/>
      <c r="J412" s="1779"/>
      <c r="K412" s="13"/>
      <c r="L412" s="1779"/>
      <c r="M412" s="13"/>
      <c r="N412" s="1780"/>
      <c r="O412" s="13"/>
      <c r="P412" s="1779"/>
      <c r="U412" s="1189"/>
      <c r="W412" s="1189"/>
      <c r="Y412" s="1190"/>
      <c r="AA412" s="1190"/>
      <c r="AG412" s="701"/>
      <c r="AI412" s="701"/>
      <c r="AY412" s="977"/>
    </row>
    <row r="413" ht="15.75" customHeight="1">
      <c r="A413" s="1004"/>
      <c r="B413" s="1004"/>
      <c r="C413" s="1005"/>
      <c r="D413" s="977"/>
      <c r="E413" s="13"/>
      <c r="F413" s="1779"/>
      <c r="G413" s="13"/>
      <c r="H413" s="1779"/>
      <c r="I413" s="13"/>
      <c r="J413" s="1779"/>
      <c r="K413" s="13"/>
      <c r="L413" s="1779"/>
      <c r="M413" s="13"/>
      <c r="N413" s="1780"/>
      <c r="O413" s="13"/>
      <c r="P413" s="1779"/>
      <c r="U413" s="1189"/>
      <c r="W413" s="1189"/>
      <c r="Y413" s="1190"/>
      <c r="AA413" s="1190"/>
      <c r="AG413" s="701"/>
      <c r="AI413" s="701"/>
      <c r="AY413" s="977"/>
    </row>
    <row r="414" ht="15.75" customHeight="1">
      <c r="A414" s="1004"/>
      <c r="B414" s="1004"/>
      <c r="C414" s="1005"/>
      <c r="D414" s="977"/>
      <c r="E414" s="13"/>
      <c r="F414" s="1779"/>
      <c r="G414" s="13"/>
      <c r="H414" s="1779"/>
      <c r="I414" s="13"/>
      <c r="J414" s="1779"/>
      <c r="K414" s="13"/>
      <c r="L414" s="1779"/>
      <c r="M414" s="13"/>
      <c r="N414" s="1780"/>
      <c r="O414" s="13"/>
      <c r="P414" s="1779"/>
      <c r="U414" s="1189"/>
      <c r="W414" s="1189"/>
      <c r="Y414" s="1190"/>
      <c r="AA414" s="1190"/>
      <c r="AG414" s="701"/>
      <c r="AI414" s="701"/>
      <c r="AY414" s="977"/>
    </row>
    <row r="415" ht="15.75" customHeight="1">
      <c r="A415" s="1004"/>
      <c r="B415" s="1004"/>
      <c r="C415" s="1005"/>
      <c r="D415" s="977"/>
      <c r="E415" s="13"/>
      <c r="F415" s="1779"/>
      <c r="G415" s="13"/>
      <c r="H415" s="1779"/>
      <c r="I415" s="13"/>
      <c r="J415" s="1779"/>
      <c r="K415" s="13"/>
      <c r="L415" s="1779"/>
      <c r="M415" s="13"/>
      <c r="N415" s="1780"/>
      <c r="O415" s="13"/>
      <c r="P415" s="1779"/>
      <c r="U415" s="1189"/>
      <c r="W415" s="1189"/>
      <c r="Y415" s="1190"/>
      <c r="AA415" s="1190"/>
      <c r="AG415" s="701"/>
      <c r="AI415" s="701"/>
      <c r="AY415" s="977"/>
    </row>
    <row r="416" ht="15.75" customHeight="1">
      <c r="A416" s="1004"/>
      <c r="B416" s="1004"/>
      <c r="C416" s="1005"/>
      <c r="D416" s="977"/>
      <c r="E416" s="13"/>
      <c r="F416" s="1779"/>
      <c r="G416" s="13"/>
      <c r="H416" s="1779"/>
      <c r="I416" s="13"/>
      <c r="J416" s="1779"/>
      <c r="K416" s="13"/>
      <c r="L416" s="1779"/>
      <c r="M416" s="13"/>
      <c r="N416" s="1780"/>
      <c r="O416" s="13"/>
      <c r="P416" s="1779"/>
      <c r="U416" s="1189"/>
      <c r="W416" s="1189"/>
      <c r="Y416" s="1190"/>
      <c r="AA416" s="1190"/>
      <c r="AG416" s="701"/>
      <c r="AI416" s="701"/>
      <c r="AY416" s="977"/>
    </row>
    <row r="417" ht="15.75" customHeight="1">
      <c r="A417" s="1004"/>
      <c r="B417" s="1004"/>
      <c r="C417" s="1005"/>
      <c r="D417" s="977"/>
      <c r="E417" s="13"/>
      <c r="F417" s="1779"/>
      <c r="G417" s="13"/>
      <c r="H417" s="1779"/>
      <c r="I417" s="13"/>
      <c r="J417" s="1779"/>
      <c r="K417" s="13"/>
      <c r="L417" s="1779"/>
      <c r="M417" s="13"/>
      <c r="N417" s="1780"/>
      <c r="O417" s="13"/>
      <c r="P417" s="1779"/>
      <c r="U417" s="1189"/>
      <c r="W417" s="1189"/>
      <c r="Y417" s="1190"/>
      <c r="AA417" s="1190"/>
      <c r="AG417" s="701"/>
      <c r="AI417" s="701"/>
      <c r="AY417" s="977"/>
    </row>
    <row r="418" ht="15.75" customHeight="1">
      <c r="A418" s="1004"/>
      <c r="B418" s="1004"/>
      <c r="C418" s="1005"/>
      <c r="D418" s="977"/>
      <c r="E418" s="13"/>
      <c r="F418" s="1779"/>
      <c r="G418" s="13"/>
      <c r="H418" s="1779"/>
      <c r="I418" s="13"/>
      <c r="J418" s="1779"/>
      <c r="K418" s="13"/>
      <c r="L418" s="1779"/>
      <c r="M418" s="13"/>
      <c r="N418" s="1780"/>
      <c r="O418" s="13"/>
      <c r="P418" s="1779"/>
      <c r="U418" s="1189"/>
      <c r="W418" s="1189"/>
      <c r="Y418" s="1190"/>
      <c r="AA418" s="1190"/>
      <c r="AG418" s="701"/>
      <c r="AI418" s="701"/>
      <c r="AY418" s="977"/>
    </row>
    <row r="419" ht="15.75" customHeight="1">
      <c r="A419" s="1004"/>
      <c r="B419" s="1004"/>
      <c r="C419" s="1005"/>
      <c r="D419" s="977"/>
      <c r="E419" s="13"/>
      <c r="F419" s="1779"/>
      <c r="G419" s="13"/>
      <c r="H419" s="1779"/>
      <c r="I419" s="13"/>
      <c r="J419" s="1779"/>
      <c r="K419" s="13"/>
      <c r="L419" s="1779"/>
      <c r="M419" s="13"/>
      <c r="N419" s="1780"/>
      <c r="O419" s="13"/>
      <c r="P419" s="1779"/>
      <c r="U419" s="1189"/>
      <c r="W419" s="1189"/>
      <c r="Y419" s="1190"/>
      <c r="AA419" s="1190"/>
      <c r="AG419" s="701"/>
      <c r="AI419" s="701"/>
      <c r="AY419" s="977"/>
    </row>
    <row r="420" ht="15.75" customHeight="1">
      <c r="A420" s="1004"/>
      <c r="B420" s="1004"/>
      <c r="C420" s="1005"/>
      <c r="D420" s="977"/>
      <c r="E420" s="13"/>
      <c r="F420" s="1779"/>
      <c r="G420" s="13"/>
      <c r="H420" s="1779"/>
      <c r="I420" s="13"/>
      <c r="J420" s="1779"/>
      <c r="K420" s="13"/>
      <c r="L420" s="1779"/>
      <c r="M420" s="13"/>
      <c r="N420" s="1780"/>
      <c r="O420" s="13"/>
      <c r="P420" s="1779"/>
      <c r="U420" s="1189"/>
      <c r="W420" s="1189"/>
      <c r="Y420" s="1190"/>
      <c r="AA420" s="1190"/>
      <c r="AG420" s="701"/>
      <c r="AI420" s="701"/>
      <c r="AY420" s="977"/>
    </row>
    <row r="421" ht="15.75" customHeight="1">
      <c r="A421" s="1004"/>
      <c r="B421" s="1004"/>
      <c r="C421" s="1005"/>
      <c r="D421" s="977"/>
      <c r="E421" s="13"/>
      <c r="F421" s="1779"/>
      <c r="G421" s="13"/>
      <c r="H421" s="1779"/>
      <c r="I421" s="13"/>
      <c r="J421" s="1779"/>
      <c r="K421" s="13"/>
      <c r="L421" s="1779"/>
      <c r="M421" s="13"/>
      <c r="N421" s="1780"/>
      <c r="O421" s="13"/>
      <c r="P421" s="1779"/>
      <c r="U421" s="1189"/>
      <c r="W421" s="1189"/>
      <c r="Y421" s="1190"/>
      <c r="AA421" s="1190"/>
      <c r="AG421" s="701"/>
      <c r="AI421" s="701"/>
      <c r="AY421" s="977"/>
    </row>
    <row r="422" ht="15.75" customHeight="1">
      <c r="A422" s="1004"/>
      <c r="B422" s="1004"/>
      <c r="C422" s="1005"/>
      <c r="D422" s="977"/>
      <c r="E422" s="13"/>
      <c r="F422" s="1779"/>
      <c r="G422" s="13"/>
      <c r="H422" s="1779"/>
      <c r="I422" s="13"/>
      <c r="J422" s="1779"/>
      <c r="K422" s="13"/>
      <c r="L422" s="1779"/>
      <c r="M422" s="13"/>
      <c r="N422" s="1780"/>
      <c r="O422" s="13"/>
      <c r="P422" s="1779"/>
      <c r="U422" s="1189"/>
      <c r="W422" s="1189"/>
      <c r="Y422" s="1190"/>
      <c r="AA422" s="1190"/>
      <c r="AG422" s="701"/>
      <c r="AI422" s="701"/>
      <c r="AY422" s="977"/>
    </row>
    <row r="423" ht="15.75" customHeight="1">
      <c r="A423" s="1004"/>
      <c r="B423" s="1004"/>
      <c r="C423" s="1005"/>
      <c r="D423" s="977"/>
      <c r="E423" s="13"/>
      <c r="F423" s="1779"/>
      <c r="G423" s="13"/>
      <c r="H423" s="1779"/>
      <c r="I423" s="13"/>
      <c r="J423" s="1779"/>
      <c r="K423" s="13"/>
      <c r="L423" s="1779"/>
      <c r="M423" s="13"/>
      <c r="N423" s="1780"/>
      <c r="O423" s="13"/>
      <c r="P423" s="1779"/>
      <c r="U423" s="1189"/>
      <c r="W423" s="1189"/>
      <c r="Y423" s="1190"/>
      <c r="AA423" s="1190"/>
      <c r="AG423" s="701"/>
      <c r="AI423" s="701"/>
      <c r="AY423" s="977"/>
    </row>
    <row r="424" ht="15.75" customHeight="1">
      <c r="A424" s="1004"/>
      <c r="B424" s="1004"/>
      <c r="C424" s="1005"/>
      <c r="D424" s="977"/>
      <c r="E424" s="13"/>
      <c r="F424" s="1779"/>
      <c r="G424" s="13"/>
      <c r="H424" s="1779"/>
      <c r="I424" s="13"/>
      <c r="J424" s="1779"/>
      <c r="K424" s="13"/>
      <c r="L424" s="1779"/>
      <c r="M424" s="13"/>
      <c r="N424" s="1780"/>
      <c r="O424" s="13"/>
      <c r="P424" s="1779"/>
      <c r="U424" s="1189"/>
      <c r="W424" s="1189"/>
      <c r="Y424" s="1190"/>
      <c r="AA424" s="1190"/>
      <c r="AG424" s="701"/>
      <c r="AI424" s="701"/>
      <c r="AY424" s="977"/>
    </row>
    <row r="425" ht="15.75" customHeight="1">
      <c r="A425" s="1004"/>
      <c r="B425" s="1004"/>
      <c r="C425" s="1005"/>
      <c r="D425" s="977"/>
      <c r="E425" s="13"/>
      <c r="F425" s="1779"/>
      <c r="G425" s="13"/>
      <c r="H425" s="1779"/>
      <c r="I425" s="13"/>
      <c r="J425" s="1779"/>
      <c r="K425" s="13"/>
      <c r="L425" s="1779"/>
      <c r="M425" s="13"/>
      <c r="N425" s="1780"/>
      <c r="O425" s="13"/>
      <c r="P425" s="1779"/>
      <c r="U425" s="1189"/>
      <c r="W425" s="1189"/>
      <c r="Y425" s="1190"/>
      <c r="AA425" s="1190"/>
      <c r="AG425" s="701"/>
      <c r="AI425" s="701"/>
      <c r="AY425" s="977"/>
    </row>
    <row r="426" ht="15.75" customHeight="1">
      <c r="A426" s="1004"/>
      <c r="B426" s="1004"/>
      <c r="C426" s="1005"/>
      <c r="D426" s="977"/>
      <c r="E426" s="13"/>
      <c r="F426" s="1779"/>
      <c r="G426" s="13"/>
      <c r="H426" s="1779"/>
      <c r="I426" s="13"/>
      <c r="J426" s="1779"/>
      <c r="K426" s="13"/>
      <c r="L426" s="1779"/>
      <c r="M426" s="13"/>
      <c r="N426" s="1780"/>
      <c r="O426" s="13"/>
      <c r="P426" s="1779"/>
      <c r="U426" s="1189"/>
      <c r="W426" s="1189"/>
      <c r="Y426" s="1190"/>
      <c r="AA426" s="1190"/>
      <c r="AG426" s="701"/>
      <c r="AI426" s="701"/>
      <c r="AY426" s="977"/>
    </row>
    <row r="427" ht="15.75" customHeight="1">
      <c r="A427" s="1004"/>
      <c r="B427" s="1004"/>
      <c r="C427" s="1005"/>
      <c r="D427" s="977"/>
      <c r="E427" s="13"/>
      <c r="F427" s="1779"/>
      <c r="G427" s="13"/>
      <c r="H427" s="1779"/>
      <c r="I427" s="13"/>
      <c r="J427" s="1779"/>
      <c r="K427" s="13"/>
      <c r="L427" s="1779"/>
      <c r="M427" s="13"/>
      <c r="N427" s="1780"/>
      <c r="O427" s="13"/>
      <c r="P427" s="1779"/>
      <c r="U427" s="1189"/>
      <c r="W427" s="1189"/>
      <c r="Y427" s="1190"/>
      <c r="AA427" s="1190"/>
      <c r="AG427" s="701"/>
      <c r="AI427" s="701"/>
      <c r="AY427" s="977"/>
    </row>
    <row r="428" ht="15.75" customHeight="1">
      <c r="A428" s="1004"/>
      <c r="B428" s="1004"/>
      <c r="C428" s="1005"/>
      <c r="D428" s="977"/>
      <c r="E428" s="13"/>
      <c r="F428" s="1779"/>
      <c r="G428" s="13"/>
      <c r="H428" s="1779"/>
      <c r="I428" s="13"/>
      <c r="J428" s="1779"/>
      <c r="K428" s="13"/>
      <c r="L428" s="1779"/>
      <c r="M428" s="13"/>
      <c r="N428" s="1780"/>
      <c r="O428" s="13"/>
      <c r="P428" s="1779"/>
      <c r="U428" s="1189"/>
      <c r="W428" s="1189"/>
      <c r="Y428" s="1190"/>
      <c r="AA428" s="1190"/>
      <c r="AG428" s="701"/>
      <c r="AI428" s="701"/>
      <c r="AY428" s="977"/>
    </row>
    <row r="429" ht="15.75" customHeight="1">
      <c r="A429" s="1004"/>
      <c r="B429" s="1004"/>
      <c r="C429" s="1005"/>
      <c r="D429" s="977"/>
      <c r="E429" s="13"/>
      <c r="F429" s="1779"/>
      <c r="G429" s="13"/>
      <c r="H429" s="1779"/>
      <c r="I429" s="13"/>
      <c r="J429" s="1779"/>
      <c r="K429" s="13"/>
      <c r="L429" s="1779"/>
      <c r="M429" s="13"/>
      <c r="N429" s="1780"/>
      <c r="O429" s="13"/>
      <c r="P429" s="1779"/>
      <c r="U429" s="1189"/>
      <c r="W429" s="1189"/>
      <c r="Y429" s="1190"/>
      <c r="AA429" s="1190"/>
      <c r="AG429" s="701"/>
      <c r="AI429" s="701"/>
      <c r="AY429" s="977"/>
    </row>
    <row r="430" ht="15.75" customHeight="1">
      <c r="A430" s="1004"/>
      <c r="B430" s="1004"/>
      <c r="C430" s="1005"/>
      <c r="D430" s="977"/>
      <c r="E430" s="13"/>
      <c r="F430" s="1779"/>
      <c r="G430" s="13"/>
      <c r="H430" s="1779"/>
      <c r="I430" s="13"/>
      <c r="J430" s="1779"/>
      <c r="K430" s="13"/>
      <c r="L430" s="1779"/>
      <c r="M430" s="13"/>
      <c r="N430" s="1780"/>
      <c r="O430" s="13"/>
      <c r="P430" s="1779"/>
      <c r="U430" s="1189"/>
      <c r="W430" s="1189"/>
      <c r="Y430" s="1190"/>
      <c r="AA430" s="1190"/>
      <c r="AG430" s="701"/>
      <c r="AI430" s="701"/>
      <c r="AY430" s="977"/>
    </row>
    <row r="431" ht="15.75" customHeight="1">
      <c r="A431" s="1004"/>
      <c r="B431" s="1004"/>
      <c r="C431" s="1005"/>
      <c r="D431" s="977"/>
      <c r="E431" s="13"/>
      <c r="F431" s="1779"/>
      <c r="G431" s="13"/>
      <c r="H431" s="1779"/>
      <c r="I431" s="13"/>
      <c r="J431" s="1779"/>
      <c r="K431" s="13"/>
      <c r="L431" s="1779"/>
      <c r="M431" s="13"/>
      <c r="N431" s="1780"/>
      <c r="O431" s="13"/>
      <c r="P431" s="1779"/>
      <c r="U431" s="1189"/>
      <c r="W431" s="1189"/>
      <c r="Y431" s="1190"/>
      <c r="AA431" s="1190"/>
      <c r="AG431" s="701"/>
      <c r="AI431" s="701"/>
      <c r="AY431" s="977"/>
    </row>
    <row r="432" ht="15.75" customHeight="1">
      <c r="A432" s="1004"/>
      <c r="B432" s="1004"/>
      <c r="C432" s="1005"/>
      <c r="D432" s="977"/>
      <c r="E432" s="13"/>
      <c r="F432" s="1779"/>
      <c r="G432" s="13"/>
      <c r="H432" s="1779"/>
      <c r="I432" s="13"/>
      <c r="J432" s="1779"/>
      <c r="K432" s="13"/>
      <c r="L432" s="1779"/>
      <c r="M432" s="13"/>
      <c r="N432" s="1780"/>
      <c r="O432" s="13"/>
      <c r="P432" s="1779"/>
      <c r="U432" s="1189"/>
      <c r="W432" s="1189"/>
      <c r="Y432" s="1190"/>
      <c r="AA432" s="1190"/>
      <c r="AG432" s="701"/>
      <c r="AI432" s="701"/>
      <c r="AY432" s="977"/>
    </row>
    <row r="433" ht="15.75" customHeight="1">
      <c r="A433" s="1004"/>
      <c r="B433" s="1004"/>
      <c r="C433" s="1005"/>
      <c r="D433" s="977"/>
      <c r="E433" s="13"/>
      <c r="F433" s="1779"/>
      <c r="G433" s="13"/>
      <c r="H433" s="1779"/>
      <c r="I433" s="13"/>
      <c r="J433" s="1779"/>
      <c r="K433" s="13"/>
      <c r="L433" s="1779"/>
      <c r="M433" s="13"/>
      <c r="N433" s="1780"/>
      <c r="O433" s="13"/>
      <c r="P433" s="1779"/>
      <c r="U433" s="1189"/>
      <c r="W433" s="1189"/>
      <c r="Y433" s="1190"/>
      <c r="AA433" s="1190"/>
      <c r="AG433" s="701"/>
      <c r="AI433" s="701"/>
      <c r="AY433" s="977"/>
    </row>
    <row r="434" ht="15.75" customHeight="1">
      <c r="A434" s="1004"/>
      <c r="B434" s="1004"/>
      <c r="C434" s="1005"/>
      <c r="D434" s="977"/>
      <c r="E434" s="13"/>
      <c r="F434" s="1779"/>
      <c r="G434" s="13"/>
      <c r="H434" s="1779"/>
      <c r="I434" s="13"/>
      <c r="J434" s="1779"/>
      <c r="K434" s="13"/>
      <c r="L434" s="1779"/>
      <c r="M434" s="13"/>
      <c r="N434" s="1780"/>
      <c r="O434" s="13"/>
      <c r="P434" s="1779"/>
      <c r="U434" s="1189"/>
      <c r="W434" s="1189"/>
      <c r="Y434" s="1190"/>
      <c r="AA434" s="1190"/>
      <c r="AG434" s="701"/>
      <c r="AI434" s="701"/>
      <c r="AY434" s="977"/>
    </row>
    <row r="435" ht="15.75" customHeight="1">
      <c r="A435" s="1004"/>
      <c r="B435" s="1004"/>
      <c r="C435" s="1005"/>
      <c r="D435" s="977"/>
      <c r="E435" s="13"/>
      <c r="F435" s="1779"/>
      <c r="G435" s="13"/>
      <c r="H435" s="1779"/>
      <c r="I435" s="13"/>
      <c r="J435" s="1779"/>
      <c r="K435" s="13"/>
      <c r="L435" s="1779"/>
      <c r="M435" s="13"/>
      <c r="N435" s="1780"/>
      <c r="O435" s="13"/>
      <c r="P435" s="1779"/>
      <c r="U435" s="1189"/>
      <c r="W435" s="1189"/>
      <c r="Y435" s="1190"/>
      <c r="AA435" s="1190"/>
      <c r="AG435" s="701"/>
      <c r="AI435" s="701"/>
      <c r="AY435" s="977"/>
    </row>
    <row r="436" ht="15.75" customHeight="1">
      <c r="A436" s="1004"/>
      <c r="B436" s="1004"/>
      <c r="C436" s="1005"/>
      <c r="D436" s="977"/>
      <c r="E436" s="13"/>
      <c r="F436" s="1779"/>
      <c r="G436" s="13"/>
      <c r="H436" s="1779"/>
      <c r="I436" s="13"/>
      <c r="J436" s="1779"/>
      <c r="K436" s="13"/>
      <c r="L436" s="1779"/>
      <c r="M436" s="13"/>
      <c r="N436" s="1780"/>
      <c r="O436" s="13"/>
      <c r="P436" s="1779"/>
      <c r="U436" s="1189"/>
      <c r="W436" s="1189"/>
      <c r="Y436" s="1190"/>
      <c r="AA436" s="1190"/>
      <c r="AG436" s="701"/>
      <c r="AI436" s="701"/>
      <c r="AY436" s="977"/>
    </row>
    <row r="437" ht="15.75" customHeight="1">
      <c r="A437" s="1004"/>
      <c r="B437" s="1004"/>
      <c r="C437" s="1005"/>
      <c r="D437" s="977"/>
      <c r="E437" s="13"/>
      <c r="F437" s="1779"/>
      <c r="G437" s="13"/>
      <c r="H437" s="1779"/>
      <c r="I437" s="13"/>
      <c r="J437" s="1779"/>
      <c r="K437" s="13"/>
      <c r="L437" s="1779"/>
      <c r="M437" s="13"/>
      <c r="N437" s="1780"/>
      <c r="O437" s="13"/>
      <c r="P437" s="1779"/>
      <c r="U437" s="1189"/>
      <c r="W437" s="1189"/>
      <c r="Y437" s="1190"/>
      <c r="AA437" s="1190"/>
      <c r="AG437" s="701"/>
      <c r="AI437" s="701"/>
      <c r="AY437" s="977"/>
    </row>
    <row r="438" ht="15.75" customHeight="1">
      <c r="A438" s="1004"/>
      <c r="B438" s="1004"/>
      <c r="C438" s="1005"/>
      <c r="D438" s="977"/>
      <c r="E438" s="13"/>
      <c r="F438" s="1779"/>
      <c r="G438" s="13"/>
      <c r="H438" s="1779"/>
      <c r="I438" s="13"/>
      <c r="J438" s="1779"/>
      <c r="K438" s="13"/>
      <c r="L438" s="1779"/>
      <c r="M438" s="13"/>
      <c r="N438" s="1780"/>
      <c r="O438" s="13"/>
      <c r="P438" s="1779"/>
      <c r="U438" s="1189"/>
      <c r="W438" s="1189"/>
      <c r="Y438" s="1190"/>
      <c r="AA438" s="1190"/>
      <c r="AG438" s="701"/>
      <c r="AI438" s="701"/>
      <c r="AY438" s="977"/>
    </row>
    <row r="439" ht="15.75" customHeight="1">
      <c r="A439" s="1004"/>
      <c r="B439" s="1004"/>
      <c r="C439" s="1005"/>
      <c r="D439" s="977"/>
      <c r="E439" s="13"/>
      <c r="F439" s="1779"/>
      <c r="G439" s="13"/>
      <c r="H439" s="1779"/>
      <c r="I439" s="13"/>
      <c r="J439" s="1779"/>
      <c r="K439" s="13"/>
      <c r="L439" s="1779"/>
      <c r="M439" s="13"/>
      <c r="N439" s="1780"/>
      <c r="O439" s="13"/>
      <c r="P439" s="1779"/>
      <c r="U439" s="1189"/>
      <c r="W439" s="1189"/>
      <c r="Y439" s="1190"/>
      <c r="AA439" s="1190"/>
      <c r="AG439" s="701"/>
      <c r="AI439" s="701"/>
      <c r="AY439" s="977"/>
    </row>
    <row r="440" ht="15.75" customHeight="1">
      <c r="A440" s="1004"/>
      <c r="B440" s="1004"/>
      <c r="C440" s="1005"/>
      <c r="D440" s="977"/>
      <c r="E440" s="13"/>
      <c r="F440" s="1779"/>
      <c r="G440" s="13"/>
      <c r="H440" s="1779"/>
      <c r="I440" s="13"/>
      <c r="J440" s="1779"/>
      <c r="K440" s="13"/>
      <c r="L440" s="1779"/>
      <c r="M440" s="13"/>
      <c r="N440" s="1780"/>
      <c r="O440" s="13"/>
      <c r="P440" s="1779"/>
      <c r="U440" s="1189"/>
      <c r="W440" s="1189"/>
      <c r="Y440" s="1190"/>
      <c r="AA440" s="1190"/>
      <c r="AG440" s="701"/>
      <c r="AI440" s="701"/>
      <c r="AY440" s="977"/>
    </row>
    <row r="441" ht="15.75" customHeight="1">
      <c r="A441" s="1004"/>
      <c r="B441" s="1004"/>
      <c r="C441" s="1005"/>
      <c r="D441" s="977"/>
      <c r="E441" s="13"/>
      <c r="F441" s="1779"/>
      <c r="G441" s="13"/>
      <c r="H441" s="1779"/>
      <c r="I441" s="13"/>
      <c r="J441" s="1779"/>
      <c r="K441" s="13"/>
      <c r="L441" s="1779"/>
      <c r="M441" s="13"/>
      <c r="N441" s="1780"/>
      <c r="O441" s="13"/>
      <c r="P441" s="1779"/>
      <c r="U441" s="1189"/>
      <c r="W441" s="1189"/>
      <c r="Y441" s="1190"/>
      <c r="AA441" s="1190"/>
      <c r="AG441" s="701"/>
      <c r="AI441" s="701"/>
      <c r="AY441" s="977"/>
    </row>
    <row r="442" ht="15.75" customHeight="1">
      <c r="A442" s="1004"/>
      <c r="B442" s="1004"/>
      <c r="C442" s="1005"/>
      <c r="D442" s="977"/>
      <c r="E442" s="13"/>
      <c r="F442" s="1779"/>
      <c r="G442" s="13"/>
      <c r="H442" s="1779"/>
      <c r="I442" s="13"/>
      <c r="J442" s="1779"/>
      <c r="K442" s="13"/>
      <c r="L442" s="1779"/>
      <c r="M442" s="13"/>
      <c r="N442" s="1780"/>
      <c r="O442" s="13"/>
      <c r="P442" s="1779"/>
      <c r="U442" s="1189"/>
      <c r="W442" s="1189"/>
      <c r="Y442" s="1190"/>
      <c r="AA442" s="1190"/>
      <c r="AG442" s="701"/>
      <c r="AI442" s="701"/>
      <c r="AY442" s="977"/>
    </row>
    <row r="443" ht="15.75" customHeight="1">
      <c r="A443" s="1004"/>
      <c r="B443" s="1004"/>
      <c r="C443" s="1005"/>
      <c r="D443" s="977"/>
      <c r="E443" s="13"/>
      <c r="F443" s="1779"/>
      <c r="G443" s="13"/>
      <c r="H443" s="1779"/>
      <c r="I443" s="13"/>
      <c r="J443" s="1779"/>
      <c r="K443" s="13"/>
      <c r="L443" s="1779"/>
      <c r="M443" s="13"/>
      <c r="N443" s="1780"/>
      <c r="O443" s="13"/>
      <c r="P443" s="1779"/>
      <c r="U443" s="1189"/>
      <c r="W443" s="1189"/>
      <c r="Y443" s="1190"/>
      <c r="AA443" s="1190"/>
      <c r="AG443" s="701"/>
      <c r="AI443" s="701"/>
      <c r="AY443" s="977"/>
    </row>
    <row r="444" ht="15.75" customHeight="1">
      <c r="A444" s="1004"/>
      <c r="B444" s="1004"/>
      <c r="C444" s="1005"/>
      <c r="D444" s="977"/>
      <c r="E444" s="13"/>
      <c r="F444" s="1779"/>
      <c r="G444" s="13"/>
      <c r="H444" s="1779"/>
      <c r="I444" s="13"/>
      <c r="J444" s="1779"/>
      <c r="K444" s="13"/>
      <c r="L444" s="1779"/>
      <c r="M444" s="13"/>
      <c r="N444" s="1780"/>
      <c r="O444" s="13"/>
      <c r="P444" s="1779"/>
      <c r="U444" s="1189"/>
      <c r="W444" s="1189"/>
      <c r="Y444" s="1190"/>
      <c r="AA444" s="1190"/>
      <c r="AG444" s="701"/>
      <c r="AI444" s="701"/>
      <c r="AY444" s="977"/>
    </row>
    <row r="445" ht="15.75" customHeight="1">
      <c r="A445" s="1004"/>
      <c r="B445" s="1004"/>
      <c r="C445" s="1005"/>
      <c r="D445" s="977"/>
      <c r="E445" s="13"/>
      <c r="F445" s="1779"/>
      <c r="G445" s="13"/>
      <c r="H445" s="1779"/>
      <c r="I445" s="13"/>
      <c r="J445" s="1779"/>
      <c r="K445" s="13"/>
      <c r="L445" s="1779"/>
      <c r="M445" s="13"/>
      <c r="N445" s="1780"/>
      <c r="O445" s="13"/>
      <c r="P445" s="1779"/>
      <c r="U445" s="1189"/>
      <c r="W445" s="1189"/>
      <c r="Y445" s="1190"/>
      <c r="AA445" s="1190"/>
      <c r="AG445" s="701"/>
      <c r="AI445" s="701"/>
      <c r="AY445" s="977"/>
    </row>
    <row r="446" ht="15.75" customHeight="1">
      <c r="A446" s="1004"/>
      <c r="B446" s="1004"/>
      <c r="C446" s="1005"/>
      <c r="D446" s="977"/>
      <c r="E446" s="13"/>
      <c r="F446" s="1779"/>
      <c r="G446" s="13"/>
      <c r="H446" s="1779"/>
      <c r="I446" s="13"/>
      <c r="J446" s="1779"/>
      <c r="K446" s="13"/>
      <c r="L446" s="1779"/>
      <c r="M446" s="13"/>
      <c r="N446" s="1780"/>
      <c r="O446" s="13"/>
      <c r="P446" s="1779"/>
      <c r="U446" s="1189"/>
      <c r="W446" s="1189"/>
      <c r="Y446" s="1190"/>
      <c r="AA446" s="1190"/>
      <c r="AG446" s="701"/>
      <c r="AI446" s="701"/>
      <c r="AY446" s="977"/>
    </row>
    <row r="447" ht="15.75" customHeight="1">
      <c r="A447" s="1004"/>
      <c r="B447" s="1004"/>
      <c r="C447" s="1005"/>
      <c r="D447" s="977"/>
      <c r="E447" s="13"/>
      <c r="F447" s="1779"/>
      <c r="G447" s="13"/>
      <c r="H447" s="1779"/>
      <c r="I447" s="13"/>
      <c r="J447" s="1779"/>
      <c r="K447" s="13"/>
      <c r="L447" s="1779"/>
      <c r="M447" s="13"/>
      <c r="N447" s="1780"/>
      <c r="O447" s="13"/>
      <c r="P447" s="1779"/>
      <c r="U447" s="1189"/>
      <c r="W447" s="1189"/>
      <c r="Y447" s="1190"/>
      <c r="AA447" s="1190"/>
      <c r="AG447" s="701"/>
      <c r="AI447" s="701"/>
      <c r="AY447" s="977"/>
    </row>
    <row r="448" ht="15.75" customHeight="1">
      <c r="A448" s="1004"/>
      <c r="B448" s="1004"/>
      <c r="C448" s="1005"/>
      <c r="D448" s="977"/>
      <c r="E448" s="13"/>
      <c r="F448" s="1779"/>
      <c r="G448" s="13"/>
      <c r="H448" s="1779"/>
      <c r="I448" s="13"/>
      <c r="J448" s="1779"/>
      <c r="K448" s="13"/>
      <c r="L448" s="1779"/>
      <c r="M448" s="13"/>
      <c r="N448" s="1780"/>
      <c r="O448" s="13"/>
      <c r="P448" s="1779"/>
      <c r="U448" s="1189"/>
      <c r="W448" s="1189"/>
      <c r="Y448" s="1190"/>
      <c r="AA448" s="1190"/>
      <c r="AG448" s="701"/>
      <c r="AI448" s="701"/>
      <c r="AY448" s="977"/>
    </row>
    <row r="449" ht="15.75" customHeight="1">
      <c r="A449" s="1004"/>
      <c r="B449" s="1004"/>
      <c r="C449" s="1005"/>
      <c r="D449" s="977"/>
      <c r="E449" s="13"/>
      <c r="F449" s="1779"/>
      <c r="G449" s="13"/>
      <c r="H449" s="1779"/>
      <c r="I449" s="13"/>
      <c r="J449" s="1779"/>
      <c r="K449" s="13"/>
      <c r="L449" s="1779"/>
      <c r="M449" s="13"/>
      <c r="N449" s="1780"/>
      <c r="O449" s="13"/>
      <c r="P449" s="1779"/>
      <c r="U449" s="1189"/>
      <c r="W449" s="1189"/>
      <c r="Y449" s="1190"/>
      <c r="AA449" s="1190"/>
      <c r="AG449" s="701"/>
      <c r="AI449" s="701"/>
      <c r="AY449" s="977"/>
    </row>
    <row r="450" ht="15.75" customHeight="1">
      <c r="A450" s="1004"/>
      <c r="B450" s="1004"/>
      <c r="C450" s="1005"/>
      <c r="D450" s="977"/>
      <c r="E450" s="13"/>
      <c r="F450" s="1779"/>
      <c r="G450" s="13"/>
      <c r="H450" s="1779"/>
      <c r="I450" s="13"/>
      <c r="J450" s="1779"/>
      <c r="K450" s="13"/>
      <c r="L450" s="1779"/>
      <c r="M450" s="13"/>
      <c r="N450" s="1780"/>
      <c r="O450" s="13"/>
      <c r="P450" s="1779"/>
      <c r="U450" s="1189"/>
      <c r="W450" s="1189"/>
      <c r="Y450" s="1190"/>
      <c r="AA450" s="1190"/>
      <c r="AG450" s="701"/>
      <c r="AI450" s="701"/>
      <c r="AY450" s="977"/>
    </row>
    <row r="451" ht="15.75" customHeight="1">
      <c r="A451" s="1004"/>
      <c r="B451" s="1004"/>
      <c r="C451" s="1005"/>
      <c r="D451" s="977"/>
      <c r="E451" s="13"/>
      <c r="F451" s="1779"/>
      <c r="G451" s="13"/>
      <c r="H451" s="1779"/>
      <c r="I451" s="13"/>
      <c r="J451" s="1779"/>
      <c r="K451" s="13"/>
      <c r="L451" s="1779"/>
      <c r="M451" s="13"/>
      <c r="N451" s="1780"/>
      <c r="O451" s="13"/>
      <c r="P451" s="1779"/>
      <c r="U451" s="1189"/>
      <c r="W451" s="1189"/>
      <c r="Y451" s="1190"/>
      <c r="AA451" s="1190"/>
      <c r="AG451" s="701"/>
      <c r="AI451" s="701"/>
      <c r="AY451" s="977"/>
    </row>
    <row r="452" ht="15.75" customHeight="1">
      <c r="A452" s="1004"/>
      <c r="B452" s="1004"/>
      <c r="C452" s="1005"/>
      <c r="D452" s="977"/>
      <c r="E452" s="13"/>
      <c r="F452" s="1779"/>
      <c r="G452" s="13"/>
      <c r="H452" s="1779"/>
      <c r="I452" s="13"/>
      <c r="J452" s="1779"/>
      <c r="K452" s="13"/>
      <c r="L452" s="1779"/>
      <c r="M452" s="13"/>
      <c r="N452" s="1780"/>
      <c r="O452" s="13"/>
      <c r="P452" s="1779"/>
      <c r="U452" s="1189"/>
      <c r="W452" s="1189"/>
      <c r="Y452" s="1190"/>
      <c r="AA452" s="1190"/>
      <c r="AG452" s="701"/>
      <c r="AI452" s="701"/>
      <c r="AY452" s="977"/>
    </row>
    <row r="453" ht="15.75" customHeight="1">
      <c r="A453" s="1004"/>
      <c r="B453" s="1004"/>
      <c r="C453" s="1005"/>
      <c r="D453" s="977"/>
      <c r="E453" s="13"/>
      <c r="F453" s="1779"/>
      <c r="G453" s="13"/>
      <c r="H453" s="1779"/>
      <c r="I453" s="13"/>
      <c r="J453" s="1779"/>
      <c r="K453" s="13"/>
      <c r="L453" s="1779"/>
      <c r="M453" s="13"/>
      <c r="N453" s="1780"/>
      <c r="O453" s="13"/>
      <c r="P453" s="1779"/>
      <c r="U453" s="1189"/>
      <c r="W453" s="1189"/>
      <c r="Y453" s="1190"/>
      <c r="AA453" s="1190"/>
      <c r="AG453" s="701"/>
      <c r="AI453" s="701"/>
      <c r="AY453" s="977"/>
    </row>
    <row r="454" ht="15.75" customHeight="1">
      <c r="A454" s="1004"/>
      <c r="B454" s="1004"/>
      <c r="C454" s="1005"/>
      <c r="D454" s="977"/>
      <c r="E454" s="13"/>
      <c r="F454" s="1779"/>
      <c r="G454" s="13"/>
      <c r="H454" s="1779"/>
      <c r="I454" s="13"/>
      <c r="J454" s="1779"/>
      <c r="K454" s="13"/>
      <c r="L454" s="1779"/>
      <c r="M454" s="13"/>
      <c r="N454" s="1780"/>
      <c r="O454" s="13"/>
      <c r="P454" s="1779"/>
      <c r="U454" s="1189"/>
      <c r="W454" s="1189"/>
      <c r="Y454" s="1190"/>
      <c r="AA454" s="1190"/>
      <c r="AG454" s="701"/>
      <c r="AI454" s="701"/>
      <c r="AY454" s="977"/>
    </row>
    <row r="455" ht="15.75" customHeight="1">
      <c r="A455" s="1004"/>
      <c r="B455" s="1004"/>
      <c r="C455" s="1005"/>
      <c r="D455" s="977"/>
      <c r="E455" s="13"/>
      <c r="F455" s="1779"/>
      <c r="G455" s="13"/>
      <c r="H455" s="1779"/>
      <c r="I455" s="13"/>
      <c r="J455" s="1779"/>
      <c r="K455" s="13"/>
      <c r="L455" s="1779"/>
      <c r="M455" s="13"/>
      <c r="N455" s="1780"/>
      <c r="O455" s="13"/>
      <c r="P455" s="1779"/>
      <c r="U455" s="1189"/>
      <c r="W455" s="1189"/>
      <c r="Y455" s="1190"/>
      <c r="AA455" s="1190"/>
      <c r="AG455" s="701"/>
      <c r="AI455" s="701"/>
      <c r="AY455" s="977"/>
    </row>
    <row r="456" ht="15.75" customHeight="1">
      <c r="A456" s="1004"/>
      <c r="B456" s="1004"/>
      <c r="C456" s="1005"/>
      <c r="D456" s="977"/>
      <c r="E456" s="13"/>
      <c r="F456" s="1779"/>
      <c r="G456" s="13"/>
      <c r="H456" s="1779"/>
      <c r="I456" s="13"/>
      <c r="J456" s="1779"/>
      <c r="K456" s="13"/>
      <c r="L456" s="1779"/>
      <c r="M456" s="13"/>
      <c r="N456" s="1780"/>
      <c r="O456" s="13"/>
      <c r="P456" s="1779"/>
      <c r="U456" s="1189"/>
      <c r="W456" s="1189"/>
      <c r="Y456" s="1190"/>
      <c r="AA456" s="1190"/>
      <c r="AG456" s="701"/>
      <c r="AI456" s="701"/>
      <c r="AY456" s="977"/>
    </row>
    <row r="457" ht="15.75" customHeight="1">
      <c r="A457" s="1004"/>
      <c r="B457" s="1004"/>
      <c r="C457" s="1005"/>
      <c r="D457" s="977"/>
      <c r="E457" s="13"/>
      <c r="F457" s="1779"/>
      <c r="G457" s="13"/>
      <c r="H457" s="1779"/>
      <c r="I457" s="13"/>
      <c r="J457" s="1779"/>
      <c r="K457" s="13"/>
      <c r="L457" s="1779"/>
      <c r="M457" s="13"/>
      <c r="N457" s="1780"/>
      <c r="O457" s="13"/>
      <c r="P457" s="1779"/>
      <c r="U457" s="1189"/>
      <c r="W457" s="1189"/>
      <c r="Y457" s="1190"/>
      <c r="AA457" s="1190"/>
      <c r="AG457" s="701"/>
      <c r="AI457" s="701"/>
      <c r="AY457" s="977"/>
    </row>
    <row r="458" ht="15.75" customHeight="1">
      <c r="A458" s="1004"/>
      <c r="B458" s="1004"/>
      <c r="C458" s="1005"/>
      <c r="D458" s="977"/>
      <c r="E458" s="13"/>
      <c r="F458" s="1779"/>
      <c r="G458" s="13"/>
      <c r="H458" s="1779"/>
      <c r="I458" s="13"/>
      <c r="J458" s="1779"/>
      <c r="K458" s="13"/>
      <c r="L458" s="1779"/>
      <c r="M458" s="13"/>
      <c r="N458" s="1780"/>
      <c r="O458" s="13"/>
      <c r="P458" s="1779"/>
      <c r="U458" s="1189"/>
      <c r="W458" s="1189"/>
      <c r="Y458" s="1190"/>
      <c r="AA458" s="1190"/>
      <c r="AG458" s="701"/>
      <c r="AI458" s="701"/>
      <c r="AY458" s="977"/>
    </row>
    <row r="459" ht="15.75" customHeight="1">
      <c r="A459" s="1004"/>
      <c r="B459" s="1004"/>
      <c r="C459" s="1005"/>
      <c r="D459" s="977"/>
      <c r="E459" s="13"/>
      <c r="F459" s="1779"/>
      <c r="G459" s="13"/>
      <c r="H459" s="1779"/>
      <c r="I459" s="13"/>
      <c r="J459" s="1779"/>
      <c r="K459" s="13"/>
      <c r="L459" s="1779"/>
      <c r="M459" s="13"/>
      <c r="N459" s="1780"/>
      <c r="O459" s="13"/>
      <c r="P459" s="1779"/>
      <c r="U459" s="1189"/>
      <c r="W459" s="1189"/>
      <c r="Y459" s="1190"/>
      <c r="AA459" s="1190"/>
      <c r="AG459" s="701"/>
      <c r="AI459" s="701"/>
      <c r="AY459" s="977"/>
    </row>
    <row r="460" ht="15.75" customHeight="1">
      <c r="A460" s="1004"/>
      <c r="B460" s="1004"/>
      <c r="C460" s="1005"/>
      <c r="D460" s="977"/>
      <c r="E460" s="13"/>
      <c r="F460" s="1779"/>
      <c r="G460" s="13"/>
      <c r="H460" s="1779"/>
      <c r="I460" s="13"/>
      <c r="J460" s="1779"/>
      <c r="K460" s="13"/>
      <c r="L460" s="1779"/>
      <c r="M460" s="13"/>
      <c r="N460" s="1780"/>
      <c r="O460" s="13"/>
      <c r="P460" s="1779"/>
      <c r="U460" s="1189"/>
      <c r="W460" s="1189"/>
      <c r="Y460" s="1190"/>
      <c r="AA460" s="1190"/>
      <c r="AG460" s="701"/>
      <c r="AI460" s="701"/>
      <c r="AY460" s="977"/>
    </row>
    <row r="461" ht="15.75" customHeight="1">
      <c r="A461" s="1004"/>
      <c r="B461" s="1004"/>
      <c r="C461" s="1005"/>
      <c r="D461" s="977"/>
      <c r="E461" s="13"/>
      <c r="F461" s="1779"/>
      <c r="G461" s="13"/>
      <c r="H461" s="1779"/>
      <c r="I461" s="13"/>
      <c r="J461" s="1779"/>
      <c r="K461" s="13"/>
      <c r="L461" s="1779"/>
      <c r="M461" s="13"/>
      <c r="N461" s="1780"/>
      <c r="O461" s="13"/>
      <c r="P461" s="1779"/>
      <c r="U461" s="1189"/>
      <c r="W461" s="1189"/>
      <c r="Y461" s="1190"/>
      <c r="AA461" s="1190"/>
      <c r="AG461" s="701"/>
      <c r="AI461" s="701"/>
      <c r="AY461" s="977"/>
    </row>
    <row r="462" ht="15.75" customHeight="1">
      <c r="A462" s="1004"/>
      <c r="B462" s="1004"/>
      <c r="C462" s="1005"/>
      <c r="D462" s="977"/>
      <c r="E462" s="13"/>
      <c r="F462" s="1779"/>
      <c r="G462" s="13"/>
      <c r="H462" s="1779"/>
      <c r="I462" s="13"/>
      <c r="J462" s="1779"/>
      <c r="K462" s="13"/>
      <c r="L462" s="1779"/>
      <c r="M462" s="13"/>
      <c r="N462" s="1780"/>
      <c r="O462" s="13"/>
      <c r="P462" s="1779"/>
      <c r="U462" s="1189"/>
      <c r="W462" s="1189"/>
      <c r="Y462" s="1190"/>
      <c r="AA462" s="1190"/>
      <c r="AG462" s="701"/>
      <c r="AI462" s="701"/>
      <c r="AY462" s="977"/>
    </row>
    <row r="463" ht="15.75" customHeight="1">
      <c r="A463" s="1004"/>
      <c r="B463" s="1004"/>
      <c r="C463" s="1005"/>
      <c r="D463" s="977"/>
      <c r="E463" s="13"/>
      <c r="F463" s="1779"/>
      <c r="G463" s="13"/>
      <c r="H463" s="1779"/>
      <c r="I463" s="13"/>
      <c r="J463" s="1779"/>
      <c r="K463" s="13"/>
      <c r="L463" s="1779"/>
      <c r="M463" s="13"/>
      <c r="N463" s="1780"/>
      <c r="O463" s="13"/>
      <c r="P463" s="1779"/>
      <c r="U463" s="1189"/>
      <c r="W463" s="1189"/>
      <c r="Y463" s="1190"/>
      <c r="AA463" s="1190"/>
      <c r="AG463" s="701"/>
      <c r="AI463" s="701"/>
      <c r="AY463" s="977"/>
    </row>
    <row r="464" ht="15.75" customHeight="1">
      <c r="A464" s="1004"/>
      <c r="B464" s="1004"/>
      <c r="C464" s="1005"/>
      <c r="D464" s="977"/>
      <c r="E464" s="13"/>
      <c r="F464" s="1779"/>
      <c r="G464" s="13"/>
      <c r="H464" s="1779"/>
      <c r="I464" s="13"/>
      <c r="J464" s="1779"/>
      <c r="K464" s="13"/>
      <c r="L464" s="1779"/>
      <c r="M464" s="13"/>
      <c r="N464" s="1780"/>
      <c r="O464" s="13"/>
      <c r="P464" s="1779"/>
      <c r="U464" s="1189"/>
      <c r="W464" s="1189"/>
      <c r="Y464" s="1190"/>
      <c r="AA464" s="1190"/>
      <c r="AG464" s="701"/>
      <c r="AI464" s="701"/>
      <c r="AY464" s="977"/>
    </row>
    <row r="465" ht="15.75" customHeight="1">
      <c r="A465" s="1004"/>
      <c r="B465" s="1004"/>
      <c r="C465" s="1005"/>
      <c r="D465" s="977"/>
      <c r="E465" s="13"/>
      <c r="F465" s="1779"/>
      <c r="G465" s="13"/>
      <c r="H465" s="1779"/>
      <c r="I465" s="13"/>
      <c r="J465" s="1779"/>
      <c r="K465" s="13"/>
      <c r="L465" s="1779"/>
      <c r="M465" s="13"/>
      <c r="N465" s="1780"/>
      <c r="O465" s="13"/>
      <c r="P465" s="1779"/>
      <c r="U465" s="1189"/>
      <c r="W465" s="1189"/>
      <c r="Y465" s="1190"/>
      <c r="AA465" s="1190"/>
      <c r="AG465" s="701"/>
      <c r="AI465" s="701"/>
      <c r="AY465" s="977"/>
    </row>
    <row r="466" ht="15.75" customHeight="1">
      <c r="A466" s="1004"/>
      <c r="B466" s="1004"/>
      <c r="C466" s="1005"/>
      <c r="D466" s="977"/>
      <c r="E466" s="13"/>
      <c r="F466" s="1779"/>
      <c r="G466" s="13"/>
      <c r="H466" s="1779"/>
      <c r="I466" s="13"/>
      <c r="J466" s="1779"/>
      <c r="K466" s="13"/>
      <c r="L466" s="1779"/>
      <c r="M466" s="13"/>
      <c r="N466" s="1780"/>
      <c r="O466" s="13"/>
      <c r="P466" s="1779"/>
      <c r="U466" s="1189"/>
      <c r="W466" s="1189"/>
      <c r="Y466" s="1190"/>
      <c r="AA466" s="1190"/>
      <c r="AG466" s="701"/>
      <c r="AI466" s="701"/>
      <c r="AY466" s="977"/>
    </row>
    <row r="467" ht="15.75" customHeight="1">
      <c r="A467" s="1004"/>
      <c r="B467" s="1004"/>
      <c r="C467" s="1005"/>
      <c r="D467" s="977"/>
      <c r="E467" s="13"/>
      <c r="F467" s="1779"/>
      <c r="G467" s="13"/>
      <c r="H467" s="1779"/>
      <c r="I467" s="13"/>
      <c r="J467" s="1779"/>
      <c r="K467" s="13"/>
      <c r="L467" s="1779"/>
      <c r="M467" s="13"/>
      <c r="N467" s="1780"/>
      <c r="O467" s="13"/>
      <c r="P467" s="1779"/>
      <c r="U467" s="1189"/>
      <c r="W467" s="1189"/>
      <c r="Y467" s="1190"/>
      <c r="AA467" s="1190"/>
      <c r="AG467" s="701"/>
      <c r="AI467" s="701"/>
      <c r="AY467" s="977"/>
    </row>
    <row r="468" ht="15.75" customHeight="1">
      <c r="A468" s="1004"/>
      <c r="B468" s="1004"/>
      <c r="C468" s="1005"/>
      <c r="D468" s="977"/>
      <c r="E468" s="13"/>
      <c r="F468" s="1779"/>
      <c r="G468" s="13"/>
      <c r="H468" s="1779"/>
      <c r="I468" s="13"/>
      <c r="J468" s="1779"/>
      <c r="K468" s="13"/>
      <c r="L468" s="1779"/>
      <c r="M468" s="13"/>
      <c r="N468" s="1780"/>
      <c r="O468" s="13"/>
      <c r="P468" s="1779"/>
      <c r="U468" s="1189"/>
      <c r="W468" s="1189"/>
      <c r="Y468" s="1190"/>
      <c r="AA468" s="1190"/>
      <c r="AG468" s="701"/>
      <c r="AI468" s="701"/>
      <c r="AY468" s="977"/>
    </row>
    <row r="469" ht="15.75" customHeight="1">
      <c r="A469" s="1004"/>
      <c r="B469" s="1004"/>
      <c r="C469" s="1005"/>
      <c r="D469" s="977"/>
      <c r="E469" s="13"/>
      <c r="F469" s="1779"/>
      <c r="G469" s="13"/>
      <c r="H469" s="1779"/>
      <c r="I469" s="13"/>
      <c r="J469" s="1779"/>
      <c r="K469" s="13"/>
      <c r="L469" s="1779"/>
      <c r="M469" s="13"/>
      <c r="N469" s="1780"/>
      <c r="O469" s="13"/>
      <c r="P469" s="1779"/>
      <c r="U469" s="1189"/>
      <c r="W469" s="1189"/>
      <c r="Y469" s="1190"/>
      <c r="AA469" s="1190"/>
      <c r="AG469" s="701"/>
      <c r="AI469" s="701"/>
      <c r="AY469" s="977"/>
    </row>
    <row r="470" ht="15.75" customHeight="1">
      <c r="A470" s="1004"/>
      <c r="B470" s="1004"/>
      <c r="C470" s="1005"/>
      <c r="D470" s="977"/>
      <c r="E470" s="13"/>
      <c r="F470" s="1779"/>
      <c r="G470" s="13"/>
      <c r="H470" s="1779"/>
      <c r="I470" s="13"/>
      <c r="J470" s="1779"/>
      <c r="K470" s="13"/>
      <c r="L470" s="1779"/>
      <c r="M470" s="13"/>
      <c r="N470" s="1780"/>
      <c r="O470" s="13"/>
      <c r="P470" s="1779"/>
      <c r="U470" s="1189"/>
      <c r="W470" s="1189"/>
      <c r="Y470" s="1190"/>
      <c r="AA470" s="1190"/>
      <c r="AG470" s="701"/>
      <c r="AI470" s="701"/>
      <c r="AY470" s="977"/>
    </row>
    <row r="471" ht="15.75" customHeight="1">
      <c r="A471" s="1004"/>
      <c r="B471" s="1004"/>
      <c r="C471" s="1005"/>
      <c r="D471" s="977"/>
      <c r="E471" s="13"/>
      <c r="F471" s="1779"/>
      <c r="G471" s="13"/>
      <c r="H471" s="1779"/>
      <c r="I471" s="13"/>
      <c r="J471" s="1779"/>
      <c r="K471" s="13"/>
      <c r="L471" s="1779"/>
      <c r="M471" s="13"/>
      <c r="N471" s="1780"/>
      <c r="O471" s="13"/>
      <c r="P471" s="1779"/>
      <c r="U471" s="1189"/>
      <c r="W471" s="1189"/>
      <c r="Y471" s="1190"/>
      <c r="AA471" s="1190"/>
      <c r="AG471" s="701"/>
      <c r="AI471" s="701"/>
      <c r="AY471" s="977"/>
    </row>
    <row r="472" ht="15.75" customHeight="1">
      <c r="A472" s="1004"/>
      <c r="B472" s="1004"/>
      <c r="C472" s="1005"/>
      <c r="D472" s="977"/>
      <c r="E472" s="13"/>
      <c r="F472" s="1779"/>
      <c r="G472" s="13"/>
      <c r="H472" s="1779"/>
      <c r="I472" s="13"/>
      <c r="J472" s="1779"/>
      <c r="K472" s="13"/>
      <c r="L472" s="1779"/>
      <c r="M472" s="13"/>
      <c r="N472" s="1780"/>
      <c r="O472" s="13"/>
      <c r="P472" s="1779"/>
      <c r="U472" s="1189"/>
      <c r="W472" s="1189"/>
      <c r="Y472" s="1190"/>
      <c r="AA472" s="1190"/>
      <c r="AG472" s="701"/>
      <c r="AI472" s="701"/>
      <c r="AY472" s="977"/>
    </row>
    <row r="473" ht="15.75" customHeight="1">
      <c r="A473" s="1004"/>
      <c r="B473" s="1004"/>
      <c r="C473" s="1005"/>
      <c r="D473" s="977"/>
      <c r="E473" s="13"/>
      <c r="F473" s="1779"/>
      <c r="G473" s="13"/>
      <c r="H473" s="1779"/>
      <c r="I473" s="13"/>
      <c r="J473" s="1779"/>
      <c r="K473" s="13"/>
      <c r="L473" s="1779"/>
      <c r="M473" s="13"/>
      <c r="N473" s="1780"/>
      <c r="O473" s="13"/>
      <c r="P473" s="1779"/>
      <c r="U473" s="1189"/>
      <c r="W473" s="1189"/>
      <c r="Y473" s="1190"/>
      <c r="AA473" s="1190"/>
      <c r="AG473" s="701"/>
      <c r="AI473" s="701"/>
      <c r="AY473" s="977"/>
    </row>
    <row r="474" ht="15.75" customHeight="1">
      <c r="A474" s="1004"/>
      <c r="B474" s="1004"/>
      <c r="C474" s="1005"/>
      <c r="D474" s="977"/>
      <c r="E474" s="13"/>
      <c r="F474" s="1779"/>
      <c r="G474" s="13"/>
      <c r="H474" s="1779"/>
      <c r="I474" s="13"/>
      <c r="J474" s="1779"/>
      <c r="K474" s="13"/>
      <c r="L474" s="1779"/>
      <c r="M474" s="13"/>
      <c r="N474" s="1780"/>
      <c r="O474" s="13"/>
      <c r="P474" s="1779"/>
      <c r="U474" s="1189"/>
      <c r="W474" s="1189"/>
      <c r="Y474" s="1190"/>
      <c r="AA474" s="1190"/>
      <c r="AG474" s="701"/>
      <c r="AI474" s="701"/>
      <c r="AY474" s="977"/>
    </row>
    <row r="475" ht="15.75" customHeight="1">
      <c r="A475" s="1004"/>
      <c r="B475" s="1004"/>
      <c r="C475" s="1005"/>
      <c r="D475" s="977"/>
      <c r="E475" s="13"/>
      <c r="F475" s="1779"/>
      <c r="G475" s="13"/>
      <c r="H475" s="1779"/>
      <c r="I475" s="13"/>
      <c r="J475" s="1779"/>
      <c r="K475" s="13"/>
      <c r="L475" s="1779"/>
      <c r="M475" s="13"/>
      <c r="N475" s="1780"/>
      <c r="O475" s="13"/>
      <c r="P475" s="1779"/>
      <c r="U475" s="1189"/>
      <c r="W475" s="1189"/>
      <c r="Y475" s="1190"/>
      <c r="AA475" s="1190"/>
      <c r="AG475" s="701"/>
      <c r="AI475" s="701"/>
      <c r="AY475" s="977"/>
    </row>
    <row r="476" ht="15.75" customHeight="1">
      <c r="A476" s="1004"/>
      <c r="B476" s="1004"/>
      <c r="C476" s="1005"/>
      <c r="D476" s="977"/>
      <c r="E476" s="13"/>
      <c r="F476" s="1779"/>
      <c r="G476" s="13"/>
      <c r="H476" s="1779"/>
      <c r="I476" s="13"/>
      <c r="J476" s="1779"/>
      <c r="K476" s="13"/>
      <c r="L476" s="1779"/>
      <c r="M476" s="13"/>
      <c r="N476" s="1780"/>
      <c r="O476" s="13"/>
      <c r="P476" s="1779"/>
      <c r="U476" s="1189"/>
      <c r="W476" s="1189"/>
      <c r="Y476" s="1190"/>
      <c r="AA476" s="1190"/>
      <c r="AG476" s="701"/>
      <c r="AI476" s="701"/>
      <c r="AY476" s="977"/>
    </row>
    <row r="477" ht="15.75" customHeight="1">
      <c r="A477" s="1004"/>
      <c r="B477" s="1004"/>
      <c r="C477" s="1005"/>
      <c r="D477" s="977"/>
      <c r="E477" s="13"/>
      <c r="F477" s="1779"/>
      <c r="G477" s="13"/>
      <c r="H477" s="1779"/>
      <c r="I477" s="13"/>
      <c r="J477" s="1779"/>
      <c r="K477" s="13"/>
      <c r="L477" s="1779"/>
      <c r="M477" s="13"/>
      <c r="N477" s="1780"/>
      <c r="O477" s="13"/>
      <c r="P477" s="1779"/>
      <c r="U477" s="1189"/>
      <c r="W477" s="1189"/>
      <c r="Y477" s="1190"/>
      <c r="AA477" s="1190"/>
      <c r="AG477" s="701"/>
      <c r="AI477" s="701"/>
      <c r="AY477" s="977"/>
    </row>
    <row r="478" ht="15.75" customHeight="1">
      <c r="A478" s="1004"/>
      <c r="B478" s="1004"/>
      <c r="C478" s="1005"/>
      <c r="D478" s="977"/>
      <c r="E478" s="13"/>
      <c r="F478" s="1779"/>
      <c r="G478" s="13"/>
      <c r="H478" s="1779"/>
      <c r="I478" s="13"/>
      <c r="J478" s="1779"/>
      <c r="K478" s="13"/>
      <c r="L478" s="1779"/>
      <c r="M478" s="13"/>
      <c r="N478" s="1780"/>
      <c r="O478" s="13"/>
      <c r="P478" s="1779"/>
      <c r="U478" s="1189"/>
      <c r="W478" s="1189"/>
      <c r="Y478" s="1190"/>
      <c r="AA478" s="1190"/>
      <c r="AG478" s="701"/>
      <c r="AI478" s="701"/>
      <c r="AY478" s="977"/>
    </row>
    <row r="479" ht="15.75" customHeight="1">
      <c r="A479" s="1004"/>
      <c r="B479" s="1004"/>
      <c r="C479" s="1005"/>
      <c r="D479" s="977"/>
      <c r="E479" s="13"/>
      <c r="F479" s="1779"/>
      <c r="G479" s="13"/>
      <c r="H479" s="1779"/>
      <c r="I479" s="13"/>
      <c r="J479" s="1779"/>
      <c r="K479" s="13"/>
      <c r="L479" s="1779"/>
      <c r="M479" s="13"/>
      <c r="N479" s="1780"/>
      <c r="O479" s="13"/>
      <c r="P479" s="1779"/>
      <c r="U479" s="1189"/>
      <c r="W479" s="1189"/>
      <c r="Y479" s="1190"/>
      <c r="AA479" s="1190"/>
      <c r="AG479" s="701"/>
      <c r="AI479" s="701"/>
      <c r="AY479" s="977"/>
    </row>
    <row r="480" ht="15.75" customHeight="1">
      <c r="A480" s="1004"/>
      <c r="B480" s="1004"/>
      <c r="C480" s="1005"/>
      <c r="D480" s="977"/>
      <c r="E480" s="13"/>
      <c r="F480" s="1779"/>
      <c r="G480" s="13"/>
      <c r="H480" s="1779"/>
      <c r="I480" s="13"/>
      <c r="J480" s="1779"/>
      <c r="K480" s="13"/>
      <c r="L480" s="1779"/>
      <c r="M480" s="13"/>
      <c r="N480" s="1780"/>
      <c r="O480" s="13"/>
      <c r="P480" s="1779"/>
      <c r="U480" s="1189"/>
      <c r="W480" s="1189"/>
      <c r="Y480" s="1190"/>
      <c r="AA480" s="1190"/>
      <c r="AG480" s="701"/>
      <c r="AI480" s="701"/>
      <c r="AY480" s="977"/>
    </row>
    <row r="481" ht="15.75" customHeight="1">
      <c r="A481" s="1004"/>
      <c r="B481" s="1004"/>
      <c r="C481" s="1005"/>
      <c r="D481" s="977"/>
      <c r="E481" s="13"/>
      <c r="F481" s="1779"/>
      <c r="G481" s="13"/>
      <c r="H481" s="1779"/>
      <c r="I481" s="13"/>
      <c r="J481" s="1779"/>
      <c r="K481" s="13"/>
      <c r="L481" s="1779"/>
      <c r="M481" s="13"/>
      <c r="N481" s="1780"/>
      <c r="O481" s="13"/>
      <c r="P481" s="1779"/>
      <c r="U481" s="1189"/>
      <c r="W481" s="1189"/>
      <c r="Y481" s="1190"/>
      <c r="AA481" s="1190"/>
      <c r="AG481" s="701"/>
      <c r="AI481" s="701"/>
      <c r="AY481" s="977"/>
    </row>
    <row r="482" ht="15.75" customHeight="1">
      <c r="A482" s="1004"/>
      <c r="B482" s="1004"/>
      <c r="C482" s="1005"/>
      <c r="D482" s="977"/>
      <c r="E482" s="13"/>
      <c r="F482" s="1779"/>
      <c r="G482" s="13"/>
      <c r="H482" s="1779"/>
      <c r="I482" s="13"/>
      <c r="J482" s="1779"/>
      <c r="K482" s="13"/>
      <c r="L482" s="1779"/>
      <c r="M482" s="13"/>
      <c r="N482" s="1780"/>
      <c r="O482" s="13"/>
      <c r="P482" s="1779"/>
      <c r="U482" s="1189"/>
      <c r="W482" s="1189"/>
      <c r="Y482" s="1190"/>
      <c r="AA482" s="1190"/>
      <c r="AG482" s="701"/>
      <c r="AI482" s="701"/>
      <c r="AY482" s="977"/>
    </row>
    <row r="483" ht="15.75" customHeight="1">
      <c r="A483" s="1004"/>
      <c r="B483" s="1004"/>
      <c r="C483" s="1005"/>
      <c r="D483" s="977"/>
      <c r="E483" s="13"/>
      <c r="F483" s="1779"/>
      <c r="G483" s="13"/>
      <c r="H483" s="1779"/>
      <c r="I483" s="13"/>
      <c r="J483" s="1779"/>
      <c r="K483" s="13"/>
      <c r="L483" s="1779"/>
      <c r="M483" s="13"/>
      <c r="N483" s="1780"/>
      <c r="O483" s="13"/>
      <c r="P483" s="1779"/>
      <c r="U483" s="1189"/>
      <c r="W483" s="1189"/>
      <c r="Y483" s="1190"/>
      <c r="AA483" s="1190"/>
      <c r="AG483" s="701"/>
      <c r="AI483" s="701"/>
      <c r="AY483" s="977"/>
    </row>
    <row r="484" ht="15.75" customHeight="1">
      <c r="A484" s="1004"/>
      <c r="B484" s="1004"/>
      <c r="C484" s="1005"/>
      <c r="D484" s="977"/>
      <c r="E484" s="13"/>
      <c r="F484" s="1779"/>
      <c r="G484" s="13"/>
      <c r="H484" s="1779"/>
      <c r="I484" s="13"/>
      <c r="J484" s="1779"/>
      <c r="K484" s="13"/>
      <c r="L484" s="1779"/>
      <c r="M484" s="13"/>
      <c r="N484" s="1780"/>
      <c r="O484" s="13"/>
      <c r="P484" s="1779"/>
      <c r="U484" s="1189"/>
      <c r="W484" s="1189"/>
      <c r="Y484" s="1190"/>
      <c r="AA484" s="1190"/>
      <c r="AG484" s="701"/>
      <c r="AI484" s="701"/>
      <c r="AY484" s="977"/>
    </row>
    <row r="485" ht="15.75" customHeight="1">
      <c r="A485" s="1004"/>
      <c r="B485" s="1004"/>
      <c r="C485" s="1005"/>
      <c r="D485" s="977"/>
      <c r="E485" s="13"/>
      <c r="F485" s="1779"/>
      <c r="G485" s="13"/>
      <c r="H485" s="1779"/>
      <c r="I485" s="13"/>
      <c r="J485" s="1779"/>
      <c r="K485" s="13"/>
      <c r="L485" s="1779"/>
      <c r="M485" s="13"/>
      <c r="N485" s="1780"/>
      <c r="O485" s="13"/>
      <c r="P485" s="1779"/>
      <c r="U485" s="1189"/>
      <c r="W485" s="1189"/>
      <c r="Y485" s="1190"/>
      <c r="AA485" s="1190"/>
      <c r="AG485" s="701"/>
      <c r="AI485" s="701"/>
      <c r="AY485" s="977"/>
    </row>
    <row r="486" ht="15.75" customHeight="1">
      <c r="A486" s="1004"/>
      <c r="B486" s="1004"/>
      <c r="C486" s="1005"/>
      <c r="D486" s="977"/>
      <c r="E486" s="13"/>
      <c r="F486" s="1779"/>
      <c r="G486" s="13"/>
      <c r="H486" s="1779"/>
      <c r="I486" s="13"/>
      <c r="J486" s="1779"/>
      <c r="K486" s="13"/>
      <c r="L486" s="1779"/>
      <c r="M486" s="13"/>
      <c r="N486" s="1780"/>
      <c r="O486" s="13"/>
      <c r="P486" s="1779"/>
      <c r="U486" s="1189"/>
      <c r="W486" s="1189"/>
      <c r="Y486" s="1190"/>
      <c r="AA486" s="1190"/>
      <c r="AG486" s="701"/>
      <c r="AI486" s="701"/>
      <c r="AY486" s="977"/>
    </row>
    <row r="487" ht="15.75" customHeight="1">
      <c r="A487" s="1004"/>
      <c r="B487" s="1004"/>
      <c r="C487" s="1005"/>
      <c r="D487" s="977"/>
      <c r="E487" s="13"/>
      <c r="F487" s="1779"/>
      <c r="G487" s="13"/>
      <c r="H487" s="1779"/>
      <c r="I487" s="13"/>
      <c r="J487" s="1779"/>
      <c r="K487" s="13"/>
      <c r="L487" s="1779"/>
      <c r="M487" s="13"/>
      <c r="N487" s="1780"/>
      <c r="O487" s="13"/>
      <c r="P487" s="1779"/>
      <c r="U487" s="1189"/>
      <c r="W487" s="1189"/>
      <c r="Y487" s="1190"/>
      <c r="AA487" s="1190"/>
      <c r="AG487" s="701"/>
      <c r="AI487" s="701"/>
      <c r="AY487" s="977"/>
    </row>
    <row r="488" ht="15.75" customHeight="1">
      <c r="A488" s="1004"/>
      <c r="B488" s="1004"/>
      <c r="C488" s="1005"/>
      <c r="D488" s="977"/>
      <c r="E488" s="13"/>
      <c r="F488" s="1779"/>
      <c r="G488" s="13"/>
      <c r="H488" s="1779"/>
      <c r="I488" s="13"/>
      <c r="J488" s="1779"/>
      <c r="K488" s="13"/>
      <c r="L488" s="1779"/>
      <c r="M488" s="13"/>
      <c r="N488" s="1780"/>
      <c r="O488" s="13"/>
      <c r="P488" s="1779"/>
      <c r="U488" s="1189"/>
      <c r="W488" s="1189"/>
      <c r="Y488" s="1190"/>
      <c r="AA488" s="1190"/>
      <c r="AG488" s="701"/>
      <c r="AI488" s="701"/>
      <c r="AY488" s="977"/>
    </row>
    <row r="489" ht="15.75" customHeight="1">
      <c r="A489" s="1004"/>
      <c r="B489" s="1004"/>
      <c r="C489" s="1005"/>
      <c r="D489" s="977"/>
      <c r="E489" s="13"/>
      <c r="F489" s="1779"/>
      <c r="G489" s="13"/>
      <c r="H489" s="1779"/>
      <c r="I489" s="13"/>
      <c r="J489" s="1779"/>
      <c r="K489" s="13"/>
      <c r="L489" s="1779"/>
      <c r="M489" s="13"/>
      <c r="N489" s="1780"/>
      <c r="O489" s="13"/>
      <c r="P489" s="1779"/>
      <c r="U489" s="1189"/>
      <c r="W489" s="1189"/>
      <c r="Y489" s="1190"/>
      <c r="AA489" s="1190"/>
      <c r="AG489" s="701"/>
      <c r="AI489" s="701"/>
      <c r="AY489" s="977"/>
    </row>
    <row r="490" ht="15.75" customHeight="1">
      <c r="A490" s="1004"/>
      <c r="B490" s="1004"/>
      <c r="C490" s="1005"/>
      <c r="D490" s="977"/>
      <c r="E490" s="13"/>
      <c r="F490" s="1779"/>
      <c r="G490" s="13"/>
      <c r="H490" s="1779"/>
      <c r="I490" s="13"/>
      <c r="J490" s="1779"/>
      <c r="K490" s="13"/>
      <c r="L490" s="1779"/>
      <c r="M490" s="13"/>
      <c r="N490" s="1780"/>
      <c r="O490" s="13"/>
      <c r="P490" s="1779"/>
      <c r="U490" s="1189"/>
      <c r="W490" s="1189"/>
      <c r="Y490" s="1190"/>
      <c r="AA490" s="1190"/>
      <c r="AG490" s="701"/>
      <c r="AI490" s="701"/>
      <c r="AY490" s="977"/>
    </row>
    <row r="491" ht="15.75" customHeight="1">
      <c r="A491" s="1004"/>
      <c r="B491" s="1004"/>
      <c r="C491" s="1005"/>
      <c r="D491" s="977"/>
      <c r="E491" s="13"/>
      <c r="F491" s="1779"/>
      <c r="G491" s="13"/>
      <c r="H491" s="1779"/>
      <c r="I491" s="13"/>
      <c r="J491" s="1779"/>
      <c r="K491" s="13"/>
      <c r="L491" s="1779"/>
      <c r="M491" s="13"/>
      <c r="N491" s="1780"/>
      <c r="O491" s="13"/>
      <c r="P491" s="1779"/>
      <c r="U491" s="1189"/>
      <c r="W491" s="1189"/>
      <c r="Y491" s="1190"/>
      <c r="AA491" s="1190"/>
      <c r="AG491" s="701"/>
      <c r="AI491" s="701"/>
      <c r="AY491" s="977"/>
    </row>
    <row r="492" ht="15.75" customHeight="1">
      <c r="A492" s="1004"/>
      <c r="B492" s="1004"/>
      <c r="C492" s="1005"/>
      <c r="D492" s="977"/>
      <c r="E492" s="13"/>
      <c r="F492" s="1779"/>
      <c r="G492" s="13"/>
      <c r="H492" s="1779"/>
      <c r="I492" s="13"/>
      <c r="J492" s="1779"/>
      <c r="K492" s="13"/>
      <c r="L492" s="1779"/>
      <c r="M492" s="13"/>
      <c r="N492" s="1780"/>
      <c r="O492" s="13"/>
      <c r="P492" s="1779"/>
      <c r="U492" s="1189"/>
      <c r="W492" s="1189"/>
      <c r="Y492" s="1190"/>
      <c r="AA492" s="1190"/>
      <c r="AG492" s="701"/>
      <c r="AI492" s="701"/>
      <c r="AY492" s="977"/>
    </row>
    <row r="493" ht="15.75" customHeight="1">
      <c r="A493" s="1004"/>
      <c r="B493" s="1004"/>
      <c r="C493" s="1005"/>
      <c r="D493" s="977"/>
      <c r="E493" s="13"/>
      <c r="F493" s="1779"/>
      <c r="G493" s="13"/>
      <c r="H493" s="1779"/>
      <c r="I493" s="13"/>
      <c r="J493" s="1779"/>
      <c r="K493" s="13"/>
      <c r="L493" s="1779"/>
      <c r="M493" s="13"/>
      <c r="N493" s="1780"/>
      <c r="O493" s="13"/>
      <c r="P493" s="1779"/>
      <c r="U493" s="1189"/>
      <c r="W493" s="1189"/>
      <c r="Y493" s="1190"/>
      <c r="AA493" s="1190"/>
      <c r="AG493" s="701"/>
      <c r="AI493" s="701"/>
      <c r="AY493" s="977"/>
    </row>
    <row r="494" ht="15.75" customHeight="1">
      <c r="A494" s="1004"/>
      <c r="B494" s="1004"/>
      <c r="C494" s="1005"/>
      <c r="D494" s="977"/>
      <c r="E494" s="13"/>
      <c r="F494" s="1779"/>
      <c r="G494" s="13"/>
      <c r="H494" s="1779"/>
      <c r="I494" s="13"/>
      <c r="J494" s="1779"/>
      <c r="K494" s="13"/>
      <c r="L494" s="1779"/>
      <c r="M494" s="13"/>
      <c r="N494" s="1780"/>
      <c r="O494" s="13"/>
      <c r="P494" s="1779"/>
      <c r="U494" s="1189"/>
      <c r="W494" s="1189"/>
      <c r="Y494" s="1190"/>
      <c r="AA494" s="1190"/>
      <c r="AG494" s="701"/>
      <c r="AI494" s="701"/>
      <c r="AY494" s="977"/>
    </row>
    <row r="495" ht="15.75" customHeight="1">
      <c r="A495" s="1004"/>
      <c r="B495" s="1004"/>
      <c r="C495" s="1005"/>
      <c r="D495" s="977"/>
      <c r="E495" s="13"/>
      <c r="F495" s="1779"/>
      <c r="G495" s="13"/>
      <c r="H495" s="1779"/>
      <c r="I495" s="13"/>
      <c r="J495" s="1779"/>
      <c r="K495" s="13"/>
      <c r="L495" s="1779"/>
      <c r="M495" s="13"/>
      <c r="N495" s="1780"/>
      <c r="O495" s="13"/>
      <c r="P495" s="1779"/>
      <c r="U495" s="1189"/>
      <c r="W495" s="1189"/>
      <c r="Y495" s="1190"/>
      <c r="AA495" s="1190"/>
      <c r="AG495" s="701"/>
      <c r="AI495" s="701"/>
      <c r="AY495" s="977"/>
    </row>
    <row r="496" ht="15.75" customHeight="1">
      <c r="A496" s="1004"/>
      <c r="B496" s="1004"/>
      <c r="C496" s="1005"/>
      <c r="D496" s="977"/>
      <c r="E496" s="13"/>
      <c r="F496" s="1779"/>
      <c r="G496" s="13"/>
      <c r="H496" s="1779"/>
      <c r="I496" s="13"/>
      <c r="J496" s="1779"/>
      <c r="K496" s="13"/>
      <c r="L496" s="1779"/>
      <c r="M496" s="13"/>
      <c r="N496" s="1780"/>
      <c r="O496" s="13"/>
      <c r="P496" s="1779"/>
      <c r="U496" s="1189"/>
      <c r="W496" s="1189"/>
      <c r="Y496" s="1190"/>
      <c r="AA496" s="1190"/>
      <c r="AG496" s="701"/>
      <c r="AI496" s="701"/>
      <c r="AY496" s="977"/>
    </row>
    <row r="497" ht="15.75" customHeight="1">
      <c r="A497" s="1004"/>
      <c r="B497" s="1004"/>
      <c r="C497" s="1005"/>
      <c r="D497" s="977"/>
      <c r="E497" s="13"/>
      <c r="F497" s="1779"/>
      <c r="G497" s="13"/>
      <c r="H497" s="1779"/>
      <c r="I497" s="13"/>
      <c r="J497" s="1779"/>
      <c r="K497" s="13"/>
      <c r="L497" s="1779"/>
      <c r="M497" s="13"/>
      <c r="N497" s="1780"/>
      <c r="O497" s="13"/>
      <c r="P497" s="1779"/>
      <c r="U497" s="1189"/>
      <c r="W497" s="1189"/>
      <c r="Y497" s="1190"/>
      <c r="AA497" s="1190"/>
      <c r="AG497" s="701"/>
      <c r="AI497" s="701"/>
      <c r="AY497" s="977"/>
    </row>
    <row r="498" ht="15.75" customHeight="1">
      <c r="A498" s="1004"/>
      <c r="B498" s="1004"/>
      <c r="C498" s="1005"/>
      <c r="D498" s="977"/>
      <c r="E498" s="13"/>
      <c r="F498" s="1779"/>
      <c r="G498" s="13"/>
      <c r="H498" s="1779"/>
      <c r="I498" s="13"/>
      <c r="J498" s="1779"/>
      <c r="K498" s="13"/>
      <c r="L498" s="1779"/>
      <c r="M498" s="13"/>
      <c r="N498" s="1780"/>
      <c r="O498" s="13"/>
      <c r="P498" s="1779"/>
      <c r="U498" s="1189"/>
      <c r="W498" s="1189"/>
      <c r="Y498" s="1190"/>
      <c r="AA498" s="1190"/>
      <c r="AG498" s="701"/>
      <c r="AI498" s="701"/>
      <c r="AY498" s="977"/>
    </row>
    <row r="499" ht="15.75" customHeight="1">
      <c r="A499" s="1004"/>
      <c r="B499" s="1004"/>
      <c r="C499" s="1005"/>
      <c r="D499" s="977"/>
      <c r="E499" s="13"/>
      <c r="F499" s="1779"/>
      <c r="G499" s="13"/>
      <c r="H499" s="1779"/>
      <c r="I499" s="13"/>
      <c r="J499" s="1779"/>
      <c r="K499" s="13"/>
      <c r="L499" s="1779"/>
      <c r="M499" s="13"/>
      <c r="N499" s="1780"/>
      <c r="O499" s="13"/>
      <c r="P499" s="1779"/>
      <c r="U499" s="1189"/>
      <c r="W499" s="1189"/>
      <c r="Y499" s="1190"/>
      <c r="AA499" s="1190"/>
      <c r="AG499" s="701"/>
      <c r="AI499" s="701"/>
      <c r="AY499" s="977"/>
    </row>
    <row r="500" ht="15.75" customHeight="1">
      <c r="A500" s="1004"/>
      <c r="B500" s="1004"/>
      <c r="C500" s="1005"/>
      <c r="D500" s="977"/>
      <c r="E500" s="13"/>
      <c r="F500" s="1779"/>
      <c r="G500" s="13"/>
      <c r="H500" s="1779"/>
      <c r="I500" s="13"/>
      <c r="J500" s="1779"/>
      <c r="K500" s="13"/>
      <c r="L500" s="1779"/>
      <c r="M500" s="13"/>
      <c r="N500" s="1780"/>
      <c r="O500" s="13"/>
      <c r="P500" s="1779"/>
      <c r="U500" s="1189"/>
      <c r="W500" s="1189"/>
      <c r="Y500" s="1190"/>
      <c r="AA500" s="1190"/>
      <c r="AG500" s="701"/>
      <c r="AI500" s="701"/>
      <c r="AY500" s="977"/>
    </row>
    <row r="501" ht="15.75" customHeight="1">
      <c r="A501" s="1004"/>
      <c r="B501" s="1004"/>
      <c r="C501" s="1005"/>
      <c r="D501" s="977"/>
      <c r="E501" s="13"/>
      <c r="F501" s="1779"/>
      <c r="G501" s="13"/>
      <c r="H501" s="1779"/>
      <c r="I501" s="13"/>
      <c r="J501" s="1779"/>
      <c r="K501" s="13"/>
      <c r="L501" s="1779"/>
      <c r="M501" s="13"/>
      <c r="N501" s="1780"/>
      <c r="O501" s="13"/>
      <c r="P501" s="1779"/>
      <c r="U501" s="1189"/>
      <c r="W501" s="1189"/>
      <c r="Y501" s="1190"/>
      <c r="AA501" s="1190"/>
      <c r="AG501" s="701"/>
      <c r="AI501" s="701"/>
      <c r="AY501" s="977"/>
    </row>
    <row r="502" ht="15.75" customHeight="1">
      <c r="A502" s="1004"/>
      <c r="B502" s="1004"/>
      <c r="C502" s="1005"/>
      <c r="D502" s="977"/>
      <c r="E502" s="13"/>
      <c r="F502" s="1779"/>
      <c r="G502" s="13"/>
      <c r="H502" s="1779"/>
      <c r="I502" s="13"/>
      <c r="J502" s="1779"/>
      <c r="K502" s="13"/>
      <c r="L502" s="1779"/>
      <c r="M502" s="13"/>
      <c r="N502" s="1780"/>
      <c r="O502" s="13"/>
      <c r="P502" s="1779"/>
      <c r="U502" s="1189"/>
      <c r="W502" s="1189"/>
      <c r="Y502" s="1190"/>
      <c r="AA502" s="1190"/>
      <c r="AG502" s="701"/>
      <c r="AI502" s="701"/>
      <c r="AY502" s="977"/>
    </row>
    <row r="503" ht="15.75" customHeight="1">
      <c r="A503" s="1004"/>
      <c r="B503" s="1004"/>
      <c r="C503" s="1005"/>
      <c r="D503" s="977"/>
      <c r="E503" s="13"/>
      <c r="F503" s="1779"/>
      <c r="G503" s="13"/>
      <c r="H503" s="1779"/>
      <c r="I503" s="13"/>
      <c r="J503" s="1779"/>
      <c r="K503" s="13"/>
      <c r="L503" s="1779"/>
      <c r="M503" s="13"/>
      <c r="N503" s="1780"/>
      <c r="O503" s="13"/>
      <c r="P503" s="1779"/>
      <c r="U503" s="1189"/>
      <c r="W503" s="1189"/>
      <c r="Y503" s="1190"/>
      <c r="AA503" s="1190"/>
      <c r="AG503" s="701"/>
      <c r="AI503" s="701"/>
      <c r="AY503" s="977"/>
    </row>
    <row r="504" ht="15.75" customHeight="1">
      <c r="A504" s="1004"/>
      <c r="B504" s="1004"/>
      <c r="C504" s="1005"/>
      <c r="D504" s="977"/>
      <c r="E504" s="13"/>
      <c r="F504" s="1779"/>
      <c r="G504" s="13"/>
      <c r="H504" s="1779"/>
      <c r="I504" s="13"/>
      <c r="J504" s="1779"/>
      <c r="K504" s="13"/>
      <c r="L504" s="1779"/>
      <c r="M504" s="13"/>
      <c r="N504" s="1780"/>
      <c r="O504" s="13"/>
      <c r="P504" s="1779"/>
      <c r="U504" s="1189"/>
      <c r="W504" s="1189"/>
      <c r="Y504" s="1190"/>
      <c r="AA504" s="1190"/>
      <c r="AG504" s="701"/>
      <c r="AI504" s="701"/>
      <c r="AY504" s="977"/>
    </row>
    <row r="505" ht="15.75" customHeight="1">
      <c r="A505" s="1004"/>
      <c r="B505" s="1004"/>
      <c r="C505" s="1005"/>
      <c r="D505" s="977"/>
      <c r="E505" s="13"/>
      <c r="F505" s="1779"/>
      <c r="G505" s="13"/>
      <c r="H505" s="1779"/>
      <c r="I505" s="13"/>
      <c r="J505" s="1779"/>
      <c r="K505" s="13"/>
      <c r="L505" s="1779"/>
      <c r="M505" s="13"/>
      <c r="N505" s="1780"/>
      <c r="O505" s="13"/>
      <c r="P505" s="1779"/>
      <c r="U505" s="1189"/>
      <c r="W505" s="1189"/>
      <c r="Y505" s="1190"/>
      <c r="AA505" s="1190"/>
      <c r="AG505" s="701"/>
      <c r="AI505" s="701"/>
      <c r="AY505" s="977"/>
    </row>
    <row r="506" ht="15.75" customHeight="1">
      <c r="A506" s="1004"/>
      <c r="B506" s="1004"/>
      <c r="C506" s="1005"/>
      <c r="D506" s="977"/>
      <c r="E506" s="13"/>
      <c r="F506" s="1779"/>
      <c r="G506" s="13"/>
      <c r="H506" s="1779"/>
      <c r="I506" s="13"/>
      <c r="J506" s="1779"/>
      <c r="K506" s="13"/>
      <c r="L506" s="1779"/>
      <c r="M506" s="13"/>
      <c r="N506" s="1780"/>
      <c r="O506" s="13"/>
      <c r="P506" s="1779"/>
      <c r="U506" s="1189"/>
      <c r="W506" s="1189"/>
      <c r="Y506" s="1190"/>
      <c r="AA506" s="1190"/>
      <c r="AG506" s="701"/>
      <c r="AI506" s="701"/>
      <c r="AY506" s="977"/>
    </row>
    <row r="507" ht="15.75" customHeight="1">
      <c r="A507" s="1004"/>
      <c r="B507" s="1004"/>
      <c r="C507" s="1005"/>
      <c r="D507" s="977"/>
      <c r="E507" s="13"/>
      <c r="F507" s="1779"/>
      <c r="G507" s="13"/>
      <c r="H507" s="1779"/>
      <c r="I507" s="13"/>
      <c r="J507" s="1779"/>
      <c r="K507" s="13"/>
      <c r="L507" s="1779"/>
      <c r="M507" s="13"/>
      <c r="N507" s="1780"/>
      <c r="O507" s="13"/>
      <c r="P507" s="1779"/>
      <c r="U507" s="1189"/>
      <c r="W507" s="1189"/>
      <c r="Y507" s="1190"/>
      <c r="AA507" s="1190"/>
      <c r="AG507" s="701"/>
      <c r="AI507" s="701"/>
      <c r="AY507" s="977"/>
    </row>
    <row r="508" ht="15.75" customHeight="1">
      <c r="A508" s="1004"/>
      <c r="B508" s="1004"/>
      <c r="C508" s="1005"/>
      <c r="D508" s="977"/>
      <c r="E508" s="13"/>
      <c r="F508" s="1779"/>
      <c r="G508" s="13"/>
      <c r="H508" s="1779"/>
      <c r="I508" s="13"/>
      <c r="J508" s="1779"/>
      <c r="K508" s="13"/>
      <c r="L508" s="1779"/>
      <c r="M508" s="13"/>
      <c r="N508" s="1780"/>
      <c r="O508" s="13"/>
      <c r="P508" s="1779"/>
      <c r="U508" s="1189"/>
      <c r="W508" s="1189"/>
      <c r="Y508" s="1190"/>
      <c r="AA508" s="1190"/>
      <c r="AG508" s="701"/>
      <c r="AI508" s="701"/>
      <c r="AY508" s="977"/>
    </row>
    <row r="509" ht="15.75" customHeight="1">
      <c r="A509" s="1004"/>
      <c r="B509" s="1004"/>
      <c r="C509" s="1005"/>
      <c r="D509" s="977"/>
      <c r="E509" s="13"/>
      <c r="F509" s="1779"/>
      <c r="G509" s="13"/>
      <c r="H509" s="1779"/>
      <c r="I509" s="13"/>
      <c r="J509" s="1779"/>
      <c r="K509" s="13"/>
      <c r="L509" s="1779"/>
      <c r="M509" s="13"/>
      <c r="N509" s="1780"/>
      <c r="O509" s="13"/>
      <c r="P509" s="1779"/>
      <c r="U509" s="1189"/>
      <c r="W509" s="1189"/>
      <c r="Y509" s="1190"/>
      <c r="AA509" s="1190"/>
      <c r="AG509" s="701"/>
      <c r="AI509" s="701"/>
      <c r="AY509" s="977"/>
    </row>
    <row r="510" ht="15.75" customHeight="1">
      <c r="A510" s="1004"/>
      <c r="B510" s="1004"/>
      <c r="C510" s="1005"/>
      <c r="D510" s="977"/>
      <c r="E510" s="13"/>
      <c r="F510" s="1779"/>
      <c r="G510" s="13"/>
      <c r="H510" s="1779"/>
      <c r="I510" s="13"/>
      <c r="J510" s="1779"/>
      <c r="K510" s="13"/>
      <c r="L510" s="1779"/>
      <c r="M510" s="13"/>
      <c r="N510" s="1780"/>
      <c r="O510" s="13"/>
      <c r="P510" s="1779"/>
      <c r="U510" s="1189"/>
      <c r="W510" s="1189"/>
      <c r="Y510" s="1190"/>
      <c r="AA510" s="1190"/>
      <c r="AG510" s="701"/>
      <c r="AI510" s="701"/>
      <c r="AY510" s="977"/>
    </row>
    <row r="511" ht="15.75" customHeight="1">
      <c r="A511" s="1004"/>
      <c r="B511" s="1004"/>
      <c r="C511" s="1005"/>
      <c r="D511" s="977"/>
      <c r="E511" s="13"/>
      <c r="F511" s="1779"/>
      <c r="G511" s="13"/>
      <c r="H511" s="1779"/>
      <c r="I511" s="13"/>
      <c r="J511" s="1779"/>
      <c r="K511" s="13"/>
      <c r="L511" s="1779"/>
      <c r="M511" s="13"/>
      <c r="N511" s="1780"/>
      <c r="O511" s="13"/>
      <c r="P511" s="1779"/>
      <c r="U511" s="1189"/>
      <c r="W511" s="1189"/>
      <c r="Y511" s="1190"/>
      <c r="AA511" s="1190"/>
      <c r="AG511" s="701"/>
      <c r="AI511" s="701"/>
      <c r="AY511" s="977"/>
    </row>
    <row r="512" ht="15.75" customHeight="1">
      <c r="A512" s="1004"/>
      <c r="B512" s="1004"/>
      <c r="C512" s="1005"/>
      <c r="D512" s="977"/>
      <c r="E512" s="13"/>
      <c r="F512" s="1779"/>
      <c r="G512" s="13"/>
      <c r="H512" s="1779"/>
      <c r="I512" s="13"/>
      <c r="J512" s="1779"/>
      <c r="K512" s="13"/>
      <c r="L512" s="1779"/>
      <c r="M512" s="13"/>
      <c r="N512" s="1780"/>
      <c r="O512" s="13"/>
      <c r="P512" s="1779"/>
      <c r="U512" s="1189"/>
      <c r="W512" s="1189"/>
      <c r="Y512" s="1190"/>
      <c r="AA512" s="1190"/>
      <c r="AG512" s="701"/>
      <c r="AI512" s="701"/>
      <c r="AY512" s="977"/>
    </row>
    <row r="513" ht="15.75" customHeight="1">
      <c r="A513" s="1004"/>
      <c r="B513" s="1004"/>
      <c r="C513" s="1005"/>
      <c r="D513" s="977"/>
      <c r="E513" s="13"/>
      <c r="F513" s="1779"/>
      <c r="G513" s="13"/>
      <c r="H513" s="1779"/>
      <c r="I513" s="13"/>
      <c r="J513" s="1779"/>
      <c r="K513" s="13"/>
      <c r="L513" s="1779"/>
      <c r="M513" s="13"/>
      <c r="N513" s="1780"/>
      <c r="O513" s="13"/>
      <c r="P513" s="1779"/>
      <c r="U513" s="1189"/>
      <c r="W513" s="1189"/>
      <c r="Y513" s="1190"/>
      <c r="AA513" s="1190"/>
      <c r="AG513" s="701"/>
      <c r="AI513" s="701"/>
      <c r="AY513" s="977"/>
    </row>
    <row r="514" ht="15.75" customHeight="1">
      <c r="A514" s="1004"/>
      <c r="B514" s="1004"/>
      <c r="C514" s="1005"/>
      <c r="D514" s="977"/>
      <c r="E514" s="13"/>
      <c r="F514" s="1779"/>
      <c r="G514" s="13"/>
      <c r="H514" s="1779"/>
      <c r="I514" s="13"/>
      <c r="J514" s="1779"/>
      <c r="K514" s="13"/>
      <c r="L514" s="1779"/>
      <c r="M514" s="13"/>
      <c r="N514" s="1780"/>
      <c r="O514" s="13"/>
      <c r="P514" s="1779"/>
      <c r="U514" s="1189"/>
      <c r="W514" s="1189"/>
      <c r="Y514" s="1190"/>
      <c r="AA514" s="1190"/>
      <c r="AG514" s="701"/>
      <c r="AI514" s="701"/>
      <c r="AY514" s="977"/>
    </row>
    <row r="515" ht="15.75" customHeight="1">
      <c r="A515" s="1004"/>
      <c r="B515" s="1004"/>
      <c r="C515" s="1005"/>
      <c r="D515" s="977"/>
      <c r="E515" s="13"/>
      <c r="F515" s="1779"/>
      <c r="G515" s="13"/>
      <c r="H515" s="1779"/>
      <c r="I515" s="13"/>
      <c r="J515" s="1779"/>
      <c r="K515" s="13"/>
      <c r="L515" s="1779"/>
      <c r="M515" s="13"/>
      <c r="N515" s="1780"/>
      <c r="O515" s="13"/>
      <c r="P515" s="1779"/>
      <c r="U515" s="1189"/>
      <c r="W515" s="1189"/>
      <c r="Y515" s="1190"/>
      <c r="AA515" s="1190"/>
      <c r="AG515" s="701"/>
      <c r="AI515" s="701"/>
      <c r="AY515" s="977"/>
    </row>
    <row r="516" ht="15.75" customHeight="1">
      <c r="A516" s="1004"/>
      <c r="B516" s="1004"/>
      <c r="C516" s="1005"/>
      <c r="D516" s="977"/>
      <c r="E516" s="1190"/>
      <c r="G516" s="1190"/>
      <c r="I516" s="1190"/>
      <c r="K516" s="1190"/>
      <c r="N516" s="1190"/>
      <c r="U516" s="1189"/>
      <c r="W516" s="1189"/>
      <c r="Y516" s="1190"/>
      <c r="AA516" s="1190"/>
      <c r="AG516" s="701"/>
      <c r="AI516" s="701"/>
      <c r="AY516" s="977"/>
    </row>
    <row r="517" ht="15.75" customHeight="1">
      <c r="A517" s="1004"/>
      <c r="B517" s="1004"/>
      <c r="C517" s="1005"/>
      <c r="D517" s="977"/>
      <c r="E517" s="1190"/>
      <c r="G517" s="1190"/>
      <c r="I517" s="1190"/>
      <c r="K517" s="1190"/>
      <c r="N517" s="1190"/>
      <c r="U517" s="1189"/>
      <c r="W517" s="1189"/>
      <c r="Y517" s="1190"/>
      <c r="AA517" s="1190"/>
      <c r="AG517" s="701"/>
      <c r="AI517" s="701"/>
      <c r="AY517" s="977"/>
    </row>
    <row r="518" ht="15.75" customHeight="1">
      <c r="A518" s="1004"/>
      <c r="B518" s="1004"/>
      <c r="C518" s="1005"/>
      <c r="D518" s="977"/>
      <c r="E518" s="1190"/>
      <c r="G518" s="1190"/>
      <c r="I518" s="1190"/>
      <c r="K518" s="1190"/>
      <c r="N518" s="1190"/>
      <c r="U518" s="1189"/>
      <c r="W518" s="1189"/>
      <c r="Y518" s="1190"/>
      <c r="AA518" s="1190"/>
      <c r="AG518" s="701"/>
      <c r="AI518" s="701"/>
      <c r="AY518" s="977"/>
    </row>
    <row r="519" ht="15.75" customHeight="1">
      <c r="A519" s="1004"/>
      <c r="B519" s="1004"/>
      <c r="C519" s="1005"/>
      <c r="D519" s="977"/>
      <c r="E519" s="1190"/>
      <c r="G519" s="1190"/>
      <c r="I519" s="1190"/>
      <c r="K519" s="1190"/>
      <c r="N519" s="1190"/>
      <c r="U519" s="1189"/>
      <c r="W519" s="1189"/>
      <c r="Y519" s="1190"/>
      <c r="AA519" s="1190"/>
      <c r="AG519" s="701"/>
      <c r="AI519" s="701"/>
      <c r="AY519" s="977"/>
    </row>
    <row r="520" ht="15.75" customHeight="1">
      <c r="A520" s="1004"/>
      <c r="B520" s="1004"/>
      <c r="C520" s="1005"/>
      <c r="D520" s="977"/>
      <c r="E520" s="1190"/>
      <c r="G520" s="1190"/>
      <c r="I520" s="1190"/>
      <c r="K520" s="1190"/>
      <c r="N520" s="1190"/>
      <c r="U520" s="1189"/>
      <c r="W520" s="1189"/>
      <c r="Y520" s="1190"/>
      <c r="AA520" s="1190"/>
      <c r="AG520" s="701"/>
      <c r="AI520" s="701"/>
      <c r="AY520" s="977"/>
    </row>
    <row r="521" ht="15.75" customHeight="1">
      <c r="A521" s="1004"/>
      <c r="B521" s="1004"/>
      <c r="C521" s="1005"/>
      <c r="D521" s="977"/>
      <c r="E521" s="1190"/>
      <c r="G521" s="1190"/>
      <c r="I521" s="1190"/>
      <c r="K521" s="1190"/>
      <c r="N521" s="1190"/>
      <c r="U521" s="1189"/>
      <c r="W521" s="1189"/>
      <c r="Y521" s="1190"/>
      <c r="AA521" s="1190"/>
      <c r="AG521" s="701"/>
      <c r="AI521" s="701"/>
      <c r="AY521" s="977"/>
    </row>
    <row r="522" ht="15.75" customHeight="1">
      <c r="A522" s="1004"/>
      <c r="B522" s="1004"/>
      <c r="C522" s="1005"/>
      <c r="D522" s="977"/>
      <c r="E522" s="1190"/>
      <c r="G522" s="1190"/>
      <c r="I522" s="1190"/>
      <c r="K522" s="1190"/>
      <c r="N522" s="1190"/>
      <c r="U522" s="1189"/>
      <c r="W522" s="1189"/>
      <c r="Y522" s="1190"/>
      <c r="AA522" s="1190"/>
      <c r="AG522" s="701"/>
      <c r="AI522" s="701"/>
      <c r="AY522" s="977"/>
    </row>
    <row r="523" ht="15.75" customHeight="1">
      <c r="A523" s="1004"/>
      <c r="B523" s="1004"/>
      <c r="C523" s="1005"/>
      <c r="D523" s="977"/>
      <c r="E523" s="1190"/>
      <c r="G523" s="1190"/>
      <c r="I523" s="1190"/>
      <c r="K523" s="1190"/>
      <c r="N523" s="1190"/>
      <c r="U523" s="1189"/>
      <c r="W523" s="1189"/>
      <c r="Y523" s="1190"/>
      <c r="AA523" s="1190"/>
      <c r="AG523" s="701"/>
      <c r="AI523" s="701"/>
      <c r="AY523" s="977"/>
    </row>
    <row r="524" ht="15.75" customHeight="1">
      <c r="A524" s="1004"/>
      <c r="B524" s="1004"/>
      <c r="C524" s="1005"/>
      <c r="D524" s="977"/>
      <c r="E524" s="1190"/>
      <c r="G524" s="1190"/>
      <c r="I524" s="1190"/>
      <c r="K524" s="1190"/>
      <c r="N524" s="1190"/>
      <c r="U524" s="1189"/>
      <c r="W524" s="1189"/>
      <c r="Y524" s="1190"/>
      <c r="AA524" s="1190"/>
      <c r="AG524" s="701"/>
      <c r="AI524" s="701"/>
      <c r="AY524" s="977"/>
    </row>
    <row r="525" ht="15.75" customHeight="1">
      <c r="A525" s="1004"/>
      <c r="B525" s="1004"/>
      <c r="C525" s="1005"/>
      <c r="D525" s="977"/>
      <c r="E525" s="1190"/>
      <c r="G525" s="1190"/>
      <c r="I525" s="1190"/>
      <c r="K525" s="1190"/>
      <c r="N525" s="1190"/>
      <c r="U525" s="1189"/>
      <c r="W525" s="1189"/>
      <c r="Y525" s="1190"/>
      <c r="AA525" s="1190"/>
      <c r="AG525" s="701"/>
      <c r="AI525" s="701"/>
      <c r="AY525" s="977"/>
    </row>
    <row r="526" ht="15.75" customHeight="1">
      <c r="A526" s="1004"/>
      <c r="B526" s="1004"/>
      <c r="C526" s="1005"/>
      <c r="D526" s="977"/>
      <c r="E526" s="1190"/>
      <c r="G526" s="1190"/>
      <c r="I526" s="1190"/>
      <c r="K526" s="1190"/>
      <c r="N526" s="1190"/>
      <c r="U526" s="1189"/>
      <c r="W526" s="1189"/>
      <c r="Y526" s="1190"/>
      <c r="AA526" s="1190"/>
      <c r="AG526" s="701"/>
      <c r="AI526" s="701"/>
      <c r="AY526" s="977"/>
    </row>
    <row r="527" ht="15.75" customHeight="1">
      <c r="A527" s="1004"/>
      <c r="B527" s="1004"/>
      <c r="C527" s="1005"/>
      <c r="D527" s="977"/>
      <c r="E527" s="1190"/>
      <c r="G527" s="1190"/>
      <c r="I527" s="1190"/>
      <c r="K527" s="1190"/>
      <c r="N527" s="1190"/>
      <c r="U527" s="1189"/>
      <c r="W527" s="1189"/>
      <c r="Y527" s="1190"/>
      <c r="AA527" s="1190"/>
      <c r="AG527" s="701"/>
      <c r="AI527" s="701"/>
      <c r="AY527" s="977"/>
    </row>
    <row r="528" ht="15.75" customHeight="1">
      <c r="A528" s="1004"/>
      <c r="B528" s="1004"/>
      <c r="C528" s="1005"/>
      <c r="D528" s="977"/>
      <c r="E528" s="1190"/>
      <c r="G528" s="1190"/>
      <c r="I528" s="1190"/>
      <c r="K528" s="1190"/>
      <c r="N528" s="1190"/>
      <c r="U528" s="1189"/>
      <c r="W528" s="1189"/>
      <c r="Y528" s="1190"/>
      <c r="AA528" s="1190"/>
      <c r="AG528" s="701"/>
      <c r="AI528" s="701"/>
      <c r="AY528" s="977"/>
    </row>
    <row r="529" ht="15.75" customHeight="1">
      <c r="A529" s="1004"/>
      <c r="B529" s="1004"/>
      <c r="C529" s="1005"/>
      <c r="D529" s="977"/>
      <c r="E529" s="1190"/>
      <c r="G529" s="1190"/>
      <c r="I529" s="1190"/>
      <c r="K529" s="1190"/>
      <c r="N529" s="1190"/>
      <c r="U529" s="1189"/>
      <c r="W529" s="1189"/>
      <c r="Y529" s="1190"/>
      <c r="AA529" s="1190"/>
      <c r="AG529" s="701"/>
      <c r="AI529" s="701"/>
      <c r="AY529" s="977"/>
    </row>
    <row r="530" ht="15.75" customHeight="1">
      <c r="A530" s="1004"/>
      <c r="B530" s="1004"/>
      <c r="C530" s="1005"/>
      <c r="D530" s="977"/>
      <c r="E530" s="1190"/>
      <c r="G530" s="1190"/>
      <c r="I530" s="1190"/>
      <c r="K530" s="1190"/>
      <c r="N530" s="1190"/>
      <c r="U530" s="1189"/>
      <c r="W530" s="1189"/>
      <c r="Y530" s="1190"/>
      <c r="AA530" s="1190"/>
      <c r="AG530" s="701"/>
      <c r="AI530" s="701"/>
      <c r="AY530" s="977"/>
    </row>
    <row r="531" ht="15.75" customHeight="1">
      <c r="A531" s="1004"/>
      <c r="B531" s="1004"/>
      <c r="C531" s="1005"/>
      <c r="D531" s="977"/>
      <c r="E531" s="1190"/>
      <c r="G531" s="1190"/>
      <c r="I531" s="1190"/>
      <c r="K531" s="1190"/>
      <c r="N531" s="1190"/>
      <c r="U531" s="1189"/>
      <c r="W531" s="1189"/>
      <c r="Y531" s="1190"/>
      <c r="AA531" s="1190"/>
      <c r="AG531" s="701"/>
      <c r="AI531" s="701"/>
      <c r="AY531" s="977"/>
    </row>
    <row r="532" ht="15.75" customHeight="1">
      <c r="A532" s="1004"/>
      <c r="B532" s="1004"/>
      <c r="C532" s="1005"/>
      <c r="D532" s="977"/>
      <c r="E532" s="1190"/>
      <c r="G532" s="1190"/>
      <c r="I532" s="1190"/>
      <c r="K532" s="1190"/>
      <c r="N532" s="1190"/>
      <c r="U532" s="1189"/>
      <c r="W532" s="1189"/>
      <c r="Y532" s="1190"/>
      <c r="AA532" s="1190"/>
      <c r="AG532" s="701"/>
      <c r="AI532" s="701"/>
      <c r="AY532" s="977"/>
    </row>
    <row r="533" ht="15.75" customHeight="1">
      <c r="A533" s="1004"/>
      <c r="B533" s="1004"/>
      <c r="C533" s="1005"/>
      <c r="D533" s="977"/>
      <c r="E533" s="1190"/>
      <c r="G533" s="1190"/>
      <c r="I533" s="1190"/>
      <c r="K533" s="1190"/>
      <c r="N533" s="1190"/>
      <c r="U533" s="1189"/>
      <c r="W533" s="1189"/>
      <c r="Y533" s="1190"/>
      <c r="AA533" s="1190"/>
      <c r="AG533" s="701"/>
      <c r="AI533" s="701"/>
      <c r="AY533" s="977"/>
    </row>
    <row r="534" ht="15.75" customHeight="1">
      <c r="A534" s="1004"/>
      <c r="B534" s="1004"/>
      <c r="C534" s="1005"/>
      <c r="D534" s="977"/>
      <c r="E534" s="1190"/>
      <c r="G534" s="1190"/>
      <c r="I534" s="1190"/>
      <c r="K534" s="1190"/>
      <c r="N534" s="1190"/>
      <c r="U534" s="1189"/>
      <c r="W534" s="1189"/>
      <c r="Y534" s="1190"/>
      <c r="AA534" s="1190"/>
      <c r="AG534" s="701"/>
      <c r="AI534" s="701"/>
      <c r="AY534" s="977"/>
    </row>
    <row r="535" ht="15.75" customHeight="1">
      <c r="A535" s="1004"/>
      <c r="B535" s="1004"/>
      <c r="C535" s="1005"/>
      <c r="D535" s="977"/>
      <c r="E535" s="1190"/>
      <c r="G535" s="1190"/>
      <c r="I535" s="1190"/>
      <c r="K535" s="1190"/>
      <c r="N535" s="1190"/>
      <c r="U535" s="1189"/>
      <c r="W535" s="1189"/>
      <c r="Y535" s="1190"/>
      <c r="AA535" s="1190"/>
      <c r="AG535" s="701"/>
      <c r="AI535" s="701"/>
      <c r="AY535" s="977"/>
    </row>
    <row r="536" ht="15.75" customHeight="1">
      <c r="A536" s="1004"/>
      <c r="B536" s="1004"/>
      <c r="C536" s="1005"/>
      <c r="D536" s="977"/>
      <c r="E536" s="1190"/>
      <c r="G536" s="1190"/>
      <c r="I536" s="1190"/>
      <c r="K536" s="1190"/>
      <c r="N536" s="1190"/>
      <c r="U536" s="1189"/>
      <c r="W536" s="1189"/>
      <c r="Y536" s="1190"/>
      <c r="AA536" s="1190"/>
      <c r="AG536" s="701"/>
      <c r="AI536" s="701"/>
      <c r="AY536" s="977"/>
    </row>
    <row r="537" ht="15.75" customHeight="1">
      <c r="A537" s="1004"/>
      <c r="B537" s="1004"/>
      <c r="C537" s="1005"/>
      <c r="D537" s="977"/>
      <c r="E537" s="1190"/>
      <c r="G537" s="1190"/>
      <c r="I537" s="1190"/>
      <c r="K537" s="1190"/>
      <c r="N537" s="1190"/>
      <c r="U537" s="1189"/>
      <c r="W537" s="1189"/>
      <c r="Y537" s="1190"/>
      <c r="AA537" s="1190"/>
      <c r="AG537" s="701"/>
      <c r="AI537" s="701"/>
      <c r="AY537" s="977"/>
    </row>
    <row r="538" ht="15.75" customHeight="1">
      <c r="A538" s="1004"/>
      <c r="B538" s="1004"/>
      <c r="C538" s="1005"/>
      <c r="D538" s="977"/>
      <c r="E538" s="1190"/>
      <c r="G538" s="1190"/>
      <c r="I538" s="1190"/>
      <c r="K538" s="1190"/>
      <c r="N538" s="1190"/>
      <c r="U538" s="1189"/>
      <c r="W538" s="1189"/>
      <c r="Y538" s="1190"/>
      <c r="AA538" s="1190"/>
      <c r="AG538" s="701"/>
      <c r="AI538" s="701"/>
      <c r="AY538" s="977"/>
    </row>
    <row r="539" ht="15.75" customHeight="1">
      <c r="A539" s="1004"/>
      <c r="B539" s="1004"/>
      <c r="C539" s="1005"/>
      <c r="D539" s="977"/>
      <c r="E539" s="1190"/>
      <c r="G539" s="1190"/>
      <c r="I539" s="1190"/>
      <c r="K539" s="1190"/>
      <c r="N539" s="1190"/>
      <c r="U539" s="1189"/>
      <c r="W539" s="1189"/>
      <c r="Y539" s="1190"/>
      <c r="AA539" s="1190"/>
      <c r="AG539" s="701"/>
      <c r="AI539" s="701"/>
      <c r="AY539" s="977"/>
    </row>
    <row r="540" ht="15.75" customHeight="1">
      <c r="A540" s="1004"/>
      <c r="B540" s="1004"/>
      <c r="C540" s="1005"/>
      <c r="D540" s="977"/>
      <c r="E540" s="1190"/>
      <c r="G540" s="1190"/>
      <c r="I540" s="1190"/>
      <c r="K540" s="1190"/>
      <c r="N540" s="1190"/>
      <c r="U540" s="1189"/>
      <c r="W540" s="1189"/>
      <c r="Y540" s="1190"/>
      <c r="AA540" s="1190"/>
      <c r="AG540" s="701"/>
      <c r="AI540" s="701"/>
      <c r="AY540" s="977"/>
    </row>
    <row r="541" ht="15.75" customHeight="1">
      <c r="A541" s="1004"/>
      <c r="B541" s="1004"/>
      <c r="C541" s="1005"/>
      <c r="D541" s="977"/>
      <c r="E541" s="1190"/>
      <c r="G541" s="1190"/>
      <c r="I541" s="1190"/>
      <c r="K541" s="1190"/>
      <c r="N541" s="1190"/>
      <c r="U541" s="1189"/>
      <c r="W541" s="1189"/>
      <c r="Y541" s="1190"/>
      <c r="AA541" s="1190"/>
      <c r="AG541" s="701"/>
      <c r="AI541" s="701"/>
      <c r="AY541" s="977"/>
    </row>
    <row r="542" ht="15.75" customHeight="1">
      <c r="A542" s="1004"/>
      <c r="B542" s="1004"/>
      <c r="C542" s="1005"/>
      <c r="D542" s="977"/>
      <c r="E542" s="1190"/>
      <c r="G542" s="1190"/>
      <c r="I542" s="1190"/>
      <c r="K542" s="1190"/>
      <c r="N542" s="1190"/>
      <c r="U542" s="1189"/>
      <c r="W542" s="1189"/>
      <c r="Y542" s="1190"/>
      <c r="AA542" s="1190"/>
      <c r="AG542" s="701"/>
      <c r="AI542" s="701"/>
      <c r="AY542" s="977"/>
    </row>
    <row r="543" ht="15.75" customHeight="1">
      <c r="A543" s="1004"/>
      <c r="B543" s="1004"/>
      <c r="C543" s="1005"/>
      <c r="D543" s="977"/>
      <c r="E543" s="1190"/>
      <c r="G543" s="1190"/>
      <c r="I543" s="1190"/>
      <c r="K543" s="1190"/>
      <c r="N543" s="1190"/>
      <c r="U543" s="1189"/>
      <c r="W543" s="1189"/>
      <c r="Y543" s="1190"/>
      <c r="AA543" s="1190"/>
      <c r="AG543" s="701"/>
      <c r="AI543" s="701"/>
      <c r="AY543" s="977"/>
    </row>
    <row r="544" ht="15.75" customHeight="1">
      <c r="A544" s="1004"/>
      <c r="B544" s="1004"/>
      <c r="C544" s="1005"/>
      <c r="D544" s="977"/>
      <c r="E544" s="1190"/>
      <c r="G544" s="1190"/>
      <c r="I544" s="1190"/>
      <c r="K544" s="1190"/>
      <c r="N544" s="1190"/>
      <c r="U544" s="1189"/>
      <c r="W544" s="1189"/>
      <c r="Y544" s="1190"/>
      <c r="AA544" s="1190"/>
      <c r="AG544" s="701"/>
      <c r="AI544" s="701"/>
      <c r="AY544" s="977"/>
    </row>
    <row r="545" ht="15.75" customHeight="1">
      <c r="A545" s="1004"/>
      <c r="B545" s="1004"/>
      <c r="C545" s="1005"/>
      <c r="D545" s="977"/>
      <c r="E545" s="1190"/>
      <c r="G545" s="1190"/>
      <c r="I545" s="1190"/>
      <c r="K545" s="1190"/>
      <c r="N545" s="1190"/>
      <c r="U545" s="1189"/>
      <c r="W545" s="1189"/>
      <c r="Y545" s="1190"/>
      <c r="AA545" s="1190"/>
      <c r="AG545" s="701"/>
      <c r="AI545" s="701"/>
      <c r="AY545" s="977"/>
    </row>
    <row r="546" ht="15.75" customHeight="1">
      <c r="A546" s="1004"/>
      <c r="B546" s="1004"/>
      <c r="C546" s="1005"/>
      <c r="D546" s="977"/>
      <c r="E546" s="1190"/>
      <c r="G546" s="1190"/>
      <c r="I546" s="1190"/>
      <c r="K546" s="1190"/>
      <c r="N546" s="1190"/>
      <c r="U546" s="1189"/>
      <c r="W546" s="1189"/>
      <c r="Y546" s="1190"/>
      <c r="AA546" s="1190"/>
      <c r="AG546" s="701"/>
      <c r="AI546" s="701"/>
      <c r="AY546" s="977"/>
    </row>
    <row r="547" ht="15.75" customHeight="1">
      <c r="A547" s="1004"/>
      <c r="B547" s="1004"/>
      <c r="C547" s="1005"/>
      <c r="D547" s="977"/>
      <c r="E547" s="1190"/>
      <c r="G547" s="1190"/>
      <c r="I547" s="1190"/>
      <c r="K547" s="1190"/>
      <c r="N547" s="1190"/>
      <c r="U547" s="1189"/>
      <c r="W547" s="1189"/>
      <c r="Y547" s="1190"/>
      <c r="AA547" s="1190"/>
      <c r="AG547" s="701"/>
      <c r="AI547" s="701"/>
      <c r="AY547" s="977"/>
    </row>
    <row r="548" ht="15.75" customHeight="1">
      <c r="A548" s="1004"/>
      <c r="B548" s="1004"/>
      <c r="C548" s="1005"/>
      <c r="D548" s="977"/>
      <c r="E548" s="1190"/>
      <c r="G548" s="1190"/>
      <c r="I548" s="1190"/>
      <c r="K548" s="1190"/>
      <c r="N548" s="1190"/>
      <c r="U548" s="1189"/>
      <c r="W548" s="1189"/>
      <c r="Y548" s="1190"/>
      <c r="AA548" s="1190"/>
      <c r="AG548" s="701"/>
      <c r="AI548" s="701"/>
      <c r="AY548" s="977"/>
    </row>
    <row r="549" ht="15.75" customHeight="1">
      <c r="A549" s="1004"/>
      <c r="B549" s="1004"/>
      <c r="C549" s="1005"/>
      <c r="D549" s="977"/>
      <c r="E549" s="1190"/>
      <c r="G549" s="1190"/>
      <c r="I549" s="1190"/>
      <c r="K549" s="1190"/>
      <c r="N549" s="1190"/>
      <c r="U549" s="1189"/>
      <c r="W549" s="1189"/>
      <c r="Y549" s="1190"/>
      <c r="AA549" s="1190"/>
      <c r="AG549" s="701"/>
      <c r="AI549" s="701"/>
      <c r="AY549" s="977"/>
    </row>
    <row r="550" ht="15.75" customHeight="1">
      <c r="A550" s="1004"/>
      <c r="B550" s="1004"/>
      <c r="C550" s="1005"/>
      <c r="D550" s="977"/>
      <c r="E550" s="1190"/>
      <c r="G550" s="1190"/>
      <c r="I550" s="1190"/>
      <c r="K550" s="1190"/>
      <c r="N550" s="1190"/>
      <c r="U550" s="1189"/>
      <c r="W550" s="1189"/>
      <c r="Y550" s="1190"/>
      <c r="AA550" s="1190"/>
      <c r="AG550" s="701"/>
      <c r="AI550" s="701"/>
      <c r="AY550" s="977"/>
    </row>
    <row r="551" ht="15.75" customHeight="1">
      <c r="A551" s="1004"/>
      <c r="B551" s="1004"/>
      <c r="C551" s="1005"/>
      <c r="D551" s="977"/>
      <c r="E551" s="1190"/>
      <c r="G551" s="1190"/>
      <c r="I551" s="1190"/>
      <c r="K551" s="1190"/>
      <c r="N551" s="1190"/>
      <c r="U551" s="1189"/>
      <c r="W551" s="1189"/>
      <c r="Y551" s="1190"/>
      <c r="AA551" s="1190"/>
      <c r="AG551" s="701"/>
      <c r="AI551" s="701"/>
      <c r="AY551" s="977"/>
    </row>
    <row r="552" ht="15.75" customHeight="1">
      <c r="A552" s="1004"/>
      <c r="B552" s="1004"/>
      <c r="C552" s="1005"/>
      <c r="D552" s="977"/>
      <c r="E552" s="1190"/>
      <c r="G552" s="1190"/>
      <c r="I552" s="1190"/>
      <c r="K552" s="1190"/>
      <c r="N552" s="1190"/>
      <c r="U552" s="1189"/>
      <c r="W552" s="1189"/>
      <c r="Y552" s="1190"/>
      <c r="AA552" s="1190"/>
      <c r="AG552" s="701"/>
      <c r="AI552" s="701"/>
      <c r="AY552" s="977"/>
    </row>
    <row r="553" ht="15.75" customHeight="1">
      <c r="A553" s="1004"/>
      <c r="B553" s="1004"/>
      <c r="C553" s="1005"/>
      <c r="D553" s="977"/>
      <c r="E553" s="1190"/>
      <c r="G553" s="1190"/>
      <c r="I553" s="1190"/>
      <c r="K553" s="1190"/>
      <c r="N553" s="1190"/>
      <c r="U553" s="1189"/>
      <c r="W553" s="1189"/>
      <c r="Y553" s="1190"/>
      <c r="AA553" s="1190"/>
      <c r="AG553" s="701"/>
      <c r="AI553" s="701"/>
      <c r="AY553" s="977"/>
    </row>
    <row r="554" ht="15.75" customHeight="1">
      <c r="A554" s="1004"/>
      <c r="B554" s="1004"/>
      <c r="C554" s="1005"/>
      <c r="D554" s="977"/>
      <c r="E554" s="1190"/>
      <c r="G554" s="1190"/>
      <c r="I554" s="1190"/>
      <c r="K554" s="1190"/>
      <c r="N554" s="1190"/>
      <c r="U554" s="1189"/>
      <c r="W554" s="1189"/>
      <c r="Y554" s="1190"/>
      <c r="AA554" s="1190"/>
      <c r="AG554" s="701"/>
      <c r="AI554" s="701"/>
      <c r="AY554" s="977"/>
    </row>
    <row r="555" ht="15.75" customHeight="1">
      <c r="A555" s="1004"/>
      <c r="B555" s="1004"/>
      <c r="C555" s="1005"/>
      <c r="D555" s="977"/>
      <c r="E555" s="1190"/>
      <c r="G555" s="1190"/>
      <c r="I555" s="1190"/>
      <c r="K555" s="1190"/>
      <c r="N555" s="1190"/>
      <c r="U555" s="1189"/>
      <c r="W555" s="1189"/>
      <c r="Y555" s="1190"/>
      <c r="AA555" s="1190"/>
      <c r="AG555" s="701"/>
      <c r="AI555" s="701"/>
      <c r="AY555" s="977"/>
    </row>
    <row r="556" ht="15.75" customHeight="1">
      <c r="A556" s="1004"/>
      <c r="B556" s="1004"/>
      <c r="C556" s="1005"/>
      <c r="D556" s="977"/>
      <c r="E556" s="1190"/>
      <c r="G556" s="1190"/>
      <c r="I556" s="1190"/>
      <c r="K556" s="1190"/>
      <c r="N556" s="1190"/>
      <c r="U556" s="1189"/>
      <c r="W556" s="1189"/>
      <c r="Y556" s="1190"/>
      <c r="AA556" s="1190"/>
      <c r="AG556" s="701"/>
      <c r="AI556" s="701"/>
      <c r="AY556" s="977"/>
    </row>
    <row r="557" ht="15.75" customHeight="1">
      <c r="A557" s="1004"/>
      <c r="B557" s="1004"/>
      <c r="C557" s="1005"/>
      <c r="D557" s="977"/>
      <c r="E557" s="1190"/>
      <c r="G557" s="1190"/>
      <c r="I557" s="1190"/>
      <c r="K557" s="1190"/>
      <c r="N557" s="1190"/>
      <c r="U557" s="1189"/>
      <c r="W557" s="1189"/>
      <c r="Y557" s="1190"/>
      <c r="AA557" s="1190"/>
      <c r="AG557" s="701"/>
      <c r="AI557" s="701"/>
      <c r="AY557" s="977"/>
    </row>
    <row r="558" ht="15.75" customHeight="1">
      <c r="A558" s="1004"/>
      <c r="B558" s="1004"/>
      <c r="C558" s="1005"/>
      <c r="D558" s="977"/>
      <c r="E558" s="1190"/>
      <c r="G558" s="1190"/>
      <c r="I558" s="1190"/>
      <c r="K558" s="1190"/>
      <c r="N558" s="1190"/>
      <c r="U558" s="1189"/>
      <c r="W558" s="1189"/>
      <c r="Y558" s="1190"/>
      <c r="AA558" s="1190"/>
      <c r="AG558" s="701"/>
      <c r="AI558" s="701"/>
      <c r="AY558" s="977"/>
    </row>
    <row r="559" ht="15.75" customHeight="1">
      <c r="A559" s="1004"/>
      <c r="B559" s="1004"/>
      <c r="C559" s="1005"/>
      <c r="D559" s="977"/>
      <c r="E559" s="1190"/>
      <c r="G559" s="1190"/>
      <c r="I559" s="1190"/>
      <c r="K559" s="1190"/>
      <c r="N559" s="1190"/>
      <c r="U559" s="1189"/>
      <c r="W559" s="1189"/>
      <c r="Y559" s="1190"/>
      <c r="AA559" s="1190"/>
      <c r="AG559" s="701"/>
      <c r="AI559" s="701"/>
      <c r="AY559" s="977"/>
    </row>
    <row r="560" ht="15.75" customHeight="1">
      <c r="A560" s="1004"/>
      <c r="B560" s="1004"/>
      <c r="C560" s="1005"/>
      <c r="D560" s="977"/>
      <c r="E560" s="1190"/>
      <c r="G560" s="1190"/>
      <c r="I560" s="1190"/>
      <c r="K560" s="1190"/>
      <c r="N560" s="1190"/>
      <c r="U560" s="1189"/>
      <c r="W560" s="1189"/>
      <c r="Y560" s="1190"/>
      <c r="AA560" s="1190"/>
      <c r="AG560" s="701"/>
      <c r="AI560" s="701"/>
      <c r="AY560" s="977"/>
    </row>
    <row r="561" ht="15.75" customHeight="1">
      <c r="A561" s="1004"/>
      <c r="B561" s="1004"/>
      <c r="C561" s="1005"/>
      <c r="D561" s="977"/>
      <c r="E561" s="1190"/>
      <c r="G561" s="1190"/>
      <c r="I561" s="1190"/>
      <c r="K561" s="1190"/>
      <c r="N561" s="1190"/>
      <c r="U561" s="1189"/>
      <c r="W561" s="1189"/>
      <c r="Y561" s="1190"/>
      <c r="AA561" s="1190"/>
      <c r="AG561" s="701"/>
      <c r="AI561" s="701"/>
      <c r="AY561" s="977"/>
    </row>
    <row r="562" ht="15.75" customHeight="1">
      <c r="A562" s="1004"/>
      <c r="B562" s="1004"/>
      <c r="C562" s="1005"/>
      <c r="D562" s="977"/>
      <c r="E562" s="1190"/>
      <c r="G562" s="1190"/>
      <c r="I562" s="1190"/>
      <c r="K562" s="1190"/>
      <c r="N562" s="1190"/>
      <c r="U562" s="1189"/>
      <c r="W562" s="1189"/>
      <c r="Y562" s="1190"/>
      <c r="AA562" s="1190"/>
      <c r="AG562" s="701"/>
      <c r="AI562" s="701"/>
      <c r="AY562" s="977"/>
    </row>
    <row r="563" ht="15.75" customHeight="1">
      <c r="A563" s="1004"/>
      <c r="B563" s="1004"/>
      <c r="C563" s="1005"/>
      <c r="D563" s="977"/>
      <c r="E563" s="1190"/>
      <c r="G563" s="1190"/>
      <c r="I563" s="1190"/>
      <c r="K563" s="1190"/>
      <c r="N563" s="1190"/>
      <c r="U563" s="1189"/>
      <c r="W563" s="1189"/>
      <c r="Y563" s="1190"/>
      <c r="AA563" s="1190"/>
      <c r="AG563" s="701"/>
      <c r="AI563" s="701"/>
      <c r="AY563" s="977"/>
    </row>
    <row r="564" ht="15.75" customHeight="1">
      <c r="A564" s="1004"/>
      <c r="B564" s="1004"/>
      <c r="C564" s="1005"/>
      <c r="D564" s="977"/>
      <c r="E564" s="1190"/>
      <c r="G564" s="1190"/>
      <c r="I564" s="1190"/>
      <c r="K564" s="1190"/>
      <c r="N564" s="1190"/>
      <c r="U564" s="1189"/>
      <c r="W564" s="1189"/>
      <c r="Y564" s="1190"/>
      <c r="AA564" s="1190"/>
      <c r="AG564" s="701"/>
      <c r="AI564" s="701"/>
      <c r="AY564" s="977"/>
    </row>
    <row r="565" ht="15.75" customHeight="1">
      <c r="A565" s="1004"/>
      <c r="B565" s="1004"/>
      <c r="C565" s="1005"/>
      <c r="D565" s="977"/>
      <c r="E565" s="1190"/>
      <c r="G565" s="1190"/>
      <c r="I565" s="1190"/>
      <c r="K565" s="1190"/>
      <c r="N565" s="1190"/>
      <c r="U565" s="1189"/>
      <c r="W565" s="1189"/>
      <c r="Y565" s="1190"/>
      <c r="AA565" s="1190"/>
      <c r="AG565" s="701"/>
      <c r="AI565" s="701"/>
      <c r="AY565" s="977"/>
    </row>
    <row r="566" ht="15.75" customHeight="1">
      <c r="A566" s="1004"/>
      <c r="B566" s="1004"/>
      <c r="C566" s="1005"/>
      <c r="D566" s="977"/>
      <c r="E566" s="1190"/>
      <c r="G566" s="1190"/>
      <c r="I566" s="1190"/>
      <c r="K566" s="1190"/>
      <c r="N566" s="1190"/>
      <c r="U566" s="1189"/>
      <c r="W566" s="1189"/>
      <c r="Y566" s="1190"/>
      <c r="AA566" s="1190"/>
      <c r="AG566" s="701"/>
      <c r="AI566" s="701"/>
      <c r="AY566" s="977"/>
    </row>
    <row r="567" ht="15.75" customHeight="1">
      <c r="A567" s="1004"/>
      <c r="B567" s="1004"/>
      <c r="C567" s="1005"/>
      <c r="D567" s="977"/>
      <c r="E567" s="1190"/>
      <c r="G567" s="1190"/>
      <c r="I567" s="1190"/>
      <c r="K567" s="1190"/>
      <c r="N567" s="1190"/>
      <c r="U567" s="1189"/>
      <c r="W567" s="1189"/>
      <c r="Y567" s="1190"/>
      <c r="AA567" s="1190"/>
      <c r="AG567" s="701"/>
      <c r="AI567" s="701"/>
      <c r="AY567" s="977"/>
    </row>
    <row r="568" ht="15.75" customHeight="1">
      <c r="A568" s="1004"/>
      <c r="B568" s="1004"/>
      <c r="C568" s="1005"/>
      <c r="D568" s="977"/>
      <c r="E568" s="1190"/>
      <c r="G568" s="1190"/>
      <c r="I568" s="1190"/>
      <c r="K568" s="1190"/>
      <c r="N568" s="1190"/>
      <c r="U568" s="1189"/>
      <c r="W568" s="1189"/>
      <c r="Y568" s="1190"/>
      <c r="AA568" s="1190"/>
      <c r="AG568" s="701"/>
      <c r="AI568" s="701"/>
      <c r="AY568" s="977"/>
    </row>
    <row r="569" ht="15.75" customHeight="1">
      <c r="A569" s="1004"/>
      <c r="B569" s="1004"/>
      <c r="C569" s="1005"/>
      <c r="D569" s="977"/>
      <c r="E569" s="1190"/>
      <c r="G569" s="1190"/>
      <c r="I569" s="1190"/>
      <c r="K569" s="1190"/>
      <c r="N569" s="1190"/>
      <c r="U569" s="1189"/>
      <c r="W569" s="1189"/>
      <c r="Y569" s="1190"/>
      <c r="AA569" s="1190"/>
      <c r="AG569" s="701"/>
      <c r="AI569" s="701"/>
      <c r="AY569" s="977"/>
    </row>
    <row r="570" ht="15.75" customHeight="1">
      <c r="A570" s="1004"/>
      <c r="B570" s="1004"/>
      <c r="C570" s="1005"/>
      <c r="D570" s="977"/>
      <c r="E570" s="1190"/>
      <c r="G570" s="1190"/>
      <c r="I570" s="1190"/>
      <c r="K570" s="1190"/>
      <c r="N570" s="1190"/>
      <c r="U570" s="1189"/>
      <c r="W570" s="1189"/>
      <c r="Y570" s="1190"/>
      <c r="AA570" s="1190"/>
      <c r="AG570" s="701"/>
      <c r="AI570" s="701"/>
      <c r="AY570" s="977"/>
    </row>
    <row r="571" ht="15.75" customHeight="1">
      <c r="A571" s="1004"/>
      <c r="B571" s="1004"/>
      <c r="C571" s="1005"/>
      <c r="D571" s="977"/>
      <c r="E571" s="1190"/>
      <c r="G571" s="1190"/>
      <c r="I571" s="1190"/>
      <c r="K571" s="1190"/>
      <c r="N571" s="1190"/>
      <c r="U571" s="1189"/>
      <c r="W571" s="1189"/>
      <c r="Y571" s="1190"/>
      <c r="AA571" s="1190"/>
      <c r="AG571" s="701"/>
      <c r="AI571" s="701"/>
      <c r="AY571" s="977"/>
    </row>
    <row r="572" ht="15.75" customHeight="1">
      <c r="A572" s="1004"/>
      <c r="B572" s="1004"/>
      <c r="C572" s="1005"/>
      <c r="D572" s="977"/>
      <c r="E572" s="1190"/>
      <c r="G572" s="1190"/>
      <c r="I572" s="1190"/>
      <c r="K572" s="1190"/>
      <c r="N572" s="1190"/>
      <c r="U572" s="1189"/>
      <c r="W572" s="1189"/>
      <c r="Y572" s="1190"/>
      <c r="AA572" s="1190"/>
      <c r="AG572" s="701"/>
      <c r="AI572" s="701"/>
      <c r="AY572" s="977"/>
    </row>
    <row r="573" ht="15.75" customHeight="1">
      <c r="A573" s="1004"/>
      <c r="B573" s="1004"/>
      <c r="C573" s="1005"/>
      <c r="D573" s="977"/>
      <c r="E573" s="1190"/>
      <c r="G573" s="1190"/>
      <c r="I573" s="1190"/>
      <c r="K573" s="1190"/>
      <c r="N573" s="1190"/>
      <c r="U573" s="1189"/>
      <c r="W573" s="1189"/>
      <c r="Y573" s="1190"/>
      <c r="AA573" s="1190"/>
      <c r="AG573" s="701"/>
      <c r="AI573" s="701"/>
      <c r="AY573" s="977"/>
    </row>
    <row r="574" ht="15.75" customHeight="1">
      <c r="A574" s="1004"/>
      <c r="B574" s="1004"/>
      <c r="C574" s="1005"/>
      <c r="D574" s="977"/>
      <c r="E574" s="1190"/>
      <c r="G574" s="1190"/>
      <c r="I574" s="1190"/>
      <c r="K574" s="1190"/>
      <c r="N574" s="1190"/>
      <c r="U574" s="1189"/>
      <c r="W574" s="1189"/>
      <c r="Y574" s="1190"/>
      <c r="AA574" s="1190"/>
      <c r="AG574" s="701"/>
      <c r="AI574" s="701"/>
      <c r="AY574" s="977"/>
    </row>
    <row r="575" ht="15.75" customHeight="1">
      <c r="A575" s="1004"/>
      <c r="B575" s="1004"/>
      <c r="C575" s="1005"/>
      <c r="D575" s="977"/>
      <c r="E575" s="1190"/>
      <c r="G575" s="1190"/>
      <c r="I575" s="1190"/>
      <c r="K575" s="1190"/>
      <c r="N575" s="1190"/>
      <c r="U575" s="1189"/>
      <c r="W575" s="1189"/>
      <c r="Y575" s="1190"/>
      <c r="AA575" s="1190"/>
      <c r="AG575" s="701"/>
      <c r="AI575" s="701"/>
      <c r="AY575" s="977"/>
    </row>
    <row r="576" ht="15.75" customHeight="1">
      <c r="A576" s="1004"/>
      <c r="B576" s="1004"/>
      <c r="C576" s="1005"/>
      <c r="D576" s="977"/>
      <c r="E576" s="1190"/>
      <c r="G576" s="1190"/>
      <c r="I576" s="1190"/>
      <c r="K576" s="1190"/>
      <c r="N576" s="1190"/>
      <c r="U576" s="1189"/>
      <c r="W576" s="1189"/>
      <c r="Y576" s="1190"/>
      <c r="AA576" s="1190"/>
      <c r="AG576" s="701"/>
      <c r="AI576" s="701"/>
      <c r="AY576" s="977"/>
    </row>
    <row r="577" ht="15.75" customHeight="1">
      <c r="A577" s="1004"/>
      <c r="B577" s="1004"/>
      <c r="C577" s="1005"/>
      <c r="D577" s="977"/>
      <c r="E577" s="1190"/>
      <c r="G577" s="1190"/>
      <c r="I577" s="1190"/>
      <c r="K577" s="1190"/>
      <c r="N577" s="1190"/>
      <c r="U577" s="1189"/>
      <c r="W577" s="1189"/>
      <c r="Y577" s="1190"/>
      <c r="AA577" s="1190"/>
      <c r="AG577" s="701"/>
      <c r="AI577" s="701"/>
      <c r="AY577" s="977"/>
    </row>
    <row r="578" ht="15.75" customHeight="1">
      <c r="A578" s="1004"/>
      <c r="B578" s="1004"/>
      <c r="C578" s="1005"/>
      <c r="D578" s="977"/>
      <c r="E578" s="1190"/>
      <c r="G578" s="1190"/>
      <c r="I578" s="1190"/>
      <c r="K578" s="1190"/>
      <c r="N578" s="1190"/>
      <c r="U578" s="1189"/>
      <c r="W578" s="1189"/>
      <c r="Y578" s="1190"/>
      <c r="AA578" s="1190"/>
      <c r="AG578" s="701"/>
      <c r="AI578" s="701"/>
      <c r="AY578" s="977"/>
    </row>
    <row r="579" ht="15.75" customHeight="1">
      <c r="A579" s="1004"/>
      <c r="B579" s="1004"/>
      <c r="C579" s="1005"/>
      <c r="D579" s="977"/>
      <c r="E579" s="1190"/>
      <c r="G579" s="1190"/>
      <c r="I579" s="1190"/>
      <c r="K579" s="1190"/>
      <c r="N579" s="1190"/>
      <c r="U579" s="1189"/>
      <c r="W579" s="1189"/>
      <c r="Y579" s="1190"/>
      <c r="AA579" s="1190"/>
      <c r="AG579" s="701"/>
      <c r="AI579" s="701"/>
      <c r="AY579" s="977"/>
    </row>
    <row r="580" ht="15.75" customHeight="1">
      <c r="A580" s="1004"/>
      <c r="B580" s="1004"/>
      <c r="C580" s="1005"/>
      <c r="D580" s="977"/>
      <c r="E580" s="1190"/>
      <c r="G580" s="1190"/>
      <c r="I580" s="1190"/>
      <c r="K580" s="1190"/>
      <c r="N580" s="1190"/>
      <c r="U580" s="1189"/>
      <c r="W580" s="1189"/>
      <c r="Y580" s="1190"/>
      <c r="AA580" s="1190"/>
      <c r="AG580" s="701"/>
      <c r="AI580" s="701"/>
      <c r="AY580" s="977"/>
    </row>
    <row r="581" ht="15.75" customHeight="1">
      <c r="A581" s="1004"/>
      <c r="B581" s="1004"/>
      <c r="C581" s="1005"/>
      <c r="D581" s="977"/>
      <c r="E581" s="1190"/>
      <c r="G581" s="1190"/>
      <c r="I581" s="1190"/>
      <c r="K581" s="1190"/>
      <c r="N581" s="1190"/>
      <c r="U581" s="1189"/>
      <c r="W581" s="1189"/>
      <c r="Y581" s="1190"/>
      <c r="AA581" s="1190"/>
      <c r="AG581" s="701"/>
      <c r="AI581" s="701"/>
      <c r="AY581" s="977"/>
    </row>
    <row r="582" ht="15.75" customHeight="1">
      <c r="A582" s="1004"/>
      <c r="B582" s="1004"/>
      <c r="C582" s="1005"/>
      <c r="D582" s="977"/>
      <c r="E582" s="1190"/>
      <c r="G582" s="1190"/>
      <c r="I582" s="1190"/>
      <c r="K582" s="1190"/>
      <c r="N582" s="1190"/>
      <c r="U582" s="1189"/>
      <c r="W582" s="1189"/>
      <c r="Y582" s="1190"/>
      <c r="AA582" s="1190"/>
      <c r="AG582" s="701"/>
      <c r="AI582" s="701"/>
      <c r="AY582" s="977"/>
    </row>
    <row r="583" ht="15.75" customHeight="1">
      <c r="A583" s="1004"/>
      <c r="B583" s="1004"/>
      <c r="C583" s="1005"/>
      <c r="D583" s="977"/>
      <c r="E583" s="1190"/>
      <c r="G583" s="1190"/>
      <c r="I583" s="1190"/>
      <c r="K583" s="1190"/>
      <c r="N583" s="1190"/>
      <c r="U583" s="1189"/>
      <c r="W583" s="1189"/>
      <c r="Y583" s="1190"/>
      <c r="AA583" s="1190"/>
      <c r="AG583" s="701"/>
      <c r="AI583" s="701"/>
      <c r="AY583" s="977"/>
    </row>
    <row r="584" ht="15.75" customHeight="1">
      <c r="A584" s="1004"/>
      <c r="B584" s="1004"/>
      <c r="C584" s="1005"/>
      <c r="D584" s="977"/>
      <c r="E584" s="1190"/>
      <c r="G584" s="1190"/>
      <c r="I584" s="1190"/>
      <c r="K584" s="1190"/>
      <c r="N584" s="1190"/>
      <c r="U584" s="1189"/>
      <c r="W584" s="1189"/>
      <c r="Y584" s="1190"/>
      <c r="AA584" s="1190"/>
      <c r="AG584" s="701"/>
      <c r="AI584" s="701"/>
      <c r="AY584" s="977"/>
    </row>
    <row r="585" ht="15.75" customHeight="1">
      <c r="A585" s="1004"/>
      <c r="B585" s="1004"/>
      <c r="C585" s="1005"/>
      <c r="D585" s="977"/>
      <c r="E585" s="1190"/>
      <c r="G585" s="1190"/>
      <c r="I585" s="1190"/>
      <c r="K585" s="1190"/>
      <c r="N585" s="1190"/>
      <c r="U585" s="1189"/>
      <c r="W585" s="1189"/>
      <c r="Y585" s="1190"/>
      <c r="AA585" s="1190"/>
      <c r="AG585" s="701"/>
      <c r="AI585" s="701"/>
      <c r="AY585" s="977"/>
    </row>
    <row r="586" ht="15.75" customHeight="1">
      <c r="A586" s="1004"/>
      <c r="B586" s="1004"/>
      <c r="C586" s="1005"/>
      <c r="D586" s="977"/>
      <c r="E586" s="1190"/>
      <c r="G586" s="1190"/>
      <c r="I586" s="1190"/>
      <c r="K586" s="1190"/>
      <c r="N586" s="1190"/>
      <c r="U586" s="1189"/>
      <c r="W586" s="1189"/>
      <c r="Y586" s="1190"/>
      <c r="AA586" s="1190"/>
      <c r="AG586" s="701"/>
      <c r="AI586" s="701"/>
      <c r="AY586" s="977"/>
    </row>
    <row r="587" ht="15.75" customHeight="1">
      <c r="A587" s="1004"/>
      <c r="B587" s="1004"/>
      <c r="C587" s="1005"/>
      <c r="D587" s="977"/>
      <c r="E587" s="1190"/>
      <c r="G587" s="1190"/>
      <c r="I587" s="1190"/>
      <c r="K587" s="1190"/>
      <c r="N587" s="1190"/>
      <c r="U587" s="1189"/>
      <c r="W587" s="1189"/>
      <c r="Y587" s="1190"/>
      <c r="AA587" s="1190"/>
      <c r="AG587" s="701"/>
      <c r="AI587" s="701"/>
      <c r="AY587" s="977"/>
    </row>
    <row r="588" ht="15.75" customHeight="1">
      <c r="A588" s="1004"/>
      <c r="B588" s="1004"/>
      <c r="C588" s="1005"/>
      <c r="D588" s="977"/>
      <c r="E588" s="1190"/>
      <c r="G588" s="1190"/>
      <c r="I588" s="1190"/>
      <c r="K588" s="1190"/>
      <c r="N588" s="1190"/>
      <c r="U588" s="1189"/>
      <c r="W588" s="1189"/>
      <c r="Y588" s="1190"/>
      <c r="AA588" s="1190"/>
      <c r="AG588" s="701"/>
      <c r="AI588" s="701"/>
      <c r="AY588" s="977"/>
    </row>
    <row r="589" ht="15.75" customHeight="1">
      <c r="A589" s="1004"/>
      <c r="B589" s="1004"/>
      <c r="C589" s="1005"/>
      <c r="D589" s="977"/>
      <c r="E589" s="1190"/>
      <c r="G589" s="1190"/>
      <c r="I589" s="1190"/>
      <c r="K589" s="1190"/>
      <c r="N589" s="1190"/>
      <c r="U589" s="1189"/>
      <c r="W589" s="1189"/>
      <c r="Y589" s="1190"/>
      <c r="AA589" s="1190"/>
      <c r="AG589" s="701"/>
      <c r="AI589" s="701"/>
      <c r="AY589" s="977"/>
    </row>
    <row r="590" ht="15.75" customHeight="1">
      <c r="A590" s="1004"/>
      <c r="B590" s="1004"/>
      <c r="C590" s="1005"/>
      <c r="D590" s="977"/>
      <c r="E590" s="1190"/>
      <c r="G590" s="1190"/>
      <c r="I590" s="1190"/>
      <c r="K590" s="1190"/>
      <c r="N590" s="1190"/>
      <c r="U590" s="1189"/>
      <c r="W590" s="1189"/>
      <c r="Y590" s="1190"/>
      <c r="AA590" s="1190"/>
      <c r="AG590" s="701"/>
      <c r="AI590" s="701"/>
      <c r="AY590" s="977"/>
    </row>
    <row r="591" ht="15.75" customHeight="1">
      <c r="A591" s="1004"/>
      <c r="B591" s="1004"/>
      <c r="C591" s="1005"/>
      <c r="D591" s="977"/>
      <c r="E591" s="1190"/>
      <c r="G591" s="1190"/>
      <c r="I591" s="1190"/>
      <c r="K591" s="1190"/>
      <c r="N591" s="1190"/>
      <c r="U591" s="1189"/>
      <c r="W591" s="1189"/>
      <c r="Y591" s="1190"/>
      <c r="AA591" s="1190"/>
      <c r="AG591" s="701"/>
      <c r="AI591" s="701"/>
      <c r="AY591" s="977"/>
    </row>
    <row r="592" ht="15.75" customHeight="1">
      <c r="A592" s="1004"/>
      <c r="B592" s="1004"/>
      <c r="C592" s="1005"/>
      <c r="D592" s="977"/>
      <c r="E592" s="1190"/>
      <c r="G592" s="1190"/>
      <c r="I592" s="1190"/>
      <c r="K592" s="1190"/>
      <c r="N592" s="1190"/>
      <c r="U592" s="1189"/>
      <c r="W592" s="1189"/>
      <c r="Y592" s="1190"/>
      <c r="AA592" s="1190"/>
      <c r="AG592" s="701"/>
      <c r="AI592" s="701"/>
      <c r="AY592" s="977"/>
    </row>
    <row r="593" ht="15.75" customHeight="1">
      <c r="A593" s="1004"/>
      <c r="B593" s="1004"/>
      <c r="C593" s="1005"/>
      <c r="D593" s="977"/>
      <c r="E593" s="1190"/>
      <c r="G593" s="1190"/>
      <c r="I593" s="1190"/>
      <c r="K593" s="1190"/>
      <c r="N593" s="1190"/>
      <c r="U593" s="1189"/>
      <c r="W593" s="1189"/>
      <c r="Y593" s="1190"/>
      <c r="AA593" s="1190"/>
      <c r="AG593" s="701"/>
      <c r="AI593" s="701"/>
      <c r="AY593" s="977"/>
    </row>
    <row r="594" ht="15.75" customHeight="1">
      <c r="A594" s="1004"/>
      <c r="B594" s="1004"/>
      <c r="C594" s="1005"/>
      <c r="D594" s="977"/>
      <c r="E594" s="1190"/>
      <c r="G594" s="1190"/>
      <c r="I594" s="1190"/>
      <c r="K594" s="1190"/>
      <c r="N594" s="1190"/>
      <c r="U594" s="1189"/>
      <c r="W594" s="1189"/>
      <c r="Y594" s="1190"/>
      <c r="AA594" s="1190"/>
      <c r="AG594" s="701"/>
      <c r="AI594" s="701"/>
      <c r="AY594" s="977"/>
    </row>
    <row r="595" ht="15.75" customHeight="1">
      <c r="A595" s="1004"/>
      <c r="B595" s="1004"/>
      <c r="C595" s="1005"/>
      <c r="D595" s="977"/>
      <c r="E595" s="1190"/>
      <c r="G595" s="1190"/>
      <c r="I595" s="1190"/>
      <c r="K595" s="1190"/>
      <c r="N595" s="1190"/>
      <c r="U595" s="1189"/>
      <c r="W595" s="1189"/>
      <c r="Y595" s="1190"/>
      <c r="AA595" s="1190"/>
      <c r="AG595" s="701"/>
      <c r="AI595" s="701"/>
      <c r="AY595" s="977"/>
    </row>
    <row r="596" ht="15.75" customHeight="1">
      <c r="A596" s="1004"/>
      <c r="B596" s="1004"/>
      <c r="C596" s="1005"/>
      <c r="D596" s="977"/>
      <c r="E596" s="1190"/>
      <c r="G596" s="1190"/>
      <c r="I596" s="1190"/>
      <c r="K596" s="1190"/>
      <c r="N596" s="1190"/>
      <c r="U596" s="1189"/>
      <c r="W596" s="1189"/>
      <c r="Y596" s="1190"/>
      <c r="AA596" s="1190"/>
      <c r="AG596" s="701"/>
      <c r="AI596" s="701"/>
      <c r="AY596" s="977"/>
    </row>
    <row r="597" ht="15.75" customHeight="1">
      <c r="A597" s="1004"/>
      <c r="B597" s="1004"/>
      <c r="C597" s="1005"/>
      <c r="D597" s="977"/>
      <c r="E597" s="1190"/>
      <c r="G597" s="1190"/>
      <c r="I597" s="1190"/>
      <c r="K597" s="1190"/>
      <c r="N597" s="1190"/>
      <c r="U597" s="1189"/>
      <c r="W597" s="1189"/>
      <c r="Y597" s="1190"/>
      <c r="AA597" s="1190"/>
      <c r="AG597" s="701"/>
      <c r="AI597" s="701"/>
      <c r="AY597" s="977"/>
    </row>
    <row r="598" ht="15.75" customHeight="1">
      <c r="A598" s="1004"/>
      <c r="B598" s="1004"/>
      <c r="C598" s="1005"/>
      <c r="D598" s="977"/>
      <c r="E598" s="1190"/>
      <c r="G598" s="1190"/>
      <c r="I598" s="1190"/>
      <c r="K598" s="1190"/>
      <c r="N598" s="1190"/>
      <c r="U598" s="1189"/>
      <c r="W598" s="1189"/>
      <c r="Y598" s="1190"/>
      <c r="AA598" s="1190"/>
      <c r="AG598" s="701"/>
      <c r="AI598" s="701"/>
      <c r="AY598" s="977"/>
    </row>
    <row r="599" ht="15.75" customHeight="1">
      <c r="A599" s="1004"/>
      <c r="B599" s="1004"/>
      <c r="C599" s="1005"/>
      <c r="D599" s="977"/>
      <c r="E599" s="1190"/>
      <c r="G599" s="1190"/>
      <c r="I599" s="1190"/>
      <c r="K599" s="1190"/>
      <c r="N599" s="1190"/>
      <c r="U599" s="1189"/>
      <c r="W599" s="1189"/>
      <c r="Y599" s="1190"/>
      <c r="AA599" s="1190"/>
      <c r="AG599" s="701"/>
      <c r="AI599" s="701"/>
      <c r="AY599" s="977"/>
    </row>
    <row r="600" ht="15.75" customHeight="1">
      <c r="A600" s="1004"/>
      <c r="B600" s="1004"/>
      <c r="C600" s="1005"/>
      <c r="D600" s="977"/>
      <c r="E600" s="1190"/>
      <c r="G600" s="1190"/>
      <c r="I600" s="1190"/>
      <c r="K600" s="1190"/>
      <c r="N600" s="1190"/>
      <c r="U600" s="1189"/>
      <c r="W600" s="1189"/>
      <c r="Y600" s="1190"/>
      <c r="AA600" s="1190"/>
      <c r="AG600" s="701"/>
      <c r="AI600" s="701"/>
      <c r="AY600" s="977"/>
    </row>
    <row r="601" ht="15.75" customHeight="1">
      <c r="A601" s="1004"/>
      <c r="B601" s="1004"/>
      <c r="C601" s="1005"/>
      <c r="D601" s="977"/>
      <c r="E601" s="1190"/>
      <c r="G601" s="1190"/>
      <c r="I601" s="1190"/>
      <c r="K601" s="1190"/>
      <c r="N601" s="1190"/>
      <c r="U601" s="1189"/>
      <c r="W601" s="1189"/>
      <c r="Y601" s="1190"/>
      <c r="AA601" s="1190"/>
      <c r="AG601" s="701"/>
      <c r="AI601" s="701"/>
      <c r="AY601" s="977"/>
    </row>
    <row r="602" ht="15.75" customHeight="1">
      <c r="A602" s="1004"/>
      <c r="B602" s="1004"/>
      <c r="C602" s="1005"/>
      <c r="D602" s="977"/>
      <c r="E602" s="1190"/>
      <c r="G602" s="1190"/>
      <c r="I602" s="1190"/>
      <c r="K602" s="1190"/>
      <c r="N602" s="1190"/>
      <c r="U602" s="1189"/>
      <c r="W602" s="1189"/>
      <c r="Y602" s="1190"/>
      <c r="AA602" s="1190"/>
      <c r="AG602" s="701"/>
      <c r="AI602" s="701"/>
      <c r="AY602" s="977"/>
    </row>
    <row r="603" ht="15.75" customHeight="1">
      <c r="A603" s="1004"/>
      <c r="B603" s="1004"/>
      <c r="C603" s="1005"/>
      <c r="D603" s="977"/>
      <c r="E603" s="1190"/>
      <c r="G603" s="1190"/>
      <c r="I603" s="1190"/>
      <c r="K603" s="1190"/>
      <c r="N603" s="1190"/>
      <c r="U603" s="1189"/>
      <c r="W603" s="1189"/>
      <c r="Y603" s="1190"/>
      <c r="AA603" s="1190"/>
      <c r="AG603" s="701"/>
      <c r="AI603" s="701"/>
      <c r="AY603" s="977"/>
    </row>
    <row r="604" ht="15.75" customHeight="1">
      <c r="A604" s="1004"/>
      <c r="B604" s="1004"/>
      <c r="C604" s="1005"/>
      <c r="D604" s="977"/>
      <c r="E604" s="1190"/>
      <c r="G604" s="1190"/>
      <c r="I604" s="1190"/>
      <c r="K604" s="1190"/>
      <c r="N604" s="1190"/>
      <c r="U604" s="1189"/>
      <c r="W604" s="1189"/>
      <c r="Y604" s="1190"/>
      <c r="AA604" s="1190"/>
      <c r="AG604" s="701"/>
      <c r="AI604" s="701"/>
      <c r="AY604" s="977"/>
    </row>
    <row r="605" ht="15.75" customHeight="1">
      <c r="A605" s="1004"/>
      <c r="B605" s="1004"/>
      <c r="C605" s="1005"/>
      <c r="D605" s="977"/>
      <c r="E605" s="1190"/>
      <c r="G605" s="1190"/>
      <c r="I605" s="1190"/>
      <c r="K605" s="1190"/>
      <c r="N605" s="1190"/>
      <c r="U605" s="1189"/>
      <c r="W605" s="1189"/>
      <c r="Y605" s="1190"/>
      <c r="AA605" s="1190"/>
      <c r="AG605" s="701"/>
      <c r="AI605" s="701"/>
      <c r="AY605" s="977"/>
    </row>
    <row r="606" ht="15.75" customHeight="1">
      <c r="A606" s="1004"/>
      <c r="B606" s="1004"/>
      <c r="C606" s="1005"/>
      <c r="D606" s="977"/>
      <c r="E606" s="1190"/>
      <c r="G606" s="1190"/>
      <c r="I606" s="1190"/>
      <c r="K606" s="1190"/>
      <c r="N606" s="1190"/>
      <c r="U606" s="1189"/>
      <c r="W606" s="1189"/>
      <c r="Y606" s="1190"/>
      <c r="AA606" s="1190"/>
      <c r="AG606" s="701"/>
      <c r="AI606" s="701"/>
      <c r="AY606" s="977"/>
    </row>
    <row r="607" ht="15.75" customHeight="1">
      <c r="A607" s="1004"/>
      <c r="B607" s="1004"/>
      <c r="C607" s="1005"/>
      <c r="D607" s="977"/>
      <c r="E607" s="1190"/>
      <c r="G607" s="1190"/>
      <c r="I607" s="1190"/>
      <c r="K607" s="1190"/>
      <c r="N607" s="1190"/>
      <c r="U607" s="1189"/>
      <c r="W607" s="1189"/>
      <c r="Y607" s="1190"/>
      <c r="AA607" s="1190"/>
      <c r="AG607" s="701"/>
      <c r="AI607" s="701"/>
      <c r="AY607" s="977"/>
    </row>
    <row r="608" ht="15.75" customHeight="1">
      <c r="A608" s="1004"/>
      <c r="B608" s="1004"/>
      <c r="C608" s="1005"/>
      <c r="D608" s="977"/>
      <c r="E608" s="1190"/>
      <c r="G608" s="1190"/>
      <c r="I608" s="1190"/>
      <c r="K608" s="1190"/>
      <c r="N608" s="1190"/>
      <c r="U608" s="1189"/>
      <c r="W608" s="1189"/>
      <c r="Y608" s="1190"/>
      <c r="AA608" s="1190"/>
      <c r="AG608" s="701"/>
      <c r="AI608" s="701"/>
      <c r="AY608" s="977"/>
    </row>
    <row r="609" ht="15.75" customHeight="1">
      <c r="A609" s="1004"/>
      <c r="B609" s="1004"/>
      <c r="C609" s="1005"/>
      <c r="D609" s="977"/>
      <c r="E609" s="1190"/>
      <c r="G609" s="1190"/>
      <c r="I609" s="1190"/>
      <c r="K609" s="1190"/>
      <c r="N609" s="1190"/>
      <c r="U609" s="1189"/>
      <c r="W609" s="1189"/>
      <c r="Y609" s="1190"/>
      <c r="AA609" s="1190"/>
      <c r="AG609" s="701"/>
      <c r="AI609" s="701"/>
      <c r="AY609" s="977"/>
    </row>
    <row r="610" ht="15.75" customHeight="1">
      <c r="A610" s="1004"/>
      <c r="B610" s="1004"/>
      <c r="C610" s="1005"/>
      <c r="D610" s="977"/>
      <c r="E610" s="1190"/>
      <c r="G610" s="1190"/>
      <c r="I610" s="1190"/>
      <c r="K610" s="1190"/>
      <c r="N610" s="1190"/>
      <c r="U610" s="1189"/>
      <c r="W610" s="1189"/>
      <c r="Y610" s="1190"/>
      <c r="AA610" s="1190"/>
      <c r="AG610" s="701"/>
      <c r="AI610" s="701"/>
      <c r="AY610" s="977"/>
    </row>
    <row r="611" ht="15.75" customHeight="1">
      <c r="A611" s="1004"/>
      <c r="B611" s="1004"/>
      <c r="C611" s="1005"/>
      <c r="D611" s="977"/>
      <c r="E611" s="1190"/>
      <c r="G611" s="1190"/>
      <c r="I611" s="1190"/>
      <c r="K611" s="1190"/>
      <c r="N611" s="1190"/>
      <c r="U611" s="1189"/>
      <c r="W611" s="1189"/>
      <c r="Y611" s="1190"/>
      <c r="AA611" s="1190"/>
      <c r="AG611" s="701"/>
      <c r="AI611" s="701"/>
      <c r="AY611" s="977"/>
    </row>
    <row r="612" ht="15.75" customHeight="1">
      <c r="A612" s="1004"/>
      <c r="B612" s="1004"/>
      <c r="C612" s="1005"/>
      <c r="D612" s="977"/>
      <c r="E612" s="1190"/>
      <c r="G612" s="1190"/>
      <c r="I612" s="1190"/>
      <c r="K612" s="1190"/>
      <c r="N612" s="1190"/>
      <c r="U612" s="1189"/>
      <c r="W612" s="1189"/>
      <c r="Y612" s="1190"/>
      <c r="AA612" s="1190"/>
      <c r="AG612" s="701"/>
      <c r="AI612" s="701"/>
      <c r="AY612" s="977"/>
    </row>
    <row r="613" ht="15.75" customHeight="1">
      <c r="A613" s="1004"/>
      <c r="B613" s="1004"/>
      <c r="C613" s="1005"/>
      <c r="D613" s="977"/>
      <c r="E613" s="1190"/>
      <c r="G613" s="1190"/>
      <c r="I613" s="1190"/>
      <c r="K613" s="1190"/>
      <c r="N613" s="1190"/>
      <c r="U613" s="1189"/>
      <c r="W613" s="1189"/>
      <c r="Y613" s="1190"/>
      <c r="AA613" s="1190"/>
      <c r="AG613" s="701"/>
      <c r="AI613" s="701"/>
      <c r="AY613" s="977"/>
    </row>
    <row r="614" ht="15.75" customHeight="1">
      <c r="A614" s="1004"/>
      <c r="B614" s="1004"/>
      <c r="C614" s="1005"/>
      <c r="D614" s="977"/>
      <c r="E614" s="1190"/>
      <c r="G614" s="1190"/>
      <c r="I614" s="1190"/>
      <c r="K614" s="1190"/>
      <c r="N614" s="1190"/>
      <c r="U614" s="1189"/>
      <c r="W614" s="1189"/>
      <c r="Y614" s="1190"/>
      <c r="AA614" s="1190"/>
      <c r="AG614" s="701"/>
      <c r="AI614" s="701"/>
      <c r="AY614" s="977"/>
    </row>
    <row r="615" ht="15.75" customHeight="1">
      <c r="A615" s="1004"/>
      <c r="B615" s="1004"/>
      <c r="C615" s="1005"/>
      <c r="D615" s="977"/>
      <c r="E615" s="1190"/>
      <c r="G615" s="1190"/>
      <c r="I615" s="1190"/>
      <c r="K615" s="1190"/>
      <c r="N615" s="1190"/>
      <c r="U615" s="1189"/>
      <c r="W615" s="1189"/>
      <c r="Y615" s="1190"/>
      <c r="AA615" s="1190"/>
      <c r="AG615" s="701"/>
      <c r="AI615" s="701"/>
      <c r="AY615" s="977"/>
    </row>
    <row r="616" ht="15.75" customHeight="1">
      <c r="A616" s="1004"/>
      <c r="B616" s="1004"/>
      <c r="C616" s="1005"/>
      <c r="D616" s="977"/>
      <c r="E616" s="1190"/>
      <c r="G616" s="1190"/>
      <c r="I616" s="1190"/>
      <c r="K616" s="1190"/>
      <c r="N616" s="1190"/>
      <c r="U616" s="1189"/>
      <c r="W616" s="1189"/>
      <c r="Y616" s="1190"/>
      <c r="AA616" s="1190"/>
      <c r="AG616" s="701"/>
      <c r="AI616" s="701"/>
      <c r="AY616" s="977"/>
    </row>
    <row r="617" ht="15.75" customHeight="1">
      <c r="A617" s="1004"/>
      <c r="B617" s="1004"/>
      <c r="C617" s="1005"/>
      <c r="D617" s="977"/>
      <c r="E617" s="1190"/>
      <c r="G617" s="1190"/>
      <c r="I617" s="1190"/>
      <c r="K617" s="1190"/>
      <c r="N617" s="1190"/>
      <c r="U617" s="1189"/>
      <c r="W617" s="1189"/>
      <c r="Y617" s="1190"/>
      <c r="AA617" s="1190"/>
      <c r="AG617" s="701"/>
      <c r="AI617" s="701"/>
      <c r="AY617" s="977"/>
    </row>
    <row r="618" ht="15.75" customHeight="1">
      <c r="A618" s="1004"/>
      <c r="B618" s="1004"/>
      <c r="C618" s="1005"/>
      <c r="D618" s="977"/>
      <c r="E618" s="1190"/>
      <c r="G618" s="1190"/>
      <c r="I618" s="1190"/>
      <c r="K618" s="1190"/>
      <c r="N618" s="1190"/>
      <c r="U618" s="1189"/>
      <c r="W618" s="1189"/>
      <c r="Y618" s="1190"/>
      <c r="AA618" s="1190"/>
      <c r="AG618" s="701"/>
      <c r="AI618" s="701"/>
      <c r="AY618" s="977"/>
    </row>
    <row r="619" ht="15.75" customHeight="1">
      <c r="A619" s="1004"/>
      <c r="B619" s="1004"/>
      <c r="C619" s="1005"/>
      <c r="D619" s="977"/>
      <c r="E619" s="1190"/>
      <c r="G619" s="1190"/>
      <c r="I619" s="1190"/>
      <c r="K619" s="1190"/>
      <c r="N619" s="1190"/>
      <c r="U619" s="1189"/>
      <c r="W619" s="1189"/>
      <c r="Y619" s="1190"/>
      <c r="AA619" s="1190"/>
      <c r="AG619" s="701"/>
      <c r="AI619" s="701"/>
      <c r="AY619" s="977"/>
    </row>
    <row r="620" ht="15.75" customHeight="1">
      <c r="A620" s="1004"/>
      <c r="B620" s="1004"/>
      <c r="C620" s="1005"/>
      <c r="D620" s="977"/>
      <c r="E620" s="1190"/>
      <c r="G620" s="1190"/>
      <c r="I620" s="1190"/>
      <c r="K620" s="1190"/>
      <c r="N620" s="1190"/>
      <c r="U620" s="1189"/>
      <c r="W620" s="1189"/>
      <c r="Y620" s="1190"/>
      <c r="AA620" s="1190"/>
      <c r="AG620" s="701"/>
      <c r="AI620" s="701"/>
      <c r="AY620" s="977"/>
    </row>
    <row r="621" ht="15.75" customHeight="1">
      <c r="A621" s="1004"/>
      <c r="B621" s="1004"/>
      <c r="C621" s="1005"/>
      <c r="D621" s="977"/>
      <c r="E621" s="1190"/>
      <c r="G621" s="1190"/>
      <c r="I621" s="1190"/>
      <c r="K621" s="1190"/>
      <c r="N621" s="1190"/>
      <c r="U621" s="1189"/>
      <c r="W621" s="1189"/>
      <c r="Y621" s="1190"/>
      <c r="AA621" s="1190"/>
      <c r="AG621" s="701"/>
      <c r="AI621" s="701"/>
      <c r="AY621" s="977"/>
    </row>
    <row r="622" ht="15.75" customHeight="1">
      <c r="A622" s="1004"/>
      <c r="B622" s="1004"/>
      <c r="C622" s="1005"/>
      <c r="D622" s="977"/>
      <c r="E622" s="1190"/>
      <c r="G622" s="1190"/>
      <c r="I622" s="1190"/>
      <c r="K622" s="1190"/>
      <c r="N622" s="1190"/>
      <c r="U622" s="1189"/>
      <c r="W622" s="1189"/>
      <c r="Y622" s="1190"/>
      <c r="AA622" s="1190"/>
      <c r="AG622" s="701"/>
      <c r="AI622" s="701"/>
      <c r="AY622" s="977"/>
    </row>
    <row r="623" ht="15.75" customHeight="1">
      <c r="A623" s="1004"/>
      <c r="B623" s="1004"/>
      <c r="C623" s="1005"/>
      <c r="D623" s="977"/>
      <c r="E623" s="1190"/>
      <c r="G623" s="1190"/>
      <c r="I623" s="1190"/>
      <c r="K623" s="1190"/>
      <c r="N623" s="1190"/>
      <c r="U623" s="1189"/>
      <c r="W623" s="1189"/>
      <c r="Y623" s="1190"/>
      <c r="AA623" s="1190"/>
      <c r="AG623" s="701"/>
      <c r="AI623" s="701"/>
      <c r="AY623" s="977"/>
    </row>
    <row r="624" ht="15.75" customHeight="1">
      <c r="A624" s="1004"/>
      <c r="B624" s="1004"/>
      <c r="C624" s="1005"/>
      <c r="D624" s="977"/>
      <c r="E624" s="1190"/>
      <c r="G624" s="1190"/>
      <c r="I624" s="1190"/>
      <c r="K624" s="1190"/>
      <c r="N624" s="1190"/>
      <c r="U624" s="1189"/>
      <c r="W624" s="1189"/>
      <c r="Y624" s="1190"/>
      <c r="AA624" s="1190"/>
      <c r="AG624" s="701"/>
      <c r="AI624" s="701"/>
      <c r="AY624" s="977"/>
    </row>
    <row r="625" ht="15.75" customHeight="1">
      <c r="A625" s="1004"/>
      <c r="B625" s="1004"/>
      <c r="C625" s="1005"/>
      <c r="D625" s="977"/>
      <c r="E625" s="1190"/>
      <c r="G625" s="1190"/>
      <c r="I625" s="1190"/>
      <c r="K625" s="1190"/>
      <c r="N625" s="1190"/>
      <c r="U625" s="1189"/>
      <c r="W625" s="1189"/>
      <c r="Y625" s="1190"/>
      <c r="AA625" s="1190"/>
      <c r="AG625" s="701"/>
      <c r="AI625" s="701"/>
      <c r="AY625" s="977"/>
    </row>
    <row r="626" ht="15.75" customHeight="1">
      <c r="A626" s="1004"/>
      <c r="B626" s="1004"/>
      <c r="C626" s="1005"/>
      <c r="D626" s="977"/>
      <c r="E626" s="1190"/>
      <c r="G626" s="1190"/>
      <c r="I626" s="1190"/>
      <c r="K626" s="1190"/>
      <c r="N626" s="1190"/>
      <c r="U626" s="1189"/>
      <c r="W626" s="1189"/>
      <c r="Y626" s="1190"/>
      <c r="AA626" s="1190"/>
      <c r="AG626" s="701"/>
      <c r="AI626" s="701"/>
      <c r="AY626" s="977"/>
    </row>
    <row r="627" ht="15.75" customHeight="1">
      <c r="A627" s="1004"/>
      <c r="B627" s="1004"/>
      <c r="C627" s="1005"/>
      <c r="D627" s="977"/>
      <c r="E627" s="1190"/>
      <c r="G627" s="1190"/>
      <c r="I627" s="1190"/>
      <c r="K627" s="1190"/>
      <c r="N627" s="1190"/>
      <c r="U627" s="1189"/>
      <c r="W627" s="1189"/>
      <c r="Y627" s="1190"/>
      <c r="AA627" s="1190"/>
      <c r="AG627" s="701"/>
      <c r="AI627" s="701"/>
      <c r="AY627" s="977"/>
    </row>
    <row r="628" ht="15.75" customHeight="1">
      <c r="A628" s="1004"/>
      <c r="B628" s="1004"/>
      <c r="C628" s="1005"/>
      <c r="D628" s="977"/>
      <c r="E628" s="1190"/>
      <c r="G628" s="1190"/>
      <c r="I628" s="1190"/>
      <c r="K628" s="1190"/>
      <c r="N628" s="1190"/>
      <c r="U628" s="1189"/>
      <c r="W628" s="1189"/>
      <c r="Y628" s="1190"/>
      <c r="AA628" s="1190"/>
      <c r="AG628" s="701"/>
      <c r="AI628" s="701"/>
      <c r="AY628" s="977"/>
    </row>
    <row r="629" ht="15.75" customHeight="1">
      <c r="A629" s="1004"/>
      <c r="B629" s="1004"/>
      <c r="C629" s="1005"/>
      <c r="D629" s="977"/>
      <c r="E629" s="1190"/>
      <c r="G629" s="1190"/>
      <c r="I629" s="1190"/>
      <c r="K629" s="1190"/>
      <c r="N629" s="1190"/>
      <c r="U629" s="1189"/>
      <c r="W629" s="1189"/>
      <c r="Y629" s="1190"/>
      <c r="AA629" s="1190"/>
      <c r="AG629" s="701"/>
      <c r="AI629" s="701"/>
      <c r="AY629" s="977"/>
    </row>
    <row r="630" ht="15.75" customHeight="1">
      <c r="A630" s="1004"/>
      <c r="B630" s="1004"/>
      <c r="C630" s="1005"/>
      <c r="D630" s="977"/>
      <c r="E630" s="1190"/>
      <c r="G630" s="1190"/>
      <c r="I630" s="1190"/>
      <c r="K630" s="1190"/>
      <c r="N630" s="1190"/>
      <c r="U630" s="1189"/>
      <c r="W630" s="1189"/>
      <c r="Y630" s="1190"/>
      <c r="AA630" s="1190"/>
      <c r="AG630" s="701"/>
      <c r="AI630" s="701"/>
      <c r="AY630" s="977"/>
    </row>
    <row r="631" ht="15.75" customHeight="1">
      <c r="A631" s="1004"/>
      <c r="B631" s="1004"/>
      <c r="C631" s="1005"/>
      <c r="D631" s="977"/>
      <c r="E631" s="1190"/>
      <c r="G631" s="1190"/>
      <c r="I631" s="1190"/>
      <c r="K631" s="1190"/>
      <c r="N631" s="1190"/>
      <c r="U631" s="1189"/>
      <c r="W631" s="1189"/>
      <c r="Y631" s="1190"/>
      <c r="AA631" s="1190"/>
      <c r="AG631" s="701"/>
      <c r="AI631" s="701"/>
      <c r="AY631" s="977"/>
    </row>
    <row r="632" ht="15.75" customHeight="1">
      <c r="A632" s="1004"/>
      <c r="B632" s="1004"/>
      <c r="C632" s="1005"/>
      <c r="D632" s="977"/>
      <c r="E632" s="1190"/>
      <c r="G632" s="1190"/>
      <c r="I632" s="1190"/>
      <c r="K632" s="1190"/>
      <c r="N632" s="1190"/>
      <c r="U632" s="1189"/>
      <c r="W632" s="1189"/>
      <c r="Y632" s="1190"/>
      <c r="AA632" s="1190"/>
      <c r="AG632" s="701"/>
      <c r="AI632" s="701"/>
      <c r="AY632" s="977"/>
    </row>
    <row r="633" ht="15.75" customHeight="1">
      <c r="A633" s="1004"/>
      <c r="B633" s="1004"/>
      <c r="C633" s="1005"/>
      <c r="D633" s="977"/>
      <c r="E633" s="1190"/>
      <c r="G633" s="1190"/>
      <c r="I633" s="1190"/>
      <c r="K633" s="1190"/>
      <c r="N633" s="1190"/>
      <c r="U633" s="1189"/>
      <c r="W633" s="1189"/>
      <c r="Y633" s="1190"/>
      <c r="AA633" s="1190"/>
      <c r="AG633" s="701"/>
      <c r="AI633" s="701"/>
      <c r="AY633" s="977"/>
    </row>
    <row r="634" ht="15.75" customHeight="1">
      <c r="A634" s="1004"/>
      <c r="B634" s="1004"/>
      <c r="C634" s="1005"/>
      <c r="D634" s="977"/>
      <c r="E634" s="1190"/>
      <c r="G634" s="1190"/>
      <c r="I634" s="1190"/>
      <c r="K634" s="1190"/>
      <c r="N634" s="1190"/>
      <c r="U634" s="1189"/>
      <c r="W634" s="1189"/>
      <c r="Y634" s="1190"/>
      <c r="AA634" s="1190"/>
      <c r="AG634" s="701"/>
      <c r="AI634" s="701"/>
      <c r="AY634" s="977"/>
    </row>
    <row r="635" ht="15.75" customHeight="1">
      <c r="A635" s="1004"/>
      <c r="B635" s="1004"/>
      <c r="C635" s="1005"/>
      <c r="D635" s="977"/>
      <c r="E635" s="1190"/>
      <c r="G635" s="1190"/>
      <c r="I635" s="1190"/>
      <c r="K635" s="1190"/>
      <c r="N635" s="1190"/>
      <c r="U635" s="1189"/>
      <c r="W635" s="1189"/>
      <c r="Y635" s="1190"/>
      <c r="AA635" s="1190"/>
      <c r="AG635" s="701"/>
      <c r="AI635" s="701"/>
      <c r="AY635" s="977"/>
    </row>
    <row r="636" ht="15.75" customHeight="1">
      <c r="A636" s="1004"/>
      <c r="B636" s="1004"/>
      <c r="C636" s="1005"/>
      <c r="D636" s="977"/>
      <c r="E636" s="1190"/>
      <c r="G636" s="1190"/>
      <c r="I636" s="1190"/>
      <c r="K636" s="1190"/>
      <c r="N636" s="1190"/>
      <c r="U636" s="1189"/>
      <c r="W636" s="1189"/>
      <c r="Y636" s="1190"/>
      <c r="AA636" s="1190"/>
      <c r="AG636" s="701"/>
      <c r="AI636" s="701"/>
      <c r="AY636" s="977"/>
    </row>
    <row r="637" ht="15.75" customHeight="1">
      <c r="A637" s="1004"/>
      <c r="B637" s="1004"/>
      <c r="C637" s="1005"/>
      <c r="D637" s="977"/>
      <c r="E637" s="1190"/>
      <c r="G637" s="1190"/>
      <c r="I637" s="1190"/>
      <c r="K637" s="1190"/>
      <c r="N637" s="1190"/>
      <c r="U637" s="1189"/>
      <c r="W637" s="1189"/>
      <c r="Y637" s="1190"/>
      <c r="AA637" s="1190"/>
      <c r="AG637" s="701"/>
      <c r="AI637" s="701"/>
      <c r="AY637" s="977"/>
    </row>
    <row r="638" ht="15.75" customHeight="1">
      <c r="A638" s="1004"/>
      <c r="B638" s="1004"/>
      <c r="C638" s="1005"/>
      <c r="D638" s="977"/>
      <c r="E638" s="1190"/>
      <c r="G638" s="1190"/>
      <c r="I638" s="1190"/>
      <c r="K638" s="1190"/>
      <c r="N638" s="1190"/>
      <c r="U638" s="1189"/>
      <c r="W638" s="1189"/>
      <c r="Y638" s="1190"/>
      <c r="AA638" s="1190"/>
      <c r="AG638" s="701"/>
      <c r="AI638" s="701"/>
      <c r="AY638" s="977"/>
    </row>
    <row r="639" ht="15.75" customHeight="1">
      <c r="A639" s="1004"/>
      <c r="B639" s="1004"/>
      <c r="C639" s="1005"/>
      <c r="D639" s="977"/>
      <c r="E639" s="1190"/>
      <c r="G639" s="1190"/>
      <c r="I639" s="1190"/>
      <c r="K639" s="1190"/>
      <c r="N639" s="1190"/>
      <c r="U639" s="1189"/>
      <c r="W639" s="1189"/>
      <c r="Y639" s="1190"/>
      <c r="AA639" s="1190"/>
      <c r="AG639" s="701"/>
      <c r="AI639" s="701"/>
      <c r="AY639" s="977"/>
    </row>
    <row r="640" ht="15.75" customHeight="1">
      <c r="A640" s="1004"/>
      <c r="B640" s="1004"/>
      <c r="C640" s="1005"/>
      <c r="D640" s="977"/>
      <c r="E640" s="1190"/>
      <c r="G640" s="1190"/>
      <c r="I640" s="1190"/>
      <c r="K640" s="1190"/>
      <c r="N640" s="1190"/>
      <c r="U640" s="1189"/>
      <c r="W640" s="1189"/>
      <c r="Y640" s="1190"/>
      <c r="AA640" s="1190"/>
      <c r="AG640" s="701"/>
      <c r="AI640" s="701"/>
      <c r="AY640" s="977"/>
    </row>
    <row r="641" ht="15.75" customHeight="1">
      <c r="A641" s="1004"/>
      <c r="B641" s="1004"/>
      <c r="C641" s="1005"/>
      <c r="D641" s="977"/>
      <c r="E641" s="1190"/>
      <c r="G641" s="1190"/>
      <c r="I641" s="1190"/>
      <c r="K641" s="1190"/>
      <c r="N641" s="1190"/>
      <c r="U641" s="1189"/>
      <c r="W641" s="1189"/>
      <c r="Y641" s="1190"/>
      <c r="AA641" s="1190"/>
      <c r="AG641" s="701"/>
      <c r="AI641" s="701"/>
      <c r="AY641" s="977"/>
    </row>
    <row r="642" ht="15.75" customHeight="1">
      <c r="A642" s="1004"/>
      <c r="B642" s="1004"/>
      <c r="C642" s="1005"/>
      <c r="D642" s="977"/>
      <c r="E642" s="1190"/>
      <c r="G642" s="1190"/>
      <c r="I642" s="1190"/>
      <c r="K642" s="1190"/>
      <c r="N642" s="1190"/>
      <c r="U642" s="1189"/>
      <c r="W642" s="1189"/>
      <c r="Y642" s="1190"/>
      <c r="AA642" s="1190"/>
      <c r="AG642" s="701"/>
      <c r="AI642" s="701"/>
      <c r="AY642" s="977"/>
    </row>
    <row r="643" ht="15.75" customHeight="1">
      <c r="A643" s="1004"/>
      <c r="B643" s="1004"/>
      <c r="C643" s="1005"/>
      <c r="D643" s="977"/>
      <c r="E643" s="1190"/>
      <c r="G643" s="1190"/>
      <c r="I643" s="1190"/>
      <c r="K643" s="1190"/>
      <c r="N643" s="1190"/>
      <c r="U643" s="1189"/>
      <c r="W643" s="1189"/>
      <c r="Y643" s="1190"/>
      <c r="AA643" s="1190"/>
      <c r="AG643" s="701"/>
      <c r="AI643" s="701"/>
      <c r="AY643" s="977"/>
    </row>
    <row r="644" ht="15.75" customHeight="1">
      <c r="A644" s="1004"/>
      <c r="B644" s="1004"/>
      <c r="C644" s="1005"/>
      <c r="D644" s="977"/>
      <c r="E644" s="1190"/>
      <c r="G644" s="1190"/>
      <c r="I644" s="1190"/>
      <c r="K644" s="1190"/>
      <c r="N644" s="1190"/>
      <c r="U644" s="1189"/>
      <c r="W644" s="1189"/>
      <c r="Y644" s="1190"/>
      <c r="AA644" s="1190"/>
      <c r="AG644" s="701"/>
      <c r="AI644" s="701"/>
      <c r="AY644" s="977"/>
    </row>
    <row r="645" ht="15.75" customHeight="1">
      <c r="A645" s="1004"/>
      <c r="B645" s="1004"/>
      <c r="C645" s="1005"/>
      <c r="D645" s="977"/>
      <c r="E645" s="1190"/>
      <c r="G645" s="1190"/>
      <c r="I645" s="1190"/>
      <c r="K645" s="1190"/>
      <c r="N645" s="1190"/>
      <c r="U645" s="1189"/>
      <c r="W645" s="1189"/>
      <c r="Y645" s="1190"/>
      <c r="AA645" s="1190"/>
      <c r="AG645" s="701"/>
      <c r="AI645" s="701"/>
      <c r="AY645" s="977"/>
    </row>
    <row r="646" ht="15.75" customHeight="1">
      <c r="A646" s="1004"/>
      <c r="B646" s="1004"/>
      <c r="C646" s="1005"/>
      <c r="D646" s="977"/>
      <c r="E646" s="1190"/>
      <c r="G646" s="1190"/>
      <c r="I646" s="1190"/>
      <c r="K646" s="1190"/>
      <c r="N646" s="1190"/>
      <c r="U646" s="1189"/>
      <c r="W646" s="1189"/>
      <c r="Y646" s="1190"/>
      <c r="AA646" s="1190"/>
      <c r="AG646" s="701"/>
      <c r="AI646" s="701"/>
      <c r="AY646" s="977"/>
    </row>
    <row r="647" ht="15.75" customHeight="1">
      <c r="A647" s="1004"/>
      <c r="B647" s="1004"/>
      <c r="C647" s="1005"/>
      <c r="D647" s="977"/>
      <c r="E647" s="1190"/>
      <c r="G647" s="1190"/>
      <c r="I647" s="1190"/>
      <c r="K647" s="1190"/>
      <c r="N647" s="1190"/>
      <c r="U647" s="1189"/>
      <c r="W647" s="1189"/>
      <c r="Y647" s="1190"/>
      <c r="AA647" s="1190"/>
      <c r="AG647" s="701"/>
      <c r="AI647" s="701"/>
      <c r="AY647" s="977"/>
    </row>
    <row r="648" ht="15.75" customHeight="1">
      <c r="A648" s="1004"/>
      <c r="B648" s="1004"/>
      <c r="C648" s="1005"/>
      <c r="D648" s="977"/>
      <c r="E648" s="1190"/>
      <c r="G648" s="1190"/>
      <c r="I648" s="1190"/>
      <c r="K648" s="1190"/>
      <c r="N648" s="1190"/>
      <c r="U648" s="1189"/>
      <c r="W648" s="1189"/>
      <c r="Y648" s="1190"/>
      <c r="AA648" s="1190"/>
      <c r="AG648" s="701"/>
      <c r="AI648" s="701"/>
      <c r="AY648" s="977"/>
    </row>
    <row r="649" ht="15.75" customHeight="1">
      <c r="A649" s="1004"/>
      <c r="B649" s="1004"/>
      <c r="C649" s="1005"/>
      <c r="D649" s="977"/>
      <c r="E649" s="1190"/>
      <c r="G649" s="1190"/>
      <c r="I649" s="1190"/>
      <c r="K649" s="1190"/>
      <c r="N649" s="1190"/>
      <c r="U649" s="1189"/>
      <c r="W649" s="1189"/>
      <c r="Y649" s="1190"/>
      <c r="AA649" s="1190"/>
      <c r="AG649" s="701"/>
      <c r="AI649" s="701"/>
      <c r="AY649" s="977"/>
    </row>
    <row r="650" ht="15.75" customHeight="1">
      <c r="A650" s="1004"/>
      <c r="B650" s="1004"/>
      <c r="C650" s="1005"/>
      <c r="D650" s="977"/>
      <c r="E650" s="1190"/>
      <c r="G650" s="1190"/>
      <c r="I650" s="1190"/>
      <c r="K650" s="1190"/>
      <c r="N650" s="1190"/>
      <c r="U650" s="1189"/>
      <c r="W650" s="1189"/>
      <c r="Y650" s="1190"/>
      <c r="AA650" s="1190"/>
      <c r="AG650" s="701"/>
      <c r="AI650" s="701"/>
      <c r="AY650" s="977"/>
    </row>
    <row r="651" ht="15.75" customHeight="1">
      <c r="A651" s="1004"/>
      <c r="B651" s="1004"/>
      <c r="C651" s="1005"/>
      <c r="D651" s="977"/>
      <c r="E651" s="1190"/>
      <c r="G651" s="1190"/>
      <c r="I651" s="1190"/>
      <c r="K651" s="1190"/>
      <c r="N651" s="1190"/>
      <c r="U651" s="1189"/>
      <c r="W651" s="1189"/>
      <c r="Y651" s="1190"/>
      <c r="AA651" s="1190"/>
      <c r="AG651" s="701"/>
      <c r="AI651" s="701"/>
      <c r="AY651" s="977"/>
    </row>
    <row r="652" ht="15.75" customHeight="1">
      <c r="A652" s="1004"/>
      <c r="B652" s="1004"/>
      <c r="C652" s="1005"/>
      <c r="D652" s="977"/>
      <c r="E652" s="1190"/>
      <c r="G652" s="1190"/>
      <c r="I652" s="1190"/>
      <c r="K652" s="1190"/>
      <c r="N652" s="1190"/>
      <c r="U652" s="1189"/>
      <c r="W652" s="1189"/>
      <c r="Y652" s="1190"/>
      <c r="AA652" s="1190"/>
      <c r="AG652" s="701"/>
      <c r="AI652" s="701"/>
      <c r="AY652" s="977"/>
    </row>
    <row r="653" ht="15.75" customHeight="1">
      <c r="A653" s="1004"/>
      <c r="B653" s="1004"/>
      <c r="C653" s="1005"/>
      <c r="D653" s="977"/>
      <c r="E653" s="1190"/>
      <c r="G653" s="1190"/>
      <c r="I653" s="1190"/>
      <c r="K653" s="1190"/>
      <c r="N653" s="1190"/>
      <c r="U653" s="1189"/>
      <c r="W653" s="1189"/>
      <c r="Y653" s="1190"/>
      <c r="AA653" s="1190"/>
      <c r="AG653" s="701"/>
      <c r="AI653" s="701"/>
      <c r="AY653" s="977"/>
    </row>
    <row r="654" ht="15.75" customHeight="1">
      <c r="A654" s="1004"/>
      <c r="B654" s="1004"/>
      <c r="C654" s="1005"/>
      <c r="D654" s="977"/>
      <c r="E654" s="1190"/>
      <c r="G654" s="1190"/>
      <c r="I654" s="1190"/>
      <c r="K654" s="1190"/>
      <c r="N654" s="1190"/>
      <c r="U654" s="1189"/>
      <c r="W654" s="1189"/>
      <c r="Y654" s="1190"/>
      <c r="AA654" s="1190"/>
      <c r="AG654" s="701"/>
      <c r="AI654" s="701"/>
      <c r="AY654" s="977"/>
    </row>
    <row r="655" ht="15.75" customHeight="1">
      <c r="A655" s="1004"/>
      <c r="B655" s="1004"/>
      <c r="C655" s="1005"/>
      <c r="D655" s="977"/>
      <c r="E655" s="1190"/>
      <c r="G655" s="1190"/>
      <c r="I655" s="1190"/>
      <c r="K655" s="1190"/>
      <c r="N655" s="1190"/>
      <c r="U655" s="1189"/>
      <c r="W655" s="1189"/>
      <c r="Y655" s="1190"/>
      <c r="AA655" s="1190"/>
      <c r="AG655" s="701"/>
      <c r="AI655" s="701"/>
      <c r="AY655" s="977"/>
    </row>
    <row r="656" ht="15.75" customHeight="1">
      <c r="A656" s="1004"/>
      <c r="B656" s="1004"/>
      <c r="C656" s="1005"/>
      <c r="D656" s="977"/>
      <c r="E656" s="1190"/>
      <c r="G656" s="1190"/>
      <c r="I656" s="1190"/>
      <c r="K656" s="1190"/>
      <c r="N656" s="1190"/>
      <c r="U656" s="1189"/>
      <c r="W656" s="1189"/>
      <c r="Y656" s="1190"/>
      <c r="AA656" s="1190"/>
      <c r="AG656" s="701"/>
      <c r="AI656" s="701"/>
      <c r="AY656" s="977"/>
    </row>
    <row r="657" ht="15.75" customHeight="1">
      <c r="A657" s="1004"/>
      <c r="B657" s="1004"/>
      <c r="C657" s="1005"/>
      <c r="D657" s="977"/>
      <c r="E657" s="1190"/>
      <c r="G657" s="1190"/>
      <c r="I657" s="1190"/>
      <c r="K657" s="1190"/>
      <c r="N657" s="1190"/>
      <c r="U657" s="1189"/>
      <c r="W657" s="1189"/>
      <c r="Y657" s="1190"/>
      <c r="AA657" s="1190"/>
      <c r="AG657" s="701"/>
      <c r="AI657" s="701"/>
      <c r="AY657" s="977"/>
    </row>
    <row r="658" ht="15.75" customHeight="1">
      <c r="A658" s="1004"/>
      <c r="B658" s="1004"/>
      <c r="C658" s="1005"/>
      <c r="D658" s="977"/>
      <c r="E658" s="1190"/>
      <c r="G658" s="1190"/>
      <c r="I658" s="1190"/>
      <c r="K658" s="1190"/>
      <c r="N658" s="1190"/>
      <c r="U658" s="1189"/>
      <c r="W658" s="1189"/>
      <c r="Y658" s="1190"/>
      <c r="AA658" s="1190"/>
      <c r="AG658" s="701"/>
      <c r="AI658" s="701"/>
      <c r="AY658" s="977"/>
    </row>
    <row r="659" ht="15.75" customHeight="1">
      <c r="A659" s="1004"/>
      <c r="B659" s="1004"/>
      <c r="C659" s="1005"/>
      <c r="D659" s="977"/>
      <c r="E659" s="1190"/>
      <c r="G659" s="1190"/>
      <c r="I659" s="1190"/>
      <c r="K659" s="1190"/>
      <c r="N659" s="1190"/>
      <c r="U659" s="1189"/>
      <c r="W659" s="1189"/>
      <c r="Y659" s="1190"/>
      <c r="AA659" s="1190"/>
      <c r="AG659" s="701"/>
      <c r="AI659" s="701"/>
      <c r="AY659" s="977"/>
    </row>
    <row r="660" ht="15.75" customHeight="1">
      <c r="A660" s="1004"/>
      <c r="B660" s="1004"/>
      <c r="C660" s="1005"/>
      <c r="D660" s="977"/>
      <c r="E660" s="1190"/>
      <c r="G660" s="1190"/>
      <c r="I660" s="1190"/>
      <c r="K660" s="1190"/>
      <c r="N660" s="1190"/>
      <c r="U660" s="1189"/>
      <c r="W660" s="1189"/>
      <c r="Y660" s="1190"/>
      <c r="AA660" s="1190"/>
      <c r="AG660" s="701"/>
      <c r="AI660" s="701"/>
      <c r="AY660" s="977"/>
    </row>
    <row r="661" ht="15.75" customHeight="1">
      <c r="A661" s="1004"/>
      <c r="B661" s="1004"/>
      <c r="C661" s="1005"/>
      <c r="D661" s="977"/>
      <c r="E661" s="1190"/>
      <c r="G661" s="1190"/>
      <c r="I661" s="1190"/>
      <c r="K661" s="1190"/>
      <c r="N661" s="1190"/>
      <c r="U661" s="1189"/>
      <c r="W661" s="1189"/>
      <c r="Y661" s="1190"/>
      <c r="AA661" s="1190"/>
      <c r="AG661" s="701"/>
      <c r="AI661" s="701"/>
      <c r="AY661" s="977"/>
    </row>
    <row r="662" ht="15.75" customHeight="1">
      <c r="A662" s="1004"/>
      <c r="B662" s="1004"/>
      <c r="C662" s="1005"/>
      <c r="D662" s="977"/>
      <c r="E662" s="1190"/>
      <c r="G662" s="1190"/>
      <c r="I662" s="1190"/>
      <c r="K662" s="1190"/>
      <c r="N662" s="1190"/>
      <c r="U662" s="1189"/>
      <c r="W662" s="1189"/>
      <c r="Y662" s="1190"/>
      <c r="AA662" s="1190"/>
      <c r="AG662" s="701"/>
      <c r="AI662" s="701"/>
      <c r="AY662" s="977"/>
    </row>
    <row r="663" ht="15.75" customHeight="1">
      <c r="A663" s="1004"/>
      <c r="B663" s="1004"/>
      <c r="C663" s="1005"/>
      <c r="D663" s="977"/>
      <c r="E663" s="1190"/>
      <c r="G663" s="1190"/>
      <c r="I663" s="1190"/>
      <c r="K663" s="1190"/>
      <c r="N663" s="1190"/>
      <c r="U663" s="1189"/>
      <c r="W663" s="1189"/>
      <c r="Y663" s="1190"/>
      <c r="AA663" s="1190"/>
      <c r="AG663" s="701"/>
      <c r="AI663" s="701"/>
      <c r="AY663" s="977"/>
    </row>
    <row r="664" ht="15.75" customHeight="1">
      <c r="A664" s="1004"/>
      <c r="B664" s="1004"/>
      <c r="C664" s="1005"/>
      <c r="D664" s="977"/>
      <c r="E664" s="1190"/>
      <c r="G664" s="1190"/>
      <c r="I664" s="1190"/>
      <c r="K664" s="1190"/>
      <c r="N664" s="1190"/>
      <c r="U664" s="1189"/>
      <c r="W664" s="1189"/>
      <c r="Y664" s="1190"/>
      <c r="AA664" s="1190"/>
      <c r="AG664" s="701"/>
      <c r="AI664" s="701"/>
      <c r="AY664" s="977"/>
    </row>
    <row r="665" ht="15.75" customHeight="1">
      <c r="A665" s="1004"/>
      <c r="B665" s="1004"/>
      <c r="C665" s="1005"/>
      <c r="D665" s="977"/>
      <c r="E665" s="1190"/>
      <c r="G665" s="1190"/>
      <c r="I665" s="1190"/>
      <c r="K665" s="1190"/>
      <c r="N665" s="1190"/>
      <c r="U665" s="1189"/>
      <c r="W665" s="1189"/>
      <c r="Y665" s="1190"/>
      <c r="AA665" s="1190"/>
      <c r="AG665" s="701"/>
      <c r="AI665" s="701"/>
      <c r="AY665" s="977"/>
    </row>
    <row r="666" ht="15.75" customHeight="1">
      <c r="A666" s="1004"/>
      <c r="B666" s="1004"/>
      <c r="C666" s="1005"/>
      <c r="D666" s="977"/>
      <c r="E666" s="1190"/>
      <c r="G666" s="1190"/>
      <c r="I666" s="1190"/>
      <c r="K666" s="1190"/>
      <c r="N666" s="1190"/>
      <c r="U666" s="1189"/>
      <c r="W666" s="1189"/>
      <c r="Y666" s="1190"/>
      <c r="AA666" s="1190"/>
      <c r="AG666" s="701"/>
      <c r="AI666" s="701"/>
      <c r="AY666" s="977"/>
    </row>
    <row r="667" ht="15.75" customHeight="1">
      <c r="A667" s="1004"/>
      <c r="B667" s="1004"/>
      <c r="C667" s="1005"/>
      <c r="D667" s="977"/>
      <c r="E667" s="1190"/>
      <c r="G667" s="1190"/>
      <c r="I667" s="1190"/>
      <c r="K667" s="1190"/>
      <c r="N667" s="1190"/>
      <c r="U667" s="1189"/>
      <c r="W667" s="1189"/>
      <c r="Y667" s="1190"/>
      <c r="AA667" s="1190"/>
      <c r="AG667" s="701"/>
      <c r="AI667" s="701"/>
      <c r="AY667" s="977"/>
    </row>
    <row r="668" ht="15.75" customHeight="1">
      <c r="A668" s="1004"/>
      <c r="B668" s="1004"/>
      <c r="C668" s="1005"/>
      <c r="D668" s="977"/>
      <c r="E668" s="1190"/>
      <c r="G668" s="1190"/>
      <c r="I668" s="1190"/>
      <c r="K668" s="1190"/>
      <c r="N668" s="1190"/>
      <c r="U668" s="1189"/>
      <c r="W668" s="1189"/>
      <c r="Y668" s="1190"/>
      <c r="AA668" s="1190"/>
      <c r="AG668" s="701"/>
      <c r="AI668" s="701"/>
      <c r="AY668" s="977"/>
    </row>
    <row r="669" ht="15.75" customHeight="1">
      <c r="A669" s="1004"/>
      <c r="B669" s="1004"/>
      <c r="C669" s="1005"/>
      <c r="D669" s="977"/>
      <c r="E669" s="1190"/>
      <c r="G669" s="1190"/>
      <c r="I669" s="1190"/>
      <c r="K669" s="1190"/>
      <c r="N669" s="1190"/>
      <c r="U669" s="1189"/>
      <c r="W669" s="1189"/>
      <c r="Y669" s="1190"/>
      <c r="AA669" s="1190"/>
      <c r="AG669" s="701"/>
      <c r="AI669" s="701"/>
      <c r="AY669" s="977"/>
    </row>
    <row r="670" ht="15.75" customHeight="1">
      <c r="A670" s="1004"/>
      <c r="B670" s="1004"/>
      <c r="C670" s="1005"/>
      <c r="D670" s="977"/>
      <c r="E670" s="1190"/>
      <c r="G670" s="1190"/>
      <c r="I670" s="1190"/>
      <c r="K670" s="1190"/>
      <c r="N670" s="1190"/>
      <c r="U670" s="1189"/>
      <c r="W670" s="1189"/>
      <c r="Y670" s="1190"/>
      <c r="AA670" s="1190"/>
      <c r="AG670" s="701"/>
      <c r="AI670" s="701"/>
      <c r="AY670" s="977"/>
    </row>
    <row r="671" ht="15.75" customHeight="1">
      <c r="A671" s="1004"/>
      <c r="B671" s="1004"/>
      <c r="C671" s="1005"/>
      <c r="D671" s="977"/>
      <c r="E671" s="1190"/>
      <c r="G671" s="1190"/>
      <c r="I671" s="1190"/>
      <c r="K671" s="1190"/>
      <c r="N671" s="1190"/>
      <c r="U671" s="1189"/>
      <c r="W671" s="1189"/>
      <c r="Y671" s="1190"/>
      <c r="AA671" s="1190"/>
      <c r="AG671" s="701"/>
      <c r="AI671" s="701"/>
      <c r="AY671" s="977"/>
    </row>
    <row r="672" ht="15.75" customHeight="1">
      <c r="A672" s="1004"/>
      <c r="B672" s="1004"/>
      <c r="C672" s="1005"/>
      <c r="D672" s="977"/>
      <c r="E672" s="1190"/>
      <c r="G672" s="1190"/>
      <c r="I672" s="1190"/>
      <c r="K672" s="1190"/>
      <c r="N672" s="1190"/>
      <c r="U672" s="1189"/>
      <c r="W672" s="1189"/>
      <c r="Y672" s="1190"/>
      <c r="AA672" s="1190"/>
      <c r="AG672" s="701"/>
      <c r="AI672" s="701"/>
      <c r="AY672" s="977"/>
    </row>
    <row r="673" ht="15.75" customHeight="1">
      <c r="A673" s="1004"/>
      <c r="B673" s="1004"/>
      <c r="C673" s="1005"/>
      <c r="D673" s="977"/>
      <c r="E673" s="1190"/>
      <c r="G673" s="1190"/>
      <c r="I673" s="1190"/>
      <c r="K673" s="1190"/>
      <c r="N673" s="1190"/>
      <c r="U673" s="1189"/>
      <c r="W673" s="1189"/>
      <c r="Y673" s="1190"/>
      <c r="AA673" s="1190"/>
      <c r="AG673" s="701"/>
      <c r="AI673" s="701"/>
      <c r="AY673" s="977"/>
    </row>
    <row r="674" ht="15.75" customHeight="1">
      <c r="A674" s="1004"/>
      <c r="B674" s="1004"/>
      <c r="C674" s="1005"/>
      <c r="D674" s="977"/>
      <c r="E674" s="1190"/>
      <c r="G674" s="1190"/>
      <c r="I674" s="1190"/>
      <c r="K674" s="1190"/>
      <c r="N674" s="1190"/>
      <c r="U674" s="1189"/>
      <c r="W674" s="1189"/>
      <c r="Y674" s="1190"/>
      <c r="AA674" s="1190"/>
      <c r="AG674" s="701"/>
      <c r="AI674" s="701"/>
      <c r="AY674" s="977"/>
    </row>
    <row r="675" ht="15.75" customHeight="1">
      <c r="A675" s="1004"/>
      <c r="B675" s="1004"/>
      <c r="C675" s="1005"/>
      <c r="D675" s="977"/>
      <c r="E675" s="1190"/>
      <c r="G675" s="1190"/>
      <c r="I675" s="1190"/>
      <c r="K675" s="1190"/>
      <c r="N675" s="1190"/>
      <c r="U675" s="1189"/>
      <c r="W675" s="1189"/>
      <c r="Y675" s="1190"/>
      <c r="AA675" s="1190"/>
      <c r="AG675" s="701"/>
      <c r="AI675" s="701"/>
      <c r="AY675" s="977"/>
    </row>
    <row r="676" ht="15.75" customHeight="1">
      <c r="A676" s="1004"/>
      <c r="B676" s="1004"/>
      <c r="C676" s="1005"/>
      <c r="D676" s="977"/>
      <c r="E676" s="1190"/>
      <c r="G676" s="1190"/>
      <c r="I676" s="1190"/>
      <c r="K676" s="1190"/>
      <c r="N676" s="1190"/>
      <c r="U676" s="1189"/>
      <c r="W676" s="1189"/>
      <c r="Y676" s="1190"/>
      <c r="AA676" s="1190"/>
      <c r="AG676" s="701"/>
      <c r="AI676" s="701"/>
      <c r="AY676" s="977"/>
    </row>
    <row r="677" ht="15.75" customHeight="1">
      <c r="A677" s="1004"/>
      <c r="B677" s="1004"/>
      <c r="C677" s="1005"/>
      <c r="D677" s="977"/>
      <c r="E677" s="1190"/>
      <c r="G677" s="1190"/>
      <c r="I677" s="1190"/>
      <c r="K677" s="1190"/>
      <c r="N677" s="1190"/>
      <c r="U677" s="1189"/>
      <c r="W677" s="1189"/>
      <c r="Y677" s="1190"/>
      <c r="AA677" s="1190"/>
      <c r="AG677" s="701"/>
      <c r="AI677" s="701"/>
      <c r="AY677" s="977"/>
    </row>
    <row r="678" ht="15.75" customHeight="1">
      <c r="A678" s="1004"/>
      <c r="B678" s="1004"/>
      <c r="C678" s="1005"/>
      <c r="D678" s="977"/>
      <c r="E678" s="1190"/>
      <c r="G678" s="1190"/>
      <c r="I678" s="1190"/>
      <c r="K678" s="1190"/>
      <c r="N678" s="1190"/>
      <c r="U678" s="1189"/>
      <c r="W678" s="1189"/>
      <c r="Y678" s="1190"/>
      <c r="AA678" s="1190"/>
      <c r="AG678" s="701"/>
      <c r="AI678" s="701"/>
      <c r="AY678" s="977"/>
    </row>
    <row r="679" ht="15.75" customHeight="1">
      <c r="A679" s="1004"/>
      <c r="B679" s="1004"/>
      <c r="C679" s="1005"/>
      <c r="D679" s="977"/>
      <c r="E679" s="1190"/>
      <c r="G679" s="1190"/>
      <c r="I679" s="1190"/>
      <c r="K679" s="1190"/>
      <c r="N679" s="1190"/>
      <c r="U679" s="1189"/>
      <c r="W679" s="1189"/>
      <c r="Y679" s="1190"/>
      <c r="AA679" s="1190"/>
      <c r="AG679" s="701"/>
      <c r="AI679" s="701"/>
      <c r="AY679" s="977"/>
    </row>
    <row r="680" ht="15.75" customHeight="1">
      <c r="A680" s="1004"/>
      <c r="B680" s="1004"/>
      <c r="C680" s="1005"/>
      <c r="D680" s="977"/>
      <c r="E680" s="1190"/>
      <c r="G680" s="1190"/>
      <c r="I680" s="1190"/>
      <c r="K680" s="1190"/>
      <c r="N680" s="1190"/>
      <c r="U680" s="1189"/>
      <c r="W680" s="1189"/>
      <c r="Y680" s="1190"/>
      <c r="AA680" s="1190"/>
      <c r="AG680" s="701"/>
      <c r="AI680" s="701"/>
      <c r="AY680" s="977"/>
    </row>
    <row r="681" ht="15.75" customHeight="1">
      <c r="A681" s="1004"/>
      <c r="B681" s="1004"/>
      <c r="C681" s="1005"/>
      <c r="D681" s="977"/>
      <c r="E681" s="1190"/>
      <c r="G681" s="1190"/>
      <c r="I681" s="1190"/>
      <c r="K681" s="1190"/>
      <c r="N681" s="1190"/>
      <c r="U681" s="1189"/>
      <c r="W681" s="1189"/>
      <c r="Y681" s="1190"/>
      <c r="AA681" s="1190"/>
      <c r="AG681" s="701"/>
      <c r="AI681" s="701"/>
      <c r="AY681" s="977"/>
    </row>
    <row r="682" ht="15.75" customHeight="1">
      <c r="A682" s="1004"/>
      <c r="B682" s="1004"/>
      <c r="C682" s="1005"/>
      <c r="D682" s="977"/>
      <c r="E682" s="1190"/>
      <c r="G682" s="1190"/>
      <c r="I682" s="1190"/>
      <c r="K682" s="1190"/>
      <c r="N682" s="1190"/>
      <c r="U682" s="1189"/>
      <c r="W682" s="1189"/>
      <c r="Y682" s="1190"/>
      <c r="AA682" s="1190"/>
      <c r="AG682" s="701"/>
      <c r="AI682" s="701"/>
      <c r="AY682" s="977"/>
    </row>
    <row r="683" ht="15.75" customHeight="1">
      <c r="A683" s="1004"/>
      <c r="B683" s="1004"/>
      <c r="C683" s="1005"/>
      <c r="D683" s="977"/>
      <c r="E683" s="1190"/>
      <c r="G683" s="1190"/>
      <c r="I683" s="1190"/>
      <c r="K683" s="1190"/>
      <c r="N683" s="1190"/>
      <c r="U683" s="1189"/>
      <c r="W683" s="1189"/>
      <c r="Y683" s="1190"/>
      <c r="AA683" s="1190"/>
      <c r="AG683" s="701"/>
      <c r="AI683" s="701"/>
      <c r="AY683" s="977"/>
    </row>
    <row r="684" ht="15.75" customHeight="1">
      <c r="A684" s="1004"/>
      <c r="B684" s="1004"/>
      <c r="C684" s="1005"/>
      <c r="D684" s="977"/>
      <c r="E684" s="1190"/>
      <c r="G684" s="1190"/>
      <c r="I684" s="1190"/>
      <c r="K684" s="1190"/>
      <c r="N684" s="1190"/>
      <c r="U684" s="1189"/>
      <c r="W684" s="1189"/>
      <c r="Y684" s="1190"/>
      <c r="AA684" s="1190"/>
      <c r="AG684" s="701"/>
      <c r="AI684" s="701"/>
      <c r="AY684" s="977"/>
    </row>
    <row r="685" ht="15.75" customHeight="1">
      <c r="A685" s="1004"/>
      <c r="B685" s="1004"/>
      <c r="C685" s="1005"/>
      <c r="D685" s="977"/>
      <c r="E685" s="1190"/>
      <c r="G685" s="1190"/>
      <c r="I685" s="1190"/>
      <c r="K685" s="1190"/>
      <c r="N685" s="1190"/>
      <c r="U685" s="1189"/>
      <c r="W685" s="1189"/>
      <c r="Y685" s="1190"/>
      <c r="AA685" s="1190"/>
      <c r="AG685" s="701"/>
      <c r="AI685" s="701"/>
      <c r="AY685" s="977"/>
    </row>
    <row r="686" ht="15.75" customHeight="1">
      <c r="A686" s="1004"/>
      <c r="B686" s="1004"/>
      <c r="C686" s="1005"/>
      <c r="D686" s="977"/>
      <c r="E686" s="1190"/>
      <c r="G686" s="1190"/>
      <c r="I686" s="1190"/>
      <c r="K686" s="1190"/>
      <c r="N686" s="1190"/>
      <c r="U686" s="1189"/>
      <c r="W686" s="1189"/>
      <c r="Y686" s="1190"/>
      <c r="AA686" s="1190"/>
      <c r="AG686" s="701"/>
      <c r="AI686" s="701"/>
      <c r="AY686" s="977"/>
    </row>
    <row r="687" ht="15.75" customHeight="1">
      <c r="A687" s="1004"/>
      <c r="B687" s="1004"/>
      <c r="C687" s="1005"/>
      <c r="D687" s="977"/>
      <c r="E687" s="1190"/>
      <c r="G687" s="1190"/>
      <c r="I687" s="1190"/>
      <c r="K687" s="1190"/>
      <c r="N687" s="1190"/>
      <c r="U687" s="1189"/>
      <c r="W687" s="1189"/>
      <c r="Y687" s="1190"/>
      <c r="AA687" s="1190"/>
      <c r="AG687" s="701"/>
      <c r="AI687" s="701"/>
      <c r="AY687" s="977"/>
    </row>
    <row r="688" ht="15.75" customHeight="1">
      <c r="A688" s="1004"/>
      <c r="B688" s="1004"/>
      <c r="C688" s="1005"/>
      <c r="D688" s="977"/>
      <c r="E688" s="1190"/>
      <c r="G688" s="1190"/>
      <c r="I688" s="1190"/>
      <c r="K688" s="1190"/>
      <c r="N688" s="1190"/>
      <c r="U688" s="1189"/>
      <c r="W688" s="1189"/>
      <c r="Y688" s="1190"/>
      <c r="AA688" s="1190"/>
      <c r="AG688" s="701"/>
      <c r="AI688" s="701"/>
      <c r="AY688" s="977"/>
    </row>
    <row r="689" ht="15.75" customHeight="1">
      <c r="A689" s="1004"/>
      <c r="B689" s="1004"/>
      <c r="C689" s="1005"/>
      <c r="D689" s="977"/>
      <c r="E689" s="1190"/>
      <c r="G689" s="1190"/>
      <c r="I689" s="1190"/>
      <c r="K689" s="1190"/>
      <c r="N689" s="1190"/>
      <c r="U689" s="1189"/>
      <c r="W689" s="1189"/>
      <c r="Y689" s="1190"/>
      <c r="AA689" s="1190"/>
      <c r="AG689" s="701"/>
      <c r="AI689" s="701"/>
      <c r="AY689" s="977"/>
    </row>
    <row r="690" ht="15.75" customHeight="1">
      <c r="A690" s="1004"/>
      <c r="B690" s="1004"/>
      <c r="C690" s="1005"/>
      <c r="D690" s="977"/>
      <c r="E690" s="1190"/>
      <c r="G690" s="1190"/>
      <c r="I690" s="1190"/>
      <c r="K690" s="1190"/>
      <c r="N690" s="1190"/>
      <c r="U690" s="1189"/>
      <c r="W690" s="1189"/>
      <c r="Y690" s="1190"/>
      <c r="AA690" s="1190"/>
      <c r="AG690" s="701"/>
      <c r="AI690" s="701"/>
      <c r="AY690" s="977"/>
    </row>
    <row r="691" ht="15.75" customHeight="1">
      <c r="A691" s="1004"/>
      <c r="B691" s="1004"/>
      <c r="C691" s="1005"/>
      <c r="D691" s="977"/>
      <c r="E691" s="1190"/>
      <c r="G691" s="1190"/>
      <c r="I691" s="1190"/>
      <c r="K691" s="1190"/>
      <c r="N691" s="1190"/>
      <c r="U691" s="1189"/>
      <c r="W691" s="1189"/>
      <c r="Y691" s="1190"/>
      <c r="AA691" s="1190"/>
      <c r="AG691" s="701"/>
      <c r="AI691" s="701"/>
      <c r="AY691" s="977"/>
    </row>
    <row r="692" ht="15.75" customHeight="1">
      <c r="A692" s="1004"/>
      <c r="B692" s="1004"/>
      <c r="C692" s="1005"/>
      <c r="D692" s="977"/>
      <c r="E692" s="1190"/>
      <c r="G692" s="1190"/>
      <c r="I692" s="1190"/>
      <c r="K692" s="1190"/>
      <c r="N692" s="1190"/>
      <c r="U692" s="1189"/>
      <c r="W692" s="1189"/>
      <c r="Y692" s="1190"/>
      <c r="AA692" s="1190"/>
      <c r="AG692" s="701"/>
      <c r="AI692" s="701"/>
      <c r="AY692" s="977"/>
    </row>
    <row r="693" ht="15.75" customHeight="1">
      <c r="A693" s="1004"/>
      <c r="B693" s="1004"/>
      <c r="C693" s="1005"/>
      <c r="D693" s="977"/>
      <c r="E693" s="1190"/>
      <c r="G693" s="1190"/>
      <c r="I693" s="1190"/>
      <c r="K693" s="1190"/>
      <c r="N693" s="1190"/>
      <c r="U693" s="1189"/>
      <c r="W693" s="1189"/>
      <c r="Y693" s="1190"/>
      <c r="AA693" s="1190"/>
      <c r="AG693" s="701"/>
      <c r="AI693" s="701"/>
      <c r="AY693" s="977"/>
    </row>
    <row r="694" ht="15.75" customHeight="1">
      <c r="A694" s="1004"/>
      <c r="B694" s="1004"/>
      <c r="C694" s="1005"/>
      <c r="D694" s="977"/>
      <c r="E694" s="1190"/>
      <c r="G694" s="1190"/>
      <c r="I694" s="1190"/>
      <c r="K694" s="1190"/>
      <c r="N694" s="1190"/>
      <c r="U694" s="1189"/>
      <c r="W694" s="1189"/>
      <c r="Y694" s="1190"/>
      <c r="AA694" s="1190"/>
      <c r="AG694" s="701"/>
      <c r="AI694" s="701"/>
      <c r="AY694" s="977"/>
    </row>
    <row r="695" ht="15.75" customHeight="1">
      <c r="A695" s="1004"/>
      <c r="B695" s="1004"/>
      <c r="C695" s="1005"/>
      <c r="D695" s="977"/>
      <c r="E695" s="1190"/>
      <c r="G695" s="1190"/>
      <c r="I695" s="1190"/>
      <c r="K695" s="1190"/>
      <c r="N695" s="1190"/>
      <c r="U695" s="1189"/>
      <c r="W695" s="1189"/>
      <c r="Y695" s="1190"/>
      <c r="AA695" s="1190"/>
      <c r="AG695" s="701"/>
      <c r="AI695" s="701"/>
      <c r="AY695" s="977"/>
    </row>
    <row r="696" ht="15.75" customHeight="1">
      <c r="A696" s="1004"/>
      <c r="B696" s="1004"/>
      <c r="C696" s="1005"/>
      <c r="D696" s="977"/>
      <c r="E696" s="1190"/>
      <c r="G696" s="1190"/>
      <c r="I696" s="1190"/>
      <c r="K696" s="1190"/>
      <c r="N696" s="1190"/>
      <c r="U696" s="1189"/>
      <c r="W696" s="1189"/>
      <c r="Y696" s="1190"/>
      <c r="AA696" s="1190"/>
      <c r="AG696" s="701"/>
      <c r="AI696" s="701"/>
      <c r="AY696" s="977"/>
    </row>
    <row r="697" ht="15.75" customHeight="1">
      <c r="A697" s="1004"/>
      <c r="B697" s="1004"/>
      <c r="C697" s="1005"/>
      <c r="D697" s="977"/>
      <c r="E697" s="1190"/>
      <c r="G697" s="1190"/>
      <c r="I697" s="1190"/>
      <c r="K697" s="1190"/>
      <c r="N697" s="1190"/>
      <c r="U697" s="1189"/>
      <c r="W697" s="1189"/>
      <c r="Y697" s="1190"/>
      <c r="AA697" s="1190"/>
      <c r="AG697" s="701"/>
      <c r="AI697" s="701"/>
      <c r="AY697" s="977"/>
    </row>
    <row r="698" ht="15.75" customHeight="1">
      <c r="A698" s="1004"/>
      <c r="B698" s="1004"/>
      <c r="C698" s="1005"/>
      <c r="D698" s="977"/>
      <c r="E698" s="1190"/>
      <c r="G698" s="1190"/>
      <c r="I698" s="1190"/>
      <c r="K698" s="1190"/>
      <c r="N698" s="1190"/>
      <c r="U698" s="1189"/>
      <c r="W698" s="1189"/>
      <c r="Y698" s="1190"/>
      <c r="AA698" s="1190"/>
      <c r="AG698" s="701"/>
      <c r="AI698" s="701"/>
      <c r="AY698" s="977"/>
    </row>
    <row r="699" ht="15.75" customHeight="1">
      <c r="A699" s="1004"/>
      <c r="B699" s="1004"/>
      <c r="C699" s="1005"/>
      <c r="D699" s="977"/>
      <c r="E699" s="1190"/>
      <c r="G699" s="1190"/>
      <c r="I699" s="1190"/>
      <c r="K699" s="1190"/>
      <c r="N699" s="1190"/>
      <c r="U699" s="1189"/>
      <c r="W699" s="1189"/>
      <c r="Y699" s="1190"/>
      <c r="AA699" s="1190"/>
      <c r="AG699" s="701"/>
      <c r="AI699" s="701"/>
      <c r="AY699" s="977"/>
    </row>
    <row r="700" ht="15.75" customHeight="1">
      <c r="A700" s="1004"/>
      <c r="B700" s="1004"/>
      <c r="C700" s="1005"/>
      <c r="D700" s="977"/>
      <c r="E700" s="1190"/>
      <c r="G700" s="1190"/>
      <c r="I700" s="1190"/>
      <c r="K700" s="1190"/>
      <c r="N700" s="1190"/>
      <c r="U700" s="1189"/>
      <c r="W700" s="1189"/>
      <c r="Y700" s="1190"/>
      <c r="AA700" s="1190"/>
      <c r="AG700" s="701"/>
      <c r="AI700" s="701"/>
      <c r="AY700" s="977"/>
    </row>
    <row r="701" ht="15.75" customHeight="1">
      <c r="A701" s="1004"/>
      <c r="B701" s="1004"/>
      <c r="C701" s="1005"/>
      <c r="D701" s="977"/>
      <c r="E701" s="1190"/>
      <c r="G701" s="1190"/>
      <c r="I701" s="1190"/>
      <c r="K701" s="1190"/>
      <c r="N701" s="1190"/>
      <c r="U701" s="1189"/>
      <c r="W701" s="1189"/>
      <c r="Y701" s="1190"/>
      <c r="AA701" s="1190"/>
      <c r="AG701" s="701"/>
      <c r="AI701" s="701"/>
      <c r="AY701" s="977"/>
    </row>
    <row r="702" ht="15.75" customHeight="1">
      <c r="A702" s="1004"/>
      <c r="B702" s="1004"/>
      <c r="C702" s="1005"/>
      <c r="D702" s="977"/>
      <c r="E702" s="1190"/>
      <c r="G702" s="1190"/>
      <c r="I702" s="1190"/>
      <c r="K702" s="1190"/>
      <c r="N702" s="1190"/>
      <c r="U702" s="1189"/>
      <c r="W702" s="1189"/>
      <c r="Y702" s="1190"/>
      <c r="AA702" s="1190"/>
      <c r="AG702" s="701"/>
      <c r="AI702" s="701"/>
      <c r="AY702" s="977"/>
    </row>
    <row r="703" ht="15.75" customHeight="1">
      <c r="A703" s="1004"/>
      <c r="B703" s="1004"/>
      <c r="C703" s="1005"/>
      <c r="D703" s="977"/>
      <c r="E703" s="1190"/>
      <c r="G703" s="1190"/>
      <c r="I703" s="1190"/>
      <c r="K703" s="1190"/>
      <c r="N703" s="1190"/>
      <c r="U703" s="1189"/>
      <c r="W703" s="1189"/>
      <c r="Y703" s="1190"/>
      <c r="AA703" s="1190"/>
      <c r="AG703" s="701"/>
      <c r="AI703" s="701"/>
      <c r="AY703" s="977"/>
    </row>
    <row r="704" ht="15.75" customHeight="1">
      <c r="A704" s="1004"/>
      <c r="B704" s="1004"/>
      <c r="C704" s="1005"/>
      <c r="D704" s="977"/>
      <c r="E704" s="1190"/>
      <c r="G704" s="1190"/>
      <c r="I704" s="1190"/>
      <c r="K704" s="1190"/>
      <c r="N704" s="1190"/>
      <c r="U704" s="1189"/>
      <c r="W704" s="1189"/>
      <c r="Y704" s="1190"/>
      <c r="AA704" s="1190"/>
      <c r="AG704" s="701"/>
      <c r="AI704" s="701"/>
      <c r="AY704" s="977"/>
    </row>
    <row r="705" ht="15.75" customHeight="1">
      <c r="A705" s="1004"/>
      <c r="B705" s="1004"/>
      <c r="C705" s="1005"/>
      <c r="D705" s="977"/>
      <c r="E705" s="1190"/>
      <c r="G705" s="1190"/>
      <c r="I705" s="1190"/>
      <c r="K705" s="1190"/>
      <c r="N705" s="1190"/>
      <c r="U705" s="1189"/>
      <c r="W705" s="1189"/>
      <c r="Y705" s="1190"/>
      <c r="AA705" s="1190"/>
      <c r="AG705" s="701"/>
      <c r="AI705" s="701"/>
      <c r="AY705" s="977"/>
    </row>
    <row r="706" ht="15.75" customHeight="1">
      <c r="A706" s="1004"/>
      <c r="B706" s="1004"/>
      <c r="C706" s="1005"/>
      <c r="D706" s="977"/>
      <c r="E706" s="1190"/>
      <c r="G706" s="1190"/>
      <c r="I706" s="1190"/>
      <c r="K706" s="1190"/>
      <c r="N706" s="1190"/>
      <c r="U706" s="1189"/>
      <c r="W706" s="1189"/>
      <c r="Y706" s="1190"/>
      <c r="AA706" s="1190"/>
      <c r="AG706" s="701"/>
      <c r="AI706" s="701"/>
      <c r="AY706" s="977"/>
    </row>
    <row r="707" ht="15.75" customHeight="1">
      <c r="A707" s="1004"/>
      <c r="B707" s="1004"/>
      <c r="C707" s="1005"/>
      <c r="D707" s="977"/>
      <c r="E707" s="1190"/>
      <c r="G707" s="1190"/>
      <c r="I707" s="1190"/>
      <c r="K707" s="1190"/>
      <c r="N707" s="1190"/>
      <c r="U707" s="1189"/>
      <c r="W707" s="1189"/>
      <c r="Y707" s="1190"/>
      <c r="AA707" s="1190"/>
      <c r="AG707" s="701"/>
      <c r="AI707" s="701"/>
      <c r="AY707" s="977"/>
    </row>
    <row r="708" ht="15.75" customHeight="1">
      <c r="A708" s="1004"/>
      <c r="B708" s="1004"/>
      <c r="C708" s="1005"/>
      <c r="D708" s="977"/>
      <c r="E708" s="1190"/>
      <c r="G708" s="1190"/>
      <c r="I708" s="1190"/>
      <c r="K708" s="1190"/>
      <c r="N708" s="1190"/>
      <c r="U708" s="1189"/>
      <c r="W708" s="1189"/>
      <c r="Y708" s="1190"/>
      <c r="AA708" s="1190"/>
      <c r="AG708" s="701"/>
      <c r="AI708" s="701"/>
      <c r="AY708" s="977"/>
    </row>
    <row r="709" ht="15.75" customHeight="1">
      <c r="A709" s="1004"/>
      <c r="B709" s="1004"/>
      <c r="C709" s="1005"/>
      <c r="D709" s="977"/>
      <c r="E709" s="1190"/>
      <c r="G709" s="1190"/>
      <c r="I709" s="1190"/>
      <c r="K709" s="1190"/>
      <c r="N709" s="1190"/>
      <c r="U709" s="1189"/>
      <c r="W709" s="1189"/>
      <c r="Y709" s="1190"/>
      <c r="AA709" s="1190"/>
      <c r="AG709" s="701"/>
      <c r="AI709" s="701"/>
      <c r="AY709" s="977"/>
    </row>
    <row r="710" ht="15.75" customHeight="1">
      <c r="A710" s="1004"/>
      <c r="B710" s="1004"/>
      <c r="C710" s="1005"/>
      <c r="D710" s="977"/>
      <c r="E710" s="1190"/>
      <c r="G710" s="1190"/>
      <c r="I710" s="1190"/>
      <c r="K710" s="1190"/>
      <c r="N710" s="1190"/>
      <c r="U710" s="1189"/>
      <c r="W710" s="1189"/>
      <c r="Y710" s="1190"/>
      <c r="AA710" s="1190"/>
      <c r="AG710" s="701"/>
      <c r="AI710" s="701"/>
      <c r="AY710" s="977"/>
    </row>
    <row r="711" ht="15.75" customHeight="1">
      <c r="A711" s="1004"/>
      <c r="B711" s="1004"/>
      <c r="C711" s="1005"/>
      <c r="D711" s="977"/>
      <c r="E711" s="1190"/>
      <c r="G711" s="1190"/>
      <c r="I711" s="1190"/>
      <c r="K711" s="1190"/>
      <c r="N711" s="1190"/>
      <c r="U711" s="1189"/>
      <c r="W711" s="1189"/>
      <c r="Y711" s="1190"/>
      <c r="AA711" s="1190"/>
      <c r="AG711" s="701"/>
      <c r="AI711" s="701"/>
      <c r="AY711" s="977"/>
    </row>
    <row r="712" ht="15.75" customHeight="1">
      <c r="A712" s="1004"/>
      <c r="B712" s="1004"/>
      <c r="C712" s="1005"/>
      <c r="D712" s="977"/>
      <c r="E712" s="1190"/>
      <c r="G712" s="1190"/>
      <c r="I712" s="1190"/>
      <c r="K712" s="1190"/>
      <c r="N712" s="1190"/>
      <c r="U712" s="1189"/>
      <c r="W712" s="1189"/>
      <c r="Y712" s="1190"/>
      <c r="AA712" s="1190"/>
      <c r="AG712" s="701"/>
      <c r="AI712" s="701"/>
      <c r="AY712" s="977"/>
    </row>
    <row r="713" ht="15.75" customHeight="1">
      <c r="A713" s="1004"/>
      <c r="B713" s="1004"/>
      <c r="C713" s="1005"/>
      <c r="D713" s="977"/>
      <c r="E713" s="1190"/>
      <c r="G713" s="1190"/>
      <c r="I713" s="1190"/>
      <c r="K713" s="1190"/>
      <c r="N713" s="1190"/>
      <c r="U713" s="1189"/>
      <c r="W713" s="1189"/>
      <c r="Y713" s="1190"/>
      <c r="AA713" s="1190"/>
      <c r="AG713" s="701"/>
      <c r="AI713" s="701"/>
      <c r="AY713" s="977"/>
    </row>
    <row r="714" ht="15.75" customHeight="1">
      <c r="A714" s="1004"/>
      <c r="B714" s="1004"/>
      <c r="C714" s="1005"/>
      <c r="D714" s="977"/>
      <c r="E714" s="1190"/>
      <c r="G714" s="1190"/>
      <c r="I714" s="1190"/>
      <c r="K714" s="1190"/>
      <c r="N714" s="1190"/>
      <c r="U714" s="1189"/>
      <c r="W714" s="1189"/>
      <c r="Y714" s="1190"/>
      <c r="AA714" s="1190"/>
      <c r="AG714" s="701"/>
      <c r="AI714" s="701"/>
      <c r="AY714" s="977"/>
    </row>
    <row r="715" ht="15.75" customHeight="1">
      <c r="A715" s="1004"/>
      <c r="B715" s="1004"/>
      <c r="C715" s="1005"/>
      <c r="D715" s="977"/>
      <c r="E715" s="1190"/>
      <c r="G715" s="1190"/>
      <c r="I715" s="1190"/>
      <c r="K715" s="1190"/>
      <c r="N715" s="1190"/>
      <c r="U715" s="1189"/>
      <c r="W715" s="1189"/>
      <c r="Y715" s="1190"/>
      <c r="AA715" s="1190"/>
      <c r="AG715" s="701"/>
      <c r="AI715" s="701"/>
      <c r="AY715" s="977"/>
    </row>
    <row r="716" ht="15.75" customHeight="1">
      <c r="A716" s="1004"/>
      <c r="B716" s="1004"/>
      <c r="C716" s="1005"/>
      <c r="D716" s="977"/>
      <c r="E716" s="1190"/>
      <c r="G716" s="1190"/>
      <c r="I716" s="1190"/>
      <c r="K716" s="1190"/>
      <c r="N716" s="1190"/>
      <c r="U716" s="1189"/>
      <c r="W716" s="1189"/>
      <c r="Y716" s="1190"/>
      <c r="AA716" s="1190"/>
      <c r="AG716" s="701"/>
      <c r="AI716" s="701"/>
      <c r="AY716" s="977"/>
    </row>
    <row r="717" ht="15.75" customHeight="1">
      <c r="A717" s="1004"/>
      <c r="B717" s="1004"/>
      <c r="C717" s="1005"/>
      <c r="D717" s="977"/>
      <c r="E717" s="1190"/>
      <c r="G717" s="1190"/>
      <c r="I717" s="1190"/>
      <c r="K717" s="1190"/>
      <c r="N717" s="1190"/>
      <c r="U717" s="1189"/>
      <c r="W717" s="1189"/>
      <c r="Y717" s="1190"/>
      <c r="AA717" s="1190"/>
      <c r="AG717" s="701"/>
      <c r="AI717" s="701"/>
      <c r="AY717" s="977"/>
    </row>
    <row r="718" ht="15.75" customHeight="1">
      <c r="A718" s="1004"/>
      <c r="B718" s="1004"/>
      <c r="C718" s="1005"/>
      <c r="D718" s="977"/>
      <c r="E718" s="1190"/>
      <c r="G718" s="1190"/>
      <c r="I718" s="1190"/>
      <c r="K718" s="1190"/>
      <c r="N718" s="1190"/>
      <c r="U718" s="1189"/>
      <c r="W718" s="1189"/>
      <c r="Y718" s="1190"/>
      <c r="AA718" s="1190"/>
      <c r="AG718" s="701"/>
      <c r="AI718" s="701"/>
      <c r="AY718" s="977"/>
    </row>
    <row r="719" ht="15.75" customHeight="1">
      <c r="A719" s="1004"/>
      <c r="B719" s="1004"/>
      <c r="C719" s="1005"/>
      <c r="D719" s="977"/>
      <c r="E719" s="1190"/>
      <c r="G719" s="1190"/>
      <c r="I719" s="1190"/>
      <c r="K719" s="1190"/>
      <c r="N719" s="1190"/>
      <c r="U719" s="1189"/>
      <c r="W719" s="1189"/>
      <c r="Y719" s="1190"/>
      <c r="AA719" s="1190"/>
      <c r="AG719" s="701"/>
      <c r="AI719" s="701"/>
      <c r="AY719" s="977"/>
    </row>
    <row r="720" ht="15.75" customHeight="1">
      <c r="A720" s="1004"/>
      <c r="B720" s="1004"/>
      <c r="C720" s="1005"/>
      <c r="D720" s="977"/>
      <c r="E720" s="1190"/>
      <c r="G720" s="1190"/>
      <c r="I720" s="1190"/>
      <c r="K720" s="1190"/>
      <c r="N720" s="1190"/>
      <c r="U720" s="1189"/>
      <c r="W720" s="1189"/>
      <c r="Y720" s="1190"/>
      <c r="AA720" s="1190"/>
      <c r="AG720" s="701"/>
      <c r="AI720" s="701"/>
      <c r="AY720" s="977"/>
    </row>
    <row r="721" ht="15.75" customHeight="1">
      <c r="A721" s="1004"/>
      <c r="B721" s="1004"/>
      <c r="C721" s="1005"/>
      <c r="D721" s="977"/>
      <c r="E721" s="1190"/>
      <c r="G721" s="1190"/>
      <c r="I721" s="1190"/>
      <c r="K721" s="1190"/>
      <c r="N721" s="1190"/>
      <c r="U721" s="1189"/>
      <c r="W721" s="1189"/>
      <c r="Y721" s="1190"/>
      <c r="AA721" s="1190"/>
      <c r="AG721" s="701"/>
      <c r="AI721" s="701"/>
      <c r="AY721" s="977"/>
    </row>
    <row r="722" ht="15.75" customHeight="1">
      <c r="A722" s="1004"/>
      <c r="B722" s="1004"/>
      <c r="C722" s="1005"/>
      <c r="D722" s="977"/>
      <c r="E722" s="1190"/>
      <c r="G722" s="1190"/>
      <c r="I722" s="1190"/>
      <c r="K722" s="1190"/>
      <c r="N722" s="1190"/>
      <c r="U722" s="1189"/>
      <c r="W722" s="1189"/>
      <c r="Y722" s="1190"/>
      <c r="AA722" s="1190"/>
      <c r="AG722" s="701"/>
      <c r="AI722" s="701"/>
      <c r="AY722" s="977"/>
    </row>
    <row r="723" ht="15.75" customHeight="1">
      <c r="A723" s="1004"/>
      <c r="B723" s="1004"/>
      <c r="C723" s="1005"/>
      <c r="D723" s="977"/>
      <c r="E723" s="1190"/>
      <c r="G723" s="1190"/>
      <c r="I723" s="1190"/>
      <c r="K723" s="1190"/>
      <c r="N723" s="1190"/>
      <c r="U723" s="1189"/>
      <c r="W723" s="1189"/>
      <c r="Y723" s="1190"/>
      <c r="AA723" s="1190"/>
      <c r="AG723" s="701"/>
      <c r="AI723" s="701"/>
      <c r="AY723" s="977"/>
    </row>
    <row r="724" ht="15.75" customHeight="1">
      <c r="A724" s="1004"/>
      <c r="B724" s="1004"/>
      <c r="C724" s="1005"/>
      <c r="D724" s="977"/>
      <c r="E724" s="1190"/>
      <c r="G724" s="1190"/>
      <c r="I724" s="1190"/>
      <c r="K724" s="1190"/>
      <c r="N724" s="1190"/>
      <c r="U724" s="1189"/>
      <c r="W724" s="1189"/>
      <c r="Y724" s="1190"/>
      <c r="AA724" s="1190"/>
      <c r="AG724" s="701"/>
      <c r="AI724" s="701"/>
      <c r="AY724" s="977"/>
    </row>
    <row r="725" ht="15.75" customHeight="1">
      <c r="A725" s="1004"/>
      <c r="B725" s="1004"/>
      <c r="C725" s="1005"/>
      <c r="D725" s="977"/>
      <c r="E725" s="1190"/>
      <c r="G725" s="1190"/>
      <c r="I725" s="1190"/>
      <c r="K725" s="1190"/>
      <c r="N725" s="1190"/>
      <c r="U725" s="1189"/>
      <c r="W725" s="1189"/>
      <c r="Y725" s="1190"/>
      <c r="AA725" s="1190"/>
      <c r="AG725" s="701"/>
      <c r="AI725" s="701"/>
      <c r="AY725" s="977"/>
    </row>
    <row r="726" ht="15.75" customHeight="1">
      <c r="A726" s="1004"/>
      <c r="B726" s="1004"/>
      <c r="C726" s="1005"/>
      <c r="D726" s="977"/>
      <c r="E726" s="1190"/>
      <c r="G726" s="1190"/>
      <c r="I726" s="1190"/>
      <c r="K726" s="1190"/>
      <c r="N726" s="1190"/>
      <c r="U726" s="1189"/>
      <c r="W726" s="1189"/>
      <c r="Y726" s="1190"/>
      <c r="AA726" s="1190"/>
      <c r="AG726" s="701"/>
      <c r="AI726" s="701"/>
      <c r="AY726" s="977"/>
    </row>
    <row r="727" ht="15.75" customHeight="1">
      <c r="A727" s="1004"/>
      <c r="B727" s="1004"/>
      <c r="C727" s="1005"/>
      <c r="D727" s="977"/>
      <c r="E727" s="1190"/>
      <c r="G727" s="1190"/>
      <c r="I727" s="1190"/>
      <c r="K727" s="1190"/>
      <c r="N727" s="1190"/>
      <c r="U727" s="1189"/>
      <c r="W727" s="1189"/>
      <c r="Y727" s="1190"/>
      <c r="AA727" s="1190"/>
      <c r="AG727" s="701"/>
      <c r="AI727" s="701"/>
      <c r="AY727" s="977"/>
    </row>
    <row r="728" ht="15.75" customHeight="1">
      <c r="A728" s="1004"/>
      <c r="B728" s="1004"/>
      <c r="C728" s="1005"/>
      <c r="D728" s="977"/>
      <c r="E728" s="1190"/>
      <c r="G728" s="1190"/>
      <c r="I728" s="1190"/>
      <c r="K728" s="1190"/>
      <c r="N728" s="1190"/>
      <c r="U728" s="1189"/>
      <c r="W728" s="1189"/>
      <c r="Y728" s="1190"/>
      <c r="AA728" s="1190"/>
      <c r="AG728" s="701"/>
      <c r="AI728" s="701"/>
      <c r="AY728" s="977"/>
    </row>
    <row r="729" ht="15.75" customHeight="1">
      <c r="A729" s="1004"/>
      <c r="B729" s="1004"/>
      <c r="C729" s="1005"/>
      <c r="D729" s="977"/>
      <c r="E729" s="1190"/>
      <c r="G729" s="1190"/>
      <c r="I729" s="1190"/>
      <c r="K729" s="1190"/>
      <c r="N729" s="1190"/>
      <c r="U729" s="1189"/>
      <c r="W729" s="1189"/>
      <c r="Y729" s="1190"/>
      <c r="AA729" s="1190"/>
      <c r="AG729" s="701"/>
      <c r="AI729" s="701"/>
      <c r="AY729" s="977"/>
    </row>
    <row r="730" ht="15.75" customHeight="1">
      <c r="A730" s="1004"/>
      <c r="B730" s="1004"/>
      <c r="C730" s="1005"/>
      <c r="D730" s="977"/>
      <c r="E730" s="1190"/>
      <c r="G730" s="1190"/>
      <c r="I730" s="1190"/>
      <c r="K730" s="1190"/>
      <c r="N730" s="1190"/>
      <c r="U730" s="1189"/>
      <c r="W730" s="1189"/>
      <c r="Y730" s="1190"/>
      <c r="AA730" s="1190"/>
      <c r="AG730" s="701"/>
      <c r="AI730" s="701"/>
      <c r="AY730" s="977"/>
    </row>
    <row r="731" ht="15.75" customHeight="1">
      <c r="A731" s="1004"/>
      <c r="B731" s="1004"/>
      <c r="C731" s="1005"/>
      <c r="D731" s="977"/>
      <c r="E731" s="1190"/>
      <c r="G731" s="1190"/>
      <c r="I731" s="1190"/>
      <c r="K731" s="1190"/>
      <c r="N731" s="1190"/>
      <c r="U731" s="1189"/>
      <c r="W731" s="1189"/>
      <c r="Y731" s="1190"/>
      <c r="AA731" s="1190"/>
      <c r="AG731" s="701"/>
      <c r="AI731" s="701"/>
      <c r="AY731" s="977"/>
    </row>
    <row r="732" ht="15.75" customHeight="1">
      <c r="A732" s="1004"/>
      <c r="B732" s="1004"/>
      <c r="C732" s="1005"/>
      <c r="D732" s="977"/>
      <c r="E732" s="1190"/>
      <c r="G732" s="1190"/>
      <c r="I732" s="1190"/>
      <c r="K732" s="1190"/>
      <c r="N732" s="1190"/>
      <c r="U732" s="1189"/>
      <c r="W732" s="1189"/>
      <c r="Y732" s="1190"/>
      <c r="AA732" s="1190"/>
      <c r="AG732" s="701"/>
      <c r="AI732" s="701"/>
      <c r="AY732" s="977"/>
    </row>
    <row r="733" ht="15.75" customHeight="1">
      <c r="A733" s="1004"/>
      <c r="B733" s="1004"/>
      <c r="C733" s="1005"/>
      <c r="D733" s="977"/>
      <c r="E733" s="1190"/>
      <c r="G733" s="1190"/>
      <c r="I733" s="1190"/>
      <c r="K733" s="1190"/>
      <c r="N733" s="1190"/>
      <c r="U733" s="1189"/>
      <c r="W733" s="1189"/>
      <c r="Y733" s="1190"/>
      <c r="AA733" s="1190"/>
      <c r="AG733" s="701"/>
      <c r="AI733" s="701"/>
      <c r="AY733" s="977"/>
    </row>
    <row r="734" ht="15.75" customHeight="1">
      <c r="A734" s="1004"/>
      <c r="B734" s="1004"/>
      <c r="C734" s="1005"/>
      <c r="D734" s="977"/>
      <c r="E734" s="1190"/>
      <c r="G734" s="1190"/>
      <c r="I734" s="1190"/>
      <c r="K734" s="1190"/>
      <c r="N734" s="1190"/>
      <c r="U734" s="1189"/>
      <c r="W734" s="1189"/>
      <c r="Y734" s="1190"/>
      <c r="AA734" s="1190"/>
      <c r="AG734" s="701"/>
      <c r="AI734" s="701"/>
      <c r="AY734" s="977"/>
    </row>
    <row r="735" ht="15.75" customHeight="1">
      <c r="A735" s="1004"/>
      <c r="B735" s="1004"/>
      <c r="C735" s="1005"/>
      <c r="D735" s="977"/>
      <c r="E735" s="1190"/>
      <c r="G735" s="1190"/>
      <c r="I735" s="1190"/>
      <c r="K735" s="1190"/>
      <c r="N735" s="1190"/>
      <c r="U735" s="1189"/>
      <c r="W735" s="1189"/>
      <c r="Y735" s="1190"/>
      <c r="AA735" s="1190"/>
      <c r="AG735" s="701"/>
      <c r="AI735" s="701"/>
      <c r="AY735" s="977"/>
    </row>
    <row r="736" ht="15.75" customHeight="1">
      <c r="A736" s="1004"/>
      <c r="B736" s="1004"/>
      <c r="C736" s="1005"/>
      <c r="D736" s="977"/>
      <c r="E736" s="1190"/>
      <c r="G736" s="1190"/>
      <c r="I736" s="1190"/>
      <c r="K736" s="1190"/>
      <c r="N736" s="1190"/>
      <c r="U736" s="1189"/>
      <c r="W736" s="1189"/>
      <c r="Y736" s="1190"/>
      <c r="AA736" s="1190"/>
      <c r="AG736" s="701"/>
      <c r="AI736" s="701"/>
      <c r="AY736" s="977"/>
    </row>
    <row r="737" ht="15.75" customHeight="1">
      <c r="A737" s="1004"/>
      <c r="B737" s="1004"/>
      <c r="C737" s="1005"/>
      <c r="D737" s="977"/>
      <c r="E737" s="1190"/>
      <c r="G737" s="1190"/>
      <c r="I737" s="1190"/>
      <c r="K737" s="1190"/>
      <c r="N737" s="1190"/>
      <c r="U737" s="1189"/>
      <c r="W737" s="1189"/>
      <c r="Y737" s="1190"/>
      <c r="AA737" s="1190"/>
      <c r="AG737" s="701"/>
      <c r="AI737" s="701"/>
      <c r="AY737" s="977"/>
    </row>
    <row r="738" ht="15.75" customHeight="1">
      <c r="A738" s="1004"/>
      <c r="B738" s="1004"/>
      <c r="C738" s="1005"/>
      <c r="D738" s="977"/>
      <c r="E738" s="1190"/>
      <c r="G738" s="1190"/>
      <c r="I738" s="1190"/>
      <c r="K738" s="1190"/>
      <c r="N738" s="1190"/>
      <c r="U738" s="1189"/>
      <c r="W738" s="1189"/>
      <c r="Y738" s="1190"/>
      <c r="AA738" s="1190"/>
      <c r="AG738" s="701"/>
      <c r="AI738" s="701"/>
      <c r="AY738" s="977"/>
    </row>
    <row r="739" ht="15.75" customHeight="1">
      <c r="A739" s="1004"/>
      <c r="B739" s="1004"/>
      <c r="C739" s="1005"/>
      <c r="D739" s="977"/>
      <c r="E739" s="1190"/>
      <c r="G739" s="1190"/>
      <c r="I739" s="1190"/>
      <c r="K739" s="1190"/>
      <c r="N739" s="1190"/>
      <c r="U739" s="1189"/>
      <c r="W739" s="1189"/>
      <c r="Y739" s="1190"/>
      <c r="AA739" s="1190"/>
      <c r="AG739" s="701"/>
      <c r="AI739" s="701"/>
      <c r="AY739" s="977"/>
    </row>
    <row r="740" ht="15.75" customHeight="1">
      <c r="A740" s="1004"/>
      <c r="B740" s="1004"/>
      <c r="C740" s="1005"/>
      <c r="D740" s="977"/>
      <c r="E740" s="1190"/>
      <c r="G740" s="1190"/>
      <c r="I740" s="1190"/>
      <c r="K740" s="1190"/>
      <c r="N740" s="1190"/>
      <c r="U740" s="1189"/>
      <c r="W740" s="1189"/>
      <c r="Y740" s="1190"/>
      <c r="AA740" s="1190"/>
      <c r="AG740" s="701"/>
      <c r="AI740" s="701"/>
      <c r="AY740" s="977"/>
    </row>
    <row r="741" ht="15.75" customHeight="1">
      <c r="A741" s="1004"/>
      <c r="B741" s="1004"/>
      <c r="C741" s="1005"/>
      <c r="D741" s="977"/>
      <c r="E741" s="1190"/>
      <c r="G741" s="1190"/>
      <c r="I741" s="1190"/>
      <c r="K741" s="1190"/>
      <c r="N741" s="1190"/>
      <c r="U741" s="1189"/>
      <c r="W741" s="1189"/>
      <c r="Y741" s="1190"/>
      <c r="AA741" s="1190"/>
      <c r="AG741" s="701"/>
      <c r="AI741" s="701"/>
      <c r="AY741" s="977"/>
    </row>
    <row r="742" ht="15.75" customHeight="1">
      <c r="A742" s="1004"/>
      <c r="B742" s="1004"/>
      <c r="C742" s="1005"/>
      <c r="D742" s="977"/>
      <c r="E742" s="1190"/>
      <c r="G742" s="1190"/>
      <c r="I742" s="1190"/>
      <c r="K742" s="1190"/>
      <c r="N742" s="1190"/>
      <c r="U742" s="1189"/>
      <c r="W742" s="1189"/>
      <c r="Y742" s="1190"/>
      <c r="AA742" s="1190"/>
      <c r="AG742" s="701"/>
      <c r="AI742" s="701"/>
      <c r="AY742" s="977"/>
    </row>
    <row r="743" ht="15.75" customHeight="1">
      <c r="A743" s="1004"/>
      <c r="B743" s="1004"/>
      <c r="C743" s="1005"/>
      <c r="D743" s="977"/>
      <c r="E743" s="1190"/>
      <c r="G743" s="1190"/>
      <c r="I743" s="1190"/>
      <c r="K743" s="1190"/>
      <c r="N743" s="1190"/>
      <c r="U743" s="1189"/>
      <c r="W743" s="1189"/>
      <c r="Y743" s="1190"/>
      <c r="AA743" s="1190"/>
      <c r="AG743" s="701"/>
      <c r="AI743" s="701"/>
      <c r="AY743" s="977"/>
    </row>
    <row r="744" ht="15.75" customHeight="1">
      <c r="A744" s="1004"/>
      <c r="B744" s="1004"/>
      <c r="C744" s="1005"/>
      <c r="D744" s="977"/>
      <c r="E744" s="1190"/>
      <c r="G744" s="1190"/>
      <c r="I744" s="1190"/>
      <c r="K744" s="1190"/>
      <c r="N744" s="1190"/>
      <c r="U744" s="1189"/>
      <c r="W744" s="1189"/>
      <c r="Y744" s="1190"/>
      <c r="AA744" s="1190"/>
      <c r="AG744" s="701"/>
      <c r="AI744" s="701"/>
      <c r="AY744" s="977"/>
    </row>
    <row r="745" ht="15.75" customHeight="1">
      <c r="A745" s="1004"/>
      <c r="B745" s="1004"/>
      <c r="C745" s="1005"/>
      <c r="D745" s="977"/>
      <c r="E745" s="1190"/>
      <c r="G745" s="1190"/>
      <c r="I745" s="1190"/>
      <c r="K745" s="1190"/>
      <c r="N745" s="1190"/>
      <c r="U745" s="1189"/>
      <c r="W745" s="1189"/>
      <c r="Y745" s="1190"/>
      <c r="AA745" s="1190"/>
      <c r="AG745" s="701"/>
      <c r="AI745" s="701"/>
      <c r="AY745" s="977"/>
    </row>
    <row r="746" ht="15.75" customHeight="1">
      <c r="A746" s="1004"/>
      <c r="B746" s="1004"/>
      <c r="C746" s="1005"/>
      <c r="D746" s="977"/>
      <c r="E746" s="1190"/>
      <c r="G746" s="1190"/>
      <c r="I746" s="1190"/>
      <c r="K746" s="1190"/>
      <c r="N746" s="1190"/>
      <c r="U746" s="1189"/>
      <c r="W746" s="1189"/>
      <c r="Y746" s="1190"/>
      <c r="AA746" s="1190"/>
      <c r="AG746" s="701"/>
      <c r="AI746" s="701"/>
      <c r="AY746" s="977"/>
    </row>
    <row r="747" ht="15.75" customHeight="1">
      <c r="A747" s="1004"/>
      <c r="B747" s="1004"/>
      <c r="C747" s="1005"/>
      <c r="D747" s="977"/>
      <c r="E747" s="1190"/>
      <c r="G747" s="1190"/>
      <c r="I747" s="1190"/>
      <c r="K747" s="1190"/>
      <c r="N747" s="1190"/>
      <c r="U747" s="1189"/>
      <c r="W747" s="1189"/>
      <c r="Y747" s="1190"/>
      <c r="AA747" s="1190"/>
      <c r="AG747" s="701"/>
      <c r="AI747" s="701"/>
      <c r="AY747" s="977"/>
    </row>
    <row r="748" ht="15.75" customHeight="1">
      <c r="A748" s="1004"/>
      <c r="B748" s="1004"/>
      <c r="C748" s="1005"/>
      <c r="D748" s="977"/>
      <c r="E748" s="1190"/>
      <c r="G748" s="1190"/>
      <c r="I748" s="1190"/>
      <c r="K748" s="1190"/>
      <c r="N748" s="1190"/>
      <c r="U748" s="1189"/>
      <c r="W748" s="1189"/>
      <c r="Y748" s="1190"/>
      <c r="AA748" s="1190"/>
      <c r="AG748" s="701"/>
      <c r="AI748" s="701"/>
      <c r="AY748" s="977"/>
    </row>
    <row r="749" ht="15.75" customHeight="1">
      <c r="A749" s="1004"/>
      <c r="B749" s="1004"/>
      <c r="C749" s="1005"/>
      <c r="D749" s="977"/>
      <c r="E749" s="1190"/>
      <c r="G749" s="1190"/>
      <c r="I749" s="1190"/>
      <c r="K749" s="1190"/>
      <c r="N749" s="1190"/>
      <c r="U749" s="1189"/>
      <c r="W749" s="1189"/>
      <c r="Y749" s="1190"/>
      <c r="AA749" s="1190"/>
      <c r="AG749" s="701"/>
      <c r="AI749" s="701"/>
      <c r="AY749" s="977"/>
    </row>
    <row r="750" ht="15.75" customHeight="1">
      <c r="A750" s="1004"/>
      <c r="B750" s="1004"/>
      <c r="C750" s="1005"/>
      <c r="D750" s="977"/>
      <c r="E750" s="1190"/>
      <c r="G750" s="1190"/>
      <c r="I750" s="1190"/>
      <c r="K750" s="1190"/>
      <c r="N750" s="1190"/>
      <c r="U750" s="1189"/>
      <c r="W750" s="1189"/>
      <c r="Y750" s="1190"/>
      <c r="AA750" s="1190"/>
      <c r="AG750" s="701"/>
      <c r="AI750" s="701"/>
      <c r="AY750" s="977"/>
    </row>
    <row r="751" ht="15.75" customHeight="1">
      <c r="A751" s="1004"/>
      <c r="B751" s="1004"/>
      <c r="C751" s="1005"/>
      <c r="D751" s="977"/>
      <c r="E751" s="1190"/>
      <c r="G751" s="1190"/>
      <c r="I751" s="1190"/>
      <c r="K751" s="1190"/>
      <c r="N751" s="1190"/>
      <c r="U751" s="1189"/>
      <c r="W751" s="1189"/>
      <c r="Y751" s="1190"/>
      <c r="AA751" s="1190"/>
      <c r="AG751" s="701"/>
      <c r="AI751" s="701"/>
      <c r="AY751" s="977"/>
    </row>
    <row r="752" ht="15.75" customHeight="1">
      <c r="A752" s="1004"/>
      <c r="B752" s="1004"/>
      <c r="C752" s="1005"/>
      <c r="D752" s="977"/>
      <c r="E752" s="1190"/>
      <c r="G752" s="1190"/>
      <c r="I752" s="1190"/>
      <c r="K752" s="1190"/>
      <c r="N752" s="1190"/>
      <c r="U752" s="1189"/>
      <c r="W752" s="1189"/>
      <c r="Y752" s="1190"/>
      <c r="AA752" s="1190"/>
      <c r="AG752" s="701"/>
      <c r="AI752" s="701"/>
      <c r="AY752" s="977"/>
    </row>
    <row r="753" ht="15.75" customHeight="1">
      <c r="A753" s="1004"/>
      <c r="B753" s="1004"/>
      <c r="C753" s="1005"/>
      <c r="D753" s="977"/>
      <c r="E753" s="1190"/>
      <c r="G753" s="1190"/>
      <c r="I753" s="1190"/>
      <c r="K753" s="1190"/>
      <c r="N753" s="1190"/>
      <c r="U753" s="1189"/>
      <c r="W753" s="1189"/>
      <c r="Y753" s="1190"/>
      <c r="AA753" s="1190"/>
      <c r="AG753" s="701"/>
      <c r="AI753" s="701"/>
      <c r="AY753" s="977"/>
    </row>
    <row r="754" ht="15.75" customHeight="1">
      <c r="A754" s="1004"/>
      <c r="B754" s="1004"/>
      <c r="C754" s="1005"/>
      <c r="D754" s="977"/>
      <c r="E754" s="1190"/>
      <c r="G754" s="1190"/>
      <c r="I754" s="1190"/>
      <c r="K754" s="1190"/>
      <c r="N754" s="1190"/>
      <c r="U754" s="1189"/>
      <c r="W754" s="1189"/>
      <c r="Y754" s="1190"/>
      <c r="AA754" s="1190"/>
      <c r="AG754" s="701"/>
      <c r="AI754" s="701"/>
      <c r="AY754" s="977"/>
    </row>
    <row r="755" ht="15.75" customHeight="1">
      <c r="A755" s="1004"/>
      <c r="B755" s="1004"/>
      <c r="C755" s="1005"/>
      <c r="D755" s="977"/>
      <c r="E755" s="1190"/>
      <c r="G755" s="1190"/>
      <c r="I755" s="1190"/>
      <c r="K755" s="1190"/>
      <c r="N755" s="1190"/>
      <c r="U755" s="1189"/>
      <c r="W755" s="1189"/>
      <c r="Y755" s="1190"/>
      <c r="AA755" s="1190"/>
      <c r="AG755" s="701"/>
      <c r="AI755" s="701"/>
      <c r="AY755" s="977"/>
    </row>
    <row r="756" ht="15.75" customHeight="1">
      <c r="A756" s="1004"/>
      <c r="B756" s="1004"/>
      <c r="C756" s="1005"/>
      <c r="D756" s="977"/>
      <c r="E756" s="1190"/>
      <c r="G756" s="1190"/>
      <c r="I756" s="1190"/>
      <c r="K756" s="1190"/>
      <c r="N756" s="1190"/>
      <c r="U756" s="1189"/>
      <c r="W756" s="1189"/>
      <c r="Y756" s="1190"/>
      <c r="AA756" s="1190"/>
      <c r="AG756" s="701"/>
      <c r="AI756" s="701"/>
      <c r="AY756" s="977"/>
    </row>
    <row r="757" ht="15.75" customHeight="1">
      <c r="A757" s="1004"/>
      <c r="B757" s="1004"/>
      <c r="C757" s="1005"/>
      <c r="D757" s="977"/>
      <c r="E757" s="1190"/>
      <c r="G757" s="1190"/>
      <c r="I757" s="1190"/>
      <c r="K757" s="1190"/>
      <c r="N757" s="1190"/>
      <c r="U757" s="1189"/>
      <c r="W757" s="1189"/>
      <c r="Y757" s="1190"/>
      <c r="AA757" s="1190"/>
      <c r="AG757" s="701"/>
      <c r="AI757" s="701"/>
      <c r="AY757" s="977"/>
    </row>
    <row r="758" ht="15.75" customHeight="1">
      <c r="A758" s="1004"/>
      <c r="B758" s="1004"/>
      <c r="C758" s="1005"/>
      <c r="D758" s="977"/>
      <c r="E758" s="1190"/>
      <c r="G758" s="1190"/>
      <c r="I758" s="1190"/>
      <c r="K758" s="1190"/>
      <c r="N758" s="1190"/>
      <c r="U758" s="1189"/>
      <c r="W758" s="1189"/>
      <c r="Y758" s="1190"/>
      <c r="AA758" s="1190"/>
      <c r="AG758" s="701"/>
      <c r="AI758" s="701"/>
      <c r="AY758" s="977"/>
    </row>
    <row r="759" ht="15.75" customHeight="1">
      <c r="A759" s="1004"/>
      <c r="B759" s="1004"/>
      <c r="C759" s="1005"/>
      <c r="D759" s="977"/>
      <c r="E759" s="1190"/>
      <c r="G759" s="1190"/>
      <c r="I759" s="1190"/>
      <c r="K759" s="1190"/>
      <c r="N759" s="1190"/>
      <c r="U759" s="1189"/>
      <c r="W759" s="1189"/>
      <c r="Y759" s="1190"/>
      <c r="AA759" s="1190"/>
      <c r="AG759" s="701"/>
      <c r="AI759" s="701"/>
      <c r="AY759" s="977"/>
    </row>
    <row r="760" ht="15.75" customHeight="1">
      <c r="A760" s="1004"/>
      <c r="B760" s="1004"/>
      <c r="C760" s="1005"/>
      <c r="D760" s="977"/>
      <c r="E760" s="1190"/>
      <c r="G760" s="1190"/>
      <c r="I760" s="1190"/>
      <c r="K760" s="1190"/>
      <c r="N760" s="1190"/>
      <c r="U760" s="1189"/>
      <c r="W760" s="1189"/>
      <c r="Y760" s="1190"/>
      <c r="AA760" s="1190"/>
      <c r="AG760" s="701"/>
      <c r="AI760" s="701"/>
      <c r="AY760" s="977"/>
    </row>
    <row r="761" ht="15.75" customHeight="1">
      <c r="A761" s="1004"/>
      <c r="B761" s="1004"/>
      <c r="C761" s="1005"/>
      <c r="D761" s="977"/>
      <c r="E761" s="1190"/>
      <c r="G761" s="1190"/>
      <c r="I761" s="1190"/>
      <c r="K761" s="1190"/>
      <c r="N761" s="1190"/>
      <c r="U761" s="1189"/>
      <c r="W761" s="1189"/>
      <c r="Y761" s="1190"/>
      <c r="AA761" s="1190"/>
      <c r="AG761" s="701"/>
      <c r="AI761" s="701"/>
      <c r="AY761" s="977"/>
    </row>
    <row r="762" ht="15.75" customHeight="1">
      <c r="A762" s="1004"/>
      <c r="B762" s="1004"/>
      <c r="C762" s="1005"/>
      <c r="D762" s="977"/>
      <c r="E762" s="1190"/>
      <c r="G762" s="1190"/>
      <c r="I762" s="1190"/>
      <c r="K762" s="1190"/>
      <c r="N762" s="1190"/>
      <c r="U762" s="1189"/>
      <c r="W762" s="1189"/>
      <c r="Y762" s="1190"/>
      <c r="AA762" s="1190"/>
      <c r="AG762" s="701"/>
      <c r="AI762" s="701"/>
      <c r="AY762" s="977"/>
    </row>
    <row r="763" ht="15.75" customHeight="1">
      <c r="A763" s="1004"/>
      <c r="B763" s="1004"/>
      <c r="C763" s="1005"/>
      <c r="D763" s="977"/>
      <c r="E763" s="1190"/>
      <c r="G763" s="1190"/>
      <c r="I763" s="1190"/>
      <c r="K763" s="1190"/>
      <c r="N763" s="1190"/>
      <c r="U763" s="1189"/>
      <c r="W763" s="1189"/>
      <c r="Y763" s="1190"/>
      <c r="AA763" s="1190"/>
      <c r="AG763" s="701"/>
      <c r="AI763" s="701"/>
      <c r="AY763" s="977"/>
    </row>
    <row r="764" ht="15.75" customHeight="1">
      <c r="A764" s="1004"/>
      <c r="B764" s="1004"/>
      <c r="C764" s="1005"/>
      <c r="D764" s="977"/>
      <c r="E764" s="1190"/>
      <c r="G764" s="1190"/>
      <c r="I764" s="1190"/>
      <c r="K764" s="1190"/>
      <c r="N764" s="1190"/>
      <c r="U764" s="1189"/>
      <c r="W764" s="1189"/>
      <c r="Y764" s="1190"/>
      <c r="AA764" s="1190"/>
      <c r="AG764" s="701"/>
      <c r="AI764" s="701"/>
      <c r="AY764" s="977"/>
    </row>
    <row r="765" ht="15.75" customHeight="1">
      <c r="A765" s="1004"/>
      <c r="B765" s="1004"/>
      <c r="C765" s="1005"/>
      <c r="D765" s="977"/>
      <c r="E765" s="1190"/>
      <c r="G765" s="1190"/>
      <c r="I765" s="1190"/>
      <c r="K765" s="1190"/>
      <c r="N765" s="1190"/>
      <c r="U765" s="1189"/>
      <c r="W765" s="1189"/>
      <c r="Y765" s="1190"/>
      <c r="AA765" s="1190"/>
      <c r="AG765" s="701"/>
      <c r="AI765" s="701"/>
      <c r="AY765" s="977"/>
    </row>
    <row r="766" ht="15.75" customHeight="1">
      <c r="A766" s="1004"/>
      <c r="B766" s="1004"/>
      <c r="C766" s="1005"/>
      <c r="D766" s="977"/>
      <c r="E766" s="1190"/>
      <c r="G766" s="1190"/>
      <c r="I766" s="1190"/>
      <c r="K766" s="1190"/>
      <c r="N766" s="1190"/>
      <c r="U766" s="1189"/>
      <c r="W766" s="1189"/>
      <c r="Y766" s="1190"/>
      <c r="AA766" s="1190"/>
      <c r="AG766" s="701"/>
      <c r="AI766" s="701"/>
      <c r="AY766" s="977"/>
    </row>
    <row r="767" ht="15.75" customHeight="1">
      <c r="A767" s="1004"/>
      <c r="B767" s="1004"/>
      <c r="C767" s="1005"/>
      <c r="D767" s="977"/>
      <c r="E767" s="1190"/>
      <c r="G767" s="1190"/>
      <c r="I767" s="1190"/>
      <c r="K767" s="1190"/>
      <c r="N767" s="1190"/>
      <c r="U767" s="1189"/>
      <c r="W767" s="1189"/>
      <c r="Y767" s="1190"/>
      <c r="AA767" s="1190"/>
      <c r="AG767" s="701"/>
      <c r="AI767" s="701"/>
      <c r="AY767" s="977"/>
    </row>
    <row r="768" ht="15.75" customHeight="1">
      <c r="A768" s="1004"/>
      <c r="B768" s="1004"/>
      <c r="C768" s="1005"/>
      <c r="D768" s="977"/>
      <c r="E768" s="1190"/>
      <c r="G768" s="1190"/>
      <c r="I768" s="1190"/>
      <c r="K768" s="1190"/>
      <c r="N768" s="1190"/>
      <c r="U768" s="1189"/>
      <c r="W768" s="1189"/>
      <c r="Y768" s="1190"/>
      <c r="AA768" s="1190"/>
      <c r="AG768" s="701"/>
      <c r="AI768" s="701"/>
      <c r="AY768" s="977"/>
    </row>
    <row r="769" ht="15.75" customHeight="1">
      <c r="A769" s="1004"/>
      <c r="B769" s="1004"/>
      <c r="C769" s="1005"/>
      <c r="D769" s="977"/>
      <c r="E769" s="1190"/>
      <c r="G769" s="1190"/>
      <c r="I769" s="1190"/>
      <c r="K769" s="1190"/>
      <c r="N769" s="1190"/>
      <c r="U769" s="1189"/>
      <c r="W769" s="1189"/>
      <c r="Y769" s="1190"/>
      <c r="AA769" s="1190"/>
      <c r="AG769" s="701"/>
      <c r="AI769" s="701"/>
      <c r="AY769" s="977"/>
    </row>
    <row r="770" ht="15.75" customHeight="1">
      <c r="A770" s="1004"/>
      <c r="B770" s="1004"/>
      <c r="C770" s="1005"/>
      <c r="D770" s="977"/>
      <c r="E770" s="1190"/>
      <c r="G770" s="1190"/>
      <c r="I770" s="1190"/>
      <c r="K770" s="1190"/>
      <c r="N770" s="1190"/>
      <c r="U770" s="1189"/>
      <c r="W770" s="1189"/>
      <c r="Y770" s="1190"/>
      <c r="AA770" s="1190"/>
      <c r="AG770" s="701"/>
      <c r="AI770" s="701"/>
      <c r="AY770" s="977"/>
    </row>
    <row r="771" ht="15.75" customHeight="1">
      <c r="A771" s="1004"/>
      <c r="B771" s="1004"/>
      <c r="C771" s="1005"/>
      <c r="D771" s="977"/>
      <c r="E771" s="1190"/>
      <c r="G771" s="1190"/>
      <c r="I771" s="1190"/>
      <c r="K771" s="1190"/>
      <c r="N771" s="1190"/>
      <c r="U771" s="1189"/>
      <c r="W771" s="1189"/>
      <c r="Y771" s="1190"/>
      <c r="AA771" s="1190"/>
      <c r="AG771" s="701"/>
      <c r="AI771" s="701"/>
      <c r="AY771" s="977"/>
    </row>
    <row r="772" ht="15.75" customHeight="1">
      <c r="A772" s="1004"/>
      <c r="B772" s="1004"/>
      <c r="C772" s="1005"/>
      <c r="D772" s="977"/>
      <c r="E772" s="1190"/>
      <c r="G772" s="1190"/>
      <c r="I772" s="1190"/>
      <c r="K772" s="1190"/>
      <c r="N772" s="1190"/>
      <c r="U772" s="1189"/>
      <c r="W772" s="1189"/>
      <c r="Y772" s="1190"/>
      <c r="AA772" s="1190"/>
      <c r="AG772" s="701"/>
      <c r="AI772" s="701"/>
      <c r="AY772" s="977"/>
    </row>
    <row r="773" ht="15.75" customHeight="1">
      <c r="A773" s="1004"/>
      <c r="B773" s="1004"/>
      <c r="C773" s="1005"/>
      <c r="D773" s="977"/>
      <c r="E773" s="1190"/>
      <c r="G773" s="1190"/>
      <c r="I773" s="1190"/>
      <c r="K773" s="1190"/>
      <c r="N773" s="1190"/>
      <c r="U773" s="1189"/>
      <c r="W773" s="1189"/>
      <c r="Y773" s="1190"/>
      <c r="AA773" s="1190"/>
      <c r="AG773" s="701"/>
      <c r="AI773" s="701"/>
      <c r="AY773" s="977"/>
    </row>
    <row r="774" ht="15.75" customHeight="1">
      <c r="A774" s="1004"/>
      <c r="B774" s="1004"/>
      <c r="C774" s="1005"/>
      <c r="D774" s="977"/>
      <c r="E774" s="1190"/>
      <c r="G774" s="1190"/>
      <c r="I774" s="1190"/>
      <c r="K774" s="1190"/>
      <c r="N774" s="1190"/>
      <c r="U774" s="1189"/>
      <c r="W774" s="1189"/>
      <c r="Y774" s="1190"/>
      <c r="AA774" s="1190"/>
      <c r="AG774" s="701"/>
      <c r="AI774" s="701"/>
      <c r="AY774" s="977"/>
    </row>
    <row r="775" ht="15.75" customHeight="1">
      <c r="A775" s="1004"/>
      <c r="B775" s="1004"/>
      <c r="C775" s="1005"/>
      <c r="D775" s="977"/>
      <c r="E775" s="1190"/>
      <c r="G775" s="1190"/>
      <c r="I775" s="1190"/>
      <c r="K775" s="1190"/>
      <c r="N775" s="1190"/>
      <c r="U775" s="1189"/>
      <c r="W775" s="1189"/>
      <c r="Y775" s="1190"/>
      <c r="AA775" s="1190"/>
      <c r="AG775" s="701"/>
      <c r="AI775" s="701"/>
      <c r="AY775" s="977"/>
    </row>
    <row r="776" ht="15.75" customHeight="1">
      <c r="A776" s="1004"/>
      <c r="B776" s="1004"/>
      <c r="C776" s="1005"/>
      <c r="D776" s="977"/>
      <c r="E776" s="1190"/>
      <c r="G776" s="1190"/>
      <c r="I776" s="1190"/>
      <c r="K776" s="1190"/>
      <c r="N776" s="1190"/>
      <c r="U776" s="1189"/>
      <c r="W776" s="1189"/>
      <c r="Y776" s="1190"/>
      <c r="AA776" s="1190"/>
      <c r="AG776" s="701"/>
      <c r="AI776" s="701"/>
      <c r="AY776" s="977"/>
    </row>
    <row r="777" ht="15.75" customHeight="1">
      <c r="A777" s="1004"/>
      <c r="B777" s="1004"/>
      <c r="C777" s="1005"/>
      <c r="D777" s="977"/>
      <c r="E777" s="1190"/>
      <c r="G777" s="1190"/>
      <c r="I777" s="1190"/>
      <c r="K777" s="1190"/>
      <c r="N777" s="1190"/>
      <c r="U777" s="1189"/>
      <c r="W777" s="1189"/>
      <c r="Y777" s="1190"/>
      <c r="AA777" s="1190"/>
      <c r="AG777" s="701"/>
      <c r="AI777" s="701"/>
      <c r="AY777" s="977"/>
    </row>
    <row r="778" ht="15.75" customHeight="1">
      <c r="A778" s="1004"/>
      <c r="B778" s="1004"/>
      <c r="C778" s="1005"/>
      <c r="D778" s="977"/>
      <c r="E778" s="1190"/>
      <c r="G778" s="1190"/>
      <c r="I778" s="1190"/>
      <c r="K778" s="1190"/>
      <c r="N778" s="1190"/>
      <c r="U778" s="1189"/>
      <c r="W778" s="1189"/>
      <c r="Y778" s="1190"/>
      <c r="AA778" s="1190"/>
      <c r="AG778" s="701"/>
      <c r="AI778" s="701"/>
      <c r="AY778" s="977"/>
    </row>
    <row r="779" ht="15.75" customHeight="1">
      <c r="A779" s="1004"/>
      <c r="B779" s="1004"/>
      <c r="C779" s="1005"/>
      <c r="D779" s="977"/>
      <c r="E779" s="1190"/>
      <c r="G779" s="1190"/>
      <c r="I779" s="1190"/>
      <c r="K779" s="1190"/>
      <c r="N779" s="1190"/>
      <c r="U779" s="1189"/>
      <c r="W779" s="1189"/>
      <c r="Y779" s="1190"/>
      <c r="AA779" s="1190"/>
      <c r="AG779" s="701"/>
      <c r="AI779" s="701"/>
      <c r="AY779" s="977"/>
    </row>
    <row r="780" ht="15.75" customHeight="1">
      <c r="A780" s="1004"/>
      <c r="B780" s="1004"/>
      <c r="C780" s="1005"/>
      <c r="D780" s="977"/>
      <c r="E780" s="1190"/>
      <c r="G780" s="1190"/>
      <c r="I780" s="1190"/>
      <c r="K780" s="1190"/>
      <c r="N780" s="1190"/>
      <c r="U780" s="1189"/>
      <c r="W780" s="1189"/>
      <c r="Y780" s="1190"/>
      <c r="AA780" s="1190"/>
      <c r="AG780" s="701"/>
      <c r="AI780" s="701"/>
      <c r="AY780" s="977"/>
    </row>
    <row r="781" ht="15.75" customHeight="1">
      <c r="A781" s="1004"/>
      <c r="B781" s="1004"/>
      <c r="C781" s="1005"/>
      <c r="D781" s="977"/>
      <c r="E781" s="1190"/>
      <c r="G781" s="1190"/>
      <c r="I781" s="1190"/>
      <c r="K781" s="1190"/>
      <c r="N781" s="1190"/>
      <c r="U781" s="1189"/>
      <c r="W781" s="1189"/>
      <c r="Y781" s="1190"/>
      <c r="AA781" s="1190"/>
      <c r="AG781" s="701"/>
      <c r="AI781" s="701"/>
      <c r="AY781" s="977"/>
    </row>
    <row r="782" ht="15.75" customHeight="1">
      <c r="A782" s="1004"/>
      <c r="B782" s="1004"/>
      <c r="C782" s="1005"/>
      <c r="D782" s="977"/>
      <c r="E782" s="1190"/>
      <c r="G782" s="1190"/>
      <c r="I782" s="1190"/>
      <c r="K782" s="1190"/>
      <c r="N782" s="1190"/>
      <c r="U782" s="1189"/>
      <c r="W782" s="1189"/>
      <c r="Y782" s="1190"/>
      <c r="AA782" s="1190"/>
      <c r="AG782" s="701"/>
      <c r="AI782" s="701"/>
      <c r="AY782" s="977"/>
    </row>
    <row r="783" ht="15.75" customHeight="1">
      <c r="A783" s="1004"/>
      <c r="B783" s="1004"/>
      <c r="C783" s="1005"/>
      <c r="D783" s="977"/>
      <c r="E783" s="1190"/>
      <c r="G783" s="1190"/>
      <c r="I783" s="1190"/>
      <c r="K783" s="1190"/>
      <c r="N783" s="1190"/>
      <c r="U783" s="1189"/>
      <c r="W783" s="1189"/>
      <c r="Y783" s="1190"/>
      <c r="AA783" s="1190"/>
      <c r="AG783" s="701"/>
      <c r="AI783" s="701"/>
      <c r="AY783" s="977"/>
    </row>
    <row r="784" ht="15.75" customHeight="1">
      <c r="A784" s="1004"/>
      <c r="B784" s="1004"/>
      <c r="C784" s="1005"/>
      <c r="D784" s="977"/>
      <c r="E784" s="1190"/>
      <c r="G784" s="1190"/>
      <c r="I784" s="1190"/>
      <c r="K784" s="1190"/>
      <c r="N784" s="1190"/>
      <c r="U784" s="1189"/>
      <c r="W784" s="1189"/>
      <c r="Y784" s="1190"/>
      <c r="AA784" s="1190"/>
      <c r="AG784" s="701"/>
      <c r="AI784" s="701"/>
      <c r="AY784" s="977"/>
    </row>
    <row r="785" ht="15.75" customHeight="1">
      <c r="A785" s="1004"/>
      <c r="B785" s="1004"/>
      <c r="C785" s="1005"/>
      <c r="D785" s="977"/>
      <c r="E785" s="1190"/>
      <c r="G785" s="1190"/>
      <c r="I785" s="1190"/>
      <c r="K785" s="1190"/>
      <c r="N785" s="1190"/>
      <c r="U785" s="1189"/>
      <c r="W785" s="1189"/>
      <c r="Y785" s="1190"/>
      <c r="AA785" s="1190"/>
      <c r="AG785" s="701"/>
      <c r="AI785" s="701"/>
      <c r="AY785" s="977"/>
    </row>
    <row r="786" ht="15.75" customHeight="1">
      <c r="A786" s="1004"/>
      <c r="B786" s="1004"/>
      <c r="C786" s="1005"/>
      <c r="D786" s="977"/>
      <c r="E786" s="1190"/>
      <c r="G786" s="1190"/>
      <c r="I786" s="1190"/>
      <c r="K786" s="1190"/>
      <c r="N786" s="1190"/>
      <c r="U786" s="1189"/>
      <c r="W786" s="1189"/>
      <c r="Y786" s="1190"/>
      <c r="AA786" s="1190"/>
      <c r="AG786" s="701"/>
      <c r="AI786" s="701"/>
      <c r="AY786" s="977"/>
    </row>
    <row r="787" ht="15.75" customHeight="1">
      <c r="A787" s="1004"/>
      <c r="B787" s="1004"/>
      <c r="C787" s="1005"/>
      <c r="D787" s="977"/>
      <c r="E787" s="1190"/>
      <c r="G787" s="1190"/>
      <c r="I787" s="1190"/>
      <c r="K787" s="1190"/>
      <c r="N787" s="1190"/>
      <c r="U787" s="1189"/>
      <c r="W787" s="1189"/>
      <c r="Y787" s="1190"/>
      <c r="AA787" s="1190"/>
      <c r="AG787" s="701"/>
      <c r="AI787" s="701"/>
      <c r="AY787" s="977"/>
    </row>
    <row r="788" ht="15.75" customHeight="1">
      <c r="A788" s="1004"/>
      <c r="B788" s="1004"/>
      <c r="C788" s="1005"/>
      <c r="D788" s="977"/>
      <c r="E788" s="1190"/>
      <c r="G788" s="1190"/>
      <c r="I788" s="1190"/>
      <c r="K788" s="1190"/>
      <c r="N788" s="1190"/>
      <c r="U788" s="1189"/>
      <c r="W788" s="1189"/>
      <c r="Y788" s="1190"/>
      <c r="AA788" s="1190"/>
      <c r="AG788" s="701"/>
      <c r="AI788" s="701"/>
      <c r="AY788" s="977"/>
    </row>
    <row r="789" ht="15.75" customHeight="1">
      <c r="A789" s="1004"/>
      <c r="B789" s="1004"/>
      <c r="C789" s="1005"/>
      <c r="D789" s="977"/>
      <c r="E789" s="1190"/>
      <c r="G789" s="1190"/>
      <c r="I789" s="1190"/>
      <c r="K789" s="1190"/>
      <c r="N789" s="1190"/>
      <c r="U789" s="1189"/>
      <c r="W789" s="1189"/>
      <c r="Y789" s="1190"/>
      <c r="AA789" s="1190"/>
      <c r="AG789" s="701"/>
      <c r="AI789" s="701"/>
      <c r="AY789" s="977"/>
    </row>
    <row r="790" ht="15.75" customHeight="1">
      <c r="A790" s="1004"/>
      <c r="B790" s="1004"/>
      <c r="C790" s="1005"/>
      <c r="D790" s="977"/>
      <c r="E790" s="1190"/>
      <c r="G790" s="1190"/>
      <c r="I790" s="1190"/>
      <c r="K790" s="1190"/>
      <c r="N790" s="1190"/>
      <c r="U790" s="1189"/>
      <c r="W790" s="1189"/>
      <c r="Y790" s="1190"/>
      <c r="AA790" s="1190"/>
      <c r="AG790" s="701"/>
      <c r="AI790" s="701"/>
      <c r="AY790" s="977"/>
    </row>
    <row r="791" ht="15.75" customHeight="1">
      <c r="A791" s="1004"/>
      <c r="B791" s="1004"/>
      <c r="C791" s="1005"/>
      <c r="D791" s="977"/>
      <c r="E791" s="1190"/>
      <c r="G791" s="1190"/>
      <c r="I791" s="1190"/>
      <c r="K791" s="1190"/>
      <c r="N791" s="1190"/>
      <c r="U791" s="1189"/>
      <c r="W791" s="1189"/>
      <c r="Y791" s="1190"/>
      <c r="AA791" s="1190"/>
      <c r="AG791" s="701"/>
      <c r="AI791" s="701"/>
      <c r="AY791" s="977"/>
    </row>
    <row r="792" ht="15.75" customHeight="1">
      <c r="A792" s="1004"/>
      <c r="B792" s="1004"/>
      <c r="C792" s="1005"/>
      <c r="D792" s="977"/>
      <c r="E792" s="1190"/>
      <c r="G792" s="1190"/>
      <c r="I792" s="1190"/>
      <c r="K792" s="1190"/>
      <c r="N792" s="1190"/>
      <c r="U792" s="1189"/>
      <c r="W792" s="1189"/>
      <c r="Y792" s="1190"/>
      <c r="AA792" s="1190"/>
      <c r="AG792" s="701"/>
      <c r="AI792" s="701"/>
      <c r="AY792" s="977"/>
    </row>
    <row r="793" ht="15.75" customHeight="1">
      <c r="A793" s="1004"/>
      <c r="B793" s="1004"/>
      <c r="C793" s="1005"/>
      <c r="D793" s="977"/>
      <c r="E793" s="1190"/>
      <c r="G793" s="1190"/>
      <c r="I793" s="1190"/>
      <c r="K793" s="1190"/>
      <c r="N793" s="1190"/>
      <c r="U793" s="1189"/>
      <c r="W793" s="1189"/>
      <c r="Y793" s="1190"/>
      <c r="AA793" s="1190"/>
      <c r="AG793" s="701"/>
      <c r="AI793" s="701"/>
      <c r="AY793" s="977"/>
    </row>
    <row r="794" ht="15.75" customHeight="1">
      <c r="A794" s="1004"/>
      <c r="B794" s="1004"/>
      <c r="C794" s="1005"/>
      <c r="D794" s="977"/>
      <c r="E794" s="1190"/>
      <c r="G794" s="1190"/>
      <c r="I794" s="1190"/>
      <c r="K794" s="1190"/>
      <c r="N794" s="1190"/>
      <c r="U794" s="1189"/>
      <c r="W794" s="1189"/>
      <c r="Y794" s="1190"/>
      <c r="AA794" s="1190"/>
      <c r="AG794" s="701"/>
      <c r="AI794" s="701"/>
      <c r="AY794" s="977"/>
    </row>
    <row r="795" ht="15.75" customHeight="1">
      <c r="A795" s="1004"/>
      <c r="B795" s="1004"/>
      <c r="C795" s="1005"/>
      <c r="D795" s="977"/>
      <c r="E795" s="1190"/>
      <c r="G795" s="1190"/>
      <c r="I795" s="1190"/>
      <c r="K795" s="1190"/>
      <c r="N795" s="1190"/>
      <c r="U795" s="1189"/>
      <c r="W795" s="1189"/>
      <c r="Y795" s="1190"/>
      <c r="AA795" s="1190"/>
      <c r="AG795" s="701"/>
      <c r="AI795" s="701"/>
      <c r="AY795" s="977"/>
    </row>
    <row r="796" ht="15.75" customHeight="1">
      <c r="A796" s="1004"/>
      <c r="B796" s="1004"/>
      <c r="C796" s="1005"/>
      <c r="D796" s="977"/>
      <c r="E796" s="1190"/>
      <c r="G796" s="1190"/>
      <c r="I796" s="1190"/>
      <c r="K796" s="1190"/>
      <c r="N796" s="1190"/>
      <c r="U796" s="1189"/>
      <c r="W796" s="1189"/>
      <c r="Y796" s="1190"/>
      <c r="AA796" s="1190"/>
      <c r="AG796" s="701"/>
      <c r="AI796" s="701"/>
      <c r="AY796" s="977"/>
    </row>
    <row r="797" ht="15.75" customHeight="1">
      <c r="A797" s="1004"/>
      <c r="B797" s="1004"/>
      <c r="C797" s="1005"/>
      <c r="D797" s="977"/>
      <c r="E797" s="1190"/>
      <c r="G797" s="1190"/>
      <c r="I797" s="1190"/>
      <c r="K797" s="1190"/>
      <c r="N797" s="1190"/>
      <c r="U797" s="1189"/>
      <c r="W797" s="1189"/>
      <c r="Y797" s="1190"/>
      <c r="AA797" s="1190"/>
      <c r="AG797" s="701"/>
      <c r="AI797" s="701"/>
      <c r="AY797" s="977"/>
    </row>
    <row r="798" ht="15.75" customHeight="1">
      <c r="A798" s="1004"/>
      <c r="B798" s="1004"/>
      <c r="C798" s="1005"/>
      <c r="D798" s="977"/>
      <c r="E798" s="1190"/>
      <c r="G798" s="1190"/>
      <c r="I798" s="1190"/>
      <c r="K798" s="1190"/>
      <c r="N798" s="1190"/>
      <c r="U798" s="1189"/>
      <c r="W798" s="1189"/>
      <c r="Y798" s="1190"/>
      <c r="AA798" s="1190"/>
      <c r="AG798" s="701"/>
      <c r="AI798" s="701"/>
      <c r="AY798" s="977"/>
    </row>
    <row r="799" ht="15.75" customHeight="1">
      <c r="A799" s="1004"/>
      <c r="B799" s="1004"/>
      <c r="C799" s="1005"/>
      <c r="D799" s="977"/>
      <c r="E799" s="1190"/>
      <c r="G799" s="1190"/>
      <c r="I799" s="1190"/>
      <c r="K799" s="1190"/>
      <c r="N799" s="1190"/>
      <c r="U799" s="1189"/>
      <c r="W799" s="1189"/>
      <c r="Y799" s="1190"/>
      <c r="AA799" s="1190"/>
      <c r="AG799" s="701"/>
      <c r="AI799" s="701"/>
      <c r="AY799" s="977"/>
    </row>
    <row r="800" ht="15.75" customHeight="1">
      <c r="A800" s="1004"/>
      <c r="B800" s="1004"/>
      <c r="C800" s="1005"/>
      <c r="D800" s="977"/>
      <c r="E800" s="1190"/>
      <c r="G800" s="1190"/>
      <c r="I800" s="1190"/>
      <c r="K800" s="1190"/>
      <c r="N800" s="1190"/>
      <c r="U800" s="1189"/>
      <c r="W800" s="1189"/>
      <c r="Y800" s="1190"/>
      <c r="AA800" s="1190"/>
      <c r="AG800" s="701"/>
      <c r="AI800" s="701"/>
      <c r="AY800" s="977"/>
    </row>
    <row r="801" ht="15.75" customHeight="1">
      <c r="A801" s="1004"/>
      <c r="B801" s="1004"/>
      <c r="C801" s="1005"/>
      <c r="D801" s="977"/>
      <c r="E801" s="1190"/>
      <c r="G801" s="1190"/>
      <c r="I801" s="1190"/>
      <c r="K801" s="1190"/>
      <c r="N801" s="1190"/>
      <c r="U801" s="1189"/>
      <c r="W801" s="1189"/>
      <c r="Y801" s="1190"/>
      <c r="AA801" s="1190"/>
      <c r="AG801" s="701"/>
      <c r="AI801" s="701"/>
      <c r="AY801" s="977"/>
    </row>
    <row r="802" ht="15.75" customHeight="1">
      <c r="A802" s="1004"/>
      <c r="B802" s="1004"/>
      <c r="C802" s="1005"/>
      <c r="D802" s="977"/>
      <c r="E802" s="1190"/>
      <c r="G802" s="1190"/>
      <c r="I802" s="1190"/>
      <c r="K802" s="1190"/>
      <c r="N802" s="1190"/>
      <c r="U802" s="1189"/>
      <c r="W802" s="1189"/>
      <c r="Y802" s="1190"/>
      <c r="AA802" s="1190"/>
      <c r="AG802" s="701"/>
      <c r="AI802" s="701"/>
      <c r="AY802" s="977"/>
    </row>
    <row r="803" ht="15.75" customHeight="1">
      <c r="A803" s="1004"/>
      <c r="B803" s="1004"/>
      <c r="C803" s="1005"/>
      <c r="D803" s="977"/>
      <c r="E803" s="1190"/>
      <c r="G803" s="1190"/>
      <c r="I803" s="1190"/>
      <c r="K803" s="1190"/>
      <c r="N803" s="1190"/>
      <c r="U803" s="1189"/>
      <c r="W803" s="1189"/>
      <c r="Y803" s="1190"/>
      <c r="AA803" s="1190"/>
      <c r="AG803" s="701"/>
      <c r="AI803" s="701"/>
      <c r="AY803" s="977"/>
    </row>
    <row r="804" ht="15.75" customHeight="1">
      <c r="A804" s="1004"/>
      <c r="B804" s="1004"/>
      <c r="C804" s="1005"/>
      <c r="D804" s="977"/>
      <c r="E804" s="1190"/>
      <c r="G804" s="1190"/>
      <c r="I804" s="1190"/>
      <c r="K804" s="1190"/>
      <c r="N804" s="1190"/>
      <c r="U804" s="1189"/>
      <c r="W804" s="1189"/>
      <c r="Y804" s="1190"/>
      <c r="AA804" s="1190"/>
      <c r="AG804" s="701"/>
      <c r="AI804" s="701"/>
      <c r="AY804" s="977"/>
    </row>
    <row r="805" ht="15.75" customHeight="1">
      <c r="A805" s="1004"/>
      <c r="B805" s="1004"/>
      <c r="C805" s="1005"/>
      <c r="D805" s="977"/>
      <c r="E805" s="1190"/>
      <c r="G805" s="1190"/>
      <c r="I805" s="1190"/>
      <c r="K805" s="1190"/>
      <c r="N805" s="1190"/>
      <c r="U805" s="1189"/>
      <c r="W805" s="1189"/>
      <c r="Y805" s="1190"/>
      <c r="AA805" s="1190"/>
      <c r="AG805" s="701"/>
      <c r="AI805" s="701"/>
      <c r="AY805" s="977"/>
    </row>
    <row r="806" ht="15.75" customHeight="1">
      <c r="A806" s="1004"/>
      <c r="B806" s="1004"/>
      <c r="C806" s="1005"/>
      <c r="D806" s="977"/>
      <c r="E806" s="1190"/>
      <c r="G806" s="1190"/>
      <c r="I806" s="1190"/>
      <c r="K806" s="1190"/>
      <c r="N806" s="1190"/>
      <c r="U806" s="1189"/>
      <c r="W806" s="1189"/>
      <c r="Y806" s="1190"/>
      <c r="AA806" s="1190"/>
      <c r="AG806" s="701"/>
      <c r="AI806" s="701"/>
      <c r="AY806" s="977"/>
    </row>
    <row r="807" ht="15.75" customHeight="1">
      <c r="A807" s="1004"/>
      <c r="B807" s="1004"/>
      <c r="C807" s="1005"/>
      <c r="D807" s="977"/>
      <c r="E807" s="1190"/>
      <c r="G807" s="1190"/>
      <c r="I807" s="1190"/>
      <c r="K807" s="1190"/>
      <c r="N807" s="1190"/>
      <c r="U807" s="1189"/>
      <c r="W807" s="1189"/>
      <c r="Y807" s="1190"/>
      <c r="AA807" s="1190"/>
      <c r="AG807" s="701"/>
      <c r="AI807" s="701"/>
      <c r="AY807" s="977"/>
    </row>
    <row r="808" ht="15.75" customHeight="1">
      <c r="A808" s="1004"/>
      <c r="B808" s="1004"/>
      <c r="C808" s="1005"/>
      <c r="D808" s="977"/>
      <c r="E808" s="1190"/>
      <c r="G808" s="1190"/>
      <c r="I808" s="1190"/>
      <c r="K808" s="1190"/>
      <c r="N808" s="1190"/>
      <c r="U808" s="1189"/>
      <c r="W808" s="1189"/>
      <c r="Y808" s="1190"/>
      <c r="AA808" s="1190"/>
      <c r="AG808" s="701"/>
      <c r="AI808" s="701"/>
      <c r="AY808" s="977"/>
    </row>
    <row r="809" ht="15.75" customHeight="1">
      <c r="A809" s="1004"/>
      <c r="B809" s="1004"/>
      <c r="C809" s="1005"/>
      <c r="D809" s="977"/>
      <c r="E809" s="1190"/>
      <c r="G809" s="1190"/>
      <c r="I809" s="1190"/>
      <c r="K809" s="1190"/>
      <c r="N809" s="1190"/>
      <c r="U809" s="1189"/>
      <c r="W809" s="1189"/>
      <c r="Y809" s="1190"/>
      <c r="AA809" s="1190"/>
      <c r="AG809" s="701"/>
      <c r="AI809" s="701"/>
      <c r="AY809" s="977"/>
    </row>
    <row r="810" ht="15.75" customHeight="1">
      <c r="A810" s="1004"/>
      <c r="B810" s="1004"/>
      <c r="C810" s="1005"/>
      <c r="D810" s="977"/>
      <c r="E810" s="1190"/>
      <c r="G810" s="1190"/>
      <c r="I810" s="1190"/>
      <c r="K810" s="1190"/>
      <c r="N810" s="1190"/>
      <c r="U810" s="1189"/>
      <c r="W810" s="1189"/>
      <c r="Y810" s="1190"/>
      <c r="AA810" s="1190"/>
      <c r="AG810" s="701"/>
      <c r="AI810" s="701"/>
      <c r="AY810" s="977"/>
    </row>
    <row r="811" ht="15.75" customHeight="1">
      <c r="A811" s="1004"/>
      <c r="B811" s="1004"/>
      <c r="C811" s="1005"/>
      <c r="D811" s="977"/>
      <c r="E811" s="1190"/>
      <c r="G811" s="1190"/>
      <c r="I811" s="1190"/>
      <c r="K811" s="1190"/>
      <c r="N811" s="1190"/>
      <c r="U811" s="1189"/>
      <c r="W811" s="1189"/>
      <c r="Y811" s="1190"/>
      <c r="AA811" s="1190"/>
      <c r="AG811" s="701"/>
      <c r="AI811" s="701"/>
      <c r="AY811" s="977"/>
    </row>
    <row r="812" ht="15.75" customHeight="1">
      <c r="A812" s="1004"/>
      <c r="B812" s="1004"/>
      <c r="C812" s="1005"/>
      <c r="D812" s="977"/>
      <c r="E812" s="1190"/>
      <c r="G812" s="1190"/>
      <c r="I812" s="1190"/>
      <c r="K812" s="1190"/>
      <c r="N812" s="1190"/>
      <c r="U812" s="1189"/>
      <c r="W812" s="1189"/>
      <c r="Y812" s="1190"/>
      <c r="AA812" s="1190"/>
      <c r="AG812" s="701"/>
      <c r="AI812" s="701"/>
      <c r="AY812" s="977"/>
    </row>
    <row r="813" ht="15.75" customHeight="1">
      <c r="A813" s="1004"/>
      <c r="B813" s="1004"/>
      <c r="C813" s="1005"/>
      <c r="D813" s="977"/>
      <c r="E813" s="1190"/>
      <c r="G813" s="1190"/>
      <c r="I813" s="1190"/>
      <c r="K813" s="1190"/>
      <c r="N813" s="1190"/>
      <c r="U813" s="1189"/>
      <c r="W813" s="1189"/>
      <c r="Y813" s="1190"/>
      <c r="AA813" s="1190"/>
      <c r="AG813" s="701"/>
      <c r="AI813" s="701"/>
      <c r="AY813" s="977"/>
    </row>
    <row r="814" ht="15.75" customHeight="1">
      <c r="A814" s="1004"/>
      <c r="B814" s="1004"/>
      <c r="C814" s="1005"/>
      <c r="D814" s="977"/>
      <c r="E814" s="1190"/>
      <c r="G814" s="1190"/>
      <c r="I814" s="1190"/>
      <c r="K814" s="1190"/>
      <c r="N814" s="1190"/>
      <c r="U814" s="1189"/>
      <c r="W814" s="1189"/>
      <c r="Y814" s="1190"/>
      <c r="AA814" s="1190"/>
      <c r="AG814" s="701"/>
      <c r="AI814" s="701"/>
      <c r="AY814" s="977"/>
    </row>
    <row r="815" ht="15.75" customHeight="1">
      <c r="A815" s="1004"/>
      <c r="B815" s="1004"/>
      <c r="C815" s="1005"/>
      <c r="D815" s="977"/>
      <c r="E815" s="1190"/>
      <c r="G815" s="1190"/>
      <c r="I815" s="1190"/>
      <c r="K815" s="1190"/>
      <c r="N815" s="1190"/>
      <c r="U815" s="1189"/>
      <c r="W815" s="1189"/>
      <c r="Y815" s="1190"/>
      <c r="AA815" s="1190"/>
      <c r="AG815" s="701"/>
      <c r="AI815" s="701"/>
      <c r="AY815" s="977"/>
    </row>
    <row r="816" ht="15.75" customHeight="1">
      <c r="A816" s="1004"/>
      <c r="B816" s="1004"/>
      <c r="C816" s="1005"/>
      <c r="D816" s="977"/>
      <c r="E816" s="1190"/>
      <c r="G816" s="1190"/>
      <c r="I816" s="1190"/>
      <c r="K816" s="1190"/>
      <c r="N816" s="1190"/>
      <c r="U816" s="1189"/>
      <c r="W816" s="1189"/>
      <c r="Y816" s="1190"/>
      <c r="AA816" s="1190"/>
      <c r="AG816" s="701"/>
      <c r="AI816" s="701"/>
      <c r="AY816" s="977"/>
    </row>
    <row r="817" ht="15.75" customHeight="1">
      <c r="A817" s="1004"/>
      <c r="B817" s="1004"/>
      <c r="C817" s="1005"/>
      <c r="D817" s="977"/>
      <c r="E817" s="1190"/>
      <c r="G817" s="1190"/>
      <c r="I817" s="1190"/>
      <c r="K817" s="1190"/>
      <c r="N817" s="1190"/>
      <c r="U817" s="1189"/>
      <c r="W817" s="1189"/>
      <c r="Y817" s="1190"/>
      <c r="AA817" s="1190"/>
      <c r="AG817" s="701"/>
      <c r="AI817" s="701"/>
      <c r="AY817" s="977"/>
    </row>
    <row r="818" ht="15.75" customHeight="1">
      <c r="A818" s="1004"/>
      <c r="B818" s="1004"/>
      <c r="C818" s="1005"/>
      <c r="D818" s="977"/>
      <c r="E818" s="1190"/>
      <c r="G818" s="1190"/>
      <c r="I818" s="1190"/>
      <c r="K818" s="1190"/>
      <c r="N818" s="1190"/>
      <c r="U818" s="1189"/>
      <c r="W818" s="1189"/>
      <c r="Y818" s="1190"/>
      <c r="AA818" s="1190"/>
      <c r="AG818" s="701"/>
      <c r="AI818" s="701"/>
      <c r="AY818" s="977"/>
    </row>
    <row r="819" ht="15.75" customHeight="1">
      <c r="A819" s="1004"/>
      <c r="B819" s="1004"/>
      <c r="C819" s="1005"/>
      <c r="D819" s="977"/>
      <c r="E819" s="1190"/>
      <c r="G819" s="1190"/>
      <c r="I819" s="1190"/>
      <c r="K819" s="1190"/>
      <c r="N819" s="1190"/>
      <c r="U819" s="1189"/>
      <c r="W819" s="1189"/>
      <c r="Y819" s="1190"/>
      <c r="AA819" s="1190"/>
      <c r="AG819" s="701"/>
      <c r="AI819" s="701"/>
      <c r="AY819" s="977"/>
    </row>
    <row r="820" ht="15.75" customHeight="1">
      <c r="A820" s="1004"/>
      <c r="B820" s="1004"/>
      <c r="C820" s="1005"/>
      <c r="D820" s="977"/>
      <c r="E820" s="1190"/>
      <c r="G820" s="1190"/>
      <c r="I820" s="1190"/>
      <c r="K820" s="1190"/>
      <c r="N820" s="1190"/>
      <c r="U820" s="1189"/>
      <c r="W820" s="1189"/>
      <c r="Y820" s="1190"/>
      <c r="AA820" s="1190"/>
      <c r="AG820" s="701"/>
      <c r="AI820" s="701"/>
      <c r="AY820" s="977"/>
    </row>
    <row r="821" ht="15.75" customHeight="1">
      <c r="A821" s="1004"/>
      <c r="B821" s="1004"/>
      <c r="C821" s="1005"/>
      <c r="D821" s="977"/>
      <c r="E821" s="1190"/>
      <c r="G821" s="1190"/>
      <c r="I821" s="1190"/>
      <c r="K821" s="1190"/>
      <c r="N821" s="1190"/>
      <c r="U821" s="1189"/>
      <c r="W821" s="1189"/>
      <c r="Y821" s="1190"/>
      <c r="AA821" s="1190"/>
      <c r="AG821" s="701"/>
      <c r="AI821" s="701"/>
      <c r="AY821" s="977"/>
    </row>
    <row r="822" ht="15.75" customHeight="1">
      <c r="A822" s="1004"/>
      <c r="B822" s="1004"/>
      <c r="C822" s="1005"/>
      <c r="D822" s="977"/>
      <c r="E822" s="1190"/>
      <c r="G822" s="1190"/>
      <c r="I822" s="1190"/>
      <c r="K822" s="1190"/>
      <c r="N822" s="1190"/>
      <c r="U822" s="1189"/>
      <c r="W822" s="1189"/>
      <c r="Y822" s="1190"/>
      <c r="AA822" s="1190"/>
      <c r="AG822" s="701"/>
      <c r="AI822" s="701"/>
      <c r="AY822" s="977"/>
    </row>
    <row r="823" ht="15.75" customHeight="1">
      <c r="A823" s="1004"/>
      <c r="B823" s="1004"/>
      <c r="C823" s="1005"/>
      <c r="D823" s="977"/>
      <c r="E823" s="1190"/>
      <c r="G823" s="1190"/>
      <c r="I823" s="1190"/>
      <c r="K823" s="1190"/>
      <c r="N823" s="1190"/>
      <c r="U823" s="1189"/>
      <c r="W823" s="1189"/>
      <c r="Y823" s="1190"/>
      <c r="AA823" s="1190"/>
      <c r="AG823" s="701"/>
      <c r="AI823" s="701"/>
      <c r="AY823" s="977"/>
    </row>
    <row r="824" ht="15.75" customHeight="1">
      <c r="A824" s="1004"/>
      <c r="B824" s="1004"/>
      <c r="C824" s="1005"/>
      <c r="D824" s="977"/>
      <c r="E824" s="1190"/>
      <c r="G824" s="1190"/>
      <c r="I824" s="1190"/>
      <c r="K824" s="1190"/>
      <c r="N824" s="1190"/>
      <c r="U824" s="1189"/>
      <c r="W824" s="1189"/>
      <c r="Y824" s="1190"/>
      <c r="AA824" s="1190"/>
      <c r="AG824" s="701"/>
      <c r="AI824" s="701"/>
      <c r="AY824" s="977"/>
    </row>
    <row r="825" ht="15.75" customHeight="1">
      <c r="A825" s="1004"/>
      <c r="B825" s="1004"/>
      <c r="C825" s="1005"/>
      <c r="D825" s="977"/>
      <c r="E825" s="1190"/>
      <c r="G825" s="1190"/>
      <c r="I825" s="1190"/>
      <c r="K825" s="1190"/>
      <c r="N825" s="1190"/>
      <c r="U825" s="1189"/>
      <c r="W825" s="1189"/>
      <c r="Y825" s="1190"/>
      <c r="AA825" s="1190"/>
      <c r="AG825" s="701"/>
      <c r="AI825" s="701"/>
      <c r="AY825" s="977"/>
    </row>
    <row r="826" ht="15.75" customHeight="1">
      <c r="A826" s="1004"/>
      <c r="B826" s="1004"/>
      <c r="C826" s="1005"/>
      <c r="D826" s="977"/>
      <c r="E826" s="1190"/>
      <c r="G826" s="1190"/>
      <c r="I826" s="1190"/>
      <c r="K826" s="1190"/>
      <c r="N826" s="1190"/>
      <c r="U826" s="1189"/>
      <c r="W826" s="1189"/>
      <c r="Y826" s="1190"/>
      <c r="AA826" s="1190"/>
      <c r="AG826" s="701"/>
      <c r="AI826" s="701"/>
      <c r="AY826" s="977"/>
    </row>
    <row r="827" ht="15.75" customHeight="1">
      <c r="A827" s="1004"/>
      <c r="B827" s="1004"/>
      <c r="C827" s="1005"/>
      <c r="D827" s="977"/>
      <c r="E827" s="1190"/>
      <c r="G827" s="1190"/>
      <c r="I827" s="1190"/>
      <c r="K827" s="1190"/>
      <c r="N827" s="1190"/>
      <c r="U827" s="1189"/>
      <c r="W827" s="1189"/>
      <c r="Y827" s="1190"/>
      <c r="AA827" s="1190"/>
      <c r="AG827" s="701"/>
      <c r="AI827" s="701"/>
      <c r="AY827" s="977"/>
    </row>
    <row r="828" ht="15.75" customHeight="1">
      <c r="A828" s="1004"/>
      <c r="B828" s="1004"/>
      <c r="C828" s="1005"/>
      <c r="D828" s="977"/>
      <c r="E828" s="1190"/>
      <c r="G828" s="1190"/>
      <c r="I828" s="1190"/>
      <c r="K828" s="1190"/>
      <c r="N828" s="1190"/>
      <c r="U828" s="1189"/>
      <c r="W828" s="1189"/>
      <c r="Y828" s="1190"/>
      <c r="AA828" s="1190"/>
      <c r="AG828" s="701"/>
      <c r="AI828" s="701"/>
      <c r="AY828" s="977"/>
    </row>
    <row r="829" ht="15.75" customHeight="1">
      <c r="A829" s="1004"/>
      <c r="B829" s="1004"/>
      <c r="C829" s="1005"/>
      <c r="D829" s="977"/>
      <c r="E829" s="1190"/>
      <c r="G829" s="1190"/>
      <c r="I829" s="1190"/>
      <c r="K829" s="1190"/>
      <c r="N829" s="1190"/>
      <c r="U829" s="1189"/>
      <c r="W829" s="1189"/>
      <c r="Y829" s="1190"/>
      <c r="AA829" s="1190"/>
      <c r="AG829" s="701"/>
      <c r="AI829" s="701"/>
      <c r="AY829" s="977"/>
    </row>
    <row r="830" ht="15.75" customHeight="1">
      <c r="A830" s="1004"/>
      <c r="B830" s="1004"/>
      <c r="C830" s="1005"/>
      <c r="D830" s="977"/>
      <c r="E830" s="1190"/>
      <c r="G830" s="1190"/>
      <c r="I830" s="1190"/>
      <c r="K830" s="1190"/>
      <c r="N830" s="1190"/>
      <c r="U830" s="1189"/>
      <c r="W830" s="1189"/>
      <c r="Y830" s="1190"/>
      <c r="AA830" s="1190"/>
      <c r="AG830" s="701"/>
      <c r="AI830" s="701"/>
      <c r="AY830" s="977"/>
    </row>
    <row r="831" ht="15.75" customHeight="1">
      <c r="A831" s="1004"/>
      <c r="B831" s="1004"/>
      <c r="C831" s="1005"/>
      <c r="D831" s="977"/>
      <c r="E831" s="1190"/>
      <c r="G831" s="1190"/>
      <c r="I831" s="1190"/>
      <c r="K831" s="1190"/>
      <c r="N831" s="1190"/>
      <c r="U831" s="1189"/>
      <c r="W831" s="1189"/>
      <c r="Y831" s="1190"/>
      <c r="AA831" s="1190"/>
      <c r="AG831" s="701"/>
      <c r="AI831" s="701"/>
      <c r="AY831" s="977"/>
    </row>
    <row r="832" ht="15.75" customHeight="1">
      <c r="A832" s="1004"/>
      <c r="B832" s="1004"/>
      <c r="C832" s="1005"/>
      <c r="D832" s="977"/>
      <c r="E832" s="1190"/>
      <c r="G832" s="1190"/>
      <c r="I832" s="1190"/>
      <c r="K832" s="1190"/>
      <c r="N832" s="1190"/>
      <c r="U832" s="1189"/>
      <c r="W832" s="1189"/>
      <c r="Y832" s="1190"/>
      <c r="AA832" s="1190"/>
      <c r="AG832" s="701"/>
      <c r="AI832" s="701"/>
      <c r="AY832" s="977"/>
    </row>
    <row r="833" ht="15.75" customHeight="1">
      <c r="A833" s="1004"/>
      <c r="B833" s="1004"/>
      <c r="C833" s="1005"/>
      <c r="D833" s="977"/>
      <c r="E833" s="1190"/>
      <c r="G833" s="1190"/>
      <c r="I833" s="1190"/>
      <c r="K833" s="1190"/>
      <c r="N833" s="1190"/>
      <c r="U833" s="1189"/>
      <c r="W833" s="1189"/>
      <c r="Y833" s="1190"/>
      <c r="AA833" s="1190"/>
      <c r="AG833" s="701"/>
      <c r="AI833" s="701"/>
      <c r="AY833" s="977"/>
    </row>
    <row r="834" ht="15.75" customHeight="1">
      <c r="A834" s="1004"/>
      <c r="B834" s="1004"/>
      <c r="C834" s="1005"/>
      <c r="D834" s="977"/>
      <c r="E834" s="1190"/>
      <c r="G834" s="1190"/>
      <c r="I834" s="1190"/>
      <c r="K834" s="1190"/>
      <c r="N834" s="1190"/>
      <c r="U834" s="1189"/>
      <c r="W834" s="1189"/>
      <c r="Y834" s="1190"/>
      <c r="AA834" s="1190"/>
      <c r="AG834" s="701"/>
      <c r="AI834" s="701"/>
      <c r="AY834" s="977"/>
    </row>
    <row r="835" ht="15.75" customHeight="1">
      <c r="A835" s="1004"/>
      <c r="B835" s="1004"/>
      <c r="C835" s="1005"/>
      <c r="D835" s="977"/>
      <c r="E835" s="1190"/>
      <c r="G835" s="1190"/>
      <c r="I835" s="1190"/>
      <c r="K835" s="1190"/>
      <c r="N835" s="1190"/>
      <c r="U835" s="1189"/>
      <c r="W835" s="1189"/>
      <c r="Y835" s="1190"/>
      <c r="AA835" s="1190"/>
      <c r="AG835" s="701"/>
      <c r="AI835" s="701"/>
      <c r="AY835" s="977"/>
    </row>
    <row r="836" ht="15.75" customHeight="1">
      <c r="A836" s="1004"/>
      <c r="B836" s="1004"/>
      <c r="C836" s="1005"/>
      <c r="D836" s="977"/>
      <c r="E836" s="1190"/>
      <c r="G836" s="1190"/>
      <c r="I836" s="1190"/>
      <c r="K836" s="1190"/>
      <c r="N836" s="1190"/>
      <c r="U836" s="1189"/>
      <c r="W836" s="1189"/>
      <c r="Y836" s="1190"/>
      <c r="AA836" s="1190"/>
      <c r="AG836" s="701"/>
      <c r="AI836" s="701"/>
      <c r="AY836" s="977"/>
    </row>
    <row r="837" ht="15.75" customHeight="1">
      <c r="A837" s="1004"/>
      <c r="B837" s="1004"/>
      <c r="C837" s="1005"/>
      <c r="D837" s="977"/>
      <c r="E837" s="1190"/>
      <c r="G837" s="1190"/>
      <c r="I837" s="1190"/>
      <c r="K837" s="1190"/>
      <c r="N837" s="1190"/>
      <c r="U837" s="1189"/>
      <c r="W837" s="1189"/>
      <c r="Y837" s="1190"/>
      <c r="AA837" s="1190"/>
      <c r="AG837" s="701"/>
      <c r="AI837" s="701"/>
      <c r="AY837" s="977"/>
    </row>
    <row r="838" ht="15.75" customHeight="1">
      <c r="A838" s="1004"/>
      <c r="B838" s="1004"/>
      <c r="C838" s="1005"/>
      <c r="D838" s="977"/>
      <c r="E838" s="1190"/>
      <c r="G838" s="1190"/>
      <c r="I838" s="1190"/>
      <c r="K838" s="1190"/>
      <c r="N838" s="1190"/>
      <c r="U838" s="1189"/>
      <c r="W838" s="1189"/>
      <c r="Y838" s="1190"/>
      <c r="AA838" s="1190"/>
      <c r="AG838" s="701"/>
      <c r="AI838" s="701"/>
      <c r="AY838" s="977"/>
    </row>
    <row r="839" ht="15.75" customHeight="1">
      <c r="A839" s="1004"/>
      <c r="B839" s="1004"/>
      <c r="C839" s="1005"/>
      <c r="D839" s="977"/>
      <c r="E839" s="1190"/>
      <c r="G839" s="1190"/>
      <c r="I839" s="1190"/>
      <c r="K839" s="1190"/>
      <c r="N839" s="1190"/>
      <c r="U839" s="1189"/>
      <c r="W839" s="1189"/>
      <c r="Y839" s="1190"/>
      <c r="AA839" s="1190"/>
      <c r="AG839" s="701"/>
      <c r="AI839" s="701"/>
      <c r="AY839" s="977"/>
    </row>
    <row r="840" ht="15.75" customHeight="1">
      <c r="A840" s="1004"/>
      <c r="B840" s="1004"/>
      <c r="C840" s="1005"/>
      <c r="D840" s="977"/>
      <c r="E840" s="1190"/>
      <c r="G840" s="1190"/>
      <c r="I840" s="1190"/>
      <c r="K840" s="1190"/>
      <c r="N840" s="1190"/>
      <c r="U840" s="1189"/>
      <c r="W840" s="1189"/>
      <c r="Y840" s="1190"/>
      <c r="AA840" s="1190"/>
      <c r="AG840" s="701"/>
      <c r="AI840" s="701"/>
      <c r="AY840" s="977"/>
    </row>
    <row r="841" ht="15.75" customHeight="1">
      <c r="A841" s="1004"/>
      <c r="B841" s="1004"/>
      <c r="C841" s="1005"/>
      <c r="D841" s="977"/>
      <c r="E841" s="1190"/>
      <c r="G841" s="1190"/>
      <c r="I841" s="1190"/>
      <c r="K841" s="1190"/>
      <c r="N841" s="1190"/>
      <c r="U841" s="1189"/>
      <c r="W841" s="1189"/>
      <c r="Y841" s="1190"/>
      <c r="AA841" s="1190"/>
      <c r="AG841" s="701"/>
      <c r="AI841" s="701"/>
      <c r="AY841" s="977"/>
    </row>
    <row r="842" ht="15.75" customHeight="1">
      <c r="A842" s="1004"/>
      <c r="B842" s="1004"/>
      <c r="C842" s="1005"/>
      <c r="D842" s="977"/>
      <c r="E842" s="1190"/>
      <c r="G842" s="1190"/>
      <c r="I842" s="1190"/>
      <c r="K842" s="1190"/>
      <c r="N842" s="1190"/>
      <c r="U842" s="1189"/>
      <c r="W842" s="1189"/>
      <c r="Y842" s="1190"/>
      <c r="AA842" s="1190"/>
      <c r="AG842" s="701"/>
      <c r="AI842" s="701"/>
      <c r="AY842" s="977"/>
    </row>
    <row r="843" ht="15.75" customHeight="1">
      <c r="A843" s="1004"/>
      <c r="B843" s="1004"/>
      <c r="C843" s="1005"/>
      <c r="D843" s="977"/>
      <c r="E843" s="1190"/>
      <c r="G843" s="1190"/>
      <c r="I843" s="1190"/>
      <c r="K843" s="1190"/>
      <c r="N843" s="1190"/>
      <c r="U843" s="1189"/>
      <c r="W843" s="1189"/>
      <c r="Y843" s="1190"/>
      <c r="AA843" s="1190"/>
      <c r="AG843" s="701"/>
      <c r="AI843" s="701"/>
      <c r="AY843" s="977"/>
    </row>
    <row r="844" ht="15.75" customHeight="1">
      <c r="A844" s="1004"/>
      <c r="B844" s="1004"/>
      <c r="C844" s="1005"/>
      <c r="D844" s="977"/>
      <c r="E844" s="1190"/>
      <c r="G844" s="1190"/>
      <c r="I844" s="1190"/>
      <c r="K844" s="1190"/>
      <c r="N844" s="1190"/>
      <c r="U844" s="1189"/>
      <c r="W844" s="1189"/>
      <c r="Y844" s="1190"/>
      <c r="AA844" s="1190"/>
      <c r="AG844" s="701"/>
      <c r="AI844" s="701"/>
      <c r="AY844" s="977"/>
    </row>
    <row r="845" ht="15.75" customHeight="1">
      <c r="A845" s="1004"/>
      <c r="B845" s="1004"/>
      <c r="C845" s="1005"/>
      <c r="D845" s="977"/>
      <c r="E845" s="1190"/>
      <c r="G845" s="1190"/>
      <c r="I845" s="1190"/>
      <c r="K845" s="1190"/>
      <c r="N845" s="1190"/>
      <c r="U845" s="1189"/>
      <c r="W845" s="1189"/>
      <c r="Y845" s="1190"/>
      <c r="AA845" s="1190"/>
      <c r="AG845" s="701"/>
      <c r="AI845" s="701"/>
      <c r="AY845" s="977"/>
    </row>
    <row r="846" ht="15.75" customHeight="1">
      <c r="A846" s="1004"/>
      <c r="B846" s="1004"/>
      <c r="C846" s="1005"/>
      <c r="D846" s="977"/>
      <c r="E846" s="1190"/>
      <c r="G846" s="1190"/>
      <c r="I846" s="1190"/>
      <c r="K846" s="1190"/>
      <c r="N846" s="1190"/>
      <c r="U846" s="1189"/>
      <c r="W846" s="1189"/>
      <c r="Y846" s="1190"/>
      <c r="AA846" s="1190"/>
      <c r="AG846" s="701"/>
      <c r="AI846" s="701"/>
      <c r="AY846" s="977"/>
    </row>
    <row r="847" ht="15.75" customHeight="1">
      <c r="A847" s="1004"/>
      <c r="B847" s="1004"/>
      <c r="C847" s="1005"/>
      <c r="D847" s="977"/>
      <c r="E847" s="1190"/>
      <c r="G847" s="1190"/>
      <c r="I847" s="1190"/>
      <c r="K847" s="1190"/>
      <c r="N847" s="1190"/>
      <c r="U847" s="1189"/>
      <c r="W847" s="1189"/>
      <c r="Y847" s="1190"/>
      <c r="AA847" s="1190"/>
      <c r="AG847" s="701"/>
      <c r="AI847" s="701"/>
      <c r="AY847" s="977"/>
    </row>
    <row r="848" ht="15.75" customHeight="1">
      <c r="A848" s="1004"/>
      <c r="B848" s="1004"/>
      <c r="C848" s="1005"/>
      <c r="D848" s="977"/>
      <c r="E848" s="1190"/>
      <c r="G848" s="1190"/>
      <c r="I848" s="1190"/>
      <c r="K848" s="1190"/>
      <c r="N848" s="1190"/>
      <c r="U848" s="1189"/>
      <c r="W848" s="1189"/>
      <c r="Y848" s="1190"/>
      <c r="AA848" s="1190"/>
      <c r="AG848" s="701"/>
      <c r="AI848" s="701"/>
      <c r="AY848" s="977"/>
    </row>
    <row r="849" ht="15.75" customHeight="1">
      <c r="A849" s="1004"/>
      <c r="B849" s="1004"/>
      <c r="C849" s="1005"/>
      <c r="D849" s="977"/>
      <c r="E849" s="1190"/>
      <c r="G849" s="1190"/>
      <c r="I849" s="1190"/>
      <c r="K849" s="1190"/>
      <c r="N849" s="1190"/>
      <c r="U849" s="1189"/>
      <c r="W849" s="1189"/>
      <c r="Y849" s="1190"/>
      <c r="AA849" s="1190"/>
      <c r="AG849" s="701"/>
      <c r="AI849" s="701"/>
      <c r="AY849" s="977"/>
    </row>
    <row r="850" ht="15.75" customHeight="1">
      <c r="A850" s="1004"/>
      <c r="B850" s="1004"/>
      <c r="C850" s="1005"/>
      <c r="D850" s="977"/>
      <c r="E850" s="1190"/>
      <c r="G850" s="1190"/>
      <c r="I850" s="1190"/>
      <c r="K850" s="1190"/>
      <c r="N850" s="1190"/>
      <c r="U850" s="1189"/>
      <c r="W850" s="1189"/>
      <c r="Y850" s="1190"/>
      <c r="AA850" s="1190"/>
      <c r="AG850" s="701"/>
      <c r="AI850" s="701"/>
      <c r="AY850" s="977"/>
    </row>
    <row r="851" ht="15.75" customHeight="1">
      <c r="A851" s="1004"/>
      <c r="B851" s="1004"/>
      <c r="C851" s="1005"/>
      <c r="D851" s="977"/>
      <c r="E851" s="1190"/>
      <c r="G851" s="1190"/>
      <c r="I851" s="1190"/>
      <c r="K851" s="1190"/>
      <c r="N851" s="1190"/>
      <c r="U851" s="1189"/>
      <c r="W851" s="1189"/>
      <c r="Y851" s="1190"/>
      <c r="AA851" s="1190"/>
      <c r="AG851" s="701"/>
      <c r="AI851" s="701"/>
      <c r="AY851" s="977"/>
    </row>
    <row r="852" ht="15.75" customHeight="1">
      <c r="A852" s="1004"/>
      <c r="B852" s="1004"/>
      <c r="C852" s="1005"/>
      <c r="D852" s="977"/>
      <c r="E852" s="1190"/>
      <c r="G852" s="1190"/>
      <c r="I852" s="1190"/>
      <c r="K852" s="1190"/>
      <c r="N852" s="1190"/>
      <c r="U852" s="1189"/>
      <c r="W852" s="1189"/>
      <c r="Y852" s="1190"/>
      <c r="AA852" s="1190"/>
      <c r="AG852" s="701"/>
      <c r="AI852" s="701"/>
      <c r="AY852" s="977"/>
    </row>
    <row r="853" ht="15.75" customHeight="1">
      <c r="A853" s="1004"/>
      <c r="B853" s="1004"/>
      <c r="C853" s="1005"/>
      <c r="D853" s="977"/>
      <c r="E853" s="1190"/>
      <c r="G853" s="1190"/>
      <c r="I853" s="1190"/>
      <c r="K853" s="1190"/>
      <c r="N853" s="1190"/>
      <c r="U853" s="1189"/>
      <c r="W853" s="1189"/>
      <c r="Y853" s="1190"/>
      <c r="AA853" s="1190"/>
      <c r="AG853" s="701"/>
      <c r="AI853" s="701"/>
      <c r="AY853" s="977"/>
    </row>
    <row r="854" ht="15.75" customHeight="1">
      <c r="A854" s="1004"/>
      <c r="B854" s="1004"/>
      <c r="C854" s="1005"/>
      <c r="D854" s="977"/>
      <c r="E854" s="1190"/>
      <c r="G854" s="1190"/>
      <c r="I854" s="1190"/>
      <c r="K854" s="1190"/>
      <c r="N854" s="1190"/>
      <c r="U854" s="1189"/>
      <c r="W854" s="1189"/>
      <c r="Y854" s="1190"/>
      <c r="AA854" s="1190"/>
      <c r="AG854" s="701"/>
      <c r="AI854" s="701"/>
      <c r="AY854" s="977"/>
    </row>
    <row r="855" ht="15.75" customHeight="1">
      <c r="A855" s="1004"/>
      <c r="B855" s="1004"/>
      <c r="C855" s="1005"/>
      <c r="D855" s="977"/>
      <c r="E855" s="1190"/>
      <c r="G855" s="1190"/>
      <c r="I855" s="1190"/>
      <c r="K855" s="1190"/>
      <c r="N855" s="1190"/>
      <c r="U855" s="1189"/>
      <c r="W855" s="1189"/>
      <c r="Y855" s="1190"/>
      <c r="AA855" s="1190"/>
      <c r="AG855" s="701"/>
      <c r="AI855" s="701"/>
      <c r="AY855" s="977"/>
    </row>
    <row r="856" ht="15.75" customHeight="1">
      <c r="A856" s="1004"/>
      <c r="B856" s="1004"/>
      <c r="C856" s="1005"/>
      <c r="D856" s="977"/>
      <c r="E856" s="1190"/>
      <c r="G856" s="1190"/>
      <c r="I856" s="1190"/>
      <c r="K856" s="1190"/>
      <c r="N856" s="1190"/>
      <c r="U856" s="1189"/>
      <c r="W856" s="1189"/>
      <c r="Y856" s="1190"/>
      <c r="AA856" s="1190"/>
      <c r="AG856" s="701"/>
      <c r="AI856" s="701"/>
      <c r="AY856" s="977"/>
    </row>
    <row r="857" ht="15.75" customHeight="1">
      <c r="A857" s="1004"/>
      <c r="B857" s="1004"/>
      <c r="C857" s="1005"/>
      <c r="D857" s="977"/>
      <c r="E857" s="1190"/>
      <c r="G857" s="1190"/>
      <c r="I857" s="1190"/>
      <c r="K857" s="1190"/>
      <c r="N857" s="1190"/>
      <c r="U857" s="1189"/>
      <c r="W857" s="1189"/>
      <c r="Y857" s="1190"/>
      <c r="AA857" s="1190"/>
      <c r="AG857" s="701"/>
      <c r="AI857" s="701"/>
      <c r="AY857" s="977"/>
    </row>
    <row r="858" ht="15.75" customHeight="1">
      <c r="A858" s="1004"/>
      <c r="B858" s="1004"/>
      <c r="C858" s="1005"/>
      <c r="D858" s="977"/>
      <c r="E858" s="1190"/>
      <c r="G858" s="1190"/>
      <c r="I858" s="1190"/>
      <c r="K858" s="1190"/>
      <c r="N858" s="1190"/>
      <c r="U858" s="1189"/>
      <c r="W858" s="1189"/>
      <c r="Y858" s="1190"/>
      <c r="AA858" s="1190"/>
      <c r="AG858" s="701"/>
      <c r="AI858" s="701"/>
      <c r="AY858" s="977"/>
    </row>
    <row r="859" ht="15.75" customHeight="1">
      <c r="A859" s="1004"/>
      <c r="B859" s="1004"/>
      <c r="C859" s="1005"/>
      <c r="D859" s="977"/>
      <c r="E859" s="1190"/>
      <c r="G859" s="1190"/>
      <c r="I859" s="1190"/>
      <c r="K859" s="1190"/>
      <c r="N859" s="1190"/>
      <c r="U859" s="1189"/>
      <c r="W859" s="1189"/>
      <c r="Y859" s="1190"/>
      <c r="AA859" s="1190"/>
      <c r="AG859" s="701"/>
      <c r="AI859" s="701"/>
      <c r="AY859" s="977"/>
    </row>
    <row r="860" ht="15.75" customHeight="1">
      <c r="A860" s="1004"/>
      <c r="B860" s="1004"/>
      <c r="C860" s="1005"/>
      <c r="D860" s="977"/>
      <c r="E860" s="1190"/>
      <c r="G860" s="1190"/>
      <c r="I860" s="1190"/>
      <c r="K860" s="1190"/>
      <c r="N860" s="1190"/>
      <c r="U860" s="1189"/>
      <c r="W860" s="1189"/>
      <c r="Y860" s="1190"/>
      <c r="AA860" s="1190"/>
      <c r="AG860" s="701"/>
      <c r="AI860" s="701"/>
      <c r="AY860" s="977"/>
    </row>
    <row r="861" ht="15.75" customHeight="1">
      <c r="A861" s="1004"/>
      <c r="B861" s="1004"/>
      <c r="C861" s="1005"/>
      <c r="D861" s="977"/>
      <c r="E861" s="1190"/>
      <c r="G861" s="1190"/>
      <c r="I861" s="1190"/>
      <c r="K861" s="1190"/>
      <c r="N861" s="1190"/>
      <c r="U861" s="1189"/>
      <c r="W861" s="1189"/>
      <c r="Y861" s="1190"/>
      <c r="AA861" s="1190"/>
      <c r="AG861" s="701"/>
      <c r="AI861" s="701"/>
      <c r="AY861" s="977"/>
    </row>
    <row r="862" ht="15.75" customHeight="1">
      <c r="A862" s="1004"/>
      <c r="B862" s="1004"/>
      <c r="C862" s="1005"/>
      <c r="D862" s="977"/>
      <c r="E862" s="1190"/>
      <c r="G862" s="1190"/>
      <c r="I862" s="1190"/>
      <c r="K862" s="1190"/>
      <c r="N862" s="1190"/>
      <c r="U862" s="1189"/>
      <c r="W862" s="1189"/>
      <c r="Y862" s="1190"/>
      <c r="AA862" s="1190"/>
      <c r="AG862" s="701"/>
      <c r="AI862" s="701"/>
      <c r="AY862" s="977"/>
    </row>
    <row r="863" ht="15.75" customHeight="1">
      <c r="A863" s="1004"/>
      <c r="B863" s="1004"/>
      <c r="C863" s="1005"/>
      <c r="D863" s="977"/>
      <c r="E863" s="1190"/>
      <c r="G863" s="1190"/>
      <c r="I863" s="1190"/>
      <c r="K863" s="1190"/>
      <c r="N863" s="1190"/>
      <c r="U863" s="1189"/>
      <c r="W863" s="1189"/>
      <c r="Y863" s="1190"/>
      <c r="AA863" s="1190"/>
      <c r="AG863" s="701"/>
      <c r="AI863" s="701"/>
      <c r="AY863" s="977"/>
    </row>
    <row r="864" ht="15.75" customHeight="1">
      <c r="A864" s="1004"/>
      <c r="B864" s="1004"/>
      <c r="C864" s="1005"/>
      <c r="D864" s="977"/>
      <c r="E864" s="1190"/>
      <c r="G864" s="1190"/>
      <c r="I864" s="1190"/>
      <c r="K864" s="1190"/>
      <c r="N864" s="1190"/>
      <c r="U864" s="1189"/>
      <c r="W864" s="1189"/>
      <c r="Y864" s="1190"/>
      <c r="AA864" s="1190"/>
      <c r="AG864" s="701"/>
      <c r="AI864" s="701"/>
      <c r="AY864" s="977"/>
    </row>
    <row r="865" ht="15.75" customHeight="1">
      <c r="A865" s="1004"/>
      <c r="B865" s="1004"/>
      <c r="C865" s="1005"/>
      <c r="D865" s="977"/>
      <c r="E865" s="1190"/>
      <c r="G865" s="1190"/>
      <c r="I865" s="1190"/>
      <c r="K865" s="1190"/>
      <c r="N865" s="1190"/>
      <c r="U865" s="1189"/>
      <c r="W865" s="1189"/>
      <c r="Y865" s="1190"/>
      <c r="AA865" s="1190"/>
      <c r="AG865" s="701"/>
      <c r="AI865" s="701"/>
      <c r="AY865" s="977"/>
    </row>
    <row r="866" ht="15.75" customHeight="1">
      <c r="A866" s="1004"/>
      <c r="B866" s="1004"/>
      <c r="C866" s="1005"/>
      <c r="D866" s="977"/>
      <c r="E866" s="1190"/>
      <c r="G866" s="1190"/>
      <c r="I866" s="1190"/>
      <c r="K866" s="1190"/>
      <c r="N866" s="1190"/>
      <c r="U866" s="1189"/>
      <c r="W866" s="1189"/>
      <c r="Y866" s="1190"/>
      <c r="AA866" s="1190"/>
      <c r="AG866" s="701"/>
      <c r="AI866" s="701"/>
      <c r="AY866" s="977"/>
    </row>
    <row r="867" ht="15.75" customHeight="1">
      <c r="A867" s="1004"/>
      <c r="B867" s="1004"/>
      <c r="C867" s="1005"/>
      <c r="D867" s="977"/>
      <c r="E867" s="1190"/>
      <c r="G867" s="1190"/>
      <c r="I867" s="1190"/>
      <c r="K867" s="1190"/>
      <c r="N867" s="1190"/>
      <c r="U867" s="1189"/>
      <c r="W867" s="1189"/>
      <c r="Y867" s="1190"/>
      <c r="AA867" s="1190"/>
      <c r="AG867" s="701"/>
      <c r="AI867" s="701"/>
      <c r="AY867" s="977"/>
    </row>
    <row r="868" ht="15.75" customHeight="1">
      <c r="A868" s="1004"/>
      <c r="B868" s="1004"/>
      <c r="C868" s="1005"/>
      <c r="D868" s="977"/>
      <c r="E868" s="1190"/>
      <c r="G868" s="1190"/>
      <c r="I868" s="1190"/>
      <c r="K868" s="1190"/>
      <c r="N868" s="1190"/>
      <c r="U868" s="1189"/>
      <c r="W868" s="1189"/>
      <c r="Y868" s="1190"/>
      <c r="AA868" s="1190"/>
      <c r="AG868" s="701"/>
      <c r="AI868" s="701"/>
      <c r="AY868" s="977"/>
    </row>
    <row r="869" ht="15.75" customHeight="1">
      <c r="A869" s="1004"/>
      <c r="B869" s="1004"/>
      <c r="C869" s="1005"/>
      <c r="D869" s="977"/>
      <c r="E869" s="1190"/>
      <c r="G869" s="1190"/>
      <c r="I869" s="1190"/>
      <c r="K869" s="1190"/>
      <c r="N869" s="1190"/>
      <c r="U869" s="1189"/>
      <c r="W869" s="1189"/>
      <c r="Y869" s="1190"/>
      <c r="AA869" s="1190"/>
      <c r="AG869" s="701"/>
      <c r="AI869" s="701"/>
      <c r="AY869" s="977"/>
    </row>
    <row r="870" ht="15.75" customHeight="1">
      <c r="A870" s="1004"/>
      <c r="B870" s="1004"/>
      <c r="C870" s="1005"/>
      <c r="D870" s="977"/>
      <c r="E870" s="1190"/>
      <c r="G870" s="1190"/>
      <c r="I870" s="1190"/>
      <c r="K870" s="1190"/>
      <c r="N870" s="1190"/>
      <c r="U870" s="1189"/>
      <c r="W870" s="1189"/>
      <c r="Y870" s="1190"/>
      <c r="AA870" s="1190"/>
      <c r="AG870" s="701"/>
      <c r="AI870" s="701"/>
      <c r="AY870" s="977"/>
    </row>
    <row r="871" ht="15.75" customHeight="1">
      <c r="A871" s="1004"/>
      <c r="B871" s="1004"/>
      <c r="C871" s="1005"/>
      <c r="D871" s="977"/>
      <c r="E871" s="1190"/>
      <c r="G871" s="1190"/>
      <c r="I871" s="1190"/>
      <c r="K871" s="1190"/>
      <c r="N871" s="1190"/>
      <c r="U871" s="1189"/>
      <c r="W871" s="1189"/>
      <c r="Y871" s="1190"/>
      <c r="AA871" s="1190"/>
      <c r="AG871" s="701"/>
      <c r="AI871" s="701"/>
      <c r="AY871" s="977"/>
    </row>
    <row r="872" ht="15.75" customHeight="1">
      <c r="A872" s="1004"/>
      <c r="B872" s="1004"/>
      <c r="C872" s="1005"/>
      <c r="D872" s="977"/>
      <c r="E872" s="1190"/>
      <c r="G872" s="1190"/>
      <c r="I872" s="1190"/>
      <c r="K872" s="1190"/>
      <c r="N872" s="1190"/>
      <c r="U872" s="1189"/>
      <c r="W872" s="1189"/>
      <c r="Y872" s="1190"/>
      <c r="AA872" s="1190"/>
      <c r="AG872" s="701"/>
      <c r="AI872" s="701"/>
      <c r="AY872" s="977"/>
    </row>
    <row r="873" ht="15.75" customHeight="1">
      <c r="A873" s="1004"/>
      <c r="B873" s="1004"/>
      <c r="C873" s="1005"/>
      <c r="D873" s="977"/>
      <c r="E873" s="1190"/>
      <c r="G873" s="1190"/>
      <c r="I873" s="1190"/>
      <c r="K873" s="1190"/>
      <c r="N873" s="1190"/>
      <c r="U873" s="1189"/>
      <c r="W873" s="1189"/>
      <c r="Y873" s="1190"/>
      <c r="AA873" s="1190"/>
      <c r="AG873" s="701"/>
      <c r="AI873" s="701"/>
      <c r="AY873" s="977"/>
    </row>
    <row r="874" ht="15.75" customHeight="1">
      <c r="A874" s="1004"/>
      <c r="B874" s="1004"/>
      <c r="C874" s="1005"/>
      <c r="D874" s="977"/>
      <c r="E874" s="1190"/>
      <c r="G874" s="1190"/>
      <c r="I874" s="1190"/>
      <c r="K874" s="1190"/>
      <c r="N874" s="1190"/>
      <c r="U874" s="1189"/>
      <c r="W874" s="1189"/>
      <c r="Y874" s="1190"/>
      <c r="AA874" s="1190"/>
      <c r="AG874" s="701"/>
      <c r="AI874" s="701"/>
      <c r="AY874" s="977"/>
    </row>
    <row r="875" ht="15.75" customHeight="1">
      <c r="A875" s="1004"/>
      <c r="B875" s="1004"/>
      <c r="C875" s="1005"/>
      <c r="D875" s="977"/>
      <c r="E875" s="1190"/>
      <c r="G875" s="1190"/>
      <c r="I875" s="1190"/>
      <c r="K875" s="1190"/>
      <c r="N875" s="1190"/>
      <c r="U875" s="1189"/>
      <c r="W875" s="1189"/>
      <c r="Y875" s="1190"/>
      <c r="AA875" s="1190"/>
      <c r="AG875" s="701"/>
      <c r="AI875" s="701"/>
      <c r="AY875" s="977"/>
    </row>
    <row r="876" ht="15.75" customHeight="1">
      <c r="A876" s="1004"/>
      <c r="B876" s="1004"/>
      <c r="C876" s="1005"/>
      <c r="D876" s="977"/>
      <c r="E876" s="1190"/>
      <c r="G876" s="1190"/>
      <c r="I876" s="1190"/>
      <c r="K876" s="1190"/>
      <c r="N876" s="1190"/>
      <c r="U876" s="1189"/>
      <c r="W876" s="1189"/>
      <c r="Y876" s="1190"/>
      <c r="AA876" s="1190"/>
      <c r="AG876" s="701"/>
      <c r="AI876" s="701"/>
      <c r="AY876" s="977"/>
    </row>
    <row r="877" ht="15.75" customHeight="1">
      <c r="A877" s="1004"/>
      <c r="B877" s="1004"/>
      <c r="C877" s="1005"/>
      <c r="D877" s="977"/>
      <c r="E877" s="1190"/>
      <c r="G877" s="1190"/>
      <c r="I877" s="1190"/>
      <c r="K877" s="1190"/>
      <c r="N877" s="1190"/>
      <c r="U877" s="1189"/>
      <c r="W877" s="1189"/>
      <c r="Y877" s="1190"/>
      <c r="AA877" s="1190"/>
      <c r="AG877" s="701"/>
      <c r="AI877" s="701"/>
      <c r="AY877" s="977"/>
    </row>
    <row r="878" ht="15.75" customHeight="1">
      <c r="A878" s="1004"/>
      <c r="B878" s="1004"/>
      <c r="C878" s="1005"/>
      <c r="D878" s="977"/>
      <c r="E878" s="1190"/>
      <c r="G878" s="1190"/>
      <c r="I878" s="1190"/>
      <c r="K878" s="1190"/>
      <c r="N878" s="1190"/>
      <c r="U878" s="1189"/>
      <c r="W878" s="1189"/>
      <c r="Y878" s="1190"/>
      <c r="AA878" s="1190"/>
      <c r="AG878" s="701"/>
      <c r="AI878" s="701"/>
      <c r="AY878" s="977"/>
    </row>
    <row r="879" ht="15.75" customHeight="1">
      <c r="A879" s="1004"/>
      <c r="B879" s="1004"/>
      <c r="C879" s="1005"/>
      <c r="D879" s="977"/>
      <c r="E879" s="1190"/>
      <c r="G879" s="1190"/>
      <c r="I879" s="1190"/>
      <c r="K879" s="1190"/>
      <c r="N879" s="1190"/>
      <c r="U879" s="1189"/>
      <c r="W879" s="1189"/>
      <c r="Y879" s="1190"/>
      <c r="AA879" s="1190"/>
      <c r="AG879" s="701"/>
      <c r="AI879" s="701"/>
      <c r="AY879" s="977"/>
    </row>
    <row r="880" ht="15.75" customHeight="1">
      <c r="A880" s="1004"/>
      <c r="B880" s="1004"/>
      <c r="C880" s="1005"/>
      <c r="D880" s="977"/>
      <c r="E880" s="1190"/>
      <c r="G880" s="1190"/>
      <c r="I880" s="1190"/>
      <c r="K880" s="1190"/>
      <c r="N880" s="1190"/>
      <c r="U880" s="1189"/>
      <c r="W880" s="1189"/>
      <c r="Y880" s="1190"/>
      <c r="AA880" s="1190"/>
      <c r="AG880" s="701"/>
      <c r="AI880" s="701"/>
      <c r="AY880" s="977"/>
    </row>
    <row r="881" ht="15.75" customHeight="1">
      <c r="A881" s="1004"/>
      <c r="B881" s="1004"/>
      <c r="C881" s="1005"/>
      <c r="D881" s="977"/>
      <c r="E881" s="1190"/>
      <c r="G881" s="1190"/>
      <c r="I881" s="1190"/>
      <c r="K881" s="1190"/>
      <c r="N881" s="1190"/>
      <c r="U881" s="1189"/>
      <c r="W881" s="1189"/>
      <c r="Y881" s="1190"/>
      <c r="AA881" s="1190"/>
      <c r="AG881" s="701"/>
      <c r="AI881" s="701"/>
      <c r="AY881" s="977"/>
    </row>
    <row r="882" ht="15.75" customHeight="1">
      <c r="A882" s="1004"/>
      <c r="B882" s="1004"/>
      <c r="C882" s="1005"/>
      <c r="D882" s="977"/>
      <c r="E882" s="1190"/>
      <c r="G882" s="1190"/>
      <c r="I882" s="1190"/>
      <c r="K882" s="1190"/>
      <c r="N882" s="1190"/>
      <c r="U882" s="1189"/>
      <c r="W882" s="1189"/>
      <c r="Y882" s="1190"/>
      <c r="AA882" s="1190"/>
      <c r="AG882" s="701"/>
      <c r="AI882" s="701"/>
      <c r="AY882" s="977"/>
    </row>
    <row r="883" ht="15.75" customHeight="1">
      <c r="A883" s="1004"/>
      <c r="B883" s="1004"/>
      <c r="C883" s="1005"/>
      <c r="D883" s="977"/>
      <c r="E883" s="1190"/>
      <c r="G883" s="1190"/>
      <c r="I883" s="1190"/>
      <c r="K883" s="1190"/>
      <c r="N883" s="1190"/>
      <c r="U883" s="1189"/>
      <c r="W883" s="1189"/>
      <c r="Y883" s="1190"/>
      <c r="AA883" s="1190"/>
      <c r="AG883" s="701"/>
      <c r="AI883" s="701"/>
      <c r="AY883" s="977"/>
    </row>
    <row r="884" ht="15.75" customHeight="1">
      <c r="A884" s="1004"/>
      <c r="B884" s="1004"/>
      <c r="C884" s="1005"/>
      <c r="D884" s="977"/>
      <c r="E884" s="1190"/>
      <c r="G884" s="1190"/>
      <c r="I884" s="1190"/>
      <c r="K884" s="1190"/>
      <c r="N884" s="1190"/>
      <c r="U884" s="1189"/>
      <c r="W884" s="1189"/>
      <c r="Y884" s="1190"/>
      <c r="AA884" s="1190"/>
      <c r="AG884" s="701"/>
      <c r="AI884" s="701"/>
      <c r="AY884" s="977"/>
    </row>
    <row r="885" ht="15.75" customHeight="1">
      <c r="A885" s="1004"/>
      <c r="B885" s="1004"/>
      <c r="C885" s="1005"/>
      <c r="D885" s="977"/>
      <c r="E885" s="1190"/>
      <c r="G885" s="1190"/>
      <c r="I885" s="1190"/>
      <c r="K885" s="1190"/>
      <c r="N885" s="1190"/>
      <c r="U885" s="1189"/>
      <c r="W885" s="1189"/>
      <c r="Y885" s="1190"/>
      <c r="AA885" s="1190"/>
      <c r="AG885" s="701"/>
      <c r="AI885" s="701"/>
      <c r="AY885" s="977"/>
    </row>
    <row r="886" ht="15.75" customHeight="1">
      <c r="A886" s="1004"/>
      <c r="B886" s="1004"/>
      <c r="C886" s="1005"/>
      <c r="D886" s="977"/>
      <c r="E886" s="1190"/>
      <c r="G886" s="1190"/>
      <c r="I886" s="1190"/>
      <c r="K886" s="1190"/>
      <c r="N886" s="1190"/>
      <c r="U886" s="1189"/>
      <c r="W886" s="1189"/>
      <c r="Y886" s="1190"/>
      <c r="AA886" s="1190"/>
      <c r="AG886" s="701"/>
      <c r="AI886" s="701"/>
      <c r="AY886" s="977"/>
    </row>
    <row r="887" ht="15.75" customHeight="1">
      <c r="A887" s="1004"/>
      <c r="B887" s="1004"/>
      <c r="C887" s="1005"/>
      <c r="D887" s="977"/>
      <c r="E887" s="1190"/>
      <c r="G887" s="1190"/>
      <c r="I887" s="1190"/>
      <c r="K887" s="1190"/>
      <c r="N887" s="1190"/>
      <c r="U887" s="1189"/>
      <c r="W887" s="1189"/>
      <c r="Y887" s="1190"/>
      <c r="AA887" s="1190"/>
      <c r="AG887" s="701"/>
      <c r="AI887" s="701"/>
      <c r="AY887" s="977"/>
    </row>
    <row r="888" ht="15.75" customHeight="1">
      <c r="A888" s="1004"/>
      <c r="B888" s="1004"/>
      <c r="C888" s="1005"/>
      <c r="D888" s="977"/>
      <c r="E888" s="1190"/>
      <c r="G888" s="1190"/>
      <c r="I888" s="1190"/>
      <c r="K888" s="1190"/>
      <c r="N888" s="1190"/>
      <c r="U888" s="1189"/>
      <c r="W888" s="1189"/>
      <c r="Y888" s="1190"/>
      <c r="AA888" s="1190"/>
      <c r="AG888" s="701"/>
      <c r="AI888" s="701"/>
      <c r="AY888" s="977"/>
    </row>
    <row r="889" ht="15.75" customHeight="1">
      <c r="A889" s="1004"/>
      <c r="B889" s="1004"/>
      <c r="C889" s="1005"/>
      <c r="D889" s="977"/>
      <c r="E889" s="1190"/>
      <c r="G889" s="1190"/>
      <c r="I889" s="1190"/>
      <c r="K889" s="1190"/>
      <c r="N889" s="1190"/>
      <c r="U889" s="1189"/>
      <c r="W889" s="1189"/>
      <c r="Y889" s="1190"/>
      <c r="AA889" s="1190"/>
      <c r="AG889" s="701"/>
      <c r="AI889" s="701"/>
      <c r="AY889" s="977"/>
    </row>
    <row r="890" ht="15.75" customHeight="1">
      <c r="A890" s="1004"/>
      <c r="B890" s="1004"/>
      <c r="C890" s="1005"/>
      <c r="D890" s="977"/>
      <c r="E890" s="1190"/>
      <c r="G890" s="1190"/>
      <c r="I890" s="1190"/>
      <c r="K890" s="1190"/>
      <c r="N890" s="1190"/>
      <c r="U890" s="1189"/>
      <c r="W890" s="1189"/>
      <c r="Y890" s="1190"/>
      <c r="AA890" s="1190"/>
      <c r="AG890" s="701"/>
      <c r="AI890" s="701"/>
      <c r="AY890" s="977"/>
    </row>
    <row r="891" ht="15.75" customHeight="1">
      <c r="A891" s="1004"/>
      <c r="B891" s="1004"/>
      <c r="C891" s="1005"/>
      <c r="D891" s="977"/>
      <c r="E891" s="1190"/>
      <c r="G891" s="1190"/>
      <c r="I891" s="1190"/>
      <c r="K891" s="1190"/>
      <c r="N891" s="1190"/>
      <c r="U891" s="1189"/>
      <c r="W891" s="1189"/>
      <c r="Y891" s="1190"/>
      <c r="AA891" s="1190"/>
      <c r="AG891" s="701"/>
      <c r="AI891" s="701"/>
      <c r="AY891" s="977"/>
    </row>
    <row r="892" ht="15.75" customHeight="1">
      <c r="A892" s="1004"/>
      <c r="B892" s="1004"/>
      <c r="C892" s="1005"/>
      <c r="D892" s="977"/>
      <c r="E892" s="1190"/>
      <c r="G892" s="1190"/>
      <c r="I892" s="1190"/>
      <c r="K892" s="1190"/>
      <c r="N892" s="1190"/>
      <c r="U892" s="1189"/>
      <c r="W892" s="1189"/>
      <c r="Y892" s="1190"/>
      <c r="AA892" s="1190"/>
      <c r="AG892" s="701"/>
      <c r="AI892" s="701"/>
      <c r="AY892" s="977"/>
    </row>
    <row r="893" ht="15.75" customHeight="1">
      <c r="A893" s="1004"/>
      <c r="B893" s="1004"/>
      <c r="C893" s="1005"/>
      <c r="D893" s="977"/>
      <c r="E893" s="1190"/>
      <c r="G893" s="1190"/>
      <c r="I893" s="1190"/>
      <c r="K893" s="1190"/>
      <c r="N893" s="1190"/>
      <c r="U893" s="1189"/>
      <c r="W893" s="1189"/>
      <c r="Y893" s="1190"/>
      <c r="AA893" s="1190"/>
      <c r="AG893" s="701"/>
      <c r="AI893" s="701"/>
      <c r="AY893" s="977"/>
    </row>
    <row r="894" ht="15.75" customHeight="1">
      <c r="A894" s="1004"/>
      <c r="B894" s="1004"/>
      <c r="C894" s="1005"/>
      <c r="D894" s="977"/>
      <c r="E894" s="1190"/>
      <c r="G894" s="1190"/>
      <c r="I894" s="1190"/>
      <c r="K894" s="1190"/>
      <c r="N894" s="1190"/>
      <c r="U894" s="1189"/>
      <c r="W894" s="1189"/>
      <c r="Y894" s="1190"/>
      <c r="AA894" s="1190"/>
      <c r="AG894" s="701"/>
      <c r="AI894" s="701"/>
      <c r="AY894" s="977"/>
    </row>
    <row r="895" ht="15.75" customHeight="1">
      <c r="A895" s="1004"/>
      <c r="B895" s="1004"/>
      <c r="C895" s="1005"/>
      <c r="D895" s="977"/>
      <c r="E895" s="1190"/>
      <c r="G895" s="1190"/>
      <c r="I895" s="1190"/>
      <c r="K895" s="1190"/>
      <c r="N895" s="1190"/>
      <c r="U895" s="1189"/>
      <c r="W895" s="1189"/>
      <c r="Y895" s="1190"/>
      <c r="AA895" s="1190"/>
      <c r="AG895" s="701"/>
      <c r="AI895" s="701"/>
      <c r="AY895" s="977"/>
    </row>
    <row r="896" ht="15.75" customHeight="1">
      <c r="A896" s="1004"/>
      <c r="B896" s="1004"/>
      <c r="C896" s="1005"/>
      <c r="D896" s="977"/>
      <c r="E896" s="1190"/>
      <c r="G896" s="1190"/>
      <c r="I896" s="1190"/>
      <c r="K896" s="1190"/>
      <c r="N896" s="1190"/>
      <c r="U896" s="1189"/>
      <c r="W896" s="1189"/>
      <c r="Y896" s="1190"/>
      <c r="AA896" s="1190"/>
      <c r="AG896" s="701"/>
      <c r="AI896" s="701"/>
      <c r="AY896" s="977"/>
    </row>
    <row r="897" ht="15.75" customHeight="1">
      <c r="A897" s="1004"/>
      <c r="B897" s="1004"/>
      <c r="C897" s="1005"/>
      <c r="D897" s="977"/>
      <c r="E897" s="1190"/>
      <c r="G897" s="1190"/>
      <c r="I897" s="1190"/>
      <c r="K897" s="1190"/>
      <c r="N897" s="1190"/>
      <c r="U897" s="1189"/>
      <c r="W897" s="1189"/>
      <c r="Y897" s="1190"/>
      <c r="AA897" s="1190"/>
      <c r="AG897" s="701"/>
      <c r="AI897" s="701"/>
      <c r="AY897" s="977"/>
    </row>
    <row r="898" ht="15.75" customHeight="1">
      <c r="A898" s="1004"/>
      <c r="B898" s="1004"/>
      <c r="C898" s="1005"/>
      <c r="D898" s="977"/>
      <c r="E898" s="1190"/>
      <c r="G898" s="1190"/>
      <c r="I898" s="1190"/>
      <c r="K898" s="1190"/>
      <c r="N898" s="1190"/>
      <c r="U898" s="1189"/>
      <c r="W898" s="1189"/>
      <c r="Y898" s="1190"/>
      <c r="AA898" s="1190"/>
      <c r="AG898" s="701"/>
      <c r="AI898" s="701"/>
      <c r="AY898" s="977"/>
    </row>
    <row r="899" ht="15.75" customHeight="1">
      <c r="A899" s="1004"/>
      <c r="B899" s="1004"/>
      <c r="C899" s="1005"/>
      <c r="D899" s="977"/>
      <c r="E899" s="1190"/>
      <c r="G899" s="1190"/>
      <c r="I899" s="1190"/>
      <c r="K899" s="1190"/>
      <c r="N899" s="1190"/>
      <c r="U899" s="1189"/>
      <c r="W899" s="1189"/>
      <c r="Y899" s="1190"/>
      <c r="AA899" s="1190"/>
      <c r="AG899" s="701"/>
      <c r="AI899" s="701"/>
      <c r="AY899" s="977"/>
    </row>
    <row r="900" ht="15.75" customHeight="1">
      <c r="A900" s="1004"/>
      <c r="B900" s="1004"/>
      <c r="C900" s="1005"/>
      <c r="D900" s="977"/>
      <c r="E900" s="1190"/>
      <c r="G900" s="1190"/>
      <c r="I900" s="1190"/>
      <c r="K900" s="1190"/>
      <c r="N900" s="1190"/>
      <c r="U900" s="1189"/>
      <c r="W900" s="1189"/>
      <c r="Y900" s="1190"/>
      <c r="AA900" s="1190"/>
      <c r="AG900" s="701"/>
      <c r="AI900" s="701"/>
      <c r="AY900" s="977"/>
    </row>
    <row r="901" ht="15.75" customHeight="1">
      <c r="A901" s="1004"/>
      <c r="B901" s="1004"/>
      <c r="C901" s="1005"/>
      <c r="D901" s="977"/>
      <c r="E901" s="1190"/>
      <c r="G901" s="1190"/>
      <c r="I901" s="1190"/>
      <c r="K901" s="1190"/>
      <c r="N901" s="1190"/>
      <c r="U901" s="1189"/>
      <c r="W901" s="1189"/>
      <c r="Y901" s="1190"/>
      <c r="AA901" s="1190"/>
      <c r="AG901" s="701"/>
      <c r="AI901" s="701"/>
      <c r="AY901" s="977"/>
    </row>
    <row r="902" ht="15.75" customHeight="1">
      <c r="A902" s="1004"/>
      <c r="B902" s="1004"/>
      <c r="C902" s="1005"/>
      <c r="D902" s="977"/>
      <c r="E902" s="1190"/>
      <c r="G902" s="1190"/>
      <c r="I902" s="1190"/>
      <c r="K902" s="1190"/>
      <c r="N902" s="1190"/>
      <c r="U902" s="1189"/>
      <c r="W902" s="1189"/>
      <c r="Y902" s="1190"/>
      <c r="AA902" s="1190"/>
      <c r="AG902" s="701"/>
      <c r="AI902" s="701"/>
      <c r="AY902" s="977"/>
    </row>
    <row r="903" ht="15.75" customHeight="1">
      <c r="A903" s="1004"/>
      <c r="B903" s="1004"/>
      <c r="C903" s="1005"/>
      <c r="D903" s="977"/>
      <c r="E903" s="1190"/>
      <c r="G903" s="1190"/>
      <c r="I903" s="1190"/>
      <c r="K903" s="1190"/>
      <c r="N903" s="1190"/>
      <c r="U903" s="1189"/>
      <c r="W903" s="1189"/>
      <c r="Y903" s="1190"/>
      <c r="AA903" s="1190"/>
      <c r="AG903" s="701"/>
      <c r="AI903" s="701"/>
      <c r="AY903" s="977"/>
    </row>
    <row r="904" ht="15.75" customHeight="1">
      <c r="A904" s="1004"/>
      <c r="B904" s="1004"/>
      <c r="C904" s="1005"/>
      <c r="D904" s="977"/>
      <c r="E904" s="1190"/>
      <c r="G904" s="1190"/>
      <c r="I904" s="1190"/>
      <c r="K904" s="1190"/>
      <c r="N904" s="1190"/>
      <c r="U904" s="1189"/>
      <c r="W904" s="1189"/>
      <c r="Y904" s="1190"/>
      <c r="AA904" s="1190"/>
      <c r="AG904" s="701"/>
      <c r="AI904" s="701"/>
      <c r="AY904" s="977"/>
    </row>
    <row r="905" ht="15.75" customHeight="1">
      <c r="A905" s="1004"/>
      <c r="B905" s="1004"/>
      <c r="C905" s="1005"/>
      <c r="D905" s="977"/>
      <c r="E905" s="1190"/>
      <c r="G905" s="1190"/>
      <c r="I905" s="1190"/>
      <c r="K905" s="1190"/>
      <c r="N905" s="1190"/>
      <c r="U905" s="1189"/>
      <c r="W905" s="1189"/>
      <c r="Y905" s="1190"/>
      <c r="AA905" s="1190"/>
      <c r="AG905" s="701"/>
      <c r="AI905" s="701"/>
      <c r="AY905" s="977"/>
    </row>
    <row r="906" ht="15.75" customHeight="1">
      <c r="A906" s="1004"/>
      <c r="B906" s="1004"/>
      <c r="C906" s="1005"/>
      <c r="D906" s="977"/>
      <c r="E906" s="1190"/>
      <c r="G906" s="1190"/>
      <c r="I906" s="1190"/>
      <c r="K906" s="1190"/>
      <c r="N906" s="1190"/>
      <c r="U906" s="1189"/>
      <c r="W906" s="1189"/>
      <c r="Y906" s="1190"/>
      <c r="AA906" s="1190"/>
      <c r="AG906" s="701"/>
      <c r="AI906" s="701"/>
      <c r="AY906" s="977"/>
    </row>
    <row r="907" ht="15.75" customHeight="1">
      <c r="A907" s="1004"/>
      <c r="B907" s="1004"/>
      <c r="C907" s="1005"/>
      <c r="D907" s="977"/>
      <c r="E907" s="1190"/>
      <c r="G907" s="1190"/>
      <c r="I907" s="1190"/>
      <c r="K907" s="1190"/>
      <c r="N907" s="1190"/>
      <c r="U907" s="1189"/>
      <c r="W907" s="1189"/>
      <c r="Y907" s="1190"/>
      <c r="AA907" s="1190"/>
      <c r="AG907" s="701"/>
      <c r="AI907" s="701"/>
      <c r="AY907" s="977"/>
    </row>
    <row r="908" ht="15.75" customHeight="1">
      <c r="A908" s="1004"/>
      <c r="B908" s="1004"/>
      <c r="C908" s="1005"/>
      <c r="D908" s="977"/>
      <c r="E908" s="1190"/>
      <c r="G908" s="1190"/>
      <c r="I908" s="1190"/>
      <c r="K908" s="1190"/>
      <c r="N908" s="1190"/>
      <c r="U908" s="1189"/>
      <c r="W908" s="1189"/>
      <c r="Y908" s="1190"/>
      <c r="AA908" s="1190"/>
      <c r="AG908" s="701"/>
      <c r="AI908" s="701"/>
      <c r="AY908" s="977"/>
    </row>
    <row r="909" ht="15.75" customHeight="1">
      <c r="A909" s="1004"/>
      <c r="B909" s="1004"/>
      <c r="C909" s="1005"/>
      <c r="D909" s="977"/>
      <c r="E909" s="1190"/>
      <c r="G909" s="1190"/>
      <c r="I909" s="1190"/>
      <c r="K909" s="1190"/>
      <c r="N909" s="1190"/>
      <c r="U909" s="1189"/>
      <c r="W909" s="1189"/>
      <c r="Y909" s="1190"/>
      <c r="AA909" s="1190"/>
      <c r="AG909" s="701"/>
      <c r="AI909" s="701"/>
      <c r="AY909" s="977"/>
    </row>
    <row r="910" ht="15.75" customHeight="1">
      <c r="A910" s="1004"/>
      <c r="B910" s="1004"/>
      <c r="C910" s="1005"/>
      <c r="D910" s="977"/>
      <c r="E910" s="1190"/>
      <c r="G910" s="1190"/>
      <c r="I910" s="1190"/>
      <c r="K910" s="1190"/>
      <c r="N910" s="1190"/>
      <c r="U910" s="1189"/>
      <c r="W910" s="1189"/>
      <c r="Y910" s="1190"/>
      <c r="AA910" s="1190"/>
      <c r="AG910" s="701"/>
      <c r="AI910" s="701"/>
      <c r="AY910" s="977"/>
    </row>
    <row r="911" ht="15.75" customHeight="1">
      <c r="A911" s="1004"/>
      <c r="B911" s="1004"/>
      <c r="C911" s="1005"/>
      <c r="D911" s="977"/>
      <c r="E911" s="1190"/>
      <c r="G911" s="1190"/>
      <c r="I911" s="1190"/>
      <c r="K911" s="1190"/>
      <c r="N911" s="1190"/>
      <c r="U911" s="1189"/>
      <c r="W911" s="1189"/>
      <c r="Y911" s="1190"/>
      <c r="AA911" s="1190"/>
      <c r="AG911" s="701"/>
      <c r="AI911" s="701"/>
      <c r="AY911" s="977"/>
    </row>
    <row r="912" ht="15.75" customHeight="1">
      <c r="A912" s="1004"/>
      <c r="B912" s="1004"/>
      <c r="C912" s="1005"/>
      <c r="D912" s="977"/>
      <c r="E912" s="1190"/>
      <c r="G912" s="1190"/>
      <c r="I912" s="1190"/>
      <c r="K912" s="1190"/>
      <c r="N912" s="1190"/>
      <c r="U912" s="1189"/>
      <c r="W912" s="1189"/>
      <c r="Y912" s="1190"/>
      <c r="AA912" s="1190"/>
      <c r="AG912" s="701"/>
      <c r="AI912" s="701"/>
      <c r="AY912" s="977"/>
    </row>
    <row r="913" ht="15.75" customHeight="1">
      <c r="A913" s="1004"/>
      <c r="B913" s="1004"/>
      <c r="C913" s="1005"/>
      <c r="D913" s="977"/>
      <c r="E913" s="1190"/>
      <c r="G913" s="1190"/>
      <c r="I913" s="1190"/>
      <c r="K913" s="1190"/>
      <c r="N913" s="1190"/>
      <c r="U913" s="1189"/>
      <c r="W913" s="1189"/>
      <c r="Y913" s="1190"/>
      <c r="AA913" s="1190"/>
      <c r="AG913" s="701"/>
      <c r="AI913" s="701"/>
      <c r="AY913" s="977"/>
    </row>
    <row r="914" ht="15.75" customHeight="1">
      <c r="A914" s="1004"/>
      <c r="B914" s="1004"/>
      <c r="C914" s="1005"/>
      <c r="D914" s="977"/>
      <c r="E914" s="1190"/>
      <c r="G914" s="1190"/>
      <c r="I914" s="1190"/>
      <c r="K914" s="1190"/>
      <c r="N914" s="1190"/>
      <c r="U914" s="1189"/>
      <c r="W914" s="1189"/>
      <c r="Y914" s="1190"/>
      <c r="AA914" s="1190"/>
      <c r="AG914" s="701"/>
      <c r="AI914" s="701"/>
      <c r="AY914" s="977"/>
    </row>
    <row r="915" ht="15.75" customHeight="1">
      <c r="A915" s="1004"/>
      <c r="B915" s="1004"/>
      <c r="C915" s="1005"/>
      <c r="D915" s="977"/>
      <c r="E915" s="1190"/>
      <c r="G915" s="1190"/>
      <c r="I915" s="1190"/>
      <c r="K915" s="1190"/>
      <c r="N915" s="1190"/>
      <c r="U915" s="1189"/>
      <c r="W915" s="1189"/>
      <c r="Y915" s="1190"/>
      <c r="AA915" s="1190"/>
      <c r="AG915" s="701"/>
      <c r="AI915" s="701"/>
      <c r="AY915" s="977"/>
    </row>
    <row r="916" ht="15.75" customHeight="1">
      <c r="A916" s="1004"/>
      <c r="B916" s="1004"/>
      <c r="C916" s="1005"/>
      <c r="D916" s="977"/>
      <c r="E916" s="1190"/>
      <c r="G916" s="1190"/>
      <c r="I916" s="1190"/>
      <c r="K916" s="1190"/>
      <c r="N916" s="1190"/>
      <c r="U916" s="1189"/>
      <c r="W916" s="1189"/>
      <c r="Y916" s="1190"/>
      <c r="AA916" s="1190"/>
      <c r="AG916" s="701"/>
      <c r="AI916" s="701"/>
      <c r="AY916" s="977"/>
    </row>
    <row r="917" ht="15.75" customHeight="1">
      <c r="A917" s="1004"/>
      <c r="B917" s="1004"/>
      <c r="C917" s="1005"/>
      <c r="D917" s="977"/>
      <c r="E917" s="1190"/>
      <c r="G917" s="1190"/>
      <c r="I917" s="1190"/>
      <c r="K917" s="1190"/>
      <c r="N917" s="1190"/>
      <c r="U917" s="1189"/>
      <c r="W917" s="1189"/>
      <c r="Y917" s="1190"/>
      <c r="AA917" s="1190"/>
      <c r="AG917" s="701"/>
      <c r="AI917" s="701"/>
      <c r="AY917" s="977"/>
    </row>
    <row r="918" ht="15.75" customHeight="1">
      <c r="A918" s="1004"/>
      <c r="B918" s="1004"/>
      <c r="C918" s="1005"/>
      <c r="D918" s="977"/>
      <c r="E918" s="1190"/>
      <c r="G918" s="1190"/>
      <c r="I918" s="1190"/>
      <c r="K918" s="1190"/>
      <c r="N918" s="1190"/>
      <c r="U918" s="1189"/>
      <c r="W918" s="1189"/>
      <c r="Y918" s="1190"/>
      <c r="AA918" s="1190"/>
      <c r="AG918" s="701"/>
      <c r="AI918" s="701"/>
      <c r="AY918" s="977"/>
    </row>
    <row r="919" ht="15.75" customHeight="1">
      <c r="A919" s="1004"/>
      <c r="B919" s="1004"/>
      <c r="C919" s="1005"/>
      <c r="D919" s="977"/>
      <c r="E919" s="1190"/>
      <c r="G919" s="1190"/>
      <c r="I919" s="1190"/>
      <c r="K919" s="1190"/>
      <c r="N919" s="1190"/>
      <c r="U919" s="1189"/>
      <c r="W919" s="1189"/>
      <c r="Y919" s="1190"/>
      <c r="AA919" s="1190"/>
      <c r="AG919" s="701"/>
      <c r="AI919" s="701"/>
      <c r="AY919" s="977"/>
    </row>
    <row r="920" ht="15.75" customHeight="1">
      <c r="A920" s="1004"/>
      <c r="B920" s="1004"/>
      <c r="C920" s="1005"/>
      <c r="D920" s="977"/>
      <c r="E920" s="1190"/>
      <c r="G920" s="1190"/>
      <c r="I920" s="1190"/>
      <c r="K920" s="1190"/>
      <c r="N920" s="1190"/>
      <c r="U920" s="1189"/>
      <c r="W920" s="1189"/>
      <c r="Y920" s="1190"/>
      <c r="AA920" s="1190"/>
      <c r="AG920" s="701"/>
      <c r="AI920" s="701"/>
      <c r="AY920" s="977"/>
    </row>
    <row r="921" ht="15.75" customHeight="1">
      <c r="A921" s="1004"/>
      <c r="B921" s="1004"/>
      <c r="C921" s="1005"/>
      <c r="D921" s="977"/>
      <c r="E921" s="1190"/>
      <c r="G921" s="1190"/>
      <c r="I921" s="1190"/>
      <c r="K921" s="1190"/>
      <c r="N921" s="1190"/>
      <c r="U921" s="1189"/>
      <c r="W921" s="1189"/>
      <c r="Y921" s="1190"/>
      <c r="AA921" s="1190"/>
      <c r="AG921" s="701"/>
      <c r="AI921" s="701"/>
      <c r="AY921" s="977"/>
    </row>
    <row r="922" ht="15.75" customHeight="1">
      <c r="A922" s="1004"/>
      <c r="B922" s="1004"/>
      <c r="C922" s="1005"/>
      <c r="D922" s="977"/>
      <c r="E922" s="1190"/>
      <c r="G922" s="1190"/>
      <c r="I922" s="1190"/>
      <c r="K922" s="1190"/>
      <c r="N922" s="1190"/>
      <c r="U922" s="1189"/>
      <c r="W922" s="1189"/>
      <c r="Y922" s="1190"/>
      <c r="AA922" s="1190"/>
      <c r="AG922" s="701"/>
      <c r="AI922" s="701"/>
      <c r="AY922" s="977"/>
    </row>
    <row r="923" ht="15.75" customHeight="1">
      <c r="A923" s="1004"/>
      <c r="B923" s="1004"/>
      <c r="C923" s="1005"/>
      <c r="D923" s="977"/>
      <c r="E923" s="1190"/>
      <c r="G923" s="1190"/>
      <c r="I923" s="1190"/>
      <c r="K923" s="1190"/>
      <c r="N923" s="1190"/>
      <c r="U923" s="1189"/>
      <c r="W923" s="1189"/>
      <c r="Y923" s="1190"/>
      <c r="AA923" s="1190"/>
      <c r="AG923" s="701"/>
      <c r="AI923" s="701"/>
      <c r="AY923" s="977"/>
    </row>
    <row r="924" ht="15.75" customHeight="1">
      <c r="A924" s="1004"/>
      <c r="B924" s="1004"/>
      <c r="C924" s="1005"/>
      <c r="D924" s="977"/>
      <c r="E924" s="1190"/>
      <c r="G924" s="1190"/>
      <c r="I924" s="1190"/>
      <c r="K924" s="1190"/>
      <c r="N924" s="1190"/>
      <c r="U924" s="1189"/>
      <c r="W924" s="1189"/>
      <c r="Y924" s="1190"/>
      <c r="AA924" s="1190"/>
      <c r="AG924" s="701"/>
      <c r="AI924" s="701"/>
      <c r="AY924" s="977"/>
    </row>
    <row r="925" ht="15.75" customHeight="1">
      <c r="A925" s="1004"/>
      <c r="B925" s="1004"/>
      <c r="C925" s="1005"/>
      <c r="D925" s="977"/>
      <c r="E925" s="1190"/>
      <c r="G925" s="1190"/>
      <c r="I925" s="1190"/>
      <c r="K925" s="1190"/>
      <c r="N925" s="1190"/>
      <c r="U925" s="1189"/>
      <c r="W925" s="1189"/>
      <c r="Y925" s="1190"/>
      <c r="AA925" s="1190"/>
      <c r="AG925" s="701"/>
      <c r="AI925" s="701"/>
      <c r="AY925" s="977"/>
    </row>
    <row r="926" ht="15.75" customHeight="1">
      <c r="A926" s="1004"/>
      <c r="B926" s="1004"/>
      <c r="C926" s="1005"/>
      <c r="D926" s="977"/>
      <c r="E926" s="1190"/>
      <c r="G926" s="1190"/>
      <c r="I926" s="1190"/>
      <c r="K926" s="1190"/>
      <c r="N926" s="1190"/>
      <c r="U926" s="1189"/>
      <c r="W926" s="1189"/>
      <c r="Y926" s="1190"/>
      <c r="AA926" s="1190"/>
      <c r="AG926" s="701"/>
      <c r="AI926" s="701"/>
      <c r="AY926" s="977"/>
    </row>
    <row r="927" ht="15.75" customHeight="1">
      <c r="A927" s="1004"/>
      <c r="B927" s="1004"/>
      <c r="C927" s="1005"/>
      <c r="D927" s="977"/>
      <c r="E927" s="1190"/>
      <c r="G927" s="1190"/>
      <c r="I927" s="1190"/>
      <c r="K927" s="1190"/>
      <c r="N927" s="1190"/>
      <c r="U927" s="1189"/>
      <c r="W927" s="1189"/>
      <c r="Y927" s="1190"/>
      <c r="AA927" s="1190"/>
      <c r="AG927" s="701"/>
      <c r="AI927" s="701"/>
      <c r="AY927" s="977"/>
    </row>
    <row r="928" ht="15.75" customHeight="1">
      <c r="A928" s="1004"/>
      <c r="B928" s="1004"/>
      <c r="C928" s="1005"/>
      <c r="D928" s="977"/>
      <c r="E928" s="1190"/>
      <c r="G928" s="1190"/>
      <c r="I928" s="1190"/>
      <c r="K928" s="1190"/>
      <c r="N928" s="1190"/>
      <c r="U928" s="1189"/>
      <c r="W928" s="1189"/>
      <c r="Y928" s="1190"/>
      <c r="AA928" s="1190"/>
      <c r="AG928" s="701"/>
      <c r="AI928" s="701"/>
      <c r="AY928" s="977"/>
    </row>
    <row r="929" ht="15.75" customHeight="1">
      <c r="A929" s="1004"/>
      <c r="B929" s="1004"/>
      <c r="C929" s="1005"/>
      <c r="D929" s="977"/>
      <c r="E929" s="1190"/>
      <c r="G929" s="1190"/>
      <c r="I929" s="1190"/>
      <c r="K929" s="1190"/>
      <c r="N929" s="1190"/>
      <c r="U929" s="1189"/>
      <c r="W929" s="1189"/>
      <c r="Y929" s="1190"/>
      <c r="AA929" s="1190"/>
      <c r="AG929" s="701"/>
      <c r="AI929" s="701"/>
      <c r="AY929" s="977"/>
    </row>
    <row r="930" ht="15.75" customHeight="1">
      <c r="A930" s="1004"/>
      <c r="B930" s="1004"/>
      <c r="C930" s="1005"/>
      <c r="D930" s="977"/>
      <c r="E930" s="1190"/>
      <c r="G930" s="1190"/>
      <c r="I930" s="1190"/>
      <c r="K930" s="1190"/>
      <c r="N930" s="1190"/>
      <c r="U930" s="1189"/>
      <c r="W930" s="1189"/>
      <c r="Y930" s="1190"/>
      <c r="AA930" s="1190"/>
      <c r="AG930" s="701"/>
      <c r="AI930" s="701"/>
      <c r="AY930" s="977"/>
    </row>
    <row r="931" ht="15.75" customHeight="1">
      <c r="A931" s="1004"/>
      <c r="B931" s="1004"/>
      <c r="C931" s="1005"/>
      <c r="D931" s="977"/>
      <c r="E931" s="1190"/>
      <c r="G931" s="1190"/>
      <c r="I931" s="1190"/>
      <c r="K931" s="1190"/>
      <c r="N931" s="1190"/>
      <c r="U931" s="1189"/>
      <c r="W931" s="1189"/>
      <c r="Y931" s="1190"/>
      <c r="AA931" s="1190"/>
      <c r="AG931" s="701"/>
      <c r="AI931" s="701"/>
      <c r="AY931" s="977"/>
    </row>
    <row r="932" ht="15.75" customHeight="1">
      <c r="A932" s="1004"/>
      <c r="B932" s="1004"/>
      <c r="C932" s="1005"/>
      <c r="D932" s="977"/>
      <c r="E932" s="1190"/>
      <c r="G932" s="1190"/>
      <c r="I932" s="1190"/>
      <c r="K932" s="1190"/>
      <c r="N932" s="1190"/>
      <c r="U932" s="1189"/>
      <c r="W932" s="1189"/>
      <c r="Y932" s="1190"/>
      <c r="AA932" s="1190"/>
      <c r="AG932" s="701"/>
      <c r="AI932" s="701"/>
      <c r="AY932" s="977"/>
    </row>
    <row r="933" ht="15.75" customHeight="1">
      <c r="A933" s="1004"/>
      <c r="B933" s="1004"/>
      <c r="C933" s="1005"/>
      <c r="D933" s="977"/>
      <c r="E933" s="1190"/>
      <c r="G933" s="1190"/>
      <c r="I933" s="1190"/>
      <c r="K933" s="1190"/>
      <c r="N933" s="1190"/>
      <c r="U933" s="1189"/>
      <c r="W933" s="1189"/>
      <c r="Y933" s="1190"/>
      <c r="AA933" s="1190"/>
      <c r="AG933" s="701"/>
      <c r="AI933" s="701"/>
      <c r="AY933" s="977"/>
    </row>
    <row r="934" ht="15.75" customHeight="1">
      <c r="A934" s="1004"/>
      <c r="B934" s="1004"/>
      <c r="C934" s="1005"/>
      <c r="D934" s="977"/>
      <c r="E934" s="1190"/>
      <c r="G934" s="1190"/>
      <c r="I934" s="1190"/>
      <c r="K934" s="1190"/>
      <c r="N934" s="1190"/>
      <c r="U934" s="1189"/>
      <c r="W934" s="1189"/>
      <c r="Y934" s="1190"/>
      <c r="AA934" s="1190"/>
      <c r="AG934" s="701"/>
      <c r="AI934" s="701"/>
      <c r="AY934" s="977"/>
    </row>
    <row r="935" ht="15.75" customHeight="1">
      <c r="A935" s="1004"/>
      <c r="B935" s="1004"/>
      <c r="C935" s="1005"/>
      <c r="D935" s="977"/>
      <c r="E935" s="1190"/>
      <c r="G935" s="1190"/>
      <c r="I935" s="1190"/>
      <c r="K935" s="1190"/>
      <c r="N935" s="1190"/>
      <c r="U935" s="1189"/>
      <c r="W935" s="1189"/>
      <c r="Y935" s="1190"/>
      <c r="AA935" s="1190"/>
      <c r="AG935" s="701"/>
      <c r="AI935" s="701"/>
      <c r="AY935" s="977"/>
    </row>
    <row r="936" ht="15.75" customHeight="1">
      <c r="A936" s="1004"/>
      <c r="B936" s="1004"/>
      <c r="C936" s="1005"/>
      <c r="D936" s="977"/>
      <c r="E936" s="1190"/>
      <c r="G936" s="1190"/>
      <c r="I936" s="1190"/>
      <c r="K936" s="1190"/>
      <c r="N936" s="1190"/>
      <c r="U936" s="1189"/>
      <c r="W936" s="1189"/>
      <c r="Y936" s="1190"/>
      <c r="AA936" s="1190"/>
      <c r="AG936" s="701"/>
      <c r="AI936" s="701"/>
      <c r="AY936" s="977"/>
    </row>
    <row r="937" ht="15.75" customHeight="1">
      <c r="A937" s="1004"/>
      <c r="B937" s="1004"/>
      <c r="C937" s="1005"/>
      <c r="D937" s="977"/>
      <c r="E937" s="1190"/>
      <c r="G937" s="1190"/>
      <c r="I937" s="1190"/>
      <c r="K937" s="1190"/>
      <c r="N937" s="1190"/>
      <c r="U937" s="1189"/>
      <c r="W937" s="1189"/>
      <c r="Y937" s="1190"/>
      <c r="AA937" s="1190"/>
      <c r="AG937" s="701"/>
      <c r="AI937" s="701"/>
      <c r="AY937" s="977"/>
    </row>
    <row r="938" ht="15.75" customHeight="1">
      <c r="A938" s="1004"/>
      <c r="B938" s="1004"/>
      <c r="C938" s="1005"/>
      <c r="D938" s="977"/>
      <c r="E938" s="1190"/>
      <c r="G938" s="1190"/>
      <c r="I938" s="1190"/>
      <c r="K938" s="1190"/>
      <c r="N938" s="1190"/>
      <c r="U938" s="1189"/>
      <c r="W938" s="1189"/>
      <c r="Y938" s="1190"/>
      <c r="AA938" s="1190"/>
      <c r="AG938" s="701"/>
      <c r="AI938" s="701"/>
      <c r="AY938" s="977"/>
    </row>
    <row r="939" ht="15.75" customHeight="1">
      <c r="A939" s="1004"/>
      <c r="B939" s="1004"/>
      <c r="C939" s="1005"/>
      <c r="D939" s="977"/>
      <c r="E939" s="1190"/>
      <c r="G939" s="1190"/>
      <c r="I939" s="1190"/>
      <c r="K939" s="1190"/>
      <c r="N939" s="1190"/>
      <c r="U939" s="1189"/>
      <c r="W939" s="1189"/>
      <c r="Y939" s="1190"/>
      <c r="AA939" s="1190"/>
      <c r="AG939" s="701"/>
      <c r="AI939" s="701"/>
      <c r="AY939" s="977"/>
    </row>
    <row r="940" ht="15.75" customHeight="1">
      <c r="A940" s="1004"/>
      <c r="B940" s="1004"/>
      <c r="C940" s="1005"/>
      <c r="D940" s="977"/>
      <c r="E940" s="1190"/>
      <c r="G940" s="1190"/>
      <c r="I940" s="1190"/>
      <c r="K940" s="1190"/>
      <c r="N940" s="1190"/>
      <c r="U940" s="1189"/>
      <c r="W940" s="1189"/>
      <c r="Y940" s="1190"/>
      <c r="AA940" s="1190"/>
      <c r="AG940" s="701"/>
      <c r="AI940" s="701"/>
      <c r="AY940" s="977"/>
    </row>
    <row r="941" ht="15.75" customHeight="1">
      <c r="A941" s="1004"/>
      <c r="B941" s="1004"/>
      <c r="C941" s="1005"/>
      <c r="D941" s="977"/>
      <c r="E941" s="1190"/>
      <c r="G941" s="1190"/>
      <c r="I941" s="1190"/>
      <c r="K941" s="1190"/>
      <c r="N941" s="1190"/>
      <c r="U941" s="1189"/>
      <c r="W941" s="1189"/>
      <c r="Y941" s="1190"/>
      <c r="AA941" s="1190"/>
      <c r="AG941" s="701"/>
      <c r="AI941" s="701"/>
      <c r="AY941" s="977"/>
    </row>
    <row r="942" ht="15.75" customHeight="1">
      <c r="A942" s="1004"/>
      <c r="B942" s="1004"/>
      <c r="C942" s="1005"/>
      <c r="D942" s="977"/>
      <c r="E942" s="1190"/>
      <c r="G942" s="1190"/>
      <c r="I942" s="1190"/>
      <c r="K942" s="1190"/>
      <c r="N942" s="1190"/>
      <c r="U942" s="1189"/>
      <c r="W942" s="1189"/>
      <c r="Y942" s="1190"/>
      <c r="AA942" s="1190"/>
      <c r="AG942" s="701"/>
      <c r="AI942" s="701"/>
      <c r="AY942" s="977"/>
    </row>
    <row r="943" ht="15.75" customHeight="1">
      <c r="A943" s="1004"/>
      <c r="B943" s="1004"/>
      <c r="C943" s="1005"/>
      <c r="D943" s="977"/>
      <c r="E943" s="1190"/>
      <c r="G943" s="1190"/>
      <c r="I943" s="1190"/>
      <c r="K943" s="1190"/>
      <c r="N943" s="1190"/>
      <c r="U943" s="1189"/>
      <c r="W943" s="1189"/>
      <c r="Y943" s="1190"/>
      <c r="AA943" s="1190"/>
      <c r="AG943" s="701"/>
      <c r="AI943" s="701"/>
      <c r="AY943" s="977"/>
    </row>
    <row r="944" ht="15.75" customHeight="1">
      <c r="A944" s="1004"/>
      <c r="B944" s="1004"/>
      <c r="C944" s="1005"/>
      <c r="D944" s="977"/>
      <c r="E944" s="1190"/>
      <c r="G944" s="1190"/>
      <c r="I944" s="1190"/>
      <c r="K944" s="1190"/>
      <c r="N944" s="1190"/>
      <c r="U944" s="1189"/>
      <c r="W944" s="1189"/>
      <c r="Y944" s="1190"/>
      <c r="AA944" s="1190"/>
      <c r="AG944" s="701"/>
      <c r="AI944" s="701"/>
      <c r="AY944" s="977"/>
    </row>
    <row r="945" ht="15.75" customHeight="1">
      <c r="A945" s="1004"/>
      <c r="B945" s="1004"/>
      <c r="C945" s="1005"/>
      <c r="D945" s="977"/>
      <c r="E945" s="1190"/>
      <c r="G945" s="1190"/>
      <c r="I945" s="1190"/>
      <c r="K945" s="1190"/>
      <c r="N945" s="1190"/>
      <c r="U945" s="1189"/>
      <c r="W945" s="1189"/>
      <c r="Y945" s="1190"/>
      <c r="AA945" s="1190"/>
      <c r="AG945" s="701"/>
      <c r="AI945" s="701"/>
      <c r="AY945" s="977"/>
    </row>
    <row r="946" ht="15.75" customHeight="1">
      <c r="A946" s="1004"/>
      <c r="B946" s="1004"/>
      <c r="C946" s="1005"/>
      <c r="D946" s="977"/>
      <c r="E946" s="1190"/>
      <c r="G946" s="1190"/>
      <c r="I946" s="1190"/>
      <c r="K946" s="1190"/>
      <c r="N946" s="1190"/>
      <c r="U946" s="1189"/>
      <c r="W946" s="1189"/>
      <c r="Y946" s="1190"/>
      <c r="AA946" s="1190"/>
      <c r="AG946" s="701"/>
      <c r="AI946" s="701"/>
      <c r="AY946" s="977"/>
    </row>
    <row r="947" ht="15.75" customHeight="1">
      <c r="A947" s="1004"/>
      <c r="B947" s="1004"/>
      <c r="C947" s="1005"/>
      <c r="D947" s="977"/>
      <c r="E947" s="1190"/>
      <c r="G947" s="1190"/>
      <c r="I947" s="1190"/>
      <c r="K947" s="1190"/>
      <c r="N947" s="1190"/>
      <c r="U947" s="1189"/>
      <c r="W947" s="1189"/>
      <c r="Y947" s="1190"/>
      <c r="AA947" s="1190"/>
      <c r="AG947" s="701"/>
      <c r="AI947" s="701"/>
      <c r="AY947" s="977"/>
    </row>
    <row r="948" ht="15.75" customHeight="1">
      <c r="A948" s="1004"/>
      <c r="B948" s="1004"/>
      <c r="C948" s="1005"/>
      <c r="D948" s="977"/>
      <c r="E948" s="1190"/>
      <c r="G948" s="1190"/>
      <c r="I948" s="1190"/>
      <c r="K948" s="1190"/>
      <c r="N948" s="1190"/>
      <c r="U948" s="1189"/>
      <c r="W948" s="1189"/>
      <c r="Y948" s="1190"/>
      <c r="AA948" s="1190"/>
      <c r="AG948" s="701"/>
      <c r="AI948" s="701"/>
      <c r="AY948" s="977"/>
    </row>
    <row r="949" ht="15.75" customHeight="1">
      <c r="A949" s="1004"/>
      <c r="B949" s="1004"/>
      <c r="C949" s="1005"/>
      <c r="D949" s="977"/>
      <c r="E949" s="1190"/>
      <c r="G949" s="1190"/>
      <c r="I949" s="1190"/>
      <c r="K949" s="1190"/>
      <c r="N949" s="1190"/>
      <c r="U949" s="1189"/>
      <c r="W949" s="1189"/>
      <c r="Y949" s="1190"/>
      <c r="AA949" s="1190"/>
      <c r="AG949" s="701"/>
      <c r="AI949" s="701"/>
      <c r="AY949" s="977"/>
    </row>
    <row r="950" ht="15.75" customHeight="1">
      <c r="A950" s="1004"/>
      <c r="B950" s="1004"/>
      <c r="C950" s="1005"/>
      <c r="D950" s="977"/>
      <c r="E950" s="1190"/>
      <c r="G950" s="1190"/>
      <c r="I950" s="1190"/>
      <c r="K950" s="1190"/>
      <c r="N950" s="1190"/>
      <c r="U950" s="1189"/>
      <c r="W950" s="1189"/>
      <c r="Y950" s="1190"/>
      <c r="AA950" s="1190"/>
      <c r="AG950" s="701"/>
      <c r="AI950" s="701"/>
      <c r="AY950" s="977"/>
    </row>
    <row r="951" ht="15.75" customHeight="1">
      <c r="A951" s="1004"/>
      <c r="B951" s="1004"/>
      <c r="C951" s="1005"/>
      <c r="D951" s="977"/>
      <c r="E951" s="1190"/>
      <c r="G951" s="1190"/>
      <c r="I951" s="1190"/>
      <c r="K951" s="1190"/>
      <c r="N951" s="1190"/>
      <c r="U951" s="1189"/>
      <c r="W951" s="1189"/>
      <c r="Y951" s="1190"/>
      <c r="AA951" s="1190"/>
      <c r="AG951" s="701"/>
      <c r="AI951" s="701"/>
      <c r="AY951" s="977"/>
    </row>
    <row r="952" ht="15.75" customHeight="1">
      <c r="A952" s="1004"/>
      <c r="B952" s="1004"/>
      <c r="C952" s="1005"/>
      <c r="D952" s="977"/>
      <c r="E952" s="1190"/>
      <c r="G952" s="1190"/>
      <c r="I952" s="1190"/>
      <c r="K952" s="1190"/>
      <c r="N952" s="1190"/>
      <c r="U952" s="1189"/>
      <c r="W952" s="1189"/>
      <c r="Y952" s="1190"/>
      <c r="AA952" s="1190"/>
      <c r="AG952" s="701"/>
      <c r="AI952" s="701"/>
      <c r="AY952" s="977"/>
    </row>
    <row r="953" ht="15.75" customHeight="1">
      <c r="A953" s="1004"/>
      <c r="B953" s="1004"/>
      <c r="C953" s="1005"/>
      <c r="D953" s="977"/>
      <c r="E953" s="1190"/>
      <c r="G953" s="1190"/>
      <c r="I953" s="1190"/>
      <c r="K953" s="1190"/>
      <c r="N953" s="1190"/>
      <c r="U953" s="1189"/>
      <c r="W953" s="1189"/>
      <c r="Y953" s="1190"/>
      <c r="AA953" s="1190"/>
      <c r="AG953" s="701"/>
      <c r="AI953" s="701"/>
      <c r="AY953" s="977"/>
    </row>
    <row r="954" ht="15.75" customHeight="1">
      <c r="A954" s="1004"/>
      <c r="B954" s="1004"/>
      <c r="C954" s="1005"/>
      <c r="D954" s="977"/>
      <c r="E954" s="1190"/>
      <c r="G954" s="1190"/>
      <c r="I954" s="1190"/>
      <c r="K954" s="1190"/>
      <c r="N954" s="1190"/>
      <c r="U954" s="1189"/>
      <c r="W954" s="1189"/>
      <c r="Y954" s="1190"/>
      <c r="AA954" s="1190"/>
      <c r="AG954" s="701"/>
      <c r="AI954" s="701"/>
      <c r="AY954" s="977"/>
    </row>
    <row r="955" ht="15.75" customHeight="1">
      <c r="A955" s="1004"/>
      <c r="B955" s="1004"/>
      <c r="C955" s="1005"/>
      <c r="D955" s="977"/>
      <c r="E955" s="1190"/>
      <c r="G955" s="1190"/>
      <c r="I955" s="1190"/>
      <c r="K955" s="1190"/>
      <c r="N955" s="1190"/>
      <c r="U955" s="1189"/>
      <c r="W955" s="1189"/>
      <c r="Y955" s="1190"/>
      <c r="AA955" s="1190"/>
      <c r="AG955" s="701"/>
      <c r="AI955" s="701"/>
      <c r="AY955" s="977"/>
    </row>
    <row r="956" ht="15.75" customHeight="1">
      <c r="A956" s="1004"/>
      <c r="B956" s="1004"/>
      <c r="C956" s="1005"/>
      <c r="D956" s="977"/>
      <c r="E956" s="1190"/>
      <c r="G956" s="1190"/>
      <c r="I956" s="1190"/>
      <c r="K956" s="1190"/>
      <c r="N956" s="1190"/>
      <c r="U956" s="1189"/>
      <c r="W956" s="1189"/>
      <c r="Y956" s="1190"/>
      <c r="AA956" s="1190"/>
      <c r="AG956" s="701"/>
      <c r="AI956" s="701"/>
      <c r="AY956" s="977"/>
    </row>
    <row r="957" ht="15.75" customHeight="1">
      <c r="A957" s="1004"/>
      <c r="B957" s="1004"/>
      <c r="C957" s="1005"/>
      <c r="D957" s="977"/>
      <c r="E957" s="1190"/>
      <c r="G957" s="1190"/>
      <c r="I957" s="1190"/>
      <c r="K957" s="1190"/>
      <c r="N957" s="1190"/>
      <c r="U957" s="1189"/>
      <c r="W957" s="1189"/>
      <c r="Y957" s="1190"/>
      <c r="AA957" s="1190"/>
      <c r="AG957" s="701"/>
      <c r="AI957" s="701"/>
      <c r="AY957" s="977"/>
    </row>
    <row r="958" ht="15.75" customHeight="1">
      <c r="A958" s="1004"/>
      <c r="B958" s="1004"/>
      <c r="C958" s="1005"/>
      <c r="D958" s="977"/>
      <c r="E958" s="1190"/>
      <c r="G958" s="1190"/>
      <c r="I958" s="1190"/>
      <c r="K958" s="1190"/>
      <c r="N958" s="1190"/>
      <c r="U958" s="1189"/>
      <c r="W958" s="1189"/>
      <c r="Y958" s="1190"/>
      <c r="AA958" s="1190"/>
      <c r="AG958" s="701"/>
      <c r="AI958" s="701"/>
      <c r="AY958" s="977"/>
    </row>
    <row r="959" ht="15.75" customHeight="1">
      <c r="A959" s="1004"/>
      <c r="B959" s="1004"/>
      <c r="C959" s="1005"/>
      <c r="D959" s="977"/>
      <c r="E959" s="1190"/>
      <c r="G959" s="1190"/>
      <c r="I959" s="1190"/>
      <c r="K959" s="1190"/>
      <c r="N959" s="1190"/>
      <c r="U959" s="1189"/>
      <c r="W959" s="1189"/>
      <c r="Y959" s="1190"/>
      <c r="AA959" s="1190"/>
      <c r="AG959" s="701"/>
      <c r="AI959" s="701"/>
      <c r="AY959" s="977"/>
    </row>
    <row r="960" ht="15.75" customHeight="1">
      <c r="A960" s="1004"/>
      <c r="B960" s="1004"/>
      <c r="C960" s="1005"/>
      <c r="D960" s="977"/>
      <c r="E960" s="1190"/>
      <c r="G960" s="1190"/>
      <c r="I960" s="1190"/>
      <c r="K960" s="1190"/>
      <c r="N960" s="1190"/>
      <c r="U960" s="1189"/>
      <c r="W960" s="1189"/>
      <c r="Y960" s="1190"/>
      <c r="AA960" s="1190"/>
      <c r="AG960" s="701"/>
      <c r="AI960" s="701"/>
      <c r="AY960" s="977"/>
    </row>
    <row r="961" ht="15.75" customHeight="1">
      <c r="A961" s="1004"/>
      <c r="B961" s="1004"/>
      <c r="C961" s="1005"/>
      <c r="D961" s="977"/>
      <c r="E961" s="1190"/>
      <c r="G961" s="1190"/>
      <c r="I961" s="1190"/>
      <c r="K961" s="1190"/>
      <c r="N961" s="1190"/>
      <c r="U961" s="1189"/>
      <c r="W961" s="1189"/>
      <c r="Y961" s="1190"/>
      <c r="AA961" s="1190"/>
      <c r="AG961" s="701"/>
      <c r="AI961" s="701"/>
      <c r="AY961" s="977"/>
    </row>
    <row r="962" ht="15.75" customHeight="1">
      <c r="A962" s="1004"/>
      <c r="B962" s="1004"/>
      <c r="C962" s="1005"/>
      <c r="D962" s="977"/>
      <c r="E962" s="1190"/>
      <c r="G962" s="1190"/>
      <c r="I962" s="1190"/>
      <c r="K962" s="1190"/>
      <c r="N962" s="1190"/>
      <c r="U962" s="1189"/>
      <c r="W962" s="1189"/>
      <c r="Y962" s="1190"/>
      <c r="AA962" s="1190"/>
      <c r="AG962" s="701"/>
      <c r="AI962" s="701"/>
      <c r="AY962" s="977"/>
    </row>
    <row r="963" ht="15.75" customHeight="1">
      <c r="A963" s="1004"/>
      <c r="B963" s="1004"/>
      <c r="C963" s="1005"/>
      <c r="D963" s="977"/>
      <c r="E963" s="1190"/>
      <c r="G963" s="1190"/>
      <c r="I963" s="1190"/>
      <c r="K963" s="1190"/>
      <c r="N963" s="1190"/>
      <c r="U963" s="1189"/>
      <c r="W963" s="1189"/>
      <c r="Y963" s="1190"/>
      <c r="AA963" s="1190"/>
      <c r="AG963" s="701"/>
      <c r="AI963" s="701"/>
      <c r="AY963" s="977"/>
    </row>
    <row r="964" ht="15.75" customHeight="1">
      <c r="A964" s="1004"/>
      <c r="B964" s="1004"/>
      <c r="C964" s="1005"/>
      <c r="D964" s="977"/>
      <c r="E964" s="1190"/>
      <c r="G964" s="1190"/>
      <c r="I964" s="1190"/>
      <c r="K964" s="1190"/>
      <c r="N964" s="1190"/>
      <c r="U964" s="1189"/>
      <c r="W964" s="1189"/>
      <c r="Y964" s="1190"/>
      <c r="AA964" s="1190"/>
      <c r="AG964" s="701"/>
      <c r="AI964" s="701"/>
      <c r="AY964" s="977"/>
    </row>
    <row r="965" ht="15.75" customHeight="1">
      <c r="A965" s="1004"/>
      <c r="B965" s="1004"/>
      <c r="C965" s="1005"/>
      <c r="D965" s="977"/>
      <c r="E965" s="1190"/>
      <c r="G965" s="1190"/>
      <c r="I965" s="1190"/>
      <c r="K965" s="1190"/>
      <c r="N965" s="1190"/>
      <c r="U965" s="1189"/>
      <c r="W965" s="1189"/>
      <c r="Y965" s="1190"/>
      <c r="AA965" s="1190"/>
      <c r="AG965" s="701"/>
      <c r="AI965" s="701"/>
      <c r="AY965" s="977"/>
    </row>
    <row r="966" ht="15.75" customHeight="1">
      <c r="A966" s="1004"/>
      <c r="B966" s="1004"/>
      <c r="C966" s="1005"/>
      <c r="D966" s="977"/>
      <c r="E966" s="1190"/>
      <c r="G966" s="1190"/>
      <c r="I966" s="1190"/>
      <c r="K966" s="1190"/>
      <c r="N966" s="1190"/>
      <c r="U966" s="1189"/>
      <c r="W966" s="1189"/>
      <c r="Y966" s="1190"/>
      <c r="AA966" s="1190"/>
      <c r="AG966" s="701"/>
      <c r="AI966" s="701"/>
      <c r="AY966" s="977"/>
    </row>
    <row r="967" ht="15.75" customHeight="1">
      <c r="A967" s="1004"/>
      <c r="B967" s="1004"/>
      <c r="C967" s="1005"/>
      <c r="D967" s="977"/>
      <c r="E967" s="1190"/>
      <c r="G967" s="1190"/>
      <c r="I967" s="1190"/>
      <c r="K967" s="1190"/>
      <c r="N967" s="1190"/>
      <c r="U967" s="1189"/>
      <c r="W967" s="1189"/>
      <c r="Y967" s="1190"/>
      <c r="AA967" s="1190"/>
      <c r="AG967" s="701"/>
      <c r="AI967" s="701"/>
      <c r="AY967" s="977"/>
    </row>
    <row r="968" ht="15.75" customHeight="1">
      <c r="A968" s="1004"/>
      <c r="B968" s="1004"/>
      <c r="C968" s="1005"/>
      <c r="D968" s="977"/>
      <c r="E968" s="1190"/>
      <c r="G968" s="1190"/>
      <c r="I968" s="1190"/>
      <c r="K968" s="1190"/>
      <c r="N968" s="1190"/>
      <c r="U968" s="1189"/>
      <c r="W968" s="1189"/>
      <c r="Y968" s="1190"/>
      <c r="AA968" s="1190"/>
      <c r="AG968" s="701"/>
      <c r="AI968" s="701"/>
      <c r="AY968" s="977"/>
    </row>
    <row r="969" ht="15.75" customHeight="1">
      <c r="A969" s="1004"/>
      <c r="B969" s="1004"/>
      <c r="C969" s="1005"/>
      <c r="D969" s="977"/>
      <c r="E969" s="1190"/>
      <c r="G969" s="1190"/>
      <c r="I969" s="1190"/>
      <c r="K969" s="1190"/>
      <c r="N969" s="1190"/>
      <c r="U969" s="1189"/>
      <c r="W969" s="1189"/>
      <c r="Y969" s="1190"/>
      <c r="AA969" s="1190"/>
      <c r="AG969" s="701"/>
      <c r="AI969" s="701"/>
      <c r="AY969" s="977"/>
    </row>
    <row r="970" ht="15.75" customHeight="1">
      <c r="A970" s="1004"/>
      <c r="B970" s="1004"/>
      <c r="C970" s="1005"/>
      <c r="D970" s="977"/>
      <c r="E970" s="1190"/>
      <c r="G970" s="1190"/>
      <c r="I970" s="1190"/>
      <c r="K970" s="1190"/>
      <c r="N970" s="1190"/>
      <c r="U970" s="1189"/>
      <c r="W970" s="1189"/>
      <c r="Y970" s="1190"/>
      <c r="AA970" s="1190"/>
      <c r="AG970" s="701"/>
      <c r="AI970" s="701"/>
      <c r="AY970" s="977"/>
    </row>
    <row r="971" ht="15.75" customHeight="1">
      <c r="A971" s="1004"/>
      <c r="B971" s="1004"/>
      <c r="C971" s="1005"/>
      <c r="D971" s="977"/>
      <c r="E971" s="1190"/>
      <c r="G971" s="1190"/>
      <c r="I971" s="1190"/>
      <c r="K971" s="1190"/>
      <c r="N971" s="1190"/>
      <c r="U971" s="1189"/>
      <c r="W971" s="1189"/>
      <c r="Y971" s="1190"/>
      <c r="AA971" s="1190"/>
      <c r="AG971" s="701"/>
      <c r="AI971" s="701"/>
      <c r="AY971" s="977"/>
    </row>
    <row r="972" ht="15.75" customHeight="1">
      <c r="A972" s="1004"/>
      <c r="B972" s="1004"/>
      <c r="C972" s="1005"/>
      <c r="D972" s="977"/>
      <c r="E972" s="1190"/>
      <c r="G972" s="1190"/>
      <c r="I972" s="1190"/>
      <c r="K972" s="1190"/>
      <c r="N972" s="1190"/>
      <c r="U972" s="1189"/>
      <c r="W972" s="1189"/>
      <c r="Y972" s="1190"/>
      <c r="AA972" s="1190"/>
      <c r="AG972" s="701"/>
      <c r="AI972" s="701"/>
      <c r="AY972" s="977"/>
    </row>
    <row r="973" ht="15.75" customHeight="1">
      <c r="A973" s="1004"/>
      <c r="B973" s="1004"/>
      <c r="C973" s="1005"/>
      <c r="D973" s="977"/>
      <c r="E973" s="1190"/>
      <c r="G973" s="1190"/>
      <c r="I973" s="1190"/>
      <c r="K973" s="1190"/>
      <c r="N973" s="1190"/>
      <c r="U973" s="1189"/>
      <c r="W973" s="1189"/>
      <c r="Y973" s="1190"/>
      <c r="AA973" s="1190"/>
      <c r="AG973" s="701"/>
      <c r="AI973" s="701"/>
      <c r="AY973" s="977"/>
    </row>
    <row r="974" ht="15.75" customHeight="1">
      <c r="A974" s="1004"/>
      <c r="B974" s="1004"/>
      <c r="C974" s="1005"/>
      <c r="D974" s="977"/>
      <c r="E974" s="1190"/>
      <c r="G974" s="1190"/>
      <c r="I974" s="1190"/>
      <c r="K974" s="1190"/>
      <c r="N974" s="1190"/>
      <c r="U974" s="1189"/>
      <c r="W974" s="1189"/>
      <c r="Y974" s="1190"/>
      <c r="AA974" s="1190"/>
      <c r="AG974" s="701"/>
      <c r="AI974" s="701"/>
      <c r="AY974" s="977"/>
    </row>
    <row r="975" ht="15.75" customHeight="1">
      <c r="A975" s="1004"/>
      <c r="B975" s="1004"/>
      <c r="C975" s="1005"/>
      <c r="D975" s="977"/>
      <c r="E975" s="1190"/>
      <c r="G975" s="1190"/>
      <c r="I975" s="1190"/>
      <c r="K975" s="1190"/>
      <c r="N975" s="1190"/>
      <c r="U975" s="1189"/>
      <c r="W975" s="1189"/>
      <c r="Y975" s="1190"/>
      <c r="AA975" s="1190"/>
      <c r="AG975" s="701"/>
      <c r="AI975" s="701"/>
      <c r="AY975" s="977"/>
    </row>
    <row r="976" ht="15.75" customHeight="1">
      <c r="A976" s="1004"/>
      <c r="B976" s="1004"/>
      <c r="C976" s="1005"/>
      <c r="D976" s="977"/>
      <c r="E976" s="1190"/>
      <c r="G976" s="1190"/>
      <c r="I976" s="1190"/>
      <c r="K976" s="1190"/>
      <c r="N976" s="1190"/>
      <c r="U976" s="1189"/>
      <c r="W976" s="1189"/>
      <c r="Y976" s="1190"/>
      <c r="AA976" s="1190"/>
      <c r="AG976" s="701"/>
      <c r="AI976" s="701"/>
      <c r="AY976" s="977"/>
    </row>
    <row r="977" ht="15.75" customHeight="1">
      <c r="A977" s="1004"/>
      <c r="B977" s="1004"/>
      <c r="C977" s="1005"/>
      <c r="D977" s="977"/>
      <c r="E977" s="1190"/>
      <c r="G977" s="1190"/>
      <c r="I977" s="1190"/>
      <c r="K977" s="1190"/>
      <c r="N977" s="1190"/>
      <c r="U977" s="1189"/>
      <c r="W977" s="1189"/>
      <c r="Y977" s="1190"/>
      <c r="AA977" s="1190"/>
      <c r="AG977" s="701"/>
      <c r="AI977" s="701"/>
      <c r="AY977" s="977"/>
    </row>
    <row r="978" ht="15.75" customHeight="1">
      <c r="A978" s="1004"/>
      <c r="B978" s="1004"/>
      <c r="C978" s="1005"/>
      <c r="D978" s="977"/>
      <c r="E978" s="1190"/>
      <c r="G978" s="1190"/>
      <c r="I978" s="1190"/>
      <c r="K978" s="1190"/>
      <c r="N978" s="1190"/>
      <c r="U978" s="1189"/>
      <c r="W978" s="1189"/>
      <c r="Y978" s="1190"/>
      <c r="AA978" s="1190"/>
      <c r="AG978" s="701"/>
      <c r="AI978" s="701"/>
      <c r="AY978" s="977"/>
    </row>
    <row r="979" ht="15.75" customHeight="1">
      <c r="A979" s="1004"/>
      <c r="B979" s="1004"/>
      <c r="C979" s="1005"/>
      <c r="D979" s="977"/>
      <c r="E979" s="1190"/>
      <c r="G979" s="1190"/>
      <c r="I979" s="1190"/>
      <c r="K979" s="1190"/>
      <c r="N979" s="1190"/>
      <c r="U979" s="1189"/>
      <c r="W979" s="1189"/>
      <c r="Y979" s="1190"/>
      <c r="AA979" s="1190"/>
      <c r="AG979" s="701"/>
      <c r="AI979" s="701"/>
      <c r="AY979" s="977"/>
    </row>
    <row r="980" ht="15.75" customHeight="1">
      <c r="A980" s="1004"/>
      <c r="B980" s="1004"/>
      <c r="C980" s="1005"/>
      <c r="D980" s="977"/>
      <c r="E980" s="1190"/>
      <c r="G980" s="1190"/>
      <c r="I980" s="1190"/>
      <c r="K980" s="1190"/>
      <c r="N980" s="1190"/>
      <c r="U980" s="1189"/>
      <c r="W980" s="1189"/>
      <c r="Y980" s="1190"/>
      <c r="AA980" s="1190"/>
      <c r="AG980" s="701"/>
      <c r="AI980" s="701"/>
      <c r="AY980" s="977"/>
    </row>
    <row r="981" ht="15.75" customHeight="1">
      <c r="A981" s="1004"/>
      <c r="B981" s="1004"/>
      <c r="C981" s="1005"/>
      <c r="D981" s="977"/>
      <c r="E981" s="1190"/>
      <c r="G981" s="1190"/>
      <c r="I981" s="1190"/>
      <c r="K981" s="1190"/>
      <c r="N981" s="1190"/>
      <c r="U981" s="1189"/>
      <c r="W981" s="1189"/>
      <c r="Y981" s="1190"/>
      <c r="AA981" s="1190"/>
      <c r="AG981" s="701"/>
      <c r="AI981" s="701"/>
      <c r="AY981" s="977"/>
    </row>
    <row r="982" ht="15.75" customHeight="1">
      <c r="A982" s="1004"/>
      <c r="B982" s="1004"/>
      <c r="C982" s="1005"/>
      <c r="D982" s="977"/>
      <c r="E982" s="1190"/>
      <c r="G982" s="1190"/>
      <c r="I982" s="1190"/>
      <c r="K982" s="1190"/>
      <c r="N982" s="1190"/>
      <c r="U982" s="1189"/>
      <c r="W982" s="1189"/>
      <c r="Y982" s="1190"/>
      <c r="AA982" s="1190"/>
      <c r="AG982" s="701"/>
      <c r="AI982" s="701"/>
      <c r="AY982" s="977"/>
    </row>
    <row r="983" ht="15.75" customHeight="1">
      <c r="A983" s="1004"/>
      <c r="B983" s="1004"/>
      <c r="C983" s="1005"/>
      <c r="D983" s="977"/>
      <c r="E983" s="1190"/>
      <c r="G983" s="1190"/>
      <c r="I983" s="1190"/>
      <c r="K983" s="1190"/>
      <c r="N983" s="1190"/>
      <c r="U983" s="1189"/>
      <c r="W983" s="1189"/>
      <c r="Y983" s="1190"/>
      <c r="AA983" s="1190"/>
      <c r="AG983" s="701"/>
      <c r="AI983" s="701"/>
      <c r="AY983" s="977"/>
    </row>
    <row r="984" ht="15.75" customHeight="1">
      <c r="A984" s="1004"/>
      <c r="B984" s="1004"/>
      <c r="C984" s="1005"/>
      <c r="D984" s="977"/>
      <c r="E984" s="1190"/>
      <c r="G984" s="1190"/>
      <c r="I984" s="1190"/>
      <c r="K984" s="1190"/>
      <c r="N984" s="1190"/>
      <c r="U984" s="1189"/>
      <c r="W984" s="1189"/>
      <c r="Y984" s="1190"/>
      <c r="AA984" s="1190"/>
      <c r="AG984" s="701"/>
      <c r="AI984" s="701"/>
      <c r="AY984" s="977"/>
    </row>
    <row r="985" ht="15.75" customHeight="1">
      <c r="A985" s="1004"/>
      <c r="B985" s="1004"/>
      <c r="C985" s="1005"/>
      <c r="D985" s="977"/>
      <c r="E985" s="1190"/>
      <c r="G985" s="1190"/>
      <c r="I985" s="1190"/>
      <c r="K985" s="1190"/>
      <c r="N985" s="1190"/>
      <c r="U985" s="1189"/>
      <c r="W985" s="1189"/>
      <c r="Y985" s="1190"/>
      <c r="AA985" s="1190"/>
      <c r="AG985" s="701"/>
      <c r="AI985" s="701"/>
      <c r="AY985" s="977"/>
    </row>
    <row r="986" ht="15.75" customHeight="1">
      <c r="A986" s="1004"/>
      <c r="B986" s="1004"/>
      <c r="C986" s="1005"/>
      <c r="D986" s="977"/>
      <c r="E986" s="1190"/>
      <c r="G986" s="1190"/>
      <c r="I986" s="1190"/>
      <c r="K986" s="1190"/>
      <c r="N986" s="1190"/>
      <c r="U986" s="1189"/>
      <c r="W986" s="1189"/>
      <c r="Y986" s="1190"/>
      <c r="AA986" s="1190"/>
      <c r="AG986" s="701"/>
      <c r="AI986" s="701"/>
      <c r="AY986" s="977"/>
    </row>
    <row r="987" ht="15.75" customHeight="1">
      <c r="A987" s="1004"/>
      <c r="B987" s="1004"/>
      <c r="C987" s="1005"/>
      <c r="D987" s="977"/>
      <c r="E987" s="1190"/>
      <c r="G987" s="1190"/>
      <c r="I987" s="1190"/>
      <c r="K987" s="1190"/>
      <c r="N987" s="1190"/>
      <c r="U987" s="1189"/>
      <c r="W987" s="1189"/>
      <c r="Y987" s="1190"/>
      <c r="AA987" s="1190"/>
      <c r="AG987" s="701"/>
      <c r="AI987" s="701"/>
      <c r="AY987" s="977"/>
    </row>
    <row r="988" ht="15.75" customHeight="1">
      <c r="A988" s="1004"/>
      <c r="B988" s="1004"/>
      <c r="C988" s="1005"/>
      <c r="D988" s="977"/>
      <c r="E988" s="1190"/>
      <c r="G988" s="1190"/>
      <c r="I988" s="1190"/>
      <c r="K988" s="1190"/>
      <c r="N988" s="1190"/>
      <c r="U988" s="1189"/>
      <c r="W988" s="1189"/>
      <c r="Y988" s="1190"/>
      <c r="AA988" s="1190"/>
      <c r="AG988" s="701"/>
      <c r="AI988" s="701"/>
      <c r="AY988" s="977"/>
    </row>
    <row r="989" ht="15.75" customHeight="1">
      <c r="A989" s="1004"/>
      <c r="B989" s="1004"/>
      <c r="C989" s="1005"/>
      <c r="D989" s="977"/>
      <c r="E989" s="1190"/>
      <c r="G989" s="1190"/>
      <c r="I989" s="1190"/>
      <c r="K989" s="1190"/>
      <c r="N989" s="1190"/>
      <c r="U989" s="1189"/>
      <c r="W989" s="1189"/>
      <c r="Y989" s="1190"/>
      <c r="AA989" s="1190"/>
      <c r="AG989" s="701"/>
      <c r="AI989" s="701"/>
      <c r="AY989" s="977"/>
    </row>
    <row r="990" ht="15.75" customHeight="1">
      <c r="A990" s="1004"/>
      <c r="B990" s="1004"/>
      <c r="C990" s="1005"/>
      <c r="D990" s="977"/>
      <c r="E990" s="1190"/>
      <c r="G990" s="1190"/>
      <c r="I990" s="1190"/>
      <c r="K990" s="1190"/>
      <c r="N990" s="1190"/>
      <c r="U990" s="1189"/>
      <c r="W990" s="1189"/>
      <c r="Y990" s="1190"/>
      <c r="AA990" s="1190"/>
      <c r="AG990" s="701"/>
      <c r="AI990" s="701"/>
      <c r="AY990" s="977"/>
    </row>
    <row r="991" ht="15.75" customHeight="1">
      <c r="A991" s="1004"/>
      <c r="B991" s="1004"/>
      <c r="C991" s="1005"/>
      <c r="D991" s="977"/>
      <c r="E991" s="1190"/>
      <c r="G991" s="1190"/>
      <c r="I991" s="1190"/>
      <c r="K991" s="1190"/>
      <c r="N991" s="1190"/>
      <c r="U991" s="1189"/>
      <c r="W991" s="1189"/>
      <c r="Y991" s="1190"/>
      <c r="AA991" s="1190"/>
      <c r="AG991" s="701"/>
      <c r="AI991" s="701"/>
      <c r="AY991" s="977"/>
    </row>
    <row r="992" ht="15.75" customHeight="1">
      <c r="A992" s="1004"/>
      <c r="B992" s="1004"/>
      <c r="C992" s="1005"/>
      <c r="D992" s="977"/>
      <c r="E992" s="1190"/>
      <c r="G992" s="1190"/>
      <c r="I992" s="1190"/>
      <c r="K992" s="1190"/>
      <c r="N992" s="1190"/>
      <c r="U992" s="1189"/>
      <c r="W992" s="1189"/>
      <c r="Y992" s="1190"/>
      <c r="AA992" s="1190"/>
      <c r="AG992" s="701"/>
      <c r="AI992" s="701"/>
      <c r="AY992" s="977"/>
    </row>
    <row r="993" ht="15.75" customHeight="1">
      <c r="A993" s="1004"/>
      <c r="B993" s="1004"/>
      <c r="C993" s="1005"/>
      <c r="D993" s="977"/>
      <c r="E993" s="1190"/>
      <c r="G993" s="1190"/>
      <c r="I993" s="1190"/>
      <c r="K993" s="1190"/>
      <c r="N993" s="1190"/>
      <c r="U993" s="1189"/>
      <c r="W993" s="1189"/>
      <c r="Y993" s="1190"/>
      <c r="AA993" s="1190"/>
      <c r="AG993" s="701"/>
      <c r="AI993" s="701"/>
      <c r="AY993" s="977"/>
    </row>
    <row r="994" ht="15.75" customHeight="1">
      <c r="A994" s="1004"/>
      <c r="B994" s="1004"/>
      <c r="C994" s="1005"/>
      <c r="D994" s="977"/>
      <c r="E994" s="1190"/>
      <c r="G994" s="1190"/>
      <c r="I994" s="1190"/>
      <c r="K994" s="1190"/>
      <c r="N994" s="1190"/>
      <c r="U994" s="1189"/>
      <c r="W994" s="1189"/>
      <c r="Y994" s="1190"/>
      <c r="AA994" s="1190"/>
      <c r="AG994" s="701"/>
      <c r="AI994" s="701"/>
      <c r="AY994" s="977"/>
    </row>
    <row r="995" ht="15.75" customHeight="1">
      <c r="A995" s="1004"/>
      <c r="B995" s="1004"/>
      <c r="C995" s="1005"/>
      <c r="D995" s="977"/>
      <c r="E995" s="1190"/>
      <c r="G995" s="1190"/>
      <c r="I995" s="1190"/>
      <c r="K995" s="1190"/>
      <c r="N995" s="1190"/>
      <c r="U995" s="1189"/>
      <c r="W995" s="1189"/>
      <c r="Y995" s="1190"/>
      <c r="AA995" s="1190"/>
      <c r="AG995" s="701"/>
      <c r="AI995" s="701"/>
      <c r="AY995" s="977"/>
    </row>
    <row r="996" ht="15.75" customHeight="1">
      <c r="A996" s="1004"/>
      <c r="B996" s="1004"/>
      <c r="C996" s="1005"/>
      <c r="D996" s="977"/>
      <c r="E996" s="1190"/>
      <c r="G996" s="1190"/>
      <c r="I996" s="1190"/>
      <c r="K996" s="1190"/>
      <c r="N996" s="1190"/>
      <c r="U996" s="1189"/>
      <c r="W996" s="1189"/>
      <c r="Y996" s="1190"/>
      <c r="AA996" s="1190"/>
      <c r="AG996" s="701"/>
      <c r="AI996" s="701"/>
      <c r="AY996" s="977"/>
    </row>
    <row r="997" ht="15.75" customHeight="1">
      <c r="A997" s="1004"/>
      <c r="B997" s="1004"/>
      <c r="C997" s="1005"/>
      <c r="D997" s="977"/>
      <c r="E997" s="1190"/>
      <c r="G997" s="1190"/>
      <c r="I997" s="1190"/>
      <c r="K997" s="1190"/>
      <c r="N997" s="1190"/>
      <c r="U997" s="1189"/>
      <c r="W997" s="1189"/>
      <c r="Y997" s="1190"/>
      <c r="AA997" s="1190"/>
      <c r="AG997" s="701"/>
      <c r="AI997" s="701"/>
      <c r="AY997" s="977"/>
    </row>
    <row r="998" ht="15.75" customHeight="1">
      <c r="A998" s="1004"/>
      <c r="B998" s="1004"/>
      <c r="C998" s="1005"/>
      <c r="D998" s="977"/>
      <c r="E998" s="1190"/>
      <c r="G998" s="1190"/>
      <c r="I998" s="1190"/>
      <c r="K998" s="1190"/>
      <c r="N998" s="1190"/>
      <c r="U998" s="1189"/>
      <c r="W998" s="1189"/>
      <c r="Y998" s="1190"/>
      <c r="AA998" s="1190"/>
      <c r="AG998" s="701"/>
      <c r="AI998" s="701"/>
      <c r="AY998" s="977"/>
    </row>
    <row r="999" ht="15.75" customHeight="1">
      <c r="A999" s="1004"/>
      <c r="B999" s="1004"/>
      <c r="C999" s="1005"/>
      <c r="D999" s="977"/>
      <c r="E999" s="1190"/>
      <c r="G999" s="1190"/>
      <c r="I999" s="1190"/>
      <c r="K999" s="1190"/>
      <c r="N999" s="1190"/>
      <c r="U999" s="1189"/>
      <c r="W999" s="1189"/>
      <c r="Y999" s="1190"/>
      <c r="AA999" s="1190"/>
      <c r="AG999" s="701"/>
      <c r="AI999" s="701"/>
      <c r="AY999" s="977"/>
    </row>
    <row r="1000" ht="15.75" customHeight="1">
      <c r="A1000" s="1004"/>
      <c r="B1000" s="1004"/>
      <c r="C1000" s="1005"/>
      <c r="D1000" s="977"/>
      <c r="E1000" s="1190"/>
      <c r="G1000" s="1190"/>
      <c r="I1000" s="1190"/>
      <c r="K1000" s="1190"/>
      <c r="N1000" s="1190"/>
      <c r="U1000" s="1189"/>
      <c r="W1000" s="1189"/>
      <c r="Y1000" s="1190"/>
      <c r="AA1000" s="1190"/>
      <c r="AG1000" s="701"/>
      <c r="AI1000" s="701"/>
      <c r="AY1000" s="977"/>
    </row>
    <row r="1001" ht="15.75" customHeight="1">
      <c r="A1001" s="1004"/>
      <c r="B1001" s="1004"/>
      <c r="C1001" s="1005"/>
      <c r="D1001" s="977"/>
      <c r="E1001" s="1190"/>
      <c r="G1001" s="1190"/>
      <c r="I1001" s="1190"/>
      <c r="K1001" s="1190"/>
      <c r="N1001" s="1190"/>
      <c r="U1001" s="1189"/>
      <c r="W1001" s="1189"/>
      <c r="Y1001" s="1190"/>
      <c r="AA1001" s="1190"/>
      <c r="AG1001" s="701"/>
      <c r="AI1001" s="701"/>
      <c r="AY1001" s="977"/>
    </row>
    <row r="1002" ht="15.75" customHeight="1">
      <c r="A1002" s="1004"/>
      <c r="B1002" s="1004"/>
      <c r="C1002" s="1005"/>
      <c r="D1002" s="977"/>
      <c r="E1002" s="1190"/>
      <c r="G1002" s="1190"/>
      <c r="I1002" s="1190"/>
      <c r="K1002" s="1190"/>
      <c r="N1002" s="1190"/>
      <c r="U1002" s="1189"/>
      <c r="W1002" s="1189"/>
      <c r="Y1002" s="1190"/>
      <c r="AA1002" s="1190"/>
      <c r="AG1002" s="701"/>
      <c r="AI1002" s="701"/>
      <c r="AY1002" s="977"/>
    </row>
    <row r="1003" ht="15.75" customHeight="1">
      <c r="A1003" s="1004"/>
      <c r="B1003" s="1004"/>
      <c r="C1003" s="1005"/>
      <c r="D1003" s="977"/>
      <c r="E1003" s="1190"/>
      <c r="G1003" s="1190"/>
      <c r="I1003" s="1190"/>
      <c r="K1003" s="1190"/>
      <c r="N1003" s="1190"/>
      <c r="U1003" s="1189"/>
      <c r="W1003" s="1189"/>
      <c r="Y1003" s="1190"/>
      <c r="AA1003" s="1190"/>
      <c r="AG1003" s="701"/>
      <c r="AI1003" s="701"/>
      <c r="AY1003" s="977"/>
    </row>
    <row r="1004" ht="15.75" customHeight="1">
      <c r="A1004" s="1004"/>
      <c r="B1004" s="1004"/>
      <c r="C1004" s="1005"/>
      <c r="D1004" s="977"/>
      <c r="E1004" s="1190"/>
      <c r="G1004" s="1190"/>
      <c r="I1004" s="1190"/>
      <c r="K1004" s="1190"/>
      <c r="N1004" s="1190"/>
      <c r="U1004" s="1189"/>
      <c r="W1004" s="1189"/>
      <c r="Y1004" s="1190"/>
      <c r="AA1004" s="1190"/>
      <c r="AG1004" s="701"/>
      <c r="AI1004" s="701"/>
      <c r="AY1004" s="977"/>
    </row>
    <row r="1005" ht="15.75" customHeight="1">
      <c r="A1005" s="1004"/>
      <c r="B1005" s="1004"/>
      <c r="C1005" s="1005"/>
      <c r="D1005" s="977"/>
      <c r="E1005" s="1190"/>
      <c r="G1005" s="1190"/>
      <c r="I1005" s="1190"/>
      <c r="K1005" s="1190"/>
      <c r="N1005" s="1190"/>
      <c r="U1005" s="1189"/>
      <c r="W1005" s="1189"/>
      <c r="Y1005" s="1190"/>
      <c r="AA1005" s="1190"/>
      <c r="AG1005" s="701"/>
      <c r="AI1005" s="701"/>
      <c r="AY1005" s="977"/>
    </row>
    <row r="1006" ht="15.75" customHeight="1">
      <c r="A1006" s="1004"/>
      <c r="B1006" s="1004"/>
      <c r="C1006" s="1005"/>
      <c r="D1006" s="977"/>
      <c r="E1006" s="1190"/>
      <c r="G1006" s="1190"/>
      <c r="I1006" s="1190"/>
      <c r="K1006" s="1190"/>
      <c r="N1006" s="1190"/>
      <c r="U1006" s="1189"/>
      <c r="W1006" s="1189"/>
      <c r="Y1006" s="1190"/>
      <c r="AA1006" s="1190"/>
      <c r="AG1006" s="701"/>
      <c r="AI1006" s="701"/>
      <c r="AY1006" s="977"/>
    </row>
    <row r="1007" ht="15.75" customHeight="1">
      <c r="A1007" s="1004"/>
      <c r="B1007" s="1004"/>
      <c r="C1007" s="1005"/>
      <c r="D1007" s="977"/>
      <c r="E1007" s="1190"/>
      <c r="G1007" s="1190"/>
      <c r="I1007" s="1190"/>
      <c r="K1007" s="1190"/>
      <c r="N1007" s="1190"/>
      <c r="U1007" s="1189"/>
      <c r="W1007" s="1189"/>
      <c r="Y1007" s="1190"/>
      <c r="AA1007" s="1190"/>
      <c r="AG1007" s="701"/>
      <c r="AI1007" s="701"/>
      <c r="AY1007" s="977"/>
    </row>
    <row r="1008" ht="15.75" customHeight="1">
      <c r="A1008" s="1004"/>
      <c r="B1008" s="1004"/>
      <c r="C1008" s="1005"/>
      <c r="D1008" s="977"/>
      <c r="E1008" s="1190"/>
      <c r="G1008" s="1190"/>
      <c r="I1008" s="1190"/>
      <c r="K1008" s="1190"/>
      <c r="N1008" s="1190"/>
      <c r="U1008" s="1189"/>
      <c r="W1008" s="1189"/>
      <c r="Y1008" s="1190"/>
      <c r="AA1008" s="1190"/>
      <c r="AG1008" s="701"/>
      <c r="AI1008" s="701"/>
      <c r="AY1008" s="977"/>
    </row>
    <row r="1009" ht="15.75" customHeight="1">
      <c r="A1009" s="1004"/>
      <c r="B1009" s="1004"/>
      <c r="C1009" s="1005"/>
      <c r="D1009" s="977"/>
      <c r="E1009" s="1190"/>
      <c r="G1009" s="1190"/>
      <c r="I1009" s="1190"/>
      <c r="K1009" s="1190"/>
      <c r="N1009" s="1190"/>
      <c r="U1009" s="1189"/>
      <c r="W1009" s="1189"/>
      <c r="Y1009" s="1190"/>
      <c r="AA1009" s="1190"/>
      <c r="AG1009" s="701"/>
      <c r="AI1009" s="701"/>
      <c r="AY1009" s="977"/>
    </row>
    <row r="1010" ht="15.75" customHeight="1">
      <c r="A1010" s="1004"/>
      <c r="B1010" s="1004"/>
      <c r="C1010" s="1005"/>
      <c r="D1010" s="977"/>
      <c r="E1010" s="1190"/>
      <c r="G1010" s="1190"/>
      <c r="I1010" s="1190"/>
      <c r="K1010" s="1190"/>
      <c r="N1010" s="1190"/>
      <c r="U1010" s="1189"/>
      <c r="W1010" s="1189"/>
      <c r="Y1010" s="1190"/>
      <c r="AA1010" s="1190"/>
      <c r="AG1010" s="701"/>
      <c r="AI1010" s="701"/>
      <c r="AY1010" s="977"/>
    </row>
    <row r="1011" ht="15.75" customHeight="1">
      <c r="A1011" s="1004"/>
      <c r="B1011" s="1004"/>
      <c r="C1011" s="1005"/>
      <c r="D1011" s="977"/>
      <c r="E1011" s="1190"/>
      <c r="G1011" s="1190"/>
      <c r="I1011" s="1190"/>
      <c r="K1011" s="1190"/>
      <c r="N1011" s="1190"/>
      <c r="U1011" s="1189"/>
      <c r="W1011" s="1189"/>
      <c r="Y1011" s="1190"/>
      <c r="AA1011" s="1190"/>
      <c r="AG1011" s="701"/>
      <c r="AI1011" s="701"/>
      <c r="AY1011" s="977"/>
    </row>
    <row r="1012" ht="15.75" customHeight="1">
      <c r="A1012" s="1004"/>
      <c r="B1012" s="1004"/>
      <c r="C1012" s="1005"/>
      <c r="D1012" s="977"/>
      <c r="E1012" s="1190"/>
      <c r="G1012" s="1190"/>
      <c r="I1012" s="1190"/>
      <c r="K1012" s="1190"/>
      <c r="N1012" s="1190"/>
      <c r="U1012" s="1189"/>
      <c r="W1012" s="1189"/>
      <c r="Y1012" s="1190"/>
      <c r="AA1012" s="1190"/>
      <c r="AG1012" s="701"/>
      <c r="AI1012" s="701"/>
      <c r="AY1012" s="977"/>
    </row>
    <row r="1013" ht="15.75" customHeight="1">
      <c r="A1013" s="1004"/>
      <c r="B1013" s="1004"/>
      <c r="C1013" s="1005"/>
      <c r="D1013" s="977"/>
      <c r="E1013" s="1190"/>
      <c r="G1013" s="1190"/>
      <c r="I1013" s="1190"/>
      <c r="K1013" s="1190"/>
      <c r="N1013" s="1190"/>
      <c r="U1013" s="1189"/>
      <c r="W1013" s="1189"/>
      <c r="Y1013" s="1190"/>
      <c r="AA1013" s="1190"/>
      <c r="AG1013" s="701"/>
      <c r="AI1013" s="701"/>
      <c r="AY1013" s="977"/>
    </row>
    <row r="1014" ht="15.75" customHeight="1">
      <c r="A1014" s="1004"/>
      <c r="B1014" s="1004"/>
      <c r="C1014" s="1005"/>
      <c r="D1014" s="977"/>
      <c r="E1014" s="1190"/>
      <c r="G1014" s="1190"/>
      <c r="I1014" s="1190"/>
      <c r="K1014" s="1190"/>
      <c r="N1014" s="1190"/>
      <c r="U1014" s="1189"/>
      <c r="W1014" s="1189"/>
      <c r="Y1014" s="1190"/>
      <c r="AA1014" s="1190"/>
      <c r="AG1014" s="701"/>
      <c r="AI1014" s="701"/>
      <c r="AY1014" s="977"/>
    </row>
    <row r="1015" ht="15.75" customHeight="1">
      <c r="A1015" s="1004"/>
      <c r="B1015" s="1004"/>
      <c r="C1015" s="1005"/>
      <c r="D1015" s="977"/>
      <c r="E1015" s="1190"/>
      <c r="G1015" s="1190"/>
      <c r="I1015" s="1190"/>
      <c r="K1015" s="1190"/>
      <c r="N1015" s="1190"/>
      <c r="U1015" s="1189"/>
      <c r="W1015" s="1189"/>
      <c r="Y1015" s="1190"/>
      <c r="AA1015" s="1190"/>
      <c r="AG1015" s="701"/>
      <c r="AI1015" s="701"/>
      <c r="AY1015" s="977"/>
    </row>
    <row r="1016" ht="15.75" customHeight="1">
      <c r="A1016" s="1004"/>
      <c r="B1016" s="1004"/>
      <c r="C1016" s="1005"/>
      <c r="D1016" s="977"/>
      <c r="E1016" s="1190"/>
      <c r="G1016" s="1190"/>
      <c r="I1016" s="1190"/>
      <c r="K1016" s="1190"/>
      <c r="N1016" s="1190"/>
      <c r="U1016" s="1189"/>
      <c r="W1016" s="1189"/>
      <c r="Y1016" s="1190"/>
      <c r="AA1016" s="1190"/>
      <c r="AG1016" s="701"/>
      <c r="AI1016" s="701"/>
      <c r="AY1016" s="977"/>
    </row>
    <row r="1017" ht="15.75" customHeight="1">
      <c r="A1017" s="1004"/>
      <c r="B1017" s="1004"/>
      <c r="C1017" s="1005"/>
      <c r="D1017" s="977"/>
      <c r="E1017" s="1190"/>
      <c r="G1017" s="1190"/>
      <c r="I1017" s="1190"/>
      <c r="K1017" s="1190"/>
      <c r="N1017" s="1190"/>
      <c r="U1017" s="1189"/>
      <c r="W1017" s="1189"/>
      <c r="Y1017" s="1190"/>
      <c r="AA1017" s="1190"/>
      <c r="AG1017" s="701"/>
      <c r="AI1017" s="701"/>
      <c r="AY1017" s="977"/>
    </row>
    <row r="1018" ht="15.75" customHeight="1">
      <c r="A1018" s="1004"/>
      <c r="B1018" s="1004"/>
      <c r="C1018" s="1005"/>
      <c r="D1018" s="977"/>
      <c r="E1018" s="1190"/>
      <c r="G1018" s="1190"/>
      <c r="I1018" s="1190"/>
      <c r="K1018" s="1190"/>
      <c r="N1018" s="1190"/>
      <c r="U1018" s="1189"/>
      <c r="W1018" s="1189"/>
      <c r="Y1018" s="1190"/>
      <c r="AA1018" s="1190"/>
      <c r="AG1018" s="701"/>
      <c r="AI1018" s="701"/>
      <c r="AY1018" s="977"/>
    </row>
    <row r="1019" ht="15.75" customHeight="1">
      <c r="A1019" s="1004"/>
      <c r="B1019" s="1004"/>
      <c r="C1019" s="1005"/>
      <c r="D1019" s="977"/>
      <c r="E1019" s="1190"/>
      <c r="G1019" s="1190"/>
      <c r="I1019" s="1190"/>
      <c r="K1019" s="1190"/>
      <c r="N1019" s="1190"/>
      <c r="U1019" s="1189"/>
      <c r="W1019" s="1189"/>
      <c r="Y1019" s="1190"/>
      <c r="AA1019" s="1190"/>
      <c r="AG1019" s="701"/>
      <c r="AI1019" s="701"/>
      <c r="AY1019" s="977"/>
    </row>
    <row r="1020" ht="15.75" customHeight="1">
      <c r="A1020" s="1004"/>
      <c r="B1020" s="1004"/>
      <c r="C1020" s="1005"/>
      <c r="D1020" s="977"/>
      <c r="E1020" s="1190"/>
      <c r="G1020" s="1190"/>
      <c r="I1020" s="1190"/>
      <c r="K1020" s="1190"/>
      <c r="N1020" s="1190"/>
      <c r="U1020" s="1189"/>
      <c r="W1020" s="1189"/>
      <c r="Y1020" s="1190"/>
      <c r="AA1020" s="1190"/>
      <c r="AG1020" s="701"/>
      <c r="AI1020" s="701"/>
      <c r="AY1020" s="977"/>
    </row>
    <row r="1021" ht="15.75" customHeight="1">
      <c r="A1021" s="1004"/>
      <c r="B1021" s="1004"/>
      <c r="C1021" s="1005"/>
      <c r="D1021" s="977"/>
      <c r="E1021" s="1190"/>
      <c r="G1021" s="1190"/>
      <c r="I1021" s="1190"/>
      <c r="K1021" s="1190"/>
      <c r="N1021" s="1190"/>
      <c r="U1021" s="1189"/>
      <c r="W1021" s="1189"/>
      <c r="Y1021" s="1190"/>
      <c r="AA1021" s="1190"/>
      <c r="AG1021" s="701"/>
      <c r="AI1021" s="701"/>
      <c r="AY1021" s="977"/>
    </row>
    <row r="1022" ht="15.75" customHeight="1">
      <c r="A1022" s="1004"/>
      <c r="B1022" s="1004"/>
      <c r="C1022" s="1005"/>
      <c r="D1022" s="977"/>
      <c r="E1022" s="1190"/>
      <c r="G1022" s="1190"/>
      <c r="I1022" s="1190"/>
      <c r="K1022" s="1190"/>
      <c r="N1022" s="1190"/>
      <c r="U1022" s="1189"/>
      <c r="W1022" s="1189"/>
      <c r="Y1022" s="1190"/>
      <c r="AA1022" s="1190"/>
      <c r="AG1022" s="701"/>
      <c r="AI1022" s="701"/>
      <c r="AY1022" s="977"/>
    </row>
    <row r="1023" ht="15.75" customHeight="1">
      <c r="A1023" s="1004"/>
      <c r="B1023" s="1004"/>
      <c r="C1023" s="1005"/>
      <c r="D1023" s="977"/>
      <c r="E1023" s="1190"/>
      <c r="G1023" s="1190"/>
      <c r="I1023" s="1190"/>
      <c r="K1023" s="1190"/>
      <c r="N1023" s="1190"/>
      <c r="U1023" s="1189"/>
      <c r="W1023" s="1189"/>
      <c r="Y1023" s="1190"/>
      <c r="AA1023" s="1190"/>
      <c r="AG1023" s="701"/>
      <c r="AI1023" s="701"/>
      <c r="AY1023" s="977"/>
    </row>
    <row r="1024" ht="15.75" customHeight="1">
      <c r="A1024" s="1004"/>
      <c r="B1024" s="1004"/>
      <c r="C1024" s="1005"/>
      <c r="D1024" s="977"/>
      <c r="E1024" s="1190"/>
      <c r="G1024" s="1190"/>
      <c r="I1024" s="1190"/>
      <c r="K1024" s="1190"/>
      <c r="N1024" s="1190"/>
      <c r="U1024" s="1189"/>
      <c r="W1024" s="1189"/>
      <c r="Y1024" s="1190"/>
      <c r="AA1024" s="1190"/>
      <c r="AG1024" s="701"/>
      <c r="AI1024" s="701"/>
      <c r="AY1024" s="977"/>
    </row>
    <row r="1025" ht="15.75" customHeight="1">
      <c r="A1025" s="1004"/>
      <c r="B1025" s="1004"/>
      <c r="C1025" s="1005"/>
      <c r="D1025" s="977"/>
      <c r="E1025" s="1190"/>
      <c r="G1025" s="1190"/>
      <c r="I1025" s="1190"/>
      <c r="K1025" s="1190"/>
      <c r="N1025" s="1190"/>
      <c r="U1025" s="1189"/>
      <c r="W1025" s="1189"/>
      <c r="Y1025" s="1190"/>
      <c r="AA1025" s="1190"/>
      <c r="AG1025" s="701"/>
      <c r="AI1025" s="701"/>
      <c r="AY1025" s="977"/>
    </row>
    <row r="1026" ht="15.75" customHeight="1">
      <c r="A1026" s="1004"/>
      <c r="B1026" s="1004"/>
      <c r="C1026" s="1005"/>
      <c r="D1026" s="977"/>
      <c r="E1026" s="1190"/>
      <c r="G1026" s="1190"/>
      <c r="I1026" s="1190"/>
      <c r="K1026" s="1190"/>
      <c r="N1026" s="1190"/>
      <c r="U1026" s="1189"/>
      <c r="W1026" s="1189"/>
      <c r="Y1026" s="1190"/>
      <c r="AA1026" s="1190"/>
      <c r="AG1026" s="701"/>
      <c r="AI1026" s="701"/>
      <c r="AY1026" s="977"/>
    </row>
    <row r="1027" ht="15.75" customHeight="1">
      <c r="A1027" s="1004"/>
      <c r="B1027" s="1004"/>
      <c r="C1027" s="1005"/>
      <c r="D1027" s="977"/>
      <c r="E1027" s="1190"/>
      <c r="G1027" s="1190"/>
      <c r="I1027" s="1190"/>
      <c r="K1027" s="1190"/>
      <c r="N1027" s="1190"/>
      <c r="U1027" s="1189"/>
      <c r="W1027" s="1189"/>
      <c r="Y1027" s="1190"/>
      <c r="AA1027" s="1190"/>
      <c r="AG1027" s="701"/>
      <c r="AI1027" s="701"/>
      <c r="AY1027" s="977"/>
    </row>
    <row r="1028" ht="15.75" customHeight="1">
      <c r="A1028" s="1004"/>
      <c r="B1028" s="1004"/>
      <c r="C1028" s="1005"/>
      <c r="D1028" s="977"/>
      <c r="E1028" s="1190"/>
      <c r="G1028" s="1190"/>
      <c r="I1028" s="1190"/>
      <c r="K1028" s="1190"/>
      <c r="N1028" s="1190"/>
      <c r="U1028" s="1189"/>
      <c r="W1028" s="1189"/>
      <c r="Y1028" s="1190"/>
      <c r="AA1028" s="1190"/>
      <c r="AG1028" s="701"/>
      <c r="AI1028" s="701"/>
      <c r="AY1028" s="977"/>
    </row>
    <row r="1029" ht="15.75" customHeight="1">
      <c r="A1029" s="1004"/>
      <c r="B1029" s="1004"/>
      <c r="C1029" s="1005"/>
      <c r="D1029" s="977"/>
      <c r="E1029" s="1190"/>
      <c r="G1029" s="1190"/>
      <c r="I1029" s="1190"/>
      <c r="K1029" s="1190"/>
      <c r="N1029" s="1190"/>
      <c r="U1029" s="1189"/>
      <c r="W1029" s="1189"/>
      <c r="Y1029" s="1190"/>
      <c r="AA1029" s="1190"/>
      <c r="AG1029" s="701"/>
      <c r="AI1029" s="701"/>
      <c r="AY1029" s="977"/>
    </row>
    <row r="1030" ht="15.75" customHeight="1">
      <c r="A1030" s="1004"/>
      <c r="B1030" s="1004"/>
      <c r="C1030" s="1005"/>
      <c r="D1030" s="977"/>
      <c r="E1030" s="1190"/>
      <c r="G1030" s="1190"/>
      <c r="I1030" s="1190"/>
      <c r="K1030" s="1190"/>
      <c r="N1030" s="1190"/>
      <c r="U1030" s="1189"/>
      <c r="W1030" s="1189"/>
      <c r="Y1030" s="1190"/>
      <c r="AA1030" s="1190"/>
      <c r="AG1030" s="701"/>
      <c r="AI1030" s="701"/>
      <c r="AY1030" s="977"/>
    </row>
    <row r="1031" ht="15.75" customHeight="1">
      <c r="A1031" s="1004"/>
      <c r="B1031" s="1004"/>
      <c r="C1031" s="1005"/>
      <c r="D1031" s="977"/>
      <c r="E1031" s="1190"/>
      <c r="G1031" s="1190"/>
      <c r="I1031" s="1190"/>
      <c r="K1031" s="1190"/>
      <c r="N1031" s="1190"/>
      <c r="U1031" s="1189"/>
      <c r="W1031" s="1189"/>
      <c r="Y1031" s="1190"/>
      <c r="AA1031" s="1190"/>
      <c r="AG1031" s="701"/>
      <c r="AI1031" s="701"/>
      <c r="AY1031" s="977"/>
    </row>
    <row r="1032" ht="15.75" customHeight="1">
      <c r="A1032" s="1004"/>
      <c r="B1032" s="1004"/>
      <c r="C1032" s="1005"/>
      <c r="D1032" s="977"/>
      <c r="E1032" s="1190"/>
      <c r="G1032" s="1190"/>
      <c r="I1032" s="1190"/>
      <c r="K1032" s="1190"/>
      <c r="N1032" s="1190"/>
      <c r="U1032" s="1189"/>
      <c r="W1032" s="1189"/>
      <c r="Y1032" s="1190"/>
      <c r="AA1032" s="1190"/>
      <c r="AG1032" s="701"/>
      <c r="AI1032" s="701"/>
      <c r="AY1032" s="977"/>
    </row>
    <row r="1033" ht="15.75" customHeight="1">
      <c r="A1033" s="1004"/>
      <c r="B1033" s="1004"/>
      <c r="C1033" s="1005"/>
      <c r="D1033" s="977"/>
      <c r="E1033" s="1190"/>
      <c r="G1033" s="1190"/>
      <c r="I1033" s="1190"/>
      <c r="K1033" s="1190"/>
      <c r="N1033" s="1190"/>
      <c r="U1033" s="1189"/>
      <c r="W1033" s="1189"/>
      <c r="Y1033" s="1190"/>
      <c r="AA1033" s="1190"/>
      <c r="AG1033" s="701"/>
      <c r="AI1033" s="701"/>
      <c r="AY1033" s="977"/>
    </row>
    <row r="1034" ht="15.75" customHeight="1">
      <c r="A1034" s="1004"/>
      <c r="B1034" s="1004"/>
      <c r="C1034" s="1005"/>
      <c r="D1034" s="977"/>
      <c r="E1034" s="1190"/>
      <c r="G1034" s="1190"/>
      <c r="I1034" s="1190"/>
      <c r="K1034" s="1190"/>
      <c r="N1034" s="1190"/>
      <c r="U1034" s="1189"/>
      <c r="W1034" s="1189"/>
      <c r="Y1034" s="1190"/>
      <c r="AA1034" s="1190"/>
      <c r="AG1034" s="701"/>
      <c r="AI1034" s="701"/>
      <c r="AY1034" s="977"/>
    </row>
    <row r="1035" ht="15.75" customHeight="1">
      <c r="A1035" s="1004"/>
      <c r="B1035" s="1004"/>
      <c r="C1035" s="1005"/>
      <c r="D1035" s="977"/>
      <c r="E1035" s="1190"/>
      <c r="G1035" s="1190"/>
      <c r="I1035" s="1190"/>
      <c r="K1035" s="1190"/>
      <c r="N1035" s="1190"/>
      <c r="U1035" s="1189"/>
      <c r="W1035" s="1189"/>
      <c r="Y1035" s="1190"/>
      <c r="AA1035" s="1190"/>
      <c r="AG1035" s="701"/>
      <c r="AI1035" s="701"/>
      <c r="AY1035" s="977"/>
    </row>
    <row r="1036" ht="15.75" customHeight="1">
      <c r="A1036" s="1004"/>
      <c r="B1036" s="1004"/>
      <c r="C1036" s="1005"/>
      <c r="D1036" s="977"/>
      <c r="E1036" s="1190"/>
      <c r="G1036" s="1190"/>
      <c r="I1036" s="1190"/>
      <c r="K1036" s="1190"/>
      <c r="N1036" s="1190"/>
      <c r="U1036" s="1189"/>
      <c r="W1036" s="1189"/>
      <c r="Y1036" s="1190"/>
      <c r="AA1036" s="1190"/>
      <c r="AG1036" s="701"/>
      <c r="AI1036" s="701"/>
      <c r="AY1036" s="977"/>
    </row>
    <row r="1037" ht="15.75" customHeight="1">
      <c r="A1037" s="1004"/>
      <c r="B1037" s="1004"/>
      <c r="C1037" s="1005"/>
      <c r="D1037" s="977"/>
      <c r="E1037" s="1190"/>
      <c r="G1037" s="1190"/>
      <c r="I1037" s="1190"/>
      <c r="K1037" s="1190"/>
      <c r="N1037" s="1190"/>
      <c r="U1037" s="1189"/>
      <c r="W1037" s="1189"/>
      <c r="Y1037" s="1190"/>
      <c r="AA1037" s="1190"/>
      <c r="AG1037" s="701"/>
      <c r="AI1037" s="701"/>
      <c r="AY1037" s="977"/>
    </row>
    <row r="1038" ht="15.75" customHeight="1">
      <c r="A1038" s="1004"/>
      <c r="B1038" s="1004"/>
      <c r="C1038" s="1005"/>
      <c r="D1038" s="977"/>
      <c r="E1038" s="1190"/>
      <c r="G1038" s="1190"/>
      <c r="I1038" s="1190"/>
      <c r="K1038" s="1190"/>
      <c r="N1038" s="1190"/>
      <c r="U1038" s="1189"/>
      <c r="W1038" s="1189"/>
      <c r="Y1038" s="1190"/>
      <c r="AA1038" s="1190"/>
      <c r="AG1038" s="701"/>
      <c r="AI1038" s="701"/>
      <c r="AY1038" s="977"/>
    </row>
    <row r="1039" ht="15.75" customHeight="1">
      <c r="A1039" s="1004"/>
      <c r="B1039" s="1004"/>
      <c r="C1039" s="1005"/>
      <c r="D1039" s="977"/>
      <c r="E1039" s="1190"/>
      <c r="G1039" s="1190"/>
      <c r="I1039" s="1190"/>
      <c r="K1039" s="1190"/>
      <c r="N1039" s="1190"/>
      <c r="U1039" s="1189"/>
      <c r="W1039" s="1189"/>
      <c r="Y1039" s="1190"/>
      <c r="AA1039" s="1190"/>
      <c r="AG1039" s="701"/>
      <c r="AI1039" s="701"/>
      <c r="AY1039" s="977"/>
    </row>
    <row r="1040" ht="15.75" customHeight="1">
      <c r="A1040" s="1004"/>
      <c r="B1040" s="1004"/>
      <c r="C1040" s="1005"/>
      <c r="D1040" s="977"/>
      <c r="E1040" s="1190"/>
      <c r="G1040" s="1190"/>
      <c r="I1040" s="1190"/>
      <c r="K1040" s="1190"/>
      <c r="N1040" s="1190"/>
      <c r="U1040" s="1189"/>
      <c r="W1040" s="1189"/>
      <c r="Y1040" s="1190"/>
      <c r="AA1040" s="1190"/>
      <c r="AG1040" s="701"/>
      <c r="AI1040" s="701"/>
      <c r="AY1040" s="977"/>
    </row>
    <row r="1041" ht="15.75" customHeight="1">
      <c r="A1041" s="1004"/>
      <c r="B1041" s="1004"/>
      <c r="C1041" s="1005"/>
      <c r="D1041" s="977"/>
      <c r="E1041" s="1190"/>
      <c r="G1041" s="1190"/>
      <c r="I1041" s="1190"/>
      <c r="K1041" s="1190"/>
      <c r="N1041" s="1190"/>
      <c r="U1041" s="1189"/>
      <c r="W1041" s="1189"/>
      <c r="Y1041" s="1190"/>
      <c r="AA1041" s="1190"/>
      <c r="AG1041" s="701"/>
      <c r="AI1041" s="701"/>
      <c r="AY1041" s="977"/>
    </row>
    <row r="1042" ht="15.75" customHeight="1">
      <c r="A1042" s="1004"/>
      <c r="B1042" s="1004"/>
      <c r="C1042" s="1005"/>
      <c r="D1042" s="977"/>
      <c r="E1042" s="1190"/>
      <c r="G1042" s="1190"/>
      <c r="I1042" s="1190"/>
      <c r="K1042" s="1190"/>
      <c r="N1042" s="1190"/>
      <c r="U1042" s="1189"/>
      <c r="W1042" s="1189"/>
      <c r="Y1042" s="1190"/>
      <c r="AA1042" s="1190"/>
      <c r="AG1042" s="701"/>
      <c r="AI1042" s="701"/>
      <c r="AY1042" s="977"/>
    </row>
    <row r="1043" ht="15.75" customHeight="1">
      <c r="A1043" s="1004"/>
      <c r="B1043" s="1004"/>
      <c r="C1043" s="1005"/>
      <c r="D1043" s="977"/>
      <c r="E1043" s="1190"/>
      <c r="G1043" s="1190"/>
      <c r="I1043" s="1190"/>
      <c r="K1043" s="1190"/>
      <c r="N1043" s="1190"/>
      <c r="U1043" s="1189"/>
      <c r="W1043" s="1189"/>
      <c r="Y1043" s="1190"/>
      <c r="AA1043" s="1190"/>
      <c r="AG1043" s="701"/>
      <c r="AI1043" s="701"/>
      <c r="AY1043" s="977"/>
    </row>
    <row r="1044" ht="15.75" customHeight="1">
      <c r="A1044" s="1004"/>
      <c r="B1044" s="1004"/>
      <c r="C1044" s="1005"/>
      <c r="D1044" s="977"/>
      <c r="E1044" s="1190"/>
      <c r="G1044" s="1190"/>
      <c r="I1044" s="1190"/>
      <c r="K1044" s="1190"/>
      <c r="N1044" s="1190"/>
      <c r="U1044" s="1189"/>
      <c r="W1044" s="1189"/>
      <c r="Y1044" s="1190"/>
      <c r="AA1044" s="1190"/>
      <c r="AG1044" s="701"/>
      <c r="AI1044" s="701"/>
      <c r="AY1044" s="977"/>
    </row>
    <row r="1045" ht="15.75" customHeight="1">
      <c r="A1045" s="1004"/>
      <c r="B1045" s="1004"/>
      <c r="C1045" s="1005"/>
      <c r="D1045" s="977"/>
      <c r="E1045" s="1190"/>
      <c r="G1045" s="1190"/>
      <c r="I1045" s="1190"/>
      <c r="K1045" s="1190"/>
      <c r="N1045" s="1190"/>
      <c r="U1045" s="1189"/>
      <c r="W1045" s="1189"/>
      <c r="Y1045" s="1190"/>
      <c r="AA1045" s="1190"/>
      <c r="AG1045" s="701"/>
      <c r="AI1045" s="701"/>
      <c r="AY1045" s="977"/>
    </row>
    <row r="1046" ht="15.75" customHeight="1">
      <c r="A1046" s="1004"/>
      <c r="B1046" s="1004"/>
      <c r="C1046" s="1005"/>
      <c r="D1046" s="977"/>
      <c r="E1046" s="1190"/>
      <c r="G1046" s="1190"/>
      <c r="I1046" s="1190"/>
      <c r="K1046" s="1190"/>
      <c r="N1046" s="1190"/>
      <c r="U1046" s="1189"/>
      <c r="W1046" s="1189"/>
      <c r="Y1046" s="1190"/>
      <c r="AA1046" s="1190"/>
      <c r="AG1046" s="701"/>
      <c r="AI1046" s="701"/>
      <c r="AY1046" s="977"/>
    </row>
    <row r="1047" ht="15.75" customHeight="1">
      <c r="A1047" s="1004"/>
      <c r="B1047" s="1004"/>
      <c r="C1047" s="1005"/>
      <c r="D1047" s="977"/>
      <c r="E1047" s="1190"/>
      <c r="G1047" s="1190"/>
      <c r="I1047" s="1190"/>
      <c r="K1047" s="1190"/>
      <c r="N1047" s="1190"/>
      <c r="U1047" s="1189"/>
      <c r="W1047" s="1189"/>
      <c r="Y1047" s="1190"/>
      <c r="AA1047" s="1190"/>
      <c r="AG1047" s="701"/>
      <c r="AI1047" s="701"/>
      <c r="AY1047" s="977"/>
    </row>
    <row r="1048" ht="15.75" customHeight="1">
      <c r="A1048" s="1004"/>
      <c r="B1048" s="1004"/>
      <c r="C1048" s="1005"/>
      <c r="D1048" s="977"/>
      <c r="E1048" s="1190"/>
      <c r="G1048" s="1190"/>
      <c r="I1048" s="1190"/>
      <c r="K1048" s="1190"/>
      <c r="N1048" s="1190"/>
      <c r="U1048" s="1189"/>
      <c r="W1048" s="1189"/>
      <c r="Y1048" s="1190"/>
      <c r="AA1048" s="1190"/>
      <c r="AG1048" s="701"/>
      <c r="AI1048" s="701"/>
      <c r="AY1048" s="977"/>
    </row>
    <row r="1049" ht="15.75" customHeight="1">
      <c r="A1049" s="1004"/>
      <c r="B1049" s="1004"/>
      <c r="C1049" s="1005"/>
      <c r="D1049" s="977"/>
      <c r="E1049" s="1190"/>
      <c r="G1049" s="1190"/>
      <c r="I1049" s="1190"/>
      <c r="K1049" s="1190"/>
      <c r="N1049" s="1190"/>
      <c r="U1049" s="1189"/>
      <c r="W1049" s="1189"/>
      <c r="Y1049" s="1190"/>
      <c r="AA1049" s="1190"/>
      <c r="AG1049" s="701"/>
      <c r="AI1049" s="701"/>
      <c r="AY1049" s="977"/>
    </row>
    <row r="1050" ht="15.75" customHeight="1">
      <c r="A1050" s="1004"/>
      <c r="B1050" s="1004"/>
      <c r="C1050" s="1005"/>
      <c r="D1050" s="977"/>
      <c r="E1050" s="1190"/>
      <c r="G1050" s="1190"/>
      <c r="I1050" s="1190"/>
      <c r="K1050" s="1190"/>
      <c r="N1050" s="1190"/>
      <c r="U1050" s="1189"/>
      <c r="W1050" s="1189"/>
      <c r="Y1050" s="1190"/>
      <c r="AA1050" s="1190"/>
      <c r="AG1050" s="701"/>
      <c r="AI1050" s="701"/>
      <c r="AY1050" s="977"/>
    </row>
    <row r="1051" ht="15.75" customHeight="1">
      <c r="A1051" s="1004"/>
      <c r="B1051" s="1004"/>
      <c r="C1051" s="1005"/>
      <c r="D1051" s="977"/>
      <c r="E1051" s="1190"/>
      <c r="G1051" s="1190"/>
      <c r="I1051" s="1190"/>
      <c r="K1051" s="1190"/>
      <c r="N1051" s="1190"/>
      <c r="U1051" s="1189"/>
      <c r="W1051" s="1189"/>
      <c r="Y1051" s="1190"/>
      <c r="AA1051" s="1190"/>
      <c r="AG1051" s="701"/>
      <c r="AI1051" s="701"/>
      <c r="AY1051" s="977"/>
    </row>
    <row r="1052" ht="15.75" customHeight="1">
      <c r="A1052" s="1004"/>
      <c r="B1052" s="1004"/>
      <c r="C1052" s="1005"/>
      <c r="D1052" s="977"/>
      <c r="E1052" s="1190"/>
      <c r="G1052" s="1190"/>
      <c r="I1052" s="1190"/>
      <c r="K1052" s="1190"/>
      <c r="N1052" s="1190"/>
      <c r="U1052" s="1189"/>
      <c r="W1052" s="1189"/>
      <c r="Y1052" s="1190"/>
      <c r="AA1052" s="1190"/>
      <c r="AG1052" s="701"/>
      <c r="AI1052" s="701"/>
      <c r="AY1052" s="977"/>
    </row>
    <row r="1053" ht="15.75" customHeight="1">
      <c r="A1053" s="1004"/>
      <c r="B1053" s="1004"/>
      <c r="C1053" s="1005"/>
      <c r="D1053" s="977"/>
      <c r="E1053" s="1190"/>
      <c r="G1053" s="1190"/>
      <c r="I1053" s="1190"/>
      <c r="K1053" s="1190"/>
      <c r="N1053" s="1190"/>
      <c r="U1053" s="1189"/>
      <c r="W1053" s="1189"/>
      <c r="Y1053" s="1190"/>
      <c r="AA1053" s="1190"/>
      <c r="AG1053" s="701"/>
      <c r="AI1053" s="701"/>
      <c r="AY1053" s="977"/>
    </row>
    <row r="1054" ht="15.75" customHeight="1">
      <c r="A1054" s="1004"/>
      <c r="B1054" s="1004"/>
      <c r="C1054" s="1005"/>
      <c r="D1054" s="977"/>
      <c r="E1054" s="1190"/>
      <c r="G1054" s="1190"/>
      <c r="I1054" s="1190"/>
      <c r="K1054" s="1190"/>
      <c r="N1054" s="1190"/>
      <c r="U1054" s="1189"/>
      <c r="W1054" s="1189"/>
      <c r="Y1054" s="1190"/>
      <c r="AA1054" s="1190"/>
      <c r="AG1054" s="701"/>
      <c r="AI1054" s="701"/>
      <c r="AY1054" s="977"/>
    </row>
    <row r="1055" ht="15.75" customHeight="1">
      <c r="A1055" s="1004"/>
      <c r="B1055" s="1004"/>
      <c r="C1055" s="1005"/>
      <c r="D1055" s="977"/>
      <c r="E1055" s="1190"/>
      <c r="G1055" s="1190"/>
      <c r="I1055" s="1190"/>
      <c r="K1055" s="1190"/>
      <c r="N1055" s="1190"/>
      <c r="U1055" s="1189"/>
      <c r="W1055" s="1189"/>
      <c r="Y1055" s="1190"/>
      <c r="AA1055" s="1190"/>
      <c r="AG1055" s="701"/>
      <c r="AI1055" s="701"/>
      <c r="AY1055" s="977"/>
    </row>
    <row r="1056" ht="15.75" customHeight="1">
      <c r="A1056" s="1004"/>
      <c r="B1056" s="1004"/>
      <c r="C1056" s="1005"/>
      <c r="D1056" s="977"/>
      <c r="E1056" s="1190"/>
      <c r="G1056" s="1190"/>
      <c r="I1056" s="1190"/>
      <c r="K1056" s="1190"/>
      <c r="N1056" s="1190"/>
      <c r="U1056" s="1189"/>
      <c r="W1056" s="1189"/>
      <c r="Y1056" s="1190"/>
      <c r="AA1056" s="1190"/>
      <c r="AG1056" s="701"/>
      <c r="AI1056" s="701"/>
      <c r="AY1056" s="977"/>
    </row>
    <row r="1057" ht="15.75" customHeight="1">
      <c r="A1057" s="1004"/>
      <c r="B1057" s="1004"/>
      <c r="C1057" s="1005"/>
      <c r="D1057" s="977"/>
      <c r="E1057" s="1190"/>
      <c r="G1057" s="1190"/>
      <c r="I1057" s="1190"/>
      <c r="K1057" s="1190"/>
      <c r="N1057" s="1190"/>
      <c r="U1057" s="1189"/>
      <c r="W1057" s="1189"/>
      <c r="Y1057" s="1190"/>
      <c r="AA1057" s="1190"/>
      <c r="AG1057" s="701"/>
      <c r="AI1057" s="701"/>
      <c r="AY1057" s="977"/>
    </row>
    <row r="1058" ht="15.75" customHeight="1">
      <c r="A1058" s="1004"/>
      <c r="B1058" s="1004"/>
      <c r="C1058" s="1005"/>
      <c r="D1058" s="977"/>
      <c r="E1058" s="1190"/>
      <c r="G1058" s="1190"/>
      <c r="I1058" s="1190"/>
      <c r="K1058" s="1190"/>
      <c r="N1058" s="1190"/>
      <c r="U1058" s="1189"/>
      <c r="W1058" s="1189"/>
      <c r="Y1058" s="1190"/>
      <c r="AA1058" s="1190"/>
      <c r="AG1058" s="701"/>
      <c r="AI1058" s="701"/>
      <c r="AY1058" s="977"/>
    </row>
    <row r="1059" ht="15.75" customHeight="1">
      <c r="A1059" s="1004"/>
      <c r="B1059" s="1004"/>
      <c r="C1059" s="1005"/>
      <c r="D1059" s="977"/>
      <c r="E1059" s="1190"/>
      <c r="G1059" s="1190"/>
      <c r="I1059" s="1190"/>
      <c r="K1059" s="1190"/>
      <c r="N1059" s="1190"/>
      <c r="U1059" s="1189"/>
      <c r="W1059" s="1189"/>
      <c r="Y1059" s="1190"/>
      <c r="AA1059" s="1190"/>
      <c r="AG1059" s="701"/>
      <c r="AI1059" s="701"/>
      <c r="AY1059" s="977"/>
    </row>
    <row r="1060" ht="15.75" customHeight="1">
      <c r="A1060" s="1004"/>
      <c r="B1060" s="1004"/>
      <c r="C1060" s="1005"/>
      <c r="D1060" s="977"/>
      <c r="E1060" s="1190"/>
      <c r="G1060" s="1190"/>
      <c r="I1060" s="1190"/>
      <c r="K1060" s="1190"/>
      <c r="N1060" s="1190"/>
      <c r="U1060" s="1189"/>
      <c r="W1060" s="1189"/>
      <c r="Y1060" s="1190"/>
      <c r="AA1060" s="1190"/>
      <c r="AG1060" s="701"/>
      <c r="AI1060" s="701"/>
      <c r="AY1060" s="977"/>
    </row>
    <row r="1061" ht="15.75" customHeight="1">
      <c r="A1061" s="1004"/>
      <c r="B1061" s="1004"/>
      <c r="C1061" s="1005"/>
      <c r="D1061" s="977"/>
      <c r="E1061" s="1190"/>
      <c r="G1061" s="1190"/>
      <c r="I1061" s="1190"/>
      <c r="K1061" s="1190"/>
      <c r="N1061" s="1190"/>
      <c r="U1061" s="1189"/>
      <c r="W1061" s="1189"/>
      <c r="Y1061" s="1190"/>
      <c r="AA1061" s="1190"/>
      <c r="AG1061" s="701"/>
      <c r="AI1061" s="701"/>
      <c r="AY1061" s="977"/>
    </row>
    <row r="1062" ht="15.75" customHeight="1">
      <c r="A1062" s="1004"/>
      <c r="B1062" s="1004"/>
      <c r="C1062" s="1005"/>
      <c r="D1062" s="977"/>
      <c r="E1062" s="1190"/>
      <c r="G1062" s="1190"/>
      <c r="I1062" s="1190"/>
      <c r="K1062" s="1190"/>
      <c r="N1062" s="1190"/>
      <c r="U1062" s="1189"/>
      <c r="W1062" s="1189"/>
      <c r="Y1062" s="1190"/>
      <c r="AA1062" s="1190"/>
      <c r="AG1062" s="701"/>
      <c r="AI1062" s="701"/>
      <c r="AY1062" s="977"/>
    </row>
    <row r="1063" ht="15.75" customHeight="1">
      <c r="A1063" s="1004"/>
      <c r="B1063" s="1004"/>
      <c r="C1063" s="1005"/>
      <c r="D1063" s="977"/>
      <c r="E1063" s="1190"/>
      <c r="G1063" s="1190"/>
      <c r="I1063" s="1190"/>
      <c r="K1063" s="1190"/>
      <c r="N1063" s="1190"/>
      <c r="U1063" s="1189"/>
      <c r="W1063" s="1189"/>
      <c r="Y1063" s="1190"/>
      <c r="AA1063" s="1190"/>
      <c r="AG1063" s="701"/>
      <c r="AI1063" s="701"/>
      <c r="AY1063" s="977"/>
    </row>
    <row r="1064" ht="15.75" customHeight="1">
      <c r="A1064" s="1004"/>
      <c r="B1064" s="1004"/>
      <c r="C1064" s="1005"/>
      <c r="D1064" s="977"/>
      <c r="E1064" s="1190"/>
      <c r="G1064" s="1190"/>
      <c r="I1064" s="1190"/>
      <c r="K1064" s="1190"/>
      <c r="N1064" s="1190"/>
      <c r="U1064" s="1189"/>
      <c r="W1064" s="1189"/>
      <c r="Y1064" s="1190"/>
      <c r="AA1064" s="1190"/>
      <c r="AG1064" s="701"/>
      <c r="AI1064" s="701"/>
      <c r="AY1064" s="977"/>
    </row>
    <row r="1065" ht="15.75" customHeight="1">
      <c r="A1065" s="1004"/>
      <c r="B1065" s="1004"/>
      <c r="C1065" s="1005"/>
      <c r="D1065" s="977"/>
      <c r="E1065" s="1190"/>
      <c r="G1065" s="1190"/>
      <c r="I1065" s="1190"/>
      <c r="K1065" s="1190"/>
      <c r="N1065" s="1190"/>
      <c r="U1065" s="1189"/>
      <c r="W1065" s="1189"/>
      <c r="Y1065" s="1190"/>
      <c r="AA1065" s="1190"/>
      <c r="AG1065" s="701"/>
      <c r="AI1065" s="701"/>
      <c r="AY1065" s="977"/>
    </row>
    <row r="1066" ht="15.75" customHeight="1">
      <c r="A1066" s="1004"/>
      <c r="B1066" s="1004"/>
      <c r="C1066" s="1005"/>
      <c r="D1066" s="977"/>
      <c r="E1066" s="1190"/>
      <c r="G1066" s="1190"/>
      <c r="I1066" s="1190"/>
      <c r="K1066" s="1190"/>
      <c r="N1066" s="1190"/>
      <c r="U1066" s="1189"/>
      <c r="W1066" s="1189"/>
      <c r="Y1066" s="1190"/>
      <c r="AA1066" s="1190"/>
      <c r="AG1066" s="701"/>
      <c r="AI1066" s="701"/>
      <c r="AY1066" s="977"/>
    </row>
    <row r="1067" ht="15.75" customHeight="1">
      <c r="A1067" s="1004"/>
      <c r="B1067" s="1004"/>
      <c r="C1067" s="1005"/>
      <c r="D1067" s="977"/>
      <c r="E1067" s="1190"/>
      <c r="G1067" s="1190"/>
      <c r="I1067" s="1190"/>
      <c r="K1067" s="1190"/>
      <c r="N1067" s="1190"/>
      <c r="U1067" s="1189"/>
      <c r="W1067" s="1189"/>
      <c r="Y1067" s="1190"/>
      <c r="AA1067" s="1190"/>
      <c r="AG1067" s="701"/>
      <c r="AI1067" s="701"/>
      <c r="AY1067" s="977"/>
    </row>
    <row r="1068" ht="15.75" customHeight="1">
      <c r="A1068" s="1004"/>
      <c r="B1068" s="1004"/>
      <c r="C1068" s="1005"/>
      <c r="D1068" s="977"/>
      <c r="E1068" s="1190"/>
      <c r="G1068" s="1190"/>
      <c r="I1068" s="1190"/>
      <c r="K1068" s="1190"/>
      <c r="N1068" s="1190"/>
      <c r="U1068" s="1189"/>
      <c r="W1068" s="1189"/>
      <c r="Y1068" s="1190"/>
      <c r="AA1068" s="1190"/>
      <c r="AG1068" s="701"/>
      <c r="AI1068" s="701"/>
      <c r="AY1068" s="977"/>
    </row>
    <row r="1069" ht="15.75" customHeight="1">
      <c r="A1069" s="1004"/>
      <c r="B1069" s="1004"/>
      <c r="C1069" s="1005"/>
      <c r="D1069" s="977"/>
      <c r="E1069" s="1190"/>
      <c r="G1069" s="1190"/>
      <c r="I1069" s="1190"/>
      <c r="K1069" s="1190"/>
      <c r="N1069" s="1190"/>
      <c r="U1069" s="1189"/>
      <c r="W1069" s="1189"/>
      <c r="Y1069" s="1190"/>
      <c r="AA1069" s="1190"/>
      <c r="AG1069" s="701"/>
      <c r="AI1069" s="701"/>
      <c r="AY1069" s="977"/>
    </row>
    <row r="1070" ht="15.75" customHeight="1">
      <c r="A1070" s="1004"/>
      <c r="B1070" s="1004"/>
      <c r="C1070" s="1005"/>
      <c r="D1070" s="977"/>
      <c r="E1070" s="1190"/>
      <c r="G1070" s="1190"/>
      <c r="I1070" s="1190"/>
      <c r="K1070" s="1190"/>
      <c r="N1070" s="1190"/>
      <c r="U1070" s="1189"/>
      <c r="W1070" s="1189"/>
      <c r="Y1070" s="1190"/>
      <c r="AA1070" s="1190"/>
      <c r="AG1070" s="701"/>
      <c r="AI1070" s="701"/>
      <c r="AY1070" s="977"/>
    </row>
    <row r="1071" ht="15.75" customHeight="1">
      <c r="A1071" s="1004"/>
      <c r="B1071" s="1004"/>
      <c r="C1071" s="1005"/>
      <c r="D1071" s="977"/>
      <c r="E1071" s="1190"/>
      <c r="G1071" s="1190"/>
      <c r="I1071" s="1190"/>
      <c r="K1071" s="1190"/>
      <c r="N1071" s="1190"/>
      <c r="U1071" s="1189"/>
      <c r="W1071" s="1189"/>
      <c r="Y1071" s="1190"/>
      <c r="AA1071" s="1190"/>
      <c r="AG1071" s="701"/>
      <c r="AI1071" s="701"/>
      <c r="AY1071" s="977"/>
    </row>
    <row r="1072" ht="15.75" customHeight="1">
      <c r="A1072" s="1004"/>
      <c r="B1072" s="1004"/>
      <c r="C1072" s="1005"/>
      <c r="D1072" s="977"/>
      <c r="E1072" s="1190"/>
      <c r="G1072" s="1190"/>
      <c r="I1072" s="1190"/>
      <c r="K1072" s="1190"/>
      <c r="N1072" s="1190"/>
      <c r="U1072" s="1189"/>
      <c r="W1072" s="1189"/>
      <c r="Y1072" s="1190"/>
      <c r="AA1072" s="1190"/>
      <c r="AG1072" s="701"/>
      <c r="AI1072" s="701"/>
      <c r="AY1072" s="977"/>
    </row>
    <row r="1073" ht="15.75" customHeight="1">
      <c r="A1073" s="1004"/>
      <c r="B1073" s="1004"/>
      <c r="C1073" s="1005"/>
      <c r="D1073" s="977"/>
      <c r="E1073" s="1190"/>
      <c r="G1073" s="1190"/>
      <c r="I1073" s="1190"/>
      <c r="K1073" s="1190"/>
      <c r="N1073" s="1190"/>
      <c r="U1073" s="1189"/>
      <c r="W1073" s="1189"/>
      <c r="Y1073" s="1190"/>
      <c r="AA1073" s="1190"/>
      <c r="AG1073" s="701"/>
      <c r="AI1073" s="701"/>
      <c r="AY1073" s="977"/>
    </row>
    <row r="1074" ht="15.75" customHeight="1">
      <c r="A1074" s="1004"/>
      <c r="B1074" s="1004"/>
      <c r="C1074" s="1005"/>
      <c r="D1074" s="977"/>
      <c r="E1074" s="1190"/>
      <c r="G1074" s="1190"/>
      <c r="I1074" s="1190"/>
      <c r="K1074" s="1190"/>
      <c r="N1074" s="1190"/>
      <c r="U1074" s="1189"/>
      <c r="W1074" s="1189"/>
      <c r="Y1074" s="1190"/>
      <c r="AA1074" s="1190"/>
      <c r="AG1074" s="701"/>
      <c r="AI1074" s="701"/>
      <c r="AY1074" s="977"/>
    </row>
    <row r="1075" ht="15.75" customHeight="1">
      <c r="A1075" s="1004"/>
      <c r="B1075" s="1004"/>
      <c r="C1075" s="1005"/>
      <c r="D1075" s="977"/>
      <c r="E1075" s="1190"/>
      <c r="G1075" s="1190"/>
      <c r="I1075" s="1190"/>
      <c r="K1075" s="1190"/>
      <c r="N1075" s="1190"/>
      <c r="U1075" s="1189"/>
      <c r="W1075" s="1189"/>
      <c r="Y1075" s="1190"/>
      <c r="AA1075" s="1190"/>
      <c r="AG1075" s="701"/>
      <c r="AI1075" s="701"/>
      <c r="AY1075" s="977"/>
    </row>
    <row r="1076" ht="15.75" customHeight="1">
      <c r="A1076" s="1004"/>
      <c r="B1076" s="1004"/>
      <c r="C1076" s="1005"/>
      <c r="D1076" s="977"/>
      <c r="E1076" s="1190"/>
      <c r="G1076" s="1190"/>
      <c r="I1076" s="1190"/>
      <c r="K1076" s="1190"/>
      <c r="N1076" s="1190"/>
      <c r="U1076" s="1189"/>
      <c r="W1076" s="1189"/>
      <c r="Y1076" s="1190"/>
      <c r="AA1076" s="1190"/>
      <c r="AG1076" s="701"/>
      <c r="AI1076" s="701"/>
      <c r="AY1076" s="977"/>
    </row>
    <row r="1077" ht="15.75" customHeight="1">
      <c r="A1077" s="1004"/>
      <c r="B1077" s="1004"/>
      <c r="C1077" s="1005"/>
      <c r="D1077" s="977"/>
      <c r="E1077" s="1190"/>
      <c r="G1077" s="1190"/>
      <c r="I1077" s="1190"/>
      <c r="K1077" s="1190"/>
      <c r="N1077" s="1190"/>
      <c r="U1077" s="1189"/>
      <c r="W1077" s="1189"/>
      <c r="Y1077" s="1190"/>
      <c r="AA1077" s="1190"/>
      <c r="AG1077" s="701"/>
      <c r="AI1077" s="701"/>
      <c r="AY1077" s="977"/>
    </row>
    <row r="1078" ht="15.75" customHeight="1">
      <c r="A1078" s="1004"/>
      <c r="B1078" s="1004"/>
      <c r="C1078" s="1005"/>
      <c r="D1078" s="977"/>
      <c r="E1078" s="1190"/>
      <c r="G1078" s="1190"/>
      <c r="I1078" s="1190"/>
      <c r="K1078" s="1190"/>
      <c r="N1078" s="1190"/>
      <c r="U1078" s="1189"/>
      <c r="W1078" s="1189"/>
      <c r="Y1078" s="1190"/>
      <c r="AA1078" s="1190"/>
      <c r="AG1078" s="701"/>
      <c r="AI1078" s="701"/>
      <c r="AY1078" s="977"/>
    </row>
    <row r="1079" ht="15.75" customHeight="1">
      <c r="A1079" s="1004"/>
      <c r="B1079" s="1004"/>
      <c r="C1079" s="1005"/>
      <c r="D1079" s="977"/>
      <c r="E1079" s="1190"/>
      <c r="G1079" s="1190"/>
      <c r="I1079" s="1190"/>
      <c r="K1079" s="1190"/>
      <c r="N1079" s="1190"/>
      <c r="U1079" s="1189"/>
      <c r="W1079" s="1189"/>
      <c r="Y1079" s="1190"/>
      <c r="AA1079" s="1190"/>
      <c r="AG1079" s="701"/>
      <c r="AI1079" s="701"/>
      <c r="AY1079" s="977"/>
    </row>
    <row r="1080" ht="15.75" customHeight="1">
      <c r="A1080" s="1004"/>
      <c r="B1080" s="1004"/>
      <c r="C1080" s="1005"/>
      <c r="D1080" s="977"/>
      <c r="E1080" s="1190"/>
      <c r="G1080" s="1190"/>
      <c r="I1080" s="1190"/>
      <c r="K1080" s="1190"/>
      <c r="N1080" s="1190"/>
      <c r="U1080" s="1189"/>
      <c r="W1080" s="1189"/>
      <c r="Y1080" s="1190"/>
      <c r="AA1080" s="1190"/>
      <c r="AG1080" s="701"/>
      <c r="AI1080" s="701"/>
      <c r="AY1080" s="977"/>
    </row>
    <row r="1081" ht="15.75" customHeight="1">
      <c r="A1081" s="1004"/>
      <c r="B1081" s="1004"/>
      <c r="C1081" s="1005"/>
      <c r="D1081" s="977"/>
      <c r="E1081" s="1190"/>
      <c r="G1081" s="1190"/>
      <c r="I1081" s="1190"/>
      <c r="K1081" s="1190"/>
      <c r="N1081" s="1190"/>
      <c r="U1081" s="1189"/>
      <c r="W1081" s="1189"/>
      <c r="Y1081" s="1190"/>
      <c r="AA1081" s="1190"/>
      <c r="AG1081" s="701"/>
      <c r="AI1081" s="701"/>
      <c r="AY1081" s="977"/>
    </row>
    <row r="1082" ht="15.75" customHeight="1">
      <c r="A1082" s="1004"/>
      <c r="B1082" s="1004"/>
      <c r="C1082" s="1005"/>
      <c r="D1082" s="977"/>
      <c r="E1082" s="1190"/>
      <c r="G1082" s="1190"/>
      <c r="I1082" s="1190"/>
      <c r="K1082" s="1190"/>
      <c r="N1082" s="1190"/>
      <c r="U1082" s="1189"/>
      <c r="W1082" s="1189"/>
      <c r="Y1082" s="1190"/>
      <c r="AA1082" s="1190"/>
      <c r="AG1082" s="701"/>
      <c r="AI1082" s="701"/>
      <c r="AY1082" s="977"/>
    </row>
    <row r="1083" ht="15.75" customHeight="1">
      <c r="A1083" s="1004"/>
      <c r="B1083" s="1004"/>
      <c r="C1083" s="1005"/>
      <c r="D1083" s="977"/>
      <c r="E1083" s="1190"/>
      <c r="G1083" s="1190"/>
      <c r="I1083" s="1190"/>
      <c r="K1083" s="1190"/>
      <c r="N1083" s="1190"/>
      <c r="U1083" s="1189"/>
      <c r="W1083" s="1189"/>
      <c r="Y1083" s="1190"/>
      <c r="AA1083" s="1190"/>
      <c r="AG1083" s="701"/>
      <c r="AI1083" s="701"/>
      <c r="AY1083" s="977"/>
    </row>
    <row r="1084" ht="15.75" customHeight="1">
      <c r="A1084" s="1004"/>
      <c r="B1084" s="1004"/>
      <c r="C1084" s="1005"/>
      <c r="D1084" s="977"/>
      <c r="E1084" s="1190"/>
      <c r="G1084" s="1190"/>
      <c r="I1084" s="1190"/>
      <c r="K1084" s="1190"/>
      <c r="N1084" s="1190"/>
      <c r="U1084" s="1189"/>
      <c r="W1084" s="1189"/>
      <c r="Y1084" s="1190"/>
      <c r="AA1084" s="1190"/>
      <c r="AG1084" s="701"/>
      <c r="AI1084" s="701"/>
      <c r="AY1084" s="977"/>
    </row>
    <row r="1085" ht="15.75" customHeight="1">
      <c r="A1085" s="1004"/>
      <c r="B1085" s="1004"/>
      <c r="C1085" s="1005"/>
      <c r="D1085" s="977"/>
      <c r="E1085" s="1190"/>
      <c r="G1085" s="1190"/>
      <c r="I1085" s="1190"/>
      <c r="K1085" s="1190"/>
      <c r="N1085" s="1190"/>
      <c r="U1085" s="1189"/>
      <c r="W1085" s="1189"/>
      <c r="Y1085" s="1190"/>
      <c r="AA1085" s="1190"/>
      <c r="AG1085" s="701"/>
      <c r="AI1085" s="701"/>
      <c r="AY1085" s="977"/>
    </row>
    <row r="1086" ht="15.75" customHeight="1">
      <c r="A1086" s="1004"/>
      <c r="B1086" s="1004"/>
      <c r="C1086" s="1005"/>
      <c r="D1086" s="977"/>
      <c r="E1086" s="1190"/>
      <c r="G1086" s="1190"/>
      <c r="I1086" s="1190"/>
      <c r="K1086" s="1190"/>
      <c r="N1086" s="1190"/>
      <c r="U1086" s="1189"/>
      <c r="W1086" s="1189"/>
      <c r="Y1086" s="1190"/>
      <c r="AA1086" s="1190"/>
      <c r="AG1086" s="701"/>
      <c r="AI1086" s="701"/>
      <c r="AY1086" s="977"/>
    </row>
    <row r="1087" ht="15.75" customHeight="1">
      <c r="A1087" s="1004"/>
      <c r="B1087" s="1004"/>
      <c r="C1087" s="1005"/>
      <c r="D1087" s="977"/>
      <c r="E1087" s="1190"/>
      <c r="G1087" s="1190"/>
      <c r="I1087" s="1190"/>
      <c r="K1087" s="1190"/>
      <c r="N1087" s="1190"/>
      <c r="U1087" s="1189"/>
      <c r="W1087" s="1189"/>
      <c r="Y1087" s="1190"/>
      <c r="AA1087" s="1190"/>
      <c r="AG1087" s="701"/>
      <c r="AI1087" s="701"/>
      <c r="AY1087" s="977"/>
    </row>
    <row r="1088" ht="15.75" customHeight="1">
      <c r="A1088" s="1004"/>
      <c r="B1088" s="1004"/>
      <c r="C1088" s="1005"/>
      <c r="D1088" s="977"/>
      <c r="E1088" s="1190"/>
      <c r="G1088" s="1190"/>
      <c r="I1088" s="1190"/>
      <c r="K1088" s="1190"/>
      <c r="N1088" s="1190"/>
      <c r="U1088" s="1189"/>
      <c r="W1088" s="1189"/>
      <c r="Y1088" s="1190"/>
      <c r="AA1088" s="1190"/>
      <c r="AG1088" s="701"/>
      <c r="AI1088" s="701"/>
      <c r="AY1088" s="977"/>
    </row>
    <row r="1089" ht="15.75" customHeight="1">
      <c r="A1089" s="1004"/>
      <c r="B1089" s="1004"/>
      <c r="C1089" s="1005"/>
      <c r="D1089" s="977"/>
      <c r="E1089" s="1190"/>
      <c r="G1089" s="1190"/>
      <c r="I1089" s="1190"/>
      <c r="K1089" s="1190"/>
      <c r="N1089" s="1190"/>
      <c r="U1089" s="1189"/>
      <c r="W1089" s="1189"/>
      <c r="Y1089" s="1190"/>
      <c r="AA1089" s="1190"/>
      <c r="AG1089" s="701"/>
      <c r="AI1089" s="701"/>
      <c r="AY1089" s="977"/>
    </row>
    <row r="1090" ht="15.75" customHeight="1">
      <c r="A1090" s="1004"/>
      <c r="B1090" s="1004"/>
      <c r="C1090" s="1005"/>
      <c r="D1090" s="977"/>
      <c r="E1090" s="1190"/>
      <c r="G1090" s="1190"/>
      <c r="I1090" s="1190"/>
      <c r="K1090" s="1190"/>
      <c r="N1090" s="1190"/>
      <c r="U1090" s="1189"/>
      <c r="W1090" s="1189"/>
      <c r="Y1090" s="1190"/>
      <c r="AA1090" s="1190"/>
      <c r="AG1090" s="701"/>
      <c r="AI1090" s="701"/>
      <c r="AY1090" s="977"/>
    </row>
    <row r="1091" ht="15.75" customHeight="1">
      <c r="A1091" s="1004"/>
      <c r="B1091" s="1004"/>
      <c r="C1091" s="1005"/>
      <c r="D1091" s="977"/>
      <c r="E1091" s="1190"/>
      <c r="G1091" s="1190"/>
      <c r="I1091" s="1190"/>
      <c r="K1091" s="1190"/>
      <c r="N1091" s="1190"/>
      <c r="U1091" s="1189"/>
      <c r="W1091" s="1189"/>
      <c r="Y1091" s="1190"/>
      <c r="AA1091" s="1190"/>
      <c r="AG1091" s="701"/>
      <c r="AI1091" s="701"/>
      <c r="AY1091" s="977"/>
    </row>
    <row r="1092" ht="15.75" customHeight="1">
      <c r="A1092" s="1004"/>
      <c r="B1092" s="1004"/>
      <c r="C1092" s="1005"/>
      <c r="D1092" s="977"/>
      <c r="E1092" s="1190"/>
      <c r="G1092" s="1190"/>
      <c r="I1092" s="1190"/>
      <c r="K1092" s="1190"/>
      <c r="N1092" s="1190"/>
      <c r="U1092" s="1189"/>
      <c r="W1092" s="1189"/>
      <c r="Y1092" s="1190"/>
      <c r="AA1092" s="1190"/>
      <c r="AG1092" s="701"/>
      <c r="AI1092" s="701"/>
      <c r="AY1092" s="977"/>
    </row>
    <row r="1093" ht="15.75" customHeight="1">
      <c r="A1093" s="1004"/>
      <c r="B1093" s="1004"/>
      <c r="C1093" s="1005"/>
      <c r="D1093" s="977"/>
      <c r="E1093" s="1190"/>
      <c r="G1093" s="1190"/>
      <c r="I1093" s="1190"/>
      <c r="K1093" s="1190"/>
      <c r="N1093" s="1190"/>
      <c r="U1093" s="1189"/>
      <c r="W1093" s="1189"/>
      <c r="Y1093" s="1190"/>
      <c r="AA1093" s="1190"/>
      <c r="AG1093" s="701"/>
      <c r="AI1093" s="701"/>
      <c r="AY1093" s="977"/>
    </row>
    <row r="1094" ht="15.75" customHeight="1">
      <c r="A1094" s="1004"/>
      <c r="B1094" s="1004"/>
      <c r="C1094" s="1005"/>
      <c r="D1094" s="977"/>
      <c r="E1094" s="1190"/>
      <c r="G1094" s="1190"/>
      <c r="I1094" s="1190"/>
      <c r="K1094" s="1190"/>
      <c r="N1094" s="1190"/>
      <c r="U1094" s="1189"/>
      <c r="W1094" s="1189"/>
      <c r="Y1094" s="1190"/>
      <c r="AA1094" s="1190"/>
      <c r="AG1094" s="701"/>
      <c r="AI1094" s="701"/>
      <c r="AY1094" s="977"/>
    </row>
    <row r="1095" ht="15.75" customHeight="1">
      <c r="A1095" s="1004"/>
      <c r="B1095" s="1004"/>
      <c r="C1095" s="1005"/>
      <c r="D1095" s="977"/>
      <c r="E1095" s="1190"/>
      <c r="G1095" s="1190"/>
      <c r="I1095" s="1190"/>
      <c r="K1095" s="1190"/>
      <c r="N1095" s="1190"/>
      <c r="U1095" s="1189"/>
      <c r="W1095" s="1189"/>
      <c r="Y1095" s="1190"/>
      <c r="AA1095" s="1190"/>
      <c r="AG1095" s="701"/>
      <c r="AI1095" s="701"/>
      <c r="AY1095" s="977"/>
    </row>
    <row r="1096" ht="15.75" customHeight="1">
      <c r="A1096" s="1004"/>
      <c r="B1096" s="1004"/>
      <c r="C1096" s="1005"/>
      <c r="D1096" s="977"/>
      <c r="E1096" s="1190"/>
      <c r="G1096" s="1190"/>
      <c r="I1096" s="1190"/>
      <c r="K1096" s="1190"/>
      <c r="N1096" s="1190"/>
      <c r="U1096" s="1189"/>
      <c r="W1096" s="1189"/>
      <c r="Y1096" s="1190"/>
      <c r="AA1096" s="1190"/>
      <c r="AG1096" s="701"/>
      <c r="AI1096" s="701"/>
      <c r="AY1096" s="977"/>
    </row>
    <row r="1097" ht="15.75" customHeight="1">
      <c r="A1097" s="1004"/>
      <c r="B1097" s="1004"/>
      <c r="C1097" s="1005"/>
      <c r="D1097" s="977"/>
      <c r="E1097" s="1190"/>
      <c r="G1097" s="1190"/>
      <c r="I1097" s="1190"/>
      <c r="K1097" s="1190"/>
      <c r="N1097" s="1190"/>
      <c r="U1097" s="1189"/>
      <c r="W1097" s="1189"/>
      <c r="Y1097" s="1190"/>
      <c r="AA1097" s="1190"/>
      <c r="AG1097" s="701"/>
      <c r="AI1097" s="701"/>
      <c r="AY1097" s="977"/>
    </row>
    <row r="1098" ht="15.75" customHeight="1">
      <c r="A1098" s="1004"/>
      <c r="B1098" s="1004"/>
      <c r="C1098" s="1005"/>
      <c r="D1098" s="977"/>
      <c r="E1098" s="1190"/>
      <c r="G1098" s="1190"/>
      <c r="I1098" s="1190"/>
      <c r="K1098" s="1190"/>
      <c r="N1098" s="1190"/>
      <c r="U1098" s="1189"/>
      <c r="W1098" s="1189"/>
      <c r="Y1098" s="1190"/>
      <c r="AA1098" s="1190"/>
      <c r="AG1098" s="701"/>
      <c r="AI1098" s="701"/>
      <c r="AY1098" s="977"/>
    </row>
    <row r="1099" ht="15.75" customHeight="1">
      <c r="A1099" s="1004"/>
      <c r="B1099" s="1004"/>
      <c r="C1099" s="1005"/>
      <c r="D1099" s="977"/>
      <c r="E1099" s="1190"/>
      <c r="G1099" s="1190"/>
      <c r="I1099" s="1190"/>
      <c r="K1099" s="1190"/>
      <c r="N1099" s="1190"/>
      <c r="U1099" s="1189"/>
      <c r="W1099" s="1189"/>
      <c r="Y1099" s="1190"/>
      <c r="AA1099" s="1190"/>
      <c r="AG1099" s="701"/>
      <c r="AI1099" s="701"/>
      <c r="AY1099" s="977"/>
    </row>
    <row r="1100" ht="15.75" customHeight="1">
      <c r="A1100" s="1004"/>
      <c r="B1100" s="1004"/>
      <c r="C1100" s="1005"/>
      <c r="D1100" s="977"/>
      <c r="E1100" s="1190"/>
      <c r="G1100" s="1190"/>
      <c r="I1100" s="1190"/>
      <c r="K1100" s="1190"/>
      <c r="N1100" s="1190"/>
      <c r="U1100" s="1189"/>
      <c r="W1100" s="1189"/>
      <c r="Y1100" s="1190"/>
      <c r="AA1100" s="1190"/>
      <c r="AG1100" s="701"/>
      <c r="AI1100" s="701"/>
      <c r="AY1100" s="977"/>
    </row>
    <row r="1101" ht="15.75" customHeight="1">
      <c r="A1101" s="1004"/>
      <c r="B1101" s="1004"/>
      <c r="C1101" s="1005"/>
      <c r="D1101" s="977"/>
      <c r="E1101" s="1190"/>
      <c r="G1101" s="1190"/>
      <c r="I1101" s="1190"/>
      <c r="K1101" s="1190"/>
      <c r="N1101" s="1190"/>
      <c r="U1101" s="1189"/>
      <c r="W1101" s="1189"/>
      <c r="Y1101" s="1190"/>
      <c r="AA1101" s="1190"/>
      <c r="AG1101" s="701"/>
      <c r="AI1101" s="701"/>
      <c r="AY1101" s="977"/>
    </row>
    <row r="1102" ht="15.75" customHeight="1">
      <c r="A1102" s="1004"/>
      <c r="B1102" s="1004"/>
      <c r="C1102" s="1005"/>
      <c r="D1102" s="977"/>
      <c r="E1102" s="1190"/>
      <c r="G1102" s="1190"/>
      <c r="I1102" s="1190"/>
      <c r="K1102" s="1190"/>
      <c r="N1102" s="1190"/>
      <c r="U1102" s="1189"/>
      <c r="W1102" s="1189"/>
      <c r="Y1102" s="1190"/>
      <c r="AA1102" s="1190"/>
      <c r="AG1102" s="701"/>
      <c r="AI1102" s="701"/>
      <c r="AY1102" s="977"/>
    </row>
    <row r="1103" ht="15.75" customHeight="1">
      <c r="A1103" s="1004"/>
      <c r="B1103" s="1004"/>
      <c r="C1103" s="1005"/>
      <c r="D1103" s="977"/>
      <c r="E1103" s="1190"/>
      <c r="G1103" s="1190"/>
      <c r="I1103" s="1190"/>
      <c r="K1103" s="1190"/>
      <c r="N1103" s="1190"/>
      <c r="U1103" s="1189"/>
      <c r="W1103" s="1189"/>
      <c r="Y1103" s="1190"/>
      <c r="AA1103" s="1190"/>
      <c r="AG1103" s="701"/>
      <c r="AI1103" s="701"/>
      <c r="AY1103" s="977"/>
    </row>
    <row r="1104" ht="15.75" customHeight="1">
      <c r="A1104" s="1004"/>
      <c r="B1104" s="1004"/>
      <c r="C1104" s="1005"/>
      <c r="D1104" s="977"/>
      <c r="E1104" s="1190"/>
      <c r="G1104" s="1190"/>
      <c r="I1104" s="1190"/>
      <c r="K1104" s="1190"/>
      <c r="N1104" s="1190"/>
      <c r="U1104" s="1189"/>
      <c r="W1104" s="1189"/>
      <c r="Y1104" s="1190"/>
      <c r="AA1104" s="1190"/>
      <c r="AG1104" s="701"/>
      <c r="AI1104" s="701"/>
      <c r="AY1104" s="977"/>
    </row>
    <row r="1105" ht="15.75" customHeight="1">
      <c r="A1105" s="1004"/>
      <c r="B1105" s="1004"/>
      <c r="C1105" s="1005"/>
      <c r="D1105" s="977"/>
      <c r="E1105" s="1190"/>
      <c r="G1105" s="1190"/>
      <c r="I1105" s="1190"/>
      <c r="K1105" s="1190"/>
      <c r="N1105" s="1190"/>
      <c r="U1105" s="1189"/>
      <c r="W1105" s="1189"/>
      <c r="Y1105" s="1190"/>
      <c r="AA1105" s="1190"/>
      <c r="AG1105" s="701"/>
      <c r="AI1105" s="701"/>
      <c r="AY1105" s="977"/>
    </row>
    <row r="1106" ht="15.75" customHeight="1">
      <c r="A1106" s="1004"/>
      <c r="B1106" s="1004"/>
      <c r="C1106" s="1005"/>
      <c r="D1106" s="977"/>
      <c r="E1106" s="1190"/>
      <c r="G1106" s="1190"/>
      <c r="I1106" s="1190"/>
      <c r="K1106" s="1190"/>
      <c r="N1106" s="1190"/>
      <c r="U1106" s="1189"/>
      <c r="W1106" s="1189"/>
      <c r="Y1106" s="1190"/>
      <c r="AA1106" s="1190"/>
      <c r="AG1106" s="701"/>
      <c r="AI1106" s="701"/>
      <c r="AY1106" s="977"/>
    </row>
    <row r="1107" ht="15.75" customHeight="1">
      <c r="A1107" s="1004"/>
      <c r="B1107" s="1004"/>
      <c r="C1107" s="1005"/>
      <c r="D1107" s="977"/>
      <c r="E1107" s="1190"/>
      <c r="G1107" s="1190"/>
      <c r="I1107" s="1190"/>
      <c r="K1107" s="1190"/>
      <c r="N1107" s="1190"/>
      <c r="U1107" s="1189"/>
      <c r="W1107" s="1189"/>
      <c r="Y1107" s="1190"/>
      <c r="AA1107" s="1190"/>
      <c r="AG1107" s="701"/>
      <c r="AI1107" s="701"/>
      <c r="AY1107" s="977"/>
    </row>
    <row r="1108" ht="15.75" customHeight="1">
      <c r="A1108" s="1004"/>
      <c r="B1108" s="1004"/>
      <c r="C1108" s="1005"/>
      <c r="D1108" s="977"/>
      <c r="E1108" s="1190"/>
      <c r="G1108" s="1190"/>
      <c r="I1108" s="1190"/>
      <c r="K1108" s="1190"/>
      <c r="N1108" s="1190"/>
      <c r="U1108" s="1189"/>
      <c r="W1108" s="1189"/>
      <c r="Y1108" s="1190"/>
      <c r="AA1108" s="1190"/>
      <c r="AG1108" s="701"/>
      <c r="AI1108" s="701"/>
      <c r="AY1108" s="977"/>
    </row>
    <row r="1109" ht="15.75" customHeight="1">
      <c r="A1109" s="1004"/>
      <c r="B1109" s="1004"/>
      <c r="C1109" s="1005"/>
      <c r="D1109" s="977"/>
      <c r="E1109" s="1190"/>
      <c r="G1109" s="1190"/>
      <c r="I1109" s="1190"/>
      <c r="K1109" s="1190"/>
      <c r="N1109" s="1190"/>
      <c r="U1109" s="1189"/>
      <c r="W1109" s="1189"/>
      <c r="Y1109" s="1190"/>
      <c r="AA1109" s="1190"/>
      <c r="AG1109" s="701"/>
      <c r="AI1109" s="701"/>
      <c r="AY1109" s="977"/>
    </row>
    <row r="1110" ht="15.75" customHeight="1">
      <c r="A1110" s="1004"/>
      <c r="B1110" s="1004"/>
      <c r="C1110" s="1005"/>
      <c r="D1110" s="977"/>
      <c r="E1110" s="1190"/>
      <c r="G1110" s="1190"/>
      <c r="I1110" s="1190"/>
      <c r="K1110" s="1190"/>
      <c r="N1110" s="1190"/>
      <c r="U1110" s="1189"/>
      <c r="W1110" s="1189"/>
      <c r="Y1110" s="1190"/>
      <c r="AA1110" s="1190"/>
      <c r="AG1110" s="701"/>
      <c r="AI1110" s="701"/>
      <c r="AY1110" s="977"/>
    </row>
    <row r="1111" ht="15.75" customHeight="1">
      <c r="A1111" s="1004"/>
      <c r="B1111" s="1004"/>
      <c r="C1111" s="1005"/>
      <c r="D1111" s="977"/>
      <c r="E1111" s="1190"/>
      <c r="G1111" s="1190"/>
      <c r="I1111" s="1190"/>
      <c r="K1111" s="1190"/>
      <c r="N1111" s="1190"/>
      <c r="U1111" s="1189"/>
      <c r="W1111" s="1189"/>
      <c r="Y1111" s="1190"/>
      <c r="AA1111" s="1190"/>
      <c r="AG1111" s="701"/>
      <c r="AI1111" s="701"/>
      <c r="AY1111" s="977"/>
    </row>
    <row r="1112" ht="15.75" customHeight="1">
      <c r="A1112" s="1004"/>
      <c r="B1112" s="1004"/>
      <c r="C1112" s="1005"/>
      <c r="D1112" s="977"/>
      <c r="E1112" s="1190"/>
      <c r="G1112" s="1190"/>
      <c r="I1112" s="1190"/>
      <c r="K1112" s="1190"/>
      <c r="N1112" s="1190"/>
      <c r="U1112" s="1189"/>
      <c r="W1112" s="1189"/>
      <c r="Y1112" s="1190"/>
      <c r="AA1112" s="1190"/>
      <c r="AG1112" s="701"/>
      <c r="AI1112" s="701"/>
      <c r="AY1112" s="977"/>
    </row>
    <row r="1113" ht="15.75" customHeight="1">
      <c r="A1113" s="1004"/>
      <c r="B1113" s="1004"/>
      <c r="C1113" s="1005"/>
      <c r="D1113" s="977"/>
      <c r="E1113" s="1190"/>
      <c r="G1113" s="1190"/>
      <c r="I1113" s="1190"/>
      <c r="K1113" s="1190"/>
      <c r="N1113" s="1190"/>
      <c r="U1113" s="1189"/>
      <c r="W1113" s="1189"/>
      <c r="Y1113" s="1190"/>
      <c r="AA1113" s="1190"/>
      <c r="AG1113" s="701"/>
      <c r="AI1113" s="701"/>
      <c r="AY1113" s="977"/>
    </row>
    <row r="1114" ht="15.75" customHeight="1">
      <c r="A1114" s="1004"/>
      <c r="B1114" s="1004"/>
      <c r="C1114" s="1005"/>
      <c r="D1114" s="977"/>
      <c r="E1114" s="1190"/>
      <c r="G1114" s="1190"/>
      <c r="I1114" s="1190"/>
      <c r="K1114" s="1190"/>
      <c r="N1114" s="1190"/>
      <c r="U1114" s="1189"/>
      <c r="W1114" s="1189"/>
      <c r="Y1114" s="1190"/>
      <c r="AA1114" s="1190"/>
      <c r="AG1114" s="701"/>
      <c r="AI1114" s="701"/>
      <c r="AY1114" s="977"/>
    </row>
    <row r="1115" ht="15.75" customHeight="1">
      <c r="A1115" s="1004"/>
      <c r="B1115" s="1004"/>
      <c r="C1115" s="1005"/>
      <c r="D1115" s="977"/>
      <c r="E1115" s="1190"/>
      <c r="G1115" s="1190"/>
      <c r="I1115" s="1190"/>
      <c r="K1115" s="1190"/>
      <c r="N1115" s="1190"/>
      <c r="U1115" s="1189"/>
      <c r="W1115" s="1189"/>
      <c r="Y1115" s="1190"/>
      <c r="AA1115" s="1190"/>
      <c r="AG1115" s="701"/>
      <c r="AI1115" s="701"/>
      <c r="AY1115" s="977"/>
    </row>
    <row r="1116" ht="15.75" customHeight="1">
      <c r="A1116" s="1004"/>
      <c r="B1116" s="1004"/>
      <c r="C1116" s="1005"/>
      <c r="D1116" s="977"/>
      <c r="E1116" s="1190"/>
      <c r="G1116" s="1190"/>
      <c r="I1116" s="1190"/>
      <c r="K1116" s="1190"/>
      <c r="N1116" s="1190"/>
      <c r="U1116" s="1189"/>
      <c r="W1116" s="1189"/>
      <c r="Y1116" s="1190"/>
      <c r="AA1116" s="1190"/>
      <c r="AG1116" s="701"/>
      <c r="AI1116" s="701"/>
      <c r="AY1116" s="977"/>
    </row>
    <row r="1117" ht="15.75" customHeight="1">
      <c r="A1117" s="1004"/>
      <c r="B1117" s="1004"/>
      <c r="C1117" s="1005"/>
      <c r="D1117" s="977"/>
      <c r="E1117" s="1190"/>
      <c r="G1117" s="1190"/>
      <c r="I1117" s="1190"/>
      <c r="K1117" s="1190"/>
      <c r="N1117" s="1190"/>
      <c r="U1117" s="1189"/>
      <c r="W1117" s="1189"/>
      <c r="Y1117" s="1190"/>
      <c r="AA1117" s="1190"/>
      <c r="AG1117" s="701"/>
      <c r="AI1117" s="701"/>
      <c r="AY1117" s="977"/>
    </row>
    <row r="1118" ht="15.75" customHeight="1">
      <c r="A1118" s="1004"/>
      <c r="B1118" s="1004"/>
      <c r="C1118" s="1005"/>
      <c r="D1118" s="977"/>
      <c r="E1118" s="1190"/>
      <c r="G1118" s="1190"/>
      <c r="I1118" s="1190"/>
      <c r="K1118" s="1190"/>
      <c r="N1118" s="1190"/>
      <c r="U1118" s="1189"/>
      <c r="W1118" s="1189"/>
      <c r="Y1118" s="1190"/>
      <c r="AA1118" s="1190"/>
      <c r="AG1118" s="701"/>
      <c r="AI1118" s="701"/>
      <c r="AY1118" s="977"/>
    </row>
    <row r="1119" ht="15.75" customHeight="1">
      <c r="A1119" s="1004"/>
      <c r="B1119" s="1004"/>
      <c r="C1119" s="1005"/>
      <c r="D1119" s="977"/>
      <c r="E1119" s="1190"/>
      <c r="G1119" s="1190"/>
      <c r="I1119" s="1190"/>
      <c r="K1119" s="1190"/>
      <c r="N1119" s="1190"/>
      <c r="U1119" s="1189"/>
      <c r="W1119" s="1189"/>
      <c r="Y1119" s="1190"/>
      <c r="AA1119" s="1190"/>
      <c r="AG1119" s="701"/>
      <c r="AI1119" s="701"/>
      <c r="AY1119" s="977"/>
    </row>
    <row r="1120" ht="15.75" customHeight="1">
      <c r="A1120" s="1004"/>
      <c r="B1120" s="1004"/>
      <c r="C1120" s="1005"/>
      <c r="D1120" s="977"/>
      <c r="E1120" s="1190"/>
      <c r="G1120" s="1190"/>
      <c r="I1120" s="1190"/>
      <c r="K1120" s="1190"/>
      <c r="N1120" s="1190"/>
      <c r="U1120" s="1189"/>
      <c r="W1120" s="1189"/>
      <c r="Y1120" s="1190"/>
      <c r="AA1120" s="1190"/>
      <c r="AG1120" s="701"/>
      <c r="AI1120" s="701"/>
      <c r="AY1120" s="977"/>
    </row>
    <row r="1121" ht="15.75" customHeight="1">
      <c r="A1121" s="1004"/>
      <c r="B1121" s="1004"/>
      <c r="C1121" s="1005"/>
      <c r="D1121" s="977"/>
      <c r="E1121" s="1190"/>
      <c r="G1121" s="1190"/>
      <c r="I1121" s="1190"/>
      <c r="K1121" s="1190"/>
      <c r="N1121" s="1190"/>
      <c r="U1121" s="1189"/>
      <c r="W1121" s="1189"/>
      <c r="Y1121" s="1190"/>
      <c r="AA1121" s="1190"/>
      <c r="AG1121" s="701"/>
      <c r="AI1121" s="701"/>
      <c r="AY1121" s="977"/>
    </row>
    <row r="1122" ht="15.75" customHeight="1">
      <c r="A1122" s="1004"/>
      <c r="B1122" s="1004"/>
      <c r="C1122" s="1005"/>
      <c r="D1122" s="977"/>
      <c r="E1122" s="1190"/>
      <c r="G1122" s="1190"/>
      <c r="I1122" s="1190"/>
      <c r="K1122" s="1190"/>
      <c r="N1122" s="1190"/>
      <c r="U1122" s="1189"/>
      <c r="W1122" s="1189"/>
      <c r="Y1122" s="1190"/>
      <c r="AA1122" s="1190"/>
      <c r="AG1122" s="701"/>
      <c r="AI1122" s="701"/>
      <c r="AY1122" s="977"/>
    </row>
    <row r="1123" ht="15.75" customHeight="1">
      <c r="A1123" s="1004"/>
      <c r="B1123" s="1004"/>
      <c r="C1123" s="1005"/>
      <c r="D1123" s="977"/>
      <c r="E1123" s="1190"/>
      <c r="G1123" s="1190"/>
      <c r="I1123" s="1190"/>
      <c r="K1123" s="1190"/>
      <c r="N1123" s="1190"/>
      <c r="U1123" s="1189"/>
      <c r="W1123" s="1189"/>
      <c r="Y1123" s="1190"/>
      <c r="AA1123" s="1190"/>
      <c r="AG1123" s="701"/>
      <c r="AI1123" s="701"/>
      <c r="AY1123" s="977"/>
    </row>
    <row r="1124" ht="15.75" customHeight="1">
      <c r="A1124" s="1004"/>
      <c r="B1124" s="1004"/>
      <c r="C1124" s="1005"/>
      <c r="D1124" s="977"/>
      <c r="E1124" s="1190"/>
      <c r="G1124" s="1190"/>
      <c r="I1124" s="1190"/>
      <c r="K1124" s="1190"/>
      <c r="N1124" s="1190"/>
      <c r="U1124" s="1189"/>
      <c r="W1124" s="1189"/>
      <c r="Y1124" s="1190"/>
      <c r="AA1124" s="1190"/>
      <c r="AG1124" s="701"/>
      <c r="AI1124" s="701"/>
      <c r="AY1124" s="977"/>
    </row>
    <row r="1125" ht="15.75" customHeight="1">
      <c r="A1125" s="1004"/>
      <c r="B1125" s="1004"/>
      <c r="C1125" s="1005"/>
      <c r="D1125" s="977"/>
      <c r="E1125" s="1190"/>
      <c r="G1125" s="1190"/>
      <c r="I1125" s="1190"/>
      <c r="K1125" s="1190"/>
      <c r="N1125" s="1190"/>
      <c r="U1125" s="1189"/>
      <c r="W1125" s="1189"/>
      <c r="Y1125" s="1190"/>
      <c r="AA1125" s="1190"/>
      <c r="AG1125" s="701"/>
      <c r="AI1125" s="701"/>
      <c r="AY1125" s="977"/>
    </row>
    <row r="1126" ht="15.75" customHeight="1">
      <c r="A1126" s="1004"/>
      <c r="B1126" s="1004"/>
      <c r="C1126" s="1005"/>
      <c r="D1126" s="977"/>
      <c r="E1126" s="1190"/>
      <c r="G1126" s="1190"/>
      <c r="I1126" s="1190"/>
      <c r="K1126" s="1190"/>
      <c r="N1126" s="1190"/>
      <c r="U1126" s="1189"/>
      <c r="W1126" s="1189"/>
      <c r="Y1126" s="1190"/>
      <c r="AA1126" s="1190"/>
      <c r="AG1126" s="701"/>
      <c r="AI1126" s="701"/>
      <c r="AY1126" s="977"/>
    </row>
    <row r="1127" ht="15.75" customHeight="1">
      <c r="A1127" s="1004"/>
      <c r="B1127" s="1004"/>
      <c r="C1127" s="1005"/>
      <c r="D1127" s="977"/>
      <c r="E1127" s="1190"/>
      <c r="G1127" s="1190"/>
      <c r="I1127" s="1190"/>
      <c r="K1127" s="1190"/>
      <c r="N1127" s="1190"/>
      <c r="U1127" s="1189"/>
      <c r="W1127" s="1189"/>
      <c r="Y1127" s="1190"/>
      <c r="AA1127" s="1190"/>
      <c r="AG1127" s="701"/>
      <c r="AI1127" s="701"/>
      <c r="AY1127" s="977"/>
    </row>
    <row r="1128" ht="15.75" customHeight="1">
      <c r="A1128" s="1004"/>
      <c r="B1128" s="1004"/>
      <c r="C1128" s="1005"/>
      <c r="D1128" s="977"/>
      <c r="E1128" s="1190"/>
      <c r="G1128" s="1190"/>
      <c r="I1128" s="1190"/>
      <c r="K1128" s="1190"/>
      <c r="N1128" s="1190"/>
      <c r="U1128" s="1189"/>
      <c r="W1128" s="1189"/>
      <c r="Y1128" s="1190"/>
      <c r="AA1128" s="1190"/>
      <c r="AG1128" s="701"/>
      <c r="AI1128" s="701"/>
      <c r="AY1128" s="977"/>
    </row>
    <row r="1129" ht="15.75" customHeight="1">
      <c r="A1129" s="1004"/>
      <c r="B1129" s="1004"/>
      <c r="C1129" s="1005"/>
      <c r="D1129" s="977"/>
      <c r="E1129" s="1190"/>
      <c r="G1129" s="1190"/>
      <c r="I1129" s="1190"/>
      <c r="K1129" s="1190"/>
      <c r="N1129" s="1190"/>
      <c r="U1129" s="1189"/>
      <c r="W1129" s="1189"/>
      <c r="Y1129" s="1190"/>
      <c r="AA1129" s="1190"/>
      <c r="AG1129" s="701"/>
      <c r="AI1129" s="701"/>
      <c r="AY1129" s="977"/>
    </row>
    <row r="1130" ht="15.75" customHeight="1">
      <c r="A1130" s="1004"/>
      <c r="B1130" s="1004"/>
      <c r="C1130" s="1005"/>
      <c r="D1130" s="977"/>
      <c r="E1130" s="1190"/>
      <c r="G1130" s="1190"/>
      <c r="I1130" s="1190"/>
      <c r="K1130" s="1190"/>
      <c r="N1130" s="1190"/>
      <c r="U1130" s="1189"/>
      <c r="W1130" s="1189"/>
      <c r="Y1130" s="1190"/>
      <c r="AA1130" s="1190"/>
      <c r="AG1130" s="701"/>
      <c r="AI1130" s="701"/>
      <c r="AY1130" s="977"/>
    </row>
    <row r="1131" ht="15.75" customHeight="1">
      <c r="A1131" s="1004"/>
      <c r="B1131" s="1004"/>
      <c r="C1131" s="1005"/>
      <c r="D1131" s="977"/>
      <c r="E1131" s="1190"/>
      <c r="G1131" s="1190"/>
      <c r="I1131" s="1190"/>
      <c r="K1131" s="1190"/>
      <c r="N1131" s="1190"/>
      <c r="U1131" s="1189"/>
      <c r="W1131" s="1189"/>
      <c r="Y1131" s="1190"/>
      <c r="AA1131" s="1190"/>
      <c r="AG1131" s="701"/>
      <c r="AI1131" s="701"/>
      <c r="AY1131" s="977"/>
    </row>
    <row r="1132" ht="15.75" customHeight="1">
      <c r="A1132" s="1004"/>
      <c r="B1132" s="1004"/>
      <c r="C1132" s="1005"/>
      <c r="D1132" s="977"/>
      <c r="E1132" s="1190"/>
      <c r="G1132" s="1190"/>
      <c r="I1132" s="1190"/>
      <c r="K1132" s="1190"/>
      <c r="N1132" s="1190"/>
      <c r="U1132" s="1189"/>
      <c r="W1132" s="1189"/>
      <c r="Y1132" s="1190"/>
      <c r="AA1132" s="1190"/>
      <c r="AG1132" s="701"/>
      <c r="AI1132" s="701"/>
      <c r="AY1132" s="977"/>
    </row>
    <row r="1133" ht="15.75" customHeight="1">
      <c r="A1133" s="1004"/>
      <c r="B1133" s="1004"/>
      <c r="C1133" s="1005"/>
      <c r="D1133" s="977"/>
      <c r="E1133" s="1190"/>
      <c r="G1133" s="1190"/>
      <c r="I1133" s="1190"/>
      <c r="K1133" s="1190"/>
      <c r="N1133" s="1190"/>
      <c r="U1133" s="1189"/>
      <c r="W1133" s="1189"/>
      <c r="Y1133" s="1190"/>
      <c r="AA1133" s="1190"/>
      <c r="AG1133" s="701"/>
      <c r="AI1133" s="701"/>
      <c r="AY1133" s="977"/>
    </row>
    <row r="1134" ht="15.75" customHeight="1">
      <c r="A1134" s="1004"/>
      <c r="B1134" s="1004"/>
      <c r="C1134" s="1005"/>
      <c r="D1134" s="977"/>
      <c r="E1134" s="1190"/>
      <c r="G1134" s="1190"/>
      <c r="I1134" s="1190"/>
      <c r="K1134" s="1190"/>
      <c r="N1134" s="1190"/>
      <c r="U1134" s="1189"/>
      <c r="W1134" s="1189"/>
      <c r="Y1134" s="1190"/>
      <c r="AA1134" s="1190"/>
      <c r="AG1134" s="701"/>
      <c r="AI1134" s="701"/>
      <c r="AY1134" s="977"/>
    </row>
    <row r="1135" ht="15.75" customHeight="1">
      <c r="A1135" s="1004"/>
      <c r="B1135" s="1004"/>
      <c r="C1135" s="1005"/>
      <c r="D1135" s="977"/>
      <c r="E1135" s="1190"/>
      <c r="G1135" s="1190"/>
      <c r="I1135" s="1190"/>
      <c r="K1135" s="1190"/>
      <c r="N1135" s="1190"/>
      <c r="U1135" s="1189"/>
      <c r="W1135" s="1189"/>
      <c r="Y1135" s="1190"/>
      <c r="AA1135" s="1190"/>
      <c r="AG1135" s="701"/>
      <c r="AI1135" s="701"/>
      <c r="AY1135" s="977"/>
    </row>
    <row r="1136" ht="15.75" customHeight="1">
      <c r="A1136" s="1004"/>
      <c r="B1136" s="1004"/>
      <c r="C1136" s="1005"/>
      <c r="D1136" s="977"/>
      <c r="E1136" s="1190"/>
      <c r="G1136" s="1190"/>
      <c r="I1136" s="1190"/>
      <c r="K1136" s="1190"/>
      <c r="N1136" s="1190"/>
      <c r="U1136" s="1189"/>
      <c r="W1136" s="1189"/>
      <c r="Y1136" s="1190"/>
      <c r="AA1136" s="1190"/>
      <c r="AG1136" s="701"/>
      <c r="AI1136" s="701"/>
      <c r="AY1136" s="977"/>
    </row>
    <row r="1137" ht="15.75" customHeight="1">
      <c r="A1137" s="1004"/>
      <c r="B1137" s="1004"/>
      <c r="C1137" s="1005"/>
      <c r="D1137" s="977"/>
      <c r="E1137" s="1190"/>
      <c r="G1137" s="1190"/>
      <c r="I1137" s="1190"/>
      <c r="K1137" s="1190"/>
      <c r="N1137" s="1190"/>
      <c r="U1137" s="1189"/>
      <c r="W1137" s="1189"/>
      <c r="Y1137" s="1190"/>
      <c r="AA1137" s="1190"/>
      <c r="AG1137" s="701"/>
      <c r="AI1137" s="701"/>
      <c r="AY1137" s="977"/>
    </row>
    <row r="1138" ht="15.75" customHeight="1">
      <c r="A1138" s="1004"/>
      <c r="B1138" s="1004"/>
      <c r="C1138" s="1005"/>
      <c r="D1138" s="977"/>
      <c r="E1138" s="1190"/>
      <c r="G1138" s="1190"/>
      <c r="I1138" s="1190"/>
      <c r="K1138" s="1190"/>
      <c r="N1138" s="1190"/>
      <c r="U1138" s="1189"/>
      <c r="W1138" s="1189"/>
      <c r="Y1138" s="1190"/>
      <c r="AA1138" s="1190"/>
      <c r="AG1138" s="701"/>
      <c r="AI1138" s="701"/>
      <c r="AY1138" s="977"/>
    </row>
    <row r="1139" ht="15.75" customHeight="1">
      <c r="A1139" s="1004"/>
      <c r="B1139" s="1004"/>
      <c r="C1139" s="1005"/>
      <c r="D1139" s="977"/>
      <c r="E1139" s="1190"/>
      <c r="G1139" s="1190"/>
      <c r="I1139" s="1190"/>
      <c r="K1139" s="1190"/>
      <c r="N1139" s="1190"/>
      <c r="U1139" s="1189"/>
      <c r="W1139" s="1189"/>
      <c r="Y1139" s="1190"/>
      <c r="AA1139" s="1190"/>
      <c r="AG1139" s="701"/>
      <c r="AI1139" s="701"/>
      <c r="AY1139" s="977"/>
    </row>
    <row r="1140" ht="15.75" customHeight="1">
      <c r="A1140" s="1004"/>
      <c r="B1140" s="1004"/>
      <c r="C1140" s="1005"/>
      <c r="D1140" s="977"/>
      <c r="E1140" s="1190"/>
      <c r="G1140" s="1190"/>
      <c r="I1140" s="1190"/>
      <c r="K1140" s="1190"/>
      <c r="N1140" s="1190"/>
      <c r="U1140" s="1189"/>
      <c r="W1140" s="1189"/>
      <c r="Y1140" s="1190"/>
      <c r="AA1140" s="1190"/>
      <c r="AG1140" s="701"/>
      <c r="AI1140" s="701"/>
      <c r="AY1140" s="977"/>
    </row>
    <row r="1141" ht="15.75" customHeight="1">
      <c r="A1141" s="1004"/>
      <c r="B1141" s="1004"/>
      <c r="C1141" s="1005"/>
      <c r="D1141" s="977"/>
      <c r="E1141" s="1190"/>
      <c r="G1141" s="1190"/>
      <c r="I1141" s="1190"/>
      <c r="K1141" s="1190"/>
      <c r="N1141" s="1190"/>
      <c r="U1141" s="1189"/>
      <c r="W1141" s="1189"/>
      <c r="Y1141" s="1190"/>
      <c r="AA1141" s="1190"/>
      <c r="AG1141" s="701"/>
      <c r="AI1141" s="701"/>
      <c r="AY1141" s="977"/>
    </row>
    <row r="1142" ht="15.75" customHeight="1">
      <c r="A1142" s="1004"/>
      <c r="B1142" s="1004"/>
      <c r="C1142" s="1005"/>
      <c r="D1142" s="977"/>
      <c r="E1142" s="1190"/>
      <c r="G1142" s="1190"/>
      <c r="I1142" s="1190"/>
      <c r="K1142" s="1190"/>
      <c r="N1142" s="1190"/>
      <c r="U1142" s="1189"/>
      <c r="W1142" s="1189"/>
      <c r="Y1142" s="1190"/>
      <c r="AA1142" s="1190"/>
      <c r="AG1142" s="701"/>
      <c r="AI1142" s="701"/>
      <c r="AY1142" s="977"/>
    </row>
    <row r="1143" ht="15.75" customHeight="1">
      <c r="A1143" s="1004"/>
      <c r="B1143" s="1004"/>
      <c r="C1143" s="1005"/>
      <c r="D1143" s="977"/>
      <c r="E1143" s="1190"/>
      <c r="G1143" s="1190"/>
      <c r="I1143" s="1190"/>
      <c r="K1143" s="1190"/>
      <c r="N1143" s="1190"/>
      <c r="U1143" s="1189"/>
      <c r="W1143" s="1189"/>
      <c r="Y1143" s="1190"/>
      <c r="AA1143" s="1190"/>
      <c r="AG1143" s="701"/>
      <c r="AI1143" s="701"/>
      <c r="AY1143" s="977"/>
    </row>
    <row r="1144" ht="15.75" customHeight="1">
      <c r="A1144" s="1004"/>
      <c r="B1144" s="1004"/>
      <c r="C1144" s="1005"/>
      <c r="D1144" s="977"/>
      <c r="E1144" s="1190"/>
      <c r="G1144" s="1190"/>
      <c r="I1144" s="1190"/>
      <c r="K1144" s="1190"/>
      <c r="N1144" s="1190"/>
      <c r="U1144" s="1189"/>
      <c r="W1144" s="1189"/>
      <c r="Y1144" s="1190"/>
      <c r="AA1144" s="1190"/>
      <c r="AG1144" s="701"/>
      <c r="AI1144" s="701"/>
      <c r="AY1144" s="977"/>
    </row>
    <row r="1145" ht="15.75" customHeight="1">
      <c r="A1145" s="1004"/>
      <c r="B1145" s="1004"/>
      <c r="C1145" s="1005"/>
      <c r="D1145" s="977"/>
      <c r="E1145" s="1190"/>
      <c r="G1145" s="1190"/>
      <c r="I1145" s="1190"/>
      <c r="K1145" s="1190"/>
      <c r="N1145" s="1190"/>
      <c r="U1145" s="1189"/>
      <c r="W1145" s="1189"/>
      <c r="Y1145" s="1190"/>
      <c r="AA1145" s="1190"/>
      <c r="AG1145" s="701"/>
      <c r="AI1145" s="701"/>
      <c r="AY1145" s="977"/>
    </row>
    <row r="1146" ht="15.75" customHeight="1">
      <c r="A1146" s="1004"/>
      <c r="B1146" s="1004"/>
      <c r="C1146" s="1005"/>
      <c r="D1146" s="977"/>
      <c r="E1146" s="1190"/>
      <c r="G1146" s="1190"/>
      <c r="I1146" s="1190"/>
      <c r="K1146" s="1190"/>
      <c r="N1146" s="1190"/>
      <c r="U1146" s="1189"/>
      <c r="W1146" s="1189"/>
      <c r="Y1146" s="1190"/>
      <c r="AA1146" s="1190"/>
      <c r="AG1146" s="701"/>
      <c r="AI1146" s="701"/>
      <c r="AY1146" s="977"/>
    </row>
  </sheetData>
  <mergeCells count="3343">
    <mergeCell ref="S41:T41"/>
    <mergeCell ref="U41:V41"/>
    <mergeCell ref="W41:X41"/>
    <mergeCell ref="Y41:Z41"/>
    <mergeCell ref="AA41:AB41"/>
    <mergeCell ref="AC41:AD41"/>
    <mergeCell ref="AE41:AF41"/>
    <mergeCell ref="E41:F41"/>
    <mergeCell ref="G41:H41"/>
    <mergeCell ref="I41:J41"/>
    <mergeCell ref="K41:L41"/>
    <mergeCell ref="M41:N41"/>
    <mergeCell ref="O41:P41"/>
    <mergeCell ref="Q41:R41"/>
    <mergeCell ref="S40:T40"/>
    <mergeCell ref="U40:V40"/>
    <mergeCell ref="W40:X40"/>
    <mergeCell ref="Y40:Z40"/>
    <mergeCell ref="AA40:AB40"/>
    <mergeCell ref="AC40:AD40"/>
    <mergeCell ref="AE40:AF40"/>
    <mergeCell ref="AU40:AV40"/>
    <mergeCell ref="AW40:AX40"/>
    <mergeCell ref="AG40:AH40"/>
    <mergeCell ref="AI40:AJ40"/>
    <mergeCell ref="AK40:AL40"/>
    <mergeCell ref="AM40:AN40"/>
    <mergeCell ref="AO40:AP40"/>
    <mergeCell ref="AQ40:AR40"/>
    <mergeCell ref="AS40:AT40"/>
    <mergeCell ref="E40:F40"/>
    <mergeCell ref="G40:H40"/>
    <mergeCell ref="I40:J40"/>
    <mergeCell ref="K40:L40"/>
    <mergeCell ref="M40:N40"/>
    <mergeCell ref="O40:P40"/>
    <mergeCell ref="Q40:R40"/>
    <mergeCell ref="AU41:AV41"/>
    <mergeCell ref="AW41:AX41"/>
    <mergeCell ref="AK42:AL42"/>
    <mergeCell ref="AM42:AN42"/>
    <mergeCell ref="AO42:AP42"/>
    <mergeCell ref="AQ42:AR42"/>
    <mergeCell ref="AS42:AT42"/>
    <mergeCell ref="AU42:AV42"/>
    <mergeCell ref="AW42:AX42"/>
    <mergeCell ref="AG41:AH41"/>
    <mergeCell ref="AI41:AJ41"/>
    <mergeCell ref="AK41:AL41"/>
    <mergeCell ref="AM41:AN41"/>
    <mergeCell ref="AO41:AP41"/>
    <mergeCell ref="AQ41:AR41"/>
    <mergeCell ref="AS41:AT41"/>
    <mergeCell ref="AU44:AV44"/>
    <mergeCell ref="AW44:AX44"/>
    <mergeCell ref="AG44:AH44"/>
    <mergeCell ref="AI44:AJ44"/>
    <mergeCell ref="AK44:AL44"/>
    <mergeCell ref="AM44:AN44"/>
    <mergeCell ref="AO44:AP44"/>
    <mergeCell ref="AQ44:AR44"/>
    <mergeCell ref="AS44:AT44"/>
    <mergeCell ref="E42:F42"/>
    <mergeCell ref="G42:H42"/>
    <mergeCell ref="I42:J42"/>
    <mergeCell ref="K42:L42"/>
    <mergeCell ref="M42:N42"/>
    <mergeCell ref="O42:P42"/>
    <mergeCell ref="Q42:R42"/>
    <mergeCell ref="S43:T43"/>
    <mergeCell ref="U43:V43"/>
    <mergeCell ref="W43:X43"/>
    <mergeCell ref="Y43:Z43"/>
    <mergeCell ref="AA43:AB43"/>
    <mergeCell ref="AC43:AD43"/>
    <mergeCell ref="AE43:AF43"/>
    <mergeCell ref="AU43:AV43"/>
    <mergeCell ref="AW43:AX43"/>
    <mergeCell ref="AG43:AH43"/>
    <mergeCell ref="AI43:AJ43"/>
    <mergeCell ref="AK43:AL43"/>
    <mergeCell ref="AM43:AN43"/>
    <mergeCell ref="AO43:AP43"/>
    <mergeCell ref="AQ43:AR43"/>
    <mergeCell ref="AS43:AT43"/>
    <mergeCell ref="E43:F43"/>
    <mergeCell ref="G43:H43"/>
    <mergeCell ref="I43:J43"/>
    <mergeCell ref="K43:L43"/>
    <mergeCell ref="M43:N43"/>
    <mergeCell ref="O43:P43"/>
    <mergeCell ref="Q43:R43"/>
    <mergeCell ref="S44:T44"/>
    <mergeCell ref="U44:V44"/>
    <mergeCell ref="W44:X44"/>
    <mergeCell ref="Y44:Z44"/>
    <mergeCell ref="AA44:AB44"/>
    <mergeCell ref="AC44:AD44"/>
    <mergeCell ref="AE44:AF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Y46:Z46"/>
    <mergeCell ref="AA46:AB46"/>
    <mergeCell ref="AC46:AD46"/>
    <mergeCell ref="AE46:AF46"/>
    <mergeCell ref="E46:F46"/>
    <mergeCell ref="G46:H46"/>
    <mergeCell ref="I46:J46"/>
    <mergeCell ref="K46:L46"/>
    <mergeCell ref="M46:N46"/>
    <mergeCell ref="O46:P46"/>
    <mergeCell ref="Q46:R46"/>
    <mergeCell ref="S45:T45"/>
    <mergeCell ref="U45:V45"/>
    <mergeCell ref="W45:X45"/>
    <mergeCell ref="Y45:Z45"/>
    <mergeCell ref="AA45:AB45"/>
    <mergeCell ref="AC45:AD45"/>
    <mergeCell ref="AE45:AF45"/>
    <mergeCell ref="AU45:AV45"/>
    <mergeCell ref="AW45:AX45"/>
    <mergeCell ref="AG45:AH45"/>
    <mergeCell ref="AI45:AJ45"/>
    <mergeCell ref="AK45:AL45"/>
    <mergeCell ref="AM45:AN45"/>
    <mergeCell ref="AO45:AP45"/>
    <mergeCell ref="AQ45:AR45"/>
    <mergeCell ref="AS45:AT45"/>
    <mergeCell ref="E45:F45"/>
    <mergeCell ref="G45:H45"/>
    <mergeCell ref="I45:J45"/>
    <mergeCell ref="K45:L45"/>
    <mergeCell ref="M45:N45"/>
    <mergeCell ref="O45:P45"/>
    <mergeCell ref="Q45:R45"/>
    <mergeCell ref="AU46:AV46"/>
    <mergeCell ref="AW46:AX46"/>
    <mergeCell ref="E47:F47"/>
    <mergeCell ref="G47:H47"/>
    <mergeCell ref="I47:J47"/>
    <mergeCell ref="K47:L47"/>
    <mergeCell ref="M47:N47"/>
    <mergeCell ref="O47:P47"/>
    <mergeCell ref="Q47:R47"/>
    <mergeCell ref="AK47:AL47"/>
    <mergeCell ref="AM47:AN47"/>
    <mergeCell ref="AO47:AP47"/>
    <mergeCell ref="AQ47:AR47"/>
    <mergeCell ref="AS47:AT47"/>
    <mergeCell ref="AU47:AV47"/>
    <mergeCell ref="AW47:AX47"/>
    <mergeCell ref="AG46:AH46"/>
    <mergeCell ref="AI46:AJ46"/>
    <mergeCell ref="AK46:AL46"/>
    <mergeCell ref="AM46:AN46"/>
    <mergeCell ref="AO46:AP46"/>
    <mergeCell ref="AQ46:AR46"/>
    <mergeCell ref="AS46:AT46"/>
    <mergeCell ref="S5:T5"/>
    <mergeCell ref="U5:V5"/>
    <mergeCell ref="W5:X5"/>
    <mergeCell ref="Y5:Z5"/>
    <mergeCell ref="AA5:AB5"/>
    <mergeCell ref="AC5:AD5"/>
    <mergeCell ref="AE5:AF5"/>
    <mergeCell ref="E5:F5"/>
    <mergeCell ref="G5:H5"/>
    <mergeCell ref="I5:J5"/>
    <mergeCell ref="K5:L5"/>
    <mergeCell ref="M5:N5"/>
    <mergeCell ref="O5:P5"/>
    <mergeCell ref="Q5:R5"/>
    <mergeCell ref="AG37:AH37"/>
    <mergeCell ref="AI37:AJ37"/>
    <mergeCell ref="S37:T37"/>
    <mergeCell ref="U37:V37"/>
    <mergeCell ref="W37:X37"/>
    <mergeCell ref="Y37:Z37"/>
    <mergeCell ref="AA37:AB37"/>
    <mergeCell ref="AC37:AD37"/>
    <mergeCell ref="AE37:AF37"/>
    <mergeCell ref="S4:T4"/>
    <mergeCell ref="U4:V4"/>
    <mergeCell ref="W4:X4"/>
    <mergeCell ref="Y4:Z4"/>
    <mergeCell ref="AA4:AB4"/>
    <mergeCell ref="AC4:AD4"/>
    <mergeCell ref="AE4:AF4"/>
    <mergeCell ref="AU4:AV4"/>
    <mergeCell ref="AW4:AX4"/>
    <mergeCell ref="AG4:AH4"/>
    <mergeCell ref="AI4:AJ4"/>
    <mergeCell ref="AK4:AL4"/>
    <mergeCell ref="AM4:AN4"/>
    <mergeCell ref="AO4:AP4"/>
    <mergeCell ref="AQ4:AR4"/>
    <mergeCell ref="AS4:AT4"/>
    <mergeCell ref="E4:F4"/>
    <mergeCell ref="G4:H4"/>
    <mergeCell ref="I4:J4"/>
    <mergeCell ref="K4:L4"/>
    <mergeCell ref="M4:N4"/>
    <mergeCell ref="O4:P4"/>
    <mergeCell ref="Q4:R4"/>
    <mergeCell ref="AU5:AV5"/>
    <mergeCell ref="AW5:AX5"/>
    <mergeCell ref="AG5:AH5"/>
    <mergeCell ref="AI5:AJ5"/>
    <mergeCell ref="AK5:AL5"/>
    <mergeCell ref="AM5:AN5"/>
    <mergeCell ref="AO5:AP5"/>
    <mergeCell ref="AQ5:AR5"/>
    <mergeCell ref="AS5:AT5"/>
    <mergeCell ref="AK37:AL37"/>
    <mergeCell ref="AM37:AN37"/>
    <mergeCell ref="AO37:AP37"/>
    <mergeCell ref="AQ37:AR37"/>
    <mergeCell ref="AS37:AT37"/>
    <mergeCell ref="AU37:AV37"/>
    <mergeCell ref="AW37:AX37"/>
    <mergeCell ref="AU39:AV39"/>
    <mergeCell ref="AW39:AX39"/>
    <mergeCell ref="AG39:AH39"/>
    <mergeCell ref="AI39:AJ39"/>
    <mergeCell ref="AK39:AL39"/>
    <mergeCell ref="AM39:AN39"/>
    <mergeCell ref="AO39:AP39"/>
    <mergeCell ref="AQ39:AR39"/>
    <mergeCell ref="AS39:AT39"/>
    <mergeCell ref="E37:F37"/>
    <mergeCell ref="G37:H37"/>
    <mergeCell ref="I37:J37"/>
    <mergeCell ref="K37:L37"/>
    <mergeCell ref="M37:N37"/>
    <mergeCell ref="O37:P37"/>
    <mergeCell ref="Q37:R37"/>
    <mergeCell ref="S38:T38"/>
    <mergeCell ref="U38:V38"/>
    <mergeCell ref="W38:X38"/>
    <mergeCell ref="Y38:Z38"/>
    <mergeCell ref="AA38:AB38"/>
    <mergeCell ref="AC38:AD38"/>
    <mergeCell ref="AE38:AF38"/>
    <mergeCell ref="AU38:AV38"/>
    <mergeCell ref="AW38:AX38"/>
    <mergeCell ref="AG38:AH38"/>
    <mergeCell ref="AI38:AJ38"/>
    <mergeCell ref="AK38:AL38"/>
    <mergeCell ref="AM38:AN38"/>
    <mergeCell ref="AO38:AP38"/>
    <mergeCell ref="AQ38:AR38"/>
    <mergeCell ref="AS38:AT38"/>
    <mergeCell ref="E38:F38"/>
    <mergeCell ref="G38:H38"/>
    <mergeCell ref="I38:J38"/>
    <mergeCell ref="K38:L38"/>
    <mergeCell ref="M38:N38"/>
    <mergeCell ref="O38:P38"/>
    <mergeCell ref="Q38:R38"/>
    <mergeCell ref="S39:T39"/>
    <mergeCell ref="U39:V39"/>
    <mergeCell ref="W39:X39"/>
    <mergeCell ref="Y39:Z39"/>
    <mergeCell ref="AA39:AB39"/>
    <mergeCell ref="AC39:AD39"/>
    <mergeCell ref="AE39:AF39"/>
    <mergeCell ref="E39:F39"/>
    <mergeCell ref="G39:H39"/>
    <mergeCell ref="I39:J39"/>
    <mergeCell ref="K39:L39"/>
    <mergeCell ref="M39:N39"/>
    <mergeCell ref="O39:P39"/>
    <mergeCell ref="Q39:R39"/>
    <mergeCell ref="AG42:AH42"/>
    <mergeCell ref="AI42:AJ42"/>
    <mergeCell ref="S42:T42"/>
    <mergeCell ref="U42:V42"/>
    <mergeCell ref="W42:X42"/>
    <mergeCell ref="Y42:Z42"/>
    <mergeCell ref="AA42:AB42"/>
    <mergeCell ref="AC42:AD42"/>
    <mergeCell ref="AE42:AF42"/>
    <mergeCell ref="AG49:AH49"/>
    <mergeCell ref="AI49:AJ49"/>
    <mergeCell ref="S49:T49"/>
    <mergeCell ref="U49:V49"/>
    <mergeCell ref="W49:X49"/>
    <mergeCell ref="Y49:Z49"/>
    <mergeCell ref="AA49:AB49"/>
    <mergeCell ref="AC49:AD49"/>
    <mergeCell ref="AE49:AF49"/>
    <mergeCell ref="E48:F48"/>
    <mergeCell ref="G48:H48"/>
    <mergeCell ref="I48:J48"/>
    <mergeCell ref="K48:L48"/>
    <mergeCell ref="M48:N48"/>
    <mergeCell ref="O48:P48"/>
    <mergeCell ref="Q48:R48"/>
    <mergeCell ref="E49:F49"/>
    <mergeCell ref="G49:H49"/>
    <mergeCell ref="I49:J49"/>
    <mergeCell ref="K49:L49"/>
    <mergeCell ref="M49:N49"/>
    <mergeCell ref="O49:P49"/>
    <mergeCell ref="Q49:R49"/>
    <mergeCell ref="S51:T51"/>
    <mergeCell ref="U51:V51"/>
    <mergeCell ref="W51:X51"/>
    <mergeCell ref="Y51:Z51"/>
    <mergeCell ref="AA51:AB51"/>
    <mergeCell ref="AC51:AD51"/>
    <mergeCell ref="AE51:AF51"/>
    <mergeCell ref="AU51:AV51"/>
    <mergeCell ref="AW51:AX51"/>
    <mergeCell ref="AG51:AH51"/>
    <mergeCell ref="AI51:AJ51"/>
    <mergeCell ref="AK51:AL51"/>
    <mergeCell ref="AM51:AN51"/>
    <mergeCell ref="AO51:AP51"/>
    <mergeCell ref="AQ51:AR51"/>
    <mergeCell ref="AS51:AT51"/>
    <mergeCell ref="E53:F53"/>
    <mergeCell ref="G53:H53"/>
    <mergeCell ref="I53:J53"/>
    <mergeCell ref="K53:L53"/>
    <mergeCell ref="M53:N53"/>
    <mergeCell ref="O53:P53"/>
    <mergeCell ref="Q53:R53"/>
    <mergeCell ref="AK53:AL53"/>
    <mergeCell ref="AM53:AN53"/>
    <mergeCell ref="AO53:AP53"/>
    <mergeCell ref="AQ53:AR53"/>
    <mergeCell ref="AS53:AT53"/>
    <mergeCell ref="AU53:AV53"/>
    <mergeCell ref="AW53:AX53"/>
    <mergeCell ref="AK52:AL52"/>
    <mergeCell ref="AM52:AN52"/>
    <mergeCell ref="AO52:AP52"/>
    <mergeCell ref="AQ52:AR52"/>
    <mergeCell ref="AS52:AT52"/>
    <mergeCell ref="AU52:AV52"/>
    <mergeCell ref="AW52:AX52"/>
    <mergeCell ref="E51:F51"/>
    <mergeCell ref="G51:H51"/>
    <mergeCell ref="I51:J51"/>
    <mergeCell ref="K51:L51"/>
    <mergeCell ref="M51:N51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S54:T54"/>
    <mergeCell ref="U54:V54"/>
    <mergeCell ref="W54:X54"/>
    <mergeCell ref="Y54:Z54"/>
    <mergeCell ref="AA54:AB54"/>
    <mergeCell ref="AC54:AD54"/>
    <mergeCell ref="AE54:AF54"/>
    <mergeCell ref="AU54:AV54"/>
    <mergeCell ref="AW54:AX54"/>
    <mergeCell ref="AG54:AH54"/>
    <mergeCell ref="AI54:AJ54"/>
    <mergeCell ref="AK54:AL54"/>
    <mergeCell ref="AM54:AN54"/>
    <mergeCell ref="AO54:AP54"/>
    <mergeCell ref="AQ54:AR54"/>
    <mergeCell ref="AS54:AT54"/>
    <mergeCell ref="E56:F56"/>
    <mergeCell ref="G56:H56"/>
    <mergeCell ref="I56:J56"/>
    <mergeCell ref="K56:L56"/>
    <mergeCell ref="M56:N56"/>
    <mergeCell ref="O56:P56"/>
    <mergeCell ref="Q56:R56"/>
    <mergeCell ref="AK56:AL56"/>
    <mergeCell ref="AM56:AN56"/>
    <mergeCell ref="AO56:AP56"/>
    <mergeCell ref="AQ56:AR56"/>
    <mergeCell ref="AS56:AT56"/>
    <mergeCell ref="AU56:AV56"/>
    <mergeCell ref="AW56:AX56"/>
    <mergeCell ref="AK55:AL55"/>
    <mergeCell ref="AM55:AN55"/>
    <mergeCell ref="AO55:AP55"/>
    <mergeCell ref="AQ55:AR55"/>
    <mergeCell ref="AS55:AT55"/>
    <mergeCell ref="AU55:AV55"/>
    <mergeCell ref="AW55:AX55"/>
    <mergeCell ref="AG50:AH50"/>
    <mergeCell ref="AI50:AJ50"/>
    <mergeCell ref="S50:T50"/>
    <mergeCell ref="U50:V50"/>
    <mergeCell ref="W50:X50"/>
    <mergeCell ref="Y50:Z50"/>
    <mergeCell ref="AA50:AB50"/>
    <mergeCell ref="AC50:AD50"/>
    <mergeCell ref="AE50:AF50"/>
    <mergeCell ref="AG47:AH47"/>
    <mergeCell ref="AI47:AJ47"/>
    <mergeCell ref="S47:T47"/>
    <mergeCell ref="U47:V47"/>
    <mergeCell ref="W47:X47"/>
    <mergeCell ref="Y47:Z47"/>
    <mergeCell ref="AA47:AB47"/>
    <mergeCell ref="AC47:AD47"/>
    <mergeCell ref="AE47:AF47"/>
    <mergeCell ref="S48:T48"/>
    <mergeCell ref="U48:V48"/>
    <mergeCell ref="W48:X48"/>
    <mergeCell ref="Y48:Z48"/>
    <mergeCell ref="AA48:AB48"/>
    <mergeCell ref="AC48:AD48"/>
    <mergeCell ref="AE48:AF48"/>
    <mergeCell ref="AU48:AV48"/>
    <mergeCell ref="AW48:AX48"/>
    <mergeCell ref="AG48:AH48"/>
    <mergeCell ref="AI48:AJ48"/>
    <mergeCell ref="AK48:AL48"/>
    <mergeCell ref="AM48:AN48"/>
    <mergeCell ref="AO48:AP48"/>
    <mergeCell ref="AQ48:AR48"/>
    <mergeCell ref="AS48:AT48"/>
    <mergeCell ref="E50:F50"/>
    <mergeCell ref="G50:H50"/>
    <mergeCell ref="I50:J50"/>
    <mergeCell ref="K50:L50"/>
    <mergeCell ref="M50:N50"/>
    <mergeCell ref="O50:P50"/>
    <mergeCell ref="Q50:R50"/>
    <mergeCell ref="AK50:AL50"/>
    <mergeCell ref="AM50:AN50"/>
    <mergeCell ref="AO50:AP50"/>
    <mergeCell ref="AQ50:AR50"/>
    <mergeCell ref="AS50:AT50"/>
    <mergeCell ref="AU50:AV50"/>
    <mergeCell ref="AW50:AX50"/>
    <mergeCell ref="AK49:AL49"/>
    <mergeCell ref="AM49:AN49"/>
    <mergeCell ref="AO49:AP49"/>
    <mergeCell ref="AQ49:AR49"/>
    <mergeCell ref="AS49:AT49"/>
    <mergeCell ref="AU49:AV49"/>
    <mergeCell ref="AW49:AX49"/>
    <mergeCell ref="AG52:AH52"/>
    <mergeCell ref="AI52:AJ52"/>
    <mergeCell ref="S52:T52"/>
    <mergeCell ref="U52:V52"/>
    <mergeCell ref="W52:X52"/>
    <mergeCell ref="Y52:Z52"/>
    <mergeCell ref="AA52:AB52"/>
    <mergeCell ref="AC52:AD52"/>
    <mergeCell ref="AE52:AF52"/>
    <mergeCell ref="AG53:AH53"/>
    <mergeCell ref="AI53:AJ53"/>
    <mergeCell ref="S53:T53"/>
    <mergeCell ref="U53:V53"/>
    <mergeCell ref="W53:X53"/>
    <mergeCell ref="Y53:Z53"/>
    <mergeCell ref="AA53:AB53"/>
    <mergeCell ref="AC53:AD53"/>
    <mergeCell ref="AE53:AF53"/>
    <mergeCell ref="AG55:AH55"/>
    <mergeCell ref="AI55:AJ55"/>
    <mergeCell ref="S55:T55"/>
    <mergeCell ref="U55:V55"/>
    <mergeCell ref="W55:X55"/>
    <mergeCell ref="Y55:Z55"/>
    <mergeCell ref="AA55:AB55"/>
    <mergeCell ref="AC55:AD55"/>
    <mergeCell ref="AE55:AF55"/>
    <mergeCell ref="AG56:AH56"/>
    <mergeCell ref="AI56:AJ56"/>
    <mergeCell ref="S56:T56"/>
    <mergeCell ref="U56:V56"/>
    <mergeCell ref="W56:X56"/>
    <mergeCell ref="Y56:Z56"/>
    <mergeCell ref="AA56:AB56"/>
    <mergeCell ref="AC56:AD56"/>
    <mergeCell ref="AE56:AF56"/>
    <mergeCell ref="AG58:AH58"/>
    <mergeCell ref="AI58:AJ58"/>
    <mergeCell ref="S58:T58"/>
    <mergeCell ref="U58:V58"/>
    <mergeCell ref="W58:X58"/>
    <mergeCell ref="Y58:Z58"/>
    <mergeCell ref="AA58:AB58"/>
    <mergeCell ref="AC58:AD58"/>
    <mergeCell ref="AE58:AF58"/>
    <mergeCell ref="Q64:R64"/>
    <mergeCell ref="S65:T65"/>
    <mergeCell ref="Y65:Z65"/>
    <mergeCell ref="AG65:AH65"/>
    <mergeCell ref="AK65:AL65"/>
    <mergeCell ref="E64:F64"/>
    <mergeCell ref="G64:H64"/>
    <mergeCell ref="I64:J64"/>
    <mergeCell ref="K64:L64"/>
    <mergeCell ref="M64:N64"/>
    <mergeCell ref="O64:P64"/>
    <mergeCell ref="E65:F65"/>
    <mergeCell ref="AG64:AH64"/>
    <mergeCell ref="AI64:AJ64"/>
    <mergeCell ref="AK67:AL67"/>
    <mergeCell ref="S64:T64"/>
    <mergeCell ref="U64:V64"/>
    <mergeCell ref="W64:X64"/>
    <mergeCell ref="Y64:Z64"/>
    <mergeCell ref="AA64:AB64"/>
    <mergeCell ref="AC64:AD64"/>
    <mergeCell ref="AE64:AF64"/>
    <mergeCell ref="S69:T69"/>
    <mergeCell ref="U69:V69"/>
    <mergeCell ref="W69:X69"/>
    <mergeCell ref="Y69:Z69"/>
    <mergeCell ref="AA69:AB69"/>
    <mergeCell ref="AC69:AD69"/>
    <mergeCell ref="AE69:AF69"/>
    <mergeCell ref="AU69:AV69"/>
    <mergeCell ref="AW69:AX69"/>
    <mergeCell ref="E69:F69"/>
    <mergeCell ref="G69:H69"/>
    <mergeCell ref="I69:J69"/>
    <mergeCell ref="K69:L69"/>
    <mergeCell ref="M69:N69"/>
    <mergeCell ref="O69:P69"/>
    <mergeCell ref="Q69:R69"/>
    <mergeCell ref="E70:F70"/>
    <mergeCell ref="G70:H70"/>
    <mergeCell ref="I70:J70"/>
    <mergeCell ref="K70:L70"/>
    <mergeCell ref="M70:N70"/>
    <mergeCell ref="O70:P70"/>
    <mergeCell ref="Q70:R70"/>
    <mergeCell ref="AK70:AL70"/>
    <mergeCell ref="AM70:AN70"/>
    <mergeCell ref="AO70:AP70"/>
    <mergeCell ref="AQ70:AR70"/>
    <mergeCell ref="AS70:AT70"/>
    <mergeCell ref="AU70:AV70"/>
    <mergeCell ref="AW70:AX70"/>
    <mergeCell ref="AG69:AH69"/>
    <mergeCell ref="AI69:AJ69"/>
    <mergeCell ref="AK69:AL69"/>
    <mergeCell ref="AM69:AN69"/>
    <mergeCell ref="AO69:AP69"/>
    <mergeCell ref="AQ69:AR69"/>
    <mergeCell ref="AS69:AT69"/>
    <mergeCell ref="AG59:AH59"/>
    <mergeCell ref="AI59:AJ59"/>
    <mergeCell ref="S59:T59"/>
    <mergeCell ref="U59:V59"/>
    <mergeCell ref="W59:X59"/>
    <mergeCell ref="Y59:Z59"/>
    <mergeCell ref="AA59:AB59"/>
    <mergeCell ref="AC59:AD59"/>
    <mergeCell ref="AE59:AF59"/>
    <mergeCell ref="E54:F54"/>
    <mergeCell ref="G54:H54"/>
    <mergeCell ref="I54:J54"/>
    <mergeCell ref="K54:L54"/>
    <mergeCell ref="M54:N54"/>
    <mergeCell ref="O54:P54"/>
    <mergeCell ref="Q54:R54"/>
    <mergeCell ref="E55:F55"/>
    <mergeCell ref="G55:H55"/>
    <mergeCell ref="I55:J55"/>
    <mergeCell ref="K55:L55"/>
    <mergeCell ref="M55:N55"/>
    <mergeCell ref="O55:P55"/>
    <mergeCell ref="Q55:R55"/>
    <mergeCell ref="S57:T57"/>
    <mergeCell ref="U57:V57"/>
    <mergeCell ref="W57:X57"/>
    <mergeCell ref="Y57:Z57"/>
    <mergeCell ref="AA57:AB57"/>
    <mergeCell ref="AC57:AD57"/>
    <mergeCell ref="AE57:AF57"/>
    <mergeCell ref="AU57:AV57"/>
    <mergeCell ref="AW57:AX57"/>
    <mergeCell ref="AG57:AH57"/>
    <mergeCell ref="AI57:AJ57"/>
    <mergeCell ref="AK57:AL57"/>
    <mergeCell ref="AM57:AN57"/>
    <mergeCell ref="AO57:AP57"/>
    <mergeCell ref="AQ57:AR57"/>
    <mergeCell ref="AS57:AT57"/>
    <mergeCell ref="E59:F59"/>
    <mergeCell ref="G59:H59"/>
    <mergeCell ref="I59:J59"/>
    <mergeCell ref="K59:L59"/>
    <mergeCell ref="M59:N59"/>
    <mergeCell ref="O59:P59"/>
    <mergeCell ref="Q59:R59"/>
    <mergeCell ref="AK59:AL59"/>
    <mergeCell ref="AM59:AN59"/>
    <mergeCell ref="AO59:AP59"/>
    <mergeCell ref="AQ59:AR59"/>
    <mergeCell ref="AS59:AT59"/>
    <mergeCell ref="AU59:AV59"/>
    <mergeCell ref="AW59:AX59"/>
    <mergeCell ref="AK58:AL58"/>
    <mergeCell ref="AM58:AN58"/>
    <mergeCell ref="AO58:AP58"/>
    <mergeCell ref="AQ58:AR58"/>
    <mergeCell ref="AS58:AT58"/>
    <mergeCell ref="AU58:AV58"/>
    <mergeCell ref="AW58:AX58"/>
    <mergeCell ref="AG61:AH61"/>
    <mergeCell ref="AI61:AJ61"/>
    <mergeCell ref="S61:T61"/>
    <mergeCell ref="U61:V61"/>
    <mergeCell ref="W61:X61"/>
    <mergeCell ref="Y61:Z61"/>
    <mergeCell ref="AA61:AB61"/>
    <mergeCell ref="AC61:AD61"/>
    <mergeCell ref="AE61:AF61"/>
    <mergeCell ref="AG62:AH62"/>
    <mergeCell ref="AI62:AJ62"/>
    <mergeCell ref="S62:T62"/>
    <mergeCell ref="U62:V62"/>
    <mergeCell ref="W62:X62"/>
    <mergeCell ref="Y62:Z62"/>
    <mergeCell ref="AA62:AB62"/>
    <mergeCell ref="AC62:AD62"/>
    <mergeCell ref="AE62:AF62"/>
    <mergeCell ref="E57:F57"/>
    <mergeCell ref="G57:H57"/>
    <mergeCell ref="I57:J57"/>
    <mergeCell ref="K57:L57"/>
    <mergeCell ref="M57:N57"/>
    <mergeCell ref="O57:P57"/>
    <mergeCell ref="Q57:R57"/>
    <mergeCell ref="E58:F58"/>
    <mergeCell ref="G58:H58"/>
    <mergeCell ref="I58:J58"/>
    <mergeCell ref="K58:L58"/>
    <mergeCell ref="M58:N58"/>
    <mergeCell ref="O58:P58"/>
    <mergeCell ref="Q58:R58"/>
    <mergeCell ref="S60:T60"/>
    <mergeCell ref="U60:V60"/>
    <mergeCell ref="W60:X60"/>
    <mergeCell ref="Y60:Z60"/>
    <mergeCell ref="AA60:AB60"/>
    <mergeCell ref="AC60:AD60"/>
    <mergeCell ref="AE60:AF60"/>
    <mergeCell ref="AU60:AV60"/>
    <mergeCell ref="AW60:AX60"/>
    <mergeCell ref="AG60:AH60"/>
    <mergeCell ref="AI60:AJ60"/>
    <mergeCell ref="AK60:AL60"/>
    <mergeCell ref="AM60:AN60"/>
    <mergeCell ref="AO60:AP60"/>
    <mergeCell ref="AQ60:AR60"/>
    <mergeCell ref="AS60:AT60"/>
    <mergeCell ref="E62:F62"/>
    <mergeCell ref="G62:H62"/>
    <mergeCell ref="I62:J62"/>
    <mergeCell ref="K62:L62"/>
    <mergeCell ref="M62:N62"/>
    <mergeCell ref="O62:P62"/>
    <mergeCell ref="Q62:R62"/>
    <mergeCell ref="AK62:AL62"/>
    <mergeCell ref="AM62:AN62"/>
    <mergeCell ref="AO62:AP62"/>
    <mergeCell ref="AQ62:AR62"/>
    <mergeCell ref="AS62:AT62"/>
    <mergeCell ref="AU62:AV62"/>
    <mergeCell ref="AW62:AX62"/>
    <mergeCell ref="AK61:AL61"/>
    <mergeCell ref="AM61:AN61"/>
    <mergeCell ref="AO61:AP61"/>
    <mergeCell ref="AQ61:AR61"/>
    <mergeCell ref="AS61:AT61"/>
    <mergeCell ref="AU61:AV61"/>
    <mergeCell ref="AW61:AX61"/>
    <mergeCell ref="E60:F60"/>
    <mergeCell ref="G60:H60"/>
    <mergeCell ref="I60:J60"/>
    <mergeCell ref="K60:L60"/>
    <mergeCell ref="M60:N60"/>
    <mergeCell ref="O60:P60"/>
    <mergeCell ref="Q60:R60"/>
    <mergeCell ref="E61:F61"/>
    <mergeCell ref="G61:H61"/>
    <mergeCell ref="I61:J61"/>
    <mergeCell ref="K61:L61"/>
    <mergeCell ref="M61:N61"/>
    <mergeCell ref="O61:P61"/>
    <mergeCell ref="Q61:R61"/>
    <mergeCell ref="S63:T63"/>
    <mergeCell ref="U63:V63"/>
    <mergeCell ref="W63:X63"/>
    <mergeCell ref="Y63:Z63"/>
    <mergeCell ref="AA63:AB63"/>
    <mergeCell ref="AC63:AD63"/>
    <mergeCell ref="AE63:AF63"/>
    <mergeCell ref="AU63:AV63"/>
    <mergeCell ref="AW63:AX63"/>
    <mergeCell ref="E63:F63"/>
    <mergeCell ref="G63:H63"/>
    <mergeCell ref="I63:J63"/>
    <mergeCell ref="K63:L63"/>
    <mergeCell ref="M63:N63"/>
    <mergeCell ref="O63:P63"/>
    <mergeCell ref="Q63:R63"/>
    <mergeCell ref="AK64:AL64"/>
    <mergeCell ref="AM64:AN64"/>
    <mergeCell ref="AO64:AP64"/>
    <mergeCell ref="AQ64:AR64"/>
    <mergeCell ref="AS64:AT64"/>
    <mergeCell ref="AU64:AV64"/>
    <mergeCell ref="AW64:AX64"/>
    <mergeCell ref="AG63:AH63"/>
    <mergeCell ref="AI63:AJ63"/>
    <mergeCell ref="AK63:AL63"/>
    <mergeCell ref="AM63:AN63"/>
    <mergeCell ref="AO63:AP63"/>
    <mergeCell ref="AQ63:AR63"/>
    <mergeCell ref="AS63:AT63"/>
    <mergeCell ref="AG101:AH101"/>
    <mergeCell ref="AI101:AJ101"/>
    <mergeCell ref="S101:T101"/>
    <mergeCell ref="U101:V101"/>
    <mergeCell ref="W101:X101"/>
    <mergeCell ref="Y101:Z101"/>
    <mergeCell ref="AA101:AB101"/>
    <mergeCell ref="AC101:AD101"/>
    <mergeCell ref="AE101:AF101"/>
    <mergeCell ref="E100:F100"/>
    <mergeCell ref="G100:H100"/>
    <mergeCell ref="I100:J100"/>
    <mergeCell ref="K100:L100"/>
    <mergeCell ref="M100:N100"/>
    <mergeCell ref="O100:P100"/>
    <mergeCell ref="Q100:R100"/>
    <mergeCell ref="E101:F101"/>
    <mergeCell ref="G101:H101"/>
    <mergeCell ref="I101:J101"/>
    <mergeCell ref="K101:L101"/>
    <mergeCell ref="M101:N101"/>
    <mergeCell ref="O101:P101"/>
    <mergeCell ref="Q101:R101"/>
    <mergeCell ref="S103:T103"/>
    <mergeCell ref="U103:V103"/>
    <mergeCell ref="W103:X103"/>
    <mergeCell ref="Y103:Z103"/>
    <mergeCell ref="AA103:AB103"/>
    <mergeCell ref="AC103:AD103"/>
    <mergeCell ref="AE103:AF103"/>
    <mergeCell ref="AU103:AV103"/>
    <mergeCell ref="AW103:AX103"/>
    <mergeCell ref="AG103:AH103"/>
    <mergeCell ref="AI103:AJ103"/>
    <mergeCell ref="AK103:AL103"/>
    <mergeCell ref="AM103:AN103"/>
    <mergeCell ref="AO103:AP103"/>
    <mergeCell ref="AQ103:AR103"/>
    <mergeCell ref="AS103:AT103"/>
    <mergeCell ref="E105:F105"/>
    <mergeCell ref="G105:H105"/>
    <mergeCell ref="I105:J105"/>
    <mergeCell ref="K105:L105"/>
    <mergeCell ref="M105:N105"/>
    <mergeCell ref="O105:P105"/>
    <mergeCell ref="Q105:R105"/>
    <mergeCell ref="AK105:AL105"/>
    <mergeCell ref="AM105:AN105"/>
    <mergeCell ref="AO105:AP105"/>
    <mergeCell ref="AQ105:AR105"/>
    <mergeCell ref="AS105:AT105"/>
    <mergeCell ref="AU105:AV105"/>
    <mergeCell ref="AW105:AX105"/>
    <mergeCell ref="AK104:AL104"/>
    <mergeCell ref="AM104:AN104"/>
    <mergeCell ref="AO104:AP104"/>
    <mergeCell ref="AQ104:AR104"/>
    <mergeCell ref="AS104:AT104"/>
    <mergeCell ref="AU104:AV104"/>
    <mergeCell ref="AW104:AX104"/>
    <mergeCell ref="E103:F103"/>
    <mergeCell ref="G103:H103"/>
    <mergeCell ref="I103:J103"/>
    <mergeCell ref="K103:L103"/>
    <mergeCell ref="M103:N103"/>
    <mergeCell ref="O103:P103"/>
    <mergeCell ref="Q103:R103"/>
    <mergeCell ref="E104:F104"/>
    <mergeCell ref="G104:H104"/>
    <mergeCell ref="I104:J104"/>
    <mergeCell ref="K104:L104"/>
    <mergeCell ref="M104:N104"/>
    <mergeCell ref="O104:P104"/>
    <mergeCell ref="Q104:R104"/>
    <mergeCell ref="S106:T106"/>
    <mergeCell ref="U106:V106"/>
    <mergeCell ref="W106:X106"/>
    <mergeCell ref="Y106:Z106"/>
    <mergeCell ref="AA106:AB106"/>
    <mergeCell ref="AC106:AD106"/>
    <mergeCell ref="AE106:AF106"/>
    <mergeCell ref="AU106:AV106"/>
    <mergeCell ref="AW106:AX106"/>
    <mergeCell ref="AG106:AH106"/>
    <mergeCell ref="AI106:AJ106"/>
    <mergeCell ref="AK106:AL106"/>
    <mergeCell ref="AM106:AN106"/>
    <mergeCell ref="AO106:AP106"/>
    <mergeCell ref="AQ106:AR106"/>
    <mergeCell ref="AS106:AT106"/>
    <mergeCell ref="E108:F108"/>
    <mergeCell ref="G108:H108"/>
    <mergeCell ref="I108:J108"/>
    <mergeCell ref="K108:L108"/>
    <mergeCell ref="M108:N108"/>
    <mergeCell ref="O108:P108"/>
    <mergeCell ref="Q108:R108"/>
    <mergeCell ref="AK108:AL108"/>
    <mergeCell ref="AM108:AN108"/>
    <mergeCell ref="AO108:AP108"/>
    <mergeCell ref="AQ108:AR108"/>
    <mergeCell ref="AS108:AT108"/>
    <mergeCell ref="AU108:AV108"/>
    <mergeCell ref="AW108:AX108"/>
    <mergeCell ref="AK107:AL107"/>
    <mergeCell ref="AM107:AN107"/>
    <mergeCell ref="AO107:AP107"/>
    <mergeCell ref="AQ107:AR107"/>
    <mergeCell ref="AS107:AT107"/>
    <mergeCell ref="AU107:AV107"/>
    <mergeCell ref="AW107:AX107"/>
    <mergeCell ref="AG102:AH102"/>
    <mergeCell ref="AI102:AJ102"/>
    <mergeCell ref="S102:T102"/>
    <mergeCell ref="U102:V102"/>
    <mergeCell ref="W102:X102"/>
    <mergeCell ref="Y102:Z102"/>
    <mergeCell ref="AA102:AB102"/>
    <mergeCell ref="AC102:AD102"/>
    <mergeCell ref="AE102:AF102"/>
    <mergeCell ref="AG70:AH70"/>
    <mergeCell ref="AI70:AJ70"/>
    <mergeCell ref="S70:T70"/>
    <mergeCell ref="U70:V70"/>
    <mergeCell ref="W70:X70"/>
    <mergeCell ref="Y70:Z70"/>
    <mergeCell ref="AA70:AB70"/>
    <mergeCell ref="AC70:AD70"/>
    <mergeCell ref="AE70:AF70"/>
    <mergeCell ref="S100:T100"/>
    <mergeCell ref="U100:V100"/>
    <mergeCell ref="W100:X100"/>
    <mergeCell ref="Y100:Z100"/>
    <mergeCell ref="AA100:AB100"/>
    <mergeCell ref="AC100:AD100"/>
    <mergeCell ref="AE100:AF100"/>
    <mergeCell ref="AU100:AV100"/>
    <mergeCell ref="AW100:AX100"/>
    <mergeCell ref="AG100:AH100"/>
    <mergeCell ref="AI100:AJ100"/>
    <mergeCell ref="AK100:AL100"/>
    <mergeCell ref="AM100:AN100"/>
    <mergeCell ref="AO100:AP100"/>
    <mergeCell ref="AQ100:AR100"/>
    <mergeCell ref="AS100:AT100"/>
    <mergeCell ref="E102:F102"/>
    <mergeCell ref="G102:H102"/>
    <mergeCell ref="I102:J102"/>
    <mergeCell ref="K102:L102"/>
    <mergeCell ref="M102:N102"/>
    <mergeCell ref="O102:P102"/>
    <mergeCell ref="Q102:R102"/>
    <mergeCell ref="AK102:AL102"/>
    <mergeCell ref="AM102:AN102"/>
    <mergeCell ref="AO102:AP102"/>
    <mergeCell ref="AQ102:AR102"/>
    <mergeCell ref="AS102:AT102"/>
    <mergeCell ref="AU102:AV102"/>
    <mergeCell ref="AW102:AX102"/>
    <mergeCell ref="AK101:AL101"/>
    <mergeCell ref="AM101:AN101"/>
    <mergeCell ref="AO101:AP101"/>
    <mergeCell ref="AQ101:AR101"/>
    <mergeCell ref="AS101:AT101"/>
    <mergeCell ref="AU101:AV101"/>
    <mergeCell ref="AW101:AX101"/>
    <mergeCell ref="AG104:AH104"/>
    <mergeCell ref="AI104:AJ104"/>
    <mergeCell ref="S104:T104"/>
    <mergeCell ref="U104:V104"/>
    <mergeCell ref="W104:X104"/>
    <mergeCell ref="Y104:Z104"/>
    <mergeCell ref="AA104:AB104"/>
    <mergeCell ref="AC104:AD104"/>
    <mergeCell ref="AE104:AF104"/>
    <mergeCell ref="AG105:AH105"/>
    <mergeCell ref="AI105:AJ105"/>
    <mergeCell ref="S105:T105"/>
    <mergeCell ref="U105:V105"/>
    <mergeCell ref="W105:X105"/>
    <mergeCell ref="Y105:Z105"/>
    <mergeCell ref="AA105:AB105"/>
    <mergeCell ref="AC105:AD105"/>
    <mergeCell ref="AE105:AF105"/>
    <mergeCell ref="AG107:AH107"/>
    <mergeCell ref="AI107:AJ107"/>
    <mergeCell ref="S107:T107"/>
    <mergeCell ref="U107:V107"/>
    <mergeCell ref="W107:X107"/>
    <mergeCell ref="Y107:Z107"/>
    <mergeCell ref="AA107:AB107"/>
    <mergeCell ref="AC107:AD107"/>
    <mergeCell ref="AE107:AF107"/>
    <mergeCell ref="AG108:AH108"/>
    <mergeCell ref="AI108:AJ108"/>
    <mergeCell ref="S108:T108"/>
    <mergeCell ref="U108:V108"/>
    <mergeCell ref="W108:X108"/>
    <mergeCell ref="Y108:Z108"/>
    <mergeCell ref="AA108:AB108"/>
    <mergeCell ref="AC108:AD108"/>
    <mergeCell ref="AE108:AF108"/>
    <mergeCell ref="AG110:AH110"/>
    <mergeCell ref="AI110:AJ110"/>
    <mergeCell ref="S110:T110"/>
    <mergeCell ref="U110:V110"/>
    <mergeCell ref="W110:X110"/>
    <mergeCell ref="Y110:Z110"/>
    <mergeCell ref="AA110:AB110"/>
    <mergeCell ref="AC110:AD110"/>
    <mergeCell ref="AE110:AF110"/>
    <mergeCell ref="E109:F109"/>
    <mergeCell ref="G109:H109"/>
    <mergeCell ref="I109:J109"/>
    <mergeCell ref="K109:L109"/>
    <mergeCell ref="M109:N109"/>
    <mergeCell ref="O109:P109"/>
    <mergeCell ref="Q109:R109"/>
    <mergeCell ref="E110:F110"/>
    <mergeCell ref="G110:H110"/>
    <mergeCell ref="I110:J110"/>
    <mergeCell ref="K110:L110"/>
    <mergeCell ref="M110:N110"/>
    <mergeCell ref="O110:P110"/>
    <mergeCell ref="Q110:R110"/>
    <mergeCell ref="S112:T112"/>
    <mergeCell ref="U112:V112"/>
    <mergeCell ref="W112:X112"/>
    <mergeCell ref="Y112:Z112"/>
    <mergeCell ref="AA112:AB112"/>
    <mergeCell ref="AC112:AD112"/>
    <mergeCell ref="AE112:AF112"/>
    <mergeCell ref="AU112:AV112"/>
    <mergeCell ref="AW112:AX112"/>
    <mergeCell ref="AG112:AH112"/>
    <mergeCell ref="AI112:AJ112"/>
    <mergeCell ref="AK112:AL112"/>
    <mergeCell ref="AM112:AN112"/>
    <mergeCell ref="AO112:AP112"/>
    <mergeCell ref="AQ112:AR112"/>
    <mergeCell ref="AS112:AT112"/>
    <mergeCell ref="E114:F114"/>
    <mergeCell ref="G114:H114"/>
    <mergeCell ref="I114:J114"/>
    <mergeCell ref="K114:L114"/>
    <mergeCell ref="M114:N114"/>
    <mergeCell ref="O114:P114"/>
    <mergeCell ref="Q114:R114"/>
    <mergeCell ref="AK114:AL114"/>
    <mergeCell ref="AM114:AN114"/>
    <mergeCell ref="AO114:AP114"/>
    <mergeCell ref="AQ114:AR114"/>
    <mergeCell ref="AS114:AT114"/>
    <mergeCell ref="AU114:AV114"/>
    <mergeCell ref="AW114:AX114"/>
    <mergeCell ref="AK113:AL113"/>
    <mergeCell ref="AM113:AN113"/>
    <mergeCell ref="AO113:AP113"/>
    <mergeCell ref="AQ113:AR113"/>
    <mergeCell ref="AS113:AT113"/>
    <mergeCell ref="AU113:AV113"/>
    <mergeCell ref="AW113:AX113"/>
    <mergeCell ref="E112:F112"/>
    <mergeCell ref="G112:H112"/>
    <mergeCell ref="I112:J112"/>
    <mergeCell ref="K112:L112"/>
    <mergeCell ref="M112:N112"/>
    <mergeCell ref="O112:P112"/>
    <mergeCell ref="Q112:R112"/>
    <mergeCell ref="E113:F113"/>
    <mergeCell ref="G113:H113"/>
    <mergeCell ref="I113:J113"/>
    <mergeCell ref="K113:L113"/>
    <mergeCell ref="M113:N113"/>
    <mergeCell ref="O113:P113"/>
    <mergeCell ref="Q113:R113"/>
    <mergeCell ref="S115:T115"/>
    <mergeCell ref="U115:V115"/>
    <mergeCell ref="W115:X115"/>
    <mergeCell ref="Y115:Z115"/>
    <mergeCell ref="AA115:AB115"/>
    <mergeCell ref="AC115:AD115"/>
    <mergeCell ref="AE115:AF115"/>
    <mergeCell ref="AU115:AV115"/>
    <mergeCell ref="AW115:AX115"/>
    <mergeCell ref="AG115:AH115"/>
    <mergeCell ref="AI115:AJ115"/>
    <mergeCell ref="AK115:AL115"/>
    <mergeCell ref="AM115:AN115"/>
    <mergeCell ref="AO115:AP115"/>
    <mergeCell ref="AQ115:AR115"/>
    <mergeCell ref="AS115:AT115"/>
    <mergeCell ref="E117:F117"/>
    <mergeCell ref="G117:H117"/>
    <mergeCell ref="I117:J117"/>
    <mergeCell ref="K117:L117"/>
    <mergeCell ref="M117:N117"/>
    <mergeCell ref="O117:P117"/>
    <mergeCell ref="Q117:R117"/>
    <mergeCell ref="AK117:AL117"/>
    <mergeCell ref="AM117:AN117"/>
    <mergeCell ref="AO117:AP117"/>
    <mergeCell ref="AQ117:AR117"/>
    <mergeCell ref="AS117:AT117"/>
    <mergeCell ref="AU117:AV117"/>
    <mergeCell ref="AW117:AX117"/>
    <mergeCell ref="AK116:AL116"/>
    <mergeCell ref="AM116:AN116"/>
    <mergeCell ref="AO116:AP116"/>
    <mergeCell ref="AQ116:AR116"/>
    <mergeCell ref="AS116:AT116"/>
    <mergeCell ref="AU116:AV116"/>
    <mergeCell ref="AW116:AX116"/>
    <mergeCell ref="AG111:AH111"/>
    <mergeCell ref="AI111:AJ111"/>
    <mergeCell ref="S111:T111"/>
    <mergeCell ref="U111:V111"/>
    <mergeCell ref="W111:X111"/>
    <mergeCell ref="Y111:Z111"/>
    <mergeCell ref="AA111:AB111"/>
    <mergeCell ref="AC111:AD111"/>
    <mergeCell ref="AE111:AF111"/>
    <mergeCell ref="E106:F106"/>
    <mergeCell ref="G106:H106"/>
    <mergeCell ref="I106:J106"/>
    <mergeCell ref="K106:L106"/>
    <mergeCell ref="M106:N106"/>
    <mergeCell ref="O106:P106"/>
    <mergeCell ref="Q106:R106"/>
    <mergeCell ref="E107:F107"/>
    <mergeCell ref="G107:H107"/>
    <mergeCell ref="I107:J107"/>
    <mergeCell ref="K107:L107"/>
    <mergeCell ref="M107:N107"/>
    <mergeCell ref="O107:P107"/>
    <mergeCell ref="Q107:R107"/>
    <mergeCell ref="S109:T109"/>
    <mergeCell ref="U109:V109"/>
    <mergeCell ref="W109:X109"/>
    <mergeCell ref="Y109:Z109"/>
    <mergeCell ref="AA109:AB109"/>
    <mergeCell ref="AC109:AD109"/>
    <mergeCell ref="AE109:AF109"/>
    <mergeCell ref="AU109:AV109"/>
    <mergeCell ref="AW109:AX109"/>
    <mergeCell ref="AG109:AH109"/>
    <mergeCell ref="AI109:AJ109"/>
    <mergeCell ref="AK109:AL109"/>
    <mergeCell ref="AM109:AN109"/>
    <mergeCell ref="AO109:AP109"/>
    <mergeCell ref="AQ109:AR109"/>
    <mergeCell ref="AS109:AT109"/>
    <mergeCell ref="E111:F111"/>
    <mergeCell ref="G111:H111"/>
    <mergeCell ref="I111:J111"/>
    <mergeCell ref="K111:L111"/>
    <mergeCell ref="M111:N111"/>
    <mergeCell ref="O111:P111"/>
    <mergeCell ref="Q111:R111"/>
    <mergeCell ref="AK111:AL111"/>
    <mergeCell ref="AM111:AN111"/>
    <mergeCell ref="AO111:AP111"/>
    <mergeCell ref="AQ111:AR111"/>
    <mergeCell ref="AS111:AT111"/>
    <mergeCell ref="AU111:AV111"/>
    <mergeCell ref="AW111:AX111"/>
    <mergeCell ref="AK110:AL110"/>
    <mergeCell ref="AM110:AN110"/>
    <mergeCell ref="AO110:AP110"/>
    <mergeCell ref="AQ110:AR110"/>
    <mergeCell ref="AS110:AT110"/>
    <mergeCell ref="AU110:AV110"/>
    <mergeCell ref="AW110:AX110"/>
    <mergeCell ref="AG113:AH113"/>
    <mergeCell ref="AI113:AJ113"/>
    <mergeCell ref="S113:T113"/>
    <mergeCell ref="U113:V113"/>
    <mergeCell ref="W113:X113"/>
    <mergeCell ref="Y113:Z113"/>
    <mergeCell ref="AA113:AB113"/>
    <mergeCell ref="AC113:AD113"/>
    <mergeCell ref="AE113:AF113"/>
    <mergeCell ref="AG114:AH114"/>
    <mergeCell ref="AI114:AJ114"/>
    <mergeCell ref="S114:T114"/>
    <mergeCell ref="U114:V114"/>
    <mergeCell ref="W114:X114"/>
    <mergeCell ref="Y114:Z114"/>
    <mergeCell ref="AA114:AB114"/>
    <mergeCell ref="AC114:AD114"/>
    <mergeCell ref="AE114:AF114"/>
    <mergeCell ref="AG116:AH116"/>
    <mergeCell ref="AI116:AJ116"/>
    <mergeCell ref="S116:T116"/>
    <mergeCell ref="U116:V116"/>
    <mergeCell ref="W116:X116"/>
    <mergeCell ref="Y116:Z116"/>
    <mergeCell ref="AA116:AB116"/>
    <mergeCell ref="AC116:AD116"/>
    <mergeCell ref="AE116:AF116"/>
    <mergeCell ref="AG117:AH117"/>
    <mergeCell ref="AI117:AJ117"/>
    <mergeCell ref="S117:T117"/>
    <mergeCell ref="U117:V117"/>
    <mergeCell ref="W117:X117"/>
    <mergeCell ref="Y117:Z117"/>
    <mergeCell ref="AA117:AB117"/>
    <mergeCell ref="AC117:AD117"/>
    <mergeCell ref="AE117:AF117"/>
    <mergeCell ref="AG119:AH119"/>
    <mergeCell ref="AI119:AJ119"/>
    <mergeCell ref="S119:T119"/>
    <mergeCell ref="U119:V119"/>
    <mergeCell ref="W119:X119"/>
    <mergeCell ref="Y119:Z119"/>
    <mergeCell ref="AA119:AB119"/>
    <mergeCell ref="AC119:AD119"/>
    <mergeCell ref="AE119:AF119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I125:AJ125"/>
    <mergeCell ref="AE126:AF126"/>
    <mergeCell ref="AM126:AN126"/>
    <mergeCell ref="AO126:AP126"/>
    <mergeCell ref="AQ126:AR126"/>
    <mergeCell ref="AW126:AX126"/>
    <mergeCell ref="AM127:AN127"/>
    <mergeCell ref="AO127:AP127"/>
    <mergeCell ref="AQ127:AR127"/>
    <mergeCell ref="AE128:AF128"/>
    <mergeCell ref="AM128:AN128"/>
    <mergeCell ref="AO128:AP128"/>
    <mergeCell ref="AQ128:AR128"/>
    <mergeCell ref="S130:T130"/>
    <mergeCell ref="U130:V130"/>
    <mergeCell ref="W130:X130"/>
    <mergeCell ref="Y130:Z130"/>
    <mergeCell ref="AA130:AB130"/>
    <mergeCell ref="AC130:AD130"/>
    <mergeCell ref="AE130:AF130"/>
    <mergeCell ref="AU130:AV130"/>
    <mergeCell ref="AW130:AX130"/>
    <mergeCell ref="AG130:AH130"/>
    <mergeCell ref="AI130:AJ130"/>
    <mergeCell ref="AK130:AL130"/>
    <mergeCell ref="AM130:AN130"/>
    <mergeCell ref="AO130:AP130"/>
    <mergeCell ref="AQ130:AR130"/>
    <mergeCell ref="AS130:AT130"/>
    <mergeCell ref="E130:F130"/>
    <mergeCell ref="G130:H130"/>
    <mergeCell ref="I130:J130"/>
    <mergeCell ref="K130:L130"/>
    <mergeCell ref="M130:N130"/>
    <mergeCell ref="O130:P130"/>
    <mergeCell ref="Q130:R130"/>
    <mergeCell ref="AG123:AH123"/>
    <mergeCell ref="AI123:AJ123"/>
    <mergeCell ref="S123:T123"/>
    <mergeCell ref="U123:V123"/>
    <mergeCell ref="W123:X123"/>
    <mergeCell ref="Y123:Z123"/>
    <mergeCell ref="AA123:AB123"/>
    <mergeCell ref="AC123:AD123"/>
    <mergeCell ref="AE123:AF123"/>
    <mergeCell ref="S164:T164"/>
    <mergeCell ref="U164:V164"/>
    <mergeCell ref="W164:X164"/>
    <mergeCell ref="Y164:Z164"/>
    <mergeCell ref="AA164:AB164"/>
    <mergeCell ref="AC164:AD164"/>
    <mergeCell ref="AE164:AF164"/>
    <mergeCell ref="AU164:AV164"/>
    <mergeCell ref="AW164:AX164"/>
    <mergeCell ref="E164:F164"/>
    <mergeCell ref="G164:H164"/>
    <mergeCell ref="I164:J164"/>
    <mergeCell ref="K164:L164"/>
    <mergeCell ref="M164:N164"/>
    <mergeCell ref="O164:P164"/>
    <mergeCell ref="Q164:R164"/>
    <mergeCell ref="E165:F165"/>
    <mergeCell ref="G165:H165"/>
    <mergeCell ref="I165:J165"/>
    <mergeCell ref="K165:L165"/>
    <mergeCell ref="M165:N165"/>
    <mergeCell ref="O165:P165"/>
    <mergeCell ref="Q165:R165"/>
    <mergeCell ref="AK165:AL165"/>
    <mergeCell ref="AM165:AN165"/>
    <mergeCell ref="AO165:AP165"/>
    <mergeCell ref="AQ165:AR165"/>
    <mergeCell ref="AS165:AT165"/>
    <mergeCell ref="AU165:AV165"/>
    <mergeCell ref="AW165:AX165"/>
    <mergeCell ref="AG164:AH164"/>
    <mergeCell ref="AI164:AJ164"/>
    <mergeCell ref="AK164:AL164"/>
    <mergeCell ref="AM164:AN164"/>
    <mergeCell ref="AO164:AP164"/>
    <mergeCell ref="AQ164:AR164"/>
    <mergeCell ref="AS164:AT164"/>
    <mergeCell ref="AG120:AH120"/>
    <mergeCell ref="AI120:AJ120"/>
    <mergeCell ref="S120:T120"/>
    <mergeCell ref="U120:V120"/>
    <mergeCell ref="W120:X120"/>
    <mergeCell ref="Y120:Z120"/>
    <mergeCell ref="AA120:AB120"/>
    <mergeCell ref="AC120:AD120"/>
    <mergeCell ref="AE120:AF120"/>
    <mergeCell ref="E115:F115"/>
    <mergeCell ref="G115:H115"/>
    <mergeCell ref="I115:J115"/>
    <mergeCell ref="K115:L115"/>
    <mergeCell ref="M115:N115"/>
    <mergeCell ref="O115:P115"/>
    <mergeCell ref="Q115:R115"/>
    <mergeCell ref="E116:F116"/>
    <mergeCell ref="G116:H116"/>
    <mergeCell ref="I116:J116"/>
    <mergeCell ref="K116:L116"/>
    <mergeCell ref="M116:N116"/>
    <mergeCell ref="O116:P116"/>
    <mergeCell ref="Q116:R116"/>
    <mergeCell ref="S118:T118"/>
    <mergeCell ref="U118:V118"/>
    <mergeCell ref="W118:X118"/>
    <mergeCell ref="Y118:Z118"/>
    <mergeCell ref="AA118:AB118"/>
    <mergeCell ref="AC118:AD118"/>
    <mergeCell ref="AE118:AF118"/>
    <mergeCell ref="AU118:AV118"/>
    <mergeCell ref="AW118:AX118"/>
    <mergeCell ref="AG118:AH118"/>
    <mergeCell ref="AI118:AJ118"/>
    <mergeCell ref="AK118:AL118"/>
    <mergeCell ref="AM118:AN118"/>
    <mergeCell ref="AO118:AP118"/>
    <mergeCell ref="AQ118:AR118"/>
    <mergeCell ref="AS118:AT118"/>
    <mergeCell ref="E120:F120"/>
    <mergeCell ref="G120:H120"/>
    <mergeCell ref="I120:J120"/>
    <mergeCell ref="K120:L120"/>
    <mergeCell ref="M120:N120"/>
    <mergeCell ref="O120:P120"/>
    <mergeCell ref="Q120:R120"/>
    <mergeCell ref="AK120:AL120"/>
    <mergeCell ref="AM120:AN120"/>
    <mergeCell ref="AO120:AP120"/>
    <mergeCell ref="AQ120:AR120"/>
    <mergeCell ref="AS120:AT120"/>
    <mergeCell ref="AU120:AV120"/>
    <mergeCell ref="AW120:AX120"/>
    <mergeCell ref="AK119:AL119"/>
    <mergeCell ref="AM119:AN119"/>
    <mergeCell ref="AO119:AP119"/>
    <mergeCell ref="AQ119:AR119"/>
    <mergeCell ref="AS119:AT119"/>
    <mergeCell ref="AU119:AV119"/>
    <mergeCell ref="AW119:AX119"/>
    <mergeCell ref="AG122:AH122"/>
    <mergeCell ref="AI122:AJ122"/>
    <mergeCell ref="S122:T122"/>
    <mergeCell ref="U122:V122"/>
    <mergeCell ref="W122:X122"/>
    <mergeCell ref="Y122:Z122"/>
    <mergeCell ref="AA122:AB122"/>
    <mergeCell ref="AC122:AD122"/>
    <mergeCell ref="AE122:AF122"/>
    <mergeCell ref="E118:F118"/>
    <mergeCell ref="G118:H118"/>
    <mergeCell ref="I118:J118"/>
    <mergeCell ref="K118:L118"/>
    <mergeCell ref="M118:N118"/>
    <mergeCell ref="O118:P118"/>
    <mergeCell ref="Q118:R118"/>
    <mergeCell ref="E119:F119"/>
    <mergeCell ref="G119:H119"/>
    <mergeCell ref="I119:J119"/>
    <mergeCell ref="K119:L119"/>
    <mergeCell ref="M119:N119"/>
    <mergeCell ref="O119:P119"/>
    <mergeCell ref="Q119:R119"/>
    <mergeCell ref="S121:T121"/>
    <mergeCell ref="U121:V121"/>
    <mergeCell ref="W121:X121"/>
    <mergeCell ref="Y121:Z121"/>
    <mergeCell ref="AA121:AB121"/>
    <mergeCell ref="AC121:AD121"/>
    <mergeCell ref="AE121:AF121"/>
    <mergeCell ref="AU121:AV121"/>
    <mergeCell ref="AW121:AX121"/>
    <mergeCell ref="AG121:AH121"/>
    <mergeCell ref="AI121:AJ121"/>
    <mergeCell ref="AK121:AL121"/>
    <mergeCell ref="AM121:AN121"/>
    <mergeCell ref="AO121:AP121"/>
    <mergeCell ref="AQ121:AR121"/>
    <mergeCell ref="AS121:AT121"/>
    <mergeCell ref="E123:F123"/>
    <mergeCell ref="G123:H123"/>
    <mergeCell ref="I123:J123"/>
    <mergeCell ref="K123:L123"/>
    <mergeCell ref="M123:N123"/>
    <mergeCell ref="O123:P123"/>
    <mergeCell ref="Q123:R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Q122:AR122"/>
    <mergeCell ref="AS122:AT122"/>
    <mergeCell ref="AU122:AV122"/>
    <mergeCell ref="AW122:AX122"/>
    <mergeCell ref="E121:F121"/>
    <mergeCell ref="G121:H121"/>
    <mergeCell ref="I121:J121"/>
    <mergeCell ref="K121:L121"/>
    <mergeCell ref="M121:N121"/>
    <mergeCell ref="O121:P121"/>
    <mergeCell ref="Q121:R121"/>
    <mergeCell ref="E122:F122"/>
    <mergeCell ref="G122:H122"/>
    <mergeCell ref="I122:J122"/>
    <mergeCell ref="K122:L122"/>
    <mergeCell ref="M122:N122"/>
    <mergeCell ref="O122:P122"/>
    <mergeCell ref="Q122:R122"/>
    <mergeCell ref="S124:T124"/>
    <mergeCell ref="U124:V124"/>
    <mergeCell ref="W124:X124"/>
    <mergeCell ref="Y124:Z124"/>
    <mergeCell ref="AA124:AB124"/>
    <mergeCell ref="AC124:AD124"/>
    <mergeCell ref="AE124:AF124"/>
    <mergeCell ref="AU124:AV124"/>
    <mergeCell ref="AW124:AX124"/>
    <mergeCell ref="E124:F124"/>
    <mergeCell ref="G124:H124"/>
    <mergeCell ref="I124:J124"/>
    <mergeCell ref="K124:L124"/>
    <mergeCell ref="M124:N124"/>
    <mergeCell ref="O124:P124"/>
    <mergeCell ref="Q124:R124"/>
    <mergeCell ref="E125:F125"/>
    <mergeCell ref="G125:H125"/>
    <mergeCell ref="I125:J125"/>
    <mergeCell ref="K125:L125"/>
    <mergeCell ref="M125:N125"/>
    <mergeCell ref="O125:P125"/>
    <mergeCell ref="Q125:R125"/>
    <mergeCell ref="AK125:AL125"/>
    <mergeCell ref="AM125:AN125"/>
    <mergeCell ref="AO125:AP125"/>
    <mergeCell ref="AQ125:AR125"/>
    <mergeCell ref="AS125:AT125"/>
    <mergeCell ref="AU125:AV125"/>
    <mergeCell ref="AW125:AX125"/>
    <mergeCell ref="AG124:AH124"/>
    <mergeCell ref="AI124:AJ124"/>
    <mergeCell ref="AK124:AL124"/>
    <mergeCell ref="AM124:AN124"/>
    <mergeCell ref="AO124:AP124"/>
    <mergeCell ref="AQ124:AR124"/>
    <mergeCell ref="AS124:AT124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U131:AV131"/>
    <mergeCell ref="AW131:AX131"/>
    <mergeCell ref="AG131:AH131"/>
    <mergeCell ref="AI131:AJ131"/>
    <mergeCell ref="AK131:AL131"/>
    <mergeCell ref="AM131:AN131"/>
    <mergeCell ref="AO131:AP131"/>
    <mergeCell ref="AQ131:AR131"/>
    <mergeCell ref="AS131:AT131"/>
    <mergeCell ref="AG167:AH167"/>
    <mergeCell ref="AI167:AJ167"/>
    <mergeCell ref="S167:T167"/>
    <mergeCell ref="U167:V167"/>
    <mergeCell ref="W167:X167"/>
    <mergeCell ref="Y167:Z167"/>
    <mergeCell ref="AA167:AB167"/>
    <mergeCell ref="AC167:AD167"/>
    <mergeCell ref="AE167:AF167"/>
    <mergeCell ref="E226:F226"/>
    <mergeCell ref="G226:H226"/>
    <mergeCell ref="I226:J226"/>
    <mergeCell ref="K226:L226"/>
    <mergeCell ref="M226:N226"/>
    <mergeCell ref="O226:P226"/>
    <mergeCell ref="Q226:R226"/>
    <mergeCell ref="E227:F227"/>
    <mergeCell ref="G227:H227"/>
    <mergeCell ref="I227:J227"/>
    <mergeCell ref="K227:L227"/>
    <mergeCell ref="M227:N227"/>
    <mergeCell ref="O227:P227"/>
    <mergeCell ref="Q227:R227"/>
    <mergeCell ref="S229:T229"/>
    <mergeCell ref="U229:V229"/>
    <mergeCell ref="W229:X229"/>
    <mergeCell ref="Y229:Z229"/>
    <mergeCell ref="AA229:AB229"/>
    <mergeCell ref="AC229:AD229"/>
    <mergeCell ref="AE229:AF229"/>
    <mergeCell ref="AU229:AV229"/>
    <mergeCell ref="AW229:AX229"/>
    <mergeCell ref="AG229:AH229"/>
    <mergeCell ref="AI229:AJ229"/>
    <mergeCell ref="AK229:AL229"/>
    <mergeCell ref="AM229:AN229"/>
    <mergeCell ref="AO229:AP229"/>
    <mergeCell ref="AQ229:AR229"/>
    <mergeCell ref="AS229:AT229"/>
    <mergeCell ref="E231:F231"/>
    <mergeCell ref="G231:H231"/>
    <mergeCell ref="I231:J231"/>
    <mergeCell ref="K231:L231"/>
    <mergeCell ref="M231:N231"/>
    <mergeCell ref="O231:P231"/>
    <mergeCell ref="Q231:R231"/>
    <mergeCell ref="AK231:AL231"/>
    <mergeCell ref="AM231:AN231"/>
    <mergeCell ref="AO231:AP231"/>
    <mergeCell ref="AQ231:AR231"/>
    <mergeCell ref="AS231:AT231"/>
    <mergeCell ref="AU231:AV231"/>
    <mergeCell ref="AW231:AX231"/>
    <mergeCell ref="AK230:AL230"/>
    <mergeCell ref="AM230:AN230"/>
    <mergeCell ref="AO230:AP230"/>
    <mergeCell ref="AQ230:AR230"/>
    <mergeCell ref="AS230:AT230"/>
    <mergeCell ref="AU230:AV230"/>
    <mergeCell ref="AW230:AX230"/>
    <mergeCell ref="E229:F229"/>
    <mergeCell ref="G229:H229"/>
    <mergeCell ref="I229:J229"/>
    <mergeCell ref="K229:L229"/>
    <mergeCell ref="M229:N229"/>
    <mergeCell ref="O229:P229"/>
    <mergeCell ref="Q229:R229"/>
    <mergeCell ref="E230:F230"/>
    <mergeCell ref="G230:H230"/>
    <mergeCell ref="I230:J230"/>
    <mergeCell ref="K230:L230"/>
    <mergeCell ref="M230:N230"/>
    <mergeCell ref="O230:P230"/>
    <mergeCell ref="Q230:R230"/>
    <mergeCell ref="S232:T232"/>
    <mergeCell ref="U232:V232"/>
    <mergeCell ref="W232:X232"/>
    <mergeCell ref="Y232:Z232"/>
    <mergeCell ref="AA232:AB232"/>
    <mergeCell ref="AC232:AD232"/>
    <mergeCell ref="AE232:AF232"/>
    <mergeCell ref="AU232:AV232"/>
    <mergeCell ref="AW232:AX232"/>
    <mergeCell ref="AG232:AH232"/>
    <mergeCell ref="AI232:AJ232"/>
    <mergeCell ref="AK232:AL232"/>
    <mergeCell ref="AM232:AN232"/>
    <mergeCell ref="AO232:AP232"/>
    <mergeCell ref="AQ232:AR232"/>
    <mergeCell ref="AS232:AT232"/>
    <mergeCell ref="E234:F234"/>
    <mergeCell ref="G234:H234"/>
    <mergeCell ref="I234:J234"/>
    <mergeCell ref="K234:L234"/>
    <mergeCell ref="M234:N234"/>
    <mergeCell ref="O234:P234"/>
    <mergeCell ref="Q234:R234"/>
    <mergeCell ref="AK234:AL234"/>
    <mergeCell ref="AM234:AN234"/>
    <mergeCell ref="AO234:AP234"/>
    <mergeCell ref="AQ234:AR234"/>
    <mergeCell ref="AS234:AT234"/>
    <mergeCell ref="AU234:AV234"/>
    <mergeCell ref="AW234:AX234"/>
    <mergeCell ref="AK233:AL233"/>
    <mergeCell ref="AM233:AN233"/>
    <mergeCell ref="AO233:AP233"/>
    <mergeCell ref="AQ233:AR233"/>
    <mergeCell ref="AS233:AT233"/>
    <mergeCell ref="AU233:AV233"/>
    <mergeCell ref="AW233:AX233"/>
    <mergeCell ref="AG228:AH228"/>
    <mergeCell ref="AI228:AJ228"/>
    <mergeCell ref="S228:T228"/>
    <mergeCell ref="U228:V228"/>
    <mergeCell ref="W228:X228"/>
    <mergeCell ref="Y228:Z228"/>
    <mergeCell ref="AA228:AB228"/>
    <mergeCell ref="AC228:AD228"/>
    <mergeCell ref="AE228:AF228"/>
    <mergeCell ref="E223:F223"/>
    <mergeCell ref="G223:H223"/>
    <mergeCell ref="I223:J223"/>
    <mergeCell ref="K223:L223"/>
    <mergeCell ref="M223:N223"/>
    <mergeCell ref="O223:P223"/>
    <mergeCell ref="Q223:R223"/>
    <mergeCell ref="E224:F224"/>
    <mergeCell ref="G224:H224"/>
    <mergeCell ref="I224:J224"/>
    <mergeCell ref="K224:L224"/>
    <mergeCell ref="M224:N224"/>
    <mergeCell ref="O224:P224"/>
    <mergeCell ref="Q224:R224"/>
    <mergeCell ref="S226:T226"/>
    <mergeCell ref="U226:V226"/>
    <mergeCell ref="W226:X226"/>
    <mergeCell ref="Y226:Z226"/>
    <mergeCell ref="AA226:AB226"/>
    <mergeCell ref="AC226:AD226"/>
    <mergeCell ref="AE226:AF226"/>
    <mergeCell ref="AU226:AV226"/>
    <mergeCell ref="AW226:AX226"/>
    <mergeCell ref="AG226:AH226"/>
    <mergeCell ref="AI226:AJ226"/>
    <mergeCell ref="AK226:AL226"/>
    <mergeCell ref="AM226:AN226"/>
    <mergeCell ref="AO226:AP226"/>
    <mergeCell ref="AQ226:AR226"/>
    <mergeCell ref="AS226:AT226"/>
    <mergeCell ref="E228:F228"/>
    <mergeCell ref="G228:H228"/>
    <mergeCell ref="I228:J228"/>
    <mergeCell ref="K228:L228"/>
    <mergeCell ref="M228:N228"/>
    <mergeCell ref="O228:P228"/>
    <mergeCell ref="Q228:R228"/>
    <mergeCell ref="AK228:AL228"/>
    <mergeCell ref="AM228:AN228"/>
    <mergeCell ref="AO228:AP228"/>
    <mergeCell ref="AQ228:AR228"/>
    <mergeCell ref="AS228:AT228"/>
    <mergeCell ref="AU228:AV228"/>
    <mergeCell ref="AW228:AX228"/>
    <mergeCell ref="AK227:AL227"/>
    <mergeCell ref="AM227:AN227"/>
    <mergeCell ref="AO227:AP227"/>
    <mergeCell ref="AQ227:AR227"/>
    <mergeCell ref="AS227:AT227"/>
    <mergeCell ref="AU227:AV227"/>
    <mergeCell ref="AW227:AX227"/>
    <mergeCell ref="AG230:AH230"/>
    <mergeCell ref="AI230:AJ230"/>
    <mergeCell ref="S230:T230"/>
    <mergeCell ref="U230:V230"/>
    <mergeCell ref="W230:X230"/>
    <mergeCell ref="Y230:Z230"/>
    <mergeCell ref="AA230:AB230"/>
    <mergeCell ref="AC230:AD230"/>
    <mergeCell ref="AE230:AF230"/>
    <mergeCell ref="AG231:AH231"/>
    <mergeCell ref="AI231:AJ231"/>
    <mergeCell ref="S231:T231"/>
    <mergeCell ref="U231:V231"/>
    <mergeCell ref="W231:X231"/>
    <mergeCell ref="Y231:Z231"/>
    <mergeCell ref="AA231:AB231"/>
    <mergeCell ref="AC231:AD231"/>
    <mergeCell ref="AE231:AF231"/>
    <mergeCell ref="AG233:AH233"/>
    <mergeCell ref="AI233:AJ233"/>
    <mergeCell ref="S233:T233"/>
    <mergeCell ref="U233:V233"/>
    <mergeCell ref="W233:X233"/>
    <mergeCell ref="Y233:Z233"/>
    <mergeCell ref="AA233:AB233"/>
    <mergeCell ref="AC233:AD233"/>
    <mergeCell ref="AE233:AF233"/>
    <mergeCell ref="AG234:AH234"/>
    <mergeCell ref="AI234:AJ234"/>
    <mergeCell ref="S234:T234"/>
    <mergeCell ref="U234:V234"/>
    <mergeCell ref="W234:X234"/>
    <mergeCell ref="Y234:Z234"/>
    <mergeCell ref="AA234:AB234"/>
    <mergeCell ref="AC234:AD234"/>
    <mergeCell ref="AE234:AF234"/>
    <mergeCell ref="AG236:AH236"/>
    <mergeCell ref="AI236:AJ236"/>
    <mergeCell ref="S236:T236"/>
    <mergeCell ref="U236:V236"/>
    <mergeCell ref="W236:X236"/>
    <mergeCell ref="Y236:Z236"/>
    <mergeCell ref="AA236:AB236"/>
    <mergeCell ref="AC236:AD236"/>
    <mergeCell ref="AE236:AF236"/>
    <mergeCell ref="E235:F235"/>
    <mergeCell ref="G235:H235"/>
    <mergeCell ref="I235:J235"/>
    <mergeCell ref="K235:L235"/>
    <mergeCell ref="M235:N235"/>
    <mergeCell ref="O235:P235"/>
    <mergeCell ref="Q235:R235"/>
    <mergeCell ref="E236:F236"/>
    <mergeCell ref="G236:H236"/>
    <mergeCell ref="I236:J236"/>
    <mergeCell ref="K236:L236"/>
    <mergeCell ref="M236:N236"/>
    <mergeCell ref="O236:P236"/>
    <mergeCell ref="Q236:R236"/>
    <mergeCell ref="S238:T238"/>
    <mergeCell ref="U238:V238"/>
    <mergeCell ref="W238:X238"/>
    <mergeCell ref="Y238:Z238"/>
    <mergeCell ref="AA238:AB238"/>
    <mergeCell ref="AC238:AD238"/>
    <mergeCell ref="AE238:AF238"/>
    <mergeCell ref="AU238:AV238"/>
    <mergeCell ref="AW238:AX238"/>
    <mergeCell ref="AG238:AH238"/>
    <mergeCell ref="AI238:AJ238"/>
    <mergeCell ref="AK238:AL238"/>
    <mergeCell ref="AM238:AN238"/>
    <mergeCell ref="AO238:AP238"/>
    <mergeCell ref="AQ238:AR238"/>
    <mergeCell ref="AS238:AT238"/>
    <mergeCell ref="E240:F240"/>
    <mergeCell ref="G240:H240"/>
    <mergeCell ref="I240:J240"/>
    <mergeCell ref="K240:L240"/>
    <mergeCell ref="M240:N240"/>
    <mergeCell ref="O240:P240"/>
    <mergeCell ref="Q240:R240"/>
    <mergeCell ref="AK240:AL240"/>
    <mergeCell ref="AM240:AN240"/>
    <mergeCell ref="AO240:AP240"/>
    <mergeCell ref="AQ240:AR240"/>
    <mergeCell ref="AS240:AT240"/>
    <mergeCell ref="AU240:AV240"/>
    <mergeCell ref="AW240:AX240"/>
    <mergeCell ref="AK239:AL239"/>
    <mergeCell ref="AM239:AN239"/>
    <mergeCell ref="AO239:AP239"/>
    <mergeCell ref="AQ239:AR239"/>
    <mergeCell ref="AS239:AT239"/>
    <mergeCell ref="AU239:AV239"/>
    <mergeCell ref="AW239:AX239"/>
    <mergeCell ref="E238:F238"/>
    <mergeCell ref="G238:H238"/>
    <mergeCell ref="I238:J238"/>
    <mergeCell ref="K238:L238"/>
    <mergeCell ref="M238:N238"/>
    <mergeCell ref="O238:P238"/>
    <mergeCell ref="Q238:R238"/>
    <mergeCell ref="E239:F239"/>
    <mergeCell ref="G239:H239"/>
    <mergeCell ref="I239:J239"/>
    <mergeCell ref="K239:L239"/>
    <mergeCell ref="M239:N239"/>
    <mergeCell ref="O239:P239"/>
    <mergeCell ref="Q239:R239"/>
    <mergeCell ref="S241:T241"/>
    <mergeCell ref="U241:V241"/>
    <mergeCell ref="W241:X241"/>
    <mergeCell ref="Y241:Z241"/>
    <mergeCell ref="AA241:AB241"/>
    <mergeCell ref="AC241:AD241"/>
    <mergeCell ref="AE241:AF241"/>
    <mergeCell ref="AU241:AV241"/>
    <mergeCell ref="AW241:AX241"/>
    <mergeCell ref="AG241:AH241"/>
    <mergeCell ref="AI241:AJ241"/>
    <mergeCell ref="AK241:AL241"/>
    <mergeCell ref="AM241:AN241"/>
    <mergeCell ref="AO241:AP241"/>
    <mergeCell ref="AQ241:AR241"/>
    <mergeCell ref="AS241:AT241"/>
    <mergeCell ref="E243:F243"/>
    <mergeCell ref="G243:H243"/>
    <mergeCell ref="I243:J243"/>
    <mergeCell ref="K243:L243"/>
    <mergeCell ref="M243:N243"/>
    <mergeCell ref="O243:P243"/>
    <mergeCell ref="Q243:R243"/>
    <mergeCell ref="AK243:AL243"/>
    <mergeCell ref="AM243:AN243"/>
    <mergeCell ref="AO243:AP243"/>
    <mergeCell ref="AQ243:AR243"/>
    <mergeCell ref="AS243:AT243"/>
    <mergeCell ref="AU243:AV243"/>
    <mergeCell ref="AW243:AX243"/>
    <mergeCell ref="AK242:AL242"/>
    <mergeCell ref="AM242:AN242"/>
    <mergeCell ref="AO242:AP242"/>
    <mergeCell ref="AQ242:AR242"/>
    <mergeCell ref="AS242:AT242"/>
    <mergeCell ref="AU242:AV242"/>
    <mergeCell ref="AW242:AX242"/>
    <mergeCell ref="AG237:AH237"/>
    <mergeCell ref="AI237:AJ237"/>
    <mergeCell ref="S237:T237"/>
    <mergeCell ref="U237:V237"/>
    <mergeCell ref="W237:X237"/>
    <mergeCell ref="Y237:Z237"/>
    <mergeCell ref="AA237:AB237"/>
    <mergeCell ref="AC237:AD237"/>
    <mergeCell ref="AE237:AF237"/>
    <mergeCell ref="E232:F232"/>
    <mergeCell ref="G232:H232"/>
    <mergeCell ref="I232:J232"/>
    <mergeCell ref="K232:L232"/>
    <mergeCell ref="M232:N232"/>
    <mergeCell ref="O232:P232"/>
    <mergeCell ref="Q232:R232"/>
    <mergeCell ref="E233:F233"/>
    <mergeCell ref="G233:H233"/>
    <mergeCell ref="I233:J233"/>
    <mergeCell ref="K233:L233"/>
    <mergeCell ref="M233:N233"/>
    <mergeCell ref="O233:P233"/>
    <mergeCell ref="Q233:R233"/>
    <mergeCell ref="S235:T235"/>
    <mergeCell ref="U235:V235"/>
    <mergeCell ref="W235:X235"/>
    <mergeCell ref="Y235:Z235"/>
    <mergeCell ref="AA235:AB235"/>
    <mergeCell ref="AC235:AD235"/>
    <mergeCell ref="AE235:AF235"/>
    <mergeCell ref="AU235:AV235"/>
    <mergeCell ref="AW235:AX235"/>
    <mergeCell ref="AG235:AH235"/>
    <mergeCell ref="AI235:AJ235"/>
    <mergeCell ref="AK235:AL235"/>
    <mergeCell ref="AM235:AN235"/>
    <mergeCell ref="AO235:AP235"/>
    <mergeCell ref="AQ235:AR235"/>
    <mergeCell ref="AS235:AT235"/>
    <mergeCell ref="E237:F237"/>
    <mergeCell ref="G237:H237"/>
    <mergeCell ref="I237:J237"/>
    <mergeCell ref="K237:L237"/>
    <mergeCell ref="M237:N237"/>
    <mergeCell ref="O237:P237"/>
    <mergeCell ref="Q237:R237"/>
    <mergeCell ref="AK237:AL237"/>
    <mergeCell ref="AM237:AN237"/>
    <mergeCell ref="AO237:AP237"/>
    <mergeCell ref="AQ237:AR237"/>
    <mergeCell ref="AS237:AT237"/>
    <mergeCell ref="AU237:AV237"/>
    <mergeCell ref="AW237:AX237"/>
    <mergeCell ref="AK236:AL236"/>
    <mergeCell ref="AM236:AN236"/>
    <mergeCell ref="AO236:AP236"/>
    <mergeCell ref="AQ236:AR236"/>
    <mergeCell ref="AS236:AT236"/>
    <mergeCell ref="AU236:AV236"/>
    <mergeCell ref="AW236:AX236"/>
    <mergeCell ref="AG239:AH239"/>
    <mergeCell ref="AI239:AJ239"/>
    <mergeCell ref="S239:T239"/>
    <mergeCell ref="U239:V239"/>
    <mergeCell ref="W239:X239"/>
    <mergeCell ref="Y239:Z239"/>
    <mergeCell ref="AA239:AB239"/>
    <mergeCell ref="AC239:AD239"/>
    <mergeCell ref="AE239:AF239"/>
    <mergeCell ref="AG240:AH240"/>
    <mergeCell ref="AI240:AJ240"/>
    <mergeCell ref="S240:T240"/>
    <mergeCell ref="U240:V240"/>
    <mergeCell ref="W240:X240"/>
    <mergeCell ref="Y240:Z240"/>
    <mergeCell ref="AA240:AB240"/>
    <mergeCell ref="AC240:AD240"/>
    <mergeCell ref="AE240:AF240"/>
    <mergeCell ref="AG242:AH242"/>
    <mergeCell ref="AI242:AJ242"/>
    <mergeCell ref="S242:T242"/>
    <mergeCell ref="U242:V242"/>
    <mergeCell ref="W242:X242"/>
    <mergeCell ref="Y242:Z242"/>
    <mergeCell ref="AA242:AB242"/>
    <mergeCell ref="AC242:AD242"/>
    <mergeCell ref="AE242:AF242"/>
    <mergeCell ref="AG243:AH243"/>
    <mergeCell ref="AI243:AJ243"/>
    <mergeCell ref="S243:T243"/>
    <mergeCell ref="U243:V243"/>
    <mergeCell ref="W243:X243"/>
    <mergeCell ref="Y243:Z243"/>
    <mergeCell ref="AA243:AB243"/>
    <mergeCell ref="AC243:AD243"/>
    <mergeCell ref="AE243:AF243"/>
    <mergeCell ref="AG245:AH245"/>
    <mergeCell ref="AI245:AJ245"/>
    <mergeCell ref="S245:T245"/>
    <mergeCell ref="U245:V245"/>
    <mergeCell ref="W245:X245"/>
    <mergeCell ref="Y245:Z245"/>
    <mergeCell ref="AA245:AB245"/>
    <mergeCell ref="AC245:AD245"/>
    <mergeCell ref="AE245:AF245"/>
    <mergeCell ref="E244:F244"/>
    <mergeCell ref="G244:H244"/>
    <mergeCell ref="I244:J244"/>
    <mergeCell ref="K244:L244"/>
    <mergeCell ref="M244:N244"/>
    <mergeCell ref="O244:P244"/>
    <mergeCell ref="Q244:R244"/>
    <mergeCell ref="E245:F245"/>
    <mergeCell ref="G245:H245"/>
    <mergeCell ref="I245:J245"/>
    <mergeCell ref="K245:L245"/>
    <mergeCell ref="M245:N245"/>
    <mergeCell ref="O245:P245"/>
    <mergeCell ref="Q245:R245"/>
    <mergeCell ref="E247:F247"/>
    <mergeCell ref="G247:H247"/>
    <mergeCell ref="I247:J247"/>
    <mergeCell ref="K247:L247"/>
    <mergeCell ref="M247:N247"/>
    <mergeCell ref="O247:P247"/>
    <mergeCell ref="Q247:R247"/>
    <mergeCell ref="K248:L248"/>
    <mergeCell ref="S247:T247"/>
    <mergeCell ref="U247:V247"/>
    <mergeCell ref="W247:X247"/>
    <mergeCell ref="Y247:Z247"/>
    <mergeCell ref="AA247:AB247"/>
    <mergeCell ref="AC247:AD247"/>
    <mergeCell ref="AE247:AF247"/>
    <mergeCell ref="AU247:AV247"/>
    <mergeCell ref="AW247:AX247"/>
    <mergeCell ref="AW249:AX249"/>
    <mergeCell ref="AG247:AH247"/>
    <mergeCell ref="AI247:AJ247"/>
    <mergeCell ref="AK247:AL247"/>
    <mergeCell ref="AM247:AN247"/>
    <mergeCell ref="AO247:AP247"/>
    <mergeCell ref="AQ247:AR247"/>
    <mergeCell ref="AS247:AT247"/>
    <mergeCell ref="P252:AY252"/>
    <mergeCell ref="E241:F241"/>
    <mergeCell ref="G241:H241"/>
    <mergeCell ref="I241:J241"/>
    <mergeCell ref="K241:L241"/>
    <mergeCell ref="M241:N241"/>
    <mergeCell ref="O241:P241"/>
    <mergeCell ref="Q241:R241"/>
    <mergeCell ref="E242:F242"/>
    <mergeCell ref="G242:H242"/>
    <mergeCell ref="I242:J242"/>
    <mergeCell ref="K242:L242"/>
    <mergeCell ref="M242:N242"/>
    <mergeCell ref="O242:P242"/>
    <mergeCell ref="Q242:R242"/>
    <mergeCell ref="S244:T244"/>
    <mergeCell ref="U244:V244"/>
    <mergeCell ref="W244:X244"/>
    <mergeCell ref="Y244:Z244"/>
    <mergeCell ref="AA244:AB244"/>
    <mergeCell ref="AC244:AD244"/>
    <mergeCell ref="AE244:AF244"/>
    <mergeCell ref="AU244:AV244"/>
    <mergeCell ref="AW244:AX244"/>
    <mergeCell ref="AG244:AH244"/>
    <mergeCell ref="AI244:AJ244"/>
    <mergeCell ref="AK244:AL244"/>
    <mergeCell ref="AM244:AN244"/>
    <mergeCell ref="AO244:AP244"/>
    <mergeCell ref="AQ244:AR244"/>
    <mergeCell ref="AS244:AT244"/>
    <mergeCell ref="E246:F246"/>
    <mergeCell ref="G246:H246"/>
    <mergeCell ref="I246:J246"/>
    <mergeCell ref="K246:L246"/>
    <mergeCell ref="M246:N246"/>
    <mergeCell ref="O246:P246"/>
    <mergeCell ref="Q246:R246"/>
    <mergeCell ref="AK246:AL246"/>
    <mergeCell ref="AM246:AN246"/>
    <mergeCell ref="AO246:AP246"/>
    <mergeCell ref="AQ246:AR246"/>
    <mergeCell ref="AS246:AT246"/>
    <mergeCell ref="AU246:AV246"/>
    <mergeCell ref="AW246:AX246"/>
    <mergeCell ref="AK245:AL245"/>
    <mergeCell ref="AM245:AN245"/>
    <mergeCell ref="AO245:AP245"/>
    <mergeCell ref="AQ245:AR245"/>
    <mergeCell ref="AS245:AT245"/>
    <mergeCell ref="AU245:AV245"/>
    <mergeCell ref="AW245:AX245"/>
    <mergeCell ref="AG287:AH287"/>
    <mergeCell ref="AI287:AJ287"/>
    <mergeCell ref="S287:T287"/>
    <mergeCell ref="U287:V287"/>
    <mergeCell ref="W287:X287"/>
    <mergeCell ref="Y287:Z287"/>
    <mergeCell ref="AA287:AB287"/>
    <mergeCell ref="AC287:AD287"/>
    <mergeCell ref="AE287:AF287"/>
    <mergeCell ref="AG288:AH288"/>
    <mergeCell ref="AI288:AJ288"/>
    <mergeCell ref="S288:T288"/>
    <mergeCell ref="U288:V288"/>
    <mergeCell ref="W288:X288"/>
    <mergeCell ref="Y288:Z288"/>
    <mergeCell ref="AA288:AB288"/>
    <mergeCell ref="AC288:AD288"/>
    <mergeCell ref="AE288:AF288"/>
    <mergeCell ref="AG290:AH290"/>
    <mergeCell ref="AI290:AJ290"/>
    <mergeCell ref="S290:T290"/>
    <mergeCell ref="U290:V290"/>
    <mergeCell ref="W290:X290"/>
    <mergeCell ref="Y290:Z290"/>
    <mergeCell ref="AA290:AB290"/>
    <mergeCell ref="AC290:AD290"/>
    <mergeCell ref="AE290:AF290"/>
    <mergeCell ref="E289:F289"/>
    <mergeCell ref="G289:H289"/>
    <mergeCell ref="I289:J289"/>
    <mergeCell ref="K289:L289"/>
    <mergeCell ref="M289:N289"/>
    <mergeCell ref="O289:P289"/>
    <mergeCell ref="Q289:R289"/>
    <mergeCell ref="E290:F290"/>
    <mergeCell ref="G290:H290"/>
    <mergeCell ref="I290:J290"/>
    <mergeCell ref="K290:L290"/>
    <mergeCell ref="M290:N290"/>
    <mergeCell ref="O290:P290"/>
    <mergeCell ref="Q290:R290"/>
    <mergeCell ref="AG291:AH291"/>
    <mergeCell ref="AI291:AJ291"/>
    <mergeCell ref="S291:T291"/>
    <mergeCell ref="U291:V291"/>
    <mergeCell ref="W291:X291"/>
    <mergeCell ref="Y291:Z291"/>
    <mergeCell ref="AA291:AB291"/>
    <mergeCell ref="AC291:AD291"/>
    <mergeCell ref="AE291:AF291"/>
    <mergeCell ref="AG246:AH246"/>
    <mergeCell ref="AI246:AJ246"/>
    <mergeCell ref="S246:T246"/>
    <mergeCell ref="U246:V246"/>
    <mergeCell ref="W246:X246"/>
    <mergeCell ref="Y246:Z246"/>
    <mergeCell ref="AA246:AB246"/>
    <mergeCell ref="AC246:AD246"/>
    <mergeCell ref="AE246:AF246"/>
    <mergeCell ref="S286:T286"/>
    <mergeCell ref="U286:V286"/>
    <mergeCell ref="W286:X286"/>
    <mergeCell ref="Y286:Z286"/>
    <mergeCell ref="AA286:AB286"/>
    <mergeCell ref="AC286:AD286"/>
    <mergeCell ref="AE286:AF286"/>
    <mergeCell ref="AU286:AV286"/>
    <mergeCell ref="AW286:AX286"/>
    <mergeCell ref="AG286:AH286"/>
    <mergeCell ref="AI286:AJ286"/>
    <mergeCell ref="AK286:AL286"/>
    <mergeCell ref="AM286:AN286"/>
    <mergeCell ref="AO286:AP286"/>
    <mergeCell ref="AQ286:AR286"/>
    <mergeCell ref="AS286:AT286"/>
    <mergeCell ref="E288:F288"/>
    <mergeCell ref="G288:H288"/>
    <mergeCell ref="I288:J288"/>
    <mergeCell ref="K288:L288"/>
    <mergeCell ref="M288:N288"/>
    <mergeCell ref="O288:P288"/>
    <mergeCell ref="Q288:R288"/>
    <mergeCell ref="AK288:AL288"/>
    <mergeCell ref="AM288:AN288"/>
    <mergeCell ref="AO288:AP288"/>
    <mergeCell ref="AQ288:AR288"/>
    <mergeCell ref="AS288:AT288"/>
    <mergeCell ref="AU288:AV288"/>
    <mergeCell ref="AW288:AX288"/>
    <mergeCell ref="AK287:AL287"/>
    <mergeCell ref="AM287:AN287"/>
    <mergeCell ref="AO287:AP287"/>
    <mergeCell ref="AQ287:AR287"/>
    <mergeCell ref="AS287:AT287"/>
    <mergeCell ref="AU287:AV287"/>
    <mergeCell ref="AW287:AX287"/>
    <mergeCell ref="E286:F286"/>
    <mergeCell ref="G286:H286"/>
    <mergeCell ref="I286:J286"/>
    <mergeCell ref="K286:L286"/>
    <mergeCell ref="M286:N286"/>
    <mergeCell ref="O286:P286"/>
    <mergeCell ref="Q286:R286"/>
    <mergeCell ref="E287:F287"/>
    <mergeCell ref="G287:H287"/>
    <mergeCell ref="I287:J287"/>
    <mergeCell ref="K287:L287"/>
    <mergeCell ref="M287:N287"/>
    <mergeCell ref="O287:P287"/>
    <mergeCell ref="Q287:R287"/>
    <mergeCell ref="S289:T289"/>
    <mergeCell ref="U289:V289"/>
    <mergeCell ref="W289:X289"/>
    <mergeCell ref="Y289:Z289"/>
    <mergeCell ref="AA289:AB289"/>
    <mergeCell ref="AC289:AD289"/>
    <mergeCell ref="AE289:AF289"/>
    <mergeCell ref="AU289:AV289"/>
    <mergeCell ref="AW289:AX289"/>
    <mergeCell ref="AG289:AH289"/>
    <mergeCell ref="AI289:AJ289"/>
    <mergeCell ref="AK289:AL289"/>
    <mergeCell ref="AM289:AN289"/>
    <mergeCell ref="AO289:AP289"/>
    <mergeCell ref="AQ289:AR289"/>
    <mergeCell ref="AS289:AT289"/>
    <mergeCell ref="AK291:AL291"/>
    <mergeCell ref="AM291:AN291"/>
    <mergeCell ref="AO291:AP291"/>
    <mergeCell ref="AQ291:AR291"/>
    <mergeCell ref="AS291:AT291"/>
    <mergeCell ref="AU291:AV291"/>
    <mergeCell ref="AW291:AX291"/>
    <mergeCell ref="AK290:AL290"/>
    <mergeCell ref="AM290:AN290"/>
    <mergeCell ref="AO290:AP290"/>
    <mergeCell ref="AQ290:AR290"/>
    <mergeCell ref="AS290:AT290"/>
    <mergeCell ref="AU290:AV290"/>
    <mergeCell ref="AW290:AX290"/>
    <mergeCell ref="AU293:AV293"/>
    <mergeCell ref="AW293:AX293"/>
    <mergeCell ref="AG293:AH293"/>
    <mergeCell ref="AI293:AJ293"/>
    <mergeCell ref="AK293:AL293"/>
    <mergeCell ref="AM293:AN293"/>
    <mergeCell ref="AO293:AP293"/>
    <mergeCell ref="AQ293:AR293"/>
    <mergeCell ref="AS293:AT293"/>
    <mergeCell ref="E291:F291"/>
    <mergeCell ref="G291:H291"/>
    <mergeCell ref="I291:J291"/>
    <mergeCell ref="K291:L291"/>
    <mergeCell ref="M291:N291"/>
    <mergeCell ref="O291:P291"/>
    <mergeCell ref="Q291:R291"/>
    <mergeCell ref="S292:T292"/>
    <mergeCell ref="U292:V292"/>
    <mergeCell ref="W292:X292"/>
    <mergeCell ref="Y292:Z292"/>
    <mergeCell ref="AA292:AB292"/>
    <mergeCell ref="AC292:AD292"/>
    <mergeCell ref="AE292:AF292"/>
    <mergeCell ref="AU292:AV292"/>
    <mergeCell ref="AW292:AX292"/>
    <mergeCell ref="AG292:AH292"/>
    <mergeCell ref="AI292:AJ292"/>
    <mergeCell ref="AK292:AL292"/>
    <mergeCell ref="AM292:AN292"/>
    <mergeCell ref="AO292:AP292"/>
    <mergeCell ref="AQ292:AR292"/>
    <mergeCell ref="AS292:AT292"/>
    <mergeCell ref="E292:F292"/>
    <mergeCell ref="G292:H292"/>
    <mergeCell ref="I292:J292"/>
    <mergeCell ref="K292:L292"/>
    <mergeCell ref="M292:N292"/>
    <mergeCell ref="O292:P292"/>
    <mergeCell ref="Q292:R292"/>
    <mergeCell ref="S293:T293"/>
    <mergeCell ref="U293:V293"/>
    <mergeCell ref="W293:X293"/>
    <mergeCell ref="Y293:Z293"/>
    <mergeCell ref="AA293:AB293"/>
    <mergeCell ref="AC293:AD293"/>
    <mergeCell ref="AE293:AF293"/>
    <mergeCell ref="E293:F293"/>
    <mergeCell ref="G293:H293"/>
    <mergeCell ref="I293:J293"/>
    <mergeCell ref="K293:L293"/>
    <mergeCell ref="M293:N293"/>
    <mergeCell ref="O293:P293"/>
    <mergeCell ref="Q293:R293"/>
    <mergeCell ref="S295:T295"/>
    <mergeCell ref="U295:V295"/>
    <mergeCell ref="W295:X295"/>
    <mergeCell ref="Y295:Z295"/>
    <mergeCell ref="AA295:AB295"/>
    <mergeCell ref="AC295:AD295"/>
    <mergeCell ref="AE295:AF295"/>
    <mergeCell ref="E295:F295"/>
    <mergeCell ref="G295:H295"/>
    <mergeCell ref="I295:J295"/>
    <mergeCell ref="K295:L295"/>
    <mergeCell ref="M295:N295"/>
    <mergeCell ref="O295:P295"/>
    <mergeCell ref="Q295:R295"/>
    <mergeCell ref="AG296:AH296"/>
    <mergeCell ref="AI296:AJ296"/>
    <mergeCell ref="S296:T296"/>
    <mergeCell ref="U296:V296"/>
    <mergeCell ref="W296:X296"/>
    <mergeCell ref="Y296:Z296"/>
    <mergeCell ref="AA296:AB296"/>
    <mergeCell ref="AC296:AD296"/>
    <mergeCell ref="AE296:AF296"/>
    <mergeCell ref="AU298:AV298"/>
    <mergeCell ref="AW298:AX298"/>
    <mergeCell ref="AG298:AH298"/>
    <mergeCell ref="AI298:AJ298"/>
    <mergeCell ref="AK298:AL298"/>
    <mergeCell ref="AM298:AN298"/>
    <mergeCell ref="AO298:AP298"/>
    <mergeCell ref="AQ298:AR298"/>
    <mergeCell ref="AS298:AT298"/>
    <mergeCell ref="S310:T310"/>
    <mergeCell ref="U310:V310"/>
    <mergeCell ref="W310:X310"/>
    <mergeCell ref="Y310:Z310"/>
    <mergeCell ref="AA310:AB310"/>
    <mergeCell ref="AC310:AD310"/>
    <mergeCell ref="AE310:AF310"/>
    <mergeCell ref="E310:F310"/>
    <mergeCell ref="G310:H310"/>
    <mergeCell ref="I310:J310"/>
    <mergeCell ref="K310:L310"/>
    <mergeCell ref="M310:N310"/>
    <mergeCell ref="O310:P310"/>
    <mergeCell ref="Q310:R310"/>
    <mergeCell ref="S309:T309"/>
    <mergeCell ref="U309:V309"/>
    <mergeCell ref="W309:X309"/>
    <mergeCell ref="Y309:Z309"/>
    <mergeCell ref="AA309:AB309"/>
    <mergeCell ref="AC309:AD309"/>
    <mergeCell ref="AE309:AF309"/>
    <mergeCell ref="AU309:AV309"/>
    <mergeCell ref="AW309:AX309"/>
    <mergeCell ref="AG309:AH309"/>
    <mergeCell ref="AI309:AJ309"/>
    <mergeCell ref="AK309:AL309"/>
    <mergeCell ref="AM309:AN309"/>
    <mergeCell ref="AO309:AP309"/>
    <mergeCell ref="AQ309:AR309"/>
    <mergeCell ref="AS309:AT309"/>
    <mergeCell ref="E309:F309"/>
    <mergeCell ref="G309:H309"/>
    <mergeCell ref="I309:J309"/>
    <mergeCell ref="K309:L309"/>
    <mergeCell ref="M309:N309"/>
    <mergeCell ref="O309:P309"/>
    <mergeCell ref="Q309:R309"/>
    <mergeCell ref="AU310:AV310"/>
    <mergeCell ref="AW310:AX310"/>
    <mergeCell ref="AK311:AL311"/>
    <mergeCell ref="AM311:AN311"/>
    <mergeCell ref="AO311:AP311"/>
    <mergeCell ref="AQ311:AR311"/>
    <mergeCell ref="AS311:AT311"/>
    <mergeCell ref="AU311:AV311"/>
    <mergeCell ref="AW311:AX311"/>
    <mergeCell ref="AG310:AH310"/>
    <mergeCell ref="AI310:AJ310"/>
    <mergeCell ref="AK310:AL310"/>
    <mergeCell ref="AM310:AN310"/>
    <mergeCell ref="AO310:AP310"/>
    <mergeCell ref="AQ310:AR310"/>
    <mergeCell ref="AS310:AT310"/>
    <mergeCell ref="AU313:AV313"/>
    <mergeCell ref="AW313:AX313"/>
    <mergeCell ref="AG313:AH313"/>
    <mergeCell ref="AI313:AJ313"/>
    <mergeCell ref="AK313:AL313"/>
    <mergeCell ref="AM313:AN313"/>
    <mergeCell ref="AO313:AP313"/>
    <mergeCell ref="AQ313:AR313"/>
    <mergeCell ref="AS313:AT313"/>
    <mergeCell ref="E311:F311"/>
    <mergeCell ref="G311:H311"/>
    <mergeCell ref="I311:J311"/>
    <mergeCell ref="K311:L311"/>
    <mergeCell ref="M311:N311"/>
    <mergeCell ref="O311:P311"/>
    <mergeCell ref="Q311:R311"/>
    <mergeCell ref="S312:T312"/>
    <mergeCell ref="U312:V312"/>
    <mergeCell ref="W312:X312"/>
    <mergeCell ref="Y312:Z312"/>
    <mergeCell ref="AA312:AB312"/>
    <mergeCell ref="AC312:AD312"/>
    <mergeCell ref="AE312:AF312"/>
    <mergeCell ref="AU312:AV312"/>
    <mergeCell ref="AW312:AX312"/>
    <mergeCell ref="AG312:AH312"/>
    <mergeCell ref="AI312:AJ312"/>
    <mergeCell ref="AK312:AL312"/>
    <mergeCell ref="AM312:AN312"/>
    <mergeCell ref="AO312:AP312"/>
    <mergeCell ref="AQ312:AR312"/>
    <mergeCell ref="AS312:AT312"/>
    <mergeCell ref="E312:F312"/>
    <mergeCell ref="G312:H312"/>
    <mergeCell ref="I312:J312"/>
    <mergeCell ref="K312:L312"/>
    <mergeCell ref="M312:N312"/>
    <mergeCell ref="O312:P312"/>
    <mergeCell ref="Q312:R312"/>
    <mergeCell ref="S313:T313"/>
    <mergeCell ref="U313:V313"/>
    <mergeCell ref="W313:X313"/>
    <mergeCell ref="Y313:Z313"/>
    <mergeCell ref="AA313:AB313"/>
    <mergeCell ref="AC313:AD313"/>
    <mergeCell ref="AE313:AF313"/>
    <mergeCell ref="E313:F313"/>
    <mergeCell ref="G313:H313"/>
    <mergeCell ref="I313:J313"/>
    <mergeCell ref="K313:L313"/>
    <mergeCell ref="M313:N313"/>
    <mergeCell ref="O313:P313"/>
    <mergeCell ref="Q313:R313"/>
    <mergeCell ref="AW320:AX320"/>
    <mergeCell ref="AW321:AX321"/>
    <mergeCell ref="AW322:AX322"/>
    <mergeCell ref="AW323:AX323"/>
    <mergeCell ref="AW324:AX324"/>
    <mergeCell ref="AU314:AV314"/>
    <mergeCell ref="AW314:AX314"/>
    <mergeCell ref="AW315:AX315"/>
    <mergeCell ref="AW316:AX316"/>
    <mergeCell ref="AW317:AX317"/>
    <mergeCell ref="AW318:AX318"/>
    <mergeCell ref="AW319:AX319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I314:AJ314"/>
    <mergeCell ref="AK314:AL314"/>
    <mergeCell ref="AM314:AN314"/>
    <mergeCell ref="AO314:AP314"/>
    <mergeCell ref="AQ314:AR314"/>
    <mergeCell ref="AS314:AT314"/>
    <mergeCell ref="AC315:AD315"/>
    <mergeCell ref="AE315:AF315"/>
    <mergeCell ref="AG315:AH315"/>
    <mergeCell ref="AI315:AJ315"/>
    <mergeCell ref="AK315:AL315"/>
    <mergeCell ref="AM315:AN315"/>
    <mergeCell ref="AO315:AP315"/>
    <mergeCell ref="AQ315:AR315"/>
    <mergeCell ref="Q314:R314"/>
    <mergeCell ref="Q315:R315"/>
    <mergeCell ref="S315:T315"/>
    <mergeCell ref="U315:V315"/>
    <mergeCell ref="W315:X315"/>
    <mergeCell ref="Y315:Z315"/>
    <mergeCell ref="AA315:AB315"/>
    <mergeCell ref="E314:F314"/>
    <mergeCell ref="G314:H314"/>
    <mergeCell ref="I314:J314"/>
    <mergeCell ref="K314:L314"/>
    <mergeCell ref="M314:N314"/>
    <mergeCell ref="E315:F315"/>
    <mergeCell ref="E316:F316"/>
    <mergeCell ref="Q322:R322"/>
    <mergeCell ref="Q323:R323"/>
    <mergeCell ref="Q324:R324"/>
    <mergeCell ref="O314:P314"/>
    <mergeCell ref="Q316:R316"/>
    <mergeCell ref="Q317:R317"/>
    <mergeCell ref="Q318:R318"/>
    <mergeCell ref="Q319:R319"/>
    <mergeCell ref="Q320:R320"/>
    <mergeCell ref="Q321:R321"/>
    <mergeCell ref="S305:T305"/>
    <mergeCell ref="U305:V305"/>
    <mergeCell ref="W305:X305"/>
    <mergeCell ref="Y305:Z305"/>
    <mergeCell ref="AA305:AB305"/>
    <mergeCell ref="AC305:AD305"/>
    <mergeCell ref="AE305:AF305"/>
    <mergeCell ref="E305:F305"/>
    <mergeCell ref="G305:H305"/>
    <mergeCell ref="I305:J305"/>
    <mergeCell ref="K305:L305"/>
    <mergeCell ref="M305:N305"/>
    <mergeCell ref="O305:P305"/>
    <mergeCell ref="Q305:R305"/>
    <mergeCell ref="AG306:AH306"/>
    <mergeCell ref="AI306:AJ306"/>
    <mergeCell ref="S306:T306"/>
    <mergeCell ref="U306:V306"/>
    <mergeCell ref="W306:X306"/>
    <mergeCell ref="Y306:Z306"/>
    <mergeCell ref="AA306:AB306"/>
    <mergeCell ref="AC306:AD306"/>
    <mergeCell ref="AE306:AF306"/>
    <mergeCell ref="S304:T304"/>
    <mergeCell ref="U304:V304"/>
    <mergeCell ref="W304:X304"/>
    <mergeCell ref="Y304:Z304"/>
    <mergeCell ref="AA304:AB304"/>
    <mergeCell ref="AC304:AD304"/>
    <mergeCell ref="AE304:AF304"/>
    <mergeCell ref="AU304:AV304"/>
    <mergeCell ref="AW304:AX304"/>
    <mergeCell ref="AG304:AH304"/>
    <mergeCell ref="AI304:AJ304"/>
    <mergeCell ref="AK304:AL304"/>
    <mergeCell ref="AM304:AN304"/>
    <mergeCell ref="AO304:AP304"/>
    <mergeCell ref="AQ304:AR304"/>
    <mergeCell ref="AS304:AT304"/>
    <mergeCell ref="E304:F304"/>
    <mergeCell ref="G304:H304"/>
    <mergeCell ref="I304:J304"/>
    <mergeCell ref="K304:L304"/>
    <mergeCell ref="M304:N304"/>
    <mergeCell ref="O304:P304"/>
    <mergeCell ref="Q304:R304"/>
    <mergeCell ref="AU305:AV305"/>
    <mergeCell ref="AW305:AX305"/>
    <mergeCell ref="AK306:AL306"/>
    <mergeCell ref="AM306:AN306"/>
    <mergeCell ref="AO306:AP306"/>
    <mergeCell ref="AQ306:AR306"/>
    <mergeCell ref="AS306:AT306"/>
    <mergeCell ref="AU306:AV306"/>
    <mergeCell ref="AW306:AX306"/>
    <mergeCell ref="AG305:AH305"/>
    <mergeCell ref="AI305:AJ305"/>
    <mergeCell ref="AK305:AL305"/>
    <mergeCell ref="AM305:AN305"/>
    <mergeCell ref="AO305:AP305"/>
    <mergeCell ref="AQ305:AR305"/>
    <mergeCell ref="AS305:AT305"/>
    <mergeCell ref="AU308:AV308"/>
    <mergeCell ref="AW308:AX308"/>
    <mergeCell ref="AG308:AH308"/>
    <mergeCell ref="AI308:AJ308"/>
    <mergeCell ref="AK308:AL308"/>
    <mergeCell ref="AM308:AN308"/>
    <mergeCell ref="AO308:AP308"/>
    <mergeCell ref="AQ308:AR308"/>
    <mergeCell ref="AS308:AT308"/>
    <mergeCell ref="E306:F306"/>
    <mergeCell ref="G306:H306"/>
    <mergeCell ref="I306:J306"/>
    <mergeCell ref="K306:L306"/>
    <mergeCell ref="M306:N306"/>
    <mergeCell ref="O306:P306"/>
    <mergeCell ref="Q306:R306"/>
    <mergeCell ref="S307:T307"/>
    <mergeCell ref="U307:V307"/>
    <mergeCell ref="W307:X307"/>
    <mergeCell ref="Y307:Z307"/>
    <mergeCell ref="AA307:AB307"/>
    <mergeCell ref="AC307:AD307"/>
    <mergeCell ref="AE307:AF307"/>
    <mergeCell ref="AU307:AV307"/>
    <mergeCell ref="AW307:AX307"/>
    <mergeCell ref="AG307:AH307"/>
    <mergeCell ref="AI307:AJ307"/>
    <mergeCell ref="AK307:AL307"/>
    <mergeCell ref="AM307:AN307"/>
    <mergeCell ref="AO307:AP307"/>
    <mergeCell ref="AQ307:AR307"/>
    <mergeCell ref="AS307:AT307"/>
    <mergeCell ref="E307:F307"/>
    <mergeCell ref="G307:H307"/>
    <mergeCell ref="I307:J307"/>
    <mergeCell ref="K307:L307"/>
    <mergeCell ref="M307:N307"/>
    <mergeCell ref="O307:P307"/>
    <mergeCell ref="Q307:R307"/>
    <mergeCell ref="S308:T308"/>
    <mergeCell ref="U308:V308"/>
    <mergeCell ref="W308:X308"/>
    <mergeCell ref="Y308:Z308"/>
    <mergeCell ref="AA308:AB308"/>
    <mergeCell ref="AC308:AD308"/>
    <mergeCell ref="AE308:AF308"/>
    <mergeCell ref="E308:F308"/>
    <mergeCell ref="G308:H308"/>
    <mergeCell ref="I308:J308"/>
    <mergeCell ref="K308:L308"/>
    <mergeCell ref="M308:N308"/>
    <mergeCell ref="O308:P308"/>
    <mergeCell ref="Q308:R308"/>
    <mergeCell ref="AG311:AH311"/>
    <mergeCell ref="AI311:AJ311"/>
    <mergeCell ref="S311:T311"/>
    <mergeCell ref="U311:V311"/>
    <mergeCell ref="W311:X311"/>
    <mergeCell ref="Y311:Z311"/>
    <mergeCell ref="AA311:AB311"/>
    <mergeCell ref="AC311:AD311"/>
    <mergeCell ref="AE311:AF311"/>
    <mergeCell ref="E328:F328"/>
    <mergeCell ref="E329:F329"/>
    <mergeCell ref="E330:F330"/>
    <mergeCell ref="E331:F331"/>
    <mergeCell ref="E332:F332"/>
    <mergeCell ref="E317:F317"/>
    <mergeCell ref="E318:F318"/>
    <mergeCell ref="E319:F319"/>
    <mergeCell ref="E320:F320"/>
    <mergeCell ref="E321:F321"/>
    <mergeCell ref="E322:F322"/>
    <mergeCell ref="E323:F323"/>
    <mergeCell ref="AW328:AX328"/>
    <mergeCell ref="AW329:AX329"/>
    <mergeCell ref="AW330:AX330"/>
    <mergeCell ref="AW331:AX331"/>
    <mergeCell ref="AW332:AX332"/>
    <mergeCell ref="AW333:AX333"/>
    <mergeCell ref="E324:F324"/>
    <mergeCell ref="E325:F325"/>
    <mergeCell ref="Q325:R325"/>
    <mergeCell ref="AW325:AX325"/>
    <mergeCell ref="Q326:R326"/>
    <mergeCell ref="AW326:AX326"/>
    <mergeCell ref="AW327:AX327"/>
    <mergeCell ref="Q332:R332"/>
    <mergeCell ref="Q333:R333"/>
    <mergeCell ref="Q334:R334"/>
    <mergeCell ref="E326:F326"/>
    <mergeCell ref="E327:F327"/>
    <mergeCell ref="Q327:R327"/>
    <mergeCell ref="Q328:R328"/>
    <mergeCell ref="Q329:R329"/>
    <mergeCell ref="Q330:R330"/>
    <mergeCell ref="Q331:R331"/>
    <mergeCell ref="E166:F166"/>
    <mergeCell ref="G166:H166"/>
    <mergeCell ref="I166:J166"/>
    <mergeCell ref="K166:L166"/>
    <mergeCell ref="M166:N166"/>
    <mergeCell ref="O166:P166"/>
    <mergeCell ref="Q166:R166"/>
    <mergeCell ref="E167:F167"/>
    <mergeCell ref="G167:H167"/>
    <mergeCell ref="I167:J167"/>
    <mergeCell ref="K167:L167"/>
    <mergeCell ref="M167:N167"/>
    <mergeCell ref="O167:P167"/>
    <mergeCell ref="Q167:R167"/>
    <mergeCell ref="S169:T169"/>
    <mergeCell ref="U169:V169"/>
    <mergeCell ref="W169:X169"/>
    <mergeCell ref="Y169:Z169"/>
    <mergeCell ref="AA169:AB169"/>
    <mergeCell ref="AC169:AD169"/>
    <mergeCell ref="AE169:AF169"/>
    <mergeCell ref="AU169:AV169"/>
    <mergeCell ref="AW169:AX169"/>
    <mergeCell ref="AG169:AH169"/>
    <mergeCell ref="AI169:AJ169"/>
    <mergeCell ref="AK169:AL169"/>
    <mergeCell ref="AM169:AN169"/>
    <mergeCell ref="AO169:AP169"/>
    <mergeCell ref="AQ169:AR169"/>
    <mergeCell ref="AS169:AT169"/>
    <mergeCell ref="E171:F171"/>
    <mergeCell ref="G171:H171"/>
    <mergeCell ref="I171:J171"/>
    <mergeCell ref="K171:L171"/>
    <mergeCell ref="M171:N171"/>
    <mergeCell ref="O171:P171"/>
    <mergeCell ref="Q171:R171"/>
    <mergeCell ref="AK171:AL171"/>
    <mergeCell ref="AM171:AN171"/>
    <mergeCell ref="AO171:AP171"/>
    <mergeCell ref="AQ171:AR171"/>
    <mergeCell ref="AS171:AT171"/>
    <mergeCell ref="AU171:AV171"/>
    <mergeCell ref="AW171:AX171"/>
    <mergeCell ref="AK170:AL170"/>
    <mergeCell ref="AM170:AN170"/>
    <mergeCell ref="AO170:AP170"/>
    <mergeCell ref="AQ170:AR170"/>
    <mergeCell ref="AS170:AT170"/>
    <mergeCell ref="AU170:AV170"/>
    <mergeCell ref="AW170:AX170"/>
    <mergeCell ref="E169:F169"/>
    <mergeCell ref="G169:H169"/>
    <mergeCell ref="I169:J169"/>
    <mergeCell ref="K169:L169"/>
    <mergeCell ref="M169:N169"/>
    <mergeCell ref="O169:P169"/>
    <mergeCell ref="Q169:R169"/>
    <mergeCell ref="E170:F170"/>
    <mergeCell ref="G170:H170"/>
    <mergeCell ref="I170:J170"/>
    <mergeCell ref="K170:L170"/>
    <mergeCell ref="M170:N170"/>
    <mergeCell ref="O170:P170"/>
    <mergeCell ref="Q170:R170"/>
    <mergeCell ref="S172:T172"/>
    <mergeCell ref="U172:V172"/>
    <mergeCell ref="W172:X172"/>
    <mergeCell ref="Y172:Z172"/>
    <mergeCell ref="AA172:AB172"/>
    <mergeCell ref="AC172:AD172"/>
    <mergeCell ref="AE172:AF172"/>
    <mergeCell ref="AU172:AV172"/>
    <mergeCell ref="AW172:AX172"/>
    <mergeCell ref="AG172:AH172"/>
    <mergeCell ref="AI172:AJ172"/>
    <mergeCell ref="AK172:AL172"/>
    <mergeCell ref="AM172:AN172"/>
    <mergeCell ref="AO172:AP172"/>
    <mergeCell ref="AQ172:AR172"/>
    <mergeCell ref="AS172:AT172"/>
    <mergeCell ref="E174:F174"/>
    <mergeCell ref="G174:H174"/>
    <mergeCell ref="I174:J174"/>
    <mergeCell ref="K174:L174"/>
    <mergeCell ref="M174:N174"/>
    <mergeCell ref="O174:P174"/>
    <mergeCell ref="Q174:R174"/>
    <mergeCell ref="AK174:AL174"/>
    <mergeCell ref="AM174:AN174"/>
    <mergeCell ref="AO174:AP174"/>
    <mergeCell ref="AQ174:AR174"/>
    <mergeCell ref="AS174:AT174"/>
    <mergeCell ref="AU174:AV174"/>
    <mergeCell ref="AW174:AX174"/>
    <mergeCell ref="AK173:AL173"/>
    <mergeCell ref="AM173:AN173"/>
    <mergeCell ref="AO173:AP173"/>
    <mergeCell ref="AQ173:AR173"/>
    <mergeCell ref="AS173:AT173"/>
    <mergeCell ref="AU173:AV173"/>
    <mergeCell ref="AW173:AX173"/>
    <mergeCell ref="AG168:AH168"/>
    <mergeCell ref="AI168:AJ168"/>
    <mergeCell ref="S168:T168"/>
    <mergeCell ref="U168:V168"/>
    <mergeCell ref="W168:X168"/>
    <mergeCell ref="Y168:Z168"/>
    <mergeCell ref="AA168:AB168"/>
    <mergeCell ref="AC168:AD168"/>
    <mergeCell ref="AE168:AF168"/>
    <mergeCell ref="AG165:AH165"/>
    <mergeCell ref="AI165:AJ165"/>
    <mergeCell ref="S165:T165"/>
    <mergeCell ref="U165:V165"/>
    <mergeCell ref="W165:X165"/>
    <mergeCell ref="Y165:Z165"/>
    <mergeCell ref="AA165:AB165"/>
    <mergeCell ref="AC165:AD165"/>
    <mergeCell ref="AE165:AF165"/>
    <mergeCell ref="S166:T166"/>
    <mergeCell ref="U166:V166"/>
    <mergeCell ref="W166:X166"/>
    <mergeCell ref="Y166:Z166"/>
    <mergeCell ref="AA166:AB166"/>
    <mergeCell ref="AC166:AD166"/>
    <mergeCell ref="AE166:AF166"/>
    <mergeCell ref="AU166:AV166"/>
    <mergeCell ref="AW166:AX166"/>
    <mergeCell ref="AG166:AH166"/>
    <mergeCell ref="AI166:AJ166"/>
    <mergeCell ref="AK166:AL166"/>
    <mergeCell ref="AM166:AN166"/>
    <mergeCell ref="AO166:AP166"/>
    <mergeCell ref="AQ166:AR166"/>
    <mergeCell ref="AS166:AT166"/>
    <mergeCell ref="E168:F168"/>
    <mergeCell ref="G168:H168"/>
    <mergeCell ref="I168:J168"/>
    <mergeCell ref="K168:L168"/>
    <mergeCell ref="M168:N168"/>
    <mergeCell ref="O168:P168"/>
    <mergeCell ref="Q168:R168"/>
    <mergeCell ref="AK168:AL168"/>
    <mergeCell ref="AM168:AN168"/>
    <mergeCell ref="AO168:AP168"/>
    <mergeCell ref="AQ168:AR168"/>
    <mergeCell ref="AS168:AT168"/>
    <mergeCell ref="AU168:AV168"/>
    <mergeCell ref="AW168:AX168"/>
    <mergeCell ref="AK167:AL167"/>
    <mergeCell ref="AM167:AN167"/>
    <mergeCell ref="AO167:AP167"/>
    <mergeCell ref="AQ167:AR167"/>
    <mergeCell ref="AS167:AT167"/>
    <mergeCell ref="AU167:AV167"/>
    <mergeCell ref="AW167:AX167"/>
    <mergeCell ref="AG170:AH170"/>
    <mergeCell ref="AI170:AJ170"/>
    <mergeCell ref="S170:T170"/>
    <mergeCell ref="U170:V170"/>
    <mergeCell ref="W170:X170"/>
    <mergeCell ref="Y170:Z170"/>
    <mergeCell ref="AA170:AB170"/>
    <mergeCell ref="AC170:AD170"/>
    <mergeCell ref="AE170:AF170"/>
    <mergeCell ref="AG171:AH171"/>
    <mergeCell ref="AI171:AJ171"/>
    <mergeCell ref="S171:T171"/>
    <mergeCell ref="U171:V171"/>
    <mergeCell ref="W171:X171"/>
    <mergeCell ref="Y171:Z171"/>
    <mergeCell ref="AA171:AB171"/>
    <mergeCell ref="AC171:AD171"/>
    <mergeCell ref="AE171:AF171"/>
    <mergeCell ref="AG173:AH173"/>
    <mergeCell ref="AI173:AJ173"/>
    <mergeCell ref="S173:T173"/>
    <mergeCell ref="U173:V173"/>
    <mergeCell ref="W173:X173"/>
    <mergeCell ref="Y173:Z173"/>
    <mergeCell ref="AA173:AB173"/>
    <mergeCell ref="AC173:AD173"/>
    <mergeCell ref="AE173:AF173"/>
    <mergeCell ref="AG174:AH174"/>
    <mergeCell ref="AI174:AJ174"/>
    <mergeCell ref="S174:T174"/>
    <mergeCell ref="U174:V174"/>
    <mergeCell ref="W174:X174"/>
    <mergeCell ref="Y174:Z174"/>
    <mergeCell ref="AA174:AB174"/>
    <mergeCell ref="AC174:AD174"/>
    <mergeCell ref="AE174:AF174"/>
    <mergeCell ref="AG176:AH176"/>
    <mergeCell ref="AI176:AJ176"/>
    <mergeCell ref="S176:T176"/>
    <mergeCell ref="U176:V176"/>
    <mergeCell ref="W176:X176"/>
    <mergeCell ref="Y176:Z176"/>
    <mergeCell ref="AA176:AB176"/>
    <mergeCell ref="AC176:AD176"/>
    <mergeCell ref="AE176:AF176"/>
    <mergeCell ref="E175:F175"/>
    <mergeCell ref="G175:H175"/>
    <mergeCell ref="I175:J175"/>
    <mergeCell ref="K175:L175"/>
    <mergeCell ref="M175:N175"/>
    <mergeCell ref="O175:P175"/>
    <mergeCell ref="Q175:R175"/>
    <mergeCell ref="E176:F176"/>
    <mergeCell ref="G176:H176"/>
    <mergeCell ref="I176:J176"/>
    <mergeCell ref="K176:L176"/>
    <mergeCell ref="M176:N176"/>
    <mergeCell ref="O176:P176"/>
    <mergeCell ref="Q176:R176"/>
    <mergeCell ref="S178:T178"/>
    <mergeCell ref="U178:V178"/>
    <mergeCell ref="W178:X178"/>
    <mergeCell ref="Y178:Z178"/>
    <mergeCell ref="AA178:AB178"/>
    <mergeCell ref="AC178:AD178"/>
    <mergeCell ref="AE178:AF178"/>
    <mergeCell ref="AU178:AV178"/>
    <mergeCell ref="AW178:AX178"/>
    <mergeCell ref="AG178:AH178"/>
    <mergeCell ref="AI178:AJ178"/>
    <mergeCell ref="AK178:AL178"/>
    <mergeCell ref="AM178:AN178"/>
    <mergeCell ref="AO178:AP178"/>
    <mergeCell ref="AQ178:AR178"/>
    <mergeCell ref="AS178:AT178"/>
    <mergeCell ref="E180:F180"/>
    <mergeCell ref="G180:H180"/>
    <mergeCell ref="I180:J180"/>
    <mergeCell ref="K180:L180"/>
    <mergeCell ref="M180:N180"/>
    <mergeCell ref="O180:P180"/>
    <mergeCell ref="Q180:R180"/>
    <mergeCell ref="AK180:AL180"/>
    <mergeCell ref="AM180:AN180"/>
    <mergeCell ref="AO180:AP180"/>
    <mergeCell ref="AQ180:AR180"/>
    <mergeCell ref="AS180:AT180"/>
    <mergeCell ref="AU180:AV180"/>
    <mergeCell ref="AW180:AX180"/>
    <mergeCell ref="AK179:AL179"/>
    <mergeCell ref="AM179:AN179"/>
    <mergeCell ref="AO179:AP179"/>
    <mergeCell ref="AQ179:AR179"/>
    <mergeCell ref="AS179:AT179"/>
    <mergeCell ref="AU179:AV179"/>
    <mergeCell ref="AW179:AX179"/>
    <mergeCell ref="E178:F178"/>
    <mergeCell ref="G178:H178"/>
    <mergeCell ref="I178:J178"/>
    <mergeCell ref="K178:L178"/>
    <mergeCell ref="M178:N178"/>
    <mergeCell ref="O178:P178"/>
    <mergeCell ref="Q178:R178"/>
    <mergeCell ref="E179:F179"/>
    <mergeCell ref="G179:H179"/>
    <mergeCell ref="I179:J179"/>
    <mergeCell ref="K179:L179"/>
    <mergeCell ref="M179:N179"/>
    <mergeCell ref="O179:P179"/>
    <mergeCell ref="Q179:R179"/>
    <mergeCell ref="S181:T181"/>
    <mergeCell ref="U181:V181"/>
    <mergeCell ref="W181:X181"/>
    <mergeCell ref="Y181:Z181"/>
    <mergeCell ref="AA181:AB181"/>
    <mergeCell ref="AC181:AD181"/>
    <mergeCell ref="AE181:AF181"/>
    <mergeCell ref="AU181:AV181"/>
    <mergeCell ref="AW181:AX181"/>
    <mergeCell ref="AG181:AH181"/>
    <mergeCell ref="AI181:AJ181"/>
    <mergeCell ref="AK181:AL181"/>
    <mergeCell ref="AM181:AN181"/>
    <mergeCell ref="AO181:AP181"/>
    <mergeCell ref="AQ181:AR181"/>
    <mergeCell ref="AS181:AT181"/>
    <mergeCell ref="E183:F183"/>
    <mergeCell ref="G183:H183"/>
    <mergeCell ref="I183:J183"/>
    <mergeCell ref="K183:L183"/>
    <mergeCell ref="M183:N183"/>
    <mergeCell ref="O183:P183"/>
    <mergeCell ref="Q183:R183"/>
    <mergeCell ref="AK183:AL183"/>
    <mergeCell ref="AM183:AN183"/>
    <mergeCell ref="AO183:AP183"/>
    <mergeCell ref="AQ183:AR183"/>
    <mergeCell ref="AS183:AT183"/>
    <mergeCell ref="AU183:AV183"/>
    <mergeCell ref="AW183:AX183"/>
    <mergeCell ref="AK182:AL182"/>
    <mergeCell ref="AM182:AN182"/>
    <mergeCell ref="AO182:AP182"/>
    <mergeCell ref="AQ182:AR182"/>
    <mergeCell ref="AS182:AT182"/>
    <mergeCell ref="AU182:AV182"/>
    <mergeCell ref="AW182:AX182"/>
    <mergeCell ref="AG177:AH177"/>
    <mergeCell ref="AI177:AJ177"/>
    <mergeCell ref="S177:T177"/>
    <mergeCell ref="U177:V177"/>
    <mergeCell ref="W177:X177"/>
    <mergeCell ref="Y177:Z177"/>
    <mergeCell ref="AA177:AB177"/>
    <mergeCell ref="AC177:AD177"/>
    <mergeCell ref="AE177:AF177"/>
    <mergeCell ref="E172:F172"/>
    <mergeCell ref="G172:H172"/>
    <mergeCell ref="I172:J172"/>
    <mergeCell ref="K172:L172"/>
    <mergeCell ref="M172:N172"/>
    <mergeCell ref="O172:P172"/>
    <mergeCell ref="Q172:R172"/>
    <mergeCell ref="E173:F173"/>
    <mergeCell ref="G173:H173"/>
    <mergeCell ref="I173:J173"/>
    <mergeCell ref="K173:L173"/>
    <mergeCell ref="M173:N173"/>
    <mergeCell ref="O173:P173"/>
    <mergeCell ref="Q173:R173"/>
    <mergeCell ref="S175:T175"/>
    <mergeCell ref="U175:V175"/>
    <mergeCell ref="W175:X175"/>
    <mergeCell ref="Y175:Z175"/>
    <mergeCell ref="AA175:AB175"/>
    <mergeCell ref="AC175:AD175"/>
    <mergeCell ref="AE175:AF175"/>
    <mergeCell ref="AU175:AV175"/>
    <mergeCell ref="AW175:AX175"/>
    <mergeCell ref="AG175:AH175"/>
    <mergeCell ref="AI175:AJ175"/>
    <mergeCell ref="AK175:AL175"/>
    <mergeCell ref="AM175:AN175"/>
    <mergeCell ref="AO175:AP175"/>
    <mergeCell ref="AQ175:AR175"/>
    <mergeCell ref="AS175:AT175"/>
    <mergeCell ref="E177:F177"/>
    <mergeCell ref="G177:H177"/>
    <mergeCell ref="I177:J177"/>
    <mergeCell ref="K177:L177"/>
    <mergeCell ref="M177:N177"/>
    <mergeCell ref="O177:P177"/>
    <mergeCell ref="Q177:R177"/>
    <mergeCell ref="AK177:AL177"/>
    <mergeCell ref="AM177:AN177"/>
    <mergeCell ref="AO177:AP177"/>
    <mergeCell ref="AQ177:AR177"/>
    <mergeCell ref="AS177:AT177"/>
    <mergeCell ref="AU177:AV177"/>
    <mergeCell ref="AW177:AX177"/>
    <mergeCell ref="AK176:AL176"/>
    <mergeCell ref="AM176:AN176"/>
    <mergeCell ref="AO176:AP176"/>
    <mergeCell ref="AQ176:AR176"/>
    <mergeCell ref="AS176:AT176"/>
    <mergeCell ref="AU176:AV176"/>
    <mergeCell ref="AW176:AX176"/>
    <mergeCell ref="AG179:AH179"/>
    <mergeCell ref="AI179:AJ179"/>
    <mergeCell ref="S179:T179"/>
    <mergeCell ref="U179:V179"/>
    <mergeCell ref="W179:X179"/>
    <mergeCell ref="Y179:Z179"/>
    <mergeCell ref="AA179:AB179"/>
    <mergeCell ref="AC179:AD179"/>
    <mergeCell ref="AE179:AF179"/>
    <mergeCell ref="AG180:AH180"/>
    <mergeCell ref="AI180:AJ180"/>
    <mergeCell ref="S180:T180"/>
    <mergeCell ref="U180:V180"/>
    <mergeCell ref="W180:X180"/>
    <mergeCell ref="Y180:Z180"/>
    <mergeCell ref="AA180:AB180"/>
    <mergeCell ref="AC180:AD180"/>
    <mergeCell ref="AE180:AF180"/>
    <mergeCell ref="AG182:AH182"/>
    <mergeCell ref="AI182:AJ182"/>
    <mergeCell ref="S182:T182"/>
    <mergeCell ref="U182:V182"/>
    <mergeCell ref="W182:X182"/>
    <mergeCell ref="Y182:Z182"/>
    <mergeCell ref="AA182:AB182"/>
    <mergeCell ref="AC182:AD182"/>
    <mergeCell ref="AE182:AF182"/>
    <mergeCell ref="AG183:AH183"/>
    <mergeCell ref="AI183:AJ183"/>
    <mergeCell ref="S183:T183"/>
    <mergeCell ref="U183:V183"/>
    <mergeCell ref="W183:X183"/>
    <mergeCell ref="Y183:Z183"/>
    <mergeCell ref="AA183:AB183"/>
    <mergeCell ref="AC183:AD183"/>
    <mergeCell ref="AE183:AF183"/>
    <mergeCell ref="AG185:AH185"/>
    <mergeCell ref="AI185:AJ185"/>
    <mergeCell ref="S185:T185"/>
    <mergeCell ref="U185:V185"/>
    <mergeCell ref="W185:X185"/>
    <mergeCell ref="Y185:Z185"/>
    <mergeCell ref="AA185:AB185"/>
    <mergeCell ref="AC185:AD185"/>
    <mergeCell ref="AE185:AF185"/>
    <mergeCell ref="AG189:AH189"/>
    <mergeCell ref="AI189:AJ189"/>
    <mergeCell ref="S189:T189"/>
    <mergeCell ref="U189:V189"/>
    <mergeCell ref="W189:X189"/>
    <mergeCell ref="Y189:Z189"/>
    <mergeCell ref="AA189:AB189"/>
    <mergeCell ref="AC189:AD189"/>
    <mergeCell ref="AE189:AF189"/>
    <mergeCell ref="AA192:AB192"/>
    <mergeCell ref="P194:AY194"/>
    <mergeCell ref="Q191:R191"/>
    <mergeCell ref="U191:V191"/>
    <mergeCell ref="W191:X191"/>
    <mergeCell ref="Y191:Z191"/>
    <mergeCell ref="AA191:AB191"/>
    <mergeCell ref="AM191:AN191"/>
    <mergeCell ref="AW191:AX191"/>
    <mergeCell ref="AG188:AH188"/>
    <mergeCell ref="AI188:AJ188"/>
    <mergeCell ref="S188:T188"/>
    <mergeCell ref="U188:V188"/>
    <mergeCell ref="W188:X188"/>
    <mergeCell ref="Y188:Z188"/>
    <mergeCell ref="AA188:AB188"/>
    <mergeCell ref="AC188:AD188"/>
    <mergeCell ref="AE188:AF188"/>
    <mergeCell ref="S223:T223"/>
    <mergeCell ref="U223:V223"/>
    <mergeCell ref="W223:X223"/>
    <mergeCell ref="Y223:Z223"/>
    <mergeCell ref="AA223:AB223"/>
    <mergeCell ref="AC223:AD223"/>
    <mergeCell ref="AE223:AF223"/>
    <mergeCell ref="AU223:AV223"/>
    <mergeCell ref="AW223:AX223"/>
    <mergeCell ref="AG223:AH223"/>
    <mergeCell ref="AI223:AJ223"/>
    <mergeCell ref="AK223:AL223"/>
    <mergeCell ref="AM223:AN223"/>
    <mergeCell ref="AO223:AP223"/>
    <mergeCell ref="AQ223:AR223"/>
    <mergeCell ref="AS223:AT223"/>
    <mergeCell ref="E225:F225"/>
    <mergeCell ref="G225:H225"/>
    <mergeCell ref="I225:J225"/>
    <mergeCell ref="K225:L225"/>
    <mergeCell ref="M225:N225"/>
    <mergeCell ref="O225:P225"/>
    <mergeCell ref="Q225:R225"/>
    <mergeCell ref="AK225:AL225"/>
    <mergeCell ref="AM225:AN225"/>
    <mergeCell ref="AO225:AP225"/>
    <mergeCell ref="AQ225:AR225"/>
    <mergeCell ref="AS225:AT225"/>
    <mergeCell ref="AU225:AV225"/>
    <mergeCell ref="AW225:AX225"/>
    <mergeCell ref="AK224:AL224"/>
    <mergeCell ref="AM224:AN224"/>
    <mergeCell ref="AO224:AP224"/>
    <mergeCell ref="AQ224:AR224"/>
    <mergeCell ref="AS224:AT224"/>
    <mergeCell ref="AU224:AV224"/>
    <mergeCell ref="AW224:AX224"/>
    <mergeCell ref="AG186:AH186"/>
    <mergeCell ref="AI186:AJ186"/>
    <mergeCell ref="S186:T186"/>
    <mergeCell ref="U186:V186"/>
    <mergeCell ref="W186:X186"/>
    <mergeCell ref="Y186:Z186"/>
    <mergeCell ref="AA186:AB186"/>
    <mergeCell ref="AC186:AD186"/>
    <mergeCell ref="AE186:AF186"/>
    <mergeCell ref="E181:F181"/>
    <mergeCell ref="G181:H181"/>
    <mergeCell ref="I181:J181"/>
    <mergeCell ref="K181:L181"/>
    <mergeCell ref="M181:N181"/>
    <mergeCell ref="O181:P181"/>
    <mergeCell ref="Q181:R181"/>
    <mergeCell ref="E182:F182"/>
    <mergeCell ref="G182:H182"/>
    <mergeCell ref="I182:J182"/>
    <mergeCell ref="K182:L182"/>
    <mergeCell ref="M182:N182"/>
    <mergeCell ref="O182:P182"/>
    <mergeCell ref="Q182:R182"/>
    <mergeCell ref="S184:T184"/>
    <mergeCell ref="U184:V184"/>
    <mergeCell ref="W184:X184"/>
    <mergeCell ref="Y184:Z184"/>
    <mergeCell ref="AA184:AB184"/>
    <mergeCell ref="AC184:AD184"/>
    <mergeCell ref="AE184:AF184"/>
    <mergeCell ref="AU184:AV184"/>
    <mergeCell ref="AW184:AX184"/>
    <mergeCell ref="AG184:AH184"/>
    <mergeCell ref="AI184:AJ184"/>
    <mergeCell ref="AK184:AL184"/>
    <mergeCell ref="AM184:AN184"/>
    <mergeCell ref="AO184:AP184"/>
    <mergeCell ref="AQ184:AR184"/>
    <mergeCell ref="AS184:AT184"/>
    <mergeCell ref="E186:F186"/>
    <mergeCell ref="G186:H186"/>
    <mergeCell ref="I186:J186"/>
    <mergeCell ref="K186:L186"/>
    <mergeCell ref="M186:N186"/>
    <mergeCell ref="O186:P186"/>
    <mergeCell ref="Q186:R186"/>
    <mergeCell ref="AK186:AL186"/>
    <mergeCell ref="AM186:AN186"/>
    <mergeCell ref="AO186:AP186"/>
    <mergeCell ref="AQ186:AR186"/>
    <mergeCell ref="AS186:AT186"/>
    <mergeCell ref="AU186:AV186"/>
    <mergeCell ref="AW186:AX186"/>
    <mergeCell ref="AK185:AL185"/>
    <mergeCell ref="AM185:AN185"/>
    <mergeCell ref="AO185:AP185"/>
    <mergeCell ref="AQ185:AR185"/>
    <mergeCell ref="AS185:AT185"/>
    <mergeCell ref="AU185:AV185"/>
    <mergeCell ref="AW185:AX185"/>
    <mergeCell ref="E187:F187"/>
    <mergeCell ref="G187:H187"/>
    <mergeCell ref="I187:J187"/>
    <mergeCell ref="K187:L187"/>
    <mergeCell ref="M187:N187"/>
    <mergeCell ref="O187:P187"/>
    <mergeCell ref="Q187:R187"/>
    <mergeCell ref="E188:F188"/>
    <mergeCell ref="G188:H188"/>
    <mergeCell ref="I188:J188"/>
    <mergeCell ref="K188:L188"/>
    <mergeCell ref="M188:N188"/>
    <mergeCell ref="O188:P188"/>
    <mergeCell ref="Q188:R188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U190:AV190"/>
    <mergeCell ref="AW190:AX190"/>
    <mergeCell ref="AG190:AH190"/>
    <mergeCell ref="AI190:AJ190"/>
    <mergeCell ref="AK190:AL190"/>
    <mergeCell ref="AM190:AN190"/>
    <mergeCell ref="AO190:AP190"/>
    <mergeCell ref="AQ190:AR190"/>
    <mergeCell ref="AS190:AT190"/>
    <mergeCell ref="E184:F184"/>
    <mergeCell ref="G184:H184"/>
    <mergeCell ref="I184:J184"/>
    <mergeCell ref="K184:L184"/>
    <mergeCell ref="M184:N184"/>
    <mergeCell ref="O184:P184"/>
    <mergeCell ref="Q184:R184"/>
    <mergeCell ref="E185:F185"/>
    <mergeCell ref="G185:H185"/>
    <mergeCell ref="I185:J185"/>
    <mergeCell ref="K185:L185"/>
    <mergeCell ref="M185:N185"/>
    <mergeCell ref="O185:P185"/>
    <mergeCell ref="Q185:R185"/>
    <mergeCell ref="S187:T187"/>
    <mergeCell ref="U187:V187"/>
    <mergeCell ref="W187:X187"/>
    <mergeCell ref="Y187:Z187"/>
    <mergeCell ref="AA187:AB187"/>
    <mergeCell ref="AC187:AD187"/>
    <mergeCell ref="AE187:AF187"/>
    <mergeCell ref="AU187:AV187"/>
    <mergeCell ref="AW187:AX187"/>
    <mergeCell ref="AG187:AH187"/>
    <mergeCell ref="AI187:AJ187"/>
    <mergeCell ref="AK187:AL187"/>
    <mergeCell ref="AM187:AN187"/>
    <mergeCell ref="AO187:AP187"/>
    <mergeCell ref="AQ187:AR187"/>
    <mergeCell ref="AS187:AT187"/>
    <mergeCell ref="E189:F189"/>
    <mergeCell ref="G189:H189"/>
    <mergeCell ref="I189:J189"/>
    <mergeCell ref="K189:L189"/>
    <mergeCell ref="M189:N189"/>
    <mergeCell ref="O189:P189"/>
    <mergeCell ref="Q189:R189"/>
    <mergeCell ref="AK189:AL189"/>
    <mergeCell ref="AM189:AN189"/>
    <mergeCell ref="AO189:AP189"/>
    <mergeCell ref="AQ189:AR189"/>
    <mergeCell ref="AS189:AT189"/>
    <mergeCell ref="AU189:AV189"/>
    <mergeCell ref="AW189:AX189"/>
    <mergeCell ref="AK188:AL188"/>
    <mergeCell ref="AM188:AN188"/>
    <mergeCell ref="AO188:AP188"/>
    <mergeCell ref="AQ188:AR188"/>
    <mergeCell ref="AS188:AT188"/>
    <mergeCell ref="AU188:AV188"/>
    <mergeCell ref="AW188:AX188"/>
    <mergeCell ref="AG224:AH224"/>
    <mergeCell ref="AI224:AJ224"/>
    <mergeCell ref="S224:T224"/>
    <mergeCell ref="U224:V224"/>
    <mergeCell ref="W224:X224"/>
    <mergeCell ref="Y224:Z224"/>
    <mergeCell ref="AA224:AB224"/>
    <mergeCell ref="AC224:AD224"/>
    <mergeCell ref="AE224:AF224"/>
    <mergeCell ref="AG225:AH225"/>
    <mergeCell ref="AI225:AJ225"/>
    <mergeCell ref="S225:T225"/>
    <mergeCell ref="U225:V225"/>
    <mergeCell ref="W225:X225"/>
    <mergeCell ref="Y225:Z225"/>
    <mergeCell ref="AA225:AB225"/>
    <mergeCell ref="AC225:AD225"/>
    <mergeCell ref="AE225:AF225"/>
    <mergeCell ref="AG227:AH227"/>
    <mergeCell ref="AI227:AJ227"/>
    <mergeCell ref="S227:T227"/>
    <mergeCell ref="U227:V227"/>
    <mergeCell ref="W227:X227"/>
    <mergeCell ref="Y227:Z227"/>
    <mergeCell ref="AA227:AB227"/>
    <mergeCell ref="AC227:AD227"/>
    <mergeCell ref="AE227:AF227"/>
    <mergeCell ref="S294:T294"/>
    <mergeCell ref="U294:V294"/>
    <mergeCell ref="W294:X294"/>
    <mergeCell ref="Y294:Z294"/>
    <mergeCell ref="AA294:AB294"/>
    <mergeCell ref="AC294:AD294"/>
    <mergeCell ref="AE294:AF294"/>
    <mergeCell ref="AU294:AV294"/>
    <mergeCell ref="AW294:AX294"/>
    <mergeCell ref="AG294:AH294"/>
    <mergeCell ref="AI294:AJ294"/>
    <mergeCell ref="AK294:AL294"/>
    <mergeCell ref="AM294:AN294"/>
    <mergeCell ref="AO294:AP294"/>
    <mergeCell ref="AQ294:AR294"/>
    <mergeCell ref="AS294:AT294"/>
    <mergeCell ref="E294:F294"/>
    <mergeCell ref="G294:H294"/>
    <mergeCell ref="I294:J294"/>
    <mergeCell ref="K294:L294"/>
    <mergeCell ref="M294:N294"/>
    <mergeCell ref="O294:P294"/>
    <mergeCell ref="Q294:R294"/>
    <mergeCell ref="AU295:AV295"/>
    <mergeCell ref="AW295:AX295"/>
    <mergeCell ref="AK296:AL296"/>
    <mergeCell ref="AM296:AN296"/>
    <mergeCell ref="AO296:AP296"/>
    <mergeCell ref="AQ296:AR296"/>
    <mergeCell ref="AS296:AT296"/>
    <mergeCell ref="AU296:AV296"/>
    <mergeCell ref="AW296:AX296"/>
    <mergeCell ref="AG295:AH295"/>
    <mergeCell ref="AI295:AJ295"/>
    <mergeCell ref="AK295:AL295"/>
    <mergeCell ref="AM295:AN295"/>
    <mergeCell ref="AO295:AP295"/>
    <mergeCell ref="AQ295:AR295"/>
    <mergeCell ref="AS295:AT295"/>
    <mergeCell ref="E296:F296"/>
    <mergeCell ref="G296:H296"/>
    <mergeCell ref="I296:J296"/>
    <mergeCell ref="K296:L296"/>
    <mergeCell ref="M296:N296"/>
    <mergeCell ref="O296:P296"/>
    <mergeCell ref="Q296:R296"/>
    <mergeCell ref="S297:T297"/>
    <mergeCell ref="U297:V297"/>
    <mergeCell ref="W297:X297"/>
    <mergeCell ref="Y297:Z297"/>
    <mergeCell ref="AA297:AB297"/>
    <mergeCell ref="AC297:AD297"/>
    <mergeCell ref="AE297:AF297"/>
    <mergeCell ref="AU297:AV297"/>
    <mergeCell ref="AW297:AX297"/>
    <mergeCell ref="AG297:AH297"/>
    <mergeCell ref="AI297:AJ297"/>
    <mergeCell ref="AK297:AL297"/>
    <mergeCell ref="AM297:AN297"/>
    <mergeCell ref="AO297:AP297"/>
    <mergeCell ref="AQ297:AR297"/>
    <mergeCell ref="AS297:AT297"/>
    <mergeCell ref="E297:F297"/>
    <mergeCell ref="G297:H297"/>
    <mergeCell ref="I297:J297"/>
    <mergeCell ref="K297:L297"/>
    <mergeCell ref="M297:N297"/>
    <mergeCell ref="O297:P297"/>
    <mergeCell ref="Q297:R297"/>
    <mergeCell ref="S298:T298"/>
    <mergeCell ref="U298:V298"/>
    <mergeCell ref="W298:X298"/>
    <mergeCell ref="Y298:Z298"/>
    <mergeCell ref="AA298:AB298"/>
    <mergeCell ref="AC298:AD298"/>
    <mergeCell ref="AE298:AF298"/>
    <mergeCell ref="E298:F298"/>
    <mergeCell ref="G298:H298"/>
    <mergeCell ref="I298:J298"/>
    <mergeCell ref="K298:L298"/>
    <mergeCell ref="M298:N298"/>
    <mergeCell ref="O298:P298"/>
    <mergeCell ref="Q298:R298"/>
    <mergeCell ref="S300:T300"/>
    <mergeCell ref="U300:V300"/>
    <mergeCell ref="W300:X300"/>
    <mergeCell ref="Y300:Z300"/>
    <mergeCell ref="AA300:AB300"/>
    <mergeCell ref="AC300:AD300"/>
    <mergeCell ref="AE300:AF300"/>
    <mergeCell ref="E300:F300"/>
    <mergeCell ref="G300:H300"/>
    <mergeCell ref="I300:J300"/>
    <mergeCell ref="K300:L300"/>
    <mergeCell ref="M300:N300"/>
    <mergeCell ref="O300:P300"/>
    <mergeCell ref="Q300:R300"/>
    <mergeCell ref="AG301:AH301"/>
    <mergeCell ref="AI301:AJ301"/>
    <mergeCell ref="S301:T301"/>
    <mergeCell ref="U301:V301"/>
    <mergeCell ref="W301:X301"/>
    <mergeCell ref="Y301:Z301"/>
    <mergeCell ref="AA301:AB301"/>
    <mergeCell ref="AC301:AD301"/>
    <mergeCell ref="AE301:AF301"/>
    <mergeCell ref="S299:T299"/>
    <mergeCell ref="U299:V299"/>
    <mergeCell ref="W299:X299"/>
    <mergeCell ref="Y299:Z299"/>
    <mergeCell ref="AA299:AB299"/>
    <mergeCell ref="AC299:AD299"/>
    <mergeCell ref="AE299:AF299"/>
    <mergeCell ref="AU299:AV299"/>
    <mergeCell ref="AW299:AX299"/>
    <mergeCell ref="AG299:AH299"/>
    <mergeCell ref="AI299:AJ299"/>
    <mergeCell ref="AK299:AL299"/>
    <mergeCell ref="AM299:AN299"/>
    <mergeCell ref="AO299:AP299"/>
    <mergeCell ref="AQ299:AR299"/>
    <mergeCell ref="AS299:AT299"/>
    <mergeCell ref="E299:F299"/>
    <mergeCell ref="G299:H299"/>
    <mergeCell ref="I299:J299"/>
    <mergeCell ref="K299:L299"/>
    <mergeCell ref="M299:N299"/>
    <mergeCell ref="O299:P299"/>
    <mergeCell ref="Q299:R299"/>
    <mergeCell ref="AU300:AV300"/>
    <mergeCell ref="AW300:AX300"/>
    <mergeCell ref="AK301:AL301"/>
    <mergeCell ref="AM301:AN301"/>
    <mergeCell ref="AO301:AP301"/>
    <mergeCell ref="AQ301:AR301"/>
    <mergeCell ref="AS301:AT301"/>
    <mergeCell ref="AU301:AV301"/>
    <mergeCell ref="AW301:AX301"/>
    <mergeCell ref="AG300:AH300"/>
    <mergeCell ref="AI300:AJ300"/>
    <mergeCell ref="AK300:AL300"/>
    <mergeCell ref="AM300:AN300"/>
    <mergeCell ref="AO300:AP300"/>
    <mergeCell ref="AQ300:AR300"/>
    <mergeCell ref="AS300:AT300"/>
    <mergeCell ref="AU303:AV303"/>
    <mergeCell ref="AW303:AX303"/>
    <mergeCell ref="AG303:AH303"/>
    <mergeCell ref="AI303:AJ303"/>
    <mergeCell ref="AK303:AL303"/>
    <mergeCell ref="AM303:AN303"/>
    <mergeCell ref="AO303:AP303"/>
    <mergeCell ref="AQ303:AR303"/>
    <mergeCell ref="AS303:AT303"/>
    <mergeCell ref="E301:F301"/>
    <mergeCell ref="G301:H301"/>
    <mergeCell ref="I301:J301"/>
    <mergeCell ref="K301:L301"/>
    <mergeCell ref="M301:N301"/>
    <mergeCell ref="O301:P301"/>
    <mergeCell ref="Q301:R301"/>
    <mergeCell ref="S302:T302"/>
    <mergeCell ref="U302:V302"/>
    <mergeCell ref="W302:X302"/>
    <mergeCell ref="Y302:Z302"/>
    <mergeCell ref="AA302:AB302"/>
    <mergeCell ref="AC302:AD302"/>
    <mergeCell ref="AE302:AF302"/>
    <mergeCell ref="AU302:AV302"/>
    <mergeCell ref="AW302:AX302"/>
    <mergeCell ref="AG302:AH302"/>
    <mergeCell ref="AI302:AJ302"/>
    <mergeCell ref="AK302:AL302"/>
    <mergeCell ref="AM302:AN302"/>
    <mergeCell ref="AO302:AP302"/>
    <mergeCell ref="AQ302:AR302"/>
    <mergeCell ref="AS302:AT302"/>
    <mergeCell ref="E302:F302"/>
    <mergeCell ref="G302:H302"/>
    <mergeCell ref="I302:J302"/>
    <mergeCell ref="K302:L302"/>
    <mergeCell ref="M302:N302"/>
    <mergeCell ref="O302:P302"/>
    <mergeCell ref="Q302:R302"/>
    <mergeCell ref="S303:T303"/>
    <mergeCell ref="U303:V303"/>
    <mergeCell ref="W303:X303"/>
    <mergeCell ref="Y303:Z303"/>
    <mergeCell ref="AA303:AB303"/>
    <mergeCell ref="AC303:AD303"/>
    <mergeCell ref="AE303:AF303"/>
    <mergeCell ref="E303:F303"/>
    <mergeCell ref="G303:H303"/>
    <mergeCell ref="I303:J303"/>
    <mergeCell ref="K303:L303"/>
    <mergeCell ref="M303:N303"/>
    <mergeCell ref="O303:P303"/>
    <mergeCell ref="Q303:R303"/>
  </mergeCells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0.22"/>
    <col customWidth="1" hidden="1" min="2" max="2" width="46.78"/>
    <col customWidth="1" min="3" max="17" width="10.44"/>
    <col customWidth="1" min="18" max="18" width="116.78"/>
  </cols>
  <sheetData>
    <row r="1" ht="24.0" customHeight="1"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</row>
    <row r="2" ht="23.25" customHeight="1">
      <c r="A2" s="1217" t="s">
        <v>1364</v>
      </c>
      <c r="B2" s="1219" t="s">
        <v>1366</v>
      </c>
      <c r="C2" s="1220" t="s">
        <v>1367</v>
      </c>
      <c r="D2" s="1221">
        <v>46021.0</v>
      </c>
      <c r="E2" s="1223">
        <v>46022.0</v>
      </c>
      <c r="F2" s="1223">
        <v>46023.0</v>
      </c>
      <c r="G2" s="1223">
        <v>46024.0</v>
      </c>
      <c r="H2" s="1223">
        <v>46025.0</v>
      </c>
      <c r="I2" s="1223">
        <v>46026.0</v>
      </c>
      <c r="J2" s="1223">
        <v>46027.0</v>
      </c>
      <c r="K2" s="1223">
        <v>46028.0</v>
      </c>
      <c r="L2" s="1223">
        <v>46029.0</v>
      </c>
      <c r="M2" s="1223">
        <v>46030.0</v>
      </c>
      <c r="N2" s="1223">
        <v>46031.0</v>
      </c>
      <c r="O2" s="1223">
        <v>46032.0</v>
      </c>
      <c r="P2" s="1223">
        <v>46033.0</v>
      </c>
      <c r="Q2" s="1221">
        <v>46034.0</v>
      </c>
      <c r="R2" s="1229" t="s">
        <v>1369</v>
      </c>
    </row>
    <row r="3" ht="21.0" customHeight="1">
      <c r="A3" s="1232">
        <v>1.0</v>
      </c>
      <c r="B3" s="1234" t="s">
        <v>1370</v>
      </c>
      <c r="C3" s="1236"/>
      <c r="D3" s="1236"/>
      <c r="E3" s="1238" t="s">
        <v>1371</v>
      </c>
      <c r="F3" s="1239"/>
      <c r="G3" s="1241"/>
      <c r="H3" s="1243" t="s">
        <v>1372</v>
      </c>
      <c r="I3" s="1241"/>
      <c r="J3" s="1243" t="s">
        <v>1372</v>
      </c>
      <c r="K3" s="1241"/>
      <c r="L3" s="1243" t="s">
        <v>1372</v>
      </c>
      <c r="M3" s="1241"/>
      <c r="N3" s="1243" t="s">
        <v>1372</v>
      </c>
      <c r="O3" s="1241"/>
      <c r="P3" s="1243" t="s">
        <v>1372</v>
      </c>
      <c r="Q3" s="1244"/>
      <c r="R3" s="1245" t="s">
        <v>1373</v>
      </c>
    </row>
    <row r="4" ht="30.0" customHeight="1">
      <c r="A4" s="1232">
        <v>2.0</v>
      </c>
      <c r="B4" s="1234" t="s">
        <v>1374</v>
      </c>
      <c r="C4" s="1236"/>
      <c r="D4" s="1236"/>
      <c r="E4" s="1239"/>
      <c r="F4" s="1239"/>
      <c r="G4" s="1239"/>
      <c r="H4" s="1239"/>
      <c r="I4" s="1239"/>
      <c r="J4" s="1236"/>
      <c r="K4" s="1236"/>
      <c r="L4" s="1239"/>
      <c r="M4" s="1239"/>
      <c r="N4" s="1236"/>
      <c r="O4" s="1239"/>
      <c r="P4" s="1239"/>
      <c r="Q4" s="95"/>
      <c r="R4" s="1245"/>
    </row>
    <row r="5" ht="27.75" customHeight="1">
      <c r="A5" s="1232">
        <v>3.0</v>
      </c>
      <c r="B5" s="1234" t="s">
        <v>1375</v>
      </c>
      <c r="C5" s="1236"/>
      <c r="D5" s="1236"/>
      <c r="E5" s="1239"/>
      <c r="F5" s="1239"/>
      <c r="G5" s="1239"/>
      <c r="H5" s="1239"/>
      <c r="I5" s="1239"/>
      <c r="J5" s="1239"/>
      <c r="K5" s="1239"/>
      <c r="L5" s="1239"/>
      <c r="M5" s="1239"/>
      <c r="N5" s="1239"/>
      <c r="O5" s="1239"/>
      <c r="P5" s="1239"/>
      <c r="Q5" s="95"/>
      <c r="R5" s="1248" t="s">
        <v>1376</v>
      </c>
    </row>
    <row r="6">
      <c r="A6" s="1232">
        <v>4.0</v>
      </c>
      <c r="B6" s="1234" t="s">
        <v>1377</v>
      </c>
      <c r="C6" s="1241"/>
      <c r="D6" s="1241"/>
      <c r="E6" s="1251" t="s">
        <v>1378</v>
      </c>
      <c r="F6" s="1251" t="s">
        <v>1378</v>
      </c>
      <c r="G6" s="1251" t="s">
        <v>1378</v>
      </c>
      <c r="H6" s="1251" t="s">
        <v>1378</v>
      </c>
      <c r="I6" s="1251" t="s">
        <v>1378</v>
      </c>
      <c r="J6" s="1251" t="s">
        <v>1378</v>
      </c>
      <c r="K6" s="1251" t="s">
        <v>1378</v>
      </c>
      <c r="L6" s="1251" t="s">
        <v>1378</v>
      </c>
      <c r="M6" s="1251" t="s">
        <v>1378</v>
      </c>
      <c r="N6" s="1251" t="s">
        <v>1378</v>
      </c>
      <c r="O6" s="1251" t="s">
        <v>1378</v>
      </c>
      <c r="P6" s="1251" t="s">
        <v>1378</v>
      </c>
      <c r="Q6" s="95"/>
      <c r="R6" s="1245" t="s">
        <v>1379</v>
      </c>
    </row>
    <row r="7" ht="33.0" customHeight="1">
      <c r="A7" s="1232">
        <v>5.0</v>
      </c>
      <c r="B7" s="1252" t="s">
        <v>1380</v>
      </c>
      <c r="C7" s="1236"/>
      <c r="D7" s="1236"/>
      <c r="E7" s="1239"/>
      <c r="F7" s="1239"/>
      <c r="G7" s="1239"/>
      <c r="H7" s="1239"/>
      <c r="I7" s="1239"/>
      <c r="J7" s="1251" t="s">
        <v>1381</v>
      </c>
      <c r="K7" s="1251" t="s">
        <v>1381</v>
      </c>
      <c r="L7" s="1251" t="s">
        <v>1381</v>
      </c>
      <c r="M7" s="1251" t="s">
        <v>1381</v>
      </c>
      <c r="N7" s="1251" t="s">
        <v>1381</v>
      </c>
      <c r="O7" s="1251" t="s">
        <v>1381</v>
      </c>
      <c r="P7" s="1251" t="s">
        <v>1381</v>
      </c>
      <c r="Q7" s="95"/>
      <c r="R7" s="1245" t="s">
        <v>1382</v>
      </c>
    </row>
    <row r="8">
      <c r="A8" s="1232">
        <v>6.0</v>
      </c>
      <c r="B8" s="1234" t="s">
        <v>1383</v>
      </c>
      <c r="C8" s="1236"/>
      <c r="D8" s="1236"/>
      <c r="E8" s="1253"/>
      <c r="F8" s="1239"/>
      <c r="G8" s="1236"/>
      <c r="H8" s="1236"/>
      <c r="I8" s="1236"/>
      <c r="J8" s="1236"/>
      <c r="K8" s="1236"/>
      <c r="L8" s="1236"/>
      <c r="M8" s="1236"/>
      <c r="N8" s="1236"/>
      <c r="O8" s="1236"/>
      <c r="P8" s="1236"/>
      <c r="Q8" s="95"/>
      <c r="R8" s="1245" t="s">
        <v>1384</v>
      </c>
    </row>
    <row r="9">
      <c r="A9" s="1232">
        <v>7.0</v>
      </c>
      <c r="B9" s="1234" t="s">
        <v>1385</v>
      </c>
      <c r="C9" s="1251" t="s">
        <v>1386</v>
      </c>
      <c r="D9" s="1251" t="s">
        <v>1386</v>
      </c>
      <c r="E9" s="1239"/>
      <c r="F9" s="1239"/>
      <c r="G9" s="1239"/>
      <c r="H9" s="1239"/>
      <c r="I9" s="1239"/>
      <c r="J9" s="1239"/>
      <c r="K9" s="1239"/>
      <c r="L9" s="1239"/>
      <c r="M9" s="1239"/>
      <c r="N9" s="1239"/>
      <c r="O9" s="1239"/>
      <c r="P9" s="1239"/>
      <c r="Q9" s="95"/>
      <c r="R9" s="1245" t="s">
        <v>1387</v>
      </c>
    </row>
    <row r="10" ht="22.5" customHeight="1">
      <c r="A10" s="1232">
        <v>8.0</v>
      </c>
      <c r="B10" s="1234" t="s">
        <v>1388</v>
      </c>
      <c r="C10" s="1236"/>
      <c r="D10" s="1236"/>
      <c r="E10" s="1251"/>
      <c r="F10" s="1251"/>
      <c r="G10" s="1251"/>
      <c r="H10" s="1251"/>
      <c r="I10" s="1251"/>
      <c r="J10" s="1251"/>
      <c r="K10" s="1251"/>
      <c r="L10" s="1251"/>
      <c r="M10" s="1251"/>
      <c r="N10" s="1251"/>
      <c r="O10" s="1251"/>
      <c r="P10" s="1251"/>
      <c r="Q10" s="95"/>
      <c r="R10" s="1245" t="s">
        <v>1389</v>
      </c>
    </row>
    <row r="11">
      <c r="A11" s="1232">
        <v>9.0</v>
      </c>
      <c r="B11" s="1234" t="s">
        <v>1390</v>
      </c>
      <c r="C11" s="1236"/>
      <c r="D11" s="1236"/>
      <c r="E11" s="1239"/>
      <c r="F11" s="1239"/>
      <c r="G11" s="1239"/>
      <c r="H11" s="1239"/>
      <c r="I11" s="1239"/>
      <c r="J11" s="1239"/>
      <c r="K11" s="1239"/>
      <c r="L11" s="1239"/>
      <c r="M11" s="1239"/>
      <c r="N11" s="1239"/>
      <c r="O11" s="1239"/>
      <c r="P11" s="1239"/>
      <c r="Q11" s="95"/>
      <c r="R11" s="1248" t="s">
        <v>1391</v>
      </c>
    </row>
    <row r="12" ht="30.0" customHeight="1">
      <c r="A12" s="1232">
        <v>10.0</v>
      </c>
      <c r="B12" s="1234" t="s">
        <v>1392</v>
      </c>
      <c r="C12" s="1236"/>
      <c r="D12" s="1236"/>
      <c r="E12" s="1241"/>
      <c r="F12" s="1243" t="s">
        <v>1372</v>
      </c>
      <c r="G12" s="1241"/>
      <c r="H12" s="1243" t="s">
        <v>1372</v>
      </c>
      <c r="I12" s="1241"/>
      <c r="J12" s="1243" t="s">
        <v>1372</v>
      </c>
      <c r="K12" s="1241"/>
      <c r="L12" s="1243" t="s">
        <v>1372</v>
      </c>
      <c r="M12" s="1241"/>
      <c r="N12" s="1243" t="s">
        <v>1372</v>
      </c>
      <c r="O12" s="1241"/>
      <c r="P12" s="1243" t="s">
        <v>1372</v>
      </c>
      <c r="Q12" s="95"/>
      <c r="R12" s="1245" t="s">
        <v>1393</v>
      </c>
    </row>
    <row r="13">
      <c r="A13" s="1232">
        <v>11.0</v>
      </c>
      <c r="B13" s="1234" t="s">
        <v>1394</v>
      </c>
      <c r="C13" s="1236"/>
      <c r="D13" s="1239"/>
      <c r="E13" s="1239"/>
      <c r="F13" s="1239"/>
      <c r="G13" s="1236"/>
      <c r="H13" s="1236"/>
      <c r="I13" s="1236"/>
      <c r="J13" s="1236"/>
      <c r="K13" s="1236"/>
      <c r="L13" s="1239"/>
      <c r="M13" s="1236"/>
      <c r="N13" s="1236"/>
      <c r="O13" s="1236"/>
      <c r="P13" s="1236"/>
      <c r="Q13" s="95"/>
      <c r="R13" s="1245" t="s">
        <v>1395</v>
      </c>
    </row>
    <row r="14">
      <c r="A14" s="1232">
        <v>12.0</v>
      </c>
      <c r="B14" s="1252" t="s">
        <v>1396</v>
      </c>
      <c r="C14" s="1236"/>
      <c r="D14" s="1236"/>
      <c r="E14" s="1239"/>
      <c r="F14" s="1239"/>
      <c r="G14" s="1239"/>
      <c r="H14" s="1239"/>
      <c r="I14" s="1239"/>
      <c r="J14" s="1239"/>
      <c r="K14" s="1239"/>
      <c r="L14" s="1239"/>
      <c r="M14" s="1239"/>
      <c r="N14" s="1239"/>
      <c r="O14" s="1239"/>
      <c r="P14" s="1239"/>
      <c r="Q14" s="95"/>
      <c r="R14" s="1256" t="s">
        <v>1397</v>
      </c>
    </row>
    <row r="15">
      <c r="A15" s="1232">
        <v>13.0</v>
      </c>
      <c r="B15" s="1252" t="s">
        <v>1399</v>
      </c>
      <c r="C15" s="1236"/>
      <c r="D15" s="1236"/>
      <c r="E15" s="1239"/>
      <c r="F15" s="1239"/>
      <c r="G15" s="1239"/>
      <c r="H15" s="1239"/>
      <c r="I15" s="1239"/>
      <c r="J15" s="1239"/>
      <c r="K15" s="1239"/>
      <c r="L15" s="1239"/>
      <c r="M15" s="1239"/>
      <c r="N15" s="1239"/>
      <c r="O15" s="1239"/>
      <c r="P15" s="1239"/>
      <c r="Q15" s="95"/>
      <c r="R15" s="574"/>
    </row>
    <row r="16">
      <c r="A16" s="1232">
        <v>14.0</v>
      </c>
      <c r="B16" s="1234" t="s">
        <v>1400</v>
      </c>
      <c r="C16" s="1236"/>
      <c r="D16" s="1236"/>
      <c r="E16" s="1258" t="s">
        <v>1402</v>
      </c>
      <c r="F16" s="1258" t="s">
        <v>1402</v>
      </c>
      <c r="G16" s="1258" t="s">
        <v>1402</v>
      </c>
      <c r="H16" s="1258" t="s">
        <v>1402</v>
      </c>
      <c r="I16" s="1258" t="s">
        <v>1402</v>
      </c>
      <c r="J16" s="1258" t="s">
        <v>1402</v>
      </c>
      <c r="K16" s="1258" t="s">
        <v>1402</v>
      </c>
      <c r="L16" s="1258" t="s">
        <v>1402</v>
      </c>
      <c r="M16" s="1258" t="s">
        <v>1402</v>
      </c>
      <c r="N16" s="1258" t="s">
        <v>1402</v>
      </c>
      <c r="O16" s="1258" t="s">
        <v>1402</v>
      </c>
      <c r="P16" s="1258" t="s">
        <v>1402</v>
      </c>
      <c r="Q16" s="95"/>
      <c r="R16" s="1245" t="s">
        <v>1403</v>
      </c>
    </row>
    <row r="17">
      <c r="A17" s="1232">
        <v>15.0</v>
      </c>
      <c r="B17" s="1234" t="s">
        <v>1404</v>
      </c>
      <c r="C17" s="1236"/>
      <c r="D17" s="1236"/>
      <c r="E17" s="1239"/>
      <c r="F17" s="1239"/>
      <c r="G17" s="1239"/>
      <c r="H17" s="1239"/>
      <c r="I17" s="1239"/>
      <c r="J17" s="1239"/>
      <c r="K17" s="1239"/>
      <c r="L17" s="1239"/>
      <c r="M17" s="1239"/>
      <c r="N17" s="1239"/>
      <c r="O17" s="1239"/>
      <c r="P17" s="1239"/>
      <c r="Q17" s="95"/>
      <c r="R17" s="1248" t="s">
        <v>1376</v>
      </c>
    </row>
    <row r="18">
      <c r="A18" s="1232">
        <v>16.0</v>
      </c>
      <c r="B18" s="1234" t="s">
        <v>1405</v>
      </c>
      <c r="C18" s="1236"/>
      <c r="D18" s="1236"/>
      <c r="E18" s="1239"/>
      <c r="F18" s="1239"/>
      <c r="G18" s="1239"/>
      <c r="H18" s="1239"/>
      <c r="I18" s="1239"/>
      <c r="J18" s="1239"/>
      <c r="K18" s="1239"/>
      <c r="L18" s="1239"/>
      <c r="M18" s="1239"/>
      <c r="N18" s="1239"/>
      <c r="O18" s="1239"/>
      <c r="P18" s="1239"/>
      <c r="Q18" s="95"/>
      <c r="R18" s="1248" t="s">
        <v>1376</v>
      </c>
    </row>
    <row r="19">
      <c r="A19" s="1232">
        <v>17.0</v>
      </c>
      <c r="B19" s="1234" t="s">
        <v>1406</v>
      </c>
      <c r="C19" s="1236"/>
      <c r="D19" s="1236"/>
      <c r="E19" s="1251" t="s">
        <v>1386</v>
      </c>
      <c r="F19" s="1251" t="s">
        <v>1407</v>
      </c>
      <c r="G19" s="1251" t="s">
        <v>1407</v>
      </c>
      <c r="H19" s="1251" t="s">
        <v>1407</v>
      </c>
      <c r="I19" s="1251" t="s">
        <v>1407</v>
      </c>
      <c r="J19" s="1251" t="s">
        <v>1408</v>
      </c>
      <c r="K19" s="1251" t="s">
        <v>1408</v>
      </c>
      <c r="L19" s="1251" t="s">
        <v>1408</v>
      </c>
      <c r="M19" s="1251" t="s">
        <v>1408</v>
      </c>
      <c r="N19" s="1251" t="s">
        <v>1408</v>
      </c>
      <c r="O19" s="1251" t="s">
        <v>1408</v>
      </c>
      <c r="P19" s="1251" t="s">
        <v>1408</v>
      </c>
      <c r="Q19" s="95"/>
      <c r="R19" s="1260"/>
    </row>
    <row r="20">
      <c r="A20" s="1232">
        <v>18.0</v>
      </c>
      <c r="B20" s="1234" t="s">
        <v>1409</v>
      </c>
      <c r="C20" s="1236"/>
      <c r="D20" s="1236"/>
      <c r="E20" s="1239"/>
      <c r="F20" s="1239"/>
      <c r="G20" s="1239"/>
      <c r="H20" s="1239"/>
      <c r="I20" s="1239"/>
      <c r="J20" s="1239"/>
      <c r="K20" s="1239"/>
      <c r="L20" s="1239"/>
      <c r="M20" s="1239"/>
      <c r="N20" s="1239"/>
      <c r="O20" s="1239"/>
      <c r="P20" s="1239"/>
      <c r="Q20" s="95"/>
      <c r="R20" s="1248" t="s">
        <v>1376</v>
      </c>
    </row>
    <row r="21">
      <c r="A21" s="1232">
        <v>19.0</v>
      </c>
      <c r="B21" s="1234" t="s">
        <v>1410</v>
      </c>
      <c r="C21" s="1236"/>
      <c r="D21" s="1236"/>
      <c r="E21" s="1239"/>
      <c r="F21" s="1239"/>
      <c r="G21" s="1239"/>
      <c r="H21" s="1239"/>
      <c r="I21" s="1239"/>
      <c r="J21" s="1239"/>
      <c r="K21" s="1239"/>
      <c r="L21" s="1239"/>
      <c r="M21" s="1239"/>
      <c r="N21" s="1239"/>
      <c r="O21" s="1239"/>
      <c r="P21" s="1239"/>
      <c r="Q21" s="95"/>
      <c r="R21" s="1248" t="s">
        <v>1376</v>
      </c>
    </row>
    <row r="22" ht="24.75" customHeight="1">
      <c r="A22" s="1232">
        <v>20.0</v>
      </c>
      <c r="B22" s="1234" t="s">
        <v>1411</v>
      </c>
      <c r="C22" s="1236"/>
      <c r="D22" s="1236"/>
      <c r="E22" s="1241"/>
      <c r="F22" s="1243" t="s">
        <v>1372</v>
      </c>
      <c r="G22" s="1241"/>
      <c r="H22" s="1243" t="s">
        <v>1372</v>
      </c>
      <c r="I22" s="1241"/>
      <c r="J22" s="1243" t="s">
        <v>1372</v>
      </c>
      <c r="K22" s="1241"/>
      <c r="L22" s="1243" t="s">
        <v>1372</v>
      </c>
      <c r="M22" s="1241"/>
      <c r="N22" s="1243" t="s">
        <v>1372</v>
      </c>
      <c r="O22" s="1241"/>
      <c r="P22" s="1243" t="s">
        <v>1372</v>
      </c>
      <c r="Q22" s="95"/>
      <c r="R22" s="1245" t="s">
        <v>1393</v>
      </c>
    </row>
    <row r="23">
      <c r="A23" s="1232">
        <v>21.0</v>
      </c>
      <c r="B23" s="1234" t="s">
        <v>1412</v>
      </c>
      <c r="C23" s="1236"/>
      <c r="D23" s="1236"/>
      <c r="E23" s="1239"/>
      <c r="F23" s="1239"/>
      <c r="G23" s="1239"/>
      <c r="H23" s="1239"/>
      <c r="I23" s="1258">
        <v>20.0</v>
      </c>
      <c r="J23" s="1258">
        <v>20.0</v>
      </c>
      <c r="K23" s="1258">
        <v>20.0</v>
      </c>
      <c r="L23" s="1258">
        <v>20.0</v>
      </c>
      <c r="M23" s="1258">
        <v>20.0</v>
      </c>
      <c r="N23" s="1258">
        <v>20.0</v>
      </c>
      <c r="O23" s="1258">
        <v>20.0</v>
      </c>
      <c r="P23" s="1258">
        <v>20.0</v>
      </c>
      <c r="Q23" s="95"/>
      <c r="R23" s="1245" t="s">
        <v>1413</v>
      </c>
    </row>
    <row r="24" ht="27.0" customHeight="1">
      <c r="A24" s="1232">
        <v>22.0</v>
      </c>
      <c r="B24" s="1234" t="s">
        <v>1414</v>
      </c>
      <c r="C24" s="1236"/>
      <c r="D24" s="1236"/>
      <c r="E24" s="1263"/>
      <c r="F24" s="1239"/>
      <c r="G24" s="1236"/>
      <c r="H24" s="1243" t="s">
        <v>1372</v>
      </c>
      <c r="I24" s="1236"/>
      <c r="J24" s="1243" t="s">
        <v>1372</v>
      </c>
      <c r="K24" s="1236"/>
      <c r="L24" s="1243" t="s">
        <v>1372</v>
      </c>
      <c r="M24" s="1236"/>
      <c r="N24" s="1243" t="s">
        <v>1372</v>
      </c>
      <c r="O24" s="1236"/>
      <c r="P24" s="1243" t="s">
        <v>1372</v>
      </c>
      <c r="Q24" s="95"/>
      <c r="R24" s="1245" t="s">
        <v>1415</v>
      </c>
    </row>
    <row r="25" ht="28.5" customHeight="1">
      <c r="A25" s="1232" t="s">
        <v>297</v>
      </c>
      <c r="B25" s="1252" t="s">
        <v>1416</v>
      </c>
      <c r="C25" s="1236"/>
      <c r="D25" s="1236"/>
      <c r="E25" s="1239"/>
      <c r="F25" s="1239"/>
      <c r="G25" s="1239"/>
      <c r="H25" s="1239"/>
      <c r="I25" s="1239"/>
      <c r="J25" s="1239"/>
      <c r="K25" s="1239"/>
      <c r="L25" s="1239"/>
      <c r="M25" s="1239"/>
      <c r="N25" s="1239"/>
      <c r="O25" s="1239"/>
      <c r="P25" s="1239"/>
      <c r="Q25" s="95"/>
      <c r="R25" s="1245" t="s">
        <v>1397</v>
      </c>
    </row>
    <row r="26">
      <c r="A26" s="1232" t="s">
        <v>1417</v>
      </c>
      <c r="B26" s="1264"/>
      <c r="C26" s="1265">
        <v>15.0</v>
      </c>
      <c r="D26" s="1265">
        <v>15.0</v>
      </c>
      <c r="E26" s="1265">
        <v>15.0</v>
      </c>
      <c r="F26" s="1266">
        <v>45780.0</v>
      </c>
      <c r="G26" s="1266">
        <v>45780.0</v>
      </c>
      <c r="H26" s="1266">
        <v>45780.0</v>
      </c>
      <c r="I26" s="1266">
        <v>45780.0</v>
      </c>
      <c r="J26" s="1266">
        <v>45780.0</v>
      </c>
      <c r="K26" s="1267"/>
      <c r="L26" s="1267"/>
      <c r="M26" s="1267"/>
      <c r="N26" s="1267"/>
      <c r="O26" s="1267"/>
      <c r="P26" s="1267"/>
      <c r="Q26" s="95"/>
      <c r="R26" s="1268" t="s">
        <v>1418</v>
      </c>
    </row>
    <row r="27">
      <c r="C27" s="195"/>
      <c r="D27" s="195"/>
      <c r="E27" s="1269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</row>
    <row r="28">
      <c r="C28" s="195"/>
      <c r="D28" s="1270"/>
      <c r="E28" s="1272" t="s">
        <v>1419</v>
      </c>
      <c r="F28" s="1273"/>
      <c r="G28" s="1275"/>
      <c r="H28" s="195"/>
      <c r="I28" s="195"/>
      <c r="J28" s="195"/>
      <c r="K28" s="195"/>
      <c r="L28" s="195"/>
      <c r="M28" s="195"/>
      <c r="N28" s="195"/>
      <c r="O28" s="195"/>
      <c r="P28" s="195"/>
      <c r="Q28" s="195"/>
    </row>
    <row r="29">
      <c r="C29" s="195"/>
      <c r="D29" s="1276"/>
      <c r="E29" s="1277" t="s">
        <v>1420</v>
      </c>
      <c r="F29" s="1273"/>
      <c r="G29" s="1275"/>
      <c r="H29" s="195"/>
      <c r="I29" s="195"/>
      <c r="J29" s="195"/>
      <c r="K29" s="195"/>
      <c r="L29" s="195"/>
      <c r="M29" s="195"/>
      <c r="N29" s="195"/>
      <c r="O29" s="195"/>
      <c r="P29" s="195"/>
      <c r="Q29" s="195"/>
    </row>
    <row r="30">
      <c r="C30" s="195"/>
      <c r="D30" s="1278"/>
      <c r="E30" s="1277" t="s">
        <v>1421</v>
      </c>
      <c r="F30" s="1273"/>
      <c r="G30" s="1275"/>
      <c r="H30" s="195"/>
      <c r="I30" s="195"/>
      <c r="J30" s="195"/>
      <c r="K30" s="195"/>
      <c r="L30" s="195"/>
      <c r="M30" s="195"/>
      <c r="N30" s="195"/>
      <c r="O30" s="195"/>
      <c r="P30" s="195"/>
      <c r="Q30" s="195"/>
    </row>
    <row r="31"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</row>
    <row r="32"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</row>
    <row r="33"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</row>
    <row r="34"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</row>
    <row r="35"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</row>
    <row r="36"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</row>
    <row r="37"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</row>
    <row r="38"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</row>
    <row r="39"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</row>
    <row r="40"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</row>
    <row r="41"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</row>
    <row r="42"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</row>
    <row r="43"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</row>
    <row r="44"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</row>
    <row r="45"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</row>
    <row r="46"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</row>
    <row r="47"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</row>
    <row r="48"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</row>
    <row r="49"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</row>
    <row r="50"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</row>
    <row r="51"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</row>
    <row r="52"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</row>
    <row r="53"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</row>
    <row r="54"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</row>
    <row r="55"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</row>
    <row r="56"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</row>
    <row r="57"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</row>
    <row r="58"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</row>
    <row r="59"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</row>
    <row r="60"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</row>
    <row r="61"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</row>
    <row r="62"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</row>
    <row r="63"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</row>
    <row r="64"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</row>
    <row r="65"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</row>
    <row r="66"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</row>
    <row r="67"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</row>
    <row r="68"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</row>
    <row r="69"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</row>
    <row r="70"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</row>
    <row r="71"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</row>
    <row r="72"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</row>
    <row r="73"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</row>
    <row r="74"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</row>
    <row r="75"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</row>
    <row r="76"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</row>
    <row r="77"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</row>
    <row r="78"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</row>
    <row r="79"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</row>
    <row r="80"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</row>
    <row r="81"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</row>
    <row r="82"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</row>
    <row r="83"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</row>
    <row r="84"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</row>
    <row r="85"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</row>
    <row r="86"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</row>
    <row r="87"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</row>
    <row r="88"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</row>
    <row r="89"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</row>
    <row r="90"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</row>
    <row r="91"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</row>
    <row r="92"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</row>
    <row r="93"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</row>
    <row r="94"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</row>
    <row r="95"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</row>
    <row r="96"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</row>
    <row r="97"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</row>
    <row r="98"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</row>
    <row r="99"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</row>
    <row r="100"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</row>
    <row r="101"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</row>
    <row r="102"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</row>
    <row r="103"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</row>
    <row r="104"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</row>
    <row r="105"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</row>
    <row r="106"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</row>
    <row r="107"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</row>
    <row r="108"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</row>
    <row r="109"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</row>
    <row r="110"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</row>
    <row r="111"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</row>
    <row r="112"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</row>
    <row r="113"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</row>
    <row r="114"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</row>
    <row r="115"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</row>
    <row r="116"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</row>
    <row r="117"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</row>
    <row r="118"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</row>
    <row r="119"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</row>
    <row r="120"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</row>
    <row r="121"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</row>
    <row r="122"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</row>
    <row r="123"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</row>
    <row r="124"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</row>
    <row r="125"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</row>
    <row r="126"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</row>
    <row r="127"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</row>
    <row r="128"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</row>
    <row r="129"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</row>
    <row r="130"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</row>
    <row r="131"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</row>
    <row r="132"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</row>
    <row r="133"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</row>
    <row r="134"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</row>
    <row r="135"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</row>
    <row r="136"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</row>
    <row r="137"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</row>
    <row r="138"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</row>
    <row r="139"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</row>
    <row r="140"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</row>
    <row r="141"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</row>
    <row r="142"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</row>
    <row r="143"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</row>
    <row r="144"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</row>
    <row r="145"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</row>
    <row r="146"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</row>
    <row r="147"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</row>
    <row r="148"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</row>
    <row r="149"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</row>
    <row r="150"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</row>
    <row r="151"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</row>
    <row r="152"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</row>
    <row r="153"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</row>
    <row r="154"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</row>
    <row r="155"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</row>
    <row r="156"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</row>
    <row r="157"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</row>
    <row r="158"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</row>
    <row r="159"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</row>
    <row r="160"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</row>
    <row r="161"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</row>
    <row r="162"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</row>
    <row r="163"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</row>
    <row r="164"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</row>
    <row r="165"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</row>
    <row r="166"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</row>
    <row r="167"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</row>
    <row r="168"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</row>
    <row r="169"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</row>
    <row r="170"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</row>
    <row r="171"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</row>
    <row r="172"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</row>
    <row r="173"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</row>
    <row r="174"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</row>
    <row r="175"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</row>
    <row r="176"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</row>
    <row r="177"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</row>
    <row r="178"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</row>
    <row r="179"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</row>
    <row r="180"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</row>
    <row r="181"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</row>
    <row r="182"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</row>
    <row r="183"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</row>
    <row r="184"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</row>
    <row r="185"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</row>
    <row r="186"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</row>
    <row r="187"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</row>
    <row r="188"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</row>
    <row r="189"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</row>
    <row r="190"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</row>
    <row r="191"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</row>
    <row r="192"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</row>
    <row r="193"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</row>
    <row r="194"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</row>
    <row r="195"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</row>
    <row r="196"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</row>
    <row r="197"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</row>
    <row r="198"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</row>
    <row r="199"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</row>
    <row r="200"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</row>
    <row r="201"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</row>
    <row r="202"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</row>
    <row r="203"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</row>
    <row r="204"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</row>
    <row r="205"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</row>
    <row r="206"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</row>
    <row r="207"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</row>
    <row r="208"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</row>
    <row r="209"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</row>
    <row r="210"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</row>
    <row r="211"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</row>
    <row r="212"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</row>
    <row r="213"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</row>
    <row r="214"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</row>
    <row r="215"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</row>
    <row r="216"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</row>
    <row r="217"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</row>
    <row r="218"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</row>
    <row r="219"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</row>
    <row r="220"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</row>
    <row r="221"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</row>
    <row r="222"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</row>
    <row r="223"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</row>
    <row r="224"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</row>
    <row r="225"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</row>
    <row r="226"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</row>
    <row r="227"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</row>
    <row r="228"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</row>
    <row r="229"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</row>
    <row r="230"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</row>
    <row r="231"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</row>
    <row r="232"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</row>
    <row r="233"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</row>
    <row r="234"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</row>
    <row r="235"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</row>
    <row r="236"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</row>
    <row r="237"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</row>
    <row r="238"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</row>
    <row r="239"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</row>
    <row r="240"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</row>
    <row r="241"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</row>
    <row r="242"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</row>
    <row r="243"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</row>
    <row r="244"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</row>
    <row r="245"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</row>
    <row r="246"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</row>
    <row r="247"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</row>
    <row r="248"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</row>
    <row r="249"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</row>
    <row r="250"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</row>
    <row r="251"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</row>
    <row r="252"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</row>
    <row r="253"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</row>
    <row r="254"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</row>
    <row r="255"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</row>
    <row r="256"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</row>
    <row r="257"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</row>
    <row r="258"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</row>
    <row r="259"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</row>
    <row r="260"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</row>
    <row r="261"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</row>
    <row r="262"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</row>
    <row r="263"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</row>
    <row r="264"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</row>
    <row r="265"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</row>
    <row r="266"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</row>
    <row r="267"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</row>
    <row r="268"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</row>
    <row r="269"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</row>
    <row r="270"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</row>
    <row r="271"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</row>
    <row r="272"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</row>
    <row r="273"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</row>
    <row r="274"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</row>
    <row r="275"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</row>
    <row r="276"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</row>
    <row r="277"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</row>
    <row r="278"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</row>
    <row r="279"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</row>
    <row r="280"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</row>
    <row r="281"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</row>
    <row r="282"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</row>
    <row r="283"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</row>
    <row r="284"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</row>
    <row r="285"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</row>
    <row r="286"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</row>
    <row r="287"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</row>
    <row r="288"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</row>
    <row r="289"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</row>
    <row r="290"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</row>
    <row r="291"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</row>
    <row r="292"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</row>
    <row r="293"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</row>
    <row r="294"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</row>
    <row r="295"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</row>
    <row r="296"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</row>
    <row r="297"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</row>
    <row r="298"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</row>
    <row r="299"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</row>
    <row r="300"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</row>
    <row r="301"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</row>
    <row r="302"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</row>
    <row r="303"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</row>
    <row r="304"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</row>
    <row r="305"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</row>
    <row r="306"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</row>
    <row r="307"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</row>
    <row r="308"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</row>
    <row r="309"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</row>
    <row r="310"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</row>
    <row r="311"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</row>
    <row r="312"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</row>
    <row r="313"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</row>
    <row r="314"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</row>
    <row r="315"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</row>
    <row r="316"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</row>
    <row r="317"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</row>
    <row r="318"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</row>
    <row r="319"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</row>
    <row r="320"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</row>
    <row r="321"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</row>
    <row r="322"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</row>
    <row r="323"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</row>
    <row r="324"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</row>
    <row r="325"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</row>
    <row r="326"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</row>
    <row r="327"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</row>
    <row r="328"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</row>
    <row r="329"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</row>
    <row r="330"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</row>
    <row r="331"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</row>
    <row r="332"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</row>
    <row r="333"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</row>
    <row r="334"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</row>
    <row r="335"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</row>
    <row r="336"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</row>
    <row r="337"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</row>
    <row r="338"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</row>
    <row r="339"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</row>
    <row r="340"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</row>
    <row r="341"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</row>
    <row r="342"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</row>
    <row r="343"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</row>
    <row r="344"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</row>
    <row r="345"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</row>
    <row r="346"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</row>
    <row r="347"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</row>
    <row r="348"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</row>
    <row r="349"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</row>
    <row r="350"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</row>
    <row r="351"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</row>
    <row r="352"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</row>
    <row r="353"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</row>
    <row r="354"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</row>
    <row r="355"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</row>
    <row r="356"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</row>
    <row r="357"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</row>
    <row r="358"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</row>
    <row r="359"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</row>
    <row r="360"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</row>
    <row r="361"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</row>
    <row r="362"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</row>
    <row r="363"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</row>
    <row r="364"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</row>
    <row r="365"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</row>
    <row r="366"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</row>
    <row r="367"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</row>
    <row r="368"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</row>
    <row r="369"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</row>
    <row r="370"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</row>
    <row r="371"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</row>
    <row r="372"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</row>
    <row r="373"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</row>
    <row r="374"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</row>
    <row r="375"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</row>
    <row r="376"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</row>
    <row r="377"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</row>
    <row r="378"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</row>
    <row r="379"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</row>
    <row r="380"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</row>
    <row r="381"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</row>
    <row r="382"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</row>
    <row r="383"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</row>
    <row r="384"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</row>
    <row r="385"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</row>
    <row r="386"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</row>
    <row r="387"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</row>
    <row r="388"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</row>
    <row r="389"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</row>
    <row r="390"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</row>
    <row r="391"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</row>
    <row r="392"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</row>
    <row r="393"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</row>
    <row r="394"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</row>
    <row r="395"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</row>
    <row r="396"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</row>
    <row r="397"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</row>
    <row r="398"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</row>
    <row r="399"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</row>
    <row r="400"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</row>
    <row r="401"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</row>
    <row r="402"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</row>
    <row r="403"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</row>
    <row r="404"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</row>
    <row r="405"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</row>
    <row r="406"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</row>
    <row r="407"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</row>
    <row r="408"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</row>
    <row r="409"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</row>
    <row r="410"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</row>
    <row r="411"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</row>
    <row r="412"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</row>
    <row r="413"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</row>
    <row r="414"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</row>
    <row r="415"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</row>
    <row r="416"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</row>
    <row r="417"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</row>
    <row r="418"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</row>
    <row r="419"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</row>
    <row r="420"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</row>
    <row r="421"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</row>
    <row r="422"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</row>
    <row r="423"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</row>
    <row r="424"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</row>
    <row r="425"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</row>
    <row r="426"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</row>
    <row r="427"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</row>
    <row r="428"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</row>
    <row r="429"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</row>
    <row r="430"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</row>
    <row r="431"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</row>
    <row r="432"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</row>
    <row r="433"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</row>
    <row r="434"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</row>
    <row r="435"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</row>
    <row r="436"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</row>
    <row r="437"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</row>
    <row r="438"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</row>
    <row r="439"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</row>
    <row r="440"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</row>
    <row r="441"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</row>
    <row r="442"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</row>
    <row r="443"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</row>
    <row r="444"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</row>
    <row r="445"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</row>
    <row r="446"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</row>
    <row r="447"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</row>
    <row r="448"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</row>
    <row r="449"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</row>
    <row r="450"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</row>
    <row r="451"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</row>
    <row r="452"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</row>
    <row r="453"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</row>
    <row r="454"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</row>
    <row r="455"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</row>
    <row r="456"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</row>
    <row r="457"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</row>
    <row r="458"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</row>
    <row r="459"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</row>
    <row r="460"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</row>
    <row r="461"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</row>
    <row r="462"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</row>
    <row r="463"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</row>
    <row r="464"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</row>
    <row r="465"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</row>
    <row r="466"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</row>
    <row r="467"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</row>
    <row r="468"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</row>
    <row r="469"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</row>
    <row r="470"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</row>
    <row r="471"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</row>
    <row r="472"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</row>
    <row r="473"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</row>
    <row r="474"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</row>
    <row r="475"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</row>
    <row r="476"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</row>
    <row r="477"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</row>
    <row r="478"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</row>
    <row r="479"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</row>
    <row r="480"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</row>
    <row r="481"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</row>
    <row r="482"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</row>
    <row r="483"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</row>
    <row r="484"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</row>
    <row r="485"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</row>
    <row r="486"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</row>
    <row r="487"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</row>
    <row r="488"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</row>
    <row r="489"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</row>
    <row r="490"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</row>
    <row r="491"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</row>
    <row r="492"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</row>
    <row r="493"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</row>
    <row r="494"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</row>
    <row r="495"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</row>
    <row r="496"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</row>
    <row r="497"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</row>
    <row r="498"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</row>
    <row r="499"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</row>
    <row r="500"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</row>
    <row r="501"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</row>
    <row r="502"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</row>
    <row r="503"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</row>
    <row r="504"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</row>
    <row r="505"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</row>
    <row r="506"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</row>
    <row r="507"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</row>
    <row r="508"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</row>
    <row r="509"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</row>
    <row r="510"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</row>
    <row r="511"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</row>
    <row r="512"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</row>
    <row r="513"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</row>
    <row r="514"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</row>
    <row r="515"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</row>
    <row r="516"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</row>
    <row r="517"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</row>
    <row r="518"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</row>
    <row r="519"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</row>
    <row r="520"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</row>
    <row r="521"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</row>
    <row r="522"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</row>
    <row r="523"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</row>
    <row r="524"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</row>
    <row r="525"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</row>
    <row r="526"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</row>
    <row r="527"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</row>
    <row r="528"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</row>
    <row r="529"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</row>
    <row r="530"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</row>
    <row r="531"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</row>
    <row r="532"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</row>
    <row r="533"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</row>
    <row r="534"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</row>
    <row r="535"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</row>
    <row r="536"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</row>
    <row r="537"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</row>
    <row r="538"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</row>
    <row r="539"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</row>
    <row r="540"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</row>
    <row r="541"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</row>
    <row r="542"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</row>
    <row r="543"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</row>
    <row r="544"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</row>
    <row r="545"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</row>
    <row r="546"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</row>
    <row r="547"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</row>
    <row r="548"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</row>
    <row r="549"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</row>
    <row r="550"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</row>
    <row r="551"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</row>
    <row r="552"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</row>
    <row r="553"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</row>
    <row r="554"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</row>
    <row r="555"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</row>
    <row r="556"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</row>
    <row r="557"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</row>
    <row r="558"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</row>
    <row r="559"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</row>
    <row r="560"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</row>
    <row r="561"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</row>
    <row r="562"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</row>
    <row r="563"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</row>
    <row r="564"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</row>
    <row r="565"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</row>
    <row r="566"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</row>
    <row r="567"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</row>
    <row r="568"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</row>
    <row r="569"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</row>
    <row r="570"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</row>
    <row r="571"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</row>
    <row r="572"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</row>
    <row r="573"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</row>
    <row r="574"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</row>
    <row r="575"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</row>
    <row r="576"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</row>
    <row r="577"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</row>
    <row r="578"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</row>
    <row r="579"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</row>
    <row r="580"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</row>
    <row r="581"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</row>
    <row r="582"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</row>
    <row r="583"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</row>
    <row r="584"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</row>
    <row r="585"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</row>
    <row r="586"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</row>
    <row r="587"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</row>
    <row r="588"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</row>
    <row r="589"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</row>
    <row r="590"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</row>
    <row r="591"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</row>
    <row r="592"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</row>
    <row r="593"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</row>
    <row r="594"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</row>
    <row r="595"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</row>
    <row r="596"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</row>
    <row r="597"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</row>
    <row r="598"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</row>
    <row r="599"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</row>
    <row r="600"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</row>
    <row r="601"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</row>
    <row r="602"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</row>
    <row r="603"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</row>
    <row r="604"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</row>
    <row r="605"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</row>
    <row r="606"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</row>
    <row r="607"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</row>
    <row r="608"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</row>
    <row r="609"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</row>
    <row r="610"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</row>
    <row r="611"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</row>
    <row r="612"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</row>
    <row r="613"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</row>
    <row r="614"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</row>
    <row r="615"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</row>
    <row r="616"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</row>
    <row r="617"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</row>
    <row r="618"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</row>
    <row r="619"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</row>
    <row r="620"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</row>
    <row r="621"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</row>
    <row r="622"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</row>
    <row r="623"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</row>
    <row r="624"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</row>
    <row r="625"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</row>
    <row r="626"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</row>
    <row r="627"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</row>
    <row r="628"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</row>
    <row r="629"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</row>
    <row r="630"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</row>
    <row r="631"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</row>
    <row r="632"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</row>
    <row r="633"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</row>
    <row r="634"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</row>
    <row r="635"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</row>
    <row r="636"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</row>
    <row r="637"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</row>
    <row r="638"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</row>
    <row r="639"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</row>
    <row r="640"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</row>
    <row r="641"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</row>
    <row r="642"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</row>
    <row r="643"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</row>
    <row r="644"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</row>
    <row r="645"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</row>
    <row r="646"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</row>
    <row r="647"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</row>
    <row r="648"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</row>
    <row r="649"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</row>
    <row r="650"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</row>
    <row r="651"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</row>
    <row r="652"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</row>
    <row r="653"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</row>
    <row r="654"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</row>
    <row r="655"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</row>
    <row r="656"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</row>
    <row r="657"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</row>
    <row r="658"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</row>
    <row r="659"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</row>
    <row r="660"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</row>
    <row r="661"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</row>
    <row r="662"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</row>
    <row r="663"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</row>
    <row r="664"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</row>
    <row r="665"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</row>
    <row r="666"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</row>
    <row r="667"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</row>
    <row r="668"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</row>
    <row r="669"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</row>
    <row r="670"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</row>
    <row r="671"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</row>
    <row r="672"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</row>
    <row r="673"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</row>
    <row r="674"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</row>
    <row r="675"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</row>
    <row r="676"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</row>
    <row r="677"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</row>
    <row r="678"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</row>
    <row r="679"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</row>
    <row r="680"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</row>
    <row r="681"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</row>
    <row r="682"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</row>
    <row r="683"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</row>
    <row r="684"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</row>
    <row r="685"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</row>
    <row r="686"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</row>
    <row r="687"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</row>
    <row r="688"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</row>
    <row r="689"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</row>
    <row r="690"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</row>
    <row r="691"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</row>
    <row r="692"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</row>
    <row r="693"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</row>
    <row r="694"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</row>
    <row r="695"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</row>
    <row r="696"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</row>
    <row r="697"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</row>
    <row r="698"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</row>
    <row r="699"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</row>
    <row r="700"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</row>
    <row r="701"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</row>
    <row r="702"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</row>
    <row r="703"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</row>
    <row r="704"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</row>
    <row r="705"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</row>
    <row r="706"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</row>
    <row r="707"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</row>
    <row r="708"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</row>
    <row r="709"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</row>
    <row r="710"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</row>
    <row r="711"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</row>
    <row r="712"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</row>
    <row r="713"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</row>
    <row r="714"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</row>
    <row r="715"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</row>
    <row r="716"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</row>
    <row r="717"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</row>
    <row r="718"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</row>
    <row r="719"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</row>
    <row r="720"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</row>
    <row r="721"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</row>
    <row r="722"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</row>
    <row r="723"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</row>
    <row r="724"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</row>
    <row r="725"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</row>
    <row r="726"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</row>
    <row r="727"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</row>
    <row r="728"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</row>
    <row r="729"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</row>
    <row r="730"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</row>
    <row r="731"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</row>
    <row r="732"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</row>
    <row r="733"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</row>
    <row r="734"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</row>
    <row r="735"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</row>
    <row r="736"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</row>
    <row r="737"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</row>
    <row r="738"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</row>
    <row r="739"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</row>
    <row r="740"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</row>
    <row r="741"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</row>
    <row r="742"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</row>
    <row r="743"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</row>
    <row r="744"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</row>
    <row r="745"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</row>
    <row r="746"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</row>
    <row r="747"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</row>
    <row r="748"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</row>
    <row r="749"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</row>
    <row r="750"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</row>
    <row r="751"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</row>
    <row r="752"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</row>
    <row r="753"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</row>
    <row r="754"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</row>
    <row r="755"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</row>
    <row r="756"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</row>
    <row r="757"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</row>
    <row r="758"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</row>
    <row r="759"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</row>
    <row r="760"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</row>
    <row r="761"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</row>
    <row r="762"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</row>
    <row r="763"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</row>
    <row r="764"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</row>
    <row r="765"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</row>
    <row r="766"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</row>
    <row r="767"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</row>
    <row r="768"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</row>
    <row r="769"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</row>
    <row r="770"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</row>
    <row r="771"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</row>
    <row r="772"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</row>
    <row r="773"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</row>
    <row r="774"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</row>
    <row r="775"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</row>
    <row r="776"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</row>
    <row r="777"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</row>
    <row r="778"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</row>
    <row r="779"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</row>
    <row r="780"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</row>
    <row r="781"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</row>
    <row r="782"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</row>
    <row r="783"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</row>
    <row r="784"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</row>
    <row r="785"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</row>
    <row r="786"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</row>
    <row r="787"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</row>
    <row r="788"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</row>
    <row r="789"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</row>
    <row r="790"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</row>
    <row r="791"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</row>
    <row r="792"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</row>
    <row r="793"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</row>
    <row r="794"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</row>
    <row r="795"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</row>
    <row r="796"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</row>
    <row r="797"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</row>
    <row r="798"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</row>
    <row r="799"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</row>
    <row r="800"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</row>
    <row r="801"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</row>
    <row r="802"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</row>
    <row r="803"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</row>
    <row r="804"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</row>
    <row r="805"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</row>
    <row r="806"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</row>
    <row r="807"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</row>
    <row r="808"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</row>
    <row r="809"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</row>
    <row r="810"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</row>
    <row r="811"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</row>
    <row r="812"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</row>
    <row r="813"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</row>
    <row r="814"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</row>
    <row r="815"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</row>
    <row r="816"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</row>
    <row r="817"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</row>
    <row r="818"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</row>
    <row r="819"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</row>
    <row r="820"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</row>
    <row r="821"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</row>
    <row r="822"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</row>
    <row r="823"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</row>
    <row r="824"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</row>
    <row r="825"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</row>
    <row r="826"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</row>
    <row r="827"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</row>
    <row r="828"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</row>
    <row r="829"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</row>
    <row r="830"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</row>
    <row r="831"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</row>
    <row r="832"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</row>
    <row r="833"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</row>
    <row r="834"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</row>
    <row r="835"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</row>
    <row r="836"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</row>
    <row r="837"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</row>
    <row r="838"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</row>
    <row r="839"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</row>
    <row r="840"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</row>
    <row r="841"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</row>
    <row r="842"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</row>
    <row r="843"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</row>
    <row r="844"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</row>
    <row r="845"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</row>
    <row r="846"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</row>
    <row r="847"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</row>
    <row r="848"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</row>
    <row r="849"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</row>
    <row r="850"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</row>
    <row r="851"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</row>
    <row r="852"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</row>
    <row r="853"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</row>
    <row r="854"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</row>
    <row r="855"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</row>
    <row r="856"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</row>
    <row r="857"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</row>
    <row r="858"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</row>
    <row r="859"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</row>
    <row r="860"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</row>
    <row r="861"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</row>
    <row r="862"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</row>
    <row r="863"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</row>
    <row r="864"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</row>
    <row r="865"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</row>
    <row r="866"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</row>
    <row r="867"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</row>
    <row r="868"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</row>
    <row r="869"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</row>
    <row r="870"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</row>
    <row r="871"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</row>
    <row r="872"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</row>
    <row r="873"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</row>
    <row r="874"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</row>
    <row r="875"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</row>
    <row r="876"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</row>
    <row r="877"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</row>
    <row r="878"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</row>
    <row r="879"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</row>
    <row r="880"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</row>
    <row r="881"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</row>
    <row r="882"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</row>
    <row r="883"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</row>
    <row r="884"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</row>
    <row r="885"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</row>
    <row r="886"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</row>
    <row r="887"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</row>
    <row r="888"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</row>
    <row r="889"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</row>
    <row r="890"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</row>
    <row r="891"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</row>
    <row r="892"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</row>
    <row r="893"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</row>
    <row r="894"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</row>
    <row r="895"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</row>
    <row r="896"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</row>
    <row r="897"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</row>
    <row r="898"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</row>
    <row r="899"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</row>
    <row r="900"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</row>
    <row r="901"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</row>
    <row r="902"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</row>
    <row r="903"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</row>
    <row r="904"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</row>
    <row r="905"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</row>
    <row r="906"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</row>
    <row r="907"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</row>
    <row r="908"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</row>
    <row r="909"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</row>
    <row r="910"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</row>
    <row r="911"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</row>
    <row r="912"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</row>
    <row r="913"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</row>
    <row r="914"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</row>
    <row r="915"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</row>
    <row r="916"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</row>
    <row r="917"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</row>
    <row r="918"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</row>
    <row r="919"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</row>
    <row r="920"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</row>
    <row r="921"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</row>
    <row r="922"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</row>
    <row r="923"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</row>
    <row r="924"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</row>
    <row r="925"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</row>
    <row r="926"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</row>
    <row r="927"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</row>
    <row r="928"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</row>
    <row r="929"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</row>
    <row r="930"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</row>
    <row r="931"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</row>
    <row r="932"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</row>
    <row r="933"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</row>
    <row r="934"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</row>
    <row r="935"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</row>
    <row r="936"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</row>
    <row r="937"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</row>
    <row r="938"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</row>
    <row r="939"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</row>
    <row r="940"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</row>
    <row r="941"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</row>
    <row r="942"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</row>
    <row r="943"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</row>
    <row r="944"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</row>
    <row r="945"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</row>
    <row r="946"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</row>
    <row r="947"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</row>
    <row r="948"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</row>
    <row r="949"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</row>
    <row r="950"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</row>
    <row r="951"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</row>
    <row r="952"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</row>
    <row r="953"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</row>
    <row r="954"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</row>
    <row r="955"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</row>
    <row r="956"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</row>
    <row r="957"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</row>
    <row r="958"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</row>
    <row r="959"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</row>
    <row r="960"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</row>
    <row r="961"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</row>
    <row r="962"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</row>
    <row r="963"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</row>
    <row r="964"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</row>
    <row r="965"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</row>
    <row r="966"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</row>
    <row r="967"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</row>
    <row r="968"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</row>
    <row r="969"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</row>
    <row r="970"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</row>
    <row r="971"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</row>
    <row r="972"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</row>
    <row r="973"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</row>
    <row r="974"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</row>
    <row r="975"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</row>
    <row r="976"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</row>
    <row r="977"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</row>
    <row r="978"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</row>
    <row r="979"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</row>
    <row r="980"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</row>
    <row r="981"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</row>
    <row r="982"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</row>
    <row r="983"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</row>
    <row r="984"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</row>
    <row r="985"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</row>
    <row r="986"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</row>
    <row r="987"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</row>
    <row r="988"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</row>
    <row r="989"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</row>
    <row r="990"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</row>
    <row r="991"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</row>
    <row r="992"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</row>
    <row r="993"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</row>
    <row r="994"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</row>
    <row r="995"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</row>
    <row r="996"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</row>
    <row r="997"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</row>
    <row r="998"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</row>
  </sheetData>
  <mergeCells count="4">
    <mergeCell ref="R14:R15"/>
    <mergeCell ref="E28:G28"/>
    <mergeCell ref="E29:G29"/>
    <mergeCell ref="E30:G30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44"/>
    <col customWidth="1" min="2" max="2" width="52.67"/>
    <col customWidth="1" min="3" max="3" width="8.67"/>
    <col customWidth="1" min="4" max="4" width="29.0"/>
    <col customWidth="1" min="5" max="5" width="10.44"/>
    <col customWidth="1" min="6" max="6" width="29.0"/>
    <col customWidth="1" min="7" max="7" width="14.56"/>
    <col customWidth="1" min="8" max="8" width="24.56"/>
  </cols>
  <sheetData>
    <row r="1">
      <c r="A1" s="1328" t="s">
        <v>1426</v>
      </c>
      <c r="B1" s="1328" t="s">
        <v>471</v>
      </c>
      <c r="C1" s="1328" t="s">
        <v>1427</v>
      </c>
      <c r="D1" s="1328" t="s">
        <v>1428</v>
      </c>
      <c r="E1" s="1328" t="s">
        <v>1429</v>
      </c>
      <c r="F1" s="1328" t="s">
        <v>1430</v>
      </c>
      <c r="G1" s="1328" t="s">
        <v>1431</v>
      </c>
      <c r="H1" s="1328" t="s">
        <v>479</v>
      </c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>
      <c r="A2" s="50">
        <v>1050.0</v>
      </c>
      <c r="B2" s="50" t="s">
        <v>542</v>
      </c>
      <c r="C2" s="50">
        <v>3906.0</v>
      </c>
      <c r="D2" s="50" t="s">
        <v>1432</v>
      </c>
      <c r="G2" s="50" t="s">
        <v>1433</v>
      </c>
    </row>
    <row r="3">
      <c r="A3" s="50">
        <v>3025.0</v>
      </c>
      <c r="B3" s="50" t="s">
        <v>1434</v>
      </c>
      <c r="C3" s="50">
        <v>3906.0</v>
      </c>
      <c r="D3" s="50" t="s">
        <v>1432</v>
      </c>
      <c r="G3" s="50" t="s">
        <v>1433</v>
      </c>
    </row>
    <row r="4">
      <c r="A4" s="50">
        <v>3362.0</v>
      </c>
      <c r="B4" s="50" t="s">
        <v>1435</v>
      </c>
      <c r="E4" s="50">
        <v>2263.0</v>
      </c>
      <c r="F4" s="50" t="s">
        <v>1436</v>
      </c>
      <c r="G4" s="50" t="s">
        <v>1437</v>
      </c>
    </row>
    <row r="5">
      <c r="A5" s="50">
        <v>3351.0</v>
      </c>
      <c r="B5" s="50" t="s">
        <v>1438</v>
      </c>
      <c r="E5" s="50">
        <v>2278.0</v>
      </c>
      <c r="F5" s="50" t="s">
        <v>1439</v>
      </c>
      <c r="G5" s="50" t="s">
        <v>1437</v>
      </c>
    </row>
    <row r="6">
      <c r="A6" s="50">
        <v>3462.0</v>
      </c>
      <c r="B6" s="50" t="s">
        <v>1440</v>
      </c>
      <c r="E6" s="50">
        <v>2247.0</v>
      </c>
      <c r="F6" s="50" t="s">
        <v>1441</v>
      </c>
      <c r="G6" s="50" t="s">
        <v>1437</v>
      </c>
    </row>
    <row r="7">
      <c r="A7" s="50">
        <v>3361.0</v>
      </c>
      <c r="B7" s="50" t="s">
        <v>1442</v>
      </c>
      <c r="E7" s="50">
        <v>487.0</v>
      </c>
      <c r="F7" s="50" t="s">
        <v>1443</v>
      </c>
      <c r="G7" s="50" t="s">
        <v>1437</v>
      </c>
    </row>
    <row r="8">
      <c r="A8" s="50">
        <v>3352.0</v>
      </c>
      <c r="B8" s="50" t="s">
        <v>1444</v>
      </c>
      <c r="E8" s="50">
        <v>2247.0</v>
      </c>
      <c r="F8" s="50" t="s">
        <v>1441</v>
      </c>
      <c r="G8" s="50" t="s">
        <v>1437</v>
      </c>
    </row>
    <row r="9">
      <c r="A9" s="50">
        <v>3405.0</v>
      </c>
      <c r="B9" s="50" t="s">
        <v>1445</v>
      </c>
      <c r="E9" s="50">
        <v>487.0</v>
      </c>
      <c r="F9" s="50" t="s">
        <v>1443</v>
      </c>
      <c r="G9" s="50" t="s">
        <v>1437</v>
      </c>
    </row>
    <row r="10">
      <c r="A10" s="50">
        <v>3303.0</v>
      </c>
      <c r="B10" s="50" t="s">
        <v>1446</v>
      </c>
      <c r="E10" s="50">
        <v>2264.0</v>
      </c>
      <c r="F10" s="50" t="s">
        <v>1447</v>
      </c>
      <c r="G10" s="50" t="s">
        <v>1437</v>
      </c>
    </row>
    <row r="11">
      <c r="A11" s="50">
        <v>3541.0</v>
      </c>
      <c r="B11" s="50" t="s">
        <v>1448</v>
      </c>
      <c r="E11" s="50">
        <v>2263.0</v>
      </c>
      <c r="F11" s="50" t="s">
        <v>1436</v>
      </c>
      <c r="G11" s="50" t="s">
        <v>1437</v>
      </c>
    </row>
    <row r="12">
      <c r="A12" s="50">
        <v>2163.0</v>
      </c>
      <c r="B12" s="50" t="s">
        <v>1449</v>
      </c>
      <c r="E12" s="50">
        <v>2278.0</v>
      </c>
      <c r="F12" s="50" t="s">
        <v>1439</v>
      </c>
      <c r="G12" s="50" t="s">
        <v>1437</v>
      </c>
    </row>
    <row r="13">
      <c r="A13" s="50">
        <v>3307.0</v>
      </c>
      <c r="B13" s="50" t="s">
        <v>1450</v>
      </c>
      <c r="G13" s="50" t="s">
        <v>1451</v>
      </c>
    </row>
    <row r="14">
      <c r="A14" s="50">
        <v>219.0</v>
      </c>
      <c r="B14" s="50" t="s">
        <v>642</v>
      </c>
      <c r="C14" s="50">
        <v>3906.0</v>
      </c>
      <c r="D14" s="50" t="s">
        <v>1432</v>
      </c>
      <c r="E14" s="50">
        <v>487.0</v>
      </c>
      <c r="F14" s="50" t="s">
        <v>1443</v>
      </c>
      <c r="G14" s="50" t="s">
        <v>1452</v>
      </c>
    </row>
    <row r="15">
      <c r="A15" s="50">
        <v>737.0</v>
      </c>
      <c r="B15" s="50" t="s">
        <v>1453</v>
      </c>
      <c r="G15" s="50" t="s">
        <v>1451</v>
      </c>
    </row>
    <row r="16">
      <c r="A16" s="50">
        <v>2904.0</v>
      </c>
      <c r="B16" s="50" t="s">
        <v>420</v>
      </c>
      <c r="G16" s="50" t="s">
        <v>1451</v>
      </c>
    </row>
    <row r="17">
      <c r="A17" s="50">
        <v>384.0</v>
      </c>
      <c r="B17" s="50" t="s">
        <v>1454</v>
      </c>
      <c r="C17" s="50">
        <v>2249.0</v>
      </c>
      <c r="D17" s="50" t="s">
        <v>1455</v>
      </c>
      <c r="E17" s="50">
        <v>2247.0</v>
      </c>
      <c r="F17" s="50" t="s">
        <v>1441</v>
      </c>
      <c r="G17" s="50" t="s">
        <v>1452</v>
      </c>
    </row>
    <row r="18">
      <c r="A18" s="50">
        <v>804.0</v>
      </c>
      <c r="B18" s="50" t="s">
        <v>1456</v>
      </c>
      <c r="C18" s="50">
        <v>2249.0</v>
      </c>
      <c r="D18" s="50" t="s">
        <v>1455</v>
      </c>
      <c r="E18" s="50">
        <v>2263.0</v>
      </c>
      <c r="F18" s="50" t="s">
        <v>1436</v>
      </c>
      <c r="G18" s="50" t="s">
        <v>1452</v>
      </c>
    </row>
    <row r="19">
      <c r="A19" s="50">
        <v>642.0</v>
      </c>
      <c r="B19" s="50" t="s">
        <v>1457</v>
      </c>
      <c r="C19" s="50">
        <v>2249.0</v>
      </c>
      <c r="D19" s="50" t="s">
        <v>1455</v>
      </c>
      <c r="E19" s="50">
        <v>487.0</v>
      </c>
      <c r="F19" s="50" t="s">
        <v>1443</v>
      </c>
      <c r="G19" s="50" t="s">
        <v>1452</v>
      </c>
    </row>
    <row r="20">
      <c r="A20" s="50">
        <v>370.0</v>
      </c>
      <c r="B20" s="50" t="s">
        <v>1458</v>
      </c>
      <c r="G20" s="50" t="s">
        <v>1451</v>
      </c>
    </row>
    <row r="21">
      <c r="A21" s="50">
        <v>886.0</v>
      </c>
      <c r="B21" s="50" t="s">
        <v>742</v>
      </c>
      <c r="C21" s="50">
        <v>2249.0</v>
      </c>
      <c r="D21" s="50" t="s">
        <v>1455</v>
      </c>
      <c r="E21" s="50">
        <v>2263.0</v>
      </c>
      <c r="F21" s="50" t="s">
        <v>1436</v>
      </c>
      <c r="G21" s="50" t="s">
        <v>1452</v>
      </c>
    </row>
    <row r="22">
      <c r="A22" s="50">
        <v>372.0</v>
      </c>
      <c r="B22" s="50" t="s">
        <v>1245</v>
      </c>
      <c r="C22" s="50">
        <v>2249.0</v>
      </c>
      <c r="D22" s="50" t="s">
        <v>1455</v>
      </c>
      <c r="E22" s="50">
        <v>2247.0</v>
      </c>
      <c r="F22" s="50" t="s">
        <v>1441</v>
      </c>
      <c r="G22" s="50" t="s">
        <v>1452</v>
      </c>
    </row>
    <row r="23">
      <c r="A23" s="50">
        <v>984.0</v>
      </c>
      <c r="B23" s="50" t="s">
        <v>702</v>
      </c>
      <c r="C23" s="50">
        <v>2249.0</v>
      </c>
      <c r="D23" s="50" t="s">
        <v>1455</v>
      </c>
      <c r="E23" s="50">
        <v>2247.0</v>
      </c>
      <c r="F23" s="50" t="s">
        <v>1441</v>
      </c>
      <c r="G23" s="50" t="s">
        <v>1452</v>
      </c>
    </row>
    <row r="24">
      <c r="A24" s="50">
        <v>859.0</v>
      </c>
      <c r="B24" s="50" t="s">
        <v>292</v>
      </c>
      <c r="C24" s="50">
        <v>2249.0</v>
      </c>
      <c r="D24" s="50" t="s">
        <v>1455</v>
      </c>
      <c r="E24" s="50">
        <v>2278.0</v>
      </c>
      <c r="F24" s="50" t="s">
        <v>1439</v>
      </c>
      <c r="G24" s="50" t="s">
        <v>1452</v>
      </c>
    </row>
    <row r="25">
      <c r="A25" s="50">
        <v>885.0</v>
      </c>
      <c r="B25" s="50" t="s">
        <v>1459</v>
      </c>
      <c r="C25" s="50">
        <v>2249.0</v>
      </c>
      <c r="D25" s="50" t="s">
        <v>1455</v>
      </c>
      <c r="E25" s="50">
        <v>487.0</v>
      </c>
      <c r="F25" s="50" t="s">
        <v>1443</v>
      </c>
      <c r="G25" s="50" t="s">
        <v>1452</v>
      </c>
    </row>
    <row r="26">
      <c r="A26" s="50">
        <v>1080.0</v>
      </c>
      <c r="B26" s="50" t="s">
        <v>1460</v>
      </c>
      <c r="C26" s="50">
        <v>2249.0</v>
      </c>
      <c r="D26" s="50" t="s">
        <v>1455</v>
      </c>
      <c r="E26" s="50">
        <v>2248.0</v>
      </c>
      <c r="F26" s="50" t="s">
        <v>1461</v>
      </c>
      <c r="G26" s="50" t="s">
        <v>1452</v>
      </c>
    </row>
    <row r="27">
      <c r="A27" s="50">
        <v>2019.0</v>
      </c>
      <c r="B27" s="50" t="s">
        <v>1462</v>
      </c>
      <c r="C27" s="50">
        <v>2249.0</v>
      </c>
      <c r="D27" s="50" t="s">
        <v>1455</v>
      </c>
      <c r="G27" s="50" t="s">
        <v>1433</v>
      </c>
    </row>
    <row r="28">
      <c r="A28" s="50">
        <v>1122.0</v>
      </c>
      <c r="B28" s="50" t="s">
        <v>1463</v>
      </c>
      <c r="C28" s="50">
        <v>2249.0</v>
      </c>
      <c r="D28" s="50" t="s">
        <v>1455</v>
      </c>
      <c r="E28" s="50">
        <v>2264.0</v>
      </c>
      <c r="F28" s="50" t="s">
        <v>1447</v>
      </c>
      <c r="G28" s="50" t="s">
        <v>1452</v>
      </c>
    </row>
    <row r="29">
      <c r="A29" s="50">
        <v>2249.0</v>
      </c>
      <c r="B29" s="50" t="s">
        <v>1464</v>
      </c>
      <c r="C29" s="50">
        <v>2249.0</v>
      </c>
      <c r="D29" s="50" t="s">
        <v>1455</v>
      </c>
      <c r="G29" s="50" t="s">
        <v>1433</v>
      </c>
    </row>
    <row r="30">
      <c r="A30" s="50">
        <v>143.0</v>
      </c>
      <c r="B30" s="50" t="s">
        <v>1465</v>
      </c>
      <c r="G30" s="50" t="s">
        <v>1451</v>
      </c>
    </row>
    <row r="31">
      <c r="A31" s="50">
        <v>146.0</v>
      </c>
      <c r="B31" s="50" t="s">
        <v>1466</v>
      </c>
      <c r="E31" s="50">
        <v>2264.0</v>
      </c>
      <c r="F31" s="50" t="s">
        <v>1447</v>
      </c>
      <c r="G31" s="50" t="s">
        <v>1437</v>
      </c>
    </row>
    <row r="32">
      <c r="A32" s="50">
        <v>1040.0</v>
      </c>
      <c r="B32" s="50" t="s">
        <v>1467</v>
      </c>
      <c r="E32" s="50">
        <v>2247.0</v>
      </c>
      <c r="F32" s="50" t="s">
        <v>1441</v>
      </c>
      <c r="G32" s="50" t="s">
        <v>1437</v>
      </c>
    </row>
    <row r="33">
      <c r="A33" s="50">
        <v>1345.0</v>
      </c>
      <c r="B33" s="50" t="s">
        <v>1468</v>
      </c>
      <c r="G33" s="50" t="s">
        <v>1451</v>
      </c>
    </row>
    <row r="34">
      <c r="A34" s="50">
        <v>681.0</v>
      </c>
      <c r="B34" s="50" t="s">
        <v>1469</v>
      </c>
      <c r="E34" s="50">
        <v>2264.0</v>
      </c>
      <c r="F34" s="50" t="s">
        <v>1447</v>
      </c>
      <c r="G34" s="50" t="s">
        <v>1437</v>
      </c>
    </row>
    <row r="35">
      <c r="A35" s="50">
        <v>606.0</v>
      </c>
      <c r="B35" s="50" t="s">
        <v>1470</v>
      </c>
      <c r="E35" s="50">
        <v>2263.0</v>
      </c>
      <c r="F35" s="50" t="s">
        <v>1436</v>
      </c>
      <c r="G35" s="50" t="s">
        <v>1437</v>
      </c>
    </row>
    <row r="36">
      <c r="A36" s="50">
        <v>2092.0</v>
      </c>
      <c r="B36" s="50" t="s">
        <v>1471</v>
      </c>
      <c r="E36" s="50">
        <v>2247.0</v>
      </c>
      <c r="F36" s="50" t="s">
        <v>1441</v>
      </c>
      <c r="G36" s="50" t="s">
        <v>1437</v>
      </c>
    </row>
    <row r="37">
      <c r="A37" s="50">
        <v>762.0</v>
      </c>
      <c r="B37" s="50" t="s">
        <v>1472</v>
      </c>
      <c r="G37" s="50" t="s">
        <v>1451</v>
      </c>
    </row>
    <row r="38">
      <c r="A38" s="50">
        <v>439.0</v>
      </c>
      <c r="B38" s="50" t="s">
        <v>1473</v>
      </c>
      <c r="C38" s="50">
        <v>1269.0</v>
      </c>
      <c r="D38" s="50" t="s">
        <v>1474</v>
      </c>
      <c r="G38" s="50" t="s">
        <v>1433</v>
      </c>
    </row>
    <row r="39">
      <c r="A39" s="50">
        <v>436.0</v>
      </c>
      <c r="B39" s="50" t="s">
        <v>1475</v>
      </c>
      <c r="C39" s="50">
        <v>1269.0</v>
      </c>
      <c r="D39" s="50" t="s">
        <v>1474</v>
      </c>
      <c r="E39" s="50">
        <v>2264.0</v>
      </c>
      <c r="F39" s="50" t="s">
        <v>1447</v>
      </c>
      <c r="G39" s="50" t="s">
        <v>1452</v>
      </c>
    </row>
    <row r="40">
      <c r="A40" s="50">
        <v>2895.0</v>
      </c>
      <c r="B40" s="50" t="s">
        <v>1476</v>
      </c>
      <c r="G40" s="50" t="s">
        <v>1451</v>
      </c>
    </row>
    <row r="41">
      <c r="A41" s="50">
        <v>3008.0</v>
      </c>
      <c r="B41" s="50" t="s">
        <v>789</v>
      </c>
      <c r="E41" s="50">
        <v>2263.0</v>
      </c>
      <c r="F41" s="50" t="s">
        <v>1436</v>
      </c>
      <c r="G41" s="50" t="s">
        <v>1437</v>
      </c>
    </row>
    <row r="42">
      <c r="A42" s="50">
        <v>2992.0</v>
      </c>
      <c r="B42" s="50" t="s">
        <v>1477</v>
      </c>
      <c r="E42" s="50">
        <v>2247.0</v>
      </c>
      <c r="F42" s="50" t="s">
        <v>1441</v>
      </c>
      <c r="G42" s="50" t="s">
        <v>1437</v>
      </c>
    </row>
    <row r="43">
      <c r="A43" s="50">
        <v>2829.0</v>
      </c>
      <c r="B43" s="50" t="s">
        <v>1478</v>
      </c>
      <c r="E43" s="50">
        <v>2247.0</v>
      </c>
      <c r="F43" s="50" t="s">
        <v>1441</v>
      </c>
      <c r="G43" s="50" t="s">
        <v>1437</v>
      </c>
    </row>
    <row r="44">
      <c r="A44" s="50">
        <v>2959.0</v>
      </c>
      <c r="B44" s="50" t="s">
        <v>1479</v>
      </c>
      <c r="E44" s="50">
        <v>2278.0</v>
      </c>
      <c r="F44" s="50" t="s">
        <v>1439</v>
      </c>
      <c r="G44" s="50" t="s">
        <v>1437</v>
      </c>
    </row>
    <row r="45">
      <c r="A45" s="50">
        <v>3198.0</v>
      </c>
      <c r="B45" s="50" t="s">
        <v>1480</v>
      </c>
      <c r="E45" s="50">
        <v>2248.0</v>
      </c>
      <c r="F45" s="50" t="s">
        <v>1461</v>
      </c>
      <c r="G45" s="50" t="s">
        <v>1437</v>
      </c>
    </row>
    <row r="46">
      <c r="A46" s="50">
        <v>1024.0</v>
      </c>
      <c r="B46" s="50" t="s">
        <v>1481</v>
      </c>
      <c r="E46" s="50">
        <v>487.0</v>
      </c>
      <c r="F46" s="50" t="s">
        <v>1443</v>
      </c>
      <c r="G46" s="50" t="s">
        <v>1437</v>
      </c>
    </row>
    <row r="47">
      <c r="A47" s="50">
        <v>1269.0</v>
      </c>
      <c r="B47" s="50" t="s">
        <v>1482</v>
      </c>
      <c r="E47" s="50">
        <v>2247.0</v>
      </c>
      <c r="F47" s="50" t="s">
        <v>1441</v>
      </c>
      <c r="G47" s="50" t="s">
        <v>1437</v>
      </c>
    </row>
    <row r="48">
      <c r="A48" s="50">
        <v>926.0</v>
      </c>
      <c r="B48" s="50" t="s">
        <v>1483</v>
      </c>
      <c r="E48" s="50">
        <v>2247.0</v>
      </c>
      <c r="F48" s="50" t="s">
        <v>1441</v>
      </c>
      <c r="G48" s="50" t="s">
        <v>1437</v>
      </c>
    </row>
    <row r="49">
      <c r="A49" s="50">
        <v>1030.0</v>
      </c>
      <c r="B49" s="50" t="s">
        <v>1484</v>
      </c>
      <c r="E49" s="50">
        <v>2278.0</v>
      </c>
      <c r="F49" s="50" t="s">
        <v>1439</v>
      </c>
      <c r="G49" s="50" t="s">
        <v>1437</v>
      </c>
    </row>
    <row r="50">
      <c r="A50" s="50">
        <v>875.0</v>
      </c>
      <c r="B50" s="50" t="s">
        <v>1485</v>
      </c>
      <c r="E50" s="50">
        <v>487.0</v>
      </c>
      <c r="F50" s="50" t="s">
        <v>1443</v>
      </c>
      <c r="G50" s="50" t="s">
        <v>1437</v>
      </c>
    </row>
    <row r="51">
      <c r="A51" s="50">
        <v>3731.0</v>
      </c>
      <c r="B51" s="50" t="s">
        <v>681</v>
      </c>
      <c r="C51" s="50">
        <v>1269.0</v>
      </c>
      <c r="D51" s="50" t="s">
        <v>1474</v>
      </c>
      <c r="E51" s="50">
        <v>2263.0</v>
      </c>
      <c r="F51" s="50" t="s">
        <v>1436</v>
      </c>
      <c r="G51" s="50" t="s">
        <v>1452</v>
      </c>
    </row>
    <row r="52">
      <c r="A52" s="50">
        <v>3591.0</v>
      </c>
      <c r="B52" s="50" t="s">
        <v>1486</v>
      </c>
      <c r="C52" s="50">
        <v>1269.0</v>
      </c>
      <c r="D52" s="50" t="s">
        <v>1474</v>
      </c>
      <c r="E52" s="50">
        <v>2278.0</v>
      </c>
      <c r="F52" s="50" t="s">
        <v>1439</v>
      </c>
      <c r="G52" s="50" t="s">
        <v>1452</v>
      </c>
    </row>
    <row r="53">
      <c r="A53" s="50">
        <v>3671.0</v>
      </c>
      <c r="B53" s="50" t="s">
        <v>1487</v>
      </c>
      <c r="C53" s="50">
        <v>1269.0</v>
      </c>
      <c r="D53" s="50" t="s">
        <v>1474</v>
      </c>
      <c r="E53" s="50">
        <v>2263.0</v>
      </c>
      <c r="F53" s="50" t="s">
        <v>1436</v>
      </c>
      <c r="G53" s="50" t="s">
        <v>1452</v>
      </c>
    </row>
    <row r="54">
      <c r="A54" s="50">
        <v>3177.0</v>
      </c>
      <c r="B54" s="50" t="s">
        <v>1488</v>
      </c>
      <c r="E54" s="50">
        <v>487.0</v>
      </c>
      <c r="F54" s="50" t="s">
        <v>1443</v>
      </c>
      <c r="G54" s="50" t="s">
        <v>1437</v>
      </c>
    </row>
    <row r="55">
      <c r="A55" s="50">
        <v>2553.0</v>
      </c>
      <c r="B55" s="50" t="s">
        <v>1489</v>
      </c>
      <c r="G55" s="50" t="s">
        <v>1451</v>
      </c>
    </row>
    <row r="56">
      <c r="A56" s="50">
        <v>2562.0</v>
      </c>
      <c r="B56" s="50" t="s">
        <v>1490</v>
      </c>
      <c r="E56" s="50">
        <v>2247.0</v>
      </c>
      <c r="F56" s="50" t="s">
        <v>1441</v>
      </c>
      <c r="G56" s="50" t="s">
        <v>1437</v>
      </c>
    </row>
    <row r="57">
      <c r="A57" s="50">
        <v>2532.0</v>
      </c>
      <c r="B57" s="50" t="s">
        <v>1491</v>
      </c>
      <c r="E57" s="50">
        <v>2247.0</v>
      </c>
      <c r="F57" s="50" t="s">
        <v>1441</v>
      </c>
      <c r="G57" s="50" t="s">
        <v>1437</v>
      </c>
    </row>
    <row r="58">
      <c r="A58" s="50">
        <v>2698.0</v>
      </c>
      <c r="B58" s="50" t="s">
        <v>1492</v>
      </c>
      <c r="E58" s="50">
        <v>2264.0</v>
      </c>
      <c r="F58" s="50" t="s">
        <v>1447</v>
      </c>
      <c r="G58" s="50" t="s">
        <v>1437</v>
      </c>
    </row>
    <row r="59">
      <c r="A59" s="50">
        <v>3441.0</v>
      </c>
      <c r="B59" s="50" t="s">
        <v>1493</v>
      </c>
      <c r="E59" s="50">
        <v>2278.0</v>
      </c>
      <c r="F59" s="50" t="s">
        <v>1439</v>
      </c>
      <c r="G59" s="50" t="s">
        <v>1437</v>
      </c>
    </row>
    <row r="60">
      <c r="A60" s="50">
        <v>3440.0</v>
      </c>
      <c r="B60" s="50" t="s">
        <v>1494</v>
      </c>
      <c r="E60" s="50">
        <v>2247.0</v>
      </c>
      <c r="F60" s="50" t="s">
        <v>1441</v>
      </c>
      <c r="G60" s="50" t="s">
        <v>1437</v>
      </c>
    </row>
    <row r="61">
      <c r="A61" s="50">
        <v>89.0</v>
      </c>
      <c r="B61" s="50" t="s">
        <v>460</v>
      </c>
      <c r="G61" s="50" t="s">
        <v>1451</v>
      </c>
    </row>
    <row r="62">
      <c r="A62" s="50">
        <v>88.0</v>
      </c>
      <c r="B62" s="50" t="s">
        <v>1495</v>
      </c>
      <c r="G62" s="50" t="s">
        <v>1451</v>
      </c>
    </row>
    <row r="63">
      <c r="A63" s="50">
        <v>114.0</v>
      </c>
      <c r="B63" s="50" t="s">
        <v>1496</v>
      </c>
      <c r="G63" s="50" t="s">
        <v>1451</v>
      </c>
    </row>
    <row r="64">
      <c r="A64" s="50">
        <v>101.0</v>
      </c>
      <c r="B64" s="50" t="s">
        <v>1497</v>
      </c>
      <c r="G64" s="50" t="s">
        <v>1451</v>
      </c>
    </row>
    <row r="65">
      <c r="A65" s="50">
        <v>596.0</v>
      </c>
      <c r="B65" s="50" t="s">
        <v>1498</v>
      </c>
      <c r="G65" s="50" t="s">
        <v>1451</v>
      </c>
    </row>
    <row r="66">
      <c r="A66" s="50">
        <v>1000.0</v>
      </c>
      <c r="B66" s="50" t="s">
        <v>1499</v>
      </c>
      <c r="G66" s="50" t="s">
        <v>1451</v>
      </c>
    </row>
    <row r="67">
      <c r="A67" s="50">
        <v>2884.0</v>
      </c>
      <c r="B67" s="50" t="s">
        <v>1500</v>
      </c>
      <c r="G67" s="50" t="s">
        <v>1451</v>
      </c>
    </row>
    <row r="68">
      <c r="A68" s="50">
        <v>1922.0</v>
      </c>
      <c r="B68" s="50" t="s">
        <v>1501</v>
      </c>
      <c r="G68" s="50" t="s">
        <v>1451</v>
      </c>
    </row>
    <row r="69">
      <c r="A69" s="50">
        <v>2388.0</v>
      </c>
      <c r="B69" s="50" t="s">
        <v>1502</v>
      </c>
      <c r="G69" s="50" t="s">
        <v>1451</v>
      </c>
    </row>
    <row r="70">
      <c r="A70" s="50">
        <v>1916.0</v>
      </c>
      <c r="B70" s="50" t="s">
        <v>1503</v>
      </c>
      <c r="G70" s="50" t="s">
        <v>1451</v>
      </c>
    </row>
    <row r="71">
      <c r="A71" s="50">
        <v>1919.0</v>
      </c>
      <c r="B71" s="50" t="s">
        <v>1504</v>
      </c>
      <c r="G71" s="50" t="s">
        <v>1451</v>
      </c>
    </row>
    <row r="72">
      <c r="A72" s="50">
        <v>2349.0</v>
      </c>
      <c r="B72" s="50" t="s">
        <v>1505</v>
      </c>
      <c r="G72" s="50" t="s">
        <v>1451</v>
      </c>
    </row>
    <row r="73">
      <c r="A73" s="50">
        <v>3237.0</v>
      </c>
      <c r="B73" s="50" t="s">
        <v>1506</v>
      </c>
      <c r="G73" s="50" t="s">
        <v>1451</v>
      </c>
    </row>
    <row r="74">
      <c r="A74" s="50">
        <v>1917.0</v>
      </c>
      <c r="B74" s="50" t="s">
        <v>1507</v>
      </c>
      <c r="G74" s="50" t="s">
        <v>1451</v>
      </c>
    </row>
    <row r="75">
      <c r="A75" s="50">
        <v>3495.0</v>
      </c>
      <c r="B75" s="50" t="s">
        <v>945</v>
      </c>
      <c r="G75" s="50" t="s">
        <v>1451</v>
      </c>
    </row>
    <row r="76">
      <c r="A76" s="50">
        <v>691.0</v>
      </c>
      <c r="B76" s="50" t="s">
        <v>957</v>
      </c>
      <c r="G76" s="50" t="s">
        <v>1451</v>
      </c>
    </row>
    <row r="77">
      <c r="A77" s="50">
        <v>2410.0</v>
      </c>
      <c r="B77" s="50" t="s">
        <v>1508</v>
      </c>
      <c r="G77" s="50" t="s">
        <v>1451</v>
      </c>
    </row>
    <row r="78">
      <c r="A78" s="50">
        <v>2424.0</v>
      </c>
      <c r="B78" s="50" t="s">
        <v>1509</v>
      </c>
      <c r="G78" s="50" t="s">
        <v>1451</v>
      </c>
    </row>
    <row r="79">
      <c r="A79" s="50">
        <v>1011.0</v>
      </c>
      <c r="B79" s="50" t="s">
        <v>1510</v>
      </c>
      <c r="G79" s="50" t="s">
        <v>1451</v>
      </c>
    </row>
    <row r="80">
      <c r="A80" s="50">
        <v>1918.0</v>
      </c>
      <c r="B80" s="50" t="s">
        <v>1511</v>
      </c>
      <c r="G80" s="50" t="s">
        <v>1451</v>
      </c>
    </row>
    <row r="81">
      <c r="A81" s="50">
        <v>1938.0</v>
      </c>
      <c r="B81" s="50" t="s">
        <v>1512</v>
      </c>
      <c r="G81" s="50" t="s">
        <v>1451</v>
      </c>
    </row>
    <row r="82">
      <c r="A82" s="50">
        <v>2769.0</v>
      </c>
      <c r="B82" s="50" t="s">
        <v>608</v>
      </c>
      <c r="G82" s="50" t="s">
        <v>1451</v>
      </c>
    </row>
    <row r="83">
      <c r="A83" s="50">
        <v>1025.0</v>
      </c>
      <c r="B83" s="50" t="s">
        <v>959</v>
      </c>
      <c r="G83" s="50" t="s">
        <v>1451</v>
      </c>
    </row>
    <row r="84">
      <c r="A84" s="50">
        <v>3446.0</v>
      </c>
      <c r="B84" s="50" t="s">
        <v>527</v>
      </c>
      <c r="E84" s="50">
        <v>487.0</v>
      </c>
      <c r="F84" s="50" t="s">
        <v>1443</v>
      </c>
      <c r="G84" s="50" t="s">
        <v>1437</v>
      </c>
    </row>
    <row r="85">
      <c r="A85" s="50">
        <v>1825.0</v>
      </c>
      <c r="B85" s="50" t="s">
        <v>1513</v>
      </c>
      <c r="G85" s="50" t="s">
        <v>1451</v>
      </c>
    </row>
    <row r="86">
      <c r="A86" s="50">
        <v>1556.0</v>
      </c>
      <c r="B86" s="50" t="s">
        <v>1514</v>
      </c>
      <c r="G86" s="50" t="s">
        <v>1451</v>
      </c>
    </row>
    <row r="87">
      <c r="A87" s="50">
        <v>2402.0</v>
      </c>
      <c r="B87" s="50" t="s">
        <v>1515</v>
      </c>
      <c r="G87" s="50" t="s">
        <v>1451</v>
      </c>
    </row>
    <row r="88">
      <c r="A88" s="50">
        <v>758.0</v>
      </c>
      <c r="B88" s="50" t="s">
        <v>954</v>
      </c>
      <c r="G88" s="50" t="s">
        <v>1451</v>
      </c>
    </row>
    <row r="89">
      <c r="A89" s="50">
        <v>3851.0</v>
      </c>
      <c r="B89" s="50" t="s">
        <v>1516</v>
      </c>
      <c r="G89" s="50" t="s">
        <v>1451</v>
      </c>
    </row>
    <row r="90">
      <c r="A90" s="50">
        <v>2377.0</v>
      </c>
      <c r="B90" s="50" t="s">
        <v>1517</v>
      </c>
      <c r="E90" s="50">
        <v>487.0</v>
      </c>
      <c r="F90" s="50" t="s">
        <v>1443</v>
      </c>
      <c r="G90" s="50" t="s">
        <v>1437</v>
      </c>
    </row>
    <row r="91">
      <c r="A91" s="50">
        <v>2973.0</v>
      </c>
      <c r="B91" s="50" t="s">
        <v>1518</v>
      </c>
      <c r="G91" s="50" t="s">
        <v>1451</v>
      </c>
    </row>
    <row r="92">
      <c r="A92" s="50">
        <v>1817.0</v>
      </c>
      <c r="B92" s="50" t="s">
        <v>1519</v>
      </c>
      <c r="G92" s="50" t="s">
        <v>1451</v>
      </c>
    </row>
    <row r="93">
      <c r="A93" s="50">
        <v>656.0</v>
      </c>
      <c r="B93" s="50" t="s">
        <v>1520</v>
      </c>
      <c r="G93" s="50" t="s">
        <v>1451</v>
      </c>
    </row>
    <row r="94">
      <c r="A94" s="50">
        <v>2341.0</v>
      </c>
      <c r="B94" s="50" t="s">
        <v>1521</v>
      </c>
      <c r="G94" s="50" t="s">
        <v>1451</v>
      </c>
    </row>
    <row r="95">
      <c r="A95" s="50">
        <v>90.0</v>
      </c>
      <c r="B95" s="50" t="s">
        <v>1522</v>
      </c>
      <c r="G95" s="50" t="s">
        <v>1451</v>
      </c>
    </row>
    <row r="96">
      <c r="A96" s="50">
        <v>3546.0</v>
      </c>
      <c r="B96" s="50" t="s">
        <v>1523</v>
      </c>
      <c r="G96" s="50" t="s">
        <v>1451</v>
      </c>
    </row>
    <row r="97">
      <c r="A97" s="50">
        <v>514.0</v>
      </c>
      <c r="B97" s="50" t="s">
        <v>1524</v>
      </c>
      <c r="G97" s="50" t="s">
        <v>1451</v>
      </c>
    </row>
    <row r="98">
      <c r="A98" s="50">
        <v>2771.0</v>
      </c>
      <c r="B98" s="50" t="s">
        <v>950</v>
      </c>
      <c r="G98" s="50" t="s">
        <v>1451</v>
      </c>
    </row>
    <row r="99">
      <c r="A99" s="50">
        <v>724.0</v>
      </c>
      <c r="B99" s="50" t="s">
        <v>1525</v>
      </c>
      <c r="G99" s="50" t="s">
        <v>1451</v>
      </c>
    </row>
    <row r="100">
      <c r="A100" s="50">
        <v>1818.0</v>
      </c>
      <c r="B100" s="50" t="s">
        <v>1526</v>
      </c>
      <c r="G100" s="50" t="s">
        <v>1451</v>
      </c>
    </row>
    <row r="101">
      <c r="A101" s="50">
        <v>2730.0</v>
      </c>
      <c r="B101" s="50" t="s">
        <v>267</v>
      </c>
      <c r="G101" s="50" t="s">
        <v>1451</v>
      </c>
    </row>
    <row r="102">
      <c r="A102" s="50">
        <v>1287.0</v>
      </c>
      <c r="B102" s="50" t="s">
        <v>410</v>
      </c>
      <c r="G102" s="50" t="s">
        <v>1451</v>
      </c>
    </row>
    <row r="103">
      <c r="A103" s="50">
        <v>2727.0</v>
      </c>
      <c r="B103" s="50" t="s">
        <v>1527</v>
      </c>
      <c r="G103" s="50" t="s">
        <v>1451</v>
      </c>
    </row>
    <row r="104">
      <c r="A104" s="50">
        <v>1311.0</v>
      </c>
      <c r="B104" s="50" t="s">
        <v>1528</v>
      </c>
      <c r="E104" s="50">
        <v>2247.0</v>
      </c>
      <c r="F104" s="50" t="s">
        <v>1441</v>
      </c>
      <c r="G104" s="50" t="s">
        <v>1437</v>
      </c>
    </row>
    <row r="105">
      <c r="A105" s="50">
        <v>1212.0</v>
      </c>
      <c r="B105" s="50" t="s">
        <v>1529</v>
      </c>
      <c r="E105" s="50">
        <v>2640.0</v>
      </c>
      <c r="F105" s="50" t="s">
        <v>1530</v>
      </c>
      <c r="G105" s="50" t="s">
        <v>1437</v>
      </c>
    </row>
    <row r="106">
      <c r="A106" s="50">
        <v>3782.0</v>
      </c>
      <c r="B106" s="50" t="s">
        <v>418</v>
      </c>
      <c r="G106" s="50" t="s">
        <v>1451</v>
      </c>
    </row>
    <row r="107">
      <c r="A107" s="50">
        <v>793.0</v>
      </c>
      <c r="B107" s="50" t="s">
        <v>93</v>
      </c>
      <c r="G107" s="50" t="s">
        <v>1451</v>
      </c>
    </row>
    <row r="108">
      <c r="A108" s="50">
        <v>2308.0</v>
      </c>
      <c r="B108" s="50" t="s">
        <v>1531</v>
      </c>
      <c r="G108" s="50" t="s">
        <v>1451</v>
      </c>
    </row>
    <row r="109">
      <c r="A109" s="50">
        <v>3819.0</v>
      </c>
      <c r="B109" s="50" t="s">
        <v>732</v>
      </c>
      <c r="G109" s="50" t="s">
        <v>1451</v>
      </c>
    </row>
    <row r="110">
      <c r="A110" s="50">
        <v>2203.0</v>
      </c>
      <c r="B110" s="50" t="s">
        <v>1167</v>
      </c>
      <c r="G110" s="50" t="s">
        <v>1451</v>
      </c>
    </row>
    <row r="111">
      <c r="A111" s="50">
        <v>3339.0</v>
      </c>
      <c r="B111" s="50" t="s">
        <v>366</v>
      </c>
      <c r="E111" s="50">
        <v>2640.0</v>
      </c>
      <c r="F111" s="50" t="s">
        <v>1530</v>
      </c>
      <c r="G111" s="50" t="s">
        <v>1437</v>
      </c>
    </row>
    <row r="112">
      <c r="A112" s="50">
        <v>2624.0</v>
      </c>
      <c r="B112" s="50" t="s">
        <v>1532</v>
      </c>
      <c r="E112" s="50">
        <v>2263.0</v>
      </c>
      <c r="F112" s="50" t="s">
        <v>1436</v>
      </c>
      <c r="G112" s="50" t="s">
        <v>1437</v>
      </c>
    </row>
    <row r="113">
      <c r="A113" s="50">
        <v>2721.0</v>
      </c>
      <c r="B113" s="50" t="s">
        <v>1533</v>
      </c>
      <c r="G113" s="50" t="s">
        <v>1451</v>
      </c>
    </row>
    <row r="114">
      <c r="A114" s="50">
        <v>3849.0</v>
      </c>
      <c r="B114" s="50" t="s">
        <v>1135</v>
      </c>
      <c r="G114" s="50" t="s">
        <v>1451</v>
      </c>
    </row>
    <row r="115">
      <c r="A115" s="50">
        <v>3430.0</v>
      </c>
      <c r="B115" s="50" t="s">
        <v>1101</v>
      </c>
      <c r="E115" s="50">
        <v>2640.0</v>
      </c>
      <c r="F115" s="50" t="s">
        <v>1530</v>
      </c>
      <c r="G115" s="50" t="s">
        <v>1437</v>
      </c>
    </row>
    <row r="116">
      <c r="A116" s="50">
        <v>3419.0</v>
      </c>
      <c r="B116" s="50" t="s">
        <v>1124</v>
      </c>
      <c r="E116" s="50">
        <v>487.0</v>
      </c>
      <c r="F116" s="50" t="s">
        <v>1443</v>
      </c>
      <c r="G116" s="50" t="s">
        <v>1437</v>
      </c>
    </row>
    <row r="117">
      <c r="A117" s="50">
        <v>3457.0</v>
      </c>
      <c r="B117" s="50" t="s">
        <v>1141</v>
      </c>
      <c r="G117" s="50" t="s">
        <v>1451</v>
      </c>
    </row>
    <row r="118">
      <c r="A118" s="50">
        <v>3810.0</v>
      </c>
      <c r="B118" s="50" t="s">
        <v>1534</v>
      </c>
      <c r="G118" s="50" t="s">
        <v>1451</v>
      </c>
    </row>
    <row r="119">
      <c r="A119" s="50">
        <v>3306.0</v>
      </c>
      <c r="B119" s="50" t="s">
        <v>455</v>
      </c>
      <c r="E119" s="50">
        <v>2640.0</v>
      </c>
      <c r="F119" s="50" t="s">
        <v>1530</v>
      </c>
      <c r="G119" s="50" t="s">
        <v>1437</v>
      </c>
    </row>
    <row r="120">
      <c r="A120" s="50">
        <v>3529.0</v>
      </c>
      <c r="B120" s="50" t="s">
        <v>1535</v>
      </c>
      <c r="E120" s="50">
        <v>2640.0</v>
      </c>
      <c r="F120" s="50" t="s">
        <v>1530</v>
      </c>
      <c r="G120" s="50" t="s">
        <v>1437</v>
      </c>
    </row>
    <row r="121">
      <c r="A121" s="50">
        <v>3343.0</v>
      </c>
      <c r="B121" s="50" t="s">
        <v>290</v>
      </c>
      <c r="E121" s="50">
        <v>2640.0</v>
      </c>
      <c r="F121" s="50" t="s">
        <v>1530</v>
      </c>
      <c r="G121" s="50" t="s">
        <v>1437</v>
      </c>
    </row>
    <row r="122">
      <c r="A122" s="50">
        <v>2984.0</v>
      </c>
      <c r="B122" s="50" t="s">
        <v>1536</v>
      </c>
      <c r="G122" s="50" t="s">
        <v>1451</v>
      </c>
    </row>
    <row r="123">
      <c r="A123" s="50">
        <v>489.0</v>
      </c>
      <c r="B123" s="50" t="s">
        <v>1537</v>
      </c>
      <c r="E123" s="50">
        <v>2247.0</v>
      </c>
      <c r="F123" s="50" t="s">
        <v>1441</v>
      </c>
      <c r="G123" s="50" t="s">
        <v>1437</v>
      </c>
    </row>
    <row r="124">
      <c r="A124" s="50">
        <v>63.0</v>
      </c>
      <c r="B124" s="50" t="s">
        <v>1538</v>
      </c>
      <c r="E124" s="50">
        <v>2278.0</v>
      </c>
      <c r="F124" s="50" t="s">
        <v>1439</v>
      </c>
      <c r="G124" s="50" t="s">
        <v>1437</v>
      </c>
    </row>
    <row r="125">
      <c r="A125" s="50">
        <v>1194.0</v>
      </c>
      <c r="B125" s="50" t="s">
        <v>1539</v>
      </c>
      <c r="G125" s="50" t="s">
        <v>1451</v>
      </c>
    </row>
    <row r="126">
      <c r="A126" s="50">
        <v>2190.0</v>
      </c>
      <c r="B126" s="50" t="s">
        <v>1540</v>
      </c>
      <c r="E126" s="50">
        <v>2248.0</v>
      </c>
      <c r="F126" s="50" t="s">
        <v>1461</v>
      </c>
      <c r="G126" s="50" t="s">
        <v>1437</v>
      </c>
    </row>
    <row r="127">
      <c r="A127" s="50">
        <v>678.0</v>
      </c>
      <c r="B127" s="50" t="s">
        <v>665</v>
      </c>
      <c r="E127" s="50">
        <v>2247.0</v>
      </c>
      <c r="F127" s="50" t="s">
        <v>1441</v>
      </c>
      <c r="G127" s="50" t="s">
        <v>1437</v>
      </c>
    </row>
    <row r="128">
      <c r="A128" s="50">
        <v>760.0</v>
      </c>
      <c r="B128" s="50" t="s">
        <v>1541</v>
      </c>
      <c r="G128" s="50" t="s">
        <v>1451</v>
      </c>
    </row>
    <row r="129">
      <c r="A129" s="50">
        <v>991.0</v>
      </c>
      <c r="B129" s="50" t="s">
        <v>1542</v>
      </c>
      <c r="E129" s="50">
        <v>2247.0</v>
      </c>
      <c r="F129" s="50" t="s">
        <v>1441</v>
      </c>
      <c r="G129" s="50" t="s">
        <v>1437</v>
      </c>
    </row>
    <row r="130">
      <c r="A130" s="50">
        <v>1088.0</v>
      </c>
      <c r="B130" s="50" t="s">
        <v>1543</v>
      </c>
      <c r="E130" s="50">
        <v>487.0</v>
      </c>
      <c r="F130" s="50" t="s">
        <v>1443</v>
      </c>
      <c r="G130" s="50" t="s">
        <v>1437</v>
      </c>
    </row>
    <row r="131">
      <c r="A131" s="50">
        <v>761.0</v>
      </c>
      <c r="B131" s="50" t="s">
        <v>301</v>
      </c>
      <c r="E131" s="50">
        <v>487.0</v>
      </c>
      <c r="F131" s="50" t="s">
        <v>1443</v>
      </c>
      <c r="G131" s="50" t="s">
        <v>1437</v>
      </c>
    </row>
    <row r="132">
      <c r="A132" s="50">
        <v>914.0</v>
      </c>
      <c r="B132" s="50" t="s">
        <v>1544</v>
      </c>
      <c r="G132" s="50" t="s">
        <v>1451</v>
      </c>
    </row>
    <row r="133">
      <c r="A133" s="50">
        <v>19.0</v>
      </c>
      <c r="B133" s="50" t="s">
        <v>1545</v>
      </c>
      <c r="G133" s="50" t="s">
        <v>1451</v>
      </c>
    </row>
    <row r="134">
      <c r="A134" s="50">
        <v>137.0</v>
      </c>
      <c r="B134" s="50" t="s">
        <v>1546</v>
      </c>
      <c r="E134" s="50">
        <v>2264.0</v>
      </c>
      <c r="F134" s="50" t="s">
        <v>1447</v>
      </c>
      <c r="G134" s="50" t="s">
        <v>1437</v>
      </c>
    </row>
    <row r="135">
      <c r="A135" s="50">
        <v>799.0</v>
      </c>
      <c r="B135" s="50" t="s">
        <v>1547</v>
      </c>
      <c r="G135" s="50" t="s">
        <v>1451</v>
      </c>
    </row>
    <row r="136">
      <c r="A136" s="50">
        <v>1148.0</v>
      </c>
      <c r="B136" s="50" t="s">
        <v>1548</v>
      </c>
      <c r="G136" s="50" t="s">
        <v>1451</v>
      </c>
    </row>
    <row r="137">
      <c r="A137" s="50">
        <v>2716.0</v>
      </c>
      <c r="B137" s="50" t="s">
        <v>1549</v>
      </c>
      <c r="G137" s="50" t="s">
        <v>1451</v>
      </c>
    </row>
    <row r="138">
      <c r="A138" s="50">
        <v>2360.0</v>
      </c>
      <c r="B138" s="50" t="s">
        <v>1550</v>
      </c>
      <c r="G138" s="50" t="s">
        <v>1451</v>
      </c>
    </row>
    <row r="139">
      <c r="A139" s="50">
        <v>1562.0</v>
      </c>
      <c r="B139" s="50" t="s">
        <v>1551</v>
      </c>
      <c r="E139" s="50">
        <v>2640.0</v>
      </c>
      <c r="F139" s="50" t="s">
        <v>1530</v>
      </c>
      <c r="G139" s="50" t="s">
        <v>1437</v>
      </c>
    </row>
    <row r="140">
      <c r="A140" s="50">
        <v>704.0</v>
      </c>
      <c r="B140" s="50" t="s">
        <v>1552</v>
      </c>
      <c r="G140" s="50" t="s">
        <v>1451</v>
      </c>
    </row>
    <row r="141">
      <c r="A141" s="50">
        <v>711.0</v>
      </c>
      <c r="B141" s="50" t="s">
        <v>1553</v>
      </c>
      <c r="G141" s="50" t="s">
        <v>1451</v>
      </c>
    </row>
    <row r="142">
      <c r="A142" s="50">
        <v>746.0</v>
      </c>
      <c r="B142" s="50" t="s">
        <v>1554</v>
      </c>
      <c r="G142" s="50" t="s">
        <v>1451</v>
      </c>
    </row>
    <row r="143">
      <c r="A143" s="50">
        <v>745.0</v>
      </c>
      <c r="B143" s="50" t="s">
        <v>1555</v>
      </c>
      <c r="G143" s="50" t="s">
        <v>1451</v>
      </c>
    </row>
    <row r="144">
      <c r="A144" s="50">
        <v>744.0</v>
      </c>
      <c r="B144" s="50" t="s">
        <v>1556</v>
      </c>
      <c r="G144" s="50" t="s">
        <v>1451</v>
      </c>
    </row>
    <row r="145">
      <c r="A145" s="50">
        <v>3374.0</v>
      </c>
      <c r="B145" s="50" t="s">
        <v>1557</v>
      </c>
      <c r="G145" s="50" t="s">
        <v>1451</v>
      </c>
    </row>
    <row r="146">
      <c r="A146" s="50">
        <v>2581.0</v>
      </c>
      <c r="B146" s="50" t="s">
        <v>1558</v>
      </c>
      <c r="G146" s="50" t="s">
        <v>1451</v>
      </c>
    </row>
    <row r="147">
      <c r="A147" s="50">
        <v>1320.0</v>
      </c>
      <c r="B147" s="50" t="s">
        <v>1559</v>
      </c>
      <c r="G147" s="50" t="s">
        <v>1451</v>
      </c>
    </row>
    <row r="148">
      <c r="A148" s="50">
        <v>1284.0</v>
      </c>
      <c r="B148" s="50" t="s">
        <v>1560</v>
      </c>
      <c r="G148" s="50" t="s">
        <v>1451</v>
      </c>
    </row>
    <row r="149">
      <c r="A149" s="50">
        <v>1281.0</v>
      </c>
      <c r="B149" s="50" t="s">
        <v>1561</v>
      </c>
      <c r="G149" s="50" t="s">
        <v>1451</v>
      </c>
    </row>
    <row r="150">
      <c r="A150" s="50">
        <v>3435.0</v>
      </c>
      <c r="B150" s="50" t="s">
        <v>276</v>
      </c>
      <c r="G150" s="50" t="s">
        <v>1451</v>
      </c>
    </row>
    <row r="151">
      <c r="A151" s="50">
        <v>3531.0</v>
      </c>
      <c r="B151" s="50" t="s">
        <v>1562</v>
      </c>
      <c r="E151" s="50">
        <v>487.0</v>
      </c>
      <c r="F151" s="50" t="s">
        <v>1443</v>
      </c>
      <c r="G151" s="50" t="s">
        <v>1437</v>
      </c>
    </row>
    <row r="152">
      <c r="A152" s="50">
        <v>2035.0</v>
      </c>
      <c r="B152" s="50" t="s">
        <v>1563</v>
      </c>
      <c r="E152" s="50">
        <v>2247.0</v>
      </c>
      <c r="F152" s="50" t="s">
        <v>1441</v>
      </c>
      <c r="G152" s="50" t="s">
        <v>1437</v>
      </c>
    </row>
    <row r="153">
      <c r="A153" s="50">
        <v>1478.0</v>
      </c>
      <c r="B153" s="50" t="s">
        <v>1564</v>
      </c>
      <c r="G153" s="50" t="s">
        <v>1451</v>
      </c>
    </row>
    <row r="154">
      <c r="A154" s="50">
        <v>1292.0</v>
      </c>
      <c r="B154" s="50" t="s">
        <v>1565</v>
      </c>
      <c r="G154" s="50" t="s">
        <v>1451</v>
      </c>
    </row>
    <row r="155">
      <c r="A155" s="50">
        <v>2079.0</v>
      </c>
      <c r="B155" s="50" t="s">
        <v>361</v>
      </c>
      <c r="G155" s="50" t="s">
        <v>1451</v>
      </c>
    </row>
    <row r="156">
      <c r="A156" s="50">
        <v>3496.0</v>
      </c>
      <c r="B156" s="50" t="s">
        <v>1566</v>
      </c>
      <c r="G156" s="50" t="s">
        <v>1451</v>
      </c>
    </row>
    <row r="157">
      <c r="A157" s="50">
        <v>3582.0</v>
      </c>
      <c r="B157" s="50" t="s">
        <v>1567</v>
      </c>
      <c r="G157" s="50" t="s">
        <v>1451</v>
      </c>
    </row>
    <row r="158">
      <c r="A158" s="50">
        <v>3642.0</v>
      </c>
      <c r="B158" s="50" t="s">
        <v>1568</v>
      </c>
      <c r="G158" s="50" t="s">
        <v>1451</v>
      </c>
    </row>
    <row r="159">
      <c r="A159" s="50">
        <v>3581.0</v>
      </c>
      <c r="B159" s="50" t="s">
        <v>1569</v>
      </c>
      <c r="G159" s="50" t="s">
        <v>1451</v>
      </c>
    </row>
    <row r="160">
      <c r="A160" s="50">
        <v>3584.0</v>
      </c>
      <c r="B160" s="50" t="s">
        <v>726</v>
      </c>
      <c r="G160" s="50" t="s">
        <v>1451</v>
      </c>
    </row>
    <row r="161">
      <c r="A161" s="50">
        <v>3540.0</v>
      </c>
      <c r="B161" s="50" t="s">
        <v>1570</v>
      </c>
      <c r="G161" s="50" t="s">
        <v>1451</v>
      </c>
    </row>
    <row r="162">
      <c r="A162" s="50">
        <v>3537.0</v>
      </c>
      <c r="B162" s="50" t="s">
        <v>1571</v>
      </c>
      <c r="G162" s="50" t="s">
        <v>1451</v>
      </c>
    </row>
    <row r="163">
      <c r="A163" s="50">
        <v>3553.0</v>
      </c>
      <c r="B163" s="50" t="s">
        <v>1572</v>
      </c>
      <c r="G163" s="50" t="s">
        <v>1451</v>
      </c>
    </row>
    <row r="164">
      <c r="A164" s="50">
        <v>3623.0</v>
      </c>
      <c r="B164" s="50" t="s">
        <v>1573</v>
      </c>
      <c r="G164" s="50" t="s">
        <v>1451</v>
      </c>
    </row>
    <row r="165">
      <c r="A165" s="50">
        <v>3778.0</v>
      </c>
      <c r="B165" s="50" t="s">
        <v>1089</v>
      </c>
      <c r="G165" s="50" t="s">
        <v>1451</v>
      </c>
    </row>
    <row r="166">
      <c r="A166" s="50">
        <v>2367.0</v>
      </c>
      <c r="B166" s="50" t="s">
        <v>1574</v>
      </c>
      <c r="G166" s="50" t="s">
        <v>1451</v>
      </c>
    </row>
    <row r="167">
      <c r="A167" s="50">
        <v>3292.0</v>
      </c>
      <c r="B167" s="50" t="s">
        <v>1575</v>
      </c>
      <c r="E167" s="50">
        <v>487.0</v>
      </c>
      <c r="F167" s="50" t="s">
        <v>1443</v>
      </c>
      <c r="G167" s="50" t="s">
        <v>1437</v>
      </c>
    </row>
    <row r="168">
      <c r="A168" s="50">
        <v>1500.0</v>
      </c>
      <c r="B168" s="50" t="s">
        <v>1576</v>
      </c>
      <c r="G168" s="50" t="s">
        <v>1451</v>
      </c>
    </row>
    <row r="169">
      <c r="A169" s="50">
        <v>1982.0</v>
      </c>
      <c r="B169" s="50" t="s">
        <v>423</v>
      </c>
      <c r="E169" s="50">
        <v>487.0</v>
      </c>
      <c r="F169" s="50" t="s">
        <v>1443</v>
      </c>
      <c r="G169" s="50" t="s">
        <v>1437</v>
      </c>
    </row>
    <row r="170">
      <c r="A170" s="50">
        <v>2346.0</v>
      </c>
      <c r="B170" s="50" t="s">
        <v>1577</v>
      </c>
      <c r="E170" s="50">
        <v>487.0</v>
      </c>
      <c r="F170" s="50" t="s">
        <v>1443</v>
      </c>
      <c r="G170" s="50" t="s">
        <v>1437</v>
      </c>
    </row>
    <row r="171">
      <c r="A171" s="50">
        <v>2658.0</v>
      </c>
      <c r="B171" s="50" t="s">
        <v>1578</v>
      </c>
      <c r="G171" s="50" t="s">
        <v>1451</v>
      </c>
    </row>
    <row r="172">
      <c r="A172" s="50">
        <v>97.0</v>
      </c>
      <c r="B172" s="50" t="s">
        <v>1579</v>
      </c>
      <c r="G172" s="50" t="s">
        <v>1451</v>
      </c>
    </row>
    <row r="173">
      <c r="A173" s="50">
        <v>98.0</v>
      </c>
      <c r="B173" s="50" t="s">
        <v>1580</v>
      </c>
      <c r="G173" s="50" t="s">
        <v>1451</v>
      </c>
    </row>
    <row r="174">
      <c r="A174" s="50">
        <v>99.0</v>
      </c>
      <c r="B174" s="50" t="s">
        <v>1581</v>
      </c>
      <c r="G174" s="50" t="s">
        <v>1451</v>
      </c>
    </row>
    <row r="175">
      <c r="A175" s="50">
        <v>555.0</v>
      </c>
      <c r="B175" s="50" t="s">
        <v>1582</v>
      </c>
      <c r="E175" s="50">
        <v>487.0</v>
      </c>
      <c r="F175" s="50" t="s">
        <v>1443</v>
      </c>
      <c r="G175" s="50" t="s">
        <v>1437</v>
      </c>
    </row>
    <row r="176">
      <c r="A176" s="50">
        <v>674.0</v>
      </c>
      <c r="B176" s="50" t="s">
        <v>1583</v>
      </c>
      <c r="E176" s="50">
        <v>2264.0</v>
      </c>
      <c r="F176" s="50" t="s">
        <v>1447</v>
      </c>
      <c r="G176" s="50" t="s">
        <v>1437</v>
      </c>
    </row>
    <row r="177">
      <c r="A177" s="50">
        <v>3089.0</v>
      </c>
      <c r="B177" s="50" t="s">
        <v>1584</v>
      </c>
      <c r="G177" s="50" t="s">
        <v>1451</v>
      </c>
    </row>
    <row r="178">
      <c r="A178" s="50">
        <v>482.0</v>
      </c>
      <c r="B178" s="50" t="s">
        <v>1585</v>
      </c>
      <c r="E178" s="50">
        <v>2278.0</v>
      </c>
      <c r="F178" s="50" t="s">
        <v>1439</v>
      </c>
      <c r="G178" s="50" t="s">
        <v>1437</v>
      </c>
    </row>
    <row r="179">
      <c r="A179" s="50">
        <v>814.0</v>
      </c>
      <c r="B179" s="50" t="s">
        <v>1586</v>
      </c>
      <c r="E179" s="50">
        <v>2263.0</v>
      </c>
      <c r="F179" s="50" t="s">
        <v>1436</v>
      </c>
      <c r="G179" s="50" t="s">
        <v>1437</v>
      </c>
    </row>
    <row r="180">
      <c r="A180" s="50">
        <v>2250.0</v>
      </c>
      <c r="B180" s="50" t="s">
        <v>1587</v>
      </c>
      <c r="G180" s="50" t="s">
        <v>1451</v>
      </c>
    </row>
    <row r="181">
      <c r="A181" s="50">
        <v>807.0</v>
      </c>
      <c r="B181" s="50" t="s">
        <v>1588</v>
      </c>
      <c r="G181" s="50" t="s">
        <v>1451</v>
      </c>
    </row>
    <row r="182">
      <c r="A182" s="50">
        <v>3758.0</v>
      </c>
      <c r="B182" s="50" t="s">
        <v>1589</v>
      </c>
      <c r="E182" s="50">
        <v>2264.0</v>
      </c>
      <c r="F182" s="50" t="s">
        <v>1447</v>
      </c>
      <c r="G182" s="50" t="s">
        <v>1437</v>
      </c>
    </row>
    <row r="183">
      <c r="A183" s="50">
        <v>3524.0</v>
      </c>
      <c r="B183" s="50" t="s">
        <v>657</v>
      </c>
      <c r="C183" s="50">
        <v>3918.0</v>
      </c>
      <c r="D183" s="50" t="s">
        <v>1590</v>
      </c>
      <c r="E183" s="50">
        <v>2263.0</v>
      </c>
      <c r="F183" s="50" t="s">
        <v>1436</v>
      </c>
      <c r="G183" s="50" t="s">
        <v>1452</v>
      </c>
    </row>
    <row r="184">
      <c r="A184" s="50">
        <v>3032.0</v>
      </c>
      <c r="B184" s="50" t="s">
        <v>1591</v>
      </c>
      <c r="C184" s="50">
        <v>3918.0</v>
      </c>
      <c r="D184" s="50" t="s">
        <v>1590</v>
      </c>
      <c r="E184" s="50">
        <v>2247.0</v>
      </c>
      <c r="F184" s="50" t="s">
        <v>1441</v>
      </c>
      <c r="G184" s="50" t="s">
        <v>1452</v>
      </c>
    </row>
    <row r="185">
      <c r="A185" s="50">
        <v>3031.0</v>
      </c>
      <c r="B185" s="50" t="s">
        <v>655</v>
      </c>
      <c r="C185" s="50">
        <v>3918.0</v>
      </c>
      <c r="D185" s="50" t="s">
        <v>1590</v>
      </c>
      <c r="E185" s="50">
        <v>2278.0</v>
      </c>
      <c r="F185" s="50" t="s">
        <v>1439</v>
      </c>
      <c r="G185" s="50" t="s">
        <v>1452</v>
      </c>
    </row>
    <row r="186">
      <c r="A186" s="50">
        <v>3552.0</v>
      </c>
      <c r="B186" s="50" t="s">
        <v>653</v>
      </c>
      <c r="C186" s="50">
        <v>3918.0</v>
      </c>
      <c r="D186" s="50" t="s">
        <v>1590</v>
      </c>
      <c r="E186" s="50">
        <v>2247.0</v>
      </c>
      <c r="F186" s="50" t="s">
        <v>1441</v>
      </c>
      <c r="G186" s="50" t="s">
        <v>1452</v>
      </c>
    </row>
    <row r="187">
      <c r="A187" s="50">
        <v>1175.0</v>
      </c>
      <c r="B187" s="50" t="s">
        <v>1592</v>
      </c>
      <c r="C187" s="50">
        <v>3918.0</v>
      </c>
      <c r="D187" s="50" t="s">
        <v>1590</v>
      </c>
      <c r="E187" s="50">
        <v>487.0</v>
      </c>
      <c r="F187" s="50" t="s">
        <v>1443</v>
      </c>
      <c r="G187" s="50" t="s">
        <v>1452</v>
      </c>
    </row>
    <row r="188">
      <c r="A188" s="50">
        <v>2554.0</v>
      </c>
      <c r="B188" s="50" t="s">
        <v>1593</v>
      </c>
      <c r="C188" s="50">
        <v>3931.0</v>
      </c>
      <c r="D188" s="50" t="s">
        <v>1594</v>
      </c>
      <c r="E188" s="50">
        <v>2247.0</v>
      </c>
      <c r="F188" s="50" t="s">
        <v>1441</v>
      </c>
      <c r="G188" s="50" t="s">
        <v>1452</v>
      </c>
    </row>
    <row r="189">
      <c r="A189" s="50">
        <v>3468.0</v>
      </c>
      <c r="B189" s="50" t="s">
        <v>671</v>
      </c>
      <c r="C189" s="50">
        <v>3931.0</v>
      </c>
      <c r="D189" s="50" t="s">
        <v>1594</v>
      </c>
      <c r="E189" s="50">
        <v>2278.0</v>
      </c>
      <c r="F189" s="50" t="s">
        <v>1439</v>
      </c>
      <c r="G189" s="50" t="s">
        <v>1452</v>
      </c>
    </row>
    <row r="190">
      <c r="A190" s="50">
        <v>3467.0</v>
      </c>
      <c r="B190" s="50" t="s">
        <v>1595</v>
      </c>
      <c r="C190" s="50">
        <v>3931.0</v>
      </c>
      <c r="D190" s="50" t="s">
        <v>1594</v>
      </c>
      <c r="E190" s="50">
        <v>487.0</v>
      </c>
      <c r="F190" s="50" t="s">
        <v>1443</v>
      </c>
      <c r="G190" s="50" t="s">
        <v>1452</v>
      </c>
    </row>
    <row r="191">
      <c r="A191" s="50">
        <v>3798.0</v>
      </c>
      <c r="B191" s="50" t="s">
        <v>490</v>
      </c>
      <c r="C191" s="50">
        <v>3914.0</v>
      </c>
      <c r="D191" s="50" t="s">
        <v>1596</v>
      </c>
      <c r="E191" s="50">
        <v>487.0</v>
      </c>
      <c r="F191" s="50" t="s">
        <v>1443</v>
      </c>
      <c r="G191" s="50" t="s">
        <v>1452</v>
      </c>
    </row>
    <row r="192">
      <c r="A192" s="50">
        <v>48.0</v>
      </c>
      <c r="B192" s="50" t="s">
        <v>274</v>
      </c>
      <c r="E192" s="50">
        <v>2247.0</v>
      </c>
      <c r="F192" s="50" t="s">
        <v>1441</v>
      </c>
      <c r="G192" s="50" t="s">
        <v>1437</v>
      </c>
    </row>
    <row r="193">
      <c r="A193" s="50">
        <v>3280.0</v>
      </c>
      <c r="B193" s="50" t="s">
        <v>1597</v>
      </c>
      <c r="G193" s="50" t="s">
        <v>1451</v>
      </c>
    </row>
    <row r="194">
      <c r="A194" s="50">
        <v>94.0</v>
      </c>
      <c r="B194" s="50" t="s">
        <v>1598</v>
      </c>
      <c r="G194" s="50" t="s">
        <v>1451</v>
      </c>
    </row>
    <row r="195">
      <c r="A195" s="50">
        <v>3178.0</v>
      </c>
      <c r="B195" s="50" t="s">
        <v>1599</v>
      </c>
      <c r="G195" s="50" t="s">
        <v>1451</v>
      </c>
    </row>
    <row r="196">
      <c r="A196" s="50">
        <v>1414.0</v>
      </c>
      <c r="B196" s="50" t="s">
        <v>1600</v>
      </c>
      <c r="E196" s="50">
        <v>2247.0</v>
      </c>
      <c r="F196" s="50" t="s">
        <v>1441</v>
      </c>
      <c r="G196" s="50" t="s">
        <v>1437</v>
      </c>
    </row>
    <row r="197">
      <c r="A197" s="50">
        <v>789.0</v>
      </c>
      <c r="B197" s="50" t="s">
        <v>1601</v>
      </c>
      <c r="E197" s="50">
        <v>487.0</v>
      </c>
      <c r="F197" s="50" t="s">
        <v>1443</v>
      </c>
      <c r="G197" s="50" t="s">
        <v>1437</v>
      </c>
    </row>
    <row r="198">
      <c r="A198" s="50">
        <v>3745.0</v>
      </c>
      <c r="B198" s="50" t="s">
        <v>716</v>
      </c>
      <c r="C198" s="50">
        <v>2442.0</v>
      </c>
      <c r="D198" s="50" t="s">
        <v>1602</v>
      </c>
      <c r="E198" s="50">
        <v>2247.0</v>
      </c>
      <c r="F198" s="50" t="s">
        <v>1441</v>
      </c>
      <c r="G198" s="50" t="s">
        <v>1452</v>
      </c>
    </row>
    <row r="199">
      <c r="A199" s="50">
        <v>3695.0</v>
      </c>
      <c r="B199" s="50" t="s">
        <v>676</v>
      </c>
      <c r="C199" s="50">
        <v>2442.0</v>
      </c>
      <c r="D199" s="50" t="s">
        <v>1602</v>
      </c>
      <c r="E199" s="50">
        <v>2247.0</v>
      </c>
      <c r="F199" s="50" t="s">
        <v>1441</v>
      </c>
      <c r="G199" s="50" t="s">
        <v>1452</v>
      </c>
    </row>
    <row r="200">
      <c r="A200" s="50">
        <v>3694.0</v>
      </c>
      <c r="B200" s="50" t="s">
        <v>1603</v>
      </c>
      <c r="C200" s="50">
        <v>2442.0</v>
      </c>
      <c r="D200" s="50" t="s">
        <v>1602</v>
      </c>
      <c r="E200" s="50">
        <v>487.0</v>
      </c>
      <c r="F200" s="50" t="s">
        <v>1443</v>
      </c>
      <c r="G200" s="50" t="s">
        <v>1452</v>
      </c>
    </row>
    <row r="201">
      <c r="A201" s="50">
        <v>2472.0</v>
      </c>
      <c r="B201" s="50" t="s">
        <v>1604</v>
      </c>
      <c r="G201" s="50" t="s">
        <v>1451</v>
      </c>
    </row>
    <row r="202">
      <c r="A202" s="50">
        <v>550.0</v>
      </c>
      <c r="B202" s="50" t="s">
        <v>1605</v>
      </c>
      <c r="G202" s="50" t="s">
        <v>1451</v>
      </c>
    </row>
    <row r="203">
      <c r="A203" s="50">
        <v>1062.0</v>
      </c>
      <c r="B203" s="50" t="s">
        <v>1606</v>
      </c>
      <c r="E203" s="50">
        <v>2247.0</v>
      </c>
      <c r="F203" s="50" t="s">
        <v>1441</v>
      </c>
      <c r="G203" s="50" t="s">
        <v>1437</v>
      </c>
    </row>
    <row r="204">
      <c r="A204" s="50">
        <v>27.0</v>
      </c>
      <c r="B204" s="50" t="s">
        <v>1608</v>
      </c>
      <c r="E204" s="50">
        <v>2278.0</v>
      </c>
      <c r="F204" s="50" t="s">
        <v>1439</v>
      </c>
      <c r="G204" s="50" t="s">
        <v>1437</v>
      </c>
    </row>
    <row r="205">
      <c r="A205" s="50">
        <v>115.0</v>
      </c>
      <c r="B205" s="50" t="s">
        <v>1609</v>
      </c>
      <c r="E205" s="50">
        <v>3136.0</v>
      </c>
      <c r="F205" s="50" t="s">
        <v>1610</v>
      </c>
      <c r="G205" s="50" t="s">
        <v>1437</v>
      </c>
    </row>
    <row r="206">
      <c r="A206" s="50">
        <v>1553.0</v>
      </c>
      <c r="B206" s="50" t="s">
        <v>757</v>
      </c>
      <c r="E206" s="50">
        <v>487.0</v>
      </c>
      <c r="F206" s="50" t="s">
        <v>1443</v>
      </c>
      <c r="G206" s="50" t="s">
        <v>1437</v>
      </c>
    </row>
    <row r="207">
      <c r="A207" s="50">
        <v>1063.0</v>
      </c>
      <c r="B207" s="50" t="s">
        <v>1611</v>
      </c>
      <c r="E207" s="50">
        <v>2247.0</v>
      </c>
      <c r="F207" s="50" t="s">
        <v>1441</v>
      </c>
      <c r="G207" s="50" t="s">
        <v>1437</v>
      </c>
    </row>
    <row r="208">
      <c r="A208" s="50">
        <v>1154.0</v>
      </c>
      <c r="B208" s="50" t="s">
        <v>1612</v>
      </c>
      <c r="G208" s="50" t="s">
        <v>1451</v>
      </c>
    </row>
    <row r="209">
      <c r="A209" s="50">
        <v>2405.0</v>
      </c>
      <c r="B209" s="50" t="s">
        <v>1613</v>
      </c>
      <c r="G209" s="50" t="s">
        <v>1451</v>
      </c>
    </row>
    <row r="210">
      <c r="A210" s="50">
        <v>1899.0</v>
      </c>
      <c r="B210" s="50" t="s">
        <v>1614</v>
      </c>
      <c r="C210" s="50">
        <v>3904.0</v>
      </c>
      <c r="D210" s="50" t="s">
        <v>1615</v>
      </c>
      <c r="G210" s="50" t="s">
        <v>1433</v>
      </c>
    </row>
    <row r="211">
      <c r="A211" s="50">
        <v>2029.0</v>
      </c>
      <c r="B211" s="50" t="s">
        <v>591</v>
      </c>
      <c r="C211" s="50">
        <v>3904.0</v>
      </c>
      <c r="D211" s="50" t="s">
        <v>1615</v>
      </c>
      <c r="G211" s="50" t="s">
        <v>1433</v>
      </c>
    </row>
    <row r="212">
      <c r="A212" s="50">
        <v>1899.0</v>
      </c>
      <c r="B212" s="50" t="s">
        <v>451</v>
      </c>
      <c r="C212" s="50">
        <v>3904.0</v>
      </c>
      <c r="D212" s="50" t="s">
        <v>1615</v>
      </c>
      <c r="E212" s="50">
        <v>2247.0</v>
      </c>
      <c r="F212" s="50" t="s">
        <v>1441</v>
      </c>
      <c r="G212" s="50" t="s">
        <v>1452</v>
      </c>
    </row>
    <row r="213">
      <c r="A213" s="50">
        <v>2352.0</v>
      </c>
      <c r="B213" s="50" t="s">
        <v>1616</v>
      </c>
      <c r="G213" s="50" t="s">
        <v>1451</v>
      </c>
    </row>
    <row r="214">
      <c r="A214" s="50">
        <v>2021.0</v>
      </c>
      <c r="B214" s="50" t="s">
        <v>1617</v>
      </c>
      <c r="G214" s="50" t="s">
        <v>1451</v>
      </c>
    </row>
    <row r="215">
      <c r="A215" s="50">
        <v>2699.0</v>
      </c>
      <c r="B215" s="50" t="s">
        <v>1618</v>
      </c>
      <c r="E215" s="50">
        <v>2640.0</v>
      </c>
      <c r="F215" s="50" t="s">
        <v>1530</v>
      </c>
      <c r="G215" s="50" t="s">
        <v>1437</v>
      </c>
    </row>
    <row r="216">
      <c r="A216" s="50">
        <v>2053.0</v>
      </c>
      <c r="B216" s="50" t="s">
        <v>1619</v>
      </c>
      <c r="E216" s="50">
        <v>2247.0</v>
      </c>
      <c r="F216" s="50" t="s">
        <v>1441</v>
      </c>
      <c r="G216" s="50" t="s">
        <v>1437</v>
      </c>
    </row>
    <row r="217">
      <c r="A217" s="50">
        <v>2022.0</v>
      </c>
      <c r="B217" s="50" t="s">
        <v>1253</v>
      </c>
      <c r="E217" s="50">
        <v>487.0</v>
      </c>
      <c r="F217" s="50" t="s">
        <v>1443</v>
      </c>
      <c r="G217" s="50" t="s">
        <v>1437</v>
      </c>
    </row>
    <row r="218">
      <c r="A218" s="50">
        <v>2275.0</v>
      </c>
      <c r="B218" s="50" t="s">
        <v>1620</v>
      </c>
      <c r="G218" s="50" t="s">
        <v>1451</v>
      </c>
    </row>
    <row r="219">
      <c r="A219" s="50">
        <v>1845.0</v>
      </c>
      <c r="B219" s="50" t="s">
        <v>1621</v>
      </c>
      <c r="E219" s="50">
        <v>2247.0</v>
      </c>
      <c r="F219" s="50" t="s">
        <v>1441</v>
      </c>
      <c r="G219" s="50" t="s">
        <v>1437</v>
      </c>
    </row>
    <row r="220">
      <c r="A220" s="50">
        <v>1051.0</v>
      </c>
      <c r="B220" s="50" t="s">
        <v>1622</v>
      </c>
      <c r="E220" s="50">
        <v>487.0</v>
      </c>
      <c r="F220" s="50" t="s">
        <v>1443</v>
      </c>
      <c r="G220" s="50" t="s">
        <v>1437</v>
      </c>
    </row>
    <row r="221">
      <c r="A221" s="50">
        <v>1841.0</v>
      </c>
      <c r="B221" s="50" t="s">
        <v>1623</v>
      </c>
      <c r="E221" s="50">
        <v>487.0</v>
      </c>
      <c r="F221" s="50" t="s">
        <v>1443</v>
      </c>
      <c r="G221" s="50" t="s">
        <v>1437</v>
      </c>
    </row>
    <row r="222">
      <c r="A222" s="50">
        <v>2442.0</v>
      </c>
      <c r="B222" s="50" t="s">
        <v>1624</v>
      </c>
      <c r="G222" s="50" t="s">
        <v>1451</v>
      </c>
    </row>
    <row r="223">
      <c r="A223" s="50">
        <v>1830.0</v>
      </c>
      <c r="B223" s="50" t="s">
        <v>1625</v>
      </c>
      <c r="G223" s="50" t="s">
        <v>1451</v>
      </c>
    </row>
    <row r="224">
      <c r="A224" s="50">
        <v>1073.0</v>
      </c>
      <c r="B224" s="50" t="s">
        <v>368</v>
      </c>
      <c r="E224" s="50">
        <v>2247.0</v>
      </c>
      <c r="F224" s="50" t="s">
        <v>1441</v>
      </c>
      <c r="G224" s="50" t="s">
        <v>1437</v>
      </c>
    </row>
    <row r="225">
      <c r="A225" s="50">
        <v>2403.0</v>
      </c>
      <c r="B225" s="50" t="s">
        <v>1626</v>
      </c>
      <c r="G225" s="50" t="s">
        <v>1451</v>
      </c>
    </row>
    <row r="226">
      <c r="A226" s="50">
        <v>16.0</v>
      </c>
      <c r="B226" s="50" t="s">
        <v>1627</v>
      </c>
      <c r="E226" s="50">
        <v>487.0</v>
      </c>
      <c r="F226" s="50" t="s">
        <v>1443</v>
      </c>
      <c r="G226" s="50" t="s">
        <v>1437</v>
      </c>
    </row>
    <row r="227">
      <c r="A227" s="50">
        <v>3663.0</v>
      </c>
      <c r="B227" s="50" t="s">
        <v>372</v>
      </c>
      <c r="E227" s="50">
        <v>487.0</v>
      </c>
      <c r="F227" s="50" t="s">
        <v>1443</v>
      </c>
      <c r="G227" s="50" t="s">
        <v>1437</v>
      </c>
    </row>
    <row r="228">
      <c r="A228" s="50">
        <v>2321.0</v>
      </c>
      <c r="B228" s="50" t="s">
        <v>1629</v>
      </c>
      <c r="G228" s="50" t="s">
        <v>1451</v>
      </c>
    </row>
    <row r="229">
      <c r="A229" s="50">
        <v>1871.0</v>
      </c>
      <c r="B229" s="50" t="s">
        <v>1630</v>
      </c>
      <c r="G229" s="50" t="s">
        <v>1451</v>
      </c>
    </row>
    <row r="230">
      <c r="A230" s="50">
        <v>1400.0</v>
      </c>
      <c r="B230" s="50" t="s">
        <v>1631</v>
      </c>
      <c r="E230" s="50">
        <v>2640.0</v>
      </c>
      <c r="F230" s="50" t="s">
        <v>1530</v>
      </c>
      <c r="G230" s="50" t="s">
        <v>1437</v>
      </c>
    </row>
    <row r="231">
      <c r="A231" s="50">
        <v>1491.0</v>
      </c>
      <c r="B231" s="50" t="s">
        <v>1632</v>
      </c>
      <c r="E231" s="50">
        <v>2247.0</v>
      </c>
      <c r="F231" s="50" t="s">
        <v>1441</v>
      </c>
      <c r="G231" s="50" t="s">
        <v>1437</v>
      </c>
    </row>
    <row r="232">
      <c r="A232" s="50">
        <v>1532.0</v>
      </c>
      <c r="B232" s="50" t="s">
        <v>1633</v>
      </c>
      <c r="E232" s="50">
        <v>487.0</v>
      </c>
      <c r="F232" s="50" t="s">
        <v>1443</v>
      </c>
      <c r="G232" s="50" t="s">
        <v>1437</v>
      </c>
    </row>
    <row r="233">
      <c r="A233" s="50">
        <v>434.0</v>
      </c>
      <c r="B233" s="50" t="s">
        <v>1634</v>
      </c>
      <c r="G233" s="50" t="s">
        <v>1451</v>
      </c>
    </row>
    <row r="234">
      <c r="A234" s="50">
        <v>2451.0</v>
      </c>
      <c r="B234" s="50" t="s">
        <v>1635</v>
      </c>
      <c r="G234" s="50" t="s">
        <v>1451</v>
      </c>
    </row>
    <row r="235">
      <c r="A235" s="50">
        <v>2448.0</v>
      </c>
      <c r="B235" s="50" t="s">
        <v>1636</v>
      </c>
      <c r="G235" s="50" t="s">
        <v>1451</v>
      </c>
    </row>
    <row r="236">
      <c r="A236" s="50">
        <v>1090.0</v>
      </c>
      <c r="B236" s="50" t="s">
        <v>1637</v>
      </c>
      <c r="E236" s="50">
        <v>2247.0</v>
      </c>
      <c r="F236" s="50" t="s">
        <v>1441</v>
      </c>
      <c r="G236" s="50" t="s">
        <v>1437</v>
      </c>
    </row>
    <row r="237">
      <c r="A237" s="50">
        <v>1078.0</v>
      </c>
      <c r="B237" s="50" t="s">
        <v>1638</v>
      </c>
      <c r="E237" s="50">
        <v>2247.0</v>
      </c>
      <c r="F237" s="50" t="s">
        <v>1441</v>
      </c>
      <c r="G237" s="50" t="s">
        <v>1437</v>
      </c>
    </row>
    <row r="238">
      <c r="A238" s="50">
        <v>2162.0</v>
      </c>
      <c r="B238" s="50" t="s">
        <v>1639</v>
      </c>
      <c r="E238" s="50">
        <v>3136.0</v>
      </c>
      <c r="F238" s="50" t="s">
        <v>1610</v>
      </c>
      <c r="G238" s="50" t="s">
        <v>1437</v>
      </c>
    </row>
    <row r="239">
      <c r="A239" s="50">
        <v>65.0</v>
      </c>
      <c r="B239" s="50" t="s">
        <v>1640</v>
      </c>
      <c r="E239" s="50">
        <v>487.0</v>
      </c>
      <c r="F239" s="50" t="s">
        <v>1443</v>
      </c>
      <c r="G239" s="50" t="s">
        <v>1437</v>
      </c>
    </row>
    <row r="240">
      <c r="A240" s="50">
        <v>682.0</v>
      </c>
      <c r="B240" s="50" t="s">
        <v>695</v>
      </c>
      <c r="E240" s="50">
        <v>487.0</v>
      </c>
      <c r="F240" s="50" t="s">
        <v>1443</v>
      </c>
      <c r="G240" s="50" t="s">
        <v>1437</v>
      </c>
    </row>
    <row r="241">
      <c r="A241" s="50">
        <v>1120.0</v>
      </c>
      <c r="B241" s="50" t="s">
        <v>1641</v>
      </c>
      <c r="E241" s="50">
        <v>2264.0</v>
      </c>
      <c r="F241" s="50" t="s">
        <v>1447</v>
      </c>
      <c r="G241" s="50" t="s">
        <v>1437</v>
      </c>
    </row>
    <row r="242">
      <c r="A242" s="50">
        <v>629.0</v>
      </c>
      <c r="B242" s="50" t="s">
        <v>1642</v>
      </c>
      <c r="E242" s="50">
        <v>487.0</v>
      </c>
      <c r="F242" s="50" t="s">
        <v>1443</v>
      </c>
      <c r="G242" s="50" t="s">
        <v>1437</v>
      </c>
    </row>
    <row r="243">
      <c r="A243" s="50">
        <v>2887.0</v>
      </c>
      <c r="B243" s="50" t="s">
        <v>1643</v>
      </c>
      <c r="E243" s="50">
        <v>2247.0</v>
      </c>
      <c r="F243" s="50" t="s">
        <v>1441</v>
      </c>
      <c r="G243" s="50" t="s">
        <v>1437</v>
      </c>
    </row>
    <row r="244">
      <c r="A244" s="50">
        <v>2466.0</v>
      </c>
      <c r="B244" s="50" t="s">
        <v>1644</v>
      </c>
      <c r="G244" s="50" t="s">
        <v>1451</v>
      </c>
    </row>
    <row r="245">
      <c r="A245" s="50">
        <v>2578.0</v>
      </c>
      <c r="B245" s="50" t="s">
        <v>1645</v>
      </c>
      <c r="G245" s="50" t="s">
        <v>1451</v>
      </c>
    </row>
    <row r="246">
      <c r="A246" s="50">
        <v>2986.0</v>
      </c>
      <c r="B246" s="50" t="s">
        <v>1646</v>
      </c>
      <c r="G246" s="50" t="s">
        <v>1451</v>
      </c>
    </row>
    <row r="247">
      <c r="A247" s="50">
        <v>2654.0</v>
      </c>
      <c r="B247" s="50" t="s">
        <v>1647</v>
      </c>
      <c r="E247" s="50">
        <v>2278.0</v>
      </c>
      <c r="F247" s="50" t="s">
        <v>1439</v>
      </c>
      <c r="G247" s="50" t="s">
        <v>1437</v>
      </c>
    </row>
    <row r="248">
      <c r="A248" s="50">
        <v>2567.0</v>
      </c>
      <c r="B248" s="50" t="s">
        <v>1648</v>
      </c>
      <c r="E248" s="50">
        <v>2640.0</v>
      </c>
      <c r="F248" s="50" t="s">
        <v>1530</v>
      </c>
      <c r="G248" s="50" t="s">
        <v>1437</v>
      </c>
    </row>
    <row r="249">
      <c r="A249" s="50">
        <v>2985.0</v>
      </c>
      <c r="B249" s="50" t="s">
        <v>1649</v>
      </c>
      <c r="E249" s="50">
        <v>487.0</v>
      </c>
      <c r="F249" s="50" t="s">
        <v>1443</v>
      </c>
      <c r="G249" s="50" t="s">
        <v>1437</v>
      </c>
    </row>
    <row r="250">
      <c r="A250" s="50">
        <v>2566.0</v>
      </c>
      <c r="B250" s="50" t="s">
        <v>1650</v>
      </c>
      <c r="E250" s="50">
        <v>487.0</v>
      </c>
      <c r="F250" s="50" t="s">
        <v>1443</v>
      </c>
      <c r="G250" s="50" t="s">
        <v>1437</v>
      </c>
    </row>
    <row r="251">
      <c r="A251" s="50">
        <v>2999.0</v>
      </c>
      <c r="B251" s="50" t="s">
        <v>1651</v>
      </c>
      <c r="E251" s="50">
        <v>2640.0</v>
      </c>
      <c r="F251" s="50" t="s">
        <v>1530</v>
      </c>
      <c r="G251" s="50" t="s">
        <v>1437</v>
      </c>
    </row>
    <row r="252">
      <c r="A252" s="50">
        <v>2961.0</v>
      </c>
      <c r="B252" s="50" t="s">
        <v>1652</v>
      </c>
      <c r="E252" s="50">
        <v>2851.0</v>
      </c>
      <c r="F252" s="50" t="s">
        <v>1653</v>
      </c>
      <c r="G252" s="50" t="s">
        <v>1437</v>
      </c>
    </row>
    <row r="253">
      <c r="A253" s="50">
        <v>2726.0</v>
      </c>
      <c r="B253" s="50" t="s">
        <v>1654</v>
      </c>
      <c r="G253" s="50" t="s">
        <v>1451</v>
      </c>
    </row>
    <row r="254">
      <c r="A254" s="50">
        <v>1333.0</v>
      </c>
      <c r="B254" s="50" t="s">
        <v>503</v>
      </c>
      <c r="E254" s="50">
        <v>487.0</v>
      </c>
      <c r="F254" s="50" t="s">
        <v>1443</v>
      </c>
      <c r="G254" s="50" t="s">
        <v>1437</v>
      </c>
    </row>
    <row r="255">
      <c r="A255" s="50">
        <v>2799.0</v>
      </c>
      <c r="B255" s="50" t="s">
        <v>1655</v>
      </c>
      <c r="E255" s="50">
        <v>487.0</v>
      </c>
      <c r="F255" s="50" t="s">
        <v>1443</v>
      </c>
      <c r="G255" s="50" t="s">
        <v>1437</v>
      </c>
    </row>
    <row r="256">
      <c r="A256" s="50">
        <v>1141.0</v>
      </c>
      <c r="B256" s="50" t="s">
        <v>1656</v>
      </c>
      <c r="G256" s="50" t="s">
        <v>1451</v>
      </c>
    </row>
    <row r="257">
      <c r="A257" s="50">
        <v>1268.0</v>
      </c>
      <c r="B257" s="50" t="s">
        <v>1657</v>
      </c>
      <c r="E257" s="50">
        <v>2278.0</v>
      </c>
      <c r="F257" s="50" t="s">
        <v>1439</v>
      </c>
      <c r="G257" s="50" t="s">
        <v>1437</v>
      </c>
    </row>
    <row r="258">
      <c r="A258" s="50">
        <v>2962.0</v>
      </c>
      <c r="B258" s="50" t="s">
        <v>1658</v>
      </c>
      <c r="E258" s="50">
        <v>2247.0</v>
      </c>
      <c r="F258" s="50" t="s">
        <v>1441</v>
      </c>
      <c r="G258" s="50" t="s">
        <v>1437</v>
      </c>
    </row>
    <row r="259">
      <c r="A259" s="50">
        <v>1824.0</v>
      </c>
      <c r="B259" s="50" t="s">
        <v>1659</v>
      </c>
      <c r="G259" s="50" t="s">
        <v>1451</v>
      </c>
    </row>
    <row r="260">
      <c r="A260" s="50">
        <v>1554.0</v>
      </c>
      <c r="B260" s="50" t="s">
        <v>1660</v>
      </c>
      <c r="E260" s="50">
        <v>2247.0</v>
      </c>
      <c r="F260" s="50" t="s">
        <v>1441</v>
      </c>
      <c r="G260" s="50" t="s">
        <v>1437</v>
      </c>
    </row>
    <row r="261">
      <c r="A261" s="50">
        <v>40.0</v>
      </c>
      <c r="B261" s="50" t="s">
        <v>1661</v>
      </c>
      <c r="E261" s="50">
        <v>487.0</v>
      </c>
      <c r="F261" s="50" t="s">
        <v>1443</v>
      </c>
      <c r="G261" s="50" t="s">
        <v>1437</v>
      </c>
    </row>
    <row r="262">
      <c r="A262" s="50">
        <v>3358.0</v>
      </c>
      <c r="B262" s="50" t="s">
        <v>1662</v>
      </c>
      <c r="G262" s="50" t="s">
        <v>1451</v>
      </c>
    </row>
    <row r="263">
      <c r="A263" s="50">
        <v>3357.0</v>
      </c>
      <c r="B263" s="50" t="s">
        <v>1663</v>
      </c>
      <c r="E263" s="50">
        <v>487.0</v>
      </c>
      <c r="F263" s="50" t="s">
        <v>1443</v>
      </c>
      <c r="G263" s="50" t="s">
        <v>1437</v>
      </c>
    </row>
    <row r="264">
      <c r="A264" s="50">
        <v>2722.0</v>
      </c>
      <c r="B264" s="50" t="s">
        <v>1664</v>
      </c>
      <c r="E264" s="50">
        <v>2640.0</v>
      </c>
      <c r="F264" s="50" t="s">
        <v>1530</v>
      </c>
      <c r="G264" s="50" t="s">
        <v>1437</v>
      </c>
    </row>
    <row r="265">
      <c r="A265" s="50">
        <v>1140.0</v>
      </c>
      <c r="B265" s="50" t="s">
        <v>1665</v>
      </c>
      <c r="E265" s="50">
        <v>2247.0</v>
      </c>
      <c r="F265" s="50" t="s">
        <v>1441</v>
      </c>
      <c r="G265" s="50" t="s">
        <v>1437</v>
      </c>
    </row>
    <row r="266">
      <c r="A266" s="50">
        <v>3562.0</v>
      </c>
      <c r="B266" s="50" t="s">
        <v>1666</v>
      </c>
      <c r="G266" s="50" t="s">
        <v>1451</v>
      </c>
    </row>
    <row r="267">
      <c r="A267" s="50">
        <v>3479.0</v>
      </c>
      <c r="B267" s="50" t="s">
        <v>1667</v>
      </c>
      <c r="E267" s="50">
        <v>2247.0</v>
      </c>
      <c r="F267" s="50" t="s">
        <v>1441</v>
      </c>
      <c r="G267" s="50" t="s">
        <v>1437</v>
      </c>
    </row>
    <row r="268">
      <c r="A268" s="50">
        <v>3476.0</v>
      </c>
      <c r="B268" s="50" t="s">
        <v>1668</v>
      </c>
      <c r="E268" s="50">
        <v>487.0</v>
      </c>
      <c r="F268" s="50" t="s">
        <v>1443</v>
      </c>
      <c r="G268" s="50" t="s">
        <v>1437</v>
      </c>
    </row>
    <row r="269">
      <c r="A269" s="50">
        <v>2827.0</v>
      </c>
      <c r="B269" s="50" t="s">
        <v>1669</v>
      </c>
      <c r="E269" s="50">
        <v>2247.0</v>
      </c>
      <c r="F269" s="50" t="s">
        <v>1441</v>
      </c>
      <c r="G269" s="50" t="s">
        <v>1437</v>
      </c>
    </row>
    <row r="270">
      <c r="A270" s="50">
        <v>1409.0</v>
      </c>
      <c r="B270" s="50" t="s">
        <v>1670</v>
      </c>
      <c r="E270" s="50">
        <v>487.0</v>
      </c>
      <c r="F270" s="50" t="s">
        <v>1443</v>
      </c>
      <c r="G270" s="50" t="s">
        <v>1437</v>
      </c>
    </row>
    <row r="271">
      <c r="A271" s="50">
        <v>2856.0</v>
      </c>
      <c r="B271" s="50" t="s">
        <v>1671</v>
      </c>
      <c r="E271" s="50">
        <v>487.0</v>
      </c>
      <c r="F271" s="50" t="s">
        <v>1443</v>
      </c>
      <c r="G271" s="50" t="s">
        <v>1437</v>
      </c>
    </row>
    <row r="272">
      <c r="A272" s="50">
        <v>1307.0</v>
      </c>
      <c r="B272" s="50" t="s">
        <v>1672</v>
      </c>
      <c r="G272" s="50" t="s">
        <v>1451</v>
      </c>
    </row>
    <row r="273">
      <c r="A273" s="50">
        <v>747.0</v>
      </c>
      <c r="B273" s="50" t="s">
        <v>1673</v>
      </c>
      <c r="G273" s="50" t="s">
        <v>1451</v>
      </c>
    </row>
    <row r="274">
      <c r="A274" s="50">
        <v>3406.0</v>
      </c>
      <c r="B274" s="50" t="s">
        <v>1674</v>
      </c>
      <c r="E274" s="50">
        <v>2640.0</v>
      </c>
      <c r="F274" s="50" t="s">
        <v>1530</v>
      </c>
      <c r="G274" s="50" t="s">
        <v>1437</v>
      </c>
    </row>
    <row r="275">
      <c r="A275" s="50">
        <v>3314.0</v>
      </c>
      <c r="B275" s="50" t="s">
        <v>1675</v>
      </c>
      <c r="E275" s="50">
        <v>2640.0</v>
      </c>
      <c r="F275" s="50" t="s">
        <v>1530</v>
      </c>
      <c r="G275" s="50" t="s">
        <v>1437</v>
      </c>
    </row>
    <row r="276">
      <c r="A276" s="50">
        <v>11.0</v>
      </c>
      <c r="B276" s="50" t="s">
        <v>1676</v>
      </c>
      <c r="E276" s="50">
        <v>2278.0</v>
      </c>
      <c r="F276" s="50" t="s">
        <v>1439</v>
      </c>
      <c r="G276" s="50" t="s">
        <v>1437</v>
      </c>
    </row>
    <row r="277">
      <c r="A277" s="50">
        <v>2712.0</v>
      </c>
      <c r="B277" s="50" t="s">
        <v>1677</v>
      </c>
      <c r="E277" s="50">
        <v>2263.0</v>
      </c>
      <c r="F277" s="50" t="s">
        <v>1436</v>
      </c>
      <c r="G277" s="50" t="s">
        <v>1437</v>
      </c>
    </row>
    <row r="278">
      <c r="A278" s="50">
        <v>2263.0</v>
      </c>
      <c r="B278" s="50" t="s">
        <v>1678</v>
      </c>
      <c r="E278" s="50">
        <v>2263.0</v>
      </c>
      <c r="F278" s="50" t="s">
        <v>1436</v>
      </c>
      <c r="G278" s="50" t="s">
        <v>1437</v>
      </c>
    </row>
    <row r="279">
      <c r="A279" s="50">
        <v>28.0</v>
      </c>
      <c r="B279" s="50" t="s">
        <v>790</v>
      </c>
      <c r="E279" s="50">
        <v>2263.0</v>
      </c>
      <c r="F279" s="50" t="s">
        <v>1436</v>
      </c>
      <c r="G279" s="50" t="s">
        <v>1437</v>
      </c>
    </row>
    <row r="280">
      <c r="A280" s="50">
        <v>3404.0</v>
      </c>
      <c r="B280" s="50" t="s">
        <v>1679</v>
      </c>
      <c r="E280" s="50">
        <v>2263.0</v>
      </c>
      <c r="F280" s="50" t="s">
        <v>1436</v>
      </c>
      <c r="G280" s="50" t="s">
        <v>1437</v>
      </c>
    </row>
    <row r="281">
      <c r="A281" s="50">
        <v>2006.0</v>
      </c>
      <c r="B281" s="50" t="s">
        <v>1680</v>
      </c>
      <c r="E281" s="50">
        <v>2263.0</v>
      </c>
      <c r="F281" s="50" t="s">
        <v>1436</v>
      </c>
      <c r="G281" s="50" t="s">
        <v>1437</v>
      </c>
    </row>
    <row r="282">
      <c r="A282" s="50">
        <v>93.0</v>
      </c>
      <c r="B282" s="50" t="s">
        <v>1681</v>
      </c>
      <c r="G282" s="50" t="s">
        <v>1451</v>
      </c>
    </row>
    <row r="283">
      <c r="A283" s="50">
        <v>2342.0</v>
      </c>
      <c r="B283" s="50" t="s">
        <v>1682</v>
      </c>
      <c r="G283" s="50" t="s">
        <v>1451</v>
      </c>
    </row>
    <row r="284">
      <c r="A284" s="50">
        <v>3759.0</v>
      </c>
      <c r="B284" s="50" t="s">
        <v>843</v>
      </c>
      <c r="G284" s="50" t="s">
        <v>1451</v>
      </c>
    </row>
    <row r="285">
      <c r="A285" s="50">
        <v>2550.0</v>
      </c>
      <c r="B285" s="50" t="s">
        <v>1683</v>
      </c>
      <c r="G285" s="50" t="s">
        <v>1451</v>
      </c>
    </row>
    <row r="286">
      <c r="A286" s="50">
        <v>57.0</v>
      </c>
      <c r="B286" s="50" t="s">
        <v>1684</v>
      </c>
      <c r="E286" s="50">
        <v>2263.0</v>
      </c>
      <c r="F286" s="50" t="s">
        <v>1436</v>
      </c>
      <c r="G286" s="50" t="s">
        <v>1437</v>
      </c>
    </row>
    <row r="287">
      <c r="A287" s="50">
        <v>965.0</v>
      </c>
      <c r="B287" s="50" t="s">
        <v>454</v>
      </c>
      <c r="E287" s="50">
        <v>2278.0</v>
      </c>
      <c r="F287" s="50" t="s">
        <v>1439</v>
      </c>
      <c r="G287" s="50" t="s">
        <v>1437</v>
      </c>
    </row>
    <row r="288">
      <c r="A288" s="50">
        <v>3053.0</v>
      </c>
      <c r="B288" s="50" t="s">
        <v>1685</v>
      </c>
      <c r="G288" s="50" t="s">
        <v>1451</v>
      </c>
    </row>
    <row r="289">
      <c r="A289" s="50">
        <v>607.0</v>
      </c>
      <c r="B289" s="50" t="s">
        <v>1686</v>
      </c>
      <c r="E289" s="50">
        <v>2247.0</v>
      </c>
      <c r="F289" s="50" t="s">
        <v>1441</v>
      </c>
      <c r="G289" s="50" t="s">
        <v>1437</v>
      </c>
    </row>
    <row r="290">
      <c r="A290" s="50">
        <v>869.0</v>
      </c>
      <c r="B290" s="50" t="s">
        <v>1687</v>
      </c>
      <c r="E290" s="50">
        <v>487.0</v>
      </c>
      <c r="F290" s="50" t="s">
        <v>1443</v>
      </c>
      <c r="G290" s="50" t="s">
        <v>1437</v>
      </c>
    </row>
    <row r="291">
      <c r="A291" s="50">
        <v>739.0</v>
      </c>
      <c r="B291" s="50" t="s">
        <v>1688</v>
      </c>
      <c r="E291" s="50">
        <v>2264.0</v>
      </c>
      <c r="F291" s="50" t="s">
        <v>1447</v>
      </c>
      <c r="G291" s="50" t="s">
        <v>1437</v>
      </c>
    </row>
    <row r="292">
      <c r="A292" s="50">
        <v>2217.0</v>
      </c>
      <c r="B292" s="50" t="s">
        <v>1689</v>
      </c>
      <c r="E292" s="50">
        <v>2247.0</v>
      </c>
      <c r="F292" s="50" t="s">
        <v>1441</v>
      </c>
      <c r="G292" s="50" t="s">
        <v>1437</v>
      </c>
    </row>
    <row r="293">
      <c r="A293" s="50">
        <v>1174.0</v>
      </c>
      <c r="B293" s="50" t="s">
        <v>1690</v>
      </c>
      <c r="E293" s="50">
        <v>2264.0</v>
      </c>
      <c r="F293" s="50" t="s">
        <v>1447</v>
      </c>
      <c r="G293" s="50" t="s">
        <v>1437</v>
      </c>
    </row>
    <row r="294">
      <c r="A294" s="50">
        <v>1340.0</v>
      </c>
      <c r="B294" s="50" t="s">
        <v>1691</v>
      </c>
      <c r="E294" s="50">
        <v>2263.0</v>
      </c>
      <c r="F294" s="50" t="s">
        <v>1436</v>
      </c>
      <c r="G294" s="50" t="s">
        <v>1437</v>
      </c>
    </row>
    <row r="295">
      <c r="A295" s="50">
        <v>1064.0</v>
      </c>
      <c r="B295" s="50" t="s">
        <v>1692</v>
      </c>
      <c r="E295" s="50">
        <v>2278.0</v>
      </c>
      <c r="F295" s="50" t="s">
        <v>1439</v>
      </c>
      <c r="G295" s="50" t="s">
        <v>1437</v>
      </c>
    </row>
    <row r="296">
      <c r="A296" s="50">
        <v>1061.0</v>
      </c>
      <c r="B296" s="50" t="s">
        <v>1693</v>
      </c>
      <c r="E296" s="50">
        <v>487.0</v>
      </c>
      <c r="F296" s="50" t="s">
        <v>1443</v>
      </c>
      <c r="G296" s="50" t="s">
        <v>1437</v>
      </c>
    </row>
    <row r="297">
      <c r="A297" s="50">
        <v>2290.0</v>
      </c>
      <c r="B297" s="50" t="s">
        <v>1694</v>
      </c>
      <c r="G297" s="50" t="s">
        <v>1451</v>
      </c>
    </row>
    <row r="298">
      <c r="A298" s="50">
        <v>2090.0</v>
      </c>
      <c r="B298" s="50" t="s">
        <v>1695</v>
      </c>
      <c r="G298" s="50" t="s">
        <v>1451</v>
      </c>
    </row>
    <row r="299">
      <c r="A299" s="50">
        <v>2076.0</v>
      </c>
      <c r="B299" s="50" t="s">
        <v>1696</v>
      </c>
      <c r="G299" s="50" t="s">
        <v>1451</v>
      </c>
    </row>
    <row r="300">
      <c r="A300" s="50">
        <v>2656.0</v>
      </c>
      <c r="B300" s="50" t="s">
        <v>1697</v>
      </c>
      <c r="G300" s="50" t="s">
        <v>1451</v>
      </c>
    </row>
    <row r="301">
      <c r="A301" s="50">
        <v>3340.0</v>
      </c>
      <c r="B301" s="50" t="s">
        <v>1698</v>
      </c>
      <c r="G301" s="50" t="s">
        <v>1451</v>
      </c>
    </row>
    <row r="302">
      <c r="A302" s="50">
        <v>3645.0</v>
      </c>
      <c r="B302" s="50" t="s">
        <v>969</v>
      </c>
      <c r="G302" s="50" t="s">
        <v>1451</v>
      </c>
    </row>
    <row r="303">
      <c r="A303" s="50">
        <v>3014.0</v>
      </c>
      <c r="B303" s="50" t="s">
        <v>1699</v>
      </c>
      <c r="G303" s="50" t="s">
        <v>1451</v>
      </c>
    </row>
    <row r="304">
      <c r="A304" s="50">
        <v>1404.0</v>
      </c>
      <c r="B304" s="50" t="s">
        <v>934</v>
      </c>
      <c r="G304" s="50" t="s">
        <v>1451</v>
      </c>
    </row>
    <row r="305">
      <c r="A305" s="50">
        <v>238.0</v>
      </c>
      <c r="B305" s="50" t="s">
        <v>296</v>
      </c>
      <c r="G305" s="50" t="s">
        <v>1451</v>
      </c>
    </row>
    <row r="306">
      <c r="A306" s="50">
        <v>2851.0</v>
      </c>
      <c r="B306" s="50" t="s">
        <v>1700</v>
      </c>
      <c r="E306" s="50">
        <v>2851.0</v>
      </c>
      <c r="F306" s="50" t="s">
        <v>1653</v>
      </c>
      <c r="G306" s="50" t="s">
        <v>1437</v>
      </c>
    </row>
    <row r="307">
      <c r="A307" s="50">
        <v>1483.0</v>
      </c>
      <c r="B307" s="50" t="s">
        <v>1701</v>
      </c>
      <c r="E307" s="50">
        <v>487.0</v>
      </c>
      <c r="F307" s="50" t="s">
        <v>1443</v>
      </c>
      <c r="G307" s="50" t="s">
        <v>1437</v>
      </c>
    </row>
    <row r="308">
      <c r="A308" s="50">
        <v>1397.0</v>
      </c>
      <c r="B308" s="50" t="s">
        <v>1702</v>
      </c>
      <c r="E308" s="50">
        <v>2264.0</v>
      </c>
      <c r="F308" s="50" t="s">
        <v>1447</v>
      </c>
      <c r="G308" s="50" t="s">
        <v>1437</v>
      </c>
    </row>
    <row r="309">
      <c r="A309" s="50">
        <v>564.0</v>
      </c>
      <c r="B309" s="50" t="s">
        <v>1703</v>
      </c>
      <c r="E309" s="50">
        <v>2247.0</v>
      </c>
      <c r="F309" s="50" t="s">
        <v>1441</v>
      </c>
      <c r="G309" s="50" t="s">
        <v>1437</v>
      </c>
    </row>
    <row r="310">
      <c r="A310" s="50">
        <v>1220.0</v>
      </c>
      <c r="B310" s="50" t="s">
        <v>1704</v>
      </c>
      <c r="E310" s="50">
        <v>2278.0</v>
      </c>
      <c r="F310" s="50" t="s">
        <v>1439</v>
      </c>
      <c r="G310" s="50" t="s">
        <v>1437</v>
      </c>
    </row>
    <row r="311">
      <c r="A311" s="50">
        <v>830.0</v>
      </c>
      <c r="B311" s="50" t="s">
        <v>1705</v>
      </c>
      <c r="E311" s="50">
        <v>487.0</v>
      </c>
      <c r="F311" s="50" t="s">
        <v>1443</v>
      </c>
      <c r="G311" s="50" t="s">
        <v>1437</v>
      </c>
    </row>
    <row r="312">
      <c r="A312" s="50">
        <v>1234.0</v>
      </c>
      <c r="B312" s="50" t="s">
        <v>1706</v>
      </c>
      <c r="E312" s="50">
        <v>2264.0</v>
      </c>
      <c r="F312" s="50" t="s">
        <v>1447</v>
      </c>
      <c r="G312" s="50" t="s">
        <v>1437</v>
      </c>
    </row>
    <row r="313">
      <c r="A313" s="50">
        <v>3672.0</v>
      </c>
      <c r="B313" s="50" t="s">
        <v>1707</v>
      </c>
      <c r="E313" s="50">
        <v>2247.0</v>
      </c>
      <c r="F313" s="50" t="s">
        <v>1441</v>
      </c>
      <c r="G313" s="50" t="s">
        <v>1437</v>
      </c>
    </row>
    <row r="314">
      <c r="A314" s="50">
        <v>2583.0</v>
      </c>
      <c r="B314" s="50" t="s">
        <v>1708</v>
      </c>
      <c r="G314" s="50" t="s">
        <v>1451</v>
      </c>
    </row>
    <row r="315">
      <c r="A315" s="50">
        <v>2582.0</v>
      </c>
      <c r="B315" s="50" t="s">
        <v>1709</v>
      </c>
      <c r="G315" s="50" t="s">
        <v>1451</v>
      </c>
    </row>
    <row r="316">
      <c r="A316" s="50">
        <v>3107.0</v>
      </c>
      <c r="B316" s="50" t="s">
        <v>1710</v>
      </c>
      <c r="G316" s="50" t="s">
        <v>1451</v>
      </c>
    </row>
    <row r="317">
      <c r="A317" s="50">
        <v>2830.0</v>
      </c>
      <c r="B317" s="50" t="s">
        <v>792</v>
      </c>
      <c r="E317" s="50">
        <v>2247.0</v>
      </c>
      <c r="F317" s="50" t="s">
        <v>1441</v>
      </c>
      <c r="G317" s="50" t="s">
        <v>1437</v>
      </c>
    </row>
    <row r="318">
      <c r="A318" s="50">
        <v>2720.0</v>
      </c>
      <c r="B318" s="50" t="s">
        <v>1711</v>
      </c>
      <c r="G318" s="50" t="s">
        <v>1451</v>
      </c>
    </row>
    <row r="319">
      <c r="A319" s="50">
        <v>49.0</v>
      </c>
      <c r="B319" s="50" t="s">
        <v>1712</v>
      </c>
      <c r="G319" s="50" t="s">
        <v>1451</v>
      </c>
    </row>
    <row r="320">
      <c r="A320" s="50">
        <v>3199.0</v>
      </c>
      <c r="B320" s="50" t="s">
        <v>937</v>
      </c>
      <c r="G320" s="50" t="s">
        <v>1451</v>
      </c>
    </row>
    <row r="321">
      <c r="A321" s="50">
        <v>3740.0</v>
      </c>
      <c r="B321" s="50" t="s">
        <v>613</v>
      </c>
      <c r="E321" s="50">
        <v>2640.0</v>
      </c>
      <c r="F321" s="50" t="s">
        <v>1530</v>
      </c>
      <c r="G321" s="50" t="s">
        <v>1437</v>
      </c>
    </row>
    <row r="322">
      <c r="A322" s="50">
        <v>2783.0</v>
      </c>
      <c r="B322" s="50" t="s">
        <v>1713</v>
      </c>
      <c r="G322" s="50" t="s">
        <v>1451</v>
      </c>
    </row>
    <row r="323">
      <c r="A323" s="50">
        <v>3263.0</v>
      </c>
      <c r="B323" s="50" t="s">
        <v>1714</v>
      </c>
      <c r="G323" s="50" t="s">
        <v>1451</v>
      </c>
    </row>
    <row r="324">
      <c r="A324" s="50">
        <v>17.0</v>
      </c>
      <c r="B324" s="50" t="s">
        <v>1715</v>
      </c>
      <c r="G324" s="50" t="s">
        <v>1451</v>
      </c>
    </row>
    <row r="325">
      <c r="A325" s="50">
        <v>2673.0</v>
      </c>
      <c r="B325" s="50" t="s">
        <v>1716</v>
      </c>
      <c r="G325" s="50" t="s">
        <v>1451</v>
      </c>
    </row>
    <row r="326">
      <c r="A326" s="50">
        <v>3049.0</v>
      </c>
      <c r="B326" s="50" t="s">
        <v>1717</v>
      </c>
      <c r="E326" s="50">
        <v>2640.0</v>
      </c>
      <c r="F326" s="50" t="s">
        <v>1530</v>
      </c>
      <c r="G326" s="50" t="s">
        <v>1437</v>
      </c>
    </row>
    <row r="327">
      <c r="A327" s="50">
        <v>3662.0</v>
      </c>
      <c r="B327" s="50" t="s">
        <v>971</v>
      </c>
      <c r="E327" s="50">
        <v>487.0</v>
      </c>
      <c r="F327" s="50" t="s">
        <v>1443</v>
      </c>
      <c r="G327" s="50" t="s">
        <v>1437</v>
      </c>
    </row>
    <row r="328">
      <c r="A328" s="50">
        <v>863.0</v>
      </c>
      <c r="B328" s="50" t="s">
        <v>1718</v>
      </c>
      <c r="G328" s="50" t="s">
        <v>1451</v>
      </c>
    </row>
    <row r="329">
      <c r="A329" s="50">
        <v>2847.0</v>
      </c>
      <c r="B329" s="50" t="s">
        <v>999</v>
      </c>
      <c r="G329" s="50" t="s">
        <v>1451</v>
      </c>
    </row>
    <row r="330">
      <c r="A330" s="50">
        <v>3542.0</v>
      </c>
      <c r="B330" s="50" t="s">
        <v>1719</v>
      </c>
      <c r="G330" s="50" t="s">
        <v>1451</v>
      </c>
    </row>
    <row r="331">
      <c r="A331" s="50">
        <v>3428.0</v>
      </c>
      <c r="B331" s="50" t="s">
        <v>1720</v>
      </c>
      <c r="G331" s="50" t="s">
        <v>1451</v>
      </c>
    </row>
    <row r="332">
      <c r="A332" s="50">
        <v>1128.0</v>
      </c>
      <c r="B332" s="50" t="s">
        <v>961</v>
      </c>
      <c r="G332" s="50" t="s">
        <v>1451</v>
      </c>
    </row>
    <row r="333">
      <c r="A333" s="50">
        <v>2336.0</v>
      </c>
      <c r="B333" s="50" t="s">
        <v>1721</v>
      </c>
      <c r="G333" s="50" t="s">
        <v>1451</v>
      </c>
    </row>
    <row r="334">
      <c r="A334" s="50">
        <v>2635.0</v>
      </c>
      <c r="B334" s="50" t="s">
        <v>1722</v>
      </c>
      <c r="G334" s="50" t="s">
        <v>1451</v>
      </c>
    </row>
    <row r="335">
      <c r="A335" s="50">
        <v>2762.0</v>
      </c>
      <c r="B335" s="50" t="s">
        <v>719</v>
      </c>
      <c r="G335" s="50" t="s">
        <v>1451</v>
      </c>
    </row>
    <row r="336">
      <c r="A336" s="50">
        <v>3341.0</v>
      </c>
      <c r="B336" s="50" t="s">
        <v>515</v>
      </c>
      <c r="G336" s="50" t="s">
        <v>1451</v>
      </c>
    </row>
    <row r="337">
      <c r="A337" s="50">
        <v>2212.0</v>
      </c>
      <c r="B337" s="50" t="s">
        <v>1723</v>
      </c>
      <c r="G337" s="50" t="s">
        <v>1451</v>
      </c>
    </row>
    <row r="338">
      <c r="A338" s="50">
        <v>2397.0</v>
      </c>
      <c r="B338" s="50" t="s">
        <v>1724</v>
      </c>
      <c r="G338" s="50" t="s">
        <v>1451</v>
      </c>
    </row>
    <row r="339">
      <c r="A339" s="50">
        <v>2366.0</v>
      </c>
      <c r="B339" s="50" t="s">
        <v>1725</v>
      </c>
      <c r="G339" s="50" t="s">
        <v>1451</v>
      </c>
    </row>
    <row r="340">
      <c r="A340" s="50">
        <v>2365.0</v>
      </c>
      <c r="B340" s="50" t="s">
        <v>1726</v>
      </c>
      <c r="G340" s="50" t="s">
        <v>1451</v>
      </c>
    </row>
    <row r="341">
      <c r="A341" s="50">
        <v>728.0</v>
      </c>
      <c r="B341" s="50" t="s">
        <v>1727</v>
      </c>
      <c r="G341" s="50" t="s">
        <v>1451</v>
      </c>
    </row>
    <row r="342">
      <c r="A342" s="50">
        <v>2893.0</v>
      </c>
      <c r="B342" s="50" t="s">
        <v>1728</v>
      </c>
      <c r="E342" s="50">
        <v>487.0</v>
      </c>
      <c r="F342" s="50" t="s">
        <v>1443</v>
      </c>
      <c r="G342" s="50" t="s">
        <v>1437</v>
      </c>
    </row>
    <row r="343">
      <c r="A343" s="50">
        <v>2676.0</v>
      </c>
      <c r="B343" s="50" t="s">
        <v>1729</v>
      </c>
      <c r="E343" s="50">
        <v>2263.0</v>
      </c>
      <c r="F343" s="50" t="s">
        <v>1436</v>
      </c>
      <c r="G343" s="50" t="s">
        <v>1437</v>
      </c>
    </row>
    <row r="344">
      <c r="A344" s="50">
        <v>1348.0</v>
      </c>
      <c r="B344" s="50" t="s">
        <v>1730</v>
      </c>
      <c r="E344" s="50">
        <v>2278.0</v>
      </c>
      <c r="F344" s="50" t="s">
        <v>1439</v>
      </c>
      <c r="G344" s="50" t="s">
        <v>1437</v>
      </c>
    </row>
    <row r="345">
      <c r="A345" s="50">
        <v>2632.0</v>
      </c>
      <c r="B345" s="50" t="s">
        <v>1731</v>
      </c>
      <c r="E345" s="50">
        <v>2640.0</v>
      </c>
      <c r="F345" s="50" t="s">
        <v>1530</v>
      </c>
      <c r="G345" s="50" t="s">
        <v>1437</v>
      </c>
    </row>
    <row r="346">
      <c r="A346" s="50">
        <v>1188.0</v>
      </c>
      <c r="B346" s="50" t="s">
        <v>1732</v>
      </c>
      <c r="E346" s="50">
        <v>2247.0</v>
      </c>
      <c r="F346" s="50" t="s">
        <v>1441</v>
      </c>
      <c r="G346" s="50" t="s">
        <v>1437</v>
      </c>
    </row>
    <row r="347">
      <c r="A347" s="50">
        <v>1551.0</v>
      </c>
      <c r="B347" s="50" t="s">
        <v>1733</v>
      </c>
      <c r="E347" s="50">
        <v>487.0</v>
      </c>
      <c r="F347" s="50" t="s">
        <v>1443</v>
      </c>
      <c r="G347" s="50" t="s">
        <v>1437</v>
      </c>
    </row>
    <row r="348">
      <c r="A348" s="50">
        <v>1187.0</v>
      </c>
      <c r="B348" s="50" t="s">
        <v>1734</v>
      </c>
      <c r="E348" s="50">
        <v>2640.0</v>
      </c>
      <c r="F348" s="50" t="s">
        <v>1530</v>
      </c>
      <c r="G348" s="50" t="s">
        <v>1437</v>
      </c>
    </row>
    <row r="349">
      <c r="A349" s="50">
        <v>1186.0</v>
      </c>
      <c r="B349" s="50" t="s">
        <v>1735</v>
      </c>
      <c r="E349" s="50">
        <v>2264.0</v>
      </c>
      <c r="F349" s="50" t="s">
        <v>1447</v>
      </c>
      <c r="G349" s="50" t="s">
        <v>1437</v>
      </c>
    </row>
    <row r="350">
      <c r="A350" s="50">
        <v>3364.0</v>
      </c>
      <c r="B350" s="50" t="s">
        <v>1736</v>
      </c>
      <c r="E350" s="50">
        <v>2278.0</v>
      </c>
      <c r="F350" s="50" t="s">
        <v>1439</v>
      </c>
      <c r="G350" s="50" t="s">
        <v>1437</v>
      </c>
    </row>
    <row r="351">
      <c r="A351" s="50">
        <v>3575.0</v>
      </c>
      <c r="B351" s="50" t="s">
        <v>1737</v>
      </c>
      <c r="E351" s="50">
        <v>2247.0</v>
      </c>
      <c r="F351" s="50" t="s">
        <v>1441</v>
      </c>
      <c r="G351" s="50" t="s">
        <v>1437</v>
      </c>
    </row>
    <row r="352">
      <c r="A352" s="50">
        <v>2531.0</v>
      </c>
      <c r="B352" s="50" t="s">
        <v>1738</v>
      </c>
      <c r="E352" s="50">
        <v>2278.0</v>
      </c>
      <c r="F352" s="50" t="s">
        <v>1439</v>
      </c>
      <c r="G352" s="50" t="s">
        <v>1437</v>
      </c>
    </row>
    <row r="353">
      <c r="A353" s="50">
        <v>2539.0</v>
      </c>
      <c r="B353" s="50" t="s">
        <v>1739</v>
      </c>
      <c r="G353" s="50" t="s">
        <v>1451</v>
      </c>
    </row>
    <row r="354">
      <c r="A354" s="50">
        <v>2648.0</v>
      </c>
      <c r="B354" s="50" t="s">
        <v>1740</v>
      </c>
      <c r="G354" s="50" t="s">
        <v>1451</v>
      </c>
    </row>
    <row r="355">
      <c r="A355" s="50">
        <v>3776.0</v>
      </c>
      <c r="B355" s="50" t="s">
        <v>634</v>
      </c>
      <c r="E355" s="50">
        <v>2640.0</v>
      </c>
      <c r="F355" s="50" t="s">
        <v>1530</v>
      </c>
      <c r="G355" s="50" t="s">
        <v>1437</v>
      </c>
    </row>
    <row r="356">
      <c r="A356" s="50">
        <v>1848.0</v>
      </c>
      <c r="B356" s="50" t="s">
        <v>1741</v>
      </c>
      <c r="G356" s="50" t="s">
        <v>1451</v>
      </c>
    </row>
    <row r="357">
      <c r="A357" s="50">
        <v>2675.0</v>
      </c>
      <c r="B357" s="50" t="s">
        <v>1742</v>
      </c>
      <c r="G357" s="50" t="s">
        <v>1451</v>
      </c>
    </row>
    <row r="358">
      <c r="A358" s="50">
        <v>1161.0</v>
      </c>
      <c r="B358" s="50" t="s">
        <v>1743</v>
      </c>
      <c r="G358" s="50" t="s">
        <v>1451</v>
      </c>
    </row>
    <row r="359">
      <c r="A359" s="50">
        <v>1831.0</v>
      </c>
      <c r="B359" s="50" t="s">
        <v>1744</v>
      </c>
      <c r="G359" s="50" t="s">
        <v>1451</v>
      </c>
    </row>
    <row r="360">
      <c r="A360" s="50">
        <v>2070.0</v>
      </c>
      <c r="B360" s="50" t="s">
        <v>1107</v>
      </c>
      <c r="G360" s="50" t="s">
        <v>1451</v>
      </c>
    </row>
    <row r="361">
      <c r="A361" s="50">
        <v>2485.0</v>
      </c>
      <c r="B361" s="50" t="s">
        <v>1745</v>
      </c>
      <c r="G361" s="50" t="s">
        <v>1451</v>
      </c>
    </row>
    <row r="362">
      <c r="A362" s="50">
        <v>438.0</v>
      </c>
      <c r="B362" s="50" t="s">
        <v>1746</v>
      </c>
      <c r="G362" s="50" t="s">
        <v>1451</v>
      </c>
    </row>
    <row r="363">
      <c r="A363" s="50">
        <v>1155.0</v>
      </c>
      <c r="B363" s="50" t="s">
        <v>1747</v>
      </c>
      <c r="G363" s="50" t="s">
        <v>1451</v>
      </c>
    </row>
    <row r="364">
      <c r="A364" s="50">
        <v>2248.0</v>
      </c>
      <c r="B364" s="50" t="s">
        <v>1748</v>
      </c>
      <c r="G364" s="50" t="s">
        <v>1451</v>
      </c>
    </row>
    <row r="365">
      <c r="A365" s="50">
        <v>2846.0</v>
      </c>
      <c r="B365" s="50" t="s">
        <v>1749</v>
      </c>
      <c r="G365" s="50" t="s">
        <v>1451</v>
      </c>
    </row>
    <row r="366">
      <c r="A366" s="50">
        <v>3035.0</v>
      </c>
      <c r="B366" s="50" t="s">
        <v>1750</v>
      </c>
      <c r="G366" s="50" t="s">
        <v>1451</v>
      </c>
    </row>
    <row r="367">
      <c r="A367" s="50">
        <v>2503.0</v>
      </c>
      <c r="B367" s="50" t="s">
        <v>1751</v>
      </c>
      <c r="E367" s="50">
        <v>2247.0</v>
      </c>
      <c r="F367" s="50" t="s">
        <v>1441</v>
      </c>
      <c r="G367" s="50" t="s">
        <v>1437</v>
      </c>
    </row>
    <row r="368">
      <c r="A368" s="50">
        <v>2715.0</v>
      </c>
      <c r="B368" s="50" t="s">
        <v>1752</v>
      </c>
      <c r="E368" s="50">
        <v>2247.0</v>
      </c>
      <c r="F368" s="50" t="s">
        <v>1441</v>
      </c>
      <c r="G368" s="50" t="s">
        <v>1437</v>
      </c>
    </row>
    <row r="369">
      <c r="A369" s="50">
        <v>2304.0</v>
      </c>
      <c r="B369" s="50" t="s">
        <v>1753</v>
      </c>
      <c r="E369" s="50">
        <v>2247.0</v>
      </c>
      <c r="F369" s="50" t="s">
        <v>1441</v>
      </c>
      <c r="G369" s="50" t="s">
        <v>1437</v>
      </c>
    </row>
    <row r="370">
      <c r="A370" s="50">
        <v>2714.0</v>
      </c>
      <c r="B370" s="50" t="s">
        <v>1754</v>
      </c>
      <c r="E370" s="50">
        <v>2247.0</v>
      </c>
      <c r="F370" s="50" t="s">
        <v>1441</v>
      </c>
      <c r="G370" s="50" t="s">
        <v>1437</v>
      </c>
    </row>
    <row r="371">
      <c r="A371" s="50">
        <v>2265.0</v>
      </c>
      <c r="B371" s="50" t="s">
        <v>1755</v>
      </c>
      <c r="E371" s="50">
        <v>2247.0</v>
      </c>
      <c r="F371" s="50" t="s">
        <v>1441</v>
      </c>
      <c r="G371" s="50" t="s">
        <v>1437</v>
      </c>
    </row>
    <row r="372">
      <c r="A372" s="50">
        <v>2748.0</v>
      </c>
      <c r="B372" s="50" t="s">
        <v>1756</v>
      </c>
      <c r="E372" s="50">
        <v>2247.0</v>
      </c>
      <c r="F372" s="50" t="s">
        <v>1441</v>
      </c>
      <c r="G372" s="50" t="s">
        <v>1437</v>
      </c>
    </row>
    <row r="373">
      <c r="A373" s="50">
        <v>2247.0</v>
      </c>
      <c r="B373" s="50" t="s">
        <v>1757</v>
      </c>
      <c r="E373" s="50">
        <v>2247.0</v>
      </c>
      <c r="F373" s="50" t="s">
        <v>1441</v>
      </c>
      <c r="G373" s="50" t="s">
        <v>1437</v>
      </c>
    </row>
    <row r="374">
      <c r="A374" s="50">
        <v>64.0</v>
      </c>
      <c r="B374" s="50" t="s">
        <v>1758</v>
      </c>
      <c r="E374" s="50">
        <v>2247.0</v>
      </c>
      <c r="F374" s="50" t="s">
        <v>1441</v>
      </c>
      <c r="G374" s="50" t="s">
        <v>1437</v>
      </c>
    </row>
    <row r="375">
      <c r="A375" s="50">
        <v>3466.0</v>
      </c>
      <c r="B375" s="50" t="s">
        <v>1759</v>
      </c>
      <c r="E375" s="50">
        <v>2247.0</v>
      </c>
      <c r="F375" s="50" t="s">
        <v>1441</v>
      </c>
      <c r="G375" s="50" t="s">
        <v>1437</v>
      </c>
    </row>
    <row r="376">
      <c r="A376" s="50">
        <v>41.0</v>
      </c>
      <c r="B376" s="50" t="s">
        <v>1760</v>
      </c>
      <c r="E376" s="50">
        <v>2247.0</v>
      </c>
      <c r="F376" s="50" t="s">
        <v>1441</v>
      </c>
      <c r="G376" s="50" t="s">
        <v>1437</v>
      </c>
    </row>
    <row r="377">
      <c r="A377" s="50">
        <v>773.0</v>
      </c>
      <c r="B377" s="50" t="s">
        <v>1761</v>
      </c>
      <c r="G377" s="50" t="s">
        <v>1451</v>
      </c>
    </row>
    <row r="378">
      <c r="A378" s="50">
        <v>3350.0</v>
      </c>
      <c r="B378" s="50" t="s">
        <v>1762</v>
      </c>
      <c r="G378" s="50" t="s">
        <v>1451</v>
      </c>
    </row>
    <row r="379">
      <c r="A379" s="50">
        <v>3144.0</v>
      </c>
      <c r="B379" s="50" t="s">
        <v>952</v>
      </c>
      <c r="G379" s="50" t="s">
        <v>1451</v>
      </c>
    </row>
    <row r="380">
      <c r="A380" s="50">
        <v>2350.0</v>
      </c>
      <c r="B380" s="50" t="s">
        <v>1763</v>
      </c>
      <c r="G380" s="50" t="s">
        <v>1451</v>
      </c>
    </row>
    <row r="381">
      <c r="A381" s="50">
        <v>3480.0</v>
      </c>
      <c r="B381" s="50" t="s">
        <v>1764</v>
      </c>
      <c r="G381" s="50" t="s">
        <v>1451</v>
      </c>
    </row>
    <row r="382">
      <c r="A382" s="50">
        <v>3472.0</v>
      </c>
      <c r="B382" s="50" t="s">
        <v>1765</v>
      </c>
      <c r="G382" s="50" t="s">
        <v>1451</v>
      </c>
    </row>
    <row r="383">
      <c r="A383" s="50">
        <v>2385.0</v>
      </c>
      <c r="B383" s="50" t="s">
        <v>1766</v>
      </c>
      <c r="G383" s="50" t="s">
        <v>1451</v>
      </c>
    </row>
    <row r="384">
      <c r="A384" s="50">
        <v>2253.0</v>
      </c>
      <c r="B384" s="50" t="s">
        <v>1767</v>
      </c>
      <c r="G384" s="50" t="s">
        <v>1451</v>
      </c>
    </row>
    <row r="385">
      <c r="A385" s="50">
        <v>3523.0</v>
      </c>
      <c r="B385" s="50" t="s">
        <v>1768</v>
      </c>
      <c r="G385" s="50" t="s">
        <v>1451</v>
      </c>
    </row>
    <row r="386">
      <c r="A386" s="50">
        <v>3445.0</v>
      </c>
      <c r="B386" s="50" t="s">
        <v>948</v>
      </c>
      <c r="G386" s="50" t="s">
        <v>1451</v>
      </c>
    </row>
    <row r="387">
      <c r="A387" s="50">
        <v>1312.0</v>
      </c>
      <c r="B387" s="50" t="s">
        <v>1769</v>
      </c>
      <c r="G387" s="50" t="s">
        <v>1451</v>
      </c>
    </row>
    <row r="388">
      <c r="A388" s="50">
        <v>2980.0</v>
      </c>
      <c r="B388" s="50" t="s">
        <v>448</v>
      </c>
      <c r="G388" s="50" t="s">
        <v>1451</v>
      </c>
    </row>
    <row r="389">
      <c r="A389" s="50">
        <v>3119.0</v>
      </c>
      <c r="B389" s="50" t="s">
        <v>1770</v>
      </c>
      <c r="G389" s="50" t="s">
        <v>1451</v>
      </c>
    </row>
    <row r="390">
      <c r="A390" s="50">
        <v>3644.0</v>
      </c>
      <c r="B390" s="50" t="s">
        <v>1003</v>
      </c>
      <c r="G390" s="50" t="s">
        <v>1451</v>
      </c>
    </row>
    <row r="391">
      <c r="A391" s="50">
        <v>2951.0</v>
      </c>
      <c r="B391" s="50" t="s">
        <v>377</v>
      </c>
      <c r="G391" s="50" t="s">
        <v>1451</v>
      </c>
    </row>
    <row r="392">
      <c r="A392" s="50">
        <v>1557.0</v>
      </c>
      <c r="B392" s="50" t="s">
        <v>967</v>
      </c>
      <c r="G392" s="50" t="s">
        <v>1451</v>
      </c>
    </row>
    <row r="393">
      <c r="A393" s="50">
        <v>2292.0</v>
      </c>
      <c r="B393" s="50" t="s">
        <v>1771</v>
      </c>
      <c r="G393" s="50" t="s">
        <v>1451</v>
      </c>
    </row>
    <row r="394">
      <c r="A394" s="50">
        <v>3681.0</v>
      </c>
      <c r="B394" s="50" t="s">
        <v>1772</v>
      </c>
      <c r="G394" s="50" t="s">
        <v>1451</v>
      </c>
    </row>
    <row r="395">
      <c r="A395" s="50">
        <v>3290.0</v>
      </c>
      <c r="B395" s="50" t="s">
        <v>401</v>
      </c>
      <c r="G395" s="50" t="s">
        <v>1451</v>
      </c>
    </row>
    <row r="396">
      <c r="A396" s="50">
        <v>3664.0</v>
      </c>
      <c r="B396" s="50" t="s">
        <v>1773</v>
      </c>
      <c r="G396" s="50" t="s">
        <v>1451</v>
      </c>
    </row>
    <row r="397">
      <c r="A397" s="50">
        <v>138.0</v>
      </c>
      <c r="B397" s="50" t="s">
        <v>939</v>
      </c>
      <c r="E397" s="50">
        <v>487.0</v>
      </c>
      <c r="F397" s="50" t="s">
        <v>1443</v>
      </c>
      <c r="G397" s="50" t="s">
        <v>1437</v>
      </c>
    </row>
    <row r="398">
      <c r="A398" s="50">
        <v>2280.0</v>
      </c>
      <c r="B398" s="50" t="s">
        <v>1774</v>
      </c>
      <c r="E398" s="50">
        <v>487.0</v>
      </c>
      <c r="F398" s="50" t="s">
        <v>1443</v>
      </c>
      <c r="G398" s="50" t="s">
        <v>1437</v>
      </c>
    </row>
    <row r="399">
      <c r="A399" s="50">
        <v>3324.0</v>
      </c>
      <c r="B399" s="50" t="s">
        <v>1775</v>
      </c>
      <c r="E399" s="50">
        <v>487.0</v>
      </c>
      <c r="F399" s="50" t="s">
        <v>1443</v>
      </c>
      <c r="G399" s="50" t="s">
        <v>1437</v>
      </c>
    </row>
    <row r="400">
      <c r="A400" s="50">
        <v>2898.0</v>
      </c>
      <c r="B400" s="50" t="s">
        <v>1005</v>
      </c>
      <c r="E400" s="50">
        <v>487.0</v>
      </c>
      <c r="F400" s="50" t="s">
        <v>1443</v>
      </c>
      <c r="G400" s="50" t="s">
        <v>1437</v>
      </c>
    </row>
    <row r="401">
      <c r="A401" s="50">
        <v>3643.0</v>
      </c>
      <c r="B401" s="50" t="s">
        <v>976</v>
      </c>
      <c r="E401" s="50">
        <v>487.0</v>
      </c>
      <c r="F401" s="50" t="s">
        <v>1443</v>
      </c>
      <c r="G401" s="50" t="s">
        <v>1437</v>
      </c>
    </row>
    <row r="402">
      <c r="A402" s="50">
        <v>3856.0</v>
      </c>
      <c r="B402" s="50" t="s">
        <v>743</v>
      </c>
      <c r="E402" s="50">
        <v>487.0</v>
      </c>
      <c r="F402" s="50" t="s">
        <v>1443</v>
      </c>
      <c r="G402" s="50" t="s">
        <v>1437</v>
      </c>
    </row>
    <row r="403">
      <c r="A403" s="50">
        <v>3235.0</v>
      </c>
      <c r="B403" s="50" t="s">
        <v>980</v>
      </c>
      <c r="E403" s="50">
        <v>487.0</v>
      </c>
      <c r="F403" s="50" t="s">
        <v>1443</v>
      </c>
      <c r="G403" s="50" t="s">
        <v>1437</v>
      </c>
    </row>
    <row r="404">
      <c r="A404" s="50">
        <v>3624.0</v>
      </c>
      <c r="B404" s="50" t="s">
        <v>965</v>
      </c>
      <c r="E404" s="50">
        <v>487.0</v>
      </c>
      <c r="F404" s="50" t="s">
        <v>1443</v>
      </c>
      <c r="G404" s="50" t="s">
        <v>1437</v>
      </c>
    </row>
    <row r="405">
      <c r="A405" s="50">
        <v>3543.0</v>
      </c>
      <c r="B405" s="50" t="s">
        <v>1776</v>
      </c>
      <c r="G405" s="50" t="s">
        <v>1451</v>
      </c>
    </row>
    <row r="406">
      <c r="A406" s="50">
        <v>3424.0</v>
      </c>
      <c r="B406" s="50" t="s">
        <v>1777</v>
      </c>
      <c r="G406" s="50" t="s">
        <v>1451</v>
      </c>
    </row>
    <row r="407">
      <c r="A407" s="50">
        <v>964.0</v>
      </c>
      <c r="B407" s="50" t="s">
        <v>1778</v>
      </c>
      <c r="E407" s="50">
        <v>2247.0</v>
      </c>
      <c r="F407" s="50" t="s">
        <v>1441</v>
      </c>
      <c r="G407" s="50" t="s">
        <v>1437</v>
      </c>
    </row>
    <row r="408">
      <c r="A408" s="50">
        <v>861.0</v>
      </c>
      <c r="B408" s="50" t="s">
        <v>1779</v>
      </c>
      <c r="E408" s="50">
        <v>2278.0</v>
      </c>
      <c r="F408" s="50" t="s">
        <v>1439</v>
      </c>
      <c r="G408" s="50" t="s">
        <v>1437</v>
      </c>
    </row>
    <row r="409">
      <c r="A409" s="50">
        <v>769.0</v>
      </c>
      <c r="B409" s="50" t="s">
        <v>1780</v>
      </c>
      <c r="E409" s="50">
        <v>487.0</v>
      </c>
      <c r="F409" s="50" t="s">
        <v>1443</v>
      </c>
      <c r="G409" s="50" t="s">
        <v>1437</v>
      </c>
    </row>
    <row r="410">
      <c r="A410" s="50">
        <v>973.0</v>
      </c>
      <c r="B410" s="50" t="s">
        <v>1781</v>
      </c>
      <c r="E410" s="50">
        <v>487.0</v>
      </c>
      <c r="F410" s="50" t="s">
        <v>1443</v>
      </c>
      <c r="G410" s="50" t="s">
        <v>1437</v>
      </c>
    </row>
    <row r="411">
      <c r="A411" s="50">
        <v>2242.0</v>
      </c>
      <c r="B411" s="50" t="s">
        <v>1782</v>
      </c>
      <c r="G411" s="50" t="s">
        <v>1451</v>
      </c>
    </row>
    <row r="412">
      <c r="A412" s="50">
        <v>2122.0</v>
      </c>
      <c r="B412" s="50" t="s">
        <v>1783</v>
      </c>
      <c r="E412" s="50">
        <v>2247.0</v>
      </c>
      <c r="F412" s="50" t="s">
        <v>1441</v>
      </c>
      <c r="G412" s="50" t="s">
        <v>1437</v>
      </c>
    </row>
    <row r="413">
      <c r="A413" s="50">
        <v>2121.0</v>
      </c>
      <c r="B413" s="50" t="s">
        <v>1784</v>
      </c>
      <c r="E413" s="50">
        <v>487.0</v>
      </c>
      <c r="F413" s="50" t="s">
        <v>1443</v>
      </c>
      <c r="G413" s="50" t="s">
        <v>1437</v>
      </c>
    </row>
    <row r="414">
      <c r="A414" s="50">
        <v>2218.0</v>
      </c>
      <c r="B414" s="50" t="s">
        <v>1785</v>
      </c>
      <c r="E414" s="50">
        <v>487.0</v>
      </c>
      <c r="F414" s="50" t="s">
        <v>1443</v>
      </c>
      <c r="G414" s="50" t="s">
        <v>1437</v>
      </c>
    </row>
    <row r="415">
      <c r="A415" s="50">
        <v>2120.0</v>
      </c>
      <c r="B415" s="50" t="s">
        <v>1786</v>
      </c>
      <c r="E415" s="50">
        <v>487.0</v>
      </c>
      <c r="F415" s="50" t="s">
        <v>1443</v>
      </c>
      <c r="G415" s="50" t="s">
        <v>1437</v>
      </c>
    </row>
    <row r="416">
      <c r="A416" s="50">
        <v>750.0</v>
      </c>
      <c r="B416" s="50" t="s">
        <v>1787</v>
      </c>
      <c r="E416" s="50">
        <v>2247.0</v>
      </c>
      <c r="F416" s="50" t="s">
        <v>1441</v>
      </c>
      <c r="G416" s="50" t="s">
        <v>1437</v>
      </c>
    </row>
    <row r="417">
      <c r="A417" s="50">
        <v>759.0</v>
      </c>
      <c r="B417" s="50" t="s">
        <v>1788</v>
      </c>
      <c r="E417" s="50">
        <v>487.0</v>
      </c>
      <c r="F417" s="50" t="s">
        <v>1443</v>
      </c>
      <c r="G417" s="50" t="s">
        <v>1437</v>
      </c>
    </row>
    <row r="418">
      <c r="A418" s="50">
        <v>2204.0</v>
      </c>
      <c r="B418" s="50" t="s">
        <v>1789</v>
      </c>
      <c r="G418" s="50" t="s">
        <v>1451</v>
      </c>
    </row>
    <row r="419">
      <c r="A419" s="50">
        <v>2205.0</v>
      </c>
      <c r="B419" s="50" t="s">
        <v>1790</v>
      </c>
      <c r="E419" s="50">
        <v>487.0</v>
      </c>
      <c r="F419" s="50" t="s">
        <v>1443</v>
      </c>
      <c r="G419" s="50" t="s">
        <v>1437</v>
      </c>
    </row>
    <row r="420">
      <c r="A420" s="50">
        <v>732.0</v>
      </c>
      <c r="B420" s="50" t="s">
        <v>1791</v>
      </c>
      <c r="E420" s="50">
        <v>487.0</v>
      </c>
      <c r="F420" s="50" t="s">
        <v>1443</v>
      </c>
      <c r="G420" s="50" t="s">
        <v>1437</v>
      </c>
    </row>
    <row r="421">
      <c r="A421" s="50">
        <v>740.0</v>
      </c>
      <c r="B421" s="50" t="s">
        <v>1792</v>
      </c>
      <c r="E421" s="50">
        <v>2264.0</v>
      </c>
      <c r="F421" s="50" t="s">
        <v>1447</v>
      </c>
      <c r="G421" s="50" t="s">
        <v>1437</v>
      </c>
    </row>
    <row r="422">
      <c r="A422" s="50">
        <v>795.0</v>
      </c>
      <c r="B422" s="50" t="s">
        <v>1793</v>
      </c>
      <c r="G422" s="50" t="s">
        <v>1451</v>
      </c>
    </row>
    <row r="423">
      <c r="A423" s="50">
        <v>2201.0</v>
      </c>
      <c r="B423" s="50" t="s">
        <v>1794</v>
      </c>
      <c r="E423" s="50">
        <v>2247.0</v>
      </c>
      <c r="F423" s="50" t="s">
        <v>1441</v>
      </c>
      <c r="G423" s="50" t="s">
        <v>1437</v>
      </c>
    </row>
    <row r="424">
      <c r="A424" s="50">
        <v>1886.0</v>
      </c>
      <c r="B424" s="50" t="s">
        <v>1795</v>
      </c>
      <c r="E424" s="50">
        <v>2247.0</v>
      </c>
      <c r="F424" s="50" t="s">
        <v>1441</v>
      </c>
      <c r="G424" s="50" t="s">
        <v>1437</v>
      </c>
    </row>
    <row r="425">
      <c r="A425" s="50">
        <v>2890.0</v>
      </c>
      <c r="B425" s="50" t="s">
        <v>1796</v>
      </c>
      <c r="G425" s="50" t="s">
        <v>1451</v>
      </c>
    </row>
    <row r="426">
      <c r="A426" s="50">
        <v>2613.0</v>
      </c>
      <c r="B426" s="50" t="s">
        <v>1797</v>
      </c>
      <c r="G426" s="50" t="s">
        <v>1451</v>
      </c>
    </row>
    <row r="427">
      <c r="A427" s="50">
        <v>1949.0</v>
      </c>
      <c r="B427" s="50" t="s">
        <v>1798</v>
      </c>
      <c r="E427" s="50">
        <v>2247.0</v>
      </c>
      <c r="F427" s="50" t="s">
        <v>1441</v>
      </c>
      <c r="G427" s="50" t="s">
        <v>1437</v>
      </c>
    </row>
    <row r="428">
      <c r="A428" s="50">
        <v>2192.0</v>
      </c>
      <c r="B428" s="50" t="s">
        <v>1799</v>
      </c>
      <c r="E428" s="50">
        <v>2278.0</v>
      </c>
      <c r="F428" s="50" t="s">
        <v>1439</v>
      </c>
      <c r="G428" s="50" t="s">
        <v>1437</v>
      </c>
    </row>
    <row r="429">
      <c r="A429" s="50">
        <v>2156.0</v>
      </c>
      <c r="B429" s="50" t="s">
        <v>1800</v>
      </c>
      <c r="E429" s="50">
        <v>2247.0</v>
      </c>
      <c r="F429" s="50" t="s">
        <v>1441</v>
      </c>
      <c r="G429" s="50" t="s">
        <v>1437</v>
      </c>
    </row>
    <row r="430">
      <c r="A430" s="50">
        <v>1873.0</v>
      </c>
      <c r="B430" s="50" t="s">
        <v>1801</v>
      </c>
      <c r="E430" s="50">
        <v>2248.0</v>
      </c>
      <c r="F430" s="50" t="s">
        <v>1461</v>
      </c>
      <c r="G430" s="50" t="s">
        <v>1437</v>
      </c>
    </row>
    <row r="431">
      <c r="A431" s="50">
        <v>2299.0</v>
      </c>
      <c r="B431" s="50" t="s">
        <v>1802</v>
      </c>
      <c r="G431" s="50" t="s">
        <v>1451</v>
      </c>
    </row>
    <row r="432">
      <c r="A432" s="50">
        <v>2196.0</v>
      </c>
      <c r="B432" s="50" t="s">
        <v>1803</v>
      </c>
      <c r="E432" s="50">
        <v>2248.0</v>
      </c>
      <c r="F432" s="50" t="s">
        <v>1461</v>
      </c>
      <c r="G432" s="50" t="s">
        <v>1437</v>
      </c>
    </row>
    <row r="433">
      <c r="A433" s="50">
        <v>1826.0</v>
      </c>
      <c r="B433" s="50" t="s">
        <v>1804</v>
      </c>
      <c r="E433" s="50">
        <v>2247.0</v>
      </c>
      <c r="F433" s="50" t="s">
        <v>1441</v>
      </c>
      <c r="G433" s="50" t="s">
        <v>1437</v>
      </c>
    </row>
    <row r="434">
      <c r="A434" s="50">
        <v>1539.0</v>
      </c>
      <c r="B434" s="50" t="s">
        <v>1805</v>
      </c>
      <c r="E434" s="50">
        <v>2247.0</v>
      </c>
      <c r="F434" s="50" t="s">
        <v>1441</v>
      </c>
      <c r="G434" s="50" t="s">
        <v>1437</v>
      </c>
    </row>
    <row r="435">
      <c r="A435" s="50">
        <v>2186.0</v>
      </c>
      <c r="B435" s="50" t="s">
        <v>1806</v>
      </c>
      <c r="E435" s="50">
        <v>2278.0</v>
      </c>
      <c r="F435" s="50" t="s">
        <v>1439</v>
      </c>
      <c r="G435" s="50" t="s">
        <v>1437</v>
      </c>
    </row>
    <row r="436">
      <c r="A436" s="50">
        <v>3146.0</v>
      </c>
      <c r="B436" s="50" t="s">
        <v>1807</v>
      </c>
      <c r="E436" s="50">
        <v>3136.0</v>
      </c>
      <c r="F436" s="50" t="s">
        <v>1610</v>
      </c>
      <c r="G436" s="50" t="s">
        <v>1437</v>
      </c>
    </row>
    <row r="437">
      <c r="A437" s="50">
        <v>1405.0</v>
      </c>
      <c r="B437" s="50" t="s">
        <v>1808</v>
      </c>
      <c r="E437" s="50">
        <v>2247.0</v>
      </c>
      <c r="F437" s="50" t="s">
        <v>1441</v>
      </c>
      <c r="G437" s="50" t="s">
        <v>1437</v>
      </c>
    </row>
    <row r="438">
      <c r="A438" s="50">
        <v>3184.0</v>
      </c>
      <c r="B438" s="50" t="s">
        <v>1809</v>
      </c>
      <c r="E438" s="50">
        <v>487.0</v>
      </c>
      <c r="F438" s="50" t="s">
        <v>1443</v>
      </c>
      <c r="G438" s="50" t="s">
        <v>1437</v>
      </c>
    </row>
    <row r="439">
      <c r="A439" s="50">
        <v>2425.0</v>
      </c>
      <c r="B439" s="50" t="s">
        <v>1810</v>
      </c>
      <c r="G439" s="50" t="s">
        <v>1451</v>
      </c>
    </row>
    <row r="440">
      <c r="A440" s="50">
        <v>1490.0</v>
      </c>
      <c r="B440" s="50" t="s">
        <v>1811</v>
      </c>
      <c r="G440" s="50" t="s">
        <v>1451</v>
      </c>
    </row>
    <row r="441">
      <c r="A441" s="50">
        <v>3073.0</v>
      </c>
      <c r="B441" s="50" t="s">
        <v>1812</v>
      </c>
      <c r="G441" s="50" t="s">
        <v>1451</v>
      </c>
    </row>
    <row r="442">
      <c r="A442" s="50">
        <v>232.0</v>
      </c>
      <c r="B442" s="50" t="s">
        <v>1813</v>
      </c>
      <c r="G442" s="50" t="s">
        <v>1451</v>
      </c>
    </row>
    <row r="443">
      <c r="A443" s="50">
        <v>2298.0</v>
      </c>
      <c r="B443" s="50" t="s">
        <v>1814</v>
      </c>
      <c r="G443" s="50" t="s">
        <v>1451</v>
      </c>
    </row>
    <row r="444">
      <c r="A444" s="50">
        <v>1474.0</v>
      </c>
      <c r="B444" s="50" t="s">
        <v>1035</v>
      </c>
      <c r="G444" s="50" t="s">
        <v>1451</v>
      </c>
    </row>
    <row r="445">
      <c r="A445" s="50">
        <v>1379.0</v>
      </c>
      <c r="B445" s="50" t="s">
        <v>1815</v>
      </c>
      <c r="G445" s="50" t="s">
        <v>1451</v>
      </c>
    </row>
    <row r="446">
      <c r="A446" s="50">
        <v>2498.0</v>
      </c>
      <c r="B446" s="50" t="s">
        <v>1816</v>
      </c>
      <c r="G446" s="50" t="s">
        <v>1451</v>
      </c>
    </row>
    <row r="447">
      <c r="A447" s="50">
        <v>1408.0</v>
      </c>
      <c r="B447" s="50" t="s">
        <v>1817</v>
      </c>
      <c r="G447" s="50" t="s">
        <v>1451</v>
      </c>
    </row>
    <row r="448">
      <c r="A448" s="50">
        <v>3514.0</v>
      </c>
      <c r="B448" s="50" t="s">
        <v>1818</v>
      </c>
      <c r="G448" s="50" t="s">
        <v>1451</v>
      </c>
    </row>
    <row r="449">
      <c r="A449" s="50">
        <v>3484.0</v>
      </c>
      <c r="B449" s="50" t="s">
        <v>1819</v>
      </c>
      <c r="E449" s="50">
        <v>2263.0</v>
      </c>
      <c r="F449" s="50" t="s">
        <v>1436</v>
      </c>
      <c r="G449" s="50" t="s">
        <v>1437</v>
      </c>
    </row>
    <row r="450">
      <c r="A450" s="50">
        <v>3485.0</v>
      </c>
      <c r="B450" s="50" t="s">
        <v>1820</v>
      </c>
      <c r="E450" s="50">
        <v>2247.0</v>
      </c>
      <c r="F450" s="50" t="s">
        <v>1441</v>
      </c>
      <c r="G450" s="50" t="s">
        <v>1437</v>
      </c>
    </row>
    <row r="451">
      <c r="A451" s="50">
        <v>2368.0</v>
      </c>
      <c r="B451" s="50" t="s">
        <v>1821</v>
      </c>
      <c r="C451" s="50">
        <v>2368.0</v>
      </c>
      <c r="D451" s="50" t="s">
        <v>1822</v>
      </c>
      <c r="G451" s="50" t="s">
        <v>1433</v>
      </c>
    </row>
    <row r="452">
      <c r="A452" s="50">
        <v>2511.0</v>
      </c>
      <c r="B452" s="50" t="s">
        <v>1823</v>
      </c>
      <c r="C452" s="50">
        <v>2368.0</v>
      </c>
      <c r="D452" s="50" t="s">
        <v>1822</v>
      </c>
      <c r="G452" s="50" t="s">
        <v>1433</v>
      </c>
    </row>
    <row r="453">
      <c r="A453" s="50">
        <v>423.0</v>
      </c>
      <c r="B453" s="50" t="s">
        <v>1824</v>
      </c>
      <c r="C453" s="50">
        <v>2368.0</v>
      </c>
      <c r="D453" s="50" t="s">
        <v>1822</v>
      </c>
      <c r="E453" s="50">
        <v>2263.0</v>
      </c>
      <c r="F453" s="50" t="s">
        <v>1436</v>
      </c>
      <c r="G453" s="50" t="s">
        <v>1452</v>
      </c>
    </row>
    <row r="454">
      <c r="A454" s="50">
        <v>620.0</v>
      </c>
      <c r="B454" s="50" t="s">
        <v>688</v>
      </c>
      <c r="C454" s="50">
        <v>2368.0</v>
      </c>
      <c r="D454" s="50" t="s">
        <v>1822</v>
      </c>
      <c r="E454" s="50">
        <v>2247.0</v>
      </c>
      <c r="F454" s="50" t="s">
        <v>1441</v>
      </c>
      <c r="G454" s="50" t="s">
        <v>1452</v>
      </c>
    </row>
    <row r="455">
      <c r="A455" s="50">
        <v>749.0</v>
      </c>
      <c r="B455" s="50" t="s">
        <v>1825</v>
      </c>
      <c r="C455" s="50">
        <v>2368.0</v>
      </c>
      <c r="D455" s="50" t="s">
        <v>1822</v>
      </c>
      <c r="E455" s="50">
        <v>2278.0</v>
      </c>
      <c r="F455" s="50" t="s">
        <v>1439</v>
      </c>
      <c r="G455" s="50" t="s">
        <v>1452</v>
      </c>
    </row>
    <row r="456">
      <c r="A456" s="50">
        <v>3018.0</v>
      </c>
      <c r="B456" s="50" t="s">
        <v>1826</v>
      </c>
      <c r="C456" s="50">
        <v>2368.0</v>
      </c>
      <c r="D456" s="50" t="s">
        <v>1822</v>
      </c>
      <c r="E456" s="50">
        <v>487.0</v>
      </c>
      <c r="F456" s="50" t="s">
        <v>1443</v>
      </c>
      <c r="G456" s="50" t="s">
        <v>1452</v>
      </c>
    </row>
    <row r="457">
      <c r="A457" s="50">
        <v>3825.0</v>
      </c>
      <c r="B457" s="50" t="s">
        <v>1827</v>
      </c>
      <c r="C457" s="50">
        <v>2368.0</v>
      </c>
      <c r="D457" s="50" t="s">
        <v>1822</v>
      </c>
      <c r="E457" s="50">
        <v>2264.0</v>
      </c>
      <c r="F457" s="50" t="s">
        <v>1447</v>
      </c>
      <c r="G457" s="50" t="s">
        <v>1452</v>
      </c>
    </row>
    <row r="458">
      <c r="A458" s="50">
        <v>1127.0</v>
      </c>
      <c r="B458" s="50" t="s">
        <v>1828</v>
      </c>
      <c r="E458" s="50">
        <v>2247.0</v>
      </c>
      <c r="F458" s="50" t="s">
        <v>1441</v>
      </c>
      <c r="G458" s="50" t="s">
        <v>1437</v>
      </c>
    </row>
    <row r="459">
      <c r="A459" s="50">
        <v>104.0</v>
      </c>
      <c r="B459" s="50" t="s">
        <v>1829</v>
      </c>
      <c r="E459" s="50">
        <v>487.0</v>
      </c>
      <c r="F459" s="50" t="s">
        <v>1443</v>
      </c>
      <c r="G459" s="50" t="s">
        <v>1437</v>
      </c>
    </row>
    <row r="460">
      <c r="A460" s="50">
        <v>2184.0</v>
      </c>
      <c r="B460" s="50" t="s">
        <v>1830</v>
      </c>
      <c r="G460" s="50" t="s">
        <v>1451</v>
      </c>
    </row>
    <row r="461">
      <c r="A461" s="50">
        <v>38.0</v>
      </c>
      <c r="B461" s="50" t="s">
        <v>1831</v>
      </c>
      <c r="E461" s="50">
        <v>2264.0</v>
      </c>
      <c r="F461" s="50" t="s">
        <v>1447</v>
      </c>
      <c r="G461" s="50" t="s">
        <v>1437</v>
      </c>
    </row>
    <row r="462">
      <c r="A462" s="50">
        <v>2276.0</v>
      </c>
      <c r="B462" s="50" t="s">
        <v>1832</v>
      </c>
      <c r="G462" s="50" t="s">
        <v>1451</v>
      </c>
    </row>
    <row r="463">
      <c r="A463" s="50">
        <v>2500.0</v>
      </c>
      <c r="B463" s="50" t="s">
        <v>1833</v>
      </c>
      <c r="E463" s="50">
        <v>2247.0</v>
      </c>
      <c r="F463" s="50" t="s">
        <v>1441</v>
      </c>
      <c r="G463" s="50" t="s">
        <v>1437</v>
      </c>
    </row>
    <row r="464">
      <c r="A464" s="50">
        <v>1017.0</v>
      </c>
      <c r="B464" s="50" t="s">
        <v>1834</v>
      </c>
      <c r="E464" s="50">
        <v>2247.0</v>
      </c>
      <c r="F464" s="50" t="s">
        <v>1441</v>
      </c>
      <c r="G464" s="50" t="s">
        <v>1437</v>
      </c>
    </row>
    <row r="465">
      <c r="A465" s="50">
        <v>947.0</v>
      </c>
      <c r="B465" s="50" t="s">
        <v>1835</v>
      </c>
      <c r="E465" s="50">
        <v>487.0</v>
      </c>
      <c r="F465" s="50" t="s">
        <v>1443</v>
      </c>
      <c r="G465" s="50" t="s">
        <v>1437</v>
      </c>
    </row>
    <row r="466">
      <c r="A466" s="50">
        <v>3023.0</v>
      </c>
      <c r="B466" s="50" t="s">
        <v>1836</v>
      </c>
      <c r="G466" s="50" t="s">
        <v>1451</v>
      </c>
    </row>
    <row r="467">
      <c r="A467" s="50">
        <v>3026.0</v>
      </c>
      <c r="B467" s="50" t="s">
        <v>1837</v>
      </c>
      <c r="E467" s="50">
        <v>2278.0</v>
      </c>
      <c r="F467" s="50" t="s">
        <v>1439</v>
      </c>
      <c r="G467" s="50" t="s">
        <v>1437</v>
      </c>
    </row>
    <row r="468">
      <c r="A468" s="50">
        <v>2489.0</v>
      </c>
      <c r="B468" s="50" t="s">
        <v>1838</v>
      </c>
      <c r="E468" s="50">
        <v>2247.0</v>
      </c>
      <c r="F468" s="50" t="s">
        <v>1441</v>
      </c>
      <c r="G468" s="50" t="s">
        <v>1437</v>
      </c>
    </row>
    <row r="469">
      <c r="A469" s="50">
        <v>2896.0</v>
      </c>
      <c r="B469" s="50" t="s">
        <v>1839</v>
      </c>
      <c r="G469" s="50" t="s">
        <v>1451</v>
      </c>
    </row>
    <row r="470">
      <c r="A470" s="50">
        <v>2842.0</v>
      </c>
      <c r="B470" s="50" t="s">
        <v>1840</v>
      </c>
      <c r="G470" s="50" t="s">
        <v>1451</v>
      </c>
    </row>
    <row r="471">
      <c r="A471" s="50">
        <v>1939.0</v>
      </c>
      <c r="B471" s="50" t="s">
        <v>419</v>
      </c>
      <c r="E471" s="50">
        <v>2247.0</v>
      </c>
      <c r="F471" s="50" t="s">
        <v>1441</v>
      </c>
      <c r="G471" s="50" t="s">
        <v>1437</v>
      </c>
    </row>
    <row r="472">
      <c r="A472" s="50">
        <v>2737.0</v>
      </c>
      <c r="B472" s="50" t="s">
        <v>1841</v>
      </c>
      <c r="G472" s="50" t="s">
        <v>1451</v>
      </c>
    </row>
    <row r="473">
      <c r="A473" s="50">
        <v>1157.0</v>
      </c>
      <c r="B473" s="50" t="s">
        <v>1842</v>
      </c>
      <c r="G473" s="50" t="s">
        <v>1451</v>
      </c>
    </row>
    <row r="474">
      <c r="A474" s="50">
        <v>2407.0</v>
      </c>
      <c r="B474" s="50" t="s">
        <v>1843</v>
      </c>
      <c r="E474" s="50">
        <v>2263.0</v>
      </c>
      <c r="F474" s="50" t="s">
        <v>1436</v>
      </c>
      <c r="G474" s="50" t="s">
        <v>1437</v>
      </c>
    </row>
    <row r="475">
      <c r="A475" s="50">
        <v>2672.0</v>
      </c>
      <c r="B475" s="50" t="s">
        <v>586</v>
      </c>
      <c r="E475" s="50">
        <v>2263.0</v>
      </c>
      <c r="F475" s="50" t="s">
        <v>1436</v>
      </c>
      <c r="G475" s="50" t="s">
        <v>1437</v>
      </c>
    </row>
    <row r="476">
      <c r="A476" s="50">
        <v>1301.0</v>
      </c>
      <c r="B476" s="50" t="s">
        <v>1844</v>
      </c>
      <c r="E476" s="50">
        <v>2263.0</v>
      </c>
      <c r="F476" s="50" t="s">
        <v>1436</v>
      </c>
      <c r="G476" s="50" t="s">
        <v>1437</v>
      </c>
    </row>
    <row r="477">
      <c r="A477" s="50">
        <v>3366.0</v>
      </c>
      <c r="B477" s="50" t="s">
        <v>1845</v>
      </c>
      <c r="E477" s="50">
        <v>2278.0</v>
      </c>
      <c r="F477" s="50" t="s">
        <v>1439</v>
      </c>
      <c r="G477" s="50" t="s">
        <v>1437</v>
      </c>
    </row>
    <row r="478">
      <c r="A478" s="50">
        <v>3365.0</v>
      </c>
      <c r="B478" s="50" t="s">
        <v>1846</v>
      </c>
      <c r="E478" s="50">
        <v>2247.0</v>
      </c>
      <c r="F478" s="50" t="s">
        <v>1441</v>
      </c>
      <c r="G478" s="50" t="s">
        <v>1437</v>
      </c>
    </row>
    <row r="479">
      <c r="A479" s="50">
        <v>2687.0</v>
      </c>
      <c r="B479" s="50" t="s">
        <v>556</v>
      </c>
      <c r="E479" s="50">
        <v>2247.0</v>
      </c>
      <c r="F479" s="50" t="s">
        <v>1441</v>
      </c>
      <c r="G479" s="50" t="s">
        <v>1437</v>
      </c>
    </row>
    <row r="480">
      <c r="A480" s="50">
        <v>763.0</v>
      </c>
      <c r="B480" s="50" t="s">
        <v>315</v>
      </c>
      <c r="E480" s="50">
        <v>2247.0</v>
      </c>
      <c r="F480" s="50" t="s">
        <v>1441</v>
      </c>
      <c r="G480" s="50" t="s">
        <v>1437</v>
      </c>
    </row>
    <row r="481">
      <c r="A481" s="50">
        <v>1158.0</v>
      </c>
      <c r="B481" s="50" t="s">
        <v>709</v>
      </c>
      <c r="E481" s="50">
        <v>2278.0</v>
      </c>
      <c r="F481" s="50" t="s">
        <v>1439</v>
      </c>
      <c r="G481" s="50" t="s">
        <v>1437</v>
      </c>
    </row>
    <row r="482">
      <c r="A482" s="50">
        <v>3059.0</v>
      </c>
      <c r="B482" s="50" t="s">
        <v>1847</v>
      </c>
      <c r="E482" s="50">
        <v>3136.0</v>
      </c>
      <c r="F482" s="50" t="s">
        <v>1610</v>
      </c>
      <c r="G482" s="50" t="s">
        <v>1437</v>
      </c>
    </row>
    <row r="483">
      <c r="A483" s="50">
        <v>2899.0</v>
      </c>
      <c r="B483" s="50" t="s">
        <v>1848</v>
      </c>
      <c r="G483" s="50" t="s">
        <v>1451</v>
      </c>
    </row>
    <row r="484">
      <c r="A484" s="50">
        <v>1846.0</v>
      </c>
      <c r="B484" s="50" t="s">
        <v>1849</v>
      </c>
      <c r="E484" s="50">
        <v>2248.0</v>
      </c>
      <c r="F484" s="50" t="s">
        <v>1461</v>
      </c>
      <c r="G484" s="50" t="s">
        <v>1437</v>
      </c>
    </row>
    <row r="485">
      <c r="A485" s="50">
        <v>1001.0</v>
      </c>
      <c r="B485" s="50" t="s">
        <v>1850</v>
      </c>
      <c r="E485" s="50">
        <v>2264.0</v>
      </c>
      <c r="F485" s="50" t="s">
        <v>1447</v>
      </c>
      <c r="G485" s="50" t="s">
        <v>1437</v>
      </c>
    </row>
    <row r="486">
      <c r="A486" s="50">
        <v>1259.0</v>
      </c>
      <c r="B486" s="50" t="s">
        <v>1851</v>
      </c>
      <c r="G486" s="50" t="s">
        <v>1451</v>
      </c>
    </row>
    <row r="487">
      <c r="A487" s="50">
        <v>2347.0</v>
      </c>
      <c r="B487" s="50" t="s">
        <v>1852</v>
      </c>
      <c r="G487" s="50" t="s">
        <v>1451</v>
      </c>
    </row>
    <row r="488">
      <c r="A488" s="50">
        <v>2504.0</v>
      </c>
      <c r="B488" s="50" t="s">
        <v>1853</v>
      </c>
      <c r="E488" s="50">
        <v>2247.0</v>
      </c>
      <c r="F488" s="50" t="s">
        <v>1441</v>
      </c>
      <c r="G488" s="50" t="s">
        <v>1437</v>
      </c>
    </row>
    <row r="489">
      <c r="A489" s="50">
        <v>2222.0</v>
      </c>
      <c r="B489" s="50" t="s">
        <v>1854</v>
      </c>
      <c r="E489" s="50">
        <v>2247.0</v>
      </c>
      <c r="F489" s="50" t="s">
        <v>1441</v>
      </c>
      <c r="G489" s="50" t="s">
        <v>1437</v>
      </c>
    </row>
    <row r="490">
      <c r="A490" s="50">
        <v>2963.0</v>
      </c>
      <c r="B490" s="50" t="s">
        <v>1855</v>
      </c>
      <c r="E490" s="50">
        <v>2640.0</v>
      </c>
      <c r="F490" s="50" t="s">
        <v>1530</v>
      </c>
      <c r="G490" s="50" t="s">
        <v>1437</v>
      </c>
    </row>
    <row r="491">
      <c r="A491" s="50">
        <v>3188.0</v>
      </c>
      <c r="B491" s="50" t="s">
        <v>1856</v>
      </c>
      <c r="E491" s="50">
        <v>2851.0</v>
      </c>
      <c r="F491" s="50" t="s">
        <v>1653</v>
      </c>
      <c r="G491" s="50" t="s">
        <v>1437</v>
      </c>
    </row>
    <row r="492">
      <c r="A492" s="50">
        <v>3056.0</v>
      </c>
      <c r="B492" s="50" t="s">
        <v>1857</v>
      </c>
      <c r="G492" s="50" t="s">
        <v>1451</v>
      </c>
    </row>
    <row r="493">
      <c r="A493" s="50">
        <v>2955.0</v>
      </c>
      <c r="B493" s="50" t="s">
        <v>1858</v>
      </c>
      <c r="E493" s="50">
        <v>2263.0</v>
      </c>
      <c r="F493" s="50" t="s">
        <v>1436</v>
      </c>
      <c r="G493" s="50" t="s">
        <v>1437</v>
      </c>
    </row>
    <row r="494">
      <c r="A494" s="50">
        <v>1033.0</v>
      </c>
      <c r="B494" s="50" t="s">
        <v>1859</v>
      </c>
      <c r="E494" s="50">
        <v>2278.0</v>
      </c>
      <c r="F494" s="50" t="s">
        <v>1439</v>
      </c>
      <c r="G494" s="50" t="s">
        <v>1437</v>
      </c>
    </row>
    <row r="495">
      <c r="A495" s="50">
        <v>1260.0</v>
      </c>
      <c r="B495" s="50" t="s">
        <v>1861</v>
      </c>
      <c r="G495" s="50" t="s">
        <v>1451</v>
      </c>
    </row>
    <row r="496">
      <c r="A496" s="50">
        <v>612.0</v>
      </c>
      <c r="B496" s="50" t="s">
        <v>1862</v>
      </c>
      <c r="G496" s="50" t="s">
        <v>1451</v>
      </c>
    </row>
    <row r="497">
      <c r="A497" s="50">
        <v>220.0</v>
      </c>
      <c r="B497" s="50" t="s">
        <v>1863</v>
      </c>
      <c r="E497" s="50">
        <v>2247.0</v>
      </c>
      <c r="F497" s="50" t="s">
        <v>1441</v>
      </c>
      <c r="G497" s="50" t="s">
        <v>1437</v>
      </c>
    </row>
    <row r="498">
      <c r="A498" s="50">
        <v>103.0</v>
      </c>
      <c r="B498" s="50" t="s">
        <v>1864</v>
      </c>
      <c r="E498" s="50">
        <v>487.0</v>
      </c>
      <c r="F498" s="50" t="s">
        <v>1443</v>
      </c>
      <c r="G498" s="50" t="s">
        <v>1437</v>
      </c>
    </row>
    <row r="499">
      <c r="A499" s="50">
        <v>221.0</v>
      </c>
      <c r="B499" s="50" t="s">
        <v>1865</v>
      </c>
      <c r="G499" s="50" t="s">
        <v>1451</v>
      </c>
    </row>
    <row r="500">
      <c r="A500" s="50">
        <v>3707.0</v>
      </c>
      <c r="B500" s="50" t="s">
        <v>618</v>
      </c>
      <c r="E500" s="50">
        <v>2278.0</v>
      </c>
      <c r="F500" s="50" t="s">
        <v>1439</v>
      </c>
      <c r="G500" s="50" t="s">
        <v>1437</v>
      </c>
    </row>
    <row r="501">
      <c r="A501" s="50">
        <v>3706.0</v>
      </c>
      <c r="B501" s="50" t="s">
        <v>1866</v>
      </c>
      <c r="E501" s="50">
        <v>2247.0</v>
      </c>
      <c r="F501" s="50" t="s">
        <v>1441</v>
      </c>
      <c r="G501" s="50" t="s">
        <v>1437</v>
      </c>
    </row>
    <row r="502">
      <c r="A502" s="50">
        <v>3001.0</v>
      </c>
      <c r="B502" s="50" t="s">
        <v>1867</v>
      </c>
      <c r="G502" s="50" t="s">
        <v>1451</v>
      </c>
    </row>
    <row r="503">
      <c r="A503" s="50">
        <v>813.0</v>
      </c>
      <c r="B503" s="50" t="s">
        <v>430</v>
      </c>
      <c r="E503" s="50">
        <v>2278.0</v>
      </c>
      <c r="F503" s="50" t="s">
        <v>1439</v>
      </c>
      <c r="G503" s="50" t="s">
        <v>1437</v>
      </c>
    </row>
    <row r="504">
      <c r="A504" s="50">
        <v>3131.0</v>
      </c>
      <c r="B504" s="50" t="s">
        <v>1868</v>
      </c>
      <c r="E504" s="50">
        <v>2640.0</v>
      </c>
      <c r="F504" s="50" t="s">
        <v>1530</v>
      </c>
      <c r="G504" s="50" t="s">
        <v>1437</v>
      </c>
    </row>
    <row r="505">
      <c r="A505" s="50">
        <v>790.0</v>
      </c>
      <c r="B505" s="50" t="s">
        <v>1869</v>
      </c>
      <c r="E505" s="50">
        <v>2247.0</v>
      </c>
      <c r="F505" s="50" t="s">
        <v>1441</v>
      </c>
      <c r="G505" s="50" t="s">
        <v>1437</v>
      </c>
    </row>
    <row r="506">
      <c r="A506" s="50">
        <v>149.0</v>
      </c>
      <c r="B506" s="50" t="s">
        <v>1870</v>
      </c>
      <c r="E506" s="50">
        <v>2247.0</v>
      </c>
      <c r="F506" s="50" t="s">
        <v>1441</v>
      </c>
      <c r="G506" s="50" t="s">
        <v>1437</v>
      </c>
    </row>
    <row r="507">
      <c r="A507" s="50">
        <v>2577.0</v>
      </c>
      <c r="B507" s="50" t="s">
        <v>1871</v>
      </c>
      <c r="G507" s="50" t="s">
        <v>1451</v>
      </c>
    </row>
    <row r="508">
      <c r="A508" s="50">
        <v>2139.0</v>
      </c>
      <c r="B508" s="50" t="s">
        <v>1872</v>
      </c>
      <c r="G508" s="50" t="s">
        <v>1451</v>
      </c>
    </row>
    <row r="509">
      <c r="A509" s="50">
        <v>1130.0</v>
      </c>
      <c r="B509" s="50" t="s">
        <v>1873</v>
      </c>
      <c r="E509" s="50">
        <v>2263.0</v>
      </c>
      <c r="F509" s="50" t="s">
        <v>1436</v>
      </c>
      <c r="G509" s="50" t="s">
        <v>1437</v>
      </c>
    </row>
    <row r="510">
      <c r="A510" s="50">
        <v>1173.0</v>
      </c>
      <c r="B510" s="50" t="s">
        <v>1874</v>
      </c>
      <c r="E510" s="50">
        <v>2247.0</v>
      </c>
      <c r="F510" s="50" t="s">
        <v>1441</v>
      </c>
      <c r="G510" s="50" t="s">
        <v>1437</v>
      </c>
    </row>
    <row r="511">
      <c r="A511" s="50">
        <v>1144.0</v>
      </c>
      <c r="B511" s="50" t="s">
        <v>1875</v>
      </c>
      <c r="E511" s="50">
        <v>2247.0</v>
      </c>
      <c r="F511" s="50" t="s">
        <v>1441</v>
      </c>
      <c r="G511" s="50" t="s">
        <v>1437</v>
      </c>
    </row>
    <row r="512">
      <c r="A512" s="50">
        <v>551.0</v>
      </c>
      <c r="B512" s="50" t="s">
        <v>1876</v>
      </c>
      <c r="E512" s="50">
        <v>2278.0</v>
      </c>
      <c r="F512" s="50" t="s">
        <v>1439</v>
      </c>
      <c r="G512" s="50" t="s">
        <v>1437</v>
      </c>
    </row>
    <row r="513">
      <c r="A513" s="50">
        <v>3034.0</v>
      </c>
      <c r="B513" s="50" t="s">
        <v>1877</v>
      </c>
      <c r="G513" s="50" t="s">
        <v>1451</v>
      </c>
    </row>
    <row r="514">
      <c r="A514" s="50">
        <v>1222.0</v>
      </c>
      <c r="B514" s="50" t="s">
        <v>1878</v>
      </c>
      <c r="E514" s="50">
        <v>2640.0</v>
      </c>
      <c r="F514" s="50" t="s">
        <v>1530</v>
      </c>
      <c r="G514" s="50" t="s">
        <v>1437</v>
      </c>
    </row>
    <row r="515">
      <c r="A515" s="50">
        <v>1386.0</v>
      </c>
      <c r="B515" s="50" t="s">
        <v>1879</v>
      </c>
      <c r="E515" s="50">
        <v>2264.0</v>
      </c>
      <c r="F515" s="50" t="s">
        <v>1447</v>
      </c>
      <c r="G515" s="50" t="s">
        <v>1437</v>
      </c>
    </row>
    <row r="516">
      <c r="A516" s="50">
        <v>922.0</v>
      </c>
      <c r="B516" s="50" t="s">
        <v>1880</v>
      </c>
      <c r="E516" s="50">
        <v>2278.0</v>
      </c>
      <c r="F516" s="50" t="s">
        <v>1439</v>
      </c>
      <c r="G516" s="50" t="s">
        <v>1437</v>
      </c>
    </row>
    <row r="517">
      <c r="A517" s="50">
        <v>611.0</v>
      </c>
      <c r="B517" s="50" t="s">
        <v>1881</v>
      </c>
      <c r="E517" s="50">
        <v>487.0</v>
      </c>
      <c r="F517" s="50" t="s">
        <v>1443</v>
      </c>
      <c r="G517" s="50" t="s">
        <v>1437</v>
      </c>
    </row>
    <row r="518">
      <c r="A518" s="50">
        <v>1085.0</v>
      </c>
      <c r="B518" s="50" t="s">
        <v>1882</v>
      </c>
      <c r="E518" s="50">
        <v>2264.0</v>
      </c>
      <c r="F518" s="50" t="s">
        <v>1447</v>
      </c>
      <c r="G518" s="50" t="s">
        <v>1437</v>
      </c>
    </row>
    <row r="519">
      <c r="A519" s="50">
        <v>2723.0</v>
      </c>
      <c r="B519" s="50" t="s">
        <v>1883</v>
      </c>
      <c r="E519" s="50">
        <v>2640.0</v>
      </c>
      <c r="F519" s="50" t="s">
        <v>1530</v>
      </c>
      <c r="G519" s="50" t="s">
        <v>1437</v>
      </c>
    </row>
    <row r="520">
      <c r="A520" s="50">
        <v>55.0</v>
      </c>
      <c r="B520" s="50" t="s">
        <v>1884</v>
      </c>
      <c r="G520" s="50" t="s">
        <v>1451</v>
      </c>
    </row>
    <row r="521">
      <c r="A521" s="50">
        <v>943.0</v>
      </c>
      <c r="B521" s="50" t="s">
        <v>1885</v>
      </c>
      <c r="E521" s="50">
        <v>2247.0</v>
      </c>
      <c r="F521" s="50" t="s">
        <v>1441</v>
      </c>
      <c r="G521" s="50" t="s">
        <v>1437</v>
      </c>
    </row>
    <row r="522">
      <c r="A522" s="50">
        <v>2988.0</v>
      </c>
      <c r="B522" s="50" t="s">
        <v>1886</v>
      </c>
      <c r="E522" s="50">
        <v>2247.0</v>
      </c>
      <c r="F522" s="50" t="s">
        <v>1441</v>
      </c>
      <c r="G522" s="50" t="s">
        <v>1437</v>
      </c>
    </row>
    <row r="523">
      <c r="A523" s="50">
        <v>2736.0</v>
      </c>
      <c r="B523" s="50" t="s">
        <v>1887</v>
      </c>
      <c r="E523" s="50">
        <v>2247.0</v>
      </c>
      <c r="F523" s="50" t="s">
        <v>1441</v>
      </c>
      <c r="G523" s="50" t="s">
        <v>1437</v>
      </c>
    </row>
    <row r="524">
      <c r="A524" s="50">
        <v>827.0</v>
      </c>
      <c r="B524" s="50" t="s">
        <v>1888</v>
      </c>
      <c r="E524" s="50">
        <v>2278.0</v>
      </c>
      <c r="F524" s="50" t="s">
        <v>1439</v>
      </c>
      <c r="G524" s="50" t="s">
        <v>1437</v>
      </c>
    </row>
    <row r="525">
      <c r="A525" s="50">
        <v>2948.0</v>
      </c>
      <c r="B525" s="50" t="s">
        <v>1889</v>
      </c>
      <c r="E525" s="50">
        <v>487.0</v>
      </c>
      <c r="F525" s="50" t="s">
        <v>1443</v>
      </c>
      <c r="G525" s="50" t="s">
        <v>1437</v>
      </c>
    </row>
    <row r="526">
      <c r="A526" s="50">
        <v>3084.0</v>
      </c>
      <c r="B526" s="50" t="s">
        <v>1890</v>
      </c>
      <c r="G526" s="50" t="s">
        <v>1451</v>
      </c>
    </row>
    <row r="527">
      <c r="A527" s="50">
        <v>1183.0</v>
      </c>
      <c r="B527" s="50" t="s">
        <v>1891</v>
      </c>
      <c r="E527" s="50">
        <v>2640.0</v>
      </c>
      <c r="F527" s="50" t="s">
        <v>1530</v>
      </c>
      <c r="G527" s="50" t="s">
        <v>1437</v>
      </c>
    </row>
    <row r="528">
      <c r="A528" s="50">
        <v>3601.0</v>
      </c>
      <c r="B528" s="50" t="s">
        <v>1892</v>
      </c>
      <c r="E528" s="50">
        <v>2278.0</v>
      </c>
      <c r="F528" s="50" t="s">
        <v>1439</v>
      </c>
      <c r="G528" s="50" t="s">
        <v>1437</v>
      </c>
    </row>
    <row r="529">
      <c r="A529" s="50">
        <v>533.0</v>
      </c>
      <c r="B529" s="50" t="s">
        <v>1893</v>
      </c>
      <c r="E529" s="50">
        <v>487.0</v>
      </c>
      <c r="F529" s="50" t="s">
        <v>1443</v>
      </c>
      <c r="G529" s="50" t="s">
        <v>1437</v>
      </c>
    </row>
    <row r="530">
      <c r="A530" s="50">
        <v>507.0</v>
      </c>
      <c r="B530" s="50" t="s">
        <v>1894</v>
      </c>
      <c r="E530" s="50">
        <v>2640.0</v>
      </c>
      <c r="F530" s="50" t="s">
        <v>1530</v>
      </c>
      <c r="G530" s="50" t="s">
        <v>1437</v>
      </c>
    </row>
    <row r="531">
      <c r="A531" s="50">
        <v>3130.0</v>
      </c>
      <c r="B531" s="50" t="s">
        <v>1895</v>
      </c>
      <c r="E531" s="50">
        <v>487.0</v>
      </c>
      <c r="F531" s="50" t="s">
        <v>1443</v>
      </c>
      <c r="G531" s="50" t="s">
        <v>1437</v>
      </c>
    </row>
    <row r="532">
      <c r="A532" s="50">
        <v>100.0</v>
      </c>
      <c r="B532" s="50" t="s">
        <v>1896</v>
      </c>
      <c r="G532" s="50" t="s">
        <v>1451</v>
      </c>
    </row>
    <row r="533">
      <c r="A533" s="50">
        <v>218.0</v>
      </c>
      <c r="B533" s="50" t="s">
        <v>1897</v>
      </c>
      <c r="G533" s="50" t="s">
        <v>1451</v>
      </c>
    </row>
    <row r="534">
      <c r="A534" s="50">
        <v>3507.0</v>
      </c>
      <c r="B534" s="50" t="s">
        <v>1898</v>
      </c>
      <c r="G534" s="50" t="s">
        <v>1451</v>
      </c>
    </row>
    <row r="535">
      <c r="A535" s="50">
        <v>3463.0</v>
      </c>
      <c r="B535" s="50" t="s">
        <v>1211</v>
      </c>
      <c r="G535" s="50" t="s">
        <v>1451</v>
      </c>
    </row>
    <row r="536">
      <c r="A536" s="50">
        <v>3222.0</v>
      </c>
      <c r="B536" s="50" t="s">
        <v>1215</v>
      </c>
      <c r="G536" s="50" t="s">
        <v>1451</v>
      </c>
    </row>
    <row r="537">
      <c r="A537" s="50">
        <v>3224.0</v>
      </c>
      <c r="B537" s="50" t="s">
        <v>1899</v>
      </c>
      <c r="G537" s="50" t="s">
        <v>1451</v>
      </c>
    </row>
    <row r="538">
      <c r="A538" s="50">
        <v>3493.0</v>
      </c>
      <c r="B538" s="50" t="s">
        <v>1900</v>
      </c>
      <c r="G538" s="50" t="s">
        <v>1451</v>
      </c>
    </row>
    <row r="539">
      <c r="A539" s="50">
        <v>3532.0</v>
      </c>
      <c r="B539" s="50" t="s">
        <v>1901</v>
      </c>
      <c r="G539" s="50" t="s">
        <v>1451</v>
      </c>
    </row>
    <row r="540">
      <c r="A540" s="50">
        <v>3221.0</v>
      </c>
      <c r="B540" s="50" t="s">
        <v>1902</v>
      </c>
      <c r="G540" s="50" t="s">
        <v>1451</v>
      </c>
    </row>
    <row r="541">
      <c r="A541" s="50">
        <v>2695.0</v>
      </c>
      <c r="B541" s="50" t="s">
        <v>1903</v>
      </c>
      <c r="G541" s="50" t="s">
        <v>1451</v>
      </c>
    </row>
    <row r="542">
      <c r="A542" s="50">
        <v>1819.0</v>
      </c>
      <c r="B542" s="50" t="s">
        <v>1904</v>
      </c>
      <c r="E542" s="50">
        <v>2247.0</v>
      </c>
      <c r="F542" s="50" t="s">
        <v>1441</v>
      </c>
      <c r="G542" s="50" t="s">
        <v>1437</v>
      </c>
    </row>
    <row r="543">
      <c r="A543" s="50">
        <v>1820.0</v>
      </c>
      <c r="B543" s="50" t="s">
        <v>1905</v>
      </c>
      <c r="E543" s="50">
        <v>2278.0</v>
      </c>
      <c r="F543" s="50" t="s">
        <v>1439</v>
      </c>
      <c r="G543" s="50" t="s">
        <v>1437</v>
      </c>
    </row>
    <row r="544">
      <c r="A544" s="50">
        <v>1524.0</v>
      </c>
      <c r="B544" s="50" t="s">
        <v>1906</v>
      </c>
      <c r="E544" s="50">
        <v>2247.0</v>
      </c>
      <c r="F544" s="50" t="s">
        <v>1441</v>
      </c>
      <c r="G544" s="50" t="s">
        <v>1437</v>
      </c>
    </row>
    <row r="545">
      <c r="A545" s="50">
        <v>1344.0</v>
      </c>
      <c r="B545" s="50" t="s">
        <v>1907</v>
      </c>
      <c r="G545" s="50" t="s">
        <v>1451</v>
      </c>
    </row>
    <row r="546">
      <c r="A546" s="50">
        <v>1162.0</v>
      </c>
      <c r="B546" s="50" t="s">
        <v>1908</v>
      </c>
      <c r="G546" s="50" t="s">
        <v>1451</v>
      </c>
    </row>
    <row r="547">
      <c r="A547" s="50">
        <v>2379.0</v>
      </c>
      <c r="B547" s="50" t="s">
        <v>1909</v>
      </c>
      <c r="E547" s="50">
        <v>2248.0</v>
      </c>
      <c r="F547" s="50" t="s">
        <v>1461</v>
      </c>
      <c r="G547" s="50" t="s">
        <v>1437</v>
      </c>
    </row>
    <row r="548">
      <c r="A548" s="50">
        <v>1241.0</v>
      </c>
      <c r="B548" s="50" t="s">
        <v>1910</v>
      </c>
      <c r="G548" s="50" t="s">
        <v>1451</v>
      </c>
    </row>
    <row r="549">
      <c r="A549" s="50">
        <v>2389.0</v>
      </c>
      <c r="B549" s="50" t="s">
        <v>1911</v>
      </c>
      <c r="E549" s="50">
        <v>2247.0</v>
      </c>
      <c r="F549" s="50" t="s">
        <v>1441</v>
      </c>
      <c r="G549" s="50" t="s">
        <v>1437</v>
      </c>
    </row>
    <row r="550">
      <c r="A550" s="50">
        <v>2390.0</v>
      </c>
      <c r="B550" s="50" t="s">
        <v>1913</v>
      </c>
      <c r="G550" s="50" t="s">
        <v>1451</v>
      </c>
    </row>
    <row r="551">
      <c r="A551" s="50">
        <v>547.0</v>
      </c>
      <c r="B551" s="50" t="s">
        <v>396</v>
      </c>
      <c r="E551" s="50">
        <v>2247.0</v>
      </c>
      <c r="F551" s="50" t="s">
        <v>1441</v>
      </c>
      <c r="G551" s="50" t="s">
        <v>1437</v>
      </c>
    </row>
    <row r="552">
      <c r="A552" s="50">
        <v>1316.0</v>
      </c>
      <c r="B552" s="50" t="s">
        <v>1914</v>
      </c>
      <c r="E552" s="50">
        <v>2640.0</v>
      </c>
      <c r="F552" s="50" t="s">
        <v>1530</v>
      </c>
      <c r="G552" s="50" t="s">
        <v>1437</v>
      </c>
    </row>
    <row r="553">
      <c r="A553" s="50">
        <v>545.0</v>
      </c>
      <c r="B553" s="50" t="s">
        <v>1915</v>
      </c>
      <c r="C553" s="50">
        <v>3912.0</v>
      </c>
      <c r="D553" s="50" t="s">
        <v>1916</v>
      </c>
      <c r="E553" s="50">
        <v>487.0</v>
      </c>
      <c r="F553" s="50" t="s">
        <v>1443</v>
      </c>
      <c r="G553" s="50" t="s">
        <v>1452</v>
      </c>
    </row>
    <row r="554">
      <c r="A554" s="50">
        <v>2743.0</v>
      </c>
      <c r="B554" s="50" t="s">
        <v>1917</v>
      </c>
      <c r="C554" s="50">
        <v>3912.0</v>
      </c>
      <c r="D554" s="50" t="s">
        <v>1916</v>
      </c>
      <c r="E554" s="50">
        <v>2247.0</v>
      </c>
      <c r="F554" s="50" t="s">
        <v>1441</v>
      </c>
      <c r="G554" s="50" t="s">
        <v>1452</v>
      </c>
    </row>
    <row r="555">
      <c r="A555" s="50">
        <v>2559.0</v>
      </c>
      <c r="B555" s="50" t="s">
        <v>669</v>
      </c>
      <c r="C555" s="50">
        <v>3912.0</v>
      </c>
      <c r="D555" s="50" t="s">
        <v>1916</v>
      </c>
      <c r="E555" s="50">
        <v>487.0</v>
      </c>
      <c r="F555" s="50" t="s">
        <v>1443</v>
      </c>
      <c r="G555" s="50" t="s">
        <v>1452</v>
      </c>
    </row>
    <row r="556">
      <c r="A556" s="50">
        <v>2878.0</v>
      </c>
      <c r="B556" s="50" t="s">
        <v>1918</v>
      </c>
      <c r="G556" s="50" t="s">
        <v>1451</v>
      </c>
    </row>
    <row r="557">
      <c r="A557" s="50">
        <v>1152.0</v>
      </c>
      <c r="B557" s="50" t="s">
        <v>1919</v>
      </c>
      <c r="E557" s="50">
        <v>2263.0</v>
      </c>
      <c r="F557" s="50" t="s">
        <v>1436</v>
      </c>
      <c r="G557" s="50" t="s">
        <v>1437</v>
      </c>
    </row>
    <row r="558">
      <c r="A558" s="50">
        <v>1195.0</v>
      </c>
      <c r="B558" s="50" t="s">
        <v>1920</v>
      </c>
      <c r="E558" s="50">
        <v>2247.0</v>
      </c>
      <c r="F558" s="50" t="s">
        <v>1441</v>
      </c>
      <c r="G558" s="50" t="s">
        <v>1437</v>
      </c>
    </row>
    <row r="559">
      <c r="A559" s="50">
        <v>1129.0</v>
      </c>
      <c r="B559" s="50" t="s">
        <v>1921</v>
      </c>
      <c r="E559" s="50">
        <v>2278.0</v>
      </c>
      <c r="F559" s="50" t="s">
        <v>1439</v>
      </c>
      <c r="G559" s="50" t="s">
        <v>1437</v>
      </c>
    </row>
    <row r="560">
      <c r="A560" s="50">
        <v>2947.0</v>
      </c>
      <c r="B560" s="50" t="s">
        <v>1923</v>
      </c>
      <c r="E560" s="50">
        <v>487.0</v>
      </c>
      <c r="F560" s="50" t="s">
        <v>1443</v>
      </c>
      <c r="G560" s="50" t="s">
        <v>1437</v>
      </c>
    </row>
    <row r="561">
      <c r="A561" s="50">
        <v>1153.0</v>
      </c>
      <c r="B561" s="50" t="s">
        <v>1924</v>
      </c>
      <c r="G561" s="50" t="s">
        <v>1451</v>
      </c>
    </row>
    <row r="562">
      <c r="A562" s="50">
        <v>1233.0</v>
      </c>
      <c r="B562" s="50" t="s">
        <v>1925</v>
      </c>
      <c r="E562" s="50">
        <v>2264.0</v>
      </c>
      <c r="F562" s="50" t="s">
        <v>1447</v>
      </c>
      <c r="G562" s="50" t="s">
        <v>1437</v>
      </c>
    </row>
    <row r="563">
      <c r="A563" s="50">
        <v>2651.0</v>
      </c>
      <c r="B563" s="50" t="s">
        <v>1926</v>
      </c>
      <c r="G563" s="50" t="s">
        <v>1451</v>
      </c>
    </row>
    <row r="564">
      <c r="A564" s="50">
        <v>911.0</v>
      </c>
      <c r="B564" s="50" t="s">
        <v>1927</v>
      </c>
      <c r="E564" s="50">
        <v>2263.0</v>
      </c>
      <c r="F564" s="50" t="s">
        <v>1436</v>
      </c>
      <c r="G564" s="50" t="s">
        <v>1437</v>
      </c>
    </row>
    <row r="565">
      <c r="A565" s="50">
        <v>3837.0</v>
      </c>
      <c r="B565" s="50" t="s">
        <v>1928</v>
      </c>
      <c r="G565" s="50" t="s">
        <v>1451</v>
      </c>
    </row>
    <row r="566">
      <c r="A566" s="50">
        <v>3827.0</v>
      </c>
      <c r="B566" s="50" t="s">
        <v>316</v>
      </c>
      <c r="G566" s="50" t="s">
        <v>1451</v>
      </c>
    </row>
    <row r="567">
      <c r="A567" s="50">
        <v>3203.0</v>
      </c>
      <c r="B567" s="50" t="s">
        <v>1929</v>
      </c>
      <c r="G567" s="50" t="s">
        <v>1451</v>
      </c>
    </row>
    <row r="568">
      <c r="A568" s="50">
        <v>587.0</v>
      </c>
      <c r="B568" s="50" t="s">
        <v>1930</v>
      </c>
      <c r="E568" s="50">
        <v>2264.0</v>
      </c>
      <c r="F568" s="50" t="s">
        <v>1447</v>
      </c>
      <c r="G568" s="50" t="s">
        <v>1437</v>
      </c>
    </row>
    <row r="569">
      <c r="A569" s="50">
        <v>3138.0</v>
      </c>
      <c r="B569" s="50" t="s">
        <v>1931</v>
      </c>
      <c r="G569" s="50" t="s">
        <v>1451</v>
      </c>
    </row>
    <row r="570">
      <c r="A570" s="50">
        <v>3444.0</v>
      </c>
      <c r="B570" s="50" t="s">
        <v>1932</v>
      </c>
      <c r="E570" s="50">
        <v>2263.0</v>
      </c>
      <c r="F570" s="50" t="s">
        <v>1436</v>
      </c>
      <c r="G570" s="50" t="s">
        <v>1437</v>
      </c>
    </row>
    <row r="571">
      <c r="A571" s="50">
        <v>3450.0</v>
      </c>
      <c r="B571" s="50" t="s">
        <v>1933</v>
      </c>
      <c r="E571" s="50">
        <v>2247.0</v>
      </c>
      <c r="F571" s="50" t="s">
        <v>1441</v>
      </c>
      <c r="G571" s="50" t="s">
        <v>1437</v>
      </c>
    </row>
    <row r="572">
      <c r="A572" s="50">
        <v>3449.0</v>
      </c>
      <c r="B572" s="50" t="s">
        <v>1934</v>
      </c>
      <c r="E572" s="50">
        <v>487.0</v>
      </c>
      <c r="F572" s="50" t="s">
        <v>1443</v>
      </c>
      <c r="G572" s="50" t="s">
        <v>1437</v>
      </c>
    </row>
    <row r="573">
      <c r="A573" s="50">
        <v>1283.0</v>
      </c>
      <c r="B573" s="50" t="s">
        <v>1935</v>
      </c>
      <c r="G573" s="50" t="s">
        <v>1451</v>
      </c>
    </row>
    <row r="574">
      <c r="A574" s="50">
        <v>3711.0</v>
      </c>
      <c r="B574" s="50" t="s">
        <v>1936</v>
      </c>
      <c r="G574" s="50" t="s">
        <v>1451</v>
      </c>
    </row>
    <row r="575">
      <c r="A575" s="50">
        <v>915.0</v>
      </c>
      <c r="B575" s="50" t="s">
        <v>1937</v>
      </c>
      <c r="E575" s="50">
        <v>2247.0</v>
      </c>
      <c r="F575" s="50" t="s">
        <v>1441</v>
      </c>
      <c r="G575" s="50" t="s">
        <v>1437</v>
      </c>
    </row>
    <row r="576">
      <c r="A576" s="50">
        <v>2362.0</v>
      </c>
      <c r="B576" s="50" t="s">
        <v>1938</v>
      </c>
      <c r="G576" s="50" t="s">
        <v>1451</v>
      </c>
    </row>
    <row r="577">
      <c r="A577" s="50">
        <v>1282.0</v>
      </c>
      <c r="B577" s="50" t="s">
        <v>1939</v>
      </c>
      <c r="G577" s="50" t="s">
        <v>1451</v>
      </c>
    </row>
    <row r="578">
      <c r="A578" s="50">
        <v>237.0</v>
      </c>
      <c r="B578" s="50" t="s">
        <v>1940</v>
      </c>
      <c r="E578" s="50">
        <v>2247.0</v>
      </c>
      <c r="F578" s="50" t="s">
        <v>1441</v>
      </c>
      <c r="G578" s="50" t="s">
        <v>1437</v>
      </c>
    </row>
    <row r="579">
      <c r="A579" s="50">
        <v>1179.0</v>
      </c>
      <c r="B579" s="50" t="s">
        <v>1941</v>
      </c>
      <c r="E579" s="50">
        <v>2247.0</v>
      </c>
      <c r="F579" s="50" t="s">
        <v>1441</v>
      </c>
      <c r="G579" s="50" t="s">
        <v>1437</v>
      </c>
    </row>
    <row r="580">
      <c r="A580" s="50">
        <v>150.0</v>
      </c>
      <c r="B580" s="50" t="s">
        <v>1942</v>
      </c>
      <c r="E580" s="50">
        <v>2278.0</v>
      </c>
      <c r="F580" s="50" t="s">
        <v>1439</v>
      </c>
      <c r="G580" s="50" t="s">
        <v>1437</v>
      </c>
    </row>
    <row r="581">
      <c r="A581" s="50">
        <v>577.0</v>
      </c>
      <c r="B581" s="50" t="s">
        <v>1943</v>
      </c>
      <c r="E581" s="50">
        <v>487.0</v>
      </c>
      <c r="F581" s="50" t="s">
        <v>1443</v>
      </c>
      <c r="G581" s="50" t="s">
        <v>1437</v>
      </c>
    </row>
    <row r="582">
      <c r="A582" s="50">
        <v>3704.0</v>
      </c>
      <c r="B582" s="50" t="s">
        <v>663</v>
      </c>
      <c r="C582" s="50">
        <v>3922.0</v>
      </c>
      <c r="D582" s="50" t="s">
        <v>1944</v>
      </c>
      <c r="E582" s="50">
        <v>487.0</v>
      </c>
      <c r="F582" s="50" t="s">
        <v>1443</v>
      </c>
      <c r="G582" s="50" t="s">
        <v>1452</v>
      </c>
    </row>
    <row r="583">
      <c r="A583" s="50">
        <v>3448.0</v>
      </c>
      <c r="B583" s="50" t="s">
        <v>1945</v>
      </c>
      <c r="E583" s="50">
        <v>2263.0</v>
      </c>
      <c r="F583" s="50" t="s">
        <v>1436</v>
      </c>
      <c r="G583" s="50" t="s">
        <v>1437</v>
      </c>
    </row>
    <row r="584">
      <c r="A584" s="50">
        <v>3452.0</v>
      </c>
      <c r="B584" s="50" t="s">
        <v>1946</v>
      </c>
      <c r="E584" s="50">
        <v>2247.0</v>
      </c>
      <c r="F584" s="50" t="s">
        <v>1441</v>
      </c>
      <c r="G584" s="50" t="s">
        <v>1437</v>
      </c>
    </row>
    <row r="585">
      <c r="A585" s="50">
        <v>3451.0</v>
      </c>
      <c r="B585" s="50" t="s">
        <v>1947</v>
      </c>
      <c r="E585" s="50">
        <v>487.0</v>
      </c>
      <c r="F585" s="50" t="s">
        <v>1443</v>
      </c>
      <c r="G585" s="50" t="s">
        <v>1437</v>
      </c>
    </row>
    <row r="586">
      <c r="A586" s="50">
        <v>2882.0</v>
      </c>
      <c r="B586" s="50" t="s">
        <v>1948</v>
      </c>
      <c r="G586" s="50" t="s">
        <v>1451</v>
      </c>
    </row>
    <row r="587">
      <c r="A587" s="50">
        <v>1868.0</v>
      </c>
      <c r="B587" s="50" t="s">
        <v>1949</v>
      </c>
      <c r="E587" s="50">
        <v>2278.0</v>
      </c>
      <c r="F587" s="50" t="s">
        <v>1439</v>
      </c>
      <c r="G587" s="50" t="s">
        <v>1437</v>
      </c>
    </row>
    <row r="588">
      <c r="A588" s="50">
        <v>2174.0</v>
      </c>
      <c r="B588" s="50" t="s">
        <v>1950</v>
      </c>
      <c r="E588" s="50">
        <v>487.0</v>
      </c>
      <c r="F588" s="50" t="s">
        <v>1443</v>
      </c>
      <c r="G588" s="50" t="s">
        <v>1437</v>
      </c>
    </row>
    <row r="589">
      <c r="A589" s="50">
        <v>3368.0</v>
      </c>
      <c r="B589" s="50" t="s">
        <v>1951</v>
      </c>
      <c r="E589" s="50">
        <v>2247.0</v>
      </c>
      <c r="F589" s="50" t="s">
        <v>1441</v>
      </c>
      <c r="G589" s="50" t="s">
        <v>1437</v>
      </c>
    </row>
    <row r="590">
      <c r="A590" s="50">
        <v>3612.0</v>
      </c>
      <c r="B590" s="50" t="s">
        <v>598</v>
      </c>
      <c r="E590" s="50">
        <v>2278.0</v>
      </c>
      <c r="F590" s="50" t="s">
        <v>1439</v>
      </c>
      <c r="G590" s="50" t="s">
        <v>1437</v>
      </c>
    </row>
    <row r="591">
      <c r="A591" s="50">
        <v>1037.0</v>
      </c>
      <c r="B591" s="50" t="s">
        <v>1952</v>
      </c>
      <c r="E591" s="50">
        <v>2247.0</v>
      </c>
      <c r="F591" s="50" t="s">
        <v>1441</v>
      </c>
      <c r="G591" s="50" t="s">
        <v>1437</v>
      </c>
    </row>
    <row r="592">
      <c r="A592" s="50">
        <v>1035.0</v>
      </c>
      <c r="B592" s="50" t="s">
        <v>1953</v>
      </c>
      <c r="E592" s="50">
        <v>487.0</v>
      </c>
      <c r="F592" s="50" t="s">
        <v>1443</v>
      </c>
      <c r="G592" s="50" t="s">
        <v>1437</v>
      </c>
    </row>
    <row r="593">
      <c r="A593" s="50">
        <v>3286.0</v>
      </c>
      <c r="B593" s="50" t="s">
        <v>1954</v>
      </c>
      <c r="G593" s="50" t="s">
        <v>1451</v>
      </c>
    </row>
    <row r="594">
      <c r="A594" s="50">
        <v>3658.0</v>
      </c>
      <c r="B594" s="50" t="s">
        <v>734</v>
      </c>
      <c r="C594" s="50">
        <v>3933.0</v>
      </c>
      <c r="D594" s="50" t="s">
        <v>1955</v>
      </c>
      <c r="E594" s="50">
        <v>2247.0</v>
      </c>
      <c r="F594" s="50" t="s">
        <v>1441</v>
      </c>
      <c r="G594" s="50" t="s">
        <v>1452</v>
      </c>
    </row>
    <row r="595">
      <c r="A595" s="50">
        <v>3750.0</v>
      </c>
      <c r="B595" s="50" t="s">
        <v>722</v>
      </c>
      <c r="C595" s="50">
        <v>3933.0</v>
      </c>
      <c r="D595" s="50" t="s">
        <v>1955</v>
      </c>
      <c r="E595" s="50">
        <v>487.0</v>
      </c>
      <c r="F595" s="50" t="s">
        <v>1443</v>
      </c>
      <c r="G595" s="50" t="s">
        <v>1452</v>
      </c>
    </row>
    <row r="596">
      <c r="A596" s="50">
        <v>3658.0</v>
      </c>
      <c r="B596" s="50" t="s">
        <v>1956</v>
      </c>
      <c r="C596" s="50">
        <v>3933.0</v>
      </c>
      <c r="D596" s="50" t="s">
        <v>1955</v>
      </c>
      <c r="E596" s="50">
        <v>2264.0</v>
      </c>
      <c r="F596" s="50" t="s">
        <v>1447</v>
      </c>
      <c r="G596" s="50" t="s">
        <v>1452</v>
      </c>
    </row>
    <row r="597">
      <c r="A597" s="50">
        <v>3771.0</v>
      </c>
      <c r="B597" s="50" t="s">
        <v>727</v>
      </c>
      <c r="E597" s="50">
        <v>2278.0</v>
      </c>
      <c r="F597" s="50" t="s">
        <v>1439</v>
      </c>
      <c r="G597" s="50" t="s">
        <v>1437</v>
      </c>
    </row>
    <row r="598">
      <c r="A598" s="50">
        <v>3705.0</v>
      </c>
      <c r="B598" s="50" t="s">
        <v>606</v>
      </c>
      <c r="E598" s="50">
        <v>2264.0</v>
      </c>
      <c r="F598" s="50" t="s">
        <v>1447</v>
      </c>
      <c r="G598" s="50" t="s">
        <v>1437</v>
      </c>
    </row>
    <row r="599">
      <c r="A599" s="50">
        <v>2322.0</v>
      </c>
      <c r="B599" s="50" t="s">
        <v>1957</v>
      </c>
      <c r="G599" s="50" t="s">
        <v>1451</v>
      </c>
    </row>
    <row r="600">
      <c r="A600" s="50">
        <v>2510.0</v>
      </c>
      <c r="B600" s="50" t="s">
        <v>1958</v>
      </c>
      <c r="G600" s="50" t="s">
        <v>1451</v>
      </c>
    </row>
    <row r="601">
      <c r="A601" s="50">
        <v>1354.0</v>
      </c>
      <c r="B601" s="50" t="s">
        <v>1959</v>
      </c>
      <c r="E601" s="50">
        <v>2263.0</v>
      </c>
      <c r="F601" s="50" t="s">
        <v>1436</v>
      </c>
      <c r="G601" s="50" t="s">
        <v>1437</v>
      </c>
    </row>
    <row r="602">
      <c r="A602" s="50">
        <v>2496.0</v>
      </c>
      <c r="B602" s="50" t="s">
        <v>1960</v>
      </c>
      <c r="E602" s="50">
        <v>2247.0</v>
      </c>
      <c r="F602" s="50" t="s">
        <v>1441</v>
      </c>
      <c r="G602" s="50" t="s">
        <v>1437</v>
      </c>
    </row>
    <row r="603">
      <c r="A603" s="50">
        <v>906.0</v>
      </c>
      <c r="B603" s="50" t="s">
        <v>1961</v>
      </c>
      <c r="G603" s="50" t="s">
        <v>1451</v>
      </c>
    </row>
    <row r="604">
      <c r="A604" s="50">
        <v>959.0</v>
      </c>
      <c r="B604" s="50" t="s">
        <v>1962</v>
      </c>
      <c r="E604" s="50">
        <v>2278.0</v>
      </c>
      <c r="F604" s="50" t="s">
        <v>1439</v>
      </c>
      <c r="G604" s="50" t="s">
        <v>1437</v>
      </c>
    </row>
    <row r="605">
      <c r="A605" s="50">
        <v>2976.0</v>
      </c>
      <c r="B605" s="50" t="s">
        <v>426</v>
      </c>
      <c r="E605" s="50">
        <v>487.0</v>
      </c>
      <c r="F605" s="50" t="s">
        <v>1443</v>
      </c>
      <c r="G605" s="50" t="s">
        <v>1437</v>
      </c>
    </row>
    <row r="606">
      <c r="A606" s="50">
        <v>967.0</v>
      </c>
      <c r="B606" s="50" t="s">
        <v>573</v>
      </c>
      <c r="E606" s="50">
        <v>2264.0</v>
      </c>
      <c r="F606" s="50" t="s">
        <v>1447</v>
      </c>
      <c r="G606" s="50" t="s">
        <v>1437</v>
      </c>
    </row>
    <row r="607">
      <c r="A607" s="50">
        <v>3276.0</v>
      </c>
      <c r="B607" s="50" t="s">
        <v>730</v>
      </c>
      <c r="C607" s="50">
        <v>2390.0</v>
      </c>
      <c r="D607" s="50" t="s">
        <v>1963</v>
      </c>
      <c r="E607" s="50">
        <v>2247.0</v>
      </c>
      <c r="F607" s="50" t="s">
        <v>1441</v>
      </c>
      <c r="G607" s="50" t="s">
        <v>1452</v>
      </c>
    </row>
    <row r="608">
      <c r="A608" s="50">
        <v>3494.0</v>
      </c>
      <c r="B608" s="50" t="s">
        <v>611</v>
      </c>
      <c r="C608" s="50">
        <v>2390.0</v>
      </c>
      <c r="D608" s="50" t="s">
        <v>1963</v>
      </c>
      <c r="E608" s="50">
        <v>2278.0</v>
      </c>
      <c r="F608" s="50" t="s">
        <v>1439</v>
      </c>
      <c r="G608" s="50" t="s">
        <v>1452</v>
      </c>
    </row>
    <row r="609">
      <c r="A609" s="50">
        <v>3274.0</v>
      </c>
      <c r="B609" s="50" t="s">
        <v>1964</v>
      </c>
      <c r="C609" s="50">
        <v>2390.0</v>
      </c>
      <c r="D609" s="50" t="s">
        <v>1963</v>
      </c>
      <c r="E609" s="50">
        <v>487.0</v>
      </c>
      <c r="F609" s="50" t="s">
        <v>1443</v>
      </c>
      <c r="G609" s="50" t="s">
        <v>1452</v>
      </c>
    </row>
    <row r="610">
      <c r="A610" s="50">
        <v>667.0</v>
      </c>
      <c r="B610" s="50" t="s">
        <v>1965</v>
      </c>
      <c r="G610" s="50" t="s">
        <v>1451</v>
      </c>
    </row>
    <row r="611">
      <c r="A611" s="50">
        <v>554.0</v>
      </c>
      <c r="B611" s="50" t="s">
        <v>1966</v>
      </c>
      <c r="E611" s="50">
        <v>2278.0</v>
      </c>
      <c r="F611" s="50" t="s">
        <v>1439</v>
      </c>
      <c r="G611" s="50" t="s">
        <v>1437</v>
      </c>
    </row>
    <row r="612">
      <c r="A612" s="50">
        <v>235.0</v>
      </c>
      <c r="B612" s="50" t="s">
        <v>1967</v>
      </c>
      <c r="E612" s="50">
        <v>487.0</v>
      </c>
      <c r="F612" s="50" t="s">
        <v>1443</v>
      </c>
      <c r="G612" s="50" t="s">
        <v>1437</v>
      </c>
    </row>
    <row r="613">
      <c r="A613" s="50">
        <v>862.0</v>
      </c>
      <c r="B613" s="50" t="s">
        <v>1968</v>
      </c>
      <c r="E613" s="50">
        <v>487.0</v>
      </c>
      <c r="F613" s="50" t="s">
        <v>1443</v>
      </c>
      <c r="G613" s="50" t="s">
        <v>1437</v>
      </c>
    </row>
    <row r="614">
      <c r="A614" s="50">
        <v>857.0</v>
      </c>
      <c r="B614" s="50" t="s">
        <v>1969</v>
      </c>
      <c r="E614" s="50">
        <v>487.0</v>
      </c>
      <c r="F614" s="50" t="s">
        <v>1443</v>
      </c>
      <c r="G614" s="50" t="s">
        <v>1437</v>
      </c>
    </row>
    <row r="615">
      <c r="A615" s="50">
        <v>988.0</v>
      </c>
      <c r="B615" s="50" t="s">
        <v>1970</v>
      </c>
      <c r="E615" s="50">
        <v>487.0</v>
      </c>
      <c r="F615" s="50" t="s">
        <v>1443</v>
      </c>
      <c r="G615" s="50" t="s">
        <v>1437</v>
      </c>
    </row>
    <row r="616">
      <c r="A616" s="50">
        <v>50.0</v>
      </c>
      <c r="B616" s="50" t="s">
        <v>1971</v>
      </c>
      <c r="E616" s="50">
        <v>487.0</v>
      </c>
      <c r="F616" s="50" t="s">
        <v>1443</v>
      </c>
      <c r="G616" s="50" t="s">
        <v>1437</v>
      </c>
    </row>
    <row r="617">
      <c r="A617" s="50">
        <v>3711.0</v>
      </c>
      <c r="B617" s="50" t="s">
        <v>1972</v>
      </c>
      <c r="C617" s="50">
        <v>3934.0</v>
      </c>
      <c r="D617" s="50" t="s">
        <v>1973</v>
      </c>
      <c r="G617" s="50" t="s">
        <v>1433</v>
      </c>
    </row>
    <row r="618">
      <c r="A618" s="50">
        <v>240.0</v>
      </c>
      <c r="B618" s="50" t="s">
        <v>1974</v>
      </c>
      <c r="E618" s="50">
        <v>2278.0</v>
      </c>
      <c r="F618" s="50" t="s">
        <v>1439</v>
      </c>
      <c r="G618" s="50" t="s">
        <v>1437</v>
      </c>
    </row>
    <row r="619">
      <c r="A619" s="50">
        <v>239.0</v>
      </c>
      <c r="B619" s="50" t="s">
        <v>1975</v>
      </c>
      <c r="E619" s="50">
        <v>2264.0</v>
      </c>
      <c r="F619" s="50" t="s">
        <v>1447</v>
      </c>
      <c r="G619" s="50" t="s">
        <v>1437</v>
      </c>
    </row>
    <row r="620">
      <c r="A620" s="50">
        <v>1038.0</v>
      </c>
      <c r="B620" s="50" t="s">
        <v>1976</v>
      </c>
      <c r="G620" s="50" t="s">
        <v>1451</v>
      </c>
    </row>
    <row r="621">
      <c r="A621" s="50">
        <v>1384.0</v>
      </c>
      <c r="B621" s="50" t="s">
        <v>1977</v>
      </c>
      <c r="E621" s="50">
        <v>2278.0</v>
      </c>
      <c r="F621" s="50" t="s">
        <v>1439</v>
      </c>
      <c r="G621" s="50" t="s">
        <v>1437</v>
      </c>
    </row>
    <row r="622">
      <c r="A622" s="50">
        <v>1385.0</v>
      </c>
      <c r="B622" s="50" t="s">
        <v>1978</v>
      </c>
      <c r="E622" s="50">
        <v>2247.0</v>
      </c>
      <c r="F622" s="50" t="s">
        <v>1441</v>
      </c>
      <c r="G622" s="50" t="s">
        <v>1437</v>
      </c>
    </row>
    <row r="623">
      <c r="A623" s="50">
        <v>1416.0</v>
      </c>
      <c r="B623" s="50" t="s">
        <v>1979</v>
      </c>
      <c r="E623" s="50">
        <v>487.0</v>
      </c>
      <c r="F623" s="50" t="s">
        <v>1443</v>
      </c>
      <c r="G623" s="50" t="s">
        <v>1437</v>
      </c>
    </row>
    <row r="624">
      <c r="A624" s="50">
        <v>144.0</v>
      </c>
      <c r="B624" s="50" t="s">
        <v>1980</v>
      </c>
      <c r="E624" s="50">
        <v>487.0</v>
      </c>
      <c r="F624" s="50" t="s">
        <v>1443</v>
      </c>
      <c r="G624" s="50" t="s">
        <v>1437</v>
      </c>
    </row>
    <row r="625">
      <c r="A625" s="50">
        <v>1143.0</v>
      </c>
      <c r="B625" s="50" t="s">
        <v>1981</v>
      </c>
      <c r="E625" s="50">
        <v>2640.0</v>
      </c>
      <c r="F625" s="50" t="s">
        <v>1530</v>
      </c>
      <c r="G625" s="50" t="s">
        <v>1437</v>
      </c>
    </row>
    <row r="626">
      <c r="A626" s="50">
        <v>1126.0</v>
      </c>
      <c r="B626" s="50" t="s">
        <v>1982</v>
      </c>
      <c r="E626" s="50">
        <v>2263.0</v>
      </c>
      <c r="F626" s="50" t="s">
        <v>1436</v>
      </c>
      <c r="G626" s="50" t="s">
        <v>1437</v>
      </c>
    </row>
    <row r="627">
      <c r="A627" s="50">
        <v>1335.0</v>
      </c>
      <c r="B627" s="50" t="s">
        <v>1983</v>
      </c>
      <c r="E627" s="50">
        <v>2247.0</v>
      </c>
      <c r="F627" s="50" t="s">
        <v>1441</v>
      </c>
      <c r="G627" s="50" t="s">
        <v>1437</v>
      </c>
    </row>
    <row r="628">
      <c r="A628" s="50">
        <v>381.0</v>
      </c>
      <c r="B628" s="50" t="s">
        <v>1984</v>
      </c>
      <c r="E628" s="50">
        <v>2278.0</v>
      </c>
      <c r="F628" s="50" t="s">
        <v>1439</v>
      </c>
      <c r="G628" s="50" t="s">
        <v>1437</v>
      </c>
    </row>
    <row r="629">
      <c r="A629" s="50">
        <v>2901.0</v>
      </c>
      <c r="B629" s="50" t="s">
        <v>1985</v>
      </c>
      <c r="E629" s="50">
        <v>2278.0</v>
      </c>
      <c r="F629" s="50" t="s">
        <v>1439</v>
      </c>
      <c r="G629" s="50" t="s">
        <v>1437</v>
      </c>
    </row>
    <row r="630">
      <c r="A630" s="50">
        <v>2900.0</v>
      </c>
      <c r="B630" s="50" t="s">
        <v>1986</v>
      </c>
      <c r="E630" s="50">
        <v>2640.0</v>
      </c>
      <c r="F630" s="50" t="s">
        <v>1530</v>
      </c>
      <c r="G630" s="50" t="s">
        <v>1437</v>
      </c>
    </row>
    <row r="631">
      <c r="A631" s="50">
        <v>1021.0</v>
      </c>
      <c r="B631" s="50" t="s">
        <v>1987</v>
      </c>
      <c r="E631" s="50">
        <v>2247.0</v>
      </c>
      <c r="F631" s="50" t="s">
        <v>1441</v>
      </c>
      <c r="G631" s="50" t="s">
        <v>1437</v>
      </c>
    </row>
    <row r="632">
      <c r="A632" s="50">
        <v>2803.0</v>
      </c>
      <c r="B632" s="50" t="s">
        <v>1989</v>
      </c>
      <c r="G632" s="50" t="s">
        <v>1451</v>
      </c>
    </row>
    <row r="633">
      <c r="A633" s="50">
        <v>3789.0</v>
      </c>
      <c r="B633" s="50" t="s">
        <v>1990</v>
      </c>
      <c r="G633" s="50" t="s">
        <v>1451</v>
      </c>
    </row>
    <row r="634">
      <c r="A634" s="50">
        <v>1353.0</v>
      </c>
      <c r="B634" s="50" t="s">
        <v>1991</v>
      </c>
      <c r="G634" s="50" t="s">
        <v>1451</v>
      </c>
    </row>
    <row r="635">
      <c r="A635" s="50">
        <v>2932.0</v>
      </c>
      <c r="B635" s="50" t="s">
        <v>624</v>
      </c>
      <c r="G635" s="50" t="s">
        <v>1451</v>
      </c>
    </row>
    <row r="636">
      <c r="A636" s="50">
        <v>3799.0</v>
      </c>
      <c r="B636" s="50" t="s">
        <v>450</v>
      </c>
      <c r="G636" s="50" t="s">
        <v>1451</v>
      </c>
    </row>
    <row r="637">
      <c r="A637" s="50">
        <v>898.0</v>
      </c>
      <c r="B637" s="50" t="s">
        <v>485</v>
      </c>
      <c r="G637" s="50" t="s">
        <v>1451</v>
      </c>
    </row>
    <row r="638">
      <c r="A638" s="50">
        <v>3611.0</v>
      </c>
      <c r="B638" s="50" t="s">
        <v>745</v>
      </c>
      <c r="G638" s="50" t="s">
        <v>1451</v>
      </c>
    </row>
    <row r="639">
      <c r="A639" s="50">
        <v>586.0</v>
      </c>
      <c r="B639" s="50" t="s">
        <v>1992</v>
      </c>
      <c r="E639" s="50">
        <v>487.0</v>
      </c>
      <c r="F639" s="50" t="s">
        <v>1443</v>
      </c>
      <c r="G639" s="50" t="s">
        <v>1437</v>
      </c>
    </row>
    <row r="640">
      <c r="A640" s="50">
        <v>3346.0</v>
      </c>
      <c r="B640" s="50" t="s">
        <v>801</v>
      </c>
      <c r="E640" s="50">
        <v>2640.0</v>
      </c>
      <c r="F640" s="50" t="s">
        <v>1530</v>
      </c>
      <c r="G640" s="50" t="s">
        <v>1437</v>
      </c>
    </row>
    <row r="641">
      <c r="A641" s="50">
        <v>71.0</v>
      </c>
      <c r="B641" s="50" t="s">
        <v>1994</v>
      </c>
      <c r="G641" s="50" t="s">
        <v>1451</v>
      </c>
    </row>
    <row r="642">
      <c r="A642" s="50">
        <v>117.0</v>
      </c>
      <c r="B642" s="50" t="s">
        <v>1995</v>
      </c>
      <c r="G642" s="50" t="s">
        <v>1451</v>
      </c>
    </row>
    <row r="643">
      <c r="A643" s="50">
        <v>3426.0</v>
      </c>
      <c r="B643" s="50" t="s">
        <v>416</v>
      </c>
      <c r="G643" s="50" t="s">
        <v>1451</v>
      </c>
    </row>
    <row r="644">
      <c r="A644" s="50">
        <v>1285.0</v>
      </c>
      <c r="B644" s="50" t="s">
        <v>1996</v>
      </c>
      <c r="G644" s="50" t="s">
        <v>1451</v>
      </c>
    </row>
    <row r="645">
      <c r="A645" s="50">
        <v>1325.0</v>
      </c>
      <c r="B645" s="50" t="s">
        <v>1997</v>
      </c>
      <c r="G645" s="50" t="s">
        <v>1451</v>
      </c>
    </row>
    <row r="646">
      <c r="A646" s="50">
        <v>1036.0</v>
      </c>
      <c r="B646" s="50" t="s">
        <v>1998</v>
      </c>
      <c r="G646" s="50" t="s">
        <v>1451</v>
      </c>
    </row>
    <row r="647">
      <c r="A647" s="50">
        <v>2065.0</v>
      </c>
      <c r="B647" s="50" t="s">
        <v>1999</v>
      </c>
      <c r="E647" s="50">
        <v>487.0</v>
      </c>
      <c r="F647" s="50" t="s">
        <v>1443</v>
      </c>
      <c r="G647" s="50" t="s">
        <v>1437</v>
      </c>
    </row>
    <row r="648">
      <c r="A648" s="50">
        <v>1299.0</v>
      </c>
      <c r="B648" s="50" t="s">
        <v>2000</v>
      </c>
      <c r="C648" s="50">
        <v>3920.0</v>
      </c>
      <c r="D648" s="50" t="s">
        <v>2001</v>
      </c>
      <c r="E648" s="50">
        <v>2247.0</v>
      </c>
      <c r="F648" s="50" t="s">
        <v>1441</v>
      </c>
      <c r="G648" s="50" t="s">
        <v>1452</v>
      </c>
    </row>
    <row r="649">
      <c r="A649" s="50">
        <v>1388.0</v>
      </c>
      <c r="B649" s="50" t="s">
        <v>2002</v>
      </c>
      <c r="C649" s="50">
        <v>3920.0</v>
      </c>
      <c r="D649" s="50" t="s">
        <v>2001</v>
      </c>
      <c r="E649" s="50">
        <v>2247.0</v>
      </c>
      <c r="F649" s="50" t="s">
        <v>1441</v>
      </c>
      <c r="G649" s="50" t="s">
        <v>1452</v>
      </c>
    </row>
    <row r="650">
      <c r="A650" s="50">
        <v>1150.0</v>
      </c>
      <c r="B650" s="50" t="s">
        <v>2003</v>
      </c>
      <c r="C650" s="50">
        <v>3920.0</v>
      </c>
      <c r="D650" s="50" t="s">
        <v>2001</v>
      </c>
      <c r="E650" s="50">
        <v>487.0</v>
      </c>
      <c r="F650" s="50" t="s">
        <v>1443</v>
      </c>
      <c r="G650" s="50" t="s">
        <v>1452</v>
      </c>
    </row>
    <row r="651">
      <c r="A651" s="50">
        <v>1116.0</v>
      </c>
      <c r="B651" s="50" t="s">
        <v>2004</v>
      </c>
      <c r="E651" s="50">
        <v>2247.0</v>
      </c>
      <c r="F651" s="50" t="s">
        <v>1441</v>
      </c>
      <c r="G651" s="50" t="s">
        <v>1437</v>
      </c>
    </row>
    <row r="652">
      <c r="A652" s="50">
        <v>2351.0</v>
      </c>
      <c r="B652" s="50" t="s">
        <v>2005</v>
      </c>
      <c r="C652" s="50">
        <v>3920.0</v>
      </c>
      <c r="D652" s="50" t="s">
        <v>2001</v>
      </c>
      <c r="G652" s="50" t="s">
        <v>1433</v>
      </c>
    </row>
    <row r="653">
      <c r="A653" s="50">
        <v>1149.0</v>
      </c>
      <c r="B653" s="50" t="s">
        <v>659</v>
      </c>
      <c r="C653" s="50">
        <v>3920.0</v>
      </c>
      <c r="D653" s="50" t="s">
        <v>2001</v>
      </c>
      <c r="E653" s="50">
        <v>2247.0</v>
      </c>
      <c r="F653" s="50" t="s">
        <v>1441</v>
      </c>
      <c r="G653" s="50" t="s">
        <v>1452</v>
      </c>
    </row>
    <row r="654">
      <c r="A654" s="50">
        <v>1117.0</v>
      </c>
      <c r="B654" s="50" t="s">
        <v>2006</v>
      </c>
      <c r="C654" s="50">
        <v>3920.0</v>
      </c>
      <c r="D654" s="50" t="s">
        <v>2001</v>
      </c>
      <c r="E654" s="50">
        <v>2278.0</v>
      </c>
      <c r="F654" s="50" t="s">
        <v>1439</v>
      </c>
      <c r="G654" s="50" t="s">
        <v>1452</v>
      </c>
    </row>
    <row r="655">
      <c r="A655" s="50">
        <v>1223.0</v>
      </c>
      <c r="B655" s="50" t="s">
        <v>2007</v>
      </c>
      <c r="C655" s="50">
        <v>3920.0</v>
      </c>
      <c r="D655" s="50" t="s">
        <v>2001</v>
      </c>
      <c r="E655" s="50">
        <v>2640.0</v>
      </c>
      <c r="F655" s="50" t="s">
        <v>1530</v>
      </c>
      <c r="G655" s="50" t="s">
        <v>1452</v>
      </c>
    </row>
    <row r="656">
      <c r="A656" s="50">
        <v>2210.0</v>
      </c>
      <c r="B656" s="50" t="s">
        <v>2008</v>
      </c>
      <c r="C656" s="50">
        <v>3920.0</v>
      </c>
      <c r="D656" s="50" t="s">
        <v>2001</v>
      </c>
      <c r="E656" s="50">
        <v>2640.0</v>
      </c>
      <c r="F656" s="50" t="s">
        <v>1530</v>
      </c>
      <c r="G656" s="50" t="s">
        <v>1452</v>
      </c>
    </row>
    <row r="657">
      <c r="A657" s="50">
        <v>3122.0</v>
      </c>
      <c r="B657" s="50" t="s">
        <v>804</v>
      </c>
      <c r="C657" s="50">
        <v>3920.0</v>
      </c>
      <c r="D657" s="50" t="s">
        <v>2001</v>
      </c>
      <c r="E657" s="50">
        <v>3136.0</v>
      </c>
      <c r="F657" s="50" t="s">
        <v>1610</v>
      </c>
      <c r="G657" s="50" t="s">
        <v>1452</v>
      </c>
    </row>
    <row r="658">
      <c r="A658" s="50">
        <v>2018.0</v>
      </c>
      <c r="B658" s="50" t="s">
        <v>2009</v>
      </c>
      <c r="G658" s="50" t="s">
        <v>1451</v>
      </c>
    </row>
    <row r="659">
      <c r="A659" s="50">
        <v>1847.0</v>
      </c>
      <c r="B659" s="50" t="s">
        <v>2010</v>
      </c>
      <c r="G659" s="50" t="s">
        <v>1451</v>
      </c>
    </row>
    <row r="660">
      <c r="A660" s="50">
        <v>2713.0</v>
      </c>
      <c r="B660" s="50" t="s">
        <v>2011</v>
      </c>
      <c r="E660" s="50">
        <v>2278.0</v>
      </c>
      <c r="F660" s="50" t="s">
        <v>1439</v>
      </c>
      <c r="G660" s="50" t="s">
        <v>1437</v>
      </c>
    </row>
    <row r="661">
      <c r="A661" s="50">
        <v>2278.0</v>
      </c>
      <c r="B661" s="50" t="s">
        <v>2012</v>
      </c>
      <c r="E661" s="50">
        <v>2278.0</v>
      </c>
      <c r="F661" s="50" t="s">
        <v>1439</v>
      </c>
      <c r="G661" s="50" t="s">
        <v>1437</v>
      </c>
    </row>
    <row r="662">
      <c r="A662" s="50">
        <v>3437.0</v>
      </c>
      <c r="B662" s="50" t="s">
        <v>313</v>
      </c>
      <c r="E662" s="50">
        <v>2278.0</v>
      </c>
      <c r="F662" s="50" t="s">
        <v>1439</v>
      </c>
      <c r="G662" s="50" t="s">
        <v>1437</v>
      </c>
    </row>
    <row r="663">
      <c r="A663" s="50">
        <v>1147.0</v>
      </c>
      <c r="B663" s="50" t="s">
        <v>2013</v>
      </c>
      <c r="E663" s="50">
        <v>2278.0</v>
      </c>
      <c r="F663" s="50" t="s">
        <v>1439</v>
      </c>
      <c r="G663" s="50" t="s">
        <v>1437</v>
      </c>
    </row>
    <row r="664">
      <c r="A664" s="50">
        <v>1239.0</v>
      </c>
      <c r="B664" s="50" t="s">
        <v>2014</v>
      </c>
      <c r="E664" s="50">
        <v>2278.0</v>
      </c>
      <c r="F664" s="50" t="s">
        <v>1439</v>
      </c>
      <c r="G664" s="50" t="s">
        <v>1437</v>
      </c>
    </row>
    <row r="665">
      <c r="A665" s="50">
        <v>3137.0</v>
      </c>
      <c r="B665" s="50" t="s">
        <v>2015</v>
      </c>
      <c r="E665" s="50">
        <v>2278.0</v>
      </c>
      <c r="F665" s="50" t="s">
        <v>1439</v>
      </c>
      <c r="G665" s="50" t="s">
        <v>1437</v>
      </c>
    </row>
    <row r="666">
      <c r="A666" s="50">
        <v>3273.0</v>
      </c>
      <c r="B666" s="50" t="s">
        <v>667</v>
      </c>
      <c r="E666" s="50">
        <v>2278.0</v>
      </c>
      <c r="F666" s="50" t="s">
        <v>1439</v>
      </c>
      <c r="G666" s="50" t="s">
        <v>1437</v>
      </c>
    </row>
    <row r="667">
      <c r="A667" s="50">
        <v>1255.0</v>
      </c>
      <c r="B667" s="50" t="s">
        <v>2016</v>
      </c>
      <c r="E667" s="50">
        <v>2278.0</v>
      </c>
      <c r="F667" s="50" t="s">
        <v>1439</v>
      </c>
      <c r="G667" s="50" t="s">
        <v>1437</v>
      </c>
    </row>
    <row r="668">
      <c r="A668" s="50">
        <v>3868.0</v>
      </c>
      <c r="B668" s="50" t="s">
        <v>2017</v>
      </c>
      <c r="G668" s="50" t="s">
        <v>1451</v>
      </c>
    </row>
    <row r="669">
      <c r="A669" s="50">
        <v>2800.0</v>
      </c>
      <c r="B669" s="50" t="s">
        <v>2018</v>
      </c>
      <c r="G669" s="50" t="s">
        <v>1451</v>
      </c>
    </row>
    <row r="670">
      <c r="A670" s="50">
        <v>2936.0</v>
      </c>
      <c r="B670" s="50" t="s">
        <v>468</v>
      </c>
      <c r="G670" s="50" t="s">
        <v>1451</v>
      </c>
    </row>
    <row r="671">
      <c r="A671" s="50">
        <v>3196.0</v>
      </c>
      <c r="B671" s="50" t="s">
        <v>890</v>
      </c>
      <c r="G671" s="50" t="s">
        <v>1451</v>
      </c>
    </row>
    <row r="672">
      <c r="A672" s="50">
        <v>1327.0</v>
      </c>
      <c r="B672" s="50" t="s">
        <v>548</v>
      </c>
      <c r="G672" s="50" t="s">
        <v>1451</v>
      </c>
    </row>
    <row r="673">
      <c r="A673" s="50">
        <v>1324.0</v>
      </c>
      <c r="B673" s="50" t="s">
        <v>2019</v>
      </c>
      <c r="G673" s="50" t="s">
        <v>1451</v>
      </c>
    </row>
    <row r="674">
      <c r="A674" s="50">
        <v>1896.0</v>
      </c>
      <c r="B674" s="50" t="s">
        <v>2020</v>
      </c>
      <c r="G674" s="50" t="s">
        <v>1451</v>
      </c>
    </row>
    <row r="675">
      <c r="A675" s="50">
        <v>2256.0</v>
      </c>
      <c r="B675" s="50" t="s">
        <v>2021</v>
      </c>
      <c r="G675" s="50" t="s">
        <v>1451</v>
      </c>
    </row>
    <row r="676">
      <c r="A676" s="50">
        <v>1314.0</v>
      </c>
      <c r="B676" s="50" t="s">
        <v>2022</v>
      </c>
      <c r="G676" s="50" t="s">
        <v>1451</v>
      </c>
    </row>
    <row r="677">
      <c r="A677" s="50">
        <v>2744.0</v>
      </c>
      <c r="B677" s="50" t="s">
        <v>2023</v>
      </c>
      <c r="G677" s="50" t="s">
        <v>1451</v>
      </c>
    </row>
    <row r="678">
      <c r="A678" s="50">
        <v>3826.0</v>
      </c>
      <c r="B678" s="50" t="s">
        <v>2025</v>
      </c>
      <c r="C678" s="50">
        <v>3928.0</v>
      </c>
      <c r="D678" s="50" t="s">
        <v>2026</v>
      </c>
      <c r="E678" s="50">
        <v>2247.0</v>
      </c>
      <c r="F678" s="50" t="s">
        <v>1441</v>
      </c>
      <c r="G678" s="50" t="s">
        <v>1452</v>
      </c>
    </row>
    <row r="679">
      <c r="A679" s="50">
        <v>3655.0</v>
      </c>
      <c r="B679" s="50" t="s">
        <v>673</v>
      </c>
      <c r="C679" s="50">
        <v>3928.0</v>
      </c>
      <c r="D679" s="50" t="s">
        <v>2026</v>
      </c>
      <c r="E679" s="50">
        <v>487.0</v>
      </c>
      <c r="F679" s="50" t="s">
        <v>1443</v>
      </c>
      <c r="G679" s="50" t="s">
        <v>1452</v>
      </c>
    </row>
    <row r="680">
      <c r="A680" s="50">
        <v>2641.0</v>
      </c>
      <c r="B680" s="50" t="s">
        <v>2027</v>
      </c>
      <c r="G680" s="50" t="s">
        <v>1451</v>
      </c>
    </row>
    <row r="681">
      <c r="A681" s="50">
        <v>1494.0</v>
      </c>
      <c r="B681" s="50" t="s">
        <v>2028</v>
      </c>
      <c r="G681" s="50" t="s">
        <v>1451</v>
      </c>
    </row>
    <row r="682">
      <c r="A682" s="50">
        <v>3407.0</v>
      </c>
      <c r="B682" s="50" t="s">
        <v>856</v>
      </c>
      <c r="G682" s="50" t="s">
        <v>1451</v>
      </c>
    </row>
    <row r="683">
      <c r="A683" s="50">
        <v>2221.0</v>
      </c>
      <c r="B683" s="50" t="s">
        <v>2029</v>
      </c>
      <c r="E683" s="50">
        <v>2247.0</v>
      </c>
      <c r="F683" s="50" t="s">
        <v>1441</v>
      </c>
      <c r="G683" s="50" t="s">
        <v>1437</v>
      </c>
    </row>
    <row r="684">
      <c r="A684" s="50">
        <v>2850.0</v>
      </c>
      <c r="B684" s="50" t="s">
        <v>2031</v>
      </c>
      <c r="G684" s="50" t="s">
        <v>1451</v>
      </c>
    </row>
    <row r="685">
      <c r="A685" s="50">
        <v>3331.0</v>
      </c>
      <c r="B685" s="50" t="s">
        <v>806</v>
      </c>
      <c r="G685" s="50" t="s">
        <v>1451</v>
      </c>
    </row>
    <row r="686">
      <c r="A686" s="50">
        <v>2841.0</v>
      </c>
      <c r="B686" s="50" t="s">
        <v>567</v>
      </c>
      <c r="E686" s="50">
        <v>2851.0</v>
      </c>
      <c r="F686" s="50" t="s">
        <v>1653</v>
      </c>
      <c r="G686" s="50" t="s">
        <v>1437</v>
      </c>
    </row>
    <row r="687">
      <c r="A687" s="50">
        <v>3123.0</v>
      </c>
      <c r="B687" s="50" t="s">
        <v>2032</v>
      </c>
      <c r="E687" s="50">
        <v>487.0</v>
      </c>
      <c r="F687" s="50" t="s">
        <v>1443</v>
      </c>
      <c r="G687" s="50" t="s">
        <v>1437</v>
      </c>
    </row>
    <row r="688">
      <c r="A688" s="50">
        <v>1034.0</v>
      </c>
      <c r="B688" s="50" t="s">
        <v>2033</v>
      </c>
      <c r="E688" s="50">
        <v>2247.0</v>
      </c>
      <c r="F688" s="50" t="s">
        <v>1441</v>
      </c>
      <c r="G688" s="50" t="s">
        <v>1437</v>
      </c>
    </row>
    <row r="689">
      <c r="A689" s="50">
        <v>2647.0</v>
      </c>
      <c r="B689" s="50" t="s">
        <v>2034</v>
      </c>
      <c r="G689" s="50" t="s">
        <v>1451</v>
      </c>
    </row>
    <row r="690">
      <c r="A690" s="50">
        <v>70.0</v>
      </c>
      <c r="B690" s="50" t="s">
        <v>2035</v>
      </c>
      <c r="E690" s="50">
        <v>2640.0</v>
      </c>
      <c r="F690" s="50" t="s">
        <v>1530</v>
      </c>
      <c r="G690" s="50" t="s">
        <v>1437</v>
      </c>
    </row>
    <row r="691">
      <c r="A691" s="50">
        <v>2387.0</v>
      </c>
      <c r="B691" s="50" t="s">
        <v>2036</v>
      </c>
      <c r="G691" s="50" t="s">
        <v>1451</v>
      </c>
    </row>
    <row r="692">
      <c r="A692" s="50">
        <v>2383.0</v>
      </c>
      <c r="B692" s="50" t="s">
        <v>2037</v>
      </c>
      <c r="G692" s="50" t="s">
        <v>1451</v>
      </c>
    </row>
    <row r="693">
      <c r="A693" s="50">
        <v>2671.0</v>
      </c>
      <c r="B693" s="50" t="s">
        <v>2038</v>
      </c>
      <c r="E693" s="50">
        <v>2247.0</v>
      </c>
      <c r="F693" s="50" t="s">
        <v>1441</v>
      </c>
      <c r="G693" s="50" t="s">
        <v>1437</v>
      </c>
    </row>
    <row r="694">
      <c r="A694" s="50">
        <v>2668.0</v>
      </c>
      <c r="B694" s="50" t="s">
        <v>2039</v>
      </c>
      <c r="E694" s="50">
        <v>2247.0</v>
      </c>
      <c r="F694" s="50" t="s">
        <v>1441</v>
      </c>
      <c r="G694" s="50" t="s">
        <v>1437</v>
      </c>
    </row>
    <row r="695">
      <c r="A695" s="50">
        <v>2794.0</v>
      </c>
      <c r="B695" s="50" t="s">
        <v>2041</v>
      </c>
      <c r="E695" s="50">
        <v>487.0</v>
      </c>
      <c r="F695" s="50" t="s">
        <v>1443</v>
      </c>
      <c r="G695" s="50" t="s">
        <v>1437</v>
      </c>
    </row>
    <row r="696">
      <c r="A696" s="50">
        <v>2707.0</v>
      </c>
      <c r="B696" s="50" t="s">
        <v>2043</v>
      </c>
      <c r="E696" s="50">
        <v>487.0</v>
      </c>
      <c r="F696" s="50" t="s">
        <v>1443</v>
      </c>
      <c r="G696" s="50" t="s">
        <v>1437</v>
      </c>
    </row>
    <row r="697">
      <c r="A697" s="50">
        <v>2271.0</v>
      </c>
      <c r="B697" s="50" t="s">
        <v>2044</v>
      </c>
      <c r="E697" s="50">
        <v>487.0</v>
      </c>
      <c r="F697" s="50" t="s">
        <v>1443</v>
      </c>
      <c r="G697" s="50" t="s">
        <v>1437</v>
      </c>
    </row>
    <row r="698">
      <c r="A698" s="50">
        <v>2488.0</v>
      </c>
      <c r="B698" s="50" t="s">
        <v>2045</v>
      </c>
      <c r="E698" s="50">
        <v>487.0</v>
      </c>
      <c r="F698" s="50" t="s">
        <v>1443</v>
      </c>
      <c r="G698" s="50" t="s">
        <v>1437</v>
      </c>
    </row>
    <row r="699">
      <c r="A699" s="50">
        <v>2637.0</v>
      </c>
      <c r="B699" s="50" t="s">
        <v>2046</v>
      </c>
      <c r="G699" s="50" t="s">
        <v>1451</v>
      </c>
    </row>
    <row r="700">
      <c r="A700" s="50">
        <v>2482.0</v>
      </c>
      <c r="B700" s="50" t="s">
        <v>810</v>
      </c>
      <c r="G700" s="50" t="s">
        <v>1451</v>
      </c>
    </row>
    <row r="701">
      <c r="A701" s="50">
        <v>3033.0</v>
      </c>
      <c r="B701" s="50" t="s">
        <v>2047</v>
      </c>
      <c r="E701" s="50">
        <v>2851.0</v>
      </c>
      <c r="F701" s="50" t="s">
        <v>1653</v>
      </c>
      <c r="G701" s="50" t="s">
        <v>1437</v>
      </c>
    </row>
    <row r="702">
      <c r="A702" s="50">
        <v>2631.0</v>
      </c>
      <c r="B702" s="50" t="s">
        <v>458</v>
      </c>
      <c r="E702" s="50">
        <v>2247.0</v>
      </c>
      <c r="F702" s="50" t="s">
        <v>1441</v>
      </c>
      <c r="G702" s="50" t="s">
        <v>1437</v>
      </c>
    </row>
    <row r="703">
      <c r="A703" s="50">
        <v>2484.0</v>
      </c>
      <c r="B703" s="50" t="s">
        <v>2048</v>
      </c>
      <c r="E703" s="50">
        <v>2247.0</v>
      </c>
      <c r="F703" s="50" t="s">
        <v>1441</v>
      </c>
      <c r="G703" s="50" t="s">
        <v>1437</v>
      </c>
    </row>
    <row r="704">
      <c r="A704" s="50">
        <v>2508.0</v>
      </c>
      <c r="B704" s="50" t="s">
        <v>2049</v>
      </c>
      <c r="E704" s="50">
        <v>487.0</v>
      </c>
      <c r="F704" s="50" t="s">
        <v>1443</v>
      </c>
      <c r="G704" s="50" t="s">
        <v>1437</v>
      </c>
    </row>
    <row r="705">
      <c r="A705" s="50">
        <v>3227.0</v>
      </c>
      <c r="B705" s="50" t="s">
        <v>2050</v>
      </c>
      <c r="E705" s="50">
        <v>487.0</v>
      </c>
      <c r="F705" s="50" t="s">
        <v>1443</v>
      </c>
      <c r="G705" s="50" t="s">
        <v>1437</v>
      </c>
    </row>
    <row r="706">
      <c r="A706" s="50">
        <v>3055.0</v>
      </c>
      <c r="B706" s="50" t="s">
        <v>2051</v>
      </c>
      <c r="E706" s="50">
        <v>2640.0</v>
      </c>
      <c r="F706" s="50" t="s">
        <v>1530</v>
      </c>
      <c r="G706" s="50" t="s">
        <v>1437</v>
      </c>
    </row>
    <row r="707">
      <c r="A707" s="50">
        <v>3054.0</v>
      </c>
      <c r="B707" s="50" t="s">
        <v>529</v>
      </c>
      <c r="E707" s="50">
        <v>2851.0</v>
      </c>
      <c r="F707" s="50" t="s">
        <v>1653</v>
      </c>
      <c r="G707" s="50" t="s">
        <v>1437</v>
      </c>
    </row>
    <row r="708">
      <c r="A708" s="50">
        <v>3410.0</v>
      </c>
      <c r="B708" s="50" t="s">
        <v>622</v>
      </c>
      <c r="E708" s="50">
        <v>2247.0</v>
      </c>
      <c r="F708" s="50" t="s">
        <v>1441</v>
      </c>
      <c r="G708" s="50" t="s">
        <v>1437</v>
      </c>
    </row>
    <row r="709">
      <c r="A709" s="50">
        <v>3239.0</v>
      </c>
      <c r="B709" s="50" t="s">
        <v>544</v>
      </c>
      <c r="E709" s="50">
        <v>487.0</v>
      </c>
      <c r="F709" s="50" t="s">
        <v>1443</v>
      </c>
      <c r="G709" s="50" t="s">
        <v>1437</v>
      </c>
    </row>
    <row r="710">
      <c r="A710" s="50">
        <v>3086.0</v>
      </c>
      <c r="B710" s="50" t="s">
        <v>2052</v>
      </c>
      <c r="E710" s="50">
        <v>2640.0</v>
      </c>
      <c r="F710" s="50" t="s">
        <v>1530</v>
      </c>
      <c r="G710" s="50" t="s">
        <v>1437</v>
      </c>
    </row>
    <row r="711">
      <c r="A711" s="50">
        <v>2975.0</v>
      </c>
      <c r="B711" s="50" t="s">
        <v>2053</v>
      </c>
      <c r="G711" s="50" t="s">
        <v>1451</v>
      </c>
    </row>
    <row r="712">
      <c r="A712" s="50">
        <v>2972.0</v>
      </c>
      <c r="B712" s="50" t="s">
        <v>2054</v>
      </c>
      <c r="G712" s="50" t="s">
        <v>1451</v>
      </c>
    </row>
    <row r="713">
      <c r="A713" s="50">
        <v>2509.0</v>
      </c>
      <c r="B713" s="50" t="s">
        <v>2055</v>
      </c>
      <c r="E713" s="50">
        <v>487.0</v>
      </c>
      <c r="F713" s="50" t="s">
        <v>1443</v>
      </c>
      <c r="G713" s="50" t="s">
        <v>1437</v>
      </c>
    </row>
    <row r="714">
      <c r="A714" s="50">
        <v>3703.0</v>
      </c>
      <c r="B714" s="50" t="s">
        <v>2057</v>
      </c>
      <c r="E714" s="50">
        <v>2247.0</v>
      </c>
      <c r="F714" s="50" t="s">
        <v>1441</v>
      </c>
      <c r="G714" s="50" t="s">
        <v>1437</v>
      </c>
    </row>
    <row r="715">
      <c r="A715" s="50">
        <v>3702.0</v>
      </c>
      <c r="B715" s="50" t="s">
        <v>813</v>
      </c>
      <c r="E715" s="50">
        <v>487.0</v>
      </c>
      <c r="F715" s="50" t="s">
        <v>1443</v>
      </c>
      <c r="G715" s="50" t="s">
        <v>1437</v>
      </c>
    </row>
    <row r="716">
      <c r="A716" s="50">
        <v>1869.0</v>
      </c>
      <c r="B716" s="50" t="s">
        <v>2058</v>
      </c>
      <c r="E716" s="50">
        <v>2247.0</v>
      </c>
      <c r="F716" s="50" t="s">
        <v>1441</v>
      </c>
      <c r="G716" s="50" t="s">
        <v>1437</v>
      </c>
    </row>
    <row r="717">
      <c r="A717" s="50">
        <v>3422.0</v>
      </c>
      <c r="B717" s="50" t="s">
        <v>2060</v>
      </c>
      <c r="G717" s="50" t="s">
        <v>1451</v>
      </c>
    </row>
    <row r="718">
      <c r="A718" s="50">
        <v>126.0</v>
      </c>
      <c r="B718" s="50" t="s">
        <v>2061</v>
      </c>
      <c r="G718" s="50" t="s">
        <v>1451</v>
      </c>
    </row>
    <row r="719">
      <c r="A719" s="50">
        <v>3182.0</v>
      </c>
      <c r="B719" s="50" t="s">
        <v>2062</v>
      </c>
      <c r="G719" s="50" t="s">
        <v>1451</v>
      </c>
    </row>
    <row r="720">
      <c r="A720" s="50">
        <v>3183.0</v>
      </c>
      <c r="B720" s="50" t="s">
        <v>2063</v>
      </c>
      <c r="G720" s="50" t="s">
        <v>1451</v>
      </c>
    </row>
    <row r="721">
      <c r="A721" s="50">
        <v>125.0</v>
      </c>
      <c r="B721" s="50" t="s">
        <v>2064</v>
      </c>
      <c r="G721" s="50" t="s">
        <v>1451</v>
      </c>
    </row>
    <row r="722">
      <c r="A722" s="50">
        <v>2270.0</v>
      </c>
      <c r="B722" s="50" t="s">
        <v>2065</v>
      </c>
      <c r="G722" s="50" t="s">
        <v>1451</v>
      </c>
    </row>
    <row r="723">
      <c r="A723" s="50">
        <v>3194.0</v>
      </c>
      <c r="B723" s="50" t="s">
        <v>1031</v>
      </c>
      <c r="G723" s="50" t="s">
        <v>1451</v>
      </c>
    </row>
    <row r="724">
      <c r="A724" s="50">
        <v>2080.0</v>
      </c>
      <c r="B724" s="50" t="s">
        <v>2066</v>
      </c>
      <c r="G724" s="50" t="s">
        <v>1451</v>
      </c>
    </row>
    <row r="725">
      <c r="A725" s="50">
        <v>3145.0</v>
      </c>
      <c r="B725" s="50" t="s">
        <v>1033</v>
      </c>
      <c r="G725" s="50" t="s">
        <v>1451</v>
      </c>
    </row>
    <row r="726">
      <c r="A726" s="50">
        <v>2311.0</v>
      </c>
      <c r="B726" s="50" t="s">
        <v>2068</v>
      </c>
      <c r="G726" s="50" t="s">
        <v>1451</v>
      </c>
    </row>
    <row r="727">
      <c r="A727" s="50">
        <v>923.0</v>
      </c>
      <c r="B727" s="50" t="s">
        <v>2069</v>
      </c>
      <c r="G727" s="50" t="s">
        <v>1451</v>
      </c>
    </row>
    <row r="728">
      <c r="A728" s="50">
        <v>3021.0</v>
      </c>
      <c r="B728" s="50" t="s">
        <v>1027</v>
      </c>
      <c r="G728" s="50" t="s">
        <v>1451</v>
      </c>
    </row>
    <row r="729">
      <c r="A729" s="50">
        <v>3847.0</v>
      </c>
      <c r="B729" s="50" t="s">
        <v>1037</v>
      </c>
      <c r="G729" s="50" t="s">
        <v>1451</v>
      </c>
    </row>
    <row r="730">
      <c r="A730" s="50">
        <v>2674.0</v>
      </c>
      <c r="B730" s="50" t="s">
        <v>2070</v>
      </c>
      <c r="G730" s="50" t="s">
        <v>1451</v>
      </c>
    </row>
    <row r="731">
      <c r="A731" s="50">
        <v>1208.0</v>
      </c>
      <c r="B731" s="50" t="s">
        <v>2071</v>
      </c>
      <c r="G731" s="50" t="s">
        <v>1451</v>
      </c>
    </row>
    <row r="732">
      <c r="A732" s="50">
        <v>1207.0</v>
      </c>
      <c r="B732" s="50" t="s">
        <v>2072</v>
      </c>
      <c r="G732" s="50" t="s">
        <v>1451</v>
      </c>
    </row>
    <row r="733">
      <c r="A733" s="50">
        <v>1209.0</v>
      </c>
      <c r="B733" s="50" t="s">
        <v>2073</v>
      </c>
      <c r="G733" s="50" t="s">
        <v>1451</v>
      </c>
    </row>
    <row r="734">
      <c r="A734" s="50">
        <v>945.0</v>
      </c>
      <c r="B734" s="50" t="s">
        <v>2074</v>
      </c>
      <c r="E734" s="50">
        <v>2278.0</v>
      </c>
      <c r="F734" s="50" t="s">
        <v>1439</v>
      </c>
      <c r="G734" s="50" t="s">
        <v>1437</v>
      </c>
    </row>
    <row r="735">
      <c r="A735" s="50">
        <v>946.0</v>
      </c>
      <c r="B735" s="50" t="s">
        <v>2075</v>
      </c>
      <c r="G735" s="50" t="s">
        <v>1451</v>
      </c>
    </row>
    <row r="736">
      <c r="A736" s="50">
        <v>3608.0</v>
      </c>
      <c r="B736" s="50" t="s">
        <v>2076</v>
      </c>
      <c r="C736" s="50">
        <v>3926.0</v>
      </c>
      <c r="D736" s="50" t="s">
        <v>2077</v>
      </c>
      <c r="E736" s="50">
        <v>2247.0</v>
      </c>
      <c r="F736" s="50" t="s">
        <v>1441</v>
      </c>
      <c r="G736" s="50" t="s">
        <v>1452</v>
      </c>
    </row>
    <row r="737">
      <c r="A737" s="50">
        <v>3783.0</v>
      </c>
      <c r="B737" s="50" t="s">
        <v>628</v>
      </c>
      <c r="C737" s="50">
        <v>3926.0</v>
      </c>
      <c r="D737" s="50" t="s">
        <v>2077</v>
      </c>
      <c r="E737" s="50">
        <v>2278.0</v>
      </c>
      <c r="F737" s="50" t="s">
        <v>1439</v>
      </c>
      <c r="G737" s="50" t="s">
        <v>1452</v>
      </c>
    </row>
    <row r="738">
      <c r="A738" s="50">
        <v>3608.0</v>
      </c>
      <c r="B738" s="50" t="s">
        <v>630</v>
      </c>
      <c r="C738" s="50">
        <v>3926.0</v>
      </c>
      <c r="D738" s="50" t="s">
        <v>2077</v>
      </c>
      <c r="E738" s="50">
        <v>2247.0</v>
      </c>
      <c r="F738" s="50" t="s">
        <v>1441</v>
      </c>
      <c r="G738" s="50" t="s">
        <v>1452</v>
      </c>
    </row>
    <row r="739">
      <c r="A739" s="50">
        <v>18.0</v>
      </c>
      <c r="B739" s="50" t="s">
        <v>530</v>
      </c>
      <c r="G739" s="50" t="s">
        <v>1451</v>
      </c>
    </row>
    <row r="740">
      <c r="A740" s="50">
        <v>1168.0</v>
      </c>
      <c r="B740" s="50" t="s">
        <v>456</v>
      </c>
      <c r="G740" s="50" t="s">
        <v>1451</v>
      </c>
    </row>
    <row r="741">
      <c r="A741" s="50">
        <v>2817.0</v>
      </c>
      <c r="B741" s="50" t="s">
        <v>2078</v>
      </c>
      <c r="E741" s="50">
        <v>2640.0</v>
      </c>
      <c r="F741" s="50" t="s">
        <v>1530</v>
      </c>
      <c r="G741" s="50" t="s">
        <v>1437</v>
      </c>
    </row>
    <row r="742">
      <c r="A742" s="50">
        <v>2467.0</v>
      </c>
      <c r="B742" s="50" t="s">
        <v>636</v>
      </c>
      <c r="E742" s="50">
        <v>2640.0</v>
      </c>
      <c r="F742" s="50" t="s">
        <v>1530</v>
      </c>
      <c r="G742" s="50" t="s">
        <v>1437</v>
      </c>
    </row>
    <row r="743">
      <c r="A743" s="50">
        <v>2640.0</v>
      </c>
      <c r="B743" s="50" t="s">
        <v>2080</v>
      </c>
      <c r="E743" s="50">
        <v>2640.0</v>
      </c>
      <c r="F743" s="50" t="s">
        <v>1530</v>
      </c>
      <c r="G743" s="50" t="s">
        <v>1437</v>
      </c>
    </row>
    <row r="744">
      <c r="A744" s="50">
        <v>2652.0</v>
      </c>
      <c r="B744" s="50" t="s">
        <v>2081</v>
      </c>
      <c r="E744" s="50">
        <v>2640.0</v>
      </c>
      <c r="F744" s="50" t="s">
        <v>1530</v>
      </c>
      <c r="G744" s="50" t="s">
        <v>1437</v>
      </c>
    </row>
    <row r="745">
      <c r="A745" s="50">
        <v>2735.0</v>
      </c>
      <c r="B745" s="50" t="s">
        <v>2082</v>
      </c>
      <c r="E745" s="50">
        <v>2640.0</v>
      </c>
      <c r="F745" s="50" t="s">
        <v>1530</v>
      </c>
      <c r="G745" s="50" t="s">
        <v>1437</v>
      </c>
    </row>
    <row r="746">
      <c r="A746" s="50">
        <v>2942.0</v>
      </c>
      <c r="B746" s="50" t="s">
        <v>2083</v>
      </c>
      <c r="E746" s="50">
        <v>2640.0</v>
      </c>
      <c r="F746" s="50" t="s">
        <v>1530</v>
      </c>
      <c r="G746" s="50" t="s">
        <v>1437</v>
      </c>
    </row>
    <row r="747">
      <c r="A747" s="50">
        <v>3060.0</v>
      </c>
      <c r="B747" s="50" t="s">
        <v>2084</v>
      </c>
      <c r="E747" s="50">
        <v>3136.0</v>
      </c>
      <c r="F747" s="50" t="s">
        <v>1610</v>
      </c>
      <c r="G747" s="50" t="s">
        <v>1437</v>
      </c>
    </row>
    <row r="748">
      <c r="A748" s="50">
        <v>3136.0</v>
      </c>
      <c r="B748" s="50" t="s">
        <v>2085</v>
      </c>
      <c r="E748" s="50">
        <v>3136.0</v>
      </c>
      <c r="F748" s="50" t="s">
        <v>1610</v>
      </c>
      <c r="G748" s="50" t="s">
        <v>1437</v>
      </c>
    </row>
    <row r="749">
      <c r="A749" s="50">
        <v>3461.0</v>
      </c>
      <c r="B749" s="50" t="s">
        <v>2086</v>
      </c>
      <c r="G749" s="50" t="s">
        <v>1451</v>
      </c>
    </row>
    <row r="750">
      <c r="A750" s="50">
        <v>3460.0</v>
      </c>
      <c r="B750" s="50" t="s">
        <v>2087</v>
      </c>
      <c r="G750" s="50" t="s">
        <v>1451</v>
      </c>
    </row>
    <row r="751">
      <c r="A751" s="50">
        <v>3179.0</v>
      </c>
      <c r="B751" s="50" t="s">
        <v>1174</v>
      </c>
      <c r="G751" s="50" t="s">
        <v>1451</v>
      </c>
    </row>
    <row r="752">
      <c r="A752" s="50">
        <v>1023.0</v>
      </c>
      <c r="B752" s="50" t="s">
        <v>2089</v>
      </c>
      <c r="G752" s="50" t="s">
        <v>1451</v>
      </c>
    </row>
    <row r="753">
      <c r="A753" s="50">
        <v>1031.0</v>
      </c>
      <c r="B753" s="50" t="s">
        <v>2090</v>
      </c>
      <c r="E753" s="50">
        <v>2278.0</v>
      </c>
      <c r="F753" s="50" t="s">
        <v>1439</v>
      </c>
      <c r="G753" s="50" t="s">
        <v>1437</v>
      </c>
    </row>
    <row r="754">
      <c r="A754" s="50">
        <v>2623.0</v>
      </c>
      <c r="B754" s="50" t="s">
        <v>2091</v>
      </c>
      <c r="G754" s="50" t="s">
        <v>1451</v>
      </c>
    </row>
    <row r="755">
      <c r="A755" s="50">
        <v>385.0</v>
      </c>
      <c r="B755" s="50" t="s">
        <v>86</v>
      </c>
      <c r="G755" s="50" t="s">
        <v>1451</v>
      </c>
    </row>
    <row r="756">
      <c r="A756" s="50">
        <v>2252.0</v>
      </c>
      <c r="B756" s="50" t="s">
        <v>2092</v>
      </c>
      <c r="G756" s="50" t="s">
        <v>1451</v>
      </c>
    </row>
    <row r="757">
      <c r="A757" s="50">
        <v>2371.0</v>
      </c>
      <c r="B757" s="50" t="s">
        <v>2093</v>
      </c>
      <c r="G757" s="50" t="s">
        <v>1451</v>
      </c>
    </row>
    <row r="758">
      <c r="A758" s="50">
        <v>3334.0</v>
      </c>
      <c r="B758" s="50" t="s">
        <v>2094</v>
      </c>
      <c r="G758" s="50" t="s">
        <v>1451</v>
      </c>
    </row>
    <row r="759">
      <c r="A759" s="50">
        <v>1076.0</v>
      </c>
      <c r="B759" s="50" t="s">
        <v>729</v>
      </c>
      <c r="G759" s="50" t="s">
        <v>1451</v>
      </c>
    </row>
    <row r="760">
      <c r="A760" s="50">
        <v>1550.0</v>
      </c>
      <c r="B760" s="50" t="s">
        <v>2095</v>
      </c>
      <c r="G760" s="50" t="s">
        <v>1451</v>
      </c>
    </row>
    <row r="761">
      <c r="A761" s="50">
        <v>3420.0</v>
      </c>
      <c r="B761" s="50" t="s">
        <v>2096</v>
      </c>
      <c r="E761" s="50">
        <v>2640.0</v>
      </c>
      <c r="F761" s="50" t="s">
        <v>1530</v>
      </c>
      <c r="G761" s="50" t="s">
        <v>1437</v>
      </c>
    </row>
    <row r="762">
      <c r="A762" s="50">
        <v>3781.0</v>
      </c>
      <c r="B762" s="50" t="s">
        <v>2097</v>
      </c>
      <c r="G762" s="50" t="s">
        <v>1451</v>
      </c>
    </row>
    <row r="763">
      <c r="A763" s="50">
        <v>3779.0</v>
      </c>
      <c r="B763" s="50" t="s">
        <v>1233</v>
      </c>
      <c r="G763" s="50" t="s">
        <v>1451</v>
      </c>
    </row>
    <row r="764">
      <c r="A764" s="50">
        <v>2943.0</v>
      </c>
      <c r="B764" s="50" t="s">
        <v>278</v>
      </c>
      <c r="G764" s="50" t="s">
        <v>1451</v>
      </c>
    </row>
    <row r="765">
      <c r="A765" s="50">
        <v>2587.0</v>
      </c>
      <c r="B765" s="50" t="s">
        <v>2098</v>
      </c>
      <c r="G765" s="50" t="s">
        <v>1451</v>
      </c>
    </row>
    <row r="766">
      <c r="A766" s="50">
        <v>3722.0</v>
      </c>
      <c r="B766" s="50" t="s">
        <v>304</v>
      </c>
      <c r="G766" s="50" t="s">
        <v>1451</v>
      </c>
    </row>
    <row r="767">
      <c r="A767" s="50">
        <v>3003.0</v>
      </c>
      <c r="B767" s="50" t="s">
        <v>2099</v>
      </c>
      <c r="G767" s="50" t="s">
        <v>1451</v>
      </c>
    </row>
    <row r="768">
      <c r="A768" s="50">
        <v>3857.0</v>
      </c>
      <c r="B768" s="50" t="s">
        <v>738</v>
      </c>
      <c r="G768" s="50" t="s">
        <v>1451</v>
      </c>
    </row>
    <row r="769">
      <c r="A769" s="50">
        <v>3723.0</v>
      </c>
      <c r="B769" s="50" t="s">
        <v>331</v>
      </c>
      <c r="G769" s="50" t="s">
        <v>1451</v>
      </c>
    </row>
    <row r="770">
      <c r="A770" s="50">
        <v>2950.0</v>
      </c>
      <c r="B770" s="50" t="s">
        <v>2100</v>
      </c>
      <c r="G770" s="50" t="s">
        <v>1451</v>
      </c>
    </row>
    <row r="771">
      <c r="A771" s="50">
        <v>2757.0</v>
      </c>
      <c r="B771" s="50" t="s">
        <v>2101</v>
      </c>
      <c r="E771" s="50">
        <v>2640.0</v>
      </c>
      <c r="F771" s="50" t="s">
        <v>1530</v>
      </c>
      <c r="G771" s="50" t="s">
        <v>1437</v>
      </c>
    </row>
    <row r="772">
      <c r="A772" s="50">
        <v>2591.0</v>
      </c>
      <c r="B772" s="50" t="s">
        <v>2102</v>
      </c>
      <c r="G772" s="50" t="s">
        <v>1451</v>
      </c>
    </row>
    <row r="773">
      <c r="A773" s="50">
        <v>3630.0</v>
      </c>
      <c r="B773" s="50" t="s">
        <v>525</v>
      </c>
      <c r="G773" s="50" t="s">
        <v>1451</v>
      </c>
    </row>
    <row r="774">
      <c r="A774" s="50">
        <v>986.0</v>
      </c>
      <c r="B774" s="50" t="s">
        <v>2103</v>
      </c>
      <c r="C774" s="50">
        <v>3903.0</v>
      </c>
      <c r="D774" s="50" t="s">
        <v>2104</v>
      </c>
      <c r="G774" s="50" t="s">
        <v>1433</v>
      </c>
    </row>
    <row r="775">
      <c r="A775" s="50">
        <v>3087.0</v>
      </c>
      <c r="B775" s="50" t="s">
        <v>2105</v>
      </c>
      <c r="C775" s="50">
        <v>3291.0</v>
      </c>
      <c r="D775" s="50" t="s">
        <v>2106</v>
      </c>
      <c r="G775" s="50" t="s">
        <v>1433</v>
      </c>
    </row>
    <row r="776">
      <c r="A776" s="50">
        <v>931.0</v>
      </c>
      <c r="B776" s="50" t="s">
        <v>2107</v>
      </c>
      <c r="E776" s="50">
        <v>2263.0</v>
      </c>
      <c r="F776" s="50" t="s">
        <v>1436</v>
      </c>
      <c r="G776" s="50" t="s">
        <v>1437</v>
      </c>
    </row>
    <row r="777">
      <c r="A777" s="50">
        <v>506.0</v>
      </c>
      <c r="B777" s="50" t="s">
        <v>2108</v>
      </c>
      <c r="E777" s="50">
        <v>2278.0</v>
      </c>
      <c r="F777" s="50" t="s">
        <v>1439</v>
      </c>
      <c r="G777" s="50" t="s">
        <v>1437</v>
      </c>
    </row>
    <row r="778">
      <c r="A778" s="50">
        <v>576.0</v>
      </c>
      <c r="B778" s="50" t="s">
        <v>2109</v>
      </c>
      <c r="E778" s="50">
        <v>2247.0</v>
      </c>
      <c r="F778" s="50" t="s">
        <v>1441</v>
      </c>
      <c r="G778" s="50" t="s">
        <v>1437</v>
      </c>
    </row>
    <row r="779">
      <c r="A779" s="50">
        <v>481.0</v>
      </c>
      <c r="B779" s="50" t="s">
        <v>626</v>
      </c>
      <c r="C779" s="50">
        <v>3291.0</v>
      </c>
      <c r="D779" s="50" t="s">
        <v>2106</v>
      </c>
      <c r="E779" s="50">
        <v>2247.0</v>
      </c>
      <c r="F779" s="50" t="s">
        <v>1441</v>
      </c>
      <c r="G779" s="50" t="s">
        <v>1452</v>
      </c>
    </row>
    <row r="780">
      <c r="A780" s="50">
        <v>236.0</v>
      </c>
      <c r="B780" s="50" t="s">
        <v>2110</v>
      </c>
      <c r="C780" s="50">
        <v>3291.0</v>
      </c>
      <c r="D780" s="50" t="s">
        <v>2106</v>
      </c>
      <c r="E780" s="50">
        <v>2278.0</v>
      </c>
      <c r="F780" s="50" t="s">
        <v>1439</v>
      </c>
      <c r="G780" s="50" t="s">
        <v>1452</v>
      </c>
    </row>
    <row r="781">
      <c r="A781" s="50">
        <v>930.0</v>
      </c>
      <c r="B781" s="50" t="s">
        <v>752</v>
      </c>
      <c r="C781" s="50">
        <v>3291.0</v>
      </c>
      <c r="D781" s="50" t="s">
        <v>2106</v>
      </c>
      <c r="E781" s="50">
        <v>2264.0</v>
      </c>
      <c r="F781" s="50" t="s">
        <v>1447</v>
      </c>
      <c r="G781" s="50" t="s">
        <v>1452</v>
      </c>
    </row>
    <row r="782">
      <c r="A782" s="50">
        <v>2964.0</v>
      </c>
      <c r="B782" s="50" t="s">
        <v>2111</v>
      </c>
      <c r="C782" s="50">
        <v>3291.0</v>
      </c>
      <c r="D782" s="50" t="s">
        <v>2106</v>
      </c>
      <c r="E782" s="50">
        <v>487.0</v>
      </c>
      <c r="F782" s="50" t="s">
        <v>1443</v>
      </c>
      <c r="G782" s="50" t="s">
        <v>1452</v>
      </c>
    </row>
    <row r="783">
      <c r="A783" s="50">
        <v>437.0</v>
      </c>
      <c r="B783" s="50" t="s">
        <v>2112</v>
      </c>
      <c r="C783" s="50">
        <v>3291.0</v>
      </c>
      <c r="D783" s="50" t="s">
        <v>2106</v>
      </c>
      <c r="G783" s="50" t="s">
        <v>1433</v>
      </c>
    </row>
    <row r="784">
      <c r="A784" s="50">
        <v>3291.0</v>
      </c>
      <c r="B784" s="50" t="s">
        <v>2113</v>
      </c>
      <c r="C784" s="50">
        <v>3291.0</v>
      </c>
      <c r="D784" s="50" t="s">
        <v>2106</v>
      </c>
      <c r="G784" s="50" t="s">
        <v>1433</v>
      </c>
    </row>
    <row r="785">
      <c r="A785" s="50">
        <v>3785.0</v>
      </c>
      <c r="B785" s="50" t="s">
        <v>2114</v>
      </c>
      <c r="C785" s="50">
        <v>3903.0</v>
      </c>
      <c r="D785" s="50" t="s">
        <v>2104</v>
      </c>
      <c r="E785" s="50">
        <v>2247.0</v>
      </c>
      <c r="F785" s="50" t="s">
        <v>1441</v>
      </c>
      <c r="G785" s="50" t="s">
        <v>1452</v>
      </c>
    </row>
    <row r="786">
      <c r="A786" s="50">
        <v>3786.0</v>
      </c>
      <c r="B786" s="50" t="s">
        <v>2116</v>
      </c>
      <c r="C786" s="50">
        <v>3903.0</v>
      </c>
      <c r="D786" s="50" t="s">
        <v>2104</v>
      </c>
      <c r="E786" s="50">
        <v>2278.0</v>
      </c>
      <c r="F786" s="50" t="s">
        <v>1439</v>
      </c>
      <c r="G786" s="50" t="s">
        <v>1452</v>
      </c>
    </row>
    <row r="787">
      <c r="A787" s="50">
        <v>477.0</v>
      </c>
      <c r="B787" s="50" t="s">
        <v>2117</v>
      </c>
      <c r="C787" s="50">
        <v>3291.0</v>
      </c>
      <c r="D787" s="50" t="s">
        <v>2106</v>
      </c>
      <c r="G787" s="50" t="s">
        <v>1433</v>
      </c>
    </row>
    <row r="788">
      <c r="A788" s="50">
        <v>860.0</v>
      </c>
      <c r="B788" s="50" t="s">
        <v>2118</v>
      </c>
      <c r="C788" s="50">
        <v>3291.0</v>
      </c>
      <c r="D788" s="50" t="s">
        <v>2106</v>
      </c>
      <c r="E788" s="50">
        <v>2247.0</v>
      </c>
      <c r="F788" s="50" t="s">
        <v>1441</v>
      </c>
      <c r="G788" s="50" t="s">
        <v>1452</v>
      </c>
    </row>
    <row r="789">
      <c r="A789" s="50">
        <v>3386.0</v>
      </c>
      <c r="B789" s="50" t="s">
        <v>2119</v>
      </c>
      <c r="C789" s="50">
        <v>3291.0</v>
      </c>
      <c r="D789" s="50" t="s">
        <v>2106</v>
      </c>
      <c r="E789" s="50">
        <v>3136.0</v>
      </c>
      <c r="F789" s="50" t="s">
        <v>1610</v>
      </c>
      <c r="G789" s="50" t="s">
        <v>1452</v>
      </c>
    </row>
    <row r="790">
      <c r="A790" s="50">
        <v>3497.0</v>
      </c>
      <c r="B790" s="50" t="s">
        <v>2120</v>
      </c>
      <c r="C790" s="50">
        <v>3291.0</v>
      </c>
      <c r="D790" s="50" t="s">
        <v>2106</v>
      </c>
      <c r="E790" s="50">
        <v>2248.0</v>
      </c>
      <c r="F790" s="50" t="s">
        <v>1461</v>
      </c>
      <c r="G790" s="50" t="s">
        <v>1452</v>
      </c>
    </row>
    <row r="791">
      <c r="A791" s="50">
        <v>3696.0</v>
      </c>
      <c r="B791" s="50" t="s">
        <v>2121</v>
      </c>
      <c r="C791" s="50">
        <v>3903.0</v>
      </c>
      <c r="D791" s="50" t="s">
        <v>2104</v>
      </c>
      <c r="E791" s="50">
        <v>2247.0</v>
      </c>
      <c r="F791" s="50" t="s">
        <v>1441</v>
      </c>
      <c r="G791" s="50" t="s">
        <v>1452</v>
      </c>
    </row>
    <row r="792">
      <c r="A792" s="50">
        <v>3641.0</v>
      </c>
      <c r="B792" s="50" t="s">
        <v>982</v>
      </c>
      <c r="G792" s="50" t="s">
        <v>1451</v>
      </c>
    </row>
    <row r="793">
      <c r="A793" s="50">
        <v>428.0</v>
      </c>
      <c r="B793" s="50" t="s">
        <v>2122</v>
      </c>
      <c r="G793" s="50" t="s">
        <v>1451</v>
      </c>
    </row>
    <row r="794">
      <c r="A794" s="50">
        <v>1564.0</v>
      </c>
      <c r="B794" s="50" t="s">
        <v>2123</v>
      </c>
      <c r="G794" s="50" t="s">
        <v>1451</v>
      </c>
    </row>
    <row r="795">
      <c r="A795" s="50">
        <v>3675.0</v>
      </c>
      <c r="B795" s="50" t="s">
        <v>2124</v>
      </c>
      <c r="G795" s="50" t="s">
        <v>1451</v>
      </c>
    </row>
    <row r="796">
      <c r="A796" s="50">
        <v>3017.0</v>
      </c>
      <c r="B796" s="50" t="s">
        <v>2125</v>
      </c>
      <c r="G796" s="50" t="s">
        <v>1451</v>
      </c>
    </row>
    <row r="797">
      <c r="A797" s="50">
        <v>3252.0</v>
      </c>
      <c r="B797" s="50" t="s">
        <v>2126</v>
      </c>
      <c r="G797" s="50" t="s">
        <v>1451</v>
      </c>
    </row>
    <row r="798">
      <c r="A798" s="50">
        <v>3768.0</v>
      </c>
      <c r="B798" s="50" t="s">
        <v>462</v>
      </c>
      <c r="C798" s="50">
        <v>2938.0</v>
      </c>
      <c r="D798" s="50" t="s">
        <v>2127</v>
      </c>
      <c r="E798" s="50">
        <v>2263.0</v>
      </c>
      <c r="F798" s="50" t="s">
        <v>1436</v>
      </c>
      <c r="G798" s="50" t="s">
        <v>1452</v>
      </c>
    </row>
    <row r="799">
      <c r="A799" s="50">
        <v>3770.0</v>
      </c>
      <c r="B799" s="50" t="s">
        <v>467</v>
      </c>
      <c r="C799" s="50">
        <v>2938.0</v>
      </c>
      <c r="D799" s="50" t="s">
        <v>2127</v>
      </c>
      <c r="E799" s="50">
        <v>2247.0</v>
      </c>
      <c r="F799" s="50" t="s">
        <v>1441</v>
      </c>
      <c r="G799" s="50" t="s">
        <v>1452</v>
      </c>
    </row>
    <row r="800">
      <c r="A800" s="50">
        <v>3769.0</v>
      </c>
      <c r="B800" s="50" t="s">
        <v>470</v>
      </c>
      <c r="C800" s="50">
        <v>2938.0</v>
      </c>
      <c r="D800" s="50" t="s">
        <v>2127</v>
      </c>
      <c r="E800" s="50">
        <v>2278.0</v>
      </c>
      <c r="F800" s="50" t="s">
        <v>1439</v>
      </c>
      <c r="G800" s="50" t="s">
        <v>1452</v>
      </c>
    </row>
    <row r="801">
      <c r="A801" s="50">
        <v>1866.0</v>
      </c>
      <c r="B801" s="50" t="s">
        <v>2128</v>
      </c>
      <c r="C801" s="50">
        <v>2938.0</v>
      </c>
      <c r="D801" s="50" t="s">
        <v>2127</v>
      </c>
      <c r="E801" s="50">
        <v>2263.0</v>
      </c>
      <c r="F801" s="50" t="s">
        <v>1436</v>
      </c>
      <c r="G801" s="50" t="s">
        <v>1452</v>
      </c>
    </row>
    <row r="802">
      <c r="A802" s="50">
        <v>2348.0</v>
      </c>
      <c r="B802" s="50" t="s">
        <v>2129</v>
      </c>
      <c r="G802" s="50" t="s">
        <v>1451</v>
      </c>
    </row>
    <row r="803">
      <c r="A803" s="50">
        <v>2931.0</v>
      </c>
      <c r="B803" s="50" t="s">
        <v>508</v>
      </c>
      <c r="G803" s="50" t="s">
        <v>1451</v>
      </c>
    </row>
    <row r="804">
      <c r="A804" s="50">
        <v>3202.0</v>
      </c>
      <c r="B804" s="50" t="s">
        <v>2130</v>
      </c>
      <c r="G804" s="50" t="s">
        <v>1451</v>
      </c>
    </row>
    <row r="805">
      <c r="A805" s="50">
        <v>3820.0</v>
      </c>
      <c r="B805" s="50" t="s">
        <v>2131</v>
      </c>
      <c r="G805" s="50" t="s">
        <v>1451</v>
      </c>
    </row>
    <row r="806">
      <c r="A806" s="50">
        <v>3844.0</v>
      </c>
      <c r="B806" s="50" t="s">
        <v>2133</v>
      </c>
      <c r="G806" s="50" t="s">
        <v>1451</v>
      </c>
    </row>
    <row r="807">
      <c r="A807" s="50">
        <v>142.0</v>
      </c>
      <c r="B807" s="50" t="s">
        <v>2135</v>
      </c>
      <c r="G807" s="50" t="s">
        <v>1451</v>
      </c>
    </row>
    <row r="808">
      <c r="A808" s="50">
        <v>2781.0</v>
      </c>
      <c r="B808" s="50" t="s">
        <v>2136</v>
      </c>
      <c r="G808" s="50" t="s">
        <v>1451</v>
      </c>
    </row>
    <row r="809">
      <c r="A809" s="50">
        <v>2257.0</v>
      </c>
      <c r="B809" s="50" t="s">
        <v>2137</v>
      </c>
      <c r="G809" s="50" t="s">
        <v>1451</v>
      </c>
    </row>
    <row r="810">
      <c r="A810" s="50">
        <v>2749.0</v>
      </c>
      <c r="B810" s="50" t="s">
        <v>2138</v>
      </c>
      <c r="G810" s="50" t="s">
        <v>1451</v>
      </c>
    </row>
    <row r="811">
      <c r="A811" s="50">
        <v>56.0</v>
      </c>
      <c r="B811" s="50" t="s">
        <v>2139</v>
      </c>
      <c r="G811" s="50" t="s">
        <v>1451</v>
      </c>
    </row>
    <row r="812">
      <c r="A812" s="50">
        <v>3129.0</v>
      </c>
      <c r="B812" s="50" t="s">
        <v>2140</v>
      </c>
      <c r="G812" s="50" t="s">
        <v>1451</v>
      </c>
    </row>
    <row r="813">
      <c r="A813" s="50">
        <v>2378.0</v>
      </c>
      <c r="B813" s="50" t="s">
        <v>2141</v>
      </c>
      <c r="G813" s="50" t="s">
        <v>1451</v>
      </c>
    </row>
    <row r="814">
      <c r="A814" s="50">
        <v>3836.0</v>
      </c>
      <c r="B814" s="50" t="s">
        <v>2142</v>
      </c>
      <c r="G814" s="50" t="s">
        <v>1451</v>
      </c>
    </row>
    <row r="815">
      <c r="A815" s="50">
        <v>1907.0</v>
      </c>
      <c r="B815" s="50" t="s">
        <v>2143</v>
      </c>
      <c r="G815" s="50" t="s">
        <v>1451</v>
      </c>
    </row>
    <row r="816">
      <c r="A816" s="50">
        <v>643.0</v>
      </c>
      <c r="B816" s="50" t="s">
        <v>2144</v>
      </c>
      <c r="G816" s="50" t="s">
        <v>1451</v>
      </c>
    </row>
    <row r="817">
      <c r="A817" s="50">
        <v>1192.0</v>
      </c>
      <c r="B817" s="50" t="s">
        <v>2145</v>
      </c>
      <c r="G817" s="50" t="s">
        <v>1451</v>
      </c>
    </row>
    <row r="818">
      <c r="A818" s="50">
        <v>2291.0</v>
      </c>
      <c r="B818" s="50" t="s">
        <v>2146</v>
      </c>
      <c r="G818" s="50" t="s">
        <v>1451</v>
      </c>
    </row>
    <row r="819">
      <c r="A819" s="50">
        <v>1352.0</v>
      </c>
      <c r="B819" s="50" t="s">
        <v>2147</v>
      </c>
      <c r="G819" s="50" t="s">
        <v>1451</v>
      </c>
    </row>
    <row r="820">
      <c r="A820" s="50">
        <v>1992.0</v>
      </c>
      <c r="B820" s="50" t="s">
        <v>2148</v>
      </c>
      <c r="G820" s="50" t="s">
        <v>1451</v>
      </c>
    </row>
    <row r="821">
      <c r="A821" s="50">
        <v>1897.0</v>
      </c>
      <c r="B821" s="50" t="s">
        <v>2149</v>
      </c>
      <c r="G821" s="50" t="s">
        <v>1451</v>
      </c>
    </row>
    <row r="822">
      <c r="A822" s="50">
        <v>985.0</v>
      </c>
      <c r="B822" s="50" t="s">
        <v>815</v>
      </c>
      <c r="E822" s="50">
        <v>2263.0</v>
      </c>
      <c r="F822" s="50" t="s">
        <v>1436</v>
      </c>
      <c r="G822" s="50" t="s">
        <v>1437</v>
      </c>
    </row>
    <row r="823">
      <c r="A823" s="50">
        <v>383.0</v>
      </c>
      <c r="B823" s="50" t="s">
        <v>817</v>
      </c>
      <c r="E823" s="50">
        <v>2247.0</v>
      </c>
      <c r="F823" s="50" t="s">
        <v>1441</v>
      </c>
      <c r="G823" s="50" t="s">
        <v>1437</v>
      </c>
    </row>
    <row r="824">
      <c r="A824" s="50">
        <v>987.0</v>
      </c>
      <c r="B824" s="50" t="s">
        <v>2150</v>
      </c>
      <c r="E824" s="50">
        <v>2278.0</v>
      </c>
      <c r="F824" s="50" t="s">
        <v>1439</v>
      </c>
      <c r="G824" s="50" t="s">
        <v>1437</v>
      </c>
    </row>
    <row r="825">
      <c r="A825" s="50">
        <v>657.0</v>
      </c>
      <c r="B825" s="50" t="s">
        <v>819</v>
      </c>
      <c r="E825" s="50">
        <v>2247.0</v>
      </c>
      <c r="F825" s="50" t="s">
        <v>1441</v>
      </c>
      <c r="G825" s="50" t="s">
        <v>1437</v>
      </c>
    </row>
    <row r="826">
      <c r="A826" s="50">
        <v>3200.0</v>
      </c>
      <c r="B826" s="50" t="s">
        <v>2151</v>
      </c>
      <c r="G826" s="50" t="s">
        <v>1451</v>
      </c>
    </row>
    <row r="827">
      <c r="A827" s="50">
        <v>3007.0</v>
      </c>
      <c r="B827" s="50" t="s">
        <v>2152</v>
      </c>
      <c r="G827" s="50" t="s">
        <v>1451</v>
      </c>
    </row>
    <row r="828">
      <c r="A828" s="50">
        <v>2897.0</v>
      </c>
      <c r="B828" s="50" t="s">
        <v>2153</v>
      </c>
      <c r="G828" s="50" t="s">
        <v>1451</v>
      </c>
    </row>
    <row r="829">
      <c r="A829" s="50">
        <v>3234.0</v>
      </c>
      <c r="B829" s="50" t="s">
        <v>2155</v>
      </c>
      <c r="E829" s="50">
        <v>2640.0</v>
      </c>
      <c r="F829" s="50" t="s">
        <v>1530</v>
      </c>
      <c r="G829" s="50" t="s">
        <v>1437</v>
      </c>
    </row>
    <row r="830">
      <c r="A830" s="50">
        <v>2602.0</v>
      </c>
      <c r="B830" s="50" t="s">
        <v>2156</v>
      </c>
      <c r="E830" s="50">
        <v>2640.0</v>
      </c>
      <c r="F830" s="50" t="s">
        <v>1530</v>
      </c>
      <c r="G830" s="50" t="s">
        <v>1437</v>
      </c>
    </row>
    <row r="831">
      <c r="A831" s="50">
        <v>1514.0</v>
      </c>
      <c r="B831" s="50" t="s">
        <v>2157</v>
      </c>
      <c r="C831" s="50">
        <v>2793.0</v>
      </c>
      <c r="D831" s="50" t="s">
        <v>2158</v>
      </c>
      <c r="E831" s="50">
        <v>2278.0</v>
      </c>
      <c r="F831" s="50" t="s">
        <v>1439</v>
      </c>
      <c r="G831" s="50" t="s">
        <v>1452</v>
      </c>
    </row>
    <row r="832">
      <c r="A832" s="50">
        <v>2793.0</v>
      </c>
      <c r="B832" s="50" t="s">
        <v>2159</v>
      </c>
      <c r="C832" s="50">
        <v>2793.0</v>
      </c>
      <c r="D832" s="50" t="s">
        <v>2158</v>
      </c>
      <c r="E832" s="50">
        <v>2640.0</v>
      </c>
      <c r="F832" s="50" t="s">
        <v>1530</v>
      </c>
      <c r="G832" s="50" t="s">
        <v>1452</v>
      </c>
    </row>
    <row r="833">
      <c r="A833" s="50">
        <v>2191.0</v>
      </c>
      <c r="B833" s="50" t="s">
        <v>2160</v>
      </c>
      <c r="C833" s="50">
        <v>2793.0</v>
      </c>
      <c r="D833" s="50" t="s">
        <v>2158</v>
      </c>
      <c r="E833" s="50">
        <v>2640.0</v>
      </c>
      <c r="F833" s="50" t="s">
        <v>1530</v>
      </c>
      <c r="G833" s="50" t="s">
        <v>1452</v>
      </c>
    </row>
    <row r="834">
      <c r="A834" s="50">
        <v>1267.0</v>
      </c>
      <c r="B834" s="50" t="s">
        <v>425</v>
      </c>
      <c r="C834" s="50">
        <v>2793.0</v>
      </c>
      <c r="D834" s="50" t="s">
        <v>2158</v>
      </c>
      <c r="E834" s="50">
        <v>2263.0</v>
      </c>
      <c r="F834" s="50" t="s">
        <v>1436</v>
      </c>
      <c r="G834" s="50" t="s">
        <v>1452</v>
      </c>
    </row>
    <row r="835">
      <c r="A835" s="50">
        <v>2071.0</v>
      </c>
      <c r="B835" s="50" t="s">
        <v>2161</v>
      </c>
      <c r="C835" s="50">
        <v>2793.0</v>
      </c>
      <c r="D835" s="50" t="s">
        <v>2158</v>
      </c>
      <c r="E835" s="50">
        <v>2247.0</v>
      </c>
      <c r="F835" s="50" t="s">
        <v>1441</v>
      </c>
      <c r="G835" s="50" t="s">
        <v>1452</v>
      </c>
    </row>
    <row r="836">
      <c r="A836" s="50">
        <v>2802.0</v>
      </c>
      <c r="B836" s="50" t="s">
        <v>2162</v>
      </c>
      <c r="C836" s="50">
        <v>2793.0</v>
      </c>
      <c r="D836" s="50" t="s">
        <v>2158</v>
      </c>
      <c r="E836" s="50">
        <v>2264.0</v>
      </c>
      <c r="F836" s="50" t="s">
        <v>1447</v>
      </c>
      <c r="G836" s="50" t="s">
        <v>1452</v>
      </c>
    </row>
    <row r="837">
      <c r="A837" s="50">
        <v>1415.0</v>
      </c>
      <c r="B837" s="50" t="s">
        <v>2163</v>
      </c>
      <c r="C837" s="50">
        <v>2793.0</v>
      </c>
      <c r="D837" s="50" t="s">
        <v>2158</v>
      </c>
      <c r="E837" s="50">
        <v>487.0</v>
      </c>
      <c r="F837" s="50" t="s">
        <v>1443</v>
      </c>
      <c r="G837" s="50" t="s">
        <v>1452</v>
      </c>
    </row>
    <row r="838">
      <c r="A838" s="50">
        <v>1286.0</v>
      </c>
      <c r="B838" s="50" t="s">
        <v>2164</v>
      </c>
      <c r="G838" s="50" t="s">
        <v>1451</v>
      </c>
    </row>
    <row r="839">
      <c r="A839" s="50">
        <v>2657.0</v>
      </c>
      <c r="B839" s="50" t="s">
        <v>2165</v>
      </c>
      <c r="G839" s="50" t="s">
        <v>1451</v>
      </c>
    </row>
    <row r="840">
      <c r="A840" s="50">
        <v>3142.0</v>
      </c>
      <c r="B840" s="50" t="s">
        <v>2166</v>
      </c>
      <c r="G840" s="50" t="s">
        <v>1451</v>
      </c>
    </row>
    <row r="841">
      <c r="A841" s="50">
        <v>3151.0</v>
      </c>
      <c r="B841" s="50" t="s">
        <v>2167</v>
      </c>
      <c r="G841" s="50" t="s">
        <v>1451</v>
      </c>
    </row>
    <row r="842">
      <c r="A842" s="50">
        <v>2669.0</v>
      </c>
      <c r="B842" s="50" t="s">
        <v>2168</v>
      </c>
      <c r="G842" s="50" t="s">
        <v>1451</v>
      </c>
    </row>
    <row r="843">
      <c r="A843" s="50">
        <v>2607.0</v>
      </c>
      <c r="B843" s="50" t="s">
        <v>2169</v>
      </c>
      <c r="G843" s="50" t="s">
        <v>1451</v>
      </c>
    </row>
    <row r="844">
      <c r="A844" s="50">
        <v>592.0</v>
      </c>
      <c r="B844" s="50" t="s">
        <v>2171</v>
      </c>
      <c r="G844" s="50" t="s">
        <v>1451</v>
      </c>
    </row>
    <row r="845">
      <c r="A845" s="50">
        <v>2166.0</v>
      </c>
      <c r="B845" s="50" t="s">
        <v>2172</v>
      </c>
      <c r="G845" s="50" t="s">
        <v>1451</v>
      </c>
    </row>
    <row r="846">
      <c r="A846" s="50">
        <v>2082.0</v>
      </c>
      <c r="B846" s="50" t="s">
        <v>2173</v>
      </c>
      <c r="G846" s="50" t="s">
        <v>1451</v>
      </c>
    </row>
    <row r="847">
      <c r="A847" s="50">
        <v>2608.0</v>
      </c>
      <c r="B847" s="50" t="s">
        <v>2174</v>
      </c>
      <c r="G847" s="50" t="s">
        <v>1451</v>
      </c>
    </row>
    <row r="848">
      <c r="A848" s="50">
        <v>2606.0</v>
      </c>
      <c r="B848" s="50" t="s">
        <v>2175</v>
      </c>
      <c r="G848" s="50" t="s">
        <v>1451</v>
      </c>
    </row>
    <row r="849">
      <c r="A849" s="50">
        <v>2605.0</v>
      </c>
      <c r="B849" s="50" t="s">
        <v>2176</v>
      </c>
      <c r="G849" s="50" t="s">
        <v>1451</v>
      </c>
    </row>
    <row r="850">
      <c r="A850" s="50">
        <v>2604.0</v>
      </c>
      <c r="B850" s="50" t="s">
        <v>2177</v>
      </c>
      <c r="G850" s="50" t="s">
        <v>1451</v>
      </c>
    </row>
    <row r="851">
      <c r="A851" s="50">
        <v>2551.0</v>
      </c>
      <c r="B851" s="50" t="s">
        <v>2178</v>
      </c>
      <c r="G851" s="50" t="s">
        <v>1451</v>
      </c>
    </row>
    <row r="852">
      <c r="A852" s="50">
        <v>1341.0</v>
      </c>
      <c r="B852" s="50" t="s">
        <v>2179</v>
      </c>
      <c r="G852" s="50" t="s">
        <v>1451</v>
      </c>
    </row>
    <row r="853">
      <c r="A853" s="50">
        <v>1383.0</v>
      </c>
      <c r="B853" s="50" t="s">
        <v>2180</v>
      </c>
      <c r="G853" s="50" t="s">
        <v>1451</v>
      </c>
    </row>
    <row r="854">
      <c r="A854" s="50">
        <v>1328.0</v>
      </c>
      <c r="B854" s="50" t="s">
        <v>2181</v>
      </c>
      <c r="E854" s="50">
        <v>2248.0</v>
      </c>
      <c r="F854" s="50" t="s">
        <v>1461</v>
      </c>
      <c r="G854" s="50" t="s">
        <v>1437</v>
      </c>
    </row>
    <row r="855">
      <c r="A855" s="50">
        <v>1310.0</v>
      </c>
      <c r="B855" s="50" t="s">
        <v>2182</v>
      </c>
      <c r="E855" s="50">
        <v>2247.0</v>
      </c>
      <c r="F855" s="50" t="s">
        <v>1441</v>
      </c>
      <c r="G855" s="50" t="s">
        <v>1437</v>
      </c>
    </row>
    <row r="856">
      <c r="A856" s="50">
        <v>1280.0</v>
      </c>
      <c r="B856" s="50" t="s">
        <v>2183</v>
      </c>
      <c r="E856" s="50">
        <v>2247.0</v>
      </c>
      <c r="F856" s="50" t="s">
        <v>1441</v>
      </c>
      <c r="G856" s="50" t="s">
        <v>1437</v>
      </c>
    </row>
    <row r="857">
      <c r="A857" s="50">
        <v>1944.0</v>
      </c>
      <c r="B857" s="50" t="s">
        <v>2184</v>
      </c>
      <c r="G857" s="50" t="s">
        <v>1451</v>
      </c>
    </row>
    <row r="858">
      <c r="A858" s="50">
        <v>1291.0</v>
      </c>
      <c r="B858" s="50" t="s">
        <v>2186</v>
      </c>
      <c r="G858" s="50" t="s">
        <v>1451</v>
      </c>
    </row>
    <row r="859">
      <c r="A859" s="50">
        <v>1272.0</v>
      </c>
      <c r="B859" s="50" t="s">
        <v>2187</v>
      </c>
      <c r="G859" s="50" t="s">
        <v>1451</v>
      </c>
    </row>
    <row r="860">
      <c r="A860" s="50">
        <v>3397.0</v>
      </c>
      <c r="B860" s="50" t="s">
        <v>2188</v>
      </c>
      <c r="G860" s="50" t="s">
        <v>1451</v>
      </c>
    </row>
    <row r="861">
      <c r="A861" s="50">
        <v>2084.0</v>
      </c>
      <c r="B861" s="50" t="s">
        <v>2189</v>
      </c>
      <c r="G861" s="50" t="s">
        <v>1451</v>
      </c>
    </row>
    <row r="862">
      <c r="A862" s="50">
        <v>3609.0</v>
      </c>
      <c r="B862" s="50" t="s">
        <v>2190</v>
      </c>
      <c r="E862" s="50">
        <v>2247.0</v>
      </c>
      <c r="F862" s="50" t="s">
        <v>1441</v>
      </c>
      <c r="G862" s="50" t="s">
        <v>1437</v>
      </c>
    </row>
    <row r="863">
      <c r="A863" s="50">
        <v>26.0</v>
      </c>
      <c r="B863" s="50" t="s">
        <v>2191</v>
      </c>
      <c r="C863" s="50">
        <v>26.0</v>
      </c>
      <c r="D863" s="50" t="s">
        <v>397</v>
      </c>
      <c r="G863" s="50" t="s">
        <v>1433</v>
      </c>
    </row>
    <row r="864">
      <c r="A864" s="50">
        <v>2310.0</v>
      </c>
      <c r="B864" s="50" t="s">
        <v>2192</v>
      </c>
      <c r="C864" s="50">
        <v>26.0</v>
      </c>
      <c r="D864" s="50" t="s">
        <v>397</v>
      </c>
      <c r="G864" s="50" t="s">
        <v>1433</v>
      </c>
    </row>
    <row r="865">
      <c r="A865" s="50">
        <v>69.0</v>
      </c>
      <c r="B865" s="50" t="s">
        <v>2193</v>
      </c>
      <c r="C865" s="50">
        <v>69.0</v>
      </c>
      <c r="D865" s="50" t="s">
        <v>661</v>
      </c>
      <c r="G865" s="50" t="s">
        <v>1433</v>
      </c>
    </row>
    <row r="866">
      <c r="A866" s="50">
        <v>2453.0</v>
      </c>
      <c r="B866" s="50" t="s">
        <v>2194</v>
      </c>
      <c r="G866" s="50" t="s">
        <v>1451</v>
      </c>
    </row>
    <row r="867">
      <c r="A867" s="50">
        <v>2361.0</v>
      </c>
      <c r="B867" s="50" t="s">
        <v>2195</v>
      </c>
      <c r="G867" s="50" t="s">
        <v>1451</v>
      </c>
    </row>
    <row r="868">
      <c r="A868" s="50">
        <v>2185.0</v>
      </c>
      <c r="B868" s="50" t="s">
        <v>2196</v>
      </c>
      <c r="G868" s="50" t="s">
        <v>1451</v>
      </c>
    </row>
    <row r="869">
      <c r="A869" s="50">
        <v>2195.0</v>
      </c>
      <c r="B869" s="50" t="s">
        <v>2197</v>
      </c>
      <c r="E869" s="50">
        <v>2263.0</v>
      </c>
      <c r="F869" s="50" t="s">
        <v>1436</v>
      </c>
      <c r="G869" s="50" t="s">
        <v>1437</v>
      </c>
    </row>
    <row r="870">
      <c r="A870" s="50">
        <v>962.0</v>
      </c>
      <c r="B870" s="50" t="s">
        <v>2198</v>
      </c>
      <c r="E870" s="50">
        <v>2247.0</v>
      </c>
      <c r="F870" s="50" t="s">
        <v>1441</v>
      </c>
      <c r="G870" s="50" t="s">
        <v>1437</v>
      </c>
    </row>
    <row r="871">
      <c r="A871" s="50">
        <v>1850.0</v>
      </c>
      <c r="B871" s="50" t="s">
        <v>2199</v>
      </c>
      <c r="E871" s="50">
        <v>2278.0</v>
      </c>
      <c r="F871" s="50" t="s">
        <v>1439</v>
      </c>
      <c r="G871" s="50" t="s">
        <v>1437</v>
      </c>
    </row>
    <row r="872">
      <c r="A872" s="50">
        <v>1867.0</v>
      </c>
      <c r="B872" s="50" t="s">
        <v>2200</v>
      </c>
      <c r="E872" s="50">
        <v>487.0</v>
      </c>
      <c r="F872" s="50" t="s">
        <v>1443</v>
      </c>
      <c r="G872" s="50" t="s">
        <v>1437</v>
      </c>
    </row>
    <row r="873">
      <c r="A873" s="50">
        <v>2030.0</v>
      </c>
      <c r="B873" s="50" t="s">
        <v>2201</v>
      </c>
      <c r="E873" s="50">
        <v>2264.0</v>
      </c>
      <c r="F873" s="50" t="s">
        <v>1447</v>
      </c>
      <c r="G873" s="50" t="s">
        <v>1437</v>
      </c>
    </row>
    <row r="874">
      <c r="A874" s="50">
        <v>1315.0</v>
      </c>
      <c r="B874" s="50" t="s">
        <v>2202</v>
      </c>
      <c r="G874" s="50" t="s">
        <v>1451</v>
      </c>
    </row>
    <row r="875">
      <c r="A875" s="50">
        <v>1903.0</v>
      </c>
      <c r="B875" s="50" t="s">
        <v>2203</v>
      </c>
      <c r="E875" s="50">
        <v>2247.0</v>
      </c>
      <c r="F875" s="50" t="s">
        <v>1441</v>
      </c>
      <c r="G875" s="50" t="s">
        <v>1437</v>
      </c>
    </row>
    <row r="876">
      <c r="A876" s="50">
        <v>958.0</v>
      </c>
      <c r="B876" s="50" t="s">
        <v>294</v>
      </c>
      <c r="E876" s="50">
        <v>487.0</v>
      </c>
      <c r="F876" s="50" t="s">
        <v>1443</v>
      </c>
      <c r="G876" s="50" t="s">
        <v>1437</v>
      </c>
    </row>
    <row r="877">
      <c r="A877" s="50">
        <v>995.0</v>
      </c>
      <c r="B877" s="50" t="s">
        <v>2204</v>
      </c>
      <c r="E877" s="50">
        <v>487.0</v>
      </c>
      <c r="F877" s="50" t="s">
        <v>1443</v>
      </c>
      <c r="G877" s="50" t="s">
        <v>1437</v>
      </c>
    </row>
    <row r="878">
      <c r="A878" s="50">
        <v>1219.0</v>
      </c>
      <c r="B878" s="50" t="s">
        <v>2205</v>
      </c>
      <c r="C878" s="50">
        <v>3936.0</v>
      </c>
      <c r="D878" s="50" t="s">
        <v>2206</v>
      </c>
      <c r="G878" s="50" t="s">
        <v>1433</v>
      </c>
    </row>
    <row r="879">
      <c r="A879" s="50">
        <v>1016.0</v>
      </c>
      <c r="B879" s="50" t="s">
        <v>2207</v>
      </c>
      <c r="C879" s="50">
        <v>3936.0</v>
      </c>
      <c r="D879" s="50" t="s">
        <v>2206</v>
      </c>
      <c r="E879" s="50">
        <v>2247.0</v>
      </c>
      <c r="F879" s="50" t="s">
        <v>1441</v>
      </c>
      <c r="G879" s="50" t="s">
        <v>1452</v>
      </c>
    </row>
    <row r="880">
      <c r="A880" s="50">
        <v>639.0</v>
      </c>
      <c r="B880" s="50" t="s">
        <v>2208</v>
      </c>
      <c r="C880" s="50">
        <v>3936.0</v>
      </c>
      <c r="D880" s="50" t="s">
        <v>2206</v>
      </c>
      <c r="E880" s="50">
        <v>2263.0</v>
      </c>
      <c r="F880" s="50" t="s">
        <v>1436</v>
      </c>
      <c r="G880" s="50" t="s">
        <v>1452</v>
      </c>
    </row>
    <row r="881">
      <c r="A881" s="50">
        <v>708.0</v>
      </c>
      <c r="B881" s="50" t="s">
        <v>2209</v>
      </c>
      <c r="C881" s="50">
        <v>3936.0</v>
      </c>
      <c r="D881" s="50" t="s">
        <v>2206</v>
      </c>
      <c r="E881" s="50">
        <v>2278.0</v>
      </c>
      <c r="F881" s="50" t="s">
        <v>1439</v>
      </c>
      <c r="G881" s="50" t="s">
        <v>1452</v>
      </c>
    </row>
    <row r="882">
      <c r="A882" s="50">
        <v>3757.0</v>
      </c>
      <c r="B882" s="50" t="s">
        <v>724</v>
      </c>
      <c r="C882" s="50">
        <v>3936.0</v>
      </c>
      <c r="D882" s="50" t="s">
        <v>2206</v>
      </c>
      <c r="E882" s="50">
        <v>2247.0</v>
      </c>
      <c r="F882" s="50" t="s">
        <v>1441</v>
      </c>
      <c r="G882" s="50" t="s">
        <v>1452</v>
      </c>
    </row>
    <row r="883">
      <c r="A883" s="50">
        <v>1015.0</v>
      </c>
      <c r="B883" s="50" t="s">
        <v>2210</v>
      </c>
      <c r="C883" s="50">
        <v>3936.0</v>
      </c>
      <c r="D883" s="50" t="s">
        <v>2206</v>
      </c>
      <c r="E883" s="50">
        <v>487.0</v>
      </c>
      <c r="F883" s="50" t="s">
        <v>1443</v>
      </c>
      <c r="G883" s="50" t="s">
        <v>1452</v>
      </c>
    </row>
    <row r="884">
      <c r="A884" s="50">
        <v>1236.0</v>
      </c>
      <c r="B884" s="50" t="s">
        <v>2211</v>
      </c>
      <c r="C884" s="50">
        <v>3936.0</v>
      </c>
      <c r="D884" s="50" t="s">
        <v>2206</v>
      </c>
      <c r="E884" s="50">
        <v>2264.0</v>
      </c>
      <c r="F884" s="50" t="s">
        <v>1447</v>
      </c>
      <c r="G884" s="50" t="s">
        <v>1452</v>
      </c>
    </row>
    <row r="885">
      <c r="A885" s="50">
        <v>3342.0</v>
      </c>
      <c r="B885" s="50" t="s">
        <v>2213</v>
      </c>
      <c r="E885" s="50">
        <v>487.0</v>
      </c>
      <c r="F885" s="50" t="s">
        <v>1443</v>
      </c>
      <c r="G885" s="50" t="s">
        <v>1437</v>
      </c>
    </row>
    <row r="886">
      <c r="A886" s="50">
        <v>2286.0</v>
      </c>
      <c r="B886" s="50" t="s">
        <v>2214</v>
      </c>
      <c r="G886" s="50" t="s">
        <v>1451</v>
      </c>
    </row>
    <row r="887">
      <c r="A887" s="50">
        <v>2078.0</v>
      </c>
      <c r="B887" s="50" t="s">
        <v>2215</v>
      </c>
      <c r="G887" s="50" t="s">
        <v>1451</v>
      </c>
    </row>
    <row r="888">
      <c r="A888" s="50">
        <v>2335.0</v>
      </c>
      <c r="B888" s="50" t="s">
        <v>2216</v>
      </c>
      <c r="G888" s="50" t="s">
        <v>1451</v>
      </c>
    </row>
    <row r="889">
      <c r="A889" s="50">
        <v>2835.0</v>
      </c>
      <c r="B889" s="50" t="s">
        <v>2217</v>
      </c>
      <c r="E889" s="50">
        <v>2248.0</v>
      </c>
      <c r="F889" s="50" t="s">
        <v>1461</v>
      </c>
      <c r="G889" s="50" t="s">
        <v>1437</v>
      </c>
    </row>
    <row r="890">
      <c r="A890" s="50">
        <v>3594.0</v>
      </c>
      <c r="B890" s="50" t="s">
        <v>714</v>
      </c>
      <c r="G890" s="50" t="s">
        <v>1451</v>
      </c>
    </row>
    <row r="891">
      <c r="A891" s="50">
        <v>3475.0</v>
      </c>
      <c r="B891" s="50" t="s">
        <v>2218</v>
      </c>
      <c r="E891" s="50">
        <v>487.0</v>
      </c>
      <c r="F891" s="50" t="s">
        <v>1443</v>
      </c>
      <c r="G891" s="50" t="s">
        <v>1437</v>
      </c>
    </row>
    <row r="892">
      <c r="A892" s="50">
        <v>3225.0</v>
      </c>
      <c r="B892" s="50" t="s">
        <v>2219</v>
      </c>
      <c r="E892" s="50">
        <v>2640.0</v>
      </c>
      <c r="F892" s="50" t="s">
        <v>1530</v>
      </c>
      <c r="G892" s="50" t="s">
        <v>1437</v>
      </c>
    </row>
    <row r="893">
      <c r="A893" s="50">
        <v>3377.0</v>
      </c>
      <c r="B893" s="50" t="s">
        <v>2220</v>
      </c>
      <c r="G893" s="50" t="s">
        <v>1451</v>
      </c>
    </row>
    <row r="894">
      <c r="A894" s="50">
        <v>3492.0</v>
      </c>
      <c r="B894" s="50" t="s">
        <v>2221</v>
      </c>
      <c r="G894" s="50" t="s">
        <v>1451</v>
      </c>
    </row>
    <row r="895">
      <c r="A895" s="50">
        <v>3070.0</v>
      </c>
      <c r="B895" s="50" t="s">
        <v>2222</v>
      </c>
      <c r="G895" s="50" t="s">
        <v>1451</v>
      </c>
    </row>
    <row r="896">
      <c r="A896" s="50">
        <v>3028.0</v>
      </c>
      <c r="B896" s="50" t="s">
        <v>2223</v>
      </c>
      <c r="G896" s="50" t="s">
        <v>1451</v>
      </c>
    </row>
    <row r="897">
      <c r="A897" s="50">
        <v>2768.0</v>
      </c>
      <c r="B897" s="50" t="s">
        <v>2224</v>
      </c>
      <c r="G897" s="50" t="s">
        <v>1451</v>
      </c>
    </row>
    <row r="898">
      <c r="A898" s="50">
        <v>3565.0</v>
      </c>
      <c r="B898" s="50" t="s">
        <v>2225</v>
      </c>
      <c r="G898" s="50" t="s">
        <v>1451</v>
      </c>
    </row>
    <row r="899">
      <c r="A899" s="50">
        <v>3002.0</v>
      </c>
      <c r="B899" s="50" t="s">
        <v>2226</v>
      </c>
      <c r="G899" s="50" t="s">
        <v>1451</v>
      </c>
    </row>
    <row r="900">
      <c r="A900" s="50">
        <v>3052.0</v>
      </c>
      <c r="B900" s="50" t="s">
        <v>2227</v>
      </c>
      <c r="E900" s="50">
        <v>3136.0</v>
      </c>
      <c r="F900" s="50" t="s">
        <v>1610</v>
      </c>
      <c r="G900" s="50" t="s">
        <v>1437</v>
      </c>
    </row>
    <row r="901">
      <c r="A901" s="50">
        <v>3693.0</v>
      </c>
      <c r="B901" s="50" t="s">
        <v>2228</v>
      </c>
      <c r="G901" s="50" t="s">
        <v>1451</v>
      </c>
    </row>
    <row r="902">
      <c r="A902" s="50">
        <v>3125.0</v>
      </c>
      <c r="B902" s="50" t="s">
        <v>2229</v>
      </c>
      <c r="G902" s="50" t="s">
        <v>1451</v>
      </c>
    </row>
    <row r="903">
      <c r="A903" s="50">
        <v>3506.0</v>
      </c>
      <c r="B903" s="50" t="s">
        <v>2230</v>
      </c>
      <c r="G903" s="50" t="s">
        <v>1451</v>
      </c>
    </row>
    <row r="904">
      <c r="A904" s="50">
        <v>3118.0</v>
      </c>
      <c r="B904" s="50" t="s">
        <v>2231</v>
      </c>
      <c r="G904" s="50" t="s">
        <v>1451</v>
      </c>
    </row>
    <row r="905">
      <c r="A905" s="50">
        <v>3302.0</v>
      </c>
      <c r="B905" s="50" t="s">
        <v>2232</v>
      </c>
      <c r="G905" s="50" t="s">
        <v>1451</v>
      </c>
    </row>
    <row r="906">
      <c r="A906" s="50">
        <v>3065.0</v>
      </c>
      <c r="B906" s="50" t="s">
        <v>2233</v>
      </c>
      <c r="G906" s="50" t="s">
        <v>1451</v>
      </c>
    </row>
    <row r="907">
      <c r="A907" s="50">
        <v>3648.0</v>
      </c>
      <c r="B907" s="50" t="s">
        <v>2234</v>
      </c>
      <c r="G907" s="50" t="s">
        <v>1451</v>
      </c>
    </row>
    <row r="908">
      <c r="A908" s="50">
        <v>3403.0</v>
      </c>
      <c r="B908" s="50" t="s">
        <v>2235</v>
      </c>
      <c r="G908" s="50" t="s">
        <v>1451</v>
      </c>
    </row>
    <row r="909">
      <c r="A909" s="50">
        <v>3154.0</v>
      </c>
      <c r="B909" s="50" t="s">
        <v>2236</v>
      </c>
      <c r="G909" s="50" t="s">
        <v>1451</v>
      </c>
    </row>
    <row r="910">
      <c r="A910" s="50">
        <v>3385.0</v>
      </c>
      <c r="B910" s="50" t="s">
        <v>2237</v>
      </c>
      <c r="E910" s="50">
        <v>2248.0</v>
      </c>
      <c r="F910" s="50" t="s">
        <v>1461</v>
      </c>
      <c r="G910" s="50" t="s">
        <v>1437</v>
      </c>
    </row>
    <row r="911">
      <c r="A911" s="50">
        <v>3169.0</v>
      </c>
      <c r="B911" s="50" t="s">
        <v>2238</v>
      </c>
      <c r="G911" s="50" t="s">
        <v>1451</v>
      </c>
    </row>
    <row r="912">
      <c r="A912" s="50">
        <v>3315.0</v>
      </c>
      <c r="B912" s="50" t="s">
        <v>2239</v>
      </c>
      <c r="G912" s="50" t="s">
        <v>1451</v>
      </c>
    </row>
    <row r="913">
      <c r="A913" s="50">
        <v>3071.0</v>
      </c>
      <c r="B913" s="50" t="s">
        <v>2240</v>
      </c>
      <c r="G913" s="50" t="s">
        <v>1451</v>
      </c>
    </row>
    <row r="914">
      <c r="A914" s="50">
        <v>3068.0</v>
      </c>
      <c r="B914" s="50" t="s">
        <v>2241</v>
      </c>
      <c r="G914" s="50" t="s">
        <v>1451</v>
      </c>
    </row>
    <row r="915">
      <c r="A915" s="50">
        <v>3153.0</v>
      </c>
      <c r="B915" s="50" t="s">
        <v>2242</v>
      </c>
      <c r="G915" s="50" t="s">
        <v>1451</v>
      </c>
    </row>
    <row r="916">
      <c r="A916" s="50">
        <v>3665.0</v>
      </c>
      <c r="B916" s="50" t="s">
        <v>2243</v>
      </c>
      <c r="G916" s="50" t="s">
        <v>1451</v>
      </c>
    </row>
    <row r="917">
      <c r="A917" s="50">
        <v>3121.0</v>
      </c>
      <c r="B917" s="50" t="s">
        <v>2244</v>
      </c>
      <c r="G917" s="50" t="s">
        <v>1451</v>
      </c>
    </row>
    <row r="918">
      <c r="A918" s="50">
        <v>3127.0</v>
      </c>
      <c r="B918" s="50" t="s">
        <v>2245</v>
      </c>
      <c r="G918" s="50" t="s">
        <v>1451</v>
      </c>
    </row>
    <row r="919">
      <c r="A919" s="50">
        <v>3378.0</v>
      </c>
      <c r="B919" s="50" t="s">
        <v>2246</v>
      </c>
      <c r="G919" s="50" t="s">
        <v>1451</v>
      </c>
    </row>
    <row r="920">
      <c r="A920" s="50">
        <v>3110.0</v>
      </c>
      <c r="B920" s="50" t="s">
        <v>2248</v>
      </c>
      <c r="G920" s="50" t="s">
        <v>1451</v>
      </c>
    </row>
    <row r="921">
      <c r="A921" s="50">
        <v>3653.0</v>
      </c>
      <c r="B921" s="50" t="s">
        <v>2249</v>
      </c>
      <c r="G921" s="50" t="s">
        <v>1451</v>
      </c>
    </row>
    <row r="922">
      <c r="A922" s="50">
        <v>3416.0</v>
      </c>
      <c r="B922" s="50" t="s">
        <v>2250</v>
      </c>
      <c r="G922" s="50" t="s">
        <v>1451</v>
      </c>
    </row>
    <row r="923">
      <c r="A923" s="50">
        <v>3133.0</v>
      </c>
      <c r="B923" s="50" t="s">
        <v>2251</v>
      </c>
      <c r="G923" s="50" t="s">
        <v>1451</v>
      </c>
    </row>
    <row r="924">
      <c r="A924" s="50">
        <v>3680.0</v>
      </c>
      <c r="B924" s="50" t="s">
        <v>2252</v>
      </c>
      <c r="G924" s="50" t="s">
        <v>1451</v>
      </c>
    </row>
    <row r="925">
      <c r="A925" s="50">
        <v>3164.0</v>
      </c>
      <c r="B925" s="50" t="s">
        <v>2254</v>
      </c>
      <c r="G925" s="50" t="s">
        <v>1451</v>
      </c>
    </row>
    <row r="926">
      <c r="A926" s="50">
        <v>3166.0</v>
      </c>
      <c r="B926" s="50" t="s">
        <v>2255</v>
      </c>
      <c r="G926" s="50" t="s">
        <v>1451</v>
      </c>
    </row>
    <row r="927">
      <c r="A927" s="50">
        <v>3259.0</v>
      </c>
      <c r="B927" s="50" t="s">
        <v>2256</v>
      </c>
      <c r="G927" s="50" t="s">
        <v>1451</v>
      </c>
    </row>
    <row r="928">
      <c r="A928" s="50">
        <v>3646.0</v>
      </c>
      <c r="B928" s="50" t="s">
        <v>2257</v>
      </c>
      <c r="G928" s="50" t="s">
        <v>1451</v>
      </c>
    </row>
    <row r="929">
      <c r="A929" s="50">
        <v>3251.0</v>
      </c>
      <c r="B929" s="50" t="s">
        <v>2258</v>
      </c>
      <c r="G929" s="50" t="s">
        <v>1451</v>
      </c>
    </row>
    <row r="930">
      <c r="A930" s="50">
        <v>14.0</v>
      </c>
      <c r="B930" s="50" t="s">
        <v>2259</v>
      </c>
      <c r="G930" s="50" t="s">
        <v>1451</v>
      </c>
    </row>
    <row r="931">
      <c r="A931" s="50">
        <v>3150.0</v>
      </c>
      <c r="B931" s="50" t="s">
        <v>2260</v>
      </c>
      <c r="G931" s="50" t="s">
        <v>1451</v>
      </c>
    </row>
    <row r="932">
      <c r="A932" s="50">
        <v>3656.0</v>
      </c>
      <c r="B932" s="50" t="s">
        <v>2261</v>
      </c>
      <c r="G932" s="50" t="s">
        <v>1451</v>
      </c>
    </row>
    <row r="933">
      <c r="A933" s="50">
        <v>3400.0</v>
      </c>
      <c r="B933" s="50" t="s">
        <v>2262</v>
      </c>
      <c r="G933" s="50" t="s">
        <v>1451</v>
      </c>
    </row>
    <row r="934">
      <c r="A934" s="50">
        <v>3091.0</v>
      </c>
      <c r="B934" s="50" t="s">
        <v>2263</v>
      </c>
      <c r="G934" s="50" t="s">
        <v>1451</v>
      </c>
    </row>
    <row r="935">
      <c r="A935" s="50">
        <v>3111.0</v>
      </c>
      <c r="B935" s="50" t="s">
        <v>2264</v>
      </c>
      <c r="G935" s="50" t="s">
        <v>1451</v>
      </c>
    </row>
    <row r="936">
      <c r="A936" s="50">
        <v>3066.0</v>
      </c>
      <c r="B936" s="50" t="s">
        <v>2265</v>
      </c>
      <c r="G936" s="50" t="s">
        <v>1451</v>
      </c>
    </row>
    <row r="937">
      <c r="A937" s="50">
        <v>3269.0</v>
      </c>
      <c r="B937" s="50" t="s">
        <v>2266</v>
      </c>
      <c r="G937" s="50" t="s">
        <v>1451</v>
      </c>
    </row>
    <row r="938">
      <c r="A938" s="50">
        <v>3174.0</v>
      </c>
      <c r="B938" s="50" t="s">
        <v>2267</v>
      </c>
      <c r="G938" s="50" t="s">
        <v>1451</v>
      </c>
    </row>
    <row r="939">
      <c r="A939" s="50">
        <v>3075.0</v>
      </c>
      <c r="B939" s="50" t="s">
        <v>2268</v>
      </c>
      <c r="G939" s="50" t="s">
        <v>1451</v>
      </c>
    </row>
    <row r="940">
      <c r="A940" s="50">
        <v>3270.0</v>
      </c>
      <c r="B940" s="50" t="s">
        <v>2269</v>
      </c>
      <c r="G940" s="50" t="s">
        <v>1451</v>
      </c>
    </row>
    <row r="941">
      <c r="A941" s="50">
        <v>3064.0</v>
      </c>
      <c r="B941" s="50" t="s">
        <v>2270</v>
      </c>
      <c r="G941" s="50" t="s">
        <v>1451</v>
      </c>
    </row>
    <row r="942">
      <c r="A942" s="50">
        <v>3669.0</v>
      </c>
      <c r="B942" s="50" t="s">
        <v>2271</v>
      </c>
      <c r="G942" s="50" t="s">
        <v>1451</v>
      </c>
    </row>
    <row r="943">
      <c r="A943" s="50">
        <v>3650.0</v>
      </c>
      <c r="B943" s="50" t="s">
        <v>2272</v>
      </c>
      <c r="G943" s="50" t="s">
        <v>1451</v>
      </c>
    </row>
    <row r="944">
      <c r="A944" s="50">
        <v>3255.0</v>
      </c>
      <c r="B944" s="50" t="s">
        <v>2273</v>
      </c>
      <c r="G944" s="50" t="s">
        <v>1451</v>
      </c>
    </row>
    <row r="945">
      <c r="A945" s="50">
        <v>3369.0</v>
      </c>
      <c r="B945" s="50" t="s">
        <v>2275</v>
      </c>
      <c r="G945" s="50" t="s">
        <v>1451</v>
      </c>
    </row>
    <row r="946">
      <c r="A946" s="50">
        <v>3667.0</v>
      </c>
      <c r="B946" s="50" t="s">
        <v>2276</v>
      </c>
      <c r="G946" s="50" t="s">
        <v>1451</v>
      </c>
    </row>
    <row r="947">
      <c r="A947" s="50">
        <v>3135.0</v>
      </c>
      <c r="B947" s="50" t="s">
        <v>2277</v>
      </c>
      <c r="G947" s="50" t="s">
        <v>1451</v>
      </c>
    </row>
    <row r="948">
      <c r="A948" s="50">
        <v>3077.0</v>
      </c>
      <c r="B948" s="50" t="s">
        <v>2278</v>
      </c>
      <c r="G948" s="50" t="s">
        <v>1451</v>
      </c>
    </row>
    <row r="949">
      <c r="A949" s="50">
        <v>3685.0</v>
      </c>
      <c r="B949" s="50" t="s">
        <v>2279</v>
      </c>
      <c r="G949" s="50" t="s">
        <v>1451</v>
      </c>
    </row>
    <row r="950">
      <c r="A950" s="50">
        <v>3332.0</v>
      </c>
      <c r="B950" s="50" t="s">
        <v>2280</v>
      </c>
      <c r="G950" s="50" t="s">
        <v>1451</v>
      </c>
    </row>
    <row r="951">
      <c r="A951" s="50">
        <v>3176.0</v>
      </c>
      <c r="B951" s="50" t="s">
        <v>2281</v>
      </c>
      <c r="G951" s="50" t="s">
        <v>1451</v>
      </c>
    </row>
    <row r="952">
      <c r="A952" s="50">
        <v>3432.0</v>
      </c>
      <c r="B952" s="50" t="s">
        <v>2282</v>
      </c>
      <c r="G952" s="50" t="s">
        <v>1451</v>
      </c>
    </row>
    <row r="953">
      <c r="A953" s="50">
        <v>3079.0</v>
      </c>
      <c r="B953" s="50" t="s">
        <v>2283</v>
      </c>
      <c r="G953" s="50" t="s">
        <v>1451</v>
      </c>
    </row>
    <row r="954">
      <c r="A954" s="50">
        <v>3148.0</v>
      </c>
      <c r="B954" s="50" t="s">
        <v>2284</v>
      </c>
      <c r="G954" s="50" t="s">
        <v>1451</v>
      </c>
    </row>
    <row r="955">
      <c r="A955" s="50">
        <v>3214.0</v>
      </c>
      <c r="B955" s="50" t="s">
        <v>2285</v>
      </c>
      <c r="G955" s="50" t="s">
        <v>1451</v>
      </c>
    </row>
    <row r="956">
      <c r="A956" s="50">
        <v>3081.0</v>
      </c>
      <c r="B956" s="50" t="s">
        <v>2286</v>
      </c>
      <c r="G956" s="50" t="s">
        <v>1451</v>
      </c>
    </row>
    <row r="957">
      <c r="A957" s="50">
        <v>3063.0</v>
      </c>
      <c r="B957" s="50" t="s">
        <v>2287</v>
      </c>
      <c r="G957" s="50" t="s">
        <v>1451</v>
      </c>
    </row>
    <row r="958">
      <c r="A958" s="50">
        <v>3682.0</v>
      </c>
      <c r="B958" s="50" t="s">
        <v>2288</v>
      </c>
      <c r="G958" s="50" t="s">
        <v>1451</v>
      </c>
    </row>
    <row r="959">
      <c r="A959" s="50">
        <v>3688.0</v>
      </c>
      <c r="B959" s="50" t="s">
        <v>2289</v>
      </c>
      <c r="G959" s="50" t="s">
        <v>1451</v>
      </c>
    </row>
    <row r="960">
      <c r="A960" s="50">
        <v>3576.0</v>
      </c>
      <c r="B960" s="50" t="s">
        <v>2290</v>
      </c>
      <c r="G960" s="50" t="s">
        <v>1451</v>
      </c>
    </row>
    <row r="961">
      <c r="A961" s="50">
        <v>3305.0</v>
      </c>
      <c r="B961" s="50" t="s">
        <v>2291</v>
      </c>
      <c r="G961" s="50" t="s">
        <v>1451</v>
      </c>
    </row>
    <row r="962">
      <c r="A962" s="50">
        <v>3471.0</v>
      </c>
      <c r="B962" s="50" t="s">
        <v>2292</v>
      </c>
      <c r="G962" s="50" t="s">
        <v>1451</v>
      </c>
    </row>
    <row r="963">
      <c r="A963" s="50">
        <v>3005.0</v>
      </c>
      <c r="B963" s="50" t="s">
        <v>2293</v>
      </c>
      <c r="G963" s="50" t="s">
        <v>1451</v>
      </c>
    </row>
    <row r="964">
      <c r="A964" s="50">
        <v>2925.0</v>
      </c>
      <c r="B964" s="50" t="s">
        <v>2294</v>
      </c>
      <c r="E964" s="50">
        <v>487.0</v>
      </c>
      <c r="F964" s="50" t="s">
        <v>1443</v>
      </c>
      <c r="G964" s="50" t="s">
        <v>1437</v>
      </c>
    </row>
    <row r="965">
      <c r="A965" s="50">
        <v>3321.0</v>
      </c>
      <c r="B965" s="50" t="s">
        <v>2295</v>
      </c>
      <c r="G965" s="50" t="s">
        <v>1451</v>
      </c>
    </row>
    <row r="966">
      <c r="A966" s="50">
        <v>2241.0</v>
      </c>
      <c r="B966" s="50" t="s">
        <v>2296</v>
      </c>
      <c r="G966" s="50" t="s">
        <v>1451</v>
      </c>
    </row>
    <row r="967">
      <c r="A967" s="50">
        <v>3090.0</v>
      </c>
      <c r="B967" s="50" t="s">
        <v>2298</v>
      </c>
      <c r="G967" s="50" t="s">
        <v>1451</v>
      </c>
    </row>
    <row r="968">
      <c r="A968" s="50">
        <v>2258.0</v>
      </c>
      <c r="B968" s="50" t="s">
        <v>2299</v>
      </c>
      <c r="G968" s="50" t="s">
        <v>1451</v>
      </c>
    </row>
    <row r="969">
      <c r="A969" s="50">
        <v>2239.0</v>
      </c>
      <c r="B969" s="50" t="s">
        <v>2300</v>
      </c>
      <c r="G969" s="50" t="s">
        <v>1451</v>
      </c>
    </row>
    <row r="970">
      <c r="A970" s="50">
        <v>2989.0</v>
      </c>
      <c r="B970" s="50" t="s">
        <v>2301</v>
      </c>
      <c r="G970" s="50" t="s">
        <v>1451</v>
      </c>
    </row>
    <row r="971">
      <c r="A971" s="50">
        <v>2401.0</v>
      </c>
      <c r="B971" s="50" t="s">
        <v>2302</v>
      </c>
      <c r="G971" s="50" t="s">
        <v>1451</v>
      </c>
    </row>
    <row r="972">
      <c r="A972" s="50">
        <v>2533.0</v>
      </c>
      <c r="B972" s="50" t="s">
        <v>2303</v>
      </c>
      <c r="G972" s="50" t="s">
        <v>1451</v>
      </c>
    </row>
    <row r="973">
      <c r="A973" s="50">
        <v>2426.0</v>
      </c>
      <c r="B973" s="50" t="s">
        <v>2304</v>
      </c>
      <c r="G973" s="50" t="s">
        <v>1451</v>
      </c>
    </row>
    <row r="974">
      <c r="A974" s="50">
        <v>3083.0</v>
      </c>
      <c r="B974" s="50" t="s">
        <v>2305</v>
      </c>
      <c r="G974" s="50" t="s">
        <v>1451</v>
      </c>
    </row>
    <row r="975">
      <c r="A975" s="50">
        <v>3596.0</v>
      </c>
      <c r="B975" s="50" t="s">
        <v>2306</v>
      </c>
      <c r="G975" s="50" t="s">
        <v>1451</v>
      </c>
    </row>
    <row r="976">
      <c r="A976" s="50">
        <v>3724.0</v>
      </c>
      <c r="B976" s="50" t="s">
        <v>2307</v>
      </c>
      <c r="G976" s="50" t="s">
        <v>1451</v>
      </c>
    </row>
    <row r="977">
      <c r="A977" s="50">
        <v>3456.0</v>
      </c>
      <c r="B977" s="50" t="s">
        <v>2308</v>
      </c>
      <c r="G977" s="50" t="s">
        <v>1451</v>
      </c>
    </row>
    <row r="978">
      <c r="A978" s="50">
        <v>3725.0</v>
      </c>
      <c r="B978" s="50" t="s">
        <v>2309</v>
      </c>
      <c r="G978" s="50" t="s">
        <v>1451</v>
      </c>
    </row>
    <row r="979">
      <c r="A979" s="50">
        <v>3409.0</v>
      </c>
      <c r="B979" s="50" t="s">
        <v>2310</v>
      </c>
      <c r="G979" s="50" t="s">
        <v>1451</v>
      </c>
    </row>
    <row r="980">
      <c r="A980" s="50">
        <v>3692.0</v>
      </c>
      <c r="B980" s="50" t="s">
        <v>2311</v>
      </c>
      <c r="G980" s="50" t="s">
        <v>1451</v>
      </c>
    </row>
    <row r="981">
      <c r="A981" s="50">
        <v>3387.0</v>
      </c>
      <c r="B981" s="50" t="s">
        <v>2312</v>
      </c>
      <c r="G981" s="50" t="s">
        <v>1451</v>
      </c>
    </row>
    <row r="982">
      <c r="A982" s="50">
        <v>2974.0</v>
      </c>
      <c r="B982" s="50" t="s">
        <v>2313</v>
      </c>
      <c r="G982" s="50" t="s">
        <v>1451</v>
      </c>
    </row>
    <row r="983">
      <c r="A983" s="50">
        <v>1099.0</v>
      </c>
      <c r="B983" s="50" t="s">
        <v>2314</v>
      </c>
      <c r="G983" s="50" t="s">
        <v>1451</v>
      </c>
    </row>
    <row r="984">
      <c r="A984" s="50">
        <v>374.0</v>
      </c>
      <c r="B984" s="50" t="s">
        <v>2315</v>
      </c>
      <c r="E984" s="50">
        <v>2247.0</v>
      </c>
      <c r="F984" s="50" t="s">
        <v>1441</v>
      </c>
      <c r="G984" s="50" t="s">
        <v>1437</v>
      </c>
    </row>
    <row r="985">
      <c r="A985" s="50">
        <v>2889.0</v>
      </c>
      <c r="B985" s="50" t="s">
        <v>2316</v>
      </c>
      <c r="G985" s="50" t="s">
        <v>1451</v>
      </c>
    </row>
    <row r="986">
      <c r="A986" s="50">
        <v>3535.0</v>
      </c>
      <c r="B986" s="50" t="s">
        <v>2318</v>
      </c>
      <c r="G986" s="50" t="s">
        <v>1451</v>
      </c>
    </row>
    <row r="987">
      <c r="A987" s="50">
        <v>2598.0</v>
      </c>
      <c r="B987" s="50" t="s">
        <v>2319</v>
      </c>
      <c r="G987" s="50" t="s">
        <v>1451</v>
      </c>
    </row>
    <row r="988">
      <c r="A988" s="50">
        <v>3232.0</v>
      </c>
      <c r="B988" s="50" t="s">
        <v>2320</v>
      </c>
      <c r="G988" s="50" t="s">
        <v>1451</v>
      </c>
    </row>
    <row r="989">
      <c r="A989" s="50">
        <v>2590.0</v>
      </c>
      <c r="B989" s="50" t="s">
        <v>2321</v>
      </c>
      <c r="G989" s="50" t="s">
        <v>1451</v>
      </c>
    </row>
    <row r="990">
      <c r="A990" s="50">
        <v>1485.0</v>
      </c>
      <c r="B990" s="50" t="s">
        <v>2322</v>
      </c>
      <c r="G990" s="50" t="s">
        <v>1451</v>
      </c>
    </row>
    <row r="991">
      <c r="A991" s="50">
        <v>2764.0</v>
      </c>
      <c r="B991" s="50" t="s">
        <v>2323</v>
      </c>
      <c r="G991" s="50" t="s">
        <v>1451</v>
      </c>
    </row>
    <row r="992">
      <c r="A992" s="50">
        <v>2763.0</v>
      </c>
      <c r="B992" s="50" t="s">
        <v>2324</v>
      </c>
      <c r="G992" s="50" t="s">
        <v>1451</v>
      </c>
    </row>
    <row r="993">
      <c r="A993" s="50">
        <v>2703.0</v>
      </c>
      <c r="B993" s="50" t="s">
        <v>2325</v>
      </c>
      <c r="G993" s="50" t="s">
        <v>1451</v>
      </c>
    </row>
    <row r="994">
      <c r="A994" s="50">
        <v>2756.0</v>
      </c>
      <c r="B994" s="50" t="s">
        <v>2326</v>
      </c>
      <c r="G994" s="50" t="s">
        <v>1451</v>
      </c>
    </row>
    <row r="995">
      <c r="A995" s="50">
        <v>2717.0</v>
      </c>
      <c r="B995" s="50" t="s">
        <v>2327</v>
      </c>
      <c r="E995" s="50">
        <v>487.0</v>
      </c>
      <c r="F995" s="50" t="s">
        <v>1443</v>
      </c>
      <c r="G995" s="50" t="s">
        <v>1437</v>
      </c>
    </row>
    <row r="996">
      <c r="A996" s="50">
        <v>2279.0</v>
      </c>
      <c r="B996" s="50" t="s">
        <v>2328</v>
      </c>
      <c r="E996" s="50">
        <v>487.0</v>
      </c>
      <c r="F996" s="50" t="s">
        <v>1443</v>
      </c>
      <c r="G996" s="50" t="s">
        <v>1437</v>
      </c>
    </row>
    <row r="997">
      <c r="A997" s="50">
        <v>487.0</v>
      </c>
      <c r="B997" s="50" t="s">
        <v>2329</v>
      </c>
      <c r="E997" s="50">
        <v>487.0</v>
      </c>
      <c r="F997" s="50" t="s">
        <v>1443</v>
      </c>
      <c r="G997" s="50" t="s">
        <v>1437</v>
      </c>
    </row>
    <row r="998">
      <c r="A998" s="50">
        <v>3595.0</v>
      </c>
      <c r="B998" s="50" t="s">
        <v>2330</v>
      </c>
      <c r="E998" s="50">
        <v>487.0</v>
      </c>
      <c r="F998" s="50" t="s">
        <v>1443</v>
      </c>
      <c r="G998" s="50" t="s">
        <v>1437</v>
      </c>
    </row>
    <row r="999">
      <c r="A999" s="50">
        <v>2718.0</v>
      </c>
      <c r="B999" s="50" t="s">
        <v>2331</v>
      </c>
      <c r="E999" s="50">
        <v>487.0</v>
      </c>
      <c r="F999" s="50" t="s">
        <v>1443</v>
      </c>
      <c r="G999" s="50" t="s">
        <v>1437</v>
      </c>
    </row>
    <row r="1000">
      <c r="A1000" s="50">
        <v>2579.0</v>
      </c>
      <c r="B1000" s="50" t="s">
        <v>2332</v>
      </c>
      <c r="E1000" s="50">
        <v>487.0</v>
      </c>
      <c r="F1000" s="50" t="s">
        <v>1443</v>
      </c>
      <c r="G1000" s="50" t="s">
        <v>1437</v>
      </c>
    </row>
    <row r="1001">
      <c r="A1001" s="50">
        <v>2563.0</v>
      </c>
      <c r="B1001" s="50" t="s">
        <v>2333</v>
      </c>
      <c r="E1001" s="50">
        <v>487.0</v>
      </c>
      <c r="F1001" s="50" t="s">
        <v>1443</v>
      </c>
      <c r="G1001" s="50" t="s">
        <v>1437</v>
      </c>
    </row>
    <row r="1002">
      <c r="A1002" s="50">
        <v>2719.0</v>
      </c>
      <c r="B1002" s="50" t="s">
        <v>2334</v>
      </c>
      <c r="E1002" s="50">
        <v>487.0</v>
      </c>
      <c r="F1002" s="50" t="s">
        <v>1443</v>
      </c>
      <c r="G1002" s="50" t="s">
        <v>1437</v>
      </c>
    </row>
    <row r="1003">
      <c r="A1003" s="50">
        <v>2452.0</v>
      </c>
      <c r="B1003" s="50" t="s">
        <v>2335</v>
      </c>
      <c r="E1003" s="50">
        <v>487.0</v>
      </c>
      <c r="F1003" s="50" t="s">
        <v>1443</v>
      </c>
      <c r="G1003" s="50" t="s">
        <v>1437</v>
      </c>
    </row>
    <row r="1004">
      <c r="A1004" s="50">
        <v>2468.0</v>
      </c>
      <c r="B1004" s="50" t="s">
        <v>2336</v>
      </c>
      <c r="E1004" s="50">
        <v>487.0</v>
      </c>
      <c r="F1004" s="50" t="s">
        <v>1443</v>
      </c>
      <c r="G1004" s="50" t="s">
        <v>1437</v>
      </c>
    </row>
    <row r="1005">
      <c r="A1005" s="50">
        <v>1271.0</v>
      </c>
      <c r="B1005" s="50" t="s">
        <v>2337</v>
      </c>
      <c r="G1005" s="50" t="s">
        <v>1451</v>
      </c>
    </row>
    <row r="1006">
      <c r="A1006" s="50">
        <v>748.0</v>
      </c>
      <c r="B1006" s="50" t="s">
        <v>2338</v>
      </c>
      <c r="G1006" s="50" t="s">
        <v>1451</v>
      </c>
    </row>
    <row r="1007">
      <c r="A1007" s="50">
        <v>2949.0</v>
      </c>
      <c r="B1007" s="50" t="s">
        <v>2339</v>
      </c>
      <c r="G1007" s="50" t="s">
        <v>1451</v>
      </c>
    </row>
    <row r="1008">
      <c r="A1008" s="50">
        <v>2729.0</v>
      </c>
      <c r="B1008" s="50" t="s">
        <v>2341</v>
      </c>
      <c r="G1008" s="50" t="s">
        <v>1451</v>
      </c>
    </row>
    <row r="1009">
      <c r="A1009" s="50">
        <v>2928.0</v>
      </c>
      <c r="B1009" s="50" t="s">
        <v>1229</v>
      </c>
      <c r="G1009" s="50" t="s">
        <v>1451</v>
      </c>
    </row>
    <row r="1010">
      <c r="A1010" s="50">
        <v>3738.0</v>
      </c>
      <c r="B1010" s="50" t="s">
        <v>447</v>
      </c>
      <c r="G1010" s="50" t="s">
        <v>1451</v>
      </c>
    </row>
    <row r="1011">
      <c r="A1011" s="50">
        <v>2929.0</v>
      </c>
      <c r="B1011" s="50" t="s">
        <v>415</v>
      </c>
      <c r="G1011" s="50" t="s">
        <v>1451</v>
      </c>
    </row>
    <row r="1012">
      <c r="A1012" s="50">
        <v>2597.0</v>
      </c>
      <c r="B1012" s="50" t="s">
        <v>2342</v>
      </c>
      <c r="G1012" s="50" t="s">
        <v>1451</v>
      </c>
    </row>
    <row r="1013">
      <c r="A1013" s="50">
        <v>2927.0</v>
      </c>
      <c r="B1013" s="50" t="s">
        <v>1231</v>
      </c>
      <c r="G1013" s="50" t="s">
        <v>1451</v>
      </c>
    </row>
    <row r="1014">
      <c r="A1014" s="50">
        <v>1039.0</v>
      </c>
      <c r="B1014" s="50" t="s">
        <v>2343</v>
      </c>
      <c r="E1014" s="50">
        <v>2278.0</v>
      </c>
      <c r="F1014" s="50" t="s">
        <v>1439</v>
      </c>
      <c r="G1014" s="50" t="s">
        <v>1437</v>
      </c>
    </row>
    <row r="1015">
      <c r="A1015" s="50">
        <v>3454.0</v>
      </c>
      <c r="B1015" s="50" t="s">
        <v>346</v>
      </c>
      <c r="G1015" s="50" t="s">
        <v>1451</v>
      </c>
    </row>
    <row r="1016">
      <c r="A1016" s="50">
        <v>2454.0</v>
      </c>
      <c r="B1016" s="50" t="s">
        <v>2344</v>
      </c>
      <c r="G1016" s="50" t="s">
        <v>1451</v>
      </c>
    </row>
    <row r="1017">
      <c r="A1017" s="50">
        <v>1164.0</v>
      </c>
      <c r="B1017" s="50" t="s">
        <v>2345</v>
      </c>
      <c r="E1017" s="50">
        <v>487.0</v>
      </c>
      <c r="F1017" s="50" t="s">
        <v>1443</v>
      </c>
      <c r="G1017" s="50" t="s">
        <v>1437</v>
      </c>
    </row>
    <row r="1018">
      <c r="A1018" s="50">
        <v>1218.0</v>
      </c>
      <c r="B1018" s="50" t="s">
        <v>2346</v>
      </c>
      <c r="G1018" s="50" t="s">
        <v>1451</v>
      </c>
    </row>
    <row r="1019">
      <c r="A1019" s="50">
        <v>1392.0</v>
      </c>
      <c r="B1019" s="50" t="s">
        <v>2347</v>
      </c>
      <c r="E1019" s="50">
        <v>2247.0</v>
      </c>
      <c r="F1019" s="50" t="s">
        <v>1441</v>
      </c>
      <c r="G1019" s="50" t="s">
        <v>1437</v>
      </c>
    </row>
    <row r="1020">
      <c r="A1020" s="50">
        <v>921.0</v>
      </c>
      <c r="B1020" s="50" t="s">
        <v>2348</v>
      </c>
      <c r="E1020" s="50">
        <v>487.0</v>
      </c>
      <c r="F1020" s="50" t="s">
        <v>1443</v>
      </c>
      <c r="G1020" s="50" t="s">
        <v>1437</v>
      </c>
    </row>
    <row r="1021">
      <c r="A1021" s="50">
        <v>1381.0</v>
      </c>
      <c r="B1021" s="50" t="s">
        <v>2349</v>
      </c>
      <c r="E1021" s="50">
        <v>2278.0</v>
      </c>
      <c r="F1021" s="50" t="s">
        <v>1439</v>
      </c>
      <c r="G1021" s="50" t="s">
        <v>1437</v>
      </c>
    </row>
    <row r="1022">
      <c r="A1022" s="50">
        <v>1380.0</v>
      </c>
      <c r="B1022" s="50" t="s">
        <v>2350</v>
      </c>
      <c r="E1022" s="50">
        <v>487.0</v>
      </c>
      <c r="F1022" s="50" t="s">
        <v>1443</v>
      </c>
      <c r="G1022" s="50" t="s">
        <v>1437</v>
      </c>
    </row>
    <row r="1023">
      <c r="A1023" s="50">
        <v>1171.0</v>
      </c>
      <c r="B1023" s="50" t="s">
        <v>2351</v>
      </c>
      <c r="E1023" s="50">
        <v>2247.0</v>
      </c>
      <c r="F1023" s="50" t="s">
        <v>1441</v>
      </c>
      <c r="G1023" s="50" t="s">
        <v>1437</v>
      </c>
    </row>
    <row r="1024">
      <c r="A1024" s="50">
        <v>872.0</v>
      </c>
      <c r="B1024" s="50" t="s">
        <v>2352</v>
      </c>
      <c r="E1024" s="50">
        <v>2247.0</v>
      </c>
      <c r="F1024" s="50" t="s">
        <v>1441</v>
      </c>
      <c r="G1024" s="50" t="s">
        <v>1437</v>
      </c>
    </row>
    <row r="1025">
      <c r="A1025" s="50">
        <v>1172.0</v>
      </c>
      <c r="B1025" s="50" t="s">
        <v>2353</v>
      </c>
      <c r="E1025" s="50">
        <v>2278.0</v>
      </c>
      <c r="F1025" s="50" t="s">
        <v>1439</v>
      </c>
      <c r="G1025" s="50" t="s">
        <v>1437</v>
      </c>
    </row>
    <row r="1026">
      <c r="A1026" s="50">
        <v>1306.0</v>
      </c>
      <c r="B1026" s="50" t="s">
        <v>2354</v>
      </c>
      <c r="E1026" s="50">
        <v>2247.0</v>
      </c>
      <c r="F1026" s="50" t="s">
        <v>1441</v>
      </c>
      <c r="G1026" s="50" t="s">
        <v>1437</v>
      </c>
    </row>
    <row r="1027">
      <c r="A1027" s="50">
        <v>992.0</v>
      </c>
      <c r="B1027" s="50" t="s">
        <v>2355</v>
      </c>
      <c r="E1027" s="50">
        <v>487.0</v>
      </c>
      <c r="F1027" s="50" t="s">
        <v>1443</v>
      </c>
      <c r="G1027" s="50" t="s">
        <v>1437</v>
      </c>
    </row>
    <row r="1028">
      <c r="A1028" s="50">
        <v>2067.0</v>
      </c>
      <c r="B1028" s="50" t="s">
        <v>472</v>
      </c>
      <c r="G1028" s="50" t="s">
        <v>1451</v>
      </c>
    </row>
    <row r="1029">
      <c r="A1029" s="50">
        <v>3647.0</v>
      </c>
      <c r="B1029" s="50" t="s">
        <v>1115</v>
      </c>
      <c r="G1029" s="50" t="s">
        <v>1451</v>
      </c>
    </row>
    <row r="1030">
      <c r="A1030" s="50">
        <v>3262.0</v>
      </c>
      <c r="B1030" s="50" t="s">
        <v>2356</v>
      </c>
      <c r="G1030" s="50" t="s">
        <v>1451</v>
      </c>
    </row>
    <row r="1031">
      <c r="A1031" s="50">
        <v>3249.0</v>
      </c>
      <c r="B1031" s="50" t="s">
        <v>2357</v>
      </c>
      <c r="G1031" s="50" t="s">
        <v>1451</v>
      </c>
    </row>
    <row r="1032">
      <c r="A1032" s="50">
        <v>3242.0</v>
      </c>
      <c r="B1032" s="50" t="s">
        <v>2358</v>
      </c>
      <c r="G1032" s="50" t="s">
        <v>1451</v>
      </c>
    </row>
    <row r="1033">
      <c r="A1033" s="50">
        <v>3258.0</v>
      </c>
      <c r="B1033" s="50" t="s">
        <v>2359</v>
      </c>
      <c r="G1033" s="50" t="s">
        <v>1451</v>
      </c>
    </row>
    <row r="1034">
      <c r="A1034" s="50">
        <v>3823.0</v>
      </c>
      <c r="B1034" s="50" t="s">
        <v>2360</v>
      </c>
      <c r="G1034" s="50" t="s">
        <v>1451</v>
      </c>
    </row>
    <row r="1035">
      <c r="A1035" s="50">
        <v>1028.0</v>
      </c>
      <c r="B1035" s="50" t="s">
        <v>2361</v>
      </c>
      <c r="G1035" s="50" t="s">
        <v>1451</v>
      </c>
    </row>
    <row r="1036">
      <c r="A1036" s="50">
        <v>2662.0</v>
      </c>
      <c r="B1036" s="50" t="s">
        <v>2362</v>
      </c>
      <c r="G1036" s="50" t="s">
        <v>1451</v>
      </c>
    </row>
    <row r="1037">
      <c r="A1037" s="50">
        <v>676.0</v>
      </c>
      <c r="B1037" s="50" t="s">
        <v>2363</v>
      </c>
      <c r="G1037" s="50" t="s">
        <v>1451</v>
      </c>
    </row>
    <row r="1038">
      <c r="A1038" s="50">
        <v>3124.0</v>
      </c>
      <c r="B1038" s="50" t="s">
        <v>2364</v>
      </c>
      <c r="G1038" s="50" t="s">
        <v>1451</v>
      </c>
    </row>
    <row r="1039">
      <c r="A1039" s="50">
        <v>1332.0</v>
      </c>
      <c r="B1039" s="50" t="s">
        <v>2365</v>
      </c>
      <c r="G1039" s="50" t="s">
        <v>1451</v>
      </c>
    </row>
    <row r="1040">
      <c r="A1040" s="50">
        <v>2704.0</v>
      </c>
      <c r="B1040" s="50" t="s">
        <v>2366</v>
      </c>
      <c r="G1040" s="50" t="s">
        <v>1451</v>
      </c>
    </row>
    <row r="1041">
      <c r="A1041" s="50">
        <v>45.0</v>
      </c>
      <c r="B1041" s="50" t="s">
        <v>2367</v>
      </c>
      <c r="G1041" s="50" t="s">
        <v>1451</v>
      </c>
    </row>
    <row r="1042">
      <c r="A1042" s="50">
        <v>3117.0</v>
      </c>
      <c r="B1042" s="50" t="s">
        <v>2368</v>
      </c>
      <c r="G1042" s="50" t="s">
        <v>1451</v>
      </c>
    </row>
    <row r="1043">
      <c r="A1043" s="50">
        <v>2175.0</v>
      </c>
      <c r="B1043" s="50" t="s">
        <v>2369</v>
      </c>
      <c r="G1043" s="50" t="s">
        <v>1451</v>
      </c>
    </row>
    <row r="1044">
      <c r="A1044" s="50">
        <v>2697.0</v>
      </c>
      <c r="B1044" s="50" t="s">
        <v>2370</v>
      </c>
      <c r="G1044" s="50" t="s">
        <v>1451</v>
      </c>
    </row>
    <row r="1045">
      <c r="A1045" s="50">
        <v>3058.0</v>
      </c>
      <c r="B1045" s="50" t="s">
        <v>2371</v>
      </c>
      <c r="G1045" s="50" t="s">
        <v>1451</v>
      </c>
    </row>
    <row r="1046">
      <c r="A1046" s="50">
        <v>3301.0</v>
      </c>
      <c r="B1046" s="50" t="s">
        <v>2372</v>
      </c>
      <c r="G1046" s="50" t="s">
        <v>1451</v>
      </c>
    </row>
    <row r="1047">
      <c r="A1047" s="50">
        <v>1549.0</v>
      </c>
      <c r="B1047" s="50" t="s">
        <v>2373</v>
      </c>
      <c r="G1047" s="50" t="s">
        <v>1451</v>
      </c>
    </row>
    <row r="1048">
      <c r="A1048" s="50">
        <v>3308.0</v>
      </c>
      <c r="B1048" s="50" t="s">
        <v>2374</v>
      </c>
      <c r="G1048" s="50" t="s">
        <v>1451</v>
      </c>
    </row>
    <row r="1049">
      <c r="A1049" s="50">
        <v>3300.0</v>
      </c>
      <c r="B1049" s="50" t="s">
        <v>2375</v>
      </c>
      <c r="G1049" s="50" t="s">
        <v>1451</v>
      </c>
    </row>
    <row r="1050">
      <c r="A1050" s="50">
        <v>1844.0</v>
      </c>
      <c r="B1050" s="50" t="s">
        <v>2376</v>
      </c>
      <c r="G1050" s="50" t="s">
        <v>1451</v>
      </c>
    </row>
    <row r="1051">
      <c r="A1051" s="50">
        <v>3088.0</v>
      </c>
      <c r="B1051" s="50" t="s">
        <v>2377</v>
      </c>
      <c r="G1051" s="50" t="s">
        <v>1451</v>
      </c>
    </row>
    <row r="1052">
      <c r="A1052" s="50">
        <v>1012.0</v>
      </c>
      <c r="B1052" s="50" t="s">
        <v>2378</v>
      </c>
      <c r="G1052" s="50" t="s">
        <v>1451</v>
      </c>
    </row>
    <row r="1053">
      <c r="A1053" s="50">
        <v>3649.0</v>
      </c>
      <c r="B1053" s="50" t="s">
        <v>2379</v>
      </c>
      <c r="G1053" s="50" t="s">
        <v>1451</v>
      </c>
    </row>
    <row r="1054">
      <c r="A1054" s="50">
        <v>3401.0</v>
      </c>
      <c r="B1054" s="50" t="s">
        <v>2380</v>
      </c>
      <c r="G1054" s="50" t="s">
        <v>1451</v>
      </c>
    </row>
    <row r="1055">
      <c r="A1055" s="50">
        <v>3402.0</v>
      </c>
      <c r="B1055" s="50" t="s">
        <v>2381</v>
      </c>
      <c r="G1055" s="50" t="s">
        <v>1451</v>
      </c>
    </row>
    <row r="1056">
      <c r="A1056" s="50">
        <v>242.0</v>
      </c>
      <c r="B1056" s="50" t="s">
        <v>2382</v>
      </c>
      <c r="G1056" s="50" t="s">
        <v>1451</v>
      </c>
    </row>
    <row r="1057">
      <c r="A1057" s="50">
        <v>2833.0</v>
      </c>
      <c r="B1057" s="50" t="s">
        <v>2383</v>
      </c>
      <c r="G1057" s="50" t="s">
        <v>1451</v>
      </c>
    </row>
    <row r="1058">
      <c r="A1058" s="50">
        <v>2879.0</v>
      </c>
      <c r="B1058" s="50" t="s">
        <v>2384</v>
      </c>
      <c r="G1058" s="50" t="s">
        <v>1451</v>
      </c>
    </row>
    <row r="1059">
      <c r="A1059" s="50">
        <v>3155.0</v>
      </c>
      <c r="B1059" s="50" t="s">
        <v>2385</v>
      </c>
      <c r="G1059" s="50" t="s">
        <v>1451</v>
      </c>
    </row>
    <row r="1060">
      <c r="A1060" s="50">
        <v>2808.0</v>
      </c>
      <c r="B1060" s="50" t="s">
        <v>2386</v>
      </c>
      <c r="G1060" s="50" t="s">
        <v>1451</v>
      </c>
    </row>
    <row r="1061">
      <c r="A1061" s="50">
        <v>139.0</v>
      </c>
      <c r="B1061" s="50" t="s">
        <v>2387</v>
      </c>
      <c r="E1061" s="50">
        <v>2248.0</v>
      </c>
      <c r="F1061" s="50" t="s">
        <v>1461</v>
      </c>
      <c r="G1061" s="50" t="s">
        <v>1437</v>
      </c>
    </row>
    <row r="1062">
      <c r="A1062" s="50">
        <v>3230.0</v>
      </c>
      <c r="B1062" s="50" t="s">
        <v>575</v>
      </c>
      <c r="E1062" s="50">
        <v>2248.0</v>
      </c>
      <c r="F1062" s="50" t="s">
        <v>1461</v>
      </c>
      <c r="G1062" s="50" t="s">
        <v>1437</v>
      </c>
    </row>
    <row r="1063">
      <c r="A1063" s="50">
        <v>3713.0</v>
      </c>
      <c r="B1063" s="50" t="s">
        <v>2388</v>
      </c>
      <c r="E1063" s="50">
        <v>2248.0</v>
      </c>
      <c r="F1063" s="50" t="s">
        <v>1461</v>
      </c>
      <c r="G1063" s="50" t="s">
        <v>1437</v>
      </c>
    </row>
    <row r="1064">
      <c r="A1064" s="50">
        <v>2001.0</v>
      </c>
      <c r="B1064" s="50" t="s">
        <v>2389</v>
      </c>
      <c r="G1064" s="50" t="s">
        <v>1451</v>
      </c>
    </row>
    <row r="1065">
      <c r="A1065" s="50">
        <v>3167.0</v>
      </c>
      <c r="B1065" s="50" t="s">
        <v>2390</v>
      </c>
      <c r="G1065" s="50" t="s">
        <v>1451</v>
      </c>
    </row>
    <row r="1066">
      <c r="A1066" s="50">
        <v>457.0</v>
      </c>
      <c r="B1066" s="50" t="s">
        <v>2391</v>
      </c>
      <c r="G1066" s="50" t="s">
        <v>1451</v>
      </c>
    </row>
    <row r="1067">
      <c r="A1067" s="50">
        <v>3233.0</v>
      </c>
      <c r="B1067" s="50" t="s">
        <v>131</v>
      </c>
      <c r="G1067" s="50" t="s">
        <v>1451</v>
      </c>
    </row>
    <row r="1068">
      <c r="A1068" s="50">
        <v>3048.0</v>
      </c>
      <c r="B1068" s="50" t="s">
        <v>2392</v>
      </c>
      <c r="G1068" s="50" t="s">
        <v>1451</v>
      </c>
    </row>
    <row r="1069">
      <c r="A1069" s="50">
        <v>2677.0</v>
      </c>
      <c r="B1069" s="50" t="s">
        <v>2393</v>
      </c>
      <c r="G1069" s="50" t="s">
        <v>1451</v>
      </c>
    </row>
    <row r="1070">
      <c r="A1070" s="50">
        <v>61.0</v>
      </c>
      <c r="B1070" s="50" t="s">
        <v>2394</v>
      </c>
      <c r="G1070" s="50" t="s">
        <v>1451</v>
      </c>
    </row>
    <row r="1071">
      <c r="A1071" s="50">
        <v>3317.0</v>
      </c>
      <c r="B1071" s="50" t="s">
        <v>2395</v>
      </c>
      <c r="G1071" s="50" t="s">
        <v>1451</v>
      </c>
    </row>
    <row r="1072">
      <c r="A1072" s="50">
        <v>3316.0</v>
      </c>
      <c r="B1072" s="50" t="s">
        <v>1155</v>
      </c>
      <c r="G1072" s="50" t="s">
        <v>1451</v>
      </c>
    </row>
    <row r="1073">
      <c r="A1073" s="50">
        <v>2302.0</v>
      </c>
      <c r="B1073" s="50" t="s">
        <v>2396</v>
      </c>
      <c r="G1073" s="50" t="s">
        <v>1451</v>
      </c>
    </row>
    <row r="1074">
      <c r="A1074" s="50">
        <v>1565.0</v>
      </c>
      <c r="B1074" s="50" t="s">
        <v>2397</v>
      </c>
      <c r="G1074" s="50" t="s">
        <v>1451</v>
      </c>
    </row>
    <row r="1075">
      <c r="A1075" s="50">
        <v>3398.0</v>
      </c>
      <c r="B1075" s="50" t="s">
        <v>1146</v>
      </c>
      <c r="G1075" s="50" t="s">
        <v>1451</v>
      </c>
    </row>
    <row r="1076">
      <c r="A1076" s="50">
        <v>2527.0</v>
      </c>
      <c r="B1076" s="50" t="s">
        <v>2398</v>
      </c>
      <c r="G1076" s="50" t="s">
        <v>1451</v>
      </c>
    </row>
    <row r="1077">
      <c r="A1077" s="50">
        <v>2696.0</v>
      </c>
      <c r="B1077" s="50" t="s">
        <v>2399</v>
      </c>
      <c r="G1077" s="50" t="s">
        <v>1451</v>
      </c>
    </row>
    <row r="1078">
      <c r="A1078" s="50">
        <v>140.0</v>
      </c>
      <c r="B1078" s="50" t="s">
        <v>2400</v>
      </c>
      <c r="G1078" s="50" t="s">
        <v>1451</v>
      </c>
    </row>
    <row r="1079">
      <c r="A1079" s="50">
        <v>3072.0</v>
      </c>
      <c r="B1079" s="50" t="s">
        <v>2401</v>
      </c>
      <c r="G1079" s="50" t="s">
        <v>1451</v>
      </c>
    </row>
    <row r="1080">
      <c r="A1080" s="50">
        <v>1821.0</v>
      </c>
      <c r="B1080" s="50" t="s">
        <v>2402</v>
      </c>
      <c r="G1080" s="50" t="s">
        <v>1451</v>
      </c>
    </row>
    <row r="1081">
      <c r="A1081" s="50">
        <v>2807.0</v>
      </c>
      <c r="B1081" s="50" t="s">
        <v>2403</v>
      </c>
      <c r="G1081" s="50" t="s">
        <v>1451</v>
      </c>
    </row>
    <row r="1082">
      <c r="A1082" s="50">
        <v>2831.0</v>
      </c>
      <c r="B1082" s="50" t="s">
        <v>2404</v>
      </c>
      <c r="G1082" s="50" t="s">
        <v>1451</v>
      </c>
    </row>
    <row r="1083">
      <c r="A1083" s="50">
        <v>43.0</v>
      </c>
      <c r="B1083" s="50" t="s">
        <v>2405</v>
      </c>
      <c r="G1083" s="50" t="s">
        <v>1451</v>
      </c>
    </row>
    <row r="1084">
      <c r="A1084" s="50">
        <v>2620.0</v>
      </c>
      <c r="B1084" s="50" t="s">
        <v>2406</v>
      </c>
      <c r="G1084" s="50" t="s">
        <v>1451</v>
      </c>
    </row>
    <row r="1085">
      <c r="A1085" s="50">
        <v>59.0</v>
      </c>
      <c r="B1085" s="50" t="s">
        <v>2407</v>
      </c>
      <c r="G1085" s="50" t="s">
        <v>1451</v>
      </c>
    </row>
    <row r="1086">
      <c r="A1086" s="50">
        <v>2725.0</v>
      </c>
      <c r="B1086" s="50" t="s">
        <v>2408</v>
      </c>
      <c r="G1086" s="50" t="s">
        <v>1451</v>
      </c>
    </row>
    <row r="1087">
      <c r="A1087" s="50">
        <v>1977.0</v>
      </c>
      <c r="B1087" s="50" t="s">
        <v>2409</v>
      </c>
      <c r="G1087" s="50" t="s">
        <v>1451</v>
      </c>
    </row>
    <row r="1088">
      <c r="A1088" s="50">
        <v>3062.0</v>
      </c>
      <c r="B1088" s="50" t="s">
        <v>2410</v>
      </c>
      <c r="G1088" s="50" t="s">
        <v>1451</v>
      </c>
    </row>
    <row r="1089">
      <c r="A1089" s="50">
        <v>2844.0</v>
      </c>
      <c r="B1089" s="50" t="s">
        <v>2412</v>
      </c>
      <c r="G1089" s="50" t="s">
        <v>1451</v>
      </c>
    </row>
    <row r="1090">
      <c r="A1090" s="50">
        <v>3359.0</v>
      </c>
      <c r="B1090" s="50" t="s">
        <v>2414</v>
      </c>
      <c r="G1090" s="50" t="s">
        <v>1451</v>
      </c>
    </row>
    <row r="1091">
      <c r="A1091" s="50">
        <v>1995.0</v>
      </c>
      <c r="B1091" s="50" t="s">
        <v>2416</v>
      </c>
      <c r="G1091" s="50" t="s">
        <v>1451</v>
      </c>
    </row>
    <row r="1092">
      <c r="A1092" s="50">
        <v>2287.0</v>
      </c>
      <c r="B1092" s="50" t="s">
        <v>2418</v>
      </c>
      <c r="G1092" s="50" t="s">
        <v>1451</v>
      </c>
    </row>
    <row r="1093">
      <c r="A1093" s="50">
        <v>2528.0</v>
      </c>
      <c r="B1093" s="50" t="s">
        <v>2420</v>
      </c>
      <c r="G1093" s="50" t="s">
        <v>1451</v>
      </c>
    </row>
    <row r="1094">
      <c r="A1094" s="50">
        <v>2382.0</v>
      </c>
      <c r="B1094" s="50" t="s">
        <v>2421</v>
      </c>
      <c r="G1094" s="50" t="s">
        <v>1451</v>
      </c>
    </row>
    <row r="1095">
      <c r="A1095" s="50">
        <v>6.0</v>
      </c>
      <c r="B1095" s="50" t="s">
        <v>2422</v>
      </c>
      <c r="G1095" s="50" t="s">
        <v>1451</v>
      </c>
    </row>
    <row r="1096">
      <c r="A1096" s="50">
        <v>3069.0</v>
      </c>
      <c r="B1096" s="50" t="s">
        <v>2423</v>
      </c>
      <c r="G1096" s="50" t="s">
        <v>1451</v>
      </c>
    </row>
    <row r="1097">
      <c r="A1097" s="50">
        <v>3022.0</v>
      </c>
      <c r="B1097" s="50" t="s">
        <v>2424</v>
      </c>
      <c r="G1097" s="50" t="s">
        <v>1451</v>
      </c>
    </row>
    <row r="1098">
      <c r="A1098" s="50">
        <v>2742.0</v>
      </c>
      <c r="B1098" s="50" t="s">
        <v>2425</v>
      </c>
      <c r="G1098" s="50" t="s">
        <v>1451</v>
      </c>
    </row>
    <row r="1099">
      <c r="A1099" s="50">
        <v>2643.0</v>
      </c>
      <c r="B1099" s="50" t="s">
        <v>2426</v>
      </c>
      <c r="G1099" s="50" t="s">
        <v>1451</v>
      </c>
    </row>
    <row r="1100">
      <c r="A1100" s="50">
        <v>3152.0</v>
      </c>
      <c r="B1100" s="50" t="s">
        <v>2427</v>
      </c>
      <c r="G1100" s="50" t="s">
        <v>1451</v>
      </c>
    </row>
    <row r="1101">
      <c r="A1101" s="50">
        <v>3666.0</v>
      </c>
      <c r="B1101" s="50" t="s">
        <v>1093</v>
      </c>
      <c r="G1101" s="50" t="s">
        <v>1451</v>
      </c>
    </row>
    <row r="1102">
      <c r="A1102" s="50">
        <v>3120.0</v>
      </c>
      <c r="B1102" s="50" t="s">
        <v>1099</v>
      </c>
      <c r="G1102" s="50" t="s">
        <v>1451</v>
      </c>
    </row>
    <row r="1103">
      <c r="A1103" s="50">
        <v>1520.0</v>
      </c>
      <c r="B1103" s="50" t="s">
        <v>2428</v>
      </c>
      <c r="G1103" s="50" t="s">
        <v>1451</v>
      </c>
    </row>
    <row r="1104">
      <c r="A1104" s="50">
        <v>3264.0</v>
      </c>
      <c r="B1104" s="50" t="s">
        <v>2429</v>
      </c>
      <c r="G1104" s="50" t="s">
        <v>1451</v>
      </c>
    </row>
    <row r="1105">
      <c r="A1105" s="50">
        <v>2789.0</v>
      </c>
      <c r="B1105" s="50" t="s">
        <v>2430</v>
      </c>
      <c r="G1105" s="50" t="s">
        <v>1451</v>
      </c>
    </row>
    <row r="1106">
      <c r="A1106" s="50">
        <v>2836.0</v>
      </c>
      <c r="B1106" s="50" t="s">
        <v>2431</v>
      </c>
      <c r="G1106" s="50" t="s">
        <v>1451</v>
      </c>
    </row>
    <row r="1107">
      <c r="A1107" s="50">
        <v>2843.0</v>
      </c>
      <c r="B1107" s="50" t="s">
        <v>2432</v>
      </c>
      <c r="G1107" s="50" t="s">
        <v>1451</v>
      </c>
    </row>
    <row r="1108">
      <c r="A1108" s="50">
        <v>2303.0</v>
      </c>
      <c r="B1108" s="50" t="s">
        <v>2433</v>
      </c>
      <c r="G1108" s="50" t="s">
        <v>1451</v>
      </c>
    </row>
    <row r="1109">
      <c r="A1109" s="50">
        <v>2705.0</v>
      </c>
      <c r="B1109" s="50" t="s">
        <v>2434</v>
      </c>
      <c r="G1109" s="50" t="s">
        <v>1451</v>
      </c>
    </row>
    <row r="1110">
      <c r="A1110" s="50">
        <v>925.0</v>
      </c>
      <c r="B1110" s="50" t="s">
        <v>2435</v>
      </c>
      <c r="G1110" s="50" t="s">
        <v>1451</v>
      </c>
    </row>
    <row r="1111">
      <c r="A1111" s="50">
        <v>3126.0</v>
      </c>
      <c r="B1111" s="50" t="s">
        <v>2436</v>
      </c>
      <c r="G1111" s="50" t="s">
        <v>1451</v>
      </c>
    </row>
    <row r="1112">
      <c r="A1112" s="50">
        <v>770.0</v>
      </c>
      <c r="B1112" s="50" t="s">
        <v>2437</v>
      </c>
      <c r="G1112" s="50" t="s">
        <v>1451</v>
      </c>
    </row>
    <row r="1113">
      <c r="A1113" s="50">
        <v>881.0</v>
      </c>
      <c r="B1113" s="50" t="s">
        <v>2438</v>
      </c>
      <c r="G1113" s="50" t="s">
        <v>1451</v>
      </c>
    </row>
    <row r="1114">
      <c r="A1114" s="50">
        <v>3380.0</v>
      </c>
      <c r="B1114" s="50" t="s">
        <v>2439</v>
      </c>
      <c r="G1114" s="50" t="s">
        <v>1451</v>
      </c>
    </row>
    <row r="1115">
      <c r="A1115" s="50">
        <v>3379.0</v>
      </c>
      <c r="B1115" s="50" t="s">
        <v>281</v>
      </c>
      <c r="G1115" s="50" t="s">
        <v>1451</v>
      </c>
    </row>
    <row r="1116">
      <c r="A1116" s="50">
        <v>2787.0</v>
      </c>
      <c r="B1116" s="50" t="s">
        <v>2440</v>
      </c>
      <c r="G1116" s="50" t="s">
        <v>1451</v>
      </c>
    </row>
    <row r="1117">
      <c r="A1117" s="50">
        <v>2894.0</v>
      </c>
      <c r="B1117" s="50" t="s">
        <v>2441</v>
      </c>
      <c r="G1117" s="50" t="s">
        <v>1451</v>
      </c>
    </row>
    <row r="1118">
      <c r="A1118" s="50">
        <v>2838.0</v>
      </c>
      <c r="B1118" s="50" t="s">
        <v>2442</v>
      </c>
      <c r="G1118" s="50" t="s">
        <v>1451</v>
      </c>
    </row>
    <row r="1119">
      <c r="A1119" s="50">
        <v>3109.0</v>
      </c>
      <c r="B1119" s="50" t="s">
        <v>1054</v>
      </c>
      <c r="G1119" s="50" t="s">
        <v>1451</v>
      </c>
    </row>
    <row r="1120">
      <c r="A1120" s="50">
        <v>2272.0</v>
      </c>
      <c r="B1120" s="50" t="s">
        <v>2443</v>
      </c>
      <c r="G1120" s="50" t="s">
        <v>1451</v>
      </c>
    </row>
    <row r="1121">
      <c r="A1121" s="50">
        <v>1957.0</v>
      </c>
      <c r="B1121" s="50" t="s">
        <v>2444</v>
      </c>
      <c r="G1121" s="50" t="s">
        <v>1451</v>
      </c>
    </row>
    <row r="1122">
      <c r="A1122" s="50">
        <v>2526.0</v>
      </c>
      <c r="B1122" s="50" t="s">
        <v>2445</v>
      </c>
      <c r="G1122" s="50" t="s">
        <v>1451</v>
      </c>
    </row>
    <row r="1123">
      <c r="A1123" s="50">
        <v>12.0</v>
      </c>
      <c r="B1123" s="50" t="s">
        <v>2446</v>
      </c>
      <c r="G1123" s="50" t="s">
        <v>1451</v>
      </c>
    </row>
    <row r="1124">
      <c r="A1124" s="50">
        <v>3654.0</v>
      </c>
      <c r="B1124" s="50" t="s">
        <v>461</v>
      </c>
      <c r="G1124" s="50" t="s">
        <v>1451</v>
      </c>
    </row>
    <row r="1125">
      <c r="A1125" s="50">
        <v>379.0</v>
      </c>
      <c r="B1125" s="50" t="s">
        <v>2447</v>
      </c>
      <c r="G1125" s="50" t="s">
        <v>1451</v>
      </c>
    </row>
    <row r="1126">
      <c r="A1126" s="50">
        <v>241.0</v>
      </c>
      <c r="B1126" s="50" t="s">
        <v>2448</v>
      </c>
      <c r="G1126" s="50" t="s">
        <v>1451</v>
      </c>
    </row>
    <row r="1127">
      <c r="A1127" s="50">
        <v>3417.0</v>
      </c>
      <c r="B1127" s="50" t="s">
        <v>2449</v>
      </c>
      <c r="G1127" s="50" t="s">
        <v>1451</v>
      </c>
    </row>
    <row r="1128">
      <c r="A1128" s="50">
        <v>3418.0</v>
      </c>
      <c r="B1128" s="50" t="s">
        <v>2450</v>
      </c>
      <c r="G1128" s="50" t="s">
        <v>1451</v>
      </c>
    </row>
    <row r="1129">
      <c r="A1129" s="50">
        <v>884.0</v>
      </c>
      <c r="B1129" s="50" t="s">
        <v>2451</v>
      </c>
      <c r="G1129" s="50" t="s">
        <v>1451</v>
      </c>
    </row>
    <row r="1130">
      <c r="A1130" s="50">
        <v>2864.0</v>
      </c>
      <c r="B1130" s="50" t="s">
        <v>2452</v>
      </c>
      <c r="G1130" s="50" t="s">
        <v>1451</v>
      </c>
    </row>
    <row r="1131">
      <c r="A1131" s="50">
        <v>2860.0</v>
      </c>
      <c r="B1131" s="50" t="s">
        <v>2453</v>
      </c>
      <c r="G1131" s="50" t="s">
        <v>1451</v>
      </c>
    </row>
    <row r="1132">
      <c r="A1132" s="50">
        <v>3132.0</v>
      </c>
      <c r="B1132" s="50" t="s">
        <v>2454</v>
      </c>
      <c r="G1132" s="50" t="s">
        <v>1451</v>
      </c>
    </row>
    <row r="1133">
      <c r="A1133" s="50">
        <v>2826.0</v>
      </c>
      <c r="B1133" s="50" t="s">
        <v>2455</v>
      </c>
      <c r="G1133" s="50" t="s">
        <v>1451</v>
      </c>
    </row>
    <row r="1134">
      <c r="A1134" s="50">
        <v>134.0</v>
      </c>
      <c r="B1134" s="50" t="s">
        <v>2456</v>
      </c>
      <c r="G1134" s="50" t="s">
        <v>1451</v>
      </c>
    </row>
    <row r="1135">
      <c r="A1135" s="50">
        <v>3683.0</v>
      </c>
      <c r="B1135" s="50" t="s">
        <v>2457</v>
      </c>
      <c r="G1135" s="50" t="s">
        <v>1451</v>
      </c>
    </row>
    <row r="1136">
      <c r="A1136" s="50">
        <v>1170.0</v>
      </c>
      <c r="B1136" s="50" t="s">
        <v>2458</v>
      </c>
      <c r="G1136" s="50" t="s">
        <v>1451</v>
      </c>
    </row>
    <row r="1137">
      <c r="A1137" s="50">
        <v>2547.0</v>
      </c>
      <c r="B1137" s="50" t="s">
        <v>2459</v>
      </c>
      <c r="G1137" s="50" t="s">
        <v>1451</v>
      </c>
    </row>
    <row r="1138">
      <c r="A1138" s="50">
        <v>2686.0</v>
      </c>
      <c r="B1138" s="50" t="s">
        <v>2460</v>
      </c>
      <c r="G1138" s="50" t="s">
        <v>1451</v>
      </c>
    </row>
    <row r="1139">
      <c r="A1139" s="50">
        <v>2490.0</v>
      </c>
      <c r="B1139" s="50" t="s">
        <v>2461</v>
      </c>
      <c r="G1139" s="50" t="s">
        <v>1451</v>
      </c>
    </row>
    <row r="1140">
      <c r="A1140" s="50">
        <v>3244.0</v>
      </c>
      <c r="B1140" s="50" t="s">
        <v>286</v>
      </c>
      <c r="E1140" s="50">
        <v>487.0</v>
      </c>
      <c r="F1140" s="50" t="s">
        <v>1443</v>
      </c>
      <c r="G1140" s="50" t="s">
        <v>1437</v>
      </c>
    </row>
    <row r="1141">
      <c r="A1141" s="50">
        <v>2987.0</v>
      </c>
      <c r="B1141" s="50" t="s">
        <v>2462</v>
      </c>
      <c r="E1141" s="50">
        <v>487.0</v>
      </c>
      <c r="F1141" s="50" t="s">
        <v>1443</v>
      </c>
      <c r="G1141" s="50" t="s">
        <v>1437</v>
      </c>
    </row>
    <row r="1142">
      <c r="A1142" s="50">
        <v>1087.0</v>
      </c>
      <c r="B1142" s="50" t="s">
        <v>2463</v>
      </c>
      <c r="E1142" s="50">
        <v>487.0</v>
      </c>
      <c r="F1142" s="50" t="s">
        <v>1443</v>
      </c>
      <c r="G1142" s="50" t="s">
        <v>1437</v>
      </c>
    </row>
    <row r="1143">
      <c r="A1143" s="50">
        <v>3716.0</v>
      </c>
      <c r="B1143" s="50" t="s">
        <v>2464</v>
      </c>
      <c r="E1143" s="50">
        <v>487.0</v>
      </c>
      <c r="F1143" s="50" t="s">
        <v>1443</v>
      </c>
      <c r="G1143" s="50" t="s">
        <v>1437</v>
      </c>
    </row>
    <row r="1144">
      <c r="A1144" s="50">
        <v>121.0</v>
      </c>
      <c r="B1144" s="50" t="s">
        <v>2465</v>
      </c>
      <c r="G1144" s="50" t="s">
        <v>1451</v>
      </c>
    </row>
    <row r="1145">
      <c r="A1145" s="50">
        <v>2684.0</v>
      </c>
      <c r="B1145" s="50" t="s">
        <v>2466</v>
      </c>
      <c r="G1145" s="50" t="s">
        <v>1451</v>
      </c>
    </row>
    <row r="1146">
      <c r="A1146" s="50">
        <v>120.0</v>
      </c>
      <c r="B1146" s="50" t="s">
        <v>2467</v>
      </c>
      <c r="G1146" s="50" t="s">
        <v>1451</v>
      </c>
    </row>
    <row r="1147">
      <c r="A1147" s="50">
        <v>3163.0</v>
      </c>
      <c r="B1147" s="50" t="s">
        <v>2468</v>
      </c>
      <c r="G1147" s="50" t="s">
        <v>1451</v>
      </c>
    </row>
    <row r="1148">
      <c r="A1148" s="50">
        <v>2680.0</v>
      </c>
      <c r="B1148" s="50" t="s">
        <v>1139</v>
      </c>
      <c r="G1148" s="50" t="s">
        <v>1451</v>
      </c>
    </row>
    <row r="1149">
      <c r="A1149" s="50">
        <v>217.0</v>
      </c>
      <c r="B1149" s="50" t="s">
        <v>2469</v>
      </c>
      <c r="G1149" s="50" t="s">
        <v>1451</v>
      </c>
    </row>
    <row r="1150">
      <c r="A1150" s="50">
        <v>3165.0</v>
      </c>
      <c r="B1150" s="50" t="s">
        <v>1065</v>
      </c>
      <c r="G1150" s="50" t="s">
        <v>1451</v>
      </c>
    </row>
    <row r="1151">
      <c r="A1151" s="50">
        <v>2644.0</v>
      </c>
      <c r="B1151" s="50" t="s">
        <v>2470</v>
      </c>
      <c r="G1151" s="50" t="s">
        <v>1451</v>
      </c>
    </row>
    <row r="1152">
      <c r="A1152" s="50">
        <v>2667.0</v>
      </c>
      <c r="B1152" s="50" t="s">
        <v>2471</v>
      </c>
      <c r="G1152" s="50" t="s">
        <v>1451</v>
      </c>
    </row>
    <row r="1153">
      <c r="A1153" s="50">
        <v>1828.0</v>
      </c>
      <c r="B1153" s="50" t="s">
        <v>2472</v>
      </c>
      <c r="G1153" s="50" t="s">
        <v>1451</v>
      </c>
    </row>
    <row r="1154">
      <c r="A1154" s="50">
        <v>3283.0</v>
      </c>
      <c r="B1154" s="50" t="s">
        <v>2473</v>
      </c>
      <c r="G1154" s="50" t="s">
        <v>1451</v>
      </c>
    </row>
    <row r="1155">
      <c r="A1155" s="50">
        <v>3261.0</v>
      </c>
      <c r="B1155" s="50" t="s">
        <v>2474</v>
      </c>
      <c r="G1155" s="50" t="s">
        <v>1451</v>
      </c>
    </row>
    <row r="1156">
      <c r="A1156" s="50">
        <v>3260.0</v>
      </c>
      <c r="B1156" s="50" t="s">
        <v>2475</v>
      </c>
      <c r="G1156" s="50" t="s">
        <v>1451</v>
      </c>
    </row>
    <row r="1157">
      <c r="A1157" s="50">
        <v>3279.0</v>
      </c>
      <c r="B1157" s="50" t="s">
        <v>2476</v>
      </c>
      <c r="G1157" s="50" t="s">
        <v>1451</v>
      </c>
    </row>
    <row r="1158">
      <c r="A1158" s="50">
        <v>3593.0</v>
      </c>
      <c r="B1158" s="50" t="s">
        <v>2477</v>
      </c>
      <c r="G1158" s="50" t="s">
        <v>1451</v>
      </c>
    </row>
    <row r="1159">
      <c r="A1159" s="50">
        <v>1084.0</v>
      </c>
      <c r="B1159" s="50" t="s">
        <v>2478</v>
      </c>
      <c r="G1159" s="50" t="s">
        <v>1451</v>
      </c>
    </row>
    <row r="1160">
      <c r="A1160" s="50">
        <v>2731.0</v>
      </c>
      <c r="B1160" s="50" t="s">
        <v>2479</v>
      </c>
      <c r="G1160" s="50" t="s">
        <v>1451</v>
      </c>
    </row>
    <row r="1161">
      <c r="A1161" s="50">
        <v>1829.0</v>
      </c>
      <c r="B1161" s="50" t="s">
        <v>2480</v>
      </c>
      <c r="G1161" s="50" t="s">
        <v>1451</v>
      </c>
    </row>
    <row r="1162">
      <c r="A1162" s="50">
        <v>2821.0</v>
      </c>
      <c r="B1162" s="50" t="s">
        <v>2481</v>
      </c>
      <c r="G1162" s="50" t="s">
        <v>1451</v>
      </c>
    </row>
    <row r="1163">
      <c r="A1163" s="50">
        <v>3149.0</v>
      </c>
      <c r="B1163" s="50" t="s">
        <v>2482</v>
      </c>
      <c r="G1163" s="50" t="s">
        <v>1451</v>
      </c>
    </row>
    <row r="1164">
      <c r="A1164" s="50">
        <v>147.0</v>
      </c>
      <c r="B1164" s="50" t="s">
        <v>2483</v>
      </c>
      <c r="G1164" s="50" t="s">
        <v>1451</v>
      </c>
    </row>
    <row r="1165">
      <c r="A1165" s="50">
        <v>889.0</v>
      </c>
      <c r="B1165" s="50" t="s">
        <v>2484</v>
      </c>
      <c r="G1165" s="50" t="s">
        <v>1451</v>
      </c>
    </row>
    <row r="1166">
      <c r="A1166" s="50">
        <v>2010.0</v>
      </c>
      <c r="B1166" s="50" t="s">
        <v>2485</v>
      </c>
      <c r="G1166" s="50" t="s">
        <v>1451</v>
      </c>
    </row>
    <row r="1167">
      <c r="A1167" s="50">
        <v>2724.0</v>
      </c>
      <c r="B1167" s="50" t="s">
        <v>2486</v>
      </c>
      <c r="G1167" s="50" t="s">
        <v>1451</v>
      </c>
    </row>
    <row r="1168">
      <c r="A1168" s="50">
        <v>3657.0</v>
      </c>
      <c r="B1168" s="50" t="s">
        <v>1126</v>
      </c>
      <c r="G1168" s="50" t="s">
        <v>1451</v>
      </c>
    </row>
    <row r="1169">
      <c r="A1169" s="50">
        <v>1096.0</v>
      </c>
      <c r="B1169" s="50" t="s">
        <v>2487</v>
      </c>
      <c r="G1169" s="50" t="s">
        <v>1451</v>
      </c>
    </row>
    <row r="1170">
      <c r="A1170" s="50">
        <v>2337.0</v>
      </c>
      <c r="B1170" s="50" t="s">
        <v>2488</v>
      </c>
      <c r="G1170" s="50" t="s">
        <v>1451</v>
      </c>
    </row>
    <row r="1171">
      <c r="A1171" s="50">
        <v>2642.0</v>
      </c>
      <c r="B1171" s="50" t="s">
        <v>2489</v>
      </c>
      <c r="G1171" s="50" t="s">
        <v>1451</v>
      </c>
    </row>
    <row r="1172">
      <c r="A1172" s="50">
        <v>3577.0</v>
      </c>
      <c r="B1172" s="50" t="s">
        <v>2490</v>
      </c>
      <c r="G1172" s="50" t="s">
        <v>1451</v>
      </c>
    </row>
    <row r="1173">
      <c r="A1173" s="50">
        <v>1003.0</v>
      </c>
      <c r="B1173" s="50" t="s">
        <v>2491</v>
      </c>
      <c r="G1173" s="50" t="s">
        <v>1451</v>
      </c>
    </row>
    <row r="1174">
      <c r="A1174" s="50">
        <v>1843.0</v>
      </c>
      <c r="B1174" s="50" t="s">
        <v>2492</v>
      </c>
      <c r="G1174" s="50" t="s">
        <v>1451</v>
      </c>
    </row>
    <row r="1175">
      <c r="A1175" s="50">
        <v>2816.0</v>
      </c>
      <c r="B1175" s="50" t="s">
        <v>2493</v>
      </c>
      <c r="G1175" s="50" t="s">
        <v>1451</v>
      </c>
    </row>
    <row r="1176">
      <c r="A1176" s="50">
        <v>2815.0</v>
      </c>
      <c r="B1176" s="50" t="s">
        <v>2494</v>
      </c>
      <c r="G1176" s="50" t="s">
        <v>1451</v>
      </c>
    </row>
    <row r="1177">
      <c r="A1177" s="50">
        <v>3180.0</v>
      </c>
      <c r="B1177" s="50" t="s">
        <v>466</v>
      </c>
      <c r="G1177" s="50" t="s">
        <v>1451</v>
      </c>
    </row>
    <row r="1178">
      <c r="A1178" s="50">
        <v>2998.0</v>
      </c>
      <c r="B1178" s="50" t="s">
        <v>2495</v>
      </c>
      <c r="G1178" s="50" t="s">
        <v>1451</v>
      </c>
    </row>
    <row r="1179">
      <c r="A1179" s="50">
        <v>3323.0</v>
      </c>
      <c r="B1179" s="50" t="s">
        <v>378</v>
      </c>
      <c r="G1179" s="50" t="s">
        <v>1451</v>
      </c>
    </row>
    <row r="1180">
      <c r="A1180" s="50">
        <v>3399.0</v>
      </c>
      <c r="B1180" s="50" t="s">
        <v>1128</v>
      </c>
      <c r="G1180" s="50" t="s">
        <v>1451</v>
      </c>
    </row>
    <row r="1181">
      <c r="A1181" s="50">
        <v>562.0</v>
      </c>
      <c r="B1181" s="50" t="s">
        <v>2497</v>
      </c>
      <c r="G1181" s="50" t="s">
        <v>1451</v>
      </c>
    </row>
    <row r="1182">
      <c r="A1182" s="50">
        <v>233.0</v>
      </c>
      <c r="B1182" s="50" t="s">
        <v>2498</v>
      </c>
      <c r="G1182" s="50" t="s">
        <v>1451</v>
      </c>
    </row>
    <row r="1183">
      <c r="A1183" s="50">
        <v>3092.0</v>
      </c>
      <c r="B1183" s="50" t="s">
        <v>1113</v>
      </c>
      <c r="G1183" s="50" t="s">
        <v>1451</v>
      </c>
    </row>
    <row r="1184">
      <c r="A1184" s="50">
        <v>1450.0</v>
      </c>
      <c r="B1184" s="50" t="s">
        <v>1111</v>
      </c>
      <c r="G1184" s="50" t="s">
        <v>1451</v>
      </c>
    </row>
    <row r="1185">
      <c r="A1185" s="50">
        <v>2681.0</v>
      </c>
      <c r="B1185" s="50" t="s">
        <v>2499</v>
      </c>
      <c r="G1185" s="50" t="s">
        <v>1451</v>
      </c>
    </row>
    <row r="1186">
      <c r="A1186" s="50">
        <v>435.0</v>
      </c>
      <c r="B1186" s="50" t="s">
        <v>2500</v>
      </c>
      <c r="G1186" s="50" t="s">
        <v>1451</v>
      </c>
    </row>
    <row r="1187">
      <c r="A1187" s="50">
        <v>3112.0</v>
      </c>
      <c r="B1187" s="50" t="s">
        <v>2501</v>
      </c>
      <c r="G1187" s="50" t="s">
        <v>1451</v>
      </c>
    </row>
    <row r="1188">
      <c r="A1188" s="50">
        <v>2809.0</v>
      </c>
      <c r="B1188" s="50" t="s">
        <v>2503</v>
      </c>
      <c r="G1188" s="50" t="s">
        <v>1451</v>
      </c>
    </row>
    <row r="1189">
      <c r="A1189" s="50">
        <v>2881.0</v>
      </c>
      <c r="B1189" s="50" t="s">
        <v>2505</v>
      </c>
      <c r="G1189" s="50" t="s">
        <v>1451</v>
      </c>
    </row>
    <row r="1190">
      <c r="A1190" s="50">
        <v>13.0</v>
      </c>
      <c r="B1190" s="50" t="s">
        <v>2506</v>
      </c>
      <c r="G1190" s="50" t="s">
        <v>1451</v>
      </c>
    </row>
    <row r="1191">
      <c r="A1191" s="50">
        <v>2666.0</v>
      </c>
      <c r="B1191" s="50" t="s">
        <v>2507</v>
      </c>
      <c r="G1191" s="50" t="s">
        <v>1451</v>
      </c>
    </row>
    <row r="1192">
      <c r="A1192" s="50">
        <v>2825.0</v>
      </c>
      <c r="B1192" s="50" t="s">
        <v>2508</v>
      </c>
      <c r="G1192" s="50" t="s">
        <v>1451</v>
      </c>
    </row>
    <row r="1193">
      <c r="A1193" s="50">
        <v>3067.0</v>
      </c>
      <c r="B1193" s="50" t="s">
        <v>2509</v>
      </c>
      <c r="G1193" s="50" t="s">
        <v>1451</v>
      </c>
    </row>
    <row r="1194">
      <c r="A1194" s="50">
        <v>2845.0</v>
      </c>
      <c r="B1194" s="50" t="s">
        <v>2510</v>
      </c>
      <c r="G1194" s="50" t="s">
        <v>1451</v>
      </c>
    </row>
    <row r="1195">
      <c r="A1195" s="50">
        <v>3278.0</v>
      </c>
      <c r="B1195" s="50" t="s">
        <v>2512</v>
      </c>
      <c r="G1195" s="50" t="s">
        <v>1451</v>
      </c>
    </row>
    <row r="1196">
      <c r="A1196" s="50">
        <v>3277.0</v>
      </c>
      <c r="B1196" s="50" t="s">
        <v>2513</v>
      </c>
      <c r="G1196" s="50" t="s">
        <v>1451</v>
      </c>
    </row>
    <row r="1197">
      <c r="A1197" s="50">
        <v>3284.0</v>
      </c>
      <c r="B1197" s="50" t="s">
        <v>2514</v>
      </c>
      <c r="G1197" s="50" t="s">
        <v>1451</v>
      </c>
    </row>
    <row r="1198">
      <c r="A1198" s="50">
        <v>1413.0</v>
      </c>
      <c r="B1198" s="50" t="s">
        <v>2515</v>
      </c>
      <c r="G1198" s="50" t="s">
        <v>1451</v>
      </c>
    </row>
    <row r="1199">
      <c r="A1199" s="50">
        <v>3173.0</v>
      </c>
      <c r="B1199" s="50" t="s">
        <v>1109</v>
      </c>
      <c r="G1199" s="50" t="s">
        <v>1451</v>
      </c>
    </row>
    <row r="1200">
      <c r="A1200" s="50">
        <v>3050.0</v>
      </c>
      <c r="B1200" s="50" t="s">
        <v>2516</v>
      </c>
      <c r="G1200" s="50" t="s">
        <v>1451</v>
      </c>
    </row>
    <row r="1201">
      <c r="A1201" s="50">
        <v>3085.0</v>
      </c>
      <c r="B1201" s="50" t="s">
        <v>2517</v>
      </c>
      <c r="G1201" s="50" t="s">
        <v>1451</v>
      </c>
    </row>
    <row r="1202">
      <c r="A1202" s="50">
        <v>2003.0</v>
      </c>
      <c r="B1202" s="50" t="s">
        <v>2518</v>
      </c>
      <c r="G1202" s="50" t="s">
        <v>1451</v>
      </c>
    </row>
    <row r="1203">
      <c r="A1203" s="50">
        <v>3027.0</v>
      </c>
      <c r="B1203" s="50" t="s">
        <v>2519</v>
      </c>
      <c r="G1203" s="50" t="s">
        <v>1451</v>
      </c>
    </row>
    <row r="1204">
      <c r="A1204" s="50">
        <v>1823.0</v>
      </c>
      <c r="B1204" s="50" t="s">
        <v>2520</v>
      </c>
      <c r="G1204" s="50" t="s">
        <v>1451</v>
      </c>
    </row>
    <row r="1205">
      <c r="A1205" s="50">
        <v>119.0</v>
      </c>
      <c r="B1205" s="50" t="s">
        <v>2521</v>
      </c>
      <c r="G1205" s="50" t="s">
        <v>1451</v>
      </c>
    </row>
    <row r="1206">
      <c r="A1206" s="50">
        <v>3076.0</v>
      </c>
      <c r="B1206" s="50" t="s">
        <v>89</v>
      </c>
      <c r="G1206" s="50" t="s">
        <v>1451</v>
      </c>
    </row>
    <row r="1207">
      <c r="A1207" s="50">
        <v>32.0</v>
      </c>
      <c r="B1207" s="50" t="s">
        <v>2522</v>
      </c>
      <c r="G1207" s="50" t="s">
        <v>1451</v>
      </c>
    </row>
    <row r="1208">
      <c r="A1208" s="50">
        <v>2267.0</v>
      </c>
      <c r="B1208" s="50" t="s">
        <v>2523</v>
      </c>
      <c r="G1208" s="50" t="s">
        <v>1451</v>
      </c>
    </row>
    <row r="1209">
      <c r="A1209" s="50">
        <v>30.0</v>
      </c>
      <c r="B1209" s="50" t="s">
        <v>2524</v>
      </c>
      <c r="G1209" s="50" t="s">
        <v>1451</v>
      </c>
    </row>
    <row r="1210">
      <c r="A1210" s="50">
        <v>2688.0</v>
      </c>
      <c r="B1210" s="50" t="s">
        <v>2525</v>
      </c>
      <c r="G1210" s="50" t="s">
        <v>1451</v>
      </c>
    </row>
    <row r="1211">
      <c r="A1211" s="50">
        <v>1156.0</v>
      </c>
      <c r="B1211" s="50" t="s">
        <v>2526</v>
      </c>
      <c r="G1211" s="50" t="s">
        <v>1451</v>
      </c>
    </row>
    <row r="1212">
      <c r="A1212" s="50">
        <v>3272.0</v>
      </c>
      <c r="B1212" s="50" t="s">
        <v>2527</v>
      </c>
      <c r="G1212" s="50" t="s">
        <v>1451</v>
      </c>
    </row>
    <row r="1213">
      <c r="A1213" s="50">
        <v>3271.0</v>
      </c>
      <c r="B1213" s="50" t="s">
        <v>2528</v>
      </c>
      <c r="G1213" s="50" t="s">
        <v>1451</v>
      </c>
    </row>
    <row r="1214">
      <c r="A1214" s="50">
        <v>3285.0</v>
      </c>
      <c r="B1214" s="50" t="s">
        <v>2529</v>
      </c>
      <c r="G1214" s="50" t="s">
        <v>1451</v>
      </c>
    </row>
    <row r="1215">
      <c r="A1215" s="50">
        <v>2788.0</v>
      </c>
      <c r="B1215" s="50" t="s">
        <v>2530</v>
      </c>
      <c r="G1215" s="50" t="s">
        <v>1451</v>
      </c>
    </row>
    <row r="1216">
      <c r="A1216" s="50">
        <v>2818.0</v>
      </c>
      <c r="B1216" s="50" t="s">
        <v>2531</v>
      </c>
      <c r="G1216" s="50" t="s">
        <v>1451</v>
      </c>
    </row>
    <row r="1217">
      <c r="A1217" s="50">
        <v>105.0</v>
      </c>
      <c r="B1217" s="50" t="s">
        <v>2532</v>
      </c>
      <c r="G1217" s="50" t="s">
        <v>1451</v>
      </c>
    </row>
    <row r="1218">
      <c r="A1218" s="50">
        <v>3382.0</v>
      </c>
      <c r="B1218" s="50" t="s">
        <v>2533</v>
      </c>
      <c r="G1218" s="50" t="s">
        <v>1451</v>
      </c>
    </row>
    <row r="1219">
      <c r="A1219" s="50">
        <v>3381.0</v>
      </c>
      <c r="B1219" s="50" t="s">
        <v>2534</v>
      </c>
      <c r="G1219" s="50" t="s">
        <v>1451</v>
      </c>
    </row>
    <row r="1220">
      <c r="A1220" s="50">
        <v>3670.0</v>
      </c>
      <c r="B1220" s="50" t="s">
        <v>2535</v>
      </c>
      <c r="G1220" s="50" t="s">
        <v>1451</v>
      </c>
    </row>
    <row r="1221">
      <c r="A1221" s="50">
        <v>1160.0</v>
      </c>
      <c r="B1221" s="50" t="s">
        <v>2537</v>
      </c>
      <c r="G1221" s="50" t="s">
        <v>1451</v>
      </c>
    </row>
    <row r="1222">
      <c r="A1222" s="50">
        <v>1978.0</v>
      </c>
      <c r="B1222" s="50" t="s">
        <v>2538</v>
      </c>
      <c r="G1222" s="50" t="s">
        <v>1451</v>
      </c>
    </row>
    <row r="1223">
      <c r="A1223" s="50">
        <v>3651.0</v>
      </c>
      <c r="B1223" s="50" t="s">
        <v>1131</v>
      </c>
      <c r="G1223" s="50" t="s">
        <v>1451</v>
      </c>
    </row>
    <row r="1224">
      <c r="A1224" s="50">
        <v>31.0</v>
      </c>
      <c r="B1224" s="50" t="s">
        <v>453</v>
      </c>
      <c r="G1224" s="50" t="s">
        <v>1451</v>
      </c>
    </row>
    <row r="1225">
      <c r="A1225" s="50">
        <v>2689.0</v>
      </c>
      <c r="B1225" s="50" t="s">
        <v>2539</v>
      </c>
      <c r="G1225" s="50" t="s">
        <v>1451</v>
      </c>
    </row>
    <row r="1226">
      <c r="A1226" s="50">
        <v>3257.0</v>
      </c>
      <c r="B1226" s="50" t="s">
        <v>2540</v>
      </c>
      <c r="G1226" s="50" t="s">
        <v>1451</v>
      </c>
    </row>
    <row r="1227">
      <c r="A1227" s="50">
        <v>3256.0</v>
      </c>
      <c r="B1227" s="50" t="s">
        <v>2541</v>
      </c>
      <c r="G1227" s="50" t="s">
        <v>1451</v>
      </c>
    </row>
    <row r="1228">
      <c r="A1228" s="50">
        <v>3265.0</v>
      </c>
      <c r="B1228" s="50" t="s">
        <v>2542</v>
      </c>
      <c r="G1228" s="50" t="s">
        <v>1451</v>
      </c>
    </row>
    <row r="1229">
      <c r="A1229" s="50">
        <v>3370.0</v>
      </c>
      <c r="B1229" s="50" t="s">
        <v>2543</v>
      </c>
      <c r="G1229" s="50" t="s">
        <v>1451</v>
      </c>
    </row>
    <row r="1230">
      <c r="A1230" s="50">
        <v>3371.0</v>
      </c>
      <c r="B1230" s="50" t="s">
        <v>2544</v>
      </c>
      <c r="G1230" s="50" t="s">
        <v>1451</v>
      </c>
    </row>
    <row r="1231">
      <c r="A1231" s="50">
        <v>553.0</v>
      </c>
      <c r="B1231" s="50" t="s">
        <v>2545</v>
      </c>
      <c r="G1231" s="50" t="s">
        <v>1451</v>
      </c>
    </row>
    <row r="1232">
      <c r="A1232" s="50">
        <v>3668.0</v>
      </c>
      <c r="B1232" s="50" t="s">
        <v>1133</v>
      </c>
      <c r="G1232" s="50" t="s">
        <v>1451</v>
      </c>
    </row>
    <row r="1233">
      <c r="A1233" s="50">
        <v>968.0</v>
      </c>
      <c r="B1233" s="50" t="s">
        <v>2546</v>
      </c>
      <c r="G1233" s="50" t="s">
        <v>1451</v>
      </c>
    </row>
    <row r="1234">
      <c r="A1234" s="50">
        <v>2548.0</v>
      </c>
      <c r="B1234" s="50" t="s">
        <v>2547</v>
      </c>
      <c r="G1234" s="50" t="s">
        <v>1451</v>
      </c>
    </row>
    <row r="1235">
      <c r="A1235" s="50">
        <v>2512.0</v>
      </c>
      <c r="B1235" s="50" t="s">
        <v>2548</v>
      </c>
      <c r="G1235" s="50" t="s">
        <v>1451</v>
      </c>
    </row>
    <row r="1236">
      <c r="A1236" s="50">
        <v>3134.0</v>
      </c>
      <c r="B1236" s="50" t="s">
        <v>2549</v>
      </c>
      <c r="G1236" s="50" t="s">
        <v>1451</v>
      </c>
    </row>
    <row r="1237">
      <c r="A1237" s="50">
        <v>1077.0</v>
      </c>
      <c r="B1237" s="50" t="s">
        <v>2550</v>
      </c>
      <c r="G1237" s="50" t="s">
        <v>1451</v>
      </c>
    </row>
    <row r="1238">
      <c r="A1238" s="50">
        <v>1019.0</v>
      </c>
      <c r="B1238" s="50" t="s">
        <v>2551</v>
      </c>
      <c r="G1238" s="50" t="s">
        <v>1451</v>
      </c>
    </row>
    <row r="1239">
      <c r="A1239" s="50">
        <v>66.0</v>
      </c>
      <c r="B1239" s="50" t="s">
        <v>2552</v>
      </c>
      <c r="G1239" s="50" t="s">
        <v>1451</v>
      </c>
    </row>
    <row r="1240">
      <c r="A1240" s="50">
        <v>1014.0</v>
      </c>
      <c r="B1240" s="50" t="s">
        <v>2553</v>
      </c>
      <c r="G1240" s="50" t="s">
        <v>1451</v>
      </c>
    </row>
    <row r="1241">
      <c r="A1241" s="50">
        <v>2903.0</v>
      </c>
      <c r="B1241" s="50" t="s">
        <v>2554</v>
      </c>
      <c r="G1241" s="50" t="s">
        <v>1451</v>
      </c>
    </row>
    <row r="1242">
      <c r="A1242" s="50">
        <v>2902.0</v>
      </c>
      <c r="B1242" s="50" t="s">
        <v>2555</v>
      </c>
      <c r="G1242" s="50" t="s">
        <v>1451</v>
      </c>
    </row>
    <row r="1243">
      <c r="A1243" s="50">
        <v>3078.0</v>
      </c>
      <c r="B1243" s="50" t="s">
        <v>2556</v>
      </c>
      <c r="G1243" s="50" t="s">
        <v>1451</v>
      </c>
    </row>
    <row r="1244">
      <c r="A1244" s="50">
        <v>913.0</v>
      </c>
      <c r="B1244" s="50" t="s">
        <v>2557</v>
      </c>
      <c r="G1244" s="50" t="s">
        <v>1451</v>
      </c>
    </row>
    <row r="1245">
      <c r="A1245" s="50">
        <v>3243.0</v>
      </c>
      <c r="B1245" s="50" t="s">
        <v>2558</v>
      </c>
      <c r="G1245" s="50" t="s">
        <v>1451</v>
      </c>
    </row>
    <row r="1246">
      <c r="A1246" s="50">
        <v>2572.0</v>
      </c>
      <c r="B1246" s="50" t="s">
        <v>2559</v>
      </c>
      <c r="G1246" s="50" t="s">
        <v>1451</v>
      </c>
    </row>
    <row r="1247">
      <c r="A1247" s="50">
        <v>1979.0</v>
      </c>
      <c r="B1247" s="50" t="s">
        <v>2560</v>
      </c>
      <c r="G1247" s="50" t="s">
        <v>1451</v>
      </c>
    </row>
    <row r="1248">
      <c r="A1248" s="50">
        <v>2865.0</v>
      </c>
      <c r="B1248" s="50" t="s">
        <v>2561</v>
      </c>
      <c r="G1248" s="50" t="s">
        <v>1451</v>
      </c>
    </row>
    <row r="1249">
      <c r="A1249" s="50">
        <v>2741.0</v>
      </c>
      <c r="B1249" s="50" t="s">
        <v>2562</v>
      </c>
      <c r="G1249" s="50" t="s">
        <v>1451</v>
      </c>
    </row>
    <row r="1250">
      <c r="A1250" s="50">
        <v>2661.0</v>
      </c>
      <c r="B1250" s="50" t="s">
        <v>2563</v>
      </c>
      <c r="G1250" s="50" t="s">
        <v>1451</v>
      </c>
    </row>
    <row r="1251">
      <c r="A1251" s="50">
        <v>2638.0</v>
      </c>
      <c r="B1251" s="50" t="s">
        <v>2564</v>
      </c>
      <c r="G1251" s="50" t="s">
        <v>1451</v>
      </c>
    </row>
    <row r="1252">
      <c r="A1252" s="50">
        <v>3004.0</v>
      </c>
      <c r="B1252" s="50" t="s">
        <v>2565</v>
      </c>
      <c r="G1252" s="50" t="s">
        <v>1451</v>
      </c>
    </row>
    <row r="1253">
      <c r="A1253" s="50">
        <v>135.0</v>
      </c>
      <c r="B1253" s="50" t="s">
        <v>2566</v>
      </c>
      <c r="G1253" s="50" t="s">
        <v>1451</v>
      </c>
    </row>
    <row r="1254">
      <c r="A1254" s="50">
        <v>3519.0</v>
      </c>
      <c r="B1254" s="50" t="s">
        <v>582</v>
      </c>
      <c r="G1254" s="50" t="s">
        <v>1451</v>
      </c>
    </row>
    <row r="1255">
      <c r="A1255" s="50">
        <v>1822.0</v>
      </c>
      <c r="B1255" s="50" t="s">
        <v>2567</v>
      </c>
      <c r="G1255" s="50" t="s">
        <v>1451</v>
      </c>
    </row>
    <row r="1256">
      <c r="A1256" s="50">
        <v>3175.0</v>
      </c>
      <c r="B1256" s="50" t="s">
        <v>2568</v>
      </c>
      <c r="G1256" s="50" t="s">
        <v>1451</v>
      </c>
    </row>
    <row r="1257">
      <c r="A1257" s="50">
        <v>2678.0</v>
      </c>
      <c r="B1257" s="50" t="s">
        <v>2569</v>
      </c>
      <c r="G1257" s="50" t="s">
        <v>1451</v>
      </c>
    </row>
    <row r="1258">
      <c r="A1258" s="50">
        <v>3433.0</v>
      </c>
      <c r="B1258" s="50" t="s">
        <v>1091</v>
      </c>
      <c r="G1258" s="50" t="s">
        <v>1451</v>
      </c>
    </row>
    <row r="1259">
      <c r="A1259" s="50">
        <v>3436.0</v>
      </c>
      <c r="B1259" s="50" t="s">
        <v>2570</v>
      </c>
      <c r="G1259" s="50" t="s">
        <v>1451</v>
      </c>
    </row>
    <row r="1260">
      <c r="A1260" s="50">
        <v>3080.0</v>
      </c>
      <c r="B1260" s="50" t="s">
        <v>411</v>
      </c>
      <c r="G1260" s="50" t="s">
        <v>1451</v>
      </c>
    </row>
    <row r="1261">
      <c r="A1261" s="50">
        <v>1412.0</v>
      </c>
      <c r="B1261" s="50" t="s">
        <v>2571</v>
      </c>
      <c r="G1261" s="50" t="s">
        <v>1451</v>
      </c>
    </row>
    <row r="1262">
      <c r="A1262" s="50">
        <v>1004.0</v>
      </c>
      <c r="B1262" s="50" t="s">
        <v>2572</v>
      </c>
      <c r="G1262" s="50" t="s">
        <v>1451</v>
      </c>
    </row>
    <row r="1263">
      <c r="A1263" s="50">
        <v>2663.0</v>
      </c>
      <c r="B1263" s="50" t="s">
        <v>2573</v>
      </c>
      <c r="G1263" s="50" t="s">
        <v>1451</v>
      </c>
    </row>
    <row r="1264">
      <c r="A1264" s="50">
        <v>3147.0</v>
      </c>
      <c r="B1264" s="50" t="s">
        <v>405</v>
      </c>
      <c r="G1264" s="50" t="s">
        <v>1451</v>
      </c>
    </row>
    <row r="1265">
      <c r="A1265" s="50">
        <v>1159.0</v>
      </c>
      <c r="B1265" s="50" t="s">
        <v>2574</v>
      </c>
      <c r="G1265" s="50" t="s">
        <v>1451</v>
      </c>
    </row>
    <row r="1266">
      <c r="A1266" s="50">
        <v>3216.0</v>
      </c>
      <c r="B1266" s="50" t="s">
        <v>434</v>
      </c>
      <c r="G1266" s="50" t="s">
        <v>1451</v>
      </c>
    </row>
    <row r="1267">
      <c r="A1267" s="50">
        <v>3438.0</v>
      </c>
      <c r="B1267" s="50" t="s">
        <v>2575</v>
      </c>
      <c r="G1267" s="50" t="s">
        <v>1451</v>
      </c>
    </row>
    <row r="1268">
      <c r="A1268" s="50">
        <v>3082.0</v>
      </c>
      <c r="B1268" s="50" t="s">
        <v>1087</v>
      </c>
      <c r="G1268" s="50" t="s">
        <v>1451</v>
      </c>
    </row>
    <row r="1269">
      <c r="A1269" s="50">
        <v>2685.0</v>
      </c>
      <c r="B1269" s="50" t="s">
        <v>2576</v>
      </c>
      <c r="G1269" s="50" t="s">
        <v>1451</v>
      </c>
    </row>
    <row r="1270">
      <c r="A1270" s="50">
        <v>1566.0</v>
      </c>
      <c r="B1270" s="50" t="s">
        <v>2577</v>
      </c>
      <c r="G1270" s="50" t="s">
        <v>1451</v>
      </c>
    </row>
    <row r="1271">
      <c r="A1271" s="50">
        <v>1396.0</v>
      </c>
      <c r="B1271" s="50" t="s">
        <v>2578</v>
      </c>
      <c r="G1271" s="50" t="s">
        <v>1451</v>
      </c>
    </row>
    <row r="1272">
      <c r="A1272" s="50">
        <v>1013.0</v>
      </c>
      <c r="B1272" s="50" t="s">
        <v>2579</v>
      </c>
      <c r="G1272" s="50" t="s">
        <v>1451</v>
      </c>
    </row>
    <row r="1273">
      <c r="A1273" s="50">
        <v>3019.0</v>
      </c>
      <c r="B1273" s="50" t="s">
        <v>2580</v>
      </c>
      <c r="G1273" s="50" t="s">
        <v>1451</v>
      </c>
    </row>
    <row r="1274">
      <c r="A1274" s="50">
        <v>67.0</v>
      </c>
      <c r="B1274" s="50" t="s">
        <v>2581</v>
      </c>
      <c r="G1274" s="50" t="s">
        <v>1451</v>
      </c>
    </row>
    <row r="1275">
      <c r="A1275" s="50">
        <v>2761.0</v>
      </c>
      <c r="B1275" s="50" t="s">
        <v>2582</v>
      </c>
      <c r="G1275" s="50" t="s">
        <v>1451</v>
      </c>
    </row>
    <row r="1276">
      <c r="A1276" s="50">
        <v>136.0</v>
      </c>
      <c r="B1276" s="50" t="s">
        <v>2583</v>
      </c>
      <c r="G1276" s="50" t="s">
        <v>1451</v>
      </c>
    </row>
    <row r="1277">
      <c r="A1277" s="50">
        <v>3061.0</v>
      </c>
      <c r="B1277" s="50" t="s">
        <v>2584</v>
      </c>
      <c r="G1277" s="50" t="s">
        <v>1451</v>
      </c>
    </row>
    <row r="1278">
      <c r="A1278" s="50">
        <v>585.0</v>
      </c>
      <c r="B1278" s="50" t="s">
        <v>2585</v>
      </c>
      <c r="G1278" s="50" t="s">
        <v>1451</v>
      </c>
    </row>
    <row r="1279">
      <c r="A1279" s="50">
        <v>47.0</v>
      </c>
      <c r="B1279" s="50" t="s">
        <v>2586</v>
      </c>
      <c r="G1279" s="50" t="s">
        <v>1451</v>
      </c>
    </row>
    <row r="1280">
      <c r="A1280" s="50">
        <v>2706.0</v>
      </c>
      <c r="B1280" s="50" t="s">
        <v>2587</v>
      </c>
      <c r="G1280" s="50" t="s">
        <v>1451</v>
      </c>
    </row>
    <row r="1281">
      <c r="A1281" s="50">
        <v>62.0</v>
      </c>
      <c r="B1281" s="50" t="s">
        <v>2588</v>
      </c>
      <c r="G1281" s="50" t="s">
        <v>1451</v>
      </c>
    </row>
    <row r="1282">
      <c r="A1282" s="50">
        <v>109.0</v>
      </c>
      <c r="B1282" s="50" t="s">
        <v>2589</v>
      </c>
      <c r="G1282" s="50" t="s">
        <v>1451</v>
      </c>
    </row>
    <row r="1283">
      <c r="A1283" s="50">
        <v>3660.0</v>
      </c>
      <c r="B1283" s="50" t="s">
        <v>2590</v>
      </c>
      <c r="G1283" s="50" t="s">
        <v>1451</v>
      </c>
    </row>
    <row r="1284">
      <c r="A1284" s="50">
        <v>2646.0</v>
      </c>
      <c r="B1284" s="50" t="s">
        <v>2592</v>
      </c>
      <c r="G1284" s="50" t="s">
        <v>1451</v>
      </c>
    </row>
    <row r="1285">
      <c r="A1285" s="50">
        <v>58.0</v>
      </c>
      <c r="B1285" s="50" t="s">
        <v>2593</v>
      </c>
      <c r="G1285" s="50" t="s">
        <v>1451</v>
      </c>
    </row>
    <row r="1286">
      <c r="A1286" s="50">
        <v>3170.0</v>
      </c>
      <c r="B1286" s="50" t="s">
        <v>528</v>
      </c>
      <c r="G1286" s="50" t="s">
        <v>1451</v>
      </c>
    </row>
    <row r="1287">
      <c r="A1287" s="50">
        <v>2529.0</v>
      </c>
      <c r="B1287" s="50" t="s">
        <v>2594</v>
      </c>
      <c r="G1287" s="50" t="s">
        <v>1451</v>
      </c>
    </row>
    <row r="1288">
      <c r="A1288" s="50">
        <v>2834.0</v>
      </c>
      <c r="B1288" s="50" t="s">
        <v>2595</v>
      </c>
      <c r="G1288" s="50" t="s">
        <v>1451</v>
      </c>
    </row>
    <row r="1289">
      <c r="A1289" s="50">
        <v>3689.0</v>
      </c>
      <c r="B1289" s="50" t="s">
        <v>1095</v>
      </c>
      <c r="G1289" s="50" t="s">
        <v>1451</v>
      </c>
    </row>
    <row r="1290">
      <c r="A1290" s="50">
        <v>2625.0</v>
      </c>
      <c r="B1290" s="50" t="s">
        <v>2596</v>
      </c>
      <c r="G1290" s="50" t="s">
        <v>1451</v>
      </c>
    </row>
    <row r="1291">
      <c r="A1291" s="50">
        <v>378.0</v>
      </c>
      <c r="B1291" s="50" t="s">
        <v>531</v>
      </c>
      <c r="G1291" s="50" t="s">
        <v>1451</v>
      </c>
    </row>
    <row r="1292">
      <c r="A1292" s="50">
        <v>2621.0</v>
      </c>
      <c r="B1292" s="50" t="s">
        <v>531</v>
      </c>
      <c r="G1292" s="50" t="s">
        <v>1451</v>
      </c>
    </row>
    <row r="1293">
      <c r="A1293" s="50">
        <v>2066.0</v>
      </c>
      <c r="B1293" s="50" t="s">
        <v>2597</v>
      </c>
      <c r="G1293" s="50" t="s">
        <v>1451</v>
      </c>
    </row>
    <row r="1294">
      <c r="A1294" s="50">
        <v>2822.0</v>
      </c>
      <c r="B1294" s="50" t="s">
        <v>2598</v>
      </c>
      <c r="G1294" s="50" t="s">
        <v>1451</v>
      </c>
    </row>
    <row r="1295">
      <c r="A1295" s="50">
        <v>2970.0</v>
      </c>
      <c r="B1295" s="50" t="s">
        <v>2599</v>
      </c>
      <c r="G1295" s="50" t="s">
        <v>1451</v>
      </c>
    </row>
    <row r="1296">
      <c r="A1296" s="50">
        <v>1842.0</v>
      </c>
      <c r="B1296" s="50" t="s">
        <v>2600</v>
      </c>
      <c r="G1296" s="50" t="s">
        <v>1451</v>
      </c>
    </row>
    <row r="1297">
      <c r="A1297" s="50">
        <v>3394.0</v>
      </c>
      <c r="B1297" s="50" t="s">
        <v>2601</v>
      </c>
      <c r="G1297" s="50" t="s">
        <v>1451</v>
      </c>
    </row>
    <row r="1298">
      <c r="A1298" s="50">
        <v>3393.0</v>
      </c>
      <c r="B1298" s="50" t="s">
        <v>2602</v>
      </c>
      <c r="G1298" s="50" t="s">
        <v>1451</v>
      </c>
    </row>
    <row r="1299">
      <c r="A1299" s="50">
        <v>3500.0</v>
      </c>
      <c r="B1299" s="50" t="s">
        <v>1097</v>
      </c>
      <c r="G1299" s="50" t="s">
        <v>1451</v>
      </c>
    </row>
    <row r="1300">
      <c r="A1300" s="50">
        <v>141.0</v>
      </c>
      <c r="B1300" s="50" t="s">
        <v>2603</v>
      </c>
      <c r="G1300" s="50" t="s">
        <v>1451</v>
      </c>
    </row>
    <row r="1301">
      <c r="A1301" s="50">
        <v>3797.0</v>
      </c>
      <c r="B1301" s="50" t="s">
        <v>1105</v>
      </c>
      <c r="G1301" s="50" t="s">
        <v>1451</v>
      </c>
    </row>
    <row r="1302">
      <c r="A1302" s="50">
        <v>46.0</v>
      </c>
      <c r="B1302" s="50" t="s">
        <v>2604</v>
      </c>
      <c r="G1302" s="50" t="s">
        <v>1451</v>
      </c>
    </row>
    <row r="1303">
      <c r="A1303" s="50">
        <v>2268.0</v>
      </c>
      <c r="B1303" s="50" t="s">
        <v>2605</v>
      </c>
      <c r="G1303" s="50" t="s">
        <v>1451</v>
      </c>
    </row>
    <row r="1304">
      <c r="A1304" s="50">
        <v>148.0</v>
      </c>
      <c r="B1304" s="50" t="s">
        <v>2606</v>
      </c>
      <c r="G1304" s="50" t="s">
        <v>1451</v>
      </c>
    </row>
    <row r="1305">
      <c r="A1305" s="50">
        <v>2861.0</v>
      </c>
      <c r="B1305" s="50" t="s">
        <v>2607</v>
      </c>
      <c r="G1305" s="50" t="s">
        <v>1451</v>
      </c>
    </row>
    <row r="1306">
      <c r="A1306" s="50">
        <v>2708.0</v>
      </c>
      <c r="B1306" s="50" t="s">
        <v>2608</v>
      </c>
      <c r="G1306" s="50" t="s">
        <v>1451</v>
      </c>
    </row>
    <row r="1307">
      <c r="A1307" s="50">
        <v>110.0</v>
      </c>
      <c r="B1307" s="50" t="s">
        <v>2609</v>
      </c>
      <c r="G1307" s="50" t="s">
        <v>1451</v>
      </c>
    </row>
    <row r="1308">
      <c r="A1308" s="50">
        <v>2549.0</v>
      </c>
      <c r="B1308" s="50" t="s">
        <v>2610</v>
      </c>
      <c r="G1308" s="50" t="s">
        <v>1451</v>
      </c>
    </row>
    <row r="1309">
      <c r="A1309" s="50">
        <v>3141.0</v>
      </c>
      <c r="B1309" s="50" t="s">
        <v>469</v>
      </c>
      <c r="G1309" s="50" t="s">
        <v>1451</v>
      </c>
    </row>
    <row r="1310">
      <c r="A1310" s="50">
        <v>2530.0</v>
      </c>
      <c r="B1310" s="50" t="s">
        <v>2612</v>
      </c>
      <c r="G1310" s="50" t="s">
        <v>1451</v>
      </c>
    </row>
    <row r="1311">
      <c r="A1311" s="50">
        <v>3327.0</v>
      </c>
      <c r="B1311" s="50" t="s">
        <v>424</v>
      </c>
      <c r="G1311" s="50" t="s">
        <v>1451</v>
      </c>
    </row>
    <row r="1312">
      <c r="A1312" s="50">
        <v>133.0</v>
      </c>
      <c r="B1312" s="50" t="s">
        <v>2613</v>
      </c>
      <c r="G1312" s="50" t="s">
        <v>1451</v>
      </c>
    </row>
    <row r="1313">
      <c r="A1313" s="50">
        <v>1027.0</v>
      </c>
      <c r="B1313" s="50" t="s">
        <v>2614</v>
      </c>
      <c r="G1313" s="50" t="s">
        <v>1451</v>
      </c>
    </row>
    <row r="1314">
      <c r="A1314" s="50">
        <v>95.0</v>
      </c>
      <c r="B1314" s="50" t="s">
        <v>2615</v>
      </c>
      <c r="G1314" s="50" t="s">
        <v>1451</v>
      </c>
    </row>
    <row r="1315">
      <c r="A1315" s="50">
        <v>3304.0</v>
      </c>
      <c r="B1315" s="50" t="s">
        <v>2616</v>
      </c>
      <c r="G1315" s="50" t="s">
        <v>1451</v>
      </c>
    </row>
    <row r="1316">
      <c r="A1316" s="50">
        <v>2954.0</v>
      </c>
      <c r="B1316" s="50" t="s">
        <v>1257</v>
      </c>
      <c r="G1316" s="50" t="s">
        <v>1451</v>
      </c>
    </row>
    <row r="1317">
      <c r="A1317" s="50">
        <v>2343.0</v>
      </c>
      <c r="B1317" s="50" t="s">
        <v>2617</v>
      </c>
      <c r="G1317" s="50" t="s">
        <v>1451</v>
      </c>
    </row>
    <row r="1318">
      <c r="A1318" s="50">
        <v>42.0</v>
      </c>
      <c r="B1318" s="50" t="s">
        <v>2618</v>
      </c>
      <c r="G1318" s="50" t="s">
        <v>1451</v>
      </c>
    </row>
    <row r="1319">
      <c r="A1319" s="50">
        <v>7.0</v>
      </c>
      <c r="B1319" s="50" t="s">
        <v>2619</v>
      </c>
      <c r="G1319" s="50" t="s">
        <v>1451</v>
      </c>
    </row>
    <row r="1320">
      <c r="A1320" s="50">
        <v>1402.0</v>
      </c>
      <c r="B1320" s="50" t="s">
        <v>2620</v>
      </c>
      <c r="G1320" s="50" t="s">
        <v>1451</v>
      </c>
    </row>
    <row r="1321">
      <c r="A1321" s="50">
        <v>15.0</v>
      </c>
      <c r="B1321" s="50" t="s">
        <v>2621</v>
      </c>
      <c r="E1321" s="50">
        <v>2640.0</v>
      </c>
      <c r="F1321" s="50" t="s">
        <v>1530</v>
      </c>
      <c r="G1321" s="50" t="s">
        <v>1437</v>
      </c>
    </row>
    <row r="1322">
      <c r="A1322" s="50">
        <v>927.0</v>
      </c>
      <c r="B1322" s="50" t="s">
        <v>2622</v>
      </c>
      <c r="E1322" s="50">
        <v>2248.0</v>
      </c>
      <c r="F1322" s="50" t="s">
        <v>1461</v>
      </c>
      <c r="G1322" s="50" t="s">
        <v>1437</v>
      </c>
    </row>
    <row r="1323">
      <c r="A1323" s="50">
        <v>928.0</v>
      </c>
      <c r="B1323" s="50" t="s">
        <v>2623</v>
      </c>
      <c r="G1323" s="50" t="s">
        <v>1451</v>
      </c>
    </row>
    <row r="1324">
      <c r="A1324" s="50">
        <v>2983.0</v>
      </c>
      <c r="B1324" s="50" t="s">
        <v>2624</v>
      </c>
      <c r="G1324" s="50" t="s">
        <v>1451</v>
      </c>
    </row>
    <row r="1325">
      <c r="A1325" s="50">
        <v>2408.0</v>
      </c>
      <c r="B1325" s="50" t="s">
        <v>2625</v>
      </c>
      <c r="G1325" s="50" t="s">
        <v>1451</v>
      </c>
    </row>
    <row r="1326">
      <c r="A1326" s="50">
        <v>3678.0</v>
      </c>
      <c r="B1326" s="50" t="s">
        <v>2626</v>
      </c>
      <c r="G1326" s="50" t="s">
        <v>1451</v>
      </c>
    </row>
    <row r="1327">
      <c r="A1327" s="50">
        <v>3189.0</v>
      </c>
      <c r="B1327" s="50" t="s">
        <v>2627</v>
      </c>
      <c r="G1327" s="50" t="s">
        <v>1451</v>
      </c>
    </row>
    <row r="1328">
      <c r="A1328" s="50">
        <v>3814.0</v>
      </c>
      <c r="B1328" s="50" t="s">
        <v>2628</v>
      </c>
      <c r="G1328" s="50" t="s">
        <v>1451</v>
      </c>
    </row>
    <row r="1329">
      <c r="A1329" s="50">
        <v>1321.0</v>
      </c>
      <c r="B1329" s="50" t="s">
        <v>2629</v>
      </c>
      <c r="G1329" s="50" t="s">
        <v>1451</v>
      </c>
    </row>
    <row r="1330">
      <c r="A1330" s="50">
        <v>2497.0</v>
      </c>
      <c r="B1330" s="50" t="s">
        <v>2630</v>
      </c>
      <c r="G1330" s="50" t="s">
        <v>1451</v>
      </c>
    </row>
    <row r="1331">
      <c r="A1331" s="50">
        <v>3375.0</v>
      </c>
      <c r="B1331" s="50" t="s">
        <v>302</v>
      </c>
      <c r="G1331" s="50" t="s">
        <v>1451</v>
      </c>
    </row>
    <row r="1332">
      <c r="A1332" s="50">
        <v>2483.0</v>
      </c>
      <c r="B1332" s="50" t="s">
        <v>2631</v>
      </c>
      <c r="G1332" s="50" t="s">
        <v>1451</v>
      </c>
    </row>
    <row r="1333">
      <c r="A1333" s="50">
        <v>1184.0</v>
      </c>
      <c r="B1333" s="50" t="s">
        <v>2632</v>
      </c>
      <c r="E1333" s="50">
        <v>487.0</v>
      </c>
      <c r="F1333" s="50" t="s">
        <v>1443</v>
      </c>
      <c r="G1333" s="50" t="s">
        <v>1437</v>
      </c>
    </row>
    <row r="1334">
      <c r="A1334" s="50">
        <v>1185.0</v>
      </c>
      <c r="B1334" s="50" t="s">
        <v>2633</v>
      </c>
      <c r="E1334" s="50">
        <v>2264.0</v>
      </c>
      <c r="F1334" s="50" t="s">
        <v>1447</v>
      </c>
      <c r="G1334" s="50" t="s">
        <v>1437</v>
      </c>
    </row>
    <row r="1335">
      <c r="A1335" s="50">
        <v>870.0</v>
      </c>
      <c r="B1335" s="50" t="s">
        <v>2634</v>
      </c>
      <c r="G1335" s="50" t="s">
        <v>1451</v>
      </c>
    </row>
    <row r="1336">
      <c r="A1336" s="50">
        <v>871.0</v>
      </c>
      <c r="B1336" s="50" t="s">
        <v>2635</v>
      </c>
      <c r="G1336" s="50" t="s">
        <v>1451</v>
      </c>
    </row>
    <row r="1337">
      <c r="A1337" s="50">
        <v>2546.0</v>
      </c>
      <c r="B1337" s="50" t="s">
        <v>2636</v>
      </c>
      <c r="G1337" s="50" t="s">
        <v>1451</v>
      </c>
    </row>
    <row r="1338">
      <c r="A1338" s="50">
        <v>890.0</v>
      </c>
      <c r="B1338" s="50" t="s">
        <v>2637</v>
      </c>
      <c r="E1338" s="50">
        <v>2263.0</v>
      </c>
      <c r="F1338" s="50" t="s">
        <v>1436</v>
      </c>
      <c r="G1338" s="50" t="s">
        <v>1437</v>
      </c>
    </row>
    <row r="1339">
      <c r="A1339" s="50">
        <v>1334.0</v>
      </c>
      <c r="B1339" s="50" t="s">
        <v>2638</v>
      </c>
      <c r="E1339" s="50">
        <v>2247.0</v>
      </c>
      <c r="F1339" s="50" t="s">
        <v>1441</v>
      </c>
      <c r="G1339" s="50" t="s">
        <v>1437</v>
      </c>
    </row>
    <row r="1340">
      <c r="A1340" s="50">
        <v>1279.0</v>
      </c>
      <c r="B1340" s="50" t="s">
        <v>2639</v>
      </c>
      <c r="E1340" s="50">
        <v>2247.0</v>
      </c>
      <c r="F1340" s="50" t="s">
        <v>1441</v>
      </c>
      <c r="G1340" s="50" t="s">
        <v>1437</v>
      </c>
    </row>
    <row r="1341">
      <c r="A1341" s="50">
        <v>1309.0</v>
      </c>
      <c r="B1341" s="50" t="s">
        <v>2640</v>
      </c>
      <c r="E1341" s="50">
        <v>2278.0</v>
      </c>
      <c r="F1341" s="50" t="s">
        <v>1439</v>
      </c>
      <c r="G1341" s="50" t="s">
        <v>1437</v>
      </c>
    </row>
    <row r="1342">
      <c r="A1342" s="50">
        <v>888.0</v>
      </c>
      <c r="B1342" s="50" t="s">
        <v>2641</v>
      </c>
      <c r="E1342" s="50">
        <v>487.0</v>
      </c>
      <c r="F1342" s="50" t="s">
        <v>1443</v>
      </c>
      <c r="G1342" s="50" t="s">
        <v>1437</v>
      </c>
    </row>
    <row r="1343">
      <c r="A1343" s="50">
        <v>1486.0</v>
      </c>
      <c r="B1343" s="50" t="s">
        <v>2642</v>
      </c>
      <c r="E1343" s="50">
        <v>2278.0</v>
      </c>
      <c r="F1343" s="50" t="s">
        <v>1439</v>
      </c>
      <c r="G1343" s="50" t="s">
        <v>1437</v>
      </c>
    </row>
    <row r="1344">
      <c r="A1344" s="50">
        <v>1407.0</v>
      </c>
      <c r="B1344" s="50" t="s">
        <v>2643</v>
      </c>
      <c r="E1344" s="50">
        <v>2247.0</v>
      </c>
      <c r="F1344" s="50" t="s">
        <v>1441</v>
      </c>
      <c r="G1344" s="50" t="s">
        <v>1437</v>
      </c>
    </row>
    <row r="1345">
      <c r="A1345" s="50">
        <v>1369.0</v>
      </c>
      <c r="B1345" s="50" t="s">
        <v>2644</v>
      </c>
      <c r="E1345" s="50">
        <v>2247.0</v>
      </c>
      <c r="F1345" s="50" t="s">
        <v>1441</v>
      </c>
      <c r="G1345" s="50" t="s">
        <v>1437</v>
      </c>
    </row>
    <row r="1346">
      <c r="A1346" s="50">
        <v>3728.0</v>
      </c>
      <c r="B1346" s="50" t="s">
        <v>2645</v>
      </c>
      <c r="E1346" s="50">
        <v>2263.0</v>
      </c>
      <c r="F1346" s="50" t="s">
        <v>1436</v>
      </c>
      <c r="G1346" s="50" t="s">
        <v>1437</v>
      </c>
    </row>
    <row r="1347">
      <c r="A1347" s="50">
        <v>3489.0</v>
      </c>
      <c r="B1347" s="50" t="s">
        <v>2646</v>
      </c>
      <c r="E1347" s="50">
        <v>2278.0</v>
      </c>
      <c r="F1347" s="50" t="s">
        <v>1439</v>
      </c>
      <c r="G1347" s="50" t="s">
        <v>1437</v>
      </c>
    </row>
    <row r="1348">
      <c r="A1348" s="50">
        <v>3429.0</v>
      </c>
      <c r="B1348" s="50" t="s">
        <v>2647</v>
      </c>
      <c r="E1348" s="50">
        <v>487.0</v>
      </c>
      <c r="F1348" s="50" t="s">
        <v>1443</v>
      </c>
      <c r="G1348" s="50" t="s">
        <v>1437</v>
      </c>
    </row>
    <row r="1349">
      <c r="A1349" s="50">
        <v>3360.0</v>
      </c>
      <c r="B1349" s="50" t="s">
        <v>2648</v>
      </c>
      <c r="G1349" s="50" t="s">
        <v>1451</v>
      </c>
    </row>
    <row r="1350">
      <c r="A1350" s="50">
        <v>3143.0</v>
      </c>
      <c r="B1350" s="50" t="s">
        <v>2649</v>
      </c>
      <c r="E1350" s="50">
        <v>2263.0</v>
      </c>
      <c r="F1350" s="50" t="s">
        <v>1436</v>
      </c>
      <c r="G1350" s="50" t="s">
        <v>1437</v>
      </c>
    </row>
    <row r="1351">
      <c r="A1351" s="50">
        <v>3185.0</v>
      </c>
      <c r="B1351" s="50" t="s">
        <v>2650</v>
      </c>
      <c r="E1351" s="50">
        <v>487.0</v>
      </c>
      <c r="F1351" s="50" t="s">
        <v>1443</v>
      </c>
      <c r="G1351" s="50" t="s">
        <v>1437</v>
      </c>
    </row>
    <row r="1352">
      <c r="A1352" s="50">
        <v>116.0</v>
      </c>
      <c r="B1352" s="50" t="s">
        <v>2651</v>
      </c>
      <c r="E1352" s="50">
        <v>2247.0</v>
      </c>
      <c r="F1352" s="50" t="s">
        <v>1441</v>
      </c>
      <c r="G1352" s="50" t="s">
        <v>1437</v>
      </c>
    </row>
    <row r="1353">
      <c r="A1353" s="50">
        <v>10.0</v>
      </c>
      <c r="B1353" s="50" t="s">
        <v>2652</v>
      </c>
      <c r="E1353" s="50">
        <v>487.0</v>
      </c>
      <c r="F1353" s="50" t="s">
        <v>1443</v>
      </c>
      <c r="G1353" s="50" t="s">
        <v>1437</v>
      </c>
    </row>
    <row r="1354">
      <c r="A1354" s="50">
        <v>3708.0</v>
      </c>
      <c r="B1354" s="50" t="s">
        <v>2653</v>
      </c>
      <c r="C1354" s="50">
        <v>3913.0</v>
      </c>
      <c r="D1354" s="50" t="s">
        <v>2654</v>
      </c>
      <c r="E1354" s="50">
        <v>2263.0</v>
      </c>
      <c r="F1354" s="50" t="s">
        <v>1436</v>
      </c>
      <c r="G1354" s="50" t="s">
        <v>1452</v>
      </c>
    </row>
    <row r="1355">
      <c r="A1355" s="50">
        <v>3709.0</v>
      </c>
      <c r="B1355" s="50" t="s">
        <v>2655</v>
      </c>
      <c r="C1355" s="50">
        <v>3913.0</v>
      </c>
      <c r="D1355" s="50" t="s">
        <v>2654</v>
      </c>
      <c r="E1355" s="50">
        <v>487.0</v>
      </c>
      <c r="F1355" s="50" t="s">
        <v>1443</v>
      </c>
      <c r="G1355" s="50" t="s">
        <v>1452</v>
      </c>
    </row>
    <row r="1356">
      <c r="A1356" s="50">
        <v>3736.0</v>
      </c>
      <c r="B1356" s="50" t="s">
        <v>2656</v>
      </c>
      <c r="C1356" s="50">
        <v>3913.0</v>
      </c>
      <c r="D1356" s="50" t="s">
        <v>2654</v>
      </c>
      <c r="E1356" s="50">
        <v>2263.0</v>
      </c>
      <c r="F1356" s="50" t="s">
        <v>1436</v>
      </c>
      <c r="G1356" s="50" t="s">
        <v>1452</v>
      </c>
    </row>
    <row r="1357">
      <c r="A1357" s="50">
        <v>3652.0</v>
      </c>
      <c r="B1357" s="50" t="s">
        <v>2657</v>
      </c>
      <c r="C1357" s="50">
        <v>3913.0</v>
      </c>
      <c r="D1357" s="50" t="s">
        <v>2654</v>
      </c>
      <c r="E1357" s="50">
        <v>2247.0</v>
      </c>
      <c r="F1357" s="50" t="s">
        <v>1441</v>
      </c>
      <c r="G1357" s="50" t="s">
        <v>1452</v>
      </c>
    </row>
    <row r="1358">
      <c r="A1358" s="50">
        <v>3473.0</v>
      </c>
      <c r="B1358" s="50" t="s">
        <v>2660</v>
      </c>
      <c r="C1358" s="50">
        <v>3913.0</v>
      </c>
      <c r="D1358" s="50" t="s">
        <v>2654</v>
      </c>
      <c r="E1358" s="50">
        <v>2263.0</v>
      </c>
      <c r="F1358" s="50" t="s">
        <v>1436</v>
      </c>
      <c r="G1358" s="50" t="s">
        <v>1452</v>
      </c>
    </row>
    <row r="1359">
      <c r="A1359" s="50">
        <v>3474.0</v>
      </c>
      <c r="B1359" s="50" t="s">
        <v>441</v>
      </c>
      <c r="C1359" s="50">
        <v>3913.0</v>
      </c>
      <c r="D1359" s="50" t="s">
        <v>2654</v>
      </c>
      <c r="E1359" s="50">
        <v>2278.0</v>
      </c>
      <c r="F1359" s="50" t="s">
        <v>1439</v>
      </c>
      <c r="G1359" s="50" t="s">
        <v>1452</v>
      </c>
    </row>
    <row r="1360">
      <c r="A1360" s="50">
        <v>1009.0</v>
      </c>
      <c r="B1360" s="50" t="s">
        <v>2661</v>
      </c>
      <c r="G1360" s="50" t="s">
        <v>1451</v>
      </c>
    </row>
    <row r="1361">
      <c r="A1361" s="50">
        <v>1293.0</v>
      </c>
      <c r="B1361" s="50" t="s">
        <v>616</v>
      </c>
      <c r="E1361" s="50">
        <v>2247.0</v>
      </c>
      <c r="F1361" s="50" t="s">
        <v>1441</v>
      </c>
      <c r="G1361" s="50" t="s">
        <v>1437</v>
      </c>
    </row>
    <row r="1362">
      <c r="A1362" s="50">
        <v>2883.0</v>
      </c>
      <c r="B1362" s="50" t="s">
        <v>2662</v>
      </c>
      <c r="G1362" s="50" t="s">
        <v>1451</v>
      </c>
    </row>
    <row r="1363">
      <c r="A1363" s="50">
        <v>1294.0</v>
      </c>
      <c r="B1363" s="50" t="s">
        <v>2663</v>
      </c>
      <c r="G1363" s="50" t="s">
        <v>1451</v>
      </c>
    </row>
    <row r="1364">
      <c r="A1364" s="50">
        <v>1318.0</v>
      </c>
      <c r="B1364" s="50" t="s">
        <v>2664</v>
      </c>
      <c r="E1364" s="50">
        <v>2247.0</v>
      </c>
      <c r="F1364" s="50" t="s">
        <v>1441</v>
      </c>
      <c r="G1364" s="50" t="s">
        <v>1437</v>
      </c>
    </row>
    <row r="1365">
      <c r="A1365" s="50">
        <v>727.0</v>
      </c>
      <c r="B1365" s="50" t="s">
        <v>2665</v>
      </c>
      <c r="E1365" s="50">
        <v>2248.0</v>
      </c>
      <c r="F1365" s="50" t="s">
        <v>1461</v>
      </c>
      <c r="G1365" s="50" t="s">
        <v>1437</v>
      </c>
    </row>
    <row r="1366">
      <c r="A1366" s="50">
        <v>610.0</v>
      </c>
      <c r="B1366" s="50" t="s">
        <v>2666</v>
      </c>
      <c r="E1366" s="50">
        <v>2278.0</v>
      </c>
      <c r="F1366" s="50" t="s">
        <v>1439</v>
      </c>
      <c r="G1366" s="50" t="s">
        <v>1437</v>
      </c>
    </row>
    <row r="1367">
      <c r="A1367" s="50">
        <v>3442.0</v>
      </c>
      <c r="B1367" s="50" t="s">
        <v>2667</v>
      </c>
      <c r="E1367" s="50">
        <v>2278.0</v>
      </c>
      <c r="F1367" s="50" t="s">
        <v>1439</v>
      </c>
      <c r="G1367" s="50" t="s">
        <v>1437</v>
      </c>
    </row>
    <row r="1368">
      <c r="A1368" s="50">
        <v>2314.0</v>
      </c>
      <c r="B1368" s="50" t="s">
        <v>2668</v>
      </c>
      <c r="G1368" s="50" t="s">
        <v>1451</v>
      </c>
    </row>
    <row r="1369">
      <c r="A1369" s="50">
        <v>3691.0</v>
      </c>
      <c r="B1369" s="50" t="s">
        <v>698</v>
      </c>
      <c r="C1369" s="50">
        <v>3929.0</v>
      </c>
      <c r="D1369" s="50" t="s">
        <v>2669</v>
      </c>
      <c r="E1369" s="50">
        <v>487.0</v>
      </c>
      <c r="F1369" s="50" t="s">
        <v>1443</v>
      </c>
      <c r="G1369" s="50" t="s">
        <v>1452</v>
      </c>
    </row>
    <row r="1370">
      <c r="A1370" s="50">
        <v>1343.0</v>
      </c>
      <c r="B1370" s="50" t="s">
        <v>2670</v>
      </c>
      <c r="E1370" s="50">
        <v>2247.0</v>
      </c>
      <c r="F1370" s="50" t="s">
        <v>1441</v>
      </c>
      <c r="G1370" s="50" t="s">
        <v>1437</v>
      </c>
    </row>
    <row r="1371">
      <c r="A1371" s="50">
        <v>3367.0</v>
      </c>
      <c r="B1371" s="50" t="s">
        <v>2671</v>
      </c>
      <c r="E1371" s="50">
        <v>2640.0</v>
      </c>
      <c r="F1371" s="50" t="s">
        <v>1530</v>
      </c>
      <c r="G1371" s="50" t="s">
        <v>1437</v>
      </c>
    </row>
    <row r="1372">
      <c r="A1372" s="50">
        <v>3735.0</v>
      </c>
      <c r="B1372" s="50" t="s">
        <v>927</v>
      </c>
      <c r="G1372" s="50" t="s">
        <v>1451</v>
      </c>
    </row>
    <row r="1373">
      <c r="A1373" s="50">
        <v>2880.0</v>
      </c>
      <c r="B1373" s="50" t="s">
        <v>2672</v>
      </c>
      <c r="E1373" s="50">
        <v>487.0</v>
      </c>
      <c r="F1373" s="50" t="s">
        <v>1443</v>
      </c>
      <c r="G1373" s="50" t="s">
        <v>1437</v>
      </c>
    </row>
    <row r="1374">
      <c r="A1374" s="50">
        <v>2394.0</v>
      </c>
      <c r="B1374" s="50" t="s">
        <v>2673</v>
      </c>
      <c r="G1374" s="50" t="s">
        <v>1451</v>
      </c>
    </row>
    <row r="1375">
      <c r="A1375" s="50">
        <v>2395.0</v>
      </c>
      <c r="B1375" s="50" t="s">
        <v>2674</v>
      </c>
      <c r="G1375" s="50" t="s">
        <v>1451</v>
      </c>
    </row>
    <row r="1376">
      <c r="A1376" s="50">
        <v>2432.0</v>
      </c>
      <c r="B1376" s="50" t="s">
        <v>2675</v>
      </c>
      <c r="G1376" s="50" t="s">
        <v>1451</v>
      </c>
    </row>
    <row r="1377">
      <c r="A1377" s="50">
        <v>2430.0</v>
      </c>
      <c r="B1377" s="50" t="s">
        <v>2676</v>
      </c>
      <c r="G1377" s="50" t="s">
        <v>1451</v>
      </c>
    </row>
    <row r="1378">
      <c r="A1378" s="50">
        <v>2431.0</v>
      </c>
      <c r="B1378" s="50" t="s">
        <v>2677</v>
      </c>
      <c r="G1378" s="50" t="s">
        <v>1451</v>
      </c>
    </row>
    <row r="1379">
      <c r="A1379" s="50">
        <v>3518.0</v>
      </c>
      <c r="B1379" s="50" t="s">
        <v>518</v>
      </c>
      <c r="G1379" s="50" t="s">
        <v>1451</v>
      </c>
    </row>
    <row r="1380">
      <c r="A1380" s="50">
        <v>3455.0</v>
      </c>
      <c r="B1380" s="50" t="s">
        <v>283</v>
      </c>
      <c r="G1380" s="50" t="s">
        <v>1451</v>
      </c>
    </row>
    <row r="1381">
      <c r="A1381" s="50">
        <v>2580.0</v>
      </c>
      <c r="B1381" s="50" t="s">
        <v>2678</v>
      </c>
      <c r="G1381" s="50" t="s">
        <v>1451</v>
      </c>
    </row>
    <row r="1382">
      <c r="A1382" s="50">
        <v>2477.0</v>
      </c>
      <c r="B1382" s="50" t="s">
        <v>2679</v>
      </c>
      <c r="G1382" s="50" t="s">
        <v>1451</v>
      </c>
    </row>
    <row r="1383">
      <c r="A1383" s="50">
        <v>1313.0</v>
      </c>
      <c r="B1383" s="50" t="s">
        <v>2680</v>
      </c>
      <c r="G1383" s="50" t="s">
        <v>1451</v>
      </c>
    </row>
    <row r="1384">
      <c r="A1384" s="50">
        <v>683.0</v>
      </c>
      <c r="B1384" s="50" t="s">
        <v>2681</v>
      </c>
      <c r="G1384" s="50" t="s">
        <v>1451</v>
      </c>
    </row>
    <row r="1385">
      <c r="A1385" s="50">
        <v>2068.0</v>
      </c>
      <c r="B1385" s="50" t="s">
        <v>2682</v>
      </c>
      <c r="G1385" s="50" t="s">
        <v>1451</v>
      </c>
    </row>
    <row r="1386">
      <c r="A1386" s="50">
        <v>2694.0</v>
      </c>
      <c r="B1386" s="50" t="s">
        <v>2683</v>
      </c>
      <c r="E1386" s="50">
        <v>2247.0</v>
      </c>
      <c r="F1386" s="50" t="s">
        <v>1441</v>
      </c>
      <c r="G1386" s="50" t="s">
        <v>1437</v>
      </c>
    </row>
    <row r="1387">
      <c r="A1387" s="50">
        <v>718.0</v>
      </c>
      <c r="B1387" s="50" t="s">
        <v>2684</v>
      </c>
      <c r="G1387" s="50" t="s">
        <v>1451</v>
      </c>
    </row>
    <row r="1388">
      <c r="A1388" s="50">
        <v>3006.0</v>
      </c>
      <c r="B1388" s="50" t="s">
        <v>2685</v>
      </c>
      <c r="G1388" s="50" t="s">
        <v>1451</v>
      </c>
    </row>
    <row r="1389">
      <c r="A1389" s="50">
        <v>3201.0</v>
      </c>
      <c r="B1389" s="50" t="s">
        <v>2687</v>
      </c>
      <c r="G1389" s="50" t="s">
        <v>1451</v>
      </c>
    </row>
    <row r="1390">
      <c r="A1390" s="50">
        <v>2760.0</v>
      </c>
      <c r="B1390" s="50" t="s">
        <v>2688</v>
      </c>
      <c r="E1390" s="50">
        <v>2640.0</v>
      </c>
      <c r="F1390" s="50" t="s">
        <v>1530</v>
      </c>
      <c r="G1390" s="50" t="s">
        <v>1437</v>
      </c>
    </row>
    <row r="1391">
      <c r="A1391" s="50">
        <v>2933.0</v>
      </c>
      <c r="B1391" s="50" t="s">
        <v>2689</v>
      </c>
      <c r="G1391" s="50" t="s">
        <v>1451</v>
      </c>
    </row>
    <row r="1392">
      <c r="A1392" s="50">
        <v>102.0</v>
      </c>
      <c r="B1392" s="50" t="s">
        <v>535</v>
      </c>
      <c r="G1392" s="50" t="s">
        <v>1451</v>
      </c>
    </row>
    <row r="1393">
      <c r="A1393" s="50">
        <v>2941.0</v>
      </c>
      <c r="B1393" s="50" t="s">
        <v>535</v>
      </c>
      <c r="G1393" s="50" t="s">
        <v>1451</v>
      </c>
    </row>
    <row r="1394">
      <c r="A1394" s="50">
        <v>3309.0</v>
      </c>
      <c r="B1394" s="50" t="s">
        <v>2690</v>
      </c>
      <c r="E1394" s="50">
        <v>2640.0</v>
      </c>
      <c r="F1394" s="50" t="s">
        <v>1530</v>
      </c>
      <c r="G1394" s="50" t="s">
        <v>1437</v>
      </c>
    </row>
    <row r="1395">
      <c r="A1395" s="50">
        <v>380.0</v>
      </c>
      <c r="B1395" s="50" t="s">
        <v>323</v>
      </c>
      <c r="G1395" s="50" t="s">
        <v>1451</v>
      </c>
    </row>
    <row r="1396">
      <c r="A1396" s="50">
        <v>2254.0</v>
      </c>
      <c r="B1396" s="50" t="s">
        <v>2691</v>
      </c>
      <c r="G1396" s="50" t="s">
        <v>1451</v>
      </c>
    </row>
    <row r="1397">
      <c r="A1397" s="50">
        <v>3752.0</v>
      </c>
      <c r="B1397" s="50" t="s">
        <v>339</v>
      </c>
      <c r="G1397" s="50" t="s">
        <v>1451</v>
      </c>
    </row>
    <row r="1398">
      <c r="A1398" s="50">
        <v>2251.0</v>
      </c>
      <c r="B1398" s="50" t="s">
        <v>2692</v>
      </c>
      <c r="G1398" s="50" t="s">
        <v>1451</v>
      </c>
    </row>
    <row r="1399">
      <c r="A1399" s="50">
        <v>709.0</v>
      </c>
      <c r="B1399" s="50" t="s">
        <v>2693</v>
      </c>
      <c r="G1399" s="50" t="s">
        <v>1451</v>
      </c>
    </row>
    <row r="1400">
      <c r="A1400" s="50">
        <v>3434.0</v>
      </c>
      <c r="B1400" s="50" t="s">
        <v>2694</v>
      </c>
      <c r="G1400" s="50" t="s">
        <v>1451</v>
      </c>
    </row>
    <row r="1401">
      <c r="A1401" s="50">
        <v>3414.0</v>
      </c>
      <c r="B1401" s="50" t="s">
        <v>2695</v>
      </c>
      <c r="E1401" s="50">
        <v>2247.0</v>
      </c>
      <c r="F1401" s="50" t="s">
        <v>1441</v>
      </c>
      <c r="G1401" s="50" t="s">
        <v>1437</v>
      </c>
    </row>
    <row r="1402">
      <c r="A1402" s="50">
        <v>3415.0</v>
      </c>
      <c r="B1402" s="50" t="s">
        <v>2696</v>
      </c>
      <c r="E1402" s="50">
        <v>3136.0</v>
      </c>
      <c r="F1402" s="50" t="s">
        <v>1610</v>
      </c>
      <c r="G1402" s="50" t="s">
        <v>1437</v>
      </c>
    </row>
    <row r="1403">
      <c r="A1403" s="50">
        <v>3000.0</v>
      </c>
      <c r="B1403" s="50" t="s">
        <v>2697</v>
      </c>
      <c r="G1403" s="50" t="s">
        <v>1451</v>
      </c>
    </row>
    <row r="1404">
      <c r="A1404" s="50">
        <v>2499.0</v>
      </c>
      <c r="B1404" s="50" t="s">
        <v>2698</v>
      </c>
      <c r="G1404" s="50" t="s">
        <v>1451</v>
      </c>
    </row>
    <row r="1405">
      <c r="A1405" s="50">
        <v>113.0</v>
      </c>
      <c r="B1405" s="50" t="s">
        <v>558</v>
      </c>
      <c r="E1405" s="50">
        <v>2264.0</v>
      </c>
      <c r="F1405" s="50" t="s">
        <v>1447</v>
      </c>
      <c r="G1405" s="50" t="s">
        <v>1437</v>
      </c>
    </row>
    <row r="1406">
      <c r="A1406" s="50">
        <v>2211.0</v>
      </c>
      <c r="B1406" s="50" t="s">
        <v>2700</v>
      </c>
      <c r="E1406" s="50">
        <v>2264.0</v>
      </c>
      <c r="F1406" s="50" t="s">
        <v>1447</v>
      </c>
      <c r="G1406" s="50" t="s">
        <v>1437</v>
      </c>
    </row>
    <row r="1407">
      <c r="A1407" s="50">
        <v>2409.0</v>
      </c>
      <c r="B1407" s="50" t="s">
        <v>2702</v>
      </c>
      <c r="E1407" s="50">
        <v>2264.0</v>
      </c>
      <c r="F1407" s="50" t="s">
        <v>1447</v>
      </c>
      <c r="G1407" s="50" t="s">
        <v>1437</v>
      </c>
    </row>
    <row r="1408">
      <c r="A1408" s="50">
        <v>2264.0</v>
      </c>
      <c r="B1408" s="50" t="s">
        <v>2703</v>
      </c>
      <c r="E1408" s="50">
        <v>2264.0</v>
      </c>
      <c r="F1408" s="50" t="s">
        <v>1447</v>
      </c>
      <c r="G1408" s="50" t="s">
        <v>1437</v>
      </c>
    </row>
    <row r="1409">
      <c r="A1409" s="50">
        <v>2363.0</v>
      </c>
      <c r="B1409" s="50" t="s">
        <v>2704</v>
      </c>
      <c r="E1409" s="50">
        <v>2264.0</v>
      </c>
      <c r="F1409" s="50" t="s">
        <v>1447</v>
      </c>
      <c r="G1409" s="50" t="s">
        <v>1437</v>
      </c>
    </row>
    <row r="1410">
      <c r="A1410" s="50">
        <v>488.0</v>
      </c>
      <c r="B1410" s="50" t="s">
        <v>2705</v>
      </c>
      <c r="E1410" s="50">
        <v>2264.0</v>
      </c>
      <c r="F1410" s="50" t="s">
        <v>1447</v>
      </c>
      <c r="G1410" s="50" t="s">
        <v>1437</v>
      </c>
    </row>
    <row r="1411">
      <c r="A1411" s="50">
        <v>3328.0</v>
      </c>
      <c r="B1411" s="50" t="s">
        <v>398</v>
      </c>
      <c r="E1411" s="50">
        <v>2264.0</v>
      </c>
      <c r="F1411" s="50" t="s">
        <v>1447</v>
      </c>
      <c r="G1411" s="50" t="s">
        <v>1437</v>
      </c>
    </row>
    <row r="1412">
      <c r="A1412" s="50">
        <v>3580.0</v>
      </c>
      <c r="B1412" s="50" t="s">
        <v>2706</v>
      </c>
      <c r="E1412" s="50">
        <v>2247.0</v>
      </c>
      <c r="F1412" s="50" t="s">
        <v>1441</v>
      </c>
      <c r="G1412" s="50" t="s">
        <v>1437</v>
      </c>
    </row>
    <row r="1413">
      <c r="A1413" s="50">
        <v>3775.0</v>
      </c>
      <c r="B1413" s="50" t="s">
        <v>2707</v>
      </c>
      <c r="E1413" s="50">
        <v>2247.0</v>
      </c>
      <c r="F1413" s="50" t="s">
        <v>1441</v>
      </c>
      <c r="G1413" s="50" t="s">
        <v>1437</v>
      </c>
    </row>
    <row r="1414">
      <c r="A1414" s="50">
        <v>3297.0</v>
      </c>
      <c r="B1414" s="50" t="s">
        <v>2708</v>
      </c>
      <c r="E1414" s="50">
        <v>2640.0</v>
      </c>
      <c r="F1414" s="50" t="s">
        <v>1530</v>
      </c>
      <c r="G1414" s="50" t="s">
        <v>1437</v>
      </c>
    </row>
    <row r="1415">
      <c r="A1415" s="50">
        <v>3690.0</v>
      </c>
      <c r="B1415" s="50" t="s">
        <v>2709</v>
      </c>
      <c r="E1415" s="50">
        <v>2278.0</v>
      </c>
      <c r="F1415" s="50" t="s">
        <v>1439</v>
      </c>
      <c r="G1415" s="50" t="s">
        <v>1437</v>
      </c>
    </row>
    <row r="1416">
      <c r="A1416" s="50">
        <v>2814.0</v>
      </c>
      <c r="B1416" s="50" t="s">
        <v>2710</v>
      </c>
      <c r="E1416" s="50">
        <v>2247.0</v>
      </c>
      <c r="F1416" s="50" t="s">
        <v>1441</v>
      </c>
      <c r="G1416" s="50" t="s">
        <v>1437</v>
      </c>
    </row>
    <row r="1417">
      <c r="A1417" s="50">
        <v>3349.0</v>
      </c>
      <c r="B1417" s="50" t="s">
        <v>2711</v>
      </c>
      <c r="E1417" s="50">
        <v>2278.0</v>
      </c>
      <c r="F1417" s="50" t="s">
        <v>1439</v>
      </c>
      <c r="G1417" s="50" t="s">
        <v>1437</v>
      </c>
    </row>
    <row r="1418">
      <c r="A1418" s="50">
        <v>3363.0</v>
      </c>
      <c r="B1418" s="50" t="s">
        <v>2712</v>
      </c>
      <c r="E1418" s="50">
        <v>2247.0</v>
      </c>
      <c r="F1418" s="50" t="s">
        <v>1441</v>
      </c>
      <c r="G1418" s="50" t="s">
        <v>1437</v>
      </c>
    </row>
    <row r="1419">
      <c r="A1419" s="50">
        <v>2798.0</v>
      </c>
      <c r="B1419" s="50" t="s">
        <v>2713</v>
      </c>
      <c r="G1419" s="50" t="s">
        <v>1451</v>
      </c>
    </row>
    <row r="1420">
      <c r="A1420" s="50">
        <v>1142.0</v>
      </c>
      <c r="B1420" s="50" t="s">
        <v>2715</v>
      </c>
      <c r="G1420" s="50" t="s">
        <v>1451</v>
      </c>
    </row>
    <row r="1421">
      <c r="A1421" s="50">
        <v>897.0</v>
      </c>
      <c r="B1421" s="50" t="s">
        <v>2716</v>
      </c>
      <c r="G1421" s="50" t="s">
        <v>1451</v>
      </c>
    </row>
    <row r="1422">
      <c r="A1422" s="50">
        <v>2300.0</v>
      </c>
      <c r="B1422" s="50" t="s">
        <v>2717</v>
      </c>
      <c r="G1422" s="50" t="s">
        <v>1451</v>
      </c>
    </row>
    <row r="1423">
      <c r="A1423" s="50">
        <v>386.0</v>
      </c>
      <c r="B1423" s="50" t="s">
        <v>300</v>
      </c>
      <c r="G1423" s="50" t="s">
        <v>1451</v>
      </c>
    </row>
    <row r="1424">
      <c r="A1424" s="50">
        <v>909.0</v>
      </c>
      <c r="B1424" s="50" t="s">
        <v>2718</v>
      </c>
      <c r="G1424" s="50" t="s">
        <v>1451</v>
      </c>
    </row>
    <row r="1425">
      <c r="A1425" s="50">
        <v>2386.0</v>
      </c>
      <c r="B1425" s="50" t="s">
        <v>2719</v>
      </c>
      <c r="G1425" s="50" t="s">
        <v>1451</v>
      </c>
    </row>
    <row r="1426">
      <c r="A1426" s="50">
        <v>2269.0</v>
      </c>
      <c r="B1426" s="50" t="s">
        <v>2720</v>
      </c>
      <c r="G1426" s="50" t="s">
        <v>1451</v>
      </c>
    </row>
    <row r="1427">
      <c r="A1427" s="50">
        <v>8.0</v>
      </c>
      <c r="B1427" s="50" t="s">
        <v>272</v>
      </c>
      <c r="G1427" s="50" t="s">
        <v>1451</v>
      </c>
    </row>
    <row r="1428">
      <c r="A1428" s="50">
        <v>1237.0</v>
      </c>
      <c r="B1428" s="50" t="s">
        <v>2721</v>
      </c>
      <c r="G1428" s="50" t="s">
        <v>1451</v>
      </c>
    </row>
    <row r="1429">
      <c r="A1429" s="50">
        <v>2330.0</v>
      </c>
      <c r="B1429" s="50" t="s">
        <v>2722</v>
      </c>
      <c r="G1429" s="50" t="s">
        <v>1451</v>
      </c>
    </row>
    <row r="1430">
      <c r="A1430" s="50">
        <v>910.0</v>
      </c>
      <c r="B1430" s="50" t="s">
        <v>2723</v>
      </c>
      <c r="E1430" s="50">
        <v>2247.0</v>
      </c>
      <c r="F1430" s="50" t="s">
        <v>1441</v>
      </c>
      <c r="G1430" s="50" t="s">
        <v>1437</v>
      </c>
    </row>
    <row r="1431">
      <c r="A1431" s="50">
        <v>1403.0</v>
      </c>
      <c r="B1431" s="50" t="s">
        <v>2724</v>
      </c>
      <c r="E1431" s="50">
        <v>2247.0</v>
      </c>
      <c r="F1431" s="50" t="s">
        <v>1441</v>
      </c>
      <c r="G1431" s="50" t="s">
        <v>1437</v>
      </c>
    </row>
    <row r="1432">
      <c r="A1432" s="50">
        <v>2288.0</v>
      </c>
      <c r="B1432" s="50" t="s">
        <v>379</v>
      </c>
      <c r="E1432" s="50">
        <v>2247.0</v>
      </c>
      <c r="F1432" s="50" t="s">
        <v>1441</v>
      </c>
      <c r="G1432" s="50" t="s">
        <v>1437</v>
      </c>
    </row>
    <row r="1433">
      <c r="A1433" s="50">
        <v>2679.0</v>
      </c>
      <c r="B1433" s="50" t="s">
        <v>2725</v>
      </c>
      <c r="E1433" s="50">
        <v>2247.0</v>
      </c>
      <c r="F1433" s="50" t="s">
        <v>1441</v>
      </c>
      <c r="G1433" s="50" t="s">
        <v>1437</v>
      </c>
    </row>
    <row r="1434">
      <c r="A1434" s="50">
        <v>867.0</v>
      </c>
      <c r="B1434" s="50" t="s">
        <v>1171</v>
      </c>
      <c r="E1434" s="50">
        <v>2247.0</v>
      </c>
      <c r="F1434" s="50" t="s">
        <v>1441</v>
      </c>
      <c r="G1434" s="50" t="s">
        <v>1437</v>
      </c>
    </row>
    <row r="1435">
      <c r="A1435" s="50">
        <v>2693.0</v>
      </c>
      <c r="B1435" s="50" t="s">
        <v>2726</v>
      </c>
      <c r="G1435" s="50" t="s">
        <v>1451</v>
      </c>
    </row>
    <row r="1436">
      <c r="A1436" s="50">
        <v>3832.0</v>
      </c>
      <c r="B1436" s="50" t="s">
        <v>1182</v>
      </c>
      <c r="G1436" s="50" t="s">
        <v>1451</v>
      </c>
    </row>
    <row r="1437">
      <c r="A1437" s="50">
        <v>29.0</v>
      </c>
      <c r="B1437" s="50" t="s">
        <v>2727</v>
      </c>
      <c r="G1437" s="50" t="s">
        <v>1451</v>
      </c>
    </row>
    <row r="1438">
      <c r="A1438" s="50">
        <v>1368.0</v>
      </c>
      <c r="B1438" s="50" t="s">
        <v>2728</v>
      </c>
      <c r="G1438" s="50" t="s">
        <v>1451</v>
      </c>
    </row>
    <row r="1439">
      <c r="A1439" s="50">
        <v>3831.0</v>
      </c>
      <c r="B1439" s="50" t="s">
        <v>2729</v>
      </c>
      <c r="G1439" s="50" t="s">
        <v>1451</v>
      </c>
    </row>
    <row r="1440">
      <c r="A1440" s="50">
        <v>532.0</v>
      </c>
      <c r="B1440" s="50" t="s">
        <v>2730</v>
      </c>
      <c r="G1440" s="50" t="s">
        <v>1451</v>
      </c>
    </row>
    <row r="1441">
      <c r="A1441" s="50">
        <v>2273.0</v>
      </c>
      <c r="B1441" s="50" t="s">
        <v>2731</v>
      </c>
      <c r="G1441" s="50" t="s">
        <v>1451</v>
      </c>
    </row>
    <row r="1442">
      <c r="A1442" s="50">
        <v>2320.0</v>
      </c>
      <c r="B1442" s="50" t="s">
        <v>2732</v>
      </c>
      <c r="G1442" s="50" t="s">
        <v>1451</v>
      </c>
    </row>
    <row r="1443">
      <c r="A1443" s="50">
        <v>1106.0</v>
      </c>
      <c r="B1443" s="50" t="s">
        <v>2733</v>
      </c>
      <c r="G1443" s="50" t="s">
        <v>1451</v>
      </c>
    </row>
    <row r="1444">
      <c r="A1444" s="50">
        <v>2369.0</v>
      </c>
      <c r="B1444" s="50" t="s">
        <v>2734</v>
      </c>
      <c r="G1444" s="50" t="s">
        <v>1451</v>
      </c>
    </row>
    <row r="1445">
      <c r="A1445" s="50">
        <v>2255.0</v>
      </c>
      <c r="B1445" s="50" t="s">
        <v>2735</v>
      </c>
      <c r="G1445" s="50" t="s">
        <v>1451</v>
      </c>
    </row>
    <row r="1446">
      <c r="A1446" s="50">
        <v>582.0</v>
      </c>
      <c r="B1446" s="50" t="s">
        <v>2736</v>
      </c>
      <c r="G1446" s="50" t="s">
        <v>1451</v>
      </c>
    </row>
    <row r="1447">
      <c r="A1447" s="50">
        <v>118.0</v>
      </c>
      <c r="B1447" s="50" t="s">
        <v>2737</v>
      </c>
      <c r="E1447" s="50">
        <v>2247.0</v>
      </c>
      <c r="F1447" s="50" t="s">
        <v>1441</v>
      </c>
      <c r="G1447" s="50" t="s">
        <v>1437</v>
      </c>
    </row>
    <row r="1448">
      <c r="A1448" s="50">
        <v>44.0</v>
      </c>
      <c r="B1448" s="50" t="s">
        <v>2738</v>
      </c>
      <c r="E1448" s="50">
        <v>2247.0</v>
      </c>
      <c r="F1448" s="50" t="s">
        <v>1441</v>
      </c>
      <c r="G1448" s="50" t="s">
        <v>1437</v>
      </c>
    </row>
    <row r="1449">
      <c r="A1449" s="50">
        <v>60.0</v>
      </c>
      <c r="B1449" s="50" t="s">
        <v>2739</v>
      </c>
      <c r="E1449" s="50">
        <v>2247.0</v>
      </c>
      <c r="F1449" s="50" t="s">
        <v>1441</v>
      </c>
      <c r="G1449" s="50" t="s">
        <v>1437</v>
      </c>
    </row>
    <row r="1450">
      <c r="A1450" s="50">
        <v>2274.0</v>
      </c>
      <c r="B1450" s="50" t="s">
        <v>2740</v>
      </c>
      <c r="E1450" s="50">
        <v>2247.0</v>
      </c>
      <c r="F1450" s="50" t="s">
        <v>1441</v>
      </c>
      <c r="G1450" s="50" t="s">
        <v>1437</v>
      </c>
    </row>
    <row r="1451">
      <c r="A1451" s="50">
        <v>1163.0</v>
      </c>
      <c r="B1451" s="50" t="s">
        <v>2741</v>
      </c>
      <c r="E1451" s="50">
        <v>2247.0</v>
      </c>
      <c r="F1451" s="50" t="s">
        <v>1441</v>
      </c>
      <c r="G1451" s="50" t="s">
        <v>1437</v>
      </c>
    </row>
    <row r="1452">
      <c r="A1452" s="50">
        <v>2289.0</v>
      </c>
      <c r="B1452" s="50" t="s">
        <v>2742</v>
      </c>
      <c r="E1452" s="50">
        <v>2247.0</v>
      </c>
      <c r="F1452" s="50" t="s">
        <v>1441</v>
      </c>
      <c r="G1452" s="50" t="s">
        <v>1437</v>
      </c>
    </row>
    <row r="1453">
      <c r="A1453" s="50">
        <v>961.0</v>
      </c>
      <c r="B1453" s="50" t="s">
        <v>2743</v>
      </c>
      <c r="E1453" s="50">
        <v>2247.0</v>
      </c>
      <c r="F1453" s="50" t="s">
        <v>1441</v>
      </c>
      <c r="G1453" s="50" t="s">
        <v>1437</v>
      </c>
    </row>
    <row r="1454">
      <c r="A1454" s="50">
        <v>2806.0</v>
      </c>
      <c r="B1454" s="50" t="s">
        <v>2744</v>
      </c>
      <c r="E1454" s="50">
        <v>2247.0</v>
      </c>
      <c r="F1454" s="50" t="s">
        <v>1441</v>
      </c>
      <c r="G1454" s="50" t="s">
        <v>1437</v>
      </c>
    </row>
    <row r="1455">
      <c r="A1455" s="50">
        <v>1394.0</v>
      </c>
      <c r="B1455" s="50" t="s">
        <v>412</v>
      </c>
      <c r="G1455" s="50" t="s">
        <v>1451</v>
      </c>
    </row>
    <row r="1456">
      <c r="A1456" s="50">
        <v>3431.0</v>
      </c>
      <c r="B1456" s="50" t="s">
        <v>2745</v>
      </c>
      <c r="E1456" s="50">
        <v>2640.0</v>
      </c>
      <c r="F1456" s="50" t="s">
        <v>1530</v>
      </c>
      <c r="G1456" s="50" t="s">
        <v>1437</v>
      </c>
    </row>
    <row r="1457">
      <c r="A1457" s="50">
        <v>2600.0</v>
      </c>
      <c r="B1457" s="50" t="s">
        <v>2746</v>
      </c>
      <c r="G1457" s="50" t="s">
        <v>1451</v>
      </c>
    </row>
    <row r="1458">
      <c r="A1458" s="50">
        <v>2588.0</v>
      </c>
      <c r="B1458" s="50" t="s">
        <v>2747</v>
      </c>
      <c r="G1458" s="50" t="s">
        <v>1451</v>
      </c>
    </row>
    <row r="1459">
      <c r="A1459" s="50">
        <v>2589.0</v>
      </c>
      <c r="B1459" s="50" t="s">
        <v>2748</v>
      </c>
      <c r="G1459" s="50" t="s">
        <v>1451</v>
      </c>
    </row>
    <row r="1460">
      <c r="A1460" s="50">
        <v>2594.0</v>
      </c>
      <c r="B1460" s="50" t="s">
        <v>2749</v>
      </c>
      <c r="G1460" s="50" t="s">
        <v>1451</v>
      </c>
    </row>
    <row r="1461">
      <c r="A1461" s="50">
        <v>2599.0</v>
      </c>
      <c r="B1461" s="50" t="s">
        <v>2750</v>
      </c>
      <c r="G1461" s="50" t="s">
        <v>1451</v>
      </c>
    </row>
    <row r="1462">
      <c r="A1462" s="50">
        <v>2596.0</v>
      </c>
      <c r="B1462" s="50" t="s">
        <v>2751</v>
      </c>
      <c r="G1462" s="50" t="s">
        <v>1451</v>
      </c>
    </row>
    <row r="1463">
      <c r="A1463" s="50">
        <v>2593.0</v>
      </c>
      <c r="B1463" s="50" t="s">
        <v>2752</v>
      </c>
      <c r="G1463" s="50" t="s">
        <v>1451</v>
      </c>
    </row>
    <row r="1464">
      <c r="A1464" s="50">
        <v>2930.0</v>
      </c>
      <c r="B1464" s="50" t="s">
        <v>2753</v>
      </c>
      <c r="G1464" s="50" t="s">
        <v>1451</v>
      </c>
    </row>
    <row r="1465">
      <c r="A1465" s="50">
        <v>2293.0</v>
      </c>
      <c r="B1465" s="50" t="s">
        <v>2754</v>
      </c>
      <c r="G1465" s="50" t="s">
        <v>1451</v>
      </c>
    </row>
    <row r="1466">
      <c r="A1466" s="50">
        <v>2595.0</v>
      </c>
      <c r="B1466" s="50" t="s">
        <v>2755</v>
      </c>
      <c r="G1466" s="50" t="s">
        <v>1451</v>
      </c>
    </row>
    <row r="1467">
      <c r="A1467" s="50">
        <v>2592.0</v>
      </c>
      <c r="B1467" s="50" t="s">
        <v>2756</v>
      </c>
      <c r="G1467" s="50" t="s">
        <v>1451</v>
      </c>
    </row>
    <row r="1468">
      <c r="A1468" s="50">
        <v>1480.0</v>
      </c>
      <c r="B1468" s="50" t="s">
        <v>380</v>
      </c>
      <c r="G1468" s="50" t="s">
        <v>1451</v>
      </c>
    </row>
    <row r="1469">
      <c r="A1469" s="50">
        <v>2455.0</v>
      </c>
      <c r="B1469" s="50" t="s">
        <v>2757</v>
      </c>
      <c r="G1469" s="50" t="s">
        <v>1451</v>
      </c>
    </row>
    <row r="1470">
      <c r="A1470" s="50">
        <v>3528.0</v>
      </c>
      <c r="B1470" s="50" t="s">
        <v>463</v>
      </c>
      <c r="G1470" s="50" t="s">
        <v>1451</v>
      </c>
    </row>
    <row r="1471">
      <c r="A1471" s="50">
        <v>3045.0</v>
      </c>
      <c r="B1471" s="50" t="s">
        <v>308</v>
      </c>
      <c r="G1471" s="50" t="s">
        <v>1451</v>
      </c>
    </row>
    <row r="1472">
      <c r="A1472" s="50">
        <v>3236.0</v>
      </c>
      <c r="B1472" s="50" t="s">
        <v>984</v>
      </c>
      <c r="G1472" s="50" t="s">
        <v>1451</v>
      </c>
    </row>
    <row r="1473">
      <c r="A1473" s="50">
        <v>2423.0</v>
      </c>
      <c r="B1473" s="50" t="s">
        <v>452</v>
      </c>
      <c r="G1473" s="50" t="s">
        <v>1451</v>
      </c>
    </row>
    <row r="1474">
      <c r="A1474" s="50">
        <v>145.0</v>
      </c>
      <c r="B1474" s="50" t="s">
        <v>978</v>
      </c>
      <c r="G1474" s="50" t="s">
        <v>1451</v>
      </c>
    </row>
    <row r="1475">
      <c r="A1475" s="50">
        <v>3408.0</v>
      </c>
      <c r="B1475" s="50" t="s">
        <v>1204</v>
      </c>
      <c r="G1475" s="50" t="s">
        <v>1451</v>
      </c>
    </row>
    <row r="1476">
      <c r="A1476" s="50">
        <v>3140.0</v>
      </c>
      <c r="B1476" s="50" t="s">
        <v>436</v>
      </c>
      <c r="G1476" s="50" t="s">
        <v>1451</v>
      </c>
    </row>
    <row r="1477">
      <c r="A1477" s="50">
        <v>2083.0</v>
      </c>
      <c r="B1477" s="50" t="s">
        <v>284</v>
      </c>
      <c r="G1477" s="50" t="s">
        <v>1451</v>
      </c>
    </row>
    <row r="1478">
      <c r="A1478" s="50">
        <v>1295.0</v>
      </c>
      <c r="B1478" s="50" t="s">
        <v>2758</v>
      </c>
      <c r="G1478" s="50" t="s">
        <v>1451</v>
      </c>
    </row>
    <row r="1479">
      <c r="A1479" s="50">
        <v>654.0</v>
      </c>
      <c r="B1479" s="50" t="s">
        <v>277</v>
      </c>
      <c r="G1479" s="50" t="s">
        <v>1451</v>
      </c>
    </row>
    <row r="1480">
      <c r="A1480" s="50">
        <v>3038.0</v>
      </c>
      <c r="B1480" s="50" t="s">
        <v>2759</v>
      </c>
      <c r="G1480" s="50" t="s">
        <v>1451</v>
      </c>
    </row>
    <row r="1481">
      <c r="A1481" s="50">
        <v>5.0</v>
      </c>
      <c r="B1481" s="50" t="s">
        <v>387</v>
      </c>
      <c r="G1481" s="50" t="s">
        <v>1451</v>
      </c>
    </row>
    <row r="1482">
      <c r="A1482" s="50">
        <v>2364.0</v>
      </c>
      <c r="B1482" s="50" t="s">
        <v>2761</v>
      </c>
      <c r="G1482" s="50" t="s">
        <v>1451</v>
      </c>
    </row>
    <row r="1483">
      <c r="A1483" s="50">
        <v>3329.0</v>
      </c>
      <c r="B1483" s="50" t="s">
        <v>2762</v>
      </c>
      <c r="G1483" s="50" t="s">
        <v>1451</v>
      </c>
    </row>
    <row r="1484">
      <c r="A1484" s="50">
        <v>33.0</v>
      </c>
      <c r="B1484" s="50" t="s">
        <v>524</v>
      </c>
      <c r="G1484" s="50" t="s">
        <v>1451</v>
      </c>
    </row>
    <row r="1485">
      <c r="A1485" s="50">
        <v>4.0</v>
      </c>
      <c r="B1485" s="50" t="s">
        <v>2763</v>
      </c>
      <c r="G1485" s="50" t="s">
        <v>1451</v>
      </c>
    </row>
    <row r="1486">
      <c r="A1486" s="50">
        <v>3215.0</v>
      </c>
      <c r="B1486" s="50" t="s">
        <v>1219</v>
      </c>
      <c r="G1486" s="50" t="s">
        <v>1451</v>
      </c>
    </row>
    <row r="1487">
      <c r="A1487" s="50">
        <v>3247.0</v>
      </c>
      <c r="B1487" s="50" t="s">
        <v>2764</v>
      </c>
      <c r="G1487" s="50" t="s">
        <v>1451</v>
      </c>
    </row>
    <row r="1488">
      <c r="A1488" s="50">
        <v>3248.0</v>
      </c>
      <c r="B1488" s="50" t="s">
        <v>2764</v>
      </c>
      <c r="G1488" s="50" t="s">
        <v>1451</v>
      </c>
    </row>
    <row r="1489">
      <c r="A1489" s="50">
        <v>3231.0</v>
      </c>
      <c r="B1489" s="50" t="s">
        <v>2765</v>
      </c>
      <c r="G1489" s="50" t="s">
        <v>1451</v>
      </c>
    </row>
    <row r="1490">
      <c r="A1490" s="50">
        <v>3330.0</v>
      </c>
      <c r="B1490" s="50" t="s">
        <v>330</v>
      </c>
      <c r="G1490" s="50" t="s">
        <v>1451</v>
      </c>
    </row>
    <row r="1491">
      <c r="A1491" s="50">
        <v>3486.0</v>
      </c>
      <c r="B1491" s="50" t="s">
        <v>303</v>
      </c>
      <c r="G1491" s="50" t="s">
        <v>1451</v>
      </c>
    </row>
    <row r="1492">
      <c r="A1492" s="50">
        <v>3.0</v>
      </c>
      <c r="B1492" s="50" t="s">
        <v>404</v>
      </c>
      <c r="G1492" s="50" t="s">
        <v>1451</v>
      </c>
    </row>
    <row r="1493">
      <c r="A1493" s="50">
        <v>3850.0</v>
      </c>
      <c r="B1493" s="50" t="s">
        <v>1206</v>
      </c>
      <c r="G1493" s="50" t="s">
        <v>1451</v>
      </c>
    </row>
    <row r="1494">
      <c r="A1494" s="50">
        <v>3326.0</v>
      </c>
      <c r="B1494" s="50" t="s">
        <v>2767</v>
      </c>
      <c r="G1494" s="50" t="s">
        <v>1451</v>
      </c>
    </row>
    <row r="1495">
      <c r="A1495" s="50">
        <v>2782.0</v>
      </c>
      <c r="B1495" s="50" t="s">
        <v>307</v>
      </c>
      <c r="G1495" s="50" t="s">
        <v>1451</v>
      </c>
    </row>
    <row r="1496">
      <c r="A1496" s="50">
        <v>3223.0</v>
      </c>
      <c r="B1496" s="50" t="s">
        <v>307</v>
      </c>
      <c r="G1496" s="50" t="s">
        <v>1451</v>
      </c>
    </row>
    <row r="1497">
      <c r="A1497" s="50">
        <v>2767.0</v>
      </c>
      <c r="B1497" s="50" t="s">
        <v>2768</v>
      </c>
      <c r="G1497" s="50" t="s">
        <v>1451</v>
      </c>
    </row>
    <row r="1498">
      <c r="A1498" s="50">
        <v>3483.0</v>
      </c>
      <c r="B1498" s="50" t="s">
        <v>1222</v>
      </c>
      <c r="G1498" s="50" t="s">
        <v>1451</v>
      </c>
    </row>
    <row r="1499">
      <c r="A1499" s="50">
        <v>2132.0</v>
      </c>
      <c r="B1499" s="50" t="s">
        <v>2770</v>
      </c>
      <c r="G1499" s="50" t="s">
        <v>1451</v>
      </c>
    </row>
    <row r="1500">
      <c r="A1500" s="50">
        <v>54.0</v>
      </c>
      <c r="B1500" s="50" t="s">
        <v>554</v>
      </c>
      <c r="G1500" s="50" t="s">
        <v>1451</v>
      </c>
    </row>
    <row r="1501">
      <c r="A1501" s="50">
        <v>2636.0</v>
      </c>
      <c r="B1501" s="50" t="s">
        <v>2771</v>
      </c>
      <c r="G1501" s="50" t="s">
        <v>1451</v>
      </c>
    </row>
    <row r="1502">
      <c r="A1502" s="50">
        <v>3108.0</v>
      </c>
      <c r="B1502" s="50" t="s">
        <v>2772</v>
      </c>
      <c r="G1502" s="50" t="s">
        <v>1451</v>
      </c>
    </row>
    <row r="1503">
      <c r="A1503" s="50">
        <v>2866.0</v>
      </c>
      <c r="B1503" s="50" t="s">
        <v>829</v>
      </c>
      <c r="G1503" s="50" t="s">
        <v>1451</v>
      </c>
    </row>
    <row r="1504">
      <c r="A1504" s="50">
        <v>2266.0</v>
      </c>
      <c r="B1504" s="50" t="s">
        <v>2773</v>
      </c>
      <c r="G1504" s="50" t="s">
        <v>1451</v>
      </c>
    </row>
    <row r="1505">
      <c r="A1505" s="50">
        <v>2770.0</v>
      </c>
      <c r="B1505" s="50" t="s">
        <v>2774</v>
      </c>
      <c r="E1505" s="50">
        <v>2263.0</v>
      </c>
      <c r="F1505" s="50" t="s">
        <v>1436</v>
      </c>
      <c r="G1505" s="50" t="s">
        <v>1437</v>
      </c>
    </row>
    <row r="1506">
      <c r="A1506" s="50">
        <v>2813.0</v>
      </c>
      <c r="B1506" s="50" t="s">
        <v>2775</v>
      </c>
      <c r="E1506" s="50">
        <v>2278.0</v>
      </c>
      <c r="F1506" s="50" t="s">
        <v>1439</v>
      </c>
      <c r="G1506" s="50" t="s">
        <v>1437</v>
      </c>
    </row>
    <row r="1507">
      <c r="A1507" s="50">
        <v>1990.0</v>
      </c>
      <c r="B1507" s="50" t="s">
        <v>2776</v>
      </c>
      <c r="E1507" s="50">
        <v>2264.0</v>
      </c>
      <c r="F1507" s="50" t="s">
        <v>1447</v>
      </c>
      <c r="G1507" s="50" t="s">
        <v>1437</v>
      </c>
    </row>
    <row r="1508">
      <c r="A1508" s="50">
        <v>2215.0</v>
      </c>
      <c r="B1508" s="50" t="s">
        <v>2777</v>
      </c>
      <c r="C1508" s="50">
        <v>3915.0</v>
      </c>
      <c r="D1508" s="50" t="s">
        <v>2778</v>
      </c>
      <c r="G1508" s="50" t="s">
        <v>1433</v>
      </c>
    </row>
    <row r="1509">
      <c r="A1509" s="50">
        <v>1211.0</v>
      </c>
      <c r="B1509" s="50" t="s">
        <v>2779</v>
      </c>
      <c r="G1509" s="50" t="s">
        <v>1451</v>
      </c>
    </row>
    <row r="1510">
      <c r="A1510" s="50">
        <v>1107.0</v>
      </c>
      <c r="B1510" s="50" t="s">
        <v>2780</v>
      </c>
      <c r="E1510" s="50">
        <v>2247.0</v>
      </c>
      <c r="F1510" s="50" t="s">
        <v>1441</v>
      </c>
      <c r="G1510" s="50" t="s">
        <v>1437</v>
      </c>
    </row>
    <row r="1511">
      <c r="A1511" s="50">
        <v>989.0</v>
      </c>
      <c r="B1511" s="50" t="s">
        <v>2781</v>
      </c>
      <c r="E1511" s="50">
        <v>2278.0</v>
      </c>
      <c r="F1511" s="50" t="s">
        <v>1439</v>
      </c>
      <c r="G1511" s="50" t="s">
        <v>1437</v>
      </c>
    </row>
    <row r="1512">
      <c r="A1512" s="50">
        <v>994.0</v>
      </c>
      <c r="B1512" s="50" t="s">
        <v>2782</v>
      </c>
      <c r="E1512" s="50">
        <v>487.0</v>
      </c>
      <c r="F1512" s="50" t="s">
        <v>1443</v>
      </c>
      <c r="G1512" s="50" t="s">
        <v>1437</v>
      </c>
    </row>
    <row r="1513">
      <c r="A1513" s="50">
        <v>1178.0</v>
      </c>
      <c r="B1513" s="50" t="s">
        <v>2783</v>
      </c>
      <c r="G1513" s="50" t="s">
        <v>1451</v>
      </c>
    </row>
    <row r="1514">
      <c r="A1514" s="50">
        <v>1235.0</v>
      </c>
      <c r="B1514" s="50" t="s">
        <v>2784</v>
      </c>
      <c r="E1514" s="50">
        <v>2264.0</v>
      </c>
      <c r="F1514" s="50" t="s">
        <v>1447</v>
      </c>
      <c r="G1514" s="50" t="s">
        <v>1437</v>
      </c>
    </row>
    <row r="1515">
      <c r="A1515" s="50">
        <v>3787.0</v>
      </c>
      <c r="B1515" s="50" t="s">
        <v>2785</v>
      </c>
      <c r="C1515" s="50">
        <v>3915.0</v>
      </c>
      <c r="D1515" s="50" t="s">
        <v>2778</v>
      </c>
      <c r="E1515" s="50">
        <v>487.0</v>
      </c>
      <c r="F1515" s="50" t="s">
        <v>1443</v>
      </c>
      <c r="G1515" s="50" t="s">
        <v>1452</v>
      </c>
    </row>
    <row r="1516">
      <c r="A1516" s="50">
        <v>883.0</v>
      </c>
      <c r="B1516" s="50" t="s">
        <v>2786</v>
      </c>
      <c r="C1516" s="50">
        <v>3915.0</v>
      </c>
      <c r="D1516" s="50" t="s">
        <v>2778</v>
      </c>
      <c r="E1516" s="50">
        <v>2247.0</v>
      </c>
      <c r="F1516" s="50" t="s">
        <v>1441</v>
      </c>
      <c r="G1516" s="50" t="s">
        <v>1452</v>
      </c>
    </row>
    <row r="1517">
      <c r="A1517" s="50">
        <v>575.0</v>
      </c>
      <c r="B1517" s="50" t="s">
        <v>2787</v>
      </c>
      <c r="C1517" s="50">
        <v>3915.0</v>
      </c>
      <c r="D1517" s="50" t="s">
        <v>2778</v>
      </c>
      <c r="E1517" s="50">
        <v>2278.0</v>
      </c>
      <c r="F1517" s="50" t="s">
        <v>1439</v>
      </c>
      <c r="G1517" s="50" t="s">
        <v>1452</v>
      </c>
    </row>
    <row r="1518">
      <c r="A1518" s="50">
        <v>375.0</v>
      </c>
      <c r="B1518" s="50" t="s">
        <v>2788</v>
      </c>
      <c r="C1518" s="50">
        <v>3915.0</v>
      </c>
      <c r="D1518" s="50" t="s">
        <v>2778</v>
      </c>
      <c r="E1518" s="50">
        <v>487.0</v>
      </c>
      <c r="F1518" s="50" t="s">
        <v>1443</v>
      </c>
      <c r="G1518" s="50" t="s">
        <v>1452</v>
      </c>
    </row>
    <row r="1519">
      <c r="A1519" s="50">
        <v>1108.0</v>
      </c>
      <c r="B1519" s="50" t="s">
        <v>2789</v>
      </c>
      <c r="E1519" s="50">
        <v>2247.0</v>
      </c>
      <c r="F1519" s="50" t="s">
        <v>1441</v>
      </c>
      <c r="G1519" s="50" t="s">
        <v>1437</v>
      </c>
    </row>
    <row r="1520">
      <c r="A1520" s="50">
        <v>993.0</v>
      </c>
      <c r="B1520" s="50" t="s">
        <v>2790</v>
      </c>
      <c r="E1520" s="50">
        <v>487.0</v>
      </c>
      <c r="F1520" s="50" t="s">
        <v>1443</v>
      </c>
      <c r="G1520" s="50" t="s">
        <v>1437</v>
      </c>
    </row>
    <row r="1521">
      <c r="A1521" s="50">
        <v>2981.0</v>
      </c>
      <c r="B1521" s="50" t="s">
        <v>2791</v>
      </c>
      <c r="E1521" s="50">
        <v>2263.0</v>
      </c>
      <c r="F1521" s="50" t="s">
        <v>1436</v>
      </c>
      <c r="G1521" s="50" t="s">
        <v>1437</v>
      </c>
    </row>
    <row r="1522">
      <c r="A1522" s="50">
        <v>1991.0</v>
      </c>
      <c r="B1522" s="50" t="s">
        <v>2792</v>
      </c>
      <c r="E1522" s="50">
        <v>2247.0</v>
      </c>
      <c r="F1522" s="50" t="s">
        <v>1441</v>
      </c>
      <c r="G1522" s="50" t="s">
        <v>1437</v>
      </c>
    </row>
    <row r="1523">
      <c r="A1523" s="50">
        <v>3384.0</v>
      </c>
      <c r="B1523" s="50" t="s">
        <v>2793</v>
      </c>
      <c r="E1523" s="50">
        <v>2264.0</v>
      </c>
      <c r="F1523" s="50" t="s">
        <v>1447</v>
      </c>
      <c r="G1523" s="50" t="s">
        <v>1437</v>
      </c>
    </row>
    <row r="1524">
      <c r="A1524" s="50">
        <v>3383.0</v>
      </c>
      <c r="B1524" s="50" t="s">
        <v>2794</v>
      </c>
      <c r="E1524" s="50">
        <v>2263.0</v>
      </c>
      <c r="F1524" s="50" t="s">
        <v>1436</v>
      </c>
      <c r="G1524" s="50" t="s">
        <v>1437</v>
      </c>
    </row>
    <row r="1525">
      <c r="A1525" s="50">
        <v>1151.0</v>
      </c>
      <c r="B1525" s="50" t="s">
        <v>359</v>
      </c>
      <c r="E1525" s="50">
        <v>2263.0</v>
      </c>
      <c r="F1525" s="50" t="s">
        <v>1436</v>
      </c>
      <c r="G1525" s="50" t="s">
        <v>1437</v>
      </c>
    </row>
    <row r="1526">
      <c r="A1526" s="50">
        <v>3469.0</v>
      </c>
      <c r="B1526" s="50" t="s">
        <v>2795</v>
      </c>
      <c r="E1526" s="50">
        <v>2247.0</v>
      </c>
      <c r="F1526" s="50" t="s">
        <v>1441</v>
      </c>
      <c r="G1526" s="50" t="s">
        <v>1437</v>
      </c>
    </row>
    <row r="1527">
      <c r="A1527" s="50">
        <v>2545.0</v>
      </c>
      <c r="B1527" s="50" t="s">
        <v>2796</v>
      </c>
      <c r="G1527" s="50" t="s">
        <v>1451</v>
      </c>
    </row>
    <row r="1528">
      <c r="A1528" s="50">
        <v>1105.0</v>
      </c>
      <c r="B1528" s="50" t="s">
        <v>640</v>
      </c>
      <c r="E1528" s="50">
        <v>2263.0</v>
      </c>
      <c r="F1528" s="50" t="s">
        <v>1436</v>
      </c>
      <c r="G1528" s="50" t="s">
        <v>1437</v>
      </c>
    </row>
    <row r="1529">
      <c r="A1529" s="50">
        <v>1066.0</v>
      </c>
      <c r="B1529" s="50" t="s">
        <v>2797</v>
      </c>
      <c r="E1529" s="50">
        <v>2278.0</v>
      </c>
      <c r="F1529" s="50" t="s">
        <v>1439</v>
      </c>
      <c r="G1529" s="50" t="s">
        <v>1437</v>
      </c>
    </row>
    <row r="1530">
      <c r="A1530" s="50">
        <v>2544.0</v>
      </c>
      <c r="B1530" s="50" t="s">
        <v>886</v>
      </c>
      <c r="E1530" s="50">
        <v>2247.0</v>
      </c>
      <c r="F1530" s="50" t="s">
        <v>1441</v>
      </c>
      <c r="G1530" s="50" t="s">
        <v>1437</v>
      </c>
    </row>
    <row r="1531">
      <c r="A1531" s="50">
        <v>2541.0</v>
      </c>
      <c r="B1531" s="50" t="s">
        <v>646</v>
      </c>
      <c r="E1531" s="50">
        <v>2264.0</v>
      </c>
      <c r="F1531" s="50" t="s">
        <v>1447</v>
      </c>
      <c r="G1531" s="50" t="s">
        <v>1437</v>
      </c>
    </row>
    <row r="1532">
      <c r="A1532" s="50">
        <v>2240.0</v>
      </c>
      <c r="B1532" s="50" t="s">
        <v>2798</v>
      </c>
      <c r="C1532" s="50">
        <v>3915.0</v>
      </c>
      <c r="D1532" s="50" t="s">
        <v>2778</v>
      </c>
      <c r="E1532" s="50">
        <v>2247.0</v>
      </c>
      <c r="F1532" s="50" t="s">
        <v>1441</v>
      </c>
      <c r="G1532" s="50" t="s">
        <v>1452</v>
      </c>
    </row>
    <row r="1533">
      <c r="A1533" s="50">
        <v>2639.0</v>
      </c>
      <c r="B1533" s="50" t="s">
        <v>2799</v>
      </c>
      <c r="G1533" s="50" t="s">
        <v>1451</v>
      </c>
    </row>
    <row r="1534">
      <c r="A1534" s="50">
        <v>1900.0</v>
      </c>
      <c r="B1534" s="50" t="s">
        <v>2800</v>
      </c>
      <c r="E1534" s="50">
        <v>2247.0</v>
      </c>
      <c r="F1534" s="50" t="s">
        <v>1441</v>
      </c>
      <c r="G1534" s="50" t="s">
        <v>1437</v>
      </c>
    </row>
    <row r="1535">
      <c r="A1535" s="50">
        <v>3512.0</v>
      </c>
      <c r="B1535" s="50" t="s">
        <v>2801</v>
      </c>
      <c r="E1535" s="50">
        <v>2247.0</v>
      </c>
      <c r="F1535" s="50" t="s">
        <v>1441</v>
      </c>
      <c r="G1535" s="50" t="s">
        <v>1437</v>
      </c>
    </row>
    <row r="1536">
      <c r="A1536" s="50">
        <v>3515.0</v>
      </c>
      <c r="B1536" s="50" t="s">
        <v>2766</v>
      </c>
      <c r="E1536" s="50">
        <v>2247.0</v>
      </c>
      <c r="F1536" s="50" t="s">
        <v>1441</v>
      </c>
      <c r="G1536" s="50" t="s">
        <v>1437</v>
      </c>
    </row>
    <row r="1537">
      <c r="A1537" s="50">
        <v>3517.0</v>
      </c>
      <c r="B1537" s="50" t="s">
        <v>536</v>
      </c>
      <c r="E1537" s="50">
        <v>487.0</v>
      </c>
      <c r="F1537" s="50" t="s">
        <v>1443</v>
      </c>
      <c r="G1537" s="50" t="s">
        <v>1437</v>
      </c>
    </row>
    <row r="1538">
      <c r="A1538" s="50">
        <v>3559.0</v>
      </c>
      <c r="B1538" s="50" t="s">
        <v>1169</v>
      </c>
      <c r="G1538" s="50" t="s">
        <v>1451</v>
      </c>
    </row>
    <row r="1539">
      <c r="A1539" s="50">
        <v>3791.0</v>
      </c>
      <c r="B1539" s="50" t="s">
        <v>2802</v>
      </c>
      <c r="E1539" s="50">
        <v>2247.0</v>
      </c>
      <c r="F1539" s="50" t="s">
        <v>1441</v>
      </c>
      <c r="G1539" s="50" t="s">
        <v>1437</v>
      </c>
    </row>
    <row r="1540">
      <c r="A1540" s="50">
        <v>3128.0</v>
      </c>
      <c r="B1540" s="50" t="s">
        <v>2803</v>
      </c>
      <c r="E1540" s="50">
        <v>2640.0</v>
      </c>
      <c r="F1540" s="50" t="s">
        <v>1530</v>
      </c>
      <c r="G1540" s="50" t="s">
        <v>1437</v>
      </c>
    </row>
    <row r="1541">
      <c r="A1541" s="50">
        <v>3751.0</v>
      </c>
      <c r="B1541" s="50" t="s">
        <v>847</v>
      </c>
      <c r="G1541" s="50" t="s">
        <v>1451</v>
      </c>
    </row>
    <row r="1542">
      <c r="A1542" s="50">
        <v>2339.0</v>
      </c>
      <c r="B1542" s="50" t="s">
        <v>2804</v>
      </c>
      <c r="G1542" s="50" t="s">
        <v>1451</v>
      </c>
    </row>
    <row r="1543">
      <c r="A1543" s="50">
        <v>2340.0</v>
      </c>
      <c r="B1543" s="50" t="s">
        <v>2805</v>
      </c>
      <c r="G1543" s="50" t="s">
        <v>1451</v>
      </c>
    </row>
    <row r="1544">
      <c r="A1544" s="50">
        <v>2491.0</v>
      </c>
      <c r="B1544" s="50" t="s">
        <v>2806</v>
      </c>
      <c r="G1544" s="50" t="s">
        <v>1451</v>
      </c>
    </row>
    <row r="1545">
      <c r="A1545" s="50">
        <v>798.0</v>
      </c>
      <c r="B1545" s="50" t="s">
        <v>2807</v>
      </c>
      <c r="G1545" s="50" t="s">
        <v>1451</v>
      </c>
    </row>
    <row r="1546">
      <c r="A1546" s="50">
        <v>2329.0</v>
      </c>
      <c r="B1546" s="50" t="s">
        <v>2808</v>
      </c>
      <c r="G1546" s="50" t="s">
        <v>1451</v>
      </c>
    </row>
    <row r="1547">
      <c r="A1547" s="50">
        <v>2655.0</v>
      </c>
      <c r="B1547" s="50" t="s">
        <v>2809</v>
      </c>
      <c r="G1547" s="50" t="s">
        <v>1451</v>
      </c>
    </row>
    <row r="1548">
      <c r="A1548" s="50">
        <v>2609.0</v>
      </c>
      <c r="B1548" s="50" t="s">
        <v>2811</v>
      </c>
      <c r="G1548" s="50" t="s">
        <v>1451</v>
      </c>
    </row>
    <row r="1549">
      <c r="A1549" s="50">
        <v>2502.0</v>
      </c>
      <c r="B1549" s="50" t="s">
        <v>2812</v>
      </c>
      <c r="G1549" s="50" t="s">
        <v>1451</v>
      </c>
    </row>
    <row r="1550">
      <c r="A1550" s="50">
        <v>3830.0</v>
      </c>
      <c r="B1550" s="50" t="s">
        <v>2814</v>
      </c>
      <c r="G1550" s="50" t="s">
        <v>1451</v>
      </c>
    </row>
    <row r="1551">
      <c r="A1551" s="50">
        <v>3388.0</v>
      </c>
      <c r="B1551" s="50" t="s">
        <v>2815</v>
      </c>
      <c r="G1551" s="50" t="s">
        <v>1451</v>
      </c>
    </row>
    <row r="1552">
      <c r="A1552" s="50">
        <v>3337.0</v>
      </c>
      <c r="B1552" s="50" t="s">
        <v>2817</v>
      </c>
      <c r="G1552" s="50" t="s">
        <v>1451</v>
      </c>
    </row>
    <row r="1553">
      <c r="A1553" s="50">
        <v>3470.0</v>
      </c>
      <c r="B1553" s="50" t="s">
        <v>2818</v>
      </c>
      <c r="G1553" s="50" t="s">
        <v>1451</v>
      </c>
    </row>
    <row r="1554">
      <c r="A1554" s="50">
        <v>3336.0</v>
      </c>
      <c r="B1554" s="50" t="s">
        <v>2819</v>
      </c>
      <c r="G1554" s="50" t="s">
        <v>1451</v>
      </c>
    </row>
    <row r="1555">
      <c r="A1555" s="50">
        <v>3413.0</v>
      </c>
      <c r="B1555" s="50" t="s">
        <v>2820</v>
      </c>
      <c r="G1555" s="50" t="s">
        <v>1451</v>
      </c>
    </row>
    <row r="1556">
      <c r="A1556" s="50">
        <v>3338.0</v>
      </c>
      <c r="B1556" s="50" t="s">
        <v>2821</v>
      </c>
      <c r="G1556" s="50" t="s">
        <v>1451</v>
      </c>
    </row>
    <row r="1557">
      <c r="A1557" s="50">
        <v>2081.0</v>
      </c>
      <c r="B1557" s="50" t="s">
        <v>2822</v>
      </c>
      <c r="G1557" s="50" t="s">
        <v>1451</v>
      </c>
    </row>
    <row r="1558">
      <c r="A1558" s="50">
        <v>2077.0</v>
      </c>
      <c r="B1558" s="50" t="s">
        <v>2823</v>
      </c>
      <c r="G1558" s="50" t="s">
        <v>1451</v>
      </c>
    </row>
    <row r="1559">
      <c r="A1559" s="50">
        <v>2117.0</v>
      </c>
      <c r="B1559" s="50" t="s">
        <v>2824</v>
      </c>
      <c r="G1559" s="50" t="s">
        <v>1451</v>
      </c>
    </row>
    <row r="1560">
      <c r="A1560" s="50">
        <v>990.0</v>
      </c>
      <c r="B1560" s="50" t="s">
        <v>2825</v>
      </c>
      <c r="G1560" s="50" t="s">
        <v>1451</v>
      </c>
    </row>
    <row r="1561">
      <c r="A1561" s="50">
        <v>3710.0</v>
      </c>
      <c r="B1561" s="50" t="s">
        <v>2826</v>
      </c>
      <c r="E1561" s="50">
        <v>2247.0</v>
      </c>
      <c r="F1561" s="50" t="s">
        <v>1441</v>
      </c>
      <c r="G1561" s="50" t="s">
        <v>1437</v>
      </c>
    </row>
    <row r="1562">
      <c r="A1562" s="50">
        <v>2622.0</v>
      </c>
      <c r="B1562" s="50" t="s">
        <v>2827</v>
      </c>
      <c r="G1562" s="50" t="s">
        <v>1451</v>
      </c>
    </row>
    <row r="1563">
      <c r="A1563" s="50">
        <v>2244.0</v>
      </c>
      <c r="B1563" s="50" t="s">
        <v>2828</v>
      </c>
      <c r="G1563" s="50" t="s">
        <v>1451</v>
      </c>
    </row>
    <row r="1564">
      <c r="A1564" s="50">
        <v>2202.0</v>
      </c>
      <c r="B1564" s="50" t="s">
        <v>2829</v>
      </c>
      <c r="G1564" s="50" t="s">
        <v>1451</v>
      </c>
    </row>
    <row r="1565">
      <c r="A1565" s="50">
        <v>3530.0</v>
      </c>
      <c r="B1565" s="50" t="s">
        <v>2830</v>
      </c>
      <c r="G1565" s="50" t="s">
        <v>1451</v>
      </c>
    </row>
    <row r="1566">
      <c r="A1566" s="50">
        <v>966.0</v>
      </c>
      <c r="B1566" s="50" t="s">
        <v>2831</v>
      </c>
      <c r="G1566" s="50" t="s">
        <v>1451</v>
      </c>
    </row>
    <row r="1567">
      <c r="A1567" s="50">
        <v>2653.0</v>
      </c>
      <c r="B1567" s="50" t="s">
        <v>2832</v>
      </c>
      <c r="G1567" s="50" t="s">
        <v>1451</v>
      </c>
    </row>
    <row r="1568">
      <c r="A1568" s="50">
        <v>2338.0</v>
      </c>
      <c r="B1568" s="50" t="s">
        <v>2833</v>
      </c>
      <c r="G1568" s="50" t="s">
        <v>1451</v>
      </c>
    </row>
    <row r="1569">
      <c r="A1569" s="50">
        <v>68.0</v>
      </c>
      <c r="B1569" s="50" t="s">
        <v>2834</v>
      </c>
      <c r="G1569" s="50" t="s">
        <v>1451</v>
      </c>
    </row>
    <row r="1570">
      <c r="A1570" s="50">
        <v>455.0</v>
      </c>
      <c r="B1570" s="50" t="s">
        <v>2835</v>
      </c>
      <c r="E1570" s="50">
        <v>487.0</v>
      </c>
      <c r="F1570" s="50" t="s">
        <v>1443</v>
      </c>
      <c r="G1570" s="50" t="s">
        <v>1437</v>
      </c>
    </row>
    <row r="1571">
      <c r="A1571" s="50">
        <v>1410.0</v>
      </c>
      <c r="B1571" s="50" t="s">
        <v>2836</v>
      </c>
      <c r="E1571" s="50">
        <v>2278.0</v>
      </c>
      <c r="F1571" s="50" t="s">
        <v>1439</v>
      </c>
      <c r="G1571" s="50" t="s">
        <v>1437</v>
      </c>
    </row>
    <row r="1572">
      <c r="A1572" s="50">
        <v>1937.0</v>
      </c>
      <c r="B1572" s="50" t="s">
        <v>2837</v>
      </c>
      <c r="E1572" s="50">
        <v>2247.0</v>
      </c>
      <c r="F1572" s="50" t="s">
        <v>1441</v>
      </c>
      <c r="G1572" s="50" t="s">
        <v>1437</v>
      </c>
    </row>
    <row r="1573">
      <c r="A1573" s="50">
        <v>3443.0</v>
      </c>
      <c r="B1573" s="50" t="s">
        <v>2838</v>
      </c>
      <c r="C1573" s="50">
        <v>2471.0</v>
      </c>
      <c r="D1573" s="50" t="s">
        <v>2839</v>
      </c>
      <c r="G1573" s="50" t="s">
        <v>1433</v>
      </c>
    </row>
    <row r="1574">
      <c r="A1574" s="50">
        <v>3439.0</v>
      </c>
      <c r="B1574" s="50" t="s">
        <v>651</v>
      </c>
      <c r="C1574" s="50">
        <v>2471.0</v>
      </c>
      <c r="D1574" s="50" t="s">
        <v>2839</v>
      </c>
      <c r="E1574" s="50">
        <v>2247.0</v>
      </c>
      <c r="F1574" s="50" t="s">
        <v>1441</v>
      </c>
      <c r="G1574" s="50" t="s">
        <v>1452</v>
      </c>
    </row>
    <row r="1575">
      <c r="A1575" s="50">
        <v>2837.0</v>
      </c>
      <c r="B1575" s="50" t="s">
        <v>2840</v>
      </c>
      <c r="C1575" s="50">
        <v>2837.0</v>
      </c>
      <c r="D1575" s="50" t="s">
        <v>2841</v>
      </c>
      <c r="G1575" s="50" t="s">
        <v>1433</v>
      </c>
    </row>
    <row r="1576">
      <c r="A1576" s="50">
        <v>2828.0</v>
      </c>
      <c r="B1576" s="50" t="s">
        <v>2842</v>
      </c>
      <c r="C1576" s="50">
        <v>2837.0</v>
      </c>
      <c r="D1576" s="50" t="s">
        <v>2841</v>
      </c>
      <c r="E1576" s="50">
        <v>2247.0</v>
      </c>
      <c r="F1576" s="50" t="s">
        <v>1441</v>
      </c>
      <c r="G1576" s="50" t="s">
        <v>1452</v>
      </c>
    </row>
    <row r="1577">
      <c r="A1577" s="50">
        <v>3057.0</v>
      </c>
      <c r="B1577" s="50" t="s">
        <v>2843</v>
      </c>
      <c r="C1577" s="50">
        <v>2837.0</v>
      </c>
      <c r="D1577" s="50" t="s">
        <v>2841</v>
      </c>
      <c r="E1577" s="50">
        <v>2247.0</v>
      </c>
      <c r="F1577" s="50" t="s">
        <v>1441</v>
      </c>
      <c r="G1577" s="50" t="s">
        <v>1452</v>
      </c>
    </row>
    <row r="1578">
      <c r="A1578" s="50">
        <v>2971.0</v>
      </c>
      <c r="B1578" s="50" t="s">
        <v>2844</v>
      </c>
      <c r="C1578" s="50">
        <v>2837.0</v>
      </c>
      <c r="D1578" s="50" t="s">
        <v>2841</v>
      </c>
      <c r="E1578" s="50">
        <v>2247.0</v>
      </c>
      <c r="F1578" s="50" t="s">
        <v>1441</v>
      </c>
      <c r="G1578" s="50" t="s">
        <v>1452</v>
      </c>
    </row>
    <row r="1579">
      <c r="A1579" s="50">
        <v>2960.0</v>
      </c>
      <c r="B1579" s="50" t="s">
        <v>2845</v>
      </c>
      <c r="C1579" s="50">
        <v>2837.0</v>
      </c>
      <c r="D1579" s="50" t="s">
        <v>2841</v>
      </c>
      <c r="E1579" s="50">
        <v>2278.0</v>
      </c>
      <c r="F1579" s="50" t="s">
        <v>1439</v>
      </c>
      <c r="G1579" s="50" t="s">
        <v>1452</v>
      </c>
    </row>
    <row r="1580">
      <c r="A1580" s="50">
        <v>3288.0</v>
      </c>
      <c r="B1580" s="50" t="s">
        <v>2846</v>
      </c>
      <c r="C1580" s="50">
        <v>2837.0</v>
      </c>
      <c r="D1580" s="50" t="s">
        <v>2841</v>
      </c>
      <c r="E1580" s="50">
        <v>2278.0</v>
      </c>
      <c r="F1580" s="50" t="s">
        <v>1439</v>
      </c>
      <c r="G1580" s="50" t="s">
        <v>1452</v>
      </c>
    </row>
    <row r="1581">
      <c r="A1581" s="50">
        <v>3516.0</v>
      </c>
      <c r="B1581" s="50" t="s">
        <v>2847</v>
      </c>
      <c r="E1581" s="50">
        <v>2263.0</v>
      </c>
      <c r="F1581" s="50" t="s">
        <v>1436</v>
      </c>
      <c r="G1581" s="50" t="s">
        <v>1437</v>
      </c>
    </row>
    <row r="1582">
      <c r="A1582" s="50">
        <v>496.0</v>
      </c>
      <c r="B1582" s="50" t="s">
        <v>2848</v>
      </c>
      <c r="E1582" s="50">
        <v>2264.0</v>
      </c>
      <c r="F1582" s="50" t="s">
        <v>1447</v>
      </c>
      <c r="G1582" s="50" t="s">
        <v>1437</v>
      </c>
    </row>
    <row r="1583">
      <c r="A1583" s="50">
        <v>1870.0</v>
      </c>
      <c r="B1583" s="50" t="s">
        <v>2849</v>
      </c>
      <c r="E1583" s="50">
        <v>2640.0</v>
      </c>
      <c r="F1583" s="50" t="s">
        <v>1530</v>
      </c>
      <c r="G1583" s="50" t="s">
        <v>1437</v>
      </c>
    </row>
    <row r="1584">
      <c r="A1584" s="50">
        <v>3490.0</v>
      </c>
      <c r="B1584" s="50" t="s">
        <v>2850</v>
      </c>
      <c r="G1584" s="50" t="s">
        <v>1451</v>
      </c>
    </row>
    <row r="1585">
      <c r="A1585" s="50">
        <v>3453.0</v>
      </c>
      <c r="B1585" s="50" t="s">
        <v>2851</v>
      </c>
      <c r="E1585" s="50">
        <v>2247.0</v>
      </c>
      <c r="F1585" s="50" t="s">
        <v>1441</v>
      </c>
      <c r="G1585" s="50" t="s">
        <v>1437</v>
      </c>
    </row>
    <row r="1586">
      <c r="A1586" s="50">
        <v>817.0</v>
      </c>
      <c r="B1586" s="50" t="s">
        <v>2852</v>
      </c>
      <c r="E1586" s="50">
        <v>2278.0</v>
      </c>
      <c r="F1586" s="50" t="s">
        <v>1439</v>
      </c>
      <c r="G1586" s="50" t="s">
        <v>1437</v>
      </c>
    </row>
    <row r="1587">
      <c r="A1587" s="50">
        <v>3024.0</v>
      </c>
      <c r="B1587" s="50" t="s">
        <v>2853</v>
      </c>
      <c r="G1587" s="50" t="s">
        <v>1451</v>
      </c>
    </row>
    <row r="1588">
      <c r="A1588" s="50">
        <v>2450.0</v>
      </c>
      <c r="B1588" s="50" t="s">
        <v>2854</v>
      </c>
      <c r="G1588" s="50" t="s">
        <v>1451</v>
      </c>
    </row>
    <row r="1589">
      <c r="A1589" s="50">
        <v>2979.0</v>
      </c>
      <c r="B1589" s="50" t="s">
        <v>2855</v>
      </c>
      <c r="G1589" s="50" t="s">
        <v>1451</v>
      </c>
    </row>
    <row r="1590">
      <c r="A1590" s="50">
        <v>3254.0</v>
      </c>
      <c r="B1590" s="50" t="s">
        <v>2856</v>
      </c>
      <c r="G1590" s="50" t="s">
        <v>1451</v>
      </c>
    </row>
    <row r="1591">
      <c r="A1591" s="50">
        <v>1453.0</v>
      </c>
      <c r="B1591" s="50" t="s">
        <v>2857</v>
      </c>
      <c r="E1591" s="50">
        <v>2247.0</v>
      </c>
      <c r="F1591" s="50" t="s">
        <v>1441</v>
      </c>
      <c r="G1591" s="50" t="s">
        <v>1437</v>
      </c>
    </row>
    <row r="1592">
      <c r="A1592" s="50">
        <v>1511.0</v>
      </c>
      <c r="B1592" s="50" t="s">
        <v>2858</v>
      </c>
      <c r="E1592" s="50">
        <v>2247.0</v>
      </c>
      <c r="F1592" s="50" t="s">
        <v>1441</v>
      </c>
      <c r="G1592" s="50" t="s">
        <v>1437</v>
      </c>
    </row>
    <row r="1593">
      <c r="A1593" s="50">
        <v>2069.0</v>
      </c>
      <c r="B1593" s="50" t="s">
        <v>2859</v>
      </c>
      <c r="E1593" s="50">
        <v>487.0</v>
      </c>
      <c r="F1593" s="50" t="s">
        <v>1443</v>
      </c>
      <c r="G1593" s="50" t="s">
        <v>1437</v>
      </c>
    </row>
    <row r="1594">
      <c r="A1594" s="50">
        <v>1507.0</v>
      </c>
      <c r="B1594" s="50" t="s">
        <v>2860</v>
      </c>
      <c r="E1594" s="50">
        <v>2278.0</v>
      </c>
      <c r="F1594" s="50" t="s">
        <v>1439</v>
      </c>
      <c r="G1594" s="50" t="s">
        <v>1437</v>
      </c>
    </row>
    <row r="1595">
      <c r="A1595" s="50">
        <v>2284.0</v>
      </c>
      <c r="B1595" s="50" t="s">
        <v>2861</v>
      </c>
      <c r="E1595" s="50">
        <v>2640.0</v>
      </c>
      <c r="F1595" s="50" t="s">
        <v>1530</v>
      </c>
      <c r="G1595" s="50" t="s">
        <v>1437</v>
      </c>
    </row>
    <row r="1596">
      <c r="A1596" s="50">
        <v>1943.0</v>
      </c>
      <c r="B1596" s="50" t="s">
        <v>2862</v>
      </c>
      <c r="E1596" s="50">
        <v>2640.0</v>
      </c>
      <c r="F1596" s="50" t="s">
        <v>1530</v>
      </c>
      <c r="G1596" s="50" t="s">
        <v>1437</v>
      </c>
    </row>
    <row r="1597">
      <c r="A1597" s="50">
        <v>2399.0</v>
      </c>
      <c r="B1597" s="50" t="s">
        <v>2863</v>
      </c>
      <c r="E1597" s="50">
        <v>2247.0</v>
      </c>
      <c r="F1597" s="50" t="s">
        <v>1441</v>
      </c>
      <c r="G1597" s="50" t="s">
        <v>1437</v>
      </c>
    </row>
    <row r="1598">
      <c r="A1598" s="50">
        <v>953.0</v>
      </c>
      <c r="B1598" s="50" t="s">
        <v>2864</v>
      </c>
      <c r="E1598" s="50">
        <v>2247.0</v>
      </c>
      <c r="F1598" s="50" t="s">
        <v>1441</v>
      </c>
      <c r="G1598" s="50" t="s">
        <v>1437</v>
      </c>
    </row>
    <row r="1599">
      <c r="A1599" s="50">
        <v>954.0</v>
      </c>
      <c r="B1599" s="50" t="s">
        <v>2865</v>
      </c>
      <c r="E1599" s="50">
        <v>2278.0</v>
      </c>
      <c r="F1599" s="50" t="s">
        <v>1439</v>
      </c>
      <c r="G1599" s="50" t="s">
        <v>1437</v>
      </c>
    </row>
    <row r="1600">
      <c r="A1600" s="50">
        <v>2471.0</v>
      </c>
      <c r="B1600" s="50" t="s">
        <v>2866</v>
      </c>
      <c r="G1600" s="50" t="s">
        <v>1451</v>
      </c>
    </row>
    <row r="1601">
      <c r="A1601" s="50">
        <v>868.0</v>
      </c>
      <c r="B1601" s="50" t="s">
        <v>2867</v>
      </c>
      <c r="G1601" s="50" t="s">
        <v>1451</v>
      </c>
    </row>
    <row r="1602">
      <c r="A1602" s="50">
        <v>1256.0</v>
      </c>
      <c r="B1602" s="50" t="s">
        <v>2868</v>
      </c>
      <c r="E1602" s="50">
        <v>487.0</v>
      </c>
      <c r="F1602" s="50" t="s">
        <v>1443</v>
      </c>
      <c r="G1602" s="50" t="s">
        <v>1437</v>
      </c>
    </row>
    <row r="1603">
      <c r="A1603" s="50">
        <v>1204.0</v>
      </c>
      <c r="B1603" s="50" t="s">
        <v>2869</v>
      </c>
      <c r="G1603" s="50" t="s">
        <v>1451</v>
      </c>
    </row>
    <row r="1604">
      <c r="A1604" s="50">
        <v>495.0</v>
      </c>
      <c r="B1604" s="50" t="s">
        <v>2870</v>
      </c>
      <c r="E1604" s="50">
        <v>2247.0</v>
      </c>
      <c r="F1604" s="50" t="s">
        <v>1441</v>
      </c>
      <c r="G1604" s="50" t="s">
        <v>1437</v>
      </c>
    </row>
    <row r="1605">
      <c r="A1605" s="50">
        <v>1205.0</v>
      </c>
      <c r="B1605" s="50" t="s">
        <v>2871</v>
      </c>
      <c r="E1605" s="50">
        <v>2247.0</v>
      </c>
      <c r="F1605" s="50" t="s">
        <v>1441</v>
      </c>
      <c r="G1605" s="50" t="s">
        <v>1437</v>
      </c>
    </row>
    <row r="1606">
      <c r="A1606" s="50">
        <v>222.0</v>
      </c>
      <c r="B1606" s="50" t="s">
        <v>2872</v>
      </c>
      <c r="E1606" s="50">
        <v>2278.0</v>
      </c>
      <c r="F1606" s="50" t="s">
        <v>1439</v>
      </c>
      <c r="G1606" s="50" t="s">
        <v>1437</v>
      </c>
    </row>
    <row r="1607">
      <c r="A1607" s="50">
        <v>1010.0</v>
      </c>
      <c r="B1607" s="50" t="s">
        <v>2873</v>
      </c>
      <c r="E1607" s="50">
        <v>2640.0</v>
      </c>
      <c r="F1607" s="50" t="s">
        <v>1530</v>
      </c>
      <c r="G1607" s="50" t="s">
        <v>1437</v>
      </c>
    </row>
    <row r="1608">
      <c r="A1608" s="50">
        <v>963.0</v>
      </c>
      <c r="B1608" s="50" t="s">
        <v>2874</v>
      </c>
      <c r="E1608" s="50">
        <v>2247.0</v>
      </c>
      <c r="F1608" s="50" t="s">
        <v>1441</v>
      </c>
      <c r="G1608" s="50" t="s">
        <v>1437</v>
      </c>
    </row>
    <row r="1609">
      <c r="A1609" s="50">
        <v>1075.0</v>
      </c>
      <c r="B1609" s="50" t="s">
        <v>2876</v>
      </c>
      <c r="G1609" s="50" t="s">
        <v>1451</v>
      </c>
    </row>
    <row r="1610">
      <c r="A1610" s="50">
        <v>231.0</v>
      </c>
      <c r="B1610" s="50" t="s">
        <v>2877</v>
      </c>
      <c r="E1610" s="50">
        <v>2264.0</v>
      </c>
      <c r="F1610" s="50" t="s">
        <v>1447</v>
      </c>
      <c r="G1610" s="50" t="s">
        <v>1437</v>
      </c>
    </row>
    <row r="1611">
      <c r="A1611" s="50">
        <v>476.0</v>
      </c>
      <c r="B1611" s="50" t="s">
        <v>2878</v>
      </c>
      <c r="G1611" s="50" t="s">
        <v>1451</v>
      </c>
    </row>
    <row r="1612">
      <c r="A1612" s="50">
        <v>454.0</v>
      </c>
      <c r="B1612" s="50" t="s">
        <v>2879</v>
      </c>
      <c r="G1612" s="50" t="s">
        <v>1451</v>
      </c>
    </row>
    <row r="1613">
      <c r="A1613" s="50">
        <v>39.0</v>
      </c>
      <c r="B1613" s="50" t="s">
        <v>2880</v>
      </c>
      <c r="E1613" s="50">
        <v>2247.0</v>
      </c>
      <c r="F1613" s="50" t="s">
        <v>1441</v>
      </c>
      <c r="G1613" s="50" t="s">
        <v>1437</v>
      </c>
    </row>
    <row r="1614">
      <c r="A1614" s="50">
        <v>980.0</v>
      </c>
      <c r="B1614" s="50" t="s">
        <v>563</v>
      </c>
      <c r="E1614" s="50">
        <v>2247.0</v>
      </c>
      <c r="F1614" s="50" t="s">
        <v>1441</v>
      </c>
      <c r="G1614" s="50" t="s">
        <v>1437</v>
      </c>
    </row>
    <row r="1615">
      <c r="A1615" s="50">
        <v>774.0</v>
      </c>
      <c r="B1615" s="50" t="s">
        <v>766</v>
      </c>
      <c r="E1615" s="50">
        <v>2278.0</v>
      </c>
      <c r="F1615" s="50" t="s">
        <v>1439</v>
      </c>
      <c r="G1615" s="50" t="s">
        <v>1437</v>
      </c>
    </row>
    <row r="1616">
      <c r="A1616" s="50">
        <v>546.0</v>
      </c>
      <c r="B1616" s="50" t="s">
        <v>408</v>
      </c>
      <c r="E1616" s="50">
        <v>487.0</v>
      </c>
      <c r="F1616" s="50" t="s">
        <v>1443</v>
      </c>
      <c r="G1616" s="50" t="s">
        <v>1437</v>
      </c>
    </row>
    <row r="1617">
      <c r="A1617" s="50">
        <v>440.0</v>
      </c>
      <c r="B1617" s="50" t="s">
        <v>2881</v>
      </c>
      <c r="G1617" s="50" t="s">
        <v>1451</v>
      </c>
    </row>
    <row r="1618">
      <c r="A1618" s="50">
        <v>417.0</v>
      </c>
      <c r="B1618" s="50" t="s">
        <v>2882</v>
      </c>
      <c r="G1618" s="50" t="s">
        <v>1451</v>
      </c>
    </row>
    <row r="1619">
      <c r="A1619" s="50">
        <v>456.0</v>
      </c>
      <c r="B1619" s="50" t="s">
        <v>2883</v>
      </c>
      <c r="G1619" s="50" t="s">
        <v>1451</v>
      </c>
    </row>
    <row r="1620">
      <c r="A1620" s="50">
        <v>2601.0</v>
      </c>
      <c r="B1620" s="50" t="s">
        <v>2884</v>
      </c>
      <c r="G1620" s="50" t="s">
        <v>1451</v>
      </c>
    </row>
    <row r="1621">
      <c r="A1621" s="50">
        <v>3156.0</v>
      </c>
      <c r="B1621" s="50" t="s">
        <v>2885</v>
      </c>
      <c r="G1621" s="50" t="s">
        <v>1451</v>
      </c>
    </row>
    <row r="1622">
      <c r="A1622" s="50">
        <v>475.0</v>
      </c>
      <c r="B1622" s="50" t="s">
        <v>782</v>
      </c>
      <c r="E1622" s="50">
        <v>2247.0</v>
      </c>
      <c r="F1622" s="50" t="s">
        <v>1441</v>
      </c>
      <c r="G1622" s="50" t="s">
        <v>1437</v>
      </c>
    </row>
    <row r="1623">
      <c r="A1623" s="50">
        <v>887.0</v>
      </c>
      <c r="B1623" s="50" t="s">
        <v>2886</v>
      </c>
      <c r="G1623" s="50" t="s">
        <v>1451</v>
      </c>
    </row>
    <row r="1624">
      <c r="A1624" s="50">
        <v>2990.0</v>
      </c>
      <c r="B1624" s="50" t="s">
        <v>2887</v>
      </c>
      <c r="E1624" s="50">
        <v>2278.0</v>
      </c>
      <c r="F1624" s="50" t="s">
        <v>1439</v>
      </c>
      <c r="G1624" s="50" t="s">
        <v>1437</v>
      </c>
    </row>
    <row r="1625">
      <c r="A1625" s="50">
        <v>2946.0</v>
      </c>
      <c r="B1625" s="50" t="s">
        <v>2888</v>
      </c>
      <c r="E1625" s="50">
        <v>2640.0</v>
      </c>
      <c r="F1625" s="50" t="s">
        <v>1530</v>
      </c>
      <c r="G1625" s="50" t="s">
        <v>1437</v>
      </c>
    </row>
    <row r="1626">
      <c r="A1626" s="50">
        <v>2792.0</v>
      </c>
      <c r="B1626" s="50" t="s">
        <v>2890</v>
      </c>
      <c r="E1626" s="50">
        <v>2247.0</v>
      </c>
      <c r="F1626" s="50" t="s">
        <v>1441</v>
      </c>
      <c r="G1626" s="50" t="s">
        <v>1437</v>
      </c>
    </row>
    <row r="1627">
      <c r="A1627" s="50">
        <v>2610.0</v>
      </c>
      <c r="B1627" s="50" t="s">
        <v>2891</v>
      </c>
      <c r="E1627" s="50">
        <v>2264.0</v>
      </c>
      <c r="F1627" s="50" t="s">
        <v>1447</v>
      </c>
      <c r="G1627" s="50" t="s">
        <v>1437</v>
      </c>
    </row>
    <row r="1628">
      <c r="A1628" s="50">
        <v>1516.0</v>
      </c>
      <c r="B1628" s="50" t="s">
        <v>2892</v>
      </c>
      <c r="E1628" s="50">
        <v>2264.0</v>
      </c>
      <c r="F1628" s="50" t="s">
        <v>1447</v>
      </c>
      <c r="G1628" s="50" t="s">
        <v>1437</v>
      </c>
    </row>
    <row r="1629">
      <c r="A1629" s="50">
        <v>2805.0</v>
      </c>
      <c r="B1629" s="50" t="s">
        <v>2893</v>
      </c>
      <c r="E1629" s="50">
        <v>2264.0</v>
      </c>
      <c r="F1629" s="50" t="s">
        <v>1447</v>
      </c>
      <c r="G1629" s="50" t="s">
        <v>1437</v>
      </c>
    </row>
    <row r="1630">
      <c r="A1630" s="50">
        <v>2058.0</v>
      </c>
      <c r="B1630" s="50" t="s">
        <v>2894</v>
      </c>
      <c r="E1630" s="50">
        <v>2247.0</v>
      </c>
      <c r="F1630" s="50" t="s">
        <v>1441</v>
      </c>
      <c r="G1630" s="50" t="s">
        <v>1437</v>
      </c>
    </row>
    <row r="1631">
      <c r="A1631" s="50">
        <v>2804.0</v>
      </c>
      <c r="B1631" s="50" t="s">
        <v>2895</v>
      </c>
      <c r="E1631" s="50">
        <v>2278.0</v>
      </c>
      <c r="F1631" s="50" t="s">
        <v>1439</v>
      </c>
      <c r="G1631" s="50" t="s">
        <v>1437</v>
      </c>
    </row>
    <row r="1632">
      <c r="A1632" s="50">
        <v>1515.0</v>
      </c>
      <c r="B1632" s="50" t="s">
        <v>2896</v>
      </c>
      <c r="E1632" s="50">
        <v>2247.0</v>
      </c>
      <c r="F1632" s="50" t="s">
        <v>1441</v>
      </c>
      <c r="G1632" s="50" t="s">
        <v>1437</v>
      </c>
    </row>
    <row r="1633">
      <c r="A1633" s="50">
        <v>2147.0</v>
      </c>
      <c r="B1633" s="50" t="s">
        <v>2897</v>
      </c>
      <c r="E1633" s="50">
        <v>487.0</v>
      </c>
      <c r="F1633" s="50" t="s">
        <v>1443</v>
      </c>
      <c r="G1633" s="50" t="s">
        <v>1437</v>
      </c>
    </row>
    <row r="1634">
      <c r="A1634" s="50">
        <v>2262.0</v>
      </c>
      <c r="B1634" s="50" t="s">
        <v>2898</v>
      </c>
      <c r="G1634" s="50" t="s">
        <v>1451</v>
      </c>
    </row>
    <row r="1635">
      <c r="A1635" s="50">
        <v>2773.0</v>
      </c>
      <c r="B1635" s="50" t="s">
        <v>2899</v>
      </c>
      <c r="E1635" s="50">
        <v>487.0</v>
      </c>
      <c r="F1635" s="50" t="s">
        <v>1443</v>
      </c>
      <c r="G1635" s="50" t="s">
        <v>1437</v>
      </c>
    </row>
    <row r="1636">
      <c r="A1636" s="50">
        <v>2702.0</v>
      </c>
      <c r="B1636" s="50" t="s">
        <v>2900</v>
      </c>
      <c r="E1636" s="50">
        <v>2247.0</v>
      </c>
      <c r="F1636" s="50" t="s">
        <v>1441</v>
      </c>
      <c r="G1636" s="50" t="s">
        <v>1437</v>
      </c>
    </row>
    <row r="1637">
      <c r="A1637" s="50">
        <v>2301.0</v>
      </c>
      <c r="B1637" s="50" t="s">
        <v>2901</v>
      </c>
      <c r="G1637" s="50" t="s">
        <v>1451</v>
      </c>
    </row>
    <row r="1638">
      <c r="A1638" s="50">
        <v>2370.0</v>
      </c>
      <c r="B1638" s="50" t="s">
        <v>2902</v>
      </c>
      <c r="G1638" s="50" t="s">
        <v>1451</v>
      </c>
    </row>
    <row r="1639">
      <c r="A1639" s="50">
        <v>768.0</v>
      </c>
      <c r="B1639" s="50" t="s">
        <v>2903</v>
      </c>
      <c r="E1639" s="50">
        <v>2278.0</v>
      </c>
      <c r="F1639" s="50" t="s">
        <v>1439</v>
      </c>
      <c r="G1639" s="50" t="s">
        <v>1437</v>
      </c>
    </row>
    <row r="1640">
      <c r="A1640" s="50">
        <v>941.0</v>
      </c>
      <c r="B1640" s="50" t="s">
        <v>2904</v>
      </c>
      <c r="G1640" s="50" t="s">
        <v>1451</v>
      </c>
    </row>
    <row r="1641">
      <c r="A1641" s="50">
        <v>1057.0</v>
      </c>
      <c r="B1641" s="50" t="s">
        <v>2905</v>
      </c>
      <c r="E1641" s="50">
        <v>2247.0</v>
      </c>
      <c r="F1641" s="50" t="s">
        <v>1441</v>
      </c>
      <c r="G1641" s="50" t="s">
        <v>1437</v>
      </c>
    </row>
    <row r="1642">
      <c r="A1642" s="50">
        <v>1056.0</v>
      </c>
      <c r="B1642" s="50" t="s">
        <v>2906</v>
      </c>
      <c r="E1642" s="50">
        <v>487.0</v>
      </c>
      <c r="F1642" s="50" t="s">
        <v>1443</v>
      </c>
      <c r="G1642" s="50" t="s">
        <v>1437</v>
      </c>
    </row>
    <row r="1643">
      <c r="A1643" s="50">
        <v>974.0</v>
      </c>
      <c r="B1643" s="50" t="s">
        <v>2907</v>
      </c>
      <c r="E1643" s="50">
        <v>2264.0</v>
      </c>
      <c r="F1643" s="50" t="s">
        <v>1447</v>
      </c>
      <c r="G1643" s="50" t="s">
        <v>1437</v>
      </c>
    </row>
    <row r="1644">
      <c r="A1644" s="50">
        <v>942.0</v>
      </c>
      <c r="B1644" s="50" t="s">
        <v>2908</v>
      </c>
      <c r="E1644" s="50">
        <v>2263.0</v>
      </c>
      <c r="F1644" s="50" t="s">
        <v>1436</v>
      </c>
      <c r="G1644" s="50" t="s">
        <v>1437</v>
      </c>
    </row>
    <row r="1645">
      <c r="A1645" s="50">
        <v>2759.0</v>
      </c>
      <c r="B1645" s="50" t="s">
        <v>973</v>
      </c>
      <c r="E1645" s="50">
        <v>2247.0</v>
      </c>
      <c r="F1645" s="50" t="s">
        <v>1441</v>
      </c>
      <c r="G1645" s="50" t="s">
        <v>1437</v>
      </c>
    </row>
    <row r="1646">
      <c r="A1646" s="50">
        <v>2786.0</v>
      </c>
      <c r="B1646" s="50" t="s">
        <v>1017</v>
      </c>
      <c r="E1646" s="50">
        <v>2640.0</v>
      </c>
      <c r="F1646" s="50" t="s">
        <v>1530</v>
      </c>
      <c r="G1646" s="50" t="s">
        <v>1437</v>
      </c>
    </row>
    <row r="1647">
      <c r="A1647" s="50">
        <v>2738.0</v>
      </c>
      <c r="B1647" s="50" t="s">
        <v>2910</v>
      </c>
      <c r="G1647" s="50" t="s">
        <v>1451</v>
      </c>
    </row>
    <row r="1648">
      <c r="A1648" s="50">
        <v>2216.0</v>
      </c>
      <c r="B1648" s="50" t="s">
        <v>2911</v>
      </c>
      <c r="G1648" s="50" t="s">
        <v>1451</v>
      </c>
    </row>
    <row r="1649">
      <c r="A1649" s="50">
        <v>1266.0</v>
      </c>
      <c r="B1649" s="50" t="s">
        <v>2912</v>
      </c>
      <c r="G1649" s="50" t="s">
        <v>1451</v>
      </c>
    </row>
    <row r="1650">
      <c r="A1650" s="50">
        <v>3527.0</v>
      </c>
      <c r="B1650" s="50" t="s">
        <v>329</v>
      </c>
      <c r="G1650" s="50" t="s">
        <v>1451</v>
      </c>
    </row>
    <row r="1651">
      <c r="A1651" s="50">
        <v>2478.0</v>
      </c>
      <c r="B1651" s="50" t="s">
        <v>2913</v>
      </c>
      <c r="G1651" s="50" t="s">
        <v>1451</v>
      </c>
    </row>
    <row r="1652">
      <c r="A1652" s="50">
        <v>3661.0</v>
      </c>
      <c r="B1652" s="50" t="s">
        <v>2914</v>
      </c>
      <c r="C1652" s="50">
        <v>3661.0</v>
      </c>
      <c r="D1652" s="50" t="s">
        <v>736</v>
      </c>
      <c r="G1652" s="50" t="s">
        <v>1433</v>
      </c>
    </row>
    <row r="1653">
      <c r="A1653" s="50">
        <v>2169.0</v>
      </c>
      <c r="B1653" s="50" t="s">
        <v>2915</v>
      </c>
      <c r="G1653" s="50" t="s">
        <v>1451</v>
      </c>
    </row>
    <row r="1654">
      <c r="A1654" s="50">
        <v>538.0</v>
      </c>
      <c r="B1654" s="50" t="s">
        <v>2916</v>
      </c>
      <c r="G1654" s="50" t="s">
        <v>1451</v>
      </c>
    </row>
    <row r="1655">
      <c r="A1655" s="50">
        <v>822.0</v>
      </c>
      <c r="B1655" s="50" t="s">
        <v>136</v>
      </c>
      <c r="G1655" s="50" t="s">
        <v>1451</v>
      </c>
    </row>
    <row r="1656">
      <c r="A1656" s="50">
        <v>2812.0</v>
      </c>
      <c r="B1656" s="50" t="s">
        <v>2917</v>
      </c>
      <c r="G1656" s="50" t="s">
        <v>1451</v>
      </c>
    </row>
    <row r="1657">
      <c r="A1657" s="50">
        <v>3726.0</v>
      </c>
      <c r="B1657" s="50" t="s">
        <v>2918</v>
      </c>
      <c r="G1657" s="50" t="s">
        <v>1451</v>
      </c>
    </row>
    <row r="1658">
      <c r="A1658" s="50">
        <v>3727.0</v>
      </c>
      <c r="B1658" s="50" t="s">
        <v>2920</v>
      </c>
      <c r="G1658" s="50" t="s">
        <v>1451</v>
      </c>
    </row>
    <row r="1659">
      <c r="A1659" s="50">
        <v>2540.0</v>
      </c>
      <c r="B1659" s="50" t="s">
        <v>2921</v>
      </c>
      <c r="G1659" s="50" t="s">
        <v>1451</v>
      </c>
    </row>
    <row r="1660">
      <c r="A1660" s="50">
        <v>2888.0</v>
      </c>
      <c r="B1660" s="50" t="s">
        <v>2922</v>
      </c>
      <c r="E1660" s="50">
        <v>2263.0</v>
      </c>
      <c r="F1660" s="50" t="s">
        <v>1436</v>
      </c>
      <c r="G1660" s="50" t="s">
        <v>1437</v>
      </c>
    </row>
    <row r="1661">
      <c r="A1661" s="50">
        <v>3219.0</v>
      </c>
      <c r="B1661" s="50" t="s">
        <v>2923</v>
      </c>
      <c r="G1661" s="50" t="s">
        <v>1451</v>
      </c>
    </row>
    <row r="1662">
      <c r="A1662" s="50">
        <v>2520.0</v>
      </c>
      <c r="B1662" s="50" t="s">
        <v>2924</v>
      </c>
      <c r="E1662" s="50">
        <v>2247.0</v>
      </c>
      <c r="F1662" s="50" t="s">
        <v>1441</v>
      </c>
      <c r="G1662" s="50" t="s">
        <v>1437</v>
      </c>
    </row>
    <row r="1663">
      <c r="A1663" s="50">
        <v>2633.0</v>
      </c>
      <c r="B1663" s="50" t="s">
        <v>2926</v>
      </c>
      <c r="E1663" s="50">
        <v>2278.0</v>
      </c>
      <c r="F1663" s="50" t="s">
        <v>1439</v>
      </c>
      <c r="G1663" s="50" t="s">
        <v>1437</v>
      </c>
    </row>
    <row r="1664">
      <c r="A1664" s="50">
        <v>3036.0</v>
      </c>
      <c r="B1664" s="50" t="s">
        <v>2927</v>
      </c>
      <c r="E1664" s="50">
        <v>487.0</v>
      </c>
      <c r="F1664" s="50" t="s">
        <v>1443</v>
      </c>
      <c r="G1664" s="50" t="s">
        <v>1437</v>
      </c>
    </row>
    <row r="1665">
      <c r="A1665" s="50">
        <v>2982.0</v>
      </c>
      <c r="B1665" s="50" t="s">
        <v>2928</v>
      </c>
      <c r="E1665" s="50">
        <v>2264.0</v>
      </c>
      <c r="F1665" s="50" t="s">
        <v>1447</v>
      </c>
      <c r="G1665" s="50" t="s">
        <v>1437</v>
      </c>
    </row>
    <row r="1666">
      <c r="A1666" s="50">
        <v>3030.0</v>
      </c>
      <c r="B1666" s="50" t="s">
        <v>2929</v>
      </c>
      <c r="E1666" s="50">
        <v>2264.0</v>
      </c>
      <c r="F1666" s="50" t="s">
        <v>1447</v>
      </c>
      <c r="G1666" s="50" t="s">
        <v>1437</v>
      </c>
    </row>
    <row r="1667">
      <c r="A1667" s="50">
        <v>453.0</v>
      </c>
      <c r="B1667" s="50" t="s">
        <v>2930</v>
      </c>
      <c r="C1667" s="50">
        <v>453.0</v>
      </c>
      <c r="D1667" s="50" t="s">
        <v>2931</v>
      </c>
      <c r="G1667" s="50" t="s">
        <v>1433</v>
      </c>
    </row>
    <row r="1668">
      <c r="A1668" s="50">
        <v>2400.0</v>
      </c>
      <c r="B1668" s="50" t="s">
        <v>2932</v>
      </c>
      <c r="C1668" s="50">
        <v>453.0</v>
      </c>
      <c r="D1668" s="50" t="s">
        <v>2931</v>
      </c>
      <c r="G1668" s="50" t="s">
        <v>1433</v>
      </c>
    </row>
    <row r="1669">
      <c r="A1669" s="50">
        <v>1322.0</v>
      </c>
      <c r="B1669" s="50" t="s">
        <v>2933</v>
      </c>
      <c r="C1669" s="50">
        <v>453.0</v>
      </c>
      <c r="D1669" s="50" t="s">
        <v>2931</v>
      </c>
      <c r="E1669" s="50">
        <v>2263.0</v>
      </c>
      <c r="F1669" s="50" t="s">
        <v>1436</v>
      </c>
      <c r="G1669" s="50" t="s">
        <v>1452</v>
      </c>
    </row>
    <row r="1670">
      <c r="A1670" s="50">
        <v>112.0</v>
      </c>
      <c r="B1670" s="50" t="s">
        <v>2934</v>
      </c>
      <c r="C1670" s="50">
        <v>453.0</v>
      </c>
      <c r="D1670" s="50" t="s">
        <v>2931</v>
      </c>
      <c r="E1670" s="50">
        <v>2247.0</v>
      </c>
      <c r="F1670" s="50" t="s">
        <v>1441</v>
      </c>
      <c r="G1670" s="50" t="s">
        <v>1452</v>
      </c>
    </row>
    <row r="1671">
      <c r="A1671" s="50">
        <v>1053.0</v>
      </c>
      <c r="B1671" s="50" t="s">
        <v>2935</v>
      </c>
      <c r="C1671" s="50">
        <v>453.0</v>
      </c>
      <c r="D1671" s="50" t="s">
        <v>2931</v>
      </c>
      <c r="E1671" s="50">
        <v>2247.0</v>
      </c>
      <c r="F1671" s="50" t="s">
        <v>1441</v>
      </c>
      <c r="G1671" s="50" t="s">
        <v>1452</v>
      </c>
    </row>
    <row r="1672">
      <c r="A1672" s="50">
        <v>1046.0</v>
      </c>
      <c r="B1672" s="50" t="s">
        <v>833</v>
      </c>
      <c r="C1672" s="50">
        <v>453.0</v>
      </c>
      <c r="D1672" s="50" t="s">
        <v>2931</v>
      </c>
      <c r="E1672" s="50">
        <v>2278.0</v>
      </c>
      <c r="F1672" s="50" t="s">
        <v>1439</v>
      </c>
      <c r="G1672" s="50" t="s">
        <v>1452</v>
      </c>
    </row>
    <row r="1673">
      <c r="A1673" s="50">
        <v>3266.0</v>
      </c>
      <c r="B1673" s="50" t="s">
        <v>427</v>
      </c>
      <c r="C1673" s="50">
        <v>453.0</v>
      </c>
      <c r="D1673" s="50" t="s">
        <v>2931</v>
      </c>
      <c r="E1673" s="50">
        <v>2278.0</v>
      </c>
      <c r="F1673" s="50" t="s">
        <v>1439</v>
      </c>
      <c r="G1673" s="50" t="s">
        <v>1452</v>
      </c>
    </row>
    <row r="1674">
      <c r="A1674" s="50">
        <v>382.0</v>
      </c>
      <c r="B1674" s="50" t="s">
        <v>2936</v>
      </c>
      <c r="C1674" s="50">
        <v>453.0</v>
      </c>
      <c r="D1674" s="50" t="s">
        <v>2931</v>
      </c>
      <c r="E1674" s="50">
        <v>487.0</v>
      </c>
      <c r="F1674" s="50" t="s">
        <v>1443</v>
      </c>
      <c r="G1674" s="50" t="s">
        <v>1452</v>
      </c>
    </row>
    <row r="1675">
      <c r="A1675" s="50">
        <v>1052.0</v>
      </c>
      <c r="B1675" s="50" t="s">
        <v>2937</v>
      </c>
      <c r="C1675" s="50">
        <v>453.0</v>
      </c>
      <c r="D1675" s="50" t="s">
        <v>2931</v>
      </c>
      <c r="G1675" s="50" t="s">
        <v>1433</v>
      </c>
    </row>
    <row r="1676">
      <c r="A1676" s="50">
        <v>1002.0</v>
      </c>
      <c r="B1676" s="50" t="s">
        <v>2938</v>
      </c>
      <c r="C1676" s="50">
        <v>453.0</v>
      </c>
      <c r="D1676" s="50" t="s">
        <v>2931</v>
      </c>
      <c r="E1676" s="50">
        <v>2264.0</v>
      </c>
      <c r="F1676" s="50" t="s">
        <v>1447</v>
      </c>
      <c r="G1676" s="50" t="s">
        <v>1452</v>
      </c>
    </row>
    <row r="1677">
      <c r="A1677" s="50">
        <v>1242.0</v>
      </c>
      <c r="B1677" s="50" t="s">
        <v>2939</v>
      </c>
      <c r="G1677" s="50" t="s">
        <v>1451</v>
      </c>
    </row>
    <row r="1678">
      <c r="A1678" s="50">
        <v>2473.0</v>
      </c>
      <c r="B1678" s="50" t="s">
        <v>2940</v>
      </c>
      <c r="G1678" s="50" t="s">
        <v>1451</v>
      </c>
    </row>
    <row r="1679">
      <c r="A1679" s="50">
        <v>2515.0</v>
      </c>
      <c r="B1679" s="50" t="s">
        <v>2941</v>
      </c>
      <c r="G1679" s="50" t="s">
        <v>1451</v>
      </c>
    </row>
    <row r="1680">
      <c r="A1680" s="50">
        <v>2514.0</v>
      </c>
      <c r="B1680" s="50" t="s">
        <v>2942</v>
      </c>
      <c r="G1680" s="50" t="s">
        <v>1451</v>
      </c>
    </row>
    <row r="1681">
      <c r="A1681" s="50">
        <v>2513.0</v>
      </c>
      <c r="B1681" s="50" t="s">
        <v>2943</v>
      </c>
      <c r="G1681" s="50" t="s">
        <v>1451</v>
      </c>
    </row>
    <row r="1682">
      <c r="A1682" s="50">
        <v>2552.0</v>
      </c>
      <c r="B1682" s="50" t="s">
        <v>2944</v>
      </c>
      <c r="G1682" s="50" t="s">
        <v>1451</v>
      </c>
    </row>
    <row r="1683">
      <c r="A1683" s="50">
        <v>3737.0</v>
      </c>
      <c r="B1683" s="50" t="s">
        <v>403</v>
      </c>
      <c r="C1683" s="50">
        <v>3927.0</v>
      </c>
      <c r="D1683" s="50" t="s">
        <v>2946</v>
      </c>
      <c r="E1683" s="50">
        <v>2264.0</v>
      </c>
      <c r="F1683" s="50" t="s">
        <v>1447</v>
      </c>
      <c r="G1683" s="50" t="s">
        <v>1452</v>
      </c>
    </row>
    <row r="1684">
      <c r="A1684" s="50">
        <v>3610.0</v>
      </c>
      <c r="B1684" s="50" t="s">
        <v>2947</v>
      </c>
      <c r="C1684" s="50">
        <v>3927.0</v>
      </c>
      <c r="D1684" s="50" t="s">
        <v>2946</v>
      </c>
      <c r="E1684" s="50">
        <v>487.0</v>
      </c>
      <c r="F1684" s="50" t="s">
        <v>1443</v>
      </c>
      <c r="G1684" s="50" t="s">
        <v>1452</v>
      </c>
    </row>
    <row r="1685">
      <c r="A1685" s="50">
        <v>3253.0</v>
      </c>
      <c r="B1685" s="50" t="s">
        <v>433</v>
      </c>
      <c r="G1685" s="50" t="s">
        <v>1451</v>
      </c>
    </row>
    <row r="1686">
      <c r="A1686" s="50">
        <v>1298.0</v>
      </c>
      <c r="B1686" s="50" t="s">
        <v>2948</v>
      </c>
      <c r="G1686" s="50" t="s">
        <v>1451</v>
      </c>
    </row>
    <row r="1687">
      <c r="A1687" s="50">
        <v>1092.0</v>
      </c>
      <c r="B1687" s="50" t="s">
        <v>2810</v>
      </c>
      <c r="G1687" s="50" t="s">
        <v>1451</v>
      </c>
    </row>
    <row r="1688">
      <c r="A1688" s="50">
        <v>1221.0</v>
      </c>
      <c r="B1688" s="50" t="s">
        <v>2949</v>
      </c>
      <c r="E1688" s="50">
        <v>2247.0</v>
      </c>
      <c r="F1688" s="50" t="s">
        <v>1441</v>
      </c>
      <c r="G1688" s="50" t="s">
        <v>1437</v>
      </c>
    </row>
    <row r="1689">
      <c r="A1689" s="50">
        <v>671.0</v>
      </c>
      <c r="B1689" s="50" t="s">
        <v>835</v>
      </c>
      <c r="E1689" s="50">
        <v>2278.0</v>
      </c>
      <c r="F1689" s="50" t="s">
        <v>1439</v>
      </c>
      <c r="G1689" s="50" t="s">
        <v>1437</v>
      </c>
    </row>
    <row r="1690">
      <c r="A1690" s="50">
        <v>912.0</v>
      </c>
      <c r="B1690" s="50" t="s">
        <v>2951</v>
      </c>
      <c r="G1690" s="50" t="s">
        <v>1451</v>
      </c>
    </row>
    <row r="1691">
      <c r="A1691" s="50">
        <v>1091.0</v>
      </c>
      <c r="B1691" s="50" t="s">
        <v>2953</v>
      </c>
      <c r="E1691" s="50">
        <v>2640.0</v>
      </c>
      <c r="F1691" s="50" t="s">
        <v>1530</v>
      </c>
      <c r="G1691" s="50" t="s">
        <v>1437</v>
      </c>
    </row>
    <row r="1692">
      <c r="A1692" s="50">
        <v>1540.0</v>
      </c>
      <c r="B1692" s="50" t="s">
        <v>2954</v>
      </c>
      <c r="G1692" s="50" t="s">
        <v>1451</v>
      </c>
    </row>
    <row r="1693">
      <c r="A1693" s="50">
        <v>908.0</v>
      </c>
      <c r="B1693" s="50" t="s">
        <v>2955</v>
      </c>
      <c r="E1693" s="50">
        <v>2247.0</v>
      </c>
      <c r="F1693" s="50" t="s">
        <v>1441</v>
      </c>
      <c r="G1693" s="50" t="s">
        <v>1437</v>
      </c>
    </row>
    <row r="1694">
      <c r="A1694" s="50">
        <v>907.0</v>
      </c>
      <c r="B1694" s="50" t="s">
        <v>2956</v>
      </c>
      <c r="E1694" s="50">
        <v>3136.0</v>
      </c>
      <c r="F1694" s="50" t="s">
        <v>1610</v>
      </c>
      <c r="G1694" s="50" t="s">
        <v>1437</v>
      </c>
    </row>
    <row r="1695">
      <c r="A1695" s="50">
        <v>3051.0</v>
      </c>
      <c r="B1695" s="50" t="s">
        <v>838</v>
      </c>
      <c r="E1695" s="50">
        <v>3136.0</v>
      </c>
      <c r="F1695" s="50" t="s">
        <v>1610</v>
      </c>
      <c r="G1695" s="50" t="s">
        <v>1437</v>
      </c>
    </row>
    <row r="1696">
      <c r="A1696" s="50">
        <v>9.0</v>
      </c>
      <c r="B1696" s="50" t="s">
        <v>2957</v>
      </c>
      <c r="E1696" s="50">
        <v>2247.0</v>
      </c>
      <c r="F1696" s="50" t="s">
        <v>1441</v>
      </c>
      <c r="G1696" s="50" t="s">
        <v>1437</v>
      </c>
    </row>
    <row r="1697">
      <c r="A1697" s="50">
        <v>808.0</v>
      </c>
      <c r="B1697" s="50" t="s">
        <v>2958</v>
      </c>
      <c r="E1697" s="50">
        <v>2264.0</v>
      </c>
      <c r="F1697" s="50" t="s">
        <v>1447</v>
      </c>
      <c r="G1697" s="50" t="s">
        <v>1437</v>
      </c>
    </row>
    <row r="1698">
      <c r="A1698" s="50">
        <v>2772.0</v>
      </c>
      <c r="B1698" s="50" t="s">
        <v>2959</v>
      </c>
      <c r="E1698" s="50">
        <v>2640.0</v>
      </c>
      <c r="F1698" s="50" t="s">
        <v>1530</v>
      </c>
      <c r="G1698" s="50" t="s">
        <v>1437</v>
      </c>
    </row>
    <row r="1699">
      <c r="A1699" s="50">
        <v>2020.0</v>
      </c>
      <c r="B1699" s="50" t="s">
        <v>2960</v>
      </c>
      <c r="E1699" s="50">
        <v>2247.0</v>
      </c>
      <c r="F1699" s="50" t="s">
        <v>1441</v>
      </c>
      <c r="G1699" s="50" t="s">
        <v>1437</v>
      </c>
    </row>
    <row r="1700">
      <c r="A1700" s="50">
        <v>2832.0</v>
      </c>
      <c r="B1700" s="50" t="s">
        <v>2961</v>
      </c>
      <c r="E1700" s="50">
        <v>2247.0</v>
      </c>
      <c r="F1700" s="50" t="s">
        <v>1441</v>
      </c>
      <c r="G1700" s="50" t="s">
        <v>1437</v>
      </c>
    </row>
    <row r="1701">
      <c r="A1701" s="50">
        <v>3815.0</v>
      </c>
      <c r="B1701" s="50" t="s">
        <v>2962</v>
      </c>
      <c r="E1701" s="50">
        <v>2247.0</v>
      </c>
      <c r="F1701" s="50" t="s">
        <v>1441</v>
      </c>
      <c r="G1701" s="50" t="s">
        <v>1437</v>
      </c>
    </row>
    <row r="1702">
      <c r="A1702" s="50">
        <v>3772.0</v>
      </c>
      <c r="B1702" s="50" t="s">
        <v>2963</v>
      </c>
      <c r="E1702" s="50">
        <v>487.0</v>
      </c>
      <c r="F1702" s="50" t="s">
        <v>1443</v>
      </c>
      <c r="G1702" s="50" t="s">
        <v>1437</v>
      </c>
    </row>
    <row r="1703">
      <c r="A1703" s="50">
        <v>644.0</v>
      </c>
      <c r="B1703" s="50" t="s">
        <v>2964</v>
      </c>
      <c r="G1703" s="50" t="s">
        <v>1451</v>
      </c>
    </row>
    <row r="1704">
      <c r="A1704" s="50">
        <v>2358.0</v>
      </c>
      <c r="B1704" s="50" t="s">
        <v>2965</v>
      </c>
      <c r="G1704" s="50" t="s">
        <v>1451</v>
      </c>
    </row>
    <row r="1705">
      <c r="A1705" s="50">
        <v>3607.0</v>
      </c>
      <c r="B1705" s="50" t="s">
        <v>2966</v>
      </c>
      <c r="G1705" s="50" t="s">
        <v>1451</v>
      </c>
    </row>
    <row r="1706">
      <c r="A1706" s="50">
        <v>1097.0</v>
      </c>
      <c r="B1706" s="50" t="s">
        <v>2967</v>
      </c>
      <c r="E1706" s="50">
        <v>2263.0</v>
      </c>
      <c r="F1706" s="50" t="s">
        <v>1436</v>
      </c>
      <c r="G1706" s="50" t="s">
        <v>1437</v>
      </c>
    </row>
    <row r="1707">
      <c r="A1707" s="50">
        <v>882.0</v>
      </c>
      <c r="B1707" s="50" t="s">
        <v>2968</v>
      </c>
      <c r="E1707" s="50">
        <v>2278.0</v>
      </c>
      <c r="F1707" s="50" t="s">
        <v>1439</v>
      </c>
      <c r="G1707" s="50" t="s">
        <v>1437</v>
      </c>
    </row>
    <row r="1708">
      <c r="A1708" s="50">
        <v>1555.0</v>
      </c>
      <c r="B1708" s="50" t="s">
        <v>2969</v>
      </c>
      <c r="E1708" s="50">
        <v>2247.0</v>
      </c>
      <c r="F1708" s="50" t="s">
        <v>1441</v>
      </c>
      <c r="G1708" s="50" t="s">
        <v>1437</v>
      </c>
    </row>
    <row r="1709">
      <c r="A1709" s="50">
        <v>1100.0</v>
      </c>
      <c r="B1709" s="50" t="s">
        <v>2970</v>
      </c>
      <c r="E1709" s="50">
        <v>487.0</v>
      </c>
      <c r="F1709" s="50" t="s">
        <v>1443</v>
      </c>
      <c r="G1709" s="50" t="s">
        <v>1437</v>
      </c>
    </row>
    <row r="1710">
      <c r="A1710" s="50">
        <v>1561.0</v>
      </c>
      <c r="B1710" s="50" t="s">
        <v>2971</v>
      </c>
      <c r="E1710" s="50">
        <v>2248.0</v>
      </c>
      <c r="F1710" s="50" t="s">
        <v>1461</v>
      </c>
      <c r="G1710" s="50" t="s">
        <v>1437</v>
      </c>
    </row>
    <row r="1711">
      <c r="A1711" s="50">
        <v>111.0</v>
      </c>
      <c r="B1711" s="50" t="s">
        <v>2972</v>
      </c>
      <c r="G1711" s="50" t="s">
        <v>1451</v>
      </c>
    </row>
    <row r="1712">
      <c r="A1712" s="50">
        <v>3679.0</v>
      </c>
      <c r="B1712" s="50" t="s">
        <v>784</v>
      </c>
      <c r="G1712" s="50" t="s">
        <v>1451</v>
      </c>
    </row>
    <row r="1713">
      <c r="A1713" s="50">
        <v>2701.0</v>
      </c>
      <c r="B1713" s="50" t="s">
        <v>2973</v>
      </c>
      <c r="G1713" s="50" t="s">
        <v>1451</v>
      </c>
    </row>
    <row r="1714">
      <c r="A1714" s="50">
        <v>3389.0</v>
      </c>
      <c r="B1714" s="50" t="s">
        <v>2974</v>
      </c>
      <c r="G1714" s="50" t="s">
        <v>1451</v>
      </c>
    </row>
    <row r="1715">
      <c r="A1715" s="50">
        <v>3411.0</v>
      </c>
      <c r="B1715" s="50" t="s">
        <v>2975</v>
      </c>
      <c r="G1715" s="50" t="s">
        <v>1451</v>
      </c>
    </row>
    <row r="1716">
      <c r="A1716" s="50">
        <v>3642.0</v>
      </c>
      <c r="B1716" s="50" t="s">
        <v>1568</v>
      </c>
      <c r="G1716" s="50" t="s">
        <v>1451</v>
      </c>
    </row>
    <row r="1717">
      <c r="A1717" s="50">
        <v>3869.0</v>
      </c>
      <c r="B1717" s="50" t="s">
        <v>2976</v>
      </c>
      <c r="C1717" s="50">
        <v>2390.0</v>
      </c>
      <c r="D1717" s="50" t="s">
        <v>1963</v>
      </c>
      <c r="E1717" s="50">
        <v>2640.0</v>
      </c>
      <c r="F1717" s="50" t="s">
        <v>1530</v>
      </c>
      <c r="G1717" s="50" t="s">
        <v>1452</v>
      </c>
    </row>
    <row r="1718">
      <c r="A1718" s="50">
        <v>3883.0</v>
      </c>
      <c r="B1718" s="50" t="s">
        <v>317</v>
      </c>
      <c r="G1718" s="50" t="s">
        <v>1451</v>
      </c>
    </row>
    <row r="1719">
      <c r="A1719" s="50">
        <v>3884.0</v>
      </c>
      <c r="B1719" s="50" t="s">
        <v>2977</v>
      </c>
      <c r="G1719" s="50" t="s">
        <v>1451</v>
      </c>
    </row>
    <row r="1720">
      <c r="A1720" s="50">
        <v>3885.0</v>
      </c>
      <c r="B1720" s="50" t="s">
        <v>2978</v>
      </c>
      <c r="G1720" s="50" t="s">
        <v>1451</v>
      </c>
    </row>
    <row r="1721">
      <c r="A1721" s="50">
        <v>3872.0</v>
      </c>
      <c r="B1721" s="50" t="s">
        <v>442</v>
      </c>
      <c r="G1721" s="50" t="s">
        <v>1451</v>
      </c>
    </row>
    <row r="1722">
      <c r="A1722" s="50">
        <v>3886.0</v>
      </c>
      <c r="B1722" s="50" t="s">
        <v>2980</v>
      </c>
      <c r="G1722" s="50" t="s">
        <v>1451</v>
      </c>
    </row>
    <row r="1723">
      <c r="A1723" s="50">
        <v>3890.0</v>
      </c>
      <c r="B1723" s="50" t="s">
        <v>2981</v>
      </c>
      <c r="E1723" s="50">
        <v>2247.0</v>
      </c>
      <c r="F1723" s="50" t="s">
        <v>1441</v>
      </c>
      <c r="G1723" s="50" t="s">
        <v>1437</v>
      </c>
    </row>
    <row r="1724">
      <c r="A1724" s="50">
        <v>3889.0</v>
      </c>
      <c r="B1724" s="50" t="s">
        <v>2982</v>
      </c>
      <c r="G1724" s="50" t="s">
        <v>1451</v>
      </c>
    </row>
    <row r="1725">
      <c r="A1725" s="50">
        <v>3895.0</v>
      </c>
      <c r="B1725" s="50" t="s">
        <v>644</v>
      </c>
      <c r="C1725" s="50">
        <v>3906.0</v>
      </c>
      <c r="D1725" s="50" t="s">
        <v>1432</v>
      </c>
      <c r="E1725" s="50">
        <v>2247.0</v>
      </c>
      <c r="F1725" s="50" t="s">
        <v>1441</v>
      </c>
      <c r="G1725" s="50" t="s">
        <v>1452</v>
      </c>
    </row>
    <row r="1726">
      <c r="A1726" s="50">
        <v>3903.0</v>
      </c>
      <c r="B1726" s="50" t="s">
        <v>2983</v>
      </c>
      <c r="C1726" s="50">
        <v>3903.0</v>
      </c>
      <c r="D1726" s="50" t="s">
        <v>2104</v>
      </c>
      <c r="G1726" s="50" t="s">
        <v>1433</v>
      </c>
    </row>
    <row r="1727">
      <c r="A1727" s="50">
        <v>3906.0</v>
      </c>
      <c r="B1727" s="50" t="s">
        <v>2984</v>
      </c>
      <c r="C1727" s="50">
        <v>3906.0</v>
      </c>
      <c r="D1727" s="50" t="s">
        <v>1432</v>
      </c>
      <c r="G1727" s="50" t="s">
        <v>1433</v>
      </c>
    </row>
    <row r="1728">
      <c r="A1728" s="50">
        <v>3904.0</v>
      </c>
      <c r="B1728" s="50" t="s">
        <v>2986</v>
      </c>
      <c r="C1728" s="50">
        <v>3904.0</v>
      </c>
      <c r="D1728" s="50" t="s">
        <v>1615</v>
      </c>
      <c r="G1728" s="50" t="s">
        <v>1433</v>
      </c>
    </row>
    <row r="1729">
      <c r="A1729" s="50">
        <v>2277.0</v>
      </c>
      <c r="B1729" s="50" t="s">
        <v>2987</v>
      </c>
      <c r="G1729" s="50" t="s">
        <v>1451</v>
      </c>
    </row>
    <row r="1730">
      <c r="A1730" s="50">
        <v>3915.0</v>
      </c>
      <c r="B1730" s="50" t="s">
        <v>2988</v>
      </c>
      <c r="C1730" s="50">
        <v>3915.0</v>
      </c>
      <c r="D1730" s="50" t="s">
        <v>2778</v>
      </c>
      <c r="G1730" s="50" t="s">
        <v>1433</v>
      </c>
    </row>
    <row r="1731">
      <c r="A1731" s="50">
        <v>3913.0</v>
      </c>
      <c r="B1731" s="50" t="s">
        <v>2989</v>
      </c>
      <c r="C1731" s="50">
        <v>3913.0</v>
      </c>
      <c r="D1731" s="50" t="s">
        <v>2654</v>
      </c>
      <c r="G1731" s="50" t="s">
        <v>1433</v>
      </c>
    </row>
    <row r="1732">
      <c r="A1732" s="50">
        <v>3914.0</v>
      </c>
      <c r="B1732" s="50" t="s">
        <v>2990</v>
      </c>
      <c r="C1732" s="50">
        <v>3914.0</v>
      </c>
      <c r="D1732" s="50" t="s">
        <v>1596</v>
      </c>
      <c r="G1732" s="50" t="s">
        <v>1433</v>
      </c>
    </row>
    <row r="1733">
      <c r="A1733" s="50">
        <v>3911.0</v>
      </c>
      <c r="B1733" s="50" t="s">
        <v>2991</v>
      </c>
      <c r="G1733" s="50" t="s">
        <v>1451</v>
      </c>
    </row>
    <row r="1734">
      <c r="A1734" s="50">
        <v>3912.0</v>
      </c>
      <c r="B1734" s="50" t="s">
        <v>2992</v>
      </c>
      <c r="C1734" s="50">
        <v>3912.0</v>
      </c>
      <c r="D1734" s="50" t="s">
        <v>1916</v>
      </c>
      <c r="E1734" s="50">
        <v>2640.0</v>
      </c>
      <c r="F1734" s="50" t="s">
        <v>1530</v>
      </c>
      <c r="G1734" s="50" t="s">
        <v>1452</v>
      </c>
    </row>
    <row r="1735">
      <c r="A1735" s="50">
        <v>3918.0</v>
      </c>
      <c r="B1735" s="50" t="s">
        <v>2993</v>
      </c>
      <c r="C1735" s="50">
        <v>3918.0</v>
      </c>
      <c r="D1735" s="50" t="s">
        <v>1590</v>
      </c>
      <c r="G1735" s="50" t="s">
        <v>1433</v>
      </c>
    </row>
    <row r="1736">
      <c r="A1736" s="50">
        <v>3920.0</v>
      </c>
      <c r="B1736" s="50" t="s">
        <v>2994</v>
      </c>
      <c r="C1736" s="50">
        <v>3920.0</v>
      </c>
      <c r="D1736" s="50" t="s">
        <v>2001</v>
      </c>
      <c r="G1736" s="50" t="s">
        <v>1433</v>
      </c>
    </row>
    <row r="1737">
      <c r="A1737" s="50">
        <v>3291.0</v>
      </c>
      <c r="B1737" s="50" t="s">
        <v>2995</v>
      </c>
      <c r="C1737" s="50">
        <v>3291.0</v>
      </c>
      <c r="D1737" s="50" t="s">
        <v>2106</v>
      </c>
      <c r="E1737" s="50">
        <v>2640.0</v>
      </c>
      <c r="F1737" s="50" t="s">
        <v>1530</v>
      </c>
      <c r="G1737" s="50" t="s">
        <v>1452</v>
      </c>
    </row>
    <row r="1738">
      <c r="A1738" s="50">
        <v>3922.0</v>
      </c>
      <c r="B1738" s="50" t="s">
        <v>2996</v>
      </c>
      <c r="C1738" s="50">
        <v>3922.0</v>
      </c>
      <c r="D1738" s="50" t="s">
        <v>1944</v>
      </c>
      <c r="G1738" s="50" t="s">
        <v>1433</v>
      </c>
    </row>
    <row r="1739">
      <c r="A1739" s="50" t="s">
        <v>464</v>
      </c>
      <c r="B1739" s="50" t="s">
        <v>1436</v>
      </c>
      <c r="E1739" s="50">
        <v>2263.0</v>
      </c>
      <c r="F1739" s="50" t="s">
        <v>1436</v>
      </c>
      <c r="G1739" s="50" t="s">
        <v>1437</v>
      </c>
    </row>
    <row r="1740">
      <c r="A1740" s="50">
        <v>3926.0</v>
      </c>
      <c r="B1740" s="50" t="s">
        <v>2077</v>
      </c>
      <c r="C1740" s="50">
        <v>3926.0</v>
      </c>
      <c r="D1740" s="50" t="s">
        <v>2077</v>
      </c>
      <c r="G1740" s="50" t="s">
        <v>1433</v>
      </c>
    </row>
    <row r="1741">
      <c r="A1741" s="50">
        <v>3927.0</v>
      </c>
      <c r="B1741" s="50" t="s">
        <v>2946</v>
      </c>
      <c r="G1741" s="50" t="s">
        <v>2997</v>
      </c>
    </row>
    <row r="1742">
      <c r="A1742" s="50">
        <v>3928.0</v>
      </c>
      <c r="B1742" s="50" t="s">
        <v>2026</v>
      </c>
      <c r="G1742" s="50" t="s">
        <v>2997</v>
      </c>
    </row>
    <row r="1743">
      <c r="A1743" s="50">
        <v>3929.0</v>
      </c>
      <c r="B1743" s="50" t="s">
        <v>2669</v>
      </c>
      <c r="G1743" s="50" t="s">
        <v>2997</v>
      </c>
    </row>
    <row r="1744">
      <c r="A1744" s="50">
        <v>3931.0</v>
      </c>
      <c r="B1744" s="50" t="s">
        <v>1594</v>
      </c>
      <c r="G1744" s="50" t="s">
        <v>2997</v>
      </c>
    </row>
    <row r="1745">
      <c r="A1745" s="50">
        <v>3933.0</v>
      </c>
      <c r="B1745" s="50" t="s">
        <v>1955</v>
      </c>
      <c r="G1745" s="50" t="s">
        <v>2997</v>
      </c>
    </row>
    <row r="1746">
      <c r="A1746" s="50">
        <v>3934.0</v>
      </c>
      <c r="B1746" s="50" t="s">
        <v>1973</v>
      </c>
      <c r="G1746" s="50" t="s">
        <v>2997</v>
      </c>
    </row>
    <row r="1747">
      <c r="A1747" s="50">
        <v>3936.0</v>
      </c>
      <c r="B1747" s="50" t="s">
        <v>2206</v>
      </c>
      <c r="G1747" s="50" t="s">
        <v>2997</v>
      </c>
    </row>
    <row r="1748">
      <c r="A1748" s="50">
        <v>2938.0</v>
      </c>
      <c r="B1748" s="50" t="s">
        <v>2127</v>
      </c>
      <c r="G1748" s="50" t="s">
        <v>2997</v>
      </c>
    </row>
    <row r="1749">
      <c r="A1749" s="50">
        <v>2859.0</v>
      </c>
      <c r="B1749" s="50" t="s">
        <v>2998</v>
      </c>
      <c r="G1749" s="50" t="s">
        <v>2997</v>
      </c>
    </row>
    <row r="1750">
      <c r="A1750" s="50">
        <v>3996.0</v>
      </c>
      <c r="B1750" s="50" t="s">
        <v>382</v>
      </c>
      <c r="G1750" s="50" t="s">
        <v>2997</v>
      </c>
    </row>
    <row r="1751">
      <c r="A1751" s="50">
        <v>3999.0</v>
      </c>
      <c r="B1751" s="50" t="s">
        <v>364</v>
      </c>
      <c r="G1751" s="50" t="s">
        <v>2997</v>
      </c>
    </row>
    <row r="1752">
      <c r="A1752" s="50">
        <v>3998.0</v>
      </c>
      <c r="B1752" s="50" t="s">
        <v>388</v>
      </c>
      <c r="G1752" s="50" t="s">
        <v>2997</v>
      </c>
    </row>
    <row r="1753">
      <c r="A1753" s="50">
        <v>3997.0</v>
      </c>
      <c r="B1753" s="50" t="s">
        <v>312</v>
      </c>
      <c r="G1753" s="50" t="s">
        <v>2997</v>
      </c>
    </row>
    <row r="1754">
      <c r="A1754" s="50">
        <v>4000.0</v>
      </c>
      <c r="B1754" s="50" t="s">
        <v>289</v>
      </c>
      <c r="G1754" s="50" t="s">
        <v>2997</v>
      </c>
    </row>
    <row r="1755">
      <c r="A1755" s="50">
        <v>4013.0</v>
      </c>
      <c r="B1755" s="50" t="s">
        <v>486</v>
      </c>
      <c r="G1755" s="50" t="s">
        <v>2997</v>
      </c>
    </row>
    <row r="1756">
      <c r="A1756" s="50">
        <v>4014.0</v>
      </c>
      <c r="B1756" s="50" t="s">
        <v>2999</v>
      </c>
      <c r="G1756" s="50" t="s">
        <v>2997</v>
      </c>
    </row>
    <row r="1757">
      <c r="A1757" s="50">
        <v>4015.0</v>
      </c>
      <c r="B1757" s="50" t="s">
        <v>97</v>
      </c>
      <c r="G1757" s="50" t="s">
        <v>2997</v>
      </c>
    </row>
    <row r="1758">
      <c r="A1758" s="50">
        <v>4016.0</v>
      </c>
      <c r="B1758" s="50" t="s">
        <v>499</v>
      </c>
      <c r="G1758" s="50" t="s">
        <v>2997</v>
      </c>
    </row>
    <row r="1759">
      <c r="A1759" s="50">
        <v>4017.0</v>
      </c>
      <c r="B1759" s="50" t="s">
        <v>3000</v>
      </c>
      <c r="G1759" s="50" t="s">
        <v>2997</v>
      </c>
    </row>
    <row r="1760">
      <c r="A1760" s="50">
        <v>4018.0</v>
      </c>
      <c r="B1760" s="50" t="s">
        <v>3001</v>
      </c>
      <c r="G1760" s="50" t="s">
        <v>2997</v>
      </c>
    </row>
    <row r="1761">
      <c r="A1761" s="50">
        <v>4019.0</v>
      </c>
      <c r="B1761" s="50" t="s">
        <v>3002</v>
      </c>
      <c r="G1761" s="50" t="s">
        <v>2997</v>
      </c>
    </row>
    <row r="1762">
      <c r="A1762" s="50">
        <v>4009.0</v>
      </c>
      <c r="B1762" s="50" t="s">
        <v>522</v>
      </c>
      <c r="G1762" s="50" t="s">
        <v>2997</v>
      </c>
    </row>
    <row r="1763">
      <c r="A1763" s="50">
        <v>4026.0</v>
      </c>
      <c r="B1763" s="50" t="s">
        <v>282</v>
      </c>
      <c r="G1763" s="50" t="s">
        <v>2997</v>
      </c>
    </row>
    <row r="1764">
      <c r="A1764" s="50">
        <v>4025.0</v>
      </c>
      <c r="B1764" s="50" t="s">
        <v>3003</v>
      </c>
      <c r="G1764" s="50" t="s">
        <v>2997</v>
      </c>
    </row>
    <row r="1765">
      <c r="A1765" s="50">
        <v>4024.0</v>
      </c>
      <c r="B1765" s="50" t="s">
        <v>271</v>
      </c>
      <c r="G1765" s="50" t="s">
        <v>2997</v>
      </c>
    </row>
    <row r="1766">
      <c r="A1766" s="50">
        <v>4029.0</v>
      </c>
      <c r="B1766" s="50" t="s">
        <v>295</v>
      </c>
      <c r="G1766" s="50" t="s">
        <v>2997</v>
      </c>
    </row>
    <row r="1767">
      <c r="A1767" s="50">
        <v>4033.0</v>
      </c>
      <c r="B1767" s="50" t="s">
        <v>604</v>
      </c>
      <c r="G1767" s="50" t="s">
        <v>2997</v>
      </c>
    </row>
    <row r="1768">
      <c r="A1768" s="50">
        <v>4030.0</v>
      </c>
      <c r="B1768" s="50" t="s">
        <v>287</v>
      </c>
      <c r="G1768" s="50" t="s">
        <v>2997</v>
      </c>
    </row>
    <row r="1769">
      <c r="A1769" s="50">
        <v>4031.0</v>
      </c>
      <c r="B1769" s="50" t="s">
        <v>310</v>
      </c>
      <c r="G1769" s="50" t="s">
        <v>2997</v>
      </c>
    </row>
    <row r="1770">
      <c r="A1770" s="50">
        <v>4032.0</v>
      </c>
      <c r="B1770" s="50" t="s">
        <v>375</v>
      </c>
      <c r="G1770" s="50" t="s">
        <v>2997</v>
      </c>
    </row>
    <row r="1771">
      <c r="A1771" s="50">
        <v>4034.0</v>
      </c>
      <c r="B1771" s="50" t="s">
        <v>3004</v>
      </c>
      <c r="G1771" s="50" t="s">
        <v>2997</v>
      </c>
    </row>
    <row r="1772">
      <c r="A1772" s="50">
        <v>4037.0</v>
      </c>
      <c r="B1772" s="50" t="s">
        <v>3005</v>
      </c>
      <c r="G1772" s="50" t="s">
        <v>2997</v>
      </c>
    </row>
    <row r="1773">
      <c r="A1773" s="50">
        <v>4035.0</v>
      </c>
      <c r="B1773" s="50" t="s">
        <v>299</v>
      </c>
      <c r="G1773" s="50" t="s">
        <v>2997</v>
      </c>
    </row>
    <row r="1774">
      <c r="A1774" s="50">
        <v>4036.0</v>
      </c>
      <c r="B1774" s="50" t="s">
        <v>119</v>
      </c>
      <c r="G1774" s="50" t="s">
        <v>2997</v>
      </c>
    </row>
    <row r="1775">
      <c r="A1775" s="50">
        <v>4038.0</v>
      </c>
      <c r="B1775" s="50" t="s">
        <v>309</v>
      </c>
      <c r="G1775" s="50" t="s">
        <v>2997</v>
      </c>
    </row>
    <row r="1776">
      <c r="A1776" s="50">
        <v>4045.0</v>
      </c>
      <c r="B1776" s="50" t="s">
        <v>320</v>
      </c>
      <c r="G1776" s="50" t="s">
        <v>2997</v>
      </c>
    </row>
    <row r="1777">
      <c r="A1777" s="50">
        <v>4048.0</v>
      </c>
      <c r="B1777" s="50" t="s">
        <v>322</v>
      </c>
      <c r="G1777" s="50" t="s">
        <v>2997</v>
      </c>
    </row>
    <row r="1778">
      <c r="A1778" s="50">
        <v>4051.0</v>
      </c>
      <c r="B1778" s="50" t="s">
        <v>350</v>
      </c>
      <c r="G1778" s="50" t="s">
        <v>2997</v>
      </c>
    </row>
    <row r="1779">
      <c r="A1779" s="50">
        <v>4050.0</v>
      </c>
      <c r="B1779" s="50" t="s">
        <v>414</v>
      </c>
      <c r="G1779" s="50" t="s">
        <v>2997</v>
      </c>
    </row>
    <row r="1780">
      <c r="A1780" s="50">
        <v>4053.0</v>
      </c>
      <c r="B1780" s="50" t="s">
        <v>337</v>
      </c>
      <c r="G1780" s="50" t="s">
        <v>2997</v>
      </c>
    </row>
    <row r="1781">
      <c r="A1781" s="50">
        <v>4055.0</v>
      </c>
      <c r="B1781" s="50" t="s">
        <v>355</v>
      </c>
      <c r="G1781" s="50" t="s">
        <v>2997</v>
      </c>
    </row>
    <row r="1782">
      <c r="A1782" s="50">
        <v>4056.0</v>
      </c>
      <c r="B1782" s="50" t="s">
        <v>334</v>
      </c>
      <c r="G1782" s="50" t="s">
        <v>2997</v>
      </c>
    </row>
    <row r="1783">
      <c r="A1783" s="50">
        <v>4058.0</v>
      </c>
      <c r="B1783" s="50" t="s">
        <v>384</v>
      </c>
      <c r="G1783" s="50" t="s">
        <v>2997</v>
      </c>
    </row>
    <row r="1784">
      <c r="A1784" s="50">
        <v>4067.0</v>
      </c>
      <c r="B1784" s="50" t="s">
        <v>3006</v>
      </c>
      <c r="G1784" s="50" t="s">
        <v>2997</v>
      </c>
    </row>
    <row r="1785">
      <c r="A1785" s="50">
        <v>4068.0</v>
      </c>
      <c r="B1785" s="50" t="s">
        <v>394</v>
      </c>
      <c r="G1785" s="50" t="s">
        <v>2997</v>
      </c>
    </row>
    <row r="1786">
      <c r="A1786" s="50">
        <v>4069.0</v>
      </c>
      <c r="B1786" s="50" t="s">
        <v>3007</v>
      </c>
      <c r="G1786" s="50" t="s">
        <v>2997</v>
      </c>
    </row>
    <row r="1787">
      <c r="A1787" s="50">
        <v>4070.0</v>
      </c>
      <c r="B1787" s="50" t="s">
        <v>389</v>
      </c>
      <c r="G1787" s="50" t="s">
        <v>2997</v>
      </c>
    </row>
    <row r="1788">
      <c r="A1788" s="50">
        <v>4080.0</v>
      </c>
      <c r="B1788" s="50" t="s">
        <v>3008</v>
      </c>
      <c r="G1788" s="50" t="s">
        <v>2997</v>
      </c>
    </row>
    <row r="1789">
      <c r="A1789" s="50">
        <v>4086.0</v>
      </c>
      <c r="B1789" s="50" t="s">
        <v>3009</v>
      </c>
      <c r="G1789" s="50" t="s">
        <v>2997</v>
      </c>
    </row>
    <row r="1790">
      <c r="A1790" s="50">
        <v>4088.0</v>
      </c>
      <c r="B1790" s="50" t="s">
        <v>3010</v>
      </c>
      <c r="G1790" s="50" t="s">
        <v>2997</v>
      </c>
    </row>
    <row r="1791">
      <c r="A1791" s="50">
        <v>4089.0</v>
      </c>
      <c r="B1791" s="50" t="s">
        <v>438</v>
      </c>
      <c r="G1791" s="50" t="s">
        <v>2997</v>
      </c>
    </row>
    <row r="1792">
      <c r="A1792" s="50">
        <v>4090.0</v>
      </c>
      <c r="B1792" s="50" t="s">
        <v>822</v>
      </c>
      <c r="G1792" s="50" t="s">
        <v>2997</v>
      </c>
    </row>
    <row r="1793">
      <c r="A1793" s="50">
        <v>4098.0</v>
      </c>
      <c r="B1793" s="50" t="s">
        <v>3011</v>
      </c>
      <c r="G1793" s="50" t="s">
        <v>2997</v>
      </c>
    </row>
    <row r="1794">
      <c r="A1794" s="50">
        <v>4099.0</v>
      </c>
      <c r="B1794" s="50" t="s">
        <v>3012</v>
      </c>
      <c r="G1794" s="50" t="s">
        <v>2997</v>
      </c>
    </row>
    <row r="1795">
      <c r="A1795" s="50">
        <v>4100.0</v>
      </c>
      <c r="B1795" s="50" t="s">
        <v>3013</v>
      </c>
      <c r="G1795" s="50" t="s">
        <v>2997</v>
      </c>
    </row>
    <row r="1796">
      <c r="A1796" s="50">
        <v>4101.0</v>
      </c>
      <c r="B1796" s="50" t="s">
        <v>3014</v>
      </c>
      <c r="G1796" s="50" t="s">
        <v>2997</v>
      </c>
    </row>
    <row r="1797">
      <c r="A1797" s="50">
        <v>4102.0</v>
      </c>
      <c r="B1797" s="50" t="s">
        <v>3015</v>
      </c>
      <c r="G1797" s="50" t="s">
        <v>2997</v>
      </c>
    </row>
    <row r="1798">
      <c r="A1798" s="50">
        <v>4104.0</v>
      </c>
      <c r="B1798" s="50" t="s">
        <v>459</v>
      </c>
      <c r="G1798" s="50" t="s">
        <v>2997</v>
      </c>
    </row>
    <row r="1799">
      <c r="A1799" s="50">
        <v>4105.0</v>
      </c>
      <c r="B1799" s="50" t="s">
        <v>435</v>
      </c>
      <c r="G1799" s="50" t="s">
        <v>2997</v>
      </c>
    </row>
    <row r="1800">
      <c r="A1800" s="50">
        <v>4111.0</v>
      </c>
      <c r="B1800" s="50" t="s">
        <v>465</v>
      </c>
      <c r="G1800" s="50" t="s">
        <v>2997</v>
      </c>
    </row>
    <row r="1801">
      <c r="A1801" s="50">
        <v>4113.0</v>
      </c>
      <c r="B1801" s="50" t="s">
        <v>859</v>
      </c>
      <c r="G1801" s="50" t="s">
        <v>2997</v>
      </c>
    </row>
    <row r="1802">
      <c r="A1802" s="50">
        <v>4079.0</v>
      </c>
      <c r="B1802" s="50" t="s">
        <v>428</v>
      </c>
      <c r="G1802" s="50" t="s">
        <v>2997</v>
      </c>
    </row>
    <row r="1803">
      <c r="A1803" s="50">
        <v>4120.0</v>
      </c>
      <c r="B1803" s="50" t="s">
        <v>324</v>
      </c>
      <c r="G1803" s="50" t="s">
        <v>2997</v>
      </c>
    </row>
    <row r="1804">
      <c r="A1804" s="50">
        <v>4172.0</v>
      </c>
      <c r="B1804" s="50" t="s">
        <v>3016</v>
      </c>
      <c r="G1804" s="50" t="s">
        <v>2997</v>
      </c>
    </row>
    <row r="1805">
      <c r="A1805" s="50">
        <v>4173.0</v>
      </c>
      <c r="B1805" s="50" t="s">
        <v>601</v>
      </c>
      <c r="G1805" s="50" t="s">
        <v>2997</v>
      </c>
    </row>
    <row r="1806">
      <c r="A1806" s="50">
        <v>4175.0</v>
      </c>
      <c r="B1806" s="50" t="s">
        <v>565</v>
      </c>
      <c r="G1806" s="50" t="s">
        <v>2997</v>
      </c>
    </row>
    <row r="1807">
      <c r="A1807" s="50">
        <v>4176.0</v>
      </c>
      <c r="B1807" s="50" t="s">
        <v>594</v>
      </c>
      <c r="G1807" s="50" t="s">
        <v>2997</v>
      </c>
    </row>
    <row r="1808">
      <c r="A1808" s="50">
        <v>4181.0</v>
      </c>
      <c r="B1808" s="50" t="s">
        <v>888</v>
      </c>
      <c r="G1808" s="50" t="s">
        <v>2997</v>
      </c>
    </row>
    <row r="1809">
      <c r="A1809" s="50">
        <v>4118.0</v>
      </c>
      <c r="B1809" s="50" t="s">
        <v>767</v>
      </c>
      <c r="G1809" s="50" t="s">
        <v>2997</v>
      </c>
    </row>
    <row r="1810">
      <c r="A1810" s="50">
        <v>4184.0</v>
      </c>
      <c r="B1810" s="50" t="s">
        <v>3017</v>
      </c>
      <c r="G1810" s="50" t="s">
        <v>2997</v>
      </c>
    </row>
    <row r="1811">
      <c r="A1811" s="50">
        <v>4185.0</v>
      </c>
      <c r="B1811" s="50" t="s">
        <v>3018</v>
      </c>
      <c r="G1811" s="50" t="s">
        <v>2997</v>
      </c>
    </row>
    <row r="1812">
      <c r="A1812" s="50">
        <v>4119.0</v>
      </c>
      <c r="B1812" s="50" t="s">
        <v>773</v>
      </c>
      <c r="G1812" s="50" t="s">
        <v>2997</v>
      </c>
    </row>
    <row r="1813">
      <c r="A1813" s="50">
        <v>4186.0</v>
      </c>
      <c r="B1813" s="50" t="s">
        <v>775</v>
      </c>
      <c r="G1813" s="50" t="s">
        <v>2997</v>
      </c>
    </row>
    <row r="1814">
      <c r="A1814" s="50">
        <v>4185.0</v>
      </c>
      <c r="B1814" s="50" t="s">
        <v>780</v>
      </c>
      <c r="G1814" s="50" t="s">
        <v>2997</v>
      </c>
    </row>
    <row r="1815">
      <c r="A1815" s="50">
        <v>4192.0</v>
      </c>
      <c r="B1815" s="50" t="s">
        <v>777</v>
      </c>
      <c r="G1815" s="50" t="s">
        <v>2997</v>
      </c>
    </row>
    <row r="1816">
      <c r="A1816" s="50">
        <v>4193.0</v>
      </c>
      <c r="B1816" s="50" t="s">
        <v>779</v>
      </c>
      <c r="G1816" s="50" t="s">
        <v>2997</v>
      </c>
    </row>
    <row r="1817">
      <c r="A1817" s="50">
        <v>4196.0</v>
      </c>
      <c r="B1817" s="50" t="s">
        <v>141</v>
      </c>
      <c r="G1817" s="50" t="s">
        <v>2997</v>
      </c>
    </row>
    <row r="1818">
      <c r="A1818" s="50">
        <v>4197.0</v>
      </c>
      <c r="B1818" s="50" t="s">
        <v>3019</v>
      </c>
      <c r="G1818" s="50" t="s">
        <v>2997</v>
      </c>
    </row>
    <row r="1819">
      <c r="A1819" s="50">
        <v>4201.0</v>
      </c>
      <c r="B1819" s="50" t="s">
        <v>3020</v>
      </c>
      <c r="G1819" s="50" t="s">
        <v>2997</v>
      </c>
    </row>
    <row r="1820">
      <c r="A1820" s="50">
        <v>4207.0</v>
      </c>
      <c r="B1820" s="50" t="s">
        <v>919</v>
      </c>
      <c r="G1820" s="50" t="s">
        <v>2997</v>
      </c>
    </row>
    <row r="1821">
      <c r="A1821" s="50">
        <v>4205.0</v>
      </c>
      <c r="B1821" s="50" t="s">
        <v>3021</v>
      </c>
      <c r="G1821" s="50" t="s">
        <v>2997</v>
      </c>
    </row>
    <row r="1822">
      <c r="A1822" s="50">
        <v>4206.0</v>
      </c>
      <c r="B1822" s="50" t="s">
        <v>995</v>
      </c>
      <c r="G1822" s="50" t="s">
        <v>2997</v>
      </c>
    </row>
    <row r="1823">
      <c r="A1823" s="50">
        <v>4224.0</v>
      </c>
      <c r="B1823" s="50" t="s">
        <v>798</v>
      </c>
      <c r="G1823" s="50" t="s">
        <v>2997</v>
      </c>
    </row>
    <row r="1824">
      <c r="A1824" s="50">
        <v>4226.0</v>
      </c>
      <c r="B1824" s="50" t="s">
        <v>3022</v>
      </c>
      <c r="G1824" s="50" t="s">
        <v>2997</v>
      </c>
    </row>
    <row r="1825">
      <c r="A1825" s="50">
        <v>4227.0</v>
      </c>
      <c r="B1825" s="50" t="s">
        <v>3024</v>
      </c>
      <c r="G1825" s="50" t="s">
        <v>2997</v>
      </c>
    </row>
    <row r="1826">
      <c r="A1826" s="50">
        <v>4230.0</v>
      </c>
      <c r="B1826" s="50" t="s">
        <v>1011</v>
      </c>
      <c r="G1826" s="50" t="s">
        <v>2997</v>
      </c>
    </row>
    <row r="1827">
      <c r="A1827" s="50">
        <v>4232.0</v>
      </c>
      <c r="B1827" s="50" t="s">
        <v>796</v>
      </c>
      <c r="G1827" s="50" t="s">
        <v>2997</v>
      </c>
    </row>
    <row r="1828">
      <c r="A1828" s="50">
        <v>4233.0</v>
      </c>
      <c r="B1828" s="50" t="s">
        <v>827</v>
      </c>
      <c r="G1828" s="50" t="s">
        <v>2997</v>
      </c>
    </row>
    <row r="1829">
      <c r="A1829" s="50">
        <v>4238.0</v>
      </c>
      <c r="B1829" s="50" t="s">
        <v>831</v>
      </c>
      <c r="G1829" s="50" t="s">
        <v>2997</v>
      </c>
    </row>
    <row r="1830">
      <c r="A1830" s="50">
        <v>4235.0</v>
      </c>
      <c r="B1830" s="50" t="s">
        <v>1007</v>
      </c>
      <c r="G1830" s="50" t="s">
        <v>2997</v>
      </c>
    </row>
    <row r="1831">
      <c r="A1831" s="50">
        <v>4237.0</v>
      </c>
      <c r="B1831" s="50" t="s">
        <v>825</v>
      </c>
      <c r="G1831" s="50" t="s">
        <v>2997</v>
      </c>
    </row>
    <row r="1832">
      <c r="A1832" s="50">
        <v>4239.0</v>
      </c>
      <c r="B1832" s="50" t="s">
        <v>1213</v>
      </c>
      <c r="G1832" s="50" t="s">
        <v>2997</v>
      </c>
    </row>
    <row r="1833">
      <c r="A1833" s="50">
        <v>4065.0</v>
      </c>
      <c r="B1833" s="50" t="s">
        <v>997</v>
      </c>
      <c r="G1833" s="50" t="s">
        <v>2997</v>
      </c>
    </row>
    <row r="1834">
      <c r="A1834" s="50">
        <v>4242.0</v>
      </c>
      <c r="B1834" s="50" t="s">
        <v>1019</v>
      </c>
      <c r="G1834" s="50" t="s">
        <v>2997</v>
      </c>
    </row>
    <row r="1835">
      <c r="A1835" s="50">
        <v>4244.0</v>
      </c>
      <c r="B1835" s="50" t="s">
        <v>3025</v>
      </c>
      <c r="G1835" s="50" t="s">
        <v>2997</v>
      </c>
    </row>
    <row r="1836">
      <c r="A1836" s="50">
        <v>4246.0</v>
      </c>
      <c r="B1836" s="50" t="s">
        <v>1001</v>
      </c>
      <c r="G1836" s="50" t="s">
        <v>2997</v>
      </c>
    </row>
    <row r="1837">
      <c r="A1837" s="50"/>
      <c r="B1837" s="50"/>
    </row>
    <row r="1838">
      <c r="A1838" s="50"/>
      <c r="B1838" s="50"/>
    </row>
    <row r="1839">
      <c r="A1839" s="50"/>
      <c r="B1839" s="50"/>
    </row>
    <row r="1840">
      <c r="A1840" s="50"/>
      <c r="B1840" s="50"/>
    </row>
    <row r="1841">
      <c r="A1841" s="50"/>
      <c r="B1841" s="50"/>
    </row>
    <row r="1842">
      <c r="A1842" s="50"/>
      <c r="B1842" s="50"/>
    </row>
    <row r="1843">
      <c r="A1843" s="50"/>
      <c r="B1843" s="50"/>
    </row>
    <row r="1844">
      <c r="A1844" s="50"/>
      <c r="B1844" s="50"/>
    </row>
    <row r="1845">
      <c r="A1845" s="50"/>
      <c r="B1845" s="50"/>
    </row>
    <row r="1846">
      <c r="A1846" s="50"/>
      <c r="B1846" s="50"/>
    </row>
    <row r="1847">
      <c r="A1847" s="50"/>
      <c r="B1847" s="50"/>
    </row>
    <row r="1848">
      <c r="A1848" s="50"/>
      <c r="B1848" s="50"/>
    </row>
    <row r="1849">
      <c r="A1849" s="50"/>
      <c r="B1849" s="50"/>
    </row>
    <row r="1850">
      <c r="A1850" s="50"/>
      <c r="B1850" s="50"/>
    </row>
    <row r="1851">
      <c r="A1851" s="50"/>
      <c r="B1851" s="50"/>
    </row>
    <row r="1852">
      <c r="A1852" s="50"/>
      <c r="B1852" s="50"/>
    </row>
    <row r="1853">
      <c r="A1853" s="50"/>
      <c r="B1853" s="50"/>
    </row>
    <row r="1854">
      <c r="A1854" s="50"/>
      <c r="B1854" s="50"/>
    </row>
    <row r="1855">
      <c r="A1855" s="50"/>
      <c r="B1855" s="50"/>
    </row>
    <row r="1856">
      <c r="A1856" s="50"/>
      <c r="B1856" s="50"/>
    </row>
    <row r="1857">
      <c r="A1857" s="50"/>
      <c r="B1857" s="50"/>
    </row>
    <row r="1858">
      <c r="A1858" s="50"/>
      <c r="B1858" s="50"/>
    </row>
    <row r="1859">
      <c r="A1859" s="50"/>
      <c r="B1859" s="50"/>
    </row>
    <row r="1860">
      <c r="A1860" s="50"/>
      <c r="B1860" s="50"/>
    </row>
    <row r="1861">
      <c r="A1861" s="50"/>
      <c r="B1861" s="50"/>
    </row>
    <row r="1862">
      <c r="A1862" s="50"/>
      <c r="B1862" s="50"/>
    </row>
    <row r="1863">
      <c r="A1863" s="50"/>
      <c r="B1863" s="50"/>
    </row>
    <row r="1864">
      <c r="A1864" s="50"/>
      <c r="B1864" s="50"/>
    </row>
    <row r="1865">
      <c r="A1865" s="50"/>
      <c r="B1865" s="50"/>
    </row>
    <row r="1866">
      <c r="A1866" s="50"/>
      <c r="B1866" s="50"/>
    </row>
    <row r="1867">
      <c r="A1867" s="50"/>
      <c r="B1867" s="50"/>
    </row>
    <row r="1868">
      <c r="A1868" s="50"/>
      <c r="B1868" s="50"/>
    </row>
    <row r="1869">
      <c r="A1869" s="50"/>
      <c r="B1869" s="50"/>
    </row>
    <row r="1870">
      <c r="A1870" s="50"/>
      <c r="B1870" s="50"/>
    </row>
    <row r="1871">
      <c r="A1871" s="50"/>
      <c r="B1871" s="50"/>
    </row>
    <row r="1872">
      <c r="A1872" s="50"/>
      <c r="B1872" s="50"/>
    </row>
    <row r="1873">
      <c r="A1873" s="50"/>
      <c r="B1873" s="50"/>
    </row>
    <row r="1874">
      <c r="A1874" s="50"/>
      <c r="B1874" s="50"/>
    </row>
    <row r="1875">
      <c r="A1875" s="50"/>
      <c r="B1875" s="50"/>
    </row>
    <row r="1876">
      <c r="A1876" s="50"/>
      <c r="B1876" s="50"/>
    </row>
    <row r="1877">
      <c r="A1877" s="50"/>
      <c r="B1877" s="50"/>
    </row>
    <row r="1878">
      <c r="A1878" s="50"/>
      <c r="B1878" s="50"/>
    </row>
    <row r="1879">
      <c r="A1879" s="50"/>
      <c r="B1879" s="50"/>
    </row>
    <row r="1880">
      <c r="A1880" s="50"/>
      <c r="B1880" s="50"/>
    </row>
    <row r="1881">
      <c r="A1881" s="50"/>
      <c r="B1881" s="50"/>
    </row>
    <row r="1882">
      <c r="A1882" s="50"/>
      <c r="B1882" s="50"/>
    </row>
    <row r="1883">
      <c r="A1883" s="50"/>
      <c r="B1883" s="50"/>
    </row>
    <row r="1884">
      <c r="A1884" s="50"/>
      <c r="B1884" s="50"/>
    </row>
    <row r="1885">
      <c r="A1885" s="50"/>
      <c r="B1885" s="50"/>
    </row>
    <row r="1886">
      <c r="A1886" s="50"/>
      <c r="B1886" s="50"/>
    </row>
    <row r="1887">
      <c r="A1887" s="50"/>
      <c r="B1887" s="50"/>
    </row>
    <row r="1888">
      <c r="A1888" s="50"/>
      <c r="B1888" s="50"/>
    </row>
    <row r="1889">
      <c r="A1889" s="50"/>
      <c r="B1889" s="50"/>
    </row>
    <row r="1890">
      <c r="A1890" s="50"/>
      <c r="B1890" s="50"/>
    </row>
    <row r="1891">
      <c r="A1891" s="50"/>
      <c r="B1891" s="50"/>
    </row>
    <row r="1892">
      <c r="A1892" s="50"/>
      <c r="B1892" s="50"/>
    </row>
    <row r="1893">
      <c r="A1893" s="50"/>
      <c r="B1893" s="50"/>
    </row>
    <row r="1894">
      <c r="A1894" s="50"/>
      <c r="B1894" s="50"/>
    </row>
    <row r="1895">
      <c r="A1895" s="50"/>
      <c r="B1895" s="50"/>
    </row>
    <row r="1896">
      <c r="A1896" s="50"/>
      <c r="B1896" s="50"/>
    </row>
    <row r="1897">
      <c r="A1897" s="50"/>
      <c r="B1897" s="50"/>
    </row>
    <row r="1898">
      <c r="A1898" s="50"/>
      <c r="B1898" s="50"/>
    </row>
    <row r="1899">
      <c r="A1899" s="50"/>
      <c r="B1899" s="50"/>
    </row>
    <row r="1900">
      <c r="A1900" s="50"/>
      <c r="B1900" s="50"/>
    </row>
    <row r="1901">
      <c r="A1901" s="50"/>
      <c r="B1901" s="50"/>
    </row>
    <row r="1902">
      <c r="A1902" s="50"/>
      <c r="B1902" s="50"/>
    </row>
    <row r="1903">
      <c r="A1903" s="50"/>
      <c r="B1903" s="50"/>
    </row>
    <row r="1904">
      <c r="A1904" s="50"/>
      <c r="B1904" s="50"/>
    </row>
    <row r="1905">
      <c r="A1905" s="50"/>
      <c r="B1905" s="50"/>
    </row>
    <row r="1906">
      <c r="A1906" s="50"/>
      <c r="B1906" s="50"/>
    </row>
    <row r="1907">
      <c r="A1907" s="50"/>
      <c r="B1907" s="50"/>
    </row>
    <row r="1908">
      <c r="A1908" s="50"/>
      <c r="B1908" s="50"/>
    </row>
    <row r="1909">
      <c r="A1909" s="50"/>
      <c r="B1909" s="50"/>
    </row>
    <row r="1910">
      <c r="A1910" s="50"/>
      <c r="B1910" s="50"/>
    </row>
    <row r="1911">
      <c r="A1911" s="50"/>
      <c r="B1911" s="50"/>
    </row>
    <row r="1912">
      <c r="A1912" s="50"/>
      <c r="B1912" s="50"/>
    </row>
    <row r="1913">
      <c r="A1913" s="50"/>
      <c r="B1913" s="50"/>
    </row>
    <row r="1914">
      <c r="A1914" s="50"/>
      <c r="B1914" s="50"/>
    </row>
    <row r="1915">
      <c r="A1915" s="50"/>
      <c r="B1915" s="50"/>
    </row>
    <row r="1916">
      <c r="A1916" s="50"/>
      <c r="B1916" s="50"/>
    </row>
    <row r="1917">
      <c r="A1917" s="50"/>
      <c r="B1917" s="50"/>
    </row>
    <row r="1918">
      <c r="A1918" s="50"/>
      <c r="B1918" s="50"/>
    </row>
    <row r="1919">
      <c r="A1919" s="50"/>
      <c r="B1919" s="50"/>
    </row>
    <row r="1920">
      <c r="A1920" s="50"/>
      <c r="B1920" s="50"/>
    </row>
    <row r="1921">
      <c r="A1921" s="50"/>
      <c r="B1921" s="50"/>
    </row>
    <row r="1922">
      <c r="A1922" s="50"/>
      <c r="B1922" s="50"/>
    </row>
    <row r="1923">
      <c r="A1923" s="50"/>
      <c r="B1923" s="50"/>
    </row>
    <row r="1924">
      <c r="A1924" s="50"/>
      <c r="B1924" s="50"/>
    </row>
    <row r="1925">
      <c r="A1925" s="50"/>
      <c r="B1925" s="50"/>
    </row>
    <row r="1926">
      <c r="A1926" s="50"/>
      <c r="B1926" s="50"/>
    </row>
    <row r="1927">
      <c r="A1927" s="50"/>
      <c r="B1927" s="50"/>
    </row>
    <row r="1928">
      <c r="A1928" s="50"/>
      <c r="B1928" s="50"/>
    </row>
    <row r="1929">
      <c r="A1929" s="50"/>
      <c r="B1929" s="50"/>
    </row>
    <row r="1930">
      <c r="A1930" s="50"/>
      <c r="B1930" s="50"/>
    </row>
    <row r="1931">
      <c r="A1931" s="50"/>
      <c r="B1931" s="50"/>
    </row>
    <row r="1932">
      <c r="A1932" s="50"/>
      <c r="B1932" s="50"/>
    </row>
    <row r="1933">
      <c r="A1933" s="50"/>
      <c r="B1933" s="50"/>
    </row>
    <row r="1934">
      <c r="A1934" s="50"/>
      <c r="B1934" s="50"/>
    </row>
    <row r="1935">
      <c r="A1935" s="50"/>
      <c r="B1935" s="50"/>
    </row>
    <row r="1936">
      <c r="A1936" s="50"/>
      <c r="B1936" s="50"/>
    </row>
    <row r="1937">
      <c r="A1937" s="50"/>
      <c r="B1937" s="50"/>
    </row>
    <row r="1938">
      <c r="A1938" s="50"/>
      <c r="B1938" s="50"/>
    </row>
    <row r="1939">
      <c r="A1939" s="50"/>
      <c r="B1939" s="50"/>
    </row>
    <row r="1940">
      <c r="A1940" s="50"/>
      <c r="B1940" s="50"/>
    </row>
    <row r="1941">
      <c r="A1941" s="50"/>
      <c r="B1941" s="50"/>
    </row>
    <row r="1942">
      <c r="A1942" s="50"/>
      <c r="B1942" s="50"/>
    </row>
    <row r="1943">
      <c r="A1943" s="50"/>
      <c r="B1943" s="50"/>
    </row>
    <row r="1944">
      <c r="A1944" s="50"/>
      <c r="B1944" s="50"/>
    </row>
    <row r="1945">
      <c r="A1945" s="50"/>
      <c r="B1945" s="50"/>
    </row>
    <row r="1946">
      <c r="A1946" s="50"/>
      <c r="B1946" s="50"/>
    </row>
    <row r="1947">
      <c r="A1947" s="50"/>
      <c r="B1947" s="50"/>
    </row>
    <row r="1948">
      <c r="A1948" s="50"/>
      <c r="B1948" s="50"/>
    </row>
    <row r="1949">
      <c r="A1949" s="50"/>
      <c r="B1949" s="50"/>
    </row>
    <row r="1950">
      <c r="A1950" s="50"/>
      <c r="B1950" s="50"/>
    </row>
    <row r="1951">
      <c r="A1951" s="50"/>
      <c r="B1951" s="50"/>
    </row>
    <row r="1952">
      <c r="A1952" s="50"/>
      <c r="B1952" s="50"/>
    </row>
    <row r="1953">
      <c r="A1953" s="50"/>
      <c r="B1953" s="50"/>
    </row>
    <row r="1954">
      <c r="A1954" s="50"/>
      <c r="B1954" s="50"/>
    </row>
    <row r="1955">
      <c r="A1955" s="50"/>
      <c r="B1955" s="50"/>
    </row>
    <row r="1956">
      <c r="A1956" s="50"/>
      <c r="B1956" s="50"/>
    </row>
    <row r="1957">
      <c r="A1957" s="50"/>
      <c r="B1957" s="50"/>
    </row>
    <row r="1958">
      <c r="A1958" s="50"/>
      <c r="B1958" s="50"/>
    </row>
    <row r="1959">
      <c r="A1959" s="50"/>
      <c r="B1959" s="50"/>
    </row>
    <row r="1960">
      <c r="A1960" s="50"/>
      <c r="B1960" s="50"/>
    </row>
    <row r="1961">
      <c r="A1961" s="50"/>
      <c r="B1961" s="50"/>
    </row>
    <row r="1962">
      <c r="A1962" s="50"/>
      <c r="B1962" s="50"/>
    </row>
    <row r="1963">
      <c r="A1963" s="50"/>
      <c r="B1963" s="50"/>
    </row>
    <row r="1964">
      <c r="A1964" s="50"/>
      <c r="B1964" s="50"/>
    </row>
    <row r="1965">
      <c r="A1965" s="50"/>
      <c r="B1965" s="50"/>
    </row>
    <row r="1966">
      <c r="A1966" s="50"/>
      <c r="B1966" s="50"/>
    </row>
    <row r="1967">
      <c r="A1967" s="50"/>
      <c r="B1967" s="50"/>
    </row>
    <row r="1968">
      <c r="A1968" s="50"/>
      <c r="B1968" s="50"/>
    </row>
    <row r="1969">
      <c r="A1969" s="50"/>
      <c r="B1969" s="50"/>
    </row>
    <row r="1970">
      <c r="A1970" s="50"/>
      <c r="B1970" s="50"/>
    </row>
    <row r="1971">
      <c r="A1971" s="50"/>
      <c r="B1971" s="50"/>
    </row>
    <row r="1972">
      <c r="A1972" s="50"/>
      <c r="B1972" s="50"/>
    </row>
    <row r="1973">
      <c r="A1973" s="50"/>
      <c r="B1973" s="50"/>
    </row>
    <row r="1974">
      <c r="A1974" s="50"/>
      <c r="B1974" s="50"/>
    </row>
    <row r="1975">
      <c r="A1975" s="50"/>
      <c r="B1975" s="50"/>
    </row>
    <row r="1976">
      <c r="A1976" s="50"/>
      <c r="B1976" s="50"/>
    </row>
    <row r="1977">
      <c r="A1977" s="50"/>
      <c r="B1977" s="50"/>
    </row>
    <row r="1978">
      <c r="A1978" s="50"/>
      <c r="B1978" s="50"/>
    </row>
    <row r="1979">
      <c r="A1979" s="50"/>
      <c r="B1979" s="50"/>
    </row>
    <row r="1980">
      <c r="A1980" s="50"/>
      <c r="B1980" s="50"/>
    </row>
    <row r="1981">
      <c r="A1981" s="50"/>
      <c r="B1981" s="50"/>
    </row>
    <row r="1982">
      <c r="A1982" s="50"/>
      <c r="B1982" s="50"/>
    </row>
    <row r="1983">
      <c r="A1983" s="50"/>
      <c r="B1983" s="50"/>
    </row>
    <row r="1984">
      <c r="A1984" s="50"/>
      <c r="B1984" s="50"/>
    </row>
    <row r="1985">
      <c r="A1985" s="50"/>
      <c r="B1985" s="50"/>
    </row>
    <row r="1986">
      <c r="A1986" s="50"/>
      <c r="B1986" s="50"/>
    </row>
    <row r="1987">
      <c r="A1987" s="50"/>
      <c r="B1987" s="50"/>
    </row>
    <row r="1988">
      <c r="A1988" s="50"/>
      <c r="B1988" s="50"/>
    </row>
    <row r="1989">
      <c r="A1989" s="50"/>
      <c r="B1989" s="50"/>
    </row>
    <row r="1990">
      <c r="A1990" s="50"/>
      <c r="B1990" s="50"/>
    </row>
    <row r="1991">
      <c r="A1991" s="50"/>
      <c r="B1991" s="50"/>
    </row>
    <row r="1992">
      <c r="A1992" s="50"/>
      <c r="B1992" s="50"/>
    </row>
    <row r="1993">
      <c r="A1993" s="50"/>
      <c r="B1993" s="50"/>
    </row>
    <row r="1994">
      <c r="A1994" s="50"/>
      <c r="B1994" s="50"/>
    </row>
    <row r="1995">
      <c r="A1995" s="50"/>
      <c r="B1995" s="50"/>
    </row>
    <row r="1996">
      <c r="A1996" s="50"/>
      <c r="B1996" s="50"/>
    </row>
    <row r="1997">
      <c r="A1997" s="50"/>
      <c r="B1997" s="50"/>
    </row>
    <row r="1998">
      <c r="A1998" s="50"/>
      <c r="B1998" s="50"/>
    </row>
    <row r="1999">
      <c r="A1999" s="50"/>
      <c r="B1999" s="50"/>
    </row>
    <row r="2000">
      <c r="A2000" s="50"/>
      <c r="B2000" s="50"/>
    </row>
    <row r="2001">
      <c r="A2001" s="50"/>
      <c r="B2001" s="50"/>
    </row>
    <row r="2002">
      <c r="A2002" s="50"/>
      <c r="B2002" s="50"/>
    </row>
    <row r="2003">
      <c r="A2003" s="50"/>
      <c r="B2003" s="50"/>
    </row>
    <row r="2004">
      <c r="A2004" s="50"/>
      <c r="B2004" s="50"/>
    </row>
    <row r="2005">
      <c r="A2005" s="50"/>
      <c r="B2005" s="50"/>
    </row>
    <row r="2006">
      <c r="A2006" s="50"/>
      <c r="B2006" s="50"/>
    </row>
    <row r="2007">
      <c r="A2007" s="50"/>
      <c r="B2007" s="50"/>
    </row>
    <row r="2008">
      <c r="A2008" s="50"/>
      <c r="B2008" s="50"/>
    </row>
    <row r="2009">
      <c r="A2009" s="50"/>
      <c r="B2009" s="50"/>
    </row>
    <row r="2010">
      <c r="A2010" s="50"/>
      <c r="B2010" s="50"/>
    </row>
    <row r="2011">
      <c r="A2011" s="50"/>
      <c r="B2011" s="50"/>
    </row>
    <row r="2012">
      <c r="A2012" s="50"/>
      <c r="B2012" s="50"/>
    </row>
    <row r="2013">
      <c r="A2013" s="50"/>
      <c r="B2013" s="50"/>
    </row>
    <row r="2014">
      <c r="A2014" s="50"/>
      <c r="B2014" s="50"/>
    </row>
    <row r="2015">
      <c r="A2015" s="50"/>
      <c r="B2015" s="50"/>
    </row>
    <row r="2016">
      <c r="A2016" s="50"/>
      <c r="B2016" s="50"/>
    </row>
    <row r="2017">
      <c r="A2017" s="50"/>
      <c r="B2017" s="50"/>
    </row>
    <row r="2018">
      <c r="A2018" s="50"/>
      <c r="B2018" s="50"/>
    </row>
    <row r="2019">
      <c r="A2019" s="50"/>
      <c r="B2019" s="50"/>
    </row>
    <row r="2020">
      <c r="A2020" s="50"/>
      <c r="B2020" s="50"/>
    </row>
    <row r="2021">
      <c r="A2021" s="50"/>
      <c r="B2021" s="50"/>
    </row>
    <row r="2022">
      <c r="A2022" s="50"/>
      <c r="B2022" s="50"/>
    </row>
    <row r="2023">
      <c r="A2023" s="50"/>
      <c r="B2023" s="50"/>
    </row>
    <row r="2024">
      <c r="A2024" s="50"/>
      <c r="B2024" s="50"/>
    </row>
    <row r="2025">
      <c r="A2025" s="50"/>
      <c r="B2025" s="50"/>
    </row>
    <row r="2026">
      <c r="A2026" s="50"/>
      <c r="B2026" s="50"/>
    </row>
    <row r="2027">
      <c r="A2027" s="50"/>
      <c r="B2027" s="50"/>
    </row>
    <row r="2028">
      <c r="A2028" s="50"/>
      <c r="B2028" s="50"/>
    </row>
    <row r="2029">
      <c r="A2029" s="50"/>
      <c r="B2029" s="50"/>
    </row>
    <row r="2030">
      <c r="A2030" s="50"/>
      <c r="B2030" s="50"/>
    </row>
    <row r="2031">
      <c r="A2031" s="50"/>
      <c r="B2031" s="50"/>
    </row>
    <row r="2032">
      <c r="A2032" s="50"/>
      <c r="B2032" s="50"/>
    </row>
    <row r="2033">
      <c r="A2033" s="50"/>
      <c r="B2033" s="50"/>
    </row>
    <row r="2034">
      <c r="A2034" s="50"/>
      <c r="B2034" s="50"/>
    </row>
    <row r="2035">
      <c r="A2035" s="50"/>
      <c r="B2035" s="50"/>
    </row>
    <row r="2036">
      <c r="A2036" s="50"/>
      <c r="B2036" s="50"/>
    </row>
    <row r="2037">
      <c r="A2037" s="50"/>
      <c r="B2037" s="50"/>
    </row>
    <row r="2038">
      <c r="A2038" s="50"/>
      <c r="B2038" s="50"/>
    </row>
    <row r="2039">
      <c r="A2039" s="50"/>
      <c r="B2039" s="50"/>
    </row>
    <row r="2040">
      <c r="A2040" s="50"/>
      <c r="B2040" s="50"/>
    </row>
    <row r="2041">
      <c r="A2041" s="50"/>
      <c r="B2041" s="50"/>
    </row>
    <row r="2042">
      <c r="A2042" s="50"/>
      <c r="B2042" s="50"/>
    </row>
    <row r="2043">
      <c r="A2043" s="50"/>
      <c r="B2043" s="50"/>
    </row>
    <row r="2044">
      <c r="A2044" s="50"/>
      <c r="B2044" s="50"/>
    </row>
    <row r="2045">
      <c r="A2045" s="50"/>
      <c r="B2045" s="50"/>
    </row>
    <row r="2046">
      <c r="A2046" s="50"/>
      <c r="B2046" s="50"/>
    </row>
    <row r="2047">
      <c r="A2047" s="50"/>
      <c r="B2047" s="50"/>
    </row>
    <row r="2048">
      <c r="A2048" s="50"/>
      <c r="B2048" s="50"/>
    </row>
    <row r="2049">
      <c r="A2049" s="50"/>
      <c r="B2049" s="50"/>
    </row>
    <row r="2050">
      <c r="A2050" s="50"/>
      <c r="B2050" s="50"/>
    </row>
    <row r="2051">
      <c r="A2051" s="50"/>
      <c r="B2051" s="50"/>
    </row>
    <row r="2052">
      <c r="A2052" s="50"/>
      <c r="B2052" s="50"/>
    </row>
    <row r="2053">
      <c r="A2053" s="50"/>
      <c r="B2053" s="50"/>
    </row>
    <row r="2054">
      <c r="A2054" s="50"/>
      <c r="B2054" s="50"/>
    </row>
    <row r="2055">
      <c r="A2055" s="50"/>
      <c r="B2055" s="50"/>
    </row>
    <row r="2056">
      <c r="A2056" s="50"/>
      <c r="B2056" s="50"/>
    </row>
    <row r="2057">
      <c r="A2057" s="50"/>
      <c r="B2057" s="50"/>
    </row>
    <row r="2058">
      <c r="A2058" s="50"/>
      <c r="B2058" s="50"/>
    </row>
    <row r="2059">
      <c r="A2059" s="50"/>
      <c r="B2059" s="50"/>
    </row>
    <row r="2060">
      <c r="A2060" s="50"/>
      <c r="B2060" s="50"/>
    </row>
    <row r="2061">
      <c r="A2061" s="50"/>
      <c r="B2061" s="50"/>
    </row>
    <row r="2062">
      <c r="A2062" s="50"/>
      <c r="B2062" s="50"/>
    </row>
    <row r="2063">
      <c r="A2063" s="50"/>
      <c r="B2063" s="50"/>
    </row>
    <row r="2064">
      <c r="A2064" s="50"/>
      <c r="B2064" s="50"/>
    </row>
    <row r="2065">
      <c r="A2065" s="50"/>
      <c r="B2065" s="50"/>
    </row>
    <row r="2066">
      <c r="A2066" s="50"/>
      <c r="B2066" s="50"/>
    </row>
    <row r="2067">
      <c r="A2067" s="50"/>
      <c r="B2067" s="50"/>
    </row>
    <row r="2068">
      <c r="A2068" s="50"/>
      <c r="B2068" s="50"/>
    </row>
    <row r="2069">
      <c r="A2069" s="50"/>
      <c r="B2069" s="50"/>
    </row>
    <row r="2070">
      <c r="A2070" s="50"/>
      <c r="B2070" s="50"/>
    </row>
    <row r="2071">
      <c r="A2071" s="50"/>
      <c r="B2071" s="50"/>
    </row>
    <row r="2072">
      <c r="A2072" s="50"/>
      <c r="B2072" s="50"/>
    </row>
    <row r="2073">
      <c r="A2073" s="50"/>
      <c r="B2073" s="50"/>
    </row>
    <row r="2074">
      <c r="A2074" s="50"/>
      <c r="B2074" s="50"/>
    </row>
    <row r="2075">
      <c r="A2075" s="50"/>
      <c r="B2075" s="50"/>
    </row>
    <row r="2076">
      <c r="A2076" s="50"/>
      <c r="B2076" s="50"/>
    </row>
    <row r="2077">
      <c r="A2077" s="50"/>
      <c r="B2077" s="50"/>
    </row>
    <row r="2078">
      <c r="A2078" s="50"/>
      <c r="B2078" s="50"/>
    </row>
    <row r="2079">
      <c r="A2079" s="50"/>
      <c r="B2079" s="50"/>
    </row>
    <row r="2080">
      <c r="A2080" s="50"/>
      <c r="B2080" s="50"/>
    </row>
    <row r="2081">
      <c r="A2081" s="50"/>
      <c r="B2081" s="50"/>
    </row>
    <row r="2082">
      <c r="A2082" s="50"/>
      <c r="B2082" s="50"/>
    </row>
    <row r="2083">
      <c r="A2083" s="50"/>
      <c r="B2083" s="50"/>
    </row>
    <row r="2084">
      <c r="A2084" s="50"/>
      <c r="B2084" s="50"/>
    </row>
    <row r="2085">
      <c r="A2085" s="50"/>
      <c r="B2085" s="50"/>
    </row>
    <row r="2086">
      <c r="A2086" s="50"/>
      <c r="B2086" s="50"/>
    </row>
    <row r="2087">
      <c r="A2087" s="50"/>
      <c r="B2087" s="50"/>
    </row>
    <row r="2088">
      <c r="A2088" s="50"/>
      <c r="B2088" s="50"/>
    </row>
    <row r="2089">
      <c r="A2089" s="50"/>
      <c r="B2089" s="50"/>
    </row>
    <row r="2090">
      <c r="A2090" s="50"/>
      <c r="B2090" s="50"/>
    </row>
    <row r="2091">
      <c r="A2091" s="50"/>
      <c r="B2091" s="50"/>
    </row>
    <row r="2092">
      <c r="A2092" s="50"/>
      <c r="B2092" s="50"/>
    </row>
    <row r="2093">
      <c r="A2093" s="50"/>
      <c r="B2093" s="50"/>
    </row>
    <row r="2094">
      <c r="A2094" s="50"/>
      <c r="B2094" s="50"/>
    </row>
    <row r="2095">
      <c r="A2095" s="50"/>
      <c r="B2095" s="50"/>
    </row>
    <row r="2096">
      <c r="A2096" s="50"/>
      <c r="B2096" s="50"/>
    </row>
    <row r="2097">
      <c r="A2097" s="50"/>
      <c r="B2097" s="50"/>
    </row>
    <row r="2098">
      <c r="A2098" s="50"/>
      <c r="B2098" s="50"/>
    </row>
    <row r="2099">
      <c r="A2099" s="50"/>
      <c r="B2099" s="50"/>
    </row>
    <row r="2100">
      <c r="A2100" s="50"/>
      <c r="B2100" s="50"/>
    </row>
    <row r="2101">
      <c r="A2101" s="50"/>
      <c r="B2101" s="50"/>
    </row>
    <row r="2102">
      <c r="A2102" s="50"/>
      <c r="B2102" s="50"/>
    </row>
    <row r="2103">
      <c r="A2103" s="50"/>
      <c r="B2103" s="50"/>
    </row>
    <row r="2104">
      <c r="A2104" s="50"/>
      <c r="B2104" s="50"/>
    </row>
    <row r="2105">
      <c r="A2105" s="50"/>
      <c r="B2105" s="50"/>
    </row>
    <row r="2106">
      <c r="A2106" s="50"/>
      <c r="B2106" s="50"/>
    </row>
    <row r="2107">
      <c r="A2107" s="50"/>
      <c r="B2107" s="50"/>
    </row>
    <row r="2108">
      <c r="A2108" s="50"/>
      <c r="B2108" s="50"/>
    </row>
    <row r="2109">
      <c r="A2109" s="50"/>
      <c r="B2109" s="50"/>
    </row>
    <row r="2110">
      <c r="A2110" s="50"/>
      <c r="B2110" s="50"/>
    </row>
    <row r="2111">
      <c r="A2111" s="50"/>
      <c r="B2111" s="50"/>
    </row>
    <row r="2112">
      <c r="A2112" s="50"/>
      <c r="B2112" s="50"/>
    </row>
    <row r="2113">
      <c r="A2113" s="50"/>
      <c r="B2113" s="50"/>
    </row>
    <row r="2114">
      <c r="A2114" s="50"/>
      <c r="B2114" s="50"/>
    </row>
    <row r="2115">
      <c r="A2115" s="50"/>
      <c r="B2115" s="50"/>
    </row>
    <row r="2116">
      <c r="A2116" s="50"/>
      <c r="B2116" s="50"/>
    </row>
    <row r="2117">
      <c r="A2117" s="50"/>
      <c r="B2117" s="50"/>
    </row>
    <row r="2118">
      <c r="A2118" s="50"/>
      <c r="B2118" s="50"/>
    </row>
    <row r="2119">
      <c r="A2119" s="50"/>
      <c r="B2119" s="50"/>
    </row>
    <row r="2120">
      <c r="A2120" s="50"/>
      <c r="B2120" s="50"/>
    </row>
    <row r="2121">
      <c r="A2121" s="50"/>
      <c r="B2121" s="50"/>
    </row>
    <row r="2122">
      <c r="A2122" s="50"/>
      <c r="B2122" s="50"/>
    </row>
    <row r="2123">
      <c r="A2123" s="50"/>
      <c r="B2123" s="50"/>
    </row>
    <row r="2124">
      <c r="A2124" s="50"/>
      <c r="B2124" s="50"/>
    </row>
    <row r="2125">
      <c r="A2125" s="50"/>
      <c r="B2125" s="50"/>
    </row>
    <row r="2126">
      <c r="A2126" s="50"/>
      <c r="B2126" s="50"/>
    </row>
    <row r="2127">
      <c r="A2127" s="50"/>
      <c r="B2127" s="50"/>
    </row>
    <row r="2128">
      <c r="A2128" s="50"/>
      <c r="B2128" s="50"/>
    </row>
    <row r="2129">
      <c r="A2129" s="50"/>
      <c r="B2129" s="50"/>
    </row>
    <row r="2130">
      <c r="A2130" s="50"/>
      <c r="B2130" s="50"/>
    </row>
    <row r="2131">
      <c r="A2131" s="50"/>
      <c r="B2131" s="50"/>
    </row>
    <row r="2132">
      <c r="A2132" s="50"/>
      <c r="B2132" s="50"/>
    </row>
    <row r="2133">
      <c r="A2133" s="50"/>
      <c r="B2133" s="50"/>
    </row>
    <row r="2134">
      <c r="A2134" s="50"/>
      <c r="B2134" s="50"/>
    </row>
    <row r="2135">
      <c r="A2135" s="50"/>
      <c r="B2135" s="50"/>
    </row>
    <row r="2136">
      <c r="A2136" s="50"/>
      <c r="B2136" s="50"/>
    </row>
    <row r="2137">
      <c r="A2137" s="50"/>
      <c r="B2137" s="50"/>
    </row>
    <row r="2138">
      <c r="A2138" s="50"/>
      <c r="B2138" s="50"/>
    </row>
    <row r="2139">
      <c r="A2139" s="50"/>
      <c r="B2139" s="50"/>
    </row>
    <row r="2140">
      <c r="A2140" s="50"/>
      <c r="B2140" s="50"/>
    </row>
    <row r="2141">
      <c r="A2141" s="50"/>
      <c r="B2141" s="50"/>
    </row>
    <row r="2142">
      <c r="A2142" s="50"/>
      <c r="B2142" s="50"/>
    </row>
    <row r="2143">
      <c r="A2143" s="50"/>
      <c r="B2143" s="50"/>
    </row>
    <row r="2144">
      <c r="A2144" s="50"/>
      <c r="B2144" s="50"/>
    </row>
    <row r="2145">
      <c r="A2145" s="50"/>
      <c r="B2145" s="50"/>
    </row>
    <row r="2146">
      <c r="A2146" s="50"/>
      <c r="B2146" s="50"/>
    </row>
    <row r="2147">
      <c r="A2147" s="50"/>
      <c r="B2147" s="50"/>
    </row>
    <row r="2148">
      <c r="A2148" s="50"/>
      <c r="B2148" s="50"/>
    </row>
    <row r="2149">
      <c r="A2149" s="50"/>
      <c r="B2149" s="50"/>
    </row>
    <row r="2150">
      <c r="A2150" s="50"/>
      <c r="B2150" s="50"/>
    </row>
    <row r="2151">
      <c r="A2151" s="50"/>
      <c r="B2151" s="50"/>
    </row>
    <row r="2152">
      <c r="A2152" s="50"/>
      <c r="B2152" s="50"/>
    </row>
    <row r="2153">
      <c r="A2153" s="50"/>
      <c r="B2153" s="50"/>
    </row>
    <row r="2154">
      <c r="A2154" s="50"/>
      <c r="B2154" s="50"/>
    </row>
    <row r="2155">
      <c r="A2155" s="50"/>
      <c r="B2155" s="50"/>
    </row>
    <row r="2156">
      <c r="A2156" s="50"/>
      <c r="B2156" s="50"/>
    </row>
    <row r="2157">
      <c r="A2157" s="50"/>
      <c r="B2157" s="50"/>
    </row>
    <row r="2158">
      <c r="A2158" s="50"/>
      <c r="B2158" s="50"/>
    </row>
    <row r="2159">
      <c r="A2159" s="50"/>
      <c r="B2159" s="50"/>
    </row>
    <row r="2160">
      <c r="A2160" s="50"/>
      <c r="B2160" s="50"/>
    </row>
    <row r="2161">
      <c r="A2161" s="50"/>
      <c r="B2161" s="50"/>
    </row>
    <row r="2162">
      <c r="A2162" s="50"/>
      <c r="B2162" s="50"/>
    </row>
    <row r="2163">
      <c r="A2163" s="50"/>
      <c r="B2163" s="50"/>
    </row>
    <row r="2164">
      <c r="A2164" s="50"/>
      <c r="B2164" s="50"/>
    </row>
    <row r="2165">
      <c r="A2165" s="50"/>
      <c r="B2165" s="50"/>
    </row>
    <row r="2166">
      <c r="A2166" s="50"/>
      <c r="B2166" s="50"/>
    </row>
    <row r="2167">
      <c r="A2167" s="50"/>
      <c r="B2167" s="50"/>
    </row>
    <row r="2168">
      <c r="A2168" s="50"/>
      <c r="B2168" s="50"/>
    </row>
    <row r="2169">
      <c r="A2169" s="50"/>
      <c r="B2169" s="50"/>
    </row>
    <row r="2170">
      <c r="A2170" s="50"/>
      <c r="B2170" s="50"/>
    </row>
    <row r="2171">
      <c r="A2171" s="50"/>
      <c r="B2171" s="50"/>
    </row>
    <row r="2172">
      <c r="A2172" s="50"/>
      <c r="B2172" s="50"/>
    </row>
    <row r="2173">
      <c r="A2173" s="50"/>
      <c r="B2173" s="50"/>
    </row>
    <row r="2174">
      <c r="A2174" s="50"/>
      <c r="B2174" s="50"/>
    </row>
    <row r="2175">
      <c r="A2175" s="50"/>
      <c r="B2175" s="50"/>
    </row>
    <row r="2176">
      <c r="A2176" s="50"/>
      <c r="B2176" s="50"/>
    </row>
    <row r="2177">
      <c r="A2177" s="50"/>
      <c r="B2177" s="50"/>
    </row>
    <row r="2178">
      <c r="A2178" s="50"/>
      <c r="B2178" s="50"/>
    </row>
    <row r="2179">
      <c r="A2179" s="50"/>
      <c r="B2179" s="50"/>
    </row>
    <row r="2180">
      <c r="A2180" s="50"/>
      <c r="B2180" s="50"/>
    </row>
    <row r="2181">
      <c r="A2181" s="50"/>
      <c r="B2181" s="50"/>
    </row>
    <row r="2182">
      <c r="A2182" s="50"/>
      <c r="B2182" s="50"/>
    </row>
    <row r="2183">
      <c r="A2183" s="50"/>
      <c r="B2183" s="50"/>
    </row>
    <row r="2184">
      <c r="A2184" s="50"/>
      <c r="B2184" s="50"/>
    </row>
    <row r="2185">
      <c r="A2185" s="50"/>
      <c r="B2185" s="50"/>
    </row>
    <row r="2186">
      <c r="A2186" s="50"/>
      <c r="B2186" s="50"/>
    </row>
    <row r="2187">
      <c r="A2187" s="50"/>
      <c r="B2187" s="50"/>
    </row>
    <row r="2188">
      <c r="A2188" s="50"/>
      <c r="B2188" s="50"/>
    </row>
    <row r="2189">
      <c r="A2189" s="50"/>
      <c r="B2189" s="50"/>
    </row>
    <row r="2190">
      <c r="A2190" s="50"/>
      <c r="B2190" s="50"/>
    </row>
    <row r="2191">
      <c r="A2191" s="50"/>
      <c r="B2191" s="50"/>
    </row>
    <row r="2192">
      <c r="A2192" s="50"/>
      <c r="B2192" s="50"/>
    </row>
    <row r="2193">
      <c r="A2193" s="50"/>
      <c r="B2193" s="50"/>
    </row>
    <row r="2194">
      <c r="A2194" s="50"/>
      <c r="B2194" s="50"/>
    </row>
    <row r="2195">
      <c r="A2195" s="50"/>
      <c r="B2195" s="50"/>
    </row>
    <row r="2196">
      <c r="A2196" s="50"/>
      <c r="B2196" s="50"/>
    </row>
    <row r="2197">
      <c r="A2197" s="50"/>
      <c r="B2197" s="50"/>
    </row>
    <row r="2198">
      <c r="A2198" s="50"/>
      <c r="B2198" s="50"/>
    </row>
    <row r="2199">
      <c r="A2199" s="50"/>
      <c r="B2199" s="50"/>
    </row>
    <row r="2200">
      <c r="A2200" s="50"/>
      <c r="B2200" s="50"/>
    </row>
    <row r="2201">
      <c r="A2201" s="50"/>
      <c r="B2201" s="50"/>
    </row>
    <row r="2202">
      <c r="A2202" s="50"/>
      <c r="B2202" s="50"/>
    </row>
    <row r="2203">
      <c r="A2203" s="50"/>
      <c r="B2203" s="50"/>
    </row>
    <row r="2204">
      <c r="A2204" s="50"/>
      <c r="B2204" s="50"/>
    </row>
    <row r="2205">
      <c r="A2205" s="50"/>
      <c r="B2205" s="50"/>
    </row>
    <row r="2206">
      <c r="A2206" s="50"/>
      <c r="B2206" s="50"/>
    </row>
    <row r="2207">
      <c r="A2207" s="50"/>
      <c r="B2207" s="50"/>
    </row>
    <row r="2208">
      <c r="A2208" s="50"/>
      <c r="B2208" s="50"/>
    </row>
    <row r="2209">
      <c r="A2209" s="50"/>
      <c r="B2209" s="50"/>
    </row>
    <row r="2210">
      <c r="A2210" s="50"/>
      <c r="B2210" s="50"/>
    </row>
    <row r="2211">
      <c r="A2211" s="50"/>
      <c r="B2211" s="50"/>
    </row>
    <row r="2212">
      <c r="A2212" s="50"/>
      <c r="B2212" s="50"/>
    </row>
    <row r="2213">
      <c r="A2213" s="50"/>
      <c r="B2213" s="50"/>
    </row>
    <row r="2214">
      <c r="A2214" s="50"/>
      <c r="B2214" s="50"/>
    </row>
    <row r="2215">
      <c r="A2215" s="50"/>
      <c r="B2215" s="50"/>
    </row>
    <row r="2216">
      <c r="A2216" s="50"/>
      <c r="B2216" s="50"/>
    </row>
    <row r="2217">
      <c r="A2217" s="50"/>
      <c r="B2217" s="50"/>
    </row>
    <row r="2218">
      <c r="A2218" s="50"/>
      <c r="B2218" s="50"/>
    </row>
    <row r="2219">
      <c r="A2219" s="50"/>
      <c r="B2219" s="50"/>
    </row>
    <row r="2220">
      <c r="A2220" s="50"/>
      <c r="B2220" s="50"/>
    </row>
    <row r="2221">
      <c r="A2221" s="50"/>
      <c r="B2221" s="50"/>
    </row>
    <row r="2222">
      <c r="A2222" s="50"/>
      <c r="B2222" s="50"/>
    </row>
    <row r="2223">
      <c r="A2223" s="50"/>
      <c r="B2223" s="50"/>
    </row>
    <row r="2224">
      <c r="A2224" s="50"/>
      <c r="B2224" s="50"/>
    </row>
    <row r="2225">
      <c r="A2225" s="50"/>
      <c r="B2225" s="50"/>
    </row>
    <row r="2226">
      <c r="A2226" s="50"/>
      <c r="B2226" s="50"/>
    </row>
    <row r="2227">
      <c r="A2227" s="50"/>
      <c r="B2227" s="50"/>
    </row>
    <row r="2228">
      <c r="A2228" s="50"/>
      <c r="B2228" s="50"/>
    </row>
    <row r="2229">
      <c r="A2229" s="50"/>
      <c r="B2229" s="50"/>
    </row>
    <row r="2230">
      <c r="A2230" s="50"/>
      <c r="B2230" s="50"/>
    </row>
    <row r="2231">
      <c r="A2231" s="50"/>
      <c r="B2231" s="50"/>
    </row>
    <row r="2232">
      <c r="A2232" s="50"/>
      <c r="B2232" s="50"/>
    </row>
    <row r="2233">
      <c r="A2233" s="50"/>
      <c r="B2233" s="50"/>
    </row>
    <row r="2234">
      <c r="A2234" s="50"/>
      <c r="B2234" s="50"/>
    </row>
    <row r="2235">
      <c r="A2235" s="50"/>
      <c r="B2235" s="50"/>
    </row>
    <row r="2236">
      <c r="A2236" s="50"/>
      <c r="B2236" s="50"/>
    </row>
    <row r="2237">
      <c r="A2237" s="50"/>
      <c r="B2237" s="50"/>
    </row>
    <row r="2238">
      <c r="A2238" s="50"/>
      <c r="B2238" s="50"/>
    </row>
    <row r="2239">
      <c r="A2239" s="50"/>
      <c r="B2239" s="50"/>
    </row>
    <row r="2240">
      <c r="A2240" s="50"/>
      <c r="B2240" s="50"/>
    </row>
    <row r="2241">
      <c r="A2241" s="50"/>
      <c r="B2241" s="50"/>
    </row>
    <row r="2242">
      <c r="A2242" s="50"/>
      <c r="B2242" s="50"/>
    </row>
    <row r="2243">
      <c r="A2243" s="50"/>
      <c r="B2243" s="50"/>
    </row>
    <row r="2244">
      <c r="A2244" s="50"/>
      <c r="B2244" s="50"/>
    </row>
    <row r="2245">
      <c r="A2245" s="50"/>
      <c r="B2245" s="50"/>
    </row>
    <row r="2246">
      <c r="A2246" s="50"/>
      <c r="B2246" s="50"/>
    </row>
    <row r="2247">
      <c r="A2247" s="50"/>
      <c r="B2247" s="50"/>
    </row>
    <row r="2248">
      <c r="A2248" s="50"/>
      <c r="B2248" s="50"/>
    </row>
    <row r="2249">
      <c r="A2249" s="50"/>
      <c r="B2249" s="50"/>
    </row>
    <row r="2250">
      <c r="A2250" s="50"/>
      <c r="B2250" s="50"/>
    </row>
    <row r="2251">
      <c r="A2251" s="50"/>
      <c r="B2251" s="50"/>
    </row>
    <row r="2252">
      <c r="A2252" s="50"/>
      <c r="B2252" s="50"/>
    </row>
    <row r="2253">
      <c r="A2253" s="50"/>
      <c r="B2253" s="50"/>
    </row>
    <row r="2254">
      <c r="A2254" s="50"/>
      <c r="B2254" s="50"/>
    </row>
    <row r="2255">
      <c r="A2255" s="50"/>
      <c r="B2255" s="50"/>
    </row>
    <row r="2256">
      <c r="A2256" s="50"/>
      <c r="B2256" s="50"/>
    </row>
    <row r="2257">
      <c r="A2257" s="50"/>
      <c r="B2257" s="50"/>
    </row>
    <row r="2258">
      <c r="A2258" s="50"/>
      <c r="B2258" s="50"/>
    </row>
    <row r="2259">
      <c r="A2259" s="50"/>
      <c r="B2259" s="50"/>
    </row>
    <row r="2260">
      <c r="A2260" s="50"/>
      <c r="B2260" s="50"/>
    </row>
    <row r="2261">
      <c r="A2261" s="50"/>
      <c r="B2261" s="50"/>
    </row>
    <row r="2262">
      <c r="A2262" s="50"/>
      <c r="B2262" s="50"/>
    </row>
    <row r="2263">
      <c r="A2263" s="50"/>
      <c r="B2263" s="50"/>
    </row>
    <row r="2264">
      <c r="A2264" s="50"/>
      <c r="B2264" s="50"/>
    </row>
    <row r="2265">
      <c r="A2265" s="50"/>
      <c r="B2265" s="50"/>
    </row>
    <row r="2266">
      <c r="A2266" s="50"/>
      <c r="B2266" s="50"/>
    </row>
    <row r="2267">
      <c r="A2267" s="50"/>
      <c r="B2267" s="50"/>
    </row>
    <row r="2268">
      <c r="A2268" s="50"/>
      <c r="B2268" s="50"/>
    </row>
    <row r="2269">
      <c r="A2269" s="50"/>
      <c r="B2269" s="50"/>
    </row>
    <row r="2270">
      <c r="A2270" s="50"/>
      <c r="B2270" s="50"/>
    </row>
    <row r="2271">
      <c r="A2271" s="50"/>
      <c r="B2271" s="50"/>
    </row>
    <row r="2272">
      <c r="A2272" s="50"/>
      <c r="B2272" s="50"/>
    </row>
    <row r="2273">
      <c r="A2273" s="50"/>
      <c r="B2273" s="50"/>
    </row>
    <row r="2274">
      <c r="A2274" s="50"/>
      <c r="B2274" s="50"/>
    </row>
    <row r="2275">
      <c r="A2275" s="50"/>
      <c r="B2275" s="50"/>
    </row>
    <row r="2276">
      <c r="A2276" s="50"/>
      <c r="B2276" s="50"/>
    </row>
    <row r="2277">
      <c r="A2277" s="50"/>
      <c r="B2277" s="50"/>
    </row>
    <row r="2278">
      <c r="A2278" s="50"/>
      <c r="B2278" s="50"/>
    </row>
    <row r="2279">
      <c r="A2279" s="50"/>
      <c r="B2279" s="50"/>
    </row>
    <row r="2280">
      <c r="A2280" s="50"/>
      <c r="B2280" s="50"/>
    </row>
    <row r="2281">
      <c r="A2281" s="50"/>
      <c r="B2281" s="50"/>
    </row>
    <row r="2282">
      <c r="A2282" s="50"/>
      <c r="B2282" s="50"/>
    </row>
    <row r="2283">
      <c r="A2283" s="50"/>
      <c r="B2283" s="50"/>
    </row>
    <row r="2284">
      <c r="A2284" s="50"/>
      <c r="B2284" s="50"/>
    </row>
    <row r="2285">
      <c r="A2285" s="50"/>
      <c r="B2285" s="50"/>
    </row>
    <row r="2286">
      <c r="A2286" s="50"/>
      <c r="B2286" s="50"/>
    </row>
    <row r="2287">
      <c r="A2287" s="50"/>
      <c r="B2287" s="50"/>
    </row>
    <row r="2288">
      <c r="A2288" s="50"/>
      <c r="B2288" s="50"/>
    </row>
    <row r="2289">
      <c r="A2289" s="50"/>
      <c r="B2289" s="50"/>
    </row>
    <row r="2290">
      <c r="A2290" s="50"/>
      <c r="B2290" s="50"/>
    </row>
    <row r="2291">
      <c r="A2291" s="50"/>
      <c r="B2291" s="50"/>
    </row>
    <row r="2292">
      <c r="A2292" s="50"/>
      <c r="B2292" s="50"/>
    </row>
    <row r="2293">
      <c r="A2293" s="50"/>
      <c r="B2293" s="50"/>
    </row>
    <row r="2294">
      <c r="A2294" s="50"/>
      <c r="B2294" s="50"/>
    </row>
    <row r="2295">
      <c r="A2295" s="50"/>
      <c r="B2295" s="50"/>
    </row>
    <row r="2296">
      <c r="A2296" s="50"/>
      <c r="B2296" s="50"/>
    </row>
    <row r="2297">
      <c r="A2297" s="50"/>
      <c r="B2297" s="50"/>
    </row>
    <row r="2298">
      <c r="A2298" s="50"/>
      <c r="B2298" s="50"/>
    </row>
    <row r="2299">
      <c r="A2299" s="50"/>
      <c r="B2299" s="50"/>
    </row>
    <row r="2300">
      <c r="A2300" s="50"/>
      <c r="B2300" s="50"/>
    </row>
    <row r="2301">
      <c r="A2301" s="50"/>
      <c r="B2301" s="50"/>
    </row>
    <row r="2302">
      <c r="A2302" s="50"/>
      <c r="B2302" s="50"/>
    </row>
    <row r="2303">
      <c r="A2303" s="50"/>
      <c r="B2303" s="50"/>
    </row>
    <row r="2304">
      <c r="A2304" s="50"/>
      <c r="B2304" s="50"/>
    </row>
    <row r="2305">
      <c r="A2305" s="50"/>
      <c r="B2305" s="50"/>
    </row>
    <row r="2306">
      <c r="A2306" s="50"/>
      <c r="B2306" s="50"/>
    </row>
    <row r="2307">
      <c r="A2307" s="50"/>
      <c r="B2307" s="50"/>
    </row>
    <row r="2308">
      <c r="A2308" s="50"/>
      <c r="B2308" s="50"/>
    </row>
    <row r="2309">
      <c r="A2309" s="50"/>
      <c r="B2309" s="50"/>
    </row>
    <row r="2310">
      <c r="A2310" s="50"/>
      <c r="B2310" s="50"/>
    </row>
    <row r="2311">
      <c r="A2311" s="50"/>
      <c r="B2311" s="50"/>
    </row>
    <row r="2312">
      <c r="A2312" s="50"/>
      <c r="B2312" s="50"/>
    </row>
    <row r="2313">
      <c r="A2313" s="50"/>
      <c r="B2313" s="50"/>
    </row>
    <row r="2314">
      <c r="A2314" s="50"/>
      <c r="B2314" s="50"/>
    </row>
    <row r="2315">
      <c r="A2315" s="50"/>
      <c r="B2315" s="50"/>
    </row>
    <row r="2316">
      <c r="A2316" s="50"/>
      <c r="B2316" s="50"/>
    </row>
    <row r="2317">
      <c r="A2317" s="50"/>
      <c r="B2317" s="50"/>
    </row>
    <row r="2318">
      <c r="A2318" s="50"/>
      <c r="B2318" s="50"/>
    </row>
    <row r="2319">
      <c r="A2319" s="50"/>
      <c r="B2319" s="50"/>
    </row>
    <row r="2320">
      <c r="A2320" s="50"/>
      <c r="B2320" s="50"/>
    </row>
    <row r="2321">
      <c r="A2321" s="50"/>
      <c r="B2321" s="50"/>
    </row>
    <row r="2322">
      <c r="A2322" s="50"/>
      <c r="B2322" s="50"/>
    </row>
    <row r="2323">
      <c r="A2323" s="50"/>
      <c r="B2323" s="50"/>
    </row>
    <row r="2324">
      <c r="A2324" s="50"/>
      <c r="B2324" s="50"/>
    </row>
    <row r="2325">
      <c r="A2325" s="50"/>
      <c r="B2325" s="50"/>
    </row>
    <row r="2326">
      <c r="A2326" s="50"/>
      <c r="B2326" s="50"/>
    </row>
    <row r="2327">
      <c r="A2327" s="50"/>
      <c r="B2327" s="50"/>
    </row>
    <row r="2328">
      <c r="A2328" s="50"/>
      <c r="B2328" s="50"/>
    </row>
    <row r="2329">
      <c r="A2329" s="50"/>
      <c r="B2329" s="50"/>
    </row>
    <row r="2330">
      <c r="A2330" s="50"/>
      <c r="B2330" s="50"/>
    </row>
    <row r="2331">
      <c r="A2331" s="50"/>
      <c r="B2331" s="50"/>
    </row>
    <row r="2332">
      <c r="A2332" s="50"/>
      <c r="B2332" s="50"/>
    </row>
    <row r="2333">
      <c r="A2333" s="50"/>
      <c r="B2333" s="50"/>
    </row>
    <row r="2334">
      <c r="A2334" s="50"/>
      <c r="B2334" s="50"/>
    </row>
    <row r="2335">
      <c r="A2335" s="50"/>
      <c r="B2335" s="50"/>
    </row>
    <row r="2336">
      <c r="A2336" s="50"/>
      <c r="B2336" s="50"/>
    </row>
    <row r="2337">
      <c r="A2337" s="50"/>
      <c r="B2337" s="50"/>
    </row>
    <row r="2338">
      <c r="A2338" s="50"/>
      <c r="B2338" s="50"/>
    </row>
    <row r="2339">
      <c r="A2339" s="50"/>
      <c r="B2339" s="50"/>
    </row>
    <row r="2340">
      <c r="A2340" s="50"/>
      <c r="B2340" s="50"/>
    </row>
    <row r="2341">
      <c r="A2341" s="50"/>
      <c r="B2341" s="50"/>
    </row>
    <row r="2342">
      <c r="A2342" s="50"/>
      <c r="B2342" s="50"/>
    </row>
    <row r="2343">
      <c r="A2343" s="50"/>
      <c r="B2343" s="50"/>
    </row>
    <row r="2344">
      <c r="A2344" s="50"/>
      <c r="B2344" s="50"/>
    </row>
    <row r="2345">
      <c r="A2345" s="50"/>
      <c r="B2345" s="50"/>
    </row>
    <row r="2346">
      <c r="A2346" s="50"/>
      <c r="B2346" s="50"/>
    </row>
    <row r="2347">
      <c r="A2347" s="50"/>
      <c r="B2347" s="50"/>
    </row>
    <row r="2348">
      <c r="A2348" s="50"/>
      <c r="B2348" s="50"/>
    </row>
    <row r="2349">
      <c r="A2349" s="50"/>
      <c r="B2349" s="50"/>
    </row>
    <row r="2350">
      <c r="A2350" s="50"/>
      <c r="B2350" s="50"/>
    </row>
    <row r="2351">
      <c r="A2351" s="50"/>
      <c r="B2351" s="50"/>
    </row>
    <row r="2352">
      <c r="A2352" s="50"/>
      <c r="B2352" s="50"/>
    </row>
    <row r="2353">
      <c r="A2353" s="50"/>
      <c r="B2353" s="50"/>
    </row>
    <row r="2354">
      <c r="A2354" s="50"/>
      <c r="B2354" s="50"/>
    </row>
    <row r="2355">
      <c r="A2355" s="50"/>
      <c r="B2355" s="50"/>
    </row>
    <row r="2356">
      <c r="A2356" s="50"/>
      <c r="B2356" s="50"/>
    </row>
    <row r="2357">
      <c r="A2357" s="50"/>
      <c r="B2357" s="50"/>
    </row>
    <row r="2358">
      <c r="A2358" s="50"/>
      <c r="B2358" s="50"/>
    </row>
    <row r="2359">
      <c r="A2359" s="50"/>
      <c r="B2359" s="50"/>
    </row>
    <row r="2360">
      <c r="A2360" s="50"/>
      <c r="B2360" s="50"/>
    </row>
    <row r="2361">
      <c r="A2361" s="50"/>
      <c r="B2361" s="50"/>
    </row>
    <row r="2362">
      <c r="A2362" s="50"/>
      <c r="B2362" s="50"/>
    </row>
    <row r="2363">
      <c r="A2363" s="50"/>
      <c r="B2363" s="50"/>
    </row>
    <row r="2364">
      <c r="A2364" s="50"/>
      <c r="B2364" s="50"/>
    </row>
    <row r="2365">
      <c r="A2365" s="50"/>
      <c r="B2365" s="50"/>
    </row>
    <row r="2366">
      <c r="A2366" s="50"/>
      <c r="B2366" s="50"/>
    </row>
    <row r="2367">
      <c r="A2367" s="50"/>
      <c r="B2367" s="50"/>
    </row>
    <row r="2368">
      <c r="A2368" s="50"/>
      <c r="B2368" s="50"/>
    </row>
    <row r="2369">
      <c r="A2369" s="50"/>
      <c r="B2369" s="50"/>
    </row>
    <row r="2370">
      <c r="A2370" s="50"/>
      <c r="B2370" s="50"/>
    </row>
    <row r="2371">
      <c r="A2371" s="50"/>
      <c r="B2371" s="50"/>
    </row>
    <row r="2372">
      <c r="A2372" s="50"/>
      <c r="B2372" s="50"/>
    </row>
    <row r="2373">
      <c r="A2373" s="50"/>
      <c r="B2373" s="50"/>
    </row>
    <row r="2374">
      <c r="A2374" s="50"/>
      <c r="B2374" s="50"/>
    </row>
    <row r="2375">
      <c r="A2375" s="50"/>
      <c r="B2375" s="50"/>
    </row>
    <row r="2376">
      <c r="A2376" s="50"/>
      <c r="B2376" s="50"/>
    </row>
    <row r="2377">
      <c r="A2377" s="50"/>
      <c r="B2377" s="50"/>
    </row>
    <row r="2378">
      <c r="A2378" s="50"/>
      <c r="B2378" s="50"/>
    </row>
    <row r="2379">
      <c r="A2379" s="50"/>
      <c r="B2379" s="50"/>
    </row>
    <row r="2380">
      <c r="A2380" s="50"/>
      <c r="B2380" s="50"/>
    </row>
    <row r="2381">
      <c r="A2381" s="50"/>
      <c r="B2381" s="50"/>
    </row>
    <row r="2382">
      <c r="A2382" s="50"/>
      <c r="B2382" s="50"/>
    </row>
    <row r="2383">
      <c r="A2383" s="50"/>
      <c r="B2383" s="50"/>
    </row>
    <row r="2384">
      <c r="A2384" s="50"/>
      <c r="B2384" s="50"/>
    </row>
    <row r="2385">
      <c r="A2385" s="50"/>
      <c r="B2385" s="50"/>
    </row>
    <row r="2386">
      <c r="A2386" s="50"/>
      <c r="B2386" s="50"/>
    </row>
    <row r="2387">
      <c r="A2387" s="50"/>
      <c r="B2387" s="50"/>
    </row>
    <row r="2388">
      <c r="A2388" s="50"/>
      <c r="B2388" s="50"/>
    </row>
    <row r="2389">
      <c r="A2389" s="50"/>
      <c r="B2389" s="50"/>
    </row>
    <row r="2390">
      <c r="A2390" s="50"/>
      <c r="B2390" s="50"/>
    </row>
    <row r="2391">
      <c r="A2391" s="50"/>
      <c r="B2391" s="50"/>
    </row>
    <row r="2392">
      <c r="A2392" s="50"/>
      <c r="B2392" s="50"/>
    </row>
    <row r="2393">
      <c r="A2393" s="50"/>
      <c r="B2393" s="50"/>
    </row>
    <row r="2394">
      <c r="A2394" s="50"/>
      <c r="B2394" s="50"/>
    </row>
    <row r="2395">
      <c r="A2395" s="50"/>
      <c r="B2395" s="50"/>
    </row>
    <row r="2396">
      <c r="A2396" s="50"/>
      <c r="B2396" s="50"/>
    </row>
    <row r="2397">
      <c r="A2397" s="50"/>
      <c r="B2397" s="50"/>
    </row>
    <row r="2398">
      <c r="A2398" s="50"/>
      <c r="B2398" s="50"/>
    </row>
    <row r="2399">
      <c r="A2399" s="50"/>
      <c r="B2399" s="50"/>
    </row>
    <row r="2400">
      <c r="A2400" s="50"/>
      <c r="B2400" s="50"/>
    </row>
    <row r="2401">
      <c r="A2401" s="50"/>
      <c r="B2401" s="50"/>
    </row>
    <row r="2402">
      <c r="A2402" s="50"/>
      <c r="B2402" s="50"/>
    </row>
    <row r="2403">
      <c r="A2403" s="50"/>
      <c r="B2403" s="50"/>
    </row>
    <row r="2404">
      <c r="A2404" s="50"/>
      <c r="B2404" s="50"/>
    </row>
    <row r="2405">
      <c r="A2405" s="50"/>
      <c r="B2405" s="50"/>
    </row>
    <row r="2406">
      <c r="A2406" s="50"/>
      <c r="B2406" s="50"/>
    </row>
    <row r="2407">
      <c r="A2407" s="50"/>
      <c r="B2407" s="50"/>
    </row>
    <row r="2408">
      <c r="A2408" s="50"/>
      <c r="B2408" s="50"/>
    </row>
    <row r="2409">
      <c r="A2409" s="50"/>
      <c r="B2409" s="50"/>
    </row>
    <row r="2410">
      <c r="A2410" s="50"/>
      <c r="B2410" s="50"/>
    </row>
    <row r="2411">
      <c r="A2411" s="50"/>
      <c r="B2411" s="50"/>
    </row>
    <row r="2412">
      <c r="A2412" s="50"/>
      <c r="B2412" s="50"/>
    </row>
    <row r="2413">
      <c r="A2413" s="50"/>
      <c r="B2413" s="50"/>
    </row>
    <row r="2414">
      <c r="A2414" s="50"/>
      <c r="B2414" s="50"/>
    </row>
    <row r="2415">
      <c r="A2415" s="50"/>
      <c r="B2415" s="50"/>
    </row>
    <row r="2416">
      <c r="A2416" s="50"/>
      <c r="B2416" s="50"/>
    </row>
    <row r="2417">
      <c r="A2417" s="50"/>
      <c r="B2417" s="50"/>
    </row>
    <row r="2418">
      <c r="A2418" s="50"/>
      <c r="B2418" s="50"/>
    </row>
    <row r="2419">
      <c r="A2419" s="50"/>
      <c r="B2419" s="50"/>
    </row>
    <row r="2420">
      <c r="A2420" s="50"/>
      <c r="B2420" s="50"/>
    </row>
    <row r="2421">
      <c r="A2421" s="50"/>
      <c r="B2421" s="50"/>
    </row>
    <row r="2422">
      <c r="A2422" s="50"/>
      <c r="B2422" s="50"/>
    </row>
    <row r="2423">
      <c r="A2423" s="50"/>
      <c r="B2423" s="50"/>
    </row>
    <row r="2424">
      <c r="A2424" s="50"/>
      <c r="B2424" s="50"/>
    </row>
    <row r="2425">
      <c r="A2425" s="50"/>
      <c r="B2425" s="50"/>
    </row>
    <row r="2426">
      <c r="A2426" s="50"/>
      <c r="B2426" s="50"/>
    </row>
    <row r="2427">
      <c r="A2427" s="50"/>
      <c r="B2427" s="50"/>
    </row>
    <row r="2428">
      <c r="A2428" s="50"/>
      <c r="B2428" s="50"/>
    </row>
    <row r="2429">
      <c r="A2429" s="50"/>
      <c r="B2429" s="50"/>
    </row>
    <row r="2430">
      <c r="A2430" s="50"/>
      <c r="B2430" s="50"/>
    </row>
    <row r="2431">
      <c r="A2431" s="50"/>
      <c r="B2431" s="50"/>
    </row>
    <row r="2432">
      <c r="A2432" s="50"/>
      <c r="B2432" s="50"/>
    </row>
    <row r="2433">
      <c r="A2433" s="50"/>
      <c r="B2433" s="50"/>
    </row>
    <row r="2434">
      <c r="A2434" s="50"/>
      <c r="B2434" s="50"/>
    </row>
    <row r="2435">
      <c r="A2435" s="50"/>
      <c r="B2435" s="50"/>
    </row>
    <row r="2436">
      <c r="A2436" s="50"/>
      <c r="B2436" s="50"/>
    </row>
    <row r="2437">
      <c r="A2437" s="50"/>
      <c r="B2437" s="50"/>
    </row>
    <row r="2438">
      <c r="A2438" s="50"/>
      <c r="B2438" s="50"/>
    </row>
    <row r="2439">
      <c r="A2439" s="50"/>
      <c r="B2439" s="50"/>
    </row>
    <row r="2440">
      <c r="A2440" s="50"/>
      <c r="B2440" s="50"/>
    </row>
    <row r="2441">
      <c r="A2441" s="50"/>
      <c r="B2441" s="50"/>
    </row>
    <row r="2442">
      <c r="A2442" s="50"/>
      <c r="B2442" s="50"/>
    </row>
    <row r="2443">
      <c r="A2443" s="50"/>
      <c r="B2443" s="50"/>
    </row>
    <row r="2444">
      <c r="A2444" s="50"/>
      <c r="B2444" s="50"/>
    </row>
    <row r="2445">
      <c r="A2445" s="50"/>
      <c r="B2445" s="50"/>
    </row>
    <row r="2446">
      <c r="A2446" s="50"/>
      <c r="B2446" s="50"/>
    </row>
    <row r="2447">
      <c r="A2447" s="50"/>
      <c r="B2447" s="50"/>
    </row>
    <row r="2448">
      <c r="A2448" s="50"/>
      <c r="B2448" s="50"/>
    </row>
    <row r="2449">
      <c r="A2449" s="50"/>
      <c r="B2449" s="50"/>
    </row>
    <row r="2450">
      <c r="A2450" s="50"/>
      <c r="B2450" s="50"/>
    </row>
    <row r="2451">
      <c r="A2451" s="50"/>
      <c r="B2451" s="50"/>
    </row>
    <row r="2452">
      <c r="A2452" s="50"/>
      <c r="B2452" s="50"/>
    </row>
    <row r="2453">
      <c r="A2453" s="50"/>
      <c r="B2453" s="50"/>
    </row>
    <row r="2454">
      <c r="A2454" s="50"/>
      <c r="B2454" s="50"/>
    </row>
    <row r="2455">
      <c r="A2455" s="50"/>
      <c r="B2455" s="50"/>
    </row>
    <row r="2456">
      <c r="A2456" s="50"/>
      <c r="B2456" s="50"/>
    </row>
    <row r="2457">
      <c r="A2457" s="50"/>
      <c r="B2457" s="50"/>
    </row>
    <row r="2458">
      <c r="A2458" s="50"/>
      <c r="B2458" s="50"/>
    </row>
    <row r="2459">
      <c r="A2459" s="50"/>
      <c r="B2459" s="50"/>
    </row>
    <row r="2460">
      <c r="A2460" s="50"/>
      <c r="B2460" s="50"/>
    </row>
    <row r="2461">
      <c r="A2461" s="50"/>
      <c r="B2461" s="50"/>
    </row>
    <row r="2462">
      <c r="A2462" s="50"/>
      <c r="B2462" s="50"/>
    </row>
    <row r="2463">
      <c r="A2463" s="50"/>
      <c r="B2463" s="50"/>
    </row>
    <row r="2464">
      <c r="A2464" s="50"/>
      <c r="B2464" s="50"/>
    </row>
    <row r="2465">
      <c r="A2465" s="50"/>
      <c r="B2465" s="50"/>
    </row>
    <row r="2466">
      <c r="A2466" s="50"/>
      <c r="B2466" s="50"/>
    </row>
    <row r="2467">
      <c r="A2467" s="50"/>
      <c r="B2467" s="50"/>
    </row>
    <row r="2468">
      <c r="A2468" s="50"/>
      <c r="B2468" s="50"/>
    </row>
    <row r="2469">
      <c r="A2469" s="50"/>
      <c r="B2469" s="50"/>
    </row>
    <row r="2470">
      <c r="A2470" s="50"/>
      <c r="B2470" s="50"/>
    </row>
    <row r="2471">
      <c r="A2471" s="50"/>
      <c r="B2471" s="50"/>
    </row>
    <row r="2472">
      <c r="A2472" s="50"/>
      <c r="B2472" s="50"/>
    </row>
    <row r="2473">
      <c r="A2473" s="50"/>
      <c r="B2473" s="50"/>
    </row>
    <row r="2474">
      <c r="A2474" s="50"/>
      <c r="B2474" s="50"/>
    </row>
    <row r="2475">
      <c r="A2475" s="50"/>
      <c r="B2475" s="50"/>
    </row>
    <row r="2476">
      <c r="A2476" s="50"/>
      <c r="B2476" s="50"/>
    </row>
    <row r="2477">
      <c r="A2477" s="50"/>
      <c r="B2477" s="50"/>
    </row>
    <row r="2478">
      <c r="A2478" s="50"/>
      <c r="B2478" s="50"/>
    </row>
    <row r="2479">
      <c r="A2479" s="50"/>
      <c r="B2479" s="50"/>
    </row>
    <row r="2480">
      <c r="A2480" s="50"/>
      <c r="B2480" s="50"/>
    </row>
    <row r="2481">
      <c r="A2481" s="50"/>
      <c r="B2481" s="50"/>
    </row>
    <row r="2482">
      <c r="A2482" s="50"/>
      <c r="B2482" s="50"/>
    </row>
    <row r="2483">
      <c r="A2483" s="50"/>
      <c r="B2483" s="50"/>
    </row>
    <row r="2484">
      <c r="A2484" s="50"/>
      <c r="B2484" s="50"/>
    </row>
    <row r="2485">
      <c r="A2485" s="50"/>
      <c r="B2485" s="50"/>
    </row>
    <row r="2486">
      <c r="A2486" s="50"/>
      <c r="B2486" s="50"/>
    </row>
    <row r="2487">
      <c r="A2487" s="50"/>
      <c r="B2487" s="50"/>
    </row>
    <row r="2488">
      <c r="A2488" s="50"/>
      <c r="B2488" s="50"/>
    </row>
    <row r="2489">
      <c r="A2489" s="50"/>
      <c r="B2489" s="50"/>
    </row>
    <row r="2490">
      <c r="A2490" s="50"/>
      <c r="B2490" s="50"/>
    </row>
    <row r="2491">
      <c r="A2491" s="50"/>
      <c r="B2491" s="50"/>
    </row>
    <row r="2492">
      <c r="A2492" s="50"/>
      <c r="B2492" s="50"/>
    </row>
    <row r="2493">
      <c r="A2493" s="50"/>
      <c r="B2493" s="50"/>
    </row>
    <row r="2494">
      <c r="A2494" s="50"/>
      <c r="B2494" s="50"/>
    </row>
    <row r="2495">
      <c r="A2495" s="50"/>
      <c r="B2495" s="50"/>
    </row>
    <row r="2496">
      <c r="A2496" s="50"/>
      <c r="B2496" s="50"/>
    </row>
    <row r="2497">
      <c r="A2497" s="50"/>
      <c r="B2497" s="50"/>
    </row>
    <row r="2498">
      <c r="A2498" s="50"/>
      <c r="B2498" s="50"/>
    </row>
    <row r="2499">
      <c r="A2499" s="50"/>
      <c r="B2499" s="50"/>
    </row>
    <row r="2500">
      <c r="A2500" s="50"/>
      <c r="B2500" s="50"/>
    </row>
    <row r="2501">
      <c r="A2501" s="50"/>
      <c r="B2501" s="50"/>
    </row>
    <row r="2502">
      <c r="A2502" s="50"/>
      <c r="B2502" s="50"/>
    </row>
    <row r="2503">
      <c r="A2503" s="50"/>
      <c r="B2503" s="50"/>
    </row>
    <row r="2504">
      <c r="A2504" s="50"/>
      <c r="B2504" s="50"/>
    </row>
    <row r="2505">
      <c r="A2505" s="50"/>
      <c r="B2505" s="50"/>
    </row>
    <row r="2506">
      <c r="A2506" s="50"/>
      <c r="B2506" s="50"/>
    </row>
    <row r="2507">
      <c r="A2507" s="50"/>
      <c r="B2507" s="50"/>
    </row>
    <row r="2508">
      <c r="A2508" s="50"/>
      <c r="B2508" s="50"/>
    </row>
    <row r="2509">
      <c r="A2509" s="50"/>
      <c r="B2509" s="50"/>
    </row>
    <row r="2510">
      <c r="A2510" s="50"/>
      <c r="B2510" s="50"/>
    </row>
    <row r="2511">
      <c r="A2511" s="50"/>
      <c r="B2511" s="50"/>
    </row>
    <row r="2512">
      <c r="A2512" s="50"/>
      <c r="B2512" s="50"/>
    </row>
    <row r="2513">
      <c r="A2513" s="50"/>
      <c r="B2513" s="50"/>
    </row>
    <row r="2514">
      <c r="A2514" s="50"/>
      <c r="B2514" s="50"/>
    </row>
    <row r="2515">
      <c r="A2515" s="50"/>
      <c r="B2515" s="50"/>
    </row>
    <row r="2516">
      <c r="A2516" s="50"/>
      <c r="B2516" s="50"/>
    </row>
    <row r="2517">
      <c r="A2517" s="50"/>
      <c r="B2517" s="50"/>
    </row>
    <row r="2518">
      <c r="A2518" s="50"/>
      <c r="B2518" s="50"/>
    </row>
    <row r="2519">
      <c r="A2519" s="50"/>
      <c r="B2519" s="50"/>
    </row>
    <row r="2520">
      <c r="A2520" s="50"/>
      <c r="B2520" s="50"/>
    </row>
    <row r="2521">
      <c r="A2521" s="50"/>
      <c r="B2521" s="50"/>
    </row>
    <row r="2522">
      <c r="A2522" s="50"/>
      <c r="B2522" s="50"/>
    </row>
    <row r="2523">
      <c r="A2523" s="50"/>
      <c r="B2523" s="50"/>
    </row>
    <row r="2524">
      <c r="A2524" s="50"/>
      <c r="B2524" s="50"/>
    </row>
    <row r="2525">
      <c r="A2525" s="50"/>
      <c r="B2525" s="50"/>
    </row>
    <row r="2526">
      <c r="A2526" s="50"/>
      <c r="B2526" s="50"/>
    </row>
    <row r="2527">
      <c r="A2527" s="50"/>
      <c r="B2527" s="50"/>
    </row>
    <row r="2528">
      <c r="A2528" s="50"/>
      <c r="B2528" s="50"/>
    </row>
    <row r="2529">
      <c r="A2529" s="50"/>
      <c r="B2529" s="50"/>
    </row>
    <row r="2530">
      <c r="A2530" s="50"/>
      <c r="B2530" s="50"/>
    </row>
    <row r="2531">
      <c r="A2531" s="50"/>
      <c r="B2531" s="50"/>
    </row>
    <row r="2532">
      <c r="A2532" s="50"/>
      <c r="B2532" s="50"/>
    </row>
    <row r="2533">
      <c r="A2533" s="50"/>
      <c r="B2533" s="50"/>
    </row>
    <row r="2534">
      <c r="A2534" s="50"/>
      <c r="B2534" s="50"/>
    </row>
    <row r="2535">
      <c r="A2535" s="50"/>
      <c r="B2535" s="50"/>
    </row>
    <row r="2536">
      <c r="A2536" s="50"/>
      <c r="B2536" s="50"/>
    </row>
    <row r="2537">
      <c r="A2537" s="50"/>
      <c r="B2537" s="50"/>
    </row>
    <row r="2538">
      <c r="A2538" s="50"/>
      <c r="B2538" s="50"/>
    </row>
    <row r="2539">
      <c r="A2539" s="50"/>
      <c r="B2539" s="50"/>
    </row>
    <row r="2540">
      <c r="A2540" s="50"/>
      <c r="B2540" s="50"/>
    </row>
    <row r="2541">
      <c r="A2541" s="50"/>
      <c r="B2541" s="50"/>
    </row>
    <row r="2542">
      <c r="A2542" s="50"/>
      <c r="B2542" s="50"/>
    </row>
    <row r="2543">
      <c r="A2543" s="50"/>
      <c r="B2543" s="50"/>
    </row>
    <row r="2544">
      <c r="A2544" s="50"/>
      <c r="B2544" s="50"/>
    </row>
    <row r="2545">
      <c r="A2545" s="50"/>
      <c r="B2545" s="50"/>
    </row>
    <row r="2546">
      <c r="A2546" s="50"/>
      <c r="B2546" s="50"/>
    </row>
    <row r="2547">
      <c r="A2547" s="50"/>
      <c r="B2547" s="50"/>
    </row>
    <row r="2548">
      <c r="A2548" s="50"/>
      <c r="B2548" s="50"/>
    </row>
    <row r="2549">
      <c r="A2549" s="50"/>
      <c r="B2549" s="50"/>
    </row>
    <row r="2550">
      <c r="A2550" s="50"/>
      <c r="B2550" s="50"/>
    </row>
    <row r="2551">
      <c r="A2551" s="50"/>
      <c r="B2551" s="50"/>
    </row>
    <row r="2552">
      <c r="A2552" s="50"/>
      <c r="B2552" s="50"/>
    </row>
    <row r="2553">
      <c r="A2553" s="50"/>
      <c r="B2553" s="50"/>
    </row>
    <row r="2554">
      <c r="A2554" s="50"/>
      <c r="B2554" s="50"/>
    </row>
    <row r="2555">
      <c r="A2555" s="50"/>
      <c r="B2555" s="50"/>
    </row>
    <row r="2556">
      <c r="A2556" s="50"/>
      <c r="B2556" s="50"/>
    </row>
    <row r="2557">
      <c r="A2557" s="50"/>
      <c r="B2557" s="50"/>
    </row>
    <row r="2558">
      <c r="A2558" s="50"/>
      <c r="B2558" s="50"/>
    </row>
    <row r="2559">
      <c r="A2559" s="50"/>
      <c r="B2559" s="50"/>
    </row>
    <row r="2560">
      <c r="A2560" s="50"/>
      <c r="B2560" s="50"/>
    </row>
    <row r="2561">
      <c r="A2561" s="50"/>
      <c r="B2561" s="50"/>
    </row>
    <row r="2562">
      <c r="A2562" s="50"/>
      <c r="B2562" s="50"/>
    </row>
    <row r="2563">
      <c r="A2563" s="50"/>
      <c r="B2563" s="50"/>
    </row>
    <row r="2564">
      <c r="A2564" s="50"/>
      <c r="B2564" s="50"/>
    </row>
    <row r="2565">
      <c r="A2565" s="50"/>
      <c r="B2565" s="50"/>
    </row>
    <row r="2566">
      <c r="A2566" s="50"/>
      <c r="B2566" s="50"/>
    </row>
    <row r="2567">
      <c r="A2567" s="50"/>
      <c r="B2567" s="50"/>
    </row>
    <row r="2568">
      <c r="A2568" s="50"/>
      <c r="B2568" s="50"/>
    </row>
    <row r="2569">
      <c r="A2569" s="50"/>
      <c r="B2569" s="50"/>
    </row>
    <row r="2570">
      <c r="A2570" s="50"/>
      <c r="B2570" s="50"/>
    </row>
    <row r="2571">
      <c r="A2571" s="50"/>
      <c r="B2571" s="50"/>
    </row>
    <row r="2572">
      <c r="A2572" s="50"/>
      <c r="B2572" s="50"/>
    </row>
    <row r="2573">
      <c r="A2573" s="50"/>
      <c r="B2573" s="50"/>
    </row>
    <row r="2574">
      <c r="A2574" s="50"/>
      <c r="B2574" s="50"/>
    </row>
    <row r="2575">
      <c r="A2575" s="50"/>
      <c r="B2575" s="50"/>
    </row>
    <row r="2576">
      <c r="A2576" s="50"/>
      <c r="B2576" s="50"/>
    </row>
    <row r="2577">
      <c r="A2577" s="50"/>
      <c r="B2577" s="50"/>
    </row>
    <row r="2578">
      <c r="A2578" s="50"/>
      <c r="B2578" s="50"/>
    </row>
    <row r="2579">
      <c r="A2579" s="50"/>
      <c r="B2579" s="50"/>
    </row>
    <row r="2580">
      <c r="A2580" s="50"/>
      <c r="B2580" s="50"/>
    </row>
    <row r="2581">
      <c r="A2581" s="50"/>
      <c r="B2581" s="50"/>
    </row>
    <row r="2582">
      <c r="A2582" s="50"/>
      <c r="B2582" s="50"/>
    </row>
    <row r="2583">
      <c r="A2583" s="50"/>
      <c r="B2583" s="50"/>
    </row>
    <row r="2584">
      <c r="A2584" s="50"/>
      <c r="B2584" s="50"/>
    </row>
    <row r="2585">
      <c r="A2585" s="50"/>
      <c r="B2585" s="50"/>
    </row>
    <row r="2586">
      <c r="A2586" s="50"/>
      <c r="B2586" s="50"/>
    </row>
    <row r="2587">
      <c r="A2587" s="50"/>
      <c r="B2587" s="50"/>
    </row>
    <row r="2588">
      <c r="A2588" s="50"/>
      <c r="B2588" s="50"/>
    </row>
    <row r="2589">
      <c r="A2589" s="50"/>
      <c r="B2589" s="50"/>
    </row>
    <row r="2590">
      <c r="A2590" s="50"/>
      <c r="B2590" s="50"/>
    </row>
    <row r="2591">
      <c r="A2591" s="50"/>
      <c r="B2591" s="50"/>
    </row>
    <row r="2592">
      <c r="A2592" s="50"/>
      <c r="B2592" s="50"/>
    </row>
    <row r="2593">
      <c r="A2593" s="50"/>
      <c r="B2593" s="50"/>
    </row>
    <row r="2594">
      <c r="A2594" s="50"/>
      <c r="B2594" s="50"/>
    </row>
    <row r="2595">
      <c r="A2595" s="50"/>
      <c r="B2595" s="50"/>
    </row>
    <row r="2596">
      <c r="A2596" s="50"/>
      <c r="B2596" s="50"/>
    </row>
    <row r="2597">
      <c r="A2597" s="50"/>
      <c r="B2597" s="50"/>
    </row>
    <row r="2598">
      <c r="A2598" s="50"/>
      <c r="B2598" s="50"/>
    </row>
    <row r="2599">
      <c r="A2599" s="50"/>
      <c r="B2599" s="50"/>
    </row>
    <row r="2600">
      <c r="A2600" s="50"/>
      <c r="B2600" s="50"/>
    </row>
    <row r="2601">
      <c r="A2601" s="50"/>
      <c r="B2601" s="50"/>
    </row>
    <row r="2602">
      <c r="A2602" s="50"/>
      <c r="B2602" s="50"/>
    </row>
    <row r="2603">
      <c r="A2603" s="50"/>
      <c r="B2603" s="50"/>
    </row>
    <row r="2604">
      <c r="A2604" s="50"/>
      <c r="B2604" s="50"/>
    </row>
    <row r="2605">
      <c r="A2605" s="50"/>
      <c r="B2605" s="50"/>
    </row>
    <row r="2606">
      <c r="A2606" s="50"/>
      <c r="B2606" s="50"/>
    </row>
    <row r="2607">
      <c r="A2607" s="50"/>
      <c r="B2607" s="50"/>
    </row>
    <row r="2608">
      <c r="A2608" s="50"/>
      <c r="B2608" s="50"/>
    </row>
    <row r="2609">
      <c r="A2609" s="50"/>
      <c r="B2609" s="50"/>
    </row>
    <row r="2610">
      <c r="A2610" s="50"/>
      <c r="B2610" s="50"/>
    </row>
    <row r="2611">
      <c r="A2611" s="50"/>
      <c r="B2611" s="50"/>
    </row>
    <row r="2612">
      <c r="A2612" s="50"/>
      <c r="B2612" s="50"/>
    </row>
    <row r="2613">
      <c r="A2613" s="50"/>
      <c r="B2613" s="50"/>
    </row>
    <row r="2614">
      <c r="A2614" s="50"/>
      <c r="B2614" s="50"/>
    </row>
    <row r="2615">
      <c r="A2615" s="50"/>
      <c r="B2615" s="50"/>
    </row>
    <row r="2616">
      <c r="A2616" s="50"/>
      <c r="B2616" s="50"/>
    </row>
    <row r="2617">
      <c r="A2617" s="50"/>
      <c r="B2617" s="50"/>
    </row>
    <row r="2618">
      <c r="A2618" s="50"/>
      <c r="B2618" s="50"/>
    </row>
    <row r="2619">
      <c r="A2619" s="50"/>
      <c r="B2619" s="50"/>
    </row>
    <row r="2620">
      <c r="A2620" s="50"/>
      <c r="B2620" s="50"/>
    </row>
    <row r="2621">
      <c r="A2621" s="50"/>
      <c r="B2621" s="50"/>
    </row>
    <row r="2622">
      <c r="A2622" s="50"/>
      <c r="B2622" s="50"/>
    </row>
    <row r="2623">
      <c r="A2623" s="50"/>
      <c r="B2623" s="50"/>
    </row>
    <row r="2624">
      <c r="A2624" s="50"/>
      <c r="B2624" s="50"/>
    </row>
    <row r="2625">
      <c r="A2625" s="50"/>
      <c r="B2625" s="50"/>
    </row>
    <row r="2626">
      <c r="A2626" s="50"/>
      <c r="B2626" s="50"/>
    </row>
    <row r="2627">
      <c r="A2627" s="50"/>
      <c r="B2627" s="50"/>
    </row>
    <row r="2628">
      <c r="A2628" s="50"/>
      <c r="B2628" s="50"/>
    </row>
    <row r="2629">
      <c r="A2629" s="50"/>
      <c r="B2629" s="50"/>
    </row>
    <row r="2630">
      <c r="A2630" s="50"/>
      <c r="B2630" s="50"/>
    </row>
    <row r="2631">
      <c r="A2631" s="50"/>
      <c r="B2631" s="50"/>
    </row>
    <row r="2632">
      <c r="A2632" s="50"/>
      <c r="B2632" s="50"/>
    </row>
    <row r="2633">
      <c r="A2633" s="50"/>
      <c r="B2633" s="50"/>
    </row>
    <row r="2634">
      <c r="A2634" s="50"/>
      <c r="B2634" s="50"/>
    </row>
    <row r="2635">
      <c r="A2635" s="50"/>
      <c r="B2635" s="50"/>
    </row>
    <row r="2636">
      <c r="A2636" s="50"/>
      <c r="B2636" s="50"/>
    </row>
    <row r="2637">
      <c r="A2637" s="50"/>
      <c r="B2637" s="50"/>
    </row>
    <row r="2638">
      <c r="A2638" s="50"/>
      <c r="B2638" s="50"/>
    </row>
    <row r="2639">
      <c r="A2639" s="50"/>
      <c r="B2639" s="50"/>
    </row>
    <row r="2640">
      <c r="A2640" s="50"/>
      <c r="B2640" s="50"/>
    </row>
    <row r="2641">
      <c r="A2641" s="50"/>
      <c r="B2641" s="50"/>
    </row>
    <row r="2642">
      <c r="A2642" s="50"/>
      <c r="B2642" s="50"/>
    </row>
    <row r="2643">
      <c r="A2643" s="50"/>
      <c r="B2643" s="50"/>
    </row>
    <row r="2644">
      <c r="A2644" s="50"/>
      <c r="B2644" s="50"/>
    </row>
    <row r="2645">
      <c r="A2645" s="50"/>
      <c r="B2645" s="50"/>
    </row>
    <row r="2646">
      <c r="A2646" s="50"/>
      <c r="B2646" s="50"/>
    </row>
    <row r="2647">
      <c r="A2647" s="50"/>
      <c r="B2647" s="50"/>
    </row>
    <row r="2648">
      <c r="A2648" s="50"/>
      <c r="B2648" s="50"/>
    </row>
    <row r="2649">
      <c r="A2649" s="50"/>
      <c r="B2649" s="50"/>
    </row>
    <row r="2650">
      <c r="A2650" s="50"/>
      <c r="B2650" s="50"/>
    </row>
    <row r="2651">
      <c r="A2651" s="50"/>
      <c r="B2651" s="50"/>
    </row>
    <row r="2652">
      <c r="A2652" s="50"/>
      <c r="B2652" s="50"/>
    </row>
    <row r="2653">
      <c r="A2653" s="50"/>
      <c r="B2653" s="50"/>
    </row>
    <row r="2654">
      <c r="A2654" s="50"/>
      <c r="B2654" s="50"/>
    </row>
    <row r="2655">
      <c r="A2655" s="50"/>
      <c r="B2655" s="50"/>
    </row>
    <row r="2656">
      <c r="A2656" s="50"/>
      <c r="B2656" s="50"/>
    </row>
    <row r="2657">
      <c r="A2657" s="50"/>
      <c r="B2657" s="50"/>
    </row>
    <row r="2658">
      <c r="A2658" s="50"/>
      <c r="B2658" s="50"/>
    </row>
    <row r="2659">
      <c r="A2659" s="50"/>
      <c r="B2659" s="50"/>
    </row>
    <row r="2660">
      <c r="A2660" s="50"/>
      <c r="B2660" s="50"/>
    </row>
    <row r="2661">
      <c r="A2661" s="50"/>
      <c r="B2661" s="50"/>
    </row>
    <row r="2662">
      <c r="A2662" s="50"/>
      <c r="B2662" s="50"/>
    </row>
    <row r="2663">
      <c r="A2663" s="50"/>
      <c r="B2663" s="50"/>
    </row>
    <row r="2664">
      <c r="A2664" s="50"/>
      <c r="B2664" s="50"/>
    </row>
    <row r="2665">
      <c r="A2665" s="50"/>
      <c r="B2665" s="50"/>
    </row>
    <row r="2666">
      <c r="A2666" s="50"/>
      <c r="B2666" s="50"/>
    </row>
    <row r="2667">
      <c r="A2667" s="50"/>
      <c r="B2667" s="50"/>
    </row>
    <row r="2668">
      <c r="A2668" s="50"/>
      <c r="B2668" s="50"/>
    </row>
    <row r="2669">
      <c r="A2669" s="50"/>
      <c r="B2669" s="50"/>
    </row>
    <row r="2670">
      <c r="A2670" s="50"/>
      <c r="B2670" s="50"/>
    </row>
    <row r="2671">
      <c r="A2671" s="50"/>
      <c r="B2671" s="50"/>
    </row>
    <row r="2672">
      <c r="A2672" s="50"/>
      <c r="B2672" s="50"/>
    </row>
    <row r="2673">
      <c r="A2673" s="50"/>
      <c r="B2673" s="50"/>
    </row>
    <row r="2674">
      <c r="A2674" s="50"/>
      <c r="B2674" s="50"/>
    </row>
    <row r="2675">
      <c r="A2675" s="50"/>
      <c r="B2675" s="50"/>
    </row>
    <row r="2676">
      <c r="A2676" s="50"/>
      <c r="B2676" s="50"/>
    </row>
    <row r="2677">
      <c r="A2677" s="50"/>
      <c r="B2677" s="50"/>
    </row>
    <row r="2678">
      <c r="A2678" s="50"/>
      <c r="B2678" s="50"/>
    </row>
    <row r="2679">
      <c r="A2679" s="50"/>
      <c r="B2679" s="50"/>
    </row>
    <row r="2680">
      <c r="A2680" s="50"/>
      <c r="B2680" s="50"/>
    </row>
    <row r="2681">
      <c r="A2681" s="50"/>
      <c r="B2681" s="50"/>
    </row>
    <row r="2682">
      <c r="A2682" s="50"/>
      <c r="B2682" s="50"/>
    </row>
    <row r="2683">
      <c r="A2683" s="50"/>
      <c r="B2683" s="50"/>
    </row>
    <row r="2684">
      <c r="A2684" s="50"/>
      <c r="B2684" s="50"/>
    </row>
    <row r="2685">
      <c r="A2685" s="50"/>
      <c r="B2685" s="50"/>
    </row>
    <row r="2686">
      <c r="A2686" s="50"/>
      <c r="B2686" s="50"/>
    </row>
    <row r="2687">
      <c r="A2687" s="50"/>
      <c r="B2687" s="50"/>
    </row>
    <row r="2688">
      <c r="A2688" s="50"/>
      <c r="B2688" s="50"/>
    </row>
    <row r="2689">
      <c r="A2689" s="50"/>
      <c r="B2689" s="50"/>
    </row>
    <row r="2690">
      <c r="A2690" s="50"/>
      <c r="B2690" s="50"/>
    </row>
    <row r="2691">
      <c r="A2691" s="50"/>
      <c r="B2691" s="50"/>
    </row>
    <row r="2692">
      <c r="A2692" s="50"/>
      <c r="B2692" s="50"/>
    </row>
    <row r="2693">
      <c r="A2693" s="50"/>
      <c r="B2693" s="50"/>
    </row>
    <row r="2694">
      <c r="A2694" s="50"/>
      <c r="B2694" s="50"/>
    </row>
    <row r="2695">
      <c r="A2695" s="50"/>
      <c r="B2695" s="50"/>
    </row>
    <row r="2696">
      <c r="A2696" s="50"/>
      <c r="B2696" s="50"/>
    </row>
    <row r="2697">
      <c r="A2697" s="50"/>
      <c r="B2697" s="50"/>
    </row>
    <row r="2698">
      <c r="A2698" s="50"/>
      <c r="B2698" s="50"/>
    </row>
    <row r="2699">
      <c r="A2699" s="50"/>
      <c r="B2699" s="50"/>
    </row>
    <row r="2700">
      <c r="A2700" s="50"/>
      <c r="B2700" s="50"/>
    </row>
    <row r="2701">
      <c r="A2701" s="50"/>
      <c r="B2701" s="50"/>
    </row>
    <row r="2702">
      <c r="A2702" s="50"/>
      <c r="B2702" s="50"/>
    </row>
    <row r="2703">
      <c r="A2703" s="50"/>
      <c r="B2703" s="50"/>
    </row>
    <row r="2704">
      <c r="A2704" s="50"/>
      <c r="B2704" s="50"/>
    </row>
    <row r="2705">
      <c r="A2705" s="50"/>
      <c r="B2705" s="50"/>
    </row>
    <row r="2706">
      <c r="A2706" s="50"/>
      <c r="B2706" s="50"/>
    </row>
    <row r="2707">
      <c r="A2707" s="50"/>
      <c r="B2707" s="50"/>
    </row>
    <row r="2708">
      <c r="A2708" s="50"/>
      <c r="B2708" s="50"/>
    </row>
    <row r="2709">
      <c r="A2709" s="50"/>
      <c r="B2709" s="50"/>
    </row>
    <row r="2710">
      <c r="A2710" s="50"/>
      <c r="B2710" s="50"/>
    </row>
    <row r="2711">
      <c r="A2711" s="50"/>
      <c r="B2711" s="50"/>
    </row>
    <row r="2712">
      <c r="A2712" s="50"/>
      <c r="B2712" s="50"/>
    </row>
    <row r="2713">
      <c r="A2713" s="50"/>
      <c r="B2713" s="50"/>
    </row>
    <row r="2714">
      <c r="A2714" s="50"/>
      <c r="B2714" s="50"/>
    </row>
    <row r="2715">
      <c r="A2715" s="50"/>
      <c r="B2715" s="50"/>
    </row>
    <row r="2716">
      <c r="A2716" s="50"/>
      <c r="B2716" s="50"/>
    </row>
    <row r="2717">
      <c r="A2717" s="50"/>
      <c r="B2717" s="50"/>
    </row>
    <row r="2718">
      <c r="A2718" s="50"/>
      <c r="B2718" s="50"/>
    </row>
    <row r="2719">
      <c r="A2719" s="50"/>
      <c r="B2719" s="50"/>
    </row>
    <row r="2720">
      <c r="A2720" s="50"/>
      <c r="B2720" s="50"/>
    </row>
    <row r="2721">
      <c r="A2721" s="50"/>
      <c r="B2721" s="50"/>
    </row>
    <row r="2722">
      <c r="A2722" s="50"/>
      <c r="B2722" s="50"/>
    </row>
    <row r="2723">
      <c r="A2723" s="50"/>
      <c r="B2723" s="50"/>
    </row>
    <row r="2724">
      <c r="A2724" s="50"/>
      <c r="B2724" s="50"/>
    </row>
    <row r="2725">
      <c r="A2725" s="50"/>
      <c r="B2725" s="50"/>
    </row>
    <row r="2726">
      <c r="A2726" s="50"/>
      <c r="B2726" s="50"/>
    </row>
    <row r="2727">
      <c r="A2727" s="50"/>
      <c r="B2727" s="50"/>
    </row>
    <row r="2728">
      <c r="A2728" s="50"/>
      <c r="B2728" s="50"/>
    </row>
    <row r="2729">
      <c r="A2729" s="50"/>
      <c r="B2729" s="50"/>
    </row>
    <row r="2730">
      <c r="A2730" s="50"/>
      <c r="B2730" s="50"/>
    </row>
    <row r="2731">
      <c r="A2731" s="50"/>
      <c r="B2731" s="50"/>
    </row>
    <row r="2732">
      <c r="A2732" s="50"/>
      <c r="B2732" s="50"/>
    </row>
    <row r="2733">
      <c r="A2733" s="50"/>
      <c r="B2733" s="50"/>
    </row>
    <row r="2734">
      <c r="A2734" s="50"/>
      <c r="B2734" s="50"/>
    </row>
    <row r="2735">
      <c r="A2735" s="50"/>
      <c r="B2735" s="50"/>
    </row>
    <row r="2736">
      <c r="A2736" s="50"/>
      <c r="B2736" s="50"/>
    </row>
    <row r="2737">
      <c r="A2737" s="50"/>
      <c r="B2737" s="50"/>
    </row>
    <row r="2738">
      <c r="A2738" s="50"/>
      <c r="B2738" s="50"/>
    </row>
    <row r="2739">
      <c r="A2739" s="50"/>
      <c r="B2739" s="50"/>
    </row>
    <row r="2740">
      <c r="A2740" s="50"/>
      <c r="B2740" s="50"/>
    </row>
    <row r="2741">
      <c r="A2741" s="50"/>
      <c r="B2741" s="50"/>
    </row>
    <row r="2742">
      <c r="A2742" s="50"/>
      <c r="B2742" s="50"/>
    </row>
    <row r="2743">
      <c r="A2743" s="50"/>
      <c r="B2743" s="50"/>
    </row>
    <row r="2744">
      <c r="A2744" s="50"/>
      <c r="B2744" s="50"/>
    </row>
    <row r="2745">
      <c r="A2745" s="50"/>
      <c r="B2745" s="50"/>
    </row>
    <row r="2746">
      <c r="A2746" s="50"/>
      <c r="B2746" s="50"/>
    </row>
    <row r="2747">
      <c r="A2747" s="50"/>
      <c r="B2747" s="50"/>
    </row>
    <row r="2748">
      <c r="A2748" s="50"/>
      <c r="B2748" s="50"/>
    </row>
    <row r="2749">
      <c r="A2749" s="50"/>
      <c r="B2749" s="50"/>
    </row>
    <row r="2750">
      <c r="A2750" s="50"/>
      <c r="B2750" s="50"/>
    </row>
    <row r="2751">
      <c r="A2751" s="50"/>
      <c r="B2751" s="50"/>
    </row>
    <row r="2752">
      <c r="A2752" s="50"/>
      <c r="B2752" s="50"/>
    </row>
    <row r="2753">
      <c r="A2753" s="50"/>
      <c r="B2753" s="50"/>
    </row>
    <row r="2754">
      <c r="A2754" s="50"/>
      <c r="B2754" s="50"/>
    </row>
    <row r="2755">
      <c r="A2755" s="50"/>
      <c r="B2755" s="50"/>
    </row>
    <row r="2756">
      <c r="A2756" s="50"/>
      <c r="B2756" s="50"/>
    </row>
    <row r="2757">
      <c r="A2757" s="50"/>
      <c r="B2757" s="50"/>
    </row>
    <row r="2758">
      <c r="A2758" s="50"/>
      <c r="B2758" s="50"/>
    </row>
    <row r="2759">
      <c r="A2759" s="50"/>
      <c r="B2759" s="50"/>
    </row>
    <row r="2760">
      <c r="A2760" s="50"/>
      <c r="B2760" s="50"/>
    </row>
    <row r="2761">
      <c r="A2761" s="50"/>
      <c r="B2761" s="50"/>
    </row>
    <row r="2762">
      <c r="A2762" s="50"/>
      <c r="B2762" s="50"/>
    </row>
    <row r="2763">
      <c r="A2763" s="50"/>
      <c r="B2763" s="50"/>
    </row>
    <row r="2764">
      <c r="A2764" s="50"/>
      <c r="B2764" s="50"/>
    </row>
    <row r="2765">
      <c r="A2765" s="50"/>
      <c r="B2765" s="50"/>
    </row>
    <row r="2766">
      <c r="A2766" s="50"/>
      <c r="B2766" s="50"/>
    </row>
    <row r="2767">
      <c r="A2767" s="50"/>
      <c r="B2767" s="50"/>
    </row>
    <row r="2768">
      <c r="A2768" s="50"/>
      <c r="B2768" s="50"/>
    </row>
    <row r="2769">
      <c r="A2769" s="50"/>
      <c r="B2769" s="50"/>
    </row>
    <row r="2770">
      <c r="A2770" s="50"/>
      <c r="B2770" s="50"/>
    </row>
    <row r="2771">
      <c r="A2771" s="50"/>
      <c r="B2771" s="50"/>
    </row>
    <row r="2772">
      <c r="A2772" s="50"/>
      <c r="B2772" s="50"/>
    </row>
    <row r="2773">
      <c r="A2773" s="50"/>
      <c r="B2773" s="50"/>
    </row>
    <row r="2774">
      <c r="A2774" s="50"/>
      <c r="B2774" s="50"/>
    </row>
    <row r="2775">
      <c r="A2775" s="50"/>
      <c r="B2775" s="50"/>
    </row>
    <row r="2776">
      <c r="A2776" s="50"/>
      <c r="B2776" s="50"/>
    </row>
    <row r="2777">
      <c r="A2777" s="50"/>
      <c r="B2777" s="50"/>
    </row>
    <row r="2778">
      <c r="A2778" s="50"/>
      <c r="B2778" s="50"/>
    </row>
    <row r="2779">
      <c r="A2779" s="50"/>
      <c r="B2779" s="50"/>
    </row>
    <row r="2780">
      <c r="A2780" s="50"/>
      <c r="B2780" s="50"/>
    </row>
    <row r="2781">
      <c r="A2781" s="50"/>
      <c r="B2781" s="50"/>
    </row>
    <row r="2782">
      <c r="A2782" s="50"/>
      <c r="B2782" s="50"/>
    </row>
    <row r="2783">
      <c r="A2783" s="50"/>
      <c r="B2783" s="50"/>
    </row>
    <row r="2784">
      <c r="A2784" s="50"/>
      <c r="B2784" s="50"/>
    </row>
    <row r="2785">
      <c r="A2785" s="50"/>
      <c r="B2785" s="50"/>
    </row>
    <row r="2786">
      <c r="A2786" s="50"/>
      <c r="B2786" s="50"/>
    </row>
    <row r="2787">
      <c r="A2787" s="50"/>
      <c r="B2787" s="50"/>
    </row>
    <row r="2788">
      <c r="A2788" s="50"/>
      <c r="B2788" s="50"/>
    </row>
    <row r="2789">
      <c r="A2789" s="50"/>
      <c r="B2789" s="50"/>
    </row>
    <row r="2790">
      <c r="A2790" s="50"/>
      <c r="B2790" s="50"/>
    </row>
    <row r="2791">
      <c r="A2791" s="50"/>
      <c r="B2791" s="50"/>
    </row>
    <row r="2792">
      <c r="A2792" s="50"/>
      <c r="B2792" s="50"/>
    </row>
    <row r="2793">
      <c r="A2793" s="50"/>
      <c r="B2793" s="50"/>
    </row>
    <row r="2794">
      <c r="A2794" s="50"/>
      <c r="B2794" s="50"/>
    </row>
    <row r="2795">
      <c r="A2795" s="50"/>
      <c r="B2795" s="50"/>
    </row>
    <row r="2796">
      <c r="A2796" s="50"/>
      <c r="B2796" s="50"/>
    </row>
    <row r="2797">
      <c r="A2797" s="50"/>
      <c r="B2797" s="50"/>
    </row>
    <row r="2798">
      <c r="A2798" s="50"/>
      <c r="B2798" s="50"/>
    </row>
    <row r="2799">
      <c r="A2799" s="50"/>
      <c r="B2799" s="50"/>
    </row>
    <row r="2800">
      <c r="A2800" s="50"/>
      <c r="B2800" s="50"/>
    </row>
    <row r="2801">
      <c r="A2801" s="50"/>
      <c r="B2801" s="50"/>
    </row>
    <row r="2802">
      <c r="A2802" s="50"/>
      <c r="B2802" s="50"/>
    </row>
    <row r="2803">
      <c r="A2803" s="50"/>
      <c r="B2803" s="50"/>
    </row>
    <row r="2804">
      <c r="A2804" s="50"/>
      <c r="B2804" s="50"/>
    </row>
    <row r="2805">
      <c r="A2805" s="50"/>
      <c r="B2805" s="50"/>
    </row>
    <row r="2806">
      <c r="A2806" s="50"/>
      <c r="B2806" s="50"/>
    </row>
    <row r="2807">
      <c r="A2807" s="50"/>
      <c r="B2807" s="50"/>
    </row>
    <row r="2808">
      <c r="A2808" s="50"/>
      <c r="B2808" s="50"/>
    </row>
    <row r="2809">
      <c r="A2809" s="50"/>
      <c r="B2809" s="50"/>
    </row>
    <row r="2810">
      <c r="A2810" s="50"/>
      <c r="B2810" s="50"/>
    </row>
    <row r="2811">
      <c r="A2811" s="50"/>
      <c r="B2811" s="50"/>
    </row>
    <row r="2812">
      <c r="A2812" s="50"/>
      <c r="B2812" s="50"/>
    </row>
    <row r="2813">
      <c r="A2813" s="50"/>
      <c r="B2813" s="50"/>
    </row>
    <row r="2814">
      <c r="A2814" s="50"/>
      <c r="B2814" s="50"/>
    </row>
    <row r="2815">
      <c r="A2815" s="50"/>
      <c r="B2815" s="50"/>
    </row>
    <row r="2816">
      <c r="A2816" s="50"/>
      <c r="B2816" s="50"/>
    </row>
    <row r="2817">
      <c r="A2817" s="50"/>
      <c r="B2817" s="50"/>
    </row>
    <row r="2818">
      <c r="A2818" s="50"/>
      <c r="B2818" s="50"/>
    </row>
    <row r="2819">
      <c r="A2819" s="50"/>
      <c r="B2819" s="50"/>
    </row>
    <row r="2820">
      <c r="A2820" s="50"/>
      <c r="B2820" s="50"/>
    </row>
    <row r="2821">
      <c r="A2821" s="50"/>
      <c r="B2821" s="50"/>
    </row>
    <row r="2822">
      <c r="A2822" s="50"/>
      <c r="B2822" s="50"/>
    </row>
    <row r="2823">
      <c r="A2823" s="50"/>
      <c r="B2823" s="50"/>
    </row>
    <row r="2824">
      <c r="A2824" s="50"/>
      <c r="B2824" s="50"/>
    </row>
    <row r="2825">
      <c r="A2825" s="50"/>
      <c r="B2825" s="50"/>
    </row>
    <row r="2826">
      <c r="A2826" s="50"/>
      <c r="B2826" s="50"/>
    </row>
    <row r="2827">
      <c r="A2827" s="50"/>
      <c r="B2827" s="50"/>
    </row>
    <row r="2828">
      <c r="A2828" s="50"/>
      <c r="B2828" s="50"/>
    </row>
    <row r="2829">
      <c r="A2829" s="50"/>
      <c r="B2829" s="50"/>
    </row>
    <row r="2830">
      <c r="A2830" s="50"/>
      <c r="B2830" s="50"/>
    </row>
    <row r="2831">
      <c r="A2831" s="50"/>
      <c r="B2831" s="50"/>
    </row>
    <row r="2832">
      <c r="A2832" s="50"/>
      <c r="B2832" s="50"/>
    </row>
    <row r="2833">
      <c r="A2833" s="50"/>
      <c r="B2833" s="50"/>
    </row>
    <row r="2834">
      <c r="A2834" s="50"/>
      <c r="B2834" s="50"/>
    </row>
    <row r="2835">
      <c r="A2835" s="50"/>
      <c r="B2835" s="50"/>
    </row>
    <row r="2836">
      <c r="A2836" s="50"/>
      <c r="B2836" s="50"/>
    </row>
    <row r="2837">
      <c r="A2837" s="50"/>
      <c r="B2837" s="50"/>
    </row>
    <row r="2838">
      <c r="A2838" s="50"/>
      <c r="B2838" s="50"/>
    </row>
    <row r="2839">
      <c r="A2839" s="50"/>
      <c r="B2839" s="50"/>
    </row>
    <row r="2840">
      <c r="A2840" s="50"/>
      <c r="B2840" s="50"/>
    </row>
    <row r="2841">
      <c r="A2841" s="50"/>
      <c r="B2841" s="50"/>
    </row>
    <row r="2842">
      <c r="A2842" s="50"/>
      <c r="B2842" s="50"/>
    </row>
    <row r="2843">
      <c r="A2843" s="50"/>
      <c r="B2843" s="50"/>
    </row>
    <row r="2844">
      <c r="A2844" s="50"/>
      <c r="B2844" s="50"/>
    </row>
    <row r="2845">
      <c r="A2845" s="50"/>
      <c r="B2845" s="50"/>
    </row>
    <row r="2846">
      <c r="A2846" s="50"/>
      <c r="B2846" s="50"/>
    </row>
    <row r="2847">
      <c r="A2847" s="50"/>
      <c r="B2847" s="50"/>
    </row>
    <row r="2848">
      <c r="A2848" s="50"/>
      <c r="B2848" s="50"/>
    </row>
    <row r="2849">
      <c r="A2849" s="50"/>
      <c r="B2849" s="50"/>
    </row>
    <row r="2850">
      <c r="A2850" s="50"/>
      <c r="B2850" s="50"/>
    </row>
    <row r="2851">
      <c r="A2851" s="50"/>
      <c r="B2851" s="50"/>
    </row>
    <row r="2852">
      <c r="A2852" s="50"/>
      <c r="B2852" s="50"/>
    </row>
    <row r="2853">
      <c r="A2853" s="50"/>
      <c r="B2853" s="50"/>
    </row>
    <row r="2854">
      <c r="A2854" s="50"/>
      <c r="B2854" s="50"/>
    </row>
    <row r="2855">
      <c r="A2855" s="50"/>
      <c r="B2855" s="50"/>
    </row>
    <row r="2856">
      <c r="A2856" s="50"/>
      <c r="B2856" s="50"/>
    </row>
    <row r="2857">
      <c r="A2857" s="50"/>
      <c r="B2857" s="50"/>
    </row>
    <row r="2858">
      <c r="A2858" s="50"/>
      <c r="B2858" s="50"/>
    </row>
    <row r="2859">
      <c r="A2859" s="50"/>
      <c r="B2859" s="50"/>
    </row>
    <row r="2860">
      <c r="A2860" s="50"/>
      <c r="B2860" s="50"/>
    </row>
    <row r="2861">
      <c r="A2861" s="50"/>
      <c r="B2861" s="50"/>
    </row>
    <row r="2862">
      <c r="A2862" s="50"/>
      <c r="B2862" s="50"/>
    </row>
    <row r="2863">
      <c r="A2863" s="50"/>
      <c r="B2863" s="50"/>
    </row>
    <row r="2864">
      <c r="A2864" s="50"/>
      <c r="B2864" s="50"/>
    </row>
    <row r="2865">
      <c r="A2865" s="50"/>
      <c r="B2865" s="50"/>
    </row>
    <row r="2866">
      <c r="A2866" s="50"/>
      <c r="B2866" s="50"/>
    </row>
    <row r="2867">
      <c r="A2867" s="50"/>
      <c r="B2867" s="50"/>
    </row>
    <row r="2868">
      <c r="A2868" s="50"/>
      <c r="B2868" s="50"/>
    </row>
    <row r="2869">
      <c r="A2869" s="50"/>
      <c r="B2869" s="50"/>
    </row>
    <row r="2870">
      <c r="A2870" s="50"/>
      <c r="B2870" s="50"/>
    </row>
    <row r="2871">
      <c r="A2871" s="50"/>
      <c r="B2871" s="50"/>
    </row>
    <row r="2872">
      <c r="A2872" s="50"/>
      <c r="B2872" s="50"/>
    </row>
    <row r="2873">
      <c r="A2873" s="50"/>
      <c r="B2873" s="50"/>
    </row>
    <row r="2874">
      <c r="A2874" s="50"/>
      <c r="B2874" s="50"/>
    </row>
    <row r="2875">
      <c r="A2875" s="50"/>
      <c r="B2875" s="50"/>
    </row>
    <row r="2876">
      <c r="A2876" s="50"/>
      <c r="B2876" s="50"/>
    </row>
    <row r="2877">
      <c r="A2877" s="50"/>
      <c r="B2877" s="50"/>
    </row>
    <row r="2878">
      <c r="A2878" s="50"/>
      <c r="B2878" s="50"/>
    </row>
    <row r="2879">
      <c r="A2879" s="50"/>
      <c r="B2879" s="50"/>
    </row>
    <row r="2880">
      <c r="A2880" s="50"/>
      <c r="B2880" s="50"/>
    </row>
    <row r="2881">
      <c r="A2881" s="50"/>
      <c r="B2881" s="50"/>
    </row>
    <row r="2882">
      <c r="A2882" s="50"/>
      <c r="B2882" s="50"/>
    </row>
    <row r="2883">
      <c r="A2883" s="50"/>
      <c r="B2883" s="50"/>
    </row>
    <row r="2884">
      <c r="A2884" s="50"/>
      <c r="B2884" s="50"/>
    </row>
    <row r="2885">
      <c r="A2885" s="50"/>
      <c r="B2885" s="50"/>
    </row>
    <row r="2886">
      <c r="A2886" s="50"/>
      <c r="B2886" s="50"/>
    </row>
    <row r="2887">
      <c r="A2887" s="50"/>
      <c r="B2887" s="50"/>
    </row>
    <row r="2888">
      <c r="A2888" s="50"/>
      <c r="B2888" s="50"/>
    </row>
    <row r="2889">
      <c r="A2889" s="50"/>
      <c r="B2889" s="50"/>
    </row>
    <row r="2890">
      <c r="A2890" s="50"/>
      <c r="B2890" s="50"/>
    </row>
    <row r="2891">
      <c r="A2891" s="50"/>
      <c r="B2891" s="50"/>
    </row>
    <row r="2892">
      <c r="A2892" s="50"/>
      <c r="B2892" s="50"/>
    </row>
    <row r="2893">
      <c r="A2893" s="50"/>
      <c r="B2893" s="50"/>
    </row>
    <row r="2894">
      <c r="A2894" s="50"/>
      <c r="B2894" s="50"/>
    </row>
    <row r="2895">
      <c r="A2895" s="50"/>
      <c r="B2895" s="50"/>
    </row>
    <row r="2896">
      <c r="A2896" s="50"/>
      <c r="B2896" s="50"/>
    </row>
    <row r="2897">
      <c r="A2897" s="50"/>
      <c r="B2897" s="50"/>
    </row>
    <row r="2898">
      <c r="A2898" s="50"/>
      <c r="B2898" s="50"/>
    </row>
    <row r="2899">
      <c r="A2899" s="50"/>
      <c r="B2899" s="50"/>
    </row>
    <row r="2900">
      <c r="A2900" s="50"/>
      <c r="B2900" s="50"/>
    </row>
    <row r="2901">
      <c r="A2901" s="50"/>
      <c r="B2901" s="50"/>
    </row>
    <row r="2902">
      <c r="A2902" s="50"/>
      <c r="B2902" s="50"/>
    </row>
    <row r="2903">
      <c r="A2903" s="50"/>
      <c r="B2903" s="50"/>
    </row>
    <row r="2904">
      <c r="A2904" s="50"/>
      <c r="B2904" s="50"/>
    </row>
    <row r="2905">
      <c r="A2905" s="50"/>
      <c r="B2905" s="50"/>
    </row>
    <row r="2906">
      <c r="A2906" s="50"/>
      <c r="B2906" s="50"/>
    </row>
    <row r="2907">
      <c r="A2907" s="50"/>
      <c r="B2907" s="50"/>
    </row>
    <row r="2908">
      <c r="A2908" s="50"/>
      <c r="B2908" s="50"/>
    </row>
    <row r="2909">
      <c r="A2909" s="50"/>
      <c r="B2909" s="50"/>
    </row>
    <row r="2910">
      <c r="A2910" s="50"/>
      <c r="B2910" s="50"/>
    </row>
    <row r="2911">
      <c r="A2911" s="50"/>
      <c r="B2911" s="50"/>
    </row>
    <row r="2912">
      <c r="A2912" s="50"/>
      <c r="B2912" s="50"/>
    </row>
    <row r="2913">
      <c r="A2913" s="50"/>
      <c r="B2913" s="50"/>
    </row>
    <row r="2914">
      <c r="A2914" s="50"/>
      <c r="B2914" s="50"/>
    </row>
    <row r="2915">
      <c r="A2915" s="50"/>
      <c r="B2915" s="50"/>
    </row>
    <row r="2916">
      <c r="A2916" s="50"/>
      <c r="B2916" s="50"/>
    </row>
    <row r="2917">
      <c r="A2917" s="50"/>
      <c r="B2917" s="50"/>
    </row>
    <row r="2918">
      <c r="A2918" s="50"/>
      <c r="B2918" s="50"/>
    </row>
    <row r="2919">
      <c r="A2919" s="50"/>
      <c r="B2919" s="50"/>
    </row>
    <row r="2920">
      <c r="A2920" s="50"/>
      <c r="B2920" s="50"/>
    </row>
    <row r="2921">
      <c r="A2921" s="50"/>
      <c r="B2921" s="50"/>
    </row>
    <row r="2922">
      <c r="A2922" s="50"/>
      <c r="B2922" s="50"/>
    </row>
    <row r="2923">
      <c r="A2923" s="50"/>
      <c r="B2923" s="50"/>
    </row>
    <row r="2924">
      <c r="A2924" s="50"/>
      <c r="B2924" s="50"/>
    </row>
    <row r="2925">
      <c r="A2925" s="50"/>
      <c r="B2925" s="50"/>
    </row>
    <row r="2926">
      <c r="A2926" s="50"/>
      <c r="B2926" s="50"/>
    </row>
    <row r="2927">
      <c r="A2927" s="50"/>
      <c r="B2927" s="50"/>
    </row>
    <row r="2928">
      <c r="A2928" s="50"/>
      <c r="B2928" s="50"/>
    </row>
    <row r="2929">
      <c r="A2929" s="50"/>
      <c r="B2929" s="50"/>
    </row>
    <row r="2930">
      <c r="A2930" s="50"/>
      <c r="B2930" s="50"/>
    </row>
    <row r="2931">
      <c r="A2931" s="50"/>
      <c r="B2931" s="50"/>
    </row>
    <row r="2932">
      <c r="A2932" s="50"/>
      <c r="B2932" s="50"/>
    </row>
    <row r="2933">
      <c r="A2933" s="50"/>
      <c r="B2933" s="50"/>
    </row>
    <row r="2934">
      <c r="A2934" s="50"/>
      <c r="B2934" s="50"/>
    </row>
    <row r="2935">
      <c r="A2935" s="50"/>
      <c r="B2935" s="50"/>
    </row>
    <row r="2936">
      <c r="A2936" s="50"/>
      <c r="B2936" s="50"/>
    </row>
    <row r="2937">
      <c r="A2937" s="50"/>
      <c r="B2937" s="50"/>
    </row>
    <row r="2938">
      <c r="A2938" s="50"/>
      <c r="B2938" s="50"/>
    </row>
    <row r="2939">
      <c r="A2939" s="50"/>
      <c r="B2939" s="50"/>
    </row>
    <row r="2940">
      <c r="A2940" s="50"/>
      <c r="B2940" s="50"/>
    </row>
    <row r="2941">
      <c r="A2941" s="50"/>
      <c r="B2941" s="50"/>
    </row>
    <row r="2942">
      <c r="A2942" s="50"/>
      <c r="B2942" s="50"/>
    </row>
    <row r="2943">
      <c r="A2943" s="50"/>
      <c r="B2943" s="50"/>
    </row>
    <row r="2944">
      <c r="A2944" s="50"/>
      <c r="B2944" s="50"/>
    </row>
    <row r="2945">
      <c r="A2945" s="50"/>
      <c r="B2945" s="50"/>
    </row>
    <row r="2946">
      <c r="A2946" s="50"/>
      <c r="B2946" s="50"/>
    </row>
    <row r="2947">
      <c r="A2947" s="50"/>
      <c r="B2947" s="50"/>
    </row>
    <row r="2948">
      <c r="A2948" s="50"/>
      <c r="B2948" s="50"/>
    </row>
    <row r="2949">
      <c r="A2949" s="50"/>
      <c r="B2949" s="50"/>
    </row>
    <row r="2950">
      <c r="A2950" s="50"/>
      <c r="B2950" s="50"/>
    </row>
    <row r="2951">
      <c r="A2951" s="50"/>
      <c r="B2951" s="50"/>
    </row>
    <row r="2952">
      <c r="A2952" s="50"/>
      <c r="B2952" s="50"/>
    </row>
    <row r="2953">
      <c r="A2953" s="50"/>
      <c r="B2953" s="50"/>
    </row>
    <row r="2954">
      <c r="A2954" s="50"/>
      <c r="B2954" s="50"/>
    </row>
    <row r="2955">
      <c r="A2955" s="50"/>
      <c r="B2955" s="50"/>
    </row>
    <row r="2956">
      <c r="A2956" s="50"/>
      <c r="B2956" s="50"/>
    </row>
    <row r="2957">
      <c r="A2957" s="50"/>
      <c r="B2957" s="50"/>
    </row>
    <row r="2958">
      <c r="A2958" s="50"/>
      <c r="B2958" s="50"/>
    </row>
    <row r="2959">
      <c r="A2959" s="50"/>
      <c r="B2959" s="50"/>
    </row>
    <row r="2960">
      <c r="A2960" s="50"/>
      <c r="B2960" s="50"/>
    </row>
    <row r="2961">
      <c r="A2961" s="50"/>
      <c r="B2961" s="50"/>
    </row>
    <row r="2962">
      <c r="A2962" s="50"/>
      <c r="B2962" s="50"/>
    </row>
    <row r="2963">
      <c r="A2963" s="50"/>
      <c r="B2963" s="50"/>
    </row>
    <row r="2964">
      <c r="A2964" s="50"/>
      <c r="B2964" s="50"/>
    </row>
    <row r="2965">
      <c r="A2965" s="50"/>
      <c r="B2965" s="50"/>
    </row>
    <row r="2966">
      <c r="A2966" s="50"/>
      <c r="B2966" s="50"/>
    </row>
    <row r="2967">
      <c r="A2967" s="50"/>
      <c r="B2967" s="50"/>
    </row>
    <row r="2968">
      <c r="A2968" s="50"/>
      <c r="B2968" s="50"/>
    </row>
    <row r="2969">
      <c r="A2969" s="50"/>
      <c r="B2969" s="50"/>
    </row>
    <row r="2970">
      <c r="A2970" s="50"/>
      <c r="B2970" s="50"/>
    </row>
    <row r="2971">
      <c r="A2971" s="50"/>
      <c r="B2971" s="50"/>
    </row>
    <row r="2972">
      <c r="A2972" s="50"/>
      <c r="B2972" s="50"/>
    </row>
    <row r="2973">
      <c r="A2973" s="50"/>
      <c r="B2973" s="50"/>
    </row>
    <row r="2974">
      <c r="A2974" s="50"/>
      <c r="B2974" s="50"/>
    </row>
    <row r="2975">
      <c r="A2975" s="50"/>
      <c r="B2975" s="50"/>
    </row>
    <row r="2976">
      <c r="A2976" s="50"/>
      <c r="B2976" s="50"/>
    </row>
    <row r="2977">
      <c r="A2977" s="50"/>
      <c r="B2977" s="50"/>
    </row>
    <row r="2978">
      <c r="A2978" s="50"/>
      <c r="B2978" s="50"/>
    </row>
    <row r="2979">
      <c r="A2979" s="50"/>
      <c r="B2979" s="50"/>
    </row>
    <row r="2980">
      <c r="A2980" s="50"/>
      <c r="B2980" s="50"/>
    </row>
    <row r="2981">
      <c r="A2981" s="50"/>
      <c r="B2981" s="50"/>
    </row>
    <row r="2982">
      <c r="A2982" s="50"/>
      <c r="B2982" s="50"/>
    </row>
    <row r="2983">
      <c r="A2983" s="50"/>
      <c r="B2983" s="50"/>
    </row>
    <row r="2984">
      <c r="A2984" s="50"/>
      <c r="B2984" s="50"/>
    </row>
    <row r="2985">
      <c r="A2985" s="50"/>
      <c r="B2985" s="50"/>
    </row>
    <row r="2986">
      <c r="A2986" s="50"/>
      <c r="B2986" s="50"/>
    </row>
    <row r="2987">
      <c r="A2987" s="50"/>
      <c r="B2987" s="50"/>
    </row>
    <row r="2988">
      <c r="A2988" s="50"/>
      <c r="B2988" s="50"/>
    </row>
    <row r="2989">
      <c r="A2989" s="50"/>
      <c r="B2989" s="50"/>
    </row>
    <row r="2990">
      <c r="A2990" s="50"/>
      <c r="B2990" s="50"/>
    </row>
    <row r="2991">
      <c r="A2991" s="50"/>
      <c r="B2991" s="50"/>
    </row>
    <row r="2992">
      <c r="A2992" s="50"/>
      <c r="B2992" s="50"/>
    </row>
    <row r="2993">
      <c r="A2993" s="50"/>
      <c r="B2993" s="50"/>
    </row>
    <row r="2994">
      <c r="A2994" s="50"/>
      <c r="B2994" s="50"/>
    </row>
    <row r="2995">
      <c r="A2995" s="50"/>
      <c r="B2995" s="50"/>
    </row>
    <row r="2996">
      <c r="A2996" s="50"/>
      <c r="B2996" s="50"/>
    </row>
    <row r="2997">
      <c r="A2997" s="50"/>
      <c r="B2997" s="50"/>
    </row>
    <row r="2998">
      <c r="A2998" s="50"/>
      <c r="B2998" s="50"/>
    </row>
    <row r="2999">
      <c r="A2999" s="50"/>
      <c r="B2999" s="50"/>
    </row>
    <row r="3000">
      <c r="A3000" s="50"/>
      <c r="B3000" s="50"/>
    </row>
    <row r="3001">
      <c r="A3001" s="50"/>
      <c r="B3001" s="50"/>
    </row>
    <row r="3002">
      <c r="A3002" s="50"/>
      <c r="B3002" s="50"/>
    </row>
    <row r="3003">
      <c r="A3003" s="50"/>
      <c r="B3003" s="50"/>
    </row>
    <row r="3004">
      <c r="A3004" s="50"/>
      <c r="B3004" s="50"/>
    </row>
    <row r="3005">
      <c r="A3005" s="50"/>
      <c r="B3005" s="50"/>
    </row>
    <row r="3006">
      <c r="A3006" s="50"/>
      <c r="B3006" s="50"/>
    </row>
    <row r="3007">
      <c r="A3007" s="50"/>
      <c r="B3007" s="50"/>
    </row>
    <row r="3008">
      <c r="A3008" s="50"/>
      <c r="B3008" s="50"/>
    </row>
    <row r="3009">
      <c r="A3009" s="50"/>
      <c r="B3009" s="50"/>
    </row>
    <row r="3010">
      <c r="A3010" s="50"/>
      <c r="B3010" s="50"/>
    </row>
    <row r="3011">
      <c r="A3011" s="50"/>
      <c r="B3011" s="50"/>
    </row>
    <row r="3012">
      <c r="A3012" s="50"/>
      <c r="B3012" s="50"/>
    </row>
    <row r="3013">
      <c r="A3013" s="50"/>
      <c r="B3013" s="50"/>
    </row>
    <row r="3014">
      <c r="A3014" s="50"/>
      <c r="B3014" s="50"/>
    </row>
    <row r="3015">
      <c r="A3015" s="50"/>
      <c r="B3015" s="50"/>
    </row>
    <row r="3016">
      <c r="A3016" s="50"/>
      <c r="B3016" s="50"/>
    </row>
    <row r="3017">
      <c r="A3017" s="50"/>
      <c r="B3017" s="50"/>
    </row>
    <row r="3018">
      <c r="A3018" s="50"/>
      <c r="B3018" s="50"/>
    </row>
    <row r="3019">
      <c r="A3019" s="50"/>
      <c r="B3019" s="50"/>
    </row>
    <row r="3020">
      <c r="A3020" s="50"/>
      <c r="B3020" s="50"/>
    </row>
    <row r="3021">
      <c r="A3021" s="50"/>
      <c r="B3021" s="50"/>
    </row>
    <row r="3022">
      <c r="A3022" s="50"/>
      <c r="B3022" s="50"/>
    </row>
    <row r="3023">
      <c r="A3023" s="50"/>
      <c r="B3023" s="50"/>
    </row>
    <row r="3024">
      <c r="A3024" s="50"/>
      <c r="B3024" s="50"/>
    </row>
    <row r="3025">
      <c r="A3025" s="50"/>
      <c r="B3025" s="50"/>
    </row>
    <row r="3026">
      <c r="A3026" s="50"/>
      <c r="B3026" s="50"/>
    </row>
    <row r="3027">
      <c r="A3027" s="50"/>
      <c r="B3027" s="50"/>
    </row>
    <row r="3028">
      <c r="A3028" s="50"/>
      <c r="B3028" s="50"/>
    </row>
    <row r="3029">
      <c r="A3029" s="50"/>
      <c r="B3029" s="50"/>
    </row>
    <row r="3030">
      <c r="A3030" s="50"/>
      <c r="B3030" s="50"/>
    </row>
    <row r="3031">
      <c r="A3031" s="50"/>
      <c r="B3031" s="50"/>
    </row>
    <row r="3032">
      <c r="A3032" s="50"/>
      <c r="B3032" s="50"/>
    </row>
    <row r="3033">
      <c r="A3033" s="50"/>
      <c r="B3033" s="50"/>
    </row>
    <row r="3034">
      <c r="A3034" s="50"/>
      <c r="B3034" s="50"/>
    </row>
    <row r="3035">
      <c r="A3035" s="50"/>
      <c r="B3035" s="50"/>
    </row>
    <row r="3036">
      <c r="A3036" s="50"/>
      <c r="B3036" s="50"/>
    </row>
    <row r="3037">
      <c r="A3037" s="50"/>
      <c r="B3037" s="50"/>
    </row>
    <row r="3038">
      <c r="A3038" s="50"/>
      <c r="B3038" s="50"/>
    </row>
    <row r="3039">
      <c r="A3039" s="50"/>
      <c r="B3039" s="50"/>
    </row>
    <row r="3040">
      <c r="A3040" s="50"/>
      <c r="B3040" s="50"/>
    </row>
    <row r="3041">
      <c r="A3041" s="50"/>
      <c r="B3041" s="50"/>
    </row>
    <row r="3042">
      <c r="A3042" s="50"/>
      <c r="B3042" s="50"/>
    </row>
    <row r="3043">
      <c r="A3043" s="50"/>
      <c r="B3043" s="50"/>
    </row>
    <row r="3044">
      <c r="A3044" s="50"/>
      <c r="B3044" s="50"/>
    </row>
    <row r="3045">
      <c r="A3045" s="50"/>
      <c r="B3045" s="50"/>
    </row>
    <row r="3046">
      <c r="A3046" s="50"/>
      <c r="B3046" s="50"/>
    </row>
    <row r="3047">
      <c r="A3047" s="50"/>
      <c r="B3047" s="50"/>
    </row>
    <row r="3048">
      <c r="A3048" s="50"/>
      <c r="B3048" s="50"/>
    </row>
    <row r="3049">
      <c r="A3049" s="50"/>
      <c r="B3049" s="50"/>
    </row>
    <row r="3050">
      <c r="A3050" s="50"/>
      <c r="B3050" s="50"/>
    </row>
    <row r="3051">
      <c r="A3051" s="50"/>
      <c r="B3051" s="50"/>
    </row>
    <row r="3052">
      <c r="A3052" s="50"/>
      <c r="B3052" s="50"/>
    </row>
    <row r="3053">
      <c r="A3053" s="50"/>
      <c r="B3053" s="50"/>
    </row>
    <row r="3054">
      <c r="A3054" s="50"/>
      <c r="B3054" s="50"/>
    </row>
    <row r="3055">
      <c r="A3055" s="50"/>
      <c r="B3055" s="50"/>
    </row>
    <row r="3056">
      <c r="A3056" s="50"/>
      <c r="B3056" s="50"/>
    </row>
    <row r="3057">
      <c r="A3057" s="50"/>
      <c r="B3057" s="50"/>
    </row>
    <row r="3058">
      <c r="A3058" s="50"/>
      <c r="B3058" s="50"/>
    </row>
    <row r="3059">
      <c r="A3059" s="50"/>
      <c r="B3059" s="50"/>
    </row>
    <row r="3060">
      <c r="A3060" s="50"/>
      <c r="B3060" s="50"/>
    </row>
    <row r="3061">
      <c r="A3061" s="50"/>
      <c r="B3061" s="50"/>
    </row>
    <row r="3062">
      <c r="A3062" s="50"/>
      <c r="B3062" s="50"/>
    </row>
    <row r="3063">
      <c r="A3063" s="50"/>
      <c r="B3063" s="50"/>
    </row>
    <row r="3064">
      <c r="A3064" s="50"/>
      <c r="B3064" s="50"/>
    </row>
    <row r="3065">
      <c r="A3065" s="50"/>
      <c r="B3065" s="50"/>
    </row>
    <row r="3066">
      <c r="A3066" s="50"/>
      <c r="B3066" s="50"/>
    </row>
    <row r="3067">
      <c r="A3067" s="50"/>
      <c r="B3067" s="50"/>
    </row>
    <row r="3068">
      <c r="A3068" s="50"/>
      <c r="B3068" s="50"/>
    </row>
    <row r="3069">
      <c r="A3069" s="50"/>
      <c r="B3069" s="50"/>
    </row>
    <row r="3070">
      <c r="A3070" s="50"/>
      <c r="B3070" s="50"/>
    </row>
    <row r="3071">
      <c r="A3071" s="50"/>
      <c r="B3071" s="50"/>
    </row>
    <row r="3072">
      <c r="A3072" s="50"/>
      <c r="B3072" s="50"/>
    </row>
    <row r="3073">
      <c r="A3073" s="50"/>
      <c r="B3073" s="50"/>
    </row>
    <row r="3074">
      <c r="A3074" s="50"/>
      <c r="B3074" s="50"/>
    </row>
    <row r="3075">
      <c r="A3075" s="50"/>
      <c r="B3075" s="50"/>
    </row>
    <row r="3076">
      <c r="A3076" s="50"/>
      <c r="B3076" s="50"/>
    </row>
    <row r="3077">
      <c r="A3077" s="50"/>
      <c r="B3077" s="50"/>
    </row>
    <row r="3078">
      <c r="A3078" s="50"/>
      <c r="B3078" s="50"/>
    </row>
    <row r="3079">
      <c r="A3079" s="50"/>
      <c r="B3079" s="50"/>
    </row>
    <row r="3080">
      <c r="A3080" s="50"/>
      <c r="B3080" s="50"/>
    </row>
    <row r="3081">
      <c r="A3081" s="50"/>
      <c r="B3081" s="50"/>
    </row>
    <row r="3082">
      <c r="A3082" s="50"/>
      <c r="B3082" s="50"/>
    </row>
    <row r="3083">
      <c r="A3083" s="50"/>
      <c r="B3083" s="50"/>
    </row>
    <row r="3084">
      <c r="A3084" s="50"/>
      <c r="B3084" s="50"/>
    </row>
    <row r="3085">
      <c r="A3085" s="50"/>
      <c r="B3085" s="50"/>
    </row>
    <row r="3086">
      <c r="A3086" s="50"/>
      <c r="B3086" s="50"/>
    </row>
    <row r="3087">
      <c r="A3087" s="50"/>
      <c r="B3087" s="50"/>
    </row>
    <row r="3088">
      <c r="A3088" s="50"/>
      <c r="B3088" s="50"/>
    </row>
    <row r="3089">
      <c r="A3089" s="50"/>
      <c r="B3089" s="50"/>
    </row>
    <row r="3090">
      <c r="A3090" s="50"/>
      <c r="B3090" s="50"/>
    </row>
    <row r="3091">
      <c r="A3091" s="50"/>
      <c r="B3091" s="50"/>
    </row>
    <row r="3092">
      <c r="A3092" s="50"/>
      <c r="B3092" s="50"/>
    </row>
    <row r="3093">
      <c r="A3093" s="50"/>
      <c r="B3093" s="50"/>
    </row>
    <row r="3094">
      <c r="A3094" s="50"/>
      <c r="B3094" s="50"/>
    </row>
    <row r="3095">
      <c r="A3095" s="50"/>
      <c r="B3095" s="50"/>
    </row>
    <row r="3096">
      <c r="A3096" s="50"/>
      <c r="B3096" s="50"/>
    </row>
    <row r="3097">
      <c r="A3097" s="50"/>
      <c r="B3097" s="50"/>
    </row>
    <row r="3098">
      <c r="A3098" s="50"/>
      <c r="B3098" s="50"/>
    </row>
    <row r="3099">
      <c r="A3099" s="50"/>
      <c r="B3099" s="50"/>
    </row>
    <row r="3100">
      <c r="A3100" s="50"/>
      <c r="B3100" s="50"/>
    </row>
    <row r="3101">
      <c r="A3101" s="50"/>
      <c r="B3101" s="50"/>
    </row>
    <row r="3102">
      <c r="A3102" s="50"/>
      <c r="B3102" s="50"/>
    </row>
    <row r="3103">
      <c r="A3103" s="50"/>
      <c r="B3103" s="50"/>
    </row>
    <row r="3104">
      <c r="A3104" s="50"/>
      <c r="B3104" s="50"/>
    </row>
    <row r="3105">
      <c r="A3105" s="50"/>
      <c r="B3105" s="50"/>
    </row>
    <row r="3106">
      <c r="A3106" s="50"/>
      <c r="B3106" s="50"/>
    </row>
    <row r="3107">
      <c r="A3107" s="50"/>
      <c r="B3107" s="50"/>
    </row>
    <row r="3108">
      <c r="A3108" s="50"/>
      <c r="B3108" s="50"/>
    </row>
    <row r="3109">
      <c r="A3109" s="50"/>
      <c r="B3109" s="50"/>
    </row>
    <row r="3110">
      <c r="A3110" s="50"/>
      <c r="B3110" s="50"/>
    </row>
    <row r="3111">
      <c r="A3111" s="50"/>
      <c r="B3111" s="50"/>
    </row>
    <row r="3112">
      <c r="A3112" s="50"/>
      <c r="B3112" s="50"/>
    </row>
    <row r="3113">
      <c r="A3113" s="50"/>
      <c r="B3113" s="50"/>
    </row>
    <row r="3114">
      <c r="A3114" s="50"/>
      <c r="B3114" s="50"/>
    </row>
    <row r="3115">
      <c r="A3115" s="50"/>
      <c r="B3115" s="50"/>
    </row>
    <row r="3116">
      <c r="A3116" s="50"/>
      <c r="B3116" s="50"/>
    </row>
    <row r="3117">
      <c r="A3117" s="50"/>
      <c r="B3117" s="50"/>
    </row>
    <row r="3118">
      <c r="A3118" s="50"/>
      <c r="B3118" s="50"/>
    </row>
    <row r="3119">
      <c r="A3119" s="50"/>
      <c r="B3119" s="50"/>
    </row>
    <row r="3120">
      <c r="A3120" s="50"/>
      <c r="B3120" s="50"/>
    </row>
    <row r="3121">
      <c r="A3121" s="50"/>
      <c r="B3121" s="50"/>
    </row>
    <row r="3122">
      <c r="A3122" s="50"/>
      <c r="B3122" s="50"/>
    </row>
    <row r="3123">
      <c r="A3123" s="50"/>
      <c r="B3123" s="50"/>
    </row>
    <row r="3124">
      <c r="A3124" s="50"/>
      <c r="B3124" s="50"/>
    </row>
    <row r="3125">
      <c r="A3125" s="50"/>
      <c r="B3125" s="50"/>
    </row>
    <row r="3126">
      <c r="A3126" s="50"/>
      <c r="B3126" s="50"/>
    </row>
    <row r="3127">
      <c r="A3127" s="50"/>
      <c r="B3127" s="50"/>
    </row>
    <row r="3128">
      <c r="A3128" s="50"/>
      <c r="B3128" s="50"/>
    </row>
    <row r="3129">
      <c r="A3129" s="50"/>
      <c r="B3129" s="50"/>
    </row>
    <row r="3130">
      <c r="A3130" s="50"/>
      <c r="B3130" s="50"/>
    </row>
    <row r="3131">
      <c r="A3131" s="50"/>
      <c r="B3131" s="50"/>
    </row>
    <row r="3132">
      <c r="A3132" s="50"/>
      <c r="B3132" s="50"/>
    </row>
    <row r="3133">
      <c r="A3133" s="50"/>
      <c r="B3133" s="50"/>
    </row>
    <row r="3134">
      <c r="A3134" s="50"/>
      <c r="B3134" s="50"/>
    </row>
    <row r="3135">
      <c r="A3135" s="50"/>
      <c r="B3135" s="50"/>
    </row>
    <row r="3136">
      <c r="A3136" s="50"/>
      <c r="B3136" s="50"/>
    </row>
    <row r="3137">
      <c r="A3137" s="50"/>
      <c r="B3137" s="50"/>
    </row>
    <row r="3138">
      <c r="A3138" s="50"/>
      <c r="B3138" s="50"/>
    </row>
    <row r="3139">
      <c r="A3139" s="50"/>
      <c r="B3139" s="50"/>
    </row>
    <row r="3140">
      <c r="A3140" s="50"/>
      <c r="B3140" s="50"/>
    </row>
    <row r="3141">
      <c r="A3141" s="50"/>
      <c r="B3141" s="50"/>
    </row>
    <row r="3142">
      <c r="A3142" s="50"/>
      <c r="B3142" s="50"/>
    </row>
    <row r="3143">
      <c r="A3143" s="50"/>
      <c r="B3143" s="50"/>
    </row>
    <row r="3144">
      <c r="A3144" s="50"/>
      <c r="B3144" s="50"/>
    </row>
    <row r="3145">
      <c r="A3145" s="50"/>
      <c r="B3145" s="50"/>
    </row>
    <row r="3146">
      <c r="A3146" s="50"/>
      <c r="B3146" s="50"/>
    </row>
    <row r="3147">
      <c r="A3147" s="50"/>
      <c r="B3147" s="50"/>
    </row>
    <row r="3148">
      <c r="A3148" s="50"/>
      <c r="B3148" s="50"/>
    </row>
    <row r="3149">
      <c r="A3149" s="50"/>
      <c r="B3149" s="50"/>
    </row>
    <row r="3150">
      <c r="A3150" s="50"/>
      <c r="B3150" s="50"/>
    </row>
    <row r="3151">
      <c r="A3151" s="50"/>
      <c r="B3151" s="50"/>
    </row>
    <row r="3152">
      <c r="A3152" s="50"/>
      <c r="B3152" s="50"/>
    </row>
    <row r="3153">
      <c r="A3153" s="50"/>
      <c r="B3153" s="50"/>
    </row>
    <row r="3154">
      <c r="A3154" s="50"/>
      <c r="B3154" s="50"/>
    </row>
    <row r="3155">
      <c r="A3155" s="50"/>
      <c r="B3155" s="50"/>
    </row>
    <row r="3156">
      <c r="A3156" s="50"/>
      <c r="B3156" s="50"/>
    </row>
    <row r="3157">
      <c r="A3157" s="50"/>
      <c r="B3157" s="50"/>
    </row>
    <row r="3158">
      <c r="A3158" s="50"/>
      <c r="B3158" s="50"/>
    </row>
    <row r="3159">
      <c r="A3159" s="50"/>
      <c r="B3159" s="50"/>
    </row>
    <row r="3160">
      <c r="A3160" s="50"/>
      <c r="B3160" s="50"/>
    </row>
    <row r="3161">
      <c r="A3161" s="50"/>
      <c r="B3161" s="50"/>
    </row>
    <row r="3162">
      <c r="A3162" s="50"/>
      <c r="B3162" s="50"/>
    </row>
    <row r="3163">
      <c r="A3163" s="50"/>
      <c r="B3163" s="50"/>
    </row>
    <row r="3164">
      <c r="A3164" s="50"/>
      <c r="B3164" s="50"/>
    </row>
    <row r="3165">
      <c r="A3165" s="50"/>
      <c r="B3165" s="50"/>
    </row>
    <row r="3166">
      <c r="A3166" s="50"/>
      <c r="B3166" s="50"/>
    </row>
    <row r="3167">
      <c r="A3167" s="50"/>
      <c r="B3167" s="50"/>
    </row>
    <row r="3168">
      <c r="A3168" s="50"/>
      <c r="B3168" s="50"/>
    </row>
    <row r="3169">
      <c r="A3169" s="50"/>
      <c r="B3169" s="50"/>
    </row>
    <row r="3170">
      <c r="A3170" s="50"/>
      <c r="B3170" s="50"/>
    </row>
    <row r="3171">
      <c r="A3171" s="50"/>
      <c r="B3171" s="50"/>
    </row>
    <row r="3172">
      <c r="A3172" s="50"/>
      <c r="B3172" s="50"/>
    </row>
    <row r="3173">
      <c r="A3173" s="50"/>
      <c r="B3173" s="50"/>
    </row>
    <row r="3174">
      <c r="A3174" s="50"/>
      <c r="B3174" s="50"/>
    </row>
    <row r="3175">
      <c r="A3175" s="50"/>
      <c r="B3175" s="50"/>
    </row>
    <row r="3176">
      <c r="A3176" s="50"/>
      <c r="B3176" s="50"/>
    </row>
    <row r="3177">
      <c r="A3177" s="50"/>
      <c r="B3177" s="50"/>
    </row>
    <row r="3178">
      <c r="A3178" s="50"/>
      <c r="B3178" s="50"/>
    </row>
    <row r="3179">
      <c r="A3179" s="50"/>
      <c r="B3179" s="50"/>
    </row>
    <row r="3180">
      <c r="A3180" s="50"/>
      <c r="B3180" s="50"/>
    </row>
    <row r="3181">
      <c r="A3181" s="50"/>
      <c r="B3181" s="50"/>
    </row>
    <row r="3182">
      <c r="A3182" s="50"/>
      <c r="B3182" s="50"/>
    </row>
    <row r="3183">
      <c r="A3183" s="50"/>
      <c r="B3183" s="50"/>
    </row>
    <row r="3184">
      <c r="A3184" s="50"/>
      <c r="B3184" s="50"/>
    </row>
    <row r="3185">
      <c r="A3185" s="50"/>
      <c r="B3185" s="50"/>
    </row>
    <row r="3186">
      <c r="A3186" s="50"/>
      <c r="B3186" s="50"/>
    </row>
    <row r="3187">
      <c r="A3187" s="50"/>
      <c r="B3187" s="50"/>
    </row>
    <row r="3188">
      <c r="A3188" s="50"/>
      <c r="B3188" s="50"/>
    </row>
    <row r="3189">
      <c r="A3189" s="50"/>
      <c r="B3189" s="50"/>
    </row>
    <row r="3190">
      <c r="A3190" s="50"/>
      <c r="B3190" s="50"/>
    </row>
    <row r="3191">
      <c r="A3191" s="50"/>
      <c r="B3191" s="50"/>
    </row>
    <row r="3192">
      <c r="A3192" s="50"/>
      <c r="B3192" s="50"/>
    </row>
    <row r="3193">
      <c r="A3193" s="50"/>
      <c r="B3193" s="50"/>
    </row>
    <row r="3194">
      <c r="A3194" s="50"/>
      <c r="B3194" s="50"/>
    </row>
    <row r="3195">
      <c r="A3195" s="50"/>
      <c r="B3195" s="50"/>
    </row>
    <row r="3196">
      <c r="A3196" s="50"/>
      <c r="B3196" s="50"/>
    </row>
    <row r="3197">
      <c r="A3197" s="50"/>
      <c r="B3197" s="50"/>
    </row>
    <row r="3198">
      <c r="A3198" s="50"/>
      <c r="B3198" s="50"/>
    </row>
    <row r="3199">
      <c r="A3199" s="50"/>
      <c r="B3199" s="50"/>
    </row>
    <row r="3200">
      <c r="A3200" s="50"/>
      <c r="B3200" s="50"/>
    </row>
    <row r="3201">
      <c r="A3201" s="50"/>
      <c r="B3201" s="50"/>
    </row>
    <row r="3202">
      <c r="A3202" s="50"/>
      <c r="B3202" s="50"/>
    </row>
    <row r="3203">
      <c r="A3203" s="50"/>
      <c r="B3203" s="50"/>
    </row>
    <row r="3204">
      <c r="A3204" s="50"/>
      <c r="B3204" s="50"/>
    </row>
    <row r="3205">
      <c r="A3205" s="50"/>
      <c r="B3205" s="50"/>
    </row>
    <row r="3206">
      <c r="A3206" s="50"/>
      <c r="B3206" s="50"/>
    </row>
    <row r="3207">
      <c r="A3207" s="50"/>
      <c r="B3207" s="50"/>
    </row>
    <row r="3208">
      <c r="A3208" s="50"/>
      <c r="B3208" s="50"/>
    </row>
    <row r="3209">
      <c r="A3209" s="50"/>
      <c r="B3209" s="50"/>
    </row>
    <row r="3210">
      <c r="A3210" s="50"/>
      <c r="B3210" s="50"/>
    </row>
    <row r="3211">
      <c r="A3211" s="50"/>
      <c r="B3211" s="50"/>
    </row>
    <row r="3212">
      <c r="A3212" s="50"/>
      <c r="B3212" s="50"/>
    </row>
    <row r="3213">
      <c r="A3213" s="50"/>
      <c r="B3213" s="50"/>
    </row>
    <row r="3214">
      <c r="A3214" s="50"/>
      <c r="B3214" s="50"/>
    </row>
    <row r="3215">
      <c r="A3215" s="50"/>
      <c r="B3215" s="50"/>
    </row>
    <row r="3216">
      <c r="A3216" s="50"/>
      <c r="B3216" s="50"/>
    </row>
    <row r="3217">
      <c r="A3217" s="50"/>
      <c r="B3217" s="50"/>
    </row>
    <row r="3218">
      <c r="A3218" s="50"/>
      <c r="B3218" s="50"/>
    </row>
    <row r="3219">
      <c r="A3219" s="50"/>
      <c r="B3219" s="50"/>
    </row>
    <row r="3220">
      <c r="A3220" s="50"/>
      <c r="B3220" s="50"/>
    </row>
    <row r="3221">
      <c r="A3221" s="50"/>
      <c r="B3221" s="50"/>
    </row>
    <row r="3222">
      <c r="A3222" s="50"/>
      <c r="B3222" s="50"/>
    </row>
    <row r="3223">
      <c r="A3223" s="50"/>
      <c r="B3223" s="50"/>
    </row>
    <row r="3224">
      <c r="A3224" s="50"/>
      <c r="B3224" s="50"/>
    </row>
    <row r="3225">
      <c r="A3225" s="50"/>
      <c r="B3225" s="50"/>
    </row>
    <row r="3226">
      <c r="A3226" s="50"/>
      <c r="B3226" s="50"/>
    </row>
    <row r="3227">
      <c r="A3227" s="50"/>
      <c r="B3227" s="50"/>
    </row>
    <row r="3228">
      <c r="A3228" s="50"/>
      <c r="B3228" s="50"/>
    </row>
    <row r="3229">
      <c r="A3229" s="50"/>
      <c r="B3229" s="50"/>
    </row>
    <row r="3230">
      <c r="A3230" s="50"/>
      <c r="B3230" s="50"/>
    </row>
    <row r="3231">
      <c r="A3231" s="50"/>
      <c r="B3231" s="50"/>
    </row>
    <row r="3232">
      <c r="A3232" s="50"/>
      <c r="B3232" s="50"/>
    </row>
    <row r="3233">
      <c r="A3233" s="50"/>
      <c r="B3233" s="50"/>
    </row>
    <row r="3234">
      <c r="A3234" s="50"/>
      <c r="B3234" s="50"/>
    </row>
    <row r="3235">
      <c r="A3235" s="50"/>
      <c r="B3235" s="50"/>
    </row>
    <row r="3236">
      <c r="A3236" s="50"/>
      <c r="B3236" s="50"/>
    </row>
    <row r="3237">
      <c r="A3237" s="50"/>
      <c r="B3237" s="50"/>
    </row>
    <row r="3238">
      <c r="A3238" s="50"/>
      <c r="B3238" s="50"/>
    </row>
    <row r="3239">
      <c r="A3239" s="50"/>
      <c r="B3239" s="50"/>
    </row>
    <row r="3240">
      <c r="A3240" s="50"/>
      <c r="B3240" s="50"/>
    </row>
    <row r="3241">
      <c r="A3241" s="50"/>
      <c r="B3241" s="50"/>
    </row>
    <row r="3242">
      <c r="A3242" s="50"/>
      <c r="B3242" s="50"/>
    </row>
    <row r="3243">
      <c r="A3243" s="50"/>
      <c r="B3243" s="50"/>
    </row>
    <row r="3244">
      <c r="A3244" s="50"/>
      <c r="B3244" s="50"/>
    </row>
    <row r="3245">
      <c r="A3245" s="50"/>
      <c r="B3245" s="50"/>
    </row>
    <row r="3246">
      <c r="A3246" s="50"/>
      <c r="B3246" s="50"/>
    </row>
    <row r="3247">
      <c r="A3247" s="50"/>
      <c r="B3247" s="50"/>
    </row>
    <row r="3248">
      <c r="A3248" s="50"/>
      <c r="B3248" s="50"/>
    </row>
    <row r="3249">
      <c r="A3249" s="50"/>
      <c r="B3249" s="50"/>
    </row>
    <row r="3250">
      <c r="A3250" s="50"/>
      <c r="B3250" s="50"/>
    </row>
    <row r="3251">
      <c r="A3251" s="50"/>
      <c r="B3251" s="50"/>
    </row>
    <row r="3252">
      <c r="A3252" s="50"/>
      <c r="B3252" s="50"/>
    </row>
    <row r="3253">
      <c r="A3253" s="50"/>
      <c r="B3253" s="50"/>
    </row>
    <row r="3254">
      <c r="A3254" s="50"/>
      <c r="B3254" s="50"/>
    </row>
    <row r="3255">
      <c r="A3255" s="50"/>
      <c r="B3255" s="50"/>
    </row>
    <row r="3256">
      <c r="A3256" s="50"/>
      <c r="B3256" s="50"/>
    </row>
    <row r="3257">
      <c r="A3257" s="50"/>
      <c r="B3257" s="50"/>
    </row>
    <row r="3258">
      <c r="A3258" s="50"/>
      <c r="B3258" s="50"/>
    </row>
    <row r="3259">
      <c r="A3259" s="50"/>
      <c r="B3259" s="50"/>
    </row>
    <row r="3260">
      <c r="A3260" s="50"/>
      <c r="B3260" s="50"/>
    </row>
    <row r="3261">
      <c r="A3261" s="50"/>
      <c r="B3261" s="50"/>
    </row>
    <row r="3262">
      <c r="A3262" s="50"/>
      <c r="B3262" s="50"/>
    </row>
    <row r="3263">
      <c r="A3263" s="50"/>
      <c r="B3263" s="50"/>
    </row>
    <row r="3264">
      <c r="A3264" s="50"/>
      <c r="B3264" s="50"/>
    </row>
    <row r="3265">
      <c r="A3265" s="50"/>
      <c r="B3265" s="50"/>
    </row>
    <row r="3266">
      <c r="A3266" s="50"/>
      <c r="B3266" s="50"/>
    </row>
    <row r="3267">
      <c r="A3267" s="50"/>
      <c r="B3267" s="50"/>
    </row>
    <row r="3268">
      <c r="A3268" s="50"/>
      <c r="B3268" s="50"/>
    </row>
    <row r="3269">
      <c r="A3269" s="50"/>
      <c r="B3269" s="50"/>
    </row>
    <row r="3270">
      <c r="A3270" s="50"/>
      <c r="B3270" s="50"/>
    </row>
    <row r="3271">
      <c r="A3271" s="50"/>
      <c r="B3271" s="50"/>
    </row>
    <row r="3272">
      <c r="A3272" s="50"/>
      <c r="B3272" s="50"/>
    </row>
    <row r="3273">
      <c r="A3273" s="50"/>
      <c r="B3273" s="50"/>
    </row>
    <row r="3274">
      <c r="A3274" s="50"/>
      <c r="B3274" s="50"/>
    </row>
    <row r="3275">
      <c r="A3275" s="50"/>
      <c r="B3275" s="50"/>
    </row>
    <row r="3276">
      <c r="A3276" s="50"/>
      <c r="B3276" s="50"/>
    </row>
    <row r="3277">
      <c r="A3277" s="50"/>
      <c r="B3277" s="50"/>
    </row>
    <row r="3278">
      <c r="A3278" s="50"/>
      <c r="B3278" s="50"/>
    </row>
    <row r="3279">
      <c r="A3279" s="50"/>
      <c r="B3279" s="50"/>
    </row>
    <row r="3280">
      <c r="A3280" s="50"/>
      <c r="B3280" s="50"/>
    </row>
    <row r="3281">
      <c r="A3281" s="50"/>
      <c r="B3281" s="50"/>
    </row>
    <row r="3282">
      <c r="A3282" s="50"/>
      <c r="B3282" s="50"/>
    </row>
    <row r="3283">
      <c r="A3283" s="50"/>
      <c r="B3283" s="50"/>
    </row>
    <row r="3284">
      <c r="A3284" s="50"/>
      <c r="B3284" s="50"/>
    </row>
    <row r="3285">
      <c r="A3285" s="50"/>
      <c r="B3285" s="50"/>
    </row>
    <row r="3286">
      <c r="A3286" s="50"/>
      <c r="B3286" s="50"/>
    </row>
    <row r="3287">
      <c r="A3287" s="50"/>
      <c r="B3287" s="50"/>
    </row>
    <row r="3288">
      <c r="A3288" s="50"/>
      <c r="B3288" s="50"/>
    </row>
    <row r="3289">
      <c r="A3289" s="50"/>
      <c r="B3289" s="50"/>
    </row>
    <row r="3290">
      <c r="A3290" s="50"/>
      <c r="B3290" s="50"/>
    </row>
    <row r="3291">
      <c r="A3291" s="50"/>
      <c r="B3291" s="50"/>
    </row>
    <row r="3292">
      <c r="A3292" s="50"/>
      <c r="B3292" s="50"/>
    </row>
    <row r="3293">
      <c r="A3293" s="50"/>
      <c r="B3293" s="50"/>
    </row>
    <row r="3294">
      <c r="A3294" s="50"/>
      <c r="B3294" s="50"/>
    </row>
    <row r="3295">
      <c r="A3295" s="50"/>
      <c r="B3295" s="50"/>
    </row>
    <row r="3296">
      <c r="A3296" s="50"/>
      <c r="B3296" s="50"/>
    </row>
    <row r="3297">
      <c r="A3297" s="50"/>
      <c r="B3297" s="50"/>
    </row>
    <row r="3298">
      <c r="A3298" s="50"/>
      <c r="B3298" s="50"/>
    </row>
    <row r="3299">
      <c r="A3299" s="50"/>
      <c r="B3299" s="50"/>
    </row>
    <row r="3300">
      <c r="A3300" s="50"/>
      <c r="B3300" s="50"/>
    </row>
    <row r="3301">
      <c r="A3301" s="50"/>
      <c r="B3301" s="50"/>
    </row>
    <row r="3302">
      <c r="A3302" s="50"/>
      <c r="B3302" s="50"/>
    </row>
    <row r="3303">
      <c r="A3303" s="50"/>
      <c r="B3303" s="50"/>
    </row>
    <row r="3304">
      <c r="A3304" s="50"/>
      <c r="B3304" s="50"/>
    </row>
    <row r="3305">
      <c r="A3305" s="50"/>
      <c r="B3305" s="50"/>
    </row>
    <row r="3306">
      <c r="A3306" s="50"/>
      <c r="B3306" s="50"/>
    </row>
    <row r="3307">
      <c r="A3307" s="50"/>
      <c r="B3307" s="50"/>
    </row>
    <row r="3308">
      <c r="A3308" s="50"/>
      <c r="B3308" s="50"/>
    </row>
    <row r="3309">
      <c r="A3309" s="50"/>
      <c r="B3309" s="50"/>
    </row>
    <row r="3310">
      <c r="A3310" s="50"/>
      <c r="B3310" s="50"/>
    </row>
    <row r="3311">
      <c r="A3311" s="50"/>
      <c r="B3311" s="50"/>
    </row>
    <row r="3312">
      <c r="A3312" s="50"/>
      <c r="B3312" s="50"/>
    </row>
    <row r="3313">
      <c r="A3313" s="50"/>
      <c r="B3313" s="50"/>
    </row>
    <row r="3314">
      <c r="A3314" s="50"/>
      <c r="B3314" s="50"/>
    </row>
    <row r="3315">
      <c r="A3315" s="50"/>
      <c r="B3315" s="50"/>
    </row>
    <row r="3316">
      <c r="A3316" s="50"/>
      <c r="B3316" s="50"/>
    </row>
    <row r="3317">
      <c r="A3317" s="50"/>
      <c r="B3317" s="50"/>
    </row>
    <row r="3318">
      <c r="A3318" s="50"/>
      <c r="B3318" s="50"/>
    </row>
    <row r="3319">
      <c r="A3319" s="50"/>
      <c r="B3319" s="50"/>
    </row>
    <row r="3320">
      <c r="A3320" s="50"/>
      <c r="B3320" s="50"/>
    </row>
    <row r="3321">
      <c r="A3321" s="50"/>
      <c r="B3321" s="50"/>
    </row>
    <row r="3322">
      <c r="A3322" s="50"/>
      <c r="B3322" s="50"/>
    </row>
    <row r="3323">
      <c r="A3323" s="50"/>
      <c r="B3323" s="50"/>
    </row>
    <row r="3324">
      <c r="A3324" s="50"/>
      <c r="B3324" s="50"/>
    </row>
    <row r="3325">
      <c r="A3325" s="50"/>
      <c r="B3325" s="50"/>
    </row>
    <row r="3326">
      <c r="A3326" s="50"/>
      <c r="B3326" s="50"/>
    </row>
    <row r="3327">
      <c r="A3327" s="50"/>
      <c r="B3327" s="50"/>
    </row>
    <row r="3328">
      <c r="A3328" s="50"/>
      <c r="B3328" s="50"/>
    </row>
    <row r="3329">
      <c r="A3329" s="50"/>
      <c r="B3329" s="50"/>
    </row>
    <row r="3330">
      <c r="A3330" s="50"/>
      <c r="B3330" s="50"/>
    </row>
    <row r="3331">
      <c r="A3331" s="50"/>
      <c r="B3331" s="50"/>
    </row>
    <row r="3332">
      <c r="A3332" s="50"/>
      <c r="B3332" s="50"/>
    </row>
    <row r="3333">
      <c r="A3333" s="50"/>
      <c r="B3333" s="50"/>
    </row>
    <row r="3334">
      <c r="A3334" s="50"/>
      <c r="B3334" s="50"/>
    </row>
    <row r="3335">
      <c r="A3335" s="50"/>
      <c r="B3335" s="50"/>
    </row>
    <row r="3336">
      <c r="A3336" s="50"/>
      <c r="B3336" s="50"/>
    </row>
    <row r="3337">
      <c r="A3337" s="50"/>
      <c r="B3337" s="50"/>
    </row>
    <row r="3338">
      <c r="A3338" s="50"/>
      <c r="B3338" s="50"/>
    </row>
    <row r="3339">
      <c r="A3339" s="50"/>
      <c r="B3339" s="50"/>
    </row>
    <row r="3340">
      <c r="A3340" s="50"/>
      <c r="B3340" s="50"/>
    </row>
    <row r="3341">
      <c r="A3341" s="50"/>
      <c r="B3341" s="50"/>
    </row>
    <row r="3342">
      <c r="A3342" s="50"/>
      <c r="B3342" s="50"/>
    </row>
    <row r="3343">
      <c r="A3343" s="50"/>
      <c r="B3343" s="50"/>
    </row>
    <row r="3344">
      <c r="A3344" s="50"/>
      <c r="B3344" s="50"/>
    </row>
    <row r="3345">
      <c r="A3345" s="50"/>
      <c r="B3345" s="50"/>
    </row>
    <row r="3346">
      <c r="A3346" s="50"/>
      <c r="B3346" s="50"/>
    </row>
    <row r="3347">
      <c r="A3347" s="50"/>
      <c r="B3347" s="50"/>
    </row>
    <row r="3348">
      <c r="A3348" s="50"/>
      <c r="B3348" s="50"/>
    </row>
    <row r="3349">
      <c r="A3349" s="50"/>
      <c r="B3349" s="50"/>
    </row>
    <row r="3350">
      <c r="A3350" s="50"/>
      <c r="B3350" s="50"/>
    </row>
    <row r="3351">
      <c r="A3351" s="50"/>
      <c r="B3351" s="50"/>
    </row>
    <row r="3352">
      <c r="A3352" s="50"/>
      <c r="B3352" s="50"/>
    </row>
    <row r="3353">
      <c r="A3353" s="50"/>
      <c r="B3353" s="50"/>
    </row>
    <row r="3354">
      <c r="A3354" s="50"/>
      <c r="B3354" s="50"/>
    </row>
    <row r="3355">
      <c r="A3355" s="50"/>
      <c r="B3355" s="50"/>
    </row>
    <row r="3356">
      <c r="A3356" s="50"/>
      <c r="B3356" s="50"/>
    </row>
    <row r="3357">
      <c r="A3357" s="50"/>
      <c r="B3357" s="50"/>
    </row>
    <row r="3358">
      <c r="A3358" s="50"/>
      <c r="B3358" s="50"/>
    </row>
    <row r="3359">
      <c r="A3359" s="50"/>
      <c r="B3359" s="50"/>
    </row>
    <row r="3360">
      <c r="A3360" s="50"/>
      <c r="B3360" s="50"/>
    </row>
    <row r="3361">
      <c r="A3361" s="50"/>
      <c r="B3361" s="50"/>
    </row>
    <row r="3362">
      <c r="A3362" s="50"/>
      <c r="B3362" s="50"/>
    </row>
    <row r="3363">
      <c r="A3363" s="50"/>
      <c r="B3363" s="50"/>
    </row>
    <row r="3364">
      <c r="A3364" s="50"/>
      <c r="B3364" s="50"/>
    </row>
    <row r="3365">
      <c r="A3365" s="50"/>
      <c r="B3365" s="50"/>
    </row>
    <row r="3366">
      <c r="A3366" s="50"/>
      <c r="B3366" s="50"/>
    </row>
    <row r="3367">
      <c r="A3367" s="50"/>
      <c r="B3367" s="50"/>
    </row>
    <row r="3368">
      <c r="A3368" s="50"/>
      <c r="B3368" s="50"/>
    </row>
    <row r="3369">
      <c r="A3369" s="50"/>
      <c r="B3369" s="50"/>
    </row>
    <row r="3370">
      <c r="A3370" s="50"/>
      <c r="B3370" s="50"/>
    </row>
    <row r="3371">
      <c r="A3371" s="50"/>
      <c r="B3371" s="50"/>
    </row>
    <row r="3372">
      <c r="A3372" s="50"/>
      <c r="B3372" s="50"/>
    </row>
    <row r="3373">
      <c r="A3373" s="50"/>
      <c r="B3373" s="50"/>
    </row>
    <row r="3374">
      <c r="A3374" s="50"/>
      <c r="B3374" s="50"/>
    </row>
    <row r="3375">
      <c r="A3375" s="50"/>
      <c r="B3375" s="50"/>
    </row>
    <row r="3376">
      <c r="A3376" s="50"/>
      <c r="B3376" s="50"/>
    </row>
    <row r="3377">
      <c r="A3377" s="50"/>
      <c r="B3377" s="50"/>
    </row>
    <row r="3378">
      <c r="A3378" s="50"/>
      <c r="B3378" s="50"/>
    </row>
    <row r="3379">
      <c r="A3379" s="50"/>
      <c r="B3379" s="50"/>
    </row>
    <row r="3380">
      <c r="A3380" s="50"/>
      <c r="B3380" s="50"/>
    </row>
    <row r="3381">
      <c r="A3381" s="50"/>
      <c r="B3381" s="50"/>
    </row>
    <row r="3382">
      <c r="A3382" s="50"/>
      <c r="B3382" s="50"/>
    </row>
    <row r="3383">
      <c r="A3383" s="50"/>
      <c r="B3383" s="50"/>
    </row>
    <row r="3384">
      <c r="A3384" s="50"/>
      <c r="B3384" s="50"/>
    </row>
    <row r="3385">
      <c r="A3385" s="50"/>
      <c r="B3385" s="50"/>
    </row>
    <row r="3386">
      <c r="A3386" s="50"/>
      <c r="B3386" s="50"/>
    </row>
    <row r="3387">
      <c r="A3387" s="50"/>
      <c r="B3387" s="50"/>
    </row>
    <row r="3388">
      <c r="A3388" s="50"/>
      <c r="B3388" s="50"/>
    </row>
    <row r="3389">
      <c r="A3389" s="50"/>
      <c r="B3389" s="50"/>
    </row>
    <row r="3390">
      <c r="A3390" s="50"/>
      <c r="B3390" s="50"/>
    </row>
    <row r="3391">
      <c r="A3391" s="50"/>
      <c r="B3391" s="50"/>
    </row>
    <row r="3392">
      <c r="A3392" s="50"/>
      <c r="B3392" s="50"/>
    </row>
    <row r="3393">
      <c r="A3393" s="50"/>
      <c r="B3393" s="50"/>
    </row>
    <row r="3394">
      <c r="A3394" s="50"/>
      <c r="B3394" s="50"/>
    </row>
    <row r="3395">
      <c r="A3395" s="50"/>
      <c r="B3395" s="50"/>
    </row>
    <row r="3396">
      <c r="A3396" s="50"/>
      <c r="B3396" s="50"/>
    </row>
    <row r="3397">
      <c r="A3397" s="50"/>
      <c r="B3397" s="50"/>
    </row>
    <row r="3398">
      <c r="A3398" s="50"/>
      <c r="B3398" s="50"/>
    </row>
    <row r="3399">
      <c r="A3399" s="50"/>
      <c r="B3399" s="50"/>
    </row>
    <row r="3400">
      <c r="A3400" s="50"/>
      <c r="B3400" s="50"/>
    </row>
    <row r="3401">
      <c r="A3401" s="50"/>
      <c r="B3401" s="50"/>
    </row>
    <row r="3402">
      <c r="A3402" s="50"/>
      <c r="B3402" s="50"/>
    </row>
    <row r="3403">
      <c r="A3403" s="50"/>
      <c r="B3403" s="50"/>
    </row>
    <row r="3404">
      <c r="A3404" s="50"/>
      <c r="B3404" s="50"/>
    </row>
    <row r="3405">
      <c r="A3405" s="50"/>
      <c r="B3405" s="50"/>
    </row>
    <row r="3406">
      <c r="A3406" s="50"/>
      <c r="B3406" s="50"/>
    </row>
    <row r="3407">
      <c r="A3407" s="50"/>
      <c r="B3407" s="50"/>
    </row>
    <row r="3408">
      <c r="A3408" s="50"/>
      <c r="B3408" s="50"/>
    </row>
    <row r="3409">
      <c r="A3409" s="50"/>
      <c r="B3409" s="50"/>
    </row>
    <row r="3410">
      <c r="A3410" s="50"/>
      <c r="B3410" s="50"/>
    </row>
    <row r="3411">
      <c r="A3411" s="50"/>
      <c r="B3411" s="50"/>
    </row>
    <row r="3412">
      <c r="A3412" s="50"/>
      <c r="B3412" s="50"/>
    </row>
    <row r="3413">
      <c r="A3413" s="50"/>
      <c r="B3413" s="50"/>
    </row>
    <row r="3414">
      <c r="A3414" s="50"/>
      <c r="B3414" s="50"/>
    </row>
    <row r="3415">
      <c r="A3415" s="50"/>
      <c r="B3415" s="50"/>
    </row>
    <row r="3416">
      <c r="A3416" s="50"/>
      <c r="B3416" s="50"/>
    </row>
    <row r="3417">
      <c r="A3417" s="50"/>
      <c r="B3417" s="50"/>
    </row>
    <row r="3418">
      <c r="A3418" s="50"/>
      <c r="B3418" s="50"/>
    </row>
    <row r="3419">
      <c r="A3419" s="50"/>
      <c r="B3419" s="50"/>
    </row>
    <row r="3420">
      <c r="A3420" s="50"/>
      <c r="B3420" s="50"/>
    </row>
    <row r="3421">
      <c r="A3421" s="50"/>
      <c r="B3421" s="50"/>
    </row>
    <row r="3422">
      <c r="A3422" s="50"/>
      <c r="B3422" s="50"/>
    </row>
    <row r="3423">
      <c r="A3423" s="50"/>
      <c r="B3423" s="50"/>
    </row>
    <row r="3424">
      <c r="A3424" s="50"/>
      <c r="B3424" s="50"/>
    </row>
    <row r="3425">
      <c r="A3425" s="50"/>
      <c r="B3425" s="50"/>
    </row>
    <row r="3426">
      <c r="A3426" s="50"/>
      <c r="B3426" s="50"/>
    </row>
    <row r="3427">
      <c r="A3427" s="50"/>
      <c r="B3427" s="50"/>
    </row>
    <row r="3428">
      <c r="A3428" s="50"/>
      <c r="B3428" s="50"/>
    </row>
    <row r="3429">
      <c r="A3429" s="50"/>
      <c r="B3429" s="50"/>
    </row>
    <row r="3430">
      <c r="A3430" s="50"/>
      <c r="B3430" s="50"/>
    </row>
    <row r="3431">
      <c r="A3431" s="50"/>
      <c r="B3431" s="50"/>
    </row>
    <row r="3432">
      <c r="A3432" s="50"/>
      <c r="B3432" s="50"/>
    </row>
    <row r="3433">
      <c r="A3433" s="50"/>
      <c r="B3433" s="50"/>
    </row>
    <row r="3434">
      <c r="A3434" s="50"/>
      <c r="B3434" s="50"/>
    </row>
    <row r="3435">
      <c r="A3435" s="50"/>
      <c r="B3435" s="50"/>
    </row>
    <row r="3436">
      <c r="A3436" s="50"/>
      <c r="B3436" s="50"/>
    </row>
    <row r="3437">
      <c r="A3437" s="50"/>
      <c r="B3437" s="50"/>
    </row>
    <row r="3438">
      <c r="A3438" s="50"/>
      <c r="B3438" s="50"/>
    </row>
    <row r="3439">
      <c r="A3439" s="50"/>
      <c r="B3439" s="50"/>
    </row>
    <row r="3440">
      <c r="A3440" s="50"/>
      <c r="B3440" s="50"/>
    </row>
    <row r="3441">
      <c r="A3441" s="50"/>
      <c r="B3441" s="50"/>
    </row>
    <row r="3442">
      <c r="A3442" s="50"/>
      <c r="B3442" s="50"/>
    </row>
    <row r="3443">
      <c r="A3443" s="50"/>
      <c r="B3443" s="50"/>
    </row>
    <row r="3444">
      <c r="A3444" s="50"/>
      <c r="B3444" s="50"/>
    </row>
    <row r="3445">
      <c r="A3445" s="50"/>
      <c r="B3445" s="50"/>
    </row>
    <row r="3446">
      <c r="A3446" s="50"/>
      <c r="B3446" s="50"/>
    </row>
    <row r="3447">
      <c r="A3447" s="50"/>
      <c r="B3447" s="50"/>
    </row>
    <row r="3448">
      <c r="A3448" s="50"/>
      <c r="B3448" s="50"/>
    </row>
    <row r="3449">
      <c r="A3449" s="50"/>
      <c r="B3449" s="50"/>
    </row>
    <row r="3450">
      <c r="A3450" s="50"/>
      <c r="B3450" s="50"/>
    </row>
    <row r="3451">
      <c r="A3451" s="50"/>
      <c r="B3451" s="50"/>
    </row>
    <row r="3452">
      <c r="A3452" s="50"/>
      <c r="B3452" s="50"/>
    </row>
    <row r="3453">
      <c r="A3453" s="50"/>
      <c r="B3453" s="50"/>
    </row>
    <row r="3454">
      <c r="A3454" s="50"/>
      <c r="B3454" s="50"/>
    </row>
    <row r="3455">
      <c r="A3455" s="50"/>
      <c r="B3455" s="50"/>
    </row>
    <row r="3456">
      <c r="A3456" s="50"/>
      <c r="B3456" s="50"/>
    </row>
    <row r="3457">
      <c r="A3457" s="50"/>
      <c r="B3457" s="50"/>
    </row>
    <row r="3458">
      <c r="A3458" s="50"/>
      <c r="B3458" s="50"/>
    </row>
    <row r="3459">
      <c r="A3459" s="50"/>
      <c r="B3459" s="50"/>
    </row>
    <row r="3460">
      <c r="A3460" s="50"/>
      <c r="B3460" s="50"/>
    </row>
    <row r="3461">
      <c r="A3461" s="50"/>
      <c r="B3461" s="50"/>
    </row>
    <row r="3462">
      <c r="A3462" s="50"/>
      <c r="B3462" s="50"/>
    </row>
    <row r="3463">
      <c r="A3463" s="50"/>
      <c r="B3463" s="50"/>
    </row>
    <row r="3464">
      <c r="A3464" s="50"/>
      <c r="B3464" s="50"/>
    </row>
    <row r="3465">
      <c r="A3465" s="50"/>
      <c r="B3465" s="50"/>
    </row>
    <row r="3466">
      <c r="A3466" s="50"/>
      <c r="B3466" s="50"/>
    </row>
    <row r="3467">
      <c r="A3467" s="50"/>
      <c r="B3467" s="50"/>
    </row>
    <row r="3468">
      <c r="A3468" s="50"/>
      <c r="B3468" s="50"/>
    </row>
    <row r="3469">
      <c r="A3469" s="50"/>
      <c r="B3469" s="50"/>
    </row>
    <row r="3470">
      <c r="A3470" s="50"/>
      <c r="B3470" s="50"/>
    </row>
    <row r="3471">
      <c r="A3471" s="50"/>
      <c r="B3471" s="50"/>
    </row>
    <row r="3472">
      <c r="A3472" s="50"/>
      <c r="B3472" s="50"/>
    </row>
    <row r="3473">
      <c r="A3473" s="50"/>
      <c r="B3473" s="50"/>
    </row>
    <row r="3474">
      <c r="A3474" s="50"/>
      <c r="B3474" s="50"/>
    </row>
    <row r="3475">
      <c r="A3475" s="50"/>
      <c r="B3475" s="50"/>
    </row>
    <row r="3476">
      <c r="A3476" s="50"/>
      <c r="B3476" s="50"/>
    </row>
    <row r="3477">
      <c r="A3477" s="50"/>
      <c r="B3477" s="50"/>
    </row>
    <row r="3478">
      <c r="A3478" s="50"/>
      <c r="B3478" s="50"/>
    </row>
    <row r="3479">
      <c r="A3479" s="50"/>
      <c r="B3479" s="50"/>
    </row>
    <row r="3480">
      <c r="A3480" s="50"/>
      <c r="B3480" s="50"/>
    </row>
    <row r="3481">
      <c r="A3481" s="50"/>
      <c r="B3481" s="50"/>
    </row>
    <row r="3482">
      <c r="A3482" s="50"/>
      <c r="B3482" s="50"/>
    </row>
    <row r="3483">
      <c r="A3483" s="50"/>
      <c r="B3483" s="50"/>
    </row>
    <row r="3484">
      <c r="A3484" s="50"/>
      <c r="B3484" s="50"/>
    </row>
    <row r="3485">
      <c r="A3485" s="50"/>
      <c r="B3485" s="50"/>
    </row>
    <row r="3486">
      <c r="A3486" s="50"/>
      <c r="B3486" s="50"/>
    </row>
    <row r="3487">
      <c r="A3487" s="50"/>
      <c r="B3487" s="50"/>
    </row>
    <row r="3488">
      <c r="A3488" s="50"/>
      <c r="B3488" s="50"/>
    </row>
    <row r="3489">
      <c r="A3489" s="50"/>
      <c r="B3489" s="50"/>
    </row>
    <row r="3490">
      <c r="A3490" s="50"/>
      <c r="B3490" s="50"/>
    </row>
    <row r="3491">
      <c r="A3491" s="50"/>
      <c r="B3491" s="50"/>
    </row>
    <row r="3492">
      <c r="A3492" s="50"/>
      <c r="B3492" s="50"/>
    </row>
    <row r="3493">
      <c r="A3493" s="50"/>
      <c r="B3493" s="50"/>
    </row>
    <row r="3494">
      <c r="A3494" s="50"/>
      <c r="B3494" s="50"/>
    </row>
    <row r="3495">
      <c r="A3495" s="50"/>
      <c r="B3495" s="50"/>
    </row>
    <row r="3496">
      <c r="A3496" s="50"/>
      <c r="B3496" s="50"/>
    </row>
    <row r="3497">
      <c r="A3497" s="50"/>
      <c r="B3497" s="50"/>
    </row>
    <row r="3498">
      <c r="A3498" s="50"/>
      <c r="B3498" s="50"/>
    </row>
    <row r="3499">
      <c r="A3499" s="50"/>
      <c r="B3499" s="50"/>
    </row>
    <row r="3500">
      <c r="A3500" s="50"/>
      <c r="B3500" s="50"/>
    </row>
    <row r="3501">
      <c r="A3501" s="50"/>
      <c r="B3501" s="50"/>
    </row>
    <row r="3502">
      <c r="A3502" s="50"/>
      <c r="B3502" s="50"/>
    </row>
    <row r="3503">
      <c r="A3503" s="50"/>
      <c r="B3503" s="50"/>
    </row>
    <row r="3504">
      <c r="A3504" s="50"/>
      <c r="B3504" s="50"/>
    </row>
    <row r="3505">
      <c r="A3505" s="50"/>
      <c r="B3505" s="50"/>
    </row>
    <row r="3506">
      <c r="A3506" s="50"/>
      <c r="B3506" s="50"/>
    </row>
    <row r="3507">
      <c r="A3507" s="50"/>
      <c r="B3507" s="50"/>
    </row>
    <row r="3508">
      <c r="A3508" s="50"/>
      <c r="B3508" s="50"/>
    </row>
    <row r="3509">
      <c r="A3509" s="50"/>
      <c r="B3509" s="50"/>
    </row>
    <row r="3510">
      <c r="A3510" s="50"/>
      <c r="B3510" s="50"/>
    </row>
    <row r="3511">
      <c r="A3511" s="50"/>
      <c r="B3511" s="50"/>
    </row>
    <row r="3512">
      <c r="A3512" s="50"/>
      <c r="B3512" s="50"/>
    </row>
    <row r="3513">
      <c r="A3513" s="50"/>
      <c r="B3513" s="50"/>
    </row>
    <row r="3514">
      <c r="A3514" s="50"/>
      <c r="B3514" s="50"/>
    </row>
    <row r="3515">
      <c r="A3515" s="50"/>
      <c r="B3515" s="50"/>
    </row>
    <row r="3516">
      <c r="A3516" s="50"/>
      <c r="B3516" s="50"/>
    </row>
    <row r="3517">
      <c r="A3517" s="50"/>
      <c r="B3517" s="50"/>
    </row>
    <row r="3518">
      <c r="A3518" s="50"/>
      <c r="B3518" s="50"/>
    </row>
    <row r="3519">
      <c r="A3519" s="50"/>
      <c r="B3519" s="50"/>
    </row>
    <row r="3520">
      <c r="A3520" s="50"/>
      <c r="B3520" s="50"/>
    </row>
    <row r="3521">
      <c r="A3521" s="50"/>
      <c r="B3521" s="50"/>
    </row>
    <row r="3522">
      <c r="A3522" s="50"/>
      <c r="B3522" s="50"/>
    </row>
    <row r="3523">
      <c r="A3523" s="50"/>
      <c r="B3523" s="50"/>
    </row>
    <row r="3524">
      <c r="A3524" s="50"/>
      <c r="B3524" s="50"/>
    </row>
    <row r="3525">
      <c r="A3525" s="50"/>
      <c r="B3525" s="50"/>
    </row>
    <row r="3526">
      <c r="A3526" s="50"/>
      <c r="B3526" s="50"/>
    </row>
    <row r="3527">
      <c r="A3527" s="50"/>
      <c r="B3527" s="50"/>
    </row>
    <row r="3528">
      <c r="A3528" s="50"/>
      <c r="B3528" s="50"/>
    </row>
    <row r="3529">
      <c r="A3529" s="50"/>
      <c r="B3529" s="50"/>
    </row>
    <row r="3530">
      <c r="A3530" s="50"/>
      <c r="B3530" s="50"/>
    </row>
    <row r="3531">
      <c r="A3531" s="50"/>
      <c r="B3531" s="50"/>
    </row>
    <row r="3532">
      <c r="A3532" s="50"/>
      <c r="B3532" s="50"/>
    </row>
    <row r="3533">
      <c r="A3533" s="50"/>
      <c r="B3533" s="50"/>
    </row>
    <row r="3534">
      <c r="A3534" s="50"/>
      <c r="B3534" s="50"/>
    </row>
    <row r="3535">
      <c r="A3535" s="50"/>
      <c r="B3535" s="50"/>
    </row>
    <row r="3536">
      <c r="A3536" s="50"/>
      <c r="B3536" s="50"/>
    </row>
    <row r="3537">
      <c r="A3537" s="50"/>
      <c r="B3537" s="50"/>
    </row>
    <row r="3538">
      <c r="A3538" s="50"/>
      <c r="B3538" s="50"/>
    </row>
    <row r="3539">
      <c r="A3539" s="50"/>
      <c r="B3539" s="50"/>
    </row>
    <row r="3540">
      <c r="A3540" s="50"/>
      <c r="B3540" s="50"/>
    </row>
    <row r="3541">
      <c r="A3541" s="50"/>
      <c r="B3541" s="50"/>
    </row>
    <row r="3542">
      <c r="A3542" s="50"/>
      <c r="B3542" s="50"/>
    </row>
    <row r="3543">
      <c r="A3543" s="50"/>
      <c r="B3543" s="50"/>
    </row>
    <row r="3544">
      <c r="A3544" s="50"/>
      <c r="B3544" s="50"/>
    </row>
    <row r="3545">
      <c r="A3545" s="50"/>
      <c r="B3545" s="50"/>
    </row>
    <row r="3546">
      <c r="A3546" s="50"/>
      <c r="B3546" s="50"/>
    </row>
    <row r="3547">
      <c r="A3547" s="50"/>
      <c r="B3547" s="50"/>
    </row>
    <row r="3548">
      <c r="A3548" s="50"/>
      <c r="B3548" s="50"/>
    </row>
    <row r="3549">
      <c r="A3549" s="50"/>
      <c r="B3549" s="50"/>
    </row>
    <row r="3550">
      <c r="A3550" s="50"/>
      <c r="B3550" s="50"/>
    </row>
    <row r="3551">
      <c r="A3551" s="50"/>
      <c r="B3551" s="50"/>
    </row>
    <row r="3552">
      <c r="A3552" s="50"/>
      <c r="B3552" s="50"/>
    </row>
    <row r="3553">
      <c r="A3553" s="50"/>
      <c r="B3553" s="50"/>
    </row>
    <row r="3554">
      <c r="A3554" s="50"/>
      <c r="B3554" s="50"/>
    </row>
    <row r="3555">
      <c r="A3555" s="50"/>
      <c r="B3555" s="50"/>
    </row>
    <row r="3556">
      <c r="A3556" s="50"/>
      <c r="B3556" s="50"/>
    </row>
    <row r="3557">
      <c r="A3557" s="50"/>
      <c r="B3557" s="50"/>
    </row>
    <row r="3558">
      <c r="A3558" s="50"/>
      <c r="B3558" s="50"/>
    </row>
    <row r="3559">
      <c r="A3559" s="50"/>
      <c r="B3559" s="50"/>
    </row>
    <row r="3560">
      <c r="A3560" s="50"/>
      <c r="B3560" s="50"/>
    </row>
    <row r="3561">
      <c r="A3561" s="50"/>
      <c r="B3561" s="50"/>
    </row>
    <row r="3562">
      <c r="A3562" s="50"/>
      <c r="B3562" s="50"/>
    </row>
    <row r="3563">
      <c r="A3563" s="50"/>
      <c r="B3563" s="50"/>
    </row>
    <row r="3564">
      <c r="A3564" s="50"/>
      <c r="B3564" s="50"/>
    </row>
    <row r="3565">
      <c r="A3565" s="50"/>
      <c r="B3565" s="50"/>
    </row>
    <row r="3566">
      <c r="A3566" s="50"/>
      <c r="B3566" s="50"/>
    </row>
    <row r="3567">
      <c r="A3567" s="50"/>
      <c r="B3567" s="50"/>
    </row>
    <row r="3568">
      <c r="A3568" s="50"/>
      <c r="B3568" s="50"/>
    </row>
    <row r="3569">
      <c r="A3569" s="50"/>
      <c r="B3569" s="50"/>
    </row>
    <row r="3570">
      <c r="A3570" s="50"/>
      <c r="B3570" s="50"/>
    </row>
    <row r="3571">
      <c r="A3571" s="50"/>
      <c r="B3571" s="50"/>
    </row>
    <row r="3572">
      <c r="A3572" s="50"/>
      <c r="B3572" s="50"/>
    </row>
    <row r="3573">
      <c r="A3573" s="50"/>
      <c r="B3573" s="50"/>
    </row>
    <row r="3574">
      <c r="A3574" s="50"/>
      <c r="B3574" s="50"/>
    </row>
    <row r="3575">
      <c r="A3575" s="50"/>
      <c r="B3575" s="50"/>
    </row>
    <row r="3576">
      <c r="A3576" s="50"/>
      <c r="B3576" s="50"/>
    </row>
    <row r="3577">
      <c r="A3577" s="50"/>
      <c r="B3577" s="50"/>
    </row>
    <row r="3578">
      <c r="A3578" s="50"/>
      <c r="B3578" s="50"/>
    </row>
    <row r="3579">
      <c r="A3579" s="50"/>
      <c r="B3579" s="50"/>
    </row>
    <row r="3580">
      <c r="A3580" s="50"/>
      <c r="B3580" s="50"/>
    </row>
    <row r="3581">
      <c r="A3581" s="50"/>
      <c r="B3581" s="50"/>
    </row>
    <row r="3582">
      <c r="A3582" s="50"/>
      <c r="B3582" s="50"/>
    </row>
    <row r="3583">
      <c r="A3583" s="50"/>
      <c r="B3583" s="50"/>
    </row>
    <row r="3584">
      <c r="A3584" s="50"/>
      <c r="B3584" s="50"/>
    </row>
    <row r="3585">
      <c r="A3585" s="50"/>
      <c r="B3585" s="50"/>
    </row>
    <row r="3586">
      <c r="A3586" s="50"/>
      <c r="B3586" s="50"/>
    </row>
    <row r="3587">
      <c r="A3587" s="50"/>
      <c r="B3587" s="50"/>
    </row>
    <row r="3588">
      <c r="A3588" s="50"/>
      <c r="B3588" s="50"/>
    </row>
    <row r="3589">
      <c r="A3589" s="50"/>
      <c r="B3589" s="50"/>
    </row>
    <row r="3590">
      <c r="A3590" s="50"/>
      <c r="B3590" s="50"/>
    </row>
    <row r="3591">
      <c r="A3591" s="50"/>
      <c r="B3591" s="50"/>
    </row>
    <row r="3592">
      <c r="A3592" s="50"/>
      <c r="B3592" s="50"/>
    </row>
    <row r="3593">
      <c r="A3593" s="50"/>
      <c r="B3593" s="50"/>
    </row>
    <row r="3594">
      <c r="A3594" s="50"/>
      <c r="B3594" s="50"/>
    </row>
    <row r="3595">
      <c r="A3595" s="50"/>
      <c r="B3595" s="50"/>
    </row>
    <row r="3596">
      <c r="A3596" s="50"/>
      <c r="B3596" s="50"/>
    </row>
    <row r="3597">
      <c r="A3597" s="50"/>
      <c r="B3597" s="50"/>
    </row>
    <row r="3598">
      <c r="A3598" s="50"/>
      <c r="B3598" s="50"/>
    </row>
    <row r="3599">
      <c r="A3599" s="50"/>
      <c r="B3599" s="50"/>
    </row>
    <row r="3600">
      <c r="A3600" s="50"/>
      <c r="B3600" s="50"/>
    </row>
    <row r="3601">
      <c r="A3601" s="50"/>
      <c r="B3601" s="50"/>
    </row>
    <row r="3602">
      <c r="A3602" s="50"/>
      <c r="B3602" s="50"/>
    </row>
    <row r="3603">
      <c r="A3603" s="50"/>
      <c r="B3603" s="50"/>
    </row>
    <row r="3604">
      <c r="A3604" s="50"/>
      <c r="B3604" s="50"/>
    </row>
    <row r="3605">
      <c r="A3605" s="50"/>
      <c r="B3605" s="50"/>
    </row>
    <row r="3606">
      <c r="A3606" s="50"/>
      <c r="B3606" s="50"/>
    </row>
    <row r="3607">
      <c r="A3607" s="50"/>
      <c r="B3607" s="50"/>
    </row>
    <row r="3608">
      <c r="A3608" s="50"/>
      <c r="B3608" s="50"/>
    </row>
    <row r="3609">
      <c r="A3609" s="50"/>
      <c r="B3609" s="50"/>
    </row>
    <row r="3610">
      <c r="A3610" s="50"/>
      <c r="B3610" s="50"/>
    </row>
    <row r="3611">
      <c r="A3611" s="50"/>
      <c r="B3611" s="50"/>
    </row>
    <row r="3612">
      <c r="A3612" s="50"/>
      <c r="B3612" s="50"/>
    </row>
    <row r="3613">
      <c r="A3613" s="50"/>
      <c r="B3613" s="50"/>
    </row>
    <row r="3614">
      <c r="A3614" s="50"/>
      <c r="B3614" s="50"/>
    </row>
    <row r="3615">
      <c r="A3615" s="50"/>
      <c r="B3615" s="50"/>
    </row>
    <row r="3616">
      <c r="A3616" s="50"/>
      <c r="B3616" s="50"/>
    </row>
    <row r="3617">
      <c r="A3617" s="50"/>
      <c r="B3617" s="50"/>
    </row>
    <row r="3618">
      <c r="A3618" s="50"/>
      <c r="B3618" s="50"/>
    </row>
    <row r="3619">
      <c r="A3619" s="50"/>
      <c r="B3619" s="50"/>
    </row>
    <row r="3620">
      <c r="A3620" s="50"/>
      <c r="B3620" s="50"/>
    </row>
    <row r="3621">
      <c r="A3621" s="50"/>
      <c r="B3621" s="50"/>
    </row>
    <row r="3622">
      <c r="A3622" s="50"/>
      <c r="B3622" s="50"/>
    </row>
    <row r="3623">
      <c r="A3623" s="50"/>
      <c r="B3623" s="50"/>
    </row>
    <row r="3624">
      <c r="A3624" s="50"/>
      <c r="B3624" s="50"/>
    </row>
    <row r="3625">
      <c r="A3625" s="50"/>
      <c r="B3625" s="50"/>
    </row>
    <row r="3626">
      <c r="A3626" s="50"/>
      <c r="B3626" s="50"/>
    </row>
    <row r="3627">
      <c r="A3627" s="50"/>
      <c r="B3627" s="50"/>
    </row>
    <row r="3628">
      <c r="A3628" s="50"/>
      <c r="B3628" s="50"/>
    </row>
    <row r="3629">
      <c r="A3629" s="50"/>
      <c r="B3629" s="50"/>
    </row>
    <row r="3630">
      <c r="A3630" s="50"/>
      <c r="B3630" s="50"/>
    </row>
    <row r="3631">
      <c r="A3631" s="50"/>
      <c r="B3631" s="50"/>
    </row>
    <row r="3632">
      <c r="A3632" s="50"/>
      <c r="B3632" s="50"/>
    </row>
    <row r="3633">
      <c r="A3633" s="50"/>
      <c r="B3633" s="50"/>
    </row>
    <row r="3634">
      <c r="A3634" s="50"/>
      <c r="B3634" s="50"/>
    </row>
    <row r="3635">
      <c r="A3635" s="50"/>
      <c r="B3635" s="50"/>
    </row>
    <row r="3636">
      <c r="A3636" s="50"/>
      <c r="B3636" s="50"/>
    </row>
    <row r="3637">
      <c r="A3637" s="50"/>
      <c r="B3637" s="50"/>
    </row>
    <row r="3638">
      <c r="A3638" s="50"/>
      <c r="B3638" s="50"/>
    </row>
    <row r="3639">
      <c r="A3639" s="50"/>
      <c r="B3639" s="50"/>
    </row>
    <row r="3640">
      <c r="A3640" s="50"/>
      <c r="B3640" s="50"/>
    </row>
    <row r="3641">
      <c r="A3641" s="50"/>
      <c r="B3641" s="50"/>
    </row>
    <row r="3642">
      <c r="A3642" s="50"/>
      <c r="B3642" s="50"/>
    </row>
    <row r="3643">
      <c r="A3643" s="50"/>
      <c r="B3643" s="50"/>
    </row>
    <row r="3644">
      <c r="A3644" s="50"/>
      <c r="B3644" s="50"/>
    </row>
    <row r="3645">
      <c r="A3645" s="50"/>
      <c r="B3645" s="50"/>
    </row>
    <row r="3646">
      <c r="A3646" s="50"/>
      <c r="B3646" s="50"/>
    </row>
    <row r="3647">
      <c r="A3647" s="50"/>
      <c r="B3647" s="50"/>
    </row>
    <row r="3648">
      <c r="A3648" s="50"/>
      <c r="B3648" s="50"/>
    </row>
    <row r="3649">
      <c r="A3649" s="50"/>
      <c r="B3649" s="50"/>
    </row>
    <row r="3650">
      <c r="A3650" s="50"/>
      <c r="B3650" s="50"/>
    </row>
    <row r="3651">
      <c r="A3651" s="50"/>
      <c r="B3651" s="50"/>
    </row>
    <row r="3652">
      <c r="A3652" s="50"/>
      <c r="B3652" s="50"/>
    </row>
    <row r="3653">
      <c r="A3653" s="50"/>
      <c r="B3653" s="50"/>
    </row>
    <row r="3654">
      <c r="A3654" s="50"/>
      <c r="B3654" s="50"/>
    </row>
    <row r="3655">
      <c r="A3655" s="50"/>
      <c r="B3655" s="50"/>
    </row>
    <row r="3656">
      <c r="A3656" s="50"/>
      <c r="B3656" s="50"/>
    </row>
    <row r="3657">
      <c r="A3657" s="50"/>
      <c r="B3657" s="50"/>
    </row>
    <row r="3658">
      <c r="A3658" s="50"/>
      <c r="B3658" s="50"/>
    </row>
    <row r="3659">
      <c r="A3659" s="50"/>
      <c r="B3659" s="50"/>
    </row>
    <row r="3660">
      <c r="A3660" s="50"/>
      <c r="B3660" s="50"/>
    </row>
    <row r="3661">
      <c r="A3661" s="50"/>
      <c r="B3661" s="50"/>
    </row>
    <row r="3662">
      <c r="A3662" s="50"/>
      <c r="B3662" s="50"/>
    </row>
    <row r="3663">
      <c r="A3663" s="50"/>
      <c r="B3663" s="50"/>
    </row>
    <row r="3664">
      <c r="A3664" s="50"/>
      <c r="B3664" s="50"/>
    </row>
    <row r="3665">
      <c r="A3665" s="50"/>
      <c r="B3665" s="50"/>
    </row>
    <row r="3666">
      <c r="A3666" s="50"/>
      <c r="B3666" s="50"/>
    </row>
    <row r="3667">
      <c r="A3667" s="50"/>
      <c r="B3667" s="50"/>
    </row>
    <row r="3668">
      <c r="A3668" s="50"/>
      <c r="B3668" s="50"/>
    </row>
    <row r="3669">
      <c r="A3669" s="50"/>
      <c r="B3669" s="50"/>
    </row>
    <row r="3670">
      <c r="A3670" s="50"/>
      <c r="B3670" s="50"/>
    </row>
    <row r="3671">
      <c r="A3671" s="50"/>
      <c r="B3671" s="50"/>
    </row>
    <row r="3672">
      <c r="A3672" s="50"/>
      <c r="B3672" s="50"/>
    </row>
    <row r="3673">
      <c r="A3673" s="50"/>
      <c r="B3673" s="50"/>
    </row>
    <row r="3674">
      <c r="A3674" s="50"/>
      <c r="B3674" s="50"/>
    </row>
    <row r="3675">
      <c r="A3675" s="50"/>
      <c r="B3675" s="50"/>
    </row>
    <row r="3676">
      <c r="A3676" s="50"/>
      <c r="B3676" s="50"/>
    </row>
    <row r="3677">
      <c r="A3677" s="50"/>
      <c r="B3677" s="50"/>
    </row>
    <row r="3678">
      <c r="A3678" s="50"/>
      <c r="B3678" s="50"/>
    </row>
    <row r="3679">
      <c r="A3679" s="50"/>
      <c r="B3679" s="50"/>
    </row>
    <row r="3680">
      <c r="A3680" s="50"/>
      <c r="B3680" s="50"/>
    </row>
    <row r="3681">
      <c r="A3681" s="50"/>
      <c r="B3681" s="50"/>
    </row>
    <row r="3682">
      <c r="A3682" s="50"/>
      <c r="B3682" s="50"/>
    </row>
    <row r="3683">
      <c r="A3683" s="50"/>
      <c r="B3683" s="50"/>
    </row>
    <row r="3684">
      <c r="A3684" s="50"/>
      <c r="B3684" s="50"/>
    </row>
    <row r="3685">
      <c r="A3685" s="50"/>
      <c r="B3685" s="50"/>
    </row>
    <row r="3686">
      <c r="A3686" s="50"/>
      <c r="B3686" s="50"/>
    </row>
    <row r="3687">
      <c r="A3687" s="50"/>
      <c r="B3687" s="50"/>
    </row>
    <row r="3688">
      <c r="A3688" s="50"/>
      <c r="B3688" s="50"/>
    </row>
    <row r="3689">
      <c r="A3689" s="50"/>
      <c r="B3689" s="50"/>
    </row>
    <row r="3690">
      <c r="A3690" s="50"/>
      <c r="B3690" s="50"/>
    </row>
    <row r="3691">
      <c r="A3691" s="50"/>
      <c r="B3691" s="50"/>
    </row>
    <row r="3692">
      <c r="A3692" s="50"/>
      <c r="B3692" s="50"/>
    </row>
    <row r="3693">
      <c r="A3693" s="50"/>
      <c r="B3693" s="50"/>
    </row>
    <row r="3694">
      <c r="A3694" s="50"/>
      <c r="B3694" s="50"/>
    </row>
    <row r="3695">
      <c r="A3695" s="50"/>
      <c r="B3695" s="50"/>
    </row>
    <row r="3696">
      <c r="A3696" s="50"/>
      <c r="B3696" s="50"/>
    </row>
    <row r="3697">
      <c r="A3697" s="50"/>
      <c r="B3697" s="50"/>
    </row>
    <row r="3698">
      <c r="A3698" s="50"/>
      <c r="B3698" s="50"/>
    </row>
    <row r="3699">
      <c r="A3699" s="50"/>
      <c r="B3699" s="50"/>
    </row>
    <row r="3700">
      <c r="A3700" s="50"/>
      <c r="B3700" s="50"/>
    </row>
    <row r="3701">
      <c r="A3701" s="50"/>
      <c r="B3701" s="50"/>
    </row>
    <row r="3702">
      <c r="A3702" s="50"/>
      <c r="B3702" s="50"/>
    </row>
    <row r="3703">
      <c r="A3703" s="50"/>
      <c r="B3703" s="50"/>
    </row>
    <row r="3704">
      <c r="A3704" s="50"/>
      <c r="B3704" s="50"/>
    </row>
    <row r="3705">
      <c r="A3705" s="50"/>
      <c r="B3705" s="50"/>
    </row>
    <row r="3706">
      <c r="A3706" s="50"/>
      <c r="B3706" s="50"/>
    </row>
    <row r="3707">
      <c r="A3707" s="50"/>
      <c r="B3707" s="50"/>
    </row>
    <row r="3708">
      <c r="A3708" s="50"/>
      <c r="B3708" s="50"/>
    </row>
    <row r="3709">
      <c r="A3709" s="50"/>
      <c r="B3709" s="50"/>
    </row>
    <row r="3710">
      <c r="A3710" s="50"/>
      <c r="B3710" s="50"/>
    </row>
    <row r="3711">
      <c r="A3711" s="50"/>
      <c r="B3711" s="50"/>
    </row>
    <row r="3712">
      <c r="A3712" s="50"/>
      <c r="B3712" s="50"/>
    </row>
    <row r="3713">
      <c r="A3713" s="50"/>
      <c r="B3713" s="50"/>
    </row>
    <row r="3714">
      <c r="A3714" s="50"/>
      <c r="B3714" s="50"/>
    </row>
    <row r="3715">
      <c r="A3715" s="50"/>
      <c r="B3715" s="50"/>
    </row>
    <row r="3716">
      <c r="A3716" s="50"/>
      <c r="B3716" s="50"/>
    </row>
    <row r="3717">
      <c r="A3717" s="50"/>
      <c r="B3717" s="50"/>
    </row>
    <row r="3718">
      <c r="A3718" s="50"/>
      <c r="B3718" s="50"/>
    </row>
    <row r="3719">
      <c r="A3719" s="50"/>
      <c r="B3719" s="50"/>
    </row>
    <row r="3720">
      <c r="A3720" s="50"/>
      <c r="B3720" s="50"/>
    </row>
    <row r="3721">
      <c r="A3721" s="50"/>
      <c r="B3721" s="50"/>
    </row>
    <row r="3722">
      <c r="A3722" s="50"/>
      <c r="B3722" s="50"/>
    </row>
    <row r="3723">
      <c r="A3723" s="50"/>
      <c r="B3723" s="50"/>
    </row>
    <row r="3724">
      <c r="A3724" s="50"/>
      <c r="B3724" s="50"/>
    </row>
    <row r="3725">
      <c r="A3725" s="50"/>
      <c r="B3725" s="50"/>
    </row>
    <row r="3726">
      <c r="A3726" s="50"/>
      <c r="B3726" s="50"/>
    </row>
    <row r="3727">
      <c r="A3727" s="50"/>
      <c r="B3727" s="50"/>
    </row>
    <row r="3728">
      <c r="A3728" s="50"/>
      <c r="B3728" s="50"/>
    </row>
    <row r="3729">
      <c r="A3729" s="50"/>
      <c r="B3729" s="50"/>
    </row>
    <row r="3730">
      <c r="A3730" s="50"/>
      <c r="B3730" s="50"/>
    </row>
    <row r="3731">
      <c r="A3731" s="50"/>
      <c r="B3731" s="50"/>
    </row>
    <row r="3732">
      <c r="A3732" s="50"/>
      <c r="B3732" s="50"/>
    </row>
    <row r="3733">
      <c r="A3733" s="50"/>
      <c r="B3733" s="50"/>
    </row>
    <row r="3734">
      <c r="A3734" s="50"/>
      <c r="B3734" s="50"/>
    </row>
    <row r="3735">
      <c r="A3735" s="50"/>
      <c r="B3735" s="50"/>
    </row>
    <row r="3736">
      <c r="A3736" s="50"/>
      <c r="B3736" s="50"/>
    </row>
    <row r="3737">
      <c r="A3737" s="50"/>
      <c r="B3737" s="50"/>
    </row>
    <row r="3738">
      <c r="A3738" s="50"/>
      <c r="B3738" s="50"/>
    </row>
    <row r="3739">
      <c r="A3739" s="50"/>
      <c r="B3739" s="50"/>
    </row>
    <row r="3740">
      <c r="A3740" s="50"/>
      <c r="B3740" s="50"/>
    </row>
    <row r="3741">
      <c r="A3741" s="50"/>
      <c r="B3741" s="50"/>
    </row>
    <row r="3742">
      <c r="A3742" s="50"/>
      <c r="B3742" s="50"/>
    </row>
    <row r="3743">
      <c r="A3743" s="50"/>
      <c r="B3743" s="50"/>
    </row>
    <row r="3744">
      <c r="A3744" s="50"/>
      <c r="B3744" s="50"/>
    </row>
    <row r="3745">
      <c r="A3745" s="50"/>
      <c r="B3745" s="50"/>
    </row>
    <row r="3746">
      <c r="A3746" s="50"/>
      <c r="B3746" s="50"/>
    </row>
    <row r="3747">
      <c r="A3747" s="50"/>
      <c r="B3747" s="50"/>
    </row>
    <row r="3748">
      <c r="A3748" s="50"/>
      <c r="B3748" s="50"/>
    </row>
    <row r="3749">
      <c r="A3749" s="50"/>
      <c r="B3749" s="50"/>
    </row>
    <row r="3750">
      <c r="A3750" s="50"/>
      <c r="B3750" s="50"/>
    </row>
    <row r="3751">
      <c r="A3751" s="50"/>
      <c r="B3751" s="50"/>
    </row>
    <row r="3752">
      <c r="A3752" s="50"/>
      <c r="B3752" s="50"/>
    </row>
    <row r="3753">
      <c r="A3753" s="50"/>
      <c r="B3753" s="50"/>
    </row>
    <row r="3754">
      <c r="A3754" s="50"/>
      <c r="B3754" s="50"/>
    </row>
    <row r="3755">
      <c r="A3755" s="50"/>
      <c r="B3755" s="50"/>
    </row>
    <row r="3756">
      <c r="A3756" s="50"/>
      <c r="B3756" s="50"/>
    </row>
    <row r="3757">
      <c r="A3757" s="50"/>
      <c r="B3757" s="50"/>
    </row>
    <row r="3758">
      <c r="A3758" s="50"/>
      <c r="B3758" s="50"/>
    </row>
    <row r="3759">
      <c r="A3759" s="50"/>
      <c r="B3759" s="50"/>
    </row>
    <row r="3760">
      <c r="A3760" s="50"/>
      <c r="B3760" s="50"/>
    </row>
    <row r="3761">
      <c r="A3761" s="50"/>
      <c r="B3761" s="50"/>
    </row>
    <row r="3762">
      <c r="A3762" s="50"/>
      <c r="B3762" s="50"/>
    </row>
    <row r="3763">
      <c r="A3763" s="50"/>
      <c r="B3763" s="50"/>
    </row>
    <row r="3764">
      <c r="A3764" s="50"/>
      <c r="B3764" s="50"/>
    </row>
    <row r="3765">
      <c r="A3765" s="50"/>
      <c r="B3765" s="50"/>
    </row>
    <row r="3766">
      <c r="A3766" s="50"/>
      <c r="B3766" s="50"/>
    </row>
    <row r="3767">
      <c r="A3767" s="50"/>
      <c r="B3767" s="50"/>
    </row>
    <row r="3768">
      <c r="A3768" s="50"/>
      <c r="B3768" s="50"/>
    </row>
    <row r="3769">
      <c r="A3769" s="50"/>
      <c r="B3769" s="50"/>
    </row>
    <row r="3770">
      <c r="A3770" s="50"/>
      <c r="B3770" s="50"/>
    </row>
    <row r="3771">
      <c r="A3771" s="50"/>
      <c r="B3771" s="50"/>
    </row>
    <row r="3772">
      <c r="A3772" s="50"/>
      <c r="B3772" s="50"/>
    </row>
    <row r="3773">
      <c r="A3773" s="50"/>
      <c r="B3773" s="50"/>
    </row>
    <row r="3774">
      <c r="A3774" s="50"/>
      <c r="B3774" s="50"/>
    </row>
    <row r="3775">
      <c r="A3775" s="50"/>
      <c r="B3775" s="50"/>
    </row>
    <row r="3776">
      <c r="A3776" s="50"/>
      <c r="B3776" s="50"/>
    </row>
    <row r="3777">
      <c r="A3777" s="50"/>
      <c r="B3777" s="50"/>
    </row>
    <row r="3778">
      <c r="A3778" s="50"/>
      <c r="B3778" s="50"/>
    </row>
    <row r="3779">
      <c r="A3779" s="50"/>
      <c r="B3779" s="50"/>
    </row>
    <row r="3780">
      <c r="A3780" s="50"/>
      <c r="B3780" s="50"/>
    </row>
    <row r="3781">
      <c r="A3781" s="50"/>
      <c r="B3781" s="50"/>
    </row>
    <row r="3782">
      <c r="A3782" s="50"/>
      <c r="B3782" s="50"/>
    </row>
    <row r="3783">
      <c r="A3783" s="50"/>
      <c r="B3783" s="50"/>
    </row>
    <row r="3784">
      <c r="A3784" s="50"/>
      <c r="B3784" s="50"/>
    </row>
    <row r="3785">
      <c r="A3785" s="50"/>
      <c r="B3785" s="50"/>
    </row>
    <row r="3786">
      <c r="A3786" s="50"/>
      <c r="B3786" s="50"/>
    </row>
    <row r="3787">
      <c r="A3787" s="50"/>
      <c r="B3787" s="50"/>
    </row>
    <row r="3788">
      <c r="A3788" s="50"/>
      <c r="B3788" s="50"/>
    </row>
    <row r="3789">
      <c r="A3789" s="50"/>
      <c r="B3789" s="50"/>
    </row>
    <row r="3790">
      <c r="A3790" s="50"/>
      <c r="B3790" s="50"/>
    </row>
    <row r="3791">
      <c r="A3791" s="50"/>
      <c r="B3791" s="50"/>
    </row>
    <row r="3792">
      <c r="A3792" s="50"/>
      <c r="B3792" s="50"/>
    </row>
    <row r="3793">
      <c r="A3793" s="50"/>
      <c r="B3793" s="50"/>
    </row>
    <row r="3794">
      <c r="A3794" s="50"/>
      <c r="B3794" s="50"/>
    </row>
    <row r="3795">
      <c r="A3795" s="50"/>
      <c r="B3795" s="50"/>
    </row>
    <row r="3796">
      <c r="A3796" s="50"/>
      <c r="B3796" s="50"/>
    </row>
    <row r="3797">
      <c r="A3797" s="50"/>
      <c r="B3797" s="50"/>
    </row>
    <row r="3798">
      <c r="A3798" s="50"/>
      <c r="B3798" s="50"/>
    </row>
    <row r="3799">
      <c r="A3799" s="50"/>
      <c r="B3799" s="50"/>
    </row>
    <row r="3800">
      <c r="A3800" s="50"/>
      <c r="B3800" s="50"/>
    </row>
    <row r="3801">
      <c r="A3801" s="50"/>
      <c r="B3801" s="50"/>
    </row>
    <row r="3802">
      <c r="A3802" s="50"/>
      <c r="B3802" s="50"/>
    </row>
    <row r="3803">
      <c r="A3803" s="50"/>
      <c r="B3803" s="50"/>
    </row>
    <row r="3804">
      <c r="A3804" s="50"/>
      <c r="B3804" s="50"/>
    </row>
    <row r="3805">
      <c r="A3805" s="50"/>
      <c r="B3805" s="50"/>
    </row>
    <row r="3806">
      <c r="A3806" s="50"/>
      <c r="B3806" s="50"/>
    </row>
    <row r="3807">
      <c r="A3807" s="50"/>
      <c r="B3807" s="50"/>
    </row>
    <row r="3808">
      <c r="A3808" s="50"/>
      <c r="B3808" s="50"/>
    </row>
    <row r="3809">
      <c r="A3809" s="50"/>
      <c r="B3809" s="50"/>
    </row>
    <row r="3810">
      <c r="A3810" s="50"/>
      <c r="B3810" s="50"/>
    </row>
    <row r="3811">
      <c r="A3811" s="50"/>
      <c r="B3811" s="50"/>
    </row>
    <row r="3812">
      <c r="A3812" s="50"/>
      <c r="B3812" s="50"/>
    </row>
    <row r="3813">
      <c r="A3813" s="50"/>
      <c r="B3813" s="50"/>
    </row>
    <row r="3814">
      <c r="A3814" s="50"/>
      <c r="B3814" s="50"/>
    </row>
    <row r="3815">
      <c r="A3815" s="50"/>
      <c r="B3815" s="50"/>
    </row>
    <row r="3816">
      <c r="A3816" s="50"/>
      <c r="B3816" s="50"/>
    </row>
    <row r="3817">
      <c r="A3817" s="50"/>
      <c r="B3817" s="50"/>
    </row>
    <row r="3818">
      <c r="A3818" s="50"/>
      <c r="B3818" s="50"/>
    </row>
    <row r="3819">
      <c r="A3819" s="50"/>
      <c r="B3819" s="50"/>
    </row>
    <row r="3820">
      <c r="A3820" s="50"/>
      <c r="B3820" s="50"/>
    </row>
    <row r="3821">
      <c r="A3821" s="50"/>
      <c r="B3821" s="50"/>
    </row>
    <row r="3822">
      <c r="A3822" s="50"/>
      <c r="B3822" s="50"/>
    </row>
    <row r="3823">
      <c r="A3823" s="50"/>
      <c r="B3823" s="50"/>
    </row>
    <row r="3824">
      <c r="A3824" s="50"/>
      <c r="B3824" s="50"/>
    </row>
    <row r="3825">
      <c r="A3825" s="50"/>
      <c r="B3825" s="50"/>
    </row>
    <row r="3826">
      <c r="A3826" s="50"/>
      <c r="B3826" s="50"/>
    </row>
    <row r="3827">
      <c r="A3827" s="50"/>
      <c r="B3827" s="50"/>
    </row>
    <row r="3828">
      <c r="A3828" s="50"/>
      <c r="B3828" s="50"/>
    </row>
    <row r="3829">
      <c r="A3829" s="50"/>
      <c r="B3829" s="50"/>
    </row>
    <row r="3830">
      <c r="A3830" s="50"/>
      <c r="B3830" s="50"/>
    </row>
    <row r="3831">
      <c r="A3831" s="50"/>
      <c r="B3831" s="50"/>
    </row>
    <row r="3832">
      <c r="A3832" s="50"/>
      <c r="B3832" s="50"/>
    </row>
    <row r="3833">
      <c r="A3833" s="50"/>
      <c r="B3833" s="50"/>
    </row>
    <row r="3834">
      <c r="A3834" s="50"/>
      <c r="B3834" s="50"/>
    </row>
    <row r="3835">
      <c r="A3835" s="50"/>
      <c r="B3835" s="50"/>
    </row>
    <row r="3836">
      <c r="A3836" s="50"/>
      <c r="B3836" s="50"/>
    </row>
    <row r="3837">
      <c r="A3837" s="50"/>
      <c r="B3837" s="50"/>
    </row>
    <row r="3838">
      <c r="A3838" s="50"/>
      <c r="B3838" s="50"/>
    </row>
    <row r="3839">
      <c r="A3839" s="50"/>
      <c r="B3839" s="50"/>
    </row>
    <row r="3840">
      <c r="A3840" s="50"/>
      <c r="B3840" s="50"/>
    </row>
    <row r="3841">
      <c r="A3841" s="50"/>
      <c r="B3841" s="50"/>
    </row>
    <row r="3842">
      <c r="A3842" s="50"/>
      <c r="B3842" s="50"/>
    </row>
    <row r="3843">
      <c r="A3843" s="50"/>
      <c r="B3843" s="50"/>
    </row>
    <row r="3844">
      <c r="A3844" s="50"/>
      <c r="B3844" s="50"/>
    </row>
    <row r="3845">
      <c r="A3845" s="50"/>
      <c r="B3845" s="50"/>
    </row>
    <row r="3846">
      <c r="A3846" s="50"/>
      <c r="B3846" s="50"/>
    </row>
    <row r="3847">
      <c r="A3847" s="50"/>
      <c r="B3847" s="50"/>
    </row>
    <row r="3848">
      <c r="A3848" s="50"/>
      <c r="B3848" s="50"/>
    </row>
    <row r="3849">
      <c r="A3849" s="50"/>
      <c r="B3849" s="50"/>
    </row>
    <row r="3850">
      <c r="A3850" s="50"/>
      <c r="B3850" s="50"/>
    </row>
    <row r="3851">
      <c r="A3851" s="50"/>
      <c r="B3851" s="50"/>
    </row>
    <row r="3852">
      <c r="A3852" s="50"/>
      <c r="B3852" s="50"/>
    </row>
    <row r="3853">
      <c r="A3853" s="50"/>
      <c r="B3853" s="50"/>
    </row>
    <row r="3854">
      <c r="A3854" s="50"/>
      <c r="B3854" s="50"/>
    </row>
    <row r="3855">
      <c r="A3855" s="50"/>
      <c r="B3855" s="50"/>
    </row>
    <row r="3856">
      <c r="A3856" s="50"/>
      <c r="B3856" s="50"/>
    </row>
    <row r="3857">
      <c r="A3857" s="50"/>
      <c r="B3857" s="50"/>
    </row>
    <row r="3858">
      <c r="A3858" s="50"/>
      <c r="B3858" s="50"/>
    </row>
    <row r="3859">
      <c r="A3859" s="50"/>
      <c r="B3859" s="50"/>
    </row>
    <row r="3860">
      <c r="A3860" s="50"/>
      <c r="B3860" s="50"/>
    </row>
    <row r="3861">
      <c r="A3861" s="50"/>
      <c r="B3861" s="50"/>
    </row>
    <row r="3862">
      <c r="A3862" s="50"/>
      <c r="B3862" s="50"/>
    </row>
    <row r="3863">
      <c r="A3863" s="50"/>
      <c r="B3863" s="50"/>
    </row>
    <row r="3864">
      <c r="A3864" s="50"/>
      <c r="B3864" s="50"/>
    </row>
    <row r="3865">
      <c r="A3865" s="50"/>
      <c r="B3865" s="50"/>
    </row>
    <row r="3866">
      <c r="A3866" s="50"/>
      <c r="B3866" s="50"/>
    </row>
    <row r="3867">
      <c r="A3867" s="50"/>
      <c r="B3867" s="50"/>
    </row>
    <row r="3868">
      <c r="A3868" s="50"/>
      <c r="B3868" s="50"/>
    </row>
    <row r="3869">
      <c r="A3869" s="50"/>
      <c r="B3869" s="50"/>
    </row>
    <row r="3870">
      <c r="A3870" s="50"/>
      <c r="B3870" s="50"/>
    </row>
    <row r="3871">
      <c r="A3871" s="50"/>
      <c r="B3871" s="50"/>
    </row>
    <row r="3872">
      <c r="A3872" s="50"/>
      <c r="B3872" s="50"/>
    </row>
    <row r="3873">
      <c r="A3873" s="50"/>
      <c r="B3873" s="50"/>
    </row>
    <row r="3874">
      <c r="A3874" s="50"/>
      <c r="B3874" s="50"/>
    </row>
    <row r="3875">
      <c r="A3875" s="50"/>
      <c r="B3875" s="50"/>
    </row>
    <row r="3876">
      <c r="A3876" s="50"/>
      <c r="B3876" s="50"/>
    </row>
    <row r="3877">
      <c r="A3877" s="50"/>
      <c r="B3877" s="50"/>
    </row>
    <row r="3878">
      <c r="A3878" s="50"/>
      <c r="B3878" s="50"/>
    </row>
    <row r="3879">
      <c r="A3879" s="50"/>
      <c r="B3879" s="50"/>
    </row>
    <row r="3880">
      <c r="A3880" s="50"/>
      <c r="B3880" s="50"/>
    </row>
    <row r="3881">
      <c r="A3881" s="50"/>
      <c r="B3881" s="50"/>
    </row>
    <row r="3882">
      <c r="A3882" s="50"/>
      <c r="B3882" s="50"/>
    </row>
    <row r="3883">
      <c r="A3883" s="50"/>
      <c r="B3883" s="50"/>
    </row>
    <row r="3884">
      <c r="A3884" s="50"/>
      <c r="B3884" s="50"/>
    </row>
    <row r="3885">
      <c r="A3885" s="50"/>
      <c r="B3885" s="50"/>
    </row>
    <row r="3886">
      <c r="A3886" s="50"/>
      <c r="B3886" s="50"/>
    </row>
    <row r="3887">
      <c r="A3887" s="50"/>
      <c r="B3887" s="50"/>
    </row>
    <row r="3888">
      <c r="A3888" s="50"/>
      <c r="B3888" s="50"/>
    </row>
    <row r="3889">
      <c r="A3889" s="50"/>
      <c r="B3889" s="50"/>
    </row>
    <row r="3890">
      <c r="A3890" s="50"/>
      <c r="B3890" s="50"/>
    </row>
    <row r="3891">
      <c r="A3891" s="50"/>
      <c r="B3891" s="50"/>
    </row>
    <row r="3892">
      <c r="A3892" s="50"/>
      <c r="B3892" s="50"/>
    </row>
    <row r="3893">
      <c r="A3893" s="50"/>
      <c r="B3893" s="50"/>
    </row>
    <row r="3894">
      <c r="A3894" s="50"/>
      <c r="B3894" s="50"/>
    </row>
    <row r="3895">
      <c r="A3895" s="50"/>
      <c r="B3895" s="50"/>
    </row>
    <row r="3896">
      <c r="A3896" s="50"/>
      <c r="B3896" s="50"/>
    </row>
    <row r="3897">
      <c r="A3897" s="50"/>
      <c r="B3897" s="50"/>
    </row>
    <row r="3898">
      <c r="A3898" s="50"/>
      <c r="B3898" s="50"/>
    </row>
    <row r="3899">
      <c r="A3899" s="50"/>
      <c r="B3899" s="50"/>
    </row>
    <row r="3900">
      <c r="A3900" s="50"/>
      <c r="B3900" s="50"/>
    </row>
    <row r="3901">
      <c r="A3901" s="50"/>
      <c r="B3901" s="50"/>
    </row>
    <row r="3902">
      <c r="A3902" s="50"/>
      <c r="B3902" s="50"/>
    </row>
    <row r="3903">
      <c r="A3903" s="50"/>
      <c r="B3903" s="50"/>
    </row>
    <row r="3904">
      <c r="A3904" s="50"/>
      <c r="B3904" s="50"/>
    </row>
    <row r="3905">
      <c r="A3905" s="50"/>
      <c r="B3905" s="50"/>
    </row>
    <row r="3906">
      <c r="A3906" s="50"/>
      <c r="B3906" s="50"/>
    </row>
    <row r="3907">
      <c r="A3907" s="50"/>
      <c r="B3907" s="50"/>
    </row>
    <row r="3908">
      <c r="A3908" s="50"/>
      <c r="B3908" s="50"/>
    </row>
    <row r="3909">
      <c r="A3909" s="50"/>
      <c r="B3909" s="50"/>
    </row>
    <row r="3910">
      <c r="A3910" s="50"/>
      <c r="B3910" s="50"/>
    </row>
    <row r="3911">
      <c r="A3911" s="50"/>
      <c r="B3911" s="50"/>
    </row>
    <row r="3912">
      <c r="A3912" s="50"/>
      <c r="B3912" s="50"/>
    </row>
    <row r="3913">
      <c r="A3913" s="50"/>
      <c r="B3913" s="50"/>
    </row>
    <row r="3914">
      <c r="A3914" s="50"/>
      <c r="B3914" s="50"/>
    </row>
    <row r="3915">
      <c r="A3915" s="50"/>
      <c r="B3915" s="50"/>
    </row>
    <row r="3916">
      <c r="A3916" s="50"/>
      <c r="B3916" s="50"/>
    </row>
    <row r="3917">
      <c r="A3917" s="50"/>
      <c r="B3917" s="50"/>
    </row>
    <row r="3918">
      <c r="A3918" s="50"/>
      <c r="B3918" s="50"/>
    </row>
    <row r="3919">
      <c r="A3919" s="50"/>
      <c r="B3919" s="50"/>
    </row>
    <row r="3920">
      <c r="A3920" s="50"/>
      <c r="B3920" s="50"/>
    </row>
    <row r="3921">
      <c r="A3921" s="50"/>
      <c r="B3921" s="50"/>
    </row>
    <row r="3922">
      <c r="A3922" s="50"/>
      <c r="B3922" s="50"/>
    </row>
    <row r="3923">
      <c r="A3923" s="50"/>
      <c r="B3923" s="50"/>
    </row>
    <row r="3924">
      <c r="A3924" s="50"/>
      <c r="B3924" s="50"/>
    </row>
    <row r="3925">
      <c r="A3925" s="50"/>
      <c r="B3925" s="50"/>
    </row>
    <row r="3926">
      <c r="A3926" s="50"/>
      <c r="B3926" s="50"/>
    </row>
    <row r="3927">
      <c r="A3927" s="50"/>
      <c r="B3927" s="50"/>
    </row>
    <row r="3928">
      <c r="A3928" s="50"/>
      <c r="B3928" s="50"/>
    </row>
    <row r="3929">
      <c r="A3929" s="50"/>
      <c r="B3929" s="50"/>
    </row>
    <row r="3930">
      <c r="A3930" s="50"/>
      <c r="B3930" s="50"/>
    </row>
    <row r="3931">
      <c r="A3931" s="50"/>
      <c r="B3931" s="50"/>
    </row>
    <row r="3932">
      <c r="A3932" s="50"/>
      <c r="B3932" s="50"/>
    </row>
    <row r="3933">
      <c r="A3933" s="50"/>
      <c r="B3933" s="50"/>
    </row>
    <row r="3934">
      <c r="A3934" s="50"/>
      <c r="B3934" s="50"/>
    </row>
    <row r="3935">
      <c r="A3935" s="50"/>
      <c r="B3935" s="50"/>
    </row>
    <row r="3936">
      <c r="A3936" s="50"/>
      <c r="B3936" s="50"/>
    </row>
    <row r="3937">
      <c r="A3937" s="50"/>
      <c r="B3937" s="50"/>
    </row>
    <row r="3938">
      <c r="A3938" s="50"/>
      <c r="B3938" s="50"/>
    </row>
    <row r="3939">
      <c r="A3939" s="50"/>
      <c r="B3939" s="50"/>
    </row>
    <row r="3940">
      <c r="A3940" s="50"/>
      <c r="B3940" s="50"/>
    </row>
    <row r="3941">
      <c r="A3941" s="50"/>
      <c r="B3941" s="50"/>
    </row>
    <row r="3942">
      <c r="A3942" s="50"/>
      <c r="B3942" s="50"/>
    </row>
    <row r="3943">
      <c r="A3943" s="50"/>
      <c r="B3943" s="50"/>
    </row>
    <row r="3944">
      <c r="A3944" s="50"/>
      <c r="B3944" s="50"/>
    </row>
    <row r="3945">
      <c r="A3945" s="50"/>
      <c r="B3945" s="50"/>
    </row>
    <row r="3946">
      <c r="A3946" s="50"/>
      <c r="B3946" s="50"/>
    </row>
    <row r="3947">
      <c r="A3947" s="50"/>
      <c r="B3947" s="50"/>
    </row>
    <row r="3948">
      <c r="A3948" s="50"/>
      <c r="B3948" s="50"/>
    </row>
    <row r="3949">
      <c r="A3949" s="50"/>
      <c r="B3949" s="50"/>
    </row>
    <row r="3950">
      <c r="A3950" s="50"/>
      <c r="B3950" s="50"/>
    </row>
    <row r="3951">
      <c r="A3951" s="50"/>
      <c r="B3951" s="50"/>
    </row>
    <row r="3952">
      <c r="A3952" s="50"/>
      <c r="B3952" s="50"/>
    </row>
    <row r="3953">
      <c r="A3953" s="50"/>
      <c r="B3953" s="50"/>
    </row>
    <row r="3954">
      <c r="A3954" s="50"/>
      <c r="B3954" s="50"/>
    </row>
    <row r="3955">
      <c r="A3955" s="50"/>
      <c r="B3955" s="50"/>
    </row>
    <row r="3956">
      <c r="A3956" s="50"/>
      <c r="B3956" s="50"/>
    </row>
    <row r="3957">
      <c r="A3957" s="50"/>
      <c r="B3957" s="50"/>
    </row>
    <row r="3958">
      <c r="A3958" s="50"/>
      <c r="B3958" s="50"/>
    </row>
    <row r="3959">
      <c r="A3959" s="50"/>
      <c r="B3959" s="50"/>
    </row>
    <row r="3960">
      <c r="A3960" s="50"/>
      <c r="B3960" s="50"/>
    </row>
    <row r="3961">
      <c r="A3961" s="50"/>
      <c r="B3961" s="50"/>
    </row>
    <row r="3962">
      <c r="A3962" s="50"/>
      <c r="B3962" s="50"/>
    </row>
    <row r="3963">
      <c r="A3963" s="50"/>
      <c r="B3963" s="50"/>
    </row>
    <row r="3964">
      <c r="A3964" s="50"/>
      <c r="B3964" s="50"/>
    </row>
    <row r="3965">
      <c r="A3965" s="50"/>
      <c r="B3965" s="50"/>
    </row>
    <row r="3966">
      <c r="A3966" s="50"/>
      <c r="B3966" s="50"/>
    </row>
    <row r="3967">
      <c r="A3967" s="50"/>
      <c r="B3967" s="50"/>
    </row>
    <row r="3968">
      <c r="A3968" s="50"/>
      <c r="B3968" s="50"/>
    </row>
    <row r="3969">
      <c r="A3969" s="50"/>
      <c r="B3969" s="50"/>
    </row>
    <row r="3970">
      <c r="A3970" s="50"/>
      <c r="B3970" s="50"/>
    </row>
    <row r="3971">
      <c r="A3971" s="50"/>
      <c r="B3971" s="50"/>
    </row>
    <row r="3972">
      <c r="A3972" s="50"/>
      <c r="B3972" s="50"/>
    </row>
    <row r="3973">
      <c r="A3973" s="50"/>
      <c r="B3973" s="50"/>
    </row>
    <row r="3974">
      <c r="A3974" s="50"/>
      <c r="B3974" s="50"/>
    </row>
    <row r="3975">
      <c r="A3975" s="50"/>
      <c r="B3975" s="50"/>
    </row>
    <row r="3976">
      <c r="A3976" s="50"/>
      <c r="B3976" s="50"/>
    </row>
    <row r="3977">
      <c r="A3977" s="50"/>
      <c r="B3977" s="50"/>
    </row>
    <row r="3978">
      <c r="A3978" s="50"/>
      <c r="B3978" s="50"/>
    </row>
    <row r="3979">
      <c r="A3979" s="50"/>
      <c r="B3979" s="50"/>
    </row>
    <row r="3980">
      <c r="A3980" s="50"/>
      <c r="B3980" s="50"/>
    </row>
    <row r="3981">
      <c r="A3981" s="50"/>
      <c r="B3981" s="50"/>
    </row>
    <row r="3982">
      <c r="A3982" s="50"/>
      <c r="B3982" s="50"/>
    </row>
    <row r="3983">
      <c r="A3983" s="50"/>
      <c r="B3983" s="50"/>
    </row>
    <row r="3984">
      <c r="A3984" s="50"/>
      <c r="B3984" s="50"/>
    </row>
    <row r="3985">
      <c r="A3985" s="50"/>
      <c r="B3985" s="50"/>
    </row>
    <row r="3986">
      <c r="A3986" s="50"/>
      <c r="B3986" s="50"/>
    </row>
    <row r="3987">
      <c r="A3987" s="50"/>
      <c r="B3987" s="50"/>
    </row>
    <row r="3988">
      <c r="A3988" s="50"/>
      <c r="B3988" s="50"/>
    </row>
    <row r="3989">
      <c r="A3989" s="50"/>
      <c r="B3989" s="50"/>
    </row>
    <row r="3990">
      <c r="A3990" s="50"/>
      <c r="B3990" s="50"/>
    </row>
    <row r="3991">
      <c r="A3991" s="50"/>
      <c r="B3991" s="50"/>
    </row>
    <row r="3992">
      <c r="A3992" s="50"/>
      <c r="B3992" s="50"/>
    </row>
    <row r="3993">
      <c r="A3993" s="50"/>
      <c r="B3993" s="50"/>
    </row>
    <row r="3994">
      <c r="A3994" s="50"/>
      <c r="B3994" s="50"/>
    </row>
    <row r="3995">
      <c r="A3995" s="50"/>
      <c r="B3995" s="50"/>
    </row>
    <row r="3996">
      <c r="A3996" s="50"/>
      <c r="B3996" s="50"/>
    </row>
    <row r="3997">
      <c r="A3997" s="50"/>
      <c r="B3997" s="50"/>
    </row>
    <row r="3998">
      <c r="A3998" s="50"/>
      <c r="B3998" s="50"/>
    </row>
    <row r="3999">
      <c r="A3999" s="50"/>
      <c r="B3999" s="50"/>
    </row>
    <row r="4000">
      <c r="A4000" s="50"/>
      <c r="B4000" s="50"/>
    </row>
    <row r="4001">
      <c r="A4001" s="50"/>
      <c r="B4001" s="50"/>
    </row>
    <row r="4002">
      <c r="A4002" s="50"/>
      <c r="B4002" s="50"/>
    </row>
    <row r="4003">
      <c r="A4003" s="50"/>
      <c r="B4003" s="50"/>
    </row>
    <row r="4004">
      <c r="A4004" s="50"/>
      <c r="B4004" s="50"/>
    </row>
    <row r="4005">
      <c r="A4005" s="50"/>
      <c r="B4005" s="50"/>
    </row>
    <row r="4006">
      <c r="A4006" s="50"/>
      <c r="B4006" s="50"/>
    </row>
    <row r="4007">
      <c r="A4007" s="50"/>
      <c r="B4007" s="50"/>
    </row>
    <row r="4008">
      <c r="A4008" s="50"/>
      <c r="B4008" s="50"/>
    </row>
    <row r="4009">
      <c r="A4009" s="50"/>
      <c r="B4009" s="50"/>
    </row>
    <row r="4010">
      <c r="A4010" s="50"/>
      <c r="B4010" s="50"/>
    </row>
    <row r="4011">
      <c r="A4011" s="50"/>
      <c r="B4011" s="50"/>
    </row>
    <row r="4012">
      <c r="A4012" s="50"/>
      <c r="B4012" s="50"/>
    </row>
    <row r="4013">
      <c r="A4013" s="50"/>
      <c r="B4013" s="50"/>
    </row>
    <row r="4014">
      <c r="A4014" s="50"/>
      <c r="B4014" s="50"/>
    </row>
    <row r="4015">
      <c r="A4015" s="50"/>
      <c r="B4015" s="50"/>
    </row>
    <row r="4016">
      <c r="A4016" s="50"/>
      <c r="B4016" s="50"/>
    </row>
    <row r="4017">
      <c r="A4017" s="50"/>
      <c r="B4017" s="50"/>
    </row>
    <row r="4018">
      <c r="A4018" s="50"/>
      <c r="B4018" s="50"/>
    </row>
    <row r="4019">
      <c r="A4019" s="50"/>
      <c r="B4019" s="50"/>
    </row>
    <row r="4020">
      <c r="A4020" s="50"/>
      <c r="B4020" s="50"/>
    </row>
    <row r="4021">
      <c r="A4021" s="50"/>
      <c r="B4021" s="50"/>
    </row>
    <row r="4022">
      <c r="A4022" s="50"/>
      <c r="B4022" s="50"/>
    </row>
    <row r="4023">
      <c r="A4023" s="50"/>
      <c r="B4023" s="50"/>
    </row>
    <row r="4024">
      <c r="A4024" s="50"/>
      <c r="B4024" s="50"/>
    </row>
    <row r="4025">
      <c r="A4025" s="50"/>
      <c r="B4025" s="50"/>
    </row>
    <row r="4026">
      <c r="A4026" s="50"/>
      <c r="B4026" s="50"/>
    </row>
    <row r="4027">
      <c r="A4027" s="50"/>
      <c r="B4027" s="50"/>
    </row>
    <row r="4028">
      <c r="A4028" s="50"/>
      <c r="B4028" s="50"/>
    </row>
    <row r="4029">
      <c r="A4029" s="50"/>
      <c r="B4029" s="50"/>
    </row>
    <row r="4030">
      <c r="A4030" s="50"/>
      <c r="B4030" s="50"/>
    </row>
    <row r="4031">
      <c r="A4031" s="50"/>
      <c r="B4031" s="50"/>
    </row>
    <row r="4032">
      <c r="A4032" s="50"/>
      <c r="B4032" s="50"/>
    </row>
    <row r="4033">
      <c r="A4033" s="50"/>
      <c r="B4033" s="50"/>
    </row>
    <row r="4034">
      <c r="A4034" s="50"/>
      <c r="B4034" s="50"/>
    </row>
    <row r="4035">
      <c r="A4035" s="50"/>
      <c r="B4035" s="50"/>
    </row>
    <row r="4036">
      <c r="A4036" s="50"/>
      <c r="B4036" s="50"/>
    </row>
    <row r="4037">
      <c r="A4037" s="50"/>
      <c r="B4037" s="50"/>
    </row>
    <row r="4038">
      <c r="A4038" s="50"/>
      <c r="B4038" s="50"/>
    </row>
    <row r="4039">
      <c r="A4039" s="50"/>
      <c r="B4039" s="50"/>
    </row>
    <row r="4040">
      <c r="A4040" s="50"/>
      <c r="B4040" s="50"/>
    </row>
    <row r="4041">
      <c r="A4041" s="50"/>
      <c r="B4041" s="50"/>
    </row>
    <row r="4042">
      <c r="A4042" s="50"/>
      <c r="B4042" s="50"/>
    </row>
    <row r="4043">
      <c r="A4043" s="50"/>
      <c r="B4043" s="50"/>
    </row>
    <row r="4044">
      <c r="A4044" s="50"/>
      <c r="B4044" s="50"/>
    </row>
    <row r="4045">
      <c r="A4045" s="50"/>
      <c r="B4045" s="50"/>
    </row>
    <row r="4046">
      <c r="A4046" s="50"/>
      <c r="B4046" s="50"/>
    </row>
    <row r="4047">
      <c r="A4047" s="50"/>
      <c r="B4047" s="50"/>
    </row>
    <row r="4048">
      <c r="A4048" s="50"/>
      <c r="B4048" s="50"/>
    </row>
    <row r="4049">
      <c r="A4049" s="50"/>
      <c r="B4049" s="50"/>
    </row>
    <row r="4050">
      <c r="A4050" s="50"/>
      <c r="B4050" s="50"/>
    </row>
    <row r="4051">
      <c r="A4051" s="50"/>
      <c r="B4051" s="50"/>
    </row>
    <row r="4052">
      <c r="A4052" s="50"/>
      <c r="B4052" s="50"/>
    </row>
    <row r="4053">
      <c r="A4053" s="50"/>
      <c r="B4053" s="50"/>
    </row>
    <row r="4054">
      <c r="A4054" s="50"/>
      <c r="B4054" s="50"/>
    </row>
    <row r="4055">
      <c r="A4055" s="50"/>
      <c r="B4055" s="50"/>
    </row>
    <row r="4056">
      <c r="A4056" s="50"/>
      <c r="B4056" s="50"/>
    </row>
    <row r="4057">
      <c r="A4057" s="50"/>
      <c r="B4057" s="50"/>
    </row>
    <row r="4058">
      <c r="A4058" s="50"/>
      <c r="B4058" s="50"/>
    </row>
    <row r="4059">
      <c r="A4059" s="50"/>
      <c r="B4059" s="50"/>
    </row>
    <row r="4060">
      <c r="A4060" s="50"/>
      <c r="B4060" s="50"/>
    </row>
    <row r="4061">
      <c r="A4061" s="50"/>
      <c r="B4061" s="50"/>
    </row>
    <row r="4062">
      <c r="A4062" s="50"/>
      <c r="B4062" s="50"/>
    </row>
    <row r="4063">
      <c r="A4063" s="50"/>
      <c r="B4063" s="50"/>
    </row>
    <row r="4064">
      <c r="A4064" s="50"/>
      <c r="B4064" s="50"/>
    </row>
    <row r="4065">
      <c r="A4065" s="50"/>
      <c r="B4065" s="50"/>
    </row>
    <row r="4066">
      <c r="A4066" s="50"/>
      <c r="B4066" s="50"/>
    </row>
    <row r="4067">
      <c r="A4067" s="50"/>
      <c r="B4067" s="50"/>
    </row>
    <row r="4068">
      <c r="A4068" s="50"/>
      <c r="B4068" s="50"/>
    </row>
    <row r="4069">
      <c r="A4069" s="50"/>
      <c r="B4069" s="50"/>
    </row>
    <row r="4070">
      <c r="A4070" s="50"/>
      <c r="B4070" s="50"/>
    </row>
    <row r="4071">
      <c r="A4071" s="50"/>
      <c r="B4071" s="50"/>
    </row>
    <row r="4072">
      <c r="A4072" s="50"/>
      <c r="B4072" s="50"/>
    </row>
    <row r="4073">
      <c r="A4073" s="50"/>
      <c r="B4073" s="50"/>
    </row>
    <row r="4074">
      <c r="A4074" s="50"/>
      <c r="B4074" s="50"/>
    </row>
    <row r="4075">
      <c r="A4075" s="50"/>
      <c r="B4075" s="50"/>
    </row>
    <row r="4076">
      <c r="A4076" s="50"/>
      <c r="B4076" s="50"/>
    </row>
    <row r="4077">
      <c r="A4077" s="50"/>
      <c r="B4077" s="50"/>
    </row>
    <row r="4078">
      <c r="A4078" s="50"/>
      <c r="B4078" s="50"/>
    </row>
    <row r="4079">
      <c r="A4079" s="50"/>
      <c r="B4079" s="50"/>
    </row>
    <row r="4080">
      <c r="A4080" s="50"/>
      <c r="B4080" s="50"/>
    </row>
    <row r="4081">
      <c r="A4081" s="50"/>
      <c r="B4081" s="50"/>
    </row>
    <row r="4082">
      <c r="A4082" s="50"/>
      <c r="B4082" s="50"/>
    </row>
    <row r="4083">
      <c r="A4083" s="50"/>
      <c r="B4083" s="50"/>
    </row>
    <row r="4084">
      <c r="A4084" s="50"/>
      <c r="B4084" s="50"/>
    </row>
    <row r="4085">
      <c r="A4085" s="50"/>
      <c r="B4085" s="50"/>
    </row>
    <row r="4086">
      <c r="A4086" s="50"/>
      <c r="B4086" s="50"/>
    </row>
    <row r="4087">
      <c r="A4087" s="50"/>
      <c r="B4087" s="50"/>
    </row>
    <row r="4088">
      <c r="A4088" s="50"/>
      <c r="B4088" s="50"/>
    </row>
    <row r="4089">
      <c r="A4089" s="50"/>
      <c r="B4089" s="50"/>
    </row>
    <row r="4090">
      <c r="A4090" s="50"/>
      <c r="B4090" s="50"/>
    </row>
    <row r="4091">
      <c r="A4091" s="50"/>
      <c r="B4091" s="50"/>
    </row>
    <row r="4092">
      <c r="A4092" s="50"/>
      <c r="B4092" s="50"/>
    </row>
    <row r="4093">
      <c r="A4093" s="50"/>
      <c r="B4093" s="50"/>
    </row>
    <row r="4094">
      <c r="A4094" s="50"/>
      <c r="B4094" s="50"/>
    </row>
    <row r="4095">
      <c r="A4095" s="50"/>
      <c r="B4095" s="50"/>
    </row>
    <row r="4096">
      <c r="A4096" s="50"/>
      <c r="B4096" s="50"/>
    </row>
    <row r="4097">
      <c r="A4097" s="50"/>
      <c r="B4097" s="50"/>
    </row>
    <row r="4098">
      <c r="A4098" s="50"/>
      <c r="B4098" s="50"/>
    </row>
    <row r="4099">
      <c r="A4099" s="50"/>
      <c r="B4099" s="50"/>
    </row>
    <row r="4100">
      <c r="A4100" s="50"/>
      <c r="B4100" s="50"/>
    </row>
    <row r="4101">
      <c r="A4101" s="50"/>
      <c r="B4101" s="50"/>
    </row>
    <row r="4102">
      <c r="A4102" s="50"/>
      <c r="B4102" s="50"/>
    </row>
    <row r="4103">
      <c r="A4103" s="50"/>
      <c r="B4103" s="50"/>
    </row>
    <row r="4104">
      <c r="A4104" s="50"/>
      <c r="B4104" s="50"/>
    </row>
    <row r="4105">
      <c r="A4105" s="50"/>
      <c r="B4105" s="50"/>
    </row>
    <row r="4106">
      <c r="A4106" s="50"/>
      <c r="B4106" s="50"/>
    </row>
    <row r="4107">
      <c r="A4107" s="50"/>
      <c r="B4107" s="50"/>
    </row>
    <row r="4108">
      <c r="A4108" s="50"/>
      <c r="B4108" s="50"/>
    </row>
    <row r="4109">
      <c r="A4109" s="50"/>
      <c r="B4109" s="50"/>
    </row>
    <row r="4110">
      <c r="A4110" s="50"/>
      <c r="B4110" s="50"/>
    </row>
    <row r="4111">
      <c r="A4111" s="50"/>
      <c r="B4111" s="50"/>
    </row>
    <row r="4112">
      <c r="A4112" s="50"/>
      <c r="B4112" s="50"/>
    </row>
    <row r="4113">
      <c r="A4113" s="50"/>
      <c r="B4113" s="50"/>
    </row>
    <row r="4114">
      <c r="A4114" s="50"/>
      <c r="B4114" s="50"/>
    </row>
    <row r="4115">
      <c r="A4115" s="50"/>
      <c r="B4115" s="50"/>
    </row>
    <row r="4116">
      <c r="A4116" s="50"/>
      <c r="B4116" s="50"/>
    </row>
    <row r="4117">
      <c r="A4117" s="50"/>
      <c r="B4117" s="50"/>
    </row>
    <row r="4118">
      <c r="A4118" s="50"/>
      <c r="B4118" s="50"/>
    </row>
    <row r="4119">
      <c r="A4119" s="50"/>
      <c r="B4119" s="50"/>
    </row>
    <row r="4120">
      <c r="A4120" s="50"/>
      <c r="B4120" s="50"/>
    </row>
    <row r="4121">
      <c r="A4121" s="50"/>
      <c r="B4121" s="50"/>
    </row>
    <row r="4122">
      <c r="A4122" s="50"/>
      <c r="B4122" s="50"/>
    </row>
    <row r="4123">
      <c r="A4123" s="50"/>
      <c r="B4123" s="50"/>
    </row>
    <row r="4124">
      <c r="A4124" s="50"/>
      <c r="B4124" s="50"/>
    </row>
    <row r="4125">
      <c r="A4125" s="50"/>
      <c r="B4125" s="50"/>
    </row>
    <row r="4126">
      <c r="A4126" s="50"/>
      <c r="B4126" s="50"/>
    </row>
    <row r="4127">
      <c r="A4127" s="50"/>
      <c r="B4127" s="50"/>
    </row>
    <row r="4128">
      <c r="A4128" s="50"/>
      <c r="B4128" s="50"/>
    </row>
    <row r="4129">
      <c r="A4129" s="50"/>
      <c r="B4129" s="50"/>
    </row>
    <row r="4130">
      <c r="A4130" s="50"/>
      <c r="B4130" s="50"/>
    </row>
    <row r="4131">
      <c r="A4131" s="50"/>
      <c r="B4131" s="50"/>
    </row>
    <row r="4132">
      <c r="A4132" s="50"/>
      <c r="B4132" s="50"/>
    </row>
    <row r="4133">
      <c r="A4133" s="50"/>
      <c r="B4133" s="50"/>
    </row>
    <row r="4134">
      <c r="A4134" s="50"/>
      <c r="B4134" s="50"/>
    </row>
    <row r="4135">
      <c r="A4135" s="50"/>
      <c r="B4135" s="50"/>
    </row>
    <row r="4136">
      <c r="A4136" s="50"/>
      <c r="B4136" s="50"/>
    </row>
    <row r="4137">
      <c r="A4137" s="50"/>
      <c r="B4137" s="50"/>
    </row>
    <row r="4138">
      <c r="A4138" s="50"/>
      <c r="B4138" s="50"/>
    </row>
    <row r="4139">
      <c r="A4139" s="50"/>
      <c r="B4139" s="50"/>
    </row>
    <row r="4140">
      <c r="A4140" s="50"/>
      <c r="B4140" s="50"/>
    </row>
    <row r="4141">
      <c r="A4141" s="50"/>
      <c r="B4141" s="50"/>
    </row>
    <row r="4142">
      <c r="A4142" s="50"/>
      <c r="B4142" s="50"/>
    </row>
    <row r="4143">
      <c r="A4143" s="50"/>
      <c r="B4143" s="50"/>
    </row>
    <row r="4144">
      <c r="A4144" s="50"/>
      <c r="B4144" s="50"/>
    </row>
    <row r="4145">
      <c r="A4145" s="50"/>
      <c r="B4145" s="50"/>
    </row>
    <row r="4146">
      <c r="A4146" s="50"/>
      <c r="B4146" s="50"/>
    </row>
    <row r="4147">
      <c r="A4147" s="50"/>
      <c r="B4147" s="50"/>
    </row>
    <row r="4148">
      <c r="A4148" s="50"/>
      <c r="B4148" s="50"/>
    </row>
    <row r="4149">
      <c r="A4149" s="50"/>
      <c r="B4149" s="50"/>
    </row>
    <row r="4150">
      <c r="A4150" s="50"/>
      <c r="B4150" s="50"/>
    </row>
    <row r="4151">
      <c r="A4151" s="50"/>
      <c r="B4151" s="50"/>
    </row>
    <row r="4152">
      <c r="A4152" s="50"/>
      <c r="B4152" s="50"/>
    </row>
    <row r="4153">
      <c r="A4153" s="50"/>
      <c r="B4153" s="50"/>
    </row>
    <row r="4154">
      <c r="A4154" s="50"/>
      <c r="B4154" s="50"/>
    </row>
    <row r="4155">
      <c r="A4155" s="50"/>
      <c r="B4155" s="50"/>
    </row>
    <row r="4156">
      <c r="A4156" s="50"/>
      <c r="B4156" s="50"/>
    </row>
    <row r="4157">
      <c r="A4157" s="50"/>
      <c r="B4157" s="50"/>
    </row>
    <row r="4158">
      <c r="A4158" s="50"/>
      <c r="B4158" s="50"/>
    </row>
    <row r="4159">
      <c r="A4159" s="50"/>
      <c r="B4159" s="50"/>
    </row>
    <row r="4160">
      <c r="A4160" s="50"/>
      <c r="B4160" s="50"/>
    </row>
    <row r="4161">
      <c r="A4161" s="50"/>
      <c r="B4161" s="50"/>
    </row>
    <row r="4162">
      <c r="A4162" s="50"/>
      <c r="B4162" s="50"/>
    </row>
    <row r="4163">
      <c r="A4163" s="50"/>
      <c r="B4163" s="50"/>
    </row>
    <row r="4164">
      <c r="A4164" s="50"/>
      <c r="B4164" s="50"/>
    </row>
    <row r="4165">
      <c r="A4165" s="50"/>
      <c r="B4165" s="50"/>
    </row>
    <row r="4166">
      <c r="A4166" s="50"/>
      <c r="B4166" s="50"/>
    </row>
    <row r="4167">
      <c r="A4167" s="50"/>
      <c r="B4167" s="50"/>
    </row>
    <row r="4168">
      <c r="A4168" s="50"/>
      <c r="B4168" s="50"/>
    </row>
    <row r="4169">
      <c r="A4169" s="50"/>
      <c r="B4169" s="50"/>
    </row>
    <row r="4170">
      <c r="A4170" s="50"/>
      <c r="B4170" s="50"/>
    </row>
    <row r="4171">
      <c r="A4171" s="50"/>
      <c r="B4171" s="50"/>
    </row>
    <row r="4172">
      <c r="A4172" s="50"/>
      <c r="B4172" s="50"/>
    </row>
    <row r="4173">
      <c r="A4173" s="50"/>
      <c r="B4173" s="50"/>
    </row>
    <row r="4174">
      <c r="A4174" s="50"/>
      <c r="B4174" s="50"/>
    </row>
    <row r="4175">
      <c r="A4175" s="50"/>
      <c r="B4175" s="50"/>
    </row>
    <row r="4176">
      <c r="A4176" s="50"/>
      <c r="B4176" s="50"/>
    </row>
    <row r="4177">
      <c r="A4177" s="50"/>
      <c r="B4177" s="50"/>
    </row>
    <row r="4178">
      <c r="A4178" s="50"/>
      <c r="B4178" s="50"/>
    </row>
    <row r="4179">
      <c r="A4179" s="50"/>
      <c r="B4179" s="50"/>
    </row>
    <row r="4180">
      <c r="A4180" s="50"/>
      <c r="B4180" s="50"/>
    </row>
    <row r="4181">
      <c r="A4181" s="50"/>
      <c r="B4181" s="50"/>
    </row>
    <row r="4182">
      <c r="A4182" s="50"/>
      <c r="B4182" s="50"/>
    </row>
    <row r="4183">
      <c r="A4183" s="50"/>
      <c r="B4183" s="50"/>
    </row>
    <row r="4184">
      <c r="A4184" s="50"/>
      <c r="B4184" s="50"/>
    </row>
    <row r="4185">
      <c r="A4185" s="50"/>
      <c r="B4185" s="50"/>
    </row>
    <row r="4186">
      <c r="A4186" s="50"/>
      <c r="B4186" s="50"/>
    </row>
    <row r="4187">
      <c r="A4187" s="50"/>
      <c r="B4187" s="50"/>
    </row>
    <row r="4188">
      <c r="A4188" s="50"/>
      <c r="B4188" s="50"/>
    </row>
    <row r="4189">
      <c r="A4189" s="50"/>
      <c r="B4189" s="50"/>
    </row>
    <row r="4190">
      <c r="A4190" s="50"/>
      <c r="B4190" s="50"/>
    </row>
    <row r="4191">
      <c r="A4191" s="50"/>
      <c r="B4191" s="50"/>
    </row>
    <row r="4192">
      <c r="A4192" s="50"/>
      <c r="B4192" s="50"/>
    </row>
    <row r="4193">
      <c r="A4193" s="50"/>
      <c r="B4193" s="50"/>
    </row>
    <row r="4194">
      <c r="A4194" s="50"/>
      <c r="B4194" s="50"/>
    </row>
    <row r="4195">
      <c r="A4195" s="50"/>
      <c r="B4195" s="50"/>
    </row>
    <row r="4196">
      <c r="A4196" s="50"/>
      <c r="B4196" s="50"/>
    </row>
    <row r="4197">
      <c r="A4197" s="50"/>
      <c r="B4197" s="50"/>
    </row>
    <row r="4198">
      <c r="A4198" s="50"/>
      <c r="B4198" s="50"/>
    </row>
    <row r="4199">
      <c r="A4199" s="50"/>
      <c r="B4199" s="50"/>
    </row>
    <row r="4200">
      <c r="A4200" s="50"/>
      <c r="B4200" s="50"/>
    </row>
    <row r="4201">
      <c r="A4201" s="50"/>
      <c r="B4201" s="50"/>
    </row>
    <row r="4202">
      <c r="A4202" s="50"/>
      <c r="B4202" s="50"/>
    </row>
    <row r="4203">
      <c r="A4203" s="50"/>
      <c r="B4203" s="50"/>
    </row>
    <row r="4204">
      <c r="A4204" s="50"/>
      <c r="B4204" s="50"/>
    </row>
    <row r="4205">
      <c r="A4205" s="50"/>
      <c r="B4205" s="50"/>
    </row>
    <row r="4206">
      <c r="A4206" s="50"/>
      <c r="B4206" s="50"/>
    </row>
    <row r="4207">
      <c r="A4207" s="50"/>
      <c r="B4207" s="50"/>
    </row>
    <row r="4208">
      <c r="A4208" s="50"/>
      <c r="B4208" s="50"/>
    </row>
    <row r="4209">
      <c r="A4209" s="50"/>
      <c r="B4209" s="50"/>
    </row>
    <row r="4210">
      <c r="A4210" s="50"/>
      <c r="B4210" s="50"/>
    </row>
    <row r="4211">
      <c r="A4211" s="50"/>
      <c r="B4211" s="50"/>
    </row>
    <row r="4212">
      <c r="A4212" s="50"/>
      <c r="B4212" s="50"/>
    </row>
    <row r="4213">
      <c r="A4213" s="50"/>
      <c r="B4213" s="50"/>
    </row>
    <row r="4214">
      <c r="A4214" s="50"/>
      <c r="B4214" s="50"/>
    </row>
    <row r="4215">
      <c r="A4215" s="50"/>
      <c r="B4215" s="50"/>
    </row>
    <row r="4216">
      <c r="A4216" s="50"/>
      <c r="B4216" s="50"/>
    </row>
    <row r="4217">
      <c r="A4217" s="50"/>
      <c r="B4217" s="50"/>
    </row>
    <row r="4218">
      <c r="A4218" s="50"/>
      <c r="B4218" s="50"/>
    </row>
    <row r="4219">
      <c r="A4219" s="50"/>
      <c r="B4219" s="50"/>
    </row>
    <row r="4220">
      <c r="A4220" s="50"/>
      <c r="B4220" s="50"/>
    </row>
    <row r="4221">
      <c r="A4221" s="50"/>
      <c r="B4221" s="50"/>
    </row>
    <row r="4222">
      <c r="A4222" s="50"/>
      <c r="B4222" s="50"/>
    </row>
    <row r="4223">
      <c r="A4223" s="50"/>
      <c r="B4223" s="50"/>
    </row>
    <row r="4224">
      <c r="A4224" s="50"/>
      <c r="B4224" s="50"/>
    </row>
    <row r="4225">
      <c r="A4225" s="50"/>
      <c r="B4225" s="50"/>
    </row>
    <row r="4226">
      <c r="A4226" s="50"/>
      <c r="B4226" s="50"/>
    </row>
    <row r="4227">
      <c r="A4227" s="50"/>
      <c r="B4227" s="50"/>
    </row>
    <row r="4228">
      <c r="A4228" s="50"/>
      <c r="B4228" s="50"/>
    </row>
    <row r="4229">
      <c r="A4229" s="50"/>
      <c r="B4229" s="50"/>
    </row>
    <row r="4230">
      <c r="A4230" s="50"/>
      <c r="B4230" s="50"/>
    </row>
    <row r="4231">
      <c r="A4231" s="50"/>
      <c r="B4231" s="50"/>
    </row>
    <row r="4232">
      <c r="A4232" s="50"/>
      <c r="B4232" s="50"/>
    </row>
    <row r="4233">
      <c r="A4233" s="50"/>
      <c r="B4233" s="50"/>
    </row>
    <row r="4234">
      <c r="A4234" s="50"/>
      <c r="B4234" s="50"/>
    </row>
    <row r="4235">
      <c r="A4235" s="50"/>
      <c r="B4235" s="50"/>
    </row>
    <row r="4236">
      <c r="A4236" s="50"/>
      <c r="B4236" s="50"/>
    </row>
    <row r="4237">
      <c r="A4237" s="50"/>
      <c r="B4237" s="50"/>
    </row>
    <row r="4238">
      <c r="A4238" s="50"/>
      <c r="B4238" s="50"/>
    </row>
    <row r="4239">
      <c r="A4239" s="50"/>
      <c r="B4239" s="50"/>
    </row>
    <row r="4240">
      <c r="A4240" s="50"/>
      <c r="B4240" s="50"/>
    </row>
    <row r="4241">
      <c r="A4241" s="50"/>
      <c r="B4241" s="50"/>
    </row>
    <row r="4242">
      <c r="A4242" s="50"/>
      <c r="B4242" s="50"/>
    </row>
    <row r="4243">
      <c r="A4243" s="50"/>
      <c r="B4243" s="50"/>
    </row>
    <row r="4244">
      <c r="A4244" s="50"/>
      <c r="B4244" s="50"/>
    </row>
    <row r="4245">
      <c r="A4245" s="50"/>
      <c r="B4245" s="50"/>
    </row>
    <row r="4246">
      <c r="A4246" s="50"/>
      <c r="B4246" s="50"/>
    </row>
    <row r="4247">
      <c r="A4247" s="50"/>
      <c r="B4247" s="50"/>
    </row>
    <row r="4248">
      <c r="A4248" s="50"/>
      <c r="B4248" s="50"/>
    </row>
    <row r="4249">
      <c r="A4249" s="50"/>
      <c r="B4249" s="50"/>
    </row>
    <row r="4250">
      <c r="A4250" s="50"/>
      <c r="B4250" s="50"/>
    </row>
    <row r="4251">
      <c r="A4251" s="50"/>
      <c r="B4251" s="50"/>
    </row>
    <row r="4252">
      <c r="A4252" s="50"/>
      <c r="B4252" s="50"/>
    </row>
    <row r="4253">
      <c r="A4253" s="50"/>
      <c r="B4253" s="50"/>
    </row>
    <row r="4254">
      <c r="A4254" s="50"/>
      <c r="B4254" s="50"/>
    </row>
    <row r="4255">
      <c r="A4255" s="50"/>
      <c r="B4255" s="50"/>
    </row>
    <row r="4256">
      <c r="A4256" s="50"/>
      <c r="B4256" s="50"/>
    </row>
    <row r="4257">
      <c r="A4257" s="50"/>
      <c r="B4257" s="50"/>
    </row>
    <row r="4258">
      <c r="A4258" s="50"/>
      <c r="B4258" s="50"/>
    </row>
    <row r="4259">
      <c r="A4259" s="50"/>
      <c r="B4259" s="50"/>
    </row>
    <row r="4260">
      <c r="A4260" s="50"/>
      <c r="B4260" s="50"/>
    </row>
    <row r="4261">
      <c r="A4261" s="50"/>
      <c r="B4261" s="50"/>
    </row>
    <row r="4262">
      <c r="A4262" s="50"/>
      <c r="B4262" s="50"/>
    </row>
    <row r="4263">
      <c r="A4263" s="50"/>
      <c r="B4263" s="50"/>
    </row>
    <row r="4264">
      <c r="A4264" s="50"/>
      <c r="B4264" s="50"/>
    </row>
    <row r="4265">
      <c r="A4265" s="50"/>
      <c r="B4265" s="50"/>
    </row>
    <row r="4266">
      <c r="A4266" s="50"/>
      <c r="B4266" s="50"/>
    </row>
    <row r="4267">
      <c r="A4267" s="50"/>
      <c r="B4267" s="50"/>
    </row>
    <row r="4268">
      <c r="A4268" s="50"/>
      <c r="B4268" s="50"/>
    </row>
    <row r="4269">
      <c r="A4269" s="50"/>
      <c r="B4269" s="50"/>
    </row>
    <row r="4270">
      <c r="A4270" s="50"/>
      <c r="B4270" s="50"/>
    </row>
    <row r="4271">
      <c r="A4271" s="50"/>
      <c r="B4271" s="50"/>
    </row>
    <row r="4272">
      <c r="A4272" s="50"/>
      <c r="B4272" s="50"/>
    </row>
    <row r="4273">
      <c r="A4273" s="50"/>
      <c r="B4273" s="50"/>
    </row>
    <row r="4274">
      <c r="A4274" s="50"/>
      <c r="B4274" s="50"/>
    </row>
    <row r="4275">
      <c r="A4275" s="50"/>
      <c r="B4275" s="50"/>
    </row>
    <row r="4276">
      <c r="A4276" s="50"/>
      <c r="B4276" s="50"/>
    </row>
    <row r="4277">
      <c r="A4277" s="50"/>
      <c r="B4277" s="50"/>
    </row>
    <row r="4278">
      <c r="A4278" s="50"/>
      <c r="B4278" s="50"/>
    </row>
    <row r="4279">
      <c r="A4279" s="50"/>
      <c r="B4279" s="50"/>
    </row>
    <row r="4280">
      <c r="A4280" s="50"/>
      <c r="B4280" s="50"/>
    </row>
    <row r="4281">
      <c r="A4281" s="50"/>
      <c r="B4281" s="50"/>
    </row>
    <row r="4282">
      <c r="A4282" s="50"/>
      <c r="B4282" s="50"/>
    </row>
    <row r="4283">
      <c r="A4283" s="50"/>
      <c r="B4283" s="50"/>
    </row>
    <row r="4284">
      <c r="A4284" s="50"/>
      <c r="B4284" s="50"/>
    </row>
    <row r="4285">
      <c r="A4285" s="50"/>
      <c r="B4285" s="50"/>
    </row>
    <row r="4286">
      <c r="A4286" s="50"/>
      <c r="B4286" s="50"/>
    </row>
    <row r="4287">
      <c r="A4287" s="50"/>
      <c r="B4287" s="50"/>
    </row>
    <row r="4288">
      <c r="A4288" s="50"/>
      <c r="B4288" s="50"/>
    </row>
    <row r="4289">
      <c r="A4289" s="50"/>
      <c r="B4289" s="50"/>
    </row>
    <row r="4290">
      <c r="A4290" s="50"/>
      <c r="B4290" s="50"/>
    </row>
    <row r="4291">
      <c r="A4291" s="50"/>
      <c r="B4291" s="50"/>
    </row>
    <row r="4292">
      <c r="A4292" s="50"/>
      <c r="B4292" s="50"/>
    </row>
    <row r="4293">
      <c r="A4293" s="50"/>
      <c r="B4293" s="50"/>
    </row>
    <row r="4294">
      <c r="A4294" s="50"/>
      <c r="B4294" s="50"/>
    </row>
    <row r="4295">
      <c r="A4295" s="50"/>
      <c r="B4295" s="50"/>
    </row>
    <row r="4296">
      <c r="A4296" s="50"/>
      <c r="B4296" s="50"/>
    </row>
    <row r="4297">
      <c r="A4297" s="50"/>
      <c r="B4297" s="50"/>
    </row>
    <row r="4298">
      <c r="A4298" s="50"/>
      <c r="B4298" s="50"/>
    </row>
    <row r="4299">
      <c r="A4299" s="50"/>
      <c r="B4299" s="50"/>
    </row>
    <row r="4300">
      <c r="A4300" s="50"/>
      <c r="B4300" s="50"/>
    </row>
    <row r="4301">
      <c r="A4301" s="50"/>
      <c r="B4301" s="50"/>
    </row>
    <row r="4302">
      <c r="A4302" s="50"/>
      <c r="B4302" s="50"/>
    </row>
    <row r="4303">
      <c r="A4303" s="50"/>
      <c r="B4303" s="50"/>
    </row>
    <row r="4304">
      <c r="A4304" s="50"/>
      <c r="B4304" s="50"/>
    </row>
    <row r="4305">
      <c r="A4305" s="50"/>
      <c r="B4305" s="50"/>
    </row>
    <row r="4306">
      <c r="A4306" s="50"/>
      <c r="B4306" s="50"/>
    </row>
    <row r="4307">
      <c r="A4307" s="50"/>
      <c r="B4307" s="50"/>
    </row>
    <row r="4308">
      <c r="A4308" s="50"/>
      <c r="B4308" s="50"/>
    </row>
    <row r="4309">
      <c r="A4309" s="50"/>
      <c r="B4309" s="50"/>
    </row>
    <row r="4310">
      <c r="A4310" s="50"/>
      <c r="B4310" s="50"/>
    </row>
    <row r="4311">
      <c r="A4311" s="50"/>
      <c r="B4311" s="50"/>
    </row>
    <row r="4312">
      <c r="A4312" s="50"/>
      <c r="B4312" s="50"/>
    </row>
    <row r="4313">
      <c r="A4313" s="50"/>
      <c r="B4313" s="50"/>
    </row>
    <row r="4314">
      <c r="A4314" s="50"/>
      <c r="B4314" s="50"/>
    </row>
    <row r="4315">
      <c r="A4315" s="50"/>
      <c r="B4315" s="50"/>
    </row>
    <row r="4316">
      <c r="A4316" s="50"/>
      <c r="B4316" s="50"/>
    </row>
    <row r="4317">
      <c r="A4317" s="50"/>
      <c r="B4317" s="50"/>
    </row>
    <row r="4318">
      <c r="A4318" s="50"/>
      <c r="B4318" s="50"/>
    </row>
    <row r="4319">
      <c r="A4319" s="50"/>
      <c r="B4319" s="50"/>
    </row>
    <row r="4320">
      <c r="A4320" s="50"/>
      <c r="B4320" s="50"/>
    </row>
    <row r="4321">
      <c r="A4321" s="50"/>
      <c r="B4321" s="50"/>
    </row>
    <row r="4322">
      <c r="A4322" s="50"/>
      <c r="B4322" s="50"/>
    </row>
    <row r="4323">
      <c r="A4323" s="50"/>
      <c r="B4323" s="50"/>
    </row>
    <row r="4324">
      <c r="A4324" s="50"/>
      <c r="B4324" s="50"/>
    </row>
    <row r="4325">
      <c r="A4325" s="50"/>
      <c r="B4325" s="50"/>
    </row>
    <row r="4326">
      <c r="A4326" s="50"/>
      <c r="B4326" s="50"/>
    </row>
    <row r="4327">
      <c r="A4327" s="50"/>
      <c r="B4327" s="50"/>
    </row>
    <row r="4328">
      <c r="A4328" s="50"/>
      <c r="B4328" s="50"/>
    </row>
    <row r="4329">
      <c r="A4329" s="50"/>
      <c r="B4329" s="50"/>
    </row>
    <row r="4330">
      <c r="A4330" s="50"/>
      <c r="B4330" s="50"/>
    </row>
    <row r="4331">
      <c r="A4331" s="50"/>
      <c r="B4331" s="50"/>
    </row>
    <row r="4332">
      <c r="A4332" s="50"/>
      <c r="B4332" s="50"/>
    </row>
    <row r="4333">
      <c r="A4333" s="50"/>
      <c r="B4333" s="50"/>
    </row>
    <row r="4334">
      <c r="A4334" s="50"/>
      <c r="B4334" s="50"/>
    </row>
    <row r="4335">
      <c r="A4335" s="50"/>
      <c r="B4335" s="50"/>
    </row>
    <row r="4336">
      <c r="A4336" s="50"/>
      <c r="B4336" s="50"/>
    </row>
    <row r="4337">
      <c r="A4337" s="50"/>
      <c r="B4337" s="50"/>
    </row>
    <row r="4338">
      <c r="A4338" s="50"/>
      <c r="B4338" s="50"/>
    </row>
    <row r="4339">
      <c r="A4339" s="50"/>
      <c r="B4339" s="50"/>
    </row>
    <row r="4340">
      <c r="A4340" s="50"/>
      <c r="B4340" s="50"/>
    </row>
    <row r="4341">
      <c r="A4341" s="50"/>
      <c r="B4341" s="50"/>
    </row>
    <row r="4342">
      <c r="A4342" s="50"/>
      <c r="B4342" s="50"/>
    </row>
    <row r="4343">
      <c r="A4343" s="50"/>
      <c r="B4343" s="50"/>
    </row>
    <row r="4344">
      <c r="A4344" s="50"/>
      <c r="B4344" s="50"/>
    </row>
    <row r="4345">
      <c r="A4345" s="50"/>
      <c r="B4345" s="50"/>
    </row>
    <row r="4346">
      <c r="A4346" s="50"/>
      <c r="B4346" s="50"/>
    </row>
    <row r="4347">
      <c r="A4347" s="50"/>
      <c r="B4347" s="50"/>
    </row>
    <row r="4348">
      <c r="A4348" s="50"/>
      <c r="B4348" s="50"/>
    </row>
    <row r="4349">
      <c r="A4349" s="50"/>
      <c r="B4349" s="50"/>
    </row>
    <row r="4350">
      <c r="A4350" s="50"/>
      <c r="B4350" s="50"/>
    </row>
    <row r="4351">
      <c r="A4351" s="50"/>
      <c r="B4351" s="50"/>
    </row>
    <row r="4352">
      <c r="A4352" s="50"/>
      <c r="B4352" s="50"/>
    </row>
    <row r="4353">
      <c r="A4353" s="50"/>
      <c r="B4353" s="50"/>
    </row>
    <row r="4354">
      <c r="A4354" s="50"/>
      <c r="B4354" s="50"/>
    </row>
    <row r="4355">
      <c r="A4355" s="50"/>
      <c r="B4355" s="50"/>
    </row>
    <row r="4356">
      <c r="A4356" s="50"/>
      <c r="B4356" s="50"/>
    </row>
    <row r="4357">
      <c r="A4357" s="50"/>
      <c r="B4357" s="50"/>
    </row>
    <row r="4358">
      <c r="A4358" s="50"/>
      <c r="B4358" s="50"/>
    </row>
    <row r="4359">
      <c r="A4359" s="50"/>
      <c r="B4359" s="50"/>
    </row>
    <row r="4360">
      <c r="A4360" s="50"/>
      <c r="B4360" s="50"/>
    </row>
    <row r="4361">
      <c r="A4361" s="50"/>
      <c r="B4361" s="50"/>
    </row>
    <row r="4362">
      <c r="A4362" s="50"/>
      <c r="B4362" s="50"/>
    </row>
    <row r="4363">
      <c r="A4363" s="50"/>
      <c r="B4363" s="50"/>
    </row>
    <row r="4364">
      <c r="A4364" s="50"/>
      <c r="B4364" s="50"/>
    </row>
    <row r="4365">
      <c r="A4365" s="50"/>
      <c r="B4365" s="50"/>
    </row>
    <row r="4366">
      <c r="A4366" s="50"/>
      <c r="B4366" s="50"/>
    </row>
    <row r="4367">
      <c r="A4367" s="50"/>
      <c r="B4367" s="50"/>
    </row>
    <row r="4368">
      <c r="A4368" s="50"/>
      <c r="B4368" s="50"/>
    </row>
    <row r="4369">
      <c r="A4369" s="50"/>
      <c r="B4369" s="50"/>
    </row>
    <row r="4370">
      <c r="A4370" s="50"/>
      <c r="B4370" s="50"/>
    </row>
    <row r="4371">
      <c r="A4371" s="50"/>
      <c r="B4371" s="50"/>
    </row>
    <row r="4372">
      <c r="A4372" s="50"/>
      <c r="B4372" s="50"/>
    </row>
    <row r="4373">
      <c r="A4373" s="50"/>
      <c r="B4373" s="50"/>
    </row>
    <row r="4374">
      <c r="A4374" s="50"/>
      <c r="B4374" s="50"/>
    </row>
    <row r="4375">
      <c r="A4375" s="50"/>
      <c r="B4375" s="50"/>
    </row>
    <row r="4376">
      <c r="A4376" s="50"/>
      <c r="B4376" s="50"/>
    </row>
    <row r="4377">
      <c r="A4377" s="50"/>
      <c r="B4377" s="50"/>
    </row>
    <row r="4378">
      <c r="A4378" s="50"/>
      <c r="B4378" s="50"/>
    </row>
    <row r="4379">
      <c r="A4379" s="50"/>
      <c r="B4379" s="50"/>
    </row>
    <row r="4380">
      <c r="A4380" s="50"/>
      <c r="B4380" s="50"/>
    </row>
    <row r="4381">
      <c r="A4381" s="50"/>
      <c r="B4381" s="50"/>
    </row>
    <row r="4382">
      <c r="A4382" s="50"/>
      <c r="B4382" s="50"/>
    </row>
    <row r="4383">
      <c r="A4383" s="50"/>
      <c r="B4383" s="50"/>
    </row>
    <row r="4384">
      <c r="A4384" s="50"/>
      <c r="B4384" s="50"/>
    </row>
    <row r="4385">
      <c r="A4385" s="50"/>
      <c r="B4385" s="50"/>
    </row>
    <row r="4386">
      <c r="A4386" s="50"/>
      <c r="B4386" s="50"/>
    </row>
    <row r="4387">
      <c r="A4387" s="50"/>
      <c r="B4387" s="50"/>
    </row>
    <row r="4388">
      <c r="A4388" s="50"/>
      <c r="B4388" s="50"/>
    </row>
    <row r="4389">
      <c r="A4389" s="50"/>
      <c r="B4389" s="50"/>
    </row>
    <row r="4390">
      <c r="A4390" s="50"/>
      <c r="B4390" s="50"/>
    </row>
    <row r="4391">
      <c r="A4391" s="50"/>
      <c r="B4391" s="50"/>
    </row>
    <row r="4392">
      <c r="A4392" s="50"/>
      <c r="B4392" s="50"/>
    </row>
    <row r="4393">
      <c r="A4393" s="50"/>
      <c r="B4393" s="50"/>
    </row>
    <row r="4394">
      <c r="A4394" s="50"/>
      <c r="B4394" s="50"/>
    </row>
    <row r="4395">
      <c r="A4395" s="50"/>
      <c r="B4395" s="50"/>
    </row>
    <row r="4396">
      <c r="A4396" s="50"/>
      <c r="B4396" s="50"/>
    </row>
    <row r="4397">
      <c r="A4397" s="50"/>
      <c r="B4397" s="50"/>
    </row>
    <row r="4398">
      <c r="A4398" s="50"/>
      <c r="B4398" s="50"/>
    </row>
    <row r="4399">
      <c r="A4399" s="50"/>
      <c r="B4399" s="50"/>
    </row>
    <row r="4400">
      <c r="A4400" s="50"/>
      <c r="B4400" s="50"/>
    </row>
    <row r="4401">
      <c r="A4401" s="50"/>
      <c r="B4401" s="50"/>
    </row>
    <row r="4402">
      <c r="A4402" s="50"/>
      <c r="B4402" s="50"/>
    </row>
    <row r="4403">
      <c r="A4403" s="50"/>
      <c r="B4403" s="50"/>
    </row>
    <row r="4404">
      <c r="A4404" s="50"/>
      <c r="B4404" s="50"/>
    </row>
    <row r="4405">
      <c r="A4405" s="50"/>
      <c r="B4405" s="50"/>
    </row>
    <row r="4406">
      <c r="A4406" s="50"/>
      <c r="B4406" s="50"/>
    </row>
    <row r="4407">
      <c r="A4407" s="50"/>
      <c r="B4407" s="50"/>
    </row>
    <row r="4408">
      <c r="A4408" s="50"/>
      <c r="B4408" s="50"/>
    </row>
    <row r="4409">
      <c r="A4409" s="50"/>
      <c r="B4409" s="50"/>
    </row>
    <row r="4410">
      <c r="A4410" s="50"/>
      <c r="B4410" s="50"/>
    </row>
    <row r="4411">
      <c r="A4411" s="50"/>
      <c r="B4411" s="50"/>
    </row>
    <row r="4412">
      <c r="A4412" s="50"/>
      <c r="B4412" s="50"/>
    </row>
    <row r="4413">
      <c r="A4413" s="50"/>
      <c r="B4413" s="50"/>
    </row>
    <row r="4414">
      <c r="A4414" s="50"/>
      <c r="B4414" s="50"/>
    </row>
    <row r="4415">
      <c r="A4415" s="50"/>
      <c r="B4415" s="50"/>
    </row>
    <row r="4416">
      <c r="A4416" s="50"/>
      <c r="B4416" s="50"/>
    </row>
    <row r="4417">
      <c r="A4417" s="50"/>
      <c r="B4417" s="50"/>
    </row>
    <row r="4418">
      <c r="A4418" s="50"/>
      <c r="B4418" s="50"/>
    </row>
    <row r="4419">
      <c r="A4419" s="50"/>
      <c r="B4419" s="50"/>
    </row>
    <row r="4420">
      <c r="A4420" s="50"/>
      <c r="B4420" s="50"/>
    </row>
    <row r="4421">
      <c r="A4421" s="50"/>
      <c r="B4421" s="50"/>
    </row>
    <row r="4422">
      <c r="A4422" s="50"/>
      <c r="B4422" s="50"/>
    </row>
    <row r="4423">
      <c r="A4423" s="50"/>
      <c r="B4423" s="50"/>
    </row>
    <row r="4424">
      <c r="A4424" s="50"/>
      <c r="B4424" s="50"/>
    </row>
    <row r="4425">
      <c r="A4425" s="50"/>
      <c r="B4425" s="50"/>
    </row>
    <row r="4426">
      <c r="A4426" s="50"/>
      <c r="B4426" s="50"/>
    </row>
    <row r="4427">
      <c r="A4427" s="50"/>
      <c r="B4427" s="50"/>
    </row>
    <row r="4428">
      <c r="A4428" s="50"/>
      <c r="B4428" s="50"/>
    </row>
    <row r="4429">
      <c r="A4429" s="50"/>
      <c r="B4429" s="50"/>
    </row>
    <row r="4430">
      <c r="A4430" s="50"/>
      <c r="B4430" s="50"/>
    </row>
    <row r="4431">
      <c r="A4431" s="50"/>
      <c r="B4431" s="50"/>
    </row>
    <row r="4432">
      <c r="A4432" s="50"/>
      <c r="B4432" s="50"/>
    </row>
    <row r="4433">
      <c r="A4433" s="50"/>
      <c r="B4433" s="50"/>
    </row>
    <row r="4434">
      <c r="A4434" s="50"/>
      <c r="B4434" s="50"/>
    </row>
    <row r="4435">
      <c r="A4435" s="50"/>
      <c r="B4435" s="50"/>
    </row>
    <row r="4436">
      <c r="A4436" s="50"/>
      <c r="B4436" s="50"/>
    </row>
    <row r="4437">
      <c r="A4437" s="50"/>
      <c r="B4437" s="50"/>
    </row>
    <row r="4438">
      <c r="A4438" s="50"/>
      <c r="B4438" s="50"/>
    </row>
    <row r="4439">
      <c r="A4439" s="50"/>
      <c r="B4439" s="50"/>
    </row>
    <row r="4440">
      <c r="A4440" s="50"/>
      <c r="B4440" s="50"/>
    </row>
    <row r="4441">
      <c r="A4441" s="50"/>
      <c r="B4441" s="50"/>
    </row>
    <row r="4442">
      <c r="A4442" s="50"/>
      <c r="B4442" s="50"/>
    </row>
    <row r="4443">
      <c r="A4443" s="50"/>
      <c r="B4443" s="50"/>
    </row>
    <row r="4444">
      <c r="A4444" s="50"/>
      <c r="B4444" s="50"/>
    </row>
    <row r="4445">
      <c r="A4445" s="50"/>
      <c r="B4445" s="50"/>
    </row>
    <row r="4446">
      <c r="A4446" s="50"/>
      <c r="B4446" s="50"/>
    </row>
    <row r="4447">
      <c r="A4447" s="50"/>
      <c r="B4447" s="50"/>
    </row>
    <row r="4448">
      <c r="A4448" s="50"/>
      <c r="B4448" s="50"/>
    </row>
    <row r="4449">
      <c r="A4449" s="50"/>
      <c r="B4449" s="50"/>
    </row>
    <row r="4450">
      <c r="A4450" s="50"/>
      <c r="B4450" s="50"/>
    </row>
    <row r="4451">
      <c r="A4451" s="50"/>
      <c r="B4451" s="50"/>
    </row>
    <row r="4452">
      <c r="A4452" s="50"/>
      <c r="B4452" s="50"/>
    </row>
    <row r="4453">
      <c r="A4453" s="50"/>
      <c r="B4453" s="50"/>
    </row>
    <row r="4454">
      <c r="A4454" s="50"/>
      <c r="B4454" s="50"/>
    </row>
    <row r="4455">
      <c r="A4455" s="50"/>
      <c r="B4455" s="50"/>
    </row>
    <row r="4456">
      <c r="A4456" s="50"/>
      <c r="B4456" s="50"/>
    </row>
    <row r="4457">
      <c r="A4457" s="50"/>
      <c r="B4457" s="50"/>
    </row>
    <row r="4458">
      <c r="A4458" s="50"/>
      <c r="B4458" s="50"/>
    </row>
    <row r="4459">
      <c r="A4459" s="50"/>
      <c r="B4459" s="50"/>
    </row>
    <row r="4460">
      <c r="A4460" s="50"/>
      <c r="B4460" s="50"/>
    </row>
    <row r="4461">
      <c r="A4461" s="50"/>
      <c r="B4461" s="50"/>
    </row>
    <row r="4462">
      <c r="A4462" s="50"/>
      <c r="B4462" s="50"/>
    </row>
    <row r="4463">
      <c r="A4463" s="50"/>
      <c r="B4463" s="50"/>
    </row>
    <row r="4464">
      <c r="A4464" s="50"/>
      <c r="B4464" s="50"/>
    </row>
    <row r="4465">
      <c r="A4465" s="50"/>
      <c r="B4465" s="50"/>
    </row>
    <row r="4466">
      <c r="A4466" s="50"/>
      <c r="B4466" s="50"/>
    </row>
    <row r="4467">
      <c r="A4467" s="50"/>
      <c r="B4467" s="50"/>
    </row>
    <row r="4468">
      <c r="A4468" s="50"/>
      <c r="B4468" s="50"/>
    </row>
    <row r="4469">
      <c r="A4469" s="50"/>
      <c r="B4469" s="50"/>
    </row>
    <row r="4470">
      <c r="A4470" s="50"/>
      <c r="B4470" s="50"/>
    </row>
    <row r="4471">
      <c r="A4471" s="50"/>
      <c r="B4471" s="50"/>
    </row>
    <row r="4472">
      <c r="A4472" s="50"/>
      <c r="B4472" s="50"/>
    </row>
    <row r="4473">
      <c r="A4473" s="50"/>
      <c r="B4473" s="50"/>
    </row>
    <row r="4474">
      <c r="A4474" s="50"/>
      <c r="B4474" s="50"/>
    </row>
    <row r="4475">
      <c r="A4475" s="50"/>
      <c r="B4475" s="50"/>
    </row>
    <row r="4476">
      <c r="A4476" s="50"/>
      <c r="B4476" s="50"/>
    </row>
    <row r="4477">
      <c r="A4477" s="50"/>
      <c r="B4477" s="50"/>
    </row>
    <row r="4478">
      <c r="A4478" s="50"/>
      <c r="B4478" s="50"/>
    </row>
    <row r="4479">
      <c r="A4479" s="50"/>
      <c r="B4479" s="50"/>
    </row>
    <row r="4480">
      <c r="A4480" s="50"/>
      <c r="B4480" s="50"/>
    </row>
    <row r="4481">
      <c r="A4481" s="50"/>
      <c r="B4481" s="50"/>
    </row>
    <row r="4482">
      <c r="A4482" s="50"/>
      <c r="B4482" s="50"/>
    </row>
    <row r="4483">
      <c r="A4483" s="50"/>
      <c r="B4483" s="50"/>
    </row>
    <row r="4484">
      <c r="A4484" s="50"/>
      <c r="B4484" s="50"/>
    </row>
    <row r="4485">
      <c r="A4485" s="50"/>
      <c r="B4485" s="50"/>
    </row>
    <row r="4486">
      <c r="A4486" s="50"/>
      <c r="B4486" s="50"/>
    </row>
    <row r="4487">
      <c r="A4487" s="50"/>
      <c r="B4487" s="50"/>
    </row>
    <row r="4488">
      <c r="A4488" s="50"/>
      <c r="B4488" s="50"/>
    </row>
    <row r="4489">
      <c r="A4489" s="50"/>
      <c r="B4489" s="50"/>
    </row>
    <row r="4490">
      <c r="A4490" s="50"/>
      <c r="B4490" s="50"/>
    </row>
    <row r="4491">
      <c r="A4491" s="50"/>
      <c r="B4491" s="50"/>
    </row>
    <row r="4492">
      <c r="A4492" s="50"/>
      <c r="B4492" s="50"/>
    </row>
    <row r="4493">
      <c r="A4493" s="50"/>
      <c r="B4493" s="50"/>
    </row>
    <row r="4494">
      <c r="A4494" s="50"/>
      <c r="B4494" s="50"/>
    </row>
    <row r="4495">
      <c r="A4495" s="50"/>
      <c r="B4495" s="50"/>
    </row>
    <row r="4496">
      <c r="A4496" s="50"/>
      <c r="B4496" s="50"/>
    </row>
    <row r="4497">
      <c r="A4497" s="50"/>
      <c r="B4497" s="50"/>
    </row>
    <row r="4498">
      <c r="A4498" s="50"/>
      <c r="B4498" s="50"/>
    </row>
    <row r="4499">
      <c r="A4499" s="50"/>
      <c r="B4499" s="50"/>
    </row>
    <row r="4500">
      <c r="A4500" s="50"/>
      <c r="B4500" s="50"/>
    </row>
    <row r="4501">
      <c r="A4501" s="50"/>
      <c r="B4501" s="50"/>
    </row>
    <row r="4502">
      <c r="A4502" s="50"/>
      <c r="B4502" s="50"/>
    </row>
    <row r="4503">
      <c r="A4503" s="50"/>
      <c r="B4503" s="50"/>
    </row>
    <row r="4504">
      <c r="A4504" s="50"/>
      <c r="B4504" s="50"/>
    </row>
    <row r="4505">
      <c r="A4505" s="50"/>
      <c r="B4505" s="50"/>
    </row>
    <row r="4506">
      <c r="A4506" s="50"/>
      <c r="B4506" s="50"/>
    </row>
    <row r="4507">
      <c r="A4507" s="50"/>
      <c r="B4507" s="50"/>
    </row>
    <row r="4508">
      <c r="A4508" s="50"/>
      <c r="B4508" s="50"/>
    </row>
    <row r="4509">
      <c r="A4509" s="50"/>
      <c r="B4509" s="50"/>
    </row>
    <row r="4510">
      <c r="A4510" s="50"/>
      <c r="B4510" s="50"/>
    </row>
    <row r="4511">
      <c r="A4511" s="50"/>
      <c r="B4511" s="50"/>
    </row>
    <row r="4512">
      <c r="A4512" s="50"/>
      <c r="B4512" s="50"/>
    </row>
    <row r="4513">
      <c r="A4513" s="50"/>
      <c r="B4513" s="50"/>
    </row>
    <row r="4514">
      <c r="A4514" s="50"/>
      <c r="B4514" s="50"/>
    </row>
    <row r="4515">
      <c r="A4515" s="50"/>
      <c r="B4515" s="50"/>
    </row>
    <row r="4516">
      <c r="A4516" s="50"/>
      <c r="B4516" s="50"/>
    </row>
    <row r="4517">
      <c r="A4517" s="50"/>
      <c r="B4517" s="50"/>
    </row>
    <row r="4518">
      <c r="A4518" s="50"/>
      <c r="B4518" s="50"/>
    </row>
    <row r="4519">
      <c r="A4519" s="50"/>
      <c r="B4519" s="50"/>
    </row>
    <row r="4520">
      <c r="A4520" s="50"/>
      <c r="B4520" s="50"/>
    </row>
    <row r="4521">
      <c r="A4521" s="50"/>
      <c r="B4521" s="50"/>
    </row>
    <row r="4522">
      <c r="A4522" s="50"/>
      <c r="B4522" s="50"/>
    </row>
    <row r="4523">
      <c r="A4523" s="50"/>
      <c r="B4523" s="50"/>
    </row>
    <row r="4524">
      <c r="A4524" s="50"/>
      <c r="B4524" s="50"/>
    </row>
    <row r="4525">
      <c r="A4525" s="50"/>
      <c r="B4525" s="50"/>
    </row>
    <row r="4526">
      <c r="A4526" s="50"/>
      <c r="B4526" s="50"/>
    </row>
    <row r="4527">
      <c r="A4527" s="50"/>
      <c r="B4527" s="50"/>
    </row>
    <row r="4528">
      <c r="A4528" s="50"/>
      <c r="B4528" s="50"/>
    </row>
    <row r="4529">
      <c r="A4529" s="50"/>
      <c r="B4529" s="50"/>
    </row>
    <row r="4530">
      <c r="A4530" s="50"/>
      <c r="B4530" s="50"/>
    </row>
    <row r="4531">
      <c r="A4531" s="50"/>
      <c r="B4531" s="50"/>
    </row>
    <row r="4532">
      <c r="A4532" s="50"/>
      <c r="B4532" s="50"/>
    </row>
    <row r="4533">
      <c r="A4533" s="50"/>
      <c r="B4533" s="50"/>
    </row>
    <row r="4534">
      <c r="A4534" s="50"/>
      <c r="B4534" s="50"/>
    </row>
    <row r="4535">
      <c r="A4535" s="50"/>
      <c r="B4535" s="50"/>
    </row>
    <row r="4536">
      <c r="A4536" s="50"/>
      <c r="B4536" s="50"/>
    </row>
    <row r="4537">
      <c r="A4537" s="50"/>
      <c r="B4537" s="50"/>
    </row>
    <row r="4538">
      <c r="A4538" s="50"/>
      <c r="B4538" s="50"/>
    </row>
    <row r="4539">
      <c r="A4539" s="50"/>
      <c r="B4539" s="50"/>
    </row>
    <row r="4540">
      <c r="A4540" s="50"/>
      <c r="B4540" s="50"/>
    </row>
    <row r="4541">
      <c r="A4541" s="50"/>
      <c r="B4541" s="50"/>
    </row>
    <row r="4542">
      <c r="A4542" s="50"/>
      <c r="B4542" s="50"/>
    </row>
    <row r="4543">
      <c r="A4543" s="50"/>
      <c r="B4543" s="50"/>
    </row>
    <row r="4544">
      <c r="A4544" s="50"/>
      <c r="B4544" s="50"/>
    </row>
    <row r="4545">
      <c r="A4545" s="50"/>
      <c r="B4545" s="50"/>
    </row>
    <row r="4546">
      <c r="A4546" s="50"/>
      <c r="B4546" s="50"/>
    </row>
    <row r="4547">
      <c r="A4547" s="50"/>
      <c r="B4547" s="50"/>
    </row>
    <row r="4548">
      <c r="A4548" s="50"/>
      <c r="B4548" s="50"/>
    </row>
    <row r="4549">
      <c r="A4549" s="50"/>
      <c r="B4549" s="50"/>
    </row>
    <row r="4550">
      <c r="A4550" s="50"/>
      <c r="B4550" s="50"/>
    </row>
    <row r="4551">
      <c r="A4551" s="50"/>
      <c r="B4551" s="50"/>
    </row>
    <row r="4552">
      <c r="A4552" s="50"/>
      <c r="B4552" s="50"/>
    </row>
    <row r="4553">
      <c r="A4553" s="50"/>
      <c r="B4553" s="50"/>
    </row>
    <row r="4554">
      <c r="A4554" s="50"/>
      <c r="B4554" s="50"/>
    </row>
    <row r="4555">
      <c r="A4555" s="50"/>
      <c r="B4555" s="50"/>
    </row>
    <row r="4556">
      <c r="A4556" s="50"/>
      <c r="B4556" s="50"/>
    </row>
    <row r="4557">
      <c r="A4557" s="50"/>
      <c r="B4557" s="50"/>
    </row>
    <row r="4558">
      <c r="A4558" s="50"/>
      <c r="B4558" s="50"/>
    </row>
    <row r="4559">
      <c r="A4559" s="50"/>
      <c r="B4559" s="50"/>
    </row>
    <row r="4560">
      <c r="A4560" s="50"/>
      <c r="B4560" s="50"/>
    </row>
    <row r="4561">
      <c r="A4561" s="50"/>
      <c r="B4561" s="50"/>
    </row>
    <row r="4562">
      <c r="A4562" s="50"/>
      <c r="B4562" s="50"/>
    </row>
    <row r="4563">
      <c r="A4563" s="50"/>
      <c r="B4563" s="50"/>
    </row>
    <row r="4564">
      <c r="A4564" s="50"/>
      <c r="B4564" s="50"/>
    </row>
    <row r="4565">
      <c r="A4565" s="50"/>
      <c r="B4565" s="50"/>
    </row>
    <row r="4566">
      <c r="A4566" s="50"/>
      <c r="B4566" s="50"/>
    </row>
    <row r="4567">
      <c r="A4567" s="50"/>
      <c r="B4567" s="50"/>
    </row>
    <row r="4568">
      <c r="A4568" s="50"/>
      <c r="B4568" s="50"/>
    </row>
    <row r="4569">
      <c r="A4569" s="50"/>
      <c r="B4569" s="50"/>
    </row>
    <row r="4570">
      <c r="A4570" s="50"/>
      <c r="B4570" s="50"/>
    </row>
    <row r="4571">
      <c r="A4571" s="50"/>
      <c r="B4571" s="50"/>
    </row>
    <row r="4572">
      <c r="A4572" s="50"/>
      <c r="B4572" s="50"/>
    </row>
    <row r="4573">
      <c r="A4573" s="50"/>
      <c r="B4573" s="50"/>
    </row>
    <row r="4574">
      <c r="A4574" s="50"/>
      <c r="B4574" s="50"/>
    </row>
    <row r="4575">
      <c r="A4575" s="50"/>
      <c r="B4575" s="50"/>
    </row>
    <row r="4576">
      <c r="A4576" s="50"/>
      <c r="B4576" s="50"/>
    </row>
    <row r="4577">
      <c r="A4577" s="50"/>
      <c r="B4577" s="50"/>
    </row>
    <row r="4578">
      <c r="A4578" s="50"/>
      <c r="B4578" s="50"/>
    </row>
    <row r="4579">
      <c r="A4579" s="50"/>
      <c r="B4579" s="50"/>
    </row>
    <row r="4580">
      <c r="A4580" s="50"/>
      <c r="B4580" s="50"/>
    </row>
    <row r="4581">
      <c r="A4581" s="50"/>
      <c r="B4581" s="50"/>
    </row>
    <row r="4582">
      <c r="A4582" s="50"/>
      <c r="B4582" s="50"/>
    </row>
    <row r="4583">
      <c r="A4583" s="50"/>
      <c r="B4583" s="50"/>
    </row>
    <row r="4584">
      <c r="A4584" s="50"/>
      <c r="B4584" s="50"/>
    </row>
    <row r="4585">
      <c r="A4585" s="50"/>
      <c r="B4585" s="50"/>
    </row>
    <row r="4586">
      <c r="A4586" s="50"/>
      <c r="B4586" s="50"/>
    </row>
    <row r="4587">
      <c r="A4587" s="50"/>
      <c r="B4587" s="50"/>
    </row>
    <row r="4588">
      <c r="A4588" s="50"/>
      <c r="B4588" s="50"/>
    </row>
    <row r="4589">
      <c r="A4589" s="50"/>
      <c r="B4589" s="50"/>
    </row>
    <row r="4590">
      <c r="A4590" s="50"/>
      <c r="B4590" s="50"/>
    </row>
    <row r="4591">
      <c r="A4591" s="50"/>
      <c r="B4591" s="50"/>
    </row>
    <row r="4592">
      <c r="A4592" s="50"/>
      <c r="B4592" s="50"/>
    </row>
    <row r="4593">
      <c r="A4593" s="50"/>
      <c r="B4593" s="50"/>
    </row>
    <row r="4594">
      <c r="A4594" s="50"/>
      <c r="B4594" s="50"/>
    </row>
    <row r="4595">
      <c r="A4595" s="50"/>
      <c r="B4595" s="50"/>
    </row>
    <row r="4596">
      <c r="A4596" s="50"/>
      <c r="B4596" s="50"/>
    </row>
    <row r="4597">
      <c r="A4597" s="50"/>
      <c r="B4597" s="50"/>
    </row>
    <row r="4598">
      <c r="A4598" s="50"/>
      <c r="B4598" s="50"/>
    </row>
    <row r="4599">
      <c r="A4599" s="50"/>
      <c r="B4599" s="50"/>
    </row>
    <row r="4600">
      <c r="A4600" s="50"/>
      <c r="B4600" s="50"/>
    </row>
    <row r="4601">
      <c r="A4601" s="50"/>
      <c r="B4601" s="50"/>
    </row>
    <row r="4602">
      <c r="A4602" s="50"/>
      <c r="B4602" s="50"/>
    </row>
    <row r="4603">
      <c r="A4603" s="50"/>
      <c r="B4603" s="50"/>
    </row>
    <row r="4604">
      <c r="A4604" s="50"/>
      <c r="B4604" s="50"/>
    </row>
    <row r="4605">
      <c r="A4605" s="50"/>
      <c r="B4605" s="50"/>
    </row>
    <row r="4606">
      <c r="A4606" s="50"/>
      <c r="B4606" s="50"/>
    </row>
    <row r="4607">
      <c r="A4607" s="50"/>
      <c r="B4607" s="50"/>
    </row>
    <row r="4608">
      <c r="A4608" s="50"/>
      <c r="B4608" s="50"/>
    </row>
    <row r="4609">
      <c r="A4609" s="50"/>
      <c r="B4609" s="50"/>
    </row>
    <row r="4610">
      <c r="A4610" s="50"/>
      <c r="B4610" s="50"/>
    </row>
    <row r="4611">
      <c r="A4611" s="50"/>
      <c r="B4611" s="50"/>
    </row>
    <row r="4612">
      <c r="A4612" s="50"/>
      <c r="B4612" s="50"/>
    </row>
    <row r="4613">
      <c r="A4613" s="50"/>
      <c r="B4613" s="50"/>
    </row>
    <row r="4614">
      <c r="A4614" s="50"/>
      <c r="B4614" s="50"/>
    </row>
    <row r="4615">
      <c r="A4615" s="50"/>
      <c r="B4615" s="50"/>
    </row>
    <row r="4616">
      <c r="A4616" s="50"/>
      <c r="B4616" s="50"/>
    </row>
    <row r="4617">
      <c r="A4617" s="50"/>
      <c r="B4617" s="50"/>
    </row>
    <row r="4618">
      <c r="A4618" s="50"/>
      <c r="B4618" s="50"/>
    </row>
    <row r="4619">
      <c r="A4619" s="50"/>
      <c r="B4619" s="50"/>
    </row>
    <row r="4620">
      <c r="A4620" s="50"/>
      <c r="B4620" s="50"/>
    </row>
    <row r="4621">
      <c r="A4621" s="50"/>
      <c r="B4621" s="50"/>
    </row>
    <row r="4622">
      <c r="A4622" s="50"/>
      <c r="B4622" s="50"/>
    </row>
    <row r="4623">
      <c r="A4623" s="50"/>
      <c r="B4623" s="50"/>
    </row>
    <row r="4624">
      <c r="A4624" s="50"/>
      <c r="B4624" s="50"/>
    </row>
    <row r="4625">
      <c r="A4625" s="50"/>
      <c r="B4625" s="50"/>
    </row>
    <row r="4626">
      <c r="A4626" s="50"/>
      <c r="B4626" s="50"/>
    </row>
    <row r="4627">
      <c r="A4627" s="50"/>
      <c r="B4627" s="50"/>
    </row>
    <row r="4628">
      <c r="A4628" s="50"/>
      <c r="B4628" s="50"/>
    </row>
    <row r="4629">
      <c r="A4629" s="50"/>
      <c r="B4629" s="50"/>
    </row>
    <row r="4630">
      <c r="A4630" s="50"/>
      <c r="B4630" s="50"/>
    </row>
    <row r="4631">
      <c r="A4631" s="50"/>
      <c r="B4631" s="50"/>
    </row>
    <row r="4632">
      <c r="A4632" s="50"/>
      <c r="B4632" s="50"/>
    </row>
    <row r="4633">
      <c r="A4633" s="50"/>
      <c r="B4633" s="50"/>
    </row>
    <row r="4634">
      <c r="A4634" s="50"/>
      <c r="B4634" s="50"/>
    </row>
    <row r="4635">
      <c r="A4635" s="50"/>
      <c r="B4635" s="50"/>
    </row>
    <row r="4636">
      <c r="A4636" s="50"/>
      <c r="B4636" s="50"/>
    </row>
    <row r="4637">
      <c r="A4637" s="50"/>
      <c r="B4637" s="50"/>
    </row>
    <row r="4638">
      <c r="A4638" s="50"/>
      <c r="B4638" s="50"/>
    </row>
    <row r="4639">
      <c r="A4639" s="50"/>
      <c r="B4639" s="50"/>
    </row>
    <row r="4640">
      <c r="A4640" s="50"/>
      <c r="B4640" s="50"/>
    </row>
    <row r="4641">
      <c r="A4641" s="50"/>
      <c r="B4641" s="50"/>
    </row>
    <row r="4642">
      <c r="A4642" s="50"/>
      <c r="B4642" s="50"/>
    </row>
    <row r="4643">
      <c r="A4643" s="50"/>
      <c r="B4643" s="50"/>
    </row>
    <row r="4644">
      <c r="A4644" s="50"/>
      <c r="B4644" s="50"/>
    </row>
    <row r="4645">
      <c r="A4645" s="50"/>
      <c r="B4645" s="50"/>
    </row>
    <row r="4646">
      <c r="A4646" s="50"/>
      <c r="B4646" s="50"/>
    </row>
    <row r="4647">
      <c r="A4647" s="50"/>
      <c r="B4647" s="50"/>
    </row>
    <row r="4648">
      <c r="A4648" s="50"/>
      <c r="B4648" s="50"/>
    </row>
    <row r="4649">
      <c r="A4649" s="50"/>
      <c r="B4649" s="50"/>
    </row>
    <row r="4650">
      <c r="A4650" s="50"/>
      <c r="B4650" s="50"/>
    </row>
    <row r="4651">
      <c r="A4651" s="50"/>
      <c r="B4651" s="50"/>
    </row>
    <row r="4652">
      <c r="A4652" s="50"/>
      <c r="B4652" s="50"/>
    </row>
    <row r="4653">
      <c r="A4653" s="50"/>
      <c r="B4653" s="50"/>
    </row>
    <row r="4654">
      <c r="A4654" s="50"/>
      <c r="B4654" s="50"/>
    </row>
    <row r="4655">
      <c r="A4655" s="50"/>
      <c r="B4655" s="50"/>
    </row>
    <row r="4656">
      <c r="A4656" s="50"/>
      <c r="B4656" s="50"/>
    </row>
    <row r="4657">
      <c r="A4657" s="50"/>
      <c r="B4657" s="50"/>
    </row>
    <row r="4658">
      <c r="A4658" s="50"/>
      <c r="B4658" s="50"/>
    </row>
    <row r="4659">
      <c r="A4659" s="50"/>
      <c r="B4659" s="50"/>
    </row>
    <row r="4660">
      <c r="A4660" s="50"/>
      <c r="B4660" s="50"/>
    </row>
    <row r="4661">
      <c r="A4661" s="50"/>
      <c r="B4661" s="50"/>
    </row>
    <row r="4662">
      <c r="A4662" s="50"/>
      <c r="B4662" s="50"/>
    </row>
    <row r="4663">
      <c r="A4663" s="50"/>
      <c r="B4663" s="50"/>
    </row>
    <row r="4664">
      <c r="A4664" s="50"/>
      <c r="B4664" s="50"/>
    </row>
    <row r="4665">
      <c r="A4665" s="50"/>
      <c r="B4665" s="50"/>
    </row>
    <row r="4666">
      <c r="A4666" s="50"/>
      <c r="B4666" s="50"/>
    </row>
    <row r="4667">
      <c r="A4667" s="50"/>
      <c r="B4667" s="50"/>
    </row>
    <row r="4668">
      <c r="A4668" s="50"/>
      <c r="B4668" s="50"/>
    </row>
    <row r="4669">
      <c r="A4669" s="50"/>
      <c r="B4669" s="50"/>
    </row>
    <row r="4670">
      <c r="A4670" s="50"/>
      <c r="B4670" s="50"/>
    </row>
    <row r="4671">
      <c r="A4671" s="50"/>
      <c r="B4671" s="50"/>
    </row>
    <row r="4672">
      <c r="A4672" s="50"/>
      <c r="B4672" s="50"/>
    </row>
    <row r="4673">
      <c r="A4673" s="50"/>
      <c r="B4673" s="50"/>
    </row>
    <row r="4674">
      <c r="A4674" s="50"/>
      <c r="B4674" s="50"/>
    </row>
    <row r="4675">
      <c r="A4675" s="50"/>
      <c r="B4675" s="50"/>
    </row>
    <row r="4676">
      <c r="A4676" s="50"/>
      <c r="B4676" s="50"/>
    </row>
    <row r="4677">
      <c r="A4677" s="50"/>
      <c r="B4677" s="50"/>
    </row>
    <row r="4678">
      <c r="A4678" s="50"/>
      <c r="B4678" s="50"/>
    </row>
    <row r="4679">
      <c r="A4679" s="50"/>
      <c r="B4679" s="50"/>
    </row>
    <row r="4680">
      <c r="A4680" s="50"/>
      <c r="B4680" s="50"/>
    </row>
    <row r="4681">
      <c r="A4681" s="50"/>
      <c r="B4681" s="50"/>
    </row>
    <row r="4682">
      <c r="A4682" s="50"/>
      <c r="B4682" s="50"/>
    </row>
    <row r="4683">
      <c r="A4683" s="50"/>
      <c r="B4683" s="50"/>
    </row>
    <row r="4684">
      <c r="A4684" s="50"/>
      <c r="B4684" s="50"/>
    </row>
    <row r="4685">
      <c r="A4685" s="50"/>
      <c r="B4685" s="50"/>
    </row>
    <row r="4686">
      <c r="A4686" s="50"/>
      <c r="B4686" s="50"/>
    </row>
    <row r="4687">
      <c r="A4687" s="50"/>
      <c r="B4687" s="50"/>
    </row>
    <row r="4688">
      <c r="A4688" s="50"/>
      <c r="B4688" s="50"/>
    </row>
    <row r="4689">
      <c r="A4689" s="50"/>
      <c r="B4689" s="50"/>
    </row>
    <row r="4690">
      <c r="A4690" s="50"/>
      <c r="B4690" s="50"/>
    </row>
    <row r="4691">
      <c r="A4691" s="50"/>
      <c r="B4691" s="50"/>
    </row>
    <row r="4692">
      <c r="A4692" s="50"/>
      <c r="B4692" s="50"/>
    </row>
    <row r="4693">
      <c r="A4693" s="50"/>
      <c r="B4693" s="50"/>
    </row>
    <row r="4694">
      <c r="A4694" s="50"/>
      <c r="B4694" s="50"/>
    </row>
    <row r="4695">
      <c r="A4695" s="50"/>
      <c r="B4695" s="50"/>
    </row>
    <row r="4696">
      <c r="A4696" s="50"/>
      <c r="B4696" s="50"/>
    </row>
    <row r="4697">
      <c r="A4697" s="50"/>
      <c r="B4697" s="50"/>
    </row>
    <row r="4698">
      <c r="A4698" s="50"/>
      <c r="B4698" s="50"/>
    </row>
    <row r="4699">
      <c r="A4699" s="50"/>
      <c r="B4699" s="50"/>
    </row>
    <row r="4700">
      <c r="A4700" s="50"/>
      <c r="B4700" s="50"/>
    </row>
    <row r="4701">
      <c r="A4701" s="50"/>
      <c r="B4701" s="50"/>
    </row>
    <row r="4702">
      <c r="A4702" s="50"/>
      <c r="B4702" s="50"/>
    </row>
    <row r="4703">
      <c r="A4703" s="50"/>
      <c r="B4703" s="50"/>
    </row>
    <row r="4704">
      <c r="A4704" s="50"/>
      <c r="B4704" s="50"/>
    </row>
    <row r="4705">
      <c r="A4705" s="50"/>
      <c r="B4705" s="50"/>
    </row>
    <row r="4706">
      <c r="A4706" s="50"/>
      <c r="B4706" s="50"/>
    </row>
    <row r="4707">
      <c r="A4707" s="50"/>
      <c r="B4707" s="50"/>
    </row>
    <row r="4708">
      <c r="A4708" s="50"/>
      <c r="B4708" s="50"/>
    </row>
    <row r="4709">
      <c r="A4709" s="50"/>
      <c r="B4709" s="50"/>
    </row>
    <row r="4710">
      <c r="A4710" s="50"/>
      <c r="B4710" s="50"/>
    </row>
    <row r="4711">
      <c r="A4711" s="50"/>
      <c r="B4711" s="50"/>
    </row>
    <row r="4712">
      <c r="A4712" s="50"/>
      <c r="B4712" s="50"/>
    </row>
    <row r="4713">
      <c r="A4713" s="50"/>
      <c r="B4713" s="50"/>
    </row>
    <row r="4714">
      <c r="A4714" s="50"/>
      <c r="B4714" s="50"/>
    </row>
    <row r="4715">
      <c r="A4715" s="50"/>
      <c r="B4715" s="50"/>
    </row>
    <row r="4716">
      <c r="A4716" s="50"/>
      <c r="B4716" s="50"/>
    </row>
    <row r="4717">
      <c r="A4717" s="50"/>
      <c r="B4717" s="50"/>
    </row>
    <row r="4718">
      <c r="A4718" s="50"/>
      <c r="B4718" s="50"/>
    </row>
    <row r="4719">
      <c r="A4719" s="50"/>
      <c r="B4719" s="50"/>
    </row>
    <row r="4720">
      <c r="A4720" s="50"/>
      <c r="B4720" s="50"/>
    </row>
    <row r="4721">
      <c r="A4721" s="50"/>
      <c r="B4721" s="50"/>
    </row>
    <row r="4722">
      <c r="A4722" s="50"/>
      <c r="B4722" s="50"/>
    </row>
    <row r="4723">
      <c r="A4723" s="50"/>
      <c r="B4723" s="50"/>
    </row>
    <row r="4724">
      <c r="A4724" s="50"/>
      <c r="B4724" s="50"/>
    </row>
    <row r="4725">
      <c r="A4725" s="50"/>
      <c r="B4725" s="50"/>
    </row>
    <row r="4726">
      <c r="A4726" s="50"/>
      <c r="B4726" s="50"/>
    </row>
    <row r="4727">
      <c r="A4727" s="50"/>
      <c r="B4727" s="50"/>
    </row>
    <row r="4728">
      <c r="A4728" s="50"/>
      <c r="B4728" s="50"/>
    </row>
    <row r="4729">
      <c r="A4729" s="50"/>
      <c r="B4729" s="50"/>
    </row>
    <row r="4730">
      <c r="A4730" s="50"/>
      <c r="B4730" s="50"/>
    </row>
    <row r="4731">
      <c r="A4731" s="50"/>
      <c r="B4731" s="50"/>
    </row>
    <row r="4732">
      <c r="A4732" s="50"/>
      <c r="B4732" s="50"/>
    </row>
    <row r="4733">
      <c r="A4733" s="50"/>
      <c r="B4733" s="50"/>
    </row>
    <row r="4734">
      <c r="A4734" s="50"/>
      <c r="B4734" s="50"/>
    </row>
    <row r="4735">
      <c r="A4735" s="50"/>
      <c r="B4735" s="50"/>
    </row>
    <row r="4736">
      <c r="A4736" s="50"/>
      <c r="B4736" s="50"/>
    </row>
    <row r="4737">
      <c r="A4737" s="50"/>
      <c r="B4737" s="50"/>
    </row>
    <row r="4738">
      <c r="A4738" s="50"/>
      <c r="B4738" s="50"/>
    </row>
    <row r="4739">
      <c r="A4739" s="50"/>
      <c r="B4739" s="50"/>
    </row>
    <row r="4740">
      <c r="A4740" s="50"/>
      <c r="B4740" s="50"/>
    </row>
    <row r="4741">
      <c r="A4741" s="50"/>
      <c r="B4741" s="50"/>
    </row>
    <row r="4742">
      <c r="A4742" s="50"/>
      <c r="B4742" s="50"/>
    </row>
    <row r="4743">
      <c r="A4743" s="50"/>
      <c r="B4743" s="50"/>
    </row>
    <row r="4744">
      <c r="A4744" s="50"/>
      <c r="B4744" s="50"/>
    </row>
    <row r="4745">
      <c r="A4745" s="50"/>
      <c r="B4745" s="50"/>
    </row>
    <row r="4746">
      <c r="A4746" s="50"/>
      <c r="B4746" s="50"/>
    </row>
    <row r="4747">
      <c r="A4747" s="50"/>
      <c r="B4747" s="50"/>
    </row>
    <row r="4748">
      <c r="A4748" s="50"/>
      <c r="B4748" s="50"/>
    </row>
    <row r="4749">
      <c r="A4749" s="50"/>
      <c r="B4749" s="50"/>
    </row>
    <row r="4750">
      <c r="A4750" s="50"/>
      <c r="B4750" s="50"/>
    </row>
    <row r="4751">
      <c r="A4751" s="50"/>
      <c r="B4751" s="50"/>
    </row>
    <row r="4752">
      <c r="A4752" s="50"/>
      <c r="B4752" s="50"/>
    </row>
    <row r="4753">
      <c r="A4753" s="50"/>
      <c r="B4753" s="50"/>
    </row>
    <row r="4754">
      <c r="A4754" s="50"/>
      <c r="B4754" s="50"/>
    </row>
    <row r="4755">
      <c r="A4755" s="50"/>
      <c r="B4755" s="50"/>
    </row>
    <row r="4756">
      <c r="A4756" s="50"/>
      <c r="B4756" s="50"/>
    </row>
    <row r="4757">
      <c r="A4757" s="50"/>
      <c r="B4757" s="50"/>
    </row>
    <row r="4758">
      <c r="A4758" s="50"/>
      <c r="B4758" s="50"/>
    </row>
    <row r="4759">
      <c r="A4759" s="50"/>
      <c r="B4759" s="50"/>
    </row>
    <row r="4760">
      <c r="A4760" s="50"/>
      <c r="B4760" s="50"/>
    </row>
    <row r="4761">
      <c r="A4761" s="50"/>
      <c r="B4761" s="50"/>
    </row>
    <row r="4762">
      <c r="A4762" s="50"/>
      <c r="B4762" s="50"/>
    </row>
    <row r="4763">
      <c r="A4763" s="50"/>
      <c r="B4763" s="50"/>
    </row>
    <row r="4764">
      <c r="A4764" s="50"/>
      <c r="B4764" s="50"/>
    </row>
    <row r="4765">
      <c r="A4765" s="50"/>
      <c r="B4765" s="50"/>
    </row>
    <row r="4766">
      <c r="A4766" s="50"/>
      <c r="B4766" s="50"/>
    </row>
    <row r="4767">
      <c r="A4767" s="50"/>
      <c r="B4767" s="50"/>
    </row>
    <row r="4768">
      <c r="A4768" s="50"/>
      <c r="B4768" s="50"/>
    </row>
    <row r="4769">
      <c r="A4769" s="50"/>
      <c r="B4769" s="50"/>
    </row>
    <row r="4770">
      <c r="A4770" s="50"/>
      <c r="B4770" s="50"/>
    </row>
    <row r="4771">
      <c r="A4771" s="50"/>
      <c r="B4771" s="50"/>
    </row>
    <row r="4772">
      <c r="A4772" s="50"/>
      <c r="B4772" s="50"/>
    </row>
    <row r="4773">
      <c r="A4773" s="50"/>
      <c r="B4773" s="50"/>
    </row>
    <row r="4774">
      <c r="A4774" s="50"/>
      <c r="B4774" s="50"/>
    </row>
    <row r="4775">
      <c r="A4775" s="50"/>
      <c r="B4775" s="50"/>
    </row>
    <row r="4776">
      <c r="A4776" s="50"/>
      <c r="B4776" s="50"/>
    </row>
    <row r="4777">
      <c r="A4777" s="50"/>
      <c r="B4777" s="50"/>
    </row>
    <row r="4778">
      <c r="A4778" s="50"/>
      <c r="B4778" s="50"/>
    </row>
    <row r="4779">
      <c r="A4779" s="50"/>
      <c r="B4779" s="50"/>
    </row>
    <row r="4780">
      <c r="A4780" s="50"/>
      <c r="B4780" s="50"/>
    </row>
    <row r="4781">
      <c r="A4781" s="50"/>
      <c r="B4781" s="50"/>
    </row>
    <row r="4782">
      <c r="A4782" s="50"/>
      <c r="B4782" s="50"/>
    </row>
    <row r="4783">
      <c r="A4783" s="50"/>
      <c r="B4783" s="50"/>
    </row>
    <row r="4784">
      <c r="A4784" s="50"/>
      <c r="B4784" s="50"/>
    </row>
    <row r="4785">
      <c r="A4785" s="50"/>
      <c r="B4785" s="50"/>
    </row>
    <row r="4786">
      <c r="A4786" s="50"/>
      <c r="B4786" s="50"/>
    </row>
    <row r="4787">
      <c r="A4787" s="50"/>
      <c r="B4787" s="50"/>
    </row>
    <row r="4788">
      <c r="A4788" s="50"/>
      <c r="B4788" s="50"/>
    </row>
    <row r="4789">
      <c r="A4789" s="50"/>
      <c r="B4789" s="50"/>
    </row>
    <row r="4790">
      <c r="A4790" s="50"/>
      <c r="B4790" s="50"/>
    </row>
    <row r="4791">
      <c r="A4791" s="50"/>
      <c r="B4791" s="50"/>
    </row>
    <row r="4792">
      <c r="A4792" s="50"/>
      <c r="B4792" s="50"/>
    </row>
    <row r="4793">
      <c r="A4793" s="50"/>
      <c r="B4793" s="50"/>
    </row>
    <row r="4794">
      <c r="A4794" s="50"/>
      <c r="B4794" s="50"/>
    </row>
    <row r="4795">
      <c r="A4795" s="50"/>
      <c r="B4795" s="50"/>
    </row>
    <row r="4796">
      <c r="A4796" s="50"/>
      <c r="B4796" s="50"/>
    </row>
    <row r="4797">
      <c r="A4797" s="50"/>
      <c r="B4797" s="50"/>
    </row>
    <row r="4798">
      <c r="A4798" s="50"/>
      <c r="B4798" s="50"/>
    </row>
    <row r="4799">
      <c r="A4799" s="50"/>
      <c r="B4799" s="50"/>
    </row>
    <row r="4800">
      <c r="A4800" s="50"/>
      <c r="B4800" s="50"/>
    </row>
    <row r="4801">
      <c r="A4801" s="50"/>
      <c r="B4801" s="50"/>
    </row>
    <row r="4802">
      <c r="A4802" s="50"/>
      <c r="B4802" s="50"/>
    </row>
    <row r="4803">
      <c r="A4803" s="50"/>
      <c r="B4803" s="50"/>
    </row>
    <row r="4804">
      <c r="A4804" s="50"/>
      <c r="B4804" s="50"/>
    </row>
    <row r="4805">
      <c r="A4805" s="50"/>
      <c r="B4805" s="50"/>
    </row>
    <row r="4806">
      <c r="A4806" s="50"/>
      <c r="B4806" s="50"/>
    </row>
    <row r="4807">
      <c r="A4807" s="50"/>
      <c r="B4807" s="50"/>
    </row>
    <row r="4808">
      <c r="A4808" s="50"/>
      <c r="B4808" s="50"/>
    </row>
    <row r="4809">
      <c r="A4809" s="50"/>
      <c r="B4809" s="50"/>
    </row>
    <row r="4810">
      <c r="A4810" s="50"/>
      <c r="B4810" s="50"/>
    </row>
    <row r="4811">
      <c r="A4811" s="50"/>
      <c r="B4811" s="50"/>
    </row>
    <row r="4812">
      <c r="A4812" s="50"/>
      <c r="B4812" s="50"/>
    </row>
    <row r="4813">
      <c r="A4813" s="50"/>
      <c r="B4813" s="50"/>
    </row>
    <row r="4814">
      <c r="A4814" s="50"/>
      <c r="B4814" s="50"/>
    </row>
    <row r="4815">
      <c r="A4815" s="50"/>
      <c r="B4815" s="50"/>
    </row>
    <row r="4816">
      <c r="A4816" s="50"/>
      <c r="B4816" s="50"/>
    </row>
    <row r="4817">
      <c r="A4817" s="50"/>
      <c r="B4817" s="50"/>
    </row>
    <row r="4818">
      <c r="A4818" s="50"/>
      <c r="B4818" s="50"/>
    </row>
    <row r="4819">
      <c r="A4819" s="50"/>
      <c r="B4819" s="50"/>
    </row>
    <row r="4820">
      <c r="A4820" s="50"/>
      <c r="B4820" s="50"/>
    </row>
    <row r="4821">
      <c r="A4821" s="50"/>
      <c r="B4821" s="50"/>
    </row>
    <row r="4822">
      <c r="A4822" s="50"/>
      <c r="B4822" s="50"/>
    </row>
    <row r="4823">
      <c r="A4823" s="50"/>
      <c r="B4823" s="50"/>
    </row>
    <row r="4824">
      <c r="A4824" s="50"/>
      <c r="B4824" s="50"/>
    </row>
    <row r="4825">
      <c r="A4825" s="50"/>
      <c r="B4825" s="50"/>
    </row>
    <row r="4826">
      <c r="A4826" s="50"/>
      <c r="B4826" s="50"/>
    </row>
    <row r="4827">
      <c r="A4827" s="50"/>
      <c r="B4827" s="50"/>
    </row>
    <row r="4828">
      <c r="A4828" s="50"/>
      <c r="B4828" s="50"/>
    </row>
    <row r="4829">
      <c r="A4829" s="50"/>
      <c r="B4829" s="50"/>
    </row>
    <row r="4830">
      <c r="A4830" s="50"/>
      <c r="B4830" s="50"/>
    </row>
    <row r="4831">
      <c r="A4831" s="50"/>
      <c r="B4831" s="50"/>
    </row>
    <row r="4832">
      <c r="A4832" s="50"/>
      <c r="B4832" s="50"/>
    </row>
    <row r="4833">
      <c r="A4833" s="50"/>
      <c r="B4833" s="50"/>
    </row>
    <row r="4834">
      <c r="A4834" s="50"/>
      <c r="B4834" s="50"/>
    </row>
    <row r="4835">
      <c r="A4835" s="50"/>
      <c r="B4835" s="50"/>
    </row>
    <row r="4836">
      <c r="A4836" s="50"/>
      <c r="B4836" s="50"/>
    </row>
    <row r="4837">
      <c r="A4837" s="50"/>
      <c r="B4837" s="50"/>
    </row>
    <row r="4838">
      <c r="A4838" s="50"/>
      <c r="B4838" s="50"/>
    </row>
    <row r="4839">
      <c r="A4839" s="50"/>
      <c r="B4839" s="50"/>
    </row>
    <row r="4840">
      <c r="A4840" s="50"/>
      <c r="B4840" s="50"/>
    </row>
    <row r="4841">
      <c r="A4841" s="50"/>
      <c r="B4841" s="50"/>
    </row>
    <row r="4842">
      <c r="A4842" s="50"/>
      <c r="B4842" s="50"/>
    </row>
    <row r="4843">
      <c r="A4843" s="50"/>
      <c r="B4843" s="50"/>
    </row>
    <row r="4844">
      <c r="A4844" s="50"/>
      <c r="B4844" s="50"/>
    </row>
    <row r="4845">
      <c r="A4845" s="50"/>
      <c r="B4845" s="50"/>
    </row>
    <row r="4846">
      <c r="A4846" s="50"/>
      <c r="B4846" s="50"/>
    </row>
    <row r="4847">
      <c r="A4847" s="50"/>
      <c r="B4847" s="50"/>
    </row>
    <row r="4848">
      <c r="A4848" s="50"/>
      <c r="B4848" s="50"/>
    </row>
    <row r="4849">
      <c r="A4849" s="50"/>
      <c r="B4849" s="50"/>
    </row>
    <row r="4850">
      <c r="A4850" s="50"/>
      <c r="B4850" s="50"/>
    </row>
    <row r="4851">
      <c r="A4851" s="50"/>
      <c r="B4851" s="50"/>
    </row>
    <row r="4852">
      <c r="A4852" s="50"/>
      <c r="B4852" s="50"/>
    </row>
    <row r="4853">
      <c r="A4853" s="50"/>
      <c r="B4853" s="50"/>
    </row>
    <row r="4854">
      <c r="A4854" s="50"/>
      <c r="B4854" s="50"/>
    </row>
    <row r="4855">
      <c r="A4855" s="50"/>
      <c r="B4855" s="50"/>
    </row>
    <row r="4856">
      <c r="A4856" s="50"/>
      <c r="B4856" s="50"/>
    </row>
    <row r="4857">
      <c r="A4857" s="50"/>
      <c r="B4857" s="50"/>
    </row>
    <row r="4858">
      <c r="A4858" s="50"/>
      <c r="B4858" s="50"/>
    </row>
    <row r="4859">
      <c r="A4859" s="50"/>
      <c r="B4859" s="50"/>
    </row>
    <row r="4860">
      <c r="A4860" s="50"/>
      <c r="B4860" s="50"/>
    </row>
    <row r="4861">
      <c r="A4861" s="50"/>
      <c r="B4861" s="50"/>
    </row>
    <row r="4862">
      <c r="A4862" s="50"/>
      <c r="B4862" s="50"/>
    </row>
    <row r="4863">
      <c r="A4863" s="50"/>
      <c r="B4863" s="50"/>
    </row>
    <row r="4864">
      <c r="A4864" s="50"/>
      <c r="B4864" s="50"/>
    </row>
    <row r="4865">
      <c r="A4865" s="50"/>
      <c r="B4865" s="50"/>
    </row>
    <row r="4866">
      <c r="A4866" s="50"/>
      <c r="B4866" s="50"/>
    </row>
    <row r="4867">
      <c r="A4867" s="50"/>
      <c r="B4867" s="50"/>
    </row>
    <row r="4868">
      <c r="A4868" s="50"/>
      <c r="B4868" s="50"/>
    </row>
    <row r="4869">
      <c r="A4869" s="50"/>
      <c r="B4869" s="50"/>
    </row>
    <row r="4870">
      <c r="A4870" s="50"/>
      <c r="B4870" s="50"/>
    </row>
    <row r="4871">
      <c r="A4871" s="50"/>
      <c r="B4871" s="50"/>
    </row>
    <row r="4872">
      <c r="A4872" s="50"/>
      <c r="B4872" s="50"/>
    </row>
    <row r="4873">
      <c r="A4873" s="50"/>
      <c r="B4873" s="50"/>
    </row>
    <row r="4874">
      <c r="A4874" s="50"/>
      <c r="B4874" s="50"/>
    </row>
    <row r="4875">
      <c r="A4875" s="50"/>
      <c r="B4875" s="50"/>
    </row>
    <row r="4876">
      <c r="A4876" s="50"/>
      <c r="B4876" s="50"/>
    </row>
    <row r="4877">
      <c r="A4877" s="50"/>
      <c r="B4877" s="50"/>
    </row>
    <row r="4878">
      <c r="A4878" s="50"/>
      <c r="B4878" s="50"/>
    </row>
    <row r="4879">
      <c r="A4879" s="50"/>
      <c r="B4879" s="50"/>
    </row>
    <row r="4880">
      <c r="A4880" s="50"/>
      <c r="B4880" s="50"/>
    </row>
    <row r="4881">
      <c r="A4881" s="50"/>
      <c r="B4881" s="50"/>
    </row>
    <row r="4882">
      <c r="A4882" s="50"/>
      <c r="B4882" s="50"/>
    </row>
    <row r="4883">
      <c r="A4883" s="50"/>
      <c r="B4883" s="50"/>
    </row>
    <row r="4884">
      <c r="A4884" s="50"/>
      <c r="B4884" s="50"/>
    </row>
    <row r="4885">
      <c r="A4885" s="50"/>
      <c r="B4885" s="50"/>
    </row>
    <row r="4886">
      <c r="A4886" s="50"/>
      <c r="B4886" s="50"/>
    </row>
    <row r="4887">
      <c r="A4887" s="50"/>
      <c r="B4887" s="50"/>
    </row>
    <row r="4888">
      <c r="A4888" s="50"/>
      <c r="B4888" s="50"/>
    </row>
    <row r="4889">
      <c r="A4889" s="50"/>
      <c r="B4889" s="50"/>
    </row>
    <row r="4890">
      <c r="A4890" s="50"/>
      <c r="B4890" s="50"/>
    </row>
    <row r="4891">
      <c r="A4891" s="50"/>
      <c r="B4891" s="50"/>
    </row>
    <row r="4892">
      <c r="A4892" s="50"/>
      <c r="B4892" s="50"/>
    </row>
    <row r="4893">
      <c r="A4893" s="50"/>
      <c r="B4893" s="50"/>
    </row>
    <row r="4894">
      <c r="A4894" s="50"/>
      <c r="B4894" s="50"/>
    </row>
    <row r="4895">
      <c r="A4895" s="50"/>
      <c r="B4895" s="50"/>
    </row>
    <row r="4896">
      <c r="A4896" s="50"/>
      <c r="B4896" s="50"/>
    </row>
    <row r="4897">
      <c r="A4897" s="50"/>
      <c r="B4897" s="50"/>
    </row>
    <row r="4898">
      <c r="A4898" s="50"/>
      <c r="B4898" s="50"/>
    </row>
    <row r="4899">
      <c r="A4899" s="50"/>
      <c r="B4899" s="50"/>
    </row>
    <row r="4900">
      <c r="A4900" s="50"/>
      <c r="B4900" s="50"/>
    </row>
    <row r="4901">
      <c r="A4901" s="50"/>
      <c r="B4901" s="50"/>
    </row>
    <row r="4902">
      <c r="A4902" s="50"/>
      <c r="B4902" s="50"/>
    </row>
    <row r="4903">
      <c r="A4903" s="50"/>
      <c r="B4903" s="50"/>
    </row>
    <row r="4904">
      <c r="A4904" s="50"/>
      <c r="B4904" s="50"/>
    </row>
    <row r="4905">
      <c r="A4905" s="50"/>
      <c r="B4905" s="50"/>
    </row>
    <row r="4906">
      <c r="A4906" s="50"/>
      <c r="B4906" s="50"/>
    </row>
    <row r="4907">
      <c r="A4907" s="50"/>
      <c r="B4907" s="50"/>
    </row>
    <row r="4908">
      <c r="A4908" s="50"/>
      <c r="B4908" s="50"/>
    </row>
    <row r="4909">
      <c r="A4909" s="50"/>
      <c r="B4909" s="50"/>
    </row>
    <row r="4910">
      <c r="A4910" s="50"/>
      <c r="B4910" s="50"/>
    </row>
    <row r="4911">
      <c r="A4911" s="50"/>
      <c r="B4911" s="50"/>
    </row>
    <row r="4912">
      <c r="A4912" s="50"/>
      <c r="B4912" s="50"/>
    </row>
    <row r="4913">
      <c r="A4913" s="50"/>
      <c r="B4913" s="50"/>
    </row>
    <row r="4914">
      <c r="A4914" s="50"/>
      <c r="B4914" s="50"/>
    </row>
    <row r="4915">
      <c r="A4915" s="50"/>
      <c r="B4915" s="50"/>
    </row>
    <row r="4916">
      <c r="A4916" s="50"/>
      <c r="B4916" s="50"/>
    </row>
    <row r="4917">
      <c r="A4917" s="50"/>
      <c r="B4917" s="50"/>
    </row>
    <row r="4918">
      <c r="A4918" s="50"/>
      <c r="B4918" s="50"/>
    </row>
    <row r="4919">
      <c r="A4919" s="50"/>
      <c r="B4919" s="50"/>
    </row>
    <row r="4920">
      <c r="A4920" s="50"/>
      <c r="B4920" s="50"/>
    </row>
    <row r="4921">
      <c r="A4921" s="50"/>
      <c r="B4921" s="50"/>
    </row>
    <row r="4922">
      <c r="A4922" s="50"/>
      <c r="B4922" s="50"/>
    </row>
    <row r="4923">
      <c r="A4923" s="50"/>
      <c r="B4923" s="50"/>
    </row>
    <row r="4924">
      <c r="A4924" s="50"/>
      <c r="B4924" s="50"/>
    </row>
    <row r="4925">
      <c r="A4925" s="50"/>
      <c r="B4925" s="50"/>
    </row>
    <row r="4926">
      <c r="A4926" s="50"/>
      <c r="B4926" s="50"/>
    </row>
    <row r="4927">
      <c r="A4927" s="50"/>
      <c r="B4927" s="50"/>
    </row>
    <row r="4928">
      <c r="A4928" s="50"/>
      <c r="B4928" s="50"/>
    </row>
    <row r="4929">
      <c r="A4929" s="50"/>
      <c r="B4929" s="50"/>
    </row>
    <row r="4930">
      <c r="A4930" s="50"/>
      <c r="B4930" s="50"/>
    </row>
    <row r="4931">
      <c r="A4931" s="50"/>
      <c r="B4931" s="50"/>
    </row>
    <row r="4932">
      <c r="A4932" s="50"/>
      <c r="B4932" s="50"/>
    </row>
    <row r="4933">
      <c r="A4933" s="50"/>
      <c r="B4933" s="50"/>
    </row>
    <row r="4934">
      <c r="A4934" s="50"/>
      <c r="B4934" s="50"/>
    </row>
    <row r="4935">
      <c r="A4935" s="50"/>
      <c r="B4935" s="50"/>
    </row>
    <row r="4936">
      <c r="A4936" s="50"/>
      <c r="B4936" s="50"/>
    </row>
    <row r="4937">
      <c r="A4937" s="50"/>
      <c r="B4937" s="50"/>
    </row>
    <row r="4938">
      <c r="A4938" s="50"/>
      <c r="B4938" s="50"/>
    </row>
    <row r="4939">
      <c r="A4939" s="50"/>
      <c r="B4939" s="50"/>
    </row>
    <row r="4940">
      <c r="A4940" s="50"/>
      <c r="B4940" s="50"/>
    </row>
    <row r="4941">
      <c r="A4941" s="50"/>
      <c r="B4941" s="50"/>
    </row>
    <row r="4942">
      <c r="A4942" s="50"/>
      <c r="B4942" s="50"/>
    </row>
    <row r="4943">
      <c r="A4943" s="50"/>
      <c r="B4943" s="50"/>
    </row>
    <row r="4944">
      <c r="A4944" s="50"/>
      <c r="B4944" s="50"/>
    </row>
    <row r="4945">
      <c r="A4945" s="50"/>
      <c r="B4945" s="50"/>
    </row>
    <row r="4946">
      <c r="A4946" s="50"/>
      <c r="B4946" s="50"/>
    </row>
    <row r="4947">
      <c r="A4947" s="50"/>
      <c r="B4947" s="50"/>
    </row>
    <row r="4948">
      <c r="A4948" s="50"/>
      <c r="B4948" s="50"/>
    </row>
    <row r="4949">
      <c r="A4949" s="50"/>
      <c r="B4949" s="50"/>
    </row>
    <row r="4950">
      <c r="A4950" s="50"/>
      <c r="B4950" s="50"/>
    </row>
    <row r="4951">
      <c r="A4951" s="50"/>
      <c r="B4951" s="50"/>
    </row>
    <row r="4952">
      <c r="A4952" s="50"/>
      <c r="B4952" s="50"/>
    </row>
    <row r="4953">
      <c r="A4953" s="50"/>
      <c r="B4953" s="50"/>
    </row>
    <row r="4954">
      <c r="A4954" s="50"/>
      <c r="B4954" s="50"/>
    </row>
    <row r="4955">
      <c r="A4955" s="50"/>
      <c r="B4955" s="50"/>
    </row>
    <row r="4956">
      <c r="A4956" s="50"/>
      <c r="B4956" s="50"/>
    </row>
    <row r="4957">
      <c r="A4957" s="50"/>
      <c r="B4957" s="50"/>
    </row>
    <row r="4958">
      <c r="A4958" s="50"/>
      <c r="B4958" s="50"/>
    </row>
    <row r="4959">
      <c r="A4959" s="50"/>
      <c r="B4959" s="50"/>
    </row>
    <row r="4960">
      <c r="A4960" s="50"/>
      <c r="B4960" s="50"/>
    </row>
    <row r="4961">
      <c r="A4961" s="50"/>
      <c r="B4961" s="50"/>
    </row>
    <row r="4962">
      <c r="A4962" s="50"/>
      <c r="B4962" s="50"/>
    </row>
    <row r="4963">
      <c r="A4963" s="50"/>
      <c r="B4963" s="50"/>
    </row>
    <row r="4964">
      <c r="A4964" s="50"/>
      <c r="B4964" s="50"/>
    </row>
    <row r="4965">
      <c r="A4965" s="50"/>
      <c r="B4965" s="50"/>
    </row>
    <row r="4966">
      <c r="A4966" s="50"/>
      <c r="B4966" s="50"/>
    </row>
    <row r="4967">
      <c r="A4967" s="50"/>
      <c r="B4967" s="50"/>
    </row>
    <row r="4968">
      <c r="A4968" s="50"/>
      <c r="B4968" s="50"/>
    </row>
    <row r="4969">
      <c r="A4969" s="50"/>
      <c r="B4969" s="50"/>
    </row>
    <row r="4970">
      <c r="A4970" s="50"/>
      <c r="B4970" s="50"/>
    </row>
    <row r="4971">
      <c r="A4971" s="50"/>
      <c r="B4971" s="50"/>
    </row>
    <row r="4972">
      <c r="A4972" s="50"/>
      <c r="B4972" s="50"/>
    </row>
    <row r="4973">
      <c r="A4973" s="50"/>
      <c r="B4973" s="50"/>
    </row>
    <row r="4974">
      <c r="A4974" s="50"/>
      <c r="B4974" s="50"/>
    </row>
    <row r="4975">
      <c r="A4975" s="50"/>
      <c r="B4975" s="50"/>
    </row>
    <row r="4976">
      <c r="A4976" s="50"/>
      <c r="B4976" s="50"/>
    </row>
    <row r="4977">
      <c r="A4977" s="50"/>
      <c r="B4977" s="50"/>
    </row>
    <row r="4978">
      <c r="A4978" s="50"/>
      <c r="B4978" s="50"/>
    </row>
    <row r="4979">
      <c r="A4979" s="50"/>
      <c r="B4979" s="50"/>
    </row>
    <row r="4980">
      <c r="A4980" s="50"/>
      <c r="B4980" s="50"/>
    </row>
    <row r="4981">
      <c r="A4981" s="50"/>
      <c r="B4981" s="50"/>
    </row>
    <row r="4982">
      <c r="A4982" s="50"/>
      <c r="B4982" s="50"/>
    </row>
    <row r="4983">
      <c r="A4983" s="50"/>
      <c r="B4983" s="50"/>
    </row>
    <row r="4984">
      <c r="A4984" s="50"/>
      <c r="B4984" s="50"/>
    </row>
    <row r="4985">
      <c r="A4985" s="50"/>
      <c r="B4985" s="50"/>
    </row>
    <row r="4986">
      <c r="A4986" s="50"/>
      <c r="B4986" s="50"/>
    </row>
    <row r="4987">
      <c r="A4987" s="50"/>
      <c r="B4987" s="50"/>
    </row>
    <row r="4988">
      <c r="A4988" s="50"/>
      <c r="B4988" s="50"/>
    </row>
    <row r="4989">
      <c r="A4989" s="50"/>
      <c r="B4989" s="50"/>
    </row>
    <row r="4990">
      <c r="A4990" s="50"/>
      <c r="B4990" s="50"/>
    </row>
    <row r="4991">
      <c r="A4991" s="50"/>
      <c r="B4991" s="50"/>
    </row>
    <row r="4992">
      <c r="A4992" s="50"/>
      <c r="B4992" s="50"/>
    </row>
    <row r="4993">
      <c r="A4993" s="50"/>
      <c r="B4993" s="50"/>
    </row>
    <row r="4994">
      <c r="A4994" s="50"/>
      <c r="B4994" s="50"/>
    </row>
    <row r="4995">
      <c r="A4995" s="50"/>
      <c r="B4995" s="50"/>
    </row>
    <row r="4996">
      <c r="A4996" s="50"/>
      <c r="B4996" s="50"/>
    </row>
    <row r="4997">
      <c r="A4997" s="50"/>
      <c r="B4997" s="50"/>
    </row>
    <row r="4998">
      <c r="A4998" s="50"/>
      <c r="B4998" s="50"/>
    </row>
    <row r="4999">
      <c r="A4999" s="50"/>
      <c r="B4999" s="50"/>
    </row>
    <row r="5000">
      <c r="A5000" s="50"/>
      <c r="B5000" s="50"/>
    </row>
    <row r="5001">
      <c r="A5001" s="50"/>
      <c r="B5001" s="50"/>
    </row>
    <row r="5002">
      <c r="A5002" s="50"/>
      <c r="B5002" s="50"/>
    </row>
    <row r="5003">
      <c r="A5003" s="50"/>
      <c r="B5003" s="50"/>
    </row>
    <row r="5004">
      <c r="A5004" s="50"/>
      <c r="B5004" s="50"/>
    </row>
    <row r="5005">
      <c r="A5005" s="50"/>
      <c r="B5005" s="50"/>
    </row>
    <row r="5006">
      <c r="A5006" s="50"/>
      <c r="B5006" s="50"/>
    </row>
    <row r="5007">
      <c r="A5007" s="50"/>
      <c r="B5007" s="50"/>
    </row>
    <row r="5008">
      <c r="A5008" s="50"/>
      <c r="B5008" s="50"/>
    </row>
    <row r="5009">
      <c r="A5009" s="50"/>
      <c r="B5009" s="50"/>
    </row>
    <row r="5010">
      <c r="A5010" s="50"/>
      <c r="B5010" s="50"/>
    </row>
    <row r="5011">
      <c r="A5011" s="50"/>
      <c r="B5011" s="50"/>
    </row>
    <row r="5012">
      <c r="A5012" s="50"/>
      <c r="B5012" s="50"/>
    </row>
    <row r="5013">
      <c r="A5013" s="50"/>
      <c r="B5013" s="50"/>
    </row>
    <row r="5014">
      <c r="A5014" s="50"/>
      <c r="B5014" s="50"/>
    </row>
    <row r="5015">
      <c r="A5015" s="50"/>
      <c r="B5015" s="50"/>
    </row>
    <row r="5016">
      <c r="A5016" s="50"/>
      <c r="B5016" s="50"/>
    </row>
    <row r="5017">
      <c r="A5017" s="50"/>
      <c r="B5017" s="50"/>
    </row>
    <row r="5018">
      <c r="A5018" s="50"/>
      <c r="B5018" s="50"/>
    </row>
    <row r="5019">
      <c r="A5019" s="50"/>
      <c r="B5019" s="50"/>
    </row>
    <row r="5020">
      <c r="A5020" s="50"/>
      <c r="B5020" s="50"/>
    </row>
    <row r="5021">
      <c r="A5021" s="50"/>
      <c r="B5021" s="50"/>
    </row>
    <row r="5022">
      <c r="A5022" s="50"/>
      <c r="B5022" s="50"/>
    </row>
    <row r="5023">
      <c r="A5023" s="50"/>
      <c r="B5023" s="50"/>
    </row>
    <row r="5024">
      <c r="A5024" s="50"/>
      <c r="B5024" s="50"/>
    </row>
    <row r="5025">
      <c r="A5025" s="50"/>
      <c r="B5025" s="50"/>
    </row>
    <row r="5026">
      <c r="A5026" s="50"/>
      <c r="B5026" s="50"/>
    </row>
    <row r="5027">
      <c r="A5027" s="50"/>
      <c r="B5027" s="50"/>
    </row>
    <row r="5028">
      <c r="A5028" s="50"/>
      <c r="B5028" s="50"/>
    </row>
    <row r="5029">
      <c r="A5029" s="50"/>
      <c r="B5029" s="50"/>
    </row>
    <row r="5030">
      <c r="A5030" s="50"/>
      <c r="B5030" s="50"/>
    </row>
    <row r="5031">
      <c r="A5031" s="50"/>
      <c r="B5031" s="50"/>
    </row>
    <row r="5032">
      <c r="A5032" s="50"/>
      <c r="B5032" s="50"/>
    </row>
    <row r="5033">
      <c r="A5033" s="50"/>
      <c r="B5033" s="50"/>
    </row>
    <row r="5034">
      <c r="A5034" s="50"/>
      <c r="B5034" s="50"/>
    </row>
    <row r="5035">
      <c r="A5035" s="50"/>
      <c r="B5035" s="50"/>
    </row>
    <row r="5036">
      <c r="A5036" s="50"/>
      <c r="B5036" s="50"/>
    </row>
    <row r="5037">
      <c r="A5037" s="50"/>
      <c r="B5037" s="50"/>
    </row>
    <row r="5038">
      <c r="A5038" s="50"/>
      <c r="B5038" s="50"/>
    </row>
    <row r="5039">
      <c r="A5039" s="50"/>
      <c r="B5039" s="50"/>
    </row>
    <row r="5040">
      <c r="A5040" s="50"/>
      <c r="B5040" s="50"/>
    </row>
    <row r="5041">
      <c r="A5041" s="50"/>
      <c r="B5041" s="50"/>
    </row>
    <row r="5042">
      <c r="A5042" s="50"/>
      <c r="B5042" s="50"/>
    </row>
    <row r="5043">
      <c r="A5043" s="50"/>
      <c r="B5043" s="50"/>
    </row>
    <row r="5044">
      <c r="A5044" s="50"/>
      <c r="B5044" s="50"/>
    </row>
    <row r="5045">
      <c r="A5045" s="50"/>
      <c r="B5045" s="50"/>
    </row>
    <row r="5046">
      <c r="A5046" s="50"/>
      <c r="B5046" s="50"/>
    </row>
    <row r="5047">
      <c r="A5047" s="50"/>
      <c r="B5047" s="50"/>
    </row>
    <row r="5048">
      <c r="A5048" s="50"/>
      <c r="B5048" s="50"/>
    </row>
    <row r="5049">
      <c r="A5049" s="50"/>
      <c r="B5049" s="50"/>
    </row>
    <row r="5050">
      <c r="A5050" s="50"/>
      <c r="B5050" s="50"/>
    </row>
    <row r="5051">
      <c r="A5051" s="50"/>
      <c r="B5051" s="50"/>
    </row>
    <row r="5052">
      <c r="A5052" s="50"/>
      <c r="B5052" s="50"/>
    </row>
    <row r="5053">
      <c r="A5053" s="50"/>
      <c r="B5053" s="50"/>
    </row>
    <row r="5054">
      <c r="A5054" s="50"/>
      <c r="B5054" s="50"/>
    </row>
    <row r="5055">
      <c r="A5055" s="50"/>
      <c r="B5055" s="50"/>
    </row>
    <row r="5056">
      <c r="A5056" s="50"/>
      <c r="B5056" s="50"/>
    </row>
    <row r="5057">
      <c r="A5057" s="50"/>
      <c r="B5057" s="50"/>
    </row>
    <row r="5058">
      <c r="A5058" s="50"/>
      <c r="B5058" s="50"/>
    </row>
    <row r="5059">
      <c r="A5059" s="50"/>
      <c r="B5059" s="50"/>
    </row>
    <row r="5060">
      <c r="A5060" s="50"/>
      <c r="B5060" s="50"/>
    </row>
    <row r="5061">
      <c r="A5061" s="50"/>
      <c r="B5061" s="50"/>
    </row>
    <row r="5062">
      <c r="A5062" s="50"/>
      <c r="B5062" s="50"/>
    </row>
    <row r="5063">
      <c r="A5063" s="50"/>
      <c r="B5063" s="50"/>
    </row>
    <row r="5064">
      <c r="A5064" s="50"/>
      <c r="B5064" s="50"/>
    </row>
    <row r="5065">
      <c r="A5065" s="50"/>
      <c r="B5065" s="50"/>
    </row>
    <row r="5066">
      <c r="A5066" s="50"/>
      <c r="B5066" s="50"/>
    </row>
    <row r="5067">
      <c r="A5067" s="50"/>
      <c r="B5067" s="50"/>
    </row>
    <row r="5068">
      <c r="A5068" s="50"/>
      <c r="B5068" s="50"/>
    </row>
    <row r="5069">
      <c r="A5069" s="50"/>
      <c r="B5069" s="50"/>
    </row>
    <row r="5070">
      <c r="A5070" s="50"/>
      <c r="B5070" s="50"/>
    </row>
    <row r="5071">
      <c r="A5071" s="50"/>
      <c r="B5071" s="50"/>
    </row>
    <row r="5072">
      <c r="A5072" s="50"/>
      <c r="B5072" s="50"/>
    </row>
    <row r="5073">
      <c r="A5073" s="50"/>
      <c r="B5073" s="50"/>
    </row>
    <row r="5074">
      <c r="A5074" s="50"/>
      <c r="B5074" s="50"/>
    </row>
    <row r="5075">
      <c r="A5075" s="50"/>
      <c r="B5075" s="50"/>
    </row>
    <row r="5076">
      <c r="A5076" s="50"/>
      <c r="B5076" s="50"/>
    </row>
    <row r="5077">
      <c r="A5077" s="50"/>
      <c r="B5077" s="50"/>
    </row>
    <row r="5078">
      <c r="A5078" s="50"/>
      <c r="B5078" s="50"/>
    </row>
    <row r="5079">
      <c r="A5079" s="50"/>
      <c r="B5079" s="50"/>
    </row>
    <row r="5080">
      <c r="A5080" s="50"/>
      <c r="B5080" s="50"/>
    </row>
    <row r="5081">
      <c r="A5081" s="50"/>
      <c r="B5081" s="50"/>
    </row>
    <row r="5082">
      <c r="A5082" s="50"/>
      <c r="B5082" s="50"/>
    </row>
    <row r="5083">
      <c r="A5083" s="50"/>
      <c r="B5083" s="50"/>
    </row>
    <row r="5084">
      <c r="A5084" s="50"/>
      <c r="B5084" s="50"/>
    </row>
    <row r="5085">
      <c r="A5085" s="50"/>
      <c r="B5085" s="50"/>
    </row>
    <row r="5086">
      <c r="A5086" s="50"/>
      <c r="B5086" s="50"/>
    </row>
    <row r="5087">
      <c r="A5087" s="50"/>
      <c r="B5087" s="50"/>
    </row>
    <row r="5088">
      <c r="A5088" s="50"/>
      <c r="B5088" s="50"/>
    </row>
    <row r="5089">
      <c r="A5089" s="50"/>
      <c r="B5089" s="50"/>
    </row>
    <row r="5090">
      <c r="A5090" s="50"/>
      <c r="B5090" s="50"/>
    </row>
    <row r="5091">
      <c r="A5091" s="50"/>
      <c r="B5091" s="50"/>
    </row>
    <row r="5092">
      <c r="A5092" s="50"/>
      <c r="B5092" s="50"/>
    </row>
    <row r="5093">
      <c r="A5093" s="50"/>
      <c r="B5093" s="50"/>
    </row>
    <row r="5094">
      <c r="A5094" s="50"/>
      <c r="B5094" s="50"/>
    </row>
    <row r="5095">
      <c r="A5095" s="50"/>
      <c r="B5095" s="50"/>
    </row>
    <row r="5096">
      <c r="A5096" s="50"/>
      <c r="B5096" s="50"/>
    </row>
    <row r="5097">
      <c r="A5097" s="50"/>
      <c r="B5097" s="50"/>
    </row>
    <row r="5098">
      <c r="A5098" s="50"/>
      <c r="B5098" s="50"/>
    </row>
    <row r="5099">
      <c r="A5099" s="50"/>
      <c r="B5099" s="50"/>
    </row>
    <row r="5100">
      <c r="A5100" s="50"/>
      <c r="B5100" s="50"/>
    </row>
    <row r="5101">
      <c r="A5101" s="50"/>
      <c r="B5101" s="50"/>
    </row>
    <row r="5102">
      <c r="A5102" s="50"/>
      <c r="B5102" s="50"/>
    </row>
    <row r="5103">
      <c r="A5103" s="50"/>
      <c r="B5103" s="50"/>
    </row>
    <row r="5104">
      <c r="A5104" s="50"/>
      <c r="B5104" s="50"/>
    </row>
    <row r="5105">
      <c r="A5105" s="50"/>
      <c r="B5105" s="50"/>
    </row>
    <row r="5106">
      <c r="A5106" s="50"/>
      <c r="B5106" s="50"/>
    </row>
    <row r="5107">
      <c r="A5107" s="50"/>
      <c r="B5107" s="50"/>
    </row>
    <row r="5108">
      <c r="A5108" s="50"/>
      <c r="B5108" s="50"/>
    </row>
    <row r="5109">
      <c r="A5109" s="50"/>
      <c r="B5109" s="50"/>
    </row>
    <row r="5110">
      <c r="A5110" s="50"/>
      <c r="B5110" s="50"/>
    </row>
    <row r="5111">
      <c r="A5111" s="50"/>
      <c r="B5111" s="50"/>
    </row>
    <row r="5112">
      <c r="A5112" s="50"/>
      <c r="B5112" s="50"/>
    </row>
    <row r="5113">
      <c r="A5113" s="50"/>
      <c r="B5113" s="50"/>
    </row>
    <row r="5114">
      <c r="A5114" s="50"/>
      <c r="B5114" s="50"/>
    </row>
    <row r="5115">
      <c r="A5115" s="50"/>
      <c r="B5115" s="50"/>
    </row>
    <row r="5116">
      <c r="A5116" s="50"/>
      <c r="B5116" s="50"/>
    </row>
    <row r="5117">
      <c r="A5117" s="50"/>
      <c r="B5117" s="50"/>
    </row>
    <row r="5118">
      <c r="A5118" s="50"/>
      <c r="B5118" s="50"/>
    </row>
    <row r="5119">
      <c r="A5119" s="50"/>
      <c r="B5119" s="50"/>
    </row>
    <row r="5120">
      <c r="A5120" s="50"/>
      <c r="B5120" s="50"/>
    </row>
    <row r="5121">
      <c r="A5121" s="50"/>
      <c r="B5121" s="50"/>
    </row>
    <row r="5122">
      <c r="A5122" s="50"/>
      <c r="B5122" s="50"/>
    </row>
    <row r="5123">
      <c r="A5123" s="50"/>
      <c r="B5123" s="50"/>
    </row>
    <row r="5124">
      <c r="A5124" s="50"/>
      <c r="B5124" s="50"/>
    </row>
    <row r="5125">
      <c r="A5125" s="50"/>
      <c r="B5125" s="50"/>
    </row>
    <row r="5126">
      <c r="A5126" s="50"/>
      <c r="B5126" s="50"/>
    </row>
    <row r="5127">
      <c r="A5127" s="50"/>
      <c r="B5127" s="50"/>
    </row>
    <row r="5128">
      <c r="A5128" s="50"/>
      <c r="B5128" s="50"/>
    </row>
    <row r="5129">
      <c r="A5129" s="50"/>
      <c r="B5129" s="50"/>
    </row>
    <row r="5130">
      <c r="A5130" s="50"/>
      <c r="B5130" s="50"/>
    </row>
    <row r="5131">
      <c r="A5131" s="50"/>
      <c r="B5131" s="50"/>
    </row>
    <row r="5132">
      <c r="A5132" s="50"/>
      <c r="B5132" s="50"/>
    </row>
    <row r="5133">
      <c r="A5133" s="50"/>
      <c r="B5133" s="50"/>
    </row>
    <row r="5134">
      <c r="A5134" s="50"/>
      <c r="B5134" s="50"/>
    </row>
    <row r="5135">
      <c r="A5135" s="50"/>
      <c r="B5135" s="50"/>
    </row>
    <row r="5136">
      <c r="A5136" s="50"/>
      <c r="B5136" s="50"/>
    </row>
    <row r="5137">
      <c r="A5137" s="50"/>
      <c r="B5137" s="50"/>
    </row>
    <row r="5138">
      <c r="A5138" s="50"/>
      <c r="B5138" s="50"/>
    </row>
    <row r="5139">
      <c r="A5139" s="50"/>
      <c r="B5139" s="50"/>
    </row>
    <row r="5140">
      <c r="A5140" s="50"/>
      <c r="B5140" s="50"/>
    </row>
    <row r="5141">
      <c r="A5141" s="50"/>
      <c r="B5141" s="50"/>
    </row>
    <row r="5142">
      <c r="A5142" s="50"/>
      <c r="B5142" s="50"/>
    </row>
    <row r="5143">
      <c r="A5143" s="50"/>
      <c r="B5143" s="50"/>
    </row>
    <row r="5144">
      <c r="A5144" s="50"/>
      <c r="B5144" s="50"/>
    </row>
    <row r="5145">
      <c r="A5145" s="50"/>
      <c r="B5145" s="50"/>
    </row>
    <row r="5146">
      <c r="A5146" s="50"/>
      <c r="B5146" s="50"/>
    </row>
    <row r="5147">
      <c r="A5147" s="50"/>
      <c r="B5147" s="50"/>
    </row>
    <row r="5148">
      <c r="A5148" s="50"/>
      <c r="B5148" s="50"/>
    </row>
    <row r="5149">
      <c r="A5149" s="50"/>
      <c r="B5149" s="50"/>
    </row>
    <row r="5150">
      <c r="A5150" s="50"/>
      <c r="B5150" s="50"/>
    </row>
    <row r="5151">
      <c r="A5151" s="50"/>
      <c r="B5151" s="50"/>
    </row>
    <row r="5152">
      <c r="A5152" s="50"/>
      <c r="B5152" s="50"/>
    </row>
    <row r="5153">
      <c r="A5153" s="50"/>
      <c r="B5153" s="50"/>
    </row>
    <row r="5154">
      <c r="A5154" s="50"/>
      <c r="B5154" s="50"/>
    </row>
    <row r="5155">
      <c r="A5155" s="50"/>
      <c r="B5155" s="50"/>
    </row>
    <row r="5156">
      <c r="A5156" s="50"/>
      <c r="B5156" s="50"/>
    </row>
    <row r="5157">
      <c r="A5157" s="50"/>
      <c r="B5157" s="50"/>
    </row>
    <row r="5158">
      <c r="A5158" s="50"/>
      <c r="B5158" s="50"/>
    </row>
    <row r="5159">
      <c r="A5159" s="50"/>
      <c r="B5159" s="50"/>
    </row>
    <row r="5160">
      <c r="A5160" s="50"/>
      <c r="B5160" s="50"/>
    </row>
    <row r="5161">
      <c r="A5161" s="50"/>
      <c r="B5161" s="50"/>
    </row>
    <row r="5162">
      <c r="A5162" s="50"/>
      <c r="B5162" s="50"/>
    </row>
    <row r="5163">
      <c r="A5163" s="50"/>
      <c r="B5163" s="50"/>
    </row>
    <row r="5164">
      <c r="A5164" s="50"/>
      <c r="B5164" s="50"/>
    </row>
    <row r="5165">
      <c r="A5165" s="50"/>
      <c r="B5165" s="50"/>
    </row>
    <row r="5166">
      <c r="A5166" s="50"/>
      <c r="B5166" s="50"/>
    </row>
    <row r="5167">
      <c r="A5167" s="50"/>
      <c r="B5167" s="50"/>
    </row>
    <row r="5168">
      <c r="A5168" s="50"/>
      <c r="B5168" s="50"/>
    </row>
    <row r="5169">
      <c r="A5169" s="50"/>
      <c r="B5169" s="50"/>
    </row>
    <row r="5170">
      <c r="A5170" s="50"/>
      <c r="B5170" s="50"/>
    </row>
    <row r="5171">
      <c r="A5171" s="50"/>
      <c r="B5171" s="50"/>
    </row>
    <row r="5172">
      <c r="A5172" s="50"/>
      <c r="B5172" s="50"/>
    </row>
    <row r="5173">
      <c r="A5173" s="50"/>
      <c r="B5173" s="50"/>
    </row>
    <row r="5174">
      <c r="A5174" s="50"/>
      <c r="B5174" s="50"/>
    </row>
    <row r="5175">
      <c r="A5175" s="50"/>
      <c r="B5175" s="50"/>
    </row>
    <row r="5176">
      <c r="A5176" s="50"/>
      <c r="B5176" s="50"/>
    </row>
    <row r="5177">
      <c r="A5177" s="50"/>
      <c r="B5177" s="50"/>
    </row>
    <row r="5178">
      <c r="A5178" s="50"/>
      <c r="B5178" s="50"/>
    </row>
    <row r="5179">
      <c r="A5179" s="50"/>
      <c r="B5179" s="50"/>
    </row>
    <row r="5180">
      <c r="A5180" s="50"/>
      <c r="B5180" s="50"/>
    </row>
    <row r="5181">
      <c r="A5181" s="50"/>
      <c r="B5181" s="50"/>
    </row>
    <row r="5182">
      <c r="A5182" s="50"/>
      <c r="B5182" s="50"/>
    </row>
    <row r="5183">
      <c r="A5183" s="50"/>
      <c r="B5183" s="50"/>
    </row>
    <row r="5184">
      <c r="A5184" s="50"/>
      <c r="B5184" s="50"/>
    </row>
    <row r="5185">
      <c r="A5185" s="50"/>
      <c r="B5185" s="50"/>
    </row>
    <row r="5186">
      <c r="A5186" s="50"/>
      <c r="B5186" s="50"/>
    </row>
    <row r="5187">
      <c r="A5187" s="50"/>
      <c r="B5187" s="50"/>
    </row>
    <row r="5188">
      <c r="A5188" s="50"/>
      <c r="B5188" s="50"/>
    </row>
    <row r="5189">
      <c r="A5189" s="50"/>
      <c r="B5189" s="50"/>
    </row>
    <row r="5190">
      <c r="A5190" s="50"/>
      <c r="B5190" s="50"/>
    </row>
    <row r="5191">
      <c r="A5191" s="50"/>
      <c r="B5191" s="50"/>
    </row>
    <row r="5192">
      <c r="A5192" s="50"/>
      <c r="B5192" s="50"/>
    </row>
    <row r="5193">
      <c r="A5193" s="50"/>
      <c r="B5193" s="50"/>
    </row>
    <row r="5194">
      <c r="A5194" s="50"/>
      <c r="B5194" s="50"/>
    </row>
    <row r="5195">
      <c r="A5195" s="50"/>
      <c r="B5195" s="50"/>
    </row>
    <row r="5196">
      <c r="A5196" s="50"/>
      <c r="B5196" s="50"/>
    </row>
    <row r="5197">
      <c r="A5197" s="50"/>
      <c r="B5197" s="50"/>
    </row>
    <row r="5198">
      <c r="A5198" s="50"/>
      <c r="B5198" s="50"/>
    </row>
    <row r="5199">
      <c r="A5199" s="50"/>
      <c r="B5199" s="50"/>
    </row>
    <row r="5200">
      <c r="A5200" s="50"/>
      <c r="B5200" s="50"/>
    </row>
    <row r="5201">
      <c r="A5201" s="50"/>
      <c r="B5201" s="50"/>
    </row>
    <row r="5202">
      <c r="A5202" s="50"/>
      <c r="B5202" s="50"/>
    </row>
    <row r="5203">
      <c r="A5203" s="50"/>
      <c r="B5203" s="50"/>
    </row>
    <row r="5204">
      <c r="A5204" s="50"/>
      <c r="B5204" s="50"/>
    </row>
    <row r="5205">
      <c r="A5205" s="50"/>
      <c r="B5205" s="50"/>
    </row>
    <row r="5206">
      <c r="A5206" s="50"/>
      <c r="B5206" s="50"/>
    </row>
    <row r="5207">
      <c r="A5207" s="50"/>
      <c r="B5207" s="50"/>
    </row>
    <row r="5208">
      <c r="A5208" s="50"/>
      <c r="B5208" s="50"/>
    </row>
    <row r="5209">
      <c r="A5209" s="50"/>
      <c r="B5209" s="50"/>
    </row>
    <row r="5210">
      <c r="A5210" s="50"/>
      <c r="B5210" s="50"/>
    </row>
    <row r="5211">
      <c r="A5211" s="50"/>
      <c r="B5211" s="50"/>
    </row>
    <row r="5212">
      <c r="A5212" s="50"/>
      <c r="B5212" s="50"/>
    </row>
    <row r="5213">
      <c r="A5213" s="50"/>
      <c r="B5213" s="50"/>
    </row>
    <row r="5214">
      <c r="A5214" s="50"/>
      <c r="B5214" s="50"/>
    </row>
    <row r="5215">
      <c r="A5215" s="50"/>
      <c r="B5215" s="50"/>
    </row>
    <row r="5216">
      <c r="A5216" s="50"/>
      <c r="B5216" s="50"/>
    </row>
    <row r="5217">
      <c r="A5217" s="50"/>
      <c r="B5217" s="50"/>
    </row>
    <row r="5218">
      <c r="A5218" s="50"/>
      <c r="B5218" s="50"/>
    </row>
    <row r="5219">
      <c r="A5219" s="50"/>
      <c r="B5219" s="50"/>
    </row>
    <row r="5220">
      <c r="A5220" s="50"/>
      <c r="B5220" s="50"/>
    </row>
    <row r="5221">
      <c r="A5221" s="50"/>
      <c r="B5221" s="50"/>
    </row>
    <row r="5222">
      <c r="A5222" s="50"/>
      <c r="B5222" s="50"/>
    </row>
    <row r="5223">
      <c r="A5223" s="50"/>
      <c r="B5223" s="50"/>
    </row>
    <row r="5224">
      <c r="A5224" s="50"/>
      <c r="B5224" s="50"/>
    </row>
    <row r="5225">
      <c r="A5225" s="50"/>
      <c r="B5225" s="50"/>
    </row>
    <row r="5226">
      <c r="A5226" s="50"/>
      <c r="B5226" s="50"/>
    </row>
    <row r="5227">
      <c r="A5227" s="50"/>
      <c r="B5227" s="50"/>
    </row>
    <row r="5228">
      <c r="A5228" s="50"/>
      <c r="B5228" s="50"/>
    </row>
    <row r="5229">
      <c r="A5229" s="50"/>
      <c r="B5229" s="50"/>
    </row>
    <row r="5230">
      <c r="A5230" s="50"/>
      <c r="B5230" s="50"/>
    </row>
    <row r="5231">
      <c r="A5231" s="50"/>
      <c r="B5231" s="50"/>
    </row>
    <row r="5232">
      <c r="A5232" s="50"/>
      <c r="B5232" s="50"/>
    </row>
    <row r="5233">
      <c r="A5233" s="50"/>
      <c r="B5233" s="50"/>
    </row>
    <row r="5234">
      <c r="A5234" s="50"/>
      <c r="B5234" s="50"/>
    </row>
    <row r="5235">
      <c r="A5235" s="50"/>
      <c r="B5235" s="50"/>
    </row>
    <row r="5236">
      <c r="A5236" s="50"/>
      <c r="B5236" s="50"/>
    </row>
    <row r="5237">
      <c r="A5237" s="50"/>
      <c r="B5237" s="50"/>
    </row>
    <row r="5238">
      <c r="A5238" s="50"/>
      <c r="B5238" s="50"/>
    </row>
    <row r="5239">
      <c r="A5239" s="50"/>
      <c r="B5239" s="50"/>
    </row>
    <row r="5240">
      <c r="A5240" s="50"/>
      <c r="B5240" s="50"/>
    </row>
    <row r="5241">
      <c r="A5241" s="50"/>
      <c r="B5241" s="50"/>
    </row>
    <row r="5242">
      <c r="A5242" s="50"/>
      <c r="B5242" s="50"/>
    </row>
    <row r="5243">
      <c r="A5243" s="50"/>
      <c r="B5243" s="50"/>
    </row>
    <row r="5244">
      <c r="A5244" s="50"/>
      <c r="B5244" s="50"/>
    </row>
    <row r="5245">
      <c r="A5245" s="50"/>
      <c r="B5245" s="50"/>
    </row>
    <row r="5246">
      <c r="A5246" s="50"/>
      <c r="B5246" s="50"/>
    </row>
    <row r="5247">
      <c r="A5247" s="50"/>
      <c r="B5247" s="50"/>
    </row>
    <row r="5248">
      <c r="A5248" s="50"/>
      <c r="B5248" s="50"/>
    </row>
    <row r="5249">
      <c r="A5249" s="50"/>
      <c r="B5249" s="50"/>
    </row>
    <row r="5250">
      <c r="A5250" s="50"/>
      <c r="B5250" s="50"/>
    </row>
    <row r="5251">
      <c r="A5251" s="50"/>
      <c r="B5251" s="50"/>
    </row>
    <row r="5252">
      <c r="A5252" s="50"/>
      <c r="B5252" s="50"/>
    </row>
    <row r="5253">
      <c r="A5253" s="50"/>
      <c r="B5253" s="50"/>
    </row>
    <row r="5254">
      <c r="A5254" s="50"/>
      <c r="B5254" s="50"/>
    </row>
    <row r="5255">
      <c r="A5255" s="50"/>
      <c r="B5255" s="50"/>
    </row>
    <row r="5256">
      <c r="A5256" s="50"/>
      <c r="B5256" s="50"/>
    </row>
    <row r="5257">
      <c r="A5257" s="50"/>
      <c r="B5257" s="50"/>
    </row>
    <row r="5258">
      <c r="A5258" s="50"/>
      <c r="B5258" s="50"/>
    </row>
    <row r="5259">
      <c r="A5259" s="50"/>
      <c r="B5259" s="50"/>
    </row>
    <row r="5260">
      <c r="A5260" s="50"/>
      <c r="B5260" s="50"/>
    </row>
    <row r="5261">
      <c r="A5261" s="50"/>
      <c r="B5261" s="50"/>
    </row>
    <row r="5262">
      <c r="A5262" s="50"/>
      <c r="B5262" s="50"/>
    </row>
    <row r="5263">
      <c r="A5263" s="50"/>
      <c r="B5263" s="50"/>
    </row>
    <row r="5264">
      <c r="A5264" s="50"/>
      <c r="B5264" s="50"/>
    </row>
    <row r="5265">
      <c r="A5265" s="50"/>
      <c r="B5265" s="50"/>
    </row>
    <row r="5266">
      <c r="A5266" s="50"/>
      <c r="B5266" s="50"/>
    </row>
    <row r="5267">
      <c r="A5267" s="50"/>
      <c r="B5267" s="50"/>
    </row>
    <row r="5268">
      <c r="A5268" s="50"/>
      <c r="B5268" s="50"/>
    </row>
    <row r="5269">
      <c r="A5269" s="50"/>
      <c r="B5269" s="50"/>
    </row>
    <row r="5270">
      <c r="A5270" s="50"/>
      <c r="B5270" s="50"/>
    </row>
    <row r="5271">
      <c r="A5271" s="50"/>
      <c r="B5271" s="50"/>
    </row>
    <row r="5272">
      <c r="A5272" s="50"/>
      <c r="B5272" s="50"/>
    </row>
    <row r="5273">
      <c r="A5273" s="50"/>
      <c r="B5273" s="50"/>
    </row>
    <row r="5274">
      <c r="A5274" s="50"/>
      <c r="B5274" s="50"/>
    </row>
    <row r="5275">
      <c r="A5275" s="50"/>
      <c r="B5275" s="50"/>
    </row>
    <row r="5276">
      <c r="A5276" s="50"/>
      <c r="B5276" s="50"/>
    </row>
    <row r="5277">
      <c r="A5277" s="50"/>
      <c r="B5277" s="50"/>
    </row>
    <row r="5278">
      <c r="A5278" s="50"/>
      <c r="B5278" s="50"/>
    </row>
    <row r="5279">
      <c r="A5279" s="50"/>
      <c r="B5279" s="50"/>
    </row>
    <row r="5280">
      <c r="A5280" s="50"/>
      <c r="B5280" s="50"/>
    </row>
    <row r="5281">
      <c r="A5281" s="50"/>
      <c r="B5281" s="50"/>
    </row>
    <row r="5282">
      <c r="A5282" s="50"/>
      <c r="B5282" s="50"/>
    </row>
    <row r="5283">
      <c r="A5283" s="50"/>
      <c r="B5283" s="50"/>
    </row>
    <row r="5284">
      <c r="A5284" s="50"/>
      <c r="B5284" s="50"/>
    </row>
    <row r="5285">
      <c r="A5285" s="50"/>
      <c r="B5285" s="50"/>
    </row>
    <row r="5286">
      <c r="A5286" s="50"/>
      <c r="B5286" s="50"/>
    </row>
    <row r="5287">
      <c r="A5287" s="50"/>
      <c r="B5287" s="50"/>
    </row>
    <row r="5288">
      <c r="A5288" s="50"/>
      <c r="B5288" s="50"/>
    </row>
    <row r="5289">
      <c r="A5289" s="50"/>
      <c r="B5289" s="50"/>
    </row>
    <row r="5290">
      <c r="A5290" s="50"/>
      <c r="B5290" s="50"/>
    </row>
    <row r="5291">
      <c r="A5291" s="50"/>
      <c r="B5291" s="50"/>
    </row>
    <row r="5292">
      <c r="A5292" s="50"/>
      <c r="B5292" s="50"/>
    </row>
    <row r="5293">
      <c r="A5293" s="50"/>
      <c r="B5293" s="50"/>
    </row>
    <row r="5294">
      <c r="A5294" s="50"/>
      <c r="B5294" s="50"/>
    </row>
    <row r="5295">
      <c r="A5295" s="50"/>
      <c r="B5295" s="50"/>
    </row>
    <row r="5296">
      <c r="A5296" s="50"/>
      <c r="B5296" s="50"/>
    </row>
    <row r="5297">
      <c r="A5297" s="50"/>
      <c r="B5297" s="50"/>
    </row>
    <row r="5298">
      <c r="A5298" s="50"/>
      <c r="B5298" s="50"/>
    </row>
    <row r="5299">
      <c r="A5299" s="50"/>
      <c r="B5299" s="50"/>
    </row>
    <row r="5300">
      <c r="A5300" s="50"/>
      <c r="B5300" s="50"/>
    </row>
    <row r="5301">
      <c r="A5301" s="50"/>
      <c r="B5301" s="50"/>
    </row>
    <row r="5302">
      <c r="A5302" s="50"/>
      <c r="B5302" s="50"/>
    </row>
    <row r="5303">
      <c r="A5303" s="50"/>
      <c r="B5303" s="50"/>
    </row>
    <row r="5304">
      <c r="A5304" s="50"/>
      <c r="B5304" s="50"/>
    </row>
    <row r="5305">
      <c r="A5305" s="50"/>
      <c r="B5305" s="50"/>
    </row>
    <row r="5306">
      <c r="A5306" s="50"/>
      <c r="B5306" s="50"/>
    </row>
    <row r="5307">
      <c r="A5307" s="50"/>
      <c r="B5307" s="50"/>
    </row>
    <row r="5308">
      <c r="A5308" s="50"/>
      <c r="B5308" s="50"/>
    </row>
    <row r="5309">
      <c r="A5309" s="50"/>
      <c r="B5309" s="50"/>
    </row>
    <row r="5310">
      <c r="A5310" s="50"/>
      <c r="B5310" s="50"/>
    </row>
    <row r="5311">
      <c r="A5311" s="50"/>
      <c r="B5311" s="50"/>
    </row>
    <row r="5312">
      <c r="A5312" s="50"/>
      <c r="B5312" s="50"/>
    </row>
    <row r="5313">
      <c r="A5313" s="50"/>
      <c r="B5313" s="50"/>
    </row>
    <row r="5314">
      <c r="A5314" s="50"/>
      <c r="B5314" s="50"/>
    </row>
    <row r="5315">
      <c r="A5315" s="50"/>
      <c r="B5315" s="50"/>
    </row>
    <row r="5316">
      <c r="A5316" s="50"/>
      <c r="B5316" s="50"/>
    </row>
    <row r="5317">
      <c r="A5317" s="50"/>
      <c r="B5317" s="50"/>
    </row>
    <row r="5318">
      <c r="A5318" s="50"/>
      <c r="B5318" s="50"/>
    </row>
    <row r="5319">
      <c r="A5319" s="50"/>
      <c r="B5319" s="50"/>
    </row>
    <row r="5320">
      <c r="A5320" s="50"/>
      <c r="B5320" s="50"/>
    </row>
    <row r="5321">
      <c r="A5321" s="50"/>
      <c r="B5321" s="50"/>
    </row>
    <row r="5322">
      <c r="A5322" s="50"/>
      <c r="B5322" s="50"/>
    </row>
    <row r="5323">
      <c r="A5323" s="50"/>
      <c r="B5323" s="50"/>
    </row>
    <row r="5324">
      <c r="A5324" s="50"/>
      <c r="B5324" s="50"/>
    </row>
    <row r="5325">
      <c r="A5325" s="50"/>
      <c r="B5325" s="50"/>
    </row>
    <row r="5326">
      <c r="A5326" s="50"/>
      <c r="B5326" s="50"/>
    </row>
    <row r="5327">
      <c r="A5327" s="50"/>
      <c r="B5327" s="50"/>
    </row>
    <row r="5328">
      <c r="A5328" s="50"/>
      <c r="B5328" s="50"/>
    </row>
    <row r="5329">
      <c r="A5329" s="50"/>
      <c r="B5329" s="50"/>
    </row>
    <row r="5330">
      <c r="A5330" s="50"/>
      <c r="B5330" s="50"/>
    </row>
    <row r="5331">
      <c r="A5331" s="50"/>
      <c r="B5331" s="50"/>
    </row>
    <row r="5332">
      <c r="A5332" s="50"/>
      <c r="B5332" s="50"/>
    </row>
    <row r="5333">
      <c r="A5333" s="50"/>
      <c r="B5333" s="50"/>
    </row>
    <row r="5334">
      <c r="A5334" s="50"/>
      <c r="B5334" s="50"/>
    </row>
    <row r="5335">
      <c r="A5335" s="50"/>
      <c r="B5335" s="50"/>
    </row>
    <row r="5336">
      <c r="A5336" s="50"/>
      <c r="B5336" s="50"/>
    </row>
    <row r="5337">
      <c r="A5337" s="50"/>
      <c r="B5337" s="50"/>
    </row>
    <row r="5338">
      <c r="A5338" s="50"/>
      <c r="B5338" s="50"/>
    </row>
    <row r="5339">
      <c r="A5339" s="50"/>
      <c r="B5339" s="50"/>
    </row>
    <row r="5340">
      <c r="A5340" s="50"/>
      <c r="B5340" s="50"/>
    </row>
    <row r="5341">
      <c r="A5341" s="50"/>
      <c r="B5341" s="50"/>
    </row>
    <row r="5342">
      <c r="A5342" s="50"/>
      <c r="B5342" s="50"/>
    </row>
    <row r="5343">
      <c r="A5343" s="50"/>
      <c r="B5343" s="50"/>
    </row>
    <row r="5344">
      <c r="A5344" s="50"/>
      <c r="B5344" s="50"/>
    </row>
    <row r="5345">
      <c r="A5345" s="50"/>
      <c r="B5345" s="50"/>
    </row>
    <row r="5346">
      <c r="A5346" s="50"/>
      <c r="B5346" s="50"/>
    </row>
    <row r="5347">
      <c r="A5347" s="50"/>
      <c r="B5347" s="50"/>
    </row>
    <row r="5348">
      <c r="A5348" s="50"/>
      <c r="B5348" s="50"/>
    </row>
    <row r="5349">
      <c r="A5349" s="50"/>
      <c r="B5349" s="50"/>
    </row>
    <row r="5350">
      <c r="A5350" s="50"/>
      <c r="B5350" s="50"/>
    </row>
    <row r="5351">
      <c r="A5351" s="50"/>
      <c r="B5351" s="50"/>
    </row>
    <row r="5352">
      <c r="A5352" s="50"/>
      <c r="B5352" s="50"/>
    </row>
    <row r="5353">
      <c r="A5353" s="50"/>
      <c r="B5353" s="50"/>
    </row>
    <row r="5354">
      <c r="A5354" s="50"/>
      <c r="B5354" s="50"/>
    </row>
    <row r="5355">
      <c r="A5355" s="50"/>
      <c r="B5355" s="50"/>
    </row>
    <row r="5356">
      <c r="A5356" s="50"/>
      <c r="B5356" s="50"/>
    </row>
    <row r="5357">
      <c r="A5357" s="50"/>
      <c r="B5357" s="50"/>
    </row>
    <row r="5358">
      <c r="A5358" s="50"/>
      <c r="B5358" s="50"/>
    </row>
    <row r="5359">
      <c r="A5359" s="50"/>
      <c r="B5359" s="50"/>
    </row>
    <row r="5360">
      <c r="A5360" s="50"/>
      <c r="B5360" s="50"/>
    </row>
    <row r="5361">
      <c r="A5361" s="50"/>
      <c r="B5361" s="50"/>
    </row>
    <row r="5362">
      <c r="A5362" s="50"/>
      <c r="B5362" s="50"/>
    </row>
    <row r="5363">
      <c r="A5363" s="50"/>
      <c r="B5363" s="50"/>
    </row>
    <row r="5364">
      <c r="A5364" s="50"/>
      <c r="B5364" s="50"/>
    </row>
    <row r="5365">
      <c r="A5365" s="50"/>
      <c r="B5365" s="50"/>
    </row>
    <row r="5366">
      <c r="A5366" s="50"/>
      <c r="B5366" s="50"/>
    </row>
    <row r="5367">
      <c r="A5367" s="50"/>
      <c r="B5367" s="50"/>
    </row>
    <row r="5368">
      <c r="A5368" s="50"/>
      <c r="B5368" s="50"/>
    </row>
    <row r="5369">
      <c r="A5369" s="50"/>
      <c r="B5369" s="50"/>
    </row>
    <row r="5370">
      <c r="A5370" s="50"/>
      <c r="B5370" s="50"/>
    </row>
    <row r="5371">
      <c r="A5371" s="50"/>
      <c r="B5371" s="50"/>
    </row>
    <row r="5372">
      <c r="A5372" s="50"/>
      <c r="B5372" s="50"/>
    </row>
    <row r="5373">
      <c r="A5373" s="50"/>
      <c r="B5373" s="50"/>
    </row>
    <row r="5374">
      <c r="A5374" s="50"/>
      <c r="B5374" s="50"/>
    </row>
    <row r="5375">
      <c r="A5375" s="50"/>
      <c r="B5375" s="50"/>
    </row>
    <row r="5376">
      <c r="A5376" s="50"/>
      <c r="B5376" s="50"/>
    </row>
    <row r="5377">
      <c r="A5377" s="50"/>
      <c r="B5377" s="50"/>
    </row>
    <row r="5378">
      <c r="A5378" s="50"/>
      <c r="B5378" s="50"/>
    </row>
    <row r="5379">
      <c r="A5379" s="50"/>
      <c r="B5379" s="50"/>
    </row>
    <row r="5380">
      <c r="A5380" s="50"/>
      <c r="B5380" s="50"/>
    </row>
    <row r="5381">
      <c r="A5381" s="50"/>
      <c r="B5381" s="50"/>
    </row>
    <row r="5382">
      <c r="A5382" s="50"/>
      <c r="B5382" s="50"/>
    </row>
    <row r="5383">
      <c r="A5383" s="50"/>
      <c r="B5383" s="50"/>
    </row>
    <row r="5384">
      <c r="A5384" s="50"/>
      <c r="B5384" s="50"/>
    </row>
    <row r="5385">
      <c r="A5385" s="50"/>
      <c r="B5385" s="50"/>
    </row>
    <row r="5386">
      <c r="A5386" s="50"/>
      <c r="B5386" s="50"/>
    </row>
    <row r="5387">
      <c r="A5387" s="50"/>
      <c r="B5387" s="50"/>
    </row>
    <row r="5388">
      <c r="A5388" s="50"/>
      <c r="B5388" s="50"/>
    </row>
    <row r="5389">
      <c r="A5389" s="50"/>
      <c r="B5389" s="50"/>
    </row>
    <row r="5390">
      <c r="A5390" s="50"/>
      <c r="B5390" s="50"/>
    </row>
    <row r="5391">
      <c r="A5391" s="50"/>
      <c r="B5391" s="50"/>
    </row>
    <row r="5392">
      <c r="A5392" s="50"/>
      <c r="B5392" s="50"/>
    </row>
    <row r="5393">
      <c r="A5393" s="50"/>
      <c r="B5393" s="50"/>
    </row>
    <row r="5394">
      <c r="A5394" s="50"/>
      <c r="B5394" s="50"/>
    </row>
    <row r="5395">
      <c r="A5395" s="50"/>
      <c r="B5395" s="50"/>
    </row>
    <row r="5396">
      <c r="A5396" s="50"/>
      <c r="B5396" s="50"/>
    </row>
    <row r="5397">
      <c r="A5397" s="50"/>
      <c r="B5397" s="50"/>
    </row>
    <row r="5398">
      <c r="A5398" s="50"/>
      <c r="B5398" s="50"/>
    </row>
    <row r="5399">
      <c r="A5399" s="50"/>
      <c r="B5399" s="50"/>
    </row>
    <row r="5400">
      <c r="A5400" s="50"/>
      <c r="B5400" s="50"/>
    </row>
    <row r="5401">
      <c r="A5401" s="50"/>
      <c r="B5401" s="50"/>
    </row>
    <row r="5402">
      <c r="A5402" s="50"/>
      <c r="B5402" s="50"/>
    </row>
    <row r="5403">
      <c r="A5403" s="50"/>
      <c r="B5403" s="50"/>
    </row>
    <row r="5404">
      <c r="A5404" s="50"/>
      <c r="B5404" s="50"/>
    </row>
    <row r="5405">
      <c r="A5405" s="50"/>
      <c r="B5405" s="50"/>
    </row>
    <row r="5406">
      <c r="A5406" s="50"/>
      <c r="B5406" s="50"/>
    </row>
    <row r="5407">
      <c r="A5407" s="50"/>
      <c r="B5407" s="50"/>
    </row>
    <row r="5408">
      <c r="A5408" s="50"/>
      <c r="B5408" s="50"/>
    </row>
    <row r="5409">
      <c r="A5409" s="50"/>
      <c r="B5409" s="50"/>
    </row>
    <row r="5410">
      <c r="A5410" s="50"/>
      <c r="B5410" s="50"/>
    </row>
    <row r="5411">
      <c r="A5411" s="50"/>
      <c r="B5411" s="50"/>
    </row>
    <row r="5412">
      <c r="A5412" s="50"/>
      <c r="B5412" s="50"/>
    </row>
    <row r="5413">
      <c r="A5413" s="50"/>
      <c r="B5413" s="50"/>
    </row>
    <row r="5414">
      <c r="A5414" s="50"/>
      <c r="B5414" s="50"/>
    </row>
    <row r="5415">
      <c r="A5415" s="50"/>
      <c r="B5415" s="50"/>
    </row>
    <row r="5416">
      <c r="A5416" s="50"/>
      <c r="B5416" s="50"/>
    </row>
    <row r="5417">
      <c r="A5417" s="50"/>
      <c r="B5417" s="50"/>
    </row>
    <row r="5418">
      <c r="A5418" s="50"/>
      <c r="B5418" s="50"/>
    </row>
    <row r="5419">
      <c r="A5419" s="50"/>
      <c r="B5419" s="50"/>
    </row>
    <row r="5420">
      <c r="A5420" s="50"/>
      <c r="B5420" s="50"/>
    </row>
    <row r="5421">
      <c r="A5421" s="50"/>
      <c r="B5421" s="50"/>
    </row>
    <row r="5422">
      <c r="A5422" s="50"/>
      <c r="B5422" s="50"/>
    </row>
    <row r="5423">
      <c r="A5423" s="50"/>
      <c r="B5423" s="50"/>
    </row>
    <row r="5424">
      <c r="A5424" s="50"/>
      <c r="B5424" s="50"/>
    </row>
    <row r="5425">
      <c r="A5425" s="50"/>
      <c r="B5425" s="50"/>
    </row>
    <row r="5426">
      <c r="A5426" s="50"/>
      <c r="B5426" s="50"/>
    </row>
    <row r="5427">
      <c r="A5427" s="50"/>
      <c r="B5427" s="50"/>
    </row>
    <row r="5428">
      <c r="A5428" s="50"/>
      <c r="B5428" s="50"/>
    </row>
    <row r="5429">
      <c r="A5429" s="50"/>
      <c r="B5429" s="50"/>
    </row>
    <row r="5430">
      <c r="A5430" s="50"/>
      <c r="B5430" s="50"/>
    </row>
    <row r="5431">
      <c r="A5431" s="50"/>
      <c r="B5431" s="50"/>
    </row>
    <row r="5432">
      <c r="A5432" s="50"/>
      <c r="B5432" s="50"/>
    </row>
    <row r="5433">
      <c r="A5433" s="50"/>
      <c r="B5433" s="50"/>
    </row>
    <row r="5434">
      <c r="A5434" s="50"/>
      <c r="B5434" s="50"/>
    </row>
    <row r="5435">
      <c r="A5435" s="50"/>
      <c r="B5435" s="50"/>
    </row>
    <row r="5436">
      <c r="A5436" s="50"/>
      <c r="B5436" s="50"/>
    </row>
    <row r="5437">
      <c r="A5437" s="50"/>
      <c r="B5437" s="50"/>
    </row>
    <row r="5438">
      <c r="A5438" s="50"/>
      <c r="B5438" s="50"/>
    </row>
    <row r="5439">
      <c r="A5439" s="50"/>
      <c r="B5439" s="50"/>
    </row>
    <row r="5440">
      <c r="A5440" s="50"/>
      <c r="B5440" s="50"/>
    </row>
    <row r="5441">
      <c r="A5441" s="50"/>
      <c r="B5441" s="50"/>
    </row>
    <row r="5442">
      <c r="A5442" s="50"/>
      <c r="B5442" s="50"/>
    </row>
    <row r="5443">
      <c r="A5443" s="50"/>
      <c r="B5443" s="50"/>
    </row>
    <row r="5444">
      <c r="A5444" s="50"/>
      <c r="B5444" s="50"/>
    </row>
    <row r="5445">
      <c r="A5445" s="50"/>
      <c r="B5445" s="50"/>
    </row>
    <row r="5446">
      <c r="A5446" s="50"/>
      <c r="B5446" s="50"/>
    </row>
    <row r="5447">
      <c r="A5447" s="50"/>
      <c r="B5447" s="50"/>
    </row>
    <row r="5448">
      <c r="A5448" s="50"/>
      <c r="B5448" s="50"/>
    </row>
    <row r="5449">
      <c r="A5449" s="50"/>
      <c r="B5449" s="50"/>
    </row>
    <row r="5450">
      <c r="A5450" s="50"/>
      <c r="B5450" s="50"/>
    </row>
    <row r="5451">
      <c r="A5451" s="50"/>
      <c r="B5451" s="50"/>
    </row>
    <row r="5452">
      <c r="A5452" s="50"/>
      <c r="B5452" s="50"/>
    </row>
    <row r="5453">
      <c r="A5453" s="50"/>
      <c r="B5453" s="50"/>
    </row>
    <row r="5454">
      <c r="A5454" s="50"/>
      <c r="B5454" s="50"/>
    </row>
    <row r="5455">
      <c r="A5455" s="50"/>
      <c r="B5455" s="50"/>
    </row>
    <row r="5456">
      <c r="A5456" s="50"/>
      <c r="B5456" s="50"/>
    </row>
    <row r="5457">
      <c r="A5457" s="50"/>
      <c r="B5457" s="50"/>
    </row>
    <row r="5458">
      <c r="A5458" s="50"/>
      <c r="B5458" s="50"/>
    </row>
    <row r="5459">
      <c r="A5459" s="50"/>
      <c r="B5459" s="50"/>
    </row>
    <row r="5460">
      <c r="A5460" s="50"/>
      <c r="B5460" s="50"/>
    </row>
    <row r="5461">
      <c r="A5461" s="50"/>
      <c r="B5461" s="50"/>
    </row>
    <row r="5462">
      <c r="A5462" s="50"/>
      <c r="B5462" s="50"/>
    </row>
    <row r="5463">
      <c r="A5463" s="50"/>
      <c r="B5463" s="50"/>
    </row>
    <row r="5464">
      <c r="A5464" s="50"/>
      <c r="B5464" s="50"/>
    </row>
    <row r="5465">
      <c r="A5465" s="50"/>
      <c r="B5465" s="50"/>
    </row>
    <row r="5466">
      <c r="A5466" s="50"/>
      <c r="B5466" s="50"/>
    </row>
    <row r="5467">
      <c r="A5467" s="50"/>
      <c r="B5467" s="50"/>
    </row>
    <row r="5468">
      <c r="A5468" s="50"/>
      <c r="B5468" s="50"/>
    </row>
    <row r="5469">
      <c r="A5469" s="50"/>
      <c r="B5469" s="50"/>
    </row>
    <row r="5470">
      <c r="A5470" s="50"/>
      <c r="B5470" s="50"/>
    </row>
    <row r="5471">
      <c r="A5471" s="50"/>
      <c r="B5471" s="50"/>
    </row>
    <row r="5472">
      <c r="A5472" s="50"/>
      <c r="B5472" s="50"/>
    </row>
    <row r="5473">
      <c r="A5473" s="50"/>
      <c r="B5473" s="50"/>
    </row>
    <row r="5474">
      <c r="A5474" s="50"/>
      <c r="B5474" s="50"/>
    </row>
    <row r="5475">
      <c r="A5475" s="50"/>
      <c r="B5475" s="50"/>
    </row>
    <row r="5476">
      <c r="A5476" s="50"/>
      <c r="B5476" s="50"/>
    </row>
    <row r="5477">
      <c r="A5477" s="50"/>
      <c r="B5477" s="50"/>
    </row>
    <row r="5478">
      <c r="A5478" s="50"/>
      <c r="B5478" s="50"/>
    </row>
    <row r="5479">
      <c r="A5479" s="50"/>
      <c r="B5479" s="50"/>
    </row>
    <row r="5480">
      <c r="A5480" s="50"/>
      <c r="B5480" s="50"/>
    </row>
    <row r="5481">
      <c r="A5481" s="50"/>
      <c r="B5481" s="50"/>
    </row>
    <row r="5482">
      <c r="A5482" s="50"/>
      <c r="B5482" s="50"/>
    </row>
    <row r="5483">
      <c r="A5483" s="50"/>
      <c r="B5483" s="50"/>
    </row>
    <row r="5484">
      <c r="A5484" s="50"/>
      <c r="B5484" s="50"/>
    </row>
    <row r="5485">
      <c r="A5485" s="50"/>
      <c r="B5485" s="50"/>
    </row>
    <row r="5486">
      <c r="A5486" s="50"/>
      <c r="B5486" s="50"/>
    </row>
    <row r="5487">
      <c r="A5487" s="50"/>
      <c r="B5487" s="50"/>
    </row>
    <row r="5488">
      <c r="A5488" s="50"/>
      <c r="B5488" s="50"/>
    </row>
    <row r="5489">
      <c r="A5489" s="50"/>
      <c r="B5489" s="50"/>
    </row>
    <row r="5490">
      <c r="A5490" s="50"/>
      <c r="B5490" s="50"/>
    </row>
    <row r="5491">
      <c r="A5491" s="50"/>
      <c r="B5491" s="50"/>
    </row>
    <row r="5492">
      <c r="A5492" s="50"/>
      <c r="B5492" s="50"/>
    </row>
    <row r="5493">
      <c r="A5493" s="50"/>
      <c r="B5493" s="50"/>
    </row>
    <row r="5494">
      <c r="A5494" s="50"/>
      <c r="B5494" s="50"/>
    </row>
    <row r="5495">
      <c r="A5495" s="50"/>
      <c r="B5495" s="50"/>
    </row>
    <row r="5496">
      <c r="A5496" s="50"/>
      <c r="B5496" s="50"/>
    </row>
    <row r="5497">
      <c r="A5497" s="50"/>
      <c r="B5497" s="50"/>
    </row>
    <row r="5498">
      <c r="A5498" s="50"/>
      <c r="B5498" s="50"/>
    </row>
    <row r="5499">
      <c r="A5499" s="50"/>
      <c r="B5499" s="50"/>
    </row>
    <row r="5500">
      <c r="A5500" s="50"/>
      <c r="B5500" s="50"/>
    </row>
    <row r="5501">
      <c r="A5501" s="50"/>
      <c r="B5501" s="50"/>
    </row>
    <row r="5502">
      <c r="A5502" s="50"/>
      <c r="B5502" s="50"/>
    </row>
    <row r="5503">
      <c r="A5503" s="50"/>
      <c r="B5503" s="50"/>
    </row>
    <row r="5504">
      <c r="A5504" s="50"/>
      <c r="B5504" s="50"/>
    </row>
    <row r="5505">
      <c r="A5505" s="50"/>
      <c r="B5505" s="50"/>
    </row>
    <row r="5506">
      <c r="A5506" s="50"/>
      <c r="B5506" s="50"/>
    </row>
    <row r="5507">
      <c r="A5507" s="50"/>
      <c r="B5507" s="50"/>
    </row>
    <row r="5508">
      <c r="A5508" s="50"/>
      <c r="B5508" s="50"/>
    </row>
    <row r="5509">
      <c r="A5509" s="50"/>
      <c r="B5509" s="50"/>
    </row>
    <row r="5510">
      <c r="A5510" s="50"/>
      <c r="B5510" s="50"/>
    </row>
    <row r="5511">
      <c r="A5511" s="50"/>
      <c r="B5511" s="50"/>
    </row>
    <row r="5512">
      <c r="A5512" s="50"/>
      <c r="B5512" s="50"/>
    </row>
    <row r="5513">
      <c r="A5513" s="50"/>
      <c r="B5513" s="50"/>
    </row>
    <row r="5514">
      <c r="A5514" s="50"/>
      <c r="B5514" s="50"/>
    </row>
    <row r="5515">
      <c r="A5515" s="50"/>
      <c r="B5515" s="50"/>
    </row>
    <row r="5516">
      <c r="A5516" s="50"/>
      <c r="B5516" s="50"/>
    </row>
    <row r="5517">
      <c r="A5517" s="50"/>
      <c r="B5517" s="50"/>
    </row>
    <row r="5518">
      <c r="A5518" s="50"/>
      <c r="B5518" s="50"/>
    </row>
    <row r="5519">
      <c r="A5519" s="50"/>
      <c r="B5519" s="50"/>
    </row>
    <row r="5520">
      <c r="A5520" s="50"/>
      <c r="B5520" s="50"/>
    </row>
    <row r="5521">
      <c r="A5521" s="50"/>
      <c r="B5521" s="50"/>
    </row>
    <row r="5522">
      <c r="A5522" s="50"/>
      <c r="B5522" s="50"/>
    </row>
    <row r="5523">
      <c r="A5523" s="50"/>
      <c r="B5523" s="50"/>
    </row>
    <row r="5524">
      <c r="A5524" s="50"/>
      <c r="B5524" s="50"/>
    </row>
    <row r="5525">
      <c r="A5525" s="50"/>
      <c r="B5525" s="50"/>
    </row>
    <row r="5526">
      <c r="A5526" s="50"/>
      <c r="B5526" s="50"/>
    </row>
    <row r="5527">
      <c r="A5527" s="50"/>
      <c r="B5527" s="50"/>
    </row>
    <row r="5528">
      <c r="A5528" s="50"/>
      <c r="B5528" s="50"/>
    </row>
    <row r="5529">
      <c r="A5529" s="50"/>
      <c r="B5529" s="50"/>
    </row>
    <row r="5530">
      <c r="A5530" s="50"/>
      <c r="B5530" s="50"/>
    </row>
    <row r="5531">
      <c r="A5531" s="50"/>
      <c r="B5531" s="50"/>
    </row>
    <row r="5532">
      <c r="A5532" s="50"/>
      <c r="B5532" s="50"/>
    </row>
    <row r="5533">
      <c r="A5533" s="50"/>
      <c r="B5533" s="50"/>
    </row>
    <row r="5534">
      <c r="A5534" s="50"/>
      <c r="B5534" s="50"/>
    </row>
    <row r="5535">
      <c r="A5535" s="50"/>
      <c r="B5535" s="50"/>
    </row>
    <row r="5536">
      <c r="A5536" s="50"/>
      <c r="B5536" s="50"/>
    </row>
    <row r="5537">
      <c r="A5537" s="50"/>
      <c r="B5537" s="50"/>
    </row>
    <row r="5538">
      <c r="A5538" s="50"/>
      <c r="B5538" s="50"/>
    </row>
    <row r="5539">
      <c r="A5539" s="50"/>
      <c r="B5539" s="50"/>
    </row>
    <row r="5540">
      <c r="A5540" s="50"/>
      <c r="B5540" s="50"/>
    </row>
    <row r="5541">
      <c r="A5541" s="50"/>
      <c r="B5541" s="50"/>
    </row>
    <row r="5542">
      <c r="A5542" s="50"/>
      <c r="B5542" s="50"/>
    </row>
    <row r="5543">
      <c r="A5543" s="50"/>
      <c r="B5543" s="50"/>
    </row>
    <row r="5544">
      <c r="A5544" s="50"/>
      <c r="B5544" s="50"/>
    </row>
    <row r="5545">
      <c r="A5545" s="50"/>
      <c r="B5545" s="50"/>
    </row>
    <row r="5546">
      <c r="A5546" s="50"/>
      <c r="B5546" s="50"/>
    </row>
    <row r="5547">
      <c r="A5547" s="50"/>
      <c r="B5547" s="50"/>
    </row>
    <row r="5548">
      <c r="A5548" s="50"/>
      <c r="B5548" s="50"/>
    </row>
    <row r="5549">
      <c r="A5549" s="50"/>
      <c r="B5549" s="50"/>
    </row>
    <row r="5550">
      <c r="A5550" s="50"/>
      <c r="B5550" s="50"/>
    </row>
    <row r="5551">
      <c r="A5551" s="50"/>
      <c r="B5551" s="50"/>
    </row>
    <row r="5552">
      <c r="A5552" s="50"/>
      <c r="B5552" s="50"/>
    </row>
    <row r="5553">
      <c r="A5553" s="50"/>
      <c r="B5553" s="50"/>
    </row>
    <row r="5554">
      <c r="A5554" s="50"/>
      <c r="B5554" s="50"/>
    </row>
    <row r="5555">
      <c r="A5555" s="50"/>
      <c r="B5555" s="50"/>
    </row>
    <row r="5556">
      <c r="A5556" s="50"/>
      <c r="B5556" s="50"/>
    </row>
    <row r="5557">
      <c r="A5557" s="50"/>
      <c r="B5557" s="50"/>
    </row>
    <row r="5558">
      <c r="A5558" s="50"/>
      <c r="B5558" s="50"/>
    </row>
    <row r="5559">
      <c r="A5559" s="50"/>
      <c r="B5559" s="50"/>
    </row>
    <row r="5560">
      <c r="A5560" s="50"/>
      <c r="B5560" s="50"/>
    </row>
    <row r="5561">
      <c r="A5561" s="50"/>
      <c r="B5561" s="50"/>
    </row>
    <row r="5562">
      <c r="A5562" s="50"/>
      <c r="B5562" s="50"/>
    </row>
    <row r="5563">
      <c r="A5563" s="50"/>
      <c r="B5563" s="50"/>
    </row>
    <row r="5564">
      <c r="A5564" s="50"/>
      <c r="B5564" s="50"/>
    </row>
    <row r="5565">
      <c r="A5565" s="50"/>
      <c r="B5565" s="50"/>
    </row>
    <row r="5566">
      <c r="A5566" s="50"/>
      <c r="B5566" s="50"/>
    </row>
    <row r="5567">
      <c r="A5567" s="50"/>
      <c r="B5567" s="50"/>
    </row>
    <row r="5568">
      <c r="A5568" s="50"/>
      <c r="B5568" s="50"/>
    </row>
    <row r="5569">
      <c r="A5569" s="50"/>
      <c r="B5569" s="50"/>
    </row>
    <row r="5570">
      <c r="A5570" s="50"/>
      <c r="B5570" s="50"/>
    </row>
    <row r="5571">
      <c r="A5571" s="50"/>
      <c r="B5571" s="50"/>
    </row>
    <row r="5572">
      <c r="A5572" s="50"/>
      <c r="B5572" s="50"/>
    </row>
    <row r="5573">
      <c r="A5573" s="50"/>
      <c r="B5573" s="50"/>
    </row>
    <row r="5574">
      <c r="A5574" s="50"/>
      <c r="B5574" s="50"/>
    </row>
    <row r="5575">
      <c r="A5575" s="50"/>
      <c r="B5575" s="50"/>
    </row>
    <row r="5576">
      <c r="A5576" s="50"/>
      <c r="B5576" s="50"/>
    </row>
    <row r="5577">
      <c r="A5577" s="50"/>
      <c r="B5577" s="50"/>
    </row>
    <row r="5578">
      <c r="A5578" s="50"/>
      <c r="B5578" s="50"/>
    </row>
    <row r="5579">
      <c r="A5579" s="50"/>
      <c r="B5579" s="50"/>
    </row>
    <row r="5580">
      <c r="A5580" s="50"/>
      <c r="B5580" s="50"/>
    </row>
    <row r="5581">
      <c r="A5581" s="50"/>
      <c r="B5581" s="50"/>
    </row>
    <row r="5582">
      <c r="A5582" s="50"/>
      <c r="B5582" s="50"/>
    </row>
    <row r="5583">
      <c r="A5583" s="50"/>
      <c r="B5583" s="50"/>
    </row>
    <row r="5584">
      <c r="A5584" s="50"/>
      <c r="B5584" s="50"/>
    </row>
    <row r="5585">
      <c r="A5585" s="50"/>
      <c r="B5585" s="50"/>
    </row>
    <row r="5586">
      <c r="A5586" s="50"/>
      <c r="B5586" s="50"/>
    </row>
    <row r="5587">
      <c r="A5587" s="50"/>
      <c r="B5587" s="50"/>
    </row>
    <row r="5588">
      <c r="A5588" s="50"/>
      <c r="B5588" s="50"/>
    </row>
    <row r="5589">
      <c r="A5589" s="50"/>
      <c r="B5589" s="50"/>
    </row>
    <row r="5590">
      <c r="A5590" s="50"/>
      <c r="B5590" s="50"/>
    </row>
    <row r="5591">
      <c r="A5591" s="50"/>
      <c r="B5591" s="50"/>
    </row>
    <row r="5592">
      <c r="A5592" s="50"/>
      <c r="B5592" s="50"/>
    </row>
    <row r="5593">
      <c r="A5593" s="50"/>
      <c r="B5593" s="50"/>
    </row>
    <row r="5594">
      <c r="A5594" s="50"/>
      <c r="B5594" s="50"/>
    </row>
    <row r="5595">
      <c r="A5595" s="50"/>
      <c r="B5595" s="50"/>
    </row>
    <row r="5596">
      <c r="A5596" s="50"/>
      <c r="B5596" s="50"/>
    </row>
    <row r="5597">
      <c r="A5597" s="50"/>
      <c r="B5597" s="50"/>
    </row>
    <row r="5598">
      <c r="A5598" s="50"/>
      <c r="B5598" s="50"/>
    </row>
    <row r="5599">
      <c r="A5599" s="50"/>
      <c r="B5599" s="50"/>
    </row>
    <row r="5600">
      <c r="A5600" s="50"/>
      <c r="B5600" s="50"/>
    </row>
    <row r="5601">
      <c r="A5601" s="50"/>
      <c r="B5601" s="50"/>
    </row>
    <row r="5602">
      <c r="A5602" s="50"/>
      <c r="B5602" s="50"/>
    </row>
    <row r="5603">
      <c r="A5603" s="50"/>
      <c r="B5603" s="50"/>
    </row>
    <row r="5604">
      <c r="A5604" s="50"/>
      <c r="B5604" s="50"/>
    </row>
    <row r="5605">
      <c r="A5605" s="50"/>
      <c r="B5605" s="50"/>
    </row>
    <row r="5606">
      <c r="A5606" s="50"/>
      <c r="B5606" s="50"/>
    </row>
    <row r="5607">
      <c r="A5607" s="50"/>
      <c r="B5607" s="50"/>
    </row>
    <row r="5608">
      <c r="A5608" s="50"/>
      <c r="B5608" s="50"/>
    </row>
    <row r="5609">
      <c r="A5609" s="50"/>
      <c r="B5609" s="50"/>
    </row>
    <row r="5610">
      <c r="A5610" s="50"/>
      <c r="B5610" s="50"/>
    </row>
    <row r="5611">
      <c r="A5611" s="50"/>
      <c r="B5611" s="50"/>
    </row>
    <row r="5612">
      <c r="A5612" s="50"/>
      <c r="B5612" s="50"/>
    </row>
    <row r="5613">
      <c r="A5613" s="50"/>
      <c r="B5613" s="50"/>
    </row>
    <row r="5614">
      <c r="A5614" s="50"/>
      <c r="B5614" s="50"/>
    </row>
    <row r="5615">
      <c r="A5615" s="50"/>
      <c r="B5615" s="50"/>
    </row>
    <row r="5616">
      <c r="A5616" s="50"/>
      <c r="B5616" s="50"/>
    </row>
    <row r="5617">
      <c r="A5617" s="50"/>
      <c r="B5617" s="50"/>
    </row>
    <row r="5618">
      <c r="A5618" s="50"/>
      <c r="B5618" s="50"/>
    </row>
    <row r="5619">
      <c r="A5619" s="50"/>
      <c r="B5619" s="50"/>
    </row>
    <row r="5620">
      <c r="A5620" s="50"/>
      <c r="B5620" s="50"/>
    </row>
    <row r="5621">
      <c r="A5621" s="50"/>
      <c r="B5621" s="50"/>
    </row>
    <row r="5622">
      <c r="A5622" s="50"/>
      <c r="B5622" s="50"/>
    </row>
    <row r="5623">
      <c r="A5623" s="50"/>
      <c r="B5623" s="50"/>
    </row>
    <row r="5624">
      <c r="A5624" s="50"/>
      <c r="B5624" s="50"/>
    </row>
    <row r="5625">
      <c r="A5625" s="50"/>
      <c r="B5625" s="50"/>
    </row>
    <row r="5626">
      <c r="A5626" s="50"/>
      <c r="B5626" s="50"/>
    </row>
    <row r="5627">
      <c r="A5627" s="50"/>
      <c r="B5627" s="50"/>
    </row>
    <row r="5628">
      <c r="A5628" s="50"/>
      <c r="B5628" s="50"/>
    </row>
    <row r="5629">
      <c r="A5629" s="50"/>
      <c r="B5629" s="50"/>
    </row>
    <row r="5630">
      <c r="A5630" s="50"/>
      <c r="B5630" s="50"/>
    </row>
    <row r="5631">
      <c r="A5631" s="50"/>
      <c r="B5631" s="50"/>
    </row>
    <row r="5632">
      <c r="A5632" s="50"/>
      <c r="B5632" s="50"/>
    </row>
    <row r="5633">
      <c r="A5633" s="50"/>
      <c r="B5633" s="50"/>
    </row>
    <row r="5634">
      <c r="A5634" s="50"/>
      <c r="B5634" s="50"/>
    </row>
    <row r="5635">
      <c r="A5635" s="50"/>
      <c r="B5635" s="50"/>
    </row>
    <row r="5636">
      <c r="A5636" s="50"/>
      <c r="B5636" s="50"/>
    </row>
    <row r="5637">
      <c r="A5637" s="50"/>
      <c r="B5637" s="50"/>
    </row>
    <row r="5638">
      <c r="A5638" s="50"/>
      <c r="B5638" s="50"/>
    </row>
    <row r="5639">
      <c r="A5639" s="50"/>
      <c r="B5639" s="50"/>
    </row>
    <row r="5640">
      <c r="A5640" s="50"/>
      <c r="B5640" s="50"/>
    </row>
    <row r="5641">
      <c r="A5641" s="50"/>
      <c r="B5641" s="50"/>
    </row>
    <row r="5642">
      <c r="A5642" s="50"/>
      <c r="B5642" s="50"/>
    </row>
    <row r="5643">
      <c r="A5643" s="50"/>
      <c r="B5643" s="50"/>
    </row>
    <row r="5644">
      <c r="A5644" s="50"/>
      <c r="B5644" s="50"/>
    </row>
    <row r="5645">
      <c r="A5645" s="50"/>
      <c r="B5645" s="50"/>
    </row>
    <row r="5646">
      <c r="A5646" s="50"/>
      <c r="B5646" s="50"/>
    </row>
    <row r="5647">
      <c r="A5647" s="50"/>
      <c r="B5647" s="50"/>
    </row>
    <row r="5648">
      <c r="A5648" s="50"/>
      <c r="B5648" s="50"/>
    </row>
    <row r="5649">
      <c r="A5649" s="50"/>
      <c r="B5649" s="50"/>
    </row>
    <row r="5650">
      <c r="A5650" s="50"/>
      <c r="B5650" s="50"/>
    </row>
    <row r="5651">
      <c r="A5651" s="50"/>
      <c r="B5651" s="50"/>
    </row>
    <row r="5652">
      <c r="A5652" s="50"/>
      <c r="B5652" s="50"/>
    </row>
    <row r="5653">
      <c r="A5653" s="50"/>
      <c r="B5653" s="50"/>
    </row>
    <row r="5654">
      <c r="A5654" s="50"/>
      <c r="B5654" s="50"/>
    </row>
    <row r="5655">
      <c r="A5655" s="50"/>
      <c r="B5655" s="50"/>
    </row>
    <row r="5656">
      <c r="A5656" s="50"/>
      <c r="B5656" s="50"/>
    </row>
    <row r="5657">
      <c r="A5657" s="50"/>
      <c r="B5657" s="50"/>
    </row>
    <row r="5658">
      <c r="A5658" s="50"/>
      <c r="B5658" s="50"/>
    </row>
    <row r="5659">
      <c r="A5659" s="50"/>
      <c r="B5659" s="50"/>
    </row>
    <row r="5660">
      <c r="A5660" s="50"/>
      <c r="B5660" s="50"/>
    </row>
    <row r="5661">
      <c r="A5661" s="50"/>
      <c r="B5661" s="50"/>
    </row>
    <row r="5662">
      <c r="A5662" s="50"/>
      <c r="B5662" s="50"/>
    </row>
    <row r="5663">
      <c r="A5663" s="50"/>
      <c r="B5663" s="50"/>
    </row>
    <row r="5664">
      <c r="A5664" s="50"/>
      <c r="B5664" s="50"/>
    </row>
    <row r="5665">
      <c r="A5665" s="50"/>
      <c r="B5665" s="50"/>
    </row>
    <row r="5666">
      <c r="A5666" s="50"/>
      <c r="B5666" s="50"/>
    </row>
    <row r="5667">
      <c r="A5667" s="50"/>
      <c r="B5667" s="50"/>
    </row>
    <row r="5668">
      <c r="A5668" s="50"/>
      <c r="B5668" s="50"/>
    </row>
    <row r="5669">
      <c r="A5669" s="50"/>
      <c r="B5669" s="50"/>
    </row>
    <row r="5670">
      <c r="A5670" s="50"/>
      <c r="B5670" s="50"/>
    </row>
    <row r="5671">
      <c r="A5671" s="50"/>
      <c r="B5671" s="50"/>
    </row>
    <row r="5672">
      <c r="A5672" s="50"/>
      <c r="B5672" s="50"/>
    </row>
    <row r="5673">
      <c r="A5673" s="50"/>
      <c r="B5673" s="50"/>
    </row>
    <row r="5674">
      <c r="A5674" s="50"/>
      <c r="B5674" s="50"/>
    </row>
    <row r="5675">
      <c r="A5675" s="50"/>
      <c r="B5675" s="50"/>
    </row>
    <row r="5676">
      <c r="A5676" s="50"/>
      <c r="B5676" s="50"/>
    </row>
    <row r="5677">
      <c r="A5677" s="50"/>
      <c r="B5677" s="50"/>
    </row>
    <row r="5678">
      <c r="A5678" s="50"/>
      <c r="B5678" s="50"/>
    </row>
    <row r="5679">
      <c r="A5679" s="50"/>
      <c r="B5679" s="50"/>
    </row>
    <row r="5680">
      <c r="A5680" s="50"/>
      <c r="B5680" s="50"/>
    </row>
    <row r="5681">
      <c r="A5681" s="50"/>
      <c r="B5681" s="50"/>
    </row>
    <row r="5682">
      <c r="A5682" s="50"/>
      <c r="B5682" s="50"/>
    </row>
    <row r="5683">
      <c r="A5683" s="50"/>
      <c r="B5683" s="50"/>
    </row>
    <row r="5684">
      <c r="A5684" s="50"/>
      <c r="B5684" s="50"/>
    </row>
    <row r="5685">
      <c r="A5685" s="50"/>
      <c r="B5685" s="50"/>
    </row>
    <row r="5686">
      <c r="A5686" s="50"/>
      <c r="B5686" s="50"/>
    </row>
    <row r="5687">
      <c r="A5687" s="50"/>
      <c r="B5687" s="50"/>
    </row>
    <row r="5688">
      <c r="A5688" s="50"/>
      <c r="B5688" s="50"/>
    </row>
    <row r="5689">
      <c r="A5689" s="50"/>
      <c r="B5689" s="50"/>
    </row>
    <row r="5690">
      <c r="A5690" s="50"/>
      <c r="B5690" s="50"/>
    </row>
    <row r="5691">
      <c r="A5691" s="50"/>
      <c r="B5691" s="50"/>
    </row>
    <row r="5692">
      <c r="A5692" s="50"/>
      <c r="B5692" s="50"/>
    </row>
    <row r="5693">
      <c r="A5693" s="50"/>
      <c r="B5693" s="50"/>
    </row>
    <row r="5694">
      <c r="A5694" s="50"/>
      <c r="B5694" s="50"/>
    </row>
    <row r="5695">
      <c r="A5695" s="50"/>
      <c r="B5695" s="50"/>
    </row>
    <row r="5696">
      <c r="A5696" s="50"/>
      <c r="B5696" s="50"/>
    </row>
    <row r="5697">
      <c r="A5697" s="50"/>
      <c r="B5697" s="50"/>
    </row>
    <row r="5698">
      <c r="A5698" s="50"/>
      <c r="B5698" s="50"/>
    </row>
    <row r="5699">
      <c r="A5699" s="50"/>
      <c r="B5699" s="50"/>
    </row>
    <row r="5700">
      <c r="A5700" s="50"/>
      <c r="B5700" s="50"/>
    </row>
    <row r="5701">
      <c r="A5701" s="50"/>
      <c r="B5701" s="50"/>
    </row>
    <row r="5702">
      <c r="A5702" s="50"/>
      <c r="B5702" s="50"/>
    </row>
    <row r="5703">
      <c r="A5703" s="50"/>
      <c r="B5703" s="50"/>
    </row>
    <row r="5704">
      <c r="A5704" s="50"/>
      <c r="B5704" s="50"/>
    </row>
    <row r="5705">
      <c r="A5705" s="50"/>
      <c r="B5705" s="50"/>
    </row>
    <row r="5706">
      <c r="A5706" s="50"/>
      <c r="B5706" s="50"/>
    </row>
    <row r="5707">
      <c r="A5707" s="50"/>
      <c r="B5707" s="50"/>
    </row>
    <row r="5708">
      <c r="A5708" s="50"/>
      <c r="B5708" s="50"/>
    </row>
    <row r="5709">
      <c r="A5709" s="50"/>
      <c r="B5709" s="50"/>
    </row>
    <row r="5710">
      <c r="A5710" s="50"/>
      <c r="B5710" s="50"/>
    </row>
    <row r="5711">
      <c r="A5711" s="50"/>
      <c r="B5711" s="50"/>
    </row>
    <row r="5712">
      <c r="A5712" s="50"/>
      <c r="B5712" s="50"/>
    </row>
    <row r="5713">
      <c r="A5713" s="50"/>
      <c r="B5713" s="50"/>
    </row>
    <row r="5714">
      <c r="A5714" s="50"/>
      <c r="B5714" s="50"/>
    </row>
    <row r="5715">
      <c r="A5715" s="50"/>
      <c r="B5715" s="50"/>
    </row>
    <row r="5716">
      <c r="A5716" s="50"/>
      <c r="B5716" s="50"/>
    </row>
    <row r="5717">
      <c r="A5717" s="50"/>
      <c r="B5717" s="50"/>
    </row>
    <row r="5718">
      <c r="A5718" s="50"/>
      <c r="B5718" s="50"/>
    </row>
    <row r="5719">
      <c r="A5719" s="50"/>
      <c r="B5719" s="50"/>
    </row>
    <row r="5720">
      <c r="A5720" s="50"/>
      <c r="B5720" s="50"/>
    </row>
    <row r="5721">
      <c r="A5721" s="50"/>
      <c r="B5721" s="50"/>
    </row>
    <row r="5722">
      <c r="A5722" s="50"/>
      <c r="B5722" s="50"/>
    </row>
    <row r="5723">
      <c r="A5723" s="50"/>
      <c r="B5723" s="50"/>
    </row>
    <row r="5724">
      <c r="A5724" s="50"/>
      <c r="B5724" s="50"/>
    </row>
    <row r="5725">
      <c r="A5725" s="50"/>
      <c r="B5725" s="50"/>
    </row>
    <row r="5726">
      <c r="A5726" s="50"/>
      <c r="B5726" s="50"/>
    </row>
    <row r="5727">
      <c r="A5727" s="50"/>
      <c r="B5727" s="50"/>
    </row>
    <row r="5728">
      <c r="A5728" s="50"/>
      <c r="B5728" s="50"/>
    </row>
    <row r="5729">
      <c r="A5729" s="50"/>
      <c r="B5729" s="50"/>
    </row>
    <row r="5730">
      <c r="A5730" s="50"/>
      <c r="B5730" s="50"/>
    </row>
    <row r="5731">
      <c r="A5731" s="50"/>
      <c r="B5731" s="50"/>
    </row>
    <row r="5732">
      <c r="A5732" s="50"/>
      <c r="B5732" s="50"/>
    </row>
    <row r="5733">
      <c r="A5733" s="50"/>
      <c r="B5733" s="50"/>
    </row>
    <row r="5734">
      <c r="A5734" s="50"/>
      <c r="B5734" s="50"/>
    </row>
    <row r="5735">
      <c r="A5735" s="50"/>
      <c r="B5735" s="50"/>
    </row>
    <row r="5736">
      <c r="A5736" s="50"/>
      <c r="B5736" s="50"/>
    </row>
    <row r="5737">
      <c r="A5737" s="50"/>
      <c r="B5737" s="50"/>
    </row>
    <row r="5738">
      <c r="A5738" s="50"/>
      <c r="B5738" s="5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1.22" defaultRowHeight="15.0"/>
  <cols>
    <col customWidth="1" min="1" max="1" width="13.89"/>
    <col customWidth="1" min="2" max="2" width="10.11"/>
    <col customWidth="1" min="15" max="15" width="14.22"/>
  </cols>
  <sheetData>
    <row r="1">
      <c r="A1" s="1329" t="str">
        <f>IFERROR(__xludf.DUMMYFUNCTION("IMPORTRANGE(""https://docs.google.com/spreadsheets/d/1Yb5TdnkO_G1YtSRao6XpO7iTs35tl-2Ggkk8F2yHY3A/edit"",""_service_dashboard_vm!A1:s40"")"),"Период прошлый")</f>
        <v>Период прошлый</v>
      </c>
      <c r="B1" s="1330" t="str">
        <f>IFERROR(__xludf.DUMMYFUNCTION("""COMPUTED_VALUE"""),"01.07.2026 - 19.07.2026")</f>
        <v>01.07.2026 - 19.07.2026</v>
      </c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95"/>
      <c r="O1" s="1331" t="str">
        <f>IFERROR(__xludf.DUMMYFUNCTION("""COMPUTED_VALUE"""),"метрика")</f>
        <v>метрика</v>
      </c>
      <c r="P1" s="1332" t="str">
        <f>IFERROR(__xludf.DUMMYFUNCTION("""COMPUTED_VALUE"""),"прошлый")</f>
        <v>прошлый</v>
      </c>
      <c r="Q1" s="1333" t="str">
        <f>IFERROR(__xludf.DUMMYFUNCTION("""COMPUTED_VALUE"""),"текущий")</f>
        <v>текущий</v>
      </c>
      <c r="R1" s="1334" t="str">
        <f>IFERROR(__xludf.DUMMYFUNCTION("""COMPUTED_VALUE"""),"разница")</f>
        <v>разница</v>
      </c>
      <c r="S1" s="1335" t="str">
        <f>IFERROR(__xludf.DUMMYFUNCTION("""COMPUTED_VALUE"""),"разница %")</f>
        <v>разница %</v>
      </c>
    </row>
    <row r="2">
      <c r="A2" s="1329" t="str">
        <f>IFERROR(__xludf.DUMMYFUNCTION("""COMPUTED_VALUE"""),"Период текущий")</f>
        <v>Период текущий</v>
      </c>
      <c r="B2" s="1330" t="str">
        <f>IFERROR(__xludf.DUMMYFUNCTION("""COMPUTED_VALUE"""),"01.08.2026 - 19.08.2026")</f>
        <v>01.08.2026 - 19.08.2026</v>
      </c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95"/>
      <c r="O2" s="1336" t="str">
        <f>IFERROR(__xludf.DUMMYFUNCTION("""COMPUTED_VALUE"""),"СР. Выручка")</f>
        <v>СР. Выручка</v>
      </c>
      <c r="P2" s="1337">
        <f>IFERROR(__xludf.DUMMYFUNCTION("""COMPUTED_VALUE"""),239437.90499223)</f>
        <v>239437.905</v>
      </c>
      <c r="Q2" s="1338">
        <f>IFERROR(__xludf.DUMMYFUNCTION("""COMPUTED_VALUE"""),248696.71209595964)</f>
        <v>248696.7121</v>
      </c>
      <c r="R2" s="1339">
        <f>IFERROR(__xludf.DUMMYFUNCTION("""COMPUTED_VALUE"""),9258.807103729632)</f>
        <v>9258.807104</v>
      </c>
      <c r="S2" s="1340">
        <f>IFERROR(__xludf.DUMMYFUNCTION("""COMPUTED_VALUE"""),0.03866892797959492)</f>
        <v>0.03866892798</v>
      </c>
    </row>
    <row r="3">
      <c r="A3" s="1329" t="str">
        <f>IFERROR(__xludf.DUMMYFUNCTION("""COMPUTED_VALUE"""),"Обновлено")</f>
        <v>Обновлено</v>
      </c>
      <c r="B3" s="1341">
        <f>IFERROR(__xludf.DUMMYFUNCTION("""COMPUTED_VALUE"""),46253.38116664352)</f>
        <v>46253.38117</v>
      </c>
      <c r="D3" s="1191"/>
      <c r="E3" s="1191"/>
      <c r="F3" s="1191"/>
      <c r="G3" s="1191"/>
      <c r="H3" s="1191"/>
      <c r="I3" s="1191"/>
      <c r="J3" s="1191"/>
      <c r="K3" s="1191"/>
      <c r="L3" s="1191"/>
      <c r="M3" s="1191"/>
      <c r="N3" s="195"/>
      <c r="O3" s="1342" t="str">
        <f>IFERROR(__xludf.DUMMYFUNCTION("""COMPUTED_VALUE"""),"СР. Кол-во чеков")</f>
        <v>СР. Кол-во чеков</v>
      </c>
      <c r="P3" s="1343">
        <f>IFERROR(__xludf.DUMMYFUNCTION("""COMPUTED_VALUE"""),1275.2971250971252)</f>
        <v>1275.297125</v>
      </c>
      <c r="Q3" s="1344">
        <f>IFERROR(__xludf.DUMMYFUNCTION("""COMPUTED_VALUE"""),1311.7416666666668)</f>
        <v>1311.741667</v>
      </c>
      <c r="R3" s="1345">
        <f>IFERROR(__xludf.DUMMYFUNCTION("""COMPUTED_VALUE"""),36.44454156954157)</f>
        <v>36.44454157</v>
      </c>
      <c r="S3" s="1340">
        <f>IFERROR(__xludf.DUMMYFUNCTION("""COMPUTED_VALUE"""),0.028577294539706574)</f>
        <v>0.02857729454</v>
      </c>
      <c r="T3" s="1346">
        <f>R3*Q4</f>
        <v>6760.948511</v>
      </c>
      <c r="U3" s="63" t="s">
        <v>1607</v>
      </c>
    </row>
    <row r="4">
      <c r="A4" s="1347"/>
      <c r="B4" s="1348" t="str">
        <f>IFERROR(__xludf.DUMMYFUNCTION("""COMPUTED_VALUE"""),"СР. ВЫРУЧКА")</f>
        <v>СР. ВЫРУЧКА</v>
      </c>
      <c r="C4" s="1349"/>
      <c r="D4" s="1350">
        <f>IFERROR(__xludf.DUMMYFUNCTION("""COMPUTED_VALUE"""),-0.48823775531127006)</f>
        <v>-0.4882377553</v>
      </c>
      <c r="E4" s="1351" t="str">
        <f>IFERROR(__xludf.DUMMYFUNCTION("""COMPUTED_VALUE"""),"СР. КОЛ-ВО ЧЕКОВ")</f>
        <v>СР. КОЛ-ВО ЧЕКОВ</v>
      </c>
      <c r="F4" s="1349"/>
      <c r="G4" s="1350">
        <f>IFERROR(__xludf.DUMMYFUNCTION("""COMPUTED_VALUE"""),-0.9592566208111047)</f>
        <v>-0.9592566208</v>
      </c>
      <c r="H4" s="1352" t="str">
        <f>IFERROR(__xludf.DUMMYFUNCTION("""COMPUTED_VALUE"""),"СР. СРЕДНИЙ ЧЕК")</f>
        <v>СР. СРЕДНИЙ ЧЕК</v>
      </c>
      <c r="I4" s="1349"/>
      <c r="J4" s="1350">
        <f>IFERROR(__xludf.DUMMYFUNCTION("""COMPUTED_VALUE"""),0.44601209679013254)</f>
        <v>0.4460120968</v>
      </c>
      <c r="K4" s="1353" t="str">
        <f>IFERROR(__xludf.DUMMYFUNCTION("""COMPUTED_VALUE"""),"СПИСАНИЯ")</f>
        <v>СПИСАНИЯ</v>
      </c>
      <c r="L4" s="1349"/>
      <c r="M4" s="1354">
        <f>IFERROR(__xludf.DUMMYFUNCTION("""COMPUTED_VALUE"""),4.721302653747017)</f>
        <v>4.721302654</v>
      </c>
      <c r="N4" s="1355"/>
      <c r="O4" s="1356" t="str">
        <f>IFERROR(__xludf.DUMMYFUNCTION("""COMPUTED_VALUE"""),"СР. Средний чек")</f>
        <v>СР. Средний чек</v>
      </c>
      <c r="P4" s="1357">
        <f>IFERROR(__xludf.DUMMYFUNCTION("""COMPUTED_VALUE"""),165.01639240410128)</f>
        <v>165.0163924</v>
      </c>
      <c r="Q4" s="1358">
        <f>IFERROR(__xludf.DUMMYFUNCTION("""COMPUTED_VALUE"""),185.51333668847326)</f>
        <v>185.5133367</v>
      </c>
      <c r="R4" s="1339">
        <f>IFERROR(__xludf.DUMMYFUNCTION("""COMPUTED_VALUE"""),20.496944284371978)</f>
        <v>20.49694428</v>
      </c>
      <c r="S4" s="1340">
        <f>IFERROR(__xludf.DUMMYFUNCTION("""COMPUTED_VALUE"""),0.12421156459521866)</f>
        <v>0.1242115646</v>
      </c>
      <c r="T4" s="1346">
        <f>Q3*R4</f>
        <v>26886.69586</v>
      </c>
      <c r="U4" s="63" t="s">
        <v>1628</v>
      </c>
      <c r="V4" s="1190"/>
      <c r="W4" s="1190"/>
      <c r="X4" s="1190"/>
      <c r="Y4" s="1190"/>
      <c r="Z4" s="1190"/>
    </row>
    <row r="5">
      <c r="A5" s="1359" t="str">
        <f>IFERROR(__xludf.DUMMYFUNCTION("""COMPUTED_VALUE"""),"Точка")</f>
        <v>Точка</v>
      </c>
      <c r="B5" s="1360" t="str">
        <f>IFERROR(__xludf.DUMMYFUNCTION("""COMPUTED_VALUE"""),"Прошлый")</f>
        <v>Прошлый</v>
      </c>
      <c r="C5" s="1361" t="str">
        <f>IFERROR(__xludf.DUMMYFUNCTION("""COMPUTED_VALUE"""),"Текущий")</f>
        <v>Текущий</v>
      </c>
      <c r="D5" s="1362" t="str">
        <f>IFERROR(__xludf.DUMMYFUNCTION("""COMPUTED_VALUE"""),"%")</f>
        <v>%</v>
      </c>
      <c r="E5" s="1360" t="str">
        <f>IFERROR(__xludf.DUMMYFUNCTION("""COMPUTED_VALUE"""),"Прошлый")</f>
        <v>Прошлый</v>
      </c>
      <c r="F5" s="1361" t="str">
        <f>IFERROR(__xludf.DUMMYFUNCTION("""COMPUTED_VALUE"""),"Текущий")</f>
        <v>Текущий</v>
      </c>
      <c r="G5" s="1362" t="str">
        <f>IFERROR(__xludf.DUMMYFUNCTION("""COMPUTED_VALUE"""),"%")</f>
        <v>%</v>
      </c>
      <c r="H5" s="1360" t="str">
        <f>IFERROR(__xludf.DUMMYFUNCTION("""COMPUTED_VALUE"""),"Прошлый")</f>
        <v>Прошлый</v>
      </c>
      <c r="I5" s="1361" t="str">
        <f>IFERROR(__xludf.DUMMYFUNCTION("""COMPUTED_VALUE"""),"Текущий")</f>
        <v>Текущий</v>
      </c>
      <c r="J5" s="1362" t="str">
        <f>IFERROR(__xludf.DUMMYFUNCTION("""COMPUTED_VALUE"""),"%")</f>
        <v>%</v>
      </c>
      <c r="K5" s="1360" t="str">
        <f>IFERROR(__xludf.DUMMYFUNCTION("""COMPUTED_VALUE"""),"Прошлый")</f>
        <v>Прошлый</v>
      </c>
      <c r="L5" s="1361" t="str">
        <f>IFERROR(__xludf.DUMMYFUNCTION("""COMPUTED_VALUE"""),"Текущий")</f>
        <v>Текущий</v>
      </c>
      <c r="M5" s="1362" t="str">
        <f>IFERROR(__xludf.DUMMYFUNCTION("""COMPUTED_VALUE"""),"%")</f>
        <v>%</v>
      </c>
      <c r="N5" s="1355" t="str">
        <f>IFERROR(__xludf.DUMMYFUNCTION("""COMPUTED_VALUE"""),"Активна")</f>
        <v>Активна</v>
      </c>
      <c r="O5" s="1363" t="str">
        <f>IFERROR(__xludf.DUMMYFUNCTION("""COMPUTED_VALUE"""),"Списания")</f>
        <v>Списания</v>
      </c>
      <c r="P5" s="1364">
        <f>IFERROR(__xludf.DUMMYFUNCTION("""COMPUTED_VALUE"""),208596.07)</f>
        <v>208596.07</v>
      </c>
      <c r="Q5" s="1365">
        <f>IFERROR(__xludf.DUMMYFUNCTION("""COMPUTED_VALUE"""),238274.44)</f>
        <v>238274.44</v>
      </c>
      <c r="R5" s="1366">
        <f>IFERROR(__xludf.DUMMYFUNCTION("""COMPUTED_VALUE"""),29678.369999999995)</f>
        <v>29678.37</v>
      </c>
      <c r="S5" s="1367">
        <f>IFERROR(__xludf.DUMMYFUNCTION("""COMPUTED_VALUE"""),0.14227674567406756)</f>
        <v>0.1422767457</v>
      </c>
      <c r="T5" s="1355"/>
      <c r="U5" s="1355"/>
      <c r="V5" s="1355"/>
      <c r="W5" s="1355"/>
      <c r="X5" s="1355"/>
      <c r="Y5" s="1355"/>
      <c r="Z5" s="1355"/>
    </row>
    <row r="6">
      <c r="A6" s="1368" t="str">
        <f>IFERROR(__xludf.DUMMYFUNCTION("""COMPUTED_VALUE"""),"0")</f>
        <v>0</v>
      </c>
      <c r="B6" s="1369">
        <f>IFERROR(__xludf.DUMMYFUNCTION("""COMPUTED_VALUE"""),147.0)</f>
        <v>147</v>
      </c>
      <c r="C6" s="1370">
        <f>IFERROR(__xludf.DUMMYFUNCTION("""COMPUTED_VALUE"""),192.0)</f>
        <v>192</v>
      </c>
      <c r="D6" s="1371">
        <f>IFERROR(__xludf.DUMMYFUNCTION("""COMPUTED_VALUE"""),0.30612244897959184)</f>
        <v>0.306122449</v>
      </c>
      <c r="E6" s="1369">
        <f>IFERROR(__xludf.DUMMYFUNCTION("""COMPUTED_VALUE"""),1.0)</f>
        <v>1</v>
      </c>
      <c r="F6" s="1370">
        <f>IFERROR(__xludf.DUMMYFUNCTION("""COMPUTED_VALUE"""),1.0)</f>
        <v>1</v>
      </c>
      <c r="G6" s="1371">
        <f>IFERROR(__xludf.DUMMYFUNCTION("""COMPUTED_VALUE"""),0.0)</f>
        <v>0</v>
      </c>
      <c r="H6" s="1369">
        <f>IFERROR(__xludf.DUMMYFUNCTION("""COMPUTED_VALUE"""),147.0)</f>
        <v>147</v>
      </c>
      <c r="I6" s="1370">
        <f>IFERROR(__xludf.DUMMYFUNCTION("""COMPUTED_VALUE"""),192.0)</f>
        <v>192</v>
      </c>
      <c r="J6" s="1371">
        <f>IFERROR(__xludf.DUMMYFUNCTION("""COMPUTED_VALUE"""),0.30612244897959184)</f>
        <v>0.306122449</v>
      </c>
      <c r="K6" s="1369">
        <f>IFERROR(__xludf.DUMMYFUNCTION("""COMPUTED_VALUE"""),0.0)</f>
        <v>0</v>
      </c>
      <c r="L6" s="1370">
        <f>IFERROR(__xludf.DUMMYFUNCTION("""COMPUTED_VALUE"""),0.0)</f>
        <v>0</v>
      </c>
      <c r="M6" s="1372"/>
      <c r="N6" s="195" t="str">
        <f>IFERROR(__xludf.DUMMYFUNCTION("""COMPUTED_VALUE"""),"нет")</f>
        <v>нет</v>
      </c>
      <c r="O6" s="1191"/>
      <c r="P6" s="1191"/>
      <c r="Q6" s="1191"/>
      <c r="R6" s="1191"/>
      <c r="S6" s="1191"/>
    </row>
    <row r="7">
      <c r="A7" s="1368" t="str">
        <f>IFERROR(__xludf.DUMMYFUNCTION("""COMPUTED_VALUE"""),"1")</f>
        <v>1</v>
      </c>
      <c r="B7" s="1369">
        <f>IFERROR(__xludf.DUMMYFUNCTION("""COMPUTED_VALUE"""),16876.603846153845)</f>
        <v>16876.60385</v>
      </c>
      <c r="C7" s="1370">
        <f>IFERROR(__xludf.DUMMYFUNCTION("""COMPUTED_VALUE"""),16597.12916666667)</f>
        <v>16597.12917</v>
      </c>
      <c r="D7" s="1371">
        <f>IFERROR(__xludf.DUMMYFUNCTION("""COMPUTED_VALUE"""),-0.016559888591025213)</f>
        <v>-0.01655988859</v>
      </c>
      <c r="E7" s="1369">
        <f>IFERROR(__xludf.DUMMYFUNCTION("""COMPUTED_VALUE"""),101.84615384615384)</f>
        <v>101.8461538</v>
      </c>
      <c r="F7" s="1370">
        <f>IFERROR(__xludf.DUMMYFUNCTION("""COMPUTED_VALUE"""),99.0)</f>
        <v>99</v>
      </c>
      <c r="G7" s="1371">
        <f>IFERROR(__xludf.DUMMYFUNCTION("""COMPUTED_VALUE"""),-0.02794561933534737)</f>
        <v>-0.02794561934</v>
      </c>
      <c r="H7" s="1369">
        <f>IFERROR(__xludf.DUMMYFUNCTION("""COMPUTED_VALUE"""),166.2771121498758)</f>
        <v>166.2771121</v>
      </c>
      <c r="I7" s="1370">
        <f>IFERROR(__xludf.DUMMYFUNCTION("""COMPUTED_VALUE"""),167.47542196011383)</f>
        <v>167.475422</v>
      </c>
      <c r="J7" s="1371">
        <f>IFERROR(__xludf.DUMMYFUNCTION("""COMPUTED_VALUE"""),0.007206703284321738)</f>
        <v>0.007206703284</v>
      </c>
      <c r="K7" s="1369">
        <f>IFERROR(__xludf.DUMMYFUNCTION("""COMPUTED_VALUE"""),39720.110000000015)</f>
        <v>39720.11</v>
      </c>
      <c r="L7" s="1370">
        <f>IFERROR(__xludf.DUMMYFUNCTION("""COMPUTED_VALUE"""),14923.240000000003)</f>
        <v>14923.24</v>
      </c>
      <c r="M7" s="1371">
        <f>IFERROR(__xludf.DUMMYFUNCTION("""COMPUTED_VALUE"""),-0.62429006364786)</f>
        <v>-0.6242900636</v>
      </c>
      <c r="N7" s="195" t="str">
        <f>IFERROR(__xludf.DUMMYFUNCTION("""COMPUTED_VALUE"""),"да")</f>
        <v>да</v>
      </c>
      <c r="O7" s="1191"/>
      <c r="P7" s="1191"/>
      <c r="Q7" s="1191"/>
      <c r="R7" s="1191"/>
      <c r="S7" s="1191"/>
    </row>
    <row r="8">
      <c r="A8" s="1368" t="str">
        <f>IFERROR(__xludf.DUMMYFUNCTION("""COMPUTED_VALUE"""),"2")</f>
        <v>2</v>
      </c>
      <c r="B8" s="1369">
        <f>IFERROR(__xludf.DUMMYFUNCTION("""COMPUTED_VALUE"""),5142.2692307692305)</f>
        <v>5142.269231</v>
      </c>
      <c r="C8" s="1370">
        <f>IFERROR(__xludf.DUMMYFUNCTION("""COMPUTED_VALUE"""),4533.595833333334)</f>
        <v>4533.595833</v>
      </c>
      <c r="D8" s="1371">
        <f>IFERROR(__xludf.DUMMYFUNCTION("""COMPUTED_VALUE"""),-0.1183666918476078)</f>
        <v>-0.1183666918</v>
      </c>
      <c r="E8" s="1369">
        <f>IFERROR(__xludf.DUMMYFUNCTION("""COMPUTED_VALUE"""),25.307692307692307)</f>
        <v>25.30769231</v>
      </c>
      <c r="F8" s="1370">
        <f>IFERROR(__xludf.DUMMYFUNCTION("""COMPUTED_VALUE"""),23.0)</f>
        <v>23</v>
      </c>
      <c r="G8" s="1371">
        <f>IFERROR(__xludf.DUMMYFUNCTION("""COMPUTED_VALUE"""),-0.09118541033434646)</f>
        <v>-0.09118541033</v>
      </c>
      <c r="H8" s="1369">
        <f>IFERROR(__xludf.DUMMYFUNCTION("""COMPUTED_VALUE"""),218.05265432030012)</f>
        <v>218.0526543</v>
      </c>
      <c r="I8" s="1370">
        <f>IFERROR(__xludf.DUMMYFUNCTION("""COMPUTED_VALUE"""),198.84553974196209)</f>
        <v>198.8455397</v>
      </c>
      <c r="J8" s="1371">
        <f>IFERROR(__xludf.DUMMYFUNCTION("""COMPUTED_VALUE"""),-0.08808475474976094)</f>
        <v>-0.08808475475</v>
      </c>
      <c r="K8" s="1369">
        <f>IFERROR(__xludf.DUMMYFUNCTION("""COMPUTED_VALUE"""),1385.8200000000002)</f>
        <v>1385.82</v>
      </c>
      <c r="L8" s="1370">
        <f>IFERROR(__xludf.DUMMYFUNCTION("""COMPUTED_VALUE"""),4491.51)</f>
        <v>4491.51</v>
      </c>
      <c r="M8" s="1371">
        <f>IFERROR(__xludf.DUMMYFUNCTION("""COMPUTED_VALUE"""),2.2410486210330345)</f>
        <v>2.241048621</v>
      </c>
      <c r="N8" s="195" t="str">
        <f>IFERROR(__xludf.DUMMYFUNCTION("""COMPUTED_VALUE"""),"да")</f>
        <v>да</v>
      </c>
      <c r="O8" s="1191"/>
      <c r="P8" s="1191"/>
      <c r="Q8" s="1191"/>
      <c r="R8" s="1191"/>
      <c r="S8" s="1191"/>
    </row>
    <row r="9">
      <c r="A9" s="1368" t="str">
        <f>IFERROR(__xludf.DUMMYFUNCTION("""COMPUTED_VALUE"""),"3")</f>
        <v>3</v>
      </c>
      <c r="B9" s="1369">
        <f>IFERROR(__xludf.DUMMYFUNCTION("""COMPUTED_VALUE"""),0.0)</f>
        <v>0</v>
      </c>
      <c r="C9" s="1370">
        <f>IFERROR(__xludf.DUMMYFUNCTION("""COMPUTED_VALUE"""),7043.474999999999)</f>
        <v>7043.475</v>
      </c>
      <c r="D9" s="1372"/>
      <c r="E9" s="1369">
        <f>IFERROR(__xludf.DUMMYFUNCTION("""COMPUTED_VALUE"""),0.0)</f>
        <v>0</v>
      </c>
      <c r="F9" s="1370">
        <f>IFERROR(__xludf.DUMMYFUNCTION("""COMPUTED_VALUE"""),29.083333333333332)</f>
        <v>29.08333333</v>
      </c>
      <c r="G9" s="1372"/>
      <c r="H9" s="1369">
        <f>IFERROR(__xludf.DUMMYFUNCTION("""COMPUTED_VALUE"""),0.0)</f>
        <v>0</v>
      </c>
      <c r="I9" s="1370">
        <f>IFERROR(__xludf.DUMMYFUNCTION("""COMPUTED_VALUE"""),243.5894689584179)</f>
        <v>243.589469</v>
      </c>
      <c r="J9" s="1372"/>
      <c r="K9" s="1369">
        <f>IFERROR(__xludf.DUMMYFUNCTION("""COMPUTED_VALUE"""),0.0)</f>
        <v>0</v>
      </c>
      <c r="L9" s="1370">
        <f>IFERROR(__xludf.DUMMYFUNCTION("""COMPUTED_VALUE"""),10464.830000000002)</f>
        <v>10464.83</v>
      </c>
      <c r="M9" s="1372"/>
      <c r="N9" s="195" t="str">
        <f>IFERROR(__xludf.DUMMYFUNCTION("""COMPUTED_VALUE"""),"да")</f>
        <v>да</v>
      </c>
      <c r="O9" s="1191"/>
      <c r="P9" s="1191"/>
      <c r="Q9" s="1191"/>
      <c r="R9" s="1191"/>
      <c r="S9" s="1191"/>
    </row>
    <row r="10">
      <c r="A10" s="1368" t="str">
        <f>IFERROR(__xludf.DUMMYFUNCTION("""COMPUTED_VALUE"""),"4")</f>
        <v>4</v>
      </c>
      <c r="B10" s="1369">
        <f>IFERROR(__xludf.DUMMYFUNCTION("""COMPUTED_VALUE"""),6284.0)</f>
        <v>6284</v>
      </c>
      <c r="C10" s="1370">
        <f>IFERROR(__xludf.DUMMYFUNCTION("""COMPUTED_VALUE"""),5669.708333333333)</f>
        <v>5669.708333</v>
      </c>
      <c r="D10" s="1371">
        <f>IFERROR(__xludf.DUMMYFUNCTION("""COMPUTED_VALUE"""),-0.09775488011882033)</f>
        <v>-0.09775488012</v>
      </c>
      <c r="E10" s="1369">
        <f>IFERROR(__xludf.DUMMYFUNCTION("""COMPUTED_VALUE"""),20.3)</f>
        <v>20.3</v>
      </c>
      <c r="F10" s="1370">
        <f>IFERROR(__xludf.DUMMYFUNCTION("""COMPUTED_VALUE"""),20.833333333333332)</f>
        <v>20.83333333</v>
      </c>
      <c r="G10" s="1371">
        <f>IFERROR(__xludf.DUMMYFUNCTION("""COMPUTED_VALUE"""),0.026272577996715833)</f>
        <v>0.026272578</v>
      </c>
      <c r="H10" s="1369">
        <f>IFERROR(__xludf.DUMMYFUNCTION("""COMPUTED_VALUE"""),312.32148700883516)</f>
        <v>312.321487</v>
      </c>
      <c r="I10" s="1370">
        <f>IFERROR(__xludf.DUMMYFUNCTION("""COMPUTED_VALUE"""),266.58490333199774)</f>
        <v>266.5849033</v>
      </c>
      <c r="J10" s="1371">
        <f>IFERROR(__xludf.DUMMYFUNCTION("""COMPUTED_VALUE"""),-0.14644072079339068)</f>
        <v>-0.1464407208</v>
      </c>
      <c r="K10" s="1369">
        <f>IFERROR(__xludf.DUMMYFUNCTION("""COMPUTED_VALUE"""),36101.45999999999)</f>
        <v>36101.46</v>
      </c>
      <c r="L10" s="1370">
        <f>IFERROR(__xludf.DUMMYFUNCTION("""COMPUTED_VALUE"""),48620.31)</f>
        <v>48620.31</v>
      </c>
      <c r="M10" s="1371">
        <f>IFERROR(__xludf.DUMMYFUNCTION("""COMPUTED_VALUE"""),0.3467685240430722)</f>
        <v>0.346768524</v>
      </c>
      <c r="N10" s="195" t="str">
        <f>IFERROR(__xludf.DUMMYFUNCTION("""COMPUTED_VALUE"""),"да")</f>
        <v>да</v>
      </c>
      <c r="O10" s="1191"/>
      <c r="P10" s="1191"/>
      <c r="Q10" s="1191"/>
      <c r="R10" s="1191"/>
      <c r="S10" s="1191"/>
    </row>
    <row r="11">
      <c r="A11" s="1368" t="str">
        <f>IFERROR(__xludf.DUMMYFUNCTION("""COMPUTED_VALUE"""),"5")</f>
        <v>5</v>
      </c>
      <c r="B11" s="1369">
        <f>IFERROR(__xludf.DUMMYFUNCTION("""COMPUTED_VALUE"""),16121.617692307693)</f>
        <v>16121.61769</v>
      </c>
      <c r="C11" s="1370">
        <f>IFERROR(__xludf.DUMMYFUNCTION("""COMPUTED_VALUE"""),18237.170833333334)</f>
        <v>18237.17083</v>
      </c>
      <c r="D11" s="1371">
        <f>IFERROR(__xludf.DUMMYFUNCTION("""COMPUTED_VALUE"""),0.13122461910476024)</f>
        <v>0.1312246191</v>
      </c>
      <c r="E11" s="1369">
        <f>IFERROR(__xludf.DUMMYFUNCTION("""COMPUTED_VALUE"""),76.46153846153847)</f>
        <v>76.46153846</v>
      </c>
      <c r="F11" s="1370">
        <f>IFERROR(__xludf.DUMMYFUNCTION("""COMPUTED_VALUE"""),86.66666666666667)</f>
        <v>86.66666667</v>
      </c>
      <c r="G11" s="1371">
        <f>IFERROR(__xludf.DUMMYFUNCTION("""COMPUTED_VALUE"""),0.13346747149564048)</f>
        <v>0.1334674715</v>
      </c>
      <c r="H11" s="1369">
        <f>IFERROR(__xludf.DUMMYFUNCTION("""COMPUTED_VALUE"""),211.26240215959908)</f>
        <v>211.2624022</v>
      </c>
      <c r="I11" s="1370">
        <f>IFERROR(__xludf.DUMMYFUNCTION("""COMPUTED_VALUE"""),211.08324951303598)</f>
        <v>211.0832495</v>
      </c>
      <c r="J11" s="1371">
        <f>IFERROR(__xludf.DUMMYFUNCTION("""COMPUTED_VALUE"""),-8.480100800319167E-4)</f>
        <v>-0.00084801008</v>
      </c>
      <c r="K11" s="1369">
        <f>IFERROR(__xludf.DUMMYFUNCTION("""COMPUTED_VALUE"""),9070.5)</f>
        <v>9070.5</v>
      </c>
      <c r="L11" s="1370">
        <f>IFERROR(__xludf.DUMMYFUNCTION("""COMPUTED_VALUE"""),5315.47)</f>
        <v>5315.47</v>
      </c>
      <c r="M11" s="1371">
        <f>IFERROR(__xludf.DUMMYFUNCTION("""COMPUTED_VALUE"""),-0.4139826911416129)</f>
        <v>-0.4139826911</v>
      </c>
      <c r="N11" s="195" t="str">
        <f>IFERROR(__xludf.DUMMYFUNCTION("""COMPUTED_VALUE"""),"да")</f>
        <v>да</v>
      </c>
      <c r="O11" s="1191"/>
      <c r="P11" s="1191"/>
      <c r="Q11" s="1191"/>
      <c r="R11" s="1191"/>
      <c r="S11" s="1191"/>
    </row>
    <row r="12">
      <c r="A12" s="1368" t="str">
        <f>IFERROR(__xludf.DUMMYFUNCTION("""COMPUTED_VALUE"""),"6")</f>
        <v>6</v>
      </c>
      <c r="B12" s="1369">
        <f>IFERROR(__xludf.DUMMYFUNCTION("""COMPUTED_VALUE"""),10940.215384615383)</f>
        <v>10940.21538</v>
      </c>
      <c r="C12" s="1370">
        <f>IFERROR(__xludf.DUMMYFUNCTION("""COMPUTED_VALUE"""),13253.783333333335)</f>
        <v>13253.78333</v>
      </c>
      <c r="D12" s="1371">
        <f>IFERROR(__xludf.DUMMYFUNCTION("""COMPUTED_VALUE"""),0.2114737112005485)</f>
        <v>0.2114737112</v>
      </c>
      <c r="E12" s="1369">
        <f>IFERROR(__xludf.DUMMYFUNCTION("""COMPUTED_VALUE"""),58.69230769230769)</f>
        <v>58.69230769</v>
      </c>
      <c r="F12" s="1370">
        <f>IFERROR(__xludf.DUMMYFUNCTION("""COMPUTED_VALUE"""),64.16666666666667)</f>
        <v>64.16666667</v>
      </c>
      <c r="G12" s="1371">
        <f>IFERROR(__xludf.DUMMYFUNCTION("""COMPUTED_VALUE"""),0.09327217125382269)</f>
        <v>0.09327217125</v>
      </c>
      <c r="H12" s="1369">
        <f>IFERROR(__xludf.DUMMYFUNCTION("""COMPUTED_VALUE"""),187.06136046075335)</f>
        <v>187.0613605</v>
      </c>
      <c r="I12" s="1370">
        <f>IFERROR(__xludf.DUMMYFUNCTION("""COMPUTED_VALUE"""),208.52589486450992)</f>
        <v>208.5258949</v>
      </c>
      <c r="J12" s="1371">
        <f>IFERROR(__xludf.DUMMYFUNCTION("""COMPUTED_VALUE"""),0.11474595475456284)</f>
        <v>0.1147459548</v>
      </c>
      <c r="K12" s="1369">
        <f>IFERROR(__xludf.DUMMYFUNCTION("""COMPUTED_VALUE"""),6982.72)</f>
        <v>6982.72</v>
      </c>
      <c r="L12" s="1370">
        <f>IFERROR(__xludf.DUMMYFUNCTION("""COMPUTED_VALUE"""),12838.469999999998)</f>
        <v>12838.47</v>
      </c>
      <c r="M12" s="1371">
        <f>IFERROR(__xludf.DUMMYFUNCTION("""COMPUTED_VALUE"""),0.8386058727830984)</f>
        <v>0.8386058728</v>
      </c>
      <c r="N12" s="195" t="str">
        <f>IFERROR(__xludf.DUMMYFUNCTION("""COMPUTED_VALUE"""),"да")</f>
        <v>да</v>
      </c>
      <c r="O12" s="1191"/>
      <c r="P12" s="1191"/>
      <c r="Q12" s="1191"/>
      <c r="R12" s="1191"/>
      <c r="S12" s="1191"/>
    </row>
    <row r="13">
      <c r="A13" s="1368" t="str">
        <f>IFERROR(__xludf.DUMMYFUNCTION("""COMPUTED_VALUE"""),"7")</f>
        <v>7</v>
      </c>
      <c r="B13" s="1369">
        <f>IFERROR(__xludf.DUMMYFUNCTION("""COMPUTED_VALUE"""),7438.861538461539)</f>
        <v>7438.861538</v>
      </c>
      <c r="C13" s="1370">
        <f>IFERROR(__xludf.DUMMYFUNCTION("""COMPUTED_VALUE"""),6517.95)</f>
        <v>6517.95</v>
      </c>
      <c r="D13" s="1371">
        <f>IFERROR(__xludf.DUMMYFUNCTION("""COMPUTED_VALUE"""),-0.12379737594255535)</f>
        <v>-0.1237973759</v>
      </c>
      <c r="E13" s="1369">
        <f>IFERROR(__xludf.DUMMYFUNCTION("""COMPUTED_VALUE"""),39.69230769230769)</f>
        <v>39.69230769</v>
      </c>
      <c r="F13" s="1370">
        <f>IFERROR(__xludf.DUMMYFUNCTION("""COMPUTED_VALUE"""),36.5)</f>
        <v>36.5</v>
      </c>
      <c r="G13" s="1371">
        <f>IFERROR(__xludf.DUMMYFUNCTION("""COMPUTED_VALUE"""),-0.08042635658914732)</f>
        <v>-0.08042635659</v>
      </c>
      <c r="H13" s="1369">
        <f>IFERROR(__xludf.DUMMYFUNCTION("""COMPUTED_VALUE"""),188.22640220257134)</f>
        <v>188.2264022</v>
      </c>
      <c r="I13" s="1370">
        <f>IFERROR(__xludf.DUMMYFUNCTION("""COMPUTED_VALUE"""),178.50845954825323)</f>
        <v>178.5084595</v>
      </c>
      <c r="J13" s="1371">
        <f>IFERROR(__xludf.DUMMYFUNCTION("""COMPUTED_VALUE"""),-0.051629009217631174)</f>
        <v>-0.05162900922</v>
      </c>
      <c r="K13" s="1369">
        <f>IFERROR(__xludf.DUMMYFUNCTION("""COMPUTED_VALUE"""),1867.94)</f>
        <v>1867.94</v>
      </c>
      <c r="L13" s="1370">
        <f>IFERROR(__xludf.DUMMYFUNCTION("""COMPUTED_VALUE"""),2241.21)</f>
        <v>2241.21</v>
      </c>
      <c r="M13" s="1371">
        <f>IFERROR(__xludf.DUMMYFUNCTION("""COMPUTED_VALUE"""),0.19982975898583466)</f>
        <v>0.199829759</v>
      </c>
      <c r="N13" s="195" t="str">
        <f>IFERROR(__xludf.DUMMYFUNCTION("""COMPUTED_VALUE"""),"да")</f>
        <v>да</v>
      </c>
      <c r="O13" s="1191"/>
      <c r="P13" s="1191"/>
      <c r="Q13" s="1191"/>
      <c r="R13" s="1191"/>
      <c r="S13" s="1191"/>
    </row>
    <row r="14">
      <c r="A14" s="1368" t="str">
        <f>IFERROR(__xludf.DUMMYFUNCTION("""COMPUTED_VALUE"""),"8")</f>
        <v>8</v>
      </c>
      <c r="B14" s="1369">
        <f>IFERROR(__xludf.DUMMYFUNCTION("""COMPUTED_VALUE"""),7051.4)</f>
        <v>7051.4</v>
      </c>
      <c r="C14" s="1370">
        <f>IFERROR(__xludf.DUMMYFUNCTION("""COMPUTED_VALUE"""),7301.020833333333)</f>
        <v>7301.020833</v>
      </c>
      <c r="D14" s="1371">
        <f>IFERROR(__xludf.DUMMYFUNCTION("""COMPUTED_VALUE"""),0.0354001805787976)</f>
        <v>0.03540018058</v>
      </c>
      <c r="E14" s="1369">
        <f>IFERROR(__xludf.DUMMYFUNCTION("""COMPUTED_VALUE"""),31.0)</f>
        <v>31</v>
      </c>
      <c r="F14" s="1370">
        <f>IFERROR(__xludf.DUMMYFUNCTION("""COMPUTED_VALUE"""),32.583333333333336)</f>
        <v>32.58333333</v>
      </c>
      <c r="G14" s="1371">
        <f>IFERROR(__xludf.DUMMYFUNCTION("""COMPUTED_VALUE"""),0.05107526881720438)</f>
        <v>0.05107526882</v>
      </c>
      <c r="H14" s="1369">
        <f>IFERROR(__xludf.DUMMYFUNCTION("""COMPUTED_VALUE"""),228.3518399967505)</f>
        <v>228.35184</v>
      </c>
      <c r="I14" s="1370">
        <f>IFERROR(__xludf.DUMMYFUNCTION("""COMPUTED_VALUE"""),224.74316044282656)</f>
        <v>224.7431604</v>
      </c>
      <c r="J14" s="1371">
        <f>IFERROR(__xludf.DUMMYFUNCTION("""COMPUTED_VALUE"""),-0.015803155139784673)</f>
        <v>-0.01580315514</v>
      </c>
      <c r="K14" s="1369">
        <f>IFERROR(__xludf.DUMMYFUNCTION("""COMPUTED_VALUE"""),7761.619999999999)</f>
        <v>7761.62</v>
      </c>
      <c r="L14" s="1370">
        <f>IFERROR(__xludf.DUMMYFUNCTION("""COMPUTED_VALUE"""),1251.91)</f>
        <v>1251.91</v>
      </c>
      <c r="M14" s="1371">
        <f>IFERROR(__xludf.DUMMYFUNCTION("""COMPUTED_VALUE"""),-0.8387050641489792)</f>
        <v>-0.8387050641</v>
      </c>
      <c r="N14" s="195" t="str">
        <f>IFERROR(__xludf.DUMMYFUNCTION("""COMPUTED_VALUE"""),"да")</f>
        <v>да</v>
      </c>
      <c r="O14" s="1191"/>
      <c r="P14" s="1191"/>
      <c r="Q14" s="1191"/>
      <c r="R14" s="1191"/>
      <c r="S14" s="1191"/>
    </row>
    <row r="15">
      <c r="A15" s="1368" t="str">
        <f>IFERROR(__xludf.DUMMYFUNCTION("""COMPUTED_VALUE"""),"9")</f>
        <v>9</v>
      </c>
      <c r="B15" s="1369">
        <f>IFERROR(__xludf.DUMMYFUNCTION("""COMPUTED_VALUE"""),11519.846153846154)</f>
        <v>11519.84615</v>
      </c>
      <c r="C15" s="1370">
        <f>IFERROR(__xludf.DUMMYFUNCTION("""COMPUTED_VALUE"""),10049.729166666666)</f>
        <v>10049.72917</v>
      </c>
      <c r="D15" s="1371">
        <f>IFERROR(__xludf.DUMMYFUNCTION("""COMPUTED_VALUE"""),-0.12761602607762754)</f>
        <v>-0.1276160261</v>
      </c>
      <c r="E15" s="1369">
        <f>IFERROR(__xludf.DUMMYFUNCTION("""COMPUTED_VALUE"""),54.07692307692308)</f>
        <v>54.07692308</v>
      </c>
      <c r="F15" s="1370">
        <f>IFERROR(__xludf.DUMMYFUNCTION("""COMPUTED_VALUE"""),47.416666666666664)</f>
        <v>47.41666667</v>
      </c>
      <c r="G15" s="1371">
        <f>IFERROR(__xludf.DUMMYFUNCTION("""COMPUTED_VALUE"""),-0.12316263632053115)</f>
        <v>-0.1231626363</v>
      </c>
      <c r="H15" s="1369">
        <f>IFERROR(__xludf.DUMMYFUNCTION("""COMPUTED_VALUE"""),214.04988906470783)</f>
        <v>214.0498891</v>
      </c>
      <c r="I15" s="1370">
        <f>IFERROR(__xludf.DUMMYFUNCTION("""COMPUTED_VALUE"""),212.52589552027618)</f>
        <v>212.5258955</v>
      </c>
      <c r="J15" s="1371">
        <f>IFERROR(__xludf.DUMMYFUNCTION("""COMPUTED_VALUE"""),-0.007119805345803941)</f>
        <v>-0.007119805346</v>
      </c>
      <c r="K15" s="1369">
        <f>IFERROR(__xludf.DUMMYFUNCTION("""COMPUTED_VALUE"""),3226.8399999999997)</f>
        <v>3226.84</v>
      </c>
      <c r="L15" s="1370">
        <f>IFERROR(__xludf.DUMMYFUNCTION("""COMPUTED_VALUE"""),1296.0800000000002)</f>
        <v>1296.08</v>
      </c>
      <c r="M15" s="1371">
        <f>IFERROR(__xludf.DUMMYFUNCTION("""COMPUTED_VALUE"""),-0.5983438906174461)</f>
        <v>-0.5983438906</v>
      </c>
      <c r="N15" s="195" t="str">
        <f>IFERROR(__xludf.DUMMYFUNCTION("""COMPUTED_VALUE"""),"да")</f>
        <v>да</v>
      </c>
      <c r="O15" s="1191"/>
      <c r="P15" s="1191"/>
      <c r="Q15" s="1191"/>
      <c r="R15" s="1191"/>
      <c r="S15" s="1191"/>
    </row>
    <row r="16">
      <c r="A16" s="1368" t="str">
        <f>IFERROR(__xludf.DUMMYFUNCTION("""COMPUTED_VALUE"""),"10")</f>
        <v>10</v>
      </c>
      <c r="B16" s="1369">
        <f>IFERROR(__xludf.DUMMYFUNCTION("""COMPUTED_VALUE"""),10807.815384615384)</f>
        <v>10807.81538</v>
      </c>
      <c r="C16" s="1370">
        <f>IFERROR(__xludf.DUMMYFUNCTION("""COMPUTED_VALUE"""),7718.983333333334)</f>
        <v>7718.983333</v>
      </c>
      <c r="D16" s="1371">
        <f>IFERROR(__xludf.DUMMYFUNCTION("""COMPUTED_VALUE"""),-0.28579615226208566)</f>
        <v>-0.2857961523</v>
      </c>
      <c r="E16" s="1369">
        <f>IFERROR(__xludf.DUMMYFUNCTION("""COMPUTED_VALUE"""),64.53846153846153)</f>
        <v>64.53846154</v>
      </c>
      <c r="F16" s="1370">
        <f>IFERROR(__xludf.DUMMYFUNCTION("""COMPUTED_VALUE"""),49.166666666666664)</f>
        <v>49.16666667</v>
      </c>
      <c r="G16" s="1371">
        <f>IFERROR(__xludf.DUMMYFUNCTION("""COMPUTED_VALUE"""),-0.23818037346046878)</f>
        <v>-0.2381803735</v>
      </c>
      <c r="H16" s="1369">
        <f>IFERROR(__xludf.DUMMYFUNCTION("""COMPUTED_VALUE"""),166.61253626587208)</f>
        <v>166.6125363</v>
      </c>
      <c r="I16" s="1370">
        <f>IFERROR(__xludf.DUMMYFUNCTION("""COMPUTED_VALUE"""),155.8213079395588)</f>
        <v>155.8213079</v>
      </c>
      <c r="J16" s="1371">
        <f>IFERROR(__xludf.DUMMYFUNCTION("""COMPUTED_VALUE"""),-0.06476840559640219)</f>
        <v>-0.0647684056</v>
      </c>
      <c r="K16" s="1369">
        <f>IFERROR(__xludf.DUMMYFUNCTION("""COMPUTED_VALUE"""),14389.109999999999)</f>
        <v>14389.11</v>
      </c>
      <c r="L16" s="1370">
        <f>IFERROR(__xludf.DUMMYFUNCTION("""COMPUTED_VALUE"""),20016.840000000004)</f>
        <v>20016.84</v>
      </c>
      <c r="M16" s="1371">
        <f>IFERROR(__xludf.DUMMYFUNCTION("""COMPUTED_VALUE"""),0.39111036054349474)</f>
        <v>0.3911103605</v>
      </c>
      <c r="N16" s="195" t="str">
        <f>IFERROR(__xludf.DUMMYFUNCTION("""COMPUTED_VALUE"""),"да")</f>
        <v>да</v>
      </c>
      <c r="O16" s="1191"/>
      <c r="P16" s="1191"/>
      <c r="Q16" s="1191"/>
      <c r="R16" s="1191"/>
      <c r="S16" s="1191"/>
    </row>
    <row r="17">
      <c r="A17" s="1368" t="str">
        <f>IFERROR(__xludf.DUMMYFUNCTION("""COMPUTED_VALUE"""),"11")</f>
        <v>11</v>
      </c>
      <c r="B17" s="1369">
        <f>IFERROR(__xludf.DUMMYFUNCTION("""COMPUTED_VALUE"""),0.0)</f>
        <v>0</v>
      </c>
      <c r="C17" s="1370">
        <f>IFERROR(__xludf.DUMMYFUNCTION("""COMPUTED_VALUE"""),0.0)</f>
        <v>0</v>
      </c>
      <c r="D17" s="1372"/>
      <c r="E17" s="1369">
        <f>IFERROR(__xludf.DUMMYFUNCTION("""COMPUTED_VALUE"""),0.0)</f>
        <v>0</v>
      </c>
      <c r="F17" s="1370">
        <f>IFERROR(__xludf.DUMMYFUNCTION("""COMPUTED_VALUE"""),0.0)</f>
        <v>0</v>
      </c>
      <c r="G17" s="1372"/>
      <c r="H17" s="1369">
        <f>IFERROR(__xludf.DUMMYFUNCTION("""COMPUTED_VALUE"""),0.0)</f>
        <v>0</v>
      </c>
      <c r="I17" s="1370">
        <f>IFERROR(__xludf.DUMMYFUNCTION("""COMPUTED_VALUE"""),0.0)</f>
        <v>0</v>
      </c>
      <c r="J17" s="1372"/>
      <c r="K17" s="1369">
        <f>IFERROR(__xludf.DUMMYFUNCTION("""COMPUTED_VALUE"""),0.0)</f>
        <v>0</v>
      </c>
      <c r="L17" s="1370">
        <f>IFERROR(__xludf.DUMMYFUNCTION("""COMPUTED_VALUE"""),0.0)</f>
        <v>0</v>
      </c>
      <c r="M17" s="1372"/>
      <c r="N17" s="195" t="str">
        <f>IFERROR(__xludf.DUMMYFUNCTION("""COMPUTED_VALUE"""),"нет")</f>
        <v>нет</v>
      </c>
      <c r="O17" s="1191"/>
      <c r="P17" s="1191"/>
      <c r="Q17" s="1191"/>
      <c r="R17" s="1191"/>
      <c r="S17" s="1191"/>
    </row>
    <row r="18">
      <c r="A18" s="1368" t="str">
        <f>IFERROR(__xludf.DUMMYFUNCTION("""COMPUTED_VALUE"""),"12")</f>
        <v>12</v>
      </c>
      <c r="B18" s="1369">
        <f>IFERROR(__xludf.DUMMYFUNCTION("""COMPUTED_VALUE"""),5888.050000000001)</f>
        <v>5888.05</v>
      </c>
      <c r="C18" s="1370">
        <f>IFERROR(__xludf.DUMMYFUNCTION("""COMPUTED_VALUE"""),5944.591666666667)</f>
        <v>5944.591667</v>
      </c>
      <c r="D18" s="1371">
        <f>IFERROR(__xludf.DUMMYFUNCTION("""COMPUTED_VALUE"""),0.009602783037960963)</f>
        <v>0.009602783038</v>
      </c>
      <c r="E18" s="1369">
        <f>IFERROR(__xludf.DUMMYFUNCTION("""COMPUTED_VALUE"""),36.07692307692308)</f>
        <v>36.07692308</v>
      </c>
      <c r="F18" s="1370">
        <f>IFERROR(__xludf.DUMMYFUNCTION("""COMPUTED_VALUE"""),36.833333333333336)</f>
        <v>36.83333333</v>
      </c>
      <c r="G18" s="1371">
        <f>IFERROR(__xludf.DUMMYFUNCTION("""COMPUTED_VALUE"""),0.02096659559346124)</f>
        <v>0.02096659559</v>
      </c>
      <c r="H18" s="1369">
        <f>IFERROR(__xludf.DUMMYFUNCTION("""COMPUTED_VALUE"""),162.5629272440798)</f>
        <v>162.5629272</v>
      </c>
      <c r="I18" s="1370">
        <f>IFERROR(__xludf.DUMMYFUNCTION("""COMPUTED_VALUE"""),163.8922918942803)</f>
        <v>163.8922919</v>
      </c>
      <c r="J18" s="1371">
        <f>IFERROR(__xludf.DUMMYFUNCTION("""COMPUTED_VALUE"""),0.008177538832113583)</f>
        <v>0.008177538832</v>
      </c>
      <c r="K18" s="1369">
        <f>IFERROR(__xludf.DUMMYFUNCTION("""COMPUTED_VALUE"""),2011.3500000000001)</f>
        <v>2011.35</v>
      </c>
      <c r="L18" s="1370">
        <f>IFERROR(__xludf.DUMMYFUNCTION("""COMPUTED_VALUE"""),1827.1799999999998)</f>
        <v>1827.18</v>
      </c>
      <c r="M18" s="1371">
        <f>IFERROR(__xludf.DUMMYFUNCTION("""COMPUTED_VALUE"""),-0.09156536654485807)</f>
        <v>-0.09156536654</v>
      </c>
      <c r="N18" s="195" t="str">
        <f>IFERROR(__xludf.DUMMYFUNCTION("""COMPUTED_VALUE"""),"да")</f>
        <v>да</v>
      </c>
      <c r="O18" s="1191"/>
      <c r="P18" s="1191"/>
      <c r="Q18" s="1191"/>
      <c r="R18" s="1191"/>
      <c r="S18" s="1191"/>
    </row>
    <row r="19">
      <c r="A19" s="1368" t="str">
        <f>IFERROR(__xludf.DUMMYFUNCTION("""COMPUTED_VALUE"""),"13")</f>
        <v>13</v>
      </c>
      <c r="B19" s="1369">
        <f>IFERROR(__xludf.DUMMYFUNCTION("""COMPUTED_VALUE"""),6831.642307692307)</f>
        <v>6831.642308</v>
      </c>
      <c r="C19" s="1370">
        <f>IFERROR(__xludf.DUMMYFUNCTION("""COMPUTED_VALUE"""),5611.870833333334)</f>
        <v>5611.870833</v>
      </c>
      <c r="D19" s="1371">
        <f>IFERROR(__xludf.DUMMYFUNCTION("""COMPUTED_VALUE"""),-0.17854732719034955)</f>
        <v>-0.1785473272</v>
      </c>
      <c r="E19" s="1369">
        <f>IFERROR(__xludf.DUMMYFUNCTION("""COMPUTED_VALUE"""),45.46153846153846)</f>
        <v>45.46153846</v>
      </c>
      <c r="F19" s="1370">
        <f>IFERROR(__xludf.DUMMYFUNCTION("""COMPUTED_VALUE"""),35.666666666666664)</f>
        <v>35.66666667</v>
      </c>
      <c r="G19" s="1371">
        <f>IFERROR(__xludf.DUMMYFUNCTION("""COMPUTED_VALUE"""),-0.215454032712916)</f>
        <v>-0.2154540327</v>
      </c>
      <c r="H19" s="1369">
        <f>IFERROR(__xludf.DUMMYFUNCTION("""COMPUTED_VALUE"""),149.4781239019609)</f>
        <v>149.4781239</v>
      </c>
      <c r="I19" s="1370">
        <f>IFERROR(__xludf.DUMMYFUNCTION("""COMPUTED_VALUE"""),157.44163266973518)</f>
        <v>157.4416327</v>
      </c>
      <c r="J19" s="1371">
        <f>IFERROR(__xludf.DUMMYFUNCTION("""COMPUTED_VALUE"""),0.053275412882471986)</f>
        <v>0.05327541288</v>
      </c>
      <c r="K19" s="1369">
        <f>IFERROR(__xludf.DUMMYFUNCTION("""COMPUTED_VALUE"""),2094.07)</f>
        <v>2094.07</v>
      </c>
      <c r="L19" s="1370">
        <f>IFERROR(__xludf.DUMMYFUNCTION("""COMPUTED_VALUE"""),2986.06)</f>
        <v>2986.06</v>
      </c>
      <c r="M19" s="1371">
        <f>IFERROR(__xludf.DUMMYFUNCTION("""COMPUTED_VALUE"""),0.42595997268477165)</f>
        <v>0.4259599727</v>
      </c>
      <c r="N19" s="195" t="str">
        <f>IFERROR(__xludf.DUMMYFUNCTION("""COMPUTED_VALUE"""),"да")</f>
        <v>да</v>
      </c>
      <c r="O19" s="1191"/>
      <c r="P19" s="1191"/>
      <c r="Q19" s="1191"/>
      <c r="R19" s="1191"/>
      <c r="S19" s="1191"/>
    </row>
    <row r="20">
      <c r="A20" s="1368" t="str">
        <f>IFERROR(__xludf.DUMMYFUNCTION("""COMPUTED_VALUE"""),"14")</f>
        <v>14</v>
      </c>
      <c r="B20" s="1369">
        <f>IFERROR(__xludf.DUMMYFUNCTION("""COMPUTED_VALUE"""),11159.126153846153)</f>
        <v>11159.12615</v>
      </c>
      <c r="C20" s="1370">
        <f>IFERROR(__xludf.DUMMYFUNCTION("""COMPUTED_VALUE"""),10919.699999999999)</f>
        <v>10919.7</v>
      </c>
      <c r="D20" s="1371">
        <f>IFERROR(__xludf.DUMMYFUNCTION("""COMPUTED_VALUE"""),-0.02145563644906304)</f>
        <v>-0.02145563645</v>
      </c>
      <c r="E20" s="1369">
        <f>IFERROR(__xludf.DUMMYFUNCTION("""COMPUTED_VALUE"""),66.92307692307692)</f>
        <v>66.92307692</v>
      </c>
      <c r="F20" s="1370">
        <f>IFERROR(__xludf.DUMMYFUNCTION("""COMPUTED_VALUE"""),60.083333333333336)</f>
        <v>60.08333333</v>
      </c>
      <c r="G20" s="1371">
        <f>IFERROR(__xludf.DUMMYFUNCTION("""COMPUTED_VALUE"""),-0.10220306513409953)</f>
        <v>-0.1022030651</v>
      </c>
      <c r="H20" s="1369">
        <f>IFERROR(__xludf.DUMMYFUNCTION("""COMPUTED_VALUE"""),166.29457998483397)</f>
        <v>166.29458</v>
      </c>
      <c r="I20" s="1370">
        <f>IFERROR(__xludf.DUMMYFUNCTION("""COMPUTED_VALUE"""),182.81174232199615)</f>
        <v>182.8117423</v>
      </c>
      <c r="J20" s="1371">
        <f>IFERROR(__xludf.DUMMYFUNCTION("""COMPUTED_VALUE"""),0.0993247184524507)</f>
        <v>0.09932471845</v>
      </c>
      <c r="K20" s="1369">
        <f>IFERROR(__xludf.DUMMYFUNCTION("""COMPUTED_VALUE"""),8889.91)</f>
        <v>8889.91</v>
      </c>
      <c r="L20" s="1370">
        <f>IFERROR(__xludf.DUMMYFUNCTION("""COMPUTED_VALUE"""),8578.08)</f>
        <v>8578.08</v>
      </c>
      <c r="M20" s="1371">
        <f>IFERROR(__xludf.DUMMYFUNCTION("""COMPUTED_VALUE"""),-0.03507684554736774)</f>
        <v>-0.03507684555</v>
      </c>
      <c r="N20" s="195" t="str">
        <f>IFERROR(__xludf.DUMMYFUNCTION("""COMPUTED_VALUE"""),"да")</f>
        <v>да</v>
      </c>
      <c r="O20" s="1191"/>
      <c r="P20" s="1191"/>
      <c r="Q20" s="1191"/>
      <c r="R20" s="1191"/>
      <c r="S20" s="1191"/>
    </row>
    <row r="21">
      <c r="A21" s="1368" t="str">
        <f>IFERROR(__xludf.DUMMYFUNCTION("""COMPUTED_VALUE"""),"15")</f>
        <v>15</v>
      </c>
      <c r="B21" s="1369">
        <f>IFERROR(__xludf.DUMMYFUNCTION("""COMPUTED_VALUE"""),8412.27692307692)</f>
        <v>8412.276923</v>
      </c>
      <c r="C21" s="1370">
        <f>IFERROR(__xludf.DUMMYFUNCTION("""COMPUTED_VALUE"""),8074.3916666666655)</f>
        <v>8074.391667</v>
      </c>
      <c r="D21" s="1371">
        <f>IFERROR(__xludf.DUMMYFUNCTION("""COMPUTED_VALUE"""),-0.04016573152547486)</f>
        <v>-0.04016573153</v>
      </c>
      <c r="E21" s="1369">
        <f>IFERROR(__xludf.DUMMYFUNCTION("""COMPUTED_VALUE"""),45.53846153846154)</f>
        <v>45.53846154</v>
      </c>
      <c r="F21" s="1370">
        <f>IFERROR(__xludf.DUMMYFUNCTION("""COMPUTED_VALUE"""),46.583333333333336)</f>
        <v>46.58333333</v>
      </c>
      <c r="G21" s="1371">
        <f>IFERROR(__xludf.DUMMYFUNCTION("""COMPUTED_VALUE"""),0.022944819819819835)</f>
        <v>0.02294481982</v>
      </c>
      <c r="H21" s="1369">
        <f>IFERROR(__xludf.DUMMYFUNCTION("""COMPUTED_VALUE"""),185.18263293044717)</f>
        <v>185.1826329</v>
      </c>
      <c r="I21" s="1370">
        <f>IFERROR(__xludf.DUMMYFUNCTION("""COMPUTED_VALUE"""),173.4674174575952)</f>
        <v>173.4674175</v>
      </c>
      <c r="J21" s="1371">
        <f>IFERROR(__xludf.DUMMYFUNCTION("""COMPUTED_VALUE"""),-0.0632630354556634)</f>
        <v>-0.06326303546</v>
      </c>
      <c r="K21" s="1369">
        <f>IFERROR(__xludf.DUMMYFUNCTION("""COMPUTED_VALUE"""),4048.69)</f>
        <v>4048.69</v>
      </c>
      <c r="L21" s="1370">
        <f>IFERROR(__xludf.DUMMYFUNCTION("""COMPUTED_VALUE"""),6551.860000000001)</f>
        <v>6551.86</v>
      </c>
      <c r="M21" s="1371">
        <f>IFERROR(__xludf.DUMMYFUNCTION("""COMPUTED_VALUE"""),0.6182666492124614)</f>
        <v>0.6182666492</v>
      </c>
      <c r="N21" s="195" t="str">
        <f>IFERROR(__xludf.DUMMYFUNCTION("""COMPUTED_VALUE"""),"да")</f>
        <v>да</v>
      </c>
      <c r="O21" s="1191"/>
      <c r="P21" s="1191"/>
      <c r="Q21" s="1191"/>
      <c r="R21" s="1191"/>
      <c r="S21" s="1191"/>
    </row>
    <row r="22">
      <c r="A22" s="1368" t="str">
        <f>IFERROR(__xludf.DUMMYFUNCTION("""COMPUTED_VALUE"""),"16")</f>
        <v>16</v>
      </c>
      <c r="B22" s="1369">
        <f>IFERROR(__xludf.DUMMYFUNCTION("""COMPUTED_VALUE"""),8094.173076923077)</f>
        <v>8094.173077</v>
      </c>
      <c r="C22" s="1370">
        <f>IFERROR(__xludf.DUMMYFUNCTION("""COMPUTED_VALUE"""),8079.212500000001)</f>
        <v>8079.2125</v>
      </c>
      <c r="D22" s="1371">
        <f>IFERROR(__xludf.DUMMYFUNCTION("""COMPUTED_VALUE"""),-0.0018483144332223382)</f>
        <v>-0.001848314433</v>
      </c>
      <c r="E22" s="1369">
        <f>IFERROR(__xludf.DUMMYFUNCTION("""COMPUTED_VALUE"""),39.30769230769231)</f>
        <v>39.30769231</v>
      </c>
      <c r="F22" s="1370">
        <f>IFERROR(__xludf.DUMMYFUNCTION("""COMPUTED_VALUE"""),38.75)</f>
        <v>38.75</v>
      </c>
      <c r="G22" s="1371">
        <f>IFERROR(__xludf.DUMMYFUNCTION("""COMPUTED_VALUE"""),-0.014187866927592928)</f>
        <v>-0.01418786693</v>
      </c>
      <c r="H22" s="1369">
        <f>IFERROR(__xludf.DUMMYFUNCTION("""COMPUTED_VALUE"""),210.25151252798676)</f>
        <v>210.2515125</v>
      </c>
      <c r="I22" s="1370">
        <f>IFERROR(__xludf.DUMMYFUNCTION("""COMPUTED_VALUE"""),209.86746593542907)</f>
        <v>209.8674659</v>
      </c>
      <c r="J22" s="1371">
        <f>IFERROR(__xludf.DUMMYFUNCTION("""COMPUTED_VALUE"""),-0.0018266056112513068)</f>
        <v>-0.001826605611</v>
      </c>
      <c r="K22" s="1369">
        <f>IFERROR(__xludf.DUMMYFUNCTION("""COMPUTED_VALUE"""),3714.35)</f>
        <v>3714.35</v>
      </c>
      <c r="L22" s="1370">
        <f>IFERROR(__xludf.DUMMYFUNCTION("""COMPUTED_VALUE"""),2413.1400000000003)</f>
        <v>2413.14</v>
      </c>
      <c r="M22" s="1371">
        <f>IFERROR(__xludf.DUMMYFUNCTION("""COMPUTED_VALUE"""),-0.35031970600508827)</f>
        <v>-0.350319706</v>
      </c>
      <c r="N22" s="195" t="str">
        <f>IFERROR(__xludf.DUMMYFUNCTION("""COMPUTED_VALUE"""),"да")</f>
        <v>да</v>
      </c>
      <c r="O22" s="1191"/>
      <c r="P22" s="1191"/>
      <c r="Q22" s="1191"/>
      <c r="R22" s="1191"/>
      <c r="S22" s="1191"/>
    </row>
    <row r="23">
      <c r="A23" s="1368" t="str">
        <f>IFERROR(__xludf.DUMMYFUNCTION("""COMPUTED_VALUE"""),"17")</f>
        <v>17</v>
      </c>
      <c r="B23" s="1369">
        <f>IFERROR(__xludf.DUMMYFUNCTION("""COMPUTED_VALUE"""),6459.430769230769)</f>
        <v>6459.430769</v>
      </c>
      <c r="C23" s="1370">
        <f>IFERROR(__xludf.DUMMYFUNCTION("""COMPUTED_VALUE"""),5901.233333333334)</f>
        <v>5901.233333</v>
      </c>
      <c r="D23" s="1371">
        <f>IFERROR(__xludf.DUMMYFUNCTION("""COMPUTED_VALUE"""),-0.08641588645185054)</f>
        <v>-0.08641588645</v>
      </c>
      <c r="E23" s="1369">
        <f>IFERROR(__xludf.DUMMYFUNCTION("""COMPUTED_VALUE"""),35.30769230769231)</f>
        <v>35.30769231</v>
      </c>
      <c r="F23" s="1370">
        <f>IFERROR(__xludf.DUMMYFUNCTION("""COMPUTED_VALUE"""),31.333333333333332)</f>
        <v>31.33333333</v>
      </c>
      <c r="G23" s="1371">
        <f>IFERROR(__xludf.DUMMYFUNCTION("""COMPUTED_VALUE"""),-0.11256354393609296)</f>
        <v>-0.1125635439</v>
      </c>
      <c r="H23" s="1369">
        <f>IFERROR(__xludf.DUMMYFUNCTION("""COMPUTED_VALUE"""),184.74137050685692)</f>
        <v>184.7413705</v>
      </c>
      <c r="I23" s="1370">
        <f>IFERROR(__xludf.DUMMYFUNCTION("""COMPUTED_VALUE"""),189.62472785907937)</f>
        <v>189.6247279</v>
      </c>
      <c r="J23" s="1371">
        <f>IFERROR(__xludf.DUMMYFUNCTION("""COMPUTED_VALUE"""),0.026433480161073043)</f>
        <v>0.02643348016</v>
      </c>
      <c r="K23" s="1369">
        <f>IFERROR(__xludf.DUMMYFUNCTION("""COMPUTED_VALUE"""),7746.450000000001)</f>
        <v>7746.45</v>
      </c>
      <c r="L23" s="1370">
        <f>IFERROR(__xludf.DUMMYFUNCTION("""COMPUTED_VALUE"""),5838.180000000001)</f>
        <v>5838.18</v>
      </c>
      <c r="M23" s="1371">
        <f>IFERROR(__xludf.DUMMYFUNCTION("""COMPUTED_VALUE"""),-0.246341227271847)</f>
        <v>-0.2463412273</v>
      </c>
      <c r="N23" s="195" t="str">
        <f>IFERROR(__xludf.DUMMYFUNCTION("""COMPUTED_VALUE"""),"да")</f>
        <v>да</v>
      </c>
      <c r="O23" s="1191"/>
      <c r="P23" s="1191"/>
      <c r="Q23" s="1191"/>
      <c r="R23" s="1191"/>
      <c r="S23" s="1191"/>
    </row>
    <row r="24">
      <c r="A24" s="1368" t="str">
        <f>IFERROR(__xludf.DUMMYFUNCTION("""COMPUTED_VALUE"""),"18")</f>
        <v>18</v>
      </c>
      <c r="B24" s="1369">
        <f>IFERROR(__xludf.DUMMYFUNCTION("""COMPUTED_VALUE"""),0.0)</f>
        <v>0</v>
      </c>
      <c r="C24" s="1370">
        <f>IFERROR(__xludf.DUMMYFUNCTION("""COMPUTED_VALUE"""),5101.725)</f>
        <v>5101.725</v>
      </c>
      <c r="D24" s="1372"/>
      <c r="E24" s="1369">
        <f>IFERROR(__xludf.DUMMYFUNCTION("""COMPUTED_VALUE"""),0.0)</f>
        <v>0</v>
      </c>
      <c r="F24" s="1370">
        <f>IFERROR(__xludf.DUMMYFUNCTION("""COMPUTED_VALUE"""),32.5)</f>
        <v>32.5</v>
      </c>
      <c r="G24" s="1372"/>
      <c r="H24" s="1369">
        <f>IFERROR(__xludf.DUMMYFUNCTION("""COMPUTED_VALUE"""),0.0)</f>
        <v>0</v>
      </c>
      <c r="I24" s="1370">
        <f>IFERROR(__xludf.DUMMYFUNCTION("""COMPUTED_VALUE"""),175.48208333333332)</f>
        <v>175.4820833</v>
      </c>
      <c r="J24" s="1372"/>
      <c r="K24" s="1369">
        <f>IFERROR(__xludf.DUMMYFUNCTION("""COMPUTED_VALUE"""),0.0)</f>
        <v>0</v>
      </c>
      <c r="L24" s="1370">
        <f>IFERROR(__xludf.DUMMYFUNCTION("""COMPUTED_VALUE"""),588.5899999999999)</f>
        <v>588.59</v>
      </c>
      <c r="M24" s="1372"/>
      <c r="N24" s="195" t="str">
        <f>IFERROR(__xludf.DUMMYFUNCTION("""COMPUTED_VALUE"""),"да")</f>
        <v>да</v>
      </c>
      <c r="O24" s="1191"/>
      <c r="P24" s="1191"/>
      <c r="Q24" s="1191"/>
      <c r="R24" s="1191"/>
      <c r="S24" s="1191"/>
    </row>
    <row r="25">
      <c r="A25" s="1368" t="str">
        <f>IFERROR(__xludf.DUMMYFUNCTION("""COMPUTED_VALUE"""),"19")</f>
        <v>19</v>
      </c>
      <c r="B25" s="1369">
        <f>IFERROR(__xludf.DUMMYFUNCTION("""COMPUTED_VALUE"""),6901.323076923077)</f>
        <v>6901.323077</v>
      </c>
      <c r="C25" s="1370">
        <f>IFERROR(__xludf.DUMMYFUNCTION("""COMPUTED_VALUE"""),6915.916666666667)</f>
        <v>6915.916667</v>
      </c>
      <c r="D25" s="1371">
        <f>IFERROR(__xludf.DUMMYFUNCTION("""COMPUTED_VALUE"""),0.0021146075297342384)</f>
        <v>0.00211460753</v>
      </c>
      <c r="E25" s="1369">
        <f>IFERROR(__xludf.DUMMYFUNCTION("""COMPUTED_VALUE"""),40.15384615384615)</f>
        <v>40.15384615</v>
      </c>
      <c r="F25" s="1370">
        <f>IFERROR(__xludf.DUMMYFUNCTION("""COMPUTED_VALUE"""),40.333333333333336)</f>
        <v>40.33333333</v>
      </c>
      <c r="G25" s="1371">
        <f>IFERROR(__xludf.DUMMYFUNCTION("""COMPUTED_VALUE"""),0.004469987228607991)</f>
        <v>0.004469987229</v>
      </c>
      <c r="H25" s="1369">
        <f>IFERROR(__xludf.DUMMYFUNCTION("""COMPUTED_VALUE"""),172.68991523573933)</f>
        <v>172.6899152</v>
      </c>
      <c r="I25" s="1370">
        <f>IFERROR(__xludf.DUMMYFUNCTION("""COMPUTED_VALUE"""),173.28967447120064)</f>
        <v>173.2896745</v>
      </c>
      <c r="J25" s="1371">
        <f>IFERROR(__xludf.DUMMYFUNCTION("""COMPUTED_VALUE"""),0.0034730414607163)</f>
        <v>0.003473041461</v>
      </c>
      <c r="K25" s="1369">
        <f>IFERROR(__xludf.DUMMYFUNCTION("""COMPUTED_VALUE"""),4755.34)</f>
        <v>4755.34</v>
      </c>
      <c r="L25" s="1370">
        <f>IFERROR(__xludf.DUMMYFUNCTION("""COMPUTED_VALUE"""),4045.04)</f>
        <v>4045.04</v>
      </c>
      <c r="M25" s="1371">
        <f>IFERROR(__xludf.DUMMYFUNCTION("""COMPUTED_VALUE"""),-0.14936891999310253)</f>
        <v>-0.14936892</v>
      </c>
      <c r="N25" s="195" t="str">
        <f>IFERROR(__xludf.DUMMYFUNCTION("""COMPUTED_VALUE"""),"да")</f>
        <v>да</v>
      </c>
      <c r="O25" s="1191"/>
      <c r="P25" s="1191"/>
      <c r="Q25" s="1191"/>
      <c r="R25" s="1191"/>
      <c r="S25" s="1191"/>
    </row>
    <row r="26">
      <c r="A26" s="1368" t="str">
        <f>IFERROR(__xludf.DUMMYFUNCTION("""COMPUTED_VALUE"""),"20")</f>
        <v>20</v>
      </c>
      <c r="B26" s="1369">
        <f>IFERROR(__xludf.DUMMYFUNCTION("""COMPUTED_VALUE"""),17171.56923076923)</f>
        <v>17171.56923</v>
      </c>
      <c r="C26" s="1370">
        <f>IFERROR(__xludf.DUMMYFUNCTION("""COMPUTED_VALUE"""),13837.749999999998)</f>
        <v>13837.75</v>
      </c>
      <c r="D26" s="1371">
        <f>IFERROR(__xludf.DUMMYFUNCTION("""COMPUTED_VALUE"""),-0.1941476160952989)</f>
        <v>-0.1941476161</v>
      </c>
      <c r="E26" s="1369">
        <f>IFERROR(__xludf.DUMMYFUNCTION("""COMPUTED_VALUE"""),79.92307692307692)</f>
        <v>79.92307692</v>
      </c>
      <c r="F26" s="1370">
        <f>IFERROR(__xludf.DUMMYFUNCTION("""COMPUTED_VALUE"""),61.25)</f>
        <v>61.25</v>
      </c>
      <c r="G26" s="1371">
        <f>IFERROR(__xludf.DUMMYFUNCTION("""COMPUTED_VALUE"""),-0.23363811357074107)</f>
        <v>-0.2336381136</v>
      </c>
      <c r="H26" s="1369">
        <f>IFERROR(__xludf.DUMMYFUNCTION("""COMPUTED_VALUE"""),214.76928579361066)</f>
        <v>214.7692858</v>
      </c>
      <c r="I26" s="1370">
        <f>IFERROR(__xludf.DUMMYFUNCTION("""COMPUTED_VALUE"""),225.55725072346658)</f>
        <v>225.5572507</v>
      </c>
      <c r="J26" s="1371">
        <f>IFERROR(__xludf.DUMMYFUNCTION("""COMPUTED_VALUE"""),0.05023048286440247)</f>
        <v>0.05023048286</v>
      </c>
      <c r="K26" s="1369">
        <f>IFERROR(__xludf.DUMMYFUNCTION("""COMPUTED_VALUE"""),8994.869999999999)</f>
        <v>8994.87</v>
      </c>
      <c r="L26" s="1370">
        <f>IFERROR(__xludf.DUMMYFUNCTION("""COMPUTED_VALUE"""),23536.72)</f>
        <v>23536.72</v>
      </c>
      <c r="M26" s="1371">
        <f>IFERROR(__xludf.DUMMYFUNCTION("""COMPUTED_VALUE"""),1.6166826202046283)</f>
        <v>1.61668262</v>
      </c>
      <c r="N26" s="195" t="str">
        <f>IFERROR(__xludf.DUMMYFUNCTION("""COMPUTED_VALUE"""),"да")</f>
        <v>да</v>
      </c>
      <c r="O26" s="1191"/>
      <c r="P26" s="1191"/>
      <c r="Q26" s="1191"/>
      <c r="R26" s="1191"/>
      <c r="S26" s="1191"/>
    </row>
    <row r="27">
      <c r="A27" s="1368" t="str">
        <f>IFERROR(__xludf.DUMMYFUNCTION("""COMPUTED_VALUE"""),"21")</f>
        <v>21</v>
      </c>
      <c r="B27" s="1369">
        <f>IFERROR(__xludf.DUMMYFUNCTION("""COMPUTED_VALUE"""),8136.075)</f>
        <v>8136.075</v>
      </c>
      <c r="C27" s="1370">
        <f>IFERROR(__xludf.DUMMYFUNCTION("""COMPUTED_VALUE"""),8647.765)</f>
        <v>8647.765</v>
      </c>
      <c r="D27" s="1371">
        <f>IFERROR(__xludf.DUMMYFUNCTION("""COMPUTED_VALUE"""),0.06289150481036614)</f>
        <v>0.06289150481</v>
      </c>
      <c r="E27" s="1369">
        <f>IFERROR(__xludf.DUMMYFUNCTION("""COMPUTED_VALUE"""),41.333333333333336)</f>
        <v>41.33333333</v>
      </c>
      <c r="F27" s="1370">
        <f>IFERROR(__xludf.DUMMYFUNCTION("""COMPUTED_VALUE"""),40.166666666666664)</f>
        <v>40.16666667</v>
      </c>
      <c r="G27" s="1371">
        <f>IFERROR(__xludf.DUMMYFUNCTION("""COMPUTED_VALUE"""),-0.028225806451613017)</f>
        <v>-0.02822580645</v>
      </c>
      <c r="H27" s="1369">
        <f>IFERROR(__xludf.DUMMYFUNCTION("""COMPUTED_VALUE"""),197.81932787922074)</f>
        <v>197.8193279</v>
      </c>
      <c r="I27" s="1370">
        <f>IFERROR(__xludf.DUMMYFUNCTION("""COMPUTED_VALUE"""),215.24244975440953)</f>
        <v>215.2424498</v>
      </c>
      <c r="J27" s="1371">
        <f>IFERROR(__xludf.DUMMYFUNCTION("""COMPUTED_VALUE"""),0.08807593303434204)</f>
        <v>0.08807593303</v>
      </c>
      <c r="K27" s="1369">
        <f>IFERROR(__xludf.DUMMYFUNCTION("""COMPUTED_VALUE"""),2561.97)</f>
        <v>2561.97</v>
      </c>
      <c r="L27" s="1370">
        <f>IFERROR(__xludf.DUMMYFUNCTION("""COMPUTED_VALUE"""),3870.22)</f>
        <v>3870.22</v>
      </c>
      <c r="M27" s="1371">
        <f>IFERROR(__xludf.DUMMYFUNCTION("""COMPUTED_VALUE"""),0.5106422011186704)</f>
        <v>0.5106422011</v>
      </c>
      <c r="N27" s="195" t="str">
        <f>IFERROR(__xludf.DUMMYFUNCTION("""COMPUTED_VALUE"""),"да")</f>
        <v>да</v>
      </c>
      <c r="O27" s="1191"/>
      <c r="P27" s="1191"/>
      <c r="Q27" s="1191"/>
      <c r="R27" s="1191"/>
      <c r="S27" s="1191"/>
    </row>
    <row r="28">
      <c r="A28" s="1368" t="str">
        <f>IFERROR(__xludf.DUMMYFUNCTION("""COMPUTED_VALUE"""),"22")</f>
        <v>22</v>
      </c>
      <c r="B28" s="1369">
        <f>IFERROR(__xludf.DUMMYFUNCTION("""COMPUTED_VALUE"""),5936.8125)</f>
        <v>5936.8125</v>
      </c>
      <c r="C28" s="1370">
        <f>IFERROR(__xludf.DUMMYFUNCTION("""COMPUTED_VALUE"""),6232.418181818182)</f>
        <v>6232.418182</v>
      </c>
      <c r="D28" s="1371">
        <f>IFERROR(__xludf.DUMMYFUNCTION("""COMPUTED_VALUE"""),0.04979198548348669)</f>
        <v>0.04979198548</v>
      </c>
      <c r="E28" s="1369">
        <f>IFERROR(__xludf.DUMMYFUNCTION("""COMPUTED_VALUE"""),38.916666666666664)</f>
        <v>38.91666667</v>
      </c>
      <c r="F28" s="1370">
        <f>IFERROR(__xludf.DUMMYFUNCTION("""COMPUTED_VALUE"""),40.45454545454545)</f>
        <v>40.45454545</v>
      </c>
      <c r="G28" s="1371">
        <f>IFERROR(__xludf.DUMMYFUNCTION("""COMPUTED_VALUE"""),0.03951722795405882)</f>
        <v>0.03951722795</v>
      </c>
      <c r="H28" s="1369">
        <f>IFERROR(__xludf.DUMMYFUNCTION("""COMPUTED_VALUE"""),152.86269053016602)</f>
        <v>152.8626905</v>
      </c>
      <c r="I28" s="1370">
        <f>IFERROR(__xludf.DUMMYFUNCTION("""COMPUTED_VALUE"""),151.99394332745575)</f>
        <v>151.9939433</v>
      </c>
      <c r="J28" s="1371">
        <f>IFERROR(__xludf.DUMMYFUNCTION("""COMPUTED_VALUE"""),-0.005683186653965298)</f>
        <v>-0.005683186654</v>
      </c>
      <c r="K28" s="1369">
        <f>IFERROR(__xludf.DUMMYFUNCTION("""COMPUTED_VALUE"""),6747.249999999999)</f>
        <v>6747.25</v>
      </c>
      <c r="L28" s="1370">
        <f>IFERROR(__xludf.DUMMYFUNCTION("""COMPUTED_VALUE"""),8539.78)</f>
        <v>8539.78</v>
      </c>
      <c r="M28" s="1371">
        <f>IFERROR(__xludf.DUMMYFUNCTION("""COMPUTED_VALUE"""),0.26566823520693644)</f>
        <v>0.2656682352</v>
      </c>
      <c r="N28" s="195" t="str">
        <f>IFERROR(__xludf.DUMMYFUNCTION("""COMPUTED_VALUE"""),"да")</f>
        <v>да</v>
      </c>
      <c r="O28" s="1191"/>
      <c r="P28" s="1191"/>
      <c r="Q28" s="1191"/>
      <c r="R28" s="1191"/>
      <c r="S28" s="1191"/>
    </row>
    <row r="29">
      <c r="A29" s="1368" t="str">
        <f>IFERROR(__xludf.DUMMYFUNCTION("""COMPUTED_VALUE"""),"23")</f>
        <v>23</v>
      </c>
      <c r="B29" s="1369">
        <f>IFERROR(__xludf.DUMMYFUNCTION("""COMPUTED_VALUE"""),9033.562500000002)</f>
        <v>9033.5625</v>
      </c>
      <c r="C29" s="1370">
        <f>IFERROR(__xludf.DUMMYFUNCTION("""COMPUTED_VALUE"""),9980.863636363638)</f>
        <v>9980.863636</v>
      </c>
      <c r="D29" s="1371">
        <f>IFERROR(__xludf.DUMMYFUNCTION("""COMPUTED_VALUE"""),0.10486462415726197)</f>
        <v>0.1048646242</v>
      </c>
      <c r="E29" s="1369">
        <f>IFERROR(__xludf.DUMMYFUNCTION("""COMPUTED_VALUE"""),46.75)</f>
        <v>46.75</v>
      </c>
      <c r="F29" s="1370">
        <f>IFERROR(__xludf.DUMMYFUNCTION("""COMPUTED_VALUE"""),48.54545454545455)</f>
        <v>48.54545455</v>
      </c>
      <c r="G29" s="1371">
        <f>IFERROR(__xludf.DUMMYFUNCTION("""COMPUTED_VALUE"""),0.03840544482255715)</f>
        <v>0.03840544482</v>
      </c>
      <c r="H29" s="1369">
        <f>IFERROR(__xludf.DUMMYFUNCTION("""COMPUTED_VALUE"""),194.3823501075941)</f>
        <v>194.3823501</v>
      </c>
      <c r="I29" s="1370">
        <f>IFERROR(__xludf.DUMMYFUNCTION("""COMPUTED_VALUE"""),205.1582955470051)</f>
        <v>205.1582955</v>
      </c>
      <c r="J29" s="1371">
        <f>IFERROR(__xludf.DUMMYFUNCTION("""COMPUTED_VALUE"""),0.05543685130592528)</f>
        <v>0.05543685131</v>
      </c>
      <c r="K29" s="1369">
        <f>IFERROR(__xludf.DUMMYFUNCTION("""COMPUTED_VALUE"""),5786.959999999999)</f>
        <v>5786.96</v>
      </c>
      <c r="L29" s="1370">
        <f>IFERROR(__xludf.DUMMYFUNCTION("""COMPUTED_VALUE"""),7071.31)</f>
        <v>7071.31</v>
      </c>
      <c r="M29" s="1371">
        <f>IFERROR(__xludf.DUMMYFUNCTION("""COMPUTED_VALUE"""),0.22193863444710202)</f>
        <v>0.2219386344</v>
      </c>
      <c r="N29" s="195" t="str">
        <f>IFERROR(__xludf.DUMMYFUNCTION("""COMPUTED_VALUE"""),"да")</f>
        <v>да</v>
      </c>
      <c r="O29" s="1191"/>
      <c r="P29" s="1191"/>
      <c r="Q29" s="1191"/>
      <c r="R29" s="1191"/>
      <c r="S29" s="1191"/>
    </row>
    <row r="30">
      <c r="A30" s="1368" t="str">
        <f>IFERROR(__xludf.DUMMYFUNCTION("""COMPUTED_VALUE"""),"24")</f>
        <v>24</v>
      </c>
      <c r="B30" s="1369">
        <f>IFERROR(__xludf.DUMMYFUNCTION("""COMPUTED_VALUE"""),6660.015384615384)</f>
        <v>6660.015385</v>
      </c>
      <c r="C30" s="1370">
        <f>IFERROR(__xludf.DUMMYFUNCTION("""COMPUTED_VALUE"""),7010.24)</f>
        <v>7010.24</v>
      </c>
      <c r="D30" s="1371">
        <f>IFERROR(__xludf.DUMMYFUNCTION("""COMPUTED_VALUE"""),0.052586157112134185)</f>
        <v>0.05258615711</v>
      </c>
      <c r="E30" s="1369">
        <f>IFERROR(__xludf.DUMMYFUNCTION("""COMPUTED_VALUE"""),40.76923076923077)</f>
        <v>40.76923077</v>
      </c>
      <c r="F30" s="1370">
        <f>IFERROR(__xludf.DUMMYFUNCTION("""COMPUTED_VALUE"""),38.7)</f>
        <v>38.7</v>
      </c>
      <c r="G30" s="1371">
        <f>IFERROR(__xludf.DUMMYFUNCTION("""COMPUTED_VALUE"""),-0.050754716981131945)</f>
        <v>-0.05075471698</v>
      </c>
      <c r="H30" s="1369">
        <f>IFERROR(__xludf.DUMMYFUNCTION("""COMPUTED_VALUE"""),160.55116089397129)</f>
        <v>160.5511609</v>
      </c>
      <c r="I30" s="1370">
        <f>IFERROR(__xludf.DUMMYFUNCTION("""COMPUTED_VALUE"""),182.3981657846161)</f>
        <v>182.3981658</v>
      </c>
      <c r="J30" s="1371">
        <f>IFERROR(__xludf.DUMMYFUNCTION("""COMPUTED_VALUE"""),0.1360750353282882)</f>
        <v>0.1360750353</v>
      </c>
      <c r="K30" s="1369">
        <f>IFERROR(__xludf.DUMMYFUNCTION("""COMPUTED_VALUE"""),11487.050000000001)</f>
        <v>11487.05</v>
      </c>
      <c r="L30" s="1370">
        <f>IFERROR(__xludf.DUMMYFUNCTION("""COMPUTED_VALUE"""),5861.07)</f>
        <v>5861.07</v>
      </c>
      <c r="M30" s="1371">
        <f>IFERROR(__xludf.DUMMYFUNCTION("""COMPUTED_VALUE"""),-0.48976717259870906)</f>
        <v>-0.4897671726</v>
      </c>
      <c r="N30" s="195" t="str">
        <f>IFERROR(__xludf.DUMMYFUNCTION("""COMPUTED_VALUE"""),"да")</f>
        <v>да</v>
      </c>
      <c r="O30" s="1191"/>
      <c r="P30" s="1191"/>
      <c r="Q30" s="1191"/>
      <c r="R30" s="1191"/>
      <c r="S30" s="1191"/>
    </row>
    <row r="31">
      <c r="A31" s="1368" t="str">
        <f>IFERROR(__xludf.DUMMYFUNCTION("""COMPUTED_VALUE"""),"25")</f>
        <v>25</v>
      </c>
      <c r="B31" s="1369">
        <f>IFERROR(__xludf.DUMMYFUNCTION("""COMPUTED_VALUE"""),0.0)</f>
        <v>0</v>
      </c>
      <c r="C31" s="1370">
        <f>IFERROR(__xludf.DUMMYFUNCTION("""COMPUTED_VALUE"""),6070.79)</f>
        <v>6070.79</v>
      </c>
      <c r="D31" s="1372"/>
      <c r="E31" s="1369">
        <f>IFERROR(__xludf.DUMMYFUNCTION("""COMPUTED_VALUE"""),0.0)</f>
        <v>0</v>
      </c>
      <c r="F31" s="1370">
        <f>IFERROR(__xludf.DUMMYFUNCTION("""COMPUTED_VALUE"""),37.7)</f>
        <v>37.7</v>
      </c>
      <c r="G31" s="1372"/>
      <c r="H31" s="1369">
        <f>IFERROR(__xludf.DUMMYFUNCTION("""COMPUTED_VALUE"""),0.0)</f>
        <v>0</v>
      </c>
      <c r="I31" s="1370">
        <f>IFERROR(__xludf.DUMMYFUNCTION("""COMPUTED_VALUE"""),169.20135452920513)</f>
        <v>169.2013545</v>
      </c>
      <c r="J31" s="1372"/>
      <c r="K31" s="1369">
        <f>IFERROR(__xludf.DUMMYFUNCTION("""COMPUTED_VALUE"""),0.0)</f>
        <v>0</v>
      </c>
      <c r="L31" s="1370">
        <f>IFERROR(__xludf.DUMMYFUNCTION("""COMPUTED_VALUE"""),7416.21)</f>
        <v>7416.21</v>
      </c>
      <c r="M31" s="1372"/>
      <c r="N31" s="195" t="str">
        <f>IFERROR(__xludf.DUMMYFUNCTION("""COMPUTED_VALUE"""),"нет")</f>
        <v>нет</v>
      </c>
      <c r="O31" s="1191"/>
      <c r="P31" s="1191"/>
      <c r="Q31" s="1191"/>
      <c r="R31" s="1191"/>
      <c r="S31" s="1191"/>
    </row>
    <row r="32">
      <c r="A32" s="1368" t="str">
        <f>IFERROR(__xludf.DUMMYFUNCTION("""COMPUTED_VALUE"""),"26")</f>
        <v>26</v>
      </c>
      <c r="B32" s="1369">
        <f>IFERROR(__xludf.DUMMYFUNCTION("""COMPUTED_VALUE"""),3888.272727272728)</f>
        <v>3888.272727</v>
      </c>
      <c r="C32" s="1370">
        <f>IFERROR(__xludf.DUMMYFUNCTION("""COMPUTED_VALUE"""),4175.4400000000005)</f>
        <v>4175.44</v>
      </c>
      <c r="D32" s="1371">
        <f>IFERROR(__xludf.DUMMYFUNCTION("""COMPUTED_VALUE"""),0.07385471464309924)</f>
        <v>0.07385471464</v>
      </c>
      <c r="E32" s="1369">
        <f>IFERROR(__xludf.DUMMYFUNCTION("""COMPUTED_VALUE"""),22.90909090909091)</f>
        <v>22.90909091</v>
      </c>
      <c r="F32" s="1370">
        <f>IFERROR(__xludf.DUMMYFUNCTION("""COMPUTED_VALUE"""),24.7)</f>
        <v>24.7</v>
      </c>
      <c r="G32" s="1371">
        <f>IFERROR(__xludf.DUMMYFUNCTION("""COMPUTED_VALUE"""),0.07817460317460309)</f>
        <v>0.07817460317</v>
      </c>
      <c r="H32" s="1369">
        <f>IFERROR(__xludf.DUMMYFUNCTION("""COMPUTED_VALUE"""),170.29069223989475)</f>
        <v>170.2906922</v>
      </c>
      <c r="I32" s="1370">
        <f>IFERROR(__xludf.DUMMYFUNCTION("""COMPUTED_VALUE"""),169.94637769093652)</f>
        <v>169.9463777</v>
      </c>
      <c r="J32" s="1371">
        <f>IFERROR(__xludf.DUMMYFUNCTION("""COMPUTED_VALUE"""),-0.0020219223049090036)</f>
        <v>-0.002021922305</v>
      </c>
      <c r="K32" s="1369">
        <f>IFERROR(__xludf.DUMMYFUNCTION("""COMPUTED_VALUE"""),2992.4800000000005)</f>
        <v>2992.48</v>
      </c>
      <c r="L32" s="1370">
        <f>IFERROR(__xludf.DUMMYFUNCTION("""COMPUTED_VALUE"""),3229.75)</f>
        <v>3229.75</v>
      </c>
      <c r="M32" s="1371">
        <f>IFERROR(__xludf.DUMMYFUNCTION("""COMPUTED_VALUE"""),0.07928875046783922)</f>
        <v>0.07928875047</v>
      </c>
      <c r="N32" s="195" t="str">
        <f>IFERROR(__xludf.DUMMYFUNCTION("""COMPUTED_VALUE"""),"да")</f>
        <v>да</v>
      </c>
      <c r="O32" s="1191"/>
      <c r="P32" s="1191"/>
      <c r="Q32" s="1191"/>
      <c r="R32" s="1191"/>
      <c r="S32" s="1191"/>
    </row>
    <row r="33">
      <c r="A33" s="1368" t="str">
        <f>IFERROR(__xludf.DUMMYFUNCTION("""COMPUTED_VALUE"""),"27")</f>
        <v>27</v>
      </c>
      <c r="B33" s="1369">
        <f>IFERROR(__xludf.DUMMYFUNCTION("""COMPUTED_VALUE"""),11031.285)</f>
        <v>11031.285</v>
      </c>
      <c r="C33" s="1370">
        <f>IFERROR(__xludf.DUMMYFUNCTION("""COMPUTED_VALUE"""),9402.130000000001)</f>
        <v>9402.13</v>
      </c>
      <c r="D33" s="1371">
        <f>IFERROR(__xludf.DUMMYFUNCTION("""COMPUTED_VALUE"""),-0.14768497051794047)</f>
        <v>-0.1476849705</v>
      </c>
      <c r="E33" s="1369">
        <f>IFERROR(__xludf.DUMMYFUNCTION("""COMPUTED_VALUE"""),59.9)</f>
        <v>59.9</v>
      </c>
      <c r="F33" s="1370">
        <f>IFERROR(__xludf.DUMMYFUNCTION("""COMPUTED_VALUE"""),54.6)</f>
        <v>54.6</v>
      </c>
      <c r="G33" s="1371">
        <f>IFERROR(__xludf.DUMMYFUNCTION("""COMPUTED_VALUE"""),-0.08848080133555922)</f>
        <v>-0.08848080134</v>
      </c>
      <c r="H33" s="1369">
        <f>IFERROR(__xludf.DUMMYFUNCTION("""COMPUTED_VALUE"""),184.169455533656)</f>
        <v>184.1694555</v>
      </c>
      <c r="I33" s="1370">
        <f>IFERROR(__xludf.DUMMYFUNCTION("""COMPUTED_VALUE"""),171.29193490916253)</f>
        <v>171.2919349</v>
      </c>
      <c r="J33" s="1371">
        <f>IFERROR(__xludf.DUMMYFUNCTION("""COMPUTED_VALUE"""),-0.06992213006863214)</f>
        <v>-0.06992213007</v>
      </c>
      <c r="K33" s="1369">
        <f>IFERROR(__xludf.DUMMYFUNCTION("""COMPUTED_VALUE"""),6543.3)</f>
        <v>6543.3</v>
      </c>
      <c r="L33" s="1370">
        <f>IFERROR(__xludf.DUMMYFUNCTION("""COMPUTED_VALUE"""),8538.16)</f>
        <v>8538.16</v>
      </c>
      <c r="M33" s="1371">
        <f>IFERROR(__xludf.DUMMYFUNCTION("""COMPUTED_VALUE"""),0.3048706310271575)</f>
        <v>0.304870631</v>
      </c>
      <c r="N33" s="195" t="str">
        <f>IFERROR(__xludf.DUMMYFUNCTION("""COMPUTED_VALUE"""),"да")</f>
        <v>да</v>
      </c>
      <c r="O33" s="1191"/>
      <c r="P33" s="1191"/>
      <c r="Q33" s="1191"/>
      <c r="R33" s="1191"/>
      <c r="S33" s="1191"/>
    </row>
    <row r="34">
      <c r="A34" s="1368" t="str">
        <f>IFERROR(__xludf.DUMMYFUNCTION("""COMPUTED_VALUE"""),"28")</f>
        <v>28</v>
      </c>
      <c r="B34" s="1369">
        <f>IFERROR(__xludf.DUMMYFUNCTION("""COMPUTED_VALUE"""),6438.466666666667)</f>
        <v>6438.466667</v>
      </c>
      <c r="C34" s="1370">
        <f>IFERROR(__xludf.DUMMYFUNCTION("""COMPUTED_VALUE"""),7305.400000000001)</f>
        <v>7305.4</v>
      </c>
      <c r="D34" s="1371">
        <f>IFERROR(__xludf.DUMMYFUNCTION("""COMPUTED_VALUE"""),0.13464903652008242)</f>
        <v>0.1346490365</v>
      </c>
      <c r="E34" s="1369">
        <f>IFERROR(__xludf.DUMMYFUNCTION("""COMPUTED_VALUE"""),37.55555555555556)</f>
        <v>37.55555556</v>
      </c>
      <c r="F34" s="1370">
        <f>IFERROR(__xludf.DUMMYFUNCTION("""COMPUTED_VALUE"""),45.333333333333336)</f>
        <v>45.33333333</v>
      </c>
      <c r="G34" s="1371">
        <f>IFERROR(__xludf.DUMMYFUNCTION("""COMPUTED_VALUE"""),0.20710059171597633)</f>
        <v>0.2071005917</v>
      </c>
      <c r="H34" s="1369">
        <f>IFERROR(__xludf.DUMMYFUNCTION("""COMPUTED_VALUE"""),170.86926577085703)</f>
        <v>170.8692658</v>
      </c>
      <c r="I34" s="1370">
        <f>IFERROR(__xludf.DUMMYFUNCTION("""COMPUTED_VALUE"""),162.65924862472448)</f>
        <v>162.6592486</v>
      </c>
      <c r="J34" s="1371">
        <f>IFERROR(__xludf.DUMMYFUNCTION("""COMPUTED_VALUE"""),-0.0480485306066834)</f>
        <v>-0.04804853061</v>
      </c>
      <c r="K34" s="1369">
        <f>IFERROR(__xludf.DUMMYFUNCTION("""COMPUTED_VALUE"""),4212.68)</f>
        <v>4212.68</v>
      </c>
      <c r="L34" s="1370">
        <f>IFERROR(__xludf.DUMMYFUNCTION("""COMPUTED_VALUE"""),8601.779999999999)</f>
        <v>8601.78</v>
      </c>
      <c r="M34" s="1371">
        <f>IFERROR(__xludf.DUMMYFUNCTION("""COMPUTED_VALUE"""),1.0418783292345961)</f>
        <v>1.041878329</v>
      </c>
      <c r="N34" s="195" t="str">
        <f>IFERROR(__xludf.DUMMYFUNCTION("""COMPUTED_VALUE"""),"да")</f>
        <v>да</v>
      </c>
      <c r="O34" s="1191"/>
      <c r="P34" s="1191"/>
      <c r="Q34" s="1191"/>
      <c r="R34" s="1191"/>
      <c r="S34" s="1191"/>
    </row>
    <row r="35">
      <c r="A35" s="1368" t="str">
        <f>IFERROR(__xludf.DUMMYFUNCTION("""COMPUTED_VALUE"""),"29")</f>
        <v>29</v>
      </c>
      <c r="B35" s="1369">
        <f>IFERROR(__xludf.DUMMYFUNCTION("""COMPUTED_VALUE"""),11940.638888888889)</f>
        <v>11940.63889</v>
      </c>
      <c r="C35" s="1370">
        <f>IFERROR(__xludf.DUMMYFUNCTION("""COMPUTED_VALUE"""),9652.727777777778)</f>
        <v>9652.727778</v>
      </c>
      <c r="D35" s="1371">
        <f>IFERROR(__xludf.DUMMYFUNCTION("""COMPUTED_VALUE"""),-0.19160709342278814)</f>
        <v>-0.1916070934</v>
      </c>
      <c r="E35" s="1369">
        <f>IFERROR(__xludf.DUMMYFUNCTION("""COMPUTED_VALUE"""),62.22222222222222)</f>
        <v>62.22222222</v>
      </c>
      <c r="F35" s="1370">
        <f>IFERROR(__xludf.DUMMYFUNCTION("""COMPUTED_VALUE"""),48.666666666666664)</f>
        <v>48.66666667</v>
      </c>
      <c r="G35" s="1371">
        <f>IFERROR(__xludf.DUMMYFUNCTION("""COMPUTED_VALUE"""),-0.2178571428571429)</f>
        <v>-0.2178571429</v>
      </c>
      <c r="H35" s="1369">
        <f>IFERROR(__xludf.DUMMYFUNCTION("""COMPUTED_VALUE"""),192.25691602367974)</f>
        <v>192.256916</v>
      </c>
      <c r="I35" s="1370">
        <f>IFERROR(__xludf.DUMMYFUNCTION("""COMPUTED_VALUE"""),198.97902491691184)</f>
        <v>198.9790249</v>
      </c>
      <c r="J35" s="1371">
        <f>IFERROR(__xludf.DUMMYFUNCTION("""COMPUTED_VALUE"""),0.03496419807547605)</f>
        <v>0.03496419808</v>
      </c>
      <c r="K35" s="1369">
        <f>IFERROR(__xludf.DUMMYFUNCTION("""COMPUTED_VALUE"""),5026.719999999999)</f>
        <v>5026.72</v>
      </c>
      <c r="L35" s="1370">
        <f>IFERROR(__xludf.DUMMYFUNCTION("""COMPUTED_VALUE"""),7321.4400000000005)</f>
        <v>7321.44</v>
      </c>
      <c r="M35" s="1371">
        <f>IFERROR(__xludf.DUMMYFUNCTION("""COMPUTED_VALUE"""),0.456504440271191)</f>
        <v>0.4565044403</v>
      </c>
      <c r="N35" s="195" t="str">
        <f>IFERROR(__xludf.DUMMYFUNCTION("""COMPUTED_VALUE"""),"да")</f>
        <v>да</v>
      </c>
      <c r="O35" s="1191"/>
      <c r="P35" s="1191"/>
      <c r="Q35" s="1191"/>
      <c r="R35" s="1191"/>
      <c r="S35" s="1191"/>
    </row>
    <row r="36">
      <c r="A36" s="1368" t="str">
        <f>IFERROR(__xludf.DUMMYFUNCTION("""COMPUTED_VALUE"""),"901")</f>
        <v>901</v>
      </c>
      <c r="B36" s="1369">
        <f>IFERROR(__xludf.DUMMYFUNCTION("""COMPUTED_VALUE"""),13125.555555555555)</f>
        <v>13125.55556</v>
      </c>
      <c r="C36" s="1370">
        <f>IFERROR(__xludf.DUMMYFUNCTION("""COMPUTED_VALUE"""),12718.0)</f>
        <v>12718</v>
      </c>
      <c r="D36" s="1371">
        <f>IFERROR(__xludf.DUMMYFUNCTION("""COMPUTED_VALUE"""),-0.031050537543384348)</f>
        <v>-0.03105053754</v>
      </c>
      <c r="E36" s="1369">
        <f>IFERROR(__xludf.DUMMYFUNCTION("""COMPUTED_VALUE"""),63.333333333333336)</f>
        <v>63.33333333</v>
      </c>
      <c r="F36" s="1370">
        <f>IFERROR(__xludf.DUMMYFUNCTION("""COMPUTED_VALUE"""),60.125)</f>
        <v>60.125</v>
      </c>
      <c r="G36" s="1371">
        <f>IFERROR(__xludf.DUMMYFUNCTION("""COMPUTED_VALUE"""),-0.05065789473684214)</f>
        <v>-0.05065789474</v>
      </c>
      <c r="H36" s="1369">
        <f>IFERROR(__xludf.DUMMYFUNCTION("""COMPUTED_VALUE"""),207.12027379331798)</f>
        <v>207.1202738</v>
      </c>
      <c r="I36" s="1370">
        <f>IFERROR(__xludf.DUMMYFUNCTION("""COMPUTED_VALUE"""),212.9050537711766)</f>
        <v>212.9050538</v>
      </c>
      <c r="J36" s="1371">
        <f>IFERROR(__xludf.DUMMYFUNCTION("""COMPUTED_VALUE"""),0.027929568998306554)</f>
        <v>0.027929569</v>
      </c>
      <c r="K36" s="1369">
        <f>IFERROR(__xludf.DUMMYFUNCTION("""COMPUTED_VALUE"""),476.51)</f>
        <v>476.51</v>
      </c>
      <c r="L36" s="1370">
        <f>IFERROR(__xludf.DUMMYFUNCTION("""COMPUTED_VALUE"""),0.0)</f>
        <v>0</v>
      </c>
      <c r="M36" s="1371">
        <f>IFERROR(__xludf.DUMMYFUNCTION("""COMPUTED_VALUE"""),-1.0)</f>
        <v>-1</v>
      </c>
      <c r="N36" s="195" t="str">
        <f>IFERROR(__xludf.DUMMYFUNCTION("""COMPUTED_VALUE"""),"да")</f>
        <v>да</v>
      </c>
      <c r="O36" s="1191"/>
      <c r="P36" s="1191"/>
      <c r="Q36" s="1191"/>
      <c r="R36" s="1191"/>
      <c r="S36" s="1191"/>
    </row>
    <row r="37">
      <c r="A37" s="1380"/>
      <c r="B37" s="1381"/>
      <c r="C37" s="962"/>
      <c r="D37" s="1372"/>
      <c r="E37" s="1381"/>
      <c r="F37" s="962"/>
      <c r="G37" s="1372"/>
      <c r="H37" s="1381"/>
      <c r="I37" s="962"/>
      <c r="J37" s="1372"/>
      <c r="K37" s="1381"/>
      <c r="L37" s="962"/>
      <c r="M37" s="1372"/>
      <c r="N37" s="195"/>
      <c r="O37" s="1191"/>
      <c r="P37" s="1191"/>
      <c r="Q37" s="1191"/>
      <c r="R37" s="1191"/>
      <c r="S37" s="1191"/>
    </row>
    <row r="38">
      <c r="A38" s="1380"/>
      <c r="B38" s="1381"/>
      <c r="C38" s="962"/>
      <c r="D38" s="1372"/>
      <c r="E38" s="1381"/>
      <c r="F38" s="962"/>
      <c r="G38" s="1372"/>
      <c r="H38" s="1381"/>
      <c r="I38" s="962"/>
      <c r="J38" s="1372"/>
      <c r="K38" s="1381"/>
      <c r="L38" s="962"/>
      <c r="M38" s="1372"/>
      <c r="N38" s="195"/>
      <c r="O38" s="1191"/>
      <c r="P38" s="1191"/>
      <c r="Q38" s="1191"/>
      <c r="R38" s="1191"/>
      <c r="S38" s="1191"/>
    </row>
    <row r="39">
      <c r="A39" s="1380"/>
      <c r="B39" s="1381"/>
      <c r="C39" s="962"/>
      <c r="D39" s="1372"/>
      <c r="E39" s="1381"/>
      <c r="F39" s="962"/>
      <c r="G39" s="1372"/>
      <c r="H39" s="1381"/>
      <c r="I39" s="962"/>
      <c r="J39" s="1372"/>
      <c r="K39" s="1381"/>
      <c r="L39" s="962"/>
      <c r="M39" s="1372"/>
      <c r="N39" s="195"/>
      <c r="O39" s="1191"/>
      <c r="P39" s="1191"/>
      <c r="Q39" s="1191"/>
      <c r="R39" s="1191"/>
      <c r="S39" s="1191"/>
    </row>
    <row r="40">
      <c r="A40" s="1380"/>
      <c r="B40" s="1382"/>
      <c r="C40" s="747"/>
      <c r="D40" s="1383"/>
      <c r="E40" s="1382"/>
      <c r="F40" s="747"/>
      <c r="G40" s="1383"/>
      <c r="H40" s="1382"/>
      <c r="I40" s="747"/>
      <c r="J40" s="1383"/>
      <c r="K40" s="1382"/>
      <c r="L40" s="747"/>
      <c r="M40" s="1383"/>
      <c r="N40" s="195"/>
      <c r="O40" s="1191"/>
      <c r="P40" s="1191"/>
      <c r="Q40" s="1191"/>
      <c r="R40" s="1191"/>
      <c r="S40" s="1191"/>
    </row>
    <row r="41">
      <c r="A41" s="1384"/>
      <c r="N41" s="195"/>
    </row>
    <row r="42">
      <c r="A42" s="1384"/>
      <c r="N42" s="195"/>
    </row>
    <row r="43">
      <c r="A43" s="1384"/>
      <c r="N43" s="195"/>
    </row>
    <row r="44">
      <c r="A44" s="1384"/>
      <c r="N44" s="195"/>
    </row>
    <row r="45">
      <c r="A45" s="1384"/>
      <c r="N45" s="195"/>
    </row>
    <row r="46">
      <c r="A46" s="1384"/>
      <c r="N46" s="195"/>
    </row>
    <row r="47">
      <c r="A47" s="1384"/>
      <c r="N47" s="195"/>
    </row>
    <row r="48">
      <c r="A48" s="1384"/>
      <c r="N48" s="195"/>
    </row>
    <row r="49">
      <c r="A49" s="1384"/>
      <c r="N49" s="195"/>
    </row>
    <row r="50">
      <c r="A50" s="1384"/>
      <c r="N50" s="195"/>
    </row>
    <row r="51">
      <c r="A51" s="1384"/>
      <c r="N51" s="195"/>
    </row>
    <row r="52">
      <c r="A52" s="1384"/>
      <c r="N52" s="195"/>
    </row>
    <row r="53">
      <c r="A53" s="1384"/>
      <c r="N53" s="195"/>
    </row>
    <row r="54">
      <c r="A54" s="1384"/>
      <c r="N54" s="195"/>
    </row>
    <row r="55">
      <c r="A55" s="1384"/>
      <c r="N55" s="195"/>
    </row>
    <row r="56">
      <c r="A56" s="1384"/>
      <c r="N56" s="195"/>
    </row>
    <row r="57">
      <c r="A57" s="1384"/>
      <c r="N57" s="195"/>
    </row>
    <row r="58">
      <c r="A58" s="1384"/>
      <c r="N58" s="195"/>
    </row>
    <row r="59">
      <c r="A59" s="1384"/>
      <c r="N59" s="195"/>
    </row>
    <row r="60">
      <c r="A60" s="1384"/>
      <c r="N60" s="195"/>
    </row>
    <row r="61">
      <c r="A61" s="1384"/>
      <c r="N61" s="195"/>
    </row>
    <row r="62">
      <c r="A62" s="1384"/>
      <c r="N62" s="195"/>
    </row>
    <row r="63">
      <c r="A63" s="1384"/>
      <c r="N63" s="195"/>
    </row>
    <row r="64">
      <c r="A64" s="1384"/>
      <c r="N64" s="195"/>
    </row>
    <row r="65">
      <c r="A65" s="1384"/>
      <c r="N65" s="195"/>
    </row>
    <row r="66">
      <c r="A66" s="1384"/>
      <c r="N66" s="195"/>
    </row>
    <row r="67">
      <c r="A67" s="1384"/>
      <c r="N67" s="195"/>
    </row>
    <row r="68">
      <c r="A68" s="1384"/>
      <c r="N68" s="195"/>
    </row>
    <row r="69">
      <c r="A69" s="1384"/>
      <c r="N69" s="195"/>
    </row>
    <row r="70">
      <c r="A70" s="1384"/>
      <c r="N70" s="195"/>
    </row>
    <row r="71">
      <c r="A71" s="1384"/>
      <c r="N71" s="195"/>
    </row>
    <row r="72">
      <c r="A72" s="1384"/>
      <c r="N72" s="195"/>
    </row>
    <row r="73">
      <c r="A73" s="1384"/>
      <c r="N73" s="195"/>
    </row>
    <row r="74">
      <c r="A74" s="1384"/>
      <c r="N74" s="195"/>
    </row>
    <row r="75">
      <c r="A75" s="1384"/>
      <c r="N75" s="195"/>
    </row>
    <row r="76">
      <c r="A76" s="1384"/>
      <c r="N76" s="195"/>
    </row>
    <row r="77">
      <c r="A77" s="1384"/>
      <c r="N77" s="195"/>
    </row>
    <row r="78">
      <c r="A78" s="1384"/>
      <c r="N78" s="195"/>
    </row>
    <row r="79">
      <c r="A79" s="1384"/>
      <c r="N79" s="195"/>
    </row>
    <row r="80">
      <c r="A80" s="1384"/>
      <c r="N80" s="195"/>
    </row>
    <row r="81">
      <c r="A81" s="1384"/>
      <c r="N81" s="195"/>
    </row>
    <row r="82">
      <c r="A82" s="1384"/>
      <c r="N82" s="195"/>
    </row>
    <row r="83">
      <c r="A83" s="1384"/>
      <c r="N83" s="195"/>
    </row>
    <row r="84">
      <c r="A84" s="1384"/>
      <c r="N84" s="195"/>
    </row>
    <row r="85">
      <c r="A85" s="1384"/>
      <c r="N85" s="195"/>
    </row>
    <row r="86">
      <c r="A86" s="1384"/>
      <c r="N86" s="195"/>
    </row>
    <row r="87">
      <c r="A87" s="1384"/>
      <c r="N87" s="195"/>
    </row>
    <row r="88">
      <c r="A88" s="1384"/>
      <c r="N88" s="195"/>
    </row>
    <row r="89">
      <c r="A89" s="1384"/>
      <c r="N89" s="195"/>
    </row>
    <row r="90">
      <c r="A90" s="1384"/>
      <c r="N90" s="195"/>
    </row>
    <row r="91">
      <c r="A91" s="1384"/>
      <c r="N91" s="195"/>
    </row>
    <row r="92">
      <c r="A92" s="1384"/>
      <c r="N92" s="195"/>
    </row>
    <row r="93">
      <c r="A93" s="1384"/>
      <c r="N93" s="195"/>
    </row>
    <row r="94">
      <c r="A94" s="1384"/>
      <c r="N94" s="195"/>
    </row>
    <row r="95">
      <c r="A95" s="1384"/>
      <c r="N95" s="195"/>
    </row>
    <row r="96">
      <c r="A96" s="1384"/>
      <c r="N96" s="195"/>
    </row>
    <row r="97">
      <c r="A97" s="1384"/>
      <c r="N97" s="195"/>
    </row>
    <row r="98">
      <c r="A98" s="1384"/>
      <c r="N98" s="195"/>
    </row>
    <row r="99">
      <c r="A99" s="1384"/>
      <c r="N99" s="195"/>
    </row>
    <row r="100">
      <c r="A100" s="1384"/>
      <c r="N100" s="195"/>
    </row>
    <row r="101">
      <c r="A101" s="1384"/>
      <c r="N101" s="195"/>
    </row>
    <row r="102">
      <c r="A102" s="1384"/>
      <c r="N102" s="195"/>
    </row>
    <row r="103">
      <c r="A103" s="1384"/>
      <c r="N103" s="195"/>
    </row>
    <row r="104">
      <c r="A104" s="1384"/>
      <c r="N104" s="195"/>
    </row>
    <row r="105">
      <c r="A105" s="1384"/>
      <c r="N105" s="195"/>
    </row>
    <row r="106">
      <c r="A106" s="1384"/>
      <c r="N106" s="195"/>
    </row>
    <row r="107">
      <c r="A107" s="1384"/>
      <c r="N107" s="195"/>
    </row>
    <row r="108">
      <c r="A108" s="1384"/>
      <c r="N108" s="195"/>
    </row>
    <row r="109">
      <c r="A109" s="1384"/>
      <c r="N109" s="195"/>
    </row>
    <row r="110">
      <c r="A110" s="1384"/>
      <c r="N110" s="195"/>
    </row>
    <row r="111">
      <c r="A111" s="1384"/>
      <c r="N111" s="195"/>
    </row>
    <row r="112">
      <c r="A112" s="1384"/>
      <c r="N112" s="195"/>
    </row>
    <row r="113">
      <c r="A113" s="1384"/>
      <c r="N113" s="195"/>
    </row>
    <row r="114">
      <c r="A114" s="1384"/>
      <c r="N114" s="195"/>
    </row>
    <row r="115">
      <c r="A115" s="1384"/>
      <c r="N115" s="195"/>
    </row>
    <row r="116">
      <c r="A116" s="1384"/>
      <c r="N116" s="195"/>
    </row>
    <row r="117">
      <c r="A117" s="1384"/>
      <c r="N117" s="195"/>
    </row>
    <row r="118">
      <c r="A118" s="1384"/>
      <c r="N118" s="195"/>
    </row>
    <row r="119">
      <c r="A119" s="1384"/>
      <c r="N119" s="195"/>
    </row>
    <row r="120">
      <c r="A120" s="1384"/>
      <c r="N120" s="195"/>
    </row>
    <row r="121">
      <c r="A121" s="1384"/>
      <c r="N121" s="195"/>
    </row>
    <row r="122">
      <c r="A122" s="1384"/>
      <c r="N122" s="195"/>
    </row>
    <row r="123">
      <c r="A123" s="1384"/>
      <c r="N123" s="195"/>
    </row>
    <row r="124">
      <c r="A124" s="1384"/>
      <c r="N124" s="195"/>
    </row>
    <row r="125">
      <c r="A125" s="1384"/>
      <c r="N125" s="195"/>
    </row>
    <row r="126">
      <c r="A126" s="1384"/>
      <c r="N126" s="195"/>
    </row>
    <row r="127">
      <c r="A127" s="1384"/>
      <c r="N127" s="195"/>
    </row>
    <row r="128">
      <c r="A128" s="1384"/>
      <c r="N128" s="195"/>
    </row>
    <row r="129">
      <c r="A129" s="1384"/>
      <c r="N129" s="195"/>
    </row>
    <row r="130">
      <c r="A130" s="1384"/>
      <c r="N130" s="195"/>
    </row>
    <row r="131">
      <c r="A131" s="1384"/>
      <c r="N131" s="195"/>
    </row>
    <row r="132">
      <c r="A132" s="1384"/>
      <c r="N132" s="195"/>
    </row>
    <row r="133">
      <c r="A133" s="1384"/>
      <c r="N133" s="195"/>
    </row>
    <row r="134">
      <c r="A134" s="1384"/>
      <c r="N134" s="195"/>
    </row>
    <row r="135">
      <c r="A135" s="1384"/>
      <c r="N135" s="195"/>
    </row>
    <row r="136">
      <c r="A136" s="1384"/>
      <c r="N136" s="195"/>
    </row>
    <row r="137">
      <c r="A137" s="1384"/>
      <c r="N137" s="195"/>
    </row>
    <row r="138">
      <c r="A138" s="1384"/>
      <c r="N138" s="195"/>
    </row>
    <row r="139">
      <c r="A139" s="1384"/>
      <c r="N139" s="195"/>
    </row>
    <row r="140">
      <c r="A140" s="1384"/>
      <c r="N140" s="195"/>
    </row>
    <row r="141">
      <c r="A141" s="1384"/>
      <c r="N141" s="195"/>
    </row>
    <row r="142">
      <c r="A142" s="1384"/>
      <c r="N142" s="195"/>
    </row>
    <row r="143">
      <c r="A143" s="1384"/>
      <c r="N143" s="195"/>
    </row>
    <row r="144">
      <c r="A144" s="1384"/>
      <c r="N144" s="195"/>
    </row>
    <row r="145">
      <c r="A145" s="1384"/>
      <c r="N145" s="195"/>
    </row>
    <row r="146">
      <c r="A146" s="1384"/>
      <c r="N146" s="195"/>
    </row>
    <row r="147">
      <c r="A147" s="1384"/>
      <c r="N147" s="195"/>
    </row>
    <row r="148">
      <c r="A148" s="1384"/>
      <c r="N148" s="195"/>
    </row>
    <row r="149">
      <c r="A149" s="1384"/>
      <c r="N149" s="195"/>
    </row>
    <row r="150">
      <c r="A150" s="1384"/>
      <c r="N150" s="195"/>
    </row>
    <row r="151">
      <c r="A151" s="1384"/>
      <c r="N151" s="195"/>
    </row>
    <row r="152">
      <c r="A152" s="1384"/>
      <c r="N152" s="195"/>
    </row>
    <row r="153">
      <c r="A153" s="1384"/>
      <c r="N153" s="195"/>
    </row>
    <row r="154">
      <c r="A154" s="1384"/>
      <c r="N154" s="195"/>
    </row>
    <row r="155">
      <c r="A155" s="1384"/>
      <c r="N155" s="195"/>
    </row>
    <row r="156">
      <c r="A156" s="1384"/>
      <c r="N156" s="195"/>
    </row>
    <row r="157">
      <c r="A157" s="1384"/>
      <c r="N157" s="195"/>
    </row>
    <row r="158">
      <c r="A158" s="1384"/>
      <c r="N158" s="195"/>
    </row>
    <row r="159">
      <c r="A159" s="1384"/>
      <c r="N159" s="195"/>
    </row>
    <row r="160">
      <c r="A160" s="1384"/>
      <c r="N160" s="195"/>
    </row>
    <row r="161">
      <c r="A161" s="1384"/>
      <c r="N161" s="195"/>
    </row>
    <row r="162">
      <c r="A162" s="1384"/>
      <c r="N162" s="195"/>
    </row>
    <row r="163">
      <c r="A163" s="1384"/>
      <c r="N163" s="195"/>
    </row>
    <row r="164">
      <c r="A164" s="1384"/>
      <c r="N164" s="195"/>
    </row>
    <row r="165">
      <c r="A165" s="1384"/>
      <c r="N165" s="195"/>
    </row>
    <row r="166">
      <c r="A166" s="1384"/>
      <c r="N166" s="195"/>
    </row>
    <row r="167">
      <c r="A167" s="1384"/>
      <c r="N167" s="195"/>
    </row>
    <row r="168">
      <c r="A168" s="1384"/>
      <c r="N168" s="195"/>
    </row>
    <row r="169">
      <c r="A169" s="1384"/>
      <c r="N169" s="195"/>
    </row>
    <row r="170">
      <c r="A170" s="1384"/>
      <c r="N170" s="195"/>
    </row>
    <row r="171">
      <c r="A171" s="1384"/>
      <c r="N171" s="195"/>
    </row>
    <row r="172">
      <c r="A172" s="1384"/>
      <c r="N172" s="195"/>
    </row>
    <row r="173">
      <c r="A173" s="1384"/>
      <c r="N173" s="195"/>
    </row>
    <row r="174">
      <c r="A174" s="1384"/>
      <c r="N174" s="195"/>
    </row>
    <row r="175">
      <c r="A175" s="1384"/>
      <c r="N175" s="195"/>
    </row>
    <row r="176">
      <c r="A176" s="1384"/>
      <c r="N176" s="195"/>
    </row>
    <row r="177">
      <c r="A177" s="1384"/>
      <c r="N177" s="195"/>
    </row>
    <row r="178">
      <c r="A178" s="1384"/>
      <c r="N178" s="195"/>
    </row>
    <row r="179">
      <c r="A179" s="1384"/>
      <c r="N179" s="195"/>
    </row>
    <row r="180">
      <c r="A180" s="1384"/>
      <c r="N180" s="195"/>
    </row>
    <row r="181">
      <c r="A181" s="1384"/>
      <c r="N181" s="195"/>
    </row>
    <row r="182">
      <c r="A182" s="1384"/>
      <c r="N182" s="195"/>
    </row>
    <row r="183">
      <c r="A183" s="1384"/>
      <c r="N183" s="195"/>
    </row>
    <row r="184">
      <c r="A184" s="1384"/>
      <c r="N184" s="195"/>
    </row>
    <row r="185">
      <c r="A185" s="1384"/>
      <c r="N185" s="195"/>
    </row>
    <row r="186">
      <c r="A186" s="1384"/>
      <c r="N186" s="195"/>
    </row>
    <row r="187">
      <c r="A187" s="1384"/>
      <c r="N187" s="195"/>
    </row>
    <row r="188">
      <c r="A188" s="1384"/>
      <c r="N188" s="195"/>
    </row>
    <row r="189">
      <c r="A189" s="1384"/>
      <c r="N189" s="195"/>
    </row>
    <row r="190">
      <c r="A190" s="1384"/>
      <c r="N190" s="195"/>
    </row>
    <row r="191">
      <c r="A191" s="1384"/>
      <c r="N191" s="195"/>
    </row>
    <row r="192">
      <c r="A192" s="1384"/>
      <c r="N192" s="195"/>
    </row>
    <row r="193">
      <c r="A193" s="1384"/>
      <c r="N193" s="195"/>
    </row>
    <row r="194">
      <c r="A194" s="1384"/>
      <c r="N194" s="195"/>
    </row>
    <row r="195">
      <c r="A195" s="1384"/>
      <c r="N195" s="195"/>
    </row>
    <row r="196">
      <c r="A196" s="1384"/>
      <c r="N196" s="195"/>
    </row>
    <row r="197">
      <c r="A197" s="1384"/>
      <c r="N197" s="195"/>
    </row>
    <row r="198">
      <c r="A198" s="1384"/>
      <c r="N198" s="195"/>
    </row>
    <row r="199">
      <c r="A199" s="1384"/>
      <c r="N199" s="195"/>
    </row>
    <row r="200">
      <c r="A200" s="1384"/>
      <c r="N200" s="195"/>
    </row>
    <row r="201">
      <c r="A201" s="1384"/>
      <c r="N201" s="195"/>
    </row>
    <row r="202">
      <c r="A202" s="1384"/>
      <c r="N202" s="195"/>
    </row>
    <row r="203">
      <c r="A203" s="1384"/>
      <c r="N203" s="195"/>
    </row>
    <row r="204">
      <c r="A204" s="1384"/>
      <c r="N204" s="195"/>
    </row>
    <row r="205">
      <c r="A205" s="1384"/>
      <c r="N205" s="195"/>
    </row>
    <row r="206">
      <c r="A206" s="1384"/>
      <c r="N206" s="195"/>
    </row>
    <row r="207">
      <c r="A207" s="1384"/>
      <c r="N207" s="195"/>
    </row>
    <row r="208">
      <c r="A208" s="1384"/>
      <c r="N208" s="195"/>
    </row>
    <row r="209">
      <c r="A209" s="1384"/>
      <c r="N209" s="195"/>
    </row>
    <row r="210">
      <c r="A210" s="1384"/>
      <c r="N210" s="195"/>
    </row>
    <row r="211">
      <c r="A211" s="1384"/>
      <c r="N211" s="195"/>
    </row>
    <row r="212">
      <c r="A212" s="1384"/>
      <c r="N212" s="195"/>
    </row>
    <row r="213">
      <c r="A213" s="1384"/>
      <c r="N213" s="195"/>
    </row>
    <row r="214">
      <c r="A214" s="1384"/>
      <c r="N214" s="195"/>
    </row>
    <row r="215">
      <c r="A215" s="1384"/>
      <c r="N215" s="195"/>
    </row>
    <row r="216">
      <c r="A216" s="1384"/>
      <c r="N216" s="195"/>
    </row>
    <row r="217">
      <c r="A217" s="1384"/>
      <c r="N217" s="195"/>
    </row>
    <row r="218">
      <c r="A218" s="1384"/>
      <c r="N218" s="195"/>
    </row>
    <row r="219">
      <c r="A219" s="1384"/>
      <c r="N219" s="195"/>
    </row>
    <row r="220">
      <c r="A220" s="1384"/>
      <c r="N220" s="195"/>
    </row>
    <row r="221">
      <c r="A221" s="1384"/>
      <c r="N221" s="195"/>
    </row>
    <row r="222">
      <c r="A222" s="1384"/>
      <c r="N222" s="195"/>
    </row>
    <row r="223">
      <c r="A223" s="1384"/>
      <c r="N223" s="195"/>
    </row>
    <row r="224">
      <c r="A224" s="1384"/>
      <c r="N224" s="195"/>
    </row>
    <row r="225">
      <c r="A225" s="1384"/>
      <c r="N225" s="195"/>
    </row>
    <row r="226">
      <c r="A226" s="1384"/>
      <c r="N226" s="195"/>
    </row>
    <row r="227">
      <c r="A227" s="1384"/>
      <c r="N227" s="195"/>
    </row>
    <row r="228">
      <c r="A228" s="1384"/>
      <c r="N228" s="195"/>
    </row>
    <row r="229">
      <c r="A229" s="1384"/>
      <c r="N229" s="195"/>
    </row>
    <row r="230">
      <c r="A230" s="1384"/>
      <c r="N230" s="195"/>
    </row>
    <row r="231">
      <c r="A231" s="1384"/>
      <c r="N231" s="195"/>
    </row>
    <row r="232">
      <c r="A232" s="1384"/>
      <c r="N232" s="195"/>
    </row>
    <row r="233">
      <c r="A233" s="1384"/>
      <c r="N233" s="195"/>
    </row>
    <row r="234">
      <c r="A234" s="1384"/>
      <c r="N234" s="195"/>
    </row>
    <row r="235">
      <c r="A235" s="1384"/>
      <c r="N235" s="195"/>
    </row>
    <row r="236">
      <c r="A236" s="1384"/>
      <c r="N236" s="195"/>
    </row>
    <row r="237">
      <c r="A237" s="1384"/>
      <c r="N237" s="195"/>
    </row>
    <row r="238">
      <c r="A238" s="1384"/>
      <c r="N238" s="195"/>
    </row>
    <row r="239">
      <c r="A239" s="1384"/>
      <c r="N239" s="195"/>
    </row>
    <row r="240">
      <c r="A240" s="1384"/>
      <c r="N240" s="195"/>
    </row>
    <row r="241">
      <c r="A241" s="1384"/>
      <c r="N241" s="195"/>
    </row>
    <row r="242">
      <c r="A242" s="1384"/>
      <c r="N242" s="195"/>
    </row>
    <row r="243">
      <c r="A243" s="1384"/>
      <c r="N243" s="195"/>
    </row>
    <row r="244">
      <c r="A244" s="1384"/>
      <c r="N244" s="195"/>
    </row>
    <row r="245">
      <c r="A245" s="1384"/>
      <c r="N245" s="195"/>
    </row>
    <row r="246">
      <c r="A246" s="1384"/>
      <c r="N246" s="195"/>
    </row>
    <row r="247">
      <c r="A247" s="1384"/>
      <c r="N247" s="195"/>
    </row>
    <row r="248">
      <c r="A248" s="1384"/>
      <c r="N248" s="195"/>
    </row>
    <row r="249">
      <c r="A249" s="1384"/>
      <c r="N249" s="195"/>
    </row>
    <row r="250">
      <c r="A250" s="1384"/>
      <c r="N250" s="195"/>
    </row>
    <row r="251">
      <c r="A251" s="1384"/>
      <c r="N251" s="195"/>
    </row>
    <row r="252">
      <c r="A252" s="1384"/>
      <c r="N252" s="195"/>
    </row>
    <row r="253">
      <c r="A253" s="1384"/>
      <c r="N253" s="195"/>
    </row>
    <row r="254">
      <c r="A254" s="1384"/>
      <c r="N254" s="195"/>
    </row>
    <row r="255">
      <c r="A255" s="1384"/>
      <c r="N255" s="195"/>
    </row>
    <row r="256">
      <c r="A256" s="1384"/>
      <c r="N256" s="195"/>
    </row>
    <row r="257">
      <c r="A257" s="1384"/>
      <c r="N257" s="195"/>
    </row>
    <row r="258">
      <c r="A258" s="1384"/>
      <c r="N258" s="195"/>
    </row>
    <row r="259">
      <c r="A259" s="1384"/>
      <c r="N259" s="195"/>
    </row>
    <row r="260">
      <c r="A260" s="1384"/>
      <c r="N260" s="195"/>
    </row>
    <row r="261">
      <c r="A261" s="1384"/>
      <c r="N261" s="195"/>
    </row>
    <row r="262">
      <c r="A262" s="1384"/>
      <c r="N262" s="195"/>
    </row>
    <row r="263">
      <c r="A263" s="1384"/>
      <c r="N263" s="195"/>
    </row>
    <row r="264">
      <c r="A264" s="1384"/>
      <c r="N264" s="195"/>
    </row>
    <row r="265">
      <c r="A265" s="1384"/>
      <c r="N265" s="195"/>
    </row>
    <row r="266">
      <c r="A266" s="1384"/>
      <c r="N266" s="195"/>
    </row>
    <row r="267">
      <c r="A267" s="1384"/>
      <c r="N267" s="195"/>
    </row>
    <row r="268">
      <c r="A268" s="1384"/>
      <c r="N268" s="195"/>
    </row>
    <row r="269">
      <c r="A269" s="1384"/>
      <c r="N269" s="195"/>
    </row>
    <row r="270">
      <c r="A270" s="1384"/>
      <c r="N270" s="195"/>
    </row>
    <row r="271">
      <c r="A271" s="1384"/>
      <c r="N271" s="195"/>
    </row>
    <row r="272">
      <c r="A272" s="1384"/>
      <c r="N272" s="195"/>
    </row>
    <row r="273">
      <c r="A273" s="1384"/>
      <c r="N273" s="195"/>
    </row>
    <row r="274">
      <c r="A274" s="1384"/>
      <c r="N274" s="195"/>
    </row>
    <row r="275">
      <c r="A275" s="1384"/>
      <c r="N275" s="195"/>
    </row>
    <row r="276">
      <c r="A276" s="1384"/>
      <c r="N276" s="195"/>
    </row>
    <row r="277">
      <c r="A277" s="1384"/>
      <c r="N277" s="195"/>
    </row>
    <row r="278">
      <c r="A278" s="1384"/>
      <c r="N278" s="195"/>
    </row>
    <row r="279">
      <c r="A279" s="1384"/>
      <c r="N279" s="195"/>
    </row>
    <row r="280">
      <c r="A280" s="1384"/>
      <c r="N280" s="195"/>
    </row>
    <row r="281">
      <c r="A281" s="1384"/>
      <c r="N281" s="195"/>
    </row>
    <row r="282">
      <c r="A282" s="1384"/>
      <c r="N282" s="195"/>
    </row>
    <row r="283">
      <c r="A283" s="1384"/>
      <c r="N283" s="195"/>
    </row>
    <row r="284">
      <c r="A284" s="1384"/>
      <c r="N284" s="195"/>
    </row>
    <row r="285">
      <c r="A285" s="1384"/>
      <c r="N285" s="195"/>
    </row>
    <row r="286">
      <c r="A286" s="1384"/>
      <c r="N286" s="195"/>
    </row>
    <row r="287">
      <c r="A287" s="1384"/>
      <c r="N287" s="195"/>
    </row>
    <row r="288">
      <c r="A288" s="1384"/>
      <c r="N288" s="195"/>
    </row>
    <row r="289">
      <c r="A289" s="1384"/>
      <c r="N289" s="195"/>
    </row>
    <row r="290">
      <c r="A290" s="1384"/>
      <c r="N290" s="195"/>
    </row>
    <row r="291">
      <c r="A291" s="1384"/>
      <c r="N291" s="195"/>
    </row>
    <row r="292">
      <c r="A292" s="1384"/>
      <c r="N292" s="195"/>
    </row>
    <row r="293">
      <c r="A293" s="1384"/>
      <c r="N293" s="195"/>
    </row>
    <row r="294">
      <c r="A294" s="1384"/>
      <c r="N294" s="195"/>
    </row>
    <row r="295">
      <c r="A295" s="1384"/>
      <c r="N295" s="195"/>
    </row>
    <row r="296">
      <c r="A296" s="1384"/>
      <c r="N296" s="195"/>
    </row>
    <row r="297">
      <c r="A297" s="1384"/>
      <c r="N297" s="195"/>
    </row>
    <row r="298">
      <c r="A298" s="1384"/>
      <c r="N298" s="195"/>
    </row>
    <row r="299">
      <c r="A299" s="1384"/>
      <c r="N299" s="195"/>
    </row>
    <row r="300">
      <c r="A300" s="1384"/>
      <c r="N300" s="195"/>
    </row>
    <row r="301">
      <c r="A301" s="1384"/>
      <c r="N301" s="195"/>
    </row>
    <row r="302">
      <c r="A302" s="1384"/>
      <c r="N302" s="195"/>
    </row>
    <row r="303">
      <c r="A303" s="1384"/>
      <c r="N303" s="195"/>
    </row>
    <row r="304">
      <c r="A304" s="1384"/>
      <c r="N304" s="195"/>
    </row>
    <row r="305">
      <c r="A305" s="1384"/>
      <c r="N305" s="195"/>
    </row>
    <row r="306">
      <c r="A306" s="1384"/>
      <c r="N306" s="195"/>
    </row>
    <row r="307">
      <c r="A307" s="1384"/>
      <c r="N307" s="195"/>
    </row>
    <row r="308">
      <c r="A308" s="1384"/>
      <c r="N308" s="195"/>
    </row>
    <row r="309">
      <c r="A309" s="1384"/>
      <c r="N309" s="195"/>
    </row>
    <row r="310">
      <c r="A310" s="1384"/>
      <c r="N310" s="195"/>
    </row>
    <row r="311">
      <c r="A311" s="1384"/>
      <c r="N311" s="195"/>
    </row>
    <row r="312">
      <c r="A312" s="1384"/>
      <c r="N312" s="195"/>
    </row>
    <row r="313">
      <c r="A313" s="1384"/>
      <c r="N313" s="195"/>
    </row>
    <row r="314">
      <c r="A314" s="1384"/>
      <c r="N314" s="195"/>
    </row>
    <row r="315">
      <c r="A315" s="1384"/>
      <c r="N315" s="195"/>
    </row>
    <row r="316">
      <c r="A316" s="1384"/>
      <c r="N316" s="195"/>
    </row>
    <row r="317">
      <c r="A317" s="1384"/>
      <c r="N317" s="195"/>
    </row>
    <row r="318">
      <c r="A318" s="1384"/>
      <c r="N318" s="195"/>
    </row>
    <row r="319">
      <c r="A319" s="1384"/>
      <c r="N319" s="195"/>
    </row>
    <row r="320">
      <c r="A320" s="1384"/>
      <c r="N320" s="195"/>
    </row>
    <row r="321">
      <c r="A321" s="1384"/>
      <c r="N321" s="195"/>
    </row>
    <row r="322">
      <c r="A322" s="1384"/>
      <c r="N322" s="195"/>
    </row>
    <row r="323">
      <c r="A323" s="1384"/>
      <c r="N323" s="195"/>
    </row>
    <row r="324">
      <c r="A324" s="1384"/>
      <c r="N324" s="195"/>
    </row>
    <row r="325">
      <c r="A325" s="1384"/>
      <c r="N325" s="195"/>
    </row>
    <row r="326">
      <c r="A326" s="1384"/>
      <c r="N326" s="195"/>
    </row>
    <row r="327">
      <c r="A327" s="1384"/>
      <c r="N327" s="195"/>
    </row>
    <row r="328">
      <c r="A328" s="1384"/>
      <c r="N328" s="195"/>
    </row>
    <row r="329">
      <c r="A329" s="1384"/>
      <c r="N329" s="195"/>
    </row>
    <row r="330">
      <c r="A330" s="1384"/>
      <c r="N330" s="195"/>
    </row>
    <row r="331">
      <c r="A331" s="1384"/>
      <c r="N331" s="195"/>
    </row>
    <row r="332">
      <c r="A332" s="1384"/>
      <c r="N332" s="195"/>
    </row>
    <row r="333">
      <c r="A333" s="1384"/>
      <c r="N333" s="195"/>
    </row>
    <row r="334">
      <c r="A334" s="1384"/>
      <c r="N334" s="195"/>
    </row>
    <row r="335">
      <c r="A335" s="1384"/>
      <c r="N335" s="195"/>
    </row>
    <row r="336">
      <c r="A336" s="1384"/>
      <c r="N336" s="195"/>
    </row>
    <row r="337">
      <c r="A337" s="1384"/>
      <c r="N337" s="195"/>
    </row>
    <row r="338">
      <c r="A338" s="1384"/>
      <c r="N338" s="195"/>
    </row>
    <row r="339">
      <c r="A339" s="1384"/>
      <c r="N339" s="195"/>
    </row>
    <row r="340">
      <c r="A340" s="1384"/>
      <c r="N340" s="195"/>
    </row>
    <row r="341">
      <c r="A341" s="1384"/>
      <c r="N341" s="195"/>
    </row>
    <row r="342">
      <c r="A342" s="1384"/>
      <c r="N342" s="195"/>
    </row>
    <row r="343">
      <c r="A343" s="1384"/>
      <c r="N343" s="195"/>
    </row>
    <row r="344">
      <c r="A344" s="1384"/>
      <c r="N344" s="195"/>
    </row>
    <row r="345">
      <c r="A345" s="1384"/>
      <c r="N345" s="195"/>
    </row>
    <row r="346">
      <c r="A346" s="1384"/>
      <c r="N346" s="195"/>
    </row>
    <row r="347">
      <c r="A347" s="1384"/>
      <c r="N347" s="195"/>
    </row>
    <row r="348">
      <c r="A348" s="1384"/>
      <c r="N348" s="195"/>
    </row>
    <row r="349">
      <c r="A349" s="1384"/>
      <c r="N349" s="195"/>
    </row>
    <row r="350">
      <c r="A350" s="1384"/>
      <c r="N350" s="195"/>
    </row>
    <row r="351">
      <c r="A351" s="1384"/>
      <c r="N351" s="195"/>
    </row>
    <row r="352">
      <c r="A352" s="1384"/>
      <c r="N352" s="195"/>
    </row>
    <row r="353">
      <c r="A353" s="1384"/>
      <c r="N353" s="195"/>
    </row>
    <row r="354">
      <c r="A354" s="1384"/>
      <c r="N354" s="195"/>
    </row>
    <row r="355">
      <c r="A355" s="1384"/>
      <c r="N355" s="195"/>
    </row>
    <row r="356">
      <c r="A356" s="1384"/>
      <c r="N356" s="195"/>
    </row>
    <row r="357">
      <c r="A357" s="1384"/>
      <c r="N357" s="195"/>
    </row>
    <row r="358">
      <c r="A358" s="1384"/>
      <c r="N358" s="195"/>
    </row>
    <row r="359">
      <c r="A359" s="1384"/>
      <c r="N359" s="195"/>
    </row>
    <row r="360">
      <c r="A360" s="1384"/>
      <c r="N360" s="195"/>
    </row>
    <row r="361">
      <c r="A361" s="1384"/>
      <c r="N361" s="195"/>
    </row>
    <row r="362">
      <c r="A362" s="1384"/>
      <c r="N362" s="195"/>
    </row>
    <row r="363">
      <c r="A363" s="1384"/>
      <c r="N363" s="195"/>
    </row>
    <row r="364">
      <c r="A364" s="1384"/>
      <c r="N364" s="195"/>
    </row>
    <row r="365">
      <c r="A365" s="1384"/>
      <c r="N365" s="195"/>
    </row>
    <row r="366">
      <c r="A366" s="1384"/>
      <c r="N366" s="195"/>
    </row>
    <row r="367">
      <c r="A367" s="1384"/>
      <c r="N367" s="195"/>
    </row>
    <row r="368">
      <c r="A368" s="1384"/>
      <c r="N368" s="195"/>
    </row>
    <row r="369">
      <c r="A369" s="1384"/>
      <c r="N369" s="195"/>
    </row>
    <row r="370">
      <c r="A370" s="1384"/>
      <c r="N370" s="195"/>
    </row>
    <row r="371">
      <c r="A371" s="1384"/>
      <c r="N371" s="195"/>
    </row>
    <row r="372">
      <c r="A372" s="1384"/>
      <c r="N372" s="195"/>
    </row>
    <row r="373">
      <c r="A373" s="1384"/>
      <c r="N373" s="195"/>
    </row>
    <row r="374">
      <c r="A374" s="1384"/>
      <c r="N374" s="195"/>
    </row>
    <row r="375">
      <c r="A375" s="1384"/>
      <c r="N375" s="195"/>
    </row>
    <row r="376">
      <c r="A376" s="1384"/>
      <c r="N376" s="195"/>
    </row>
    <row r="377">
      <c r="A377" s="1384"/>
      <c r="N377" s="195"/>
    </row>
    <row r="378">
      <c r="A378" s="1384"/>
      <c r="N378" s="195"/>
    </row>
    <row r="379">
      <c r="A379" s="1384"/>
      <c r="N379" s="195"/>
    </row>
    <row r="380">
      <c r="A380" s="1384"/>
      <c r="N380" s="195"/>
    </row>
    <row r="381">
      <c r="A381" s="1384"/>
      <c r="N381" s="195"/>
    </row>
    <row r="382">
      <c r="A382" s="1384"/>
      <c r="N382" s="195"/>
    </row>
    <row r="383">
      <c r="A383" s="1384"/>
      <c r="N383" s="195"/>
    </row>
    <row r="384">
      <c r="A384" s="1384"/>
      <c r="N384" s="195"/>
    </row>
    <row r="385">
      <c r="A385" s="1384"/>
      <c r="N385" s="195"/>
    </row>
    <row r="386">
      <c r="A386" s="1384"/>
      <c r="N386" s="195"/>
    </row>
    <row r="387">
      <c r="A387" s="1384"/>
      <c r="N387" s="195"/>
    </row>
    <row r="388">
      <c r="A388" s="1384"/>
      <c r="N388" s="195"/>
    </row>
    <row r="389">
      <c r="A389" s="1384"/>
      <c r="N389" s="195"/>
    </row>
    <row r="390">
      <c r="A390" s="1384"/>
      <c r="N390" s="195"/>
    </row>
    <row r="391">
      <c r="A391" s="1384"/>
      <c r="N391" s="195"/>
    </row>
    <row r="392">
      <c r="A392" s="1384"/>
      <c r="N392" s="195"/>
    </row>
    <row r="393">
      <c r="A393" s="1384"/>
      <c r="N393" s="195"/>
    </row>
    <row r="394">
      <c r="A394" s="1384"/>
      <c r="N394" s="195"/>
    </row>
    <row r="395">
      <c r="A395" s="1384"/>
      <c r="N395" s="195"/>
    </row>
    <row r="396">
      <c r="A396" s="1384"/>
      <c r="N396" s="195"/>
    </row>
    <row r="397">
      <c r="A397" s="1384"/>
      <c r="N397" s="195"/>
    </row>
    <row r="398">
      <c r="A398" s="1384"/>
      <c r="N398" s="195"/>
    </row>
    <row r="399">
      <c r="A399" s="1384"/>
      <c r="N399" s="195"/>
    </row>
    <row r="400">
      <c r="A400" s="1384"/>
      <c r="N400" s="195"/>
    </row>
    <row r="401">
      <c r="A401" s="1384"/>
      <c r="N401" s="195"/>
    </row>
    <row r="402">
      <c r="A402" s="1384"/>
      <c r="N402" s="195"/>
    </row>
    <row r="403">
      <c r="A403" s="1384"/>
      <c r="N403" s="195"/>
    </row>
    <row r="404">
      <c r="A404" s="1384"/>
      <c r="N404" s="195"/>
    </row>
    <row r="405">
      <c r="A405" s="1384"/>
      <c r="N405" s="195"/>
    </row>
    <row r="406">
      <c r="A406" s="1384"/>
      <c r="N406" s="195"/>
    </row>
    <row r="407">
      <c r="A407" s="1384"/>
      <c r="N407" s="195"/>
    </row>
    <row r="408">
      <c r="A408" s="1384"/>
      <c r="N408" s="195"/>
    </row>
    <row r="409">
      <c r="A409" s="1384"/>
      <c r="N409" s="195"/>
    </row>
    <row r="410">
      <c r="A410" s="1384"/>
      <c r="N410" s="195"/>
    </row>
    <row r="411">
      <c r="A411" s="1384"/>
      <c r="N411" s="195"/>
    </row>
    <row r="412">
      <c r="A412" s="1384"/>
      <c r="N412" s="195"/>
    </row>
    <row r="413">
      <c r="A413" s="1384"/>
      <c r="N413" s="195"/>
    </row>
    <row r="414">
      <c r="A414" s="1384"/>
      <c r="N414" s="195"/>
    </row>
    <row r="415">
      <c r="A415" s="1384"/>
      <c r="N415" s="195"/>
    </row>
    <row r="416">
      <c r="A416" s="1384"/>
      <c r="N416" s="195"/>
    </row>
    <row r="417">
      <c r="A417" s="1384"/>
      <c r="N417" s="195"/>
    </row>
    <row r="418">
      <c r="A418" s="1384"/>
      <c r="N418" s="195"/>
    </row>
    <row r="419">
      <c r="A419" s="1384"/>
      <c r="N419" s="195"/>
    </row>
    <row r="420">
      <c r="A420" s="1384"/>
      <c r="N420" s="195"/>
    </row>
    <row r="421">
      <c r="A421" s="1384"/>
      <c r="N421" s="195"/>
    </row>
    <row r="422">
      <c r="A422" s="1384"/>
      <c r="N422" s="195"/>
    </row>
    <row r="423">
      <c r="A423" s="1384"/>
      <c r="N423" s="195"/>
    </row>
    <row r="424">
      <c r="A424" s="1384"/>
      <c r="N424" s="195"/>
    </row>
    <row r="425">
      <c r="A425" s="1384"/>
      <c r="N425" s="195"/>
    </row>
    <row r="426">
      <c r="A426" s="1384"/>
      <c r="N426" s="195"/>
    </row>
    <row r="427">
      <c r="A427" s="1384"/>
      <c r="N427" s="195"/>
    </row>
    <row r="428">
      <c r="A428" s="1384"/>
      <c r="N428" s="195"/>
    </row>
    <row r="429">
      <c r="A429" s="1384"/>
      <c r="N429" s="195"/>
    </row>
    <row r="430">
      <c r="A430" s="1384"/>
      <c r="N430" s="195"/>
    </row>
    <row r="431">
      <c r="A431" s="1384"/>
      <c r="N431" s="195"/>
    </row>
    <row r="432">
      <c r="A432" s="1384"/>
      <c r="N432" s="195"/>
    </row>
    <row r="433">
      <c r="A433" s="1384"/>
      <c r="N433" s="195"/>
    </row>
    <row r="434">
      <c r="A434" s="1384"/>
      <c r="N434" s="195"/>
    </row>
    <row r="435">
      <c r="A435" s="1384"/>
      <c r="N435" s="195"/>
    </row>
    <row r="436">
      <c r="A436" s="1384"/>
      <c r="N436" s="195"/>
    </row>
    <row r="437">
      <c r="A437" s="1384"/>
      <c r="N437" s="195"/>
    </row>
    <row r="438">
      <c r="A438" s="1384"/>
      <c r="N438" s="195"/>
    </row>
    <row r="439">
      <c r="A439" s="1384"/>
      <c r="N439" s="195"/>
    </row>
    <row r="440">
      <c r="A440" s="1384"/>
      <c r="N440" s="195"/>
    </row>
    <row r="441">
      <c r="A441" s="1384"/>
      <c r="N441" s="195"/>
    </row>
    <row r="442">
      <c r="A442" s="1384"/>
      <c r="N442" s="195"/>
    </row>
    <row r="443">
      <c r="A443" s="1384"/>
      <c r="N443" s="195"/>
    </row>
    <row r="444">
      <c r="A444" s="1384"/>
      <c r="N444" s="195"/>
    </row>
    <row r="445">
      <c r="A445" s="1384"/>
      <c r="N445" s="195"/>
    </row>
    <row r="446">
      <c r="A446" s="1384"/>
      <c r="N446" s="195"/>
    </row>
    <row r="447">
      <c r="A447" s="1384"/>
      <c r="N447" s="195"/>
    </row>
    <row r="448">
      <c r="A448" s="1384"/>
      <c r="N448" s="195"/>
    </row>
    <row r="449">
      <c r="A449" s="1384"/>
      <c r="N449" s="195"/>
    </row>
    <row r="450">
      <c r="A450" s="1384"/>
      <c r="N450" s="195"/>
    </row>
    <row r="451">
      <c r="A451" s="1384"/>
      <c r="N451" s="195"/>
    </row>
    <row r="452">
      <c r="A452" s="1384"/>
      <c r="N452" s="195"/>
    </row>
    <row r="453">
      <c r="A453" s="1384"/>
      <c r="N453" s="195"/>
    </row>
    <row r="454">
      <c r="A454" s="1384"/>
      <c r="N454" s="195"/>
    </row>
    <row r="455">
      <c r="A455" s="1384"/>
      <c r="N455" s="195"/>
    </row>
    <row r="456">
      <c r="A456" s="1384"/>
      <c r="N456" s="195"/>
    </row>
    <row r="457">
      <c r="A457" s="1384"/>
      <c r="N457" s="195"/>
    </row>
    <row r="458">
      <c r="A458" s="1384"/>
      <c r="N458" s="195"/>
    </row>
    <row r="459">
      <c r="A459" s="1384"/>
      <c r="N459" s="195"/>
    </row>
    <row r="460">
      <c r="A460" s="1384"/>
      <c r="N460" s="195"/>
    </row>
    <row r="461">
      <c r="A461" s="1384"/>
      <c r="N461" s="195"/>
    </row>
    <row r="462">
      <c r="A462" s="1384"/>
      <c r="N462" s="195"/>
    </row>
    <row r="463">
      <c r="A463" s="1384"/>
      <c r="N463" s="195"/>
    </row>
    <row r="464">
      <c r="A464" s="1384"/>
      <c r="N464" s="195"/>
    </row>
    <row r="465">
      <c r="A465" s="1384"/>
      <c r="N465" s="195"/>
    </row>
    <row r="466">
      <c r="A466" s="1384"/>
      <c r="N466" s="195"/>
    </row>
    <row r="467">
      <c r="A467" s="1384"/>
      <c r="N467" s="195"/>
    </row>
    <row r="468">
      <c r="A468" s="1384"/>
      <c r="N468" s="195"/>
    </row>
    <row r="469">
      <c r="A469" s="1384"/>
      <c r="N469" s="195"/>
    </row>
    <row r="470">
      <c r="A470" s="1384"/>
      <c r="N470" s="195"/>
    </row>
    <row r="471">
      <c r="A471" s="1384"/>
      <c r="N471" s="195"/>
    </row>
    <row r="472">
      <c r="A472" s="1384"/>
      <c r="N472" s="195"/>
    </row>
    <row r="473">
      <c r="A473" s="1384"/>
      <c r="N473" s="195"/>
    </row>
    <row r="474">
      <c r="A474" s="1384"/>
      <c r="N474" s="195"/>
    </row>
    <row r="475">
      <c r="A475" s="1384"/>
      <c r="N475" s="195"/>
    </row>
    <row r="476">
      <c r="A476" s="1384"/>
      <c r="N476" s="195"/>
    </row>
    <row r="477">
      <c r="A477" s="1384"/>
      <c r="N477" s="195"/>
    </row>
    <row r="478">
      <c r="A478" s="1384"/>
      <c r="N478" s="195"/>
    </row>
    <row r="479">
      <c r="A479" s="1384"/>
      <c r="N479" s="195"/>
    </row>
    <row r="480">
      <c r="A480" s="1384"/>
      <c r="N480" s="195"/>
    </row>
    <row r="481">
      <c r="A481" s="1384"/>
      <c r="N481" s="195"/>
    </row>
    <row r="482">
      <c r="A482" s="1384"/>
      <c r="N482" s="195"/>
    </row>
    <row r="483">
      <c r="A483" s="1384"/>
      <c r="N483" s="195"/>
    </row>
    <row r="484">
      <c r="A484" s="1384"/>
      <c r="N484" s="195"/>
    </row>
    <row r="485">
      <c r="A485" s="1384"/>
      <c r="N485" s="195"/>
    </row>
    <row r="486">
      <c r="A486" s="1384"/>
      <c r="N486" s="195"/>
    </row>
    <row r="487">
      <c r="A487" s="1384"/>
      <c r="N487" s="195"/>
    </row>
    <row r="488">
      <c r="A488" s="1384"/>
      <c r="N488" s="195"/>
    </row>
    <row r="489">
      <c r="A489" s="1384"/>
      <c r="N489" s="195"/>
    </row>
    <row r="490">
      <c r="A490" s="1384"/>
      <c r="N490" s="195"/>
    </row>
    <row r="491">
      <c r="A491" s="1384"/>
      <c r="N491" s="195"/>
    </row>
    <row r="492">
      <c r="A492" s="1384"/>
      <c r="N492" s="195"/>
    </row>
    <row r="493">
      <c r="A493" s="1384"/>
      <c r="N493" s="195"/>
    </row>
    <row r="494">
      <c r="A494" s="1384"/>
      <c r="N494" s="195"/>
    </row>
    <row r="495">
      <c r="A495" s="1384"/>
      <c r="N495" s="195"/>
    </row>
    <row r="496">
      <c r="A496" s="1384"/>
      <c r="N496" s="195"/>
    </row>
    <row r="497">
      <c r="A497" s="1384"/>
      <c r="N497" s="195"/>
    </row>
    <row r="498">
      <c r="A498" s="1384"/>
      <c r="N498" s="195"/>
    </row>
    <row r="499">
      <c r="A499" s="1384"/>
      <c r="N499" s="195"/>
    </row>
    <row r="500">
      <c r="A500" s="1384"/>
      <c r="N500" s="195"/>
    </row>
    <row r="501">
      <c r="A501" s="1384"/>
      <c r="N501" s="195"/>
    </row>
    <row r="502">
      <c r="A502" s="1384"/>
      <c r="N502" s="195"/>
    </row>
    <row r="503">
      <c r="A503" s="1384"/>
      <c r="N503" s="195"/>
    </row>
    <row r="504">
      <c r="A504" s="1384"/>
      <c r="N504" s="195"/>
    </row>
    <row r="505">
      <c r="A505" s="1384"/>
      <c r="N505" s="195"/>
    </row>
    <row r="506">
      <c r="A506" s="1384"/>
      <c r="N506" s="195"/>
    </row>
    <row r="507">
      <c r="A507" s="1384"/>
      <c r="N507" s="195"/>
    </row>
    <row r="508">
      <c r="A508" s="1384"/>
      <c r="N508" s="195"/>
    </row>
    <row r="509">
      <c r="A509" s="1384"/>
      <c r="N509" s="195"/>
    </row>
    <row r="510">
      <c r="A510" s="1384"/>
      <c r="N510" s="195"/>
    </row>
    <row r="511">
      <c r="A511" s="1384"/>
      <c r="N511" s="195"/>
    </row>
    <row r="512">
      <c r="A512" s="1384"/>
      <c r="N512" s="195"/>
    </row>
    <row r="513">
      <c r="A513" s="1384"/>
      <c r="N513" s="195"/>
    </row>
    <row r="514">
      <c r="A514" s="1384"/>
      <c r="N514" s="195"/>
    </row>
    <row r="515">
      <c r="A515" s="1384"/>
      <c r="N515" s="195"/>
    </row>
    <row r="516">
      <c r="A516" s="1384"/>
      <c r="N516" s="195"/>
    </row>
    <row r="517">
      <c r="A517" s="1384"/>
      <c r="N517" s="195"/>
    </row>
    <row r="518">
      <c r="A518" s="1384"/>
      <c r="N518" s="195"/>
    </row>
    <row r="519">
      <c r="A519" s="1384"/>
      <c r="N519" s="195"/>
    </row>
    <row r="520">
      <c r="A520" s="1384"/>
      <c r="N520" s="195"/>
    </row>
    <row r="521">
      <c r="A521" s="1384"/>
      <c r="N521" s="195"/>
    </row>
    <row r="522">
      <c r="A522" s="1384"/>
      <c r="N522" s="195"/>
    </row>
    <row r="523">
      <c r="A523" s="1384"/>
      <c r="N523" s="195"/>
    </row>
    <row r="524">
      <c r="A524" s="1384"/>
      <c r="N524" s="195"/>
    </row>
    <row r="525">
      <c r="A525" s="1384"/>
      <c r="N525" s="195"/>
    </row>
    <row r="526">
      <c r="A526" s="1384"/>
      <c r="N526" s="195"/>
    </row>
    <row r="527">
      <c r="A527" s="1384"/>
      <c r="N527" s="195"/>
    </row>
    <row r="528">
      <c r="A528" s="1384"/>
      <c r="N528" s="195"/>
    </row>
    <row r="529">
      <c r="A529" s="1384"/>
      <c r="N529" s="195"/>
    </row>
    <row r="530">
      <c r="A530" s="1384"/>
      <c r="N530" s="195"/>
    </row>
    <row r="531">
      <c r="A531" s="1384"/>
      <c r="N531" s="195"/>
    </row>
    <row r="532">
      <c r="A532" s="1384"/>
      <c r="N532" s="195"/>
    </row>
    <row r="533">
      <c r="A533" s="1384"/>
      <c r="N533" s="195"/>
    </row>
    <row r="534">
      <c r="A534" s="1384"/>
      <c r="N534" s="195"/>
    </row>
    <row r="535">
      <c r="A535" s="1384"/>
      <c r="N535" s="195"/>
    </row>
    <row r="536">
      <c r="A536" s="1384"/>
      <c r="N536" s="195"/>
    </row>
    <row r="537">
      <c r="A537" s="1384"/>
      <c r="N537" s="195"/>
    </row>
    <row r="538">
      <c r="A538" s="1384"/>
      <c r="N538" s="195"/>
    </row>
    <row r="539">
      <c r="A539" s="1384"/>
      <c r="N539" s="195"/>
    </row>
    <row r="540">
      <c r="A540" s="1384"/>
      <c r="N540" s="195"/>
    </row>
    <row r="541">
      <c r="A541" s="1384"/>
      <c r="N541" s="195"/>
    </row>
    <row r="542">
      <c r="A542" s="1384"/>
      <c r="N542" s="195"/>
    </row>
    <row r="543">
      <c r="A543" s="1384"/>
      <c r="N543" s="195"/>
    </row>
    <row r="544">
      <c r="A544" s="1384"/>
      <c r="N544" s="195"/>
    </row>
    <row r="545">
      <c r="A545" s="1384"/>
      <c r="N545" s="195"/>
    </row>
    <row r="546">
      <c r="A546" s="1384"/>
      <c r="N546" s="195"/>
    </row>
    <row r="547">
      <c r="A547" s="1384"/>
      <c r="N547" s="195"/>
    </row>
    <row r="548">
      <c r="A548" s="1384"/>
      <c r="N548" s="195"/>
    </row>
    <row r="549">
      <c r="A549" s="1384"/>
      <c r="N549" s="195"/>
    </row>
    <row r="550">
      <c r="A550" s="1384"/>
      <c r="N550" s="195"/>
    </row>
    <row r="551">
      <c r="A551" s="1384"/>
      <c r="N551" s="195"/>
    </row>
    <row r="552">
      <c r="A552" s="1384"/>
      <c r="N552" s="195"/>
    </row>
    <row r="553">
      <c r="A553" s="1384"/>
      <c r="N553" s="195"/>
    </row>
    <row r="554">
      <c r="A554" s="1384"/>
      <c r="N554" s="195"/>
    </row>
    <row r="555">
      <c r="A555" s="1384"/>
      <c r="N555" s="195"/>
    </row>
    <row r="556">
      <c r="A556" s="1384"/>
      <c r="N556" s="195"/>
    </row>
    <row r="557">
      <c r="A557" s="1384"/>
      <c r="N557" s="195"/>
    </row>
    <row r="558">
      <c r="A558" s="1384"/>
      <c r="N558" s="195"/>
    </row>
    <row r="559">
      <c r="A559" s="1384"/>
      <c r="N559" s="195"/>
    </row>
    <row r="560">
      <c r="A560" s="1384"/>
      <c r="N560" s="195"/>
    </row>
    <row r="561">
      <c r="A561" s="1384"/>
      <c r="N561" s="195"/>
    </row>
    <row r="562">
      <c r="A562" s="1384"/>
      <c r="N562" s="195"/>
    </row>
    <row r="563">
      <c r="A563" s="1384"/>
      <c r="N563" s="195"/>
    </row>
    <row r="564">
      <c r="A564" s="1384"/>
      <c r="N564" s="195"/>
    </row>
    <row r="565">
      <c r="A565" s="1384"/>
      <c r="N565" s="195"/>
    </row>
    <row r="566">
      <c r="A566" s="1384"/>
      <c r="N566" s="195"/>
    </row>
    <row r="567">
      <c r="A567" s="1384"/>
      <c r="N567" s="195"/>
    </row>
    <row r="568">
      <c r="A568" s="1384"/>
      <c r="N568" s="195"/>
    </row>
    <row r="569">
      <c r="A569" s="1384"/>
      <c r="N569" s="195"/>
    </row>
    <row r="570">
      <c r="A570" s="1384"/>
      <c r="N570" s="195"/>
    </row>
    <row r="571">
      <c r="A571" s="1384"/>
      <c r="N571" s="195"/>
    </row>
    <row r="572">
      <c r="A572" s="1384"/>
      <c r="N572" s="195"/>
    </row>
    <row r="573">
      <c r="A573" s="1384"/>
      <c r="N573" s="195"/>
    </row>
    <row r="574">
      <c r="A574" s="1384"/>
      <c r="N574" s="195"/>
    </row>
    <row r="575">
      <c r="A575" s="1384"/>
      <c r="N575" s="195"/>
    </row>
    <row r="576">
      <c r="A576" s="1384"/>
      <c r="N576" s="195"/>
    </row>
    <row r="577">
      <c r="A577" s="1384"/>
      <c r="N577" s="195"/>
    </row>
    <row r="578">
      <c r="A578" s="1384"/>
      <c r="N578" s="195"/>
    </row>
    <row r="579">
      <c r="A579" s="1384"/>
      <c r="N579" s="195"/>
    </row>
    <row r="580">
      <c r="A580" s="1384"/>
      <c r="N580" s="195"/>
    </row>
    <row r="581">
      <c r="A581" s="1384"/>
      <c r="N581" s="195"/>
    </row>
    <row r="582">
      <c r="A582" s="1384"/>
      <c r="N582" s="195"/>
    </row>
    <row r="583">
      <c r="A583" s="1384"/>
      <c r="N583" s="195"/>
    </row>
    <row r="584">
      <c r="A584" s="1384"/>
      <c r="N584" s="195"/>
    </row>
    <row r="585">
      <c r="A585" s="1384"/>
      <c r="N585" s="195"/>
    </row>
    <row r="586">
      <c r="A586" s="1384"/>
      <c r="N586" s="195"/>
    </row>
    <row r="587">
      <c r="A587" s="1384"/>
      <c r="N587" s="195"/>
    </row>
    <row r="588">
      <c r="A588" s="1384"/>
      <c r="N588" s="195"/>
    </row>
    <row r="589">
      <c r="A589" s="1384"/>
      <c r="N589" s="195"/>
    </row>
    <row r="590">
      <c r="A590" s="1384"/>
      <c r="N590" s="195"/>
    </row>
    <row r="591">
      <c r="A591" s="1384"/>
      <c r="N591" s="195"/>
    </row>
    <row r="592">
      <c r="A592" s="1384"/>
      <c r="N592" s="195"/>
    </row>
    <row r="593">
      <c r="A593" s="1384"/>
      <c r="N593" s="195"/>
    </row>
    <row r="594">
      <c r="A594" s="1384"/>
      <c r="N594" s="195"/>
    </row>
    <row r="595">
      <c r="A595" s="1384"/>
      <c r="N595" s="195"/>
    </row>
    <row r="596">
      <c r="A596" s="1384"/>
      <c r="N596" s="195"/>
    </row>
    <row r="597">
      <c r="A597" s="1384"/>
      <c r="N597" s="195"/>
    </row>
    <row r="598">
      <c r="A598" s="1384"/>
      <c r="N598" s="195"/>
    </row>
    <row r="599">
      <c r="A599" s="1384"/>
      <c r="N599" s="195"/>
    </row>
    <row r="600">
      <c r="A600" s="1384"/>
      <c r="N600" s="195"/>
    </row>
    <row r="601">
      <c r="A601" s="1384"/>
      <c r="N601" s="195"/>
    </row>
    <row r="602">
      <c r="A602" s="1384"/>
      <c r="N602" s="195"/>
    </row>
    <row r="603">
      <c r="A603" s="1384"/>
      <c r="N603" s="195"/>
    </row>
    <row r="604">
      <c r="A604" s="1384"/>
      <c r="N604" s="195"/>
    </row>
    <row r="605">
      <c r="A605" s="1384"/>
      <c r="N605" s="195"/>
    </row>
    <row r="606">
      <c r="A606" s="1384"/>
      <c r="N606" s="195"/>
    </row>
    <row r="607">
      <c r="A607" s="1384"/>
      <c r="N607" s="195"/>
    </row>
    <row r="608">
      <c r="A608" s="1384"/>
      <c r="N608" s="195"/>
    </row>
    <row r="609">
      <c r="A609" s="1384"/>
      <c r="N609" s="195"/>
    </row>
    <row r="610">
      <c r="A610" s="1384"/>
      <c r="N610" s="195"/>
    </row>
    <row r="611">
      <c r="A611" s="1384"/>
      <c r="N611" s="195"/>
    </row>
    <row r="612">
      <c r="A612" s="1384"/>
      <c r="N612" s="195"/>
    </row>
    <row r="613">
      <c r="A613" s="1384"/>
      <c r="N613" s="195"/>
    </row>
    <row r="614">
      <c r="A614" s="1384"/>
      <c r="N614" s="195"/>
    </row>
    <row r="615">
      <c r="A615" s="1384"/>
      <c r="N615" s="195"/>
    </row>
    <row r="616">
      <c r="A616" s="1384"/>
      <c r="N616" s="195"/>
    </row>
    <row r="617">
      <c r="A617" s="1384"/>
      <c r="N617" s="195"/>
    </row>
    <row r="618">
      <c r="A618" s="1384"/>
      <c r="N618" s="195"/>
    </row>
    <row r="619">
      <c r="A619" s="1384"/>
      <c r="N619" s="195"/>
    </row>
    <row r="620">
      <c r="A620" s="1384"/>
      <c r="N620" s="195"/>
    </row>
    <row r="621">
      <c r="A621" s="1384"/>
      <c r="N621" s="195"/>
    </row>
    <row r="622">
      <c r="A622" s="1384"/>
      <c r="N622" s="195"/>
    </row>
    <row r="623">
      <c r="A623" s="1384"/>
      <c r="N623" s="195"/>
    </row>
    <row r="624">
      <c r="A624" s="1384"/>
      <c r="N624" s="195"/>
    </row>
    <row r="625">
      <c r="A625" s="1384"/>
      <c r="N625" s="195"/>
    </row>
    <row r="626">
      <c r="A626" s="1384"/>
      <c r="N626" s="195"/>
    </row>
    <row r="627">
      <c r="A627" s="1384"/>
      <c r="N627" s="195"/>
    </row>
    <row r="628">
      <c r="A628" s="1384"/>
      <c r="N628" s="195"/>
    </row>
    <row r="629">
      <c r="A629" s="1384"/>
      <c r="N629" s="195"/>
    </row>
    <row r="630">
      <c r="A630" s="1384"/>
      <c r="N630" s="195"/>
    </row>
    <row r="631">
      <c r="A631" s="1384"/>
      <c r="N631" s="195"/>
    </row>
    <row r="632">
      <c r="A632" s="1384"/>
      <c r="N632" s="195"/>
    </row>
    <row r="633">
      <c r="A633" s="1384"/>
      <c r="N633" s="195"/>
    </row>
    <row r="634">
      <c r="A634" s="1384"/>
      <c r="N634" s="195"/>
    </row>
    <row r="635">
      <c r="A635" s="1384"/>
      <c r="N635" s="195"/>
    </row>
    <row r="636">
      <c r="A636" s="1384"/>
      <c r="N636" s="195"/>
    </row>
    <row r="637">
      <c r="A637" s="1384"/>
      <c r="N637" s="195"/>
    </row>
    <row r="638">
      <c r="A638" s="1384"/>
      <c r="N638" s="195"/>
    </row>
    <row r="639">
      <c r="A639" s="1384"/>
      <c r="N639" s="195"/>
    </row>
    <row r="640">
      <c r="A640" s="1384"/>
      <c r="N640" s="195"/>
    </row>
    <row r="641">
      <c r="A641" s="1384"/>
      <c r="N641" s="195"/>
    </row>
    <row r="642">
      <c r="A642" s="1384"/>
      <c r="N642" s="195"/>
    </row>
    <row r="643">
      <c r="A643" s="1384"/>
      <c r="N643" s="195"/>
    </row>
    <row r="644">
      <c r="A644" s="1384"/>
      <c r="N644" s="195"/>
    </row>
    <row r="645">
      <c r="A645" s="1384"/>
      <c r="N645" s="195"/>
    </row>
    <row r="646">
      <c r="A646" s="1384"/>
      <c r="N646" s="195"/>
    </row>
    <row r="647">
      <c r="A647" s="1384"/>
      <c r="N647" s="195"/>
    </row>
    <row r="648">
      <c r="A648" s="1384"/>
      <c r="N648" s="195"/>
    </row>
    <row r="649">
      <c r="A649" s="1384"/>
      <c r="N649" s="195"/>
    </row>
    <row r="650">
      <c r="A650" s="1384"/>
      <c r="N650" s="195"/>
    </row>
    <row r="651">
      <c r="A651" s="1384"/>
      <c r="N651" s="195"/>
    </row>
    <row r="652">
      <c r="A652" s="1384"/>
      <c r="N652" s="195"/>
    </row>
    <row r="653">
      <c r="A653" s="1384"/>
      <c r="N653" s="195"/>
    </row>
    <row r="654">
      <c r="A654" s="1384"/>
      <c r="N654" s="195"/>
    </row>
    <row r="655">
      <c r="A655" s="1384"/>
      <c r="N655" s="195"/>
    </row>
    <row r="656">
      <c r="A656" s="1384"/>
      <c r="N656" s="195"/>
    </row>
    <row r="657">
      <c r="A657" s="1384"/>
      <c r="N657" s="195"/>
    </row>
    <row r="658">
      <c r="A658" s="1384"/>
      <c r="N658" s="195"/>
    </row>
    <row r="659">
      <c r="A659" s="1384"/>
      <c r="N659" s="195"/>
    </row>
    <row r="660">
      <c r="A660" s="1384"/>
      <c r="N660" s="195"/>
    </row>
    <row r="661">
      <c r="A661" s="1384"/>
      <c r="N661" s="195"/>
    </row>
    <row r="662">
      <c r="A662" s="1384"/>
      <c r="N662" s="195"/>
    </row>
    <row r="663">
      <c r="A663" s="1384"/>
      <c r="N663" s="195"/>
    </row>
    <row r="664">
      <c r="A664" s="1384"/>
      <c r="N664" s="195"/>
    </row>
    <row r="665">
      <c r="A665" s="1384"/>
      <c r="N665" s="195"/>
    </row>
    <row r="666">
      <c r="A666" s="1384"/>
      <c r="N666" s="195"/>
    </row>
    <row r="667">
      <c r="A667" s="1384"/>
      <c r="N667" s="195"/>
    </row>
    <row r="668">
      <c r="A668" s="1384"/>
      <c r="N668" s="195"/>
    </row>
    <row r="669">
      <c r="A669" s="1384"/>
      <c r="N669" s="195"/>
    </row>
    <row r="670">
      <c r="A670" s="1384"/>
      <c r="N670" s="195"/>
    </row>
    <row r="671">
      <c r="A671" s="1384"/>
      <c r="N671" s="195"/>
    </row>
    <row r="672">
      <c r="A672" s="1384"/>
      <c r="N672" s="195"/>
    </row>
    <row r="673">
      <c r="A673" s="1384"/>
      <c r="N673" s="195"/>
    </row>
    <row r="674">
      <c r="A674" s="1384"/>
      <c r="N674" s="195"/>
    </row>
    <row r="675">
      <c r="A675" s="1384"/>
      <c r="N675" s="195"/>
    </row>
    <row r="676">
      <c r="A676" s="1384"/>
      <c r="N676" s="195"/>
    </row>
    <row r="677">
      <c r="A677" s="1384"/>
      <c r="N677" s="195"/>
    </row>
    <row r="678">
      <c r="A678" s="1384"/>
      <c r="N678" s="195"/>
    </row>
    <row r="679">
      <c r="A679" s="1384"/>
      <c r="N679" s="195"/>
    </row>
    <row r="680">
      <c r="A680" s="1384"/>
      <c r="N680" s="195"/>
    </row>
    <row r="681">
      <c r="A681" s="1384"/>
      <c r="N681" s="195"/>
    </row>
    <row r="682">
      <c r="A682" s="1384"/>
      <c r="N682" s="195"/>
    </row>
    <row r="683">
      <c r="A683" s="1384"/>
      <c r="N683" s="195"/>
    </row>
    <row r="684">
      <c r="A684" s="1384"/>
      <c r="N684" s="195"/>
    </row>
    <row r="685">
      <c r="A685" s="1384"/>
      <c r="N685" s="195"/>
    </row>
    <row r="686">
      <c r="A686" s="1384"/>
      <c r="N686" s="195"/>
    </row>
    <row r="687">
      <c r="A687" s="1384"/>
      <c r="N687" s="195"/>
    </row>
    <row r="688">
      <c r="A688" s="1384"/>
      <c r="N688" s="195"/>
    </row>
    <row r="689">
      <c r="A689" s="1384"/>
      <c r="N689" s="195"/>
    </row>
    <row r="690">
      <c r="A690" s="1384"/>
      <c r="N690" s="195"/>
    </row>
    <row r="691">
      <c r="A691" s="1384"/>
      <c r="N691" s="195"/>
    </row>
    <row r="692">
      <c r="A692" s="1384"/>
      <c r="N692" s="195"/>
    </row>
    <row r="693">
      <c r="A693" s="1384"/>
      <c r="N693" s="195"/>
    </row>
    <row r="694">
      <c r="A694" s="1384"/>
      <c r="N694" s="195"/>
    </row>
    <row r="695">
      <c r="A695" s="1384"/>
      <c r="N695" s="195"/>
    </row>
    <row r="696">
      <c r="A696" s="1384"/>
      <c r="N696" s="195"/>
    </row>
    <row r="697">
      <c r="A697" s="1384"/>
      <c r="N697" s="195"/>
    </row>
    <row r="698">
      <c r="A698" s="1384"/>
      <c r="N698" s="195"/>
    </row>
    <row r="699">
      <c r="A699" s="1384"/>
      <c r="N699" s="195"/>
    </row>
    <row r="700">
      <c r="A700" s="1384"/>
      <c r="N700" s="195"/>
    </row>
    <row r="701">
      <c r="A701" s="1384"/>
      <c r="N701" s="195"/>
    </row>
    <row r="702">
      <c r="A702" s="1384"/>
      <c r="N702" s="195"/>
    </row>
    <row r="703">
      <c r="A703" s="1384"/>
      <c r="N703" s="195"/>
    </row>
    <row r="704">
      <c r="A704" s="1384"/>
      <c r="N704" s="195"/>
    </row>
    <row r="705">
      <c r="A705" s="1384"/>
      <c r="N705" s="195"/>
    </row>
    <row r="706">
      <c r="A706" s="1384"/>
      <c r="N706" s="195"/>
    </row>
    <row r="707">
      <c r="A707" s="1384"/>
      <c r="N707" s="195"/>
    </row>
    <row r="708">
      <c r="A708" s="1384"/>
      <c r="N708" s="195"/>
    </row>
    <row r="709">
      <c r="A709" s="1384"/>
      <c r="N709" s="195"/>
    </row>
    <row r="710">
      <c r="A710" s="1384"/>
      <c r="N710" s="195"/>
    </row>
    <row r="711">
      <c r="A711" s="1384"/>
      <c r="N711" s="195"/>
    </row>
    <row r="712">
      <c r="A712" s="1384"/>
      <c r="N712" s="195"/>
    </row>
    <row r="713">
      <c r="A713" s="1384"/>
      <c r="N713" s="195"/>
    </row>
    <row r="714">
      <c r="A714" s="1384"/>
      <c r="N714" s="195"/>
    </row>
    <row r="715">
      <c r="A715" s="1384"/>
      <c r="N715" s="195"/>
    </row>
    <row r="716">
      <c r="A716" s="1384"/>
      <c r="N716" s="195"/>
    </row>
    <row r="717">
      <c r="A717" s="1384"/>
      <c r="N717" s="195"/>
    </row>
    <row r="718">
      <c r="A718" s="1384"/>
      <c r="N718" s="195"/>
    </row>
    <row r="719">
      <c r="A719" s="1384"/>
      <c r="N719" s="195"/>
    </row>
    <row r="720">
      <c r="A720" s="1384"/>
      <c r="N720" s="195"/>
    </row>
    <row r="721">
      <c r="A721" s="1384"/>
      <c r="N721" s="195"/>
    </row>
    <row r="722">
      <c r="A722" s="1384"/>
      <c r="N722" s="195"/>
    </row>
    <row r="723">
      <c r="A723" s="1384"/>
      <c r="N723" s="195"/>
    </row>
    <row r="724">
      <c r="A724" s="1384"/>
      <c r="N724" s="195"/>
    </row>
    <row r="725">
      <c r="A725" s="1384"/>
      <c r="N725" s="195"/>
    </row>
    <row r="726">
      <c r="A726" s="1384"/>
      <c r="N726" s="195"/>
    </row>
    <row r="727">
      <c r="A727" s="1384"/>
      <c r="N727" s="195"/>
    </row>
    <row r="728">
      <c r="A728" s="1384"/>
      <c r="N728" s="195"/>
    </row>
    <row r="729">
      <c r="A729" s="1384"/>
      <c r="N729" s="195"/>
    </row>
    <row r="730">
      <c r="A730" s="1384"/>
      <c r="N730" s="195"/>
    </row>
    <row r="731">
      <c r="A731" s="1384"/>
      <c r="N731" s="195"/>
    </row>
    <row r="732">
      <c r="A732" s="1384"/>
      <c r="N732" s="195"/>
    </row>
    <row r="733">
      <c r="A733" s="1384"/>
      <c r="N733" s="195"/>
    </row>
    <row r="734">
      <c r="A734" s="1384"/>
      <c r="N734" s="195"/>
    </row>
    <row r="735">
      <c r="A735" s="1384"/>
      <c r="N735" s="195"/>
    </row>
    <row r="736">
      <c r="A736" s="1384"/>
      <c r="N736" s="195"/>
    </row>
    <row r="737">
      <c r="A737" s="1384"/>
      <c r="N737" s="195"/>
    </row>
    <row r="738">
      <c r="A738" s="1384"/>
      <c r="N738" s="195"/>
    </row>
    <row r="739">
      <c r="A739" s="1384"/>
      <c r="N739" s="195"/>
    </row>
    <row r="740">
      <c r="A740" s="1384"/>
      <c r="N740" s="195"/>
    </row>
    <row r="741">
      <c r="A741" s="1384"/>
      <c r="N741" s="195"/>
    </row>
    <row r="742">
      <c r="A742" s="1384"/>
      <c r="N742" s="195"/>
    </row>
    <row r="743">
      <c r="A743" s="1384"/>
      <c r="N743" s="195"/>
    </row>
    <row r="744">
      <c r="A744" s="1384"/>
      <c r="N744" s="195"/>
    </row>
    <row r="745">
      <c r="A745" s="1384"/>
      <c r="N745" s="195"/>
    </row>
    <row r="746">
      <c r="A746" s="1384"/>
      <c r="N746" s="195"/>
    </row>
    <row r="747">
      <c r="A747" s="1384"/>
      <c r="N747" s="195"/>
    </row>
    <row r="748">
      <c r="A748" s="1384"/>
      <c r="N748" s="195"/>
    </row>
    <row r="749">
      <c r="A749" s="1384"/>
      <c r="N749" s="195"/>
    </row>
    <row r="750">
      <c r="A750" s="1384"/>
      <c r="N750" s="195"/>
    </row>
    <row r="751">
      <c r="A751" s="1384"/>
      <c r="N751" s="195"/>
    </row>
    <row r="752">
      <c r="A752" s="1384"/>
      <c r="N752" s="195"/>
    </row>
    <row r="753">
      <c r="A753" s="1384"/>
      <c r="N753" s="195"/>
    </row>
    <row r="754">
      <c r="A754" s="1384"/>
      <c r="N754" s="195"/>
    </row>
    <row r="755">
      <c r="A755" s="1384"/>
      <c r="N755" s="195"/>
    </row>
    <row r="756">
      <c r="A756" s="1384"/>
      <c r="N756" s="195"/>
    </row>
    <row r="757">
      <c r="A757" s="1384"/>
      <c r="N757" s="195"/>
    </row>
    <row r="758">
      <c r="A758" s="1384"/>
      <c r="N758" s="195"/>
    </row>
    <row r="759">
      <c r="A759" s="1384"/>
      <c r="N759" s="195"/>
    </row>
    <row r="760">
      <c r="A760" s="1384"/>
      <c r="N760" s="195"/>
    </row>
    <row r="761">
      <c r="A761" s="1384"/>
      <c r="N761" s="195"/>
    </row>
    <row r="762">
      <c r="A762" s="1384"/>
      <c r="N762" s="195"/>
    </row>
    <row r="763">
      <c r="A763" s="1384"/>
      <c r="N763" s="195"/>
    </row>
    <row r="764">
      <c r="A764" s="1384"/>
      <c r="N764" s="195"/>
    </row>
    <row r="765">
      <c r="A765" s="1384"/>
      <c r="N765" s="195"/>
    </row>
    <row r="766">
      <c r="A766" s="1384"/>
      <c r="N766" s="195"/>
    </row>
    <row r="767">
      <c r="A767" s="1384"/>
      <c r="N767" s="195"/>
    </row>
    <row r="768">
      <c r="A768" s="1384"/>
      <c r="N768" s="195"/>
    </row>
    <row r="769">
      <c r="A769" s="1384"/>
      <c r="N769" s="195"/>
    </row>
    <row r="770">
      <c r="A770" s="1384"/>
      <c r="N770" s="195"/>
    </row>
    <row r="771">
      <c r="A771" s="1384"/>
      <c r="N771" s="195"/>
    </row>
    <row r="772">
      <c r="A772" s="1384"/>
      <c r="N772" s="195"/>
    </row>
    <row r="773">
      <c r="A773" s="1384"/>
      <c r="N773" s="195"/>
    </row>
    <row r="774">
      <c r="A774" s="1384"/>
      <c r="N774" s="195"/>
    </row>
    <row r="775">
      <c r="A775" s="1384"/>
      <c r="N775" s="195"/>
    </row>
    <row r="776">
      <c r="A776" s="1384"/>
      <c r="N776" s="195"/>
    </row>
    <row r="777">
      <c r="A777" s="1384"/>
      <c r="N777" s="195"/>
    </row>
    <row r="778">
      <c r="A778" s="1384"/>
      <c r="N778" s="195"/>
    </row>
    <row r="779">
      <c r="A779" s="1384"/>
      <c r="N779" s="195"/>
    </row>
    <row r="780">
      <c r="A780" s="1384"/>
      <c r="N780" s="195"/>
    </row>
    <row r="781">
      <c r="A781" s="1384"/>
      <c r="N781" s="195"/>
    </row>
    <row r="782">
      <c r="A782" s="1384"/>
      <c r="N782" s="195"/>
    </row>
    <row r="783">
      <c r="A783" s="1384"/>
      <c r="N783" s="195"/>
    </row>
    <row r="784">
      <c r="A784" s="1384"/>
      <c r="N784" s="195"/>
    </row>
    <row r="785">
      <c r="A785" s="1384"/>
      <c r="N785" s="195"/>
    </row>
    <row r="786">
      <c r="A786" s="1384"/>
      <c r="N786" s="195"/>
    </row>
    <row r="787">
      <c r="A787" s="1384"/>
      <c r="N787" s="195"/>
    </row>
    <row r="788">
      <c r="A788" s="1384"/>
      <c r="N788" s="195"/>
    </row>
    <row r="789">
      <c r="A789" s="1384"/>
      <c r="N789" s="195"/>
    </row>
    <row r="790">
      <c r="A790" s="1384"/>
      <c r="N790" s="195"/>
    </row>
    <row r="791">
      <c r="A791" s="1384"/>
      <c r="N791" s="195"/>
    </row>
    <row r="792">
      <c r="A792" s="1384"/>
      <c r="N792" s="195"/>
    </row>
    <row r="793">
      <c r="A793" s="1384"/>
      <c r="N793" s="195"/>
    </row>
    <row r="794">
      <c r="A794" s="1384"/>
      <c r="N794" s="195"/>
    </row>
    <row r="795">
      <c r="A795" s="1384"/>
      <c r="N795" s="195"/>
    </row>
    <row r="796">
      <c r="A796" s="1384"/>
      <c r="N796" s="195"/>
    </row>
    <row r="797">
      <c r="A797" s="1384"/>
      <c r="N797" s="195"/>
    </row>
    <row r="798">
      <c r="A798" s="1384"/>
      <c r="N798" s="195"/>
    </row>
    <row r="799">
      <c r="A799" s="1384"/>
      <c r="N799" s="195"/>
    </row>
    <row r="800">
      <c r="A800" s="1384"/>
      <c r="N800" s="195"/>
    </row>
    <row r="801">
      <c r="A801" s="1384"/>
      <c r="N801" s="195"/>
    </row>
    <row r="802">
      <c r="A802" s="1384"/>
      <c r="N802" s="195"/>
    </row>
    <row r="803">
      <c r="A803" s="1384"/>
      <c r="N803" s="195"/>
    </row>
    <row r="804">
      <c r="A804" s="1384"/>
      <c r="N804" s="195"/>
    </row>
    <row r="805">
      <c r="A805" s="1384"/>
      <c r="N805" s="195"/>
    </row>
    <row r="806">
      <c r="A806" s="1384"/>
      <c r="N806" s="195"/>
    </row>
    <row r="807">
      <c r="A807" s="1384"/>
      <c r="N807" s="195"/>
    </row>
    <row r="808">
      <c r="A808" s="1384"/>
      <c r="N808" s="195"/>
    </row>
    <row r="809">
      <c r="A809" s="1384"/>
      <c r="N809" s="195"/>
    </row>
    <row r="810">
      <c r="A810" s="1384"/>
      <c r="N810" s="195"/>
    </row>
    <row r="811">
      <c r="A811" s="1384"/>
      <c r="N811" s="195"/>
    </row>
    <row r="812">
      <c r="A812" s="1384"/>
      <c r="N812" s="195"/>
    </row>
    <row r="813">
      <c r="A813" s="1384"/>
      <c r="N813" s="195"/>
    </row>
    <row r="814">
      <c r="A814" s="1384"/>
      <c r="N814" s="195"/>
    </row>
    <row r="815">
      <c r="A815" s="1384"/>
      <c r="N815" s="195"/>
    </row>
    <row r="816">
      <c r="A816" s="1384"/>
      <c r="N816" s="195"/>
    </row>
    <row r="817">
      <c r="A817" s="1384"/>
      <c r="N817" s="195"/>
    </row>
    <row r="818">
      <c r="A818" s="1384"/>
      <c r="N818" s="195"/>
    </row>
    <row r="819">
      <c r="A819" s="1384"/>
      <c r="N819" s="195"/>
    </row>
    <row r="820">
      <c r="A820" s="1384"/>
      <c r="N820" s="195"/>
    </row>
    <row r="821">
      <c r="A821" s="1384"/>
      <c r="N821" s="195"/>
    </row>
    <row r="822">
      <c r="A822" s="1384"/>
      <c r="N822" s="195"/>
    </row>
    <row r="823">
      <c r="A823" s="1384"/>
      <c r="N823" s="195"/>
    </row>
    <row r="824">
      <c r="A824" s="1384"/>
      <c r="N824" s="195"/>
    </row>
    <row r="825">
      <c r="A825" s="1384"/>
      <c r="N825" s="195"/>
    </row>
    <row r="826">
      <c r="A826" s="1384"/>
      <c r="N826" s="195"/>
    </row>
    <row r="827">
      <c r="A827" s="1384"/>
      <c r="N827" s="195"/>
    </row>
    <row r="828">
      <c r="A828" s="1384"/>
      <c r="N828" s="195"/>
    </row>
    <row r="829">
      <c r="A829" s="1384"/>
      <c r="N829" s="195"/>
    </row>
    <row r="830">
      <c r="A830" s="1384"/>
      <c r="N830" s="195"/>
    </row>
    <row r="831">
      <c r="A831" s="1384"/>
      <c r="N831" s="195"/>
    </row>
    <row r="832">
      <c r="A832" s="1384"/>
      <c r="N832" s="195"/>
    </row>
    <row r="833">
      <c r="A833" s="1384"/>
      <c r="N833" s="195"/>
    </row>
    <row r="834">
      <c r="A834" s="1384"/>
      <c r="N834" s="195"/>
    </row>
    <row r="835">
      <c r="A835" s="1384"/>
      <c r="N835" s="195"/>
    </row>
    <row r="836">
      <c r="A836" s="1384"/>
      <c r="N836" s="195"/>
    </row>
    <row r="837">
      <c r="A837" s="1384"/>
      <c r="N837" s="195"/>
    </row>
    <row r="838">
      <c r="A838" s="1384"/>
      <c r="N838" s="195"/>
    </row>
    <row r="839">
      <c r="A839" s="1384"/>
      <c r="N839" s="195"/>
    </row>
    <row r="840">
      <c r="A840" s="1384"/>
      <c r="N840" s="195"/>
    </row>
    <row r="841">
      <c r="A841" s="1384"/>
      <c r="N841" s="195"/>
    </row>
    <row r="842">
      <c r="A842" s="1384"/>
      <c r="N842" s="195"/>
    </row>
    <row r="843">
      <c r="A843" s="1384"/>
      <c r="N843" s="195"/>
    </row>
    <row r="844">
      <c r="A844" s="1384"/>
      <c r="N844" s="195"/>
    </row>
    <row r="845">
      <c r="A845" s="1384"/>
      <c r="N845" s="195"/>
    </row>
    <row r="846">
      <c r="A846" s="1384"/>
      <c r="N846" s="195"/>
    </row>
    <row r="847">
      <c r="A847" s="1384"/>
      <c r="N847" s="195"/>
    </row>
    <row r="848">
      <c r="A848" s="1384"/>
      <c r="N848" s="195"/>
    </row>
    <row r="849">
      <c r="A849" s="1384"/>
      <c r="N849" s="195"/>
    </row>
    <row r="850">
      <c r="A850" s="1384"/>
      <c r="N850" s="195"/>
    </row>
    <row r="851">
      <c r="A851" s="1384"/>
      <c r="N851" s="195"/>
    </row>
    <row r="852">
      <c r="A852" s="1384"/>
      <c r="N852" s="195"/>
    </row>
    <row r="853">
      <c r="A853" s="1384"/>
      <c r="N853" s="195"/>
    </row>
    <row r="854">
      <c r="A854" s="1384"/>
      <c r="N854" s="195"/>
    </row>
    <row r="855">
      <c r="A855" s="1384"/>
      <c r="N855" s="195"/>
    </row>
    <row r="856">
      <c r="A856" s="1384"/>
      <c r="N856" s="195"/>
    </row>
    <row r="857">
      <c r="A857" s="1384"/>
      <c r="N857" s="195"/>
    </row>
    <row r="858">
      <c r="A858" s="1384"/>
      <c r="N858" s="195"/>
    </row>
    <row r="859">
      <c r="A859" s="1384"/>
      <c r="N859" s="195"/>
    </row>
    <row r="860">
      <c r="A860" s="1384"/>
      <c r="N860" s="195"/>
    </row>
    <row r="861">
      <c r="A861" s="1384"/>
      <c r="N861" s="195"/>
    </row>
    <row r="862">
      <c r="A862" s="1384"/>
      <c r="N862" s="195"/>
    </row>
    <row r="863">
      <c r="A863" s="1384"/>
      <c r="N863" s="195"/>
    </row>
    <row r="864">
      <c r="A864" s="1384"/>
      <c r="N864" s="195"/>
    </row>
    <row r="865">
      <c r="A865" s="1384"/>
      <c r="N865" s="195"/>
    </row>
    <row r="866">
      <c r="A866" s="1384"/>
      <c r="N866" s="195"/>
    </row>
    <row r="867">
      <c r="A867" s="1384"/>
      <c r="N867" s="195"/>
    </row>
    <row r="868">
      <c r="A868" s="1384"/>
      <c r="N868" s="195"/>
    </row>
    <row r="869">
      <c r="A869" s="1384"/>
      <c r="N869" s="195"/>
    </row>
    <row r="870">
      <c r="A870" s="1384"/>
      <c r="N870" s="195"/>
    </row>
    <row r="871">
      <c r="A871" s="1384"/>
      <c r="N871" s="195"/>
    </row>
    <row r="872">
      <c r="A872" s="1384"/>
      <c r="N872" s="195"/>
    </row>
    <row r="873">
      <c r="A873" s="1384"/>
      <c r="N873" s="195"/>
    </row>
    <row r="874">
      <c r="A874" s="1384"/>
      <c r="N874" s="195"/>
    </row>
    <row r="875">
      <c r="A875" s="1384"/>
      <c r="N875" s="195"/>
    </row>
    <row r="876">
      <c r="A876" s="1384"/>
      <c r="N876" s="195"/>
    </row>
    <row r="877">
      <c r="A877" s="1384"/>
      <c r="N877" s="195"/>
    </row>
    <row r="878">
      <c r="A878" s="1384"/>
      <c r="N878" s="195"/>
    </row>
    <row r="879">
      <c r="A879" s="1384"/>
      <c r="N879" s="195"/>
    </row>
    <row r="880">
      <c r="A880" s="1384"/>
      <c r="N880" s="195"/>
    </row>
    <row r="881">
      <c r="A881" s="1384"/>
      <c r="N881" s="195"/>
    </row>
    <row r="882">
      <c r="A882" s="1384"/>
      <c r="N882" s="195"/>
    </row>
    <row r="883">
      <c r="A883" s="1384"/>
      <c r="N883" s="195"/>
    </row>
    <row r="884">
      <c r="A884" s="1384"/>
      <c r="N884" s="195"/>
    </row>
    <row r="885">
      <c r="A885" s="1384"/>
      <c r="N885" s="195"/>
    </row>
    <row r="886">
      <c r="A886" s="1384"/>
      <c r="N886" s="195"/>
    </row>
    <row r="887">
      <c r="A887" s="1384"/>
      <c r="N887" s="195"/>
    </row>
    <row r="888">
      <c r="A888" s="1384"/>
      <c r="N888" s="195"/>
    </row>
    <row r="889">
      <c r="A889" s="1384"/>
      <c r="N889" s="195"/>
    </row>
    <row r="890">
      <c r="A890" s="1384"/>
      <c r="N890" s="195"/>
    </row>
    <row r="891">
      <c r="A891" s="1384"/>
      <c r="N891" s="195"/>
    </row>
    <row r="892">
      <c r="A892" s="1384"/>
      <c r="N892" s="195"/>
    </row>
    <row r="893">
      <c r="A893" s="1384"/>
      <c r="N893" s="195"/>
    </row>
    <row r="894">
      <c r="A894" s="1384"/>
      <c r="N894" s="195"/>
    </row>
    <row r="895">
      <c r="A895" s="1384"/>
      <c r="N895" s="195"/>
    </row>
    <row r="896">
      <c r="A896" s="1384"/>
      <c r="N896" s="195"/>
    </row>
    <row r="897">
      <c r="A897" s="1384"/>
      <c r="N897" s="195"/>
    </row>
    <row r="898">
      <c r="A898" s="1384"/>
      <c r="N898" s="195"/>
    </row>
    <row r="899">
      <c r="A899" s="1384"/>
      <c r="N899" s="195"/>
    </row>
    <row r="900">
      <c r="A900" s="1384"/>
      <c r="N900" s="195"/>
    </row>
    <row r="901">
      <c r="A901" s="1384"/>
      <c r="N901" s="195"/>
    </row>
    <row r="902">
      <c r="A902" s="1384"/>
      <c r="N902" s="195"/>
    </row>
    <row r="903">
      <c r="A903" s="1384"/>
      <c r="N903" s="195"/>
    </row>
    <row r="904">
      <c r="A904" s="1384"/>
      <c r="N904" s="195"/>
    </row>
    <row r="905">
      <c r="A905" s="1384"/>
      <c r="N905" s="195"/>
    </row>
    <row r="906">
      <c r="A906" s="1384"/>
      <c r="N906" s="195"/>
    </row>
    <row r="907">
      <c r="A907" s="1384"/>
      <c r="N907" s="195"/>
    </row>
    <row r="908">
      <c r="A908" s="1384"/>
      <c r="N908" s="195"/>
    </row>
    <row r="909">
      <c r="A909" s="1384"/>
      <c r="N909" s="195"/>
    </row>
    <row r="910">
      <c r="A910" s="1384"/>
      <c r="N910" s="195"/>
    </row>
    <row r="911">
      <c r="A911" s="1384"/>
      <c r="N911" s="195"/>
    </row>
    <row r="912">
      <c r="A912" s="1384"/>
      <c r="N912" s="195"/>
    </row>
    <row r="913">
      <c r="A913" s="1384"/>
      <c r="N913" s="195"/>
    </row>
    <row r="914">
      <c r="A914" s="1384"/>
      <c r="N914" s="195"/>
    </row>
    <row r="915">
      <c r="A915" s="1384"/>
      <c r="N915" s="195"/>
    </row>
    <row r="916">
      <c r="A916" s="1384"/>
      <c r="N916" s="195"/>
    </row>
    <row r="917">
      <c r="A917" s="1384"/>
      <c r="N917" s="195"/>
    </row>
    <row r="918">
      <c r="A918" s="1384"/>
      <c r="N918" s="195"/>
    </row>
    <row r="919">
      <c r="A919" s="1384"/>
      <c r="N919" s="195"/>
    </row>
    <row r="920">
      <c r="A920" s="1384"/>
      <c r="N920" s="195"/>
    </row>
    <row r="921">
      <c r="A921" s="1384"/>
      <c r="N921" s="195"/>
    </row>
    <row r="922">
      <c r="A922" s="1384"/>
      <c r="N922" s="195"/>
    </row>
    <row r="923">
      <c r="A923" s="1384"/>
      <c r="N923" s="195"/>
    </row>
    <row r="924">
      <c r="A924" s="1384"/>
      <c r="N924" s="195"/>
    </row>
    <row r="925">
      <c r="A925" s="1384"/>
      <c r="N925" s="195"/>
    </row>
    <row r="926">
      <c r="A926" s="1384"/>
      <c r="N926" s="195"/>
    </row>
    <row r="927">
      <c r="A927" s="1384"/>
      <c r="N927" s="195"/>
    </row>
    <row r="928">
      <c r="A928" s="1384"/>
      <c r="N928" s="195"/>
    </row>
    <row r="929">
      <c r="A929" s="1384"/>
      <c r="N929" s="195"/>
    </row>
    <row r="930">
      <c r="A930" s="1384"/>
      <c r="N930" s="195"/>
    </row>
    <row r="931">
      <c r="A931" s="1384"/>
      <c r="N931" s="195"/>
    </row>
    <row r="932">
      <c r="A932" s="1384"/>
      <c r="N932" s="195"/>
    </row>
    <row r="933">
      <c r="A933" s="1384"/>
      <c r="N933" s="195"/>
    </row>
    <row r="934">
      <c r="A934" s="1384"/>
      <c r="N934" s="195"/>
    </row>
    <row r="935">
      <c r="A935" s="1384"/>
      <c r="N935" s="195"/>
    </row>
    <row r="936">
      <c r="A936" s="1384"/>
      <c r="N936" s="195"/>
    </row>
    <row r="937">
      <c r="A937" s="1384"/>
      <c r="N937" s="195"/>
    </row>
    <row r="938">
      <c r="A938" s="1384"/>
      <c r="N938" s="195"/>
    </row>
    <row r="939">
      <c r="A939" s="1384"/>
      <c r="N939" s="195"/>
    </row>
    <row r="940">
      <c r="A940" s="1384"/>
      <c r="N940" s="195"/>
    </row>
    <row r="941">
      <c r="A941" s="1384"/>
      <c r="N941" s="195"/>
    </row>
    <row r="942">
      <c r="A942" s="1384"/>
      <c r="N942" s="195"/>
    </row>
    <row r="943">
      <c r="A943" s="1384"/>
      <c r="N943" s="195"/>
    </row>
    <row r="944">
      <c r="A944" s="1384"/>
      <c r="N944" s="195"/>
    </row>
    <row r="945">
      <c r="A945" s="1384"/>
      <c r="N945" s="195"/>
    </row>
    <row r="946">
      <c r="A946" s="1384"/>
      <c r="N946" s="195"/>
    </row>
    <row r="947">
      <c r="A947" s="1384"/>
      <c r="N947" s="195"/>
    </row>
    <row r="948">
      <c r="A948" s="1384"/>
      <c r="N948" s="195"/>
    </row>
    <row r="949">
      <c r="A949" s="1384"/>
      <c r="N949" s="195"/>
    </row>
    <row r="950">
      <c r="A950" s="1384"/>
      <c r="N950" s="195"/>
    </row>
    <row r="951">
      <c r="A951" s="1384"/>
      <c r="N951" s="195"/>
    </row>
    <row r="952">
      <c r="A952" s="1384"/>
      <c r="N952" s="195"/>
    </row>
    <row r="953">
      <c r="A953" s="1384"/>
      <c r="N953" s="195"/>
    </row>
    <row r="954">
      <c r="A954" s="1384"/>
      <c r="N954" s="195"/>
    </row>
    <row r="955">
      <c r="A955" s="1384"/>
      <c r="N955" s="195"/>
    </row>
    <row r="956">
      <c r="A956" s="1384"/>
      <c r="N956" s="195"/>
    </row>
    <row r="957">
      <c r="A957" s="1384"/>
      <c r="N957" s="195"/>
    </row>
    <row r="958">
      <c r="A958" s="1384"/>
      <c r="N958" s="195"/>
    </row>
    <row r="959">
      <c r="A959" s="1384"/>
      <c r="N959" s="195"/>
    </row>
    <row r="960">
      <c r="A960" s="1384"/>
      <c r="N960" s="195"/>
    </row>
    <row r="961">
      <c r="A961" s="1384"/>
      <c r="N961" s="195"/>
    </row>
    <row r="962">
      <c r="A962" s="1384"/>
      <c r="N962" s="195"/>
    </row>
    <row r="963">
      <c r="A963" s="1384"/>
      <c r="N963" s="195"/>
    </row>
    <row r="964">
      <c r="A964" s="1384"/>
      <c r="N964" s="195"/>
    </row>
    <row r="965">
      <c r="A965" s="1384"/>
      <c r="N965" s="195"/>
    </row>
    <row r="966">
      <c r="A966" s="1384"/>
      <c r="N966" s="195"/>
    </row>
    <row r="967">
      <c r="A967" s="1384"/>
      <c r="N967" s="195"/>
    </row>
    <row r="968">
      <c r="A968" s="1384"/>
      <c r="N968" s="195"/>
    </row>
    <row r="969">
      <c r="A969" s="1384"/>
      <c r="N969" s="195"/>
    </row>
    <row r="970">
      <c r="A970" s="1384"/>
      <c r="N970" s="195"/>
    </row>
    <row r="971">
      <c r="A971" s="1384"/>
      <c r="N971" s="195"/>
    </row>
    <row r="972">
      <c r="A972" s="1384"/>
      <c r="N972" s="195"/>
    </row>
    <row r="973">
      <c r="A973" s="1384"/>
      <c r="N973" s="195"/>
    </row>
    <row r="974">
      <c r="A974" s="1384"/>
      <c r="N974" s="195"/>
    </row>
    <row r="975">
      <c r="A975" s="1384"/>
      <c r="N975" s="195"/>
    </row>
    <row r="976">
      <c r="A976" s="1384"/>
      <c r="N976" s="195"/>
    </row>
    <row r="977">
      <c r="A977" s="1384"/>
      <c r="N977" s="195"/>
    </row>
    <row r="978">
      <c r="A978" s="1384"/>
      <c r="N978" s="195"/>
    </row>
    <row r="979">
      <c r="A979" s="1384"/>
      <c r="N979" s="195"/>
    </row>
    <row r="980">
      <c r="A980" s="1384"/>
      <c r="N980" s="195"/>
    </row>
    <row r="981">
      <c r="A981" s="1384"/>
      <c r="N981" s="195"/>
    </row>
    <row r="982">
      <c r="A982" s="1384"/>
      <c r="N982" s="195"/>
    </row>
    <row r="983">
      <c r="A983" s="1384"/>
      <c r="N983" s="195"/>
    </row>
    <row r="984">
      <c r="A984" s="1384"/>
      <c r="N984" s="195"/>
    </row>
    <row r="985">
      <c r="A985" s="1384"/>
      <c r="N985" s="195"/>
    </row>
    <row r="986">
      <c r="A986" s="1384"/>
      <c r="N986" s="195"/>
    </row>
    <row r="987">
      <c r="A987" s="1384"/>
      <c r="N987" s="195"/>
    </row>
    <row r="988">
      <c r="A988" s="1384"/>
      <c r="N988" s="195"/>
    </row>
    <row r="989">
      <c r="A989" s="1384"/>
      <c r="N989" s="195"/>
    </row>
    <row r="990">
      <c r="A990" s="1384"/>
      <c r="N990" s="195"/>
    </row>
    <row r="991">
      <c r="A991" s="1384"/>
      <c r="N991" s="195"/>
    </row>
    <row r="992">
      <c r="A992" s="1384"/>
      <c r="N992" s="195"/>
    </row>
    <row r="993">
      <c r="A993" s="1384"/>
      <c r="N993" s="195"/>
    </row>
    <row r="994">
      <c r="A994" s="1384"/>
      <c r="N994" s="195"/>
    </row>
    <row r="995">
      <c r="A995" s="1384"/>
      <c r="N995" s="195"/>
    </row>
    <row r="996">
      <c r="A996" s="1384"/>
      <c r="N996" s="195"/>
    </row>
    <row r="997">
      <c r="A997" s="1384"/>
      <c r="N997" s="195"/>
    </row>
    <row r="998">
      <c r="A998" s="1384"/>
      <c r="N998" s="195"/>
    </row>
    <row r="999">
      <c r="A999" s="1384"/>
      <c r="N999" s="195"/>
    </row>
    <row r="1000">
      <c r="A1000" s="1384"/>
      <c r="N1000" s="195"/>
    </row>
  </sheetData>
  <mergeCells count="5">
    <mergeCell ref="B3:C3"/>
    <mergeCell ref="B4:C4"/>
    <mergeCell ref="E4:F4"/>
    <mergeCell ref="H4:I4"/>
    <mergeCell ref="K4:L4"/>
  </mergeCells>
  <conditionalFormatting sqref="D6:D40 G6:G40 J6:J40">
    <cfRule type="cellIs" dxfId="2" priority="1" operator="greaterThan">
      <formula>0</formula>
    </cfRule>
  </conditionalFormatting>
  <conditionalFormatting sqref="D6:D40 G6:G40 J6:J40">
    <cfRule type="cellIs" dxfId="0" priority="2" operator="lessThan">
      <formula>0</formula>
    </cfRule>
  </conditionalFormatting>
  <conditionalFormatting sqref="M7:M40">
    <cfRule type="cellIs" dxfId="0" priority="3" operator="greaterThan">
      <formula>0</formula>
    </cfRule>
  </conditionalFormatting>
  <conditionalFormatting sqref="M7:M40">
    <cfRule type="cellIs" dxfId="3" priority="4" operator="lessThan">
      <formula>0</formula>
    </cfRule>
  </conditionalFormatting>
  <conditionalFormatting sqref="C6:C40 F6:F40 I6:I40">
    <cfRule type="expression" dxfId="2" priority="5">
      <formula>B6&lt;C6</formula>
    </cfRule>
  </conditionalFormatting>
  <conditionalFormatting sqref="C6:C40 F6:F40 I6:I40">
    <cfRule type="expression" dxfId="0" priority="6">
      <formula>B6&gt;C6</formula>
    </cfRule>
  </conditionalFormatting>
  <conditionalFormatting sqref="L6:L40">
    <cfRule type="expression" dxfId="0" priority="7">
      <formula>K6&lt;L6</formula>
    </cfRule>
  </conditionalFormatting>
  <conditionalFormatting sqref="L6:L40">
    <cfRule type="expression" dxfId="4" priority="8">
      <formula>K6&gt;L6</formula>
    </cfRule>
  </conditionalFormatting>
  <conditionalFormatting sqref="R2:S4">
    <cfRule type="cellIs" dxfId="2" priority="9" operator="greaterThan">
      <formula>0</formula>
    </cfRule>
  </conditionalFormatting>
  <conditionalFormatting sqref="R2:S4">
    <cfRule type="cellIs" dxfId="0" priority="10" operator="lessThan">
      <formula>0</formula>
    </cfRule>
  </conditionalFormatting>
  <conditionalFormatting sqref="R5:S5">
    <cfRule type="cellIs" dxfId="2" priority="11" operator="lessThan">
      <formula>0</formula>
    </cfRule>
  </conditionalFormatting>
  <conditionalFormatting sqref="R5:S5">
    <cfRule type="cellIs" dxfId="0" priority="12" operator="greater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6.78"/>
    <col customWidth="1" min="3" max="3" width="57.56"/>
    <col customWidth="1" min="5" max="5" width="33.44"/>
  </cols>
  <sheetData>
    <row r="1">
      <c r="A1" s="1387" t="s">
        <v>2024</v>
      </c>
      <c r="B1" s="69"/>
      <c r="C1" s="1388"/>
      <c r="D1" s="1389" t="s">
        <v>2030</v>
      </c>
      <c r="E1" s="1328"/>
      <c r="F1" s="1390"/>
      <c r="G1" s="1347"/>
      <c r="H1" s="1355"/>
      <c r="I1" s="1355"/>
      <c r="J1" s="1355"/>
      <c r="K1" s="1355"/>
      <c r="L1" s="1355"/>
      <c r="M1" s="1355"/>
      <c r="N1" s="1355"/>
      <c r="O1" s="1355"/>
      <c r="P1" s="1355"/>
      <c r="Q1" s="1355"/>
      <c r="R1" s="1355"/>
      <c r="S1" s="1355"/>
      <c r="T1" s="1355"/>
      <c r="U1" s="1355"/>
      <c r="V1" s="1355"/>
      <c r="W1" s="1355"/>
      <c r="X1" s="1355"/>
      <c r="Y1" s="1355"/>
    </row>
    <row r="2">
      <c r="A2" s="1391" t="s">
        <v>1283</v>
      </c>
      <c r="B2" s="1392" t="s">
        <v>19</v>
      </c>
      <c r="C2" s="1393" t="s">
        <v>471</v>
      </c>
      <c r="D2" s="1394"/>
      <c r="E2" s="1328" t="s">
        <v>2040</v>
      </c>
      <c r="F2" s="1395" t="s">
        <v>2042</v>
      </c>
      <c r="G2" s="1396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1355"/>
      <c r="S2" s="1355"/>
      <c r="T2" s="1355"/>
      <c r="U2" s="1355"/>
      <c r="V2" s="1355"/>
      <c r="W2" s="1355"/>
      <c r="X2" s="1355"/>
      <c r="Y2" s="1355"/>
    </row>
    <row r="3">
      <c r="A3" s="1397">
        <v>1050.0</v>
      </c>
      <c r="B3" s="1398">
        <v>235.0</v>
      </c>
      <c r="C3" s="1399" t="s">
        <v>542</v>
      </c>
      <c r="D3" s="1269"/>
      <c r="E3" s="50"/>
      <c r="F3" s="1396"/>
      <c r="G3" s="1396"/>
      <c r="H3" s="1400"/>
      <c r="I3" s="1400"/>
      <c r="J3" s="1400"/>
      <c r="K3" s="1400"/>
      <c r="L3" s="1400"/>
      <c r="M3" s="1400"/>
      <c r="N3" s="1400"/>
      <c r="O3" s="1400"/>
      <c r="P3" s="1400"/>
      <c r="Q3" s="1400"/>
      <c r="R3" s="1400"/>
      <c r="S3" s="1400"/>
      <c r="T3" s="1400"/>
      <c r="U3" s="1400"/>
      <c r="V3" s="1400"/>
      <c r="W3" s="1400"/>
      <c r="X3" s="1400"/>
      <c r="Y3" s="1400"/>
    </row>
    <row r="4">
      <c r="A4" s="466">
        <v>3025.0</v>
      </c>
      <c r="B4" s="467">
        <v>150.0</v>
      </c>
      <c r="C4" s="305" t="s">
        <v>1434</v>
      </c>
      <c r="E4" s="50"/>
      <c r="F4" s="1396"/>
      <c r="G4" s="1396"/>
    </row>
    <row r="5">
      <c r="A5" s="466">
        <v>3362.0</v>
      </c>
      <c r="B5" s="467">
        <v>225.0</v>
      </c>
      <c r="C5" s="305" t="s">
        <v>1435</v>
      </c>
      <c r="E5" s="50"/>
      <c r="F5" s="1396"/>
      <c r="G5" s="1396"/>
    </row>
    <row r="6">
      <c r="A6" s="466">
        <v>3351.0</v>
      </c>
      <c r="B6" s="467">
        <v>225.0</v>
      </c>
      <c r="C6" s="305" t="s">
        <v>1438</v>
      </c>
      <c r="E6" s="50"/>
      <c r="F6" s="1396"/>
      <c r="G6" s="1396"/>
    </row>
    <row r="7">
      <c r="A7" s="466">
        <v>3462.0</v>
      </c>
      <c r="B7" s="467">
        <v>225.0</v>
      </c>
      <c r="C7" s="305" t="s">
        <v>2056</v>
      </c>
      <c r="E7" s="50"/>
      <c r="F7" s="1396"/>
      <c r="G7" s="1396"/>
    </row>
    <row r="8">
      <c r="A8" s="466">
        <v>3361.0</v>
      </c>
      <c r="B8" s="467">
        <v>205.0</v>
      </c>
      <c r="C8" s="305" t="s">
        <v>1442</v>
      </c>
      <c r="E8" s="50"/>
      <c r="F8" s="1396"/>
      <c r="G8" s="1396"/>
    </row>
    <row r="9">
      <c r="A9" s="466">
        <v>3352.0</v>
      </c>
      <c r="B9" s="467">
        <v>198.0</v>
      </c>
      <c r="C9" s="305" t="s">
        <v>2059</v>
      </c>
      <c r="E9" s="50"/>
      <c r="F9" s="1396"/>
      <c r="G9" s="1396"/>
    </row>
    <row r="10">
      <c r="A10" s="466">
        <v>3405.0</v>
      </c>
      <c r="B10" s="467">
        <v>198.0</v>
      </c>
      <c r="C10" s="305" t="s">
        <v>1445</v>
      </c>
      <c r="E10" s="1269"/>
      <c r="F10" s="1401"/>
      <c r="G10" s="1396"/>
    </row>
    <row r="11">
      <c r="A11" s="466">
        <v>3303.0</v>
      </c>
      <c r="B11" s="467">
        <v>198.0</v>
      </c>
      <c r="C11" s="305" t="s">
        <v>1446</v>
      </c>
      <c r="E11" s="50"/>
      <c r="F11" s="1396"/>
      <c r="G11" s="1396"/>
    </row>
    <row r="12">
      <c r="A12" s="466">
        <v>3541.0</v>
      </c>
      <c r="B12" s="467">
        <v>198.0</v>
      </c>
      <c r="C12" s="305" t="s">
        <v>1448</v>
      </c>
      <c r="E12" s="50"/>
      <c r="F12" s="1396"/>
      <c r="G12" s="1396"/>
    </row>
    <row r="13">
      <c r="A13" s="466">
        <v>2163.0</v>
      </c>
      <c r="B13" s="467">
        <v>198.0</v>
      </c>
      <c r="C13" s="305" t="s">
        <v>1449</v>
      </c>
      <c r="E13" s="50"/>
      <c r="F13" s="1396"/>
      <c r="G13" s="1396"/>
    </row>
    <row r="14">
      <c r="A14" s="466">
        <v>3307.0</v>
      </c>
      <c r="B14" s="467">
        <v>130.0</v>
      </c>
      <c r="C14" s="305" t="s">
        <v>2067</v>
      </c>
      <c r="E14" s="50"/>
      <c r="F14" s="1396"/>
      <c r="G14" s="1396"/>
    </row>
    <row r="15">
      <c r="A15" s="466">
        <v>219.0</v>
      </c>
      <c r="B15" s="467">
        <v>205.0</v>
      </c>
      <c r="C15" s="305" t="s">
        <v>642</v>
      </c>
      <c r="F15" s="1396"/>
      <c r="G15" s="1396"/>
    </row>
    <row r="16">
      <c r="A16" s="466">
        <v>2904.0</v>
      </c>
      <c r="B16" s="467">
        <v>190.0</v>
      </c>
      <c r="C16" s="305" t="s">
        <v>420</v>
      </c>
      <c r="F16" s="1384"/>
      <c r="G16" s="1384"/>
    </row>
    <row r="17">
      <c r="A17" s="466">
        <v>384.0</v>
      </c>
      <c r="B17" s="467">
        <v>160.0</v>
      </c>
      <c r="C17" s="305" t="s">
        <v>1454</v>
      </c>
      <c r="F17" s="1384"/>
      <c r="G17" s="1384"/>
    </row>
    <row r="18">
      <c r="A18" s="466">
        <v>804.0</v>
      </c>
      <c r="B18" s="467">
        <v>160.0</v>
      </c>
      <c r="C18" s="305" t="s">
        <v>1456</v>
      </c>
      <c r="F18" s="1384"/>
      <c r="G18" s="1384"/>
    </row>
    <row r="19">
      <c r="A19" s="466">
        <v>642.0</v>
      </c>
      <c r="B19" s="467">
        <v>160.0</v>
      </c>
      <c r="C19" s="305" t="s">
        <v>1457</v>
      </c>
      <c r="F19" s="1384"/>
      <c r="G19" s="1384"/>
    </row>
    <row r="20">
      <c r="A20" s="466">
        <v>886.0</v>
      </c>
      <c r="B20" s="467">
        <v>198.0</v>
      </c>
      <c r="C20" s="305" t="s">
        <v>742</v>
      </c>
      <c r="F20" s="1384"/>
      <c r="G20" s="1384"/>
    </row>
    <row r="21">
      <c r="A21" s="466">
        <v>372.0</v>
      </c>
      <c r="B21" s="917">
        <v>198.0</v>
      </c>
      <c r="C21" s="305" t="s">
        <v>1245</v>
      </c>
      <c r="F21" s="1384"/>
      <c r="G21" s="1384"/>
    </row>
    <row r="22">
      <c r="A22" s="466">
        <v>984.0</v>
      </c>
      <c r="B22" s="467">
        <v>218.0</v>
      </c>
      <c r="C22" s="305" t="s">
        <v>702</v>
      </c>
      <c r="F22" s="1384"/>
      <c r="G22" s="1384"/>
    </row>
    <row r="23">
      <c r="A23" s="466">
        <v>859.0</v>
      </c>
      <c r="B23" s="467">
        <v>198.0</v>
      </c>
      <c r="C23" s="305" t="s">
        <v>292</v>
      </c>
      <c r="F23" s="1384"/>
      <c r="G23" s="1384"/>
    </row>
    <row r="24">
      <c r="A24" s="466">
        <v>885.0</v>
      </c>
      <c r="B24" s="467">
        <v>180.0</v>
      </c>
      <c r="C24" s="305" t="s">
        <v>1459</v>
      </c>
      <c r="F24" s="1384"/>
      <c r="G24" s="1384"/>
    </row>
    <row r="25">
      <c r="A25" s="466">
        <v>1080.0</v>
      </c>
      <c r="B25" s="467">
        <v>188.0</v>
      </c>
      <c r="C25" s="305" t="s">
        <v>1460</v>
      </c>
      <c r="F25" s="1384"/>
      <c r="G25" s="1384"/>
    </row>
    <row r="26">
      <c r="A26" s="466">
        <v>2019.0</v>
      </c>
      <c r="B26" s="467">
        <v>188.0</v>
      </c>
      <c r="C26" s="305" t="s">
        <v>1462</v>
      </c>
      <c r="F26" s="1384"/>
      <c r="G26" s="1384"/>
    </row>
    <row r="27">
      <c r="A27" s="466">
        <v>1122.0</v>
      </c>
      <c r="B27" s="467">
        <v>160.0</v>
      </c>
      <c r="C27" s="305" t="s">
        <v>1463</v>
      </c>
      <c r="F27" s="1384"/>
      <c r="G27" s="1384"/>
    </row>
    <row r="28">
      <c r="A28" s="466">
        <v>2249.0</v>
      </c>
      <c r="B28" s="467">
        <v>130.0</v>
      </c>
      <c r="C28" s="305" t="s">
        <v>1464</v>
      </c>
      <c r="F28" s="1384"/>
      <c r="G28" s="1384"/>
    </row>
    <row r="29">
      <c r="A29" s="466">
        <v>143.0</v>
      </c>
      <c r="B29" s="467">
        <v>160.0</v>
      </c>
      <c r="C29" s="305" t="s">
        <v>1465</v>
      </c>
      <c r="F29" s="1384"/>
      <c r="G29" s="1384"/>
    </row>
    <row r="30">
      <c r="A30" s="466">
        <v>146.0</v>
      </c>
      <c r="B30" s="467">
        <v>160.0</v>
      </c>
      <c r="C30" s="305" t="s">
        <v>1466</v>
      </c>
      <c r="F30" s="1384"/>
      <c r="G30" s="1384"/>
    </row>
    <row r="31">
      <c r="A31" s="466">
        <v>1040.0</v>
      </c>
      <c r="B31" s="467">
        <v>180.0</v>
      </c>
      <c r="C31" s="305" t="s">
        <v>1467</v>
      </c>
      <c r="F31" s="1384"/>
      <c r="G31" s="1384"/>
    </row>
    <row r="32">
      <c r="A32" s="466">
        <v>681.0</v>
      </c>
      <c r="B32" s="467">
        <v>180.0</v>
      </c>
      <c r="C32" s="305" t="s">
        <v>1469</v>
      </c>
      <c r="F32" s="1384"/>
      <c r="G32" s="1384"/>
    </row>
    <row r="33">
      <c r="A33" s="466">
        <v>606.0</v>
      </c>
      <c r="B33" s="467">
        <v>180.0</v>
      </c>
      <c r="C33" s="305" t="s">
        <v>1470</v>
      </c>
      <c r="F33" s="1384"/>
      <c r="G33" s="1384"/>
    </row>
    <row r="34">
      <c r="A34" s="466">
        <v>2092.0</v>
      </c>
      <c r="B34" s="467">
        <v>180.0</v>
      </c>
      <c r="C34" s="305" t="s">
        <v>1471</v>
      </c>
      <c r="F34" s="1384"/>
      <c r="G34" s="1384"/>
    </row>
    <row r="35">
      <c r="A35" s="466">
        <v>762.0</v>
      </c>
      <c r="B35" s="467">
        <v>160.0</v>
      </c>
      <c r="C35" s="305" t="s">
        <v>2088</v>
      </c>
      <c r="F35" s="1384"/>
      <c r="G35" s="1384"/>
    </row>
    <row r="36">
      <c r="A36" s="466">
        <v>439.0</v>
      </c>
      <c r="B36" s="467">
        <v>160.0</v>
      </c>
      <c r="C36" s="305" t="s">
        <v>1473</v>
      </c>
      <c r="F36" s="1384"/>
      <c r="G36" s="1384"/>
    </row>
    <row r="37">
      <c r="A37" s="466">
        <v>436.0</v>
      </c>
      <c r="B37" s="467">
        <v>188.0</v>
      </c>
      <c r="C37" s="305" t="s">
        <v>1475</v>
      </c>
      <c r="F37" s="1384"/>
      <c r="G37" s="1384"/>
    </row>
    <row r="38">
      <c r="A38" s="466">
        <v>2895.0</v>
      </c>
      <c r="B38" s="467">
        <v>130.0</v>
      </c>
      <c r="C38" s="305" t="s">
        <v>1476</v>
      </c>
      <c r="F38" s="1384"/>
      <c r="G38" s="1384"/>
    </row>
    <row r="39">
      <c r="A39" s="466">
        <v>3008.0</v>
      </c>
      <c r="B39" s="917">
        <v>212.0</v>
      </c>
      <c r="C39" s="305" t="s">
        <v>789</v>
      </c>
      <c r="F39" s="1384"/>
      <c r="G39" s="1384"/>
    </row>
    <row r="40">
      <c r="A40" s="466">
        <v>2992.0</v>
      </c>
      <c r="B40" s="467">
        <v>188.0</v>
      </c>
      <c r="C40" s="305" t="s">
        <v>1477</v>
      </c>
      <c r="F40" s="1384"/>
      <c r="G40" s="1384"/>
    </row>
    <row r="41">
      <c r="A41" s="466">
        <v>2829.0</v>
      </c>
      <c r="B41" s="467">
        <v>198.0</v>
      </c>
      <c r="C41" s="305" t="s">
        <v>1478</v>
      </c>
      <c r="F41" s="1384"/>
      <c r="G41" s="1384"/>
    </row>
    <row r="42">
      <c r="A42" s="466">
        <v>2959.0</v>
      </c>
      <c r="B42" s="467">
        <v>198.0</v>
      </c>
      <c r="C42" s="305" t="s">
        <v>1479</v>
      </c>
      <c r="F42" s="1384"/>
      <c r="G42" s="1384"/>
    </row>
    <row r="43">
      <c r="A43" s="466">
        <v>3198.0</v>
      </c>
      <c r="B43" s="467">
        <v>198.0</v>
      </c>
      <c r="C43" s="305" t="s">
        <v>1480</v>
      </c>
      <c r="F43" s="1384"/>
      <c r="G43" s="1384"/>
    </row>
    <row r="44">
      <c r="A44" s="466">
        <v>1024.0</v>
      </c>
      <c r="B44" s="467">
        <v>160.0</v>
      </c>
      <c r="C44" s="305" t="s">
        <v>1481</v>
      </c>
      <c r="F44" s="1384"/>
      <c r="G44" s="1384"/>
    </row>
    <row r="45">
      <c r="A45" s="466">
        <v>1269.0</v>
      </c>
      <c r="B45" s="467">
        <v>160.0</v>
      </c>
      <c r="C45" s="305" t="s">
        <v>1482</v>
      </c>
      <c r="F45" s="1384"/>
      <c r="G45" s="1384"/>
    </row>
    <row r="46">
      <c r="A46" s="466">
        <v>926.0</v>
      </c>
      <c r="B46" s="467">
        <v>160.0</v>
      </c>
      <c r="C46" s="305" t="s">
        <v>1483</v>
      </c>
      <c r="F46" s="1384"/>
      <c r="G46" s="1384"/>
    </row>
    <row r="47">
      <c r="A47" s="466">
        <v>1030.0</v>
      </c>
      <c r="B47" s="467">
        <v>160.0</v>
      </c>
      <c r="C47" s="305" t="s">
        <v>1484</v>
      </c>
      <c r="F47" s="1384"/>
      <c r="G47" s="1384"/>
    </row>
    <row r="48">
      <c r="A48" s="466">
        <v>875.0</v>
      </c>
      <c r="B48" s="467">
        <v>160.0</v>
      </c>
      <c r="C48" s="305" t="s">
        <v>1485</v>
      </c>
      <c r="F48" s="1384"/>
      <c r="G48" s="1384"/>
    </row>
    <row r="49">
      <c r="A49" s="466">
        <v>3731.0</v>
      </c>
      <c r="B49" s="467">
        <v>205.0</v>
      </c>
      <c r="C49" s="305" t="s">
        <v>681</v>
      </c>
      <c r="F49" s="1384"/>
      <c r="G49" s="1384"/>
    </row>
    <row r="50">
      <c r="A50" s="466">
        <v>3591.0</v>
      </c>
      <c r="B50" s="467">
        <v>204.0</v>
      </c>
      <c r="C50" s="305" t="s">
        <v>1486</v>
      </c>
      <c r="F50" s="1384"/>
      <c r="G50" s="1384"/>
    </row>
    <row r="51">
      <c r="A51" s="466">
        <v>3671.0</v>
      </c>
      <c r="B51" s="467">
        <v>198.0</v>
      </c>
      <c r="C51" s="305" t="s">
        <v>1487</v>
      </c>
      <c r="F51" s="1384"/>
      <c r="G51" s="1384"/>
    </row>
    <row r="52">
      <c r="A52" s="466">
        <v>3177.0</v>
      </c>
      <c r="B52" s="467">
        <v>198.0</v>
      </c>
      <c r="C52" s="305" t="s">
        <v>1488</v>
      </c>
      <c r="F52" s="1384"/>
      <c r="G52" s="1384"/>
    </row>
    <row r="53">
      <c r="A53" s="466">
        <v>2553.0</v>
      </c>
      <c r="B53" s="467">
        <v>130.0</v>
      </c>
      <c r="C53" s="305" t="s">
        <v>1489</v>
      </c>
      <c r="F53" s="1384"/>
      <c r="G53" s="1384"/>
    </row>
    <row r="54">
      <c r="A54" s="466">
        <v>2562.0</v>
      </c>
      <c r="B54" s="467">
        <v>188.0</v>
      </c>
      <c r="C54" s="305" t="s">
        <v>1490</v>
      </c>
      <c r="F54" s="1384"/>
      <c r="G54" s="1384"/>
    </row>
    <row r="55">
      <c r="A55" s="466">
        <v>2532.0</v>
      </c>
      <c r="B55" s="467">
        <v>188.0</v>
      </c>
      <c r="C55" s="305" t="s">
        <v>1491</v>
      </c>
      <c r="F55" s="1384"/>
      <c r="G55" s="1384"/>
    </row>
    <row r="56">
      <c r="A56" s="466">
        <v>2698.0</v>
      </c>
      <c r="B56" s="467">
        <v>188.0</v>
      </c>
      <c r="C56" s="305" t="s">
        <v>1492</v>
      </c>
      <c r="F56" s="1384"/>
      <c r="G56" s="1384"/>
    </row>
    <row r="57">
      <c r="A57" s="466">
        <v>3441.0</v>
      </c>
      <c r="B57" s="467">
        <v>198.0</v>
      </c>
      <c r="C57" s="305" t="s">
        <v>1493</v>
      </c>
      <c r="F57" s="1384"/>
      <c r="G57" s="1384"/>
    </row>
    <row r="58">
      <c r="A58" s="466">
        <v>3440.0</v>
      </c>
      <c r="B58" s="467">
        <v>218.0</v>
      </c>
      <c r="C58" s="305" t="s">
        <v>1494</v>
      </c>
      <c r="F58" s="1384"/>
      <c r="G58" s="1384"/>
    </row>
    <row r="59">
      <c r="A59" s="466">
        <v>89.0</v>
      </c>
      <c r="B59" s="467">
        <v>135.0</v>
      </c>
      <c r="C59" s="305" t="s">
        <v>460</v>
      </c>
      <c r="F59" s="1384"/>
      <c r="G59" s="1384"/>
    </row>
    <row r="60">
      <c r="A60" s="466">
        <v>88.0</v>
      </c>
      <c r="B60" s="467">
        <v>120.0</v>
      </c>
      <c r="C60" s="305" t="s">
        <v>1495</v>
      </c>
      <c r="F60" s="1384"/>
      <c r="G60" s="1384"/>
    </row>
    <row r="61">
      <c r="A61" s="466">
        <v>114.0</v>
      </c>
      <c r="B61" s="467">
        <v>98.0</v>
      </c>
      <c r="C61" s="305" t="s">
        <v>1496</v>
      </c>
      <c r="F61" s="1384"/>
      <c r="G61" s="1384"/>
    </row>
    <row r="62">
      <c r="A62" s="466">
        <v>101.0</v>
      </c>
      <c r="B62" s="467">
        <v>98.0</v>
      </c>
      <c r="C62" s="305" t="s">
        <v>1497</v>
      </c>
      <c r="F62" s="1384"/>
      <c r="G62" s="1384"/>
    </row>
    <row r="63">
      <c r="A63" s="466">
        <v>1000.0</v>
      </c>
      <c r="B63" s="467">
        <v>90.0</v>
      </c>
      <c r="C63" s="305" t="s">
        <v>1499</v>
      </c>
      <c r="F63" s="1384"/>
      <c r="G63" s="1384"/>
    </row>
    <row r="64">
      <c r="A64" s="466">
        <v>2884.0</v>
      </c>
      <c r="B64" s="467">
        <v>110.0</v>
      </c>
      <c r="C64" s="305" t="s">
        <v>1500</v>
      </c>
      <c r="F64" s="1384"/>
      <c r="G64" s="1384"/>
    </row>
    <row r="65">
      <c r="A65" s="466">
        <v>1922.0</v>
      </c>
      <c r="B65" s="467">
        <v>120.0</v>
      </c>
      <c r="C65" s="305" t="s">
        <v>963</v>
      </c>
      <c r="F65" s="1384"/>
      <c r="G65" s="1384"/>
    </row>
    <row r="66">
      <c r="A66" s="466">
        <v>1916.0</v>
      </c>
      <c r="B66" s="467">
        <v>85.0</v>
      </c>
      <c r="C66" s="305" t="s">
        <v>1503</v>
      </c>
      <c r="F66" s="1384"/>
      <c r="G66" s="1384"/>
    </row>
    <row r="67">
      <c r="A67" s="466">
        <v>1919.0</v>
      </c>
      <c r="B67" s="467">
        <v>90.0</v>
      </c>
      <c r="C67" s="305" t="s">
        <v>1504</v>
      </c>
      <c r="F67" s="1384"/>
      <c r="G67" s="1384"/>
    </row>
    <row r="68">
      <c r="A68" s="466">
        <v>2349.0</v>
      </c>
      <c r="B68" s="467">
        <v>140.0</v>
      </c>
      <c r="C68" s="305" t="s">
        <v>1505</v>
      </c>
      <c r="F68" s="1384"/>
      <c r="G68" s="1384"/>
    </row>
    <row r="69">
      <c r="A69" s="466">
        <v>3237.0</v>
      </c>
      <c r="B69" s="467">
        <v>105.0</v>
      </c>
      <c r="C69" s="305" t="s">
        <v>1506</v>
      </c>
      <c r="F69" s="1384"/>
      <c r="G69" s="1384"/>
    </row>
    <row r="70">
      <c r="A70" s="466">
        <v>1917.0</v>
      </c>
      <c r="B70" s="467">
        <v>90.0</v>
      </c>
      <c r="C70" s="305" t="s">
        <v>1507</v>
      </c>
      <c r="F70" s="1384"/>
      <c r="G70" s="1384"/>
    </row>
    <row r="71">
      <c r="A71" s="466">
        <v>3495.0</v>
      </c>
      <c r="B71" s="467">
        <v>138.0</v>
      </c>
      <c r="C71" s="305" t="s">
        <v>945</v>
      </c>
      <c r="F71" s="1384"/>
      <c r="G71" s="1384"/>
    </row>
    <row r="72">
      <c r="A72" s="466">
        <v>691.0</v>
      </c>
      <c r="B72" s="467">
        <v>85.0</v>
      </c>
      <c r="C72" s="305" t="s">
        <v>957</v>
      </c>
      <c r="F72" s="1384"/>
      <c r="G72" s="1384"/>
    </row>
    <row r="73">
      <c r="A73" s="466">
        <v>2410.0</v>
      </c>
      <c r="B73" s="467">
        <v>100.0</v>
      </c>
      <c r="C73" s="305" t="s">
        <v>1508</v>
      </c>
      <c r="F73" s="1384"/>
      <c r="G73" s="1384"/>
    </row>
    <row r="74">
      <c r="A74" s="466">
        <v>2424.0</v>
      </c>
      <c r="B74" s="467">
        <v>145.0</v>
      </c>
      <c r="C74" s="305" t="s">
        <v>1509</v>
      </c>
      <c r="F74" s="1384"/>
      <c r="G74" s="1384"/>
    </row>
    <row r="75">
      <c r="A75" s="466">
        <v>1011.0</v>
      </c>
      <c r="B75" s="467">
        <v>80.0</v>
      </c>
      <c r="C75" s="305" t="s">
        <v>1510</v>
      </c>
      <c r="F75" s="1384"/>
      <c r="G75" s="1384"/>
    </row>
    <row r="76">
      <c r="A76" s="466">
        <v>1918.0</v>
      </c>
      <c r="B76" s="467">
        <v>90.0</v>
      </c>
      <c r="C76" s="305" t="s">
        <v>1511</v>
      </c>
      <c r="F76" s="1384"/>
      <c r="G76" s="1384"/>
    </row>
    <row r="77">
      <c r="A77" s="466">
        <v>1938.0</v>
      </c>
      <c r="B77" s="467">
        <v>105.0</v>
      </c>
      <c r="C77" s="305" t="s">
        <v>1512</v>
      </c>
      <c r="F77" s="1384"/>
      <c r="G77" s="1384"/>
    </row>
    <row r="78">
      <c r="A78" s="466">
        <v>2769.0</v>
      </c>
      <c r="B78" s="467">
        <v>158.0</v>
      </c>
      <c r="C78" s="305" t="s">
        <v>608</v>
      </c>
      <c r="F78" s="1384"/>
      <c r="G78" s="1384"/>
    </row>
    <row r="79">
      <c r="A79" s="466">
        <v>1025.0</v>
      </c>
      <c r="B79" s="467">
        <v>124.0</v>
      </c>
      <c r="C79" s="305" t="s">
        <v>959</v>
      </c>
      <c r="F79" s="1384"/>
      <c r="G79" s="1384"/>
    </row>
    <row r="80">
      <c r="A80" s="466">
        <v>3446.0</v>
      </c>
      <c r="B80" s="467">
        <v>85.0</v>
      </c>
      <c r="C80" s="305" t="s">
        <v>527</v>
      </c>
      <c r="F80" s="1384"/>
      <c r="G80" s="1384"/>
    </row>
    <row r="81">
      <c r="A81" s="466">
        <v>1825.0</v>
      </c>
      <c r="B81" s="467">
        <v>124.0</v>
      </c>
      <c r="C81" s="305" t="s">
        <v>1513</v>
      </c>
      <c r="F81" s="1384"/>
      <c r="G81" s="1384"/>
    </row>
    <row r="82">
      <c r="A82" s="466">
        <v>1556.0</v>
      </c>
      <c r="B82" s="467">
        <v>100.0</v>
      </c>
      <c r="C82" s="305" t="s">
        <v>1514</v>
      </c>
      <c r="F82" s="1384"/>
      <c r="G82" s="1384"/>
    </row>
    <row r="83">
      <c r="A83" s="466">
        <v>2402.0</v>
      </c>
      <c r="B83" s="467">
        <v>145.0</v>
      </c>
      <c r="C83" s="305" t="s">
        <v>1515</v>
      </c>
      <c r="F83" s="1384"/>
      <c r="G83" s="1384"/>
    </row>
    <row r="84">
      <c r="A84" s="466">
        <v>758.0</v>
      </c>
      <c r="B84" s="467">
        <v>110.0</v>
      </c>
      <c r="C84" s="305" t="s">
        <v>954</v>
      </c>
      <c r="F84" s="1384"/>
      <c r="G84" s="1384"/>
    </row>
    <row r="85">
      <c r="A85" s="466">
        <v>3851.0</v>
      </c>
      <c r="B85" s="467">
        <v>128.0</v>
      </c>
      <c r="C85" s="305" t="s">
        <v>2132</v>
      </c>
      <c r="F85" s="1384"/>
      <c r="G85" s="1384"/>
    </row>
    <row r="86">
      <c r="A86" s="466">
        <v>2377.0</v>
      </c>
      <c r="B86" s="467">
        <v>120.0</v>
      </c>
      <c r="C86" s="305" t="s">
        <v>1517</v>
      </c>
      <c r="F86" s="1384"/>
      <c r="G86" s="1384"/>
    </row>
    <row r="87">
      <c r="A87" s="466">
        <v>2973.0</v>
      </c>
      <c r="B87" s="467">
        <v>95.0</v>
      </c>
      <c r="C87" s="305" t="s">
        <v>1518</v>
      </c>
      <c r="F87" s="1384"/>
      <c r="G87" s="1384"/>
    </row>
    <row r="88">
      <c r="A88" s="466">
        <v>1817.0</v>
      </c>
      <c r="B88" s="467">
        <v>80.0</v>
      </c>
      <c r="C88" s="305" t="s">
        <v>1519</v>
      </c>
      <c r="F88" s="1384"/>
      <c r="G88" s="1384"/>
    </row>
    <row r="89">
      <c r="A89" s="466">
        <v>656.0</v>
      </c>
      <c r="B89" s="467">
        <v>120.0</v>
      </c>
      <c r="C89" s="305" t="s">
        <v>1520</v>
      </c>
      <c r="F89" s="1384"/>
      <c r="G89" s="1384"/>
    </row>
    <row r="90">
      <c r="A90" s="466">
        <v>2341.0</v>
      </c>
      <c r="B90" s="467">
        <v>120.0</v>
      </c>
      <c r="C90" s="305" t="s">
        <v>1521</v>
      </c>
      <c r="F90" s="1384"/>
      <c r="G90" s="1384"/>
    </row>
    <row r="91">
      <c r="A91" s="466">
        <v>90.0</v>
      </c>
      <c r="B91" s="467">
        <v>55.0</v>
      </c>
      <c r="C91" s="305" t="s">
        <v>1522</v>
      </c>
      <c r="F91" s="1384"/>
      <c r="G91" s="1384"/>
    </row>
    <row r="92">
      <c r="A92" s="466">
        <v>3546.0</v>
      </c>
      <c r="B92" s="467">
        <v>165.0</v>
      </c>
      <c r="C92" s="305" t="s">
        <v>1523</v>
      </c>
      <c r="F92" s="1384"/>
      <c r="G92" s="1384"/>
    </row>
    <row r="93">
      <c r="A93" s="466">
        <v>514.0</v>
      </c>
      <c r="B93" s="1403">
        <v>0.0</v>
      </c>
      <c r="C93" s="305" t="s">
        <v>1524</v>
      </c>
      <c r="F93" s="1384"/>
      <c r="G93" s="1384"/>
    </row>
    <row r="94">
      <c r="A94" s="466">
        <v>2771.0</v>
      </c>
      <c r="B94" s="467">
        <v>140.0</v>
      </c>
      <c r="C94" s="305" t="s">
        <v>950</v>
      </c>
      <c r="F94" s="1384"/>
      <c r="G94" s="1384"/>
    </row>
    <row r="95">
      <c r="A95" s="466">
        <v>724.0</v>
      </c>
      <c r="B95" s="467">
        <v>80.0</v>
      </c>
      <c r="C95" s="305" t="s">
        <v>1525</v>
      </c>
      <c r="F95" s="1384"/>
      <c r="G95" s="1384"/>
    </row>
    <row r="96">
      <c r="A96" s="466">
        <v>1818.0</v>
      </c>
      <c r="B96" s="467">
        <v>80.0</v>
      </c>
      <c r="C96" s="305" t="s">
        <v>1526</v>
      </c>
      <c r="F96" s="1384"/>
      <c r="G96" s="1384"/>
    </row>
    <row r="97">
      <c r="A97" s="466">
        <v>2730.0</v>
      </c>
      <c r="B97" s="467">
        <v>90.0</v>
      </c>
      <c r="C97" s="305" t="s">
        <v>267</v>
      </c>
      <c r="F97" s="1384"/>
      <c r="G97" s="1384"/>
    </row>
    <row r="98">
      <c r="A98" s="466">
        <v>1287.0</v>
      </c>
      <c r="B98" s="467">
        <v>85.0</v>
      </c>
      <c r="C98" s="305" t="s">
        <v>410</v>
      </c>
      <c r="F98" s="1384"/>
      <c r="G98" s="1384"/>
    </row>
    <row r="99">
      <c r="A99" s="466">
        <v>2727.0</v>
      </c>
      <c r="B99" s="467">
        <v>80.0</v>
      </c>
      <c r="C99" s="305" t="s">
        <v>1527</v>
      </c>
      <c r="F99" s="1384"/>
      <c r="G99" s="1384"/>
    </row>
    <row r="100">
      <c r="A100" s="466">
        <v>1311.0</v>
      </c>
      <c r="B100" s="467">
        <v>160.0</v>
      </c>
      <c r="C100" s="305" t="s">
        <v>1528</v>
      </c>
      <c r="F100" s="1384"/>
      <c r="G100" s="1384"/>
    </row>
    <row r="101">
      <c r="A101" s="466">
        <v>1212.0</v>
      </c>
      <c r="B101" s="467">
        <v>160.0</v>
      </c>
      <c r="C101" s="305" t="s">
        <v>1529</v>
      </c>
      <c r="F101" s="1384"/>
      <c r="G101" s="1384"/>
    </row>
    <row r="102">
      <c r="A102" s="466">
        <v>3782.0</v>
      </c>
      <c r="B102" s="467">
        <v>248.0</v>
      </c>
      <c r="C102" s="305" t="s">
        <v>418</v>
      </c>
      <c r="F102" s="1384"/>
      <c r="G102" s="1384"/>
    </row>
    <row r="103">
      <c r="A103" s="466">
        <v>793.0</v>
      </c>
      <c r="B103" s="917">
        <v>106.0</v>
      </c>
      <c r="C103" s="305" t="s">
        <v>93</v>
      </c>
      <c r="F103" s="1384"/>
      <c r="G103" s="1384"/>
    </row>
    <row r="104">
      <c r="A104" s="466">
        <v>2308.0</v>
      </c>
      <c r="B104" s="467">
        <v>88.0</v>
      </c>
      <c r="C104" s="305" t="s">
        <v>1531</v>
      </c>
      <c r="F104" s="1384"/>
      <c r="G104" s="1384"/>
    </row>
    <row r="105">
      <c r="A105" s="466">
        <v>3819.0</v>
      </c>
      <c r="B105" s="467">
        <v>240.0</v>
      </c>
      <c r="C105" s="305" t="s">
        <v>732</v>
      </c>
      <c r="F105" s="1384"/>
      <c r="G105" s="1384"/>
    </row>
    <row r="106">
      <c r="A106" s="466">
        <v>2203.0</v>
      </c>
      <c r="B106" s="467">
        <v>96.0</v>
      </c>
      <c r="C106" s="305" t="s">
        <v>1167</v>
      </c>
      <c r="F106" s="1384"/>
      <c r="G106" s="1384"/>
    </row>
    <row r="107">
      <c r="A107" s="466">
        <v>3339.0</v>
      </c>
      <c r="B107" s="917">
        <v>210.0</v>
      </c>
      <c r="C107" s="305" t="s">
        <v>366</v>
      </c>
      <c r="F107" s="1384"/>
      <c r="G107" s="1384"/>
    </row>
    <row r="108">
      <c r="A108" s="466">
        <v>2624.0</v>
      </c>
      <c r="B108" s="467">
        <v>193.0</v>
      </c>
      <c r="C108" s="305" t="s">
        <v>1532</v>
      </c>
      <c r="F108" s="1384"/>
      <c r="G108" s="1384"/>
    </row>
    <row r="109">
      <c r="A109" s="466">
        <v>2721.0</v>
      </c>
      <c r="B109" s="467">
        <v>190.0</v>
      </c>
      <c r="C109" s="305" t="s">
        <v>1533</v>
      </c>
      <c r="F109" s="1384"/>
      <c r="G109" s="1384"/>
    </row>
    <row r="110">
      <c r="A110" s="466">
        <v>3849.0</v>
      </c>
      <c r="B110" s="467">
        <v>230.0</v>
      </c>
      <c r="C110" s="305" t="s">
        <v>1135</v>
      </c>
      <c r="F110" s="1384"/>
      <c r="G110" s="1384"/>
    </row>
    <row r="111">
      <c r="A111" s="466">
        <v>3430.0</v>
      </c>
      <c r="B111" s="917">
        <v>230.0</v>
      </c>
      <c r="C111" s="305" t="s">
        <v>1101</v>
      </c>
      <c r="F111" s="1384"/>
      <c r="G111" s="1384"/>
    </row>
    <row r="112">
      <c r="A112" s="466">
        <v>3419.0</v>
      </c>
      <c r="B112" s="467">
        <v>290.0</v>
      </c>
      <c r="C112" s="305" t="s">
        <v>1124</v>
      </c>
      <c r="F112" s="1384"/>
      <c r="G112" s="1384"/>
    </row>
    <row r="113">
      <c r="A113" s="466">
        <v>3457.0</v>
      </c>
      <c r="B113" s="917">
        <v>271.0</v>
      </c>
      <c r="C113" s="305" t="s">
        <v>1141</v>
      </c>
      <c r="F113" s="1384"/>
      <c r="G113" s="1384"/>
    </row>
    <row r="114">
      <c r="A114" s="466">
        <v>3810.0</v>
      </c>
      <c r="B114" s="917">
        <v>251.0</v>
      </c>
      <c r="C114" s="305" t="s">
        <v>1120</v>
      </c>
      <c r="F114" s="1384"/>
      <c r="G114" s="1384"/>
    </row>
    <row r="115">
      <c r="A115" s="466">
        <v>3306.0</v>
      </c>
      <c r="B115" s="917">
        <v>237.0</v>
      </c>
      <c r="C115" s="305" t="s">
        <v>455</v>
      </c>
      <c r="F115" s="1384"/>
      <c r="G115" s="1384"/>
    </row>
    <row r="116">
      <c r="A116" s="466">
        <v>3529.0</v>
      </c>
      <c r="B116" s="467">
        <v>247.0</v>
      </c>
      <c r="C116" s="305" t="s">
        <v>1535</v>
      </c>
      <c r="F116" s="1384"/>
      <c r="G116" s="1384"/>
    </row>
    <row r="117">
      <c r="A117" s="466">
        <v>3343.0</v>
      </c>
      <c r="B117" s="1404">
        <v>272.0</v>
      </c>
      <c r="C117" s="305" t="s">
        <v>290</v>
      </c>
      <c r="F117" s="1384"/>
      <c r="G117" s="1384"/>
    </row>
    <row r="118">
      <c r="A118" s="466">
        <v>2984.0</v>
      </c>
      <c r="B118" s="467">
        <v>130.0</v>
      </c>
      <c r="C118" s="305" t="s">
        <v>1536</v>
      </c>
      <c r="F118" s="1384"/>
      <c r="G118" s="1384"/>
    </row>
    <row r="119">
      <c r="A119" s="466">
        <v>489.0</v>
      </c>
      <c r="B119" s="467">
        <v>198.0</v>
      </c>
      <c r="C119" s="305" t="s">
        <v>1537</v>
      </c>
      <c r="F119" s="1384"/>
      <c r="G119" s="1384"/>
    </row>
    <row r="120">
      <c r="A120" s="466">
        <v>63.0</v>
      </c>
      <c r="B120" s="467">
        <v>198.0</v>
      </c>
      <c r="C120" s="305" t="s">
        <v>1538</v>
      </c>
      <c r="F120" s="1384"/>
      <c r="G120" s="1384"/>
    </row>
    <row r="121">
      <c r="A121" s="466">
        <v>1194.0</v>
      </c>
      <c r="B121" s="467">
        <v>180.0</v>
      </c>
      <c r="C121" s="305" t="s">
        <v>1539</v>
      </c>
      <c r="F121" s="1384"/>
      <c r="G121" s="1384"/>
    </row>
    <row r="122">
      <c r="A122" s="466">
        <v>2190.0</v>
      </c>
      <c r="B122" s="467">
        <v>180.0</v>
      </c>
      <c r="C122" s="305" t="s">
        <v>1540</v>
      </c>
      <c r="F122" s="1384"/>
      <c r="G122" s="1384"/>
    </row>
    <row r="123">
      <c r="A123" s="466">
        <v>678.0</v>
      </c>
      <c r="B123" s="467">
        <v>212.0</v>
      </c>
      <c r="C123" s="305" t="s">
        <v>665</v>
      </c>
      <c r="F123" s="1384"/>
      <c r="G123" s="1384"/>
    </row>
    <row r="124">
      <c r="A124" s="466">
        <v>760.0</v>
      </c>
      <c r="B124" s="467">
        <v>180.0</v>
      </c>
      <c r="C124" s="305" t="s">
        <v>1541</v>
      </c>
      <c r="F124" s="1384"/>
      <c r="G124" s="1384"/>
    </row>
    <row r="125">
      <c r="A125" s="466">
        <v>991.0</v>
      </c>
      <c r="B125" s="467">
        <v>180.0</v>
      </c>
      <c r="C125" s="305" t="s">
        <v>1542</v>
      </c>
      <c r="F125" s="1384"/>
      <c r="G125" s="1384"/>
    </row>
    <row r="126">
      <c r="A126" s="466">
        <v>1088.0</v>
      </c>
      <c r="B126" s="467">
        <v>180.0</v>
      </c>
      <c r="C126" s="305" t="s">
        <v>1543</v>
      </c>
      <c r="F126" s="1384"/>
      <c r="G126" s="1384"/>
    </row>
    <row r="127">
      <c r="A127" s="466">
        <v>761.0</v>
      </c>
      <c r="B127" s="917">
        <v>238.0</v>
      </c>
      <c r="C127" s="305" t="s">
        <v>301</v>
      </c>
      <c r="F127" s="1384"/>
      <c r="G127" s="1384"/>
    </row>
    <row r="128">
      <c r="A128" s="466">
        <v>914.0</v>
      </c>
      <c r="B128" s="467">
        <v>180.0</v>
      </c>
      <c r="C128" s="305" t="s">
        <v>1544</v>
      </c>
      <c r="F128" s="1384"/>
      <c r="G128" s="1384"/>
    </row>
    <row r="129">
      <c r="A129" s="466">
        <v>19.0</v>
      </c>
      <c r="B129" s="467">
        <v>188.0</v>
      </c>
      <c r="C129" s="305" t="s">
        <v>1545</v>
      </c>
      <c r="F129" s="1384"/>
      <c r="G129" s="1384"/>
    </row>
    <row r="130">
      <c r="A130" s="466">
        <v>137.0</v>
      </c>
      <c r="B130" s="467">
        <v>180.0</v>
      </c>
      <c r="C130" s="305" t="s">
        <v>1546</v>
      </c>
      <c r="F130" s="1384"/>
      <c r="G130" s="1384"/>
    </row>
    <row r="131">
      <c r="A131" s="466">
        <v>799.0</v>
      </c>
      <c r="B131" s="467">
        <v>80.0</v>
      </c>
      <c r="C131" s="305" t="s">
        <v>1547</v>
      </c>
      <c r="F131" s="1384"/>
      <c r="G131" s="1384"/>
    </row>
    <row r="132">
      <c r="A132" s="466">
        <v>1148.0</v>
      </c>
      <c r="B132" s="1403">
        <v>0.0</v>
      </c>
      <c r="C132" s="305" t="s">
        <v>1548</v>
      </c>
      <c r="F132" s="1384"/>
      <c r="G132" s="1384"/>
    </row>
    <row r="133">
      <c r="A133" s="466">
        <v>2716.0</v>
      </c>
      <c r="B133" s="467">
        <v>30.0</v>
      </c>
      <c r="C133" s="305" t="s">
        <v>1549</v>
      </c>
      <c r="F133" s="1384"/>
      <c r="G133" s="1384"/>
    </row>
    <row r="134">
      <c r="A134" s="466">
        <v>2360.0</v>
      </c>
      <c r="B134" s="467">
        <v>59.0</v>
      </c>
      <c r="C134" s="305" t="s">
        <v>1550</v>
      </c>
      <c r="F134" s="1384"/>
      <c r="G134" s="1384"/>
    </row>
    <row r="135">
      <c r="A135" s="466">
        <v>1562.0</v>
      </c>
      <c r="B135" s="467">
        <v>60.0</v>
      </c>
      <c r="C135" s="305" t="s">
        <v>1551</v>
      </c>
      <c r="F135" s="1384"/>
      <c r="G135" s="1384"/>
    </row>
    <row r="136">
      <c r="A136" s="466">
        <v>704.0</v>
      </c>
      <c r="B136" s="467">
        <v>15.0</v>
      </c>
      <c r="C136" s="305" t="s">
        <v>1552</v>
      </c>
      <c r="F136" s="1384"/>
      <c r="G136" s="1384"/>
    </row>
    <row r="137">
      <c r="A137" s="466">
        <v>711.0</v>
      </c>
      <c r="B137" s="467">
        <v>30.0</v>
      </c>
      <c r="C137" s="305" t="s">
        <v>1553</v>
      </c>
      <c r="F137" s="1384"/>
      <c r="G137" s="1384"/>
    </row>
    <row r="138">
      <c r="A138" s="466">
        <v>746.0</v>
      </c>
      <c r="B138" s="467">
        <v>45.0</v>
      </c>
      <c r="C138" s="305" t="s">
        <v>1554</v>
      </c>
      <c r="F138" s="1384"/>
      <c r="G138" s="1384"/>
    </row>
    <row r="139">
      <c r="A139" s="466">
        <v>745.0</v>
      </c>
      <c r="B139" s="467">
        <v>40.0</v>
      </c>
      <c r="C139" s="305" t="s">
        <v>1555</v>
      </c>
      <c r="F139" s="1384"/>
      <c r="G139" s="1384"/>
    </row>
    <row r="140">
      <c r="A140" s="466">
        <v>744.0</v>
      </c>
      <c r="B140" s="467">
        <v>25.0</v>
      </c>
      <c r="C140" s="305" t="s">
        <v>1556</v>
      </c>
      <c r="F140" s="1384"/>
      <c r="G140" s="1384"/>
    </row>
    <row r="141">
      <c r="A141" s="466">
        <v>3374.0</v>
      </c>
      <c r="B141" s="467">
        <v>49.0</v>
      </c>
      <c r="C141" s="305" t="s">
        <v>1557</v>
      </c>
      <c r="F141" s="1384"/>
      <c r="G141" s="1384"/>
    </row>
    <row r="142">
      <c r="A142" s="466">
        <v>2581.0</v>
      </c>
      <c r="B142" s="467">
        <v>10.0</v>
      </c>
      <c r="C142" s="305" t="s">
        <v>1558</v>
      </c>
      <c r="F142" s="1384"/>
      <c r="G142" s="1384"/>
    </row>
    <row r="143">
      <c r="A143" s="466">
        <v>1320.0</v>
      </c>
      <c r="B143" s="467">
        <v>45.0</v>
      </c>
      <c r="C143" s="305" t="s">
        <v>1559</v>
      </c>
      <c r="F143" s="1384"/>
      <c r="G143" s="1384"/>
    </row>
    <row r="144">
      <c r="A144" s="466">
        <v>1284.0</v>
      </c>
      <c r="B144" s="467">
        <v>10.0</v>
      </c>
      <c r="C144" s="305" t="s">
        <v>1560</v>
      </c>
      <c r="F144" s="1384"/>
      <c r="G144" s="1384"/>
    </row>
    <row r="145">
      <c r="A145" s="466">
        <v>1281.0</v>
      </c>
      <c r="B145" s="467">
        <v>35.0</v>
      </c>
      <c r="C145" s="305" t="s">
        <v>1561</v>
      </c>
      <c r="F145" s="1384"/>
      <c r="G145" s="1384"/>
    </row>
    <row r="146">
      <c r="A146" s="466">
        <v>3435.0</v>
      </c>
      <c r="B146" s="917">
        <v>51.0</v>
      </c>
      <c r="C146" s="305" t="s">
        <v>276</v>
      </c>
      <c r="F146" s="1384"/>
      <c r="G146" s="1384"/>
    </row>
    <row r="147">
      <c r="A147" s="466">
        <v>3531.0</v>
      </c>
      <c r="B147" s="467">
        <v>321.0</v>
      </c>
      <c r="C147" s="305" t="s">
        <v>1562</v>
      </c>
      <c r="F147" s="1384"/>
      <c r="G147" s="1384"/>
    </row>
    <row r="148">
      <c r="A148" s="466">
        <v>2035.0</v>
      </c>
      <c r="B148" s="467">
        <v>95.0</v>
      </c>
      <c r="C148" s="305" t="s">
        <v>1563</v>
      </c>
      <c r="F148" s="1384"/>
      <c r="G148" s="1384"/>
    </row>
    <row r="149">
      <c r="A149" s="466">
        <v>1478.0</v>
      </c>
      <c r="B149" s="467">
        <v>40.0</v>
      </c>
      <c r="C149" s="305" t="s">
        <v>1564</v>
      </c>
      <c r="F149" s="1384"/>
      <c r="G149" s="1384"/>
    </row>
    <row r="150">
      <c r="A150" s="466">
        <v>1292.0</v>
      </c>
      <c r="B150" s="467">
        <v>40.0</v>
      </c>
      <c r="C150" s="305" t="s">
        <v>1565</v>
      </c>
      <c r="F150" s="1384"/>
      <c r="G150" s="1384"/>
    </row>
    <row r="151">
      <c r="A151" s="466">
        <v>2079.0</v>
      </c>
      <c r="B151" s="917">
        <v>105.0</v>
      </c>
      <c r="C151" s="305" t="s">
        <v>361</v>
      </c>
      <c r="F151" s="1384"/>
      <c r="G151" s="1384"/>
    </row>
    <row r="152">
      <c r="A152" s="466">
        <v>3496.0</v>
      </c>
      <c r="B152" s="1403">
        <v>0.0</v>
      </c>
      <c r="C152" s="305" t="s">
        <v>1566</v>
      </c>
      <c r="F152" s="1384"/>
      <c r="G152" s="1384"/>
    </row>
    <row r="153">
      <c r="A153" s="466">
        <v>3582.0</v>
      </c>
      <c r="B153" s="467">
        <v>94.0</v>
      </c>
      <c r="C153" s="305" t="s">
        <v>1567</v>
      </c>
      <c r="F153" s="1384"/>
      <c r="G153" s="1384"/>
    </row>
    <row r="154">
      <c r="A154" s="1407">
        <v>3642.0</v>
      </c>
      <c r="B154" s="1408">
        <v>100.0</v>
      </c>
      <c r="C154" s="305" t="s">
        <v>2247</v>
      </c>
      <c r="F154" s="1384"/>
      <c r="G154" s="1384"/>
    </row>
    <row r="155">
      <c r="A155" s="466">
        <v>3581.0</v>
      </c>
      <c r="B155" s="467">
        <v>205.0</v>
      </c>
      <c r="C155" s="305" t="s">
        <v>1569</v>
      </c>
      <c r="F155" s="1384"/>
      <c r="G155" s="1384"/>
    </row>
    <row r="156">
      <c r="A156" s="466">
        <v>3584.0</v>
      </c>
      <c r="B156" s="917">
        <v>156.0</v>
      </c>
      <c r="C156" s="305" t="s">
        <v>726</v>
      </c>
      <c r="F156" s="1384"/>
      <c r="G156" s="1384"/>
    </row>
    <row r="157">
      <c r="A157" s="466">
        <v>3540.0</v>
      </c>
      <c r="B157" s="467">
        <v>215.0</v>
      </c>
      <c r="C157" s="305" t="s">
        <v>1570</v>
      </c>
      <c r="F157" s="1384"/>
      <c r="G157" s="1384"/>
    </row>
    <row r="158">
      <c r="A158" s="466">
        <v>3537.0</v>
      </c>
      <c r="B158" s="467">
        <v>183.0</v>
      </c>
      <c r="C158" s="305" t="s">
        <v>1571</v>
      </c>
      <c r="F158" s="1384"/>
      <c r="G158" s="1384"/>
    </row>
    <row r="159">
      <c r="A159" s="466">
        <v>3553.0</v>
      </c>
      <c r="B159" s="467">
        <v>198.0</v>
      </c>
      <c r="C159" s="305" t="s">
        <v>1572</v>
      </c>
      <c r="F159" s="1384"/>
      <c r="G159" s="1384"/>
    </row>
    <row r="160">
      <c r="A160" s="466">
        <v>3623.0</v>
      </c>
      <c r="B160" s="467">
        <v>168.0</v>
      </c>
      <c r="C160" s="305" t="s">
        <v>1573</v>
      </c>
      <c r="F160" s="1384"/>
      <c r="G160" s="1384"/>
    </row>
    <row r="161">
      <c r="A161" s="466">
        <v>3778.0</v>
      </c>
      <c r="B161" s="467">
        <v>98.0</v>
      </c>
      <c r="C161" s="305" t="s">
        <v>1089</v>
      </c>
      <c r="F161" s="1384"/>
      <c r="G161" s="1384"/>
    </row>
    <row r="162">
      <c r="A162" s="466">
        <v>2367.0</v>
      </c>
      <c r="B162" s="467">
        <v>188.0</v>
      </c>
      <c r="C162" s="305" t="s">
        <v>1574</v>
      </c>
      <c r="F162" s="1384"/>
      <c r="G162" s="1384"/>
    </row>
    <row r="163">
      <c r="A163" s="466">
        <v>3292.0</v>
      </c>
      <c r="B163" s="467">
        <v>290.0</v>
      </c>
      <c r="C163" s="305" t="s">
        <v>1575</v>
      </c>
      <c r="F163" s="1384"/>
      <c r="G163" s="1384"/>
    </row>
    <row r="164">
      <c r="A164" s="466">
        <v>1500.0</v>
      </c>
      <c r="B164" s="467">
        <v>188.0</v>
      </c>
      <c r="C164" s="305" t="s">
        <v>1576</v>
      </c>
      <c r="F164" s="1384"/>
      <c r="G164" s="1384"/>
    </row>
    <row r="165">
      <c r="A165" s="466">
        <v>1982.0</v>
      </c>
      <c r="B165" s="917">
        <v>214.0</v>
      </c>
      <c r="C165" s="305" t="s">
        <v>423</v>
      </c>
      <c r="F165" s="1384"/>
      <c r="G165" s="1384"/>
    </row>
    <row r="166">
      <c r="A166" s="466">
        <v>2346.0</v>
      </c>
      <c r="B166" s="467">
        <v>188.0</v>
      </c>
      <c r="C166" s="305" t="s">
        <v>1577</v>
      </c>
      <c r="F166" s="1384"/>
      <c r="G166" s="1384"/>
    </row>
    <row r="167">
      <c r="A167" s="466">
        <v>2658.0</v>
      </c>
      <c r="B167" s="467">
        <v>80.0</v>
      </c>
      <c r="C167" s="305" t="s">
        <v>1578</v>
      </c>
      <c r="F167" s="1384"/>
      <c r="G167" s="1384"/>
    </row>
    <row r="168">
      <c r="A168" s="466">
        <v>97.0</v>
      </c>
      <c r="B168" s="467">
        <v>160.0</v>
      </c>
      <c r="C168" s="305" t="s">
        <v>1579</v>
      </c>
      <c r="F168" s="1384"/>
      <c r="G168" s="1384"/>
    </row>
    <row r="169">
      <c r="A169" s="466">
        <v>98.0</v>
      </c>
      <c r="B169" s="467">
        <v>70.0</v>
      </c>
      <c r="C169" s="305" t="s">
        <v>1580</v>
      </c>
      <c r="F169" s="1384"/>
      <c r="G169" s="1384"/>
    </row>
    <row r="170">
      <c r="A170" s="466">
        <v>99.0</v>
      </c>
      <c r="B170" s="467">
        <v>90.0</v>
      </c>
      <c r="C170" s="305" t="s">
        <v>1581</v>
      </c>
      <c r="F170" s="1384"/>
      <c r="G170" s="1384"/>
    </row>
    <row r="171">
      <c r="A171" s="466">
        <v>555.0</v>
      </c>
      <c r="B171" s="467">
        <v>198.0</v>
      </c>
      <c r="C171" s="305" t="s">
        <v>1582</v>
      </c>
      <c r="F171" s="1384"/>
      <c r="G171" s="1384"/>
    </row>
    <row r="172">
      <c r="A172" s="466">
        <v>674.0</v>
      </c>
      <c r="B172" s="467">
        <v>180.0</v>
      </c>
      <c r="C172" s="305" t="s">
        <v>1583</v>
      </c>
      <c r="F172" s="1384"/>
      <c r="G172" s="1384"/>
    </row>
    <row r="173">
      <c r="A173" s="466">
        <v>3089.0</v>
      </c>
      <c r="B173" s="467">
        <v>130.0</v>
      </c>
      <c r="C173" s="305" t="s">
        <v>1584</v>
      </c>
      <c r="F173" s="1384"/>
      <c r="G173" s="1384"/>
    </row>
    <row r="174">
      <c r="A174" s="466">
        <v>482.0</v>
      </c>
      <c r="B174" s="467">
        <v>180.0</v>
      </c>
      <c r="C174" s="305" t="s">
        <v>1585</v>
      </c>
      <c r="F174" s="1384"/>
      <c r="G174" s="1384"/>
    </row>
    <row r="175">
      <c r="A175" s="466">
        <v>814.0</v>
      </c>
      <c r="B175" s="467">
        <v>198.0</v>
      </c>
      <c r="C175" s="305" t="s">
        <v>1586</v>
      </c>
      <c r="F175" s="1384"/>
      <c r="G175" s="1384"/>
    </row>
    <row r="176">
      <c r="A176" s="466">
        <v>2250.0</v>
      </c>
      <c r="B176" s="467">
        <v>88.0</v>
      </c>
      <c r="C176" s="305" t="s">
        <v>1587</v>
      </c>
      <c r="F176" s="1384"/>
      <c r="G176" s="1384"/>
    </row>
    <row r="177">
      <c r="A177" s="466">
        <v>807.0</v>
      </c>
      <c r="B177" s="467">
        <v>188.0</v>
      </c>
      <c r="C177" s="305" t="s">
        <v>1588</v>
      </c>
      <c r="F177" s="1384"/>
      <c r="G177" s="1384"/>
    </row>
    <row r="178">
      <c r="A178" s="466">
        <v>3758.0</v>
      </c>
      <c r="B178" s="467">
        <v>246.0</v>
      </c>
      <c r="C178" s="305" t="s">
        <v>1589</v>
      </c>
      <c r="F178" s="1384"/>
      <c r="G178" s="1384"/>
    </row>
    <row r="179">
      <c r="A179" s="466">
        <v>3524.0</v>
      </c>
      <c r="B179" s="467">
        <v>198.0</v>
      </c>
      <c r="C179" s="305" t="s">
        <v>657</v>
      </c>
      <c r="F179" s="1384"/>
      <c r="G179" s="1384"/>
    </row>
    <row r="180">
      <c r="A180" s="466">
        <v>3032.0</v>
      </c>
      <c r="B180" s="467">
        <v>198.0</v>
      </c>
      <c r="C180" s="305" t="s">
        <v>1591</v>
      </c>
      <c r="F180" s="1384"/>
      <c r="G180" s="1384"/>
    </row>
    <row r="181">
      <c r="A181" s="466">
        <v>3031.0</v>
      </c>
      <c r="B181" s="467">
        <v>230.0</v>
      </c>
      <c r="C181" s="305" t="s">
        <v>655</v>
      </c>
      <c r="F181" s="1384"/>
      <c r="G181" s="1384"/>
    </row>
    <row r="182">
      <c r="A182" s="466">
        <v>3552.0</v>
      </c>
      <c r="B182" s="467">
        <v>250.0</v>
      </c>
      <c r="C182" s="305" t="s">
        <v>653</v>
      </c>
      <c r="F182" s="1384"/>
      <c r="G182" s="1384"/>
    </row>
    <row r="183">
      <c r="A183" s="466">
        <v>1175.0</v>
      </c>
      <c r="B183" s="467">
        <v>198.0</v>
      </c>
      <c r="C183" s="305" t="s">
        <v>1592</v>
      </c>
      <c r="F183" s="1384"/>
      <c r="G183" s="1384"/>
    </row>
    <row r="184">
      <c r="A184" s="466">
        <v>2554.0</v>
      </c>
      <c r="B184" s="467">
        <v>225.0</v>
      </c>
      <c r="C184" s="305" t="s">
        <v>1593</v>
      </c>
      <c r="F184" s="1384"/>
      <c r="G184" s="1384"/>
    </row>
    <row r="185">
      <c r="A185" s="466">
        <v>3468.0</v>
      </c>
      <c r="B185" s="467">
        <v>255.0</v>
      </c>
      <c r="C185" s="305" t="s">
        <v>671</v>
      </c>
      <c r="F185" s="1384"/>
      <c r="G185" s="1384"/>
    </row>
    <row r="186">
      <c r="A186" s="466">
        <v>3467.0</v>
      </c>
      <c r="B186" s="467">
        <v>210.0</v>
      </c>
      <c r="C186" s="305" t="s">
        <v>1595</v>
      </c>
      <c r="F186" s="1384"/>
      <c r="G186" s="1384"/>
    </row>
    <row r="187">
      <c r="A187" s="466">
        <v>3798.0</v>
      </c>
      <c r="B187" s="467">
        <v>228.0</v>
      </c>
      <c r="C187" s="305" t="s">
        <v>490</v>
      </c>
      <c r="F187" s="1384"/>
      <c r="G187" s="1384"/>
    </row>
    <row r="188">
      <c r="A188" s="466">
        <v>48.0</v>
      </c>
      <c r="B188" s="917">
        <v>237.0</v>
      </c>
      <c r="C188" s="305" t="s">
        <v>274</v>
      </c>
      <c r="F188" s="1384"/>
      <c r="G188" s="1384"/>
    </row>
    <row r="189">
      <c r="A189" s="466">
        <v>3280.0</v>
      </c>
      <c r="B189" s="467">
        <v>130.0</v>
      </c>
      <c r="C189" s="305" t="s">
        <v>1597</v>
      </c>
      <c r="F189" s="1384"/>
      <c r="G189" s="1384"/>
    </row>
    <row r="190">
      <c r="A190" s="466">
        <v>94.0</v>
      </c>
      <c r="B190" s="467">
        <v>120.0</v>
      </c>
      <c r="C190" s="305" t="s">
        <v>1598</v>
      </c>
      <c r="F190" s="1384"/>
      <c r="G190" s="1384"/>
    </row>
    <row r="191">
      <c r="A191" s="466">
        <v>3178.0</v>
      </c>
      <c r="B191" s="467">
        <v>130.0</v>
      </c>
      <c r="C191" s="305" t="s">
        <v>1599</v>
      </c>
      <c r="F191" s="1384"/>
      <c r="G191" s="1384"/>
    </row>
    <row r="192">
      <c r="A192" s="466">
        <v>1414.0</v>
      </c>
      <c r="B192" s="467">
        <v>188.0</v>
      </c>
      <c r="C192" s="305" t="s">
        <v>1600</v>
      </c>
      <c r="F192" s="1384"/>
      <c r="G192" s="1384"/>
    </row>
    <row r="193">
      <c r="A193" s="466">
        <v>789.0</v>
      </c>
      <c r="B193" s="467">
        <v>180.0</v>
      </c>
      <c r="C193" s="305" t="s">
        <v>1601</v>
      </c>
      <c r="F193" s="1384"/>
      <c r="G193" s="1384"/>
    </row>
    <row r="194">
      <c r="A194" s="466">
        <v>3745.0</v>
      </c>
      <c r="B194" s="467">
        <v>228.0</v>
      </c>
      <c r="C194" s="305" t="s">
        <v>716</v>
      </c>
      <c r="F194" s="1384"/>
      <c r="G194" s="1384"/>
    </row>
    <row r="195">
      <c r="A195" s="466">
        <v>3695.0</v>
      </c>
      <c r="B195" s="467">
        <v>217.0</v>
      </c>
      <c r="C195" s="305" t="s">
        <v>676</v>
      </c>
      <c r="F195" s="1384"/>
      <c r="G195" s="1384"/>
    </row>
    <row r="196">
      <c r="A196" s="466">
        <v>3694.0</v>
      </c>
      <c r="B196" s="1403">
        <v>0.0</v>
      </c>
      <c r="C196" s="305" t="s">
        <v>1603</v>
      </c>
      <c r="F196" s="1384"/>
      <c r="G196" s="1384"/>
    </row>
    <row r="197">
      <c r="A197" s="466">
        <v>2472.0</v>
      </c>
      <c r="B197" s="467">
        <v>130.0</v>
      </c>
      <c r="C197" s="305" t="s">
        <v>1604</v>
      </c>
      <c r="F197" s="1384"/>
      <c r="G197" s="1384"/>
    </row>
    <row r="198">
      <c r="A198" s="466">
        <v>550.0</v>
      </c>
      <c r="B198" s="467">
        <v>188.0</v>
      </c>
      <c r="C198" s="305" t="s">
        <v>1605</v>
      </c>
      <c r="F198" s="1384"/>
      <c r="G198" s="1384"/>
    </row>
    <row r="199">
      <c r="A199" s="466">
        <v>1062.0</v>
      </c>
      <c r="B199" s="467">
        <v>212.0</v>
      </c>
      <c r="C199" s="305" t="s">
        <v>1606</v>
      </c>
      <c r="F199" s="1384"/>
      <c r="G199" s="1384"/>
    </row>
    <row r="200">
      <c r="A200" s="466">
        <v>27.0</v>
      </c>
      <c r="B200" s="467">
        <v>188.0</v>
      </c>
      <c r="C200" s="305" t="s">
        <v>1608</v>
      </c>
      <c r="F200" s="1384"/>
      <c r="G200" s="1384"/>
    </row>
    <row r="201">
      <c r="A201" s="466">
        <v>115.0</v>
      </c>
      <c r="B201" s="467">
        <v>188.0</v>
      </c>
      <c r="C201" s="305" t="s">
        <v>1609</v>
      </c>
      <c r="F201" s="1384"/>
      <c r="G201" s="1384"/>
    </row>
    <row r="202">
      <c r="A202" s="466">
        <v>1553.0</v>
      </c>
      <c r="B202" s="467">
        <v>188.0</v>
      </c>
      <c r="C202" s="305" t="s">
        <v>757</v>
      </c>
      <c r="F202" s="1384"/>
      <c r="G202" s="1384"/>
    </row>
    <row r="203">
      <c r="A203" s="466">
        <v>1063.0</v>
      </c>
      <c r="B203" s="467">
        <v>198.0</v>
      </c>
      <c r="C203" s="305" t="s">
        <v>1611</v>
      </c>
      <c r="F203" s="1384"/>
      <c r="G203" s="1384"/>
    </row>
    <row r="204">
      <c r="A204" s="466">
        <v>1154.0</v>
      </c>
      <c r="B204" s="467">
        <v>188.0</v>
      </c>
      <c r="C204" s="305" t="s">
        <v>1612</v>
      </c>
      <c r="F204" s="1384"/>
      <c r="G204" s="1384"/>
    </row>
    <row r="205">
      <c r="A205" s="466">
        <v>2405.0</v>
      </c>
      <c r="B205" s="467">
        <v>188.0</v>
      </c>
      <c r="C205" s="305" t="s">
        <v>1613</v>
      </c>
      <c r="F205" s="1384"/>
      <c r="G205" s="1384"/>
    </row>
    <row r="206">
      <c r="A206" s="466">
        <v>1899.0</v>
      </c>
      <c r="B206" s="917">
        <v>261.0</v>
      </c>
      <c r="C206" s="305" t="s">
        <v>1614</v>
      </c>
      <c r="F206" s="1384"/>
      <c r="G206" s="1384"/>
    </row>
    <row r="207">
      <c r="A207" s="466">
        <v>2029.0</v>
      </c>
      <c r="B207" s="917">
        <v>248.0</v>
      </c>
      <c r="C207" s="305" t="s">
        <v>868</v>
      </c>
      <c r="F207" s="1384"/>
      <c r="G207" s="1384"/>
    </row>
    <row r="208">
      <c r="A208" s="466">
        <v>1899.0</v>
      </c>
      <c r="B208" s="917">
        <v>278.0</v>
      </c>
      <c r="C208" s="305" t="s">
        <v>451</v>
      </c>
      <c r="F208" s="1384"/>
      <c r="G208" s="1384"/>
    </row>
    <row r="209">
      <c r="A209" s="466">
        <v>2352.0</v>
      </c>
      <c r="B209" s="467">
        <v>130.0</v>
      </c>
      <c r="C209" s="305" t="s">
        <v>1616</v>
      </c>
      <c r="F209" s="1384"/>
      <c r="G209" s="1384"/>
    </row>
    <row r="210">
      <c r="A210" s="466">
        <v>2021.0</v>
      </c>
      <c r="B210" s="467">
        <v>188.0</v>
      </c>
      <c r="C210" s="305" t="s">
        <v>1617</v>
      </c>
      <c r="F210" s="1384"/>
      <c r="G210" s="1384"/>
    </row>
    <row r="211">
      <c r="A211" s="466">
        <v>2699.0</v>
      </c>
      <c r="B211" s="467">
        <v>188.0</v>
      </c>
      <c r="C211" s="305" t="s">
        <v>1618</v>
      </c>
      <c r="F211" s="1384"/>
      <c r="G211" s="1384"/>
    </row>
    <row r="212">
      <c r="A212" s="466">
        <v>2053.0</v>
      </c>
      <c r="B212" s="467">
        <v>188.0</v>
      </c>
      <c r="C212" s="305" t="s">
        <v>1619</v>
      </c>
      <c r="F212" s="1384"/>
      <c r="G212" s="1384"/>
    </row>
    <row r="213">
      <c r="A213" s="466">
        <v>2022.0</v>
      </c>
      <c r="B213" s="917">
        <v>216.0</v>
      </c>
      <c r="C213" s="305" t="s">
        <v>1253</v>
      </c>
      <c r="F213" s="1384"/>
      <c r="G213" s="1384"/>
    </row>
    <row r="214">
      <c r="A214" s="466">
        <v>2275.0</v>
      </c>
      <c r="B214" s="467">
        <v>130.0</v>
      </c>
      <c r="C214" s="305" t="s">
        <v>1620</v>
      </c>
      <c r="F214" s="1384"/>
      <c r="G214" s="1384"/>
    </row>
    <row r="215">
      <c r="A215" s="466">
        <v>1845.0</v>
      </c>
      <c r="B215" s="467">
        <v>188.0</v>
      </c>
      <c r="C215" s="305" t="s">
        <v>1621</v>
      </c>
      <c r="F215" s="1384"/>
      <c r="G215" s="1384"/>
    </row>
    <row r="216">
      <c r="A216" s="466">
        <v>1051.0</v>
      </c>
      <c r="B216" s="467">
        <v>188.0</v>
      </c>
      <c r="C216" s="305" t="s">
        <v>1622</v>
      </c>
      <c r="F216" s="1384"/>
      <c r="G216" s="1384"/>
    </row>
    <row r="217">
      <c r="A217" s="466">
        <v>1841.0</v>
      </c>
      <c r="B217" s="467">
        <v>188.0</v>
      </c>
      <c r="C217" s="305" t="s">
        <v>1623</v>
      </c>
      <c r="F217" s="1384"/>
      <c r="G217" s="1384"/>
    </row>
    <row r="218">
      <c r="A218" s="466">
        <v>2442.0</v>
      </c>
      <c r="B218" s="467">
        <v>130.0</v>
      </c>
      <c r="C218" s="305" t="s">
        <v>1624</v>
      </c>
      <c r="F218" s="1384"/>
      <c r="G218" s="1384"/>
    </row>
    <row r="219">
      <c r="A219" s="466">
        <v>1830.0</v>
      </c>
      <c r="B219" s="917">
        <v>234.0</v>
      </c>
      <c r="C219" s="305" t="s">
        <v>1625</v>
      </c>
      <c r="F219" s="1384"/>
      <c r="G219" s="1384"/>
    </row>
    <row r="220">
      <c r="A220" s="466">
        <v>1073.0</v>
      </c>
      <c r="B220" s="917">
        <v>261.0</v>
      </c>
      <c r="C220" s="305" t="s">
        <v>368</v>
      </c>
      <c r="F220" s="1384"/>
      <c r="G220" s="1384"/>
    </row>
    <row r="221">
      <c r="A221" s="466">
        <v>2403.0</v>
      </c>
      <c r="B221" s="467">
        <v>188.0</v>
      </c>
      <c r="C221" s="305" t="s">
        <v>1626</v>
      </c>
      <c r="F221" s="1384"/>
      <c r="G221" s="1384"/>
    </row>
    <row r="222">
      <c r="A222" s="466">
        <v>16.0</v>
      </c>
      <c r="B222" s="467">
        <v>188.0</v>
      </c>
      <c r="C222" s="305" t="s">
        <v>1627</v>
      </c>
      <c r="F222" s="1384"/>
      <c r="G222" s="1384"/>
    </row>
    <row r="223">
      <c r="A223" s="466">
        <v>3663.0</v>
      </c>
      <c r="B223" s="917">
        <v>229.0</v>
      </c>
      <c r="C223" s="305" t="s">
        <v>372</v>
      </c>
      <c r="F223" s="1384"/>
      <c r="G223" s="1384"/>
    </row>
    <row r="224">
      <c r="A224" s="466">
        <v>2321.0</v>
      </c>
      <c r="B224" s="467">
        <v>130.0</v>
      </c>
      <c r="C224" s="305" t="s">
        <v>1629</v>
      </c>
      <c r="F224" s="1384"/>
      <c r="G224" s="1384"/>
    </row>
    <row r="225">
      <c r="A225" s="466">
        <v>1871.0</v>
      </c>
      <c r="B225" s="467">
        <v>188.0</v>
      </c>
      <c r="C225" s="305" t="s">
        <v>1630</v>
      </c>
      <c r="F225" s="1384"/>
      <c r="G225" s="1384"/>
    </row>
    <row r="226">
      <c r="A226" s="466">
        <v>1400.0</v>
      </c>
      <c r="B226" s="467">
        <v>188.0</v>
      </c>
      <c r="C226" s="305" t="s">
        <v>1631</v>
      </c>
      <c r="F226" s="1384"/>
      <c r="G226" s="1384"/>
    </row>
    <row r="227">
      <c r="A227" s="466">
        <v>1491.0</v>
      </c>
      <c r="B227" s="467">
        <v>188.0</v>
      </c>
      <c r="C227" s="305" t="s">
        <v>1632</v>
      </c>
      <c r="F227" s="1384"/>
      <c r="G227" s="1384"/>
    </row>
    <row r="228">
      <c r="A228" s="466">
        <v>1532.0</v>
      </c>
      <c r="B228" s="467">
        <v>188.0</v>
      </c>
      <c r="C228" s="305" t="s">
        <v>1633</v>
      </c>
      <c r="F228" s="1384"/>
      <c r="G228" s="1384"/>
    </row>
    <row r="229">
      <c r="A229" s="466">
        <v>434.0</v>
      </c>
      <c r="B229" s="1403">
        <v>0.0</v>
      </c>
      <c r="C229" s="305" t="s">
        <v>1634</v>
      </c>
      <c r="F229" s="1384"/>
      <c r="G229" s="1384"/>
    </row>
    <row r="230">
      <c r="A230" s="466">
        <v>2451.0</v>
      </c>
      <c r="B230" s="467">
        <v>130.0</v>
      </c>
      <c r="C230" s="305" t="s">
        <v>1635</v>
      </c>
      <c r="F230" s="1384"/>
      <c r="G230" s="1384"/>
    </row>
    <row r="231">
      <c r="A231" s="466">
        <v>2448.0</v>
      </c>
      <c r="B231" s="467">
        <v>188.0</v>
      </c>
      <c r="C231" s="305" t="s">
        <v>1636</v>
      </c>
      <c r="F231" s="1384"/>
      <c r="G231" s="1384"/>
    </row>
    <row r="232">
      <c r="A232" s="466">
        <v>1090.0</v>
      </c>
      <c r="B232" s="467">
        <v>188.0</v>
      </c>
      <c r="C232" s="305" t="s">
        <v>1637</v>
      </c>
      <c r="F232" s="1384"/>
      <c r="G232" s="1384"/>
    </row>
    <row r="233">
      <c r="A233" s="466">
        <v>1078.0</v>
      </c>
      <c r="B233" s="467">
        <v>188.0</v>
      </c>
      <c r="C233" s="305" t="s">
        <v>1638</v>
      </c>
      <c r="F233" s="1384"/>
      <c r="G233" s="1384"/>
    </row>
    <row r="234">
      <c r="A234" s="466">
        <v>2162.0</v>
      </c>
      <c r="B234" s="467">
        <v>188.0</v>
      </c>
      <c r="C234" s="305" t="s">
        <v>1639</v>
      </c>
      <c r="F234" s="1384"/>
      <c r="G234" s="1401"/>
    </row>
    <row r="235">
      <c r="A235" s="466">
        <v>65.0</v>
      </c>
      <c r="B235" s="467">
        <v>188.0</v>
      </c>
      <c r="C235" s="305" t="s">
        <v>1640</v>
      </c>
      <c r="F235" s="1384"/>
      <c r="G235" s="1384"/>
    </row>
    <row r="236">
      <c r="A236" s="466">
        <v>682.0</v>
      </c>
      <c r="B236" s="467">
        <v>213.0</v>
      </c>
      <c r="C236" s="305" t="s">
        <v>695</v>
      </c>
      <c r="F236" s="1384"/>
      <c r="G236" s="1384"/>
    </row>
    <row r="237">
      <c r="A237" s="466">
        <v>1120.0</v>
      </c>
      <c r="B237" s="467">
        <v>188.0</v>
      </c>
      <c r="C237" s="305" t="s">
        <v>1641</v>
      </c>
      <c r="F237" s="1384"/>
      <c r="G237" s="1384"/>
    </row>
    <row r="238">
      <c r="A238" s="466">
        <v>629.0</v>
      </c>
      <c r="B238" s="467">
        <v>188.0</v>
      </c>
      <c r="C238" s="305" t="s">
        <v>1642</v>
      </c>
      <c r="F238" s="1384"/>
      <c r="G238" s="1384"/>
    </row>
    <row r="239">
      <c r="A239" s="466">
        <v>2887.0</v>
      </c>
      <c r="B239" s="467">
        <v>188.0</v>
      </c>
      <c r="C239" s="305" t="s">
        <v>1643</v>
      </c>
      <c r="F239" s="1384"/>
      <c r="G239" s="1384"/>
    </row>
    <row r="240">
      <c r="A240" s="466">
        <v>2466.0</v>
      </c>
      <c r="B240" s="467">
        <v>188.0</v>
      </c>
      <c r="C240" s="305" t="s">
        <v>1644</v>
      </c>
      <c r="F240" s="1384"/>
      <c r="G240" s="1384"/>
    </row>
    <row r="241">
      <c r="A241" s="466">
        <v>2578.0</v>
      </c>
      <c r="B241" s="467">
        <v>130.0</v>
      </c>
      <c r="C241" s="305" t="s">
        <v>1645</v>
      </c>
      <c r="F241" s="1384"/>
      <c r="G241" s="1384"/>
    </row>
    <row r="242">
      <c r="A242" s="466">
        <v>2986.0</v>
      </c>
      <c r="B242" s="467">
        <v>198.0</v>
      </c>
      <c r="C242" s="305" t="s">
        <v>1646</v>
      </c>
      <c r="F242" s="1384"/>
      <c r="G242" s="1384"/>
    </row>
    <row r="243">
      <c r="A243" s="466">
        <v>2654.0</v>
      </c>
      <c r="B243" s="467">
        <v>188.0</v>
      </c>
      <c r="C243" s="305" t="s">
        <v>1647</v>
      </c>
      <c r="F243" s="1384"/>
      <c r="G243" s="1384"/>
    </row>
    <row r="244">
      <c r="A244" s="466">
        <v>2567.0</v>
      </c>
      <c r="B244" s="467">
        <v>188.0</v>
      </c>
      <c r="C244" s="305" t="s">
        <v>1648</v>
      </c>
      <c r="F244" s="1384"/>
      <c r="G244" s="1384"/>
    </row>
    <row r="245">
      <c r="A245" s="466">
        <v>2985.0</v>
      </c>
      <c r="B245" s="467">
        <v>198.0</v>
      </c>
      <c r="C245" s="305" t="s">
        <v>1649</v>
      </c>
      <c r="F245" s="1384"/>
      <c r="G245" s="1384"/>
    </row>
    <row r="246">
      <c r="A246" s="466">
        <v>2566.0</v>
      </c>
      <c r="B246" s="467">
        <v>188.0</v>
      </c>
      <c r="C246" s="305" t="s">
        <v>1650</v>
      </c>
      <c r="F246" s="1384"/>
      <c r="G246" s="1384"/>
    </row>
    <row r="247">
      <c r="A247" s="466">
        <v>2999.0</v>
      </c>
      <c r="B247" s="467">
        <v>198.0</v>
      </c>
      <c r="C247" s="305" t="s">
        <v>1651</v>
      </c>
      <c r="F247" s="1384"/>
      <c r="G247" s="1384"/>
    </row>
    <row r="248">
      <c r="A248" s="466">
        <v>2961.0</v>
      </c>
      <c r="B248" s="467">
        <v>198.0</v>
      </c>
      <c r="C248" s="305" t="s">
        <v>1652</v>
      </c>
      <c r="F248" s="1384"/>
      <c r="G248" s="1384"/>
    </row>
    <row r="249">
      <c r="A249" s="466">
        <v>2726.0</v>
      </c>
      <c r="B249" s="467">
        <v>130.0</v>
      </c>
      <c r="C249" s="305" t="s">
        <v>1654</v>
      </c>
      <c r="F249" s="1384"/>
      <c r="G249" s="1384"/>
    </row>
    <row r="250">
      <c r="A250" s="466">
        <v>1333.0</v>
      </c>
      <c r="B250" s="917">
        <v>226.0</v>
      </c>
      <c r="C250" s="305" t="s">
        <v>503</v>
      </c>
      <c r="F250" s="1384"/>
      <c r="G250" s="1384"/>
    </row>
    <row r="251">
      <c r="A251" s="466">
        <v>2799.0</v>
      </c>
      <c r="B251" s="917">
        <v>239.0</v>
      </c>
      <c r="C251" s="305" t="s">
        <v>1655</v>
      </c>
      <c r="F251" s="1384"/>
      <c r="G251" s="1384"/>
    </row>
    <row r="252">
      <c r="A252" s="466">
        <v>1141.0</v>
      </c>
      <c r="B252" s="467">
        <v>188.0</v>
      </c>
      <c r="C252" s="305" t="s">
        <v>1656</v>
      </c>
      <c r="F252" s="1384"/>
      <c r="G252" s="1384"/>
    </row>
    <row r="253">
      <c r="A253" s="466">
        <v>1268.0</v>
      </c>
      <c r="B253" s="467">
        <v>188.0</v>
      </c>
      <c r="C253" s="305" t="s">
        <v>1657</v>
      </c>
      <c r="F253" s="1384"/>
      <c r="G253" s="1384"/>
    </row>
    <row r="254">
      <c r="A254" s="466">
        <v>2962.0</v>
      </c>
      <c r="B254" s="467">
        <v>198.0</v>
      </c>
      <c r="C254" s="305" t="s">
        <v>1658</v>
      </c>
      <c r="F254" s="1384"/>
      <c r="G254" s="1384"/>
    </row>
    <row r="255">
      <c r="A255" s="466">
        <v>1824.0</v>
      </c>
      <c r="B255" s="467">
        <v>188.0</v>
      </c>
      <c r="C255" s="305" t="s">
        <v>1659</v>
      </c>
      <c r="F255" s="1384"/>
      <c r="G255" s="1384"/>
    </row>
    <row r="256">
      <c r="A256" s="466">
        <v>1554.0</v>
      </c>
      <c r="B256" s="467">
        <v>188.0</v>
      </c>
      <c r="C256" s="305" t="s">
        <v>1660</v>
      </c>
      <c r="F256" s="1384"/>
      <c r="G256" s="1384"/>
    </row>
    <row r="257">
      <c r="A257" s="466">
        <v>40.0</v>
      </c>
      <c r="B257" s="467">
        <v>188.0</v>
      </c>
      <c r="C257" s="305" t="s">
        <v>1661</v>
      </c>
      <c r="F257" s="1384"/>
      <c r="G257" s="1384"/>
    </row>
    <row r="258">
      <c r="A258" s="466">
        <v>3358.0</v>
      </c>
      <c r="B258" s="467">
        <v>198.0</v>
      </c>
      <c r="C258" s="305" t="s">
        <v>1662</v>
      </c>
      <c r="F258" s="1384"/>
      <c r="G258" s="1384"/>
    </row>
    <row r="259">
      <c r="A259" s="466">
        <v>3357.0</v>
      </c>
      <c r="B259" s="467">
        <v>198.0</v>
      </c>
      <c r="C259" s="305" t="s">
        <v>1663</v>
      </c>
      <c r="F259" s="1384"/>
      <c r="G259" s="1384"/>
    </row>
    <row r="260">
      <c r="A260" s="466">
        <v>2722.0</v>
      </c>
      <c r="B260" s="467">
        <v>260.0</v>
      </c>
      <c r="C260" s="305" t="s">
        <v>1664</v>
      </c>
      <c r="F260" s="1384"/>
      <c r="G260" s="1384"/>
    </row>
    <row r="261">
      <c r="A261" s="466">
        <v>1140.0</v>
      </c>
      <c r="B261" s="467">
        <v>188.0</v>
      </c>
      <c r="C261" s="305" t="s">
        <v>1665</v>
      </c>
      <c r="F261" s="1384"/>
      <c r="G261" s="1384"/>
    </row>
    <row r="262">
      <c r="A262" s="466">
        <v>3562.0</v>
      </c>
      <c r="B262" s="467">
        <v>198.0</v>
      </c>
      <c r="C262" s="305" t="s">
        <v>1666</v>
      </c>
      <c r="F262" s="1384"/>
      <c r="G262" s="1384"/>
    </row>
    <row r="263">
      <c r="A263" s="466">
        <v>3479.0</v>
      </c>
      <c r="B263" s="467">
        <v>198.0</v>
      </c>
      <c r="C263" s="305" t="s">
        <v>1667</v>
      </c>
      <c r="F263" s="1384"/>
      <c r="G263" s="1384"/>
    </row>
    <row r="264">
      <c r="A264" s="466">
        <v>3476.0</v>
      </c>
      <c r="B264" s="467">
        <v>198.0</v>
      </c>
      <c r="C264" s="305" t="s">
        <v>1668</v>
      </c>
      <c r="F264" s="1384"/>
      <c r="G264" s="1384"/>
    </row>
    <row r="265">
      <c r="A265" s="466">
        <v>2827.0</v>
      </c>
      <c r="B265" s="467">
        <v>188.0</v>
      </c>
      <c r="C265" s="305" t="s">
        <v>1669</v>
      </c>
      <c r="F265" s="1384"/>
      <c r="G265" s="1384"/>
    </row>
    <row r="266">
      <c r="A266" s="466">
        <v>1409.0</v>
      </c>
      <c r="B266" s="467">
        <v>188.0</v>
      </c>
      <c r="C266" s="305" t="s">
        <v>1670</v>
      </c>
      <c r="F266" s="1384"/>
      <c r="G266" s="1384"/>
    </row>
    <row r="267">
      <c r="A267" s="466">
        <v>2856.0</v>
      </c>
      <c r="B267" s="467">
        <v>198.0</v>
      </c>
      <c r="C267" s="305" t="s">
        <v>1671</v>
      </c>
      <c r="F267" s="1384"/>
      <c r="G267" s="1384"/>
    </row>
    <row r="268">
      <c r="A268" s="466">
        <v>1307.0</v>
      </c>
      <c r="B268" s="467">
        <v>45.0</v>
      </c>
      <c r="C268" s="305" t="s">
        <v>1672</v>
      </c>
      <c r="F268" s="1384"/>
      <c r="G268" s="1384"/>
    </row>
    <row r="269">
      <c r="A269" s="466">
        <v>747.0</v>
      </c>
      <c r="B269" s="467">
        <v>40.0</v>
      </c>
      <c r="C269" s="305" t="s">
        <v>1673</v>
      </c>
      <c r="F269" s="1384"/>
      <c r="G269" s="1384"/>
    </row>
    <row r="270">
      <c r="A270" s="466">
        <v>3406.0</v>
      </c>
      <c r="B270" s="467">
        <v>198.0</v>
      </c>
      <c r="C270" s="305" t="s">
        <v>1674</v>
      </c>
      <c r="F270" s="1384"/>
      <c r="G270" s="1384"/>
    </row>
    <row r="271">
      <c r="A271" s="466">
        <v>3314.0</v>
      </c>
      <c r="B271" s="467">
        <v>198.0</v>
      </c>
      <c r="C271" s="305" t="s">
        <v>1675</v>
      </c>
      <c r="F271" s="1384"/>
      <c r="G271" s="1384"/>
    </row>
    <row r="272">
      <c r="A272" s="466">
        <v>11.0</v>
      </c>
      <c r="B272" s="467">
        <v>160.0</v>
      </c>
      <c r="C272" s="305" t="s">
        <v>1676</v>
      </c>
      <c r="F272" s="1384"/>
      <c r="G272" s="1384"/>
    </row>
    <row r="273">
      <c r="A273" s="466">
        <v>2712.0</v>
      </c>
      <c r="B273" s="467">
        <v>30.0</v>
      </c>
      <c r="C273" s="305" t="s">
        <v>1677</v>
      </c>
      <c r="F273" s="1384"/>
      <c r="G273" s="1384"/>
    </row>
    <row r="274">
      <c r="A274" s="466">
        <v>2263.0</v>
      </c>
      <c r="B274" s="467">
        <v>59.0</v>
      </c>
      <c r="C274" s="305" t="s">
        <v>1436</v>
      </c>
      <c r="F274" s="1384"/>
      <c r="G274" s="1384"/>
    </row>
    <row r="275">
      <c r="A275" s="466">
        <v>28.0</v>
      </c>
      <c r="B275" s="917">
        <v>198.0</v>
      </c>
      <c r="C275" s="305" t="s">
        <v>790</v>
      </c>
      <c r="F275" s="1384"/>
      <c r="G275" s="1384"/>
    </row>
    <row r="276">
      <c r="A276" s="466">
        <v>3404.0</v>
      </c>
      <c r="B276" s="467">
        <v>152.0</v>
      </c>
      <c r="C276" s="305" t="s">
        <v>1679</v>
      </c>
      <c r="F276" s="1384"/>
      <c r="G276" s="1384"/>
    </row>
    <row r="277">
      <c r="A277" s="466">
        <v>2006.0</v>
      </c>
      <c r="B277" s="467">
        <v>125.0</v>
      </c>
      <c r="C277" s="305" t="s">
        <v>1680</v>
      </c>
      <c r="F277" s="1384"/>
      <c r="G277" s="1384"/>
    </row>
    <row r="278">
      <c r="A278" s="466">
        <v>93.0</v>
      </c>
      <c r="B278" s="467">
        <v>160.0</v>
      </c>
      <c r="C278" s="305" t="s">
        <v>1681</v>
      </c>
      <c r="F278" s="1384"/>
      <c r="G278" s="1384"/>
    </row>
    <row r="279">
      <c r="A279" s="466">
        <v>2342.0</v>
      </c>
      <c r="B279" s="467">
        <v>188.0</v>
      </c>
      <c r="C279" s="305" t="s">
        <v>1682</v>
      </c>
      <c r="F279" s="1384"/>
      <c r="G279" s="1384"/>
    </row>
    <row r="280">
      <c r="A280" s="466">
        <v>3759.0</v>
      </c>
      <c r="B280" s="467">
        <v>243.0</v>
      </c>
      <c r="C280" s="305" t="s">
        <v>843</v>
      </c>
      <c r="F280" s="1384"/>
      <c r="G280" s="1384"/>
    </row>
    <row r="281">
      <c r="A281" s="466">
        <v>2550.0</v>
      </c>
      <c r="B281" s="467">
        <v>188.0</v>
      </c>
      <c r="C281" s="305" t="s">
        <v>1683</v>
      </c>
      <c r="F281" s="1384"/>
      <c r="G281" s="1384"/>
    </row>
    <row r="282">
      <c r="A282" s="466">
        <v>57.0</v>
      </c>
      <c r="B282" s="467">
        <v>188.0</v>
      </c>
      <c r="C282" s="305" t="s">
        <v>1684</v>
      </c>
      <c r="F282" s="1384"/>
      <c r="G282" s="1384"/>
    </row>
    <row r="283">
      <c r="A283" s="466">
        <v>965.0</v>
      </c>
      <c r="B283" s="917">
        <v>195.0</v>
      </c>
      <c r="C283" s="305" t="s">
        <v>2411</v>
      </c>
      <c r="F283" s="1384"/>
      <c r="G283" s="1384"/>
    </row>
    <row r="284">
      <c r="A284" s="466">
        <v>3053.0</v>
      </c>
      <c r="B284" s="467">
        <v>188.0</v>
      </c>
      <c r="C284" s="305" t="s">
        <v>2413</v>
      </c>
      <c r="F284" s="1384"/>
      <c r="G284" s="1384"/>
    </row>
    <row r="285">
      <c r="A285" s="466">
        <v>607.0</v>
      </c>
      <c r="B285" s="467">
        <v>188.0</v>
      </c>
      <c r="C285" s="305" t="s">
        <v>2415</v>
      </c>
      <c r="F285" s="1384"/>
      <c r="G285" s="1384"/>
    </row>
    <row r="286">
      <c r="A286" s="466">
        <v>869.0</v>
      </c>
      <c r="B286" s="467">
        <v>198.0</v>
      </c>
      <c r="C286" s="305" t="s">
        <v>2417</v>
      </c>
      <c r="F286" s="1384"/>
      <c r="G286" s="1384"/>
    </row>
    <row r="287">
      <c r="A287" s="466">
        <v>739.0</v>
      </c>
      <c r="B287" s="467">
        <v>188.0</v>
      </c>
      <c r="C287" s="305" t="s">
        <v>2419</v>
      </c>
      <c r="F287" s="1384"/>
      <c r="G287" s="1384"/>
    </row>
    <row r="288">
      <c r="A288" s="466">
        <v>2217.0</v>
      </c>
      <c r="B288" s="467">
        <v>180.0</v>
      </c>
      <c r="C288" s="305" t="s">
        <v>1689</v>
      </c>
      <c r="F288" s="1384"/>
      <c r="G288" s="1384"/>
    </row>
    <row r="289">
      <c r="A289" s="466">
        <v>1174.0</v>
      </c>
      <c r="B289" s="467">
        <v>180.0</v>
      </c>
      <c r="C289" s="305" t="s">
        <v>1690</v>
      </c>
      <c r="F289" s="1384"/>
      <c r="G289" s="1384"/>
    </row>
    <row r="290">
      <c r="A290" s="466">
        <v>1340.0</v>
      </c>
      <c r="B290" s="467">
        <v>180.0</v>
      </c>
      <c r="C290" s="305" t="s">
        <v>1691</v>
      </c>
      <c r="F290" s="1384"/>
      <c r="G290" s="1384"/>
    </row>
    <row r="291">
      <c r="A291" s="466">
        <v>1064.0</v>
      </c>
      <c r="B291" s="467">
        <v>180.0</v>
      </c>
      <c r="C291" s="305" t="s">
        <v>1692</v>
      </c>
      <c r="F291" s="1384"/>
      <c r="G291" s="1384"/>
    </row>
    <row r="292">
      <c r="A292" s="466">
        <v>1061.0</v>
      </c>
      <c r="B292" s="467">
        <v>180.0</v>
      </c>
      <c r="C292" s="305" t="s">
        <v>1693</v>
      </c>
      <c r="F292" s="1384"/>
      <c r="G292" s="1384"/>
    </row>
    <row r="293">
      <c r="A293" s="466">
        <v>2290.0</v>
      </c>
      <c r="B293" s="467">
        <v>130.0</v>
      </c>
      <c r="C293" s="305" t="s">
        <v>1694</v>
      </c>
      <c r="F293" s="1384"/>
      <c r="G293" s="1384"/>
    </row>
    <row r="294">
      <c r="A294" s="466">
        <v>2090.0</v>
      </c>
      <c r="B294" s="467">
        <v>120.0</v>
      </c>
      <c r="C294" s="305" t="s">
        <v>1695</v>
      </c>
      <c r="F294" s="1384"/>
      <c r="G294" s="1384"/>
    </row>
    <row r="295">
      <c r="A295" s="466">
        <v>2076.0</v>
      </c>
      <c r="B295" s="467">
        <v>120.0</v>
      </c>
      <c r="C295" s="305" t="s">
        <v>1696</v>
      </c>
      <c r="F295" s="1384"/>
      <c r="G295" s="1384"/>
    </row>
    <row r="296">
      <c r="A296" s="466">
        <v>2656.0</v>
      </c>
      <c r="B296" s="467">
        <v>200.0</v>
      </c>
      <c r="C296" s="305" t="s">
        <v>1697</v>
      </c>
      <c r="F296" s="1384"/>
      <c r="G296" s="1384"/>
    </row>
    <row r="297">
      <c r="A297" s="466">
        <v>3340.0</v>
      </c>
      <c r="B297" s="467">
        <v>157.0</v>
      </c>
      <c r="C297" s="305" t="s">
        <v>1698</v>
      </c>
      <c r="F297" s="1384"/>
      <c r="G297" s="1384"/>
    </row>
    <row r="298">
      <c r="A298" s="466">
        <v>3645.0</v>
      </c>
      <c r="B298" s="467">
        <v>219.0</v>
      </c>
      <c r="C298" s="305" t="s">
        <v>969</v>
      </c>
      <c r="F298" s="1384"/>
      <c r="G298" s="1384"/>
    </row>
    <row r="299">
      <c r="A299" s="466">
        <v>3014.0</v>
      </c>
      <c r="B299" s="917">
        <v>168.0</v>
      </c>
      <c r="C299" s="305" t="s">
        <v>444</v>
      </c>
      <c r="F299" s="1384"/>
      <c r="G299" s="1384"/>
    </row>
    <row r="300">
      <c r="A300" s="466">
        <v>1404.0</v>
      </c>
      <c r="B300" s="467">
        <v>128.0</v>
      </c>
      <c r="C300" s="305" t="s">
        <v>934</v>
      </c>
      <c r="F300" s="1384"/>
      <c r="G300" s="1384"/>
    </row>
    <row r="301">
      <c r="A301" s="466">
        <v>238.0</v>
      </c>
      <c r="B301" s="467">
        <v>198.0</v>
      </c>
      <c r="C301" s="305" t="s">
        <v>296</v>
      </c>
      <c r="F301" s="1384"/>
      <c r="G301" s="1384"/>
    </row>
    <row r="302">
      <c r="A302" s="466">
        <v>2851.0</v>
      </c>
      <c r="B302" s="467">
        <v>59.0</v>
      </c>
      <c r="C302" s="305" t="s">
        <v>1653</v>
      </c>
      <c r="F302" s="1384"/>
      <c r="G302" s="1384"/>
    </row>
    <row r="303">
      <c r="A303" s="466">
        <v>1483.0</v>
      </c>
      <c r="B303" s="467">
        <v>180.0</v>
      </c>
      <c r="C303" s="305" t="s">
        <v>1701</v>
      </c>
      <c r="F303" s="1384"/>
      <c r="G303" s="1384"/>
    </row>
    <row r="304">
      <c r="A304" s="466">
        <v>1397.0</v>
      </c>
      <c r="B304" s="467">
        <v>180.0</v>
      </c>
      <c r="C304" s="305" t="s">
        <v>1702</v>
      </c>
      <c r="F304" s="1384"/>
      <c r="G304" s="1384"/>
    </row>
    <row r="305">
      <c r="A305" s="466">
        <v>564.0</v>
      </c>
      <c r="B305" s="467">
        <v>188.0</v>
      </c>
      <c r="C305" s="305" t="s">
        <v>1703</v>
      </c>
      <c r="F305" s="1384"/>
      <c r="G305" s="1384"/>
    </row>
    <row r="306">
      <c r="A306" s="466">
        <v>1220.0</v>
      </c>
      <c r="B306" s="467">
        <v>160.0</v>
      </c>
      <c r="C306" s="305" t="s">
        <v>1704</v>
      </c>
      <c r="F306" s="1384"/>
      <c r="G306" s="1384"/>
    </row>
    <row r="307">
      <c r="A307" s="466">
        <v>830.0</v>
      </c>
      <c r="B307" s="467">
        <v>188.0</v>
      </c>
      <c r="C307" s="305" t="s">
        <v>1705</v>
      </c>
      <c r="F307" s="1384"/>
      <c r="G307" s="1384"/>
    </row>
    <row r="308">
      <c r="A308" s="466">
        <v>1234.0</v>
      </c>
      <c r="B308" s="467">
        <v>160.0</v>
      </c>
      <c r="C308" s="305" t="s">
        <v>1706</v>
      </c>
      <c r="F308" s="1384"/>
      <c r="G308" s="1384"/>
    </row>
    <row r="309">
      <c r="A309" s="466">
        <v>3672.0</v>
      </c>
      <c r="B309" s="467">
        <v>225.0</v>
      </c>
      <c r="C309" s="305" t="s">
        <v>1707</v>
      </c>
      <c r="F309" s="1384"/>
      <c r="G309" s="1384"/>
    </row>
    <row r="310">
      <c r="A310" s="466">
        <v>2583.0</v>
      </c>
      <c r="B310" s="467">
        <v>80.0</v>
      </c>
      <c r="C310" s="305" t="s">
        <v>1708</v>
      </c>
      <c r="F310" s="1384"/>
      <c r="G310" s="1384"/>
    </row>
    <row r="311">
      <c r="A311" s="466">
        <v>2582.0</v>
      </c>
      <c r="B311" s="467">
        <v>98.0</v>
      </c>
      <c r="C311" s="305" t="s">
        <v>1709</v>
      </c>
      <c r="F311" s="1384"/>
      <c r="G311" s="1384"/>
    </row>
    <row r="312">
      <c r="A312" s="466">
        <v>3107.0</v>
      </c>
      <c r="B312" s="467">
        <v>98.0</v>
      </c>
      <c r="C312" s="305" t="s">
        <v>1710</v>
      </c>
      <c r="F312" s="1384"/>
      <c r="G312" s="1384"/>
    </row>
    <row r="313">
      <c r="A313" s="466">
        <v>2830.0</v>
      </c>
      <c r="B313" s="467">
        <v>198.0</v>
      </c>
      <c r="C313" s="305" t="s">
        <v>792</v>
      </c>
      <c r="F313" s="1384"/>
      <c r="G313" s="1384"/>
    </row>
    <row r="314">
      <c r="A314" s="466">
        <v>2720.0</v>
      </c>
      <c r="B314" s="467">
        <v>200.0</v>
      </c>
      <c r="C314" s="305" t="s">
        <v>1711</v>
      </c>
      <c r="F314" s="1384"/>
      <c r="G314" s="1384"/>
    </row>
    <row r="315">
      <c r="A315" s="466">
        <v>49.0</v>
      </c>
      <c r="B315" s="467">
        <v>160.0</v>
      </c>
      <c r="C315" s="305" t="s">
        <v>1712</v>
      </c>
      <c r="F315" s="1384"/>
      <c r="G315" s="1384"/>
    </row>
    <row r="316">
      <c r="A316" s="466">
        <v>3199.0</v>
      </c>
      <c r="B316" s="917">
        <v>174.0</v>
      </c>
      <c r="C316" s="305" t="s">
        <v>937</v>
      </c>
      <c r="F316" s="1384"/>
      <c r="G316" s="1384"/>
    </row>
    <row r="317">
      <c r="A317" s="466">
        <v>3740.0</v>
      </c>
      <c r="B317" s="917">
        <v>221.0</v>
      </c>
      <c r="C317" s="305" t="s">
        <v>613</v>
      </c>
      <c r="F317" s="1384"/>
      <c r="G317" s="1384"/>
    </row>
    <row r="318">
      <c r="A318" s="466">
        <v>2783.0</v>
      </c>
      <c r="B318" s="467">
        <v>158.0</v>
      </c>
      <c r="C318" s="305" t="s">
        <v>1713</v>
      </c>
      <c r="F318" s="1384"/>
      <c r="G318" s="1384"/>
    </row>
    <row r="319">
      <c r="A319" s="466">
        <v>3263.0</v>
      </c>
      <c r="B319" s="467">
        <v>210.0</v>
      </c>
      <c r="C319" s="305" t="s">
        <v>1714</v>
      </c>
      <c r="F319" s="1384"/>
      <c r="G319" s="1384"/>
    </row>
    <row r="320">
      <c r="A320" s="466">
        <v>17.0</v>
      </c>
      <c r="B320" s="467">
        <v>160.0</v>
      </c>
      <c r="C320" s="305" t="s">
        <v>1715</v>
      </c>
      <c r="F320" s="1384"/>
      <c r="G320" s="1384"/>
    </row>
    <row r="321">
      <c r="A321" s="466">
        <v>2673.0</v>
      </c>
      <c r="B321" s="467">
        <v>188.0</v>
      </c>
      <c r="C321" s="305" t="s">
        <v>1716</v>
      </c>
      <c r="F321" s="1384"/>
      <c r="G321" s="1384"/>
    </row>
    <row r="322">
      <c r="A322" s="466">
        <v>3049.0</v>
      </c>
      <c r="B322" s="467">
        <v>233.0</v>
      </c>
      <c r="C322" s="305" t="s">
        <v>1717</v>
      </c>
      <c r="F322" s="1384"/>
      <c r="G322" s="1384"/>
    </row>
    <row r="323">
      <c r="A323" s="466">
        <v>3662.0</v>
      </c>
      <c r="B323" s="467">
        <v>214.0</v>
      </c>
      <c r="C323" s="305" t="s">
        <v>971</v>
      </c>
      <c r="F323" s="1384"/>
      <c r="G323" s="1384"/>
    </row>
    <row r="324">
      <c r="A324" s="466">
        <v>863.0</v>
      </c>
      <c r="B324" s="467">
        <v>150.0</v>
      </c>
      <c r="C324" s="305" t="s">
        <v>1718</v>
      </c>
      <c r="F324" s="1384"/>
      <c r="G324" s="1384"/>
    </row>
    <row r="325">
      <c r="A325" s="466">
        <v>2847.0</v>
      </c>
      <c r="B325" s="917">
        <v>185.0</v>
      </c>
      <c r="C325" s="305" t="s">
        <v>999</v>
      </c>
      <c r="F325" s="1384"/>
      <c r="G325" s="1384"/>
    </row>
    <row r="326">
      <c r="A326" s="466">
        <v>3542.0</v>
      </c>
      <c r="B326" s="467">
        <v>165.0</v>
      </c>
      <c r="C326" s="305" t="s">
        <v>1719</v>
      </c>
      <c r="F326" s="1384"/>
      <c r="G326" s="1384"/>
    </row>
    <row r="327">
      <c r="A327" s="466">
        <v>3428.0</v>
      </c>
      <c r="B327" s="467">
        <v>165.0</v>
      </c>
      <c r="C327" s="305" t="s">
        <v>1720</v>
      </c>
      <c r="F327" s="1384"/>
      <c r="G327" s="1384"/>
    </row>
    <row r="328">
      <c r="A328" s="466">
        <v>1128.0</v>
      </c>
      <c r="B328" s="917">
        <v>185.0</v>
      </c>
      <c r="C328" s="305" t="s">
        <v>961</v>
      </c>
      <c r="F328" s="1384"/>
      <c r="G328" s="1384"/>
    </row>
    <row r="329">
      <c r="A329" s="466">
        <v>2336.0</v>
      </c>
      <c r="B329" s="467">
        <v>115.0</v>
      </c>
      <c r="C329" s="305" t="s">
        <v>1721</v>
      </c>
      <c r="F329" s="1384"/>
      <c r="G329" s="1384"/>
    </row>
    <row r="330">
      <c r="A330" s="466">
        <v>2635.0</v>
      </c>
      <c r="B330" s="467">
        <v>173.0</v>
      </c>
      <c r="C330" s="305" t="s">
        <v>1722</v>
      </c>
      <c r="F330" s="1384"/>
      <c r="G330" s="1384"/>
    </row>
    <row r="331">
      <c r="A331" s="466">
        <v>2762.0</v>
      </c>
      <c r="B331" s="917">
        <v>174.0</v>
      </c>
      <c r="C331" s="305" t="s">
        <v>719</v>
      </c>
      <c r="F331" s="1384"/>
      <c r="G331" s="1384"/>
    </row>
    <row r="332">
      <c r="A332" s="466">
        <v>3341.0</v>
      </c>
      <c r="B332" s="917">
        <v>187.0</v>
      </c>
      <c r="C332" s="305" t="s">
        <v>515</v>
      </c>
      <c r="F332" s="1384"/>
      <c r="G332" s="1384"/>
    </row>
    <row r="333">
      <c r="A333" s="466">
        <v>2212.0</v>
      </c>
      <c r="B333" s="467">
        <v>115.0</v>
      </c>
      <c r="C333" s="305" t="s">
        <v>1723</v>
      </c>
      <c r="F333" s="1384"/>
      <c r="G333" s="1384"/>
    </row>
    <row r="334">
      <c r="A334" s="466">
        <v>2397.0</v>
      </c>
      <c r="B334" s="467">
        <v>120.0</v>
      </c>
      <c r="C334" s="305" t="s">
        <v>1724</v>
      </c>
      <c r="F334" s="1384"/>
      <c r="G334" s="1384"/>
    </row>
    <row r="335">
      <c r="A335" s="466">
        <v>2366.0</v>
      </c>
      <c r="B335" s="467">
        <v>120.0</v>
      </c>
      <c r="C335" s="305" t="s">
        <v>1725</v>
      </c>
      <c r="F335" s="1384"/>
      <c r="G335" s="1384"/>
    </row>
    <row r="336">
      <c r="A336" s="466">
        <v>2365.0</v>
      </c>
      <c r="B336" s="467">
        <v>120.0</v>
      </c>
      <c r="C336" s="305" t="s">
        <v>1726</v>
      </c>
      <c r="F336" s="1384"/>
      <c r="G336" s="1384"/>
    </row>
    <row r="337">
      <c r="A337" s="466">
        <v>728.0</v>
      </c>
      <c r="B337" s="467">
        <v>120.0</v>
      </c>
      <c r="C337" s="305" t="s">
        <v>1727</v>
      </c>
      <c r="F337" s="1384"/>
      <c r="G337" s="1384"/>
    </row>
    <row r="338">
      <c r="A338" s="466">
        <v>2893.0</v>
      </c>
      <c r="B338" s="467">
        <v>59.0</v>
      </c>
      <c r="C338" s="305" t="s">
        <v>1728</v>
      </c>
      <c r="F338" s="1384"/>
      <c r="G338" s="1384"/>
    </row>
    <row r="339">
      <c r="A339" s="466">
        <v>2676.0</v>
      </c>
      <c r="B339" s="467">
        <v>188.0</v>
      </c>
      <c r="C339" s="305" t="s">
        <v>1729</v>
      </c>
      <c r="F339" s="1384"/>
      <c r="G339" s="1384"/>
    </row>
    <row r="340">
      <c r="A340" s="466">
        <v>1348.0</v>
      </c>
      <c r="B340" s="467">
        <v>188.0</v>
      </c>
      <c r="C340" s="305" t="s">
        <v>1730</v>
      </c>
      <c r="F340" s="1384"/>
      <c r="G340" s="1384"/>
    </row>
    <row r="341">
      <c r="A341" s="466">
        <v>2632.0</v>
      </c>
      <c r="B341" s="467">
        <v>130.0</v>
      </c>
      <c r="C341" s="305" t="s">
        <v>1731</v>
      </c>
      <c r="F341" s="1384"/>
      <c r="G341" s="1384"/>
    </row>
    <row r="342">
      <c r="A342" s="466">
        <v>1188.0</v>
      </c>
      <c r="B342" s="467">
        <v>180.0</v>
      </c>
      <c r="C342" s="305" t="s">
        <v>1732</v>
      </c>
      <c r="F342" s="1384"/>
      <c r="G342" s="1384"/>
    </row>
    <row r="343">
      <c r="A343" s="466">
        <v>1551.0</v>
      </c>
      <c r="B343" s="467">
        <v>180.0</v>
      </c>
      <c r="C343" s="305" t="s">
        <v>1733</v>
      </c>
      <c r="F343" s="1384"/>
      <c r="G343" s="1384"/>
    </row>
    <row r="344">
      <c r="A344" s="466">
        <v>1187.0</v>
      </c>
      <c r="B344" s="467">
        <v>180.0</v>
      </c>
      <c r="C344" s="305" t="s">
        <v>1734</v>
      </c>
      <c r="F344" s="1384"/>
      <c r="G344" s="1384"/>
    </row>
    <row r="345">
      <c r="A345" s="466">
        <v>1186.0</v>
      </c>
      <c r="B345" s="467">
        <v>180.0</v>
      </c>
      <c r="C345" s="305" t="s">
        <v>1735</v>
      </c>
      <c r="F345" s="1384"/>
      <c r="G345" s="1384"/>
    </row>
    <row r="346">
      <c r="A346" s="466">
        <v>3364.0</v>
      </c>
      <c r="B346" s="467">
        <v>198.0</v>
      </c>
      <c r="C346" s="305" t="s">
        <v>1736</v>
      </c>
      <c r="F346" s="1384"/>
      <c r="G346" s="1384"/>
    </row>
    <row r="347">
      <c r="A347" s="466">
        <v>3575.0</v>
      </c>
      <c r="B347" s="467">
        <v>198.0</v>
      </c>
      <c r="C347" s="305" t="s">
        <v>1737</v>
      </c>
      <c r="F347" s="1384"/>
      <c r="G347" s="1384"/>
    </row>
    <row r="348">
      <c r="A348" s="466">
        <v>2531.0</v>
      </c>
      <c r="B348" s="467">
        <v>188.0</v>
      </c>
      <c r="C348" s="305" t="s">
        <v>1738</v>
      </c>
      <c r="F348" s="1384"/>
      <c r="G348" s="1384"/>
    </row>
    <row r="349">
      <c r="A349" s="466">
        <v>2539.0</v>
      </c>
      <c r="B349" s="467">
        <v>130.0</v>
      </c>
      <c r="C349" s="305" t="s">
        <v>1739</v>
      </c>
      <c r="F349" s="1384"/>
      <c r="G349" s="1384"/>
    </row>
    <row r="350">
      <c r="A350" s="466">
        <v>3776.0</v>
      </c>
      <c r="B350" s="467">
        <v>253.0</v>
      </c>
      <c r="C350" s="305" t="s">
        <v>634</v>
      </c>
      <c r="F350" s="1384"/>
      <c r="G350" s="1384"/>
    </row>
    <row r="351">
      <c r="A351" s="466">
        <v>1848.0</v>
      </c>
      <c r="B351" s="467">
        <v>150.0</v>
      </c>
      <c r="C351" s="305" t="s">
        <v>1741</v>
      </c>
      <c r="F351" s="1384"/>
      <c r="G351" s="1384"/>
    </row>
    <row r="352">
      <c r="A352" s="466">
        <v>2675.0</v>
      </c>
      <c r="B352" s="467">
        <v>165.0</v>
      </c>
      <c r="C352" s="305" t="s">
        <v>1742</v>
      </c>
      <c r="F352" s="1384"/>
      <c r="G352" s="1384"/>
    </row>
    <row r="353">
      <c r="A353" s="466">
        <v>1161.0</v>
      </c>
      <c r="B353" s="467">
        <v>45.0</v>
      </c>
      <c r="C353" s="305" t="s">
        <v>1743</v>
      </c>
      <c r="F353" s="1384"/>
      <c r="G353" s="1384"/>
    </row>
    <row r="354">
      <c r="A354" s="466">
        <v>1831.0</v>
      </c>
      <c r="B354" s="467">
        <v>98.0</v>
      </c>
      <c r="C354" s="305" t="s">
        <v>1744</v>
      </c>
      <c r="F354" s="1384"/>
      <c r="G354" s="1384"/>
    </row>
    <row r="355">
      <c r="A355" s="466">
        <v>2070.0</v>
      </c>
      <c r="B355" s="467">
        <v>98.0</v>
      </c>
      <c r="C355" s="305" t="s">
        <v>1107</v>
      </c>
      <c r="F355" s="1384"/>
      <c r="G355" s="1384"/>
    </row>
    <row r="356">
      <c r="A356" s="466">
        <v>2485.0</v>
      </c>
      <c r="B356" s="467">
        <v>80.0</v>
      </c>
      <c r="C356" s="305" t="s">
        <v>1745</v>
      </c>
      <c r="F356" s="1384"/>
      <c r="G356" s="1384"/>
    </row>
    <row r="357">
      <c r="A357" s="466">
        <v>438.0</v>
      </c>
      <c r="B357" s="467">
        <v>50.0</v>
      </c>
      <c r="C357" s="305" t="s">
        <v>1746</v>
      </c>
      <c r="F357" s="1384"/>
      <c r="G357" s="1384"/>
    </row>
    <row r="358">
      <c r="A358" s="466">
        <v>2248.0</v>
      </c>
      <c r="B358" s="467">
        <v>59.0</v>
      </c>
      <c r="C358" s="305" t="s">
        <v>1461</v>
      </c>
      <c r="F358" s="1384"/>
      <c r="G358" s="1384"/>
    </row>
    <row r="359">
      <c r="A359" s="466">
        <v>2846.0</v>
      </c>
      <c r="B359" s="467">
        <v>302.0</v>
      </c>
      <c r="C359" s="305" t="s">
        <v>1749</v>
      </c>
      <c r="F359" s="1384"/>
      <c r="G359" s="1384"/>
    </row>
    <row r="360">
      <c r="A360" s="466">
        <v>3035.0</v>
      </c>
      <c r="B360" s="467">
        <v>95.0</v>
      </c>
      <c r="C360" s="305" t="s">
        <v>1750</v>
      </c>
      <c r="F360" s="1384"/>
      <c r="G360" s="1384"/>
    </row>
    <row r="361">
      <c r="A361" s="466">
        <v>2503.0</v>
      </c>
      <c r="B361" s="467">
        <v>88.0</v>
      </c>
      <c r="C361" s="305" t="s">
        <v>1751</v>
      </c>
      <c r="F361" s="1384"/>
      <c r="G361" s="1384"/>
    </row>
    <row r="362">
      <c r="A362" s="466">
        <v>2715.0</v>
      </c>
      <c r="B362" s="467">
        <v>30.0</v>
      </c>
      <c r="C362" s="305" t="s">
        <v>1752</v>
      </c>
      <c r="F362" s="1384"/>
      <c r="G362" s="1384"/>
    </row>
    <row r="363">
      <c r="A363" s="466">
        <v>2304.0</v>
      </c>
      <c r="B363" s="467">
        <v>59.0</v>
      </c>
      <c r="C363" s="305" t="s">
        <v>2502</v>
      </c>
      <c r="F363" s="1384"/>
      <c r="G363" s="1384"/>
    </row>
    <row r="364">
      <c r="A364" s="466">
        <v>2265.0</v>
      </c>
      <c r="B364" s="467">
        <v>59.0</v>
      </c>
      <c r="C364" s="305" t="s">
        <v>2504</v>
      </c>
      <c r="F364" s="1384"/>
      <c r="G364" s="1384"/>
    </row>
    <row r="365">
      <c r="A365" s="466">
        <v>2247.0</v>
      </c>
      <c r="B365" s="467">
        <v>59.0</v>
      </c>
      <c r="C365" s="305" t="s">
        <v>1441</v>
      </c>
      <c r="F365" s="1384"/>
      <c r="G365" s="1384"/>
    </row>
    <row r="366">
      <c r="A366" s="466">
        <v>3466.0</v>
      </c>
      <c r="B366" s="467">
        <v>80.0</v>
      </c>
      <c r="C366" s="305" t="s">
        <v>1759</v>
      </c>
      <c r="F366" s="1384"/>
      <c r="G366" s="1384"/>
    </row>
    <row r="367">
      <c r="A367" s="466">
        <v>41.0</v>
      </c>
      <c r="B367" s="467">
        <v>98.0</v>
      </c>
      <c r="C367" s="305" t="s">
        <v>2511</v>
      </c>
      <c r="F367" s="1384"/>
      <c r="G367" s="1384"/>
    </row>
    <row r="368">
      <c r="A368" s="466">
        <v>3350.0</v>
      </c>
      <c r="B368" s="467">
        <v>90.0</v>
      </c>
      <c r="C368" s="305" t="s">
        <v>1762</v>
      </c>
      <c r="F368" s="1384"/>
      <c r="G368" s="1384"/>
    </row>
    <row r="369">
      <c r="A369" s="466">
        <v>3144.0</v>
      </c>
      <c r="B369" s="467">
        <v>95.0</v>
      </c>
      <c r="C369" s="305" t="s">
        <v>952</v>
      </c>
      <c r="F369" s="1384"/>
      <c r="G369" s="1384"/>
    </row>
    <row r="370">
      <c r="A370" s="466">
        <v>2350.0</v>
      </c>
      <c r="B370" s="467">
        <v>68.0</v>
      </c>
      <c r="C370" s="305" t="s">
        <v>1763</v>
      </c>
      <c r="F370" s="1384"/>
      <c r="G370" s="1384"/>
    </row>
    <row r="371">
      <c r="A371" s="466">
        <v>3480.0</v>
      </c>
      <c r="B371" s="467">
        <v>85.0</v>
      </c>
      <c r="C371" s="305" t="s">
        <v>1764</v>
      </c>
      <c r="F371" s="1384"/>
      <c r="G371" s="1384"/>
    </row>
    <row r="372">
      <c r="A372" s="466">
        <v>3472.0</v>
      </c>
      <c r="B372" s="467">
        <v>85.0</v>
      </c>
      <c r="C372" s="305" t="s">
        <v>1765</v>
      </c>
      <c r="F372" s="1384"/>
      <c r="G372" s="1384"/>
    </row>
    <row r="373">
      <c r="A373" s="466">
        <v>2385.0</v>
      </c>
      <c r="B373" s="467">
        <v>68.0</v>
      </c>
      <c r="C373" s="305" t="s">
        <v>1766</v>
      </c>
      <c r="F373" s="1384"/>
      <c r="G373" s="1384"/>
    </row>
    <row r="374">
      <c r="A374" s="1421">
        <v>3970.0</v>
      </c>
      <c r="B374" s="917">
        <v>93.0</v>
      </c>
      <c r="C374" s="305" t="s">
        <v>1247</v>
      </c>
      <c r="F374" s="1384"/>
      <c r="G374" s="1384"/>
    </row>
    <row r="375">
      <c r="A375" s="466">
        <v>3523.0</v>
      </c>
      <c r="B375" s="467">
        <v>95.0</v>
      </c>
      <c r="C375" s="305" t="s">
        <v>1768</v>
      </c>
      <c r="F375" s="1384"/>
      <c r="G375" s="1384"/>
    </row>
    <row r="376">
      <c r="A376" s="466">
        <v>3445.0</v>
      </c>
      <c r="B376" s="467">
        <v>85.0</v>
      </c>
      <c r="C376" s="305" t="s">
        <v>948</v>
      </c>
      <c r="F376" s="1384"/>
      <c r="G376" s="1384"/>
    </row>
    <row r="377">
      <c r="A377" s="466">
        <v>1312.0</v>
      </c>
      <c r="B377" s="467">
        <v>85.0</v>
      </c>
      <c r="C377" s="305" t="s">
        <v>1769</v>
      </c>
      <c r="F377" s="1384"/>
      <c r="G377" s="1384"/>
    </row>
    <row r="378">
      <c r="A378" s="466">
        <v>2980.0</v>
      </c>
      <c r="B378" s="917">
        <v>100.0</v>
      </c>
      <c r="C378" s="305" t="s">
        <v>448</v>
      </c>
      <c r="F378" s="1384"/>
      <c r="G378" s="1384"/>
    </row>
    <row r="379">
      <c r="A379" s="466">
        <v>3119.0</v>
      </c>
      <c r="B379" s="467">
        <v>85.0</v>
      </c>
      <c r="C379" s="305" t="s">
        <v>1770</v>
      </c>
      <c r="F379" s="1384"/>
      <c r="G379" s="1384"/>
    </row>
    <row r="380">
      <c r="A380" s="466">
        <v>3644.0</v>
      </c>
      <c r="B380" s="467">
        <v>108.0</v>
      </c>
      <c r="C380" s="305" t="s">
        <v>1003</v>
      </c>
      <c r="F380" s="1384"/>
      <c r="G380" s="1384"/>
    </row>
    <row r="381">
      <c r="A381" s="466">
        <v>2951.0</v>
      </c>
      <c r="B381" s="467">
        <v>85.0</v>
      </c>
      <c r="C381" s="305" t="s">
        <v>377</v>
      </c>
      <c r="F381" s="1384"/>
      <c r="G381" s="1384"/>
    </row>
    <row r="382">
      <c r="A382" s="466">
        <v>1557.0</v>
      </c>
      <c r="B382" s="917">
        <v>98.0</v>
      </c>
      <c r="C382" s="305" t="s">
        <v>967</v>
      </c>
      <c r="F382" s="1384"/>
      <c r="G382" s="1384"/>
    </row>
    <row r="383">
      <c r="A383" s="466">
        <v>2292.0</v>
      </c>
      <c r="B383" s="467">
        <v>68.0</v>
      </c>
      <c r="C383" s="305" t="s">
        <v>1771</v>
      </c>
      <c r="F383" s="1384"/>
      <c r="G383" s="1384"/>
    </row>
    <row r="384">
      <c r="A384" s="466">
        <v>3681.0</v>
      </c>
      <c r="B384" s="467">
        <v>130.0</v>
      </c>
      <c r="C384" s="305" t="s">
        <v>1772</v>
      </c>
      <c r="F384" s="1384"/>
      <c r="G384" s="1384"/>
    </row>
    <row r="385">
      <c r="A385" s="466">
        <v>3290.0</v>
      </c>
      <c r="B385" s="917">
        <v>96.0</v>
      </c>
      <c r="C385" s="305" t="s">
        <v>401</v>
      </c>
      <c r="F385" s="1384"/>
      <c r="G385" s="1384"/>
    </row>
    <row r="386">
      <c r="A386" s="466">
        <v>3664.0</v>
      </c>
      <c r="B386" s="1403">
        <v>0.0</v>
      </c>
      <c r="C386" s="305" t="s">
        <v>1773</v>
      </c>
      <c r="F386" s="1384"/>
      <c r="G386" s="1384"/>
    </row>
    <row r="387">
      <c r="A387" s="466">
        <v>138.0</v>
      </c>
      <c r="B387" s="917">
        <v>83.0</v>
      </c>
      <c r="C387" s="305" t="s">
        <v>939</v>
      </c>
      <c r="F387" s="1384"/>
      <c r="G387" s="1384"/>
    </row>
    <row r="388">
      <c r="A388" s="466">
        <v>2280.0</v>
      </c>
      <c r="B388" s="467">
        <v>68.0</v>
      </c>
      <c r="C388" s="305" t="s">
        <v>1774</v>
      </c>
      <c r="F388" s="1384"/>
      <c r="G388" s="1384"/>
    </row>
    <row r="389">
      <c r="A389" s="466">
        <v>3324.0</v>
      </c>
      <c r="B389" s="467">
        <v>95.0</v>
      </c>
      <c r="C389" s="305" t="s">
        <v>1775</v>
      </c>
      <c r="F389" s="1384"/>
      <c r="G389" s="1384"/>
    </row>
    <row r="390">
      <c r="A390" s="466">
        <v>2898.0</v>
      </c>
      <c r="B390" s="917">
        <v>98.0</v>
      </c>
      <c r="C390" s="305" t="s">
        <v>1005</v>
      </c>
      <c r="F390" s="1384"/>
      <c r="G390" s="1384"/>
    </row>
    <row r="391">
      <c r="A391" s="466">
        <v>3643.0</v>
      </c>
      <c r="B391" s="467">
        <v>123.0</v>
      </c>
      <c r="C391" s="305" t="s">
        <v>976</v>
      </c>
      <c r="F391" s="1384"/>
      <c r="G391" s="1384"/>
    </row>
    <row r="392">
      <c r="A392" s="466">
        <v>3856.0</v>
      </c>
      <c r="B392" s="467">
        <v>115.0</v>
      </c>
      <c r="C392" s="305" t="s">
        <v>743</v>
      </c>
      <c r="F392" s="1384"/>
      <c r="G392" s="1384"/>
    </row>
    <row r="393">
      <c r="A393" s="466">
        <v>3235.0</v>
      </c>
      <c r="B393" s="467">
        <v>85.0</v>
      </c>
      <c r="C393" s="305" t="s">
        <v>980</v>
      </c>
      <c r="F393" s="1384"/>
      <c r="G393" s="1384"/>
    </row>
    <row r="394">
      <c r="A394" s="466">
        <v>3624.0</v>
      </c>
      <c r="B394" s="467">
        <v>110.0</v>
      </c>
      <c r="C394" s="305" t="s">
        <v>965</v>
      </c>
      <c r="F394" s="1384"/>
      <c r="G394" s="1384"/>
    </row>
    <row r="395">
      <c r="A395" s="466">
        <v>3543.0</v>
      </c>
      <c r="B395" s="467">
        <v>95.0</v>
      </c>
      <c r="C395" s="305" t="s">
        <v>1776</v>
      </c>
      <c r="F395" s="1384"/>
      <c r="G395" s="1384"/>
    </row>
    <row r="396">
      <c r="A396" s="466">
        <v>3424.0</v>
      </c>
      <c r="B396" s="467">
        <v>185.0</v>
      </c>
      <c r="C396" s="305" t="s">
        <v>1777</v>
      </c>
      <c r="F396" s="1384"/>
      <c r="G396" s="1384"/>
    </row>
    <row r="397">
      <c r="A397" s="466">
        <v>964.0</v>
      </c>
      <c r="B397" s="467">
        <v>160.0</v>
      </c>
      <c r="C397" s="305" t="s">
        <v>1778</v>
      </c>
      <c r="F397" s="1384"/>
      <c r="G397" s="1384"/>
    </row>
    <row r="398">
      <c r="A398" s="466">
        <v>861.0</v>
      </c>
      <c r="B398" s="467">
        <v>160.0</v>
      </c>
      <c r="C398" s="305" t="s">
        <v>1779</v>
      </c>
      <c r="F398" s="1384"/>
      <c r="G398" s="1384"/>
    </row>
    <row r="399">
      <c r="A399" s="466">
        <v>769.0</v>
      </c>
      <c r="B399" s="467">
        <v>160.0</v>
      </c>
      <c r="C399" s="305" t="s">
        <v>1780</v>
      </c>
      <c r="F399" s="1384"/>
      <c r="G399" s="1384"/>
    </row>
    <row r="400">
      <c r="A400" s="466">
        <v>973.0</v>
      </c>
      <c r="B400" s="467">
        <v>160.0</v>
      </c>
      <c r="C400" s="305" t="s">
        <v>1781</v>
      </c>
      <c r="F400" s="1384"/>
      <c r="G400" s="1384"/>
    </row>
    <row r="401">
      <c r="A401" s="466">
        <v>2242.0</v>
      </c>
      <c r="B401" s="467">
        <v>180.0</v>
      </c>
      <c r="C401" s="305" t="s">
        <v>1782</v>
      </c>
      <c r="F401" s="1384"/>
      <c r="G401" s="1384"/>
    </row>
    <row r="402">
      <c r="A402" s="466">
        <v>2122.0</v>
      </c>
      <c r="B402" s="467">
        <v>180.0</v>
      </c>
      <c r="C402" s="305" t="s">
        <v>1783</v>
      </c>
      <c r="F402" s="1384"/>
      <c r="G402" s="1384"/>
    </row>
    <row r="403">
      <c r="A403" s="466">
        <v>2121.0</v>
      </c>
      <c r="B403" s="467">
        <v>180.0</v>
      </c>
      <c r="C403" s="305" t="s">
        <v>1784</v>
      </c>
      <c r="F403" s="1384"/>
      <c r="G403" s="1384"/>
    </row>
    <row r="404">
      <c r="A404" s="466">
        <v>2218.0</v>
      </c>
      <c r="B404" s="467">
        <v>180.0</v>
      </c>
      <c r="C404" s="305" t="s">
        <v>1785</v>
      </c>
      <c r="F404" s="1384"/>
      <c r="G404" s="1384"/>
    </row>
    <row r="405">
      <c r="A405" s="466">
        <v>2120.0</v>
      </c>
      <c r="B405" s="467">
        <v>180.0</v>
      </c>
      <c r="C405" s="305" t="s">
        <v>1786</v>
      </c>
      <c r="F405" s="1384"/>
      <c r="G405" s="1384"/>
    </row>
    <row r="406">
      <c r="A406" s="466">
        <v>750.0</v>
      </c>
      <c r="B406" s="467">
        <v>180.0</v>
      </c>
      <c r="C406" s="305" t="s">
        <v>1787</v>
      </c>
      <c r="F406" s="1384"/>
      <c r="G406" s="1384"/>
    </row>
    <row r="407">
      <c r="A407" s="466">
        <v>759.0</v>
      </c>
      <c r="B407" s="467">
        <v>180.0</v>
      </c>
      <c r="C407" s="305" t="s">
        <v>1788</v>
      </c>
      <c r="F407" s="1384"/>
      <c r="G407" s="1384"/>
    </row>
    <row r="408">
      <c r="A408" s="466">
        <v>2204.0</v>
      </c>
      <c r="B408" s="467">
        <v>180.0</v>
      </c>
      <c r="C408" s="305" t="s">
        <v>1789</v>
      </c>
      <c r="F408" s="1384"/>
      <c r="G408" s="1384"/>
    </row>
    <row r="409">
      <c r="A409" s="466">
        <v>2205.0</v>
      </c>
      <c r="B409" s="467">
        <v>180.0</v>
      </c>
      <c r="C409" s="305" t="s">
        <v>1790</v>
      </c>
      <c r="F409" s="1384"/>
      <c r="G409" s="1384"/>
    </row>
    <row r="410">
      <c r="A410" s="466">
        <v>732.0</v>
      </c>
      <c r="B410" s="467">
        <v>160.0</v>
      </c>
      <c r="C410" s="305" t="s">
        <v>1791</v>
      </c>
      <c r="F410" s="1384"/>
      <c r="G410" s="1384"/>
    </row>
    <row r="411">
      <c r="A411" s="466">
        <v>740.0</v>
      </c>
      <c r="B411" s="467">
        <v>160.0</v>
      </c>
      <c r="C411" s="305" t="s">
        <v>1792</v>
      </c>
      <c r="F411" s="1384"/>
      <c r="G411" s="1384"/>
    </row>
    <row r="412">
      <c r="A412" s="466">
        <v>795.0</v>
      </c>
      <c r="B412" s="467">
        <v>180.0</v>
      </c>
      <c r="C412" s="305" t="s">
        <v>1793</v>
      </c>
      <c r="F412" s="1384"/>
      <c r="G412" s="1384"/>
    </row>
    <row r="413">
      <c r="A413" s="466">
        <v>2201.0</v>
      </c>
      <c r="B413" s="467">
        <v>180.0</v>
      </c>
      <c r="C413" s="305" t="s">
        <v>1794</v>
      </c>
      <c r="F413" s="1384"/>
      <c r="G413" s="1384"/>
    </row>
    <row r="414">
      <c r="A414" s="466">
        <v>1886.0</v>
      </c>
      <c r="B414" s="467">
        <v>180.0</v>
      </c>
      <c r="C414" s="305" t="s">
        <v>1795</v>
      </c>
      <c r="F414" s="1384"/>
      <c r="G414" s="1384"/>
    </row>
    <row r="415">
      <c r="A415" s="466">
        <v>2890.0</v>
      </c>
      <c r="B415" s="467">
        <v>245.0</v>
      </c>
      <c r="C415" s="305" t="s">
        <v>1796</v>
      </c>
      <c r="F415" s="1384"/>
      <c r="G415" s="1384"/>
    </row>
    <row r="416">
      <c r="A416" s="466">
        <v>2613.0</v>
      </c>
      <c r="B416" s="467">
        <v>130.0</v>
      </c>
      <c r="C416" s="305" t="s">
        <v>1797</v>
      </c>
      <c r="F416" s="1384"/>
      <c r="G416" s="1384"/>
    </row>
    <row r="417">
      <c r="A417" s="466">
        <v>1949.0</v>
      </c>
      <c r="B417" s="467">
        <v>188.0</v>
      </c>
      <c r="C417" s="305" t="s">
        <v>1798</v>
      </c>
      <c r="F417" s="1384"/>
      <c r="G417" s="1384"/>
    </row>
    <row r="418">
      <c r="A418" s="466">
        <v>2192.0</v>
      </c>
      <c r="B418" s="467">
        <v>188.0</v>
      </c>
      <c r="C418" s="305" t="s">
        <v>1799</v>
      </c>
      <c r="F418" s="1384"/>
      <c r="G418" s="1384"/>
    </row>
    <row r="419">
      <c r="A419" s="466">
        <v>2156.0</v>
      </c>
      <c r="B419" s="917">
        <v>212.0</v>
      </c>
      <c r="C419" s="305" t="s">
        <v>1800</v>
      </c>
      <c r="F419" s="1384"/>
      <c r="G419" s="1384"/>
    </row>
    <row r="420">
      <c r="A420" s="466">
        <v>1873.0</v>
      </c>
      <c r="B420" s="917">
        <v>221.0</v>
      </c>
      <c r="C420" s="305" t="s">
        <v>343</v>
      </c>
      <c r="F420" s="1384"/>
      <c r="G420" s="1384"/>
    </row>
    <row r="421">
      <c r="A421" s="466">
        <v>2299.0</v>
      </c>
      <c r="B421" s="467">
        <v>130.0</v>
      </c>
      <c r="C421" s="305" t="s">
        <v>1802</v>
      </c>
      <c r="F421" s="1384"/>
      <c r="G421" s="1384"/>
    </row>
    <row r="422">
      <c r="A422" s="466">
        <v>2196.0</v>
      </c>
      <c r="B422" s="467">
        <v>188.0</v>
      </c>
      <c r="C422" s="305" t="s">
        <v>1803</v>
      </c>
      <c r="F422" s="1384"/>
      <c r="G422" s="1384"/>
    </row>
    <row r="423">
      <c r="A423" s="466">
        <v>1826.0</v>
      </c>
      <c r="B423" s="917">
        <v>243.0</v>
      </c>
      <c r="C423" s="305" t="s">
        <v>1255</v>
      </c>
      <c r="F423" s="1384"/>
      <c r="G423" s="1384"/>
    </row>
    <row r="424">
      <c r="A424" s="466">
        <v>1539.0</v>
      </c>
      <c r="B424" s="467">
        <v>241.0</v>
      </c>
      <c r="C424" s="305" t="s">
        <v>1805</v>
      </c>
      <c r="F424" s="1384"/>
      <c r="G424" s="1384"/>
    </row>
    <row r="425">
      <c r="A425" s="466">
        <v>2186.0</v>
      </c>
      <c r="B425" s="467">
        <v>188.0</v>
      </c>
      <c r="C425" s="305" t="s">
        <v>1806</v>
      </c>
      <c r="F425" s="1384"/>
      <c r="G425" s="1384"/>
    </row>
    <row r="426">
      <c r="A426" s="466">
        <v>3146.0</v>
      </c>
      <c r="B426" s="467">
        <v>198.0</v>
      </c>
      <c r="C426" s="305" t="s">
        <v>1807</v>
      </c>
      <c r="F426" s="1384"/>
      <c r="G426" s="1384"/>
    </row>
    <row r="427">
      <c r="A427" s="466">
        <v>1405.0</v>
      </c>
      <c r="B427" s="467">
        <v>256.0</v>
      </c>
      <c r="C427" s="305" t="s">
        <v>1808</v>
      </c>
      <c r="F427" s="1384"/>
      <c r="G427" s="1384"/>
    </row>
    <row r="428">
      <c r="A428" s="466">
        <v>3184.0</v>
      </c>
      <c r="B428" s="467">
        <v>188.0</v>
      </c>
      <c r="C428" s="305" t="s">
        <v>1809</v>
      </c>
      <c r="F428" s="1384"/>
      <c r="G428" s="1384"/>
    </row>
    <row r="429">
      <c r="A429" s="466">
        <v>2425.0</v>
      </c>
      <c r="B429" s="467">
        <v>290.0</v>
      </c>
      <c r="C429" s="305" t="s">
        <v>1810</v>
      </c>
      <c r="F429" s="1384"/>
      <c r="G429" s="1384"/>
    </row>
    <row r="430">
      <c r="A430" s="466">
        <v>3073.0</v>
      </c>
      <c r="B430" s="467">
        <v>150.0</v>
      </c>
      <c r="C430" s="305" t="s">
        <v>1812</v>
      </c>
      <c r="F430" s="1384"/>
      <c r="G430" s="1384"/>
    </row>
    <row r="431">
      <c r="A431" s="466">
        <v>232.0</v>
      </c>
      <c r="B431" s="467">
        <v>65.0</v>
      </c>
      <c r="C431" s="305" t="s">
        <v>1813</v>
      </c>
      <c r="F431" s="1384"/>
      <c r="G431" s="1384"/>
    </row>
    <row r="432">
      <c r="A432" s="466">
        <v>2298.0</v>
      </c>
      <c r="B432" s="467">
        <v>55.0</v>
      </c>
      <c r="C432" s="305" t="s">
        <v>1814</v>
      </c>
      <c r="F432" s="1384"/>
      <c r="G432" s="1384"/>
    </row>
    <row r="433">
      <c r="A433" s="466">
        <v>1474.0</v>
      </c>
      <c r="B433" s="467">
        <v>75.0</v>
      </c>
      <c r="C433" s="305" t="s">
        <v>1035</v>
      </c>
      <c r="F433" s="1384"/>
      <c r="G433" s="1384"/>
    </row>
    <row r="434">
      <c r="A434" s="466">
        <v>1379.0</v>
      </c>
      <c r="B434" s="467">
        <v>55.0</v>
      </c>
      <c r="C434" s="305" t="s">
        <v>1815</v>
      </c>
      <c r="F434" s="1384"/>
      <c r="G434" s="1384"/>
    </row>
    <row r="435">
      <c r="A435" s="466">
        <v>2498.0</v>
      </c>
      <c r="B435" s="467">
        <v>60.0</v>
      </c>
      <c r="C435" s="305" t="s">
        <v>1816</v>
      </c>
      <c r="F435" s="1384"/>
      <c r="G435" s="1384"/>
    </row>
    <row r="436">
      <c r="A436" s="466">
        <v>1408.0</v>
      </c>
      <c r="B436" s="467">
        <v>60.0</v>
      </c>
      <c r="C436" s="305" t="s">
        <v>1817</v>
      </c>
      <c r="F436" s="1384"/>
      <c r="G436" s="1384"/>
    </row>
    <row r="437">
      <c r="A437" s="466">
        <v>3514.0</v>
      </c>
      <c r="B437" s="467">
        <v>198.0</v>
      </c>
      <c r="C437" s="305" t="s">
        <v>1818</v>
      </c>
      <c r="F437" s="1384"/>
      <c r="G437" s="1384"/>
    </row>
    <row r="438">
      <c r="A438" s="466">
        <v>3484.0</v>
      </c>
      <c r="B438" s="467">
        <v>198.0</v>
      </c>
      <c r="C438" s="305" t="s">
        <v>1819</v>
      </c>
      <c r="F438" s="1384"/>
      <c r="G438" s="1384"/>
    </row>
    <row r="439">
      <c r="A439" s="466">
        <v>3485.0</v>
      </c>
      <c r="B439" s="467">
        <v>198.0</v>
      </c>
      <c r="C439" s="305" t="s">
        <v>1820</v>
      </c>
      <c r="F439" s="1384"/>
      <c r="G439" s="1384"/>
    </row>
    <row r="440">
      <c r="A440" s="466">
        <v>2368.0</v>
      </c>
      <c r="B440" s="467">
        <v>130.0</v>
      </c>
      <c r="C440" s="305" t="s">
        <v>1822</v>
      </c>
      <c r="F440" s="1384"/>
      <c r="G440" s="1384"/>
    </row>
    <row r="441">
      <c r="A441" s="466">
        <v>2511.0</v>
      </c>
      <c r="B441" s="467">
        <v>188.0</v>
      </c>
      <c r="C441" s="305" t="s">
        <v>1823</v>
      </c>
      <c r="F441" s="1384"/>
      <c r="G441" s="1384"/>
    </row>
    <row r="442">
      <c r="A442" s="466">
        <v>423.0</v>
      </c>
      <c r="B442" s="467">
        <v>188.0</v>
      </c>
      <c r="C442" s="305" t="s">
        <v>1824</v>
      </c>
      <c r="F442" s="1384"/>
      <c r="G442" s="1384"/>
    </row>
    <row r="443">
      <c r="A443" s="466">
        <v>620.0</v>
      </c>
      <c r="B443" s="467">
        <v>170.0</v>
      </c>
      <c r="C443" s="305" t="s">
        <v>688</v>
      </c>
      <c r="F443" s="1384"/>
      <c r="G443" s="1384"/>
    </row>
    <row r="444">
      <c r="A444" s="466">
        <v>749.0</v>
      </c>
      <c r="B444" s="467">
        <v>188.0</v>
      </c>
      <c r="C444" s="305" t="s">
        <v>1825</v>
      </c>
      <c r="F444" s="1384"/>
      <c r="G444" s="1384"/>
    </row>
    <row r="445">
      <c r="A445" s="466">
        <v>3018.0</v>
      </c>
      <c r="B445" s="467">
        <v>188.0</v>
      </c>
      <c r="C445" s="305" t="s">
        <v>1826</v>
      </c>
      <c r="F445" s="1384"/>
      <c r="G445" s="1384"/>
    </row>
    <row r="446">
      <c r="A446" s="466">
        <v>3825.0</v>
      </c>
      <c r="B446" s="467">
        <v>191.0</v>
      </c>
      <c r="C446" s="305" t="s">
        <v>1827</v>
      </c>
      <c r="F446" s="1384"/>
      <c r="G446" s="1384"/>
    </row>
    <row r="447">
      <c r="A447" s="466">
        <v>1127.0</v>
      </c>
      <c r="B447" s="467">
        <v>188.0</v>
      </c>
      <c r="C447" s="305" t="s">
        <v>1828</v>
      </c>
      <c r="F447" s="1384"/>
      <c r="G447" s="1384"/>
    </row>
    <row r="448">
      <c r="A448" s="466">
        <v>104.0</v>
      </c>
      <c r="B448" s="467">
        <v>160.0</v>
      </c>
      <c r="C448" s="305" t="s">
        <v>1829</v>
      </c>
      <c r="F448" s="1384"/>
      <c r="G448" s="1384"/>
    </row>
    <row r="449">
      <c r="A449" s="466">
        <v>2184.0</v>
      </c>
      <c r="B449" s="467">
        <v>180.0</v>
      </c>
      <c r="C449" s="305" t="s">
        <v>1830</v>
      </c>
      <c r="F449" s="1384"/>
      <c r="G449" s="1384"/>
    </row>
    <row r="450">
      <c r="A450" s="466">
        <v>38.0</v>
      </c>
      <c r="B450" s="467">
        <v>160.0</v>
      </c>
      <c r="C450" s="305" t="s">
        <v>1831</v>
      </c>
      <c r="F450" s="1384"/>
      <c r="G450" s="1384"/>
    </row>
    <row r="451">
      <c r="A451" s="466">
        <v>2276.0</v>
      </c>
      <c r="B451" s="467">
        <v>130.0</v>
      </c>
      <c r="C451" s="305" t="s">
        <v>1832</v>
      </c>
      <c r="F451" s="1384"/>
      <c r="G451" s="1384"/>
    </row>
    <row r="452">
      <c r="A452" s="466">
        <v>2500.0</v>
      </c>
      <c r="B452" s="467">
        <v>188.0</v>
      </c>
      <c r="C452" s="305" t="s">
        <v>1833</v>
      </c>
      <c r="F452" s="1384"/>
      <c r="G452" s="1384"/>
    </row>
    <row r="453">
      <c r="A453" s="466">
        <v>1017.0</v>
      </c>
      <c r="B453" s="467">
        <v>188.0</v>
      </c>
      <c r="C453" s="305" t="s">
        <v>1834</v>
      </c>
      <c r="F453" s="1384"/>
      <c r="G453" s="1384"/>
    </row>
    <row r="454">
      <c r="A454" s="466">
        <v>947.0</v>
      </c>
      <c r="B454" s="467">
        <v>188.0</v>
      </c>
      <c r="C454" s="305" t="s">
        <v>1835</v>
      </c>
      <c r="F454" s="1384"/>
      <c r="G454" s="1384"/>
    </row>
    <row r="455">
      <c r="A455" s="466">
        <v>3023.0</v>
      </c>
      <c r="B455" s="467">
        <v>130.0</v>
      </c>
      <c r="C455" s="305" t="s">
        <v>1836</v>
      </c>
      <c r="F455" s="1384"/>
      <c r="G455" s="1384"/>
    </row>
    <row r="456">
      <c r="A456" s="466">
        <v>3026.0</v>
      </c>
      <c r="B456" s="467">
        <v>188.0</v>
      </c>
      <c r="C456" s="305" t="s">
        <v>1837</v>
      </c>
      <c r="F456" s="1384"/>
      <c r="G456" s="1384"/>
    </row>
    <row r="457">
      <c r="A457" s="466">
        <v>2489.0</v>
      </c>
      <c r="B457" s="467">
        <v>188.0</v>
      </c>
      <c r="C457" s="305" t="s">
        <v>1838</v>
      </c>
      <c r="F457" s="1384"/>
      <c r="G457" s="1384"/>
    </row>
    <row r="458">
      <c r="A458" s="466">
        <v>2896.0</v>
      </c>
      <c r="B458" s="467">
        <v>130.0</v>
      </c>
      <c r="C458" s="305" t="s">
        <v>1839</v>
      </c>
      <c r="F458" s="1384"/>
      <c r="G458" s="1384"/>
    </row>
    <row r="459">
      <c r="A459" s="466">
        <v>2842.0</v>
      </c>
      <c r="B459" s="467">
        <v>198.0</v>
      </c>
      <c r="C459" s="305" t="s">
        <v>1840</v>
      </c>
      <c r="F459" s="1384"/>
      <c r="G459" s="1384"/>
    </row>
    <row r="460">
      <c r="A460" s="466">
        <v>1939.0</v>
      </c>
      <c r="B460" s="917">
        <v>229.0</v>
      </c>
      <c r="C460" s="305" t="s">
        <v>419</v>
      </c>
      <c r="F460" s="1384"/>
      <c r="G460" s="1384"/>
    </row>
    <row r="461">
      <c r="A461" s="466">
        <v>2737.0</v>
      </c>
      <c r="B461" s="467">
        <v>136.0</v>
      </c>
      <c r="C461" s="305" t="s">
        <v>1841</v>
      </c>
      <c r="F461" s="1384"/>
      <c r="G461" s="1384"/>
    </row>
    <row r="462">
      <c r="A462" s="466">
        <v>1157.0</v>
      </c>
      <c r="B462" s="467">
        <v>188.0</v>
      </c>
      <c r="C462" s="305" t="s">
        <v>1842</v>
      </c>
      <c r="F462" s="1384"/>
      <c r="G462" s="1384"/>
    </row>
    <row r="463">
      <c r="A463" s="466">
        <v>2407.0</v>
      </c>
      <c r="B463" s="467">
        <v>188.0</v>
      </c>
      <c r="C463" s="305" t="s">
        <v>1843</v>
      </c>
      <c r="F463" s="1384"/>
      <c r="G463" s="1384"/>
    </row>
    <row r="464">
      <c r="A464" s="466">
        <v>2672.0</v>
      </c>
      <c r="B464" s="917">
        <v>198.0</v>
      </c>
      <c r="C464" s="305" t="s">
        <v>586</v>
      </c>
      <c r="F464" s="1384"/>
      <c r="G464" s="1384"/>
    </row>
    <row r="465">
      <c r="A465" s="466">
        <v>1301.0</v>
      </c>
      <c r="B465" s="467">
        <v>188.0</v>
      </c>
      <c r="C465" s="305" t="s">
        <v>1844</v>
      </c>
      <c r="F465" s="1384"/>
      <c r="G465" s="1384"/>
    </row>
    <row r="466">
      <c r="A466" s="466">
        <v>3366.0</v>
      </c>
      <c r="B466" s="467">
        <v>198.0</v>
      </c>
      <c r="C466" s="305" t="s">
        <v>1845</v>
      </c>
      <c r="F466" s="1384"/>
      <c r="G466" s="1384"/>
    </row>
    <row r="467">
      <c r="A467" s="466">
        <v>3365.0</v>
      </c>
      <c r="B467" s="467">
        <v>198.0</v>
      </c>
      <c r="C467" s="305" t="s">
        <v>1846</v>
      </c>
      <c r="F467" s="1384"/>
      <c r="G467" s="1384"/>
    </row>
    <row r="468">
      <c r="A468" s="466">
        <v>2687.0</v>
      </c>
      <c r="B468" s="917">
        <v>198.0</v>
      </c>
      <c r="C468" s="305" t="s">
        <v>556</v>
      </c>
      <c r="F468" s="1384"/>
      <c r="G468" s="1384"/>
    </row>
    <row r="469">
      <c r="A469" s="466">
        <v>763.0</v>
      </c>
      <c r="B469" s="917">
        <v>208.0</v>
      </c>
      <c r="C469" s="305" t="s">
        <v>315</v>
      </c>
      <c r="F469" s="1384"/>
      <c r="G469" s="1384"/>
    </row>
    <row r="470">
      <c r="A470" s="466">
        <v>1158.0</v>
      </c>
      <c r="B470" s="467">
        <v>168.0</v>
      </c>
      <c r="C470" s="305" t="s">
        <v>709</v>
      </c>
      <c r="F470" s="1384"/>
      <c r="G470" s="1384"/>
    </row>
    <row r="471">
      <c r="A471" s="466">
        <v>3059.0</v>
      </c>
      <c r="B471" s="467">
        <v>188.0</v>
      </c>
      <c r="C471" s="305" t="s">
        <v>1847</v>
      </c>
      <c r="F471" s="1384"/>
      <c r="G471" s="1384"/>
    </row>
    <row r="472">
      <c r="A472" s="466">
        <v>2899.0</v>
      </c>
      <c r="B472" s="467">
        <v>188.0</v>
      </c>
      <c r="C472" s="305" t="s">
        <v>1848</v>
      </c>
      <c r="F472" s="1384"/>
      <c r="G472" s="1384"/>
    </row>
    <row r="473">
      <c r="A473" s="466">
        <v>1846.0</v>
      </c>
      <c r="B473" s="917">
        <v>208.0</v>
      </c>
      <c r="C473" s="305" t="s">
        <v>1849</v>
      </c>
      <c r="F473" s="1384"/>
      <c r="G473" s="1384"/>
    </row>
    <row r="474">
      <c r="A474" s="466">
        <v>1001.0</v>
      </c>
      <c r="B474" s="467">
        <v>188.0</v>
      </c>
      <c r="C474" s="305" t="s">
        <v>1850</v>
      </c>
      <c r="F474" s="1384"/>
      <c r="G474" s="1384"/>
    </row>
    <row r="475">
      <c r="A475" s="466">
        <v>1259.0</v>
      </c>
      <c r="B475" s="467">
        <v>188.0</v>
      </c>
      <c r="C475" s="305" t="s">
        <v>1851</v>
      </c>
      <c r="F475" s="1384"/>
      <c r="G475" s="1384"/>
    </row>
    <row r="476">
      <c r="A476" s="466">
        <v>2347.0</v>
      </c>
      <c r="B476" s="467">
        <v>130.0</v>
      </c>
      <c r="C476" s="305" t="s">
        <v>1852</v>
      </c>
      <c r="F476" s="1384"/>
      <c r="G476" s="1384"/>
    </row>
    <row r="477">
      <c r="A477" s="466">
        <v>2504.0</v>
      </c>
      <c r="B477" s="467">
        <v>188.0</v>
      </c>
      <c r="C477" s="305" t="s">
        <v>1853</v>
      </c>
      <c r="F477" s="1384"/>
      <c r="G477" s="1384"/>
    </row>
    <row r="478">
      <c r="A478" s="466">
        <v>2222.0</v>
      </c>
      <c r="B478" s="467">
        <v>198.0</v>
      </c>
      <c r="C478" s="305" t="s">
        <v>1854</v>
      </c>
      <c r="F478" s="1384"/>
      <c r="G478" s="1384"/>
    </row>
    <row r="479">
      <c r="A479" s="466">
        <v>2963.0</v>
      </c>
      <c r="B479" s="467">
        <v>188.0</v>
      </c>
      <c r="C479" s="305" t="s">
        <v>1855</v>
      </c>
      <c r="F479" s="1384"/>
      <c r="G479" s="1384"/>
    </row>
    <row r="480">
      <c r="A480" s="466">
        <v>3188.0</v>
      </c>
      <c r="B480" s="467">
        <v>188.0</v>
      </c>
      <c r="C480" s="305" t="s">
        <v>1856</v>
      </c>
      <c r="F480" s="1384"/>
      <c r="G480" s="1384"/>
    </row>
    <row r="481">
      <c r="A481" s="466">
        <v>3056.0</v>
      </c>
      <c r="B481" s="467">
        <v>188.0</v>
      </c>
      <c r="C481" s="305" t="s">
        <v>1857</v>
      </c>
      <c r="F481" s="1384"/>
      <c r="G481" s="1384"/>
    </row>
    <row r="482">
      <c r="A482" s="466">
        <v>2955.0</v>
      </c>
      <c r="B482" s="467">
        <v>198.0</v>
      </c>
      <c r="C482" s="305" t="s">
        <v>1858</v>
      </c>
      <c r="F482" s="1384"/>
      <c r="G482" s="1384"/>
    </row>
    <row r="483">
      <c r="A483" s="466">
        <v>1033.0</v>
      </c>
      <c r="B483" s="467">
        <v>188.0</v>
      </c>
      <c r="C483" s="305" t="s">
        <v>1859</v>
      </c>
      <c r="F483" s="1384"/>
      <c r="G483" s="1384"/>
    </row>
    <row r="484">
      <c r="A484" s="466">
        <v>1260.0</v>
      </c>
      <c r="B484" s="467">
        <v>188.0</v>
      </c>
      <c r="C484" s="305" t="s">
        <v>1861</v>
      </c>
      <c r="F484" s="1384"/>
      <c r="G484" s="1384"/>
    </row>
    <row r="485">
      <c r="A485" s="466">
        <v>612.0</v>
      </c>
      <c r="B485" s="467">
        <v>140.0</v>
      </c>
      <c r="C485" s="305" t="s">
        <v>1862</v>
      </c>
      <c r="F485" s="1384"/>
      <c r="G485" s="1384"/>
    </row>
    <row r="486">
      <c r="A486" s="466">
        <v>220.0</v>
      </c>
      <c r="B486" s="467">
        <v>140.0</v>
      </c>
      <c r="C486" s="305" t="s">
        <v>1863</v>
      </c>
      <c r="F486" s="1384"/>
      <c r="G486" s="1384"/>
    </row>
    <row r="487">
      <c r="A487" s="466">
        <v>103.0</v>
      </c>
      <c r="B487" s="467">
        <v>160.0</v>
      </c>
      <c r="C487" s="305" t="s">
        <v>1864</v>
      </c>
      <c r="F487" s="1384"/>
      <c r="G487" s="1384"/>
    </row>
    <row r="488">
      <c r="A488" s="466">
        <v>221.0</v>
      </c>
      <c r="B488" s="467">
        <v>160.0</v>
      </c>
      <c r="C488" s="305" t="s">
        <v>1865</v>
      </c>
      <c r="F488" s="1384"/>
      <c r="G488" s="1384"/>
    </row>
    <row r="489">
      <c r="A489" s="466">
        <v>3707.0</v>
      </c>
      <c r="B489" s="467">
        <v>198.0</v>
      </c>
      <c r="C489" s="305" t="s">
        <v>618</v>
      </c>
      <c r="F489" s="1384"/>
      <c r="G489" s="1384"/>
    </row>
    <row r="490">
      <c r="A490" s="466">
        <v>3706.0</v>
      </c>
      <c r="B490" s="1403">
        <v>0.0</v>
      </c>
      <c r="C490" s="305" t="s">
        <v>1866</v>
      </c>
      <c r="F490" s="1384"/>
      <c r="G490" s="1384"/>
    </row>
    <row r="491">
      <c r="A491" s="466">
        <v>3001.0</v>
      </c>
      <c r="B491" s="1403">
        <v>0.0</v>
      </c>
      <c r="C491" s="305" t="s">
        <v>1867</v>
      </c>
      <c r="F491" s="1384"/>
      <c r="G491" s="1384"/>
    </row>
    <row r="492">
      <c r="A492" s="466">
        <v>813.0</v>
      </c>
      <c r="B492" s="917">
        <v>227.0</v>
      </c>
      <c r="C492" s="305" t="s">
        <v>430</v>
      </c>
      <c r="F492" s="1384"/>
      <c r="G492" s="1384"/>
    </row>
    <row r="493">
      <c r="A493" s="466">
        <v>3131.0</v>
      </c>
      <c r="B493" s="467">
        <v>282.0</v>
      </c>
      <c r="C493" s="305" t="s">
        <v>1868</v>
      </c>
      <c r="F493" s="1384"/>
      <c r="G493" s="1384"/>
    </row>
    <row r="494">
      <c r="A494" s="466">
        <v>790.0</v>
      </c>
      <c r="B494" s="467">
        <v>160.0</v>
      </c>
      <c r="C494" s="305" t="s">
        <v>1869</v>
      </c>
      <c r="F494" s="1384"/>
      <c r="G494" s="1384"/>
    </row>
    <row r="495">
      <c r="A495" s="466">
        <v>149.0</v>
      </c>
      <c r="B495" s="467">
        <v>160.0</v>
      </c>
      <c r="C495" s="305" t="s">
        <v>1870</v>
      </c>
      <c r="F495" s="1384"/>
      <c r="G495" s="1384"/>
    </row>
    <row r="496">
      <c r="A496" s="466">
        <v>2577.0</v>
      </c>
      <c r="B496" s="467">
        <v>130.0</v>
      </c>
      <c r="C496" s="305" t="s">
        <v>1871</v>
      </c>
      <c r="F496" s="1384"/>
      <c r="G496" s="1384"/>
    </row>
    <row r="497">
      <c r="A497" s="466">
        <v>2139.0</v>
      </c>
      <c r="B497" s="467">
        <v>188.0</v>
      </c>
      <c r="C497" s="305" t="s">
        <v>1872</v>
      </c>
      <c r="F497" s="1384"/>
      <c r="G497" s="1384"/>
    </row>
    <row r="498">
      <c r="A498" s="466">
        <v>1130.0</v>
      </c>
      <c r="B498" s="467">
        <v>188.0</v>
      </c>
      <c r="C498" s="305" t="s">
        <v>1873</v>
      </c>
      <c r="F498" s="1384"/>
      <c r="G498" s="1384"/>
    </row>
    <row r="499">
      <c r="A499" s="466">
        <v>1173.0</v>
      </c>
      <c r="B499" s="467">
        <v>188.0</v>
      </c>
      <c r="C499" s="305" t="s">
        <v>1874</v>
      </c>
      <c r="F499" s="1384"/>
      <c r="G499" s="1384"/>
    </row>
    <row r="500">
      <c r="A500" s="466">
        <v>1144.0</v>
      </c>
      <c r="B500" s="467">
        <v>188.0</v>
      </c>
      <c r="C500" s="305" t="s">
        <v>1875</v>
      </c>
      <c r="F500" s="1384"/>
      <c r="G500" s="1384"/>
    </row>
    <row r="501">
      <c r="A501" s="466">
        <v>551.0</v>
      </c>
      <c r="B501" s="467">
        <v>188.0</v>
      </c>
      <c r="C501" s="305" t="s">
        <v>1876</v>
      </c>
      <c r="F501" s="1384"/>
      <c r="G501" s="1384"/>
    </row>
    <row r="502">
      <c r="A502" s="466">
        <v>3034.0</v>
      </c>
      <c r="B502" s="467">
        <v>188.0</v>
      </c>
      <c r="C502" s="305" t="s">
        <v>1877</v>
      </c>
      <c r="F502" s="1384"/>
      <c r="G502" s="1384"/>
    </row>
    <row r="503">
      <c r="A503" s="466">
        <v>1222.0</v>
      </c>
      <c r="B503" s="467">
        <v>160.0</v>
      </c>
      <c r="C503" s="305" t="s">
        <v>1878</v>
      </c>
      <c r="F503" s="1384"/>
      <c r="G503" s="1384"/>
    </row>
    <row r="504">
      <c r="A504" s="466">
        <v>1386.0</v>
      </c>
      <c r="B504" s="467">
        <v>160.0</v>
      </c>
      <c r="C504" s="305" t="s">
        <v>1879</v>
      </c>
      <c r="F504" s="1384"/>
      <c r="G504" s="1384"/>
    </row>
    <row r="505">
      <c r="A505" s="466">
        <v>922.0</v>
      </c>
      <c r="B505" s="467">
        <v>180.0</v>
      </c>
      <c r="C505" s="305" t="s">
        <v>1880</v>
      </c>
      <c r="F505" s="1384"/>
      <c r="G505" s="1384"/>
    </row>
    <row r="506">
      <c r="A506" s="466">
        <v>611.0</v>
      </c>
      <c r="B506" s="467">
        <v>180.0</v>
      </c>
      <c r="C506" s="305" t="s">
        <v>1881</v>
      </c>
      <c r="F506" s="1384"/>
      <c r="G506" s="1384"/>
    </row>
    <row r="507">
      <c r="A507" s="466">
        <v>1085.0</v>
      </c>
      <c r="B507" s="467">
        <v>180.0</v>
      </c>
      <c r="C507" s="305" t="s">
        <v>1882</v>
      </c>
      <c r="F507" s="1384"/>
      <c r="G507" s="1384"/>
    </row>
    <row r="508">
      <c r="A508" s="466">
        <v>2723.0</v>
      </c>
      <c r="B508" s="467">
        <v>190.0</v>
      </c>
      <c r="C508" s="305" t="s">
        <v>1883</v>
      </c>
      <c r="F508" s="1384"/>
      <c r="G508" s="1384"/>
    </row>
    <row r="509">
      <c r="A509" s="466">
        <v>55.0</v>
      </c>
      <c r="B509" s="467">
        <v>198.0</v>
      </c>
      <c r="C509" s="305" t="s">
        <v>1884</v>
      </c>
      <c r="F509" s="1384"/>
      <c r="G509" s="1384"/>
    </row>
    <row r="510">
      <c r="A510" s="466">
        <v>943.0</v>
      </c>
      <c r="B510" s="467">
        <v>160.0</v>
      </c>
      <c r="C510" s="305" t="s">
        <v>1885</v>
      </c>
      <c r="F510" s="1384"/>
      <c r="G510" s="1384"/>
    </row>
    <row r="511">
      <c r="A511" s="466">
        <v>2988.0</v>
      </c>
      <c r="B511" s="467">
        <v>198.0</v>
      </c>
      <c r="C511" s="305" t="s">
        <v>1886</v>
      </c>
      <c r="F511" s="1384"/>
      <c r="G511" s="1384"/>
    </row>
    <row r="512">
      <c r="A512" s="466">
        <v>2736.0</v>
      </c>
      <c r="B512" s="467">
        <v>224.0</v>
      </c>
      <c r="C512" s="305" t="s">
        <v>1887</v>
      </c>
      <c r="F512" s="1384"/>
      <c r="G512" s="1384"/>
    </row>
    <row r="513">
      <c r="A513" s="466">
        <v>827.0</v>
      </c>
      <c r="B513" s="467">
        <v>188.0</v>
      </c>
      <c r="C513" s="305" t="s">
        <v>1888</v>
      </c>
      <c r="F513" s="1384"/>
      <c r="G513" s="1384"/>
    </row>
    <row r="514">
      <c r="A514" s="466">
        <v>2948.0</v>
      </c>
      <c r="B514" s="467">
        <v>188.0</v>
      </c>
      <c r="C514" s="305" t="s">
        <v>1889</v>
      </c>
      <c r="F514" s="1384"/>
      <c r="G514" s="1384"/>
    </row>
    <row r="515">
      <c r="A515" s="466">
        <v>3084.0</v>
      </c>
      <c r="B515" s="467">
        <v>198.0</v>
      </c>
      <c r="C515" s="305" t="s">
        <v>1890</v>
      </c>
      <c r="F515" s="1384"/>
      <c r="G515" s="1384"/>
    </row>
    <row r="516">
      <c r="A516" s="466">
        <v>1183.0</v>
      </c>
      <c r="B516" s="467">
        <v>160.0</v>
      </c>
      <c r="C516" s="305" t="s">
        <v>1891</v>
      </c>
      <c r="F516" s="1384"/>
      <c r="G516" s="1384"/>
    </row>
    <row r="517">
      <c r="A517" s="466">
        <v>3601.0</v>
      </c>
      <c r="B517" s="467">
        <v>198.0</v>
      </c>
      <c r="C517" s="305" t="s">
        <v>1892</v>
      </c>
      <c r="F517" s="1384"/>
      <c r="G517" s="1384"/>
    </row>
    <row r="518">
      <c r="A518" s="466">
        <v>533.0</v>
      </c>
      <c r="B518" s="467">
        <v>180.0</v>
      </c>
      <c r="C518" s="305" t="s">
        <v>1893</v>
      </c>
      <c r="F518" s="1384"/>
      <c r="G518" s="1384"/>
    </row>
    <row r="519">
      <c r="A519" s="466">
        <v>507.0</v>
      </c>
      <c r="B519" s="467">
        <v>180.0</v>
      </c>
      <c r="C519" s="305" t="s">
        <v>1894</v>
      </c>
      <c r="F519" s="1384"/>
      <c r="G519" s="1384"/>
    </row>
    <row r="520">
      <c r="A520" s="466">
        <v>3130.0</v>
      </c>
      <c r="B520" s="467">
        <v>267.0</v>
      </c>
      <c r="C520" s="305" t="s">
        <v>1895</v>
      </c>
      <c r="F520" s="1384"/>
      <c r="G520" s="1384"/>
    </row>
    <row r="521">
      <c r="A521" s="466">
        <v>100.0</v>
      </c>
      <c r="B521" s="467">
        <v>90.0</v>
      </c>
      <c r="C521" s="305" t="s">
        <v>1896</v>
      </c>
      <c r="F521" s="1384"/>
      <c r="G521" s="1384"/>
    </row>
    <row r="522">
      <c r="A522" s="466">
        <v>218.0</v>
      </c>
      <c r="B522" s="467">
        <v>90.0</v>
      </c>
      <c r="C522" s="305" t="s">
        <v>1897</v>
      </c>
      <c r="F522" s="1384"/>
      <c r="G522" s="1384"/>
    </row>
    <row r="523">
      <c r="A523" s="466">
        <v>3507.0</v>
      </c>
      <c r="B523" s="467">
        <v>218.0</v>
      </c>
      <c r="C523" s="305" t="s">
        <v>1898</v>
      </c>
      <c r="F523" s="1384"/>
      <c r="G523" s="1384"/>
    </row>
    <row r="524">
      <c r="A524" s="466">
        <v>3463.0</v>
      </c>
      <c r="B524" s="467">
        <v>187.0</v>
      </c>
      <c r="C524" s="305" t="s">
        <v>1211</v>
      </c>
      <c r="F524" s="1384"/>
      <c r="G524" s="1384"/>
    </row>
    <row r="525">
      <c r="A525" s="466">
        <v>3222.0</v>
      </c>
      <c r="B525" s="917">
        <v>216.0</v>
      </c>
      <c r="C525" s="305" t="s">
        <v>1215</v>
      </c>
      <c r="F525" s="1384"/>
      <c r="G525" s="1384"/>
    </row>
    <row r="526">
      <c r="A526" s="466">
        <v>3224.0</v>
      </c>
      <c r="B526" s="467">
        <v>232.0</v>
      </c>
      <c r="C526" s="305" t="s">
        <v>1899</v>
      </c>
      <c r="F526" s="1384"/>
      <c r="G526" s="1384"/>
    </row>
    <row r="527">
      <c r="A527" s="466">
        <v>3493.0</v>
      </c>
      <c r="B527" s="467">
        <v>176.0</v>
      </c>
      <c r="C527" s="305" t="s">
        <v>1900</v>
      </c>
      <c r="F527" s="1384"/>
      <c r="G527" s="1384"/>
    </row>
    <row r="528">
      <c r="A528" s="466">
        <v>3532.0</v>
      </c>
      <c r="B528" s="467">
        <v>176.0</v>
      </c>
      <c r="C528" s="305" t="s">
        <v>1901</v>
      </c>
      <c r="F528" s="1384"/>
      <c r="G528" s="1384"/>
    </row>
    <row r="529">
      <c r="A529" s="466">
        <v>3221.0</v>
      </c>
      <c r="B529" s="1403">
        <v>0.0</v>
      </c>
      <c r="C529" s="305" t="s">
        <v>1902</v>
      </c>
      <c r="F529" s="1384"/>
      <c r="G529" s="1384"/>
    </row>
    <row r="530">
      <c r="A530" s="466">
        <v>2695.0</v>
      </c>
      <c r="B530" s="467">
        <v>60.0</v>
      </c>
      <c r="C530" s="305" t="s">
        <v>1903</v>
      </c>
      <c r="F530" s="1384"/>
      <c r="G530" s="1384"/>
    </row>
    <row r="531">
      <c r="A531" s="466">
        <v>1819.0</v>
      </c>
      <c r="B531" s="467">
        <v>180.0</v>
      </c>
      <c r="C531" s="305" t="s">
        <v>1904</v>
      </c>
      <c r="F531" s="1384"/>
      <c r="G531" s="1384"/>
    </row>
    <row r="532">
      <c r="A532" s="466">
        <v>1820.0</v>
      </c>
      <c r="B532" s="467">
        <v>180.0</v>
      </c>
      <c r="C532" s="305" t="s">
        <v>1905</v>
      </c>
      <c r="F532" s="1384"/>
      <c r="G532" s="1384"/>
    </row>
    <row r="533">
      <c r="A533" s="466">
        <v>1524.0</v>
      </c>
      <c r="B533" s="467">
        <v>180.0</v>
      </c>
      <c r="C533" s="305" t="s">
        <v>1906</v>
      </c>
      <c r="F533" s="1384"/>
      <c r="G533" s="1384"/>
    </row>
    <row r="534">
      <c r="A534" s="466">
        <v>1344.0</v>
      </c>
      <c r="B534" s="467">
        <v>50.0</v>
      </c>
      <c r="C534" s="305" t="s">
        <v>1907</v>
      </c>
      <c r="F534" s="1384"/>
      <c r="G534" s="1384"/>
    </row>
    <row r="535">
      <c r="A535" s="466">
        <v>1162.0</v>
      </c>
      <c r="B535" s="467">
        <v>188.0</v>
      </c>
      <c r="C535" s="305" t="s">
        <v>1908</v>
      </c>
      <c r="F535" s="1384"/>
      <c r="G535" s="1384"/>
    </row>
    <row r="536">
      <c r="A536" s="466">
        <v>2379.0</v>
      </c>
      <c r="B536" s="467">
        <v>188.0</v>
      </c>
      <c r="C536" s="305" t="s">
        <v>1909</v>
      </c>
      <c r="F536" s="1384"/>
      <c r="G536" s="1384"/>
    </row>
    <row r="537">
      <c r="A537" s="466">
        <v>1241.0</v>
      </c>
      <c r="B537" s="467">
        <v>180.0</v>
      </c>
      <c r="C537" s="305" t="s">
        <v>1910</v>
      </c>
      <c r="F537" s="1384"/>
      <c r="G537" s="1384"/>
    </row>
    <row r="538">
      <c r="A538" s="466">
        <v>2389.0</v>
      </c>
      <c r="B538" s="467">
        <v>188.0</v>
      </c>
      <c r="C538" s="305" t="s">
        <v>1911</v>
      </c>
      <c r="F538" s="1384"/>
      <c r="G538" s="1384"/>
    </row>
    <row r="539">
      <c r="A539" s="466">
        <v>2390.0</v>
      </c>
      <c r="B539" s="467">
        <v>130.0</v>
      </c>
      <c r="C539" s="305" t="s">
        <v>2701</v>
      </c>
      <c r="F539" s="1384"/>
      <c r="G539" s="1384"/>
    </row>
    <row r="540">
      <c r="A540" s="466">
        <v>547.0</v>
      </c>
      <c r="B540" s="467">
        <v>215.0</v>
      </c>
      <c r="C540" s="305" t="s">
        <v>396</v>
      </c>
      <c r="F540" s="1384"/>
      <c r="G540" s="1384"/>
    </row>
    <row r="541">
      <c r="A541" s="466">
        <v>1316.0</v>
      </c>
      <c r="B541" s="467">
        <v>188.0</v>
      </c>
      <c r="C541" s="305" t="s">
        <v>1914</v>
      </c>
      <c r="F541" s="1384"/>
      <c r="G541" s="1384"/>
    </row>
    <row r="542">
      <c r="A542" s="466">
        <v>545.0</v>
      </c>
      <c r="B542" s="467">
        <v>275.0</v>
      </c>
      <c r="C542" s="305" t="s">
        <v>1915</v>
      </c>
      <c r="F542" s="1384"/>
      <c r="G542" s="1384"/>
    </row>
    <row r="543">
      <c r="A543" s="466">
        <v>2743.0</v>
      </c>
      <c r="B543" s="467">
        <v>250.0</v>
      </c>
      <c r="C543" s="305" t="s">
        <v>1917</v>
      </c>
      <c r="F543" s="1384"/>
      <c r="G543" s="1384"/>
    </row>
    <row r="544">
      <c r="A544" s="466">
        <v>2559.0</v>
      </c>
      <c r="B544" s="467">
        <v>230.0</v>
      </c>
      <c r="C544" s="305" t="s">
        <v>669</v>
      </c>
      <c r="F544" s="1384"/>
      <c r="G544" s="1384"/>
    </row>
    <row r="545">
      <c r="A545" s="466">
        <v>2878.0</v>
      </c>
      <c r="B545" s="467">
        <v>130.0</v>
      </c>
      <c r="C545" s="305" t="s">
        <v>1918</v>
      </c>
      <c r="F545" s="1384"/>
      <c r="G545" s="1384"/>
    </row>
    <row r="546">
      <c r="A546" s="466">
        <v>1152.0</v>
      </c>
      <c r="B546" s="467">
        <v>188.0</v>
      </c>
      <c r="C546" s="305" t="s">
        <v>1919</v>
      </c>
      <c r="F546" s="1384"/>
      <c r="G546" s="1384"/>
    </row>
    <row r="547">
      <c r="A547" s="466">
        <v>1195.0</v>
      </c>
      <c r="B547" s="467">
        <v>198.0</v>
      </c>
      <c r="C547" s="305" t="s">
        <v>1920</v>
      </c>
      <c r="F547" s="1384"/>
      <c r="G547" s="1384"/>
    </row>
    <row r="548">
      <c r="A548" s="466">
        <v>1129.0</v>
      </c>
      <c r="B548" s="467">
        <v>188.0</v>
      </c>
      <c r="C548" s="305" t="s">
        <v>1921</v>
      </c>
      <c r="F548" s="1384"/>
      <c r="G548" s="1384"/>
    </row>
    <row r="549">
      <c r="A549" s="466">
        <v>2947.0</v>
      </c>
      <c r="B549" s="467">
        <v>188.0</v>
      </c>
      <c r="C549" s="305" t="s">
        <v>1923</v>
      </c>
      <c r="F549" s="1384"/>
      <c r="G549" s="1384"/>
    </row>
    <row r="550">
      <c r="A550" s="466">
        <v>1153.0</v>
      </c>
      <c r="B550" s="467">
        <v>180.0</v>
      </c>
      <c r="C550" s="305" t="s">
        <v>1924</v>
      </c>
      <c r="F550" s="1384"/>
      <c r="G550" s="1384"/>
    </row>
    <row r="551">
      <c r="A551" s="466">
        <v>1233.0</v>
      </c>
      <c r="B551" s="467">
        <v>198.0</v>
      </c>
      <c r="C551" s="305" t="s">
        <v>1925</v>
      </c>
      <c r="F551" s="1384"/>
      <c r="G551" s="1384"/>
    </row>
    <row r="552">
      <c r="A552" s="466">
        <v>2651.0</v>
      </c>
      <c r="B552" s="467">
        <v>187.0</v>
      </c>
      <c r="C552" s="305" t="s">
        <v>1926</v>
      </c>
      <c r="F552" s="1384"/>
      <c r="G552" s="1384"/>
    </row>
    <row r="553">
      <c r="A553" s="466">
        <v>911.0</v>
      </c>
      <c r="B553" s="467">
        <v>140.0</v>
      </c>
      <c r="C553" s="305" t="s">
        <v>1927</v>
      </c>
      <c r="F553" s="1384"/>
      <c r="G553" s="1384"/>
    </row>
    <row r="554">
      <c r="A554" s="466">
        <v>3837.0</v>
      </c>
      <c r="B554" s="467">
        <v>245.0</v>
      </c>
      <c r="C554" s="305" t="s">
        <v>2714</v>
      </c>
      <c r="F554" s="1384"/>
      <c r="G554" s="1384"/>
    </row>
    <row r="555">
      <c r="A555" s="466">
        <v>3827.0</v>
      </c>
      <c r="B555" s="467">
        <v>266.0</v>
      </c>
      <c r="C555" s="305" t="s">
        <v>316</v>
      </c>
      <c r="F555" s="1384"/>
      <c r="G555" s="1384"/>
    </row>
    <row r="556">
      <c r="A556" s="466">
        <v>3203.0</v>
      </c>
      <c r="B556" s="467">
        <v>188.0</v>
      </c>
      <c r="C556" s="305" t="s">
        <v>1929</v>
      </c>
      <c r="F556" s="1384"/>
      <c r="G556" s="1384"/>
    </row>
    <row r="557">
      <c r="A557" s="466">
        <v>587.0</v>
      </c>
      <c r="B557" s="467">
        <v>188.0</v>
      </c>
      <c r="C557" s="305" t="s">
        <v>1930</v>
      </c>
      <c r="F557" s="1384"/>
      <c r="G557" s="1384"/>
    </row>
    <row r="558">
      <c r="A558" s="466">
        <v>3138.0</v>
      </c>
      <c r="B558" s="467">
        <v>130.0</v>
      </c>
      <c r="C558" s="305" t="s">
        <v>1931</v>
      </c>
      <c r="F558" s="1384"/>
      <c r="G558" s="1384"/>
    </row>
    <row r="559">
      <c r="A559" s="466">
        <v>3444.0</v>
      </c>
      <c r="B559" s="467">
        <v>198.0</v>
      </c>
      <c r="C559" s="305" t="s">
        <v>1932</v>
      </c>
      <c r="F559" s="1384"/>
      <c r="G559" s="1384"/>
    </row>
    <row r="560">
      <c r="A560" s="466">
        <v>3450.0</v>
      </c>
      <c r="B560" s="1403">
        <v>0.0</v>
      </c>
      <c r="C560" s="305" t="s">
        <v>1933</v>
      </c>
      <c r="F560" s="1384"/>
      <c r="G560" s="1384"/>
    </row>
    <row r="561">
      <c r="A561" s="466">
        <v>3449.0</v>
      </c>
      <c r="B561" s="1403">
        <v>0.0</v>
      </c>
      <c r="C561" s="305" t="s">
        <v>1934</v>
      </c>
      <c r="F561" s="1384"/>
      <c r="G561" s="1384"/>
    </row>
    <row r="562">
      <c r="A562" s="466">
        <v>1283.0</v>
      </c>
      <c r="B562" s="467">
        <v>60.0</v>
      </c>
      <c r="C562" s="305" t="s">
        <v>1935</v>
      </c>
      <c r="F562" s="1384"/>
      <c r="G562" s="1384"/>
    </row>
    <row r="563">
      <c r="A563" s="466">
        <v>3711.0</v>
      </c>
      <c r="B563" s="467">
        <v>215.0</v>
      </c>
      <c r="C563" s="305" t="s">
        <v>1936</v>
      </c>
      <c r="F563" s="1384"/>
      <c r="G563" s="1384"/>
    </row>
    <row r="564">
      <c r="A564" s="466">
        <v>915.0</v>
      </c>
      <c r="B564" s="467">
        <v>180.0</v>
      </c>
      <c r="C564" s="305" t="s">
        <v>1937</v>
      </c>
      <c r="F564" s="1384"/>
      <c r="G564" s="1384"/>
    </row>
    <row r="565">
      <c r="A565" s="466">
        <v>2362.0</v>
      </c>
      <c r="B565" s="467">
        <v>130.0</v>
      </c>
      <c r="C565" s="305" t="s">
        <v>1938</v>
      </c>
      <c r="F565" s="1384"/>
      <c r="G565" s="1384"/>
    </row>
    <row r="566">
      <c r="A566" s="466">
        <v>1282.0</v>
      </c>
      <c r="B566" s="467">
        <v>188.0</v>
      </c>
      <c r="C566" s="305" t="s">
        <v>1939</v>
      </c>
      <c r="F566" s="1384"/>
      <c r="G566" s="1384"/>
    </row>
    <row r="567">
      <c r="A567" s="466">
        <v>237.0</v>
      </c>
      <c r="B567" s="467">
        <v>188.0</v>
      </c>
      <c r="C567" s="305" t="s">
        <v>1940</v>
      </c>
      <c r="F567" s="1384"/>
      <c r="G567" s="1384"/>
    </row>
    <row r="568">
      <c r="A568" s="466">
        <v>1179.0</v>
      </c>
      <c r="B568" s="467">
        <v>188.0</v>
      </c>
      <c r="C568" s="305" t="s">
        <v>1941</v>
      </c>
      <c r="F568" s="1384"/>
      <c r="G568" s="1384"/>
    </row>
    <row r="569">
      <c r="A569" s="466">
        <v>150.0</v>
      </c>
      <c r="B569" s="467">
        <v>188.0</v>
      </c>
      <c r="C569" s="305" t="s">
        <v>1942</v>
      </c>
      <c r="F569" s="1384"/>
      <c r="G569" s="1384"/>
    </row>
    <row r="570">
      <c r="A570" s="466">
        <v>577.0</v>
      </c>
      <c r="B570" s="467">
        <v>188.0</v>
      </c>
      <c r="C570" s="305" t="s">
        <v>1943</v>
      </c>
      <c r="F570" s="1384"/>
      <c r="G570" s="1384"/>
    </row>
    <row r="571">
      <c r="A571" s="466">
        <v>3704.0</v>
      </c>
      <c r="B571" s="467">
        <v>198.0</v>
      </c>
      <c r="C571" s="305" t="s">
        <v>663</v>
      </c>
      <c r="F571" s="1384"/>
      <c r="G571" s="1384"/>
    </row>
    <row r="572">
      <c r="A572" s="466">
        <v>3448.0</v>
      </c>
      <c r="B572" s="467">
        <v>198.0</v>
      </c>
      <c r="C572" s="305" t="s">
        <v>1945</v>
      </c>
      <c r="F572" s="1384"/>
      <c r="G572" s="1384"/>
    </row>
    <row r="573">
      <c r="A573" s="466">
        <v>3452.0</v>
      </c>
      <c r="B573" s="467">
        <v>198.0</v>
      </c>
      <c r="C573" s="305" t="s">
        <v>1946</v>
      </c>
      <c r="F573" s="1384"/>
      <c r="G573" s="1384"/>
    </row>
    <row r="574">
      <c r="A574" s="466">
        <v>3451.0</v>
      </c>
      <c r="B574" s="467">
        <v>198.0</v>
      </c>
      <c r="C574" s="305" t="s">
        <v>1947</v>
      </c>
      <c r="F574" s="1384"/>
      <c r="G574" s="1384"/>
    </row>
    <row r="575">
      <c r="A575" s="466">
        <v>2882.0</v>
      </c>
      <c r="B575" s="467">
        <v>130.0</v>
      </c>
      <c r="C575" s="305" t="s">
        <v>1948</v>
      </c>
      <c r="F575" s="1384"/>
      <c r="G575" s="1384"/>
    </row>
    <row r="576">
      <c r="A576" s="466">
        <v>1868.0</v>
      </c>
      <c r="B576" s="467">
        <v>188.0</v>
      </c>
      <c r="C576" s="305" t="s">
        <v>1949</v>
      </c>
      <c r="F576" s="1384"/>
      <c r="G576" s="1384"/>
    </row>
    <row r="577">
      <c r="A577" s="466">
        <v>2174.0</v>
      </c>
      <c r="B577" s="467">
        <v>188.0</v>
      </c>
      <c r="C577" s="305" t="s">
        <v>1950</v>
      </c>
      <c r="F577" s="1384"/>
      <c r="G577" s="1384"/>
    </row>
    <row r="578">
      <c r="A578" s="466">
        <v>3368.0</v>
      </c>
      <c r="B578" s="467">
        <v>198.0</v>
      </c>
      <c r="C578" s="305" t="s">
        <v>1951</v>
      </c>
      <c r="F578" s="1384"/>
      <c r="G578" s="1384"/>
    </row>
    <row r="579">
      <c r="A579" s="466">
        <v>3612.0</v>
      </c>
      <c r="B579" s="917">
        <v>210.0</v>
      </c>
      <c r="C579" s="305" t="s">
        <v>598</v>
      </c>
      <c r="F579" s="1384"/>
      <c r="G579" s="1384"/>
    </row>
    <row r="580">
      <c r="A580" s="466">
        <v>1037.0</v>
      </c>
      <c r="B580" s="467">
        <v>198.0</v>
      </c>
      <c r="C580" s="305" t="s">
        <v>1952</v>
      </c>
      <c r="F580" s="1384"/>
      <c r="G580" s="1384"/>
    </row>
    <row r="581">
      <c r="A581" s="466">
        <v>1035.0</v>
      </c>
      <c r="B581" s="467">
        <v>180.0</v>
      </c>
      <c r="C581" s="305" t="s">
        <v>1953</v>
      </c>
      <c r="F581" s="1384"/>
      <c r="G581" s="1384"/>
    </row>
    <row r="582">
      <c r="A582" s="466">
        <v>3286.0</v>
      </c>
      <c r="B582" s="467">
        <v>130.0</v>
      </c>
      <c r="C582" s="305" t="s">
        <v>1954</v>
      </c>
      <c r="F582" s="1384"/>
      <c r="G582" s="1384"/>
    </row>
    <row r="583">
      <c r="A583" s="466">
        <v>3658.0</v>
      </c>
      <c r="B583" s="467">
        <v>208.0</v>
      </c>
      <c r="C583" s="305" t="s">
        <v>734</v>
      </c>
      <c r="F583" s="1384"/>
      <c r="G583" s="1384"/>
    </row>
    <row r="584">
      <c r="A584" s="466">
        <v>3750.0</v>
      </c>
      <c r="B584" s="467">
        <v>203.0</v>
      </c>
      <c r="C584" s="305" t="s">
        <v>722</v>
      </c>
      <c r="F584" s="1384"/>
      <c r="G584" s="1384"/>
    </row>
    <row r="585">
      <c r="A585" s="466">
        <v>3658.0</v>
      </c>
      <c r="B585" s="467">
        <v>190.0</v>
      </c>
      <c r="C585" s="305" t="s">
        <v>1956</v>
      </c>
      <c r="F585" s="1384"/>
      <c r="G585" s="1384"/>
    </row>
    <row r="586">
      <c r="A586" s="466">
        <v>3771.0</v>
      </c>
      <c r="B586" s="467">
        <v>198.0</v>
      </c>
      <c r="C586" s="305" t="s">
        <v>727</v>
      </c>
      <c r="F586" s="1384"/>
      <c r="G586" s="1384"/>
    </row>
    <row r="587">
      <c r="A587" s="466">
        <v>3705.0</v>
      </c>
      <c r="B587" s="467">
        <v>198.0</v>
      </c>
      <c r="C587" s="305" t="s">
        <v>606</v>
      </c>
      <c r="F587" s="1384"/>
      <c r="G587" s="1384"/>
    </row>
    <row r="588">
      <c r="A588" s="466">
        <v>2322.0</v>
      </c>
      <c r="B588" s="467">
        <v>130.0</v>
      </c>
      <c r="C588" s="305" t="s">
        <v>1957</v>
      </c>
      <c r="F588" s="1384"/>
      <c r="G588" s="1384"/>
    </row>
    <row r="589">
      <c r="A589" s="466">
        <v>2510.0</v>
      </c>
      <c r="B589" s="467">
        <v>188.0</v>
      </c>
      <c r="C589" s="305" t="s">
        <v>1958</v>
      </c>
      <c r="F589" s="1384"/>
      <c r="G589" s="1384"/>
    </row>
    <row r="590">
      <c r="A590" s="466">
        <v>1354.0</v>
      </c>
      <c r="B590" s="467">
        <v>188.0</v>
      </c>
      <c r="C590" s="305" t="s">
        <v>1959</v>
      </c>
      <c r="F590" s="1384"/>
      <c r="G590" s="1384"/>
    </row>
    <row r="591">
      <c r="A591" s="466">
        <v>2496.0</v>
      </c>
      <c r="B591" s="467">
        <v>188.0</v>
      </c>
      <c r="C591" s="305" t="s">
        <v>1960</v>
      </c>
      <c r="F591" s="1384"/>
      <c r="G591" s="1384"/>
    </row>
    <row r="592">
      <c r="A592" s="466">
        <v>906.0</v>
      </c>
      <c r="B592" s="467">
        <v>180.0</v>
      </c>
      <c r="C592" s="305" t="s">
        <v>1961</v>
      </c>
      <c r="F592" s="1384"/>
      <c r="G592" s="1384"/>
    </row>
    <row r="593">
      <c r="A593" s="466">
        <v>959.0</v>
      </c>
      <c r="B593" s="467">
        <v>188.0</v>
      </c>
      <c r="C593" s="305" t="s">
        <v>1962</v>
      </c>
      <c r="F593" s="1384"/>
      <c r="G593" s="1384"/>
    </row>
    <row r="594">
      <c r="A594" s="466">
        <v>2976.0</v>
      </c>
      <c r="B594" s="917">
        <v>195.0</v>
      </c>
      <c r="C594" s="305" t="s">
        <v>426</v>
      </c>
      <c r="F594" s="1384"/>
      <c r="G594" s="1384"/>
    </row>
    <row r="595">
      <c r="A595" s="466">
        <v>967.0</v>
      </c>
      <c r="B595" s="917">
        <v>198.0</v>
      </c>
      <c r="C595" s="305" t="s">
        <v>573</v>
      </c>
      <c r="F595" s="1384"/>
      <c r="G595" s="1384"/>
    </row>
    <row r="596">
      <c r="A596" s="466">
        <v>3276.0</v>
      </c>
      <c r="B596" s="467">
        <v>218.0</v>
      </c>
      <c r="C596" s="305" t="s">
        <v>730</v>
      </c>
      <c r="F596" s="1384"/>
      <c r="G596" s="1384"/>
    </row>
    <row r="597">
      <c r="A597" s="466">
        <v>3494.0</v>
      </c>
      <c r="B597" s="917">
        <v>227.0</v>
      </c>
      <c r="C597" s="305" t="s">
        <v>611</v>
      </c>
      <c r="F597" s="1384"/>
      <c r="G597" s="1384"/>
    </row>
    <row r="598">
      <c r="A598" s="466">
        <v>3274.0</v>
      </c>
      <c r="B598" s="467">
        <v>198.0</v>
      </c>
      <c r="C598" s="305" t="s">
        <v>1964</v>
      </c>
      <c r="F598" s="1384"/>
      <c r="G598" s="1384"/>
    </row>
    <row r="599">
      <c r="A599" s="466">
        <v>667.0</v>
      </c>
      <c r="B599" s="467">
        <v>180.0</v>
      </c>
      <c r="C599" s="305" t="s">
        <v>1965</v>
      </c>
      <c r="F599" s="1384"/>
      <c r="G599" s="1384"/>
    </row>
    <row r="600">
      <c r="A600" s="466">
        <v>554.0</v>
      </c>
      <c r="B600" s="467">
        <v>180.0</v>
      </c>
      <c r="C600" s="305" t="s">
        <v>1966</v>
      </c>
      <c r="F600" s="1384"/>
      <c r="G600" s="1384"/>
    </row>
    <row r="601">
      <c r="A601" s="466">
        <v>235.0</v>
      </c>
      <c r="B601" s="467">
        <v>180.0</v>
      </c>
      <c r="C601" s="305" t="s">
        <v>1967</v>
      </c>
      <c r="F601" s="1384"/>
      <c r="G601" s="1384"/>
    </row>
    <row r="602">
      <c r="A602" s="466">
        <v>862.0</v>
      </c>
      <c r="B602" s="467">
        <v>180.0</v>
      </c>
      <c r="C602" s="305" t="s">
        <v>1968</v>
      </c>
      <c r="F602" s="1384"/>
      <c r="G602" s="1384"/>
    </row>
    <row r="603">
      <c r="A603" s="466">
        <v>857.0</v>
      </c>
      <c r="B603" s="467">
        <v>180.0</v>
      </c>
      <c r="C603" s="305" t="s">
        <v>1969</v>
      </c>
      <c r="F603" s="1384"/>
      <c r="G603" s="1384"/>
    </row>
    <row r="604">
      <c r="A604" s="466">
        <v>988.0</v>
      </c>
      <c r="B604" s="467">
        <v>180.0</v>
      </c>
      <c r="C604" s="305" t="s">
        <v>1970</v>
      </c>
      <c r="F604" s="1384"/>
      <c r="G604" s="1384"/>
    </row>
    <row r="605">
      <c r="A605" s="466">
        <v>50.0</v>
      </c>
      <c r="B605" s="467">
        <v>180.0</v>
      </c>
      <c r="C605" s="305" t="s">
        <v>1971</v>
      </c>
      <c r="F605" s="1384"/>
      <c r="G605" s="1384"/>
    </row>
    <row r="606">
      <c r="A606" s="466">
        <v>3711.0</v>
      </c>
      <c r="B606" s="467">
        <v>215.0</v>
      </c>
      <c r="C606" s="305" t="s">
        <v>1972</v>
      </c>
      <c r="F606" s="1384"/>
      <c r="G606" s="1384"/>
    </row>
    <row r="607">
      <c r="A607" s="466">
        <v>240.0</v>
      </c>
      <c r="B607" s="467">
        <v>180.0</v>
      </c>
      <c r="C607" s="305" t="s">
        <v>1974</v>
      </c>
      <c r="F607" s="1384"/>
      <c r="G607" s="1384"/>
    </row>
    <row r="608">
      <c r="A608" s="466">
        <v>239.0</v>
      </c>
      <c r="B608" s="467">
        <v>180.0</v>
      </c>
      <c r="C608" s="305" t="s">
        <v>1975</v>
      </c>
      <c r="F608" s="1384"/>
      <c r="G608" s="1384"/>
    </row>
    <row r="609">
      <c r="A609" s="466">
        <v>1038.0</v>
      </c>
      <c r="B609" s="467">
        <v>180.0</v>
      </c>
      <c r="C609" s="305" t="s">
        <v>1976</v>
      </c>
      <c r="F609" s="1384"/>
      <c r="G609" s="1384"/>
    </row>
    <row r="610">
      <c r="A610" s="466">
        <v>1384.0</v>
      </c>
      <c r="B610" s="467">
        <v>180.0</v>
      </c>
      <c r="C610" s="305" t="s">
        <v>1977</v>
      </c>
      <c r="F610" s="1384"/>
      <c r="G610" s="1384"/>
    </row>
    <row r="611">
      <c r="A611" s="466">
        <v>1385.0</v>
      </c>
      <c r="B611" s="467">
        <v>180.0</v>
      </c>
      <c r="C611" s="305" t="s">
        <v>1978</v>
      </c>
      <c r="F611" s="1384"/>
      <c r="G611" s="1384"/>
    </row>
    <row r="612">
      <c r="A612" s="466">
        <v>1416.0</v>
      </c>
      <c r="B612" s="467">
        <v>180.0</v>
      </c>
      <c r="C612" s="305" t="s">
        <v>1979</v>
      </c>
      <c r="F612" s="1384"/>
      <c r="G612" s="1384"/>
    </row>
    <row r="613">
      <c r="A613" s="466">
        <v>144.0</v>
      </c>
      <c r="B613" s="467">
        <v>188.0</v>
      </c>
      <c r="C613" s="305" t="s">
        <v>1980</v>
      </c>
      <c r="F613" s="1384"/>
      <c r="G613" s="1384"/>
    </row>
    <row r="614">
      <c r="A614" s="466">
        <v>1143.0</v>
      </c>
      <c r="B614" s="467">
        <v>188.0</v>
      </c>
      <c r="C614" s="305" t="s">
        <v>1981</v>
      </c>
      <c r="F614" s="1384"/>
      <c r="G614" s="1384"/>
    </row>
    <row r="615">
      <c r="A615" s="466">
        <v>1126.0</v>
      </c>
      <c r="B615" s="467">
        <v>188.0</v>
      </c>
      <c r="C615" s="305" t="s">
        <v>1982</v>
      </c>
      <c r="F615" s="1384"/>
      <c r="G615" s="1384"/>
    </row>
    <row r="616">
      <c r="A616" s="466">
        <v>1335.0</v>
      </c>
      <c r="B616" s="467">
        <v>188.0</v>
      </c>
      <c r="C616" s="305" t="s">
        <v>1983</v>
      </c>
      <c r="F616" s="1384"/>
      <c r="G616" s="1384"/>
    </row>
    <row r="617">
      <c r="A617" s="466">
        <v>381.0</v>
      </c>
      <c r="B617" s="467">
        <v>188.0</v>
      </c>
      <c r="C617" s="305" t="s">
        <v>1984</v>
      </c>
      <c r="F617" s="1384"/>
      <c r="G617" s="1384"/>
    </row>
    <row r="618">
      <c r="A618" s="466">
        <v>2901.0</v>
      </c>
      <c r="B618" s="467">
        <v>188.0</v>
      </c>
      <c r="C618" s="305" t="s">
        <v>1985</v>
      </c>
      <c r="F618" s="1384"/>
      <c r="G618" s="1384"/>
    </row>
    <row r="619">
      <c r="A619" s="466">
        <v>2900.0</v>
      </c>
      <c r="B619" s="467">
        <v>188.0</v>
      </c>
      <c r="C619" s="305" t="s">
        <v>1986</v>
      </c>
      <c r="F619" s="1384"/>
      <c r="G619" s="1384"/>
    </row>
    <row r="620">
      <c r="A620" s="466">
        <v>1021.0</v>
      </c>
      <c r="B620" s="467">
        <v>188.0</v>
      </c>
      <c r="C620" s="305" t="s">
        <v>1987</v>
      </c>
      <c r="F620" s="1384"/>
      <c r="G620" s="1384"/>
    </row>
    <row r="621">
      <c r="A621" s="466">
        <v>2803.0</v>
      </c>
      <c r="B621" s="467">
        <v>76.0</v>
      </c>
      <c r="C621" s="305" t="s">
        <v>1989</v>
      </c>
      <c r="F621" s="1384"/>
      <c r="G621" s="1384"/>
    </row>
    <row r="622">
      <c r="A622" s="466">
        <v>3789.0</v>
      </c>
      <c r="B622" s="467">
        <v>187.0</v>
      </c>
      <c r="C622" s="305" t="s">
        <v>2769</v>
      </c>
      <c r="F622" s="1384"/>
      <c r="G622" s="1384"/>
    </row>
    <row r="623">
      <c r="A623" s="466">
        <v>1353.0</v>
      </c>
      <c r="B623" s="467">
        <v>180.0</v>
      </c>
      <c r="C623" s="305" t="s">
        <v>1991</v>
      </c>
      <c r="F623" s="1384"/>
      <c r="G623" s="1384"/>
    </row>
    <row r="624">
      <c r="A624" s="466">
        <v>2932.0</v>
      </c>
      <c r="B624" s="917">
        <v>288.0</v>
      </c>
      <c r="C624" s="305" t="s">
        <v>624</v>
      </c>
      <c r="F624" s="1384"/>
      <c r="G624" s="1384"/>
    </row>
    <row r="625">
      <c r="A625" s="466">
        <v>3799.0</v>
      </c>
      <c r="B625" s="467">
        <v>215.0</v>
      </c>
      <c r="C625" s="305" t="s">
        <v>450</v>
      </c>
      <c r="F625" s="1384"/>
      <c r="G625" s="1384"/>
    </row>
    <row r="626">
      <c r="A626" s="466">
        <v>898.0</v>
      </c>
      <c r="B626" s="467">
        <v>245.0</v>
      </c>
      <c r="C626" s="305" t="s">
        <v>485</v>
      </c>
      <c r="F626" s="1384"/>
      <c r="G626" s="1384"/>
    </row>
    <row r="627">
      <c r="A627" s="466">
        <v>3611.0</v>
      </c>
      <c r="B627" s="467">
        <v>274.0</v>
      </c>
      <c r="C627" s="305" t="s">
        <v>745</v>
      </c>
      <c r="F627" s="1384"/>
      <c r="G627" s="1384"/>
    </row>
    <row r="628">
      <c r="A628" s="466">
        <v>586.0</v>
      </c>
      <c r="B628" s="467">
        <v>160.0</v>
      </c>
      <c r="C628" s="305" t="s">
        <v>1992</v>
      </c>
      <c r="F628" s="1384"/>
      <c r="G628" s="1384"/>
    </row>
    <row r="629">
      <c r="A629" s="466">
        <v>3346.0</v>
      </c>
      <c r="B629" s="917">
        <v>238.0</v>
      </c>
      <c r="C629" s="305" t="s">
        <v>801</v>
      </c>
      <c r="F629" s="1384"/>
      <c r="G629" s="1384"/>
    </row>
    <row r="630">
      <c r="A630" s="466">
        <v>71.0</v>
      </c>
      <c r="B630" s="467">
        <v>160.0</v>
      </c>
      <c r="C630" s="305" t="s">
        <v>1994</v>
      </c>
      <c r="F630" s="1384"/>
      <c r="G630" s="1384"/>
    </row>
    <row r="631">
      <c r="A631" s="466">
        <v>117.0</v>
      </c>
      <c r="B631" s="467">
        <v>160.0</v>
      </c>
      <c r="C631" s="305" t="s">
        <v>1995</v>
      </c>
      <c r="F631" s="1384"/>
      <c r="G631" s="1384"/>
    </row>
    <row r="632">
      <c r="A632" s="466">
        <v>3426.0</v>
      </c>
      <c r="B632" s="467">
        <v>160.0</v>
      </c>
      <c r="C632" s="305" t="s">
        <v>416</v>
      </c>
      <c r="F632" s="1384"/>
      <c r="G632" s="1384"/>
    </row>
    <row r="633">
      <c r="A633" s="466">
        <v>1285.0</v>
      </c>
      <c r="B633" s="467">
        <v>10.0</v>
      </c>
      <c r="C633" s="305" t="s">
        <v>1996</v>
      </c>
      <c r="F633" s="1384"/>
      <c r="G633" s="1384"/>
    </row>
    <row r="634">
      <c r="A634" s="466">
        <v>1325.0</v>
      </c>
      <c r="B634" s="467">
        <v>10.0</v>
      </c>
      <c r="C634" s="305" t="s">
        <v>1997</v>
      </c>
      <c r="F634" s="1384"/>
      <c r="G634" s="1384"/>
    </row>
    <row r="635">
      <c r="A635" s="466">
        <v>1036.0</v>
      </c>
      <c r="B635" s="467">
        <v>100.0</v>
      </c>
      <c r="C635" s="305" t="s">
        <v>1998</v>
      </c>
      <c r="F635" s="1384"/>
      <c r="G635" s="1384"/>
    </row>
    <row r="636">
      <c r="A636" s="466">
        <v>2065.0</v>
      </c>
      <c r="B636" s="467">
        <v>180.0</v>
      </c>
      <c r="C636" s="305" t="s">
        <v>1999</v>
      </c>
      <c r="F636" s="1384"/>
      <c r="G636" s="1384"/>
    </row>
    <row r="637">
      <c r="A637" s="466">
        <v>1299.0</v>
      </c>
      <c r="B637" s="467">
        <v>188.0</v>
      </c>
      <c r="C637" s="305" t="s">
        <v>2000</v>
      </c>
      <c r="F637" s="1384"/>
      <c r="G637" s="1384"/>
    </row>
    <row r="638">
      <c r="A638" s="466">
        <v>1388.0</v>
      </c>
      <c r="B638" s="467">
        <v>188.0</v>
      </c>
      <c r="C638" s="305" t="s">
        <v>2002</v>
      </c>
      <c r="F638" s="1384"/>
      <c r="G638" s="1384"/>
    </row>
    <row r="639">
      <c r="A639" s="466">
        <v>1150.0</v>
      </c>
      <c r="B639" s="467">
        <v>160.0</v>
      </c>
      <c r="C639" s="305" t="s">
        <v>2003</v>
      </c>
      <c r="F639" s="1384"/>
      <c r="G639" s="1384"/>
    </row>
    <row r="640">
      <c r="A640" s="466">
        <v>1116.0</v>
      </c>
      <c r="B640" s="467">
        <v>160.0</v>
      </c>
      <c r="C640" s="305" t="s">
        <v>2004</v>
      </c>
      <c r="F640" s="1384"/>
      <c r="G640" s="1384"/>
    </row>
    <row r="641">
      <c r="A641" s="466">
        <v>2351.0</v>
      </c>
      <c r="B641" s="467">
        <v>130.0</v>
      </c>
      <c r="C641" s="305" t="s">
        <v>2005</v>
      </c>
      <c r="F641" s="1384"/>
      <c r="G641" s="1384"/>
    </row>
    <row r="642">
      <c r="A642" s="466">
        <v>1149.0</v>
      </c>
      <c r="B642" s="467">
        <v>228.0</v>
      </c>
      <c r="C642" s="305" t="s">
        <v>659</v>
      </c>
      <c r="F642" s="1384"/>
      <c r="G642" s="1384"/>
    </row>
    <row r="643">
      <c r="A643" s="466">
        <v>1117.0</v>
      </c>
      <c r="B643" s="467">
        <v>188.0</v>
      </c>
      <c r="C643" s="305" t="s">
        <v>2006</v>
      </c>
      <c r="F643" s="1384"/>
      <c r="G643" s="1384"/>
    </row>
    <row r="644">
      <c r="A644" s="466">
        <v>1223.0</v>
      </c>
      <c r="B644" s="467">
        <v>188.0</v>
      </c>
      <c r="C644" s="305" t="s">
        <v>2007</v>
      </c>
      <c r="F644" s="1384"/>
      <c r="G644" s="1384"/>
    </row>
    <row r="645">
      <c r="A645" s="466">
        <v>2210.0</v>
      </c>
      <c r="B645" s="467">
        <v>123.36</v>
      </c>
      <c r="C645" s="305" t="s">
        <v>2008</v>
      </c>
      <c r="F645" s="1384"/>
      <c r="G645" s="1384"/>
    </row>
    <row r="646">
      <c r="A646" s="466">
        <v>3122.0</v>
      </c>
      <c r="B646" s="917">
        <v>261.0</v>
      </c>
      <c r="C646" s="305" t="s">
        <v>804</v>
      </c>
      <c r="F646" s="1384"/>
      <c r="G646" s="1384"/>
    </row>
    <row r="647">
      <c r="A647" s="466">
        <v>2018.0</v>
      </c>
      <c r="B647" s="467">
        <v>160.0</v>
      </c>
      <c r="C647" s="305" t="s">
        <v>2009</v>
      </c>
      <c r="F647" s="1384"/>
      <c r="G647" s="1384"/>
    </row>
    <row r="648">
      <c r="A648" s="466">
        <v>1847.0</v>
      </c>
      <c r="B648" s="467">
        <v>180.0</v>
      </c>
      <c r="C648" s="305" t="s">
        <v>2010</v>
      </c>
      <c r="F648" s="1384"/>
      <c r="G648" s="1384"/>
    </row>
    <row r="649">
      <c r="A649" s="466">
        <v>2278.0</v>
      </c>
      <c r="B649" s="467">
        <v>59.0</v>
      </c>
      <c r="C649" s="305" t="s">
        <v>1439</v>
      </c>
      <c r="F649" s="1384"/>
      <c r="G649" s="1384"/>
    </row>
    <row r="650">
      <c r="A650" s="466">
        <v>3437.0</v>
      </c>
      <c r="B650" s="917">
        <v>198.0</v>
      </c>
      <c r="C650" s="305" t="s">
        <v>313</v>
      </c>
      <c r="F650" s="1384"/>
      <c r="G650" s="1384"/>
    </row>
    <row r="651">
      <c r="A651" s="466">
        <v>1147.0</v>
      </c>
      <c r="B651" s="467">
        <v>180.0</v>
      </c>
      <c r="C651" s="305" t="s">
        <v>2013</v>
      </c>
      <c r="F651" s="1384"/>
      <c r="G651" s="1384"/>
    </row>
    <row r="652">
      <c r="A652" s="466">
        <v>1239.0</v>
      </c>
      <c r="B652" s="467">
        <v>188.0</v>
      </c>
      <c r="C652" s="305" t="s">
        <v>2014</v>
      </c>
      <c r="F652" s="1384"/>
      <c r="G652" s="1384"/>
    </row>
    <row r="653">
      <c r="A653" s="466">
        <v>3137.0</v>
      </c>
      <c r="B653" s="467">
        <v>188.0</v>
      </c>
      <c r="C653" s="305" t="s">
        <v>2015</v>
      </c>
      <c r="F653" s="1384"/>
      <c r="G653" s="1384"/>
    </row>
    <row r="654">
      <c r="A654" s="466">
        <v>3273.0</v>
      </c>
      <c r="B654" s="467">
        <v>198.0</v>
      </c>
      <c r="C654" s="305" t="s">
        <v>667</v>
      </c>
      <c r="F654" s="1384"/>
      <c r="G654" s="1384"/>
    </row>
    <row r="655">
      <c r="A655" s="466">
        <v>1255.0</v>
      </c>
      <c r="B655" s="467">
        <v>70.0</v>
      </c>
      <c r="C655" s="305" t="s">
        <v>2016</v>
      </c>
      <c r="F655" s="1384"/>
      <c r="G655" s="1384"/>
    </row>
    <row r="656">
      <c r="A656" s="466">
        <v>3868.0</v>
      </c>
      <c r="B656" s="467">
        <v>158.0</v>
      </c>
      <c r="C656" s="305" t="s">
        <v>1235</v>
      </c>
      <c r="F656" s="1384"/>
      <c r="G656" s="1384"/>
    </row>
    <row r="657">
      <c r="A657" s="466">
        <v>2936.0</v>
      </c>
      <c r="B657" s="467">
        <v>85.0</v>
      </c>
      <c r="C657" s="305" t="s">
        <v>468</v>
      </c>
      <c r="F657" s="1384"/>
      <c r="G657" s="1384"/>
    </row>
    <row r="658">
      <c r="A658" s="466">
        <v>3196.0</v>
      </c>
      <c r="B658" s="467">
        <v>97.0</v>
      </c>
      <c r="C658" s="305" t="s">
        <v>890</v>
      </c>
      <c r="F658" s="1384"/>
      <c r="G658" s="1384"/>
    </row>
    <row r="659">
      <c r="A659" s="466">
        <v>1327.0</v>
      </c>
      <c r="B659" s="917">
        <v>247.0</v>
      </c>
      <c r="C659" s="305" t="s">
        <v>548</v>
      </c>
      <c r="F659" s="1384"/>
      <c r="G659" s="1384"/>
    </row>
    <row r="660">
      <c r="A660" s="466">
        <v>1324.0</v>
      </c>
      <c r="B660" s="467">
        <v>180.0</v>
      </c>
      <c r="C660" s="305" t="s">
        <v>2019</v>
      </c>
      <c r="F660" s="1384"/>
      <c r="G660" s="1384"/>
    </row>
    <row r="661">
      <c r="A661" s="466">
        <v>1896.0</v>
      </c>
      <c r="B661" s="917">
        <v>247.0</v>
      </c>
      <c r="C661" s="305" t="s">
        <v>2813</v>
      </c>
      <c r="F661" s="1384"/>
      <c r="G661" s="1384"/>
    </row>
    <row r="662">
      <c r="A662" s="466">
        <v>2256.0</v>
      </c>
      <c r="B662" s="467">
        <v>188.0</v>
      </c>
      <c r="C662" s="305" t="s">
        <v>2816</v>
      </c>
      <c r="F662" s="1384"/>
      <c r="G662" s="1384"/>
    </row>
    <row r="663">
      <c r="A663" s="466">
        <v>2744.0</v>
      </c>
      <c r="B663" s="467">
        <v>304.0</v>
      </c>
      <c r="C663" s="305" t="s">
        <v>2023</v>
      </c>
      <c r="F663" s="1384"/>
      <c r="G663" s="1384"/>
    </row>
    <row r="664">
      <c r="A664" s="466">
        <v>3826.0</v>
      </c>
      <c r="B664" s="467">
        <v>225.0</v>
      </c>
      <c r="C664" s="305" t="s">
        <v>2025</v>
      </c>
      <c r="F664" s="1384"/>
      <c r="G664" s="1384"/>
    </row>
    <row r="665">
      <c r="A665" s="466">
        <v>3655.0</v>
      </c>
      <c r="B665" s="467">
        <v>220.0</v>
      </c>
      <c r="C665" s="305" t="s">
        <v>673</v>
      </c>
      <c r="F665" s="1384"/>
      <c r="G665" s="1384"/>
    </row>
    <row r="666">
      <c r="A666" s="466">
        <v>2641.0</v>
      </c>
      <c r="B666" s="467">
        <v>176.0</v>
      </c>
      <c r="C666" s="305" t="s">
        <v>2027</v>
      </c>
      <c r="F666" s="1384"/>
      <c r="G666" s="1384"/>
    </row>
    <row r="667">
      <c r="A667" s="466">
        <v>1494.0</v>
      </c>
      <c r="B667" s="467">
        <v>60.0</v>
      </c>
      <c r="C667" s="305" t="s">
        <v>2028</v>
      </c>
      <c r="F667" s="1384"/>
      <c r="G667" s="1384"/>
    </row>
    <row r="668">
      <c r="A668" s="466">
        <v>3407.0</v>
      </c>
      <c r="B668" s="1404">
        <v>208.0</v>
      </c>
      <c r="C668" s="305" t="s">
        <v>856</v>
      </c>
      <c r="F668" s="1384"/>
      <c r="G668" s="1384"/>
    </row>
    <row r="669">
      <c r="A669" s="466">
        <v>2221.0</v>
      </c>
      <c r="B669" s="467">
        <v>198.0</v>
      </c>
      <c r="C669" s="305" t="s">
        <v>2029</v>
      </c>
      <c r="F669" s="1384"/>
      <c r="G669" s="1384"/>
    </row>
    <row r="670">
      <c r="A670" s="466">
        <v>2850.0</v>
      </c>
      <c r="B670" s="467">
        <v>130.0</v>
      </c>
      <c r="C670" s="305" t="s">
        <v>2031</v>
      </c>
      <c r="F670" s="1384"/>
      <c r="G670" s="1384"/>
    </row>
    <row r="671">
      <c r="A671" s="466">
        <v>3331.0</v>
      </c>
      <c r="B671" s="467">
        <v>198.0</v>
      </c>
      <c r="C671" s="305" t="s">
        <v>806</v>
      </c>
      <c r="F671" s="1384"/>
      <c r="G671" s="1384"/>
    </row>
    <row r="672">
      <c r="A672" s="466">
        <v>2841.0</v>
      </c>
      <c r="B672" s="467">
        <v>198.0</v>
      </c>
      <c r="C672" s="305" t="s">
        <v>567</v>
      </c>
      <c r="F672" s="1384"/>
      <c r="G672" s="1384"/>
    </row>
    <row r="673">
      <c r="A673" s="466">
        <v>3123.0</v>
      </c>
      <c r="B673" s="467">
        <v>198.0</v>
      </c>
      <c r="C673" s="305" t="s">
        <v>2032</v>
      </c>
      <c r="F673" s="1384"/>
      <c r="G673" s="1384"/>
    </row>
    <row r="674">
      <c r="A674" s="466">
        <v>1034.0</v>
      </c>
      <c r="B674" s="467">
        <v>160.0</v>
      </c>
      <c r="C674" s="305" t="s">
        <v>2033</v>
      </c>
      <c r="F674" s="1384"/>
      <c r="G674" s="1384"/>
    </row>
    <row r="675">
      <c r="A675" s="466">
        <v>2647.0</v>
      </c>
      <c r="B675" s="467">
        <v>198.0</v>
      </c>
      <c r="C675" s="305" t="s">
        <v>2034</v>
      </c>
      <c r="F675" s="1384"/>
      <c r="G675" s="1384"/>
    </row>
    <row r="676">
      <c r="A676" s="466">
        <v>70.0</v>
      </c>
      <c r="B676" s="467">
        <v>160.0</v>
      </c>
      <c r="C676" s="305" t="s">
        <v>2035</v>
      </c>
      <c r="F676" s="1384"/>
      <c r="G676" s="1384"/>
    </row>
    <row r="677">
      <c r="A677" s="466">
        <v>2387.0</v>
      </c>
      <c r="B677" s="467">
        <v>130.0</v>
      </c>
      <c r="C677" s="305" t="s">
        <v>2036</v>
      </c>
      <c r="F677" s="1384"/>
      <c r="G677" s="1384"/>
    </row>
    <row r="678">
      <c r="A678" s="466">
        <v>2383.0</v>
      </c>
      <c r="B678" s="467">
        <v>188.0</v>
      </c>
      <c r="C678" s="305" t="s">
        <v>2037</v>
      </c>
      <c r="F678" s="1384"/>
      <c r="G678" s="1384"/>
    </row>
    <row r="679">
      <c r="A679" s="466">
        <v>2671.0</v>
      </c>
      <c r="B679" s="467">
        <v>188.0</v>
      </c>
      <c r="C679" s="305" t="s">
        <v>2038</v>
      </c>
      <c r="F679" s="1384"/>
      <c r="G679" s="1384"/>
    </row>
    <row r="680">
      <c r="A680" s="466">
        <v>2668.0</v>
      </c>
      <c r="B680" s="467">
        <v>188.0</v>
      </c>
      <c r="C680" s="305" t="s">
        <v>2039</v>
      </c>
      <c r="F680" s="1384"/>
      <c r="G680" s="1384"/>
    </row>
    <row r="681">
      <c r="A681" s="466">
        <v>2794.0</v>
      </c>
      <c r="B681" s="467">
        <v>188.0</v>
      </c>
      <c r="C681" s="305" t="s">
        <v>2041</v>
      </c>
      <c r="F681" s="1384"/>
      <c r="G681" s="1384"/>
    </row>
    <row r="682">
      <c r="A682" s="466">
        <v>2707.0</v>
      </c>
      <c r="B682" s="467">
        <v>188.0</v>
      </c>
      <c r="C682" s="305" t="s">
        <v>2043</v>
      </c>
      <c r="F682" s="1384"/>
      <c r="G682" s="1384"/>
    </row>
    <row r="683">
      <c r="A683" s="466">
        <v>2271.0</v>
      </c>
      <c r="B683" s="467">
        <v>188.0</v>
      </c>
      <c r="C683" s="305" t="s">
        <v>2044</v>
      </c>
      <c r="F683" s="1384"/>
      <c r="G683" s="1384"/>
    </row>
    <row r="684">
      <c r="A684" s="466">
        <v>2488.0</v>
      </c>
      <c r="B684" s="467">
        <v>188.0</v>
      </c>
      <c r="C684" s="305" t="s">
        <v>2045</v>
      </c>
      <c r="F684" s="1384"/>
      <c r="G684" s="1384"/>
    </row>
    <row r="685">
      <c r="A685" s="466">
        <v>2637.0</v>
      </c>
      <c r="B685" s="467">
        <v>130.0</v>
      </c>
      <c r="C685" s="305" t="s">
        <v>2046</v>
      </c>
      <c r="F685" s="1384"/>
      <c r="G685" s="1384"/>
    </row>
    <row r="686">
      <c r="A686" s="466">
        <v>2482.0</v>
      </c>
      <c r="B686" s="917">
        <v>208.0</v>
      </c>
      <c r="C686" s="305" t="s">
        <v>810</v>
      </c>
      <c r="F686" s="1384"/>
      <c r="G686" s="1384"/>
    </row>
    <row r="687">
      <c r="A687" s="466">
        <v>3033.0</v>
      </c>
      <c r="B687" s="467">
        <v>198.0</v>
      </c>
      <c r="C687" s="305" t="s">
        <v>2047</v>
      </c>
      <c r="F687" s="1384"/>
      <c r="G687" s="1384"/>
    </row>
    <row r="688">
      <c r="A688" s="466">
        <v>2631.0</v>
      </c>
      <c r="B688" s="467">
        <v>188.0</v>
      </c>
      <c r="C688" s="305" t="s">
        <v>458</v>
      </c>
      <c r="F688" s="1384"/>
      <c r="G688" s="1384"/>
    </row>
    <row r="689">
      <c r="A689" s="466">
        <v>2484.0</v>
      </c>
      <c r="B689" s="467">
        <v>221.0</v>
      </c>
      <c r="C689" s="305" t="s">
        <v>2048</v>
      </c>
      <c r="F689" s="1384"/>
      <c r="G689" s="1384"/>
    </row>
    <row r="690">
      <c r="A690" s="466">
        <v>2508.0</v>
      </c>
      <c r="B690" s="467">
        <v>198.0</v>
      </c>
      <c r="C690" s="305" t="s">
        <v>2049</v>
      </c>
      <c r="F690" s="1384"/>
      <c r="G690" s="1384"/>
    </row>
    <row r="691">
      <c r="A691" s="466">
        <v>3227.0</v>
      </c>
      <c r="B691" s="467">
        <v>198.0</v>
      </c>
      <c r="C691" s="305" t="s">
        <v>2050</v>
      </c>
      <c r="F691" s="1384"/>
      <c r="G691" s="1384"/>
    </row>
    <row r="692">
      <c r="A692" s="466">
        <v>3055.0</v>
      </c>
      <c r="B692" s="467">
        <v>198.0</v>
      </c>
      <c r="C692" s="305" t="s">
        <v>2051</v>
      </c>
      <c r="F692" s="1384"/>
      <c r="G692" s="1384"/>
    </row>
    <row r="693">
      <c r="A693" s="466">
        <v>3054.0</v>
      </c>
      <c r="B693" s="467">
        <v>198.0</v>
      </c>
      <c r="C693" s="305" t="s">
        <v>2536</v>
      </c>
      <c r="F693" s="1384"/>
      <c r="G693" s="1384"/>
    </row>
    <row r="694">
      <c r="A694" s="466">
        <v>3410.0</v>
      </c>
      <c r="B694" s="467">
        <v>223.0</v>
      </c>
      <c r="C694" s="305" t="s">
        <v>622</v>
      </c>
      <c r="F694" s="1384"/>
      <c r="G694" s="1384"/>
    </row>
    <row r="695">
      <c r="A695" s="466">
        <v>3239.0</v>
      </c>
      <c r="B695" s="467">
        <v>215.0</v>
      </c>
      <c r="C695" s="305" t="s">
        <v>544</v>
      </c>
      <c r="F695" s="1384"/>
      <c r="G695" s="1384"/>
    </row>
    <row r="696">
      <c r="A696" s="466">
        <v>3086.0</v>
      </c>
      <c r="B696" s="467">
        <v>130.0</v>
      </c>
      <c r="C696" s="305" t="s">
        <v>2052</v>
      </c>
      <c r="F696" s="1384"/>
      <c r="G696" s="1384"/>
    </row>
    <row r="697">
      <c r="A697" s="466">
        <v>2975.0</v>
      </c>
      <c r="B697" s="467">
        <v>130.0</v>
      </c>
      <c r="C697" s="305" t="s">
        <v>2053</v>
      </c>
      <c r="F697" s="1384"/>
      <c r="G697" s="1384"/>
    </row>
    <row r="698">
      <c r="A698" s="466">
        <v>2972.0</v>
      </c>
      <c r="B698" s="467">
        <v>188.0</v>
      </c>
      <c r="C698" s="305" t="s">
        <v>2054</v>
      </c>
      <c r="F698" s="1384"/>
      <c r="G698" s="1384"/>
    </row>
    <row r="699">
      <c r="A699" s="466">
        <v>2509.0</v>
      </c>
      <c r="B699" s="467">
        <v>188.0</v>
      </c>
      <c r="C699" s="305" t="s">
        <v>2055</v>
      </c>
      <c r="F699" s="1384"/>
      <c r="G699" s="1384"/>
    </row>
    <row r="700">
      <c r="A700" s="466">
        <v>3703.0</v>
      </c>
      <c r="B700" s="467">
        <v>210.0</v>
      </c>
      <c r="C700" s="305" t="s">
        <v>2057</v>
      </c>
      <c r="F700" s="1384"/>
      <c r="G700" s="1384"/>
    </row>
    <row r="701">
      <c r="A701" s="466">
        <v>3702.0</v>
      </c>
      <c r="B701" s="467">
        <v>212.0</v>
      </c>
      <c r="C701" s="305" t="s">
        <v>813</v>
      </c>
      <c r="F701" s="1384"/>
      <c r="G701" s="1384"/>
    </row>
    <row r="702">
      <c r="A702" s="466">
        <v>1869.0</v>
      </c>
      <c r="B702" s="467">
        <v>180.0</v>
      </c>
      <c r="C702" s="305" t="s">
        <v>2058</v>
      </c>
      <c r="F702" s="1384"/>
      <c r="G702" s="1384"/>
    </row>
    <row r="703">
      <c r="A703" s="466">
        <v>3422.0</v>
      </c>
      <c r="B703" s="467">
        <v>130.0</v>
      </c>
      <c r="C703" s="305" t="s">
        <v>2060</v>
      </c>
      <c r="F703" s="1384"/>
      <c r="G703" s="1384"/>
    </row>
    <row r="704">
      <c r="A704" s="466">
        <v>126.0</v>
      </c>
      <c r="B704" s="467">
        <v>55.0</v>
      </c>
      <c r="C704" s="305" t="s">
        <v>2061</v>
      </c>
      <c r="F704" s="1384"/>
      <c r="G704" s="1384"/>
    </row>
    <row r="705">
      <c r="A705" s="466">
        <v>3182.0</v>
      </c>
      <c r="B705" s="467">
        <v>98.0</v>
      </c>
      <c r="C705" s="305" t="s">
        <v>2062</v>
      </c>
      <c r="F705" s="1384"/>
      <c r="G705" s="1384"/>
    </row>
    <row r="706">
      <c r="A706" s="466">
        <v>3183.0</v>
      </c>
      <c r="B706" s="1403">
        <v>0.0</v>
      </c>
      <c r="C706" s="305" t="s">
        <v>2063</v>
      </c>
      <c r="F706" s="1384"/>
      <c r="G706" s="1384"/>
    </row>
    <row r="707">
      <c r="A707" s="466">
        <v>125.0</v>
      </c>
      <c r="B707" s="467">
        <v>55.0</v>
      </c>
      <c r="C707" s="305" t="s">
        <v>2064</v>
      </c>
      <c r="F707" s="1384"/>
      <c r="G707" s="1384"/>
    </row>
    <row r="708">
      <c r="A708" s="466">
        <v>2270.0</v>
      </c>
      <c r="B708" s="467">
        <v>55.0</v>
      </c>
      <c r="C708" s="305" t="s">
        <v>2065</v>
      </c>
      <c r="F708" s="1384"/>
      <c r="G708" s="1384"/>
    </row>
    <row r="709">
      <c r="A709" s="466">
        <v>3194.0</v>
      </c>
      <c r="B709" s="467">
        <v>85.0</v>
      </c>
      <c r="C709" s="305" t="s">
        <v>1031</v>
      </c>
      <c r="F709" s="1384"/>
      <c r="G709" s="1384"/>
    </row>
    <row r="710">
      <c r="A710" s="466">
        <v>2080.0</v>
      </c>
      <c r="B710" s="467">
        <v>150.0</v>
      </c>
      <c r="C710" s="305" t="s">
        <v>2066</v>
      </c>
      <c r="F710" s="1384"/>
      <c r="G710" s="1384"/>
    </row>
    <row r="711">
      <c r="A711" s="466">
        <v>3145.0</v>
      </c>
      <c r="B711" s="467">
        <v>98.0</v>
      </c>
      <c r="C711" s="305" t="s">
        <v>1033</v>
      </c>
      <c r="F711" s="1384"/>
      <c r="G711" s="1384"/>
    </row>
    <row r="712">
      <c r="A712" s="466">
        <v>2311.0</v>
      </c>
      <c r="B712" s="467">
        <v>55.0</v>
      </c>
      <c r="C712" s="305" t="s">
        <v>2068</v>
      </c>
      <c r="F712" s="1384"/>
      <c r="G712" s="1384"/>
    </row>
    <row r="713">
      <c r="A713" s="466">
        <v>923.0</v>
      </c>
      <c r="B713" s="467">
        <v>55.0</v>
      </c>
      <c r="C713" s="305" t="s">
        <v>2069</v>
      </c>
      <c r="F713" s="1384"/>
      <c r="G713" s="1384"/>
    </row>
    <row r="714">
      <c r="A714" s="466">
        <v>3021.0</v>
      </c>
      <c r="B714" s="467">
        <v>98.0</v>
      </c>
      <c r="C714" s="305" t="s">
        <v>1027</v>
      </c>
      <c r="F714" s="1384"/>
      <c r="G714" s="1384"/>
    </row>
    <row r="715">
      <c r="A715" s="466">
        <v>3847.0</v>
      </c>
      <c r="B715" s="467">
        <v>85.0</v>
      </c>
      <c r="C715" s="305" t="s">
        <v>1037</v>
      </c>
      <c r="F715" s="1384"/>
      <c r="G715" s="1384"/>
    </row>
    <row r="716">
      <c r="A716" s="466">
        <v>2674.0</v>
      </c>
      <c r="B716" s="467">
        <v>205.0</v>
      </c>
      <c r="C716" s="305" t="s">
        <v>2070</v>
      </c>
      <c r="F716" s="1384"/>
      <c r="G716" s="1384"/>
    </row>
    <row r="717">
      <c r="A717" s="466">
        <v>1208.0</v>
      </c>
      <c r="B717" s="467">
        <v>45.0</v>
      </c>
      <c r="C717" s="305" t="s">
        <v>2071</v>
      </c>
      <c r="F717" s="1384"/>
      <c r="G717" s="1384"/>
    </row>
    <row r="718">
      <c r="A718" s="466">
        <v>1207.0</v>
      </c>
      <c r="B718" s="467">
        <v>45.0</v>
      </c>
      <c r="C718" s="305" t="s">
        <v>2072</v>
      </c>
      <c r="F718" s="1384"/>
      <c r="G718" s="1384"/>
    </row>
    <row r="719">
      <c r="A719" s="466">
        <v>1209.0</v>
      </c>
      <c r="B719" s="467">
        <v>45.0</v>
      </c>
      <c r="C719" s="305" t="s">
        <v>2073</v>
      </c>
      <c r="F719" s="1384"/>
      <c r="G719" s="1384"/>
    </row>
    <row r="720">
      <c r="A720" s="466">
        <v>945.0</v>
      </c>
      <c r="B720" s="467">
        <v>160.0</v>
      </c>
      <c r="C720" s="305" t="s">
        <v>2074</v>
      </c>
      <c r="F720" s="1384"/>
      <c r="G720" s="1384"/>
    </row>
    <row r="721">
      <c r="A721" s="466">
        <v>946.0</v>
      </c>
      <c r="B721" s="467">
        <v>160.0</v>
      </c>
      <c r="C721" s="305" t="s">
        <v>2075</v>
      </c>
      <c r="F721" s="1384"/>
      <c r="G721" s="1384"/>
    </row>
    <row r="722">
      <c r="A722" s="466">
        <v>3608.0</v>
      </c>
      <c r="B722" s="917">
        <v>212.0</v>
      </c>
      <c r="C722" s="305" t="s">
        <v>2076</v>
      </c>
      <c r="F722" s="1384"/>
      <c r="G722" s="1384"/>
    </row>
    <row r="723">
      <c r="A723" s="466">
        <v>3783.0</v>
      </c>
      <c r="B723" s="467">
        <v>215.0</v>
      </c>
      <c r="C723" s="305" t="s">
        <v>628</v>
      </c>
      <c r="F723" s="1384"/>
      <c r="G723" s="1384"/>
    </row>
    <row r="724">
      <c r="A724" s="466">
        <v>3608.0</v>
      </c>
      <c r="B724" s="467">
        <v>215.0</v>
      </c>
      <c r="C724" s="305" t="s">
        <v>630</v>
      </c>
      <c r="F724" s="1384"/>
      <c r="G724" s="1384"/>
    </row>
    <row r="725">
      <c r="A725" s="466">
        <v>18.0</v>
      </c>
      <c r="B725" s="917">
        <v>252.0</v>
      </c>
      <c r="C725" s="305" t="s">
        <v>588</v>
      </c>
      <c r="F725" s="1384"/>
      <c r="G725" s="1384"/>
    </row>
    <row r="726">
      <c r="A726" s="466">
        <v>1168.0</v>
      </c>
      <c r="B726" s="467">
        <v>198.0</v>
      </c>
      <c r="C726" s="305" t="s">
        <v>456</v>
      </c>
      <c r="F726" s="1384"/>
      <c r="G726" s="1384"/>
    </row>
    <row r="727">
      <c r="A727" s="466">
        <v>2817.0</v>
      </c>
      <c r="B727" s="467">
        <v>98.0</v>
      </c>
      <c r="C727" s="305" t="s">
        <v>2078</v>
      </c>
      <c r="F727" s="1384"/>
      <c r="G727" s="1384"/>
    </row>
    <row r="728">
      <c r="A728" s="466">
        <v>2467.0</v>
      </c>
      <c r="B728" s="917">
        <v>138.0</v>
      </c>
      <c r="C728" s="305" t="s">
        <v>636</v>
      </c>
      <c r="F728" s="1384"/>
      <c r="G728" s="1384"/>
    </row>
    <row r="729">
      <c r="A729" s="466">
        <v>2640.0</v>
      </c>
      <c r="B729" s="467">
        <v>59.0</v>
      </c>
      <c r="C729" s="305" t="s">
        <v>1530</v>
      </c>
      <c r="F729" s="1384"/>
      <c r="G729" s="1384"/>
    </row>
    <row r="730">
      <c r="A730" s="466">
        <v>2652.0</v>
      </c>
      <c r="B730" s="467">
        <v>283.0</v>
      </c>
      <c r="C730" s="305" t="s">
        <v>2081</v>
      </c>
      <c r="F730" s="1384"/>
      <c r="G730" s="1384"/>
    </row>
    <row r="731">
      <c r="A731" s="466">
        <v>2735.0</v>
      </c>
      <c r="B731" s="467">
        <v>205.0</v>
      </c>
      <c r="C731" s="305" t="s">
        <v>2082</v>
      </c>
      <c r="F731" s="1384"/>
      <c r="G731" s="1384"/>
    </row>
    <row r="732">
      <c r="A732" s="466">
        <v>2942.0</v>
      </c>
      <c r="B732" s="467">
        <v>205.0</v>
      </c>
      <c r="C732" s="305" t="s">
        <v>2083</v>
      </c>
      <c r="F732" s="1384"/>
      <c r="G732" s="1384"/>
    </row>
    <row r="733">
      <c r="A733" s="466">
        <v>3060.0</v>
      </c>
      <c r="B733" s="467">
        <v>188.0</v>
      </c>
      <c r="C733" s="305" t="s">
        <v>2084</v>
      </c>
      <c r="F733" s="1384"/>
      <c r="G733" s="1384"/>
    </row>
    <row r="734">
      <c r="A734" s="466">
        <v>3136.0</v>
      </c>
      <c r="B734" s="467">
        <v>150.0</v>
      </c>
      <c r="C734" s="305" t="s">
        <v>1610</v>
      </c>
      <c r="F734" s="1384"/>
      <c r="G734" s="1384"/>
    </row>
    <row r="735">
      <c r="A735" s="466">
        <v>3461.0</v>
      </c>
      <c r="B735" s="467">
        <v>198.0</v>
      </c>
      <c r="C735" s="305" t="s">
        <v>2909</v>
      </c>
      <c r="F735" s="1384"/>
      <c r="G735" s="1384"/>
    </row>
    <row r="736">
      <c r="A736" s="466">
        <v>3460.0</v>
      </c>
      <c r="B736" s="467">
        <v>198.0</v>
      </c>
      <c r="C736" s="305" t="s">
        <v>632</v>
      </c>
      <c r="F736" s="1384"/>
      <c r="G736" s="1384"/>
    </row>
    <row r="737">
      <c r="A737" s="466">
        <v>3179.0</v>
      </c>
      <c r="B737" s="917">
        <v>115.0</v>
      </c>
      <c r="C737" s="305" t="s">
        <v>786</v>
      </c>
      <c r="F737" s="1384"/>
      <c r="G737" s="1384"/>
    </row>
    <row r="738">
      <c r="A738" s="466">
        <v>1023.0</v>
      </c>
      <c r="B738" s="467">
        <v>160.0</v>
      </c>
      <c r="C738" s="305" t="s">
        <v>2089</v>
      </c>
      <c r="F738" s="1384"/>
      <c r="G738" s="1384"/>
    </row>
    <row r="739">
      <c r="A739" s="466">
        <v>1031.0</v>
      </c>
      <c r="B739" s="467">
        <v>160.0</v>
      </c>
      <c r="C739" s="305" t="s">
        <v>2090</v>
      </c>
      <c r="F739" s="1384"/>
      <c r="G739" s="1384"/>
    </row>
    <row r="740">
      <c r="A740" s="466">
        <v>2623.0</v>
      </c>
      <c r="B740" s="467">
        <v>200.0</v>
      </c>
      <c r="C740" s="305" t="s">
        <v>2091</v>
      </c>
      <c r="F740" s="1384"/>
      <c r="G740" s="1384"/>
    </row>
    <row r="741">
      <c r="A741" s="466">
        <v>385.0</v>
      </c>
      <c r="B741" s="467">
        <v>83.0</v>
      </c>
      <c r="C741" s="305" t="s">
        <v>86</v>
      </c>
      <c r="F741" s="1384"/>
      <c r="G741" s="1384"/>
    </row>
    <row r="742">
      <c r="A742" s="466">
        <v>2252.0</v>
      </c>
      <c r="B742" s="467">
        <v>90.0</v>
      </c>
      <c r="C742" s="305" t="s">
        <v>2092</v>
      </c>
      <c r="F742" s="1384"/>
      <c r="G742" s="1384"/>
    </row>
    <row r="743">
      <c r="A743" s="466">
        <v>2371.0</v>
      </c>
      <c r="B743" s="467">
        <v>100.0</v>
      </c>
      <c r="C743" s="305" t="s">
        <v>2093</v>
      </c>
      <c r="F743" s="1384"/>
      <c r="G743" s="1384"/>
    </row>
    <row r="744">
      <c r="A744" s="466">
        <v>3334.0</v>
      </c>
      <c r="B744" s="467">
        <v>110.0</v>
      </c>
      <c r="C744" s="305" t="s">
        <v>2094</v>
      </c>
      <c r="F744" s="1384"/>
      <c r="G744" s="1384"/>
    </row>
    <row r="745">
      <c r="A745" s="466">
        <v>1076.0</v>
      </c>
      <c r="B745" s="467">
        <v>95.0</v>
      </c>
      <c r="C745" s="305" t="s">
        <v>729</v>
      </c>
      <c r="F745" s="1384"/>
      <c r="G745" s="1384"/>
    </row>
    <row r="746">
      <c r="A746" s="466">
        <v>1550.0</v>
      </c>
      <c r="B746" s="917">
        <v>158.0</v>
      </c>
      <c r="C746" s="305" t="s">
        <v>280</v>
      </c>
      <c r="F746" s="1384"/>
      <c r="G746" s="1384"/>
    </row>
    <row r="747">
      <c r="A747" s="466">
        <v>3420.0</v>
      </c>
      <c r="B747" s="1403">
        <v>0.0</v>
      </c>
      <c r="C747" s="305" t="s">
        <v>2096</v>
      </c>
      <c r="F747" s="1384"/>
      <c r="G747" s="1384"/>
    </row>
    <row r="748">
      <c r="A748" s="466">
        <v>3781.0</v>
      </c>
      <c r="B748" s="467">
        <v>153.0</v>
      </c>
      <c r="C748" s="305" t="s">
        <v>2919</v>
      </c>
      <c r="F748" s="1384"/>
      <c r="G748" s="1384"/>
    </row>
    <row r="749">
      <c r="A749" s="466">
        <v>3779.0</v>
      </c>
      <c r="B749" s="467">
        <v>148.0</v>
      </c>
      <c r="C749" s="305" t="s">
        <v>1233</v>
      </c>
      <c r="F749" s="1384"/>
      <c r="G749" s="1384"/>
    </row>
    <row r="750">
      <c r="A750" s="466">
        <v>2943.0</v>
      </c>
      <c r="B750" s="917">
        <v>152.0</v>
      </c>
      <c r="C750" s="305" t="s">
        <v>278</v>
      </c>
      <c r="F750" s="1384"/>
      <c r="G750" s="1384"/>
    </row>
    <row r="751">
      <c r="A751" s="466">
        <v>2587.0</v>
      </c>
      <c r="B751" s="467">
        <v>114.0</v>
      </c>
      <c r="C751" s="305" t="s">
        <v>2098</v>
      </c>
      <c r="F751" s="1384"/>
      <c r="G751" s="1384"/>
    </row>
    <row r="752">
      <c r="A752" s="466">
        <v>3722.0</v>
      </c>
      <c r="B752" s="467">
        <v>148.0</v>
      </c>
      <c r="C752" s="305" t="s">
        <v>304</v>
      </c>
      <c r="F752" s="1384"/>
      <c r="G752" s="1384"/>
    </row>
    <row r="753">
      <c r="A753" s="466">
        <v>3003.0</v>
      </c>
      <c r="B753" s="467">
        <v>136.0</v>
      </c>
      <c r="C753" s="305" t="s">
        <v>2099</v>
      </c>
      <c r="F753" s="1384"/>
      <c r="G753" s="1384"/>
    </row>
    <row r="754">
      <c r="A754" s="466">
        <v>3857.0</v>
      </c>
      <c r="B754" s="467">
        <v>148.0</v>
      </c>
      <c r="C754" s="305" t="s">
        <v>738</v>
      </c>
      <c r="F754" s="1384"/>
      <c r="G754" s="1384"/>
    </row>
    <row r="755">
      <c r="A755" s="466">
        <v>3723.0</v>
      </c>
      <c r="B755" s="467">
        <v>175.0</v>
      </c>
      <c r="C755" s="305" t="s">
        <v>331</v>
      </c>
      <c r="F755" s="1384"/>
      <c r="G755" s="1384"/>
    </row>
    <row r="756">
      <c r="A756" s="466">
        <v>2950.0</v>
      </c>
      <c r="B756" s="467">
        <v>175.0</v>
      </c>
      <c r="C756" s="305" t="s">
        <v>2100</v>
      </c>
      <c r="F756" s="1384"/>
      <c r="G756" s="1384"/>
    </row>
    <row r="757">
      <c r="A757" s="466">
        <v>2757.0</v>
      </c>
      <c r="B757" s="467">
        <v>149.0</v>
      </c>
      <c r="C757" s="305" t="s">
        <v>2101</v>
      </c>
      <c r="F757" s="1384"/>
      <c r="G757" s="1384"/>
    </row>
    <row r="758">
      <c r="A758" s="466">
        <v>2591.0</v>
      </c>
      <c r="B758" s="467">
        <v>99.0</v>
      </c>
      <c r="C758" s="305" t="s">
        <v>2102</v>
      </c>
      <c r="F758" s="1384"/>
      <c r="G758" s="1384"/>
    </row>
    <row r="759">
      <c r="A759" s="466">
        <v>3630.0</v>
      </c>
      <c r="B759" s="917">
        <v>128.0</v>
      </c>
      <c r="C759" s="305" t="s">
        <v>525</v>
      </c>
      <c r="F759" s="1384"/>
      <c r="G759" s="1384"/>
    </row>
    <row r="760">
      <c r="A760" s="466">
        <v>986.0</v>
      </c>
      <c r="B760" s="467">
        <v>160.0</v>
      </c>
      <c r="C760" s="305" t="s">
        <v>2103</v>
      </c>
      <c r="F760" s="1384"/>
      <c r="G760" s="1384"/>
    </row>
    <row r="761">
      <c r="A761" s="466">
        <v>3087.0</v>
      </c>
      <c r="B761" s="467">
        <v>198.0</v>
      </c>
      <c r="C761" s="305" t="s">
        <v>2105</v>
      </c>
      <c r="F761" s="1384"/>
      <c r="G761" s="1384"/>
    </row>
    <row r="762">
      <c r="A762" s="466">
        <v>931.0</v>
      </c>
      <c r="B762" s="467">
        <v>140.0</v>
      </c>
      <c r="C762" s="305" t="s">
        <v>2107</v>
      </c>
      <c r="F762" s="1384"/>
      <c r="G762" s="1384"/>
    </row>
    <row r="763">
      <c r="A763" s="466">
        <v>506.0</v>
      </c>
      <c r="B763" s="467">
        <v>188.0</v>
      </c>
      <c r="C763" s="305" t="s">
        <v>2108</v>
      </c>
      <c r="F763" s="1384"/>
      <c r="G763" s="1384"/>
    </row>
    <row r="764">
      <c r="A764" s="466">
        <v>576.0</v>
      </c>
      <c r="B764" s="467">
        <v>160.0</v>
      </c>
      <c r="C764" s="305" t="s">
        <v>2109</v>
      </c>
      <c r="F764" s="1384"/>
      <c r="G764" s="1384"/>
    </row>
    <row r="765">
      <c r="A765" s="466">
        <v>481.0</v>
      </c>
      <c r="B765" s="467">
        <v>218.0</v>
      </c>
      <c r="C765" s="305" t="s">
        <v>626</v>
      </c>
      <c r="F765" s="1384"/>
      <c r="G765" s="1384"/>
    </row>
    <row r="766">
      <c r="A766" s="466">
        <v>236.0</v>
      </c>
      <c r="B766" s="467">
        <v>198.0</v>
      </c>
      <c r="C766" s="305" t="s">
        <v>2110</v>
      </c>
      <c r="F766" s="1384"/>
      <c r="G766" s="1384"/>
    </row>
    <row r="767">
      <c r="A767" s="466">
        <v>930.0</v>
      </c>
      <c r="B767" s="467">
        <v>199.0</v>
      </c>
      <c r="C767" s="305" t="s">
        <v>752</v>
      </c>
      <c r="F767" s="1384"/>
      <c r="G767" s="1384"/>
    </row>
    <row r="768">
      <c r="A768" s="466">
        <v>2964.0</v>
      </c>
      <c r="B768" s="467">
        <v>188.0</v>
      </c>
      <c r="C768" s="305" t="s">
        <v>2111</v>
      </c>
      <c r="F768" s="1384"/>
      <c r="G768" s="1384"/>
    </row>
    <row r="769">
      <c r="A769" s="466">
        <v>437.0</v>
      </c>
      <c r="B769" s="467">
        <v>180.0</v>
      </c>
      <c r="C769" s="305" t="s">
        <v>2112</v>
      </c>
      <c r="F769" s="1384"/>
      <c r="G769" s="1384"/>
    </row>
    <row r="770">
      <c r="A770" s="466">
        <v>3291.0</v>
      </c>
      <c r="B770" s="467">
        <v>130.0</v>
      </c>
      <c r="C770" s="305" t="s">
        <v>2113</v>
      </c>
      <c r="F770" s="1384"/>
      <c r="G770" s="1384"/>
    </row>
    <row r="771">
      <c r="A771" s="466">
        <v>3785.0</v>
      </c>
      <c r="B771" s="467">
        <v>230.0</v>
      </c>
      <c r="C771" s="305" t="s">
        <v>2945</v>
      </c>
      <c r="F771" s="1384"/>
      <c r="G771" s="1384"/>
    </row>
    <row r="772">
      <c r="A772" s="466">
        <v>3786.0</v>
      </c>
      <c r="B772" s="467">
        <v>198.0</v>
      </c>
      <c r="C772" s="305" t="s">
        <v>638</v>
      </c>
      <c r="F772" s="1384"/>
      <c r="G772" s="1384"/>
    </row>
    <row r="773">
      <c r="A773" s="466">
        <v>477.0</v>
      </c>
      <c r="B773" s="1403">
        <v>0.0</v>
      </c>
      <c r="C773" s="305" t="s">
        <v>2117</v>
      </c>
      <c r="F773" s="1384"/>
      <c r="G773" s="1384"/>
    </row>
    <row r="774">
      <c r="A774" s="466">
        <v>860.0</v>
      </c>
      <c r="B774" s="467">
        <v>198.0</v>
      </c>
      <c r="C774" s="305" t="s">
        <v>2118</v>
      </c>
      <c r="F774" s="1384"/>
      <c r="G774" s="1384"/>
    </row>
    <row r="775">
      <c r="A775" s="466">
        <v>3386.0</v>
      </c>
      <c r="B775" s="467">
        <v>245.0</v>
      </c>
      <c r="C775" s="305" t="s">
        <v>2119</v>
      </c>
      <c r="F775" s="1384"/>
      <c r="G775" s="1384"/>
    </row>
    <row r="776">
      <c r="A776" s="466">
        <v>3497.0</v>
      </c>
      <c r="B776" s="467">
        <v>198.0</v>
      </c>
      <c r="C776" s="305" t="s">
        <v>2120</v>
      </c>
      <c r="F776" s="1384"/>
      <c r="G776" s="1384"/>
    </row>
    <row r="777">
      <c r="A777" s="466">
        <v>3696.0</v>
      </c>
      <c r="B777" s="467">
        <v>221.0</v>
      </c>
      <c r="C777" s="305" t="s">
        <v>2950</v>
      </c>
      <c r="F777" s="1384"/>
      <c r="G777" s="1384"/>
    </row>
    <row r="778">
      <c r="A778" s="466">
        <v>3641.0</v>
      </c>
      <c r="B778" s="467">
        <v>98.0</v>
      </c>
      <c r="C778" s="305" t="s">
        <v>2952</v>
      </c>
      <c r="F778" s="1384"/>
      <c r="G778" s="1384"/>
    </row>
    <row r="779">
      <c r="A779" s="466">
        <v>428.0</v>
      </c>
      <c r="B779" s="467">
        <v>95.0</v>
      </c>
      <c r="C779" s="305" t="s">
        <v>2122</v>
      </c>
      <c r="F779" s="1384"/>
      <c r="G779" s="1384"/>
    </row>
    <row r="780">
      <c r="A780" s="466">
        <v>1564.0</v>
      </c>
      <c r="B780" s="467">
        <v>75.0</v>
      </c>
      <c r="C780" s="305" t="s">
        <v>2123</v>
      </c>
      <c r="F780" s="1384"/>
      <c r="G780" s="1384"/>
    </row>
    <row r="781">
      <c r="A781" s="466">
        <v>3675.0</v>
      </c>
      <c r="B781" s="1403">
        <v>0.0</v>
      </c>
      <c r="C781" s="305" t="s">
        <v>2124</v>
      </c>
      <c r="F781" s="1384"/>
      <c r="G781" s="1384"/>
    </row>
    <row r="782">
      <c r="A782" s="466">
        <v>3017.0</v>
      </c>
      <c r="B782" s="467">
        <v>95.0</v>
      </c>
      <c r="C782" s="305" t="s">
        <v>2125</v>
      </c>
      <c r="F782" s="1384"/>
      <c r="G782" s="1384"/>
    </row>
    <row r="783">
      <c r="A783" s="466">
        <v>3252.0</v>
      </c>
      <c r="B783" s="467">
        <v>128.0</v>
      </c>
      <c r="C783" s="305" t="s">
        <v>2126</v>
      </c>
      <c r="F783" s="1384"/>
      <c r="G783" s="1384"/>
    </row>
    <row r="784">
      <c r="A784" s="466">
        <v>3768.0</v>
      </c>
      <c r="B784" s="917">
        <v>240.0</v>
      </c>
      <c r="C784" s="305" t="s">
        <v>462</v>
      </c>
      <c r="F784" s="1384"/>
      <c r="G784" s="1384"/>
    </row>
    <row r="785">
      <c r="A785" s="466">
        <v>3770.0</v>
      </c>
      <c r="B785" s="917">
        <v>240.0</v>
      </c>
      <c r="C785" s="305" t="s">
        <v>467</v>
      </c>
      <c r="F785" s="1384"/>
      <c r="G785" s="1384"/>
    </row>
    <row r="786">
      <c r="A786" s="466">
        <v>3769.0</v>
      </c>
      <c r="B786" s="917">
        <v>240.0</v>
      </c>
      <c r="C786" s="305" t="s">
        <v>470</v>
      </c>
      <c r="F786" s="1384"/>
      <c r="G786" s="1384"/>
    </row>
    <row r="787">
      <c r="A787" s="466">
        <v>1866.0</v>
      </c>
      <c r="B787" s="917">
        <v>240.0</v>
      </c>
      <c r="C787" s="305" t="s">
        <v>2128</v>
      </c>
      <c r="F787" s="1384"/>
      <c r="G787" s="1384"/>
    </row>
    <row r="788">
      <c r="A788" s="466">
        <v>2348.0</v>
      </c>
      <c r="B788" s="467">
        <v>188.0</v>
      </c>
      <c r="C788" s="305" t="s">
        <v>2129</v>
      </c>
      <c r="F788" s="1384"/>
      <c r="G788" s="1384"/>
    </row>
    <row r="789">
      <c r="A789" s="466">
        <v>2931.0</v>
      </c>
      <c r="B789" s="467">
        <v>273.0</v>
      </c>
      <c r="C789" s="305" t="s">
        <v>508</v>
      </c>
      <c r="F789" s="1384"/>
      <c r="G789" s="1384"/>
    </row>
    <row r="790">
      <c r="A790" s="466">
        <v>3202.0</v>
      </c>
      <c r="B790" s="467">
        <v>215.0</v>
      </c>
      <c r="C790" s="305" t="s">
        <v>2130</v>
      </c>
      <c r="F790" s="1384"/>
      <c r="G790" s="1384"/>
    </row>
    <row r="791">
      <c r="A791" s="466">
        <v>3820.0</v>
      </c>
      <c r="B791" s="467">
        <v>286.0</v>
      </c>
      <c r="C791" s="305" t="s">
        <v>2131</v>
      </c>
      <c r="F791" s="1384"/>
      <c r="G791" s="1384"/>
    </row>
    <row r="792">
      <c r="A792" s="466">
        <v>3844.0</v>
      </c>
      <c r="B792" s="467">
        <v>254.0</v>
      </c>
      <c r="C792" s="305" t="s">
        <v>2133</v>
      </c>
      <c r="F792" s="1384"/>
      <c r="G792" s="1384"/>
    </row>
    <row r="793">
      <c r="A793" s="466">
        <v>142.0</v>
      </c>
      <c r="B793" s="467">
        <v>160.0</v>
      </c>
      <c r="C793" s="305" t="s">
        <v>2135</v>
      </c>
      <c r="F793" s="1384"/>
      <c r="G793" s="1384"/>
    </row>
    <row r="794">
      <c r="A794" s="466">
        <v>2781.0</v>
      </c>
      <c r="B794" s="467">
        <v>281.0</v>
      </c>
      <c r="C794" s="305" t="s">
        <v>2136</v>
      </c>
      <c r="F794" s="1384"/>
      <c r="G794" s="1384"/>
    </row>
    <row r="795">
      <c r="A795" s="466">
        <v>2257.0</v>
      </c>
      <c r="B795" s="467">
        <v>188.0</v>
      </c>
      <c r="C795" s="305" t="s">
        <v>2137</v>
      </c>
      <c r="F795" s="1384"/>
      <c r="G795" s="1384"/>
    </row>
    <row r="796">
      <c r="A796" s="466">
        <v>2749.0</v>
      </c>
      <c r="B796" s="467">
        <v>222.0</v>
      </c>
      <c r="C796" s="305" t="s">
        <v>2138</v>
      </c>
      <c r="F796" s="1384"/>
      <c r="G796" s="1384"/>
    </row>
    <row r="797">
      <c r="A797" s="466">
        <v>56.0</v>
      </c>
      <c r="B797" s="467">
        <v>188.0</v>
      </c>
      <c r="C797" s="305" t="s">
        <v>2139</v>
      </c>
      <c r="F797" s="1384"/>
      <c r="G797" s="1384"/>
    </row>
    <row r="798">
      <c r="A798" s="466">
        <v>3129.0</v>
      </c>
      <c r="B798" s="467">
        <v>298.0</v>
      </c>
      <c r="C798" s="305" t="s">
        <v>2140</v>
      </c>
      <c r="F798" s="1384"/>
      <c r="G798" s="1384"/>
    </row>
    <row r="799">
      <c r="A799" s="466">
        <v>2378.0</v>
      </c>
      <c r="B799" s="467">
        <v>188.0</v>
      </c>
      <c r="C799" s="305" t="s">
        <v>2141</v>
      </c>
      <c r="F799" s="1384"/>
      <c r="G799" s="1384"/>
    </row>
    <row r="800">
      <c r="A800" s="466">
        <v>3836.0</v>
      </c>
      <c r="B800" s="467">
        <v>279.0</v>
      </c>
      <c r="C800" s="305" t="s">
        <v>2142</v>
      </c>
      <c r="F800" s="1384"/>
      <c r="G800" s="1384"/>
    </row>
    <row r="801">
      <c r="A801" s="466">
        <v>985.0</v>
      </c>
      <c r="B801" s="917">
        <v>212.0</v>
      </c>
      <c r="C801" s="305" t="s">
        <v>815</v>
      </c>
      <c r="F801" s="1384"/>
      <c r="G801" s="1384"/>
    </row>
    <row r="802">
      <c r="A802" s="466">
        <v>383.0</v>
      </c>
      <c r="B802" s="917">
        <v>232.0</v>
      </c>
      <c r="C802" s="305" t="s">
        <v>817</v>
      </c>
      <c r="F802" s="1384"/>
      <c r="G802" s="1384"/>
    </row>
    <row r="803">
      <c r="A803" s="466">
        <v>987.0</v>
      </c>
      <c r="B803" s="467">
        <v>160.0</v>
      </c>
      <c r="C803" s="305" t="s">
        <v>2150</v>
      </c>
      <c r="F803" s="1384"/>
      <c r="G803" s="1384"/>
    </row>
    <row r="804">
      <c r="A804" s="466">
        <v>657.0</v>
      </c>
      <c r="B804" s="917">
        <v>212.0</v>
      </c>
      <c r="C804" s="305" t="s">
        <v>819</v>
      </c>
      <c r="F804" s="1384"/>
      <c r="G804" s="1384"/>
    </row>
    <row r="805">
      <c r="A805" s="466">
        <v>3200.0</v>
      </c>
      <c r="B805" s="467">
        <v>130.0</v>
      </c>
      <c r="C805" s="305" t="s">
        <v>2151</v>
      </c>
      <c r="F805" s="1384"/>
      <c r="G805" s="1384"/>
    </row>
    <row r="806">
      <c r="A806" s="466">
        <v>3007.0</v>
      </c>
      <c r="B806" s="467">
        <v>188.0</v>
      </c>
      <c r="C806" s="305" t="s">
        <v>2152</v>
      </c>
      <c r="F806" s="1384"/>
      <c r="G806" s="1384"/>
    </row>
    <row r="807">
      <c r="A807" s="466">
        <v>2897.0</v>
      </c>
      <c r="B807" s="917">
        <v>129.0</v>
      </c>
      <c r="C807" s="305" t="s">
        <v>2985</v>
      </c>
      <c r="F807" s="1384"/>
      <c r="G807" s="1384"/>
    </row>
    <row r="808">
      <c r="A808" s="466">
        <v>3234.0</v>
      </c>
      <c r="B808" s="467">
        <v>59.0</v>
      </c>
      <c r="C808" s="305" t="s">
        <v>2155</v>
      </c>
      <c r="F808" s="1384"/>
      <c r="G808" s="1384"/>
    </row>
    <row r="809">
      <c r="A809" s="466">
        <v>2602.0</v>
      </c>
      <c r="B809" s="467">
        <v>59.0</v>
      </c>
      <c r="C809" s="305" t="s">
        <v>2156</v>
      </c>
      <c r="F809" s="1384"/>
      <c r="G809" s="1384"/>
    </row>
    <row r="810">
      <c r="A810" s="466">
        <v>1514.0</v>
      </c>
      <c r="B810" s="467">
        <v>180.0</v>
      </c>
      <c r="C810" s="305" t="s">
        <v>2157</v>
      </c>
      <c r="F810" s="1384"/>
      <c r="G810" s="1384"/>
    </row>
    <row r="811">
      <c r="A811" s="466">
        <v>2793.0</v>
      </c>
      <c r="B811" s="467">
        <v>130.0</v>
      </c>
      <c r="C811" s="305" t="s">
        <v>2159</v>
      </c>
      <c r="F811" s="1384"/>
      <c r="G811" s="1384"/>
    </row>
    <row r="812">
      <c r="A812" s="466">
        <v>2191.0</v>
      </c>
      <c r="B812" s="467">
        <v>188.0</v>
      </c>
      <c r="C812" s="305" t="s">
        <v>2160</v>
      </c>
      <c r="F812" s="1384"/>
      <c r="G812" s="1384"/>
    </row>
    <row r="813">
      <c r="A813" s="466">
        <v>1267.0</v>
      </c>
      <c r="B813" s="467">
        <v>198.0</v>
      </c>
      <c r="C813" s="305" t="s">
        <v>425</v>
      </c>
      <c r="F813" s="1384"/>
      <c r="G813" s="1384"/>
    </row>
    <row r="814">
      <c r="A814" s="466">
        <v>2071.0</v>
      </c>
      <c r="B814" s="467">
        <v>188.0</v>
      </c>
      <c r="C814" s="305" t="s">
        <v>2161</v>
      </c>
      <c r="F814" s="1384"/>
      <c r="G814" s="1384"/>
    </row>
    <row r="815">
      <c r="A815" s="466">
        <v>2802.0</v>
      </c>
      <c r="B815" s="467">
        <v>188.0</v>
      </c>
      <c r="C815" s="305" t="s">
        <v>2162</v>
      </c>
      <c r="F815" s="1384"/>
      <c r="G815" s="1384"/>
    </row>
    <row r="816">
      <c r="A816" s="466">
        <v>1415.0</v>
      </c>
      <c r="B816" s="467">
        <v>188.0</v>
      </c>
      <c r="C816" s="305" t="s">
        <v>2163</v>
      </c>
      <c r="F816" s="1384"/>
      <c r="G816" s="1384"/>
    </row>
    <row r="817">
      <c r="A817" s="466">
        <v>1286.0</v>
      </c>
      <c r="B817" s="467">
        <v>45.0</v>
      </c>
      <c r="C817" s="305" t="s">
        <v>2164</v>
      </c>
      <c r="F817" s="1384"/>
      <c r="G817" s="1384"/>
    </row>
    <row r="818">
      <c r="A818" s="466">
        <v>2657.0</v>
      </c>
      <c r="B818" s="467">
        <v>90.0</v>
      </c>
      <c r="C818" s="305" t="s">
        <v>2165</v>
      </c>
      <c r="F818" s="1384"/>
      <c r="G818" s="1384"/>
    </row>
    <row r="819">
      <c r="A819" s="466">
        <v>3142.0</v>
      </c>
      <c r="B819" s="467">
        <v>140.0</v>
      </c>
      <c r="C819" s="305" t="s">
        <v>2166</v>
      </c>
      <c r="F819" s="1384"/>
      <c r="G819" s="1384"/>
    </row>
    <row r="820">
      <c r="A820" s="466">
        <v>3151.0</v>
      </c>
      <c r="B820" s="467">
        <v>120.0</v>
      </c>
      <c r="C820" s="305" t="s">
        <v>2167</v>
      </c>
      <c r="F820" s="1384"/>
      <c r="G820" s="1384"/>
    </row>
    <row r="821">
      <c r="A821" s="466">
        <v>2669.0</v>
      </c>
      <c r="B821" s="467">
        <v>90.0</v>
      </c>
      <c r="C821" s="305" t="s">
        <v>2168</v>
      </c>
      <c r="F821" s="1384"/>
      <c r="G821" s="1384"/>
    </row>
    <row r="822">
      <c r="A822" s="466">
        <v>2607.0</v>
      </c>
      <c r="B822" s="467">
        <v>180.0</v>
      </c>
      <c r="C822" s="305" t="s">
        <v>2169</v>
      </c>
      <c r="F822" s="1384"/>
      <c r="G822" s="1384"/>
    </row>
    <row r="823">
      <c r="A823" s="466">
        <v>592.0</v>
      </c>
      <c r="B823" s="467">
        <v>120.0</v>
      </c>
      <c r="C823" s="305" t="s">
        <v>2171</v>
      </c>
      <c r="F823" s="1384"/>
      <c r="G823" s="1384"/>
    </row>
    <row r="824">
      <c r="A824" s="466">
        <v>2166.0</v>
      </c>
      <c r="B824" s="467">
        <v>80.0</v>
      </c>
      <c r="C824" s="305" t="s">
        <v>2172</v>
      </c>
      <c r="F824" s="1384"/>
      <c r="G824" s="1384"/>
    </row>
    <row r="825">
      <c r="A825" s="466">
        <v>2082.0</v>
      </c>
      <c r="B825" s="467">
        <v>85.0</v>
      </c>
      <c r="C825" s="305" t="s">
        <v>2173</v>
      </c>
      <c r="F825" s="1384"/>
      <c r="G825" s="1384"/>
    </row>
    <row r="826">
      <c r="A826" s="466">
        <v>2608.0</v>
      </c>
      <c r="B826" s="467">
        <v>180.0</v>
      </c>
      <c r="C826" s="305" t="s">
        <v>2174</v>
      </c>
      <c r="F826" s="1384"/>
      <c r="G826" s="1384"/>
    </row>
    <row r="827">
      <c r="A827" s="466">
        <v>2606.0</v>
      </c>
      <c r="B827" s="467">
        <v>180.0</v>
      </c>
      <c r="C827" s="305" t="s">
        <v>2175</v>
      </c>
      <c r="F827" s="1384"/>
      <c r="G827" s="1384"/>
    </row>
    <row r="828">
      <c r="A828" s="466">
        <v>2605.0</v>
      </c>
      <c r="B828" s="467">
        <v>180.0</v>
      </c>
      <c r="C828" s="305" t="s">
        <v>2176</v>
      </c>
      <c r="F828" s="1384"/>
      <c r="G828" s="1384"/>
    </row>
    <row r="829">
      <c r="A829" s="466">
        <v>2604.0</v>
      </c>
      <c r="B829" s="467">
        <v>180.0</v>
      </c>
      <c r="C829" s="305" t="s">
        <v>2177</v>
      </c>
      <c r="F829" s="1384"/>
      <c r="G829" s="1384"/>
    </row>
    <row r="830">
      <c r="A830" s="466">
        <v>2551.0</v>
      </c>
      <c r="B830" s="467">
        <v>180.0</v>
      </c>
      <c r="C830" s="305" t="s">
        <v>2178</v>
      </c>
      <c r="F830" s="1384"/>
      <c r="G830" s="1384"/>
    </row>
    <row r="831">
      <c r="A831" s="466">
        <v>3609.0</v>
      </c>
      <c r="B831" s="467">
        <v>215.0</v>
      </c>
      <c r="C831" s="305" t="s">
        <v>2190</v>
      </c>
      <c r="F831" s="1384"/>
      <c r="G831" s="1384"/>
    </row>
    <row r="832">
      <c r="A832" s="466">
        <v>26.0</v>
      </c>
      <c r="B832" s="917">
        <v>190.0</v>
      </c>
      <c r="C832" s="305" t="s">
        <v>397</v>
      </c>
      <c r="F832" s="1384"/>
      <c r="G832" s="1384"/>
    </row>
    <row r="833">
      <c r="A833" s="466">
        <v>2310.0</v>
      </c>
      <c r="B833" s="467">
        <v>188.0</v>
      </c>
      <c r="C833" s="305" t="s">
        <v>2192</v>
      </c>
      <c r="F833" s="1384"/>
      <c r="G833" s="1384"/>
    </row>
    <row r="834">
      <c r="A834" s="466">
        <v>69.0</v>
      </c>
      <c r="B834" s="467">
        <v>198.0</v>
      </c>
      <c r="C834" s="305" t="s">
        <v>661</v>
      </c>
      <c r="F834" s="1384"/>
      <c r="G834" s="1384"/>
    </row>
    <row r="835">
      <c r="A835" s="466">
        <v>2453.0</v>
      </c>
      <c r="B835" s="467">
        <v>38.0</v>
      </c>
      <c r="C835" s="305" t="s">
        <v>2194</v>
      </c>
      <c r="F835" s="1384"/>
      <c r="G835" s="1384"/>
    </row>
    <row r="836">
      <c r="A836" s="466">
        <v>2361.0</v>
      </c>
      <c r="B836" s="467">
        <v>130.0</v>
      </c>
      <c r="C836" s="305" t="s">
        <v>2195</v>
      </c>
      <c r="F836" s="1384"/>
      <c r="G836" s="1384"/>
    </row>
    <row r="837">
      <c r="A837" s="466">
        <v>2185.0</v>
      </c>
      <c r="B837" s="467">
        <v>188.0</v>
      </c>
      <c r="C837" s="305" t="s">
        <v>2196</v>
      </c>
      <c r="F837" s="1384"/>
      <c r="G837" s="1384"/>
    </row>
    <row r="838">
      <c r="A838" s="466">
        <v>2195.0</v>
      </c>
      <c r="B838" s="467">
        <v>188.0</v>
      </c>
      <c r="C838" s="305" t="s">
        <v>2197</v>
      </c>
      <c r="F838" s="1384"/>
      <c r="G838" s="1384"/>
    </row>
    <row r="839">
      <c r="A839" s="466">
        <v>962.0</v>
      </c>
      <c r="B839" s="467">
        <v>188.0</v>
      </c>
      <c r="C839" s="305" t="s">
        <v>2198</v>
      </c>
      <c r="F839" s="1384"/>
      <c r="G839" s="1384"/>
    </row>
    <row r="840">
      <c r="A840" s="466">
        <v>1850.0</v>
      </c>
      <c r="B840" s="467">
        <v>188.0</v>
      </c>
      <c r="C840" s="305" t="s">
        <v>2199</v>
      </c>
      <c r="F840" s="1384"/>
      <c r="G840" s="1384"/>
    </row>
    <row r="841">
      <c r="A841" s="466">
        <v>1867.0</v>
      </c>
      <c r="B841" s="467">
        <v>188.0</v>
      </c>
      <c r="C841" s="305" t="s">
        <v>2200</v>
      </c>
      <c r="F841" s="1384"/>
      <c r="G841" s="1384"/>
    </row>
    <row r="842">
      <c r="A842" s="466">
        <v>2030.0</v>
      </c>
      <c r="B842" s="467">
        <v>188.0</v>
      </c>
      <c r="C842" s="305" t="s">
        <v>2201</v>
      </c>
      <c r="F842" s="1384"/>
      <c r="G842" s="1384"/>
    </row>
    <row r="843">
      <c r="A843" s="466">
        <v>1315.0</v>
      </c>
      <c r="B843" s="467">
        <v>180.0</v>
      </c>
      <c r="C843" s="305" t="s">
        <v>2202</v>
      </c>
      <c r="F843" s="1384"/>
      <c r="G843" s="1384"/>
    </row>
    <row r="844">
      <c r="A844" s="466">
        <v>1903.0</v>
      </c>
      <c r="B844" s="467">
        <v>180.0</v>
      </c>
      <c r="C844" s="305" t="s">
        <v>2203</v>
      </c>
      <c r="F844" s="1384"/>
      <c r="G844" s="1384"/>
    </row>
    <row r="845">
      <c r="A845" s="466">
        <v>958.0</v>
      </c>
      <c r="B845" s="917">
        <v>193.0</v>
      </c>
      <c r="C845" s="305" t="s">
        <v>294</v>
      </c>
      <c r="F845" s="1384"/>
      <c r="G845" s="1384"/>
    </row>
    <row r="846">
      <c r="A846" s="466">
        <v>995.0</v>
      </c>
      <c r="B846" s="467">
        <v>188.0</v>
      </c>
      <c r="C846" s="305" t="s">
        <v>2204</v>
      </c>
      <c r="F846" s="1384"/>
      <c r="G846" s="1384"/>
    </row>
    <row r="847">
      <c r="A847" s="466">
        <v>1219.0</v>
      </c>
      <c r="B847" s="467">
        <v>180.0</v>
      </c>
      <c r="C847" s="305" t="s">
        <v>2205</v>
      </c>
      <c r="F847" s="1384"/>
      <c r="G847" s="1384"/>
    </row>
    <row r="848">
      <c r="A848" s="466">
        <v>1016.0</v>
      </c>
      <c r="B848" s="467">
        <v>180.0</v>
      </c>
      <c r="C848" s="305" t="s">
        <v>2207</v>
      </c>
      <c r="F848" s="1384"/>
      <c r="G848" s="1384"/>
    </row>
    <row r="849">
      <c r="A849" s="466">
        <v>639.0</v>
      </c>
      <c r="B849" s="467">
        <v>180.0</v>
      </c>
      <c r="C849" s="305" t="s">
        <v>2208</v>
      </c>
      <c r="F849" s="1384"/>
      <c r="G849" s="1384"/>
    </row>
    <row r="850">
      <c r="A850" s="466">
        <v>708.0</v>
      </c>
      <c r="B850" s="467">
        <v>215.0</v>
      </c>
      <c r="C850" s="305" t="s">
        <v>2209</v>
      </c>
      <c r="F850" s="1384"/>
      <c r="G850" s="1384"/>
    </row>
    <row r="851">
      <c r="A851" s="466">
        <v>3757.0</v>
      </c>
      <c r="B851" s="467">
        <v>178.0</v>
      </c>
      <c r="C851" s="305" t="s">
        <v>724</v>
      </c>
      <c r="F851" s="1384"/>
      <c r="G851" s="1384"/>
    </row>
    <row r="852">
      <c r="A852" s="466">
        <v>1015.0</v>
      </c>
      <c r="B852" s="467">
        <v>188.0</v>
      </c>
      <c r="C852" s="305" t="s">
        <v>2210</v>
      </c>
      <c r="F852" s="1384"/>
      <c r="G852" s="1384"/>
    </row>
    <row r="853">
      <c r="A853" s="466">
        <v>1236.0</v>
      </c>
      <c r="B853" s="467">
        <v>180.0</v>
      </c>
      <c r="C853" s="305" t="s">
        <v>2211</v>
      </c>
      <c r="F853" s="1384"/>
      <c r="G853" s="1384"/>
    </row>
    <row r="854">
      <c r="A854" s="466">
        <v>3342.0</v>
      </c>
      <c r="B854" s="467">
        <v>245.0</v>
      </c>
      <c r="C854" s="305" t="s">
        <v>2213</v>
      </c>
      <c r="F854" s="1384"/>
      <c r="G854" s="1384"/>
    </row>
    <row r="855">
      <c r="A855" s="466">
        <v>3594.0</v>
      </c>
      <c r="B855" s="467">
        <v>250.0</v>
      </c>
      <c r="C855" s="305" t="s">
        <v>714</v>
      </c>
      <c r="F855" s="1384"/>
      <c r="G855" s="1384"/>
    </row>
    <row r="856">
      <c r="A856" s="466">
        <v>3475.0</v>
      </c>
      <c r="B856" s="467">
        <v>135.0</v>
      </c>
      <c r="C856" s="305" t="s">
        <v>2218</v>
      </c>
      <c r="F856" s="1384"/>
      <c r="G856" s="1384"/>
    </row>
    <row r="857">
      <c r="A857" s="466">
        <v>1099.0</v>
      </c>
      <c r="B857" s="467">
        <v>85.0</v>
      </c>
      <c r="C857" s="305" t="s">
        <v>2314</v>
      </c>
      <c r="F857" s="1384"/>
      <c r="G857" s="1384"/>
    </row>
    <row r="858">
      <c r="A858" s="466">
        <v>374.0</v>
      </c>
      <c r="B858" s="1403">
        <v>0.0</v>
      </c>
      <c r="C858" s="305" t="s">
        <v>2315</v>
      </c>
      <c r="F858" s="1384"/>
      <c r="G858" s="1384"/>
    </row>
    <row r="859">
      <c r="A859" s="466">
        <v>2889.0</v>
      </c>
      <c r="B859" s="467">
        <v>198.0</v>
      </c>
      <c r="C859" s="305" t="s">
        <v>2316</v>
      </c>
      <c r="F859" s="1384"/>
      <c r="G859" s="1384"/>
    </row>
    <row r="860">
      <c r="A860" s="466">
        <v>3535.0</v>
      </c>
      <c r="B860" s="467">
        <v>215.0</v>
      </c>
      <c r="C860" s="305" t="s">
        <v>2318</v>
      </c>
      <c r="F860" s="1384"/>
      <c r="G860" s="1384"/>
    </row>
    <row r="861">
      <c r="A861" s="466">
        <v>2598.0</v>
      </c>
      <c r="B861" s="467">
        <v>182.0</v>
      </c>
      <c r="C861" s="305" t="s">
        <v>2319</v>
      </c>
      <c r="F861" s="1384"/>
      <c r="G861" s="1384"/>
    </row>
    <row r="862">
      <c r="A862" s="466">
        <v>3232.0</v>
      </c>
      <c r="B862" s="467">
        <v>215.0</v>
      </c>
      <c r="C862" s="305" t="s">
        <v>2320</v>
      </c>
      <c r="F862" s="1384"/>
      <c r="G862" s="1384"/>
    </row>
    <row r="863">
      <c r="A863" s="466">
        <v>2590.0</v>
      </c>
      <c r="B863" s="467">
        <v>189.0</v>
      </c>
      <c r="C863" s="305" t="s">
        <v>2321</v>
      </c>
      <c r="F863" s="1384"/>
      <c r="G863" s="1384"/>
    </row>
    <row r="864">
      <c r="A864" s="466">
        <v>1485.0</v>
      </c>
      <c r="B864" s="467">
        <v>75.0</v>
      </c>
      <c r="C864" s="305" t="s">
        <v>2322</v>
      </c>
      <c r="F864" s="1384"/>
      <c r="G864" s="1384"/>
    </row>
    <row r="865">
      <c r="A865" s="466">
        <v>2764.0</v>
      </c>
      <c r="B865" s="467">
        <v>105.0</v>
      </c>
      <c r="C865" s="305" t="s">
        <v>2323</v>
      </c>
      <c r="F865" s="1384"/>
      <c r="G865" s="1384"/>
    </row>
    <row r="866">
      <c r="A866" s="466">
        <v>2763.0</v>
      </c>
      <c r="B866" s="467">
        <v>195.0</v>
      </c>
      <c r="C866" s="305" t="s">
        <v>2324</v>
      </c>
      <c r="F866" s="1384"/>
      <c r="G866" s="1384"/>
    </row>
    <row r="867">
      <c r="A867" s="466">
        <v>2703.0</v>
      </c>
      <c r="B867" s="467">
        <v>250.0</v>
      </c>
      <c r="C867" s="305" t="s">
        <v>2325</v>
      </c>
      <c r="F867" s="1384"/>
      <c r="G867" s="1384"/>
    </row>
    <row r="868">
      <c r="A868" s="466">
        <v>2756.0</v>
      </c>
      <c r="B868" s="467">
        <v>266.0</v>
      </c>
      <c r="C868" s="305" t="s">
        <v>2326</v>
      </c>
      <c r="F868" s="1384"/>
      <c r="G868" s="1384"/>
    </row>
    <row r="869">
      <c r="A869" s="466">
        <v>2717.0</v>
      </c>
      <c r="B869" s="467">
        <v>30.0</v>
      </c>
      <c r="C869" s="305" t="s">
        <v>2327</v>
      </c>
      <c r="F869" s="1384"/>
      <c r="G869" s="1384"/>
    </row>
    <row r="870">
      <c r="A870" s="466">
        <v>2279.0</v>
      </c>
      <c r="B870" s="467">
        <v>59.0</v>
      </c>
      <c r="C870" s="305" t="s">
        <v>2328</v>
      </c>
      <c r="F870" s="1384"/>
      <c r="G870" s="1384"/>
    </row>
    <row r="871">
      <c r="A871" s="466">
        <v>487.0</v>
      </c>
      <c r="B871" s="1403">
        <v>0.0</v>
      </c>
      <c r="C871" s="305" t="s">
        <v>1443</v>
      </c>
      <c r="F871" s="1384"/>
      <c r="G871" s="1384"/>
    </row>
    <row r="872">
      <c r="A872" s="466">
        <v>3595.0</v>
      </c>
      <c r="B872" s="467">
        <v>293.0</v>
      </c>
      <c r="C872" s="305" t="s">
        <v>2330</v>
      </c>
      <c r="F872" s="1384"/>
      <c r="G872" s="1384"/>
    </row>
    <row r="873">
      <c r="A873" s="466">
        <v>2718.0</v>
      </c>
      <c r="B873" s="467">
        <v>30.0</v>
      </c>
      <c r="C873" s="305" t="s">
        <v>2331</v>
      </c>
      <c r="F873" s="1384"/>
      <c r="G873" s="1384"/>
    </row>
    <row r="874">
      <c r="A874" s="466">
        <v>2579.0</v>
      </c>
      <c r="B874" s="467">
        <v>59.0</v>
      </c>
      <c r="C874" s="305" t="s">
        <v>2332</v>
      </c>
      <c r="F874" s="1384"/>
      <c r="G874" s="1384"/>
    </row>
    <row r="875">
      <c r="A875" s="466">
        <v>2563.0</v>
      </c>
      <c r="B875" s="467">
        <v>280.0</v>
      </c>
      <c r="C875" s="305" t="s">
        <v>2333</v>
      </c>
      <c r="F875" s="1384"/>
      <c r="G875" s="1384"/>
    </row>
    <row r="876">
      <c r="A876" s="466">
        <v>2719.0</v>
      </c>
      <c r="B876" s="467">
        <v>30.0</v>
      </c>
      <c r="C876" s="305" t="s">
        <v>2334</v>
      </c>
      <c r="F876" s="1384"/>
      <c r="G876" s="1384"/>
    </row>
    <row r="877">
      <c r="A877" s="466">
        <v>2452.0</v>
      </c>
      <c r="B877" s="467">
        <v>59.0</v>
      </c>
      <c r="C877" s="305" t="s">
        <v>2335</v>
      </c>
      <c r="F877" s="1384"/>
      <c r="G877" s="1384"/>
    </row>
    <row r="878">
      <c r="A878" s="466">
        <v>2468.0</v>
      </c>
      <c r="B878" s="467">
        <v>59.0</v>
      </c>
      <c r="C878" s="305" t="s">
        <v>2336</v>
      </c>
      <c r="F878" s="1384"/>
      <c r="G878" s="1384"/>
    </row>
    <row r="879">
      <c r="A879" s="466">
        <v>1271.0</v>
      </c>
      <c r="B879" s="467">
        <v>30.0</v>
      </c>
      <c r="C879" s="305" t="s">
        <v>2337</v>
      </c>
      <c r="F879" s="1384"/>
      <c r="G879" s="1384"/>
    </row>
    <row r="880">
      <c r="A880" s="466">
        <v>748.0</v>
      </c>
      <c r="B880" s="467">
        <v>40.0</v>
      </c>
      <c r="C880" s="305" t="s">
        <v>2338</v>
      </c>
      <c r="F880" s="1384"/>
      <c r="G880" s="1384"/>
    </row>
    <row r="881">
      <c r="A881" s="466">
        <v>2949.0</v>
      </c>
      <c r="B881" s="467">
        <v>185.0</v>
      </c>
      <c r="C881" s="305" t="s">
        <v>2339</v>
      </c>
      <c r="F881" s="1384"/>
      <c r="G881" s="1384"/>
    </row>
    <row r="882">
      <c r="A882" s="466">
        <v>2729.0</v>
      </c>
      <c r="B882" s="467">
        <v>195.0</v>
      </c>
      <c r="C882" s="305" t="s">
        <v>2341</v>
      </c>
      <c r="F882" s="1384"/>
      <c r="G882" s="1384"/>
    </row>
    <row r="883">
      <c r="A883" s="466">
        <v>2928.0</v>
      </c>
      <c r="B883" s="467">
        <v>118.0</v>
      </c>
      <c r="C883" s="305" t="s">
        <v>1229</v>
      </c>
      <c r="F883" s="1384"/>
      <c r="G883" s="1384"/>
    </row>
    <row r="884">
      <c r="A884" s="466">
        <v>3738.0</v>
      </c>
      <c r="B884" s="467">
        <v>173.0</v>
      </c>
      <c r="C884" s="305" t="s">
        <v>447</v>
      </c>
      <c r="F884" s="1384"/>
      <c r="G884" s="1384"/>
    </row>
    <row r="885">
      <c r="A885" s="466">
        <v>2929.0</v>
      </c>
      <c r="B885" s="467">
        <v>143.0</v>
      </c>
      <c r="C885" s="305" t="s">
        <v>415</v>
      </c>
      <c r="F885" s="1384"/>
      <c r="G885" s="1384"/>
    </row>
    <row r="886">
      <c r="A886" s="466">
        <v>2597.0</v>
      </c>
      <c r="B886" s="467">
        <v>192.0</v>
      </c>
      <c r="C886" s="305" t="s">
        <v>2342</v>
      </c>
      <c r="F886" s="1384"/>
      <c r="G886" s="1384"/>
    </row>
    <row r="887">
      <c r="A887" s="466">
        <v>2927.0</v>
      </c>
      <c r="B887" s="467">
        <v>226.0</v>
      </c>
      <c r="C887" s="305" t="s">
        <v>1231</v>
      </c>
      <c r="F887" s="1384"/>
      <c r="G887" s="1384"/>
    </row>
    <row r="888">
      <c r="A888" s="466">
        <v>1039.0</v>
      </c>
      <c r="B888" s="467">
        <v>160.0</v>
      </c>
      <c r="C888" s="305" t="s">
        <v>2343</v>
      </c>
      <c r="F888" s="1384"/>
      <c r="G888" s="1384"/>
    </row>
    <row r="889">
      <c r="A889" s="466">
        <v>3454.0</v>
      </c>
      <c r="B889" s="467">
        <v>67.0</v>
      </c>
      <c r="C889" s="305" t="s">
        <v>346</v>
      </c>
      <c r="F889" s="1384"/>
      <c r="G889" s="1384"/>
    </row>
    <row r="890">
      <c r="A890" s="466">
        <v>2454.0</v>
      </c>
      <c r="B890" s="467">
        <v>120.0</v>
      </c>
      <c r="C890" s="305" t="s">
        <v>2344</v>
      </c>
      <c r="F890" s="1384"/>
      <c r="G890" s="1384"/>
    </row>
    <row r="891">
      <c r="A891" s="466">
        <v>1164.0</v>
      </c>
      <c r="B891" s="467">
        <v>160.0</v>
      </c>
      <c r="C891" s="305" t="s">
        <v>2345</v>
      </c>
      <c r="F891" s="1384"/>
      <c r="G891" s="1384"/>
    </row>
    <row r="892">
      <c r="A892" s="466">
        <v>1218.0</v>
      </c>
      <c r="B892" s="467">
        <v>160.0</v>
      </c>
      <c r="C892" s="305" t="s">
        <v>2346</v>
      </c>
      <c r="F892" s="1384"/>
      <c r="G892" s="1384"/>
    </row>
    <row r="893">
      <c r="A893" s="466">
        <v>1392.0</v>
      </c>
      <c r="B893" s="467">
        <v>160.0</v>
      </c>
      <c r="C893" s="305" t="s">
        <v>2347</v>
      </c>
      <c r="F893" s="1384"/>
      <c r="G893" s="1384"/>
    </row>
    <row r="894">
      <c r="A894" s="466">
        <v>921.0</v>
      </c>
      <c r="B894" s="467">
        <v>160.0</v>
      </c>
      <c r="C894" s="305" t="s">
        <v>2348</v>
      </c>
      <c r="F894" s="1384"/>
      <c r="G894" s="1384"/>
    </row>
    <row r="895">
      <c r="A895" s="466">
        <v>1381.0</v>
      </c>
      <c r="B895" s="467">
        <v>160.0</v>
      </c>
      <c r="C895" s="305" t="s">
        <v>2349</v>
      </c>
      <c r="F895" s="1384"/>
      <c r="G895" s="1384"/>
    </row>
    <row r="896">
      <c r="A896" s="466">
        <v>1380.0</v>
      </c>
      <c r="B896" s="467">
        <v>160.0</v>
      </c>
      <c r="C896" s="305" t="s">
        <v>2350</v>
      </c>
      <c r="F896" s="1384"/>
      <c r="G896" s="1384"/>
    </row>
    <row r="897">
      <c r="A897" s="466">
        <v>1171.0</v>
      </c>
      <c r="B897" s="467">
        <v>160.0</v>
      </c>
      <c r="C897" s="305" t="s">
        <v>2351</v>
      </c>
      <c r="F897" s="1384"/>
      <c r="G897" s="1384"/>
    </row>
    <row r="898">
      <c r="A898" s="466">
        <v>872.0</v>
      </c>
      <c r="B898" s="467">
        <v>160.0</v>
      </c>
      <c r="C898" s="305" t="s">
        <v>2352</v>
      </c>
      <c r="F898" s="1384"/>
      <c r="G898" s="1384"/>
    </row>
    <row r="899">
      <c r="A899" s="466">
        <v>1172.0</v>
      </c>
      <c r="B899" s="467">
        <v>160.0</v>
      </c>
      <c r="C899" s="305" t="s">
        <v>2353</v>
      </c>
      <c r="F899" s="1384"/>
      <c r="G899" s="1384"/>
    </row>
    <row r="900">
      <c r="A900" s="466">
        <v>1306.0</v>
      </c>
      <c r="B900" s="467">
        <v>160.0</v>
      </c>
      <c r="C900" s="305" t="s">
        <v>2354</v>
      </c>
      <c r="F900" s="1384"/>
      <c r="G900" s="1384"/>
    </row>
    <row r="901">
      <c r="A901" s="466">
        <v>992.0</v>
      </c>
      <c r="B901" s="467">
        <v>160.0</v>
      </c>
      <c r="C901" s="305" t="s">
        <v>2355</v>
      </c>
      <c r="F901" s="1384"/>
      <c r="G901" s="1384"/>
    </row>
    <row r="902">
      <c r="A902" s="466">
        <v>2067.0</v>
      </c>
      <c r="B902" s="917">
        <v>187.0</v>
      </c>
      <c r="C902" s="305" t="s">
        <v>472</v>
      </c>
      <c r="F902" s="1384"/>
      <c r="G902" s="1384"/>
    </row>
    <row r="903">
      <c r="A903" s="466">
        <v>3647.0</v>
      </c>
      <c r="B903" s="467">
        <v>98.0</v>
      </c>
      <c r="C903" s="305" t="s">
        <v>1115</v>
      </c>
      <c r="F903" s="1384"/>
      <c r="G903" s="1384"/>
    </row>
    <row r="904">
      <c r="A904" s="466">
        <v>3262.0</v>
      </c>
      <c r="B904" s="1403">
        <v>0.0</v>
      </c>
      <c r="C904" s="305" t="s">
        <v>2356</v>
      </c>
      <c r="F904" s="1384"/>
      <c r="G904" s="1384"/>
    </row>
    <row r="905">
      <c r="A905" s="466">
        <v>3249.0</v>
      </c>
      <c r="B905" s="467">
        <v>80.0</v>
      </c>
      <c r="C905" s="305" t="s">
        <v>2357</v>
      </c>
      <c r="F905" s="1384"/>
      <c r="G905" s="1384"/>
    </row>
    <row r="906">
      <c r="A906" s="466">
        <v>3242.0</v>
      </c>
      <c r="B906" s="467">
        <v>98.0</v>
      </c>
      <c r="C906" s="305" t="s">
        <v>2358</v>
      </c>
      <c r="F906" s="1384"/>
      <c r="G906" s="1384"/>
    </row>
    <row r="907">
      <c r="A907" s="466">
        <v>3258.0</v>
      </c>
      <c r="B907" s="467">
        <v>98.0</v>
      </c>
      <c r="C907" s="305" t="s">
        <v>2359</v>
      </c>
      <c r="F907" s="1384"/>
      <c r="G907" s="1384"/>
    </row>
    <row r="908">
      <c r="A908" s="466">
        <v>3823.0</v>
      </c>
      <c r="B908" s="467">
        <v>165.0</v>
      </c>
      <c r="C908" s="305" t="s">
        <v>393</v>
      </c>
      <c r="F908" s="1384"/>
      <c r="G908" s="1384"/>
    </row>
    <row r="909">
      <c r="A909" s="466">
        <v>1028.0</v>
      </c>
      <c r="B909" s="467">
        <v>70.0</v>
      </c>
      <c r="C909" s="305" t="s">
        <v>2361</v>
      </c>
      <c r="F909" s="1384"/>
      <c r="G909" s="1384"/>
    </row>
    <row r="910">
      <c r="A910" s="466">
        <v>2662.0</v>
      </c>
      <c r="B910" s="467">
        <v>98.0</v>
      </c>
      <c r="C910" s="305" t="s">
        <v>2362</v>
      </c>
      <c r="F910" s="1384"/>
      <c r="G910" s="1384"/>
    </row>
    <row r="911">
      <c r="A911" s="466">
        <v>676.0</v>
      </c>
      <c r="B911" s="467">
        <v>80.0</v>
      </c>
      <c r="C911" s="305" t="s">
        <v>2363</v>
      </c>
      <c r="F911" s="1384"/>
      <c r="G911" s="1384"/>
    </row>
    <row r="912">
      <c r="A912" s="466">
        <v>3124.0</v>
      </c>
      <c r="B912" s="467">
        <v>98.0</v>
      </c>
      <c r="C912" s="305" t="s">
        <v>2364</v>
      </c>
      <c r="F912" s="1384"/>
      <c r="G912" s="1384"/>
    </row>
    <row r="913">
      <c r="A913" s="466">
        <v>1332.0</v>
      </c>
      <c r="B913" s="467">
        <v>98.0</v>
      </c>
      <c r="C913" s="305" t="s">
        <v>2365</v>
      </c>
      <c r="F913" s="1384"/>
      <c r="G913" s="1384"/>
    </row>
    <row r="914">
      <c r="A914" s="466">
        <v>2704.0</v>
      </c>
      <c r="B914" s="467">
        <v>98.0</v>
      </c>
      <c r="C914" s="305" t="s">
        <v>2366</v>
      </c>
      <c r="F914" s="1384"/>
      <c r="G914" s="1384"/>
    </row>
    <row r="915">
      <c r="A915" s="466">
        <v>45.0</v>
      </c>
      <c r="B915" s="467">
        <v>80.0</v>
      </c>
      <c r="C915" s="305" t="s">
        <v>2367</v>
      </c>
      <c r="F915" s="1384"/>
      <c r="G915" s="1384"/>
    </row>
    <row r="916">
      <c r="A916" s="466">
        <v>3117.0</v>
      </c>
      <c r="B916" s="467">
        <v>98.0</v>
      </c>
      <c r="C916" s="305" t="s">
        <v>2368</v>
      </c>
      <c r="F916" s="1384"/>
      <c r="G916" s="1384"/>
    </row>
    <row r="917">
      <c r="A917" s="466">
        <v>2175.0</v>
      </c>
      <c r="B917" s="917">
        <v>98.0</v>
      </c>
      <c r="C917" s="305" t="s">
        <v>417</v>
      </c>
      <c r="F917" s="1384"/>
      <c r="G917" s="1384"/>
    </row>
    <row r="918">
      <c r="A918" s="466">
        <v>2697.0</v>
      </c>
      <c r="B918" s="467">
        <v>98.0</v>
      </c>
      <c r="C918" s="305" t="s">
        <v>2370</v>
      </c>
      <c r="F918" s="1384"/>
      <c r="G918" s="1384"/>
    </row>
    <row r="919">
      <c r="A919" s="466">
        <v>3058.0</v>
      </c>
      <c r="B919" s="467">
        <v>118.0</v>
      </c>
      <c r="C919" s="305" t="s">
        <v>2371</v>
      </c>
      <c r="F919" s="1384"/>
      <c r="G919" s="1384"/>
    </row>
    <row r="920">
      <c r="A920" s="466">
        <v>3301.0</v>
      </c>
      <c r="B920" s="467">
        <v>98.0</v>
      </c>
      <c r="C920" s="305" t="s">
        <v>305</v>
      </c>
      <c r="F920" s="1384"/>
      <c r="G920" s="1384"/>
    </row>
    <row r="921">
      <c r="A921" s="466">
        <v>1549.0</v>
      </c>
      <c r="B921" s="1403">
        <v>0.0</v>
      </c>
      <c r="C921" s="305" t="s">
        <v>2373</v>
      </c>
      <c r="F921" s="1384"/>
      <c r="G921" s="1384"/>
    </row>
    <row r="922">
      <c r="A922" s="466">
        <v>3308.0</v>
      </c>
      <c r="B922" s="467">
        <v>98.0</v>
      </c>
      <c r="C922" s="305" t="s">
        <v>2374</v>
      </c>
      <c r="F922" s="1384"/>
      <c r="G922" s="1384"/>
    </row>
    <row r="923">
      <c r="A923" s="466">
        <v>3300.0</v>
      </c>
      <c r="B923" s="467">
        <v>80.0</v>
      </c>
      <c r="C923" s="305" t="s">
        <v>2375</v>
      </c>
      <c r="F923" s="1384"/>
      <c r="G923" s="1384"/>
    </row>
    <row r="924">
      <c r="A924" s="466">
        <v>1844.0</v>
      </c>
      <c r="B924" s="467">
        <v>98.0</v>
      </c>
      <c r="C924" s="305" t="s">
        <v>2376</v>
      </c>
      <c r="F924" s="1384"/>
      <c r="G924" s="1384"/>
    </row>
    <row r="925">
      <c r="A925" s="466">
        <v>3088.0</v>
      </c>
      <c r="B925" s="467">
        <v>98.0</v>
      </c>
      <c r="C925" s="305" t="s">
        <v>2377</v>
      </c>
      <c r="F925" s="1384"/>
      <c r="G925" s="1384"/>
    </row>
    <row r="926">
      <c r="A926" s="466">
        <v>1012.0</v>
      </c>
      <c r="B926" s="467">
        <v>70.0</v>
      </c>
      <c r="C926" s="305" t="s">
        <v>2378</v>
      </c>
      <c r="F926" s="1384"/>
      <c r="G926" s="1384"/>
    </row>
    <row r="927">
      <c r="A927" s="466">
        <v>3649.0</v>
      </c>
      <c r="B927" s="467">
        <v>98.0</v>
      </c>
      <c r="C927" s="305" t="s">
        <v>1103</v>
      </c>
      <c r="F927" s="1384"/>
      <c r="G927" s="1384"/>
    </row>
    <row r="928">
      <c r="A928" s="466">
        <v>3401.0</v>
      </c>
      <c r="B928" s="467">
        <v>80.0</v>
      </c>
      <c r="C928" s="305" t="s">
        <v>2380</v>
      </c>
      <c r="F928" s="1384"/>
      <c r="G928" s="1384"/>
    </row>
    <row r="929">
      <c r="A929" s="466">
        <v>3402.0</v>
      </c>
      <c r="B929" s="467">
        <v>98.0</v>
      </c>
      <c r="C929" s="305" t="s">
        <v>2381</v>
      </c>
      <c r="F929" s="1384"/>
      <c r="G929" s="1384"/>
    </row>
    <row r="930">
      <c r="A930" s="466">
        <v>242.0</v>
      </c>
      <c r="B930" s="467">
        <v>80.0</v>
      </c>
      <c r="C930" s="305" t="s">
        <v>2382</v>
      </c>
      <c r="F930" s="1384"/>
      <c r="G930" s="1384"/>
    </row>
    <row r="931">
      <c r="A931" s="466">
        <v>2833.0</v>
      </c>
      <c r="B931" s="467">
        <v>98.0</v>
      </c>
      <c r="C931" s="305" t="s">
        <v>2383</v>
      </c>
      <c r="F931" s="1384"/>
      <c r="G931" s="1384"/>
    </row>
    <row r="932">
      <c r="A932" s="466">
        <v>2879.0</v>
      </c>
      <c r="B932" s="467">
        <v>80.0</v>
      </c>
      <c r="C932" s="305" t="s">
        <v>2384</v>
      </c>
      <c r="F932" s="1384"/>
      <c r="G932" s="1384"/>
    </row>
    <row r="933">
      <c r="A933" s="466">
        <v>3155.0</v>
      </c>
      <c r="B933" s="467">
        <v>98.0</v>
      </c>
      <c r="C933" s="305" t="s">
        <v>2385</v>
      </c>
      <c r="F933" s="1384"/>
      <c r="G933" s="1384"/>
    </row>
    <row r="934">
      <c r="A934" s="466">
        <v>2808.0</v>
      </c>
      <c r="B934" s="467">
        <v>80.0</v>
      </c>
      <c r="C934" s="305" t="s">
        <v>2386</v>
      </c>
      <c r="F934" s="1384"/>
      <c r="G934" s="1384"/>
    </row>
    <row r="935">
      <c r="A935" s="466">
        <v>139.0</v>
      </c>
      <c r="B935" s="467">
        <v>80.0</v>
      </c>
      <c r="C935" s="305" t="s">
        <v>2387</v>
      </c>
      <c r="F935" s="1384"/>
      <c r="G935" s="1384"/>
    </row>
    <row r="936">
      <c r="A936" s="466">
        <v>3230.0</v>
      </c>
      <c r="B936" s="467">
        <v>98.0</v>
      </c>
      <c r="C936" s="305" t="s">
        <v>575</v>
      </c>
      <c r="F936" s="1384"/>
      <c r="G936" s="1384"/>
    </row>
    <row r="937">
      <c r="A937" s="466">
        <v>3713.0</v>
      </c>
      <c r="B937" s="467">
        <v>265.0</v>
      </c>
      <c r="C937" s="305" t="s">
        <v>2388</v>
      </c>
      <c r="F937" s="1384"/>
      <c r="G937" s="1384"/>
    </row>
    <row r="938">
      <c r="A938" s="466">
        <v>2001.0</v>
      </c>
      <c r="B938" s="467">
        <v>80.0</v>
      </c>
      <c r="C938" s="305" t="s">
        <v>2389</v>
      </c>
      <c r="F938" s="1384"/>
      <c r="G938" s="1384"/>
    </row>
    <row r="939">
      <c r="A939" s="466">
        <v>3167.0</v>
      </c>
      <c r="B939" s="467">
        <v>98.0</v>
      </c>
      <c r="C939" s="305" t="s">
        <v>2390</v>
      </c>
      <c r="F939" s="1384"/>
      <c r="G939" s="1384"/>
    </row>
    <row r="940">
      <c r="A940" s="466">
        <v>457.0</v>
      </c>
      <c r="B940" s="467">
        <v>80.0</v>
      </c>
      <c r="C940" s="305" t="s">
        <v>2391</v>
      </c>
      <c r="F940" s="1384"/>
      <c r="G940" s="1384"/>
    </row>
    <row r="941">
      <c r="A941" s="466">
        <v>3233.0</v>
      </c>
      <c r="B941" s="467">
        <v>98.0</v>
      </c>
      <c r="C941" s="305" t="s">
        <v>131</v>
      </c>
      <c r="F941" s="1384"/>
      <c r="G941" s="1384"/>
    </row>
    <row r="942">
      <c r="A942" s="466">
        <v>3048.0</v>
      </c>
      <c r="B942" s="467">
        <v>98.0</v>
      </c>
      <c r="C942" s="305" t="s">
        <v>2392</v>
      </c>
      <c r="F942" s="1384"/>
      <c r="G942" s="1384"/>
    </row>
    <row r="943">
      <c r="A943" s="466">
        <v>2677.0</v>
      </c>
      <c r="B943" s="467">
        <v>98.0</v>
      </c>
      <c r="C943" s="305" t="s">
        <v>2393</v>
      </c>
      <c r="F943" s="1384"/>
      <c r="G943" s="1384"/>
    </row>
    <row r="944">
      <c r="A944" s="466">
        <v>61.0</v>
      </c>
      <c r="B944" s="467">
        <v>80.0</v>
      </c>
      <c r="C944" s="305" t="s">
        <v>2394</v>
      </c>
      <c r="F944" s="1384"/>
      <c r="G944" s="1384"/>
    </row>
    <row r="945">
      <c r="A945" s="466">
        <v>3317.0</v>
      </c>
      <c r="B945" s="467">
        <v>80.0</v>
      </c>
      <c r="C945" s="305" t="s">
        <v>2395</v>
      </c>
      <c r="F945" s="1384"/>
      <c r="G945" s="1384"/>
    </row>
    <row r="946">
      <c r="A946" s="466">
        <v>3316.0</v>
      </c>
      <c r="B946" s="467">
        <v>98.0</v>
      </c>
      <c r="C946" s="305" t="s">
        <v>1155</v>
      </c>
      <c r="F946" s="1384"/>
      <c r="G946" s="1384"/>
    </row>
    <row r="947">
      <c r="A947" s="466">
        <v>2302.0</v>
      </c>
      <c r="B947" s="467">
        <v>80.0</v>
      </c>
      <c r="C947" s="305" t="s">
        <v>2396</v>
      </c>
      <c r="F947" s="1384"/>
      <c r="G947" s="1384"/>
    </row>
    <row r="948">
      <c r="A948" s="466">
        <v>1565.0</v>
      </c>
      <c r="B948" s="467">
        <v>80.0</v>
      </c>
      <c r="C948" s="305" t="s">
        <v>2397</v>
      </c>
      <c r="F948" s="1384"/>
      <c r="G948" s="1384"/>
    </row>
    <row r="949">
      <c r="A949" s="466">
        <v>3398.0</v>
      </c>
      <c r="B949" s="467">
        <v>98.0</v>
      </c>
      <c r="C949" s="305" t="s">
        <v>1146</v>
      </c>
      <c r="F949" s="1384"/>
      <c r="G949" s="1384"/>
    </row>
    <row r="950">
      <c r="A950" s="466">
        <v>2527.0</v>
      </c>
      <c r="B950" s="467">
        <v>80.0</v>
      </c>
      <c r="C950" s="305" t="s">
        <v>2398</v>
      </c>
      <c r="F950" s="1384"/>
      <c r="G950" s="1384"/>
    </row>
    <row r="951">
      <c r="A951" s="466">
        <v>2696.0</v>
      </c>
      <c r="B951" s="467">
        <v>98.0</v>
      </c>
      <c r="C951" s="305" t="s">
        <v>2399</v>
      </c>
      <c r="F951" s="1384"/>
      <c r="G951" s="1384"/>
    </row>
    <row r="952">
      <c r="A952" s="466">
        <v>140.0</v>
      </c>
      <c r="B952" s="467">
        <v>80.0</v>
      </c>
      <c r="C952" s="305" t="s">
        <v>2400</v>
      </c>
      <c r="F952" s="1384"/>
      <c r="G952" s="1384"/>
    </row>
    <row r="953">
      <c r="A953" s="466">
        <v>3072.0</v>
      </c>
      <c r="B953" s="467">
        <v>98.0</v>
      </c>
      <c r="C953" s="305" t="s">
        <v>2401</v>
      </c>
      <c r="F953" s="1384"/>
      <c r="G953" s="1384"/>
    </row>
    <row r="954">
      <c r="A954" s="466">
        <v>1821.0</v>
      </c>
      <c r="B954" s="467">
        <v>80.0</v>
      </c>
      <c r="C954" s="305" t="s">
        <v>2402</v>
      </c>
      <c r="F954" s="1384"/>
      <c r="G954" s="1384"/>
    </row>
    <row r="955">
      <c r="A955" s="466">
        <v>2807.0</v>
      </c>
      <c r="B955" s="467">
        <v>80.0</v>
      </c>
      <c r="C955" s="305" t="s">
        <v>2403</v>
      </c>
      <c r="F955" s="1384"/>
      <c r="G955" s="1384"/>
    </row>
    <row r="956">
      <c r="A956" s="466">
        <v>2831.0</v>
      </c>
      <c r="B956" s="467">
        <v>98.0</v>
      </c>
      <c r="C956" s="305" t="s">
        <v>2404</v>
      </c>
      <c r="F956" s="1384"/>
      <c r="G956" s="1384"/>
    </row>
    <row r="957">
      <c r="A957" s="466">
        <v>43.0</v>
      </c>
      <c r="B957" s="467">
        <v>80.0</v>
      </c>
      <c r="C957" s="305" t="s">
        <v>2405</v>
      </c>
      <c r="F957" s="1384"/>
      <c r="G957" s="1384"/>
    </row>
    <row r="958">
      <c r="A958" s="466">
        <v>2620.0</v>
      </c>
      <c r="B958" s="467">
        <v>219.0</v>
      </c>
      <c r="C958" s="305" t="s">
        <v>2406</v>
      </c>
      <c r="F958" s="1384"/>
      <c r="G958" s="1384"/>
    </row>
    <row r="959">
      <c r="A959" s="466">
        <v>59.0</v>
      </c>
      <c r="B959" s="467">
        <v>80.0</v>
      </c>
      <c r="C959" s="305" t="s">
        <v>2407</v>
      </c>
      <c r="F959" s="1384"/>
      <c r="G959" s="1384"/>
    </row>
    <row r="960">
      <c r="A960" s="466">
        <v>2725.0</v>
      </c>
      <c r="B960" s="467">
        <v>98.0</v>
      </c>
      <c r="C960" s="305" t="s">
        <v>2408</v>
      </c>
      <c r="F960" s="1384"/>
      <c r="G960" s="1384"/>
    </row>
    <row r="961">
      <c r="A961" s="466">
        <v>1977.0</v>
      </c>
      <c r="B961" s="467">
        <v>80.0</v>
      </c>
      <c r="C961" s="305" t="s">
        <v>2409</v>
      </c>
      <c r="F961" s="1384"/>
      <c r="G961" s="1384"/>
    </row>
    <row r="962">
      <c r="A962" s="466">
        <v>3062.0</v>
      </c>
      <c r="B962" s="467">
        <v>98.0</v>
      </c>
      <c r="C962" s="305" t="s">
        <v>2410</v>
      </c>
      <c r="F962" s="1384"/>
      <c r="G962" s="1384"/>
    </row>
    <row r="963">
      <c r="A963" s="466">
        <v>2844.0</v>
      </c>
      <c r="B963" s="467">
        <v>98.0</v>
      </c>
      <c r="C963" s="305" t="s">
        <v>2412</v>
      </c>
      <c r="F963" s="1384"/>
      <c r="G963" s="1384"/>
    </row>
    <row r="964">
      <c r="A964" s="466">
        <v>3359.0</v>
      </c>
      <c r="B964" s="467">
        <v>98.0</v>
      </c>
      <c r="C964" s="305" t="s">
        <v>2414</v>
      </c>
      <c r="F964" s="1384"/>
      <c r="G964" s="1384"/>
    </row>
    <row r="965">
      <c r="A965" s="466">
        <v>1995.0</v>
      </c>
      <c r="B965" s="917">
        <v>98.0</v>
      </c>
      <c r="C965" s="305" t="s">
        <v>1143</v>
      </c>
      <c r="F965" s="1384"/>
      <c r="G965" s="1384"/>
    </row>
    <row r="966">
      <c r="A966" s="466">
        <v>2287.0</v>
      </c>
      <c r="B966" s="467">
        <v>80.0</v>
      </c>
      <c r="C966" s="305" t="s">
        <v>2418</v>
      </c>
      <c r="F966" s="1384"/>
      <c r="G966" s="1384"/>
    </row>
    <row r="967">
      <c r="A967" s="466">
        <v>2528.0</v>
      </c>
      <c r="B967" s="467">
        <v>80.0</v>
      </c>
      <c r="C967" s="305" t="s">
        <v>2420</v>
      </c>
      <c r="F967" s="1384"/>
      <c r="G967" s="1384"/>
    </row>
    <row r="968">
      <c r="A968" s="466">
        <v>2382.0</v>
      </c>
      <c r="B968" s="467">
        <v>80.0</v>
      </c>
      <c r="C968" s="305" t="s">
        <v>2421</v>
      </c>
      <c r="F968" s="1384"/>
      <c r="G968" s="1384"/>
    </row>
    <row r="969">
      <c r="A969" s="466">
        <v>6.0</v>
      </c>
      <c r="B969" s="467">
        <v>80.0</v>
      </c>
      <c r="C969" s="305" t="s">
        <v>2422</v>
      </c>
      <c r="F969" s="1384"/>
      <c r="G969" s="1384"/>
    </row>
    <row r="970">
      <c r="A970" s="466">
        <v>3069.0</v>
      </c>
      <c r="B970" s="467">
        <v>98.0</v>
      </c>
      <c r="C970" s="305" t="s">
        <v>2423</v>
      </c>
      <c r="F970" s="1384"/>
      <c r="G970" s="1384"/>
    </row>
    <row r="971">
      <c r="A971" s="466">
        <v>3022.0</v>
      </c>
      <c r="B971" s="467">
        <v>98.0</v>
      </c>
      <c r="C971" s="305" t="s">
        <v>2424</v>
      </c>
      <c r="F971" s="1384"/>
      <c r="G971" s="1384"/>
    </row>
    <row r="972">
      <c r="A972" s="466">
        <v>2742.0</v>
      </c>
      <c r="B972" s="467">
        <v>98.0</v>
      </c>
      <c r="C972" s="305" t="s">
        <v>2425</v>
      </c>
      <c r="F972" s="1384"/>
      <c r="G972" s="1384"/>
    </row>
    <row r="973">
      <c r="A973" s="466">
        <v>2643.0</v>
      </c>
      <c r="B973" s="467">
        <v>80.0</v>
      </c>
      <c r="C973" s="305" t="s">
        <v>2426</v>
      </c>
      <c r="F973" s="1384"/>
      <c r="G973" s="1384"/>
    </row>
    <row r="974">
      <c r="A974" s="466">
        <v>3152.0</v>
      </c>
      <c r="B974" s="467">
        <v>98.0</v>
      </c>
      <c r="C974" s="305" t="s">
        <v>2427</v>
      </c>
      <c r="F974" s="1384"/>
      <c r="G974" s="1384"/>
    </row>
    <row r="975">
      <c r="A975" s="466">
        <v>3666.0</v>
      </c>
      <c r="B975" s="467">
        <v>98.0</v>
      </c>
      <c r="C975" s="305" t="s">
        <v>1093</v>
      </c>
      <c r="F975" s="1384"/>
      <c r="G975" s="1384"/>
    </row>
    <row r="976">
      <c r="A976" s="466">
        <v>3120.0</v>
      </c>
      <c r="B976" s="467">
        <v>98.0</v>
      </c>
      <c r="C976" s="305" t="s">
        <v>1099</v>
      </c>
      <c r="F976" s="1384"/>
      <c r="G976" s="1384"/>
    </row>
    <row r="977">
      <c r="A977" s="466">
        <v>1520.0</v>
      </c>
      <c r="B977" s="467">
        <v>80.0</v>
      </c>
      <c r="C977" s="305" t="s">
        <v>2428</v>
      </c>
      <c r="F977" s="1384"/>
      <c r="G977" s="1384"/>
    </row>
    <row r="978">
      <c r="A978" s="466">
        <v>3264.0</v>
      </c>
      <c r="B978" s="467">
        <v>98.0</v>
      </c>
      <c r="C978" s="305" t="s">
        <v>2429</v>
      </c>
      <c r="F978" s="1384"/>
      <c r="G978" s="1384"/>
    </row>
    <row r="979">
      <c r="A979" s="466">
        <v>2789.0</v>
      </c>
      <c r="B979" s="467">
        <v>80.0</v>
      </c>
      <c r="C979" s="305" t="s">
        <v>2430</v>
      </c>
      <c r="F979" s="1384"/>
      <c r="G979" s="1384"/>
    </row>
    <row r="980">
      <c r="A980" s="466">
        <v>2836.0</v>
      </c>
      <c r="B980" s="467">
        <v>98.0</v>
      </c>
      <c r="C980" s="305" t="s">
        <v>2431</v>
      </c>
      <c r="F980" s="1384"/>
      <c r="G980" s="1384"/>
    </row>
    <row r="981">
      <c r="A981" s="466">
        <v>2843.0</v>
      </c>
      <c r="B981" s="467">
        <v>80.0</v>
      </c>
      <c r="C981" s="305" t="s">
        <v>2432</v>
      </c>
      <c r="F981" s="1384"/>
      <c r="G981" s="1384"/>
    </row>
    <row r="982">
      <c r="A982" s="466">
        <v>2303.0</v>
      </c>
      <c r="B982" s="917">
        <v>98.0</v>
      </c>
      <c r="C982" s="305" t="s">
        <v>437</v>
      </c>
      <c r="F982" s="1384"/>
      <c r="G982" s="1384"/>
    </row>
    <row r="983">
      <c r="A983" s="466">
        <v>2705.0</v>
      </c>
      <c r="B983" s="467">
        <v>98.0</v>
      </c>
      <c r="C983" s="305" t="s">
        <v>2434</v>
      </c>
      <c r="F983" s="1384"/>
      <c r="G983" s="1384"/>
    </row>
    <row r="984">
      <c r="A984" s="466">
        <v>925.0</v>
      </c>
      <c r="B984" s="467">
        <v>80.0</v>
      </c>
      <c r="C984" s="305" t="s">
        <v>2435</v>
      </c>
      <c r="F984" s="1384"/>
      <c r="G984" s="1384"/>
    </row>
    <row r="985">
      <c r="A985" s="466">
        <v>3126.0</v>
      </c>
      <c r="B985" s="467">
        <v>98.0</v>
      </c>
      <c r="C985" s="305" t="s">
        <v>2436</v>
      </c>
      <c r="F985" s="1384"/>
      <c r="G985" s="1384"/>
    </row>
    <row r="986">
      <c r="A986" s="466">
        <v>770.0</v>
      </c>
      <c r="B986" s="467">
        <v>80.0</v>
      </c>
      <c r="C986" s="305" t="s">
        <v>2437</v>
      </c>
      <c r="F986" s="1384"/>
      <c r="G986" s="1384"/>
    </row>
    <row r="987">
      <c r="A987" s="466">
        <v>881.0</v>
      </c>
      <c r="B987" s="467">
        <v>80.0</v>
      </c>
      <c r="C987" s="305" t="s">
        <v>2438</v>
      </c>
      <c r="F987" s="1384"/>
      <c r="G987" s="1384"/>
    </row>
    <row r="988">
      <c r="A988" s="466">
        <v>3380.0</v>
      </c>
      <c r="B988" s="467">
        <v>80.0</v>
      </c>
      <c r="C988" s="305" t="s">
        <v>2439</v>
      </c>
      <c r="F988" s="1384"/>
      <c r="G988" s="1384"/>
    </row>
    <row r="989">
      <c r="A989" s="466">
        <v>3379.0</v>
      </c>
      <c r="B989" s="467">
        <v>98.0</v>
      </c>
      <c r="C989" s="305" t="s">
        <v>281</v>
      </c>
      <c r="F989" s="1384"/>
      <c r="G989" s="1384"/>
    </row>
    <row r="990">
      <c r="A990" s="466">
        <v>2787.0</v>
      </c>
      <c r="B990" s="467">
        <v>80.0</v>
      </c>
      <c r="C990" s="305" t="s">
        <v>2440</v>
      </c>
      <c r="F990" s="1384"/>
      <c r="G990" s="1384"/>
    </row>
    <row r="991">
      <c r="A991" s="466">
        <v>2894.0</v>
      </c>
      <c r="B991" s="467">
        <v>80.0</v>
      </c>
      <c r="C991" s="305" t="s">
        <v>2441</v>
      </c>
      <c r="F991" s="1384"/>
      <c r="G991" s="1384"/>
    </row>
    <row r="992">
      <c r="A992" s="466">
        <v>2838.0</v>
      </c>
      <c r="B992" s="467">
        <v>98.0</v>
      </c>
      <c r="C992" s="305" t="s">
        <v>2442</v>
      </c>
      <c r="F992" s="1384"/>
      <c r="G992" s="1384"/>
    </row>
    <row r="993">
      <c r="A993" s="466">
        <v>3109.0</v>
      </c>
      <c r="B993" s="467">
        <v>98.0</v>
      </c>
      <c r="C993" s="305" t="s">
        <v>1054</v>
      </c>
      <c r="F993" s="1384"/>
      <c r="G993" s="1384"/>
    </row>
    <row r="994">
      <c r="A994" s="466">
        <v>2272.0</v>
      </c>
      <c r="B994" s="467">
        <v>80.0</v>
      </c>
      <c r="C994" s="305" t="s">
        <v>2443</v>
      </c>
      <c r="F994" s="1384"/>
      <c r="G994" s="1384"/>
    </row>
    <row r="995">
      <c r="A995" s="466">
        <v>1957.0</v>
      </c>
      <c r="B995" s="467">
        <v>80.0</v>
      </c>
      <c r="C995" s="305" t="s">
        <v>2444</v>
      </c>
      <c r="F995" s="1384"/>
      <c r="G995" s="1384"/>
    </row>
    <row r="996">
      <c r="A996" s="466">
        <v>2526.0</v>
      </c>
      <c r="B996" s="467">
        <v>80.0</v>
      </c>
      <c r="C996" s="305" t="s">
        <v>2445</v>
      </c>
      <c r="F996" s="1384"/>
      <c r="G996" s="1384"/>
    </row>
    <row r="997">
      <c r="A997" s="466">
        <v>12.0</v>
      </c>
      <c r="B997" s="467">
        <v>80.0</v>
      </c>
      <c r="C997" s="305" t="s">
        <v>2446</v>
      </c>
      <c r="F997" s="1384"/>
      <c r="G997" s="1384"/>
    </row>
    <row r="998">
      <c r="A998" s="466">
        <v>3654.0</v>
      </c>
      <c r="B998" s="467">
        <v>98.0</v>
      </c>
      <c r="C998" s="305" t="s">
        <v>461</v>
      </c>
      <c r="F998" s="1384"/>
      <c r="G998" s="1384"/>
    </row>
    <row r="999">
      <c r="A999" s="466">
        <v>379.0</v>
      </c>
      <c r="B999" s="467">
        <v>80.0</v>
      </c>
      <c r="C999" s="305" t="s">
        <v>2447</v>
      </c>
      <c r="F999" s="1384"/>
      <c r="G999" s="1384"/>
    </row>
    <row r="1000">
      <c r="A1000" s="466">
        <v>241.0</v>
      </c>
      <c r="B1000" s="467">
        <v>80.0</v>
      </c>
      <c r="C1000" s="305" t="s">
        <v>2448</v>
      </c>
      <c r="F1000" s="1384"/>
      <c r="G1000" s="1384"/>
    </row>
    <row r="1001">
      <c r="A1001" s="466">
        <v>3417.0</v>
      </c>
      <c r="B1001" s="467">
        <v>80.0</v>
      </c>
      <c r="C1001" s="305" t="s">
        <v>2449</v>
      </c>
      <c r="F1001" s="1384"/>
      <c r="G1001" s="1384"/>
    </row>
    <row r="1002">
      <c r="A1002" s="466">
        <v>3418.0</v>
      </c>
      <c r="B1002" s="467">
        <v>98.0</v>
      </c>
      <c r="C1002" s="305" t="s">
        <v>2450</v>
      </c>
      <c r="F1002" s="1384"/>
      <c r="G1002" s="1384"/>
    </row>
    <row r="1003">
      <c r="A1003" s="466">
        <v>884.0</v>
      </c>
      <c r="B1003" s="917">
        <v>98.0</v>
      </c>
      <c r="C1003" s="305" t="s">
        <v>2875</v>
      </c>
      <c r="F1003" s="1384"/>
      <c r="G1003" s="1384"/>
    </row>
    <row r="1004">
      <c r="A1004" s="466">
        <v>2864.0</v>
      </c>
      <c r="B1004" s="467">
        <v>98.0</v>
      </c>
      <c r="C1004" s="305" t="s">
        <v>2452</v>
      </c>
      <c r="F1004" s="1384"/>
      <c r="G1004" s="1384"/>
    </row>
    <row r="1005">
      <c r="A1005" s="466">
        <v>2860.0</v>
      </c>
      <c r="B1005" s="467">
        <v>80.0</v>
      </c>
      <c r="C1005" s="305" t="s">
        <v>2453</v>
      </c>
      <c r="F1005" s="1384"/>
      <c r="G1005" s="1384"/>
    </row>
    <row r="1006">
      <c r="A1006" s="466">
        <v>3132.0</v>
      </c>
      <c r="B1006" s="467">
        <v>98.0</v>
      </c>
      <c r="C1006" s="305" t="s">
        <v>2454</v>
      </c>
      <c r="F1006" s="1384"/>
      <c r="G1006" s="1384"/>
    </row>
    <row r="1007">
      <c r="A1007" s="466">
        <v>2826.0</v>
      </c>
      <c r="B1007" s="467">
        <v>80.0</v>
      </c>
      <c r="C1007" s="305" t="s">
        <v>2455</v>
      </c>
      <c r="F1007" s="1384"/>
      <c r="G1007" s="1384"/>
    </row>
    <row r="1008">
      <c r="A1008" s="466">
        <v>134.0</v>
      </c>
      <c r="B1008" s="467">
        <v>80.0</v>
      </c>
      <c r="C1008" s="305" t="s">
        <v>2456</v>
      </c>
      <c r="F1008" s="1384"/>
      <c r="G1008" s="1384"/>
    </row>
    <row r="1009">
      <c r="A1009" s="466">
        <v>3683.0</v>
      </c>
      <c r="B1009" s="467">
        <v>98.0</v>
      </c>
      <c r="C1009" s="305" t="s">
        <v>2457</v>
      </c>
      <c r="F1009" s="1384"/>
      <c r="G1009" s="1384"/>
    </row>
    <row r="1010">
      <c r="A1010" s="466">
        <v>1170.0</v>
      </c>
      <c r="B1010" s="467">
        <v>70.0</v>
      </c>
      <c r="C1010" s="305" t="s">
        <v>2458</v>
      </c>
      <c r="F1010" s="1384"/>
      <c r="G1010" s="1384"/>
    </row>
    <row r="1011">
      <c r="A1011" s="466">
        <v>2547.0</v>
      </c>
      <c r="B1011" s="467">
        <v>98.0</v>
      </c>
      <c r="C1011" s="305" t="s">
        <v>2459</v>
      </c>
      <c r="F1011" s="1384"/>
      <c r="G1011" s="1384"/>
    </row>
    <row r="1012">
      <c r="A1012" s="466">
        <v>2686.0</v>
      </c>
      <c r="B1012" s="917">
        <v>98.0</v>
      </c>
      <c r="C1012" s="305" t="s">
        <v>402</v>
      </c>
      <c r="F1012" s="1384"/>
      <c r="G1012" s="1384"/>
    </row>
    <row r="1013">
      <c r="A1013" s="466">
        <v>2490.0</v>
      </c>
      <c r="B1013" s="467">
        <v>80.0</v>
      </c>
      <c r="C1013" s="305" t="s">
        <v>2461</v>
      </c>
      <c r="F1013" s="1384"/>
      <c r="G1013" s="1384"/>
    </row>
    <row r="1014">
      <c r="A1014" s="466">
        <v>3244.0</v>
      </c>
      <c r="B1014" s="467">
        <v>98.0</v>
      </c>
      <c r="C1014" s="305" t="s">
        <v>286</v>
      </c>
      <c r="F1014" s="1384"/>
      <c r="G1014" s="1384"/>
    </row>
    <row r="1015">
      <c r="A1015" s="466">
        <v>2987.0</v>
      </c>
      <c r="B1015" s="467">
        <v>80.0</v>
      </c>
      <c r="C1015" s="305" t="s">
        <v>2462</v>
      </c>
      <c r="F1015" s="1384"/>
      <c r="G1015" s="1384"/>
    </row>
    <row r="1016">
      <c r="A1016" s="466">
        <v>1087.0</v>
      </c>
      <c r="B1016" s="467">
        <v>80.0</v>
      </c>
      <c r="C1016" s="305" t="s">
        <v>2463</v>
      </c>
      <c r="F1016" s="1384"/>
      <c r="G1016" s="1384"/>
    </row>
    <row r="1017">
      <c r="A1017" s="466">
        <v>3716.0</v>
      </c>
      <c r="B1017" s="467">
        <v>335.0</v>
      </c>
      <c r="C1017" s="305" t="s">
        <v>2464</v>
      </c>
      <c r="F1017" s="1384"/>
      <c r="G1017" s="1384"/>
    </row>
    <row r="1018">
      <c r="A1018" s="466">
        <v>121.0</v>
      </c>
      <c r="B1018" s="467">
        <v>70.0</v>
      </c>
      <c r="C1018" s="305" t="s">
        <v>2465</v>
      </c>
      <c r="F1018" s="1384"/>
      <c r="G1018" s="1384"/>
    </row>
    <row r="1019">
      <c r="A1019" s="466">
        <v>2684.0</v>
      </c>
      <c r="B1019" s="467">
        <v>98.0</v>
      </c>
      <c r="C1019" s="305" t="s">
        <v>2466</v>
      </c>
      <c r="F1019" s="1384"/>
      <c r="G1019" s="1384"/>
    </row>
    <row r="1020">
      <c r="A1020" s="466">
        <v>120.0</v>
      </c>
      <c r="B1020" s="467">
        <v>80.0</v>
      </c>
      <c r="C1020" s="305" t="s">
        <v>2467</v>
      </c>
      <c r="F1020" s="1384"/>
      <c r="G1020" s="1384"/>
    </row>
    <row r="1021">
      <c r="A1021" s="466">
        <v>3163.0</v>
      </c>
      <c r="B1021" s="467">
        <v>98.0</v>
      </c>
      <c r="C1021" s="305" t="s">
        <v>2468</v>
      </c>
      <c r="F1021" s="1384"/>
      <c r="G1021" s="1384"/>
    </row>
    <row r="1022">
      <c r="A1022" s="466">
        <v>2680.0</v>
      </c>
      <c r="B1022" s="467">
        <v>98.0</v>
      </c>
      <c r="C1022" s="305" t="s">
        <v>1139</v>
      </c>
      <c r="F1022" s="1384"/>
      <c r="G1022" s="1384"/>
    </row>
    <row r="1023">
      <c r="A1023" s="466">
        <v>217.0</v>
      </c>
      <c r="B1023" s="467">
        <v>80.0</v>
      </c>
      <c r="C1023" s="305" t="s">
        <v>2469</v>
      </c>
      <c r="F1023" s="1384"/>
      <c r="G1023" s="1384"/>
    </row>
    <row r="1024">
      <c r="A1024" s="466">
        <v>3165.0</v>
      </c>
      <c r="B1024" s="467">
        <v>98.0</v>
      </c>
      <c r="C1024" s="305" t="s">
        <v>731</v>
      </c>
      <c r="F1024" s="1384"/>
      <c r="G1024" s="1384"/>
    </row>
    <row r="1025">
      <c r="A1025" s="466">
        <v>2644.0</v>
      </c>
      <c r="B1025" s="467">
        <v>80.0</v>
      </c>
      <c r="C1025" s="305" t="s">
        <v>2470</v>
      </c>
      <c r="F1025" s="1384"/>
      <c r="G1025" s="1384"/>
    </row>
    <row r="1026">
      <c r="A1026" s="466">
        <v>2667.0</v>
      </c>
      <c r="B1026" s="467">
        <v>98.0</v>
      </c>
      <c r="C1026" s="305" t="s">
        <v>2471</v>
      </c>
      <c r="F1026" s="1384"/>
      <c r="G1026" s="1384"/>
    </row>
    <row r="1027">
      <c r="A1027" s="466">
        <v>1828.0</v>
      </c>
      <c r="B1027" s="467">
        <v>80.0</v>
      </c>
      <c r="C1027" s="305" t="s">
        <v>2472</v>
      </c>
      <c r="F1027" s="1384"/>
      <c r="G1027" s="1384"/>
    </row>
    <row r="1028">
      <c r="A1028" s="466">
        <v>3283.0</v>
      </c>
      <c r="B1028" s="1403">
        <v>0.0</v>
      </c>
      <c r="C1028" s="305" t="s">
        <v>2473</v>
      </c>
      <c r="F1028" s="1384"/>
      <c r="G1028" s="1384"/>
    </row>
    <row r="1029">
      <c r="A1029" s="466">
        <v>3261.0</v>
      </c>
      <c r="B1029" s="467">
        <v>80.0</v>
      </c>
      <c r="C1029" s="305" t="s">
        <v>2474</v>
      </c>
      <c r="F1029" s="1384"/>
      <c r="G1029" s="1384"/>
    </row>
    <row r="1030">
      <c r="A1030" s="466">
        <v>3260.0</v>
      </c>
      <c r="B1030" s="467">
        <v>98.0</v>
      </c>
      <c r="C1030" s="305" t="s">
        <v>1249</v>
      </c>
      <c r="F1030" s="1384"/>
      <c r="G1030" s="1384"/>
    </row>
    <row r="1031">
      <c r="A1031" s="466">
        <v>3279.0</v>
      </c>
      <c r="B1031" s="467">
        <v>98.0</v>
      </c>
      <c r="C1031" s="305" t="s">
        <v>2476</v>
      </c>
      <c r="F1031" s="1384"/>
      <c r="G1031" s="1384"/>
    </row>
    <row r="1032">
      <c r="A1032" s="466">
        <v>3593.0</v>
      </c>
      <c r="B1032" s="467">
        <v>198.0</v>
      </c>
      <c r="C1032" s="305" t="s">
        <v>2477</v>
      </c>
      <c r="F1032" s="1384"/>
      <c r="G1032" s="1384"/>
    </row>
    <row r="1033">
      <c r="A1033" s="466">
        <v>1084.0</v>
      </c>
      <c r="B1033" s="467">
        <v>80.0</v>
      </c>
      <c r="C1033" s="305" t="s">
        <v>2478</v>
      </c>
      <c r="F1033" s="1384"/>
      <c r="G1033" s="1384"/>
    </row>
    <row r="1034">
      <c r="A1034" s="466">
        <v>2731.0</v>
      </c>
      <c r="B1034" s="467">
        <v>98.0</v>
      </c>
      <c r="C1034" s="305" t="s">
        <v>2479</v>
      </c>
      <c r="F1034" s="1384"/>
      <c r="G1034" s="1384"/>
    </row>
    <row r="1035">
      <c r="A1035" s="466">
        <v>1829.0</v>
      </c>
      <c r="B1035" s="467">
        <v>80.0</v>
      </c>
      <c r="C1035" s="305" t="s">
        <v>2480</v>
      </c>
      <c r="F1035" s="1384"/>
      <c r="G1035" s="1384"/>
    </row>
    <row r="1036">
      <c r="A1036" s="466">
        <v>2821.0</v>
      </c>
      <c r="B1036" s="467">
        <v>80.0</v>
      </c>
      <c r="C1036" s="305" t="s">
        <v>2481</v>
      </c>
      <c r="F1036" s="1384"/>
      <c r="G1036" s="1384"/>
    </row>
    <row r="1037">
      <c r="A1037" s="466">
        <v>3149.0</v>
      </c>
      <c r="B1037" s="467">
        <v>98.0</v>
      </c>
      <c r="C1037" s="305" t="s">
        <v>3029</v>
      </c>
      <c r="F1037" s="1384"/>
      <c r="G1037" s="1384"/>
    </row>
    <row r="1038">
      <c r="A1038" s="466">
        <v>147.0</v>
      </c>
      <c r="B1038" s="467">
        <v>55.0</v>
      </c>
      <c r="C1038" s="305" t="s">
        <v>2483</v>
      </c>
      <c r="F1038" s="1384"/>
      <c r="G1038" s="1384"/>
    </row>
    <row r="1039">
      <c r="A1039" s="466">
        <v>889.0</v>
      </c>
      <c r="B1039" s="467">
        <v>80.0</v>
      </c>
      <c r="C1039" s="305" t="s">
        <v>2484</v>
      </c>
      <c r="F1039" s="1384"/>
      <c r="G1039" s="1384"/>
    </row>
    <row r="1040">
      <c r="A1040" s="466">
        <v>2010.0</v>
      </c>
      <c r="B1040" s="467">
        <v>80.0</v>
      </c>
      <c r="C1040" s="305" t="s">
        <v>2485</v>
      </c>
      <c r="F1040" s="1384"/>
      <c r="G1040" s="1384"/>
    </row>
    <row r="1041">
      <c r="A1041" s="466">
        <v>2724.0</v>
      </c>
      <c r="B1041" s="467">
        <v>98.0</v>
      </c>
      <c r="C1041" s="305" t="s">
        <v>2486</v>
      </c>
      <c r="F1041" s="1384"/>
      <c r="G1041" s="1384"/>
    </row>
    <row r="1042">
      <c r="A1042" s="466">
        <v>3657.0</v>
      </c>
      <c r="B1042" s="467">
        <v>98.0</v>
      </c>
      <c r="C1042" s="305" t="s">
        <v>1126</v>
      </c>
      <c r="F1042" s="1384"/>
      <c r="G1042" s="1384"/>
    </row>
    <row r="1043">
      <c r="A1043" s="466">
        <v>1096.0</v>
      </c>
      <c r="B1043" s="467">
        <v>70.0</v>
      </c>
      <c r="C1043" s="305" t="s">
        <v>2487</v>
      </c>
      <c r="F1043" s="1384"/>
      <c r="G1043" s="1384"/>
    </row>
    <row r="1044">
      <c r="A1044" s="466">
        <v>2337.0</v>
      </c>
      <c r="B1044" s="467">
        <v>80.0</v>
      </c>
      <c r="C1044" s="305" t="s">
        <v>2488</v>
      </c>
      <c r="F1044" s="1384"/>
      <c r="G1044" s="1384"/>
    </row>
    <row r="1045">
      <c r="A1045" s="466">
        <v>2642.0</v>
      </c>
      <c r="B1045" s="467">
        <v>80.0</v>
      </c>
      <c r="C1045" s="305" t="s">
        <v>2489</v>
      </c>
      <c r="F1045" s="1384"/>
      <c r="G1045" s="1384"/>
    </row>
    <row r="1046">
      <c r="A1046" s="466">
        <v>3577.0</v>
      </c>
      <c r="B1046" s="467">
        <v>165.0</v>
      </c>
      <c r="C1046" s="305" t="s">
        <v>2490</v>
      </c>
      <c r="F1046" s="1384"/>
      <c r="G1046" s="1384"/>
    </row>
    <row r="1047">
      <c r="A1047" s="466">
        <v>1003.0</v>
      </c>
      <c r="B1047" s="467">
        <v>70.0</v>
      </c>
      <c r="C1047" s="305" t="s">
        <v>2491</v>
      </c>
      <c r="F1047" s="1384"/>
      <c r="G1047" s="1384"/>
    </row>
    <row r="1048">
      <c r="A1048" s="466">
        <v>1843.0</v>
      </c>
      <c r="B1048" s="467">
        <v>80.0</v>
      </c>
      <c r="C1048" s="305" t="s">
        <v>2492</v>
      </c>
      <c r="F1048" s="1384"/>
      <c r="G1048" s="1384"/>
    </row>
    <row r="1049">
      <c r="A1049" s="466">
        <v>2816.0</v>
      </c>
      <c r="B1049" s="467">
        <v>98.0</v>
      </c>
      <c r="C1049" s="305" t="s">
        <v>2493</v>
      </c>
      <c r="F1049" s="1384"/>
      <c r="G1049" s="1384"/>
    </row>
    <row r="1050">
      <c r="A1050" s="466">
        <v>2815.0</v>
      </c>
      <c r="B1050" s="467">
        <v>80.0</v>
      </c>
      <c r="C1050" s="305" t="s">
        <v>2494</v>
      </c>
      <c r="F1050" s="1384"/>
      <c r="G1050" s="1384"/>
    </row>
    <row r="1051">
      <c r="A1051" s="466">
        <v>3180.0</v>
      </c>
      <c r="B1051" s="467">
        <v>98.0</v>
      </c>
      <c r="C1051" s="305" t="s">
        <v>466</v>
      </c>
      <c r="F1051" s="1384"/>
      <c r="G1051" s="1384"/>
    </row>
    <row r="1052">
      <c r="A1052" s="466">
        <v>2998.0</v>
      </c>
      <c r="B1052" s="467">
        <v>80.0</v>
      </c>
      <c r="C1052" s="305" t="s">
        <v>2495</v>
      </c>
      <c r="F1052" s="1384"/>
      <c r="G1052" s="1384"/>
    </row>
    <row r="1053">
      <c r="A1053" s="466">
        <v>3323.0</v>
      </c>
      <c r="B1053" s="467">
        <v>98.0</v>
      </c>
      <c r="C1053" s="305" t="s">
        <v>378</v>
      </c>
      <c r="F1053" s="1384"/>
      <c r="G1053" s="1384"/>
    </row>
    <row r="1054">
      <c r="A1054" s="466">
        <v>3399.0</v>
      </c>
      <c r="B1054" s="467">
        <v>98.0</v>
      </c>
      <c r="C1054" s="305" t="s">
        <v>1128</v>
      </c>
      <c r="F1054" s="1384"/>
      <c r="G1054" s="1384"/>
    </row>
    <row r="1055">
      <c r="A1055" s="466">
        <v>562.0</v>
      </c>
      <c r="B1055" s="467">
        <v>80.0</v>
      </c>
      <c r="C1055" s="305" t="s">
        <v>2497</v>
      </c>
      <c r="F1055" s="1384"/>
      <c r="G1055" s="1384"/>
    </row>
    <row r="1056">
      <c r="A1056" s="466">
        <v>233.0</v>
      </c>
      <c r="B1056" s="467">
        <v>80.0</v>
      </c>
      <c r="C1056" s="305" t="s">
        <v>2498</v>
      </c>
      <c r="F1056" s="1384"/>
      <c r="G1056" s="1384"/>
    </row>
    <row r="1057">
      <c r="A1057" s="466">
        <v>3092.0</v>
      </c>
      <c r="B1057" s="467">
        <v>165.0</v>
      </c>
      <c r="C1057" s="305" t="s">
        <v>1113</v>
      </c>
      <c r="F1057" s="1384"/>
      <c r="G1057" s="1384"/>
    </row>
    <row r="1058">
      <c r="A1058" s="466">
        <v>1450.0</v>
      </c>
      <c r="B1058" s="467">
        <v>198.0</v>
      </c>
      <c r="C1058" s="305" t="s">
        <v>1111</v>
      </c>
      <c r="F1058" s="1384"/>
      <c r="G1058" s="1384"/>
    </row>
    <row r="1059">
      <c r="A1059" s="466">
        <v>2681.0</v>
      </c>
      <c r="B1059" s="467">
        <v>98.0</v>
      </c>
      <c r="C1059" s="305" t="s">
        <v>2499</v>
      </c>
      <c r="F1059" s="1384"/>
      <c r="G1059" s="1384"/>
    </row>
    <row r="1060">
      <c r="A1060" s="466">
        <v>435.0</v>
      </c>
      <c r="B1060" s="467">
        <v>80.0</v>
      </c>
      <c r="C1060" s="305" t="s">
        <v>2500</v>
      </c>
      <c r="F1060" s="1384"/>
      <c r="G1060" s="1384"/>
    </row>
    <row r="1061">
      <c r="A1061" s="466">
        <v>3112.0</v>
      </c>
      <c r="B1061" s="467">
        <v>98.0</v>
      </c>
      <c r="C1061" s="305" t="s">
        <v>2501</v>
      </c>
      <c r="F1061" s="1384"/>
      <c r="G1061" s="1384"/>
    </row>
    <row r="1062">
      <c r="A1062" s="466">
        <v>2809.0</v>
      </c>
      <c r="B1062" s="467">
        <v>80.0</v>
      </c>
      <c r="C1062" s="305" t="s">
        <v>2503</v>
      </c>
      <c r="F1062" s="1384"/>
      <c r="G1062" s="1384"/>
    </row>
    <row r="1063">
      <c r="A1063" s="466">
        <v>2881.0</v>
      </c>
      <c r="B1063" s="467">
        <v>98.0</v>
      </c>
      <c r="C1063" s="305" t="s">
        <v>2505</v>
      </c>
      <c r="F1063" s="1384"/>
      <c r="G1063" s="1384"/>
    </row>
    <row r="1064">
      <c r="A1064" s="466">
        <v>13.0</v>
      </c>
      <c r="B1064" s="467">
        <v>80.0</v>
      </c>
      <c r="C1064" s="305" t="s">
        <v>2506</v>
      </c>
      <c r="F1064" s="1384"/>
      <c r="G1064" s="1384"/>
    </row>
    <row r="1065">
      <c r="A1065" s="466">
        <v>2666.0</v>
      </c>
      <c r="B1065" s="467">
        <v>80.0</v>
      </c>
      <c r="C1065" s="305" t="s">
        <v>2507</v>
      </c>
      <c r="F1065" s="1384"/>
      <c r="G1065" s="1384"/>
    </row>
    <row r="1066">
      <c r="A1066" s="466">
        <v>2825.0</v>
      </c>
      <c r="B1066" s="467">
        <v>80.0</v>
      </c>
      <c r="C1066" s="305" t="s">
        <v>2508</v>
      </c>
      <c r="F1066" s="1384"/>
      <c r="G1066" s="1384"/>
    </row>
    <row r="1067">
      <c r="A1067" s="466">
        <v>3067.0</v>
      </c>
      <c r="B1067" s="467">
        <v>98.0</v>
      </c>
      <c r="C1067" s="305" t="s">
        <v>2509</v>
      </c>
      <c r="F1067" s="1384"/>
      <c r="G1067" s="1384"/>
    </row>
    <row r="1068">
      <c r="A1068" s="466">
        <v>2845.0</v>
      </c>
      <c r="B1068" s="467">
        <v>98.0</v>
      </c>
      <c r="C1068" s="305" t="s">
        <v>2510</v>
      </c>
      <c r="F1068" s="1384"/>
      <c r="G1068" s="1384"/>
    </row>
    <row r="1069">
      <c r="A1069" s="466">
        <v>3278.0</v>
      </c>
      <c r="B1069" s="467">
        <v>80.0</v>
      </c>
      <c r="C1069" s="305" t="s">
        <v>2512</v>
      </c>
      <c r="F1069" s="1384"/>
      <c r="G1069" s="1384"/>
    </row>
    <row r="1070">
      <c r="A1070" s="466">
        <v>3277.0</v>
      </c>
      <c r="B1070" s="467">
        <v>98.0</v>
      </c>
      <c r="C1070" s="305" t="s">
        <v>2513</v>
      </c>
      <c r="F1070" s="1384"/>
      <c r="G1070" s="1384"/>
    </row>
    <row r="1071">
      <c r="A1071" s="466">
        <v>3284.0</v>
      </c>
      <c r="B1071" s="467">
        <v>98.0</v>
      </c>
      <c r="C1071" s="305" t="s">
        <v>2514</v>
      </c>
      <c r="F1071" s="1384"/>
      <c r="G1071" s="1384"/>
    </row>
    <row r="1072">
      <c r="A1072" s="466">
        <v>1413.0</v>
      </c>
      <c r="B1072" s="467">
        <v>80.0</v>
      </c>
      <c r="C1072" s="305" t="s">
        <v>2515</v>
      </c>
      <c r="F1072" s="1384"/>
      <c r="G1072" s="1384"/>
    </row>
    <row r="1073">
      <c r="A1073" s="466">
        <v>3173.0</v>
      </c>
      <c r="B1073" s="467">
        <v>98.0</v>
      </c>
      <c r="C1073" s="305" t="s">
        <v>1109</v>
      </c>
      <c r="F1073" s="1384"/>
      <c r="G1073" s="1384"/>
    </row>
    <row r="1074">
      <c r="A1074" s="466">
        <v>3050.0</v>
      </c>
      <c r="B1074" s="467">
        <v>80.0</v>
      </c>
      <c r="C1074" s="305" t="s">
        <v>2516</v>
      </c>
      <c r="F1074" s="1384"/>
      <c r="G1074" s="1384"/>
    </row>
    <row r="1075">
      <c r="A1075" s="466">
        <v>3085.0</v>
      </c>
      <c r="B1075" s="467">
        <v>98.0</v>
      </c>
      <c r="C1075" s="305" t="s">
        <v>2517</v>
      </c>
      <c r="F1075" s="1384"/>
      <c r="G1075" s="1384"/>
    </row>
    <row r="1076">
      <c r="A1076" s="466">
        <v>2003.0</v>
      </c>
      <c r="B1076" s="467">
        <v>80.0</v>
      </c>
      <c r="C1076" s="305" t="s">
        <v>2518</v>
      </c>
      <c r="F1076" s="1384"/>
      <c r="G1076" s="1384"/>
    </row>
    <row r="1077">
      <c r="A1077" s="466">
        <v>3027.0</v>
      </c>
      <c r="B1077" s="467">
        <v>180.0</v>
      </c>
      <c r="C1077" s="305" t="s">
        <v>2519</v>
      </c>
      <c r="F1077" s="1384"/>
      <c r="G1077" s="1384"/>
    </row>
    <row r="1078">
      <c r="A1078" s="466">
        <v>1823.0</v>
      </c>
      <c r="B1078" s="467">
        <v>80.0</v>
      </c>
      <c r="C1078" s="305" t="s">
        <v>2520</v>
      </c>
      <c r="F1078" s="1384"/>
      <c r="G1078" s="1384"/>
    </row>
    <row r="1079">
      <c r="A1079" s="466">
        <v>119.0</v>
      </c>
      <c r="B1079" s="467">
        <v>70.0</v>
      </c>
      <c r="C1079" s="305" t="s">
        <v>2521</v>
      </c>
      <c r="F1079" s="1384"/>
      <c r="G1079" s="1384"/>
    </row>
    <row r="1080">
      <c r="A1080" s="466">
        <v>3076.0</v>
      </c>
      <c r="B1080" s="467">
        <v>98.0</v>
      </c>
      <c r="C1080" s="305" t="s">
        <v>89</v>
      </c>
      <c r="F1080" s="1384"/>
      <c r="G1080" s="1384"/>
    </row>
    <row r="1081">
      <c r="A1081" s="466">
        <v>32.0</v>
      </c>
      <c r="B1081" s="467">
        <v>80.0</v>
      </c>
      <c r="C1081" s="305" t="s">
        <v>2522</v>
      </c>
      <c r="F1081" s="1384"/>
      <c r="G1081" s="1384"/>
    </row>
    <row r="1082">
      <c r="A1082" s="466">
        <v>2267.0</v>
      </c>
      <c r="B1082" s="467">
        <v>98.0</v>
      </c>
      <c r="C1082" s="305" t="s">
        <v>2523</v>
      </c>
      <c r="F1082" s="1384"/>
      <c r="G1082" s="1384"/>
    </row>
    <row r="1083">
      <c r="A1083" s="466">
        <v>30.0</v>
      </c>
      <c r="B1083" s="467">
        <v>80.0</v>
      </c>
      <c r="C1083" s="305" t="s">
        <v>2524</v>
      </c>
      <c r="F1083" s="1384"/>
      <c r="G1083" s="1384"/>
    </row>
    <row r="1084">
      <c r="A1084" s="466">
        <v>2688.0</v>
      </c>
      <c r="B1084" s="467">
        <v>98.0</v>
      </c>
      <c r="C1084" s="305" t="s">
        <v>2525</v>
      </c>
      <c r="F1084" s="1384"/>
      <c r="G1084" s="1384"/>
    </row>
    <row r="1085">
      <c r="A1085" s="466">
        <v>1156.0</v>
      </c>
      <c r="B1085" s="467">
        <v>80.0</v>
      </c>
      <c r="C1085" s="305" t="s">
        <v>2526</v>
      </c>
      <c r="F1085" s="1384"/>
      <c r="G1085" s="1384"/>
    </row>
    <row r="1086">
      <c r="A1086" s="466">
        <v>3272.0</v>
      </c>
      <c r="B1086" s="467">
        <v>88.0</v>
      </c>
      <c r="C1086" s="305" t="s">
        <v>2527</v>
      </c>
      <c r="F1086" s="1384"/>
      <c r="G1086" s="1384"/>
    </row>
    <row r="1087">
      <c r="A1087" s="466">
        <v>3271.0</v>
      </c>
      <c r="B1087" s="467">
        <v>98.0</v>
      </c>
      <c r="C1087" s="305" t="s">
        <v>2528</v>
      </c>
      <c r="F1087" s="1384"/>
      <c r="G1087" s="1384"/>
    </row>
    <row r="1088">
      <c r="A1088" s="466">
        <v>3285.0</v>
      </c>
      <c r="B1088" s="467">
        <v>98.0</v>
      </c>
      <c r="C1088" s="305" t="s">
        <v>2529</v>
      </c>
      <c r="F1088" s="1384"/>
      <c r="G1088" s="1384"/>
    </row>
    <row r="1089">
      <c r="A1089" s="466">
        <v>2788.0</v>
      </c>
      <c r="B1089" s="467">
        <v>80.0</v>
      </c>
      <c r="C1089" s="305" t="s">
        <v>2530</v>
      </c>
      <c r="F1089" s="1384"/>
      <c r="G1089" s="1384"/>
    </row>
    <row r="1090">
      <c r="A1090" s="466">
        <v>2818.0</v>
      </c>
      <c r="B1090" s="467">
        <v>98.0</v>
      </c>
      <c r="C1090" s="305" t="s">
        <v>2531</v>
      </c>
      <c r="F1090" s="1384"/>
      <c r="G1090" s="1384"/>
    </row>
    <row r="1091">
      <c r="A1091" s="466">
        <v>105.0</v>
      </c>
      <c r="B1091" s="467">
        <v>70.0</v>
      </c>
      <c r="C1091" s="305" t="s">
        <v>2532</v>
      </c>
      <c r="F1091" s="1384"/>
      <c r="G1091" s="1384"/>
    </row>
    <row r="1092">
      <c r="A1092" s="466">
        <v>3382.0</v>
      </c>
      <c r="B1092" s="467">
        <v>80.0</v>
      </c>
      <c r="C1092" s="305" t="s">
        <v>2533</v>
      </c>
      <c r="F1092" s="1384"/>
      <c r="G1092" s="1384"/>
    </row>
    <row r="1093">
      <c r="A1093" s="466">
        <v>3381.0</v>
      </c>
      <c r="B1093" s="467">
        <v>98.0</v>
      </c>
      <c r="C1093" s="305" t="s">
        <v>2534</v>
      </c>
      <c r="F1093" s="1384"/>
      <c r="G1093" s="1384"/>
    </row>
    <row r="1094">
      <c r="A1094" s="466">
        <v>3670.0</v>
      </c>
      <c r="B1094" s="467">
        <v>98.0</v>
      </c>
      <c r="C1094" s="305" t="s">
        <v>2535</v>
      </c>
      <c r="F1094" s="1384"/>
      <c r="G1094" s="1384"/>
    </row>
    <row r="1095">
      <c r="A1095" s="466">
        <v>1160.0</v>
      </c>
      <c r="B1095" s="917">
        <v>98.0</v>
      </c>
      <c r="C1095" s="305" t="s">
        <v>449</v>
      </c>
      <c r="F1095" s="1384"/>
      <c r="G1095" s="1384"/>
    </row>
    <row r="1096">
      <c r="A1096" s="466">
        <v>1978.0</v>
      </c>
      <c r="B1096" s="467">
        <v>95.0</v>
      </c>
      <c r="C1096" s="305" t="s">
        <v>2538</v>
      </c>
      <c r="F1096" s="1384"/>
      <c r="G1096" s="1384"/>
    </row>
    <row r="1097">
      <c r="A1097" s="466">
        <v>3651.0</v>
      </c>
      <c r="B1097" s="467">
        <v>98.0</v>
      </c>
      <c r="C1097" s="305" t="s">
        <v>1131</v>
      </c>
      <c r="F1097" s="1384"/>
      <c r="G1097" s="1384"/>
    </row>
    <row r="1098">
      <c r="A1098" s="466">
        <v>31.0</v>
      </c>
      <c r="B1098" s="467">
        <v>98.0</v>
      </c>
      <c r="C1098" s="305" t="s">
        <v>453</v>
      </c>
      <c r="F1098" s="1384"/>
      <c r="G1098" s="1384"/>
    </row>
    <row r="1099">
      <c r="A1099" s="466">
        <v>2689.0</v>
      </c>
      <c r="B1099" s="467">
        <v>98.0</v>
      </c>
      <c r="C1099" s="305" t="s">
        <v>2539</v>
      </c>
      <c r="F1099" s="1384"/>
      <c r="G1099" s="1384"/>
    </row>
    <row r="1100">
      <c r="A1100" s="466">
        <v>3257.0</v>
      </c>
      <c r="B1100" s="467">
        <v>80.0</v>
      </c>
      <c r="C1100" s="305" t="s">
        <v>2540</v>
      </c>
      <c r="F1100" s="1384"/>
      <c r="G1100" s="1384"/>
    </row>
    <row r="1101">
      <c r="A1101" s="466">
        <v>3256.0</v>
      </c>
      <c r="B1101" s="467">
        <v>98.0</v>
      </c>
      <c r="C1101" s="305" t="s">
        <v>2541</v>
      </c>
      <c r="F1101" s="1384"/>
      <c r="G1101" s="1384"/>
    </row>
    <row r="1102">
      <c r="A1102" s="466">
        <v>3265.0</v>
      </c>
      <c r="B1102" s="467">
        <v>98.0</v>
      </c>
      <c r="C1102" s="305" t="s">
        <v>2542</v>
      </c>
      <c r="F1102" s="1384"/>
      <c r="G1102" s="1384"/>
    </row>
    <row r="1103">
      <c r="A1103" s="466">
        <v>3370.0</v>
      </c>
      <c r="B1103" s="467">
        <v>88.0</v>
      </c>
      <c r="C1103" s="305" t="s">
        <v>2543</v>
      </c>
      <c r="F1103" s="1384"/>
      <c r="G1103" s="1384"/>
    </row>
    <row r="1104">
      <c r="A1104" s="466">
        <v>3371.0</v>
      </c>
      <c r="B1104" s="467">
        <v>98.0</v>
      </c>
      <c r="C1104" s="305" t="s">
        <v>2544</v>
      </c>
      <c r="F1104" s="1384"/>
      <c r="G1104" s="1384"/>
    </row>
    <row r="1105">
      <c r="A1105" s="466">
        <v>553.0</v>
      </c>
      <c r="B1105" s="467">
        <v>80.0</v>
      </c>
      <c r="C1105" s="305" t="s">
        <v>2545</v>
      </c>
      <c r="F1105" s="1384"/>
      <c r="G1105" s="1384"/>
    </row>
    <row r="1106">
      <c r="A1106" s="466">
        <v>3668.0</v>
      </c>
      <c r="B1106" s="467">
        <v>98.0</v>
      </c>
      <c r="C1106" s="305" t="s">
        <v>1133</v>
      </c>
      <c r="F1106" s="1384"/>
      <c r="G1106" s="1384"/>
    </row>
    <row r="1107">
      <c r="A1107" s="466">
        <v>968.0</v>
      </c>
      <c r="B1107" s="467">
        <v>70.0</v>
      </c>
      <c r="C1107" s="305" t="s">
        <v>2546</v>
      </c>
      <c r="F1107" s="1384"/>
      <c r="G1107" s="1384"/>
    </row>
    <row r="1108">
      <c r="A1108" s="466">
        <v>2548.0</v>
      </c>
      <c r="B1108" s="467">
        <v>98.0</v>
      </c>
      <c r="C1108" s="305" t="s">
        <v>2547</v>
      </c>
      <c r="F1108" s="1384"/>
      <c r="G1108" s="1384"/>
    </row>
    <row r="1109">
      <c r="A1109" s="466">
        <v>2512.0</v>
      </c>
      <c r="B1109" s="467">
        <v>80.0</v>
      </c>
      <c r="C1109" s="305" t="s">
        <v>2548</v>
      </c>
      <c r="F1109" s="1384"/>
      <c r="G1109" s="1384"/>
    </row>
    <row r="1110">
      <c r="A1110" s="466">
        <v>3134.0</v>
      </c>
      <c r="B1110" s="467">
        <v>98.0</v>
      </c>
      <c r="C1110" s="305" t="s">
        <v>2549</v>
      </c>
      <c r="F1110" s="1384"/>
      <c r="G1110" s="1384"/>
    </row>
    <row r="1111">
      <c r="A1111" s="466">
        <v>1077.0</v>
      </c>
      <c r="B1111" s="467">
        <v>70.0</v>
      </c>
      <c r="C1111" s="305" t="s">
        <v>2550</v>
      </c>
      <c r="F1111" s="1384"/>
      <c r="G1111" s="1384"/>
    </row>
    <row r="1112">
      <c r="A1112" s="466">
        <v>1019.0</v>
      </c>
      <c r="B1112" s="467">
        <v>70.0</v>
      </c>
      <c r="C1112" s="305" t="s">
        <v>2551</v>
      </c>
      <c r="F1112" s="1384"/>
      <c r="G1112" s="1384"/>
    </row>
    <row r="1113">
      <c r="A1113" s="466">
        <v>66.0</v>
      </c>
      <c r="B1113" s="467">
        <v>80.0</v>
      </c>
      <c r="C1113" s="305" t="s">
        <v>2552</v>
      </c>
      <c r="F1113" s="1384"/>
      <c r="G1113" s="1384"/>
    </row>
    <row r="1114">
      <c r="A1114" s="466">
        <v>1014.0</v>
      </c>
      <c r="B1114" s="467">
        <v>70.0</v>
      </c>
      <c r="C1114" s="305" t="s">
        <v>2553</v>
      </c>
      <c r="F1114" s="1384"/>
      <c r="G1114" s="1384"/>
    </row>
    <row r="1115">
      <c r="A1115" s="466">
        <v>2903.0</v>
      </c>
      <c r="B1115" s="467">
        <v>98.0</v>
      </c>
      <c r="C1115" s="305" t="s">
        <v>2554</v>
      </c>
      <c r="F1115" s="1384"/>
      <c r="G1115" s="1384"/>
    </row>
    <row r="1116">
      <c r="A1116" s="466">
        <v>2902.0</v>
      </c>
      <c r="B1116" s="467">
        <v>80.0</v>
      </c>
      <c r="C1116" s="305" t="s">
        <v>2555</v>
      </c>
      <c r="F1116" s="1384"/>
      <c r="G1116" s="1384"/>
    </row>
    <row r="1117">
      <c r="A1117" s="466">
        <v>3078.0</v>
      </c>
      <c r="B1117" s="467">
        <v>98.0</v>
      </c>
      <c r="C1117" s="305" t="s">
        <v>2556</v>
      </c>
      <c r="F1117" s="1384"/>
      <c r="G1117" s="1384"/>
    </row>
    <row r="1118">
      <c r="A1118" s="466">
        <v>913.0</v>
      </c>
      <c r="B1118" s="467">
        <v>70.0</v>
      </c>
      <c r="C1118" s="305" t="s">
        <v>2557</v>
      </c>
      <c r="F1118" s="1384"/>
      <c r="G1118" s="1384"/>
    </row>
    <row r="1119">
      <c r="A1119" s="466">
        <v>3243.0</v>
      </c>
      <c r="B1119" s="467">
        <v>202.0</v>
      </c>
      <c r="C1119" s="305" t="s">
        <v>2558</v>
      </c>
      <c r="F1119" s="1384"/>
      <c r="G1119" s="1384"/>
    </row>
    <row r="1120">
      <c r="A1120" s="466">
        <v>2572.0</v>
      </c>
      <c r="B1120" s="467">
        <v>90.0</v>
      </c>
      <c r="C1120" s="305" t="s">
        <v>2559</v>
      </c>
      <c r="F1120" s="1384"/>
      <c r="G1120" s="1384"/>
    </row>
    <row r="1121">
      <c r="A1121" s="466">
        <v>1979.0</v>
      </c>
      <c r="B1121" s="467">
        <v>80.0</v>
      </c>
      <c r="C1121" s="305" t="s">
        <v>2560</v>
      </c>
      <c r="F1121" s="1384"/>
      <c r="G1121" s="1384"/>
    </row>
    <row r="1122">
      <c r="A1122" s="466">
        <v>2865.0</v>
      </c>
      <c r="B1122" s="467">
        <v>90.0</v>
      </c>
      <c r="C1122" s="305" t="s">
        <v>2561</v>
      </c>
      <c r="F1122" s="1384"/>
      <c r="G1122" s="1384"/>
    </row>
    <row r="1123">
      <c r="A1123" s="466">
        <v>2741.0</v>
      </c>
      <c r="B1123" s="467">
        <v>80.0</v>
      </c>
      <c r="C1123" s="305" t="s">
        <v>2562</v>
      </c>
      <c r="F1123" s="1384"/>
      <c r="G1123" s="1384"/>
    </row>
    <row r="1124">
      <c r="A1124" s="466">
        <v>2661.0</v>
      </c>
      <c r="B1124" s="467">
        <v>80.0</v>
      </c>
      <c r="C1124" s="305" t="s">
        <v>2563</v>
      </c>
      <c r="F1124" s="1384"/>
      <c r="G1124" s="1384"/>
    </row>
    <row r="1125">
      <c r="A1125" s="466">
        <v>2638.0</v>
      </c>
      <c r="B1125" s="467">
        <v>98.0</v>
      </c>
      <c r="C1125" s="305" t="s">
        <v>2564</v>
      </c>
      <c r="F1125" s="1384"/>
      <c r="G1125" s="1384"/>
    </row>
    <row r="1126">
      <c r="A1126" s="466">
        <v>3004.0</v>
      </c>
      <c r="B1126" s="467">
        <v>80.0</v>
      </c>
      <c r="C1126" s="305" t="s">
        <v>3030</v>
      </c>
      <c r="F1126" s="1384"/>
      <c r="G1126" s="1384"/>
    </row>
    <row r="1127">
      <c r="A1127" s="466">
        <v>135.0</v>
      </c>
      <c r="B1127" s="467">
        <v>98.0</v>
      </c>
      <c r="C1127" s="305" t="s">
        <v>2566</v>
      </c>
      <c r="F1127" s="1384"/>
      <c r="G1127" s="1384"/>
    </row>
    <row r="1128">
      <c r="A1128" s="466">
        <v>3519.0</v>
      </c>
      <c r="B1128" s="467">
        <v>160.0</v>
      </c>
      <c r="C1128" s="305" t="s">
        <v>582</v>
      </c>
      <c r="F1128" s="1384"/>
      <c r="G1128" s="1384"/>
    </row>
    <row r="1129">
      <c r="A1129" s="466">
        <v>1822.0</v>
      </c>
      <c r="B1129" s="467">
        <v>80.0</v>
      </c>
      <c r="C1129" s="305" t="s">
        <v>2567</v>
      </c>
      <c r="F1129" s="1384"/>
      <c r="G1129" s="1384"/>
    </row>
    <row r="1130">
      <c r="A1130" s="466">
        <v>3175.0</v>
      </c>
      <c r="B1130" s="467">
        <v>98.0</v>
      </c>
      <c r="C1130" s="305" t="s">
        <v>2568</v>
      </c>
      <c r="F1130" s="1384"/>
      <c r="G1130" s="1384"/>
    </row>
    <row r="1131">
      <c r="A1131" s="466">
        <v>2678.0</v>
      </c>
      <c r="B1131" s="467">
        <v>98.0</v>
      </c>
      <c r="C1131" s="305" t="s">
        <v>2569</v>
      </c>
      <c r="F1131" s="1384"/>
      <c r="G1131" s="1384"/>
    </row>
    <row r="1132">
      <c r="A1132" s="466">
        <v>3433.0</v>
      </c>
      <c r="B1132" s="467">
        <v>98.0</v>
      </c>
      <c r="C1132" s="305" t="s">
        <v>1091</v>
      </c>
      <c r="F1132" s="1384"/>
      <c r="G1132" s="1384"/>
    </row>
    <row r="1133">
      <c r="A1133" s="466">
        <v>3436.0</v>
      </c>
      <c r="B1133" s="467">
        <v>88.0</v>
      </c>
      <c r="C1133" s="305" t="s">
        <v>2570</v>
      </c>
      <c r="F1133" s="1384"/>
      <c r="G1133" s="1384"/>
    </row>
    <row r="1134">
      <c r="A1134" s="466">
        <v>3080.0</v>
      </c>
      <c r="B1134" s="467">
        <v>98.0</v>
      </c>
      <c r="C1134" s="305" t="s">
        <v>411</v>
      </c>
      <c r="F1134" s="1384"/>
      <c r="G1134" s="1384"/>
    </row>
    <row r="1135">
      <c r="A1135" s="466">
        <v>1412.0</v>
      </c>
      <c r="B1135" s="467">
        <v>80.0</v>
      </c>
      <c r="C1135" s="305" t="s">
        <v>2571</v>
      </c>
      <c r="F1135" s="1384"/>
      <c r="G1135" s="1384"/>
    </row>
    <row r="1136">
      <c r="A1136" s="466">
        <v>1004.0</v>
      </c>
      <c r="B1136" s="467">
        <v>70.0</v>
      </c>
      <c r="C1136" s="305" t="s">
        <v>2572</v>
      </c>
      <c r="F1136" s="1384"/>
      <c r="G1136" s="1384"/>
    </row>
    <row r="1137">
      <c r="A1137" s="466">
        <v>2663.0</v>
      </c>
      <c r="B1137" s="467">
        <v>98.0</v>
      </c>
      <c r="C1137" s="305" t="s">
        <v>2573</v>
      </c>
      <c r="F1137" s="1384"/>
      <c r="G1137" s="1384"/>
    </row>
    <row r="1138">
      <c r="A1138" s="466">
        <v>3147.0</v>
      </c>
      <c r="B1138" s="467">
        <v>98.0</v>
      </c>
      <c r="C1138" s="305" t="s">
        <v>405</v>
      </c>
      <c r="F1138" s="1384"/>
      <c r="G1138" s="1384"/>
    </row>
    <row r="1139">
      <c r="A1139" s="466">
        <v>1159.0</v>
      </c>
      <c r="B1139" s="467">
        <v>80.0</v>
      </c>
      <c r="C1139" s="305" t="s">
        <v>2574</v>
      </c>
      <c r="F1139" s="1384"/>
      <c r="G1139" s="1384"/>
    </row>
    <row r="1140">
      <c r="A1140" s="466">
        <v>3216.0</v>
      </c>
      <c r="B1140" s="467">
        <v>98.0</v>
      </c>
      <c r="C1140" s="305" t="s">
        <v>3031</v>
      </c>
      <c r="F1140" s="1384"/>
      <c r="G1140" s="1384"/>
    </row>
    <row r="1141">
      <c r="A1141" s="466">
        <v>3438.0</v>
      </c>
      <c r="B1141" s="467">
        <v>88.0</v>
      </c>
      <c r="C1141" s="305" t="s">
        <v>2575</v>
      </c>
      <c r="F1141" s="1384"/>
      <c r="G1141" s="1384"/>
    </row>
    <row r="1142">
      <c r="A1142" s="466">
        <v>3082.0</v>
      </c>
      <c r="B1142" s="467">
        <v>98.0</v>
      </c>
      <c r="C1142" s="305" t="s">
        <v>1087</v>
      </c>
      <c r="F1142" s="1384"/>
      <c r="G1142" s="1384"/>
    </row>
    <row r="1143">
      <c r="A1143" s="466">
        <v>2685.0</v>
      </c>
      <c r="B1143" s="467">
        <v>98.0</v>
      </c>
      <c r="C1143" s="305" t="s">
        <v>2576</v>
      </c>
      <c r="F1143" s="1384"/>
      <c r="G1143" s="1384"/>
    </row>
    <row r="1144">
      <c r="A1144" s="466">
        <v>1566.0</v>
      </c>
      <c r="B1144" s="467">
        <v>80.0</v>
      </c>
      <c r="C1144" s="305" t="s">
        <v>2577</v>
      </c>
      <c r="F1144" s="1384"/>
      <c r="G1144" s="1384"/>
    </row>
    <row r="1145">
      <c r="A1145" s="466">
        <v>1396.0</v>
      </c>
      <c r="B1145" s="467">
        <v>80.0</v>
      </c>
      <c r="C1145" s="305" t="s">
        <v>2578</v>
      </c>
      <c r="F1145" s="1384"/>
      <c r="G1145" s="1384"/>
    </row>
    <row r="1146">
      <c r="A1146" s="466">
        <v>1013.0</v>
      </c>
      <c r="B1146" s="467">
        <v>80.0</v>
      </c>
      <c r="C1146" s="305" t="s">
        <v>2579</v>
      </c>
      <c r="F1146" s="1384"/>
      <c r="G1146" s="1384"/>
    </row>
    <row r="1147">
      <c r="A1147" s="466">
        <v>3019.0</v>
      </c>
      <c r="B1147" s="467">
        <v>98.0</v>
      </c>
      <c r="C1147" s="305" t="s">
        <v>2580</v>
      </c>
      <c r="F1147" s="1384"/>
      <c r="G1147" s="1384"/>
    </row>
    <row r="1148">
      <c r="A1148" s="466">
        <v>67.0</v>
      </c>
      <c r="B1148" s="467">
        <v>70.0</v>
      </c>
      <c r="C1148" s="305" t="s">
        <v>2581</v>
      </c>
      <c r="F1148" s="1384"/>
      <c r="G1148" s="1384"/>
    </row>
    <row r="1149">
      <c r="A1149" s="466">
        <v>2761.0</v>
      </c>
      <c r="B1149" s="467">
        <v>98.0</v>
      </c>
      <c r="C1149" s="305" t="s">
        <v>2582</v>
      </c>
      <c r="F1149" s="1384"/>
      <c r="G1149" s="1384"/>
    </row>
    <row r="1150">
      <c r="A1150" s="466">
        <v>136.0</v>
      </c>
      <c r="B1150" s="467">
        <v>80.0</v>
      </c>
      <c r="C1150" s="305" t="s">
        <v>2583</v>
      </c>
      <c r="F1150" s="1384"/>
      <c r="G1150" s="1384"/>
    </row>
    <row r="1151">
      <c r="A1151" s="466">
        <v>3061.0</v>
      </c>
      <c r="B1151" s="467">
        <v>98.0</v>
      </c>
      <c r="C1151" s="305" t="s">
        <v>2584</v>
      </c>
      <c r="F1151" s="1384"/>
      <c r="G1151" s="1384"/>
    </row>
    <row r="1152">
      <c r="A1152" s="466">
        <v>585.0</v>
      </c>
      <c r="B1152" s="467">
        <v>70.0</v>
      </c>
      <c r="C1152" s="305" t="s">
        <v>2585</v>
      </c>
      <c r="F1152" s="1384"/>
      <c r="G1152" s="1384"/>
    </row>
    <row r="1153">
      <c r="A1153" s="466">
        <v>47.0</v>
      </c>
      <c r="B1153" s="467">
        <v>98.0</v>
      </c>
      <c r="C1153" s="305" t="s">
        <v>1122</v>
      </c>
      <c r="F1153" s="1384"/>
      <c r="G1153" s="1384"/>
    </row>
    <row r="1154">
      <c r="A1154" s="466">
        <v>2706.0</v>
      </c>
      <c r="B1154" s="467">
        <v>98.0</v>
      </c>
      <c r="C1154" s="305" t="s">
        <v>390</v>
      </c>
      <c r="F1154" s="1384"/>
      <c r="G1154" s="1384"/>
    </row>
    <row r="1155">
      <c r="A1155" s="466">
        <v>62.0</v>
      </c>
      <c r="B1155" s="467">
        <v>80.0</v>
      </c>
      <c r="C1155" s="305" t="s">
        <v>2588</v>
      </c>
      <c r="F1155" s="1384"/>
      <c r="G1155" s="1384"/>
    </row>
    <row r="1156">
      <c r="A1156" s="466">
        <v>109.0</v>
      </c>
      <c r="B1156" s="467">
        <v>80.0</v>
      </c>
      <c r="C1156" s="305" t="s">
        <v>2589</v>
      </c>
      <c r="F1156" s="1384"/>
      <c r="G1156" s="1384"/>
    </row>
    <row r="1157">
      <c r="A1157" s="466">
        <v>3660.0</v>
      </c>
      <c r="B1157" s="467">
        <v>98.0</v>
      </c>
      <c r="C1157" s="305" t="s">
        <v>2590</v>
      </c>
      <c r="F1157" s="1384"/>
      <c r="G1157" s="1384"/>
    </row>
    <row r="1158">
      <c r="A1158" s="466">
        <v>2646.0</v>
      </c>
      <c r="B1158" s="467">
        <v>95.0</v>
      </c>
      <c r="C1158" s="305" t="s">
        <v>2592</v>
      </c>
      <c r="F1158" s="1384"/>
      <c r="G1158" s="1384"/>
    </row>
    <row r="1159">
      <c r="A1159" s="466">
        <v>58.0</v>
      </c>
      <c r="B1159" s="467">
        <v>80.0</v>
      </c>
      <c r="C1159" s="305" t="s">
        <v>2593</v>
      </c>
      <c r="F1159" s="1384"/>
      <c r="G1159" s="1384"/>
    </row>
    <row r="1160">
      <c r="A1160" s="466">
        <v>3170.0</v>
      </c>
      <c r="B1160" s="467">
        <v>98.0</v>
      </c>
      <c r="C1160" s="305" t="s">
        <v>528</v>
      </c>
      <c r="F1160" s="1384"/>
      <c r="G1160" s="1384"/>
    </row>
    <row r="1161">
      <c r="A1161" s="466">
        <v>2529.0</v>
      </c>
      <c r="B1161" s="467">
        <v>99.0</v>
      </c>
      <c r="C1161" s="305" t="s">
        <v>2594</v>
      </c>
      <c r="F1161" s="1384"/>
      <c r="G1161" s="1384"/>
    </row>
    <row r="1162">
      <c r="A1162" s="466">
        <v>2834.0</v>
      </c>
      <c r="B1162" s="467">
        <v>80.0</v>
      </c>
      <c r="C1162" s="305" t="s">
        <v>2595</v>
      </c>
      <c r="F1162" s="1384"/>
      <c r="G1162" s="1384"/>
    </row>
    <row r="1163">
      <c r="A1163" s="466">
        <v>3689.0</v>
      </c>
      <c r="B1163" s="467">
        <v>98.0</v>
      </c>
      <c r="C1163" s="305" t="s">
        <v>1095</v>
      </c>
      <c r="F1163" s="1384"/>
      <c r="G1163" s="1384"/>
    </row>
    <row r="1164">
      <c r="A1164" s="466">
        <v>2625.0</v>
      </c>
      <c r="B1164" s="467">
        <v>296.0</v>
      </c>
      <c r="C1164" s="305" t="s">
        <v>2596</v>
      </c>
      <c r="F1164" s="1384"/>
      <c r="G1164" s="1384"/>
    </row>
    <row r="1165">
      <c r="A1165" s="466">
        <v>378.0</v>
      </c>
      <c r="B1165" s="467">
        <v>98.0</v>
      </c>
      <c r="C1165" s="305" t="s">
        <v>1118</v>
      </c>
      <c r="F1165" s="1384"/>
      <c r="G1165" s="1384"/>
    </row>
    <row r="1166">
      <c r="A1166" s="466">
        <v>2621.0</v>
      </c>
      <c r="B1166" s="467">
        <v>244.0</v>
      </c>
      <c r="C1166" s="305" t="s">
        <v>531</v>
      </c>
      <c r="F1166" s="1384"/>
      <c r="G1166" s="1384"/>
    </row>
    <row r="1167">
      <c r="A1167" s="466">
        <v>2066.0</v>
      </c>
      <c r="B1167" s="467">
        <v>135.0</v>
      </c>
      <c r="C1167" s="305" t="s">
        <v>2597</v>
      </c>
      <c r="F1167" s="1384"/>
      <c r="G1167" s="1384"/>
    </row>
    <row r="1168">
      <c r="A1168" s="466">
        <v>2822.0</v>
      </c>
      <c r="B1168" s="467">
        <v>80.0</v>
      </c>
      <c r="C1168" s="305" t="s">
        <v>2598</v>
      </c>
      <c r="F1168" s="1384"/>
      <c r="G1168" s="1384"/>
    </row>
    <row r="1169">
      <c r="A1169" s="466">
        <v>2970.0</v>
      </c>
      <c r="B1169" s="467">
        <v>98.0</v>
      </c>
      <c r="C1169" s="305" t="s">
        <v>2599</v>
      </c>
      <c r="F1169" s="1384"/>
      <c r="G1169" s="1384"/>
    </row>
    <row r="1170">
      <c r="A1170" s="466">
        <v>1842.0</v>
      </c>
      <c r="B1170" s="467">
        <v>80.0</v>
      </c>
      <c r="C1170" s="305" t="s">
        <v>2600</v>
      </c>
      <c r="F1170" s="1384"/>
      <c r="G1170" s="1384"/>
    </row>
    <row r="1171">
      <c r="A1171" s="466">
        <v>3394.0</v>
      </c>
      <c r="B1171" s="467">
        <v>98.0</v>
      </c>
      <c r="C1171" s="305" t="s">
        <v>2601</v>
      </c>
      <c r="F1171" s="1384"/>
      <c r="G1171" s="1384"/>
    </row>
    <row r="1172">
      <c r="A1172" s="466">
        <v>3393.0</v>
      </c>
      <c r="B1172" s="1403">
        <v>0.0</v>
      </c>
      <c r="C1172" s="305" t="s">
        <v>2602</v>
      </c>
      <c r="F1172" s="1384"/>
      <c r="G1172" s="1384"/>
    </row>
    <row r="1173">
      <c r="A1173" s="466">
        <v>3500.0</v>
      </c>
      <c r="B1173" s="467">
        <v>160.0</v>
      </c>
      <c r="C1173" s="305" t="s">
        <v>1097</v>
      </c>
      <c r="F1173" s="1384"/>
      <c r="G1173" s="1384"/>
    </row>
    <row r="1174">
      <c r="A1174" s="466">
        <v>141.0</v>
      </c>
      <c r="B1174" s="467">
        <v>80.0</v>
      </c>
      <c r="C1174" s="305" t="s">
        <v>2603</v>
      </c>
      <c r="F1174" s="1384"/>
      <c r="G1174" s="1384"/>
    </row>
    <row r="1175">
      <c r="A1175" s="466">
        <v>3797.0</v>
      </c>
      <c r="B1175" s="467">
        <v>98.0</v>
      </c>
      <c r="C1175" s="305" t="s">
        <v>1105</v>
      </c>
      <c r="F1175" s="1384"/>
      <c r="G1175" s="1384"/>
    </row>
    <row r="1176">
      <c r="A1176" s="466">
        <v>46.0</v>
      </c>
      <c r="B1176" s="467">
        <v>80.0</v>
      </c>
      <c r="C1176" s="305" t="s">
        <v>2604</v>
      </c>
      <c r="F1176" s="1384"/>
      <c r="G1176" s="1384"/>
    </row>
    <row r="1177">
      <c r="A1177" s="466">
        <v>2268.0</v>
      </c>
      <c r="B1177" s="467">
        <v>98.0</v>
      </c>
      <c r="C1177" s="305" t="s">
        <v>2605</v>
      </c>
      <c r="F1177" s="1384"/>
      <c r="G1177" s="1384"/>
    </row>
    <row r="1178">
      <c r="A1178" s="466">
        <v>148.0</v>
      </c>
      <c r="B1178" s="467">
        <v>80.0</v>
      </c>
      <c r="C1178" s="305" t="s">
        <v>2606</v>
      </c>
      <c r="F1178" s="1384"/>
      <c r="G1178" s="1384"/>
    </row>
    <row r="1179">
      <c r="A1179" s="466">
        <v>2861.0</v>
      </c>
      <c r="B1179" s="467">
        <v>80.0</v>
      </c>
      <c r="C1179" s="305" t="s">
        <v>2607</v>
      </c>
      <c r="F1179" s="1384"/>
      <c r="G1179" s="1384"/>
    </row>
    <row r="1180">
      <c r="A1180" s="466">
        <v>2708.0</v>
      </c>
      <c r="B1180" s="467">
        <v>80.0</v>
      </c>
      <c r="C1180" s="305" t="s">
        <v>2608</v>
      </c>
      <c r="F1180" s="1384"/>
      <c r="G1180" s="1384"/>
    </row>
    <row r="1181">
      <c r="A1181" s="466">
        <v>110.0</v>
      </c>
      <c r="B1181" s="467">
        <v>80.0</v>
      </c>
      <c r="C1181" s="305" t="s">
        <v>2609</v>
      </c>
      <c r="F1181" s="1384"/>
      <c r="G1181" s="1384"/>
    </row>
    <row r="1182">
      <c r="A1182" s="466">
        <v>2549.0</v>
      </c>
      <c r="B1182" s="467">
        <v>80.0</v>
      </c>
      <c r="C1182" s="305" t="s">
        <v>2610</v>
      </c>
      <c r="F1182" s="1384"/>
      <c r="G1182" s="1384"/>
    </row>
    <row r="1183">
      <c r="A1183" s="466">
        <v>3141.0</v>
      </c>
      <c r="B1183" s="467">
        <v>98.0</v>
      </c>
      <c r="C1183" s="305" t="s">
        <v>469</v>
      </c>
      <c r="F1183" s="1384"/>
      <c r="G1183" s="1384"/>
    </row>
    <row r="1184">
      <c r="A1184" s="466">
        <v>2530.0</v>
      </c>
      <c r="B1184" s="467">
        <v>80.0</v>
      </c>
      <c r="C1184" s="305" t="s">
        <v>2612</v>
      </c>
      <c r="F1184" s="1384"/>
      <c r="G1184" s="1384"/>
    </row>
    <row r="1185">
      <c r="A1185" s="466">
        <v>3327.0</v>
      </c>
      <c r="B1185" s="1404">
        <v>169.0</v>
      </c>
      <c r="C1185" s="305" t="s">
        <v>424</v>
      </c>
      <c r="F1185" s="1384"/>
      <c r="G1185" s="1384"/>
    </row>
    <row r="1186">
      <c r="A1186" s="466">
        <v>133.0</v>
      </c>
      <c r="B1186" s="467">
        <v>140.0</v>
      </c>
      <c r="C1186" s="305" t="s">
        <v>2613</v>
      </c>
      <c r="F1186" s="1384"/>
      <c r="G1186" s="1384"/>
    </row>
    <row r="1187">
      <c r="A1187" s="466">
        <v>1027.0</v>
      </c>
      <c r="B1187" s="467">
        <v>70.0</v>
      </c>
      <c r="C1187" s="305" t="s">
        <v>2614</v>
      </c>
      <c r="F1187" s="1384"/>
      <c r="G1187" s="1384"/>
    </row>
    <row r="1188">
      <c r="A1188" s="466">
        <v>95.0</v>
      </c>
      <c r="B1188" s="467">
        <v>80.0</v>
      </c>
      <c r="C1188" s="305" t="s">
        <v>2615</v>
      </c>
      <c r="F1188" s="1384"/>
      <c r="G1188" s="1384"/>
    </row>
    <row r="1189">
      <c r="A1189" s="466">
        <v>3304.0</v>
      </c>
      <c r="B1189" s="467">
        <v>98.0</v>
      </c>
      <c r="C1189" s="305" t="s">
        <v>2616</v>
      </c>
      <c r="F1189" s="1384"/>
      <c r="G1189" s="1384"/>
    </row>
    <row r="1190">
      <c r="A1190" s="466">
        <v>2954.0</v>
      </c>
      <c r="B1190" s="467">
        <v>160.0</v>
      </c>
      <c r="C1190" s="305" t="s">
        <v>1257</v>
      </c>
      <c r="F1190" s="1384"/>
      <c r="G1190" s="1384"/>
    </row>
    <row r="1191">
      <c r="A1191" s="466">
        <v>2343.0</v>
      </c>
      <c r="B1191" s="467">
        <v>80.0</v>
      </c>
      <c r="C1191" s="305" t="s">
        <v>2617</v>
      </c>
      <c r="F1191" s="1384"/>
      <c r="G1191" s="1384"/>
    </row>
    <row r="1192">
      <c r="A1192" s="466">
        <v>42.0</v>
      </c>
      <c r="B1192" s="467">
        <v>80.0</v>
      </c>
      <c r="C1192" s="305" t="s">
        <v>2618</v>
      </c>
      <c r="F1192" s="1384"/>
      <c r="G1192" s="1384"/>
    </row>
    <row r="1193">
      <c r="A1193" s="466">
        <v>7.0</v>
      </c>
      <c r="B1193" s="467">
        <v>80.0</v>
      </c>
      <c r="C1193" s="305" t="s">
        <v>2619</v>
      </c>
      <c r="F1193" s="1384"/>
      <c r="G1193" s="1384"/>
    </row>
    <row r="1194">
      <c r="A1194" s="466">
        <v>1402.0</v>
      </c>
      <c r="B1194" s="467">
        <v>80.0</v>
      </c>
      <c r="C1194" s="305" t="s">
        <v>2620</v>
      </c>
      <c r="F1194" s="1384"/>
      <c r="G1194" s="1384"/>
    </row>
    <row r="1195">
      <c r="A1195" s="466">
        <v>15.0</v>
      </c>
      <c r="B1195" s="467">
        <v>70.0</v>
      </c>
      <c r="C1195" s="305" t="s">
        <v>2621</v>
      </c>
      <c r="F1195" s="1384"/>
      <c r="G1195" s="1384"/>
    </row>
    <row r="1196">
      <c r="A1196" s="466">
        <v>927.0</v>
      </c>
      <c r="B1196" s="467">
        <v>70.0</v>
      </c>
      <c r="C1196" s="305" t="s">
        <v>2622</v>
      </c>
      <c r="F1196" s="1384"/>
      <c r="G1196" s="1384"/>
    </row>
    <row r="1197">
      <c r="A1197" s="466">
        <v>928.0</v>
      </c>
      <c r="B1197" s="467">
        <v>80.0</v>
      </c>
      <c r="C1197" s="305" t="s">
        <v>2623</v>
      </c>
      <c r="F1197" s="1384"/>
      <c r="G1197" s="1384"/>
    </row>
    <row r="1198">
      <c r="A1198" s="466">
        <v>2983.0</v>
      </c>
      <c r="B1198" s="467">
        <v>80.0</v>
      </c>
      <c r="C1198" s="305" t="s">
        <v>2624</v>
      </c>
      <c r="F1198" s="1384"/>
      <c r="G1198" s="1384"/>
    </row>
    <row r="1199">
      <c r="A1199" s="466">
        <v>2408.0</v>
      </c>
      <c r="B1199" s="467">
        <v>80.0</v>
      </c>
      <c r="C1199" s="305" t="s">
        <v>2625</v>
      </c>
      <c r="F1199" s="1384"/>
      <c r="G1199" s="1384"/>
    </row>
    <row r="1200">
      <c r="A1200" s="466">
        <v>3678.0</v>
      </c>
      <c r="B1200" s="1403">
        <v>0.0</v>
      </c>
      <c r="C1200" s="305" t="s">
        <v>2626</v>
      </c>
      <c r="F1200" s="1384"/>
      <c r="G1200" s="1384"/>
    </row>
    <row r="1201">
      <c r="A1201" s="466">
        <v>3189.0</v>
      </c>
      <c r="B1201" s="467">
        <v>98.0</v>
      </c>
      <c r="C1201" s="305" t="s">
        <v>429</v>
      </c>
      <c r="F1201" s="1384"/>
      <c r="G1201" s="1384"/>
    </row>
    <row r="1202">
      <c r="A1202" s="466">
        <v>3814.0</v>
      </c>
      <c r="B1202" s="467">
        <v>98.0</v>
      </c>
      <c r="C1202" s="305" t="s">
        <v>422</v>
      </c>
      <c r="F1202" s="1384"/>
      <c r="G1202" s="1384"/>
    </row>
    <row r="1203">
      <c r="A1203" s="466">
        <v>1321.0</v>
      </c>
      <c r="B1203" s="467">
        <v>60.0</v>
      </c>
      <c r="C1203" s="305" t="s">
        <v>2629</v>
      </c>
      <c r="F1203" s="1384"/>
      <c r="G1203" s="1384"/>
    </row>
    <row r="1204">
      <c r="A1204" s="466">
        <v>2497.0</v>
      </c>
      <c r="B1204" s="467">
        <v>70.0</v>
      </c>
      <c r="C1204" s="305" t="s">
        <v>2630</v>
      </c>
      <c r="F1204" s="1384"/>
      <c r="G1204" s="1384"/>
    </row>
    <row r="1205">
      <c r="A1205" s="466">
        <v>3375.0</v>
      </c>
      <c r="B1205" s="467">
        <v>90.0</v>
      </c>
      <c r="C1205" s="305" t="s">
        <v>302</v>
      </c>
      <c r="F1205" s="1384"/>
      <c r="G1205" s="1384"/>
    </row>
    <row r="1206">
      <c r="A1206" s="466">
        <v>2483.0</v>
      </c>
      <c r="B1206" s="467">
        <v>80.0</v>
      </c>
      <c r="C1206" s="305" t="s">
        <v>2631</v>
      </c>
      <c r="F1206" s="1384"/>
      <c r="G1206" s="1384"/>
    </row>
    <row r="1207">
      <c r="A1207" s="466">
        <v>1184.0</v>
      </c>
      <c r="B1207" s="467">
        <v>160.0</v>
      </c>
      <c r="C1207" s="305" t="s">
        <v>2632</v>
      </c>
      <c r="F1207" s="1384"/>
      <c r="G1207" s="1384"/>
    </row>
    <row r="1208">
      <c r="A1208" s="466">
        <v>1185.0</v>
      </c>
      <c r="B1208" s="467">
        <v>160.0</v>
      </c>
      <c r="C1208" s="305" t="s">
        <v>2633</v>
      </c>
      <c r="F1208" s="1384"/>
      <c r="G1208" s="1384"/>
    </row>
    <row r="1209">
      <c r="A1209" s="466">
        <v>870.0</v>
      </c>
      <c r="B1209" s="467">
        <v>70.0</v>
      </c>
      <c r="C1209" s="305" t="s">
        <v>2634</v>
      </c>
      <c r="F1209" s="1384"/>
      <c r="G1209" s="1384"/>
    </row>
    <row r="1210">
      <c r="A1210" s="466">
        <v>871.0</v>
      </c>
      <c r="B1210" s="467">
        <v>70.0</v>
      </c>
      <c r="C1210" s="305" t="s">
        <v>2635</v>
      </c>
      <c r="F1210" s="1384"/>
      <c r="G1210" s="1384"/>
    </row>
    <row r="1211">
      <c r="A1211" s="466">
        <v>2546.0</v>
      </c>
      <c r="B1211" s="467">
        <v>130.0</v>
      </c>
      <c r="C1211" s="305" t="s">
        <v>2636</v>
      </c>
      <c r="F1211" s="1384"/>
      <c r="G1211" s="1384"/>
    </row>
    <row r="1212">
      <c r="A1212" s="466">
        <v>890.0</v>
      </c>
      <c r="B1212" s="467">
        <v>160.0</v>
      </c>
      <c r="C1212" s="305" t="s">
        <v>2637</v>
      </c>
      <c r="F1212" s="1384"/>
      <c r="G1212" s="1384"/>
    </row>
    <row r="1213">
      <c r="A1213" s="466">
        <v>1334.0</v>
      </c>
      <c r="B1213" s="467">
        <v>188.0</v>
      </c>
      <c r="C1213" s="305" t="s">
        <v>2638</v>
      </c>
      <c r="F1213" s="1384"/>
      <c r="G1213" s="1384"/>
    </row>
    <row r="1214">
      <c r="A1214" s="466">
        <v>1279.0</v>
      </c>
      <c r="B1214" s="467">
        <v>188.0</v>
      </c>
      <c r="C1214" s="305" t="s">
        <v>2639</v>
      </c>
      <c r="F1214" s="1384"/>
      <c r="G1214" s="1384"/>
    </row>
    <row r="1215">
      <c r="A1215" s="466">
        <v>1309.0</v>
      </c>
      <c r="B1215" s="467">
        <v>188.0</v>
      </c>
      <c r="C1215" s="305" t="s">
        <v>2640</v>
      </c>
      <c r="F1215" s="1384"/>
      <c r="G1215" s="1384"/>
    </row>
    <row r="1216">
      <c r="A1216" s="466">
        <v>888.0</v>
      </c>
      <c r="B1216" s="467">
        <v>160.0</v>
      </c>
      <c r="C1216" s="305" t="s">
        <v>2641</v>
      </c>
      <c r="F1216" s="1384"/>
      <c r="G1216" s="1384"/>
    </row>
    <row r="1217">
      <c r="A1217" s="466">
        <v>1486.0</v>
      </c>
      <c r="B1217" s="467">
        <v>180.0</v>
      </c>
      <c r="C1217" s="305" t="s">
        <v>2642</v>
      </c>
      <c r="F1217" s="1384"/>
      <c r="G1217" s="1384"/>
    </row>
    <row r="1218">
      <c r="A1218" s="466">
        <v>1407.0</v>
      </c>
      <c r="B1218" s="467">
        <v>180.0</v>
      </c>
      <c r="C1218" s="305" t="s">
        <v>2643</v>
      </c>
      <c r="F1218" s="1384"/>
      <c r="G1218" s="1384"/>
    </row>
    <row r="1219">
      <c r="A1219" s="466">
        <v>1369.0</v>
      </c>
      <c r="B1219" s="467">
        <v>180.0</v>
      </c>
      <c r="C1219" s="305" t="s">
        <v>2644</v>
      </c>
      <c r="F1219" s="1384"/>
      <c r="G1219" s="1384"/>
    </row>
    <row r="1220">
      <c r="A1220" s="466">
        <v>3728.0</v>
      </c>
      <c r="B1220" s="467">
        <v>198.0</v>
      </c>
      <c r="C1220" s="305" t="s">
        <v>2645</v>
      </c>
      <c r="F1220" s="1384"/>
      <c r="G1220" s="1384"/>
    </row>
    <row r="1221">
      <c r="A1221" s="466">
        <v>3489.0</v>
      </c>
      <c r="B1221" s="467">
        <v>198.0</v>
      </c>
      <c r="C1221" s="305" t="s">
        <v>2646</v>
      </c>
      <c r="F1221" s="1384"/>
      <c r="G1221" s="1384"/>
    </row>
    <row r="1222">
      <c r="A1222" s="466">
        <v>3429.0</v>
      </c>
      <c r="B1222" s="467">
        <v>198.0</v>
      </c>
      <c r="C1222" s="305" t="s">
        <v>2647</v>
      </c>
      <c r="F1222" s="1384"/>
      <c r="G1222" s="1384"/>
    </row>
    <row r="1223">
      <c r="A1223" s="466">
        <v>3360.0</v>
      </c>
      <c r="B1223" s="467">
        <v>198.0</v>
      </c>
      <c r="C1223" s="305" t="s">
        <v>2648</v>
      </c>
      <c r="F1223" s="1384"/>
      <c r="G1223" s="1384"/>
    </row>
    <row r="1224">
      <c r="A1224" s="466">
        <v>3143.0</v>
      </c>
      <c r="B1224" s="467">
        <v>198.0</v>
      </c>
      <c r="C1224" s="305" t="s">
        <v>2649</v>
      </c>
      <c r="F1224" s="1384"/>
      <c r="G1224" s="1384"/>
    </row>
    <row r="1225">
      <c r="A1225" s="466">
        <v>3185.0</v>
      </c>
      <c r="B1225" s="467">
        <v>188.0</v>
      </c>
      <c r="C1225" s="305" t="s">
        <v>2650</v>
      </c>
      <c r="F1225" s="1384"/>
      <c r="G1225" s="1384"/>
    </row>
    <row r="1226">
      <c r="A1226" s="466">
        <v>116.0</v>
      </c>
      <c r="B1226" s="467">
        <v>160.0</v>
      </c>
      <c r="C1226" s="305" t="s">
        <v>2651</v>
      </c>
      <c r="F1226" s="1384"/>
      <c r="G1226" s="1384"/>
    </row>
    <row r="1227">
      <c r="A1227" s="466">
        <v>10.0</v>
      </c>
      <c r="B1227" s="467">
        <v>160.0</v>
      </c>
      <c r="C1227" s="305" t="s">
        <v>2652</v>
      </c>
      <c r="F1227" s="1384"/>
      <c r="G1227" s="1384"/>
    </row>
    <row r="1228">
      <c r="A1228" s="466">
        <v>3708.0</v>
      </c>
      <c r="B1228" s="1403">
        <v>0.0</v>
      </c>
      <c r="C1228" s="305" t="s">
        <v>2653</v>
      </c>
      <c r="F1228" s="1384"/>
      <c r="G1228" s="1384"/>
    </row>
    <row r="1229">
      <c r="A1229" s="466">
        <v>3709.0</v>
      </c>
      <c r="B1229" s="467">
        <v>208.0</v>
      </c>
      <c r="C1229" s="305" t="s">
        <v>2655</v>
      </c>
      <c r="F1229" s="1384"/>
      <c r="G1229" s="1384"/>
    </row>
    <row r="1230">
      <c r="A1230" s="466">
        <v>3736.0</v>
      </c>
      <c r="B1230" s="467">
        <v>205.0</v>
      </c>
      <c r="C1230" s="305" t="s">
        <v>2656</v>
      </c>
      <c r="F1230" s="1384"/>
      <c r="G1230" s="1384"/>
    </row>
    <row r="1231">
      <c r="A1231" s="466">
        <v>3652.0</v>
      </c>
      <c r="B1231" s="467">
        <v>218.0</v>
      </c>
      <c r="C1231" s="305" t="s">
        <v>2657</v>
      </c>
      <c r="F1231" s="1384"/>
      <c r="G1231" s="1384"/>
    </row>
    <row r="1232">
      <c r="A1232" s="466">
        <v>3473.0</v>
      </c>
      <c r="B1232" s="467">
        <v>198.0</v>
      </c>
      <c r="C1232" s="305" t="s">
        <v>2660</v>
      </c>
      <c r="F1232" s="1384"/>
      <c r="G1232" s="1384"/>
    </row>
    <row r="1233">
      <c r="A1233" s="466">
        <v>3474.0</v>
      </c>
      <c r="B1233" s="917">
        <v>198.0</v>
      </c>
      <c r="C1233" s="305" t="s">
        <v>441</v>
      </c>
      <c r="F1233" s="1384"/>
      <c r="G1233" s="1384"/>
    </row>
    <row r="1234">
      <c r="A1234" s="466">
        <v>1009.0</v>
      </c>
      <c r="B1234" s="917">
        <v>198.0</v>
      </c>
      <c r="C1234" s="305" t="s">
        <v>406</v>
      </c>
      <c r="F1234" s="1384"/>
      <c r="G1234" s="1384"/>
    </row>
    <row r="1235">
      <c r="A1235" s="466">
        <v>1293.0</v>
      </c>
      <c r="B1235" s="467">
        <v>238.0</v>
      </c>
      <c r="C1235" s="305" t="s">
        <v>616</v>
      </c>
      <c r="F1235" s="1384"/>
      <c r="G1235" s="1384"/>
    </row>
    <row r="1236">
      <c r="A1236" s="466">
        <v>2883.0</v>
      </c>
      <c r="B1236" s="467">
        <v>130.0</v>
      </c>
      <c r="C1236" s="305" t="s">
        <v>2662</v>
      </c>
      <c r="F1236" s="1384"/>
      <c r="G1236" s="1384"/>
    </row>
    <row r="1237">
      <c r="A1237" s="466">
        <v>1294.0</v>
      </c>
      <c r="B1237" s="467">
        <v>160.0</v>
      </c>
      <c r="C1237" s="305" t="s">
        <v>2663</v>
      </c>
      <c r="F1237" s="1384"/>
      <c r="G1237" s="1384"/>
    </row>
    <row r="1238">
      <c r="A1238" s="466">
        <v>1318.0</v>
      </c>
      <c r="B1238" s="467">
        <v>198.0</v>
      </c>
      <c r="C1238" s="305" t="s">
        <v>2664</v>
      </c>
      <c r="F1238" s="1384"/>
      <c r="G1238" s="1384"/>
    </row>
    <row r="1239">
      <c r="A1239" s="466">
        <v>727.0</v>
      </c>
      <c r="B1239" s="467">
        <v>160.0</v>
      </c>
      <c r="C1239" s="305" t="s">
        <v>2665</v>
      </c>
      <c r="F1239" s="1384"/>
      <c r="G1239" s="1384"/>
    </row>
    <row r="1240">
      <c r="A1240" s="466">
        <v>610.0</v>
      </c>
      <c r="B1240" s="467">
        <v>160.0</v>
      </c>
      <c r="C1240" s="305" t="s">
        <v>2666</v>
      </c>
      <c r="F1240" s="1384"/>
      <c r="G1240" s="1384"/>
    </row>
    <row r="1241">
      <c r="A1241" s="466">
        <v>3442.0</v>
      </c>
      <c r="B1241" s="467">
        <v>198.0</v>
      </c>
      <c r="C1241" s="305" t="s">
        <v>2667</v>
      </c>
      <c r="F1241" s="1384"/>
      <c r="G1241" s="1384"/>
    </row>
    <row r="1242">
      <c r="A1242" s="466">
        <v>2314.0</v>
      </c>
      <c r="B1242" s="467">
        <v>288.0</v>
      </c>
      <c r="C1242" s="305" t="s">
        <v>2668</v>
      </c>
      <c r="F1242" s="1384"/>
      <c r="G1242" s="1384"/>
    </row>
    <row r="1243">
      <c r="A1243" s="466">
        <v>3691.0</v>
      </c>
      <c r="B1243" s="467">
        <v>212.0</v>
      </c>
      <c r="C1243" s="305" t="s">
        <v>698</v>
      </c>
      <c r="F1243" s="1384"/>
      <c r="G1243" s="1384"/>
    </row>
    <row r="1244">
      <c r="A1244" s="466">
        <v>1343.0</v>
      </c>
      <c r="B1244" s="467">
        <v>160.0</v>
      </c>
      <c r="C1244" s="305" t="s">
        <v>2670</v>
      </c>
      <c r="F1244" s="1384"/>
      <c r="G1244" s="1384"/>
    </row>
    <row r="1245">
      <c r="A1245" s="466">
        <v>3367.0</v>
      </c>
      <c r="B1245" s="467">
        <v>198.0</v>
      </c>
      <c r="C1245" s="305" t="s">
        <v>2671</v>
      </c>
      <c r="F1245" s="1384"/>
      <c r="G1245" s="1384"/>
    </row>
    <row r="1246">
      <c r="A1246" s="466">
        <v>3735.0</v>
      </c>
      <c r="B1246" s="467">
        <v>132.0</v>
      </c>
      <c r="C1246" s="305" t="s">
        <v>927</v>
      </c>
      <c r="F1246" s="1384"/>
      <c r="G1246" s="1384"/>
    </row>
    <row r="1247">
      <c r="A1247" s="466">
        <v>2880.0</v>
      </c>
      <c r="B1247" s="467">
        <v>198.0</v>
      </c>
      <c r="C1247" s="305" t="s">
        <v>2672</v>
      </c>
      <c r="F1247" s="1384"/>
      <c r="G1247" s="1384"/>
    </row>
    <row r="1248">
      <c r="A1248" s="466">
        <v>2394.0</v>
      </c>
      <c r="B1248" s="467">
        <v>59.0</v>
      </c>
      <c r="C1248" s="305" t="s">
        <v>2673</v>
      </c>
      <c r="F1248" s="1384"/>
      <c r="G1248" s="1384"/>
    </row>
    <row r="1249">
      <c r="A1249" s="466">
        <v>2432.0</v>
      </c>
      <c r="B1249" s="467">
        <v>45.0</v>
      </c>
      <c r="C1249" s="305" t="s">
        <v>2675</v>
      </c>
      <c r="F1249" s="1384"/>
      <c r="G1249" s="1384"/>
    </row>
    <row r="1250">
      <c r="A1250" s="466">
        <v>2430.0</v>
      </c>
      <c r="B1250" s="467">
        <v>55.0</v>
      </c>
      <c r="C1250" s="305" t="s">
        <v>2676</v>
      </c>
      <c r="F1250" s="1384"/>
      <c r="G1250" s="1384"/>
    </row>
    <row r="1251">
      <c r="A1251" s="466">
        <v>2431.0</v>
      </c>
      <c r="B1251" s="467">
        <v>45.0</v>
      </c>
      <c r="C1251" s="305" t="s">
        <v>2677</v>
      </c>
      <c r="F1251" s="1384"/>
      <c r="G1251" s="1384"/>
    </row>
    <row r="1252">
      <c r="A1252" s="466">
        <v>3518.0</v>
      </c>
      <c r="B1252" s="917">
        <v>85.0</v>
      </c>
      <c r="C1252" s="305" t="s">
        <v>518</v>
      </c>
      <c r="F1252" s="1384"/>
      <c r="G1252" s="1384"/>
    </row>
    <row r="1253">
      <c r="A1253" s="466">
        <v>3455.0</v>
      </c>
      <c r="B1253" s="467">
        <v>85.0</v>
      </c>
      <c r="C1253" s="305" t="s">
        <v>283</v>
      </c>
      <c r="F1253" s="1384"/>
      <c r="G1253" s="1384"/>
    </row>
    <row r="1254">
      <c r="A1254" s="466">
        <v>2580.0</v>
      </c>
      <c r="B1254" s="467">
        <v>65.0</v>
      </c>
      <c r="C1254" s="305" t="s">
        <v>2678</v>
      </c>
      <c r="F1254" s="1384"/>
      <c r="G1254" s="1384"/>
    </row>
    <row r="1255">
      <c r="A1255" s="466">
        <v>2477.0</v>
      </c>
      <c r="B1255" s="467">
        <v>80.0</v>
      </c>
      <c r="C1255" s="305" t="s">
        <v>2679</v>
      </c>
      <c r="F1255" s="1384"/>
      <c r="G1255" s="1384"/>
    </row>
    <row r="1256">
      <c r="A1256" s="466">
        <v>1313.0</v>
      </c>
      <c r="B1256" s="467">
        <v>45.0</v>
      </c>
      <c r="C1256" s="305" t="s">
        <v>2680</v>
      </c>
      <c r="F1256" s="1384"/>
      <c r="G1256" s="1384"/>
    </row>
    <row r="1257">
      <c r="A1257" s="466">
        <v>683.0</v>
      </c>
      <c r="B1257" s="467">
        <v>90.0</v>
      </c>
      <c r="C1257" s="305" t="s">
        <v>2681</v>
      </c>
      <c r="F1257" s="1384"/>
      <c r="G1257" s="1384"/>
    </row>
    <row r="1258">
      <c r="A1258" s="466">
        <v>2068.0</v>
      </c>
      <c r="B1258" s="467">
        <v>120.0</v>
      </c>
      <c r="C1258" s="305" t="s">
        <v>2682</v>
      </c>
      <c r="F1258" s="1384"/>
      <c r="G1258" s="1384"/>
    </row>
    <row r="1259">
      <c r="A1259" s="466">
        <v>2694.0</v>
      </c>
      <c r="B1259" s="467">
        <v>70.0</v>
      </c>
      <c r="C1259" s="305" t="s">
        <v>2683</v>
      </c>
      <c r="F1259" s="1384"/>
      <c r="G1259" s="1384"/>
    </row>
    <row r="1260">
      <c r="A1260" s="466">
        <v>718.0</v>
      </c>
      <c r="B1260" s="467">
        <v>45.0</v>
      </c>
      <c r="C1260" s="305" t="s">
        <v>2684</v>
      </c>
      <c r="F1260" s="1384"/>
      <c r="G1260" s="1384"/>
    </row>
    <row r="1261">
      <c r="A1261" s="466">
        <v>3006.0</v>
      </c>
      <c r="B1261" s="467">
        <v>283.0</v>
      </c>
      <c r="C1261" s="305" t="s">
        <v>2685</v>
      </c>
      <c r="F1261" s="1384"/>
      <c r="G1261" s="1384"/>
    </row>
    <row r="1262">
      <c r="A1262" s="466">
        <v>3201.0</v>
      </c>
      <c r="B1262" s="467">
        <v>250.0</v>
      </c>
      <c r="C1262" s="305" t="s">
        <v>2687</v>
      </c>
      <c r="F1262" s="1384"/>
      <c r="G1262" s="1384"/>
    </row>
    <row r="1263">
      <c r="A1263" s="466">
        <v>2760.0</v>
      </c>
      <c r="B1263" s="467">
        <v>238.0</v>
      </c>
      <c r="C1263" s="305" t="s">
        <v>2688</v>
      </c>
      <c r="F1263" s="1384"/>
      <c r="G1263" s="1384"/>
    </row>
    <row r="1264">
      <c r="A1264" s="466">
        <v>2933.0</v>
      </c>
      <c r="B1264" s="467">
        <v>270.0</v>
      </c>
      <c r="C1264" s="305" t="s">
        <v>2689</v>
      </c>
      <c r="F1264" s="1384"/>
      <c r="G1264" s="1384"/>
    </row>
    <row r="1265">
      <c r="A1265" s="466">
        <v>102.0</v>
      </c>
      <c r="B1265" s="917">
        <v>271.0</v>
      </c>
      <c r="C1265" s="305" t="s">
        <v>535</v>
      </c>
      <c r="F1265" s="1384"/>
      <c r="G1265" s="1384"/>
    </row>
    <row r="1266">
      <c r="A1266" s="466">
        <v>3309.0</v>
      </c>
      <c r="B1266" s="467">
        <v>85.0</v>
      </c>
      <c r="C1266" s="305" t="s">
        <v>2690</v>
      </c>
      <c r="F1266" s="1384"/>
      <c r="G1266" s="1384"/>
    </row>
    <row r="1267">
      <c r="A1267" s="466">
        <v>380.0</v>
      </c>
      <c r="B1267" s="467">
        <v>114.0</v>
      </c>
      <c r="C1267" s="305" t="s">
        <v>323</v>
      </c>
      <c r="F1267" s="1384"/>
      <c r="G1267" s="1384"/>
    </row>
    <row r="1268">
      <c r="A1268" s="466">
        <v>2254.0</v>
      </c>
      <c r="B1268" s="467">
        <v>88.0</v>
      </c>
      <c r="C1268" s="305" t="s">
        <v>2691</v>
      </c>
      <c r="F1268" s="1384"/>
      <c r="G1268" s="1384"/>
    </row>
    <row r="1269">
      <c r="A1269" s="466">
        <v>3752.0</v>
      </c>
      <c r="B1269" s="467">
        <v>235.0</v>
      </c>
      <c r="C1269" s="305" t="s">
        <v>339</v>
      </c>
      <c r="F1269" s="1384"/>
      <c r="G1269" s="1384"/>
    </row>
    <row r="1270">
      <c r="A1270" s="466">
        <v>2251.0</v>
      </c>
      <c r="B1270" s="467">
        <v>90.0</v>
      </c>
      <c r="C1270" s="305" t="s">
        <v>2692</v>
      </c>
      <c r="F1270" s="1384"/>
      <c r="G1270" s="1384"/>
    </row>
    <row r="1271">
      <c r="A1271" s="466">
        <v>709.0</v>
      </c>
      <c r="B1271" s="467">
        <v>55.0</v>
      </c>
      <c r="C1271" s="305" t="s">
        <v>2693</v>
      </c>
      <c r="F1271" s="1384"/>
      <c r="G1271" s="1384"/>
    </row>
    <row r="1272">
      <c r="A1272" s="466">
        <v>3434.0</v>
      </c>
      <c r="B1272" s="467">
        <v>80.0</v>
      </c>
      <c r="C1272" s="305" t="s">
        <v>2694</v>
      </c>
      <c r="F1272" s="1384"/>
      <c r="G1272" s="1384"/>
    </row>
    <row r="1273">
      <c r="A1273" s="466">
        <v>3414.0</v>
      </c>
      <c r="B1273" s="467">
        <v>198.0</v>
      </c>
      <c r="C1273" s="305" t="s">
        <v>2695</v>
      </c>
      <c r="F1273" s="1384"/>
      <c r="G1273" s="1384"/>
    </row>
    <row r="1274">
      <c r="A1274" s="466">
        <v>3415.0</v>
      </c>
      <c r="B1274" s="467">
        <v>198.0</v>
      </c>
      <c r="C1274" s="305" t="s">
        <v>2696</v>
      </c>
      <c r="F1274" s="1384"/>
      <c r="G1274" s="1384"/>
    </row>
    <row r="1275">
      <c r="A1275" s="466">
        <v>3000.0</v>
      </c>
      <c r="B1275" s="1403">
        <v>0.0</v>
      </c>
      <c r="C1275" s="305" t="s">
        <v>2697</v>
      </c>
      <c r="F1275" s="1384"/>
      <c r="G1275" s="1384"/>
    </row>
    <row r="1276">
      <c r="A1276" s="466">
        <v>2499.0</v>
      </c>
      <c r="B1276" s="467">
        <v>45.0</v>
      </c>
      <c r="C1276" s="305" t="s">
        <v>2698</v>
      </c>
      <c r="F1276" s="1384"/>
      <c r="G1276" s="1384"/>
    </row>
    <row r="1277">
      <c r="A1277" s="466">
        <v>113.0</v>
      </c>
      <c r="B1277" s="917">
        <v>212.0</v>
      </c>
      <c r="C1277" s="305" t="s">
        <v>558</v>
      </c>
      <c r="F1277" s="1384"/>
      <c r="G1277" s="1384"/>
    </row>
    <row r="1278">
      <c r="A1278" s="466">
        <v>2211.0</v>
      </c>
      <c r="B1278" s="467">
        <v>188.0</v>
      </c>
      <c r="C1278" s="305" t="s">
        <v>2700</v>
      </c>
      <c r="F1278" s="1384"/>
      <c r="G1278" s="1384"/>
    </row>
    <row r="1279">
      <c r="A1279" s="466">
        <v>2409.0</v>
      </c>
      <c r="B1279" s="467">
        <v>188.0</v>
      </c>
      <c r="C1279" s="305" t="s">
        <v>2702</v>
      </c>
      <c r="F1279" s="1384"/>
      <c r="G1279" s="1384"/>
    </row>
    <row r="1280">
      <c r="A1280" s="466">
        <v>2264.0</v>
      </c>
      <c r="B1280" s="467">
        <v>59.0</v>
      </c>
      <c r="C1280" s="305" t="s">
        <v>1447</v>
      </c>
      <c r="F1280" s="1384"/>
      <c r="G1280" s="1384"/>
    </row>
    <row r="1281">
      <c r="A1281" s="466">
        <v>2363.0</v>
      </c>
      <c r="B1281" s="467">
        <v>188.0</v>
      </c>
      <c r="C1281" s="305" t="s">
        <v>2704</v>
      </c>
      <c r="F1281" s="1384"/>
      <c r="G1281" s="1384"/>
    </row>
    <row r="1282">
      <c r="A1282" s="466">
        <v>3328.0</v>
      </c>
      <c r="B1282" s="467">
        <v>198.0</v>
      </c>
      <c r="C1282" s="305" t="s">
        <v>398</v>
      </c>
      <c r="F1282" s="1384"/>
      <c r="G1282" s="1384"/>
    </row>
    <row r="1283">
      <c r="A1283" s="466">
        <v>3580.0</v>
      </c>
      <c r="B1283" s="467">
        <v>225.0</v>
      </c>
      <c r="C1283" s="305" t="s">
        <v>2706</v>
      </c>
      <c r="F1283" s="1384"/>
      <c r="G1283" s="1384"/>
    </row>
    <row r="1284">
      <c r="A1284" s="466">
        <v>3775.0</v>
      </c>
      <c r="B1284" s="467">
        <v>268.0</v>
      </c>
      <c r="C1284" s="305" t="s">
        <v>2707</v>
      </c>
      <c r="F1284" s="1384"/>
      <c r="G1284" s="1384"/>
    </row>
    <row r="1285">
      <c r="A1285" s="466">
        <v>3297.0</v>
      </c>
      <c r="B1285" s="467">
        <v>299.0</v>
      </c>
      <c r="C1285" s="305" t="s">
        <v>2708</v>
      </c>
      <c r="F1285" s="1384"/>
      <c r="G1285" s="1384"/>
    </row>
    <row r="1286">
      <c r="A1286" s="466">
        <v>3690.0</v>
      </c>
      <c r="B1286" s="467">
        <v>213.0</v>
      </c>
      <c r="C1286" s="305" t="s">
        <v>2709</v>
      </c>
      <c r="F1286" s="1384"/>
      <c r="G1286" s="1384"/>
    </row>
    <row r="1287">
      <c r="A1287" s="466">
        <v>2814.0</v>
      </c>
      <c r="B1287" s="467">
        <v>225.0</v>
      </c>
      <c r="C1287" s="305" t="s">
        <v>2710</v>
      </c>
      <c r="F1287" s="1384"/>
      <c r="G1287" s="1384"/>
    </row>
    <row r="1288">
      <c r="A1288" s="466">
        <v>3349.0</v>
      </c>
      <c r="B1288" s="1403">
        <v>0.0</v>
      </c>
      <c r="C1288" s="305" t="s">
        <v>2711</v>
      </c>
      <c r="F1288" s="1384"/>
      <c r="G1288" s="1384"/>
    </row>
    <row r="1289">
      <c r="A1289" s="466">
        <v>3363.0</v>
      </c>
      <c r="B1289" s="1403">
        <v>0.0</v>
      </c>
      <c r="C1289" s="305" t="s">
        <v>2712</v>
      </c>
      <c r="F1289" s="1384"/>
      <c r="G1289" s="1384"/>
    </row>
    <row r="1290">
      <c r="A1290" s="466">
        <v>2798.0</v>
      </c>
      <c r="B1290" s="467">
        <v>131.0</v>
      </c>
      <c r="C1290" s="305" t="s">
        <v>3035</v>
      </c>
      <c r="F1290" s="1384"/>
      <c r="G1290" s="1384"/>
    </row>
    <row r="1291">
      <c r="A1291" s="466">
        <v>1142.0</v>
      </c>
      <c r="B1291" s="467">
        <v>80.0</v>
      </c>
      <c r="C1291" s="305" t="s">
        <v>2715</v>
      </c>
      <c r="F1291" s="1384"/>
      <c r="G1291" s="1384"/>
    </row>
    <row r="1292">
      <c r="A1292" s="466">
        <v>897.0</v>
      </c>
      <c r="B1292" s="467">
        <v>88.0</v>
      </c>
      <c r="C1292" s="305" t="s">
        <v>2716</v>
      </c>
      <c r="F1292" s="1384"/>
      <c r="G1292" s="1384"/>
    </row>
    <row r="1293">
      <c r="A1293" s="466">
        <v>2300.0</v>
      </c>
      <c r="B1293" s="467">
        <v>88.0</v>
      </c>
      <c r="C1293" s="305" t="s">
        <v>2717</v>
      </c>
      <c r="F1293" s="1384"/>
      <c r="G1293" s="1384"/>
    </row>
    <row r="1294">
      <c r="A1294" s="466">
        <v>386.0</v>
      </c>
      <c r="B1294" s="467">
        <v>88.0</v>
      </c>
      <c r="C1294" s="305" t="s">
        <v>300</v>
      </c>
      <c r="F1294" s="1384"/>
      <c r="G1294" s="1384"/>
    </row>
    <row r="1295">
      <c r="A1295" s="466">
        <v>909.0</v>
      </c>
      <c r="B1295" s="467">
        <v>88.0</v>
      </c>
      <c r="C1295" s="305" t="s">
        <v>2718</v>
      </c>
      <c r="F1295" s="1384"/>
      <c r="G1295" s="1384"/>
    </row>
    <row r="1296">
      <c r="A1296" s="466">
        <v>2386.0</v>
      </c>
      <c r="B1296" s="467">
        <v>88.0</v>
      </c>
      <c r="C1296" s="305" t="s">
        <v>2719</v>
      </c>
      <c r="F1296" s="1384"/>
      <c r="G1296" s="1384"/>
    </row>
    <row r="1297">
      <c r="A1297" s="466">
        <v>2269.0</v>
      </c>
      <c r="B1297" s="467">
        <v>88.0</v>
      </c>
      <c r="C1297" s="305" t="s">
        <v>2720</v>
      </c>
      <c r="F1297" s="1384"/>
      <c r="G1297" s="1384"/>
    </row>
    <row r="1298">
      <c r="A1298" s="466">
        <v>8.0</v>
      </c>
      <c r="B1298" s="917">
        <v>104.0</v>
      </c>
      <c r="C1298" s="305" t="s">
        <v>272</v>
      </c>
      <c r="F1298" s="1384"/>
      <c r="G1298" s="1384"/>
    </row>
    <row r="1299">
      <c r="A1299" s="466">
        <v>1237.0</v>
      </c>
      <c r="B1299" s="917">
        <v>148.0</v>
      </c>
      <c r="C1299" s="305" t="s">
        <v>2721</v>
      </c>
      <c r="F1299" s="1384"/>
      <c r="G1299" s="1384"/>
    </row>
    <row r="1300">
      <c r="A1300" s="466">
        <v>2330.0</v>
      </c>
      <c r="B1300" s="467">
        <v>88.0</v>
      </c>
      <c r="C1300" s="305" t="s">
        <v>2722</v>
      </c>
      <c r="F1300" s="1384"/>
      <c r="G1300" s="1384"/>
    </row>
    <row r="1301">
      <c r="A1301" s="466">
        <v>910.0</v>
      </c>
      <c r="B1301" s="467">
        <v>88.0</v>
      </c>
      <c r="C1301" s="305" t="s">
        <v>2723</v>
      </c>
      <c r="F1301" s="1384"/>
      <c r="G1301" s="1384"/>
    </row>
    <row r="1302">
      <c r="A1302" s="466">
        <v>1403.0</v>
      </c>
      <c r="B1302" s="467">
        <v>80.0</v>
      </c>
      <c r="C1302" s="305" t="s">
        <v>2724</v>
      </c>
      <c r="F1302" s="1384"/>
      <c r="G1302" s="1384"/>
    </row>
    <row r="1303">
      <c r="A1303" s="466">
        <v>2288.0</v>
      </c>
      <c r="B1303" s="467">
        <v>88.0</v>
      </c>
      <c r="C1303" s="305" t="s">
        <v>379</v>
      </c>
      <c r="F1303" s="1384"/>
      <c r="G1303" s="1384"/>
    </row>
    <row r="1304">
      <c r="A1304" s="466">
        <v>2679.0</v>
      </c>
      <c r="B1304" s="467">
        <v>88.0</v>
      </c>
      <c r="C1304" s="305" t="s">
        <v>2725</v>
      </c>
      <c r="F1304" s="1384"/>
      <c r="G1304" s="1384"/>
    </row>
    <row r="1305">
      <c r="A1305" s="466">
        <v>867.0</v>
      </c>
      <c r="B1305" s="467">
        <v>88.0</v>
      </c>
      <c r="C1305" s="305" t="s">
        <v>1171</v>
      </c>
      <c r="F1305" s="1384"/>
      <c r="G1305" s="1384"/>
    </row>
    <row r="1306">
      <c r="A1306" s="466">
        <v>2693.0</v>
      </c>
      <c r="B1306" s="467">
        <v>88.0</v>
      </c>
      <c r="C1306" s="305" t="s">
        <v>2726</v>
      </c>
      <c r="F1306" s="1384"/>
      <c r="G1306" s="1384"/>
    </row>
    <row r="1307">
      <c r="A1307" s="466">
        <v>3832.0</v>
      </c>
      <c r="B1307" s="467">
        <v>184.0</v>
      </c>
      <c r="C1307" s="305" t="s">
        <v>1182</v>
      </c>
      <c r="F1307" s="1384"/>
      <c r="G1307" s="1384"/>
    </row>
    <row r="1308">
      <c r="A1308" s="466">
        <v>29.0</v>
      </c>
      <c r="B1308" s="467">
        <v>90.0</v>
      </c>
      <c r="C1308" s="305" t="s">
        <v>2727</v>
      </c>
      <c r="F1308" s="1384"/>
      <c r="G1308" s="1384"/>
    </row>
    <row r="1309">
      <c r="A1309" s="466">
        <v>1368.0</v>
      </c>
      <c r="B1309" s="467">
        <v>80.0</v>
      </c>
      <c r="C1309" s="305" t="s">
        <v>2728</v>
      </c>
      <c r="F1309" s="1384"/>
      <c r="G1309" s="1384"/>
    </row>
    <row r="1310">
      <c r="A1310" s="466">
        <v>3831.0</v>
      </c>
      <c r="B1310" s="467">
        <v>190.0</v>
      </c>
      <c r="C1310" s="305" t="s">
        <v>2729</v>
      </c>
      <c r="F1310" s="1384"/>
      <c r="G1310" s="1384"/>
    </row>
    <row r="1311">
      <c r="A1311" s="466">
        <v>532.0</v>
      </c>
      <c r="B1311" s="467">
        <v>88.0</v>
      </c>
      <c r="C1311" s="305" t="s">
        <v>2730</v>
      </c>
      <c r="F1311" s="1384"/>
      <c r="G1311" s="1384"/>
    </row>
    <row r="1312">
      <c r="A1312" s="466">
        <v>2273.0</v>
      </c>
      <c r="B1312" s="467">
        <v>88.0</v>
      </c>
      <c r="C1312" s="305" t="s">
        <v>2731</v>
      </c>
      <c r="F1312" s="1384"/>
      <c r="G1312" s="1384"/>
    </row>
    <row r="1313">
      <c r="A1313" s="466">
        <v>2320.0</v>
      </c>
      <c r="B1313" s="467">
        <v>88.0</v>
      </c>
      <c r="C1313" s="305" t="s">
        <v>2732</v>
      </c>
      <c r="F1313" s="1384"/>
      <c r="G1313" s="1384"/>
    </row>
    <row r="1314">
      <c r="A1314" s="466">
        <v>1106.0</v>
      </c>
      <c r="B1314" s="917">
        <v>139.0</v>
      </c>
      <c r="C1314" s="305" t="s">
        <v>2733</v>
      </c>
      <c r="F1314" s="1384"/>
      <c r="G1314" s="1384"/>
    </row>
    <row r="1315">
      <c r="A1315" s="466">
        <v>2369.0</v>
      </c>
      <c r="B1315" s="467">
        <v>88.0</v>
      </c>
      <c r="C1315" s="305" t="s">
        <v>2734</v>
      </c>
      <c r="F1315" s="1384"/>
      <c r="G1315" s="1384"/>
    </row>
    <row r="1316">
      <c r="A1316" s="466">
        <v>2255.0</v>
      </c>
      <c r="B1316" s="467">
        <v>88.0</v>
      </c>
      <c r="C1316" s="305" t="s">
        <v>2735</v>
      </c>
      <c r="F1316" s="1384"/>
      <c r="G1316" s="1384"/>
    </row>
    <row r="1317">
      <c r="A1317" s="466">
        <v>582.0</v>
      </c>
      <c r="B1317" s="467">
        <v>88.0</v>
      </c>
      <c r="C1317" s="305" t="s">
        <v>2736</v>
      </c>
      <c r="F1317" s="1384"/>
      <c r="G1317" s="1384"/>
    </row>
    <row r="1318">
      <c r="A1318" s="466">
        <v>44.0</v>
      </c>
      <c r="B1318" s="467">
        <v>80.0</v>
      </c>
      <c r="C1318" s="305" t="s">
        <v>2738</v>
      </c>
      <c r="F1318" s="1384"/>
      <c r="G1318" s="1384"/>
    </row>
    <row r="1319">
      <c r="A1319" s="466">
        <v>60.0</v>
      </c>
      <c r="B1319" s="467">
        <v>80.0</v>
      </c>
      <c r="C1319" s="305" t="s">
        <v>2739</v>
      </c>
      <c r="F1319" s="1384"/>
      <c r="G1319" s="1384"/>
    </row>
    <row r="1320">
      <c r="A1320" s="466">
        <v>2274.0</v>
      </c>
      <c r="B1320" s="467">
        <v>88.0</v>
      </c>
      <c r="C1320" s="305" t="s">
        <v>2740</v>
      </c>
      <c r="F1320" s="1384"/>
      <c r="G1320" s="1384"/>
    </row>
    <row r="1321">
      <c r="A1321" s="466">
        <v>1163.0</v>
      </c>
      <c r="B1321" s="467">
        <v>88.0</v>
      </c>
      <c r="C1321" s="305" t="s">
        <v>2741</v>
      </c>
      <c r="F1321" s="1384"/>
      <c r="G1321" s="1384"/>
    </row>
    <row r="1322">
      <c r="A1322" s="466">
        <v>2289.0</v>
      </c>
      <c r="B1322" s="467">
        <v>88.0</v>
      </c>
      <c r="C1322" s="305" t="s">
        <v>2742</v>
      </c>
      <c r="F1322" s="1384"/>
      <c r="G1322" s="1384"/>
    </row>
    <row r="1323">
      <c r="A1323" s="466">
        <v>961.0</v>
      </c>
      <c r="B1323" s="467">
        <v>88.0</v>
      </c>
      <c r="C1323" s="305" t="s">
        <v>2743</v>
      </c>
      <c r="F1323" s="1384"/>
      <c r="G1323" s="1384"/>
    </row>
    <row r="1324">
      <c r="A1324" s="466">
        <v>2806.0</v>
      </c>
      <c r="B1324" s="467">
        <v>88.0</v>
      </c>
      <c r="C1324" s="305" t="s">
        <v>2744</v>
      </c>
      <c r="F1324" s="1384"/>
      <c r="G1324" s="1384"/>
    </row>
    <row r="1325">
      <c r="A1325" s="466">
        <v>1394.0</v>
      </c>
      <c r="B1325" s="917">
        <v>118.0</v>
      </c>
      <c r="C1325" s="305" t="s">
        <v>412</v>
      </c>
      <c r="F1325" s="1384"/>
      <c r="G1325" s="1384"/>
    </row>
    <row r="1326">
      <c r="A1326" s="466">
        <v>3431.0</v>
      </c>
      <c r="B1326" s="467">
        <v>111.0</v>
      </c>
      <c r="C1326" s="305" t="s">
        <v>2745</v>
      </c>
      <c r="F1326" s="1384"/>
      <c r="G1326" s="1384"/>
    </row>
    <row r="1327">
      <c r="A1327" s="466">
        <v>2600.0</v>
      </c>
      <c r="B1327" s="467">
        <v>200.0</v>
      </c>
      <c r="C1327" s="305" t="s">
        <v>2746</v>
      </c>
      <c r="F1327" s="1384"/>
      <c r="G1327" s="1384"/>
    </row>
    <row r="1328">
      <c r="A1328" s="466">
        <v>2588.0</v>
      </c>
      <c r="B1328" s="467">
        <v>222.0</v>
      </c>
      <c r="C1328" s="305" t="s">
        <v>2747</v>
      </c>
      <c r="F1328" s="1384"/>
      <c r="G1328" s="1384"/>
    </row>
    <row r="1329">
      <c r="A1329" s="466">
        <v>2589.0</v>
      </c>
      <c r="B1329" s="467">
        <v>222.0</v>
      </c>
      <c r="C1329" s="305" t="s">
        <v>2748</v>
      </c>
      <c r="F1329" s="1384"/>
      <c r="G1329" s="1384"/>
    </row>
    <row r="1330">
      <c r="A1330" s="466">
        <v>2594.0</v>
      </c>
      <c r="B1330" s="467">
        <v>212.0</v>
      </c>
      <c r="C1330" s="305" t="s">
        <v>2749</v>
      </c>
      <c r="F1330" s="1384"/>
      <c r="G1330" s="1384"/>
    </row>
    <row r="1331">
      <c r="A1331" s="466">
        <v>2599.0</v>
      </c>
      <c r="B1331" s="467">
        <v>167.0</v>
      </c>
      <c r="C1331" s="305" t="s">
        <v>2750</v>
      </c>
      <c r="F1331" s="1384"/>
      <c r="G1331" s="1384"/>
    </row>
    <row r="1332">
      <c r="A1332" s="466">
        <v>2596.0</v>
      </c>
      <c r="B1332" s="467">
        <v>189.0</v>
      </c>
      <c r="C1332" s="305" t="s">
        <v>2751</v>
      </c>
      <c r="F1332" s="1384"/>
      <c r="G1332" s="1384"/>
    </row>
    <row r="1333">
      <c r="A1333" s="466">
        <v>2593.0</v>
      </c>
      <c r="B1333" s="467">
        <v>144.0</v>
      </c>
      <c r="C1333" s="305" t="s">
        <v>2752</v>
      </c>
      <c r="F1333" s="1384"/>
      <c r="G1333" s="1384"/>
    </row>
    <row r="1334">
      <c r="A1334" s="466">
        <v>2930.0</v>
      </c>
      <c r="B1334" s="467">
        <v>85.0</v>
      </c>
      <c r="C1334" s="305" t="s">
        <v>2753</v>
      </c>
      <c r="F1334" s="1384"/>
      <c r="G1334" s="1384"/>
    </row>
    <row r="1335">
      <c r="A1335" s="466">
        <v>2293.0</v>
      </c>
      <c r="B1335" s="467">
        <v>180.0</v>
      </c>
      <c r="C1335" s="305" t="s">
        <v>2754</v>
      </c>
      <c r="F1335" s="1384"/>
      <c r="G1335" s="1384"/>
    </row>
    <row r="1336">
      <c r="A1336" s="466">
        <v>2595.0</v>
      </c>
      <c r="B1336" s="467">
        <v>189.0</v>
      </c>
      <c r="C1336" s="305" t="s">
        <v>2755</v>
      </c>
      <c r="F1336" s="1384"/>
      <c r="G1336" s="1384"/>
    </row>
    <row r="1337">
      <c r="A1337" s="466">
        <v>2592.0</v>
      </c>
      <c r="B1337" s="467">
        <v>264.0</v>
      </c>
      <c r="C1337" s="305" t="s">
        <v>2756</v>
      </c>
      <c r="F1337" s="1384"/>
      <c r="G1337" s="1384"/>
    </row>
    <row r="1338">
      <c r="A1338" s="466">
        <v>1480.0</v>
      </c>
      <c r="B1338" s="467">
        <v>55.0</v>
      </c>
      <c r="C1338" s="305" t="s">
        <v>380</v>
      </c>
      <c r="F1338" s="1384"/>
      <c r="G1338" s="1384"/>
    </row>
    <row r="1339">
      <c r="A1339" s="466">
        <v>2455.0</v>
      </c>
      <c r="B1339" s="467">
        <v>60.0</v>
      </c>
      <c r="C1339" s="305" t="s">
        <v>2757</v>
      </c>
      <c r="F1339" s="1384"/>
      <c r="G1339" s="1384"/>
    </row>
    <row r="1340">
      <c r="A1340" s="466">
        <v>3528.0</v>
      </c>
      <c r="B1340" s="467">
        <v>56.0</v>
      </c>
      <c r="C1340" s="305" t="s">
        <v>463</v>
      </c>
      <c r="F1340" s="1384"/>
      <c r="G1340" s="1384"/>
    </row>
    <row r="1341">
      <c r="A1341" s="466">
        <v>3045.0</v>
      </c>
      <c r="B1341" s="917">
        <v>226.0</v>
      </c>
      <c r="C1341" s="305" t="s">
        <v>308</v>
      </c>
      <c r="F1341" s="1384"/>
      <c r="G1341" s="1384"/>
    </row>
    <row r="1342">
      <c r="A1342" s="466">
        <v>3236.0</v>
      </c>
      <c r="B1342" s="467">
        <v>216.0</v>
      </c>
      <c r="C1342" s="305" t="s">
        <v>984</v>
      </c>
      <c r="F1342" s="1384"/>
      <c r="G1342" s="1384"/>
    </row>
    <row r="1343">
      <c r="A1343" s="466">
        <v>2423.0</v>
      </c>
      <c r="B1343" s="467">
        <v>226.0</v>
      </c>
      <c r="C1343" s="305" t="s">
        <v>452</v>
      </c>
      <c r="F1343" s="1384"/>
      <c r="G1343" s="1384"/>
    </row>
    <row r="1344">
      <c r="A1344" s="466">
        <v>145.0</v>
      </c>
      <c r="B1344" s="467">
        <v>226.0</v>
      </c>
      <c r="C1344" s="305" t="s">
        <v>978</v>
      </c>
      <c r="F1344" s="1384"/>
      <c r="G1344" s="1384"/>
    </row>
    <row r="1345">
      <c r="A1345" s="466">
        <v>3408.0</v>
      </c>
      <c r="B1345" s="917">
        <v>220.0</v>
      </c>
      <c r="C1345" s="305" t="s">
        <v>1204</v>
      </c>
      <c r="F1345" s="1384"/>
      <c r="G1345" s="1384"/>
    </row>
    <row r="1346">
      <c r="A1346" s="466">
        <v>3140.0</v>
      </c>
      <c r="B1346" s="467">
        <v>165.0</v>
      </c>
      <c r="C1346" s="305" t="s">
        <v>436</v>
      </c>
      <c r="F1346" s="1384"/>
      <c r="G1346" s="1384"/>
    </row>
    <row r="1347">
      <c r="A1347" s="466">
        <v>2083.0</v>
      </c>
      <c r="B1347" s="917">
        <v>158.0</v>
      </c>
      <c r="C1347" s="305" t="s">
        <v>284</v>
      </c>
      <c r="F1347" s="1384"/>
      <c r="G1347" s="1384"/>
    </row>
    <row r="1348">
      <c r="A1348" s="466">
        <v>1295.0</v>
      </c>
      <c r="B1348" s="467">
        <v>140.0</v>
      </c>
      <c r="C1348" s="305" t="s">
        <v>2758</v>
      </c>
      <c r="F1348" s="1384"/>
      <c r="G1348" s="1384"/>
    </row>
    <row r="1349">
      <c r="A1349" s="466">
        <v>654.0</v>
      </c>
      <c r="B1349" s="467">
        <v>187.0</v>
      </c>
      <c r="C1349" s="305" t="s">
        <v>277</v>
      </c>
      <c r="F1349" s="1384"/>
      <c r="G1349" s="1384"/>
    </row>
    <row r="1350">
      <c r="A1350" s="1421">
        <v>3038.0</v>
      </c>
      <c r="B1350" s="467">
        <v>140.0</v>
      </c>
      <c r="C1350" s="305" t="s">
        <v>2759</v>
      </c>
      <c r="F1350" s="1384"/>
      <c r="G1350" s="1384"/>
    </row>
    <row r="1351">
      <c r="A1351" s="1421">
        <v>5.0</v>
      </c>
      <c r="B1351" s="467">
        <v>155.0</v>
      </c>
      <c r="C1351" s="305" t="s">
        <v>387</v>
      </c>
      <c r="F1351" s="1384"/>
      <c r="G1351" s="1384"/>
    </row>
    <row r="1352">
      <c r="A1352" s="1421">
        <v>2364.0</v>
      </c>
      <c r="B1352" s="917">
        <v>170.0</v>
      </c>
      <c r="C1352" s="305" t="s">
        <v>407</v>
      </c>
      <c r="F1352" s="1384"/>
      <c r="G1352" s="1384"/>
    </row>
    <row r="1353">
      <c r="A1353" s="466">
        <v>3329.0</v>
      </c>
      <c r="B1353" s="1403">
        <v>0.0</v>
      </c>
      <c r="C1353" s="305" t="s">
        <v>2762</v>
      </c>
      <c r="F1353" s="1384"/>
      <c r="G1353" s="1384"/>
    </row>
    <row r="1354">
      <c r="A1354" s="466">
        <v>33.0</v>
      </c>
      <c r="B1354" s="467">
        <v>155.0</v>
      </c>
      <c r="C1354" s="305" t="s">
        <v>524</v>
      </c>
      <c r="F1354" s="1384"/>
      <c r="G1354" s="1384"/>
    </row>
    <row r="1355">
      <c r="A1355" s="466">
        <v>4.0</v>
      </c>
      <c r="B1355" s="467">
        <v>165.0</v>
      </c>
      <c r="C1355" s="305" t="s">
        <v>2763</v>
      </c>
      <c r="F1355" s="1384"/>
      <c r="G1355" s="1384"/>
    </row>
    <row r="1356">
      <c r="A1356" s="466">
        <v>3215.0</v>
      </c>
      <c r="B1356" s="467">
        <v>185.0</v>
      </c>
      <c r="C1356" s="305" t="s">
        <v>1219</v>
      </c>
      <c r="F1356" s="1384"/>
      <c r="G1356" s="1384"/>
    </row>
    <row r="1357">
      <c r="A1357" s="466">
        <v>3247.0</v>
      </c>
      <c r="B1357" s="467">
        <v>185.0</v>
      </c>
      <c r="C1357" s="305" t="s">
        <v>2764</v>
      </c>
      <c r="F1357" s="1384"/>
      <c r="G1357" s="1384"/>
    </row>
    <row r="1358">
      <c r="A1358" s="466">
        <v>3248.0</v>
      </c>
      <c r="B1358" s="467">
        <v>185.0</v>
      </c>
      <c r="C1358" s="305" t="s">
        <v>3037</v>
      </c>
      <c r="F1358" s="1384"/>
      <c r="G1358" s="1384"/>
    </row>
    <row r="1359">
      <c r="A1359" s="466">
        <v>3231.0</v>
      </c>
      <c r="B1359" s="467">
        <v>190.0</v>
      </c>
      <c r="C1359" s="305" t="s">
        <v>2765</v>
      </c>
      <c r="F1359" s="1384"/>
      <c r="G1359" s="1384"/>
    </row>
    <row r="1360">
      <c r="A1360" s="466">
        <v>3330.0</v>
      </c>
      <c r="B1360" s="917">
        <v>172.0</v>
      </c>
      <c r="C1360" s="305" t="s">
        <v>330</v>
      </c>
      <c r="F1360" s="1384"/>
      <c r="G1360" s="1384"/>
    </row>
    <row r="1361">
      <c r="A1361" s="466">
        <v>3486.0</v>
      </c>
      <c r="B1361" s="467">
        <v>175.0</v>
      </c>
      <c r="C1361" s="305" t="s">
        <v>303</v>
      </c>
      <c r="F1361" s="1384"/>
      <c r="G1361" s="1384"/>
    </row>
    <row r="1362">
      <c r="A1362" s="466">
        <v>3.0</v>
      </c>
      <c r="B1362" s="917">
        <v>172.0</v>
      </c>
      <c r="C1362" s="305" t="s">
        <v>404</v>
      </c>
      <c r="F1362" s="1384"/>
      <c r="G1362" s="1384"/>
    </row>
    <row r="1363">
      <c r="A1363" s="466">
        <v>3850.0</v>
      </c>
      <c r="B1363" s="467">
        <v>182.0</v>
      </c>
      <c r="C1363" s="305" t="s">
        <v>1206</v>
      </c>
      <c r="F1363" s="1384"/>
      <c r="G1363" s="1384"/>
    </row>
    <row r="1364">
      <c r="A1364" s="466">
        <v>3326.0</v>
      </c>
      <c r="B1364" s="467">
        <v>140.0</v>
      </c>
      <c r="C1364" s="305" t="s">
        <v>2767</v>
      </c>
      <c r="F1364" s="1384"/>
      <c r="G1364" s="1384"/>
    </row>
    <row r="1365">
      <c r="A1365" s="466">
        <v>2782.0</v>
      </c>
      <c r="B1365" s="467">
        <v>170.0</v>
      </c>
      <c r="C1365" s="305" t="s">
        <v>307</v>
      </c>
      <c r="F1365" s="1384"/>
      <c r="G1365" s="1384"/>
    </row>
    <row r="1366">
      <c r="A1366" s="466">
        <v>2767.0</v>
      </c>
      <c r="B1366" s="467">
        <v>185.0</v>
      </c>
      <c r="C1366" s="305" t="s">
        <v>2768</v>
      </c>
      <c r="F1366" s="1384"/>
      <c r="G1366" s="1384"/>
    </row>
    <row r="1367">
      <c r="A1367" s="466">
        <v>3483.0</v>
      </c>
      <c r="B1367" s="467">
        <v>187.0</v>
      </c>
      <c r="C1367" s="305" t="s">
        <v>1222</v>
      </c>
      <c r="F1367" s="1384"/>
      <c r="G1367" s="1384"/>
    </row>
    <row r="1368">
      <c r="A1368" s="466">
        <v>2132.0</v>
      </c>
      <c r="B1368" s="467">
        <v>140.0</v>
      </c>
      <c r="C1368" s="305" t="s">
        <v>2770</v>
      </c>
      <c r="F1368" s="1384"/>
      <c r="G1368" s="1384"/>
    </row>
    <row r="1369">
      <c r="A1369" s="466">
        <v>54.0</v>
      </c>
      <c r="B1369" s="467">
        <v>188.0</v>
      </c>
      <c r="C1369" s="305" t="s">
        <v>554</v>
      </c>
      <c r="F1369" s="1384"/>
      <c r="G1369" s="1384"/>
    </row>
    <row r="1370">
      <c r="A1370" s="466">
        <v>2636.0</v>
      </c>
      <c r="B1370" s="467">
        <v>155.0</v>
      </c>
      <c r="C1370" s="305" t="s">
        <v>2771</v>
      </c>
      <c r="F1370" s="1384"/>
      <c r="G1370" s="1384"/>
    </row>
    <row r="1371">
      <c r="A1371" s="466">
        <v>3108.0</v>
      </c>
      <c r="B1371" s="467">
        <v>150.0</v>
      </c>
      <c r="C1371" s="305" t="s">
        <v>2772</v>
      </c>
      <c r="F1371" s="1384"/>
      <c r="G1371" s="1384"/>
    </row>
    <row r="1372">
      <c r="A1372" s="466">
        <v>2866.0</v>
      </c>
      <c r="B1372" s="467">
        <v>150.0</v>
      </c>
      <c r="C1372" s="305" t="s">
        <v>829</v>
      </c>
      <c r="F1372" s="1384"/>
      <c r="G1372" s="1384"/>
    </row>
    <row r="1373">
      <c r="A1373" s="466">
        <v>2266.0</v>
      </c>
      <c r="B1373" s="467">
        <v>150.0</v>
      </c>
      <c r="C1373" s="305" t="s">
        <v>2773</v>
      </c>
      <c r="F1373" s="1384"/>
      <c r="G1373" s="1384"/>
    </row>
    <row r="1374">
      <c r="A1374" s="466">
        <v>2770.0</v>
      </c>
      <c r="B1374" s="467">
        <v>188.0</v>
      </c>
      <c r="C1374" s="305" t="s">
        <v>2774</v>
      </c>
      <c r="F1374" s="1384"/>
      <c r="G1374" s="1384"/>
    </row>
    <row r="1375">
      <c r="A1375" s="466">
        <v>2813.0</v>
      </c>
      <c r="B1375" s="467">
        <v>188.0</v>
      </c>
      <c r="C1375" s="305" t="s">
        <v>2775</v>
      </c>
      <c r="F1375" s="1384"/>
      <c r="G1375" s="1384"/>
    </row>
    <row r="1376">
      <c r="A1376" s="466">
        <v>1990.0</v>
      </c>
      <c r="B1376" s="467">
        <v>188.0</v>
      </c>
      <c r="C1376" s="305" t="s">
        <v>2776</v>
      </c>
      <c r="F1376" s="1384"/>
      <c r="G1376" s="1384"/>
    </row>
    <row r="1377">
      <c r="A1377" s="466">
        <v>2215.0</v>
      </c>
      <c r="B1377" s="467">
        <v>188.0</v>
      </c>
      <c r="C1377" s="305" t="s">
        <v>2777</v>
      </c>
      <c r="F1377" s="1384"/>
      <c r="G1377" s="1384"/>
    </row>
    <row r="1378">
      <c r="A1378" s="466">
        <v>1211.0</v>
      </c>
      <c r="B1378" s="467">
        <v>180.0</v>
      </c>
      <c r="C1378" s="305" t="s">
        <v>2779</v>
      </c>
      <c r="F1378" s="1384"/>
      <c r="G1378" s="1384"/>
    </row>
    <row r="1379">
      <c r="A1379" s="466">
        <v>1107.0</v>
      </c>
      <c r="B1379" s="467">
        <v>180.0</v>
      </c>
      <c r="C1379" s="305" t="s">
        <v>2780</v>
      </c>
      <c r="F1379" s="1384"/>
      <c r="G1379" s="1384"/>
    </row>
    <row r="1380">
      <c r="A1380" s="466">
        <v>989.0</v>
      </c>
      <c r="B1380" s="467">
        <v>180.0</v>
      </c>
      <c r="C1380" s="305" t="s">
        <v>2781</v>
      </c>
      <c r="F1380" s="1384"/>
      <c r="G1380" s="1384"/>
    </row>
    <row r="1381">
      <c r="A1381" s="466">
        <v>994.0</v>
      </c>
      <c r="B1381" s="467">
        <v>198.0</v>
      </c>
      <c r="C1381" s="305" t="s">
        <v>2782</v>
      </c>
      <c r="F1381" s="1384"/>
      <c r="G1381" s="1384"/>
    </row>
    <row r="1382">
      <c r="A1382" s="466">
        <v>1178.0</v>
      </c>
      <c r="B1382" s="467">
        <v>180.0</v>
      </c>
      <c r="C1382" s="305" t="s">
        <v>2783</v>
      </c>
      <c r="F1382" s="1384"/>
      <c r="G1382" s="1384"/>
    </row>
    <row r="1383">
      <c r="A1383" s="466">
        <v>1235.0</v>
      </c>
      <c r="B1383" s="467">
        <v>198.0</v>
      </c>
      <c r="C1383" s="305" t="s">
        <v>2784</v>
      </c>
      <c r="F1383" s="1384"/>
      <c r="G1383" s="1384"/>
    </row>
    <row r="1384">
      <c r="A1384" s="466">
        <v>3787.0</v>
      </c>
      <c r="B1384" s="467">
        <v>198.0</v>
      </c>
      <c r="C1384" s="305" t="s">
        <v>648</v>
      </c>
      <c r="F1384" s="1384"/>
      <c r="G1384" s="1384"/>
    </row>
    <row r="1385">
      <c r="A1385" s="466">
        <v>883.0</v>
      </c>
      <c r="B1385" s="467">
        <v>221.0</v>
      </c>
      <c r="C1385" s="305" t="s">
        <v>2786</v>
      </c>
      <c r="F1385" s="1384"/>
      <c r="G1385" s="1384"/>
    </row>
    <row r="1386">
      <c r="A1386" s="466">
        <v>575.0</v>
      </c>
      <c r="B1386" s="467">
        <v>180.0</v>
      </c>
      <c r="C1386" s="305" t="s">
        <v>2787</v>
      </c>
      <c r="F1386" s="1384"/>
      <c r="G1386" s="1384"/>
    </row>
    <row r="1387">
      <c r="A1387" s="466">
        <v>375.0</v>
      </c>
      <c r="B1387" s="467">
        <v>180.0</v>
      </c>
      <c r="C1387" s="305" t="s">
        <v>2788</v>
      </c>
      <c r="F1387" s="1384"/>
      <c r="G1387" s="1384"/>
    </row>
    <row r="1388">
      <c r="A1388" s="466">
        <v>1108.0</v>
      </c>
      <c r="B1388" s="467">
        <v>180.0</v>
      </c>
      <c r="C1388" s="305" t="s">
        <v>2789</v>
      </c>
      <c r="F1388" s="1384"/>
      <c r="G1388" s="1384"/>
    </row>
    <row r="1389">
      <c r="A1389" s="466">
        <v>993.0</v>
      </c>
      <c r="B1389" s="467">
        <v>180.0</v>
      </c>
      <c r="C1389" s="305" t="s">
        <v>2790</v>
      </c>
      <c r="F1389" s="1384"/>
      <c r="G1389" s="1384"/>
    </row>
    <row r="1390">
      <c r="A1390" s="466">
        <v>2981.0</v>
      </c>
      <c r="B1390" s="467">
        <v>198.0</v>
      </c>
      <c r="C1390" s="305" t="s">
        <v>2791</v>
      </c>
      <c r="F1390" s="1384"/>
      <c r="G1390" s="1384"/>
    </row>
    <row r="1391">
      <c r="A1391" s="466">
        <v>1991.0</v>
      </c>
      <c r="B1391" s="467">
        <v>198.0</v>
      </c>
      <c r="C1391" s="305" t="s">
        <v>2792</v>
      </c>
      <c r="F1391" s="1384"/>
      <c r="G1391" s="1384"/>
    </row>
    <row r="1392">
      <c r="A1392" s="466">
        <v>3384.0</v>
      </c>
      <c r="B1392" s="467">
        <v>188.0</v>
      </c>
      <c r="C1392" s="305" t="s">
        <v>2793</v>
      </c>
      <c r="F1392" s="1384"/>
      <c r="G1392" s="1384"/>
    </row>
    <row r="1393">
      <c r="A1393" s="466">
        <v>3383.0</v>
      </c>
      <c r="B1393" s="1403">
        <v>0.0</v>
      </c>
      <c r="C1393" s="305" t="s">
        <v>2794</v>
      </c>
      <c r="F1393" s="1384"/>
      <c r="G1393" s="1384"/>
    </row>
    <row r="1394">
      <c r="A1394" s="466">
        <v>1151.0</v>
      </c>
      <c r="B1394" s="467">
        <v>198.0</v>
      </c>
      <c r="C1394" s="305" t="s">
        <v>359</v>
      </c>
      <c r="F1394" s="1384"/>
      <c r="G1394" s="1384"/>
    </row>
    <row r="1395">
      <c r="A1395" s="466">
        <v>3469.0</v>
      </c>
      <c r="B1395" s="467">
        <v>198.0</v>
      </c>
      <c r="C1395" s="305" t="s">
        <v>2795</v>
      </c>
      <c r="F1395" s="1384"/>
      <c r="G1395" s="1384"/>
    </row>
    <row r="1396">
      <c r="A1396" s="466">
        <v>2545.0</v>
      </c>
      <c r="B1396" s="467">
        <v>150.0</v>
      </c>
      <c r="C1396" s="305" t="s">
        <v>2796</v>
      </c>
      <c r="F1396" s="1384"/>
      <c r="G1396" s="1384"/>
    </row>
    <row r="1397">
      <c r="A1397" s="466">
        <v>1105.0</v>
      </c>
      <c r="B1397" s="467">
        <v>198.0</v>
      </c>
      <c r="C1397" s="305" t="s">
        <v>640</v>
      </c>
      <c r="F1397" s="1384"/>
      <c r="G1397" s="1384"/>
    </row>
    <row r="1398">
      <c r="A1398" s="466">
        <v>1066.0</v>
      </c>
      <c r="B1398" s="467">
        <v>180.0</v>
      </c>
      <c r="C1398" s="305" t="s">
        <v>2797</v>
      </c>
      <c r="F1398" s="1384"/>
      <c r="G1398" s="1384"/>
    </row>
    <row r="1399">
      <c r="A1399" s="466">
        <v>2544.0</v>
      </c>
      <c r="B1399" s="467">
        <v>232.0</v>
      </c>
      <c r="C1399" s="305" t="s">
        <v>886</v>
      </c>
      <c r="F1399" s="1384"/>
      <c r="G1399" s="1384"/>
    </row>
    <row r="1400">
      <c r="A1400" s="466">
        <v>2541.0</v>
      </c>
      <c r="B1400" s="467">
        <v>178.0</v>
      </c>
      <c r="C1400" s="305" t="s">
        <v>646</v>
      </c>
      <c r="F1400" s="1384"/>
      <c r="G1400" s="1384"/>
    </row>
    <row r="1401">
      <c r="A1401" s="466">
        <v>2240.0</v>
      </c>
      <c r="B1401" s="467">
        <v>180.0</v>
      </c>
      <c r="C1401" s="305" t="s">
        <v>2798</v>
      </c>
      <c r="F1401" s="1384"/>
      <c r="G1401" s="1384"/>
    </row>
    <row r="1402">
      <c r="A1402" s="466">
        <v>2639.0</v>
      </c>
      <c r="B1402" s="467">
        <v>130.0</v>
      </c>
      <c r="C1402" s="305" t="s">
        <v>2799</v>
      </c>
      <c r="F1402" s="1384"/>
      <c r="G1402" s="1384"/>
    </row>
    <row r="1403">
      <c r="A1403" s="466">
        <v>1900.0</v>
      </c>
      <c r="B1403" s="467">
        <v>180.0</v>
      </c>
      <c r="C1403" s="305" t="s">
        <v>2800</v>
      </c>
      <c r="F1403" s="1384"/>
      <c r="G1403" s="1384"/>
    </row>
    <row r="1404">
      <c r="A1404" s="466">
        <v>3512.0</v>
      </c>
      <c r="B1404" s="467">
        <v>268.0</v>
      </c>
      <c r="C1404" s="305" t="s">
        <v>2801</v>
      </c>
      <c r="F1404" s="1384"/>
      <c r="G1404" s="1384"/>
    </row>
    <row r="1405">
      <c r="A1405" s="466">
        <v>3515.0</v>
      </c>
      <c r="B1405" s="917">
        <v>248.0</v>
      </c>
      <c r="C1405" s="305" t="s">
        <v>2766</v>
      </c>
      <c r="F1405" s="1384"/>
      <c r="G1405" s="1384"/>
    </row>
    <row r="1406">
      <c r="A1406" s="466">
        <v>3517.0</v>
      </c>
      <c r="B1406" s="467">
        <v>215.0</v>
      </c>
      <c r="C1406" s="305" t="s">
        <v>536</v>
      </c>
      <c r="F1406" s="1384"/>
      <c r="G1406" s="1384"/>
    </row>
    <row r="1407">
      <c r="A1407" s="466">
        <v>3559.0</v>
      </c>
      <c r="B1407" s="467">
        <v>319.0</v>
      </c>
      <c r="C1407" s="305" t="s">
        <v>1169</v>
      </c>
      <c r="F1407" s="1384"/>
      <c r="G1407" s="1384"/>
    </row>
    <row r="1408">
      <c r="A1408" s="466">
        <v>3791.0</v>
      </c>
      <c r="B1408" s="467">
        <v>228.0</v>
      </c>
      <c r="C1408" s="305" t="s">
        <v>2802</v>
      </c>
      <c r="F1408" s="1384"/>
      <c r="G1408" s="1384"/>
    </row>
    <row r="1409">
      <c r="A1409" s="466">
        <v>3128.0</v>
      </c>
      <c r="B1409" s="467">
        <v>270.0</v>
      </c>
      <c r="C1409" s="305" t="s">
        <v>2803</v>
      </c>
      <c r="F1409" s="1384"/>
      <c r="G1409" s="1384"/>
    </row>
    <row r="1410">
      <c r="A1410" s="466">
        <v>3751.0</v>
      </c>
      <c r="B1410" s="917">
        <v>280.0</v>
      </c>
      <c r="C1410" s="305" t="s">
        <v>847</v>
      </c>
      <c r="F1410" s="1384"/>
      <c r="G1410" s="1384"/>
    </row>
    <row r="1411">
      <c r="A1411" s="466">
        <v>2339.0</v>
      </c>
      <c r="B1411" s="467">
        <v>15.0</v>
      </c>
      <c r="C1411" s="305" t="s">
        <v>2804</v>
      </c>
      <c r="F1411" s="1384"/>
      <c r="G1411" s="1384"/>
    </row>
    <row r="1412">
      <c r="A1412" s="466">
        <v>2340.0</v>
      </c>
      <c r="B1412" s="467">
        <v>10.0</v>
      </c>
      <c r="C1412" s="305" t="s">
        <v>2805</v>
      </c>
      <c r="F1412" s="1384"/>
      <c r="G1412" s="1384"/>
    </row>
    <row r="1413">
      <c r="A1413" s="466">
        <v>2491.0</v>
      </c>
      <c r="B1413" s="467">
        <v>10.0</v>
      </c>
      <c r="C1413" s="305" t="s">
        <v>2806</v>
      </c>
      <c r="F1413" s="1384"/>
      <c r="G1413" s="1384"/>
    </row>
    <row r="1414">
      <c r="A1414" s="466">
        <v>798.0</v>
      </c>
      <c r="B1414" s="467">
        <v>188.0</v>
      </c>
      <c r="C1414" s="305" t="s">
        <v>2807</v>
      </c>
      <c r="F1414" s="1384"/>
      <c r="G1414" s="1384"/>
    </row>
    <row r="1415">
      <c r="A1415" s="466">
        <v>2329.0</v>
      </c>
      <c r="B1415" s="467">
        <v>188.0</v>
      </c>
      <c r="C1415" s="305" t="s">
        <v>2808</v>
      </c>
      <c r="F1415" s="1384"/>
      <c r="G1415" s="1384"/>
    </row>
    <row r="1416">
      <c r="A1416" s="466">
        <v>2655.0</v>
      </c>
      <c r="B1416" s="467">
        <v>200.0</v>
      </c>
      <c r="C1416" s="305" t="s">
        <v>2809</v>
      </c>
      <c r="F1416" s="1384"/>
      <c r="G1416" s="1384"/>
    </row>
    <row r="1417">
      <c r="A1417" s="466">
        <v>2609.0</v>
      </c>
      <c r="B1417" s="467">
        <v>180.0</v>
      </c>
      <c r="C1417" s="305" t="s">
        <v>2811</v>
      </c>
      <c r="F1417" s="1384"/>
      <c r="G1417" s="1384"/>
    </row>
    <row r="1418">
      <c r="A1418" s="466">
        <v>2502.0</v>
      </c>
      <c r="B1418" s="467">
        <v>180.0</v>
      </c>
      <c r="C1418" s="305" t="s">
        <v>2812</v>
      </c>
      <c r="F1418" s="1384"/>
      <c r="G1418" s="1384"/>
    </row>
    <row r="1419">
      <c r="A1419" s="466">
        <v>3830.0</v>
      </c>
      <c r="B1419" s="467">
        <v>198.0</v>
      </c>
      <c r="C1419" s="305" t="s">
        <v>2814</v>
      </c>
      <c r="F1419" s="1384"/>
      <c r="G1419" s="1384"/>
    </row>
    <row r="1420">
      <c r="A1420" s="466">
        <v>3388.0</v>
      </c>
      <c r="B1420" s="467">
        <v>198.0</v>
      </c>
      <c r="C1420" s="305" t="s">
        <v>2815</v>
      </c>
      <c r="F1420" s="1384"/>
      <c r="G1420" s="1384"/>
    </row>
    <row r="1421">
      <c r="A1421" s="466">
        <v>3337.0</v>
      </c>
      <c r="B1421" s="467">
        <v>180.0</v>
      </c>
      <c r="C1421" s="305" t="s">
        <v>2817</v>
      </c>
      <c r="F1421" s="1384"/>
      <c r="G1421" s="1384"/>
    </row>
    <row r="1422">
      <c r="A1422" s="466">
        <v>3470.0</v>
      </c>
      <c r="B1422" s="467">
        <v>165.0</v>
      </c>
      <c r="C1422" s="305" t="s">
        <v>2818</v>
      </c>
      <c r="F1422" s="1384"/>
      <c r="G1422" s="1384"/>
    </row>
    <row r="1423">
      <c r="A1423" s="466">
        <v>3336.0</v>
      </c>
      <c r="B1423" s="467">
        <v>180.0</v>
      </c>
      <c r="C1423" s="305" t="s">
        <v>2819</v>
      </c>
      <c r="F1423" s="1384"/>
      <c r="G1423" s="1384"/>
    </row>
    <row r="1424">
      <c r="A1424" s="466">
        <v>3413.0</v>
      </c>
      <c r="B1424" s="467">
        <v>198.0</v>
      </c>
      <c r="C1424" s="305" t="s">
        <v>2820</v>
      </c>
      <c r="F1424" s="1384"/>
      <c r="G1424" s="1384"/>
    </row>
    <row r="1425">
      <c r="A1425" s="466">
        <v>3338.0</v>
      </c>
      <c r="B1425" s="467">
        <v>180.0</v>
      </c>
      <c r="C1425" s="305" t="s">
        <v>2821</v>
      </c>
      <c r="F1425" s="1384"/>
      <c r="G1425" s="1384"/>
    </row>
    <row r="1426">
      <c r="A1426" s="466">
        <v>2081.0</v>
      </c>
      <c r="B1426" s="467">
        <v>180.0</v>
      </c>
      <c r="C1426" s="305" t="s">
        <v>2822</v>
      </c>
      <c r="F1426" s="1384"/>
      <c r="G1426" s="1384"/>
    </row>
    <row r="1427">
      <c r="A1427" s="466">
        <v>2077.0</v>
      </c>
      <c r="B1427" s="467">
        <v>180.0</v>
      </c>
      <c r="C1427" s="305" t="s">
        <v>2823</v>
      </c>
      <c r="F1427" s="1384"/>
      <c r="G1427" s="1384"/>
    </row>
    <row r="1428">
      <c r="A1428" s="466">
        <v>2117.0</v>
      </c>
      <c r="B1428" s="467">
        <v>180.0</v>
      </c>
      <c r="C1428" s="305" t="s">
        <v>2824</v>
      </c>
      <c r="F1428" s="1384"/>
      <c r="G1428" s="1384"/>
    </row>
    <row r="1429">
      <c r="A1429" s="466">
        <v>990.0</v>
      </c>
      <c r="B1429" s="467">
        <v>160.0</v>
      </c>
      <c r="C1429" s="305" t="s">
        <v>2825</v>
      </c>
      <c r="F1429" s="1384"/>
      <c r="G1429" s="1384"/>
    </row>
    <row r="1430">
      <c r="A1430" s="466">
        <v>3710.0</v>
      </c>
      <c r="B1430" s="467">
        <v>257.0</v>
      </c>
      <c r="C1430" s="305" t="s">
        <v>2826</v>
      </c>
      <c r="F1430" s="1384"/>
      <c r="G1430" s="1384"/>
    </row>
    <row r="1431">
      <c r="A1431" s="466">
        <v>2244.0</v>
      </c>
      <c r="B1431" s="467">
        <v>180.0</v>
      </c>
      <c r="C1431" s="305" t="s">
        <v>2828</v>
      </c>
      <c r="F1431" s="1384"/>
      <c r="G1431" s="1384"/>
    </row>
    <row r="1432">
      <c r="A1432" s="466">
        <v>3530.0</v>
      </c>
      <c r="B1432" s="467">
        <v>375.0</v>
      </c>
      <c r="C1432" s="305" t="s">
        <v>2830</v>
      </c>
      <c r="F1432" s="1384"/>
      <c r="G1432" s="1384"/>
    </row>
    <row r="1433">
      <c r="A1433" s="466">
        <v>966.0</v>
      </c>
      <c r="B1433" s="467">
        <v>88.0</v>
      </c>
      <c r="C1433" s="305" t="s">
        <v>2831</v>
      </c>
      <c r="F1433" s="1384"/>
      <c r="G1433" s="1384"/>
    </row>
    <row r="1434">
      <c r="A1434" s="466">
        <v>2653.0</v>
      </c>
      <c r="B1434" s="467">
        <v>88.0</v>
      </c>
      <c r="C1434" s="305" t="s">
        <v>2832</v>
      </c>
      <c r="F1434" s="1384"/>
      <c r="G1434" s="1384"/>
    </row>
    <row r="1435">
      <c r="A1435" s="466">
        <v>2338.0</v>
      </c>
      <c r="B1435" s="467">
        <v>88.0</v>
      </c>
      <c r="C1435" s="305" t="s">
        <v>2833</v>
      </c>
      <c r="F1435" s="1384"/>
      <c r="G1435" s="1384"/>
    </row>
    <row r="1436">
      <c r="A1436" s="466">
        <v>68.0</v>
      </c>
      <c r="B1436" s="467">
        <v>90.0</v>
      </c>
      <c r="C1436" s="305" t="s">
        <v>2834</v>
      </c>
      <c r="F1436" s="1384"/>
      <c r="G1436" s="1384"/>
    </row>
    <row r="1437">
      <c r="A1437" s="466">
        <v>1410.0</v>
      </c>
      <c r="B1437" s="467">
        <v>180.0</v>
      </c>
      <c r="C1437" s="305" t="s">
        <v>2836</v>
      </c>
      <c r="F1437" s="1384"/>
      <c r="G1437" s="1384"/>
    </row>
    <row r="1438">
      <c r="A1438" s="466">
        <v>1937.0</v>
      </c>
      <c r="B1438" s="467">
        <v>188.0</v>
      </c>
      <c r="C1438" s="305" t="s">
        <v>2837</v>
      </c>
      <c r="F1438" s="1384"/>
      <c r="G1438" s="1384"/>
    </row>
    <row r="1439">
      <c r="A1439" s="466">
        <v>3443.0</v>
      </c>
      <c r="B1439" s="467">
        <v>216.0</v>
      </c>
      <c r="C1439" s="305" t="s">
        <v>2838</v>
      </c>
      <c r="F1439" s="1384"/>
      <c r="G1439" s="1384"/>
    </row>
    <row r="1440">
      <c r="A1440" s="466">
        <v>3439.0</v>
      </c>
      <c r="B1440" s="467">
        <v>220.0</v>
      </c>
      <c r="C1440" s="305" t="s">
        <v>651</v>
      </c>
      <c r="F1440" s="1384"/>
      <c r="G1440" s="1384"/>
    </row>
    <row r="1441">
      <c r="A1441" s="466">
        <v>2837.0</v>
      </c>
      <c r="B1441" s="467">
        <v>130.0</v>
      </c>
      <c r="C1441" s="305" t="s">
        <v>2841</v>
      </c>
      <c r="F1441" s="1384"/>
      <c r="G1441" s="1384"/>
    </row>
    <row r="1442">
      <c r="A1442" s="466">
        <v>2828.0</v>
      </c>
      <c r="B1442" s="467">
        <v>188.0</v>
      </c>
      <c r="C1442" s="305" t="s">
        <v>2842</v>
      </c>
      <c r="F1442" s="1384"/>
      <c r="G1442" s="1384"/>
    </row>
    <row r="1443">
      <c r="A1443" s="466">
        <v>3057.0</v>
      </c>
      <c r="B1443" s="467">
        <v>223.0</v>
      </c>
      <c r="C1443" s="305" t="s">
        <v>2843</v>
      </c>
      <c r="F1443" s="1384"/>
      <c r="G1443" s="1384"/>
    </row>
    <row r="1444">
      <c r="A1444" s="466">
        <v>2971.0</v>
      </c>
      <c r="B1444" s="467">
        <v>198.0</v>
      </c>
      <c r="C1444" s="305" t="s">
        <v>2844</v>
      </c>
      <c r="F1444" s="1384"/>
      <c r="G1444" s="1384"/>
    </row>
    <row r="1445">
      <c r="A1445" s="466">
        <v>2960.0</v>
      </c>
      <c r="B1445" s="467">
        <v>188.0</v>
      </c>
      <c r="C1445" s="305" t="s">
        <v>2845</v>
      </c>
      <c r="F1445" s="1384"/>
      <c r="G1445" s="1384"/>
    </row>
    <row r="1446">
      <c r="A1446" s="466">
        <v>3288.0</v>
      </c>
      <c r="B1446" s="467">
        <v>205.0</v>
      </c>
      <c r="C1446" s="305" t="s">
        <v>2846</v>
      </c>
      <c r="F1446" s="1384"/>
      <c r="G1446" s="1384"/>
    </row>
    <row r="1447">
      <c r="A1447" s="466">
        <v>3516.0</v>
      </c>
      <c r="B1447" s="467">
        <v>198.0</v>
      </c>
      <c r="C1447" s="305" t="s">
        <v>2847</v>
      </c>
      <c r="F1447" s="1384"/>
      <c r="G1447" s="1384"/>
    </row>
    <row r="1448">
      <c r="A1448" s="466">
        <v>496.0</v>
      </c>
      <c r="B1448" s="1403">
        <v>0.0</v>
      </c>
      <c r="C1448" s="305" t="s">
        <v>2848</v>
      </c>
      <c r="F1448" s="1384"/>
      <c r="G1448" s="1384"/>
    </row>
    <row r="1449">
      <c r="A1449" s="466">
        <v>1870.0</v>
      </c>
      <c r="B1449" s="467">
        <v>180.0</v>
      </c>
      <c r="C1449" s="305" t="s">
        <v>2849</v>
      </c>
      <c r="F1449" s="1384"/>
      <c r="G1449" s="1384"/>
    </row>
    <row r="1450">
      <c r="A1450" s="466">
        <v>3490.0</v>
      </c>
      <c r="B1450" s="467">
        <v>204.0</v>
      </c>
      <c r="C1450" s="305" t="s">
        <v>2850</v>
      </c>
      <c r="F1450" s="1384"/>
      <c r="G1450" s="1384"/>
    </row>
    <row r="1451">
      <c r="A1451" s="466">
        <v>3453.0</v>
      </c>
      <c r="B1451" s="467">
        <v>238.0</v>
      </c>
      <c r="C1451" s="305" t="s">
        <v>2851</v>
      </c>
      <c r="F1451" s="1384"/>
      <c r="G1451" s="1384"/>
    </row>
    <row r="1452">
      <c r="A1452" s="466">
        <v>817.0</v>
      </c>
      <c r="B1452" s="467">
        <v>188.0</v>
      </c>
      <c r="C1452" s="305" t="s">
        <v>2852</v>
      </c>
      <c r="F1452" s="1384"/>
      <c r="G1452" s="1384"/>
    </row>
    <row r="1453">
      <c r="A1453" s="466">
        <v>3024.0</v>
      </c>
      <c r="B1453" s="467">
        <v>130.0</v>
      </c>
      <c r="C1453" s="305" t="s">
        <v>2853</v>
      </c>
      <c r="F1453" s="1384"/>
      <c r="G1453" s="1384"/>
    </row>
    <row r="1454">
      <c r="A1454" s="466">
        <v>2450.0</v>
      </c>
      <c r="B1454" s="467">
        <v>130.0</v>
      </c>
      <c r="C1454" s="305" t="s">
        <v>2854</v>
      </c>
      <c r="F1454" s="1384"/>
      <c r="G1454" s="1384"/>
    </row>
    <row r="1455">
      <c r="A1455" s="466">
        <v>2979.0</v>
      </c>
      <c r="B1455" s="467">
        <v>188.0</v>
      </c>
      <c r="C1455" s="305" t="s">
        <v>2855</v>
      </c>
      <c r="F1455" s="1384"/>
      <c r="G1455" s="1384"/>
    </row>
    <row r="1456">
      <c r="A1456" s="466">
        <v>3254.0</v>
      </c>
      <c r="B1456" s="467">
        <v>198.0</v>
      </c>
      <c r="C1456" s="305" t="s">
        <v>2856</v>
      </c>
      <c r="F1456" s="1384"/>
      <c r="G1456" s="1384"/>
    </row>
    <row r="1457">
      <c r="A1457" s="466">
        <v>1453.0</v>
      </c>
      <c r="B1457" s="467">
        <v>188.0</v>
      </c>
      <c r="C1457" s="305" t="s">
        <v>2857</v>
      </c>
      <c r="F1457" s="1384"/>
      <c r="G1457" s="1384"/>
    </row>
    <row r="1458">
      <c r="A1458" s="466">
        <v>1511.0</v>
      </c>
      <c r="B1458" s="467">
        <v>188.0</v>
      </c>
      <c r="C1458" s="305" t="s">
        <v>2858</v>
      </c>
      <c r="F1458" s="1384"/>
      <c r="G1458" s="1384"/>
    </row>
    <row r="1459">
      <c r="A1459" s="466">
        <v>2069.0</v>
      </c>
      <c r="B1459" s="467">
        <v>188.0</v>
      </c>
      <c r="C1459" s="305" t="s">
        <v>2859</v>
      </c>
      <c r="F1459" s="1384"/>
      <c r="G1459" s="1384"/>
    </row>
    <row r="1460">
      <c r="A1460" s="466">
        <v>1507.0</v>
      </c>
      <c r="B1460" s="467">
        <v>188.0</v>
      </c>
      <c r="C1460" s="305" t="s">
        <v>2860</v>
      </c>
      <c r="F1460" s="1384"/>
      <c r="G1460" s="1384"/>
    </row>
    <row r="1461">
      <c r="A1461" s="466">
        <v>2284.0</v>
      </c>
      <c r="B1461" s="467">
        <v>130.0</v>
      </c>
      <c r="C1461" s="305" t="s">
        <v>2861</v>
      </c>
      <c r="F1461" s="1384"/>
      <c r="G1461" s="1384"/>
    </row>
    <row r="1462">
      <c r="A1462" s="466">
        <v>1943.0</v>
      </c>
      <c r="B1462" s="467">
        <v>188.0</v>
      </c>
      <c r="C1462" s="305" t="s">
        <v>2862</v>
      </c>
      <c r="F1462" s="1384"/>
      <c r="G1462" s="1384"/>
    </row>
    <row r="1463">
      <c r="A1463" s="466">
        <v>2399.0</v>
      </c>
      <c r="B1463" s="467">
        <v>188.0</v>
      </c>
      <c r="C1463" s="305" t="s">
        <v>3039</v>
      </c>
      <c r="F1463" s="1384"/>
      <c r="G1463" s="1384"/>
    </row>
    <row r="1464">
      <c r="A1464" s="466">
        <v>953.0</v>
      </c>
      <c r="B1464" s="467">
        <v>188.0</v>
      </c>
      <c r="C1464" s="305" t="s">
        <v>2864</v>
      </c>
      <c r="F1464" s="1384"/>
      <c r="G1464" s="1384"/>
    </row>
    <row r="1465">
      <c r="A1465" s="466">
        <v>954.0</v>
      </c>
      <c r="B1465" s="467">
        <v>188.0</v>
      </c>
      <c r="C1465" s="305" t="s">
        <v>2865</v>
      </c>
      <c r="F1465" s="1384"/>
      <c r="G1465" s="1384"/>
    </row>
    <row r="1466">
      <c r="A1466" s="466">
        <v>2471.0</v>
      </c>
      <c r="B1466" s="467">
        <v>130.0</v>
      </c>
      <c r="C1466" s="305" t="s">
        <v>2866</v>
      </c>
      <c r="F1466" s="1384"/>
      <c r="G1466" s="1384"/>
    </row>
    <row r="1467">
      <c r="A1467" s="466">
        <v>868.0</v>
      </c>
      <c r="B1467" s="467">
        <v>188.0</v>
      </c>
      <c r="C1467" s="305" t="s">
        <v>2867</v>
      </c>
      <c r="F1467" s="1384"/>
      <c r="G1467" s="1384"/>
    </row>
    <row r="1468">
      <c r="A1468" s="466">
        <v>1256.0</v>
      </c>
      <c r="B1468" s="467">
        <v>188.0</v>
      </c>
      <c r="C1468" s="305" t="s">
        <v>2868</v>
      </c>
      <c r="F1468" s="1384"/>
      <c r="G1468" s="1384"/>
    </row>
    <row r="1469">
      <c r="A1469" s="466">
        <v>1204.0</v>
      </c>
      <c r="B1469" s="467">
        <v>188.0</v>
      </c>
      <c r="C1469" s="305" t="s">
        <v>2869</v>
      </c>
      <c r="F1469" s="1384"/>
      <c r="G1469" s="1384"/>
    </row>
    <row r="1470">
      <c r="A1470" s="466">
        <v>495.0</v>
      </c>
      <c r="B1470" s="467">
        <v>188.0</v>
      </c>
      <c r="C1470" s="305" t="s">
        <v>2870</v>
      </c>
      <c r="F1470" s="1384"/>
      <c r="G1470" s="1384"/>
    </row>
    <row r="1471">
      <c r="A1471" s="466">
        <v>1205.0</v>
      </c>
      <c r="B1471" s="467">
        <v>188.0</v>
      </c>
      <c r="C1471" s="305" t="s">
        <v>2871</v>
      </c>
      <c r="F1471" s="1384"/>
      <c r="G1471" s="1384"/>
    </row>
    <row r="1472">
      <c r="A1472" s="466">
        <v>222.0</v>
      </c>
      <c r="B1472" s="467">
        <v>188.0</v>
      </c>
      <c r="C1472" s="305" t="s">
        <v>2872</v>
      </c>
      <c r="F1472" s="1384"/>
      <c r="G1472" s="1384"/>
    </row>
    <row r="1473">
      <c r="A1473" s="466">
        <v>1010.0</v>
      </c>
      <c r="B1473" s="467">
        <v>188.0</v>
      </c>
      <c r="C1473" s="305" t="s">
        <v>2873</v>
      </c>
      <c r="F1473" s="1384"/>
      <c r="G1473" s="1384"/>
    </row>
    <row r="1474">
      <c r="A1474" s="466">
        <v>963.0</v>
      </c>
      <c r="B1474" s="467">
        <v>188.0</v>
      </c>
      <c r="C1474" s="305" t="s">
        <v>2874</v>
      </c>
      <c r="F1474" s="1384"/>
      <c r="G1474" s="1384"/>
    </row>
    <row r="1475">
      <c r="A1475" s="466">
        <v>1075.0</v>
      </c>
      <c r="B1475" s="467">
        <v>188.0</v>
      </c>
      <c r="C1475" s="305" t="s">
        <v>2876</v>
      </c>
      <c r="F1475" s="1384"/>
      <c r="G1475" s="1384"/>
    </row>
    <row r="1476">
      <c r="A1476" s="466">
        <v>231.0</v>
      </c>
      <c r="B1476" s="467">
        <v>188.0</v>
      </c>
      <c r="C1476" s="305" t="s">
        <v>2877</v>
      </c>
      <c r="F1476" s="1384"/>
      <c r="G1476" s="1384"/>
    </row>
    <row r="1477">
      <c r="A1477" s="466">
        <v>476.0</v>
      </c>
      <c r="B1477" s="1403">
        <v>0.0</v>
      </c>
      <c r="C1477" s="305" t="s">
        <v>2878</v>
      </c>
      <c r="F1477" s="1384"/>
      <c r="G1477" s="1384"/>
    </row>
    <row r="1478">
      <c r="A1478" s="466">
        <v>454.0</v>
      </c>
      <c r="B1478" s="1403">
        <v>0.0</v>
      </c>
      <c r="C1478" s="305" t="s">
        <v>2879</v>
      </c>
      <c r="F1478" s="1384"/>
      <c r="G1478" s="1384"/>
    </row>
    <row r="1479">
      <c r="A1479" s="466">
        <v>39.0</v>
      </c>
      <c r="B1479" s="467">
        <v>188.0</v>
      </c>
      <c r="C1479" s="305" t="s">
        <v>2880</v>
      </c>
      <c r="F1479" s="1384"/>
      <c r="G1479" s="1384"/>
    </row>
    <row r="1480">
      <c r="A1480" s="466">
        <v>980.0</v>
      </c>
      <c r="B1480" s="917">
        <v>219.0</v>
      </c>
      <c r="C1480" s="305" t="s">
        <v>563</v>
      </c>
      <c r="F1480" s="1384"/>
      <c r="G1480" s="1384"/>
    </row>
    <row r="1481">
      <c r="A1481" s="466">
        <v>774.0</v>
      </c>
      <c r="B1481" s="467">
        <v>188.0</v>
      </c>
      <c r="C1481" s="305" t="s">
        <v>766</v>
      </c>
      <c r="F1481" s="1384"/>
      <c r="G1481" s="1384"/>
    </row>
    <row r="1482">
      <c r="A1482" s="466">
        <v>546.0</v>
      </c>
      <c r="B1482" s="917">
        <v>228.0</v>
      </c>
      <c r="C1482" s="305" t="s">
        <v>408</v>
      </c>
      <c r="F1482" s="1384"/>
      <c r="G1482" s="1384"/>
    </row>
    <row r="1483">
      <c r="A1483" s="466">
        <v>440.0</v>
      </c>
      <c r="B1483" s="467">
        <v>188.0</v>
      </c>
      <c r="C1483" s="305" t="s">
        <v>2881</v>
      </c>
      <c r="F1483" s="1384"/>
      <c r="G1483" s="1384"/>
    </row>
    <row r="1484">
      <c r="A1484" s="466">
        <v>417.0</v>
      </c>
      <c r="B1484" s="1403">
        <v>0.0</v>
      </c>
      <c r="C1484" s="305" t="s">
        <v>2882</v>
      </c>
      <c r="F1484" s="1384"/>
      <c r="G1484" s="1384"/>
    </row>
    <row r="1485">
      <c r="A1485" s="466">
        <v>456.0</v>
      </c>
      <c r="B1485" s="467">
        <v>188.0</v>
      </c>
      <c r="C1485" s="305" t="s">
        <v>2883</v>
      </c>
      <c r="F1485" s="1384"/>
      <c r="G1485" s="1384"/>
    </row>
    <row r="1486">
      <c r="A1486" s="466">
        <v>2601.0</v>
      </c>
      <c r="B1486" s="467">
        <v>130.0</v>
      </c>
      <c r="C1486" s="305" t="s">
        <v>2884</v>
      </c>
      <c r="F1486" s="1384"/>
      <c r="G1486" s="1384"/>
    </row>
    <row r="1487">
      <c r="A1487" s="466">
        <v>3156.0</v>
      </c>
      <c r="B1487" s="467">
        <v>237.0</v>
      </c>
      <c r="C1487" s="305" t="s">
        <v>2885</v>
      </c>
      <c r="F1487" s="1384"/>
      <c r="G1487" s="1384"/>
    </row>
    <row r="1488">
      <c r="A1488" s="466">
        <v>475.0</v>
      </c>
      <c r="B1488" s="917">
        <v>233.0</v>
      </c>
      <c r="C1488" s="305" t="s">
        <v>782</v>
      </c>
      <c r="F1488" s="1384"/>
      <c r="G1488" s="1384"/>
    </row>
    <row r="1489">
      <c r="A1489" s="466">
        <v>887.0</v>
      </c>
      <c r="B1489" s="467">
        <v>188.0</v>
      </c>
      <c r="C1489" s="305" t="s">
        <v>2886</v>
      </c>
      <c r="F1489" s="1384"/>
      <c r="G1489" s="1384"/>
    </row>
    <row r="1490">
      <c r="A1490" s="466">
        <v>2990.0</v>
      </c>
      <c r="B1490" s="467">
        <v>188.0</v>
      </c>
      <c r="C1490" s="305" t="s">
        <v>2887</v>
      </c>
      <c r="F1490" s="1384"/>
      <c r="G1490" s="1384"/>
    </row>
    <row r="1491">
      <c r="A1491" s="466">
        <v>2946.0</v>
      </c>
      <c r="B1491" s="467">
        <v>188.0</v>
      </c>
      <c r="C1491" s="305" t="s">
        <v>2888</v>
      </c>
      <c r="F1491" s="1384"/>
      <c r="G1491" s="1384"/>
    </row>
    <row r="1492">
      <c r="A1492" s="466">
        <v>2792.0</v>
      </c>
      <c r="B1492" s="467">
        <v>221.0</v>
      </c>
      <c r="C1492" s="305" t="s">
        <v>2890</v>
      </c>
      <c r="F1492" s="1384"/>
      <c r="G1492" s="1384"/>
    </row>
    <row r="1493">
      <c r="A1493" s="466">
        <v>2610.0</v>
      </c>
      <c r="B1493" s="467">
        <v>188.0</v>
      </c>
      <c r="C1493" s="305" t="s">
        <v>2891</v>
      </c>
      <c r="F1493" s="1384"/>
      <c r="G1493" s="1384"/>
    </row>
    <row r="1494">
      <c r="A1494" s="466">
        <v>1516.0</v>
      </c>
      <c r="B1494" s="467">
        <v>188.0</v>
      </c>
      <c r="C1494" s="305" t="s">
        <v>2892</v>
      </c>
      <c r="F1494" s="1384"/>
      <c r="G1494" s="1384"/>
    </row>
    <row r="1495">
      <c r="A1495" s="466">
        <v>2805.0</v>
      </c>
      <c r="B1495" s="467">
        <v>188.0</v>
      </c>
      <c r="C1495" s="305" t="s">
        <v>2893</v>
      </c>
      <c r="F1495" s="1384"/>
      <c r="G1495" s="1384"/>
    </row>
    <row r="1496">
      <c r="A1496" s="466">
        <v>2058.0</v>
      </c>
      <c r="B1496" s="467">
        <v>180.0</v>
      </c>
      <c r="C1496" s="305" t="s">
        <v>2894</v>
      </c>
      <c r="F1496" s="1384"/>
      <c r="G1496" s="1384"/>
    </row>
    <row r="1497">
      <c r="A1497" s="466">
        <v>2804.0</v>
      </c>
      <c r="B1497" s="467">
        <v>188.0</v>
      </c>
      <c r="C1497" s="305" t="s">
        <v>2895</v>
      </c>
      <c r="F1497" s="1384"/>
      <c r="G1497" s="1384"/>
    </row>
    <row r="1498">
      <c r="A1498" s="466">
        <v>1515.0</v>
      </c>
      <c r="B1498" s="467">
        <v>180.0</v>
      </c>
      <c r="C1498" s="305" t="s">
        <v>2896</v>
      </c>
      <c r="F1498" s="1384"/>
      <c r="G1498" s="1384"/>
    </row>
    <row r="1499">
      <c r="A1499" s="466">
        <v>2147.0</v>
      </c>
      <c r="B1499" s="467">
        <v>180.0</v>
      </c>
      <c r="C1499" s="305" t="s">
        <v>2897</v>
      </c>
      <c r="F1499" s="1384"/>
      <c r="G1499" s="1384"/>
    </row>
    <row r="1500">
      <c r="A1500" s="466">
        <v>2262.0</v>
      </c>
      <c r="B1500" s="467">
        <v>130.0</v>
      </c>
      <c r="C1500" s="305" t="s">
        <v>2898</v>
      </c>
      <c r="F1500" s="1384"/>
      <c r="G1500" s="1384"/>
    </row>
    <row r="1501">
      <c r="A1501" s="466">
        <v>2773.0</v>
      </c>
      <c r="B1501" s="467">
        <v>188.0</v>
      </c>
      <c r="C1501" s="305" t="s">
        <v>2899</v>
      </c>
      <c r="F1501" s="1384"/>
      <c r="G1501" s="1384"/>
    </row>
    <row r="1502">
      <c r="A1502" s="466">
        <v>2702.0</v>
      </c>
      <c r="B1502" s="467">
        <v>257.0</v>
      </c>
      <c r="C1502" s="305" t="s">
        <v>2900</v>
      </c>
      <c r="F1502" s="1384"/>
      <c r="G1502" s="1384"/>
    </row>
    <row r="1503">
      <c r="A1503" s="466">
        <v>2301.0</v>
      </c>
      <c r="B1503" s="467">
        <v>130.0</v>
      </c>
      <c r="C1503" s="305" t="s">
        <v>2901</v>
      </c>
      <c r="F1503" s="1384"/>
      <c r="G1503" s="1384"/>
    </row>
    <row r="1504">
      <c r="A1504" s="466">
        <v>768.0</v>
      </c>
      <c r="B1504" s="467">
        <v>180.0</v>
      </c>
      <c r="C1504" s="305" t="s">
        <v>2903</v>
      </c>
      <c r="F1504" s="1384"/>
      <c r="G1504" s="1384"/>
    </row>
    <row r="1505">
      <c r="A1505" s="466">
        <v>941.0</v>
      </c>
      <c r="B1505" s="467">
        <v>160.0</v>
      </c>
      <c r="C1505" s="305" t="s">
        <v>2904</v>
      </c>
      <c r="F1505" s="1384"/>
      <c r="G1505" s="1384"/>
    </row>
    <row r="1506">
      <c r="A1506" s="466">
        <v>1057.0</v>
      </c>
      <c r="B1506" s="467">
        <v>160.0</v>
      </c>
      <c r="C1506" s="305" t="s">
        <v>2905</v>
      </c>
      <c r="F1506" s="1384"/>
      <c r="G1506" s="1384"/>
    </row>
    <row r="1507">
      <c r="A1507" s="466">
        <v>1056.0</v>
      </c>
      <c r="B1507" s="467">
        <v>160.0</v>
      </c>
      <c r="C1507" s="305" t="s">
        <v>2906</v>
      </c>
      <c r="F1507" s="1384"/>
      <c r="G1507" s="1384"/>
    </row>
    <row r="1508">
      <c r="A1508" s="466">
        <v>974.0</v>
      </c>
      <c r="B1508" s="467">
        <v>160.0</v>
      </c>
      <c r="C1508" s="305" t="s">
        <v>2907</v>
      </c>
      <c r="F1508" s="1384"/>
      <c r="G1508" s="1384"/>
    </row>
    <row r="1509">
      <c r="A1509" s="466">
        <v>942.0</v>
      </c>
      <c r="B1509" s="467">
        <v>160.0</v>
      </c>
      <c r="C1509" s="305" t="s">
        <v>2908</v>
      </c>
      <c r="F1509" s="1384"/>
      <c r="G1509" s="1384"/>
    </row>
    <row r="1510">
      <c r="A1510" s="466">
        <v>2759.0</v>
      </c>
      <c r="B1510" s="467">
        <v>125.0</v>
      </c>
      <c r="C1510" s="305" t="s">
        <v>973</v>
      </c>
      <c r="F1510" s="1384"/>
      <c r="G1510" s="1384"/>
    </row>
    <row r="1511">
      <c r="A1511" s="466">
        <v>2786.0</v>
      </c>
      <c r="B1511" s="917">
        <v>98.0</v>
      </c>
      <c r="C1511" s="305" t="s">
        <v>1017</v>
      </c>
      <c r="F1511" s="1384"/>
      <c r="G1511" s="1384"/>
    </row>
    <row r="1512">
      <c r="A1512" s="466">
        <v>2738.0</v>
      </c>
      <c r="B1512" s="467">
        <v>325.0</v>
      </c>
      <c r="C1512" s="305" t="s">
        <v>2910</v>
      </c>
      <c r="F1512" s="1384"/>
      <c r="G1512" s="1384"/>
    </row>
    <row r="1513">
      <c r="A1513" s="466">
        <v>3527.0</v>
      </c>
      <c r="B1513" s="467">
        <v>96.0</v>
      </c>
      <c r="C1513" s="305" t="s">
        <v>329</v>
      </c>
      <c r="F1513" s="1384"/>
      <c r="G1513" s="1384"/>
    </row>
    <row r="1514">
      <c r="A1514" s="466">
        <v>2478.0</v>
      </c>
      <c r="B1514" s="467">
        <v>80.0</v>
      </c>
      <c r="C1514" s="305" t="s">
        <v>2913</v>
      </c>
      <c r="F1514" s="1384"/>
      <c r="G1514" s="1384"/>
    </row>
    <row r="1515">
      <c r="A1515" s="466">
        <v>3661.0</v>
      </c>
      <c r="B1515" s="467">
        <v>215.0</v>
      </c>
      <c r="C1515" s="305" t="s">
        <v>736</v>
      </c>
      <c r="F1515" s="1384"/>
      <c r="G1515" s="1384"/>
    </row>
    <row r="1516">
      <c r="A1516" s="466">
        <v>538.0</v>
      </c>
      <c r="B1516" s="467">
        <v>10.0</v>
      </c>
      <c r="C1516" s="305" t="s">
        <v>2916</v>
      </c>
      <c r="F1516" s="1384"/>
      <c r="G1516" s="1384"/>
    </row>
    <row r="1517">
      <c r="A1517" s="466">
        <v>822.0</v>
      </c>
      <c r="B1517" s="467">
        <v>5.0</v>
      </c>
      <c r="C1517" s="305" t="s">
        <v>136</v>
      </c>
      <c r="F1517" s="1384"/>
      <c r="G1517" s="1384"/>
    </row>
    <row r="1518">
      <c r="A1518" s="466">
        <v>2812.0</v>
      </c>
      <c r="B1518" s="467">
        <v>6.0</v>
      </c>
      <c r="C1518" s="305" t="s">
        <v>2917</v>
      </c>
      <c r="F1518" s="1384"/>
      <c r="G1518" s="1384"/>
    </row>
    <row r="1519">
      <c r="A1519" s="466">
        <v>3726.0</v>
      </c>
      <c r="B1519" s="467">
        <v>187.0</v>
      </c>
      <c r="C1519" s="305" t="s">
        <v>2918</v>
      </c>
      <c r="F1519" s="1384"/>
      <c r="G1519" s="1384"/>
    </row>
    <row r="1520">
      <c r="A1520" s="466">
        <v>3727.0</v>
      </c>
      <c r="B1520" s="467">
        <v>235.0</v>
      </c>
      <c r="C1520" s="305" t="s">
        <v>2920</v>
      </c>
      <c r="F1520" s="1384"/>
      <c r="G1520" s="1384"/>
    </row>
    <row r="1521">
      <c r="A1521" s="466">
        <v>2540.0</v>
      </c>
      <c r="B1521" s="467">
        <v>130.0</v>
      </c>
      <c r="C1521" s="305" t="s">
        <v>2921</v>
      </c>
      <c r="F1521" s="1384"/>
      <c r="G1521" s="1384"/>
    </row>
    <row r="1522">
      <c r="A1522" s="466">
        <v>2888.0</v>
      </c>
      <c r="B1522" s="467">
        <v>188.0</v>
      </c>
      <c r="C1522" s="305" t="s">
        <v>2922</v>
      </c>
      <c r="F1522" s="1384"/>
      <c r="G1522" s="1384"/>
    </row>
    <row r="1523">
      <c r="A1523" s="466">
        <v>3219.0</v>
      </c>
      <c r="B1523" s="467">
        <v>198.0</v>
      </c>
      <c r="C1523" s="305" t="s">
        <v>2923</v>
      </c>
      <c r="F1523" s="1384"/>
      <c r="G1523" s="1384"/>
    </row>
    <row r="1524">
      <c r="A1524" s="466">
        <v>2520.0</v>
      </c>
      <c r="B1524" s="467">
        <v>188.0</v>
      </c>
      <c r="C1524" s="305" t="s">
        <v>2924</v>
      </c>
      <c r="F1524" s="1384"/>
      <c r="G1524" s="1384"/>
    </row>
    <row r="1525">
      <c r="A1525" s="466">
        <v>2633.0</v>
      </c>
      <c r="B1525" s="467">
        <v>188.0</v>
      </c>
      <c r="C1525" s="305" t="s">
        <v>2926</v>
      </c>
      <c r="F1525" s="1384"/>
      <c r="G1525" s="1384"/>
    </row>
    <row r="1526">
      <c r="A1526" s="466">
        <v>3036.0</v>
      </c>
      <c r="B1526" s="467">
        <v>198.0</v>
      </c>
      <c r="C1526" s="305" t="s">
        <v>2927</v>
      </c>
      <c r="F1526" s="1384"/>
      <c r="G1526" s="1384"/>
    </row>
    <row r="1527">
      <c r="A1527" s="466">
        <v>2982.0</v>
      </c>
      <c r="B1527" s="467">
        <v>188.0</v>
      </c>
      <c r="C1527" s="305" t="s">
        <v>2928</v>
      </c>
      <c r="F1527" s="1384"/>
      <c r="G1527" s="1384"/>
    </row>
    <row r="1528">
      <c r="A1528" s="466">
        <v>3030.0</v>
      </c>
      <c r="B1528" s="467">
        <v>198.0</v>
      </c>
      <c r="C1528" s="305" t="s">
        <v>2929</v>
      </c>
      <c r="F1528" s="1384"/>
      <c r="G1528" s="1384"/>
    </row>
    <row r="1529">
      <c r="A1529" s="466">
        <v>453.0</v>
      </c>
      <c r="B1529" s="467">
        <v>130.0</v>
      </c>
      <c r="C1529" s="305" t="s">
        <v>2931</v>
      </c>
      <c r="F1529" s="1384"/>
      <c r="G1529" s="1384"/>
    </row>
    <row r="1530">
      <c r="A1530" s="466">
        <v>2400.0</v>
      </c>
      <c r="B1530" s="467">
        <v>188.0</v>
      </c>
      <c r="C1530" s="305" t="s">
        <v>2932</v>
      </c>
      <c r="F1530" s="1384"/>
      <c r="G1530" s="1384"/>
    </row>
    <row r="1531">
      <c r="A1531" s="466">
        <v>1322.0</v>
      </c>
      <c r="B1531" s="467">
        <v>180.0</v>
      </c>
      <c r="C1531" s="305" t="s">
        <v>2933</v>
      </c>
      <c r="F1531" s="1384"/>
      <c r="G1531" s="1384"/>
    </row>
    <row r="1532">
      <c r="A1532" s="466">
        <v>112.0</v>
      </c>
      <c r="B1532" s="467">
        <v>160.0</v>
      </c>
      <c r="C1532" s="305" t="s">
        <v>2934</v>
      </c>
      <c r="F1532" s="1384"/>
      <c r="G1532" s="1384"/>
    </row>
    <row r="1533">
      <c r="A1533" s="466">
        <v>1053.0</v>
      </c>
      <c r="B1533" s="467">
        <v>188.0</v>
      </c>
      <c r="C1533" s="305" t="s">
        <v>2935</v>
      </c>
      <c r="F1533" s="1384"/>
      <c r="G1533" s="1384"/>
    </row>
    <row r="1534">
      <c r="A1534" s="466">
        <v>1046.0</v>
      </c>
      <c r="B1534" s="917">
        <v>203.0</v>
      </c>
      <c r="C1534" s="305" t="s">
        <v>833</v>
      </c>
      <c r="F1534" s="1384"/>
      <c r="G1534" s="1384"/>
    </row>
    <row r="1535">
      <c r="A1535" s="466">
        <v>3266.0</v>
      </c>
      <c r="B1535" s="917">
        <v>206.0</v>
      </c>
      <c r="C1535" s="305" t="s">
        <v>427</v>
      </c>
      <c r="F1535" s="1384"/>
      <c r="G1535" s="1384"/>
    </row>
    <row r="1536">
      <c r="A1536" s="466">
        <v>382.0</v>
      </c>
      <c r="B1536" s="467">
        <v>188.0</v>
      </c>
      <c r="C1536" s="305" t="s">
        <v>2936</v>
      </c>
      <c r="F1536" s="1384"/>
      <c r="G1536" s="1384"/>
    </row>
    <row r="1537">
      <c r="A1537" s="466">
        <v>1052.0</v>
      </c>
      <c r="B1537" s="467">
        <v>160.0</v>
      </c>
      <c r="C1537" s="305" t="s">
        <v>2937</v>
      </c>
      <c r="F1537" s="1384"/>
      <c r="G1537" s="1384"/>
    </row>
    <row r="1538">
      <c r="A1538" s="466">
        <v>1002.0</v>
      </c>
      <c r="B1538" s="467">
        <v>188.0</v>
      </c>
      <c r="C1538" s="305" t="s">
        <v>2938</v>
      </c>
      <c r="F1538" s="1384"/>
      <c r="G1538" s="1384"/>
    </row>
    <row r="1539">
      <c r="A1539" s="466">
        <v>2473.0</v>
      </c>
      <c r="B1539" s="467">
        <v>180.0</v>
      </c>
      <c r="C1539" s="305" t="s">
        <v>2940</v>
      </c>
      <c r="F1539" s="1384"/>
      <c r="G1539" s="1384"/>
    </row>
    <row r="1540">
      <c r="A1540" s="466">
        <v>2515.0</v>
      </c>
      <c r="B1540" s="467">
        <v>180.0</v>
      </c>
      <c r="C1540" s="305" t="s">
        <v>2941</v>
      </c>
      <c r="F1540" s="1384"/>
      <c r="G1540" s="1384"/>
    </row>
    <row r="1541">
      <c r="A1541" s="466">
        <v>2514.0</v>
      </c>
      <c r="B1541" s="467">
        <v>180.0</v>
      </c>
      <c r="C1541" s="305" t="s">
        <v>2942</v>
      </c>
      <c r="F1541" s="1384"/>
      <c r="G1541" s="1384"/>
    </row>
    <row r="1542">
      <c r="A1542" s="466">
        <v>2513.0</v>
      </c>
      <c r="B1542" s="467">
        <v>180.0</v>
      </c>
      <c r="C1542" s="305" t="s">
        <v>2943</v>
      </c>
      <c r="F1542" s="1384"/>
      <c r="G1542" s="1384"/>
    </row>
    <row r="1543">
      <c r="A1543" s="466">
        <v>2552.0</v>
      </c>
      <c r="B1543" s="467">
        <v>180.0</v>
      </c>
      <c r="C1543" s="305" t="s">
        <v>2944</v>
      </c>
      <c r="F1543" s="1384"/>
      <c r="G1543" s="1384"/>
    </row>
    <row r="1544">
      <c r="A1544" s="466">
        <v>3737.0</v>
      </c>
      <c r="B1544" s="917">
        <v>217.0</v>
      </c>
      <c r="C1544" s="305" t="s">
        <v>403</v>
      </c>
      <c r="F1544" s="1384"/>
      <c r="G1544" s="1384"/>
    </row>
    <row r="1545">
      <c r="A1545" s="466">
        <v>3610.0</v>
      </c>
      <c r="B1545" s="467">
        <v>215.0</v>
      </c>
      <c r="C1545" s="305" t="s">
        <v>3044</v>
      </c>
      <c r="F1545" s="1384"/>
      <c r="G1545" s="1384"/>
    </row>
    <row r="1546">
      <c r="A1546" s="466">
        <v>3253.0</v>
      </c>
      <c r="B1546" s="917">
        <v>138.0</v>
      </c>
      <c r="C1546" s="305" t="s">
        <v>433</v>
      </c>
      <c r="F1546" s="1384"/>
      <c r="G1546" s="1384"/>
    </row>
    <row r="1547">
      <c r="A1547" s="466">
        <v>1298.0</v>
      </c>
      <c r="B1547" s="467">
        <v>40.0</v>
      </c>
      <c r="C1547" s="305" t="s">
        <v>2948</v>
      </c>
      <c r="F1547" s="1384"/>
      <c r="G1547" s="1384"/>
    </row>
    <row r="1548">
      <c r="A1548" s="466">
        <v>1092.0</v>
      </c>
      <c r="B1548" s="467">
        <v>180.0</v>
      </c>
      <c r="C1548" s="305" t="s">
        <v>2810</v>
      </c>
      <c r="F1548" s="1384"/>
      <c r="G1548" s="1384"/>
    </row>
    <row r="1549">
      <c r="A1549" s="466">
        <v>1221.0</v>
      </c>
      <c r="B1549" s="467">
        <v>188.0</v>
      </c>
      <c r="C1549" s="305" t="s">
        <v>2949</v>
      </c>
      <c r="F1549" s="1384"/>
      <c r="G1549" s="1384"/>
    </row>
    <row r="1550">
      <c r="A1550" s="466">
        <v>671.0</v>
      </c>
      <c r="B1550" s="917">
        <v>212.0</v>
      </c>
      <c r="C1550" s="305" t="s">
        <v>835</v>
      </c>
      <c r="F1550" s="1384"/>
      <c r="G1550" s="1384"/>
    </row>
    <row r="1551">
      <c r="A1551" s="466">
        <v>912.0</v>
      </c>
      <c r="B1551" s="467">
        <v>180.0</v>
      </c>
      <c r="C1551" s="305" t="s">
        <v>2951</v>
      </c>
      <c r="F1551" s="1384"/>
      <c r="G1551" s="1384"/>
    </row>
    <row r="1552">
      <c r="A1552" s="466">
        <v>1091.0</v>
      </c>
      <c r="B1552" s="467">
        <v>180.0</v>
      </c>
      <c r="C1552" s="305" t="s">
        <v>2953</v>
      </c>
      <c r="F1552" s="1384"/>
      <c r="G1552" s="1384"/>
    </row>
    <row r="1553">
      <c r="A1553" s="466">
        <v>1540.0</v>
      </c>
      <c r="B1553" s="467">
        <v>180.0</v>
      </c>
      <c r="C1553" s="305" t="s">
        <v>2954</v>
      </c>
      <c r="F1553" s="1384"/>
      <c r="G1553" s="1384"/>
    </row>
    <row r="1554">
      <c r="A1554" s="466">
        <v>908.0</v>
      </c>
      <c r="B1554" s="467">
        <v>180.0</v>
      </c>
      <c r="C1554" s="305" t="s">
        <v>2955</v>
      </c>
      <c r="F1554" s="1384"/>
      <c r="G1554" s="1384"/>
    </row>
    <row r="1555">
      <c r="A1555" s="466">
        <v>907.0</v>
      </c>
      <c r="B1555" s="467">
        <v>180.0</v>
      </c>
      <c r="C1555" s="305" t="s">
        <v>2956</v>
      </c>
      <c r="F1555" s="1384"/>
      <c r="G1555" s="1384"/>
    </row>
    <row r="1556">
      <c r="A1556" s="466">
        <v>3051.0</v>
      </c>
      <c r="B1556" s="917">
        <v>260.0</v>
      </c>
      <c r="C1556" s="305" t="s">
        <v>838</v>
      </c>
      <c r="F1556" s="1384"/>
      <c r="G1556" s="1384"/>
    </row>
    <row r="1557">
      <c r="A1557" s="466">
        <v>9.0</v>
      </c>
      <c r="B1557" s="467">
        <v>180.0</v>
      </c>
      <c r="C1557" s="305" t="s">
        <v>2957</v>
      </c>
      <c r="F1557" s="1384"/>
      <c r="G1557" s="1384"/>
    </row>
    <row r="1558">
      <c r="A1558" s="466">
        <v>808.0</v>
      </c>
      <c r="B1558" s="467">
        <v>180.0</v>
      </c>
      <c r="C1558" s="305" t="s">
        <v>2958</v>
      </c>
      <c r="F1558" s="1384"/>
      <c r="G1558" s="1384"/>
    </row>
    <row r="1559">
      <c r="A1559" s="466">
        <v>2772.0</v>
      </c>
      <c r="B1559" s="467">
        <v>287.0</v>
      </c>
      <c r="C1559" s="305" t="s">
        <v>2959</v>
      </c>
      <c r="F1559" s="1384"/>
      <c r="G1559" s="1384"/>
    </row>
    <row r="1560">
      <c r="A1560" s="466">
        <v>2020.0</v>
      </c>
      <c r="B1560" s="467">
        <v>180.0</v>
      </c>
      <c r="C1560" s="305" t="s">
        <v>2960</v>
      </c>
      <c r="F1560" s="1384"/>
      <c r="G1560" s="1384"/>
    </row>
    <row r="1561">
      <c r="A1561" s="466">
        <v>2832.0</v>
      </c>
      <c r="B1561" s="467">
        <v>267.0</v>
      </c>
      <c r="C1561" s="305" t="s">
        <v>2961</v>
      </c>
      <c r="F1561" s="1384"/>
      <c r="G1561" s="1384"/>
    </row>
    <row r="1562">
      <c r="A1562" s="466">
        <v>3815.0</v>
      </c>
      <c r="B1562" s="467">
        <v>208.0</v>
      </c>
      <c r="C1562" s="305" t="s">
        <v>2962</v>
      </c>
      <c r="F1562" s="1384"/>
      <c r="G1562" s="1384"/>
    </row>
    <row r="1563">
      <c r="A1563" s="466">
        <v>3772.0</v>
      </c>
      <c r="B1563" s="467">
        <v>208.0</v>
      </c>
      <c r="C1563" s="305" t="s">
        <v>2963</v>
      </c>
      <c r="F1563" s="1384"/>
      <c r="G1563" s="1384"/>
    </row>
    <row r="1564">
      <c r="A1564" s="466">
        <v>644.0</v>
      </c>
      <c r="B1564" s="467">
        <v>225.0</v>
      </c>
      <c r="C1564" s="305" t="s">
        <v>2964</v>
      </c>
      <c r="F1564" s="1384"/>
      <c r="G1564" s="1384"/>
    </row>
    <row r="1565">
      <c r="A1565" s="466">
        <v>2358.0</v>
      </c>
      <c r="B1565" s="467">
        <v>188.0</v>
      </c>
      <c r="C1565" s="1492" t="s">
        <v>2965</v>
      </c>
      <c r="F1565" s="1384"/>
      <c r="G1565" s="1384"/>
    </row>
    <row r="1566">
      <c r="A1566" s="466">
        <v>3607.0</v>
      </c>
      <c r="B1566" s="467">
        <v>223.0</v>
      </c>
      <c r="C1566" s="305" t="s">
        <v>2966</v>
      </c>
      <c r="F1566" s="1384"/>
      <c r="G1566" s="1384"/>
    </row>
    <row r="1567">
      <c r="A1567" s="466">
        <v>1097.0</v>
      </c>
      <c r="B1567" s="467">
        <v>180.0</v>
      </c>
      <c r="C1567" s="305" t="s">
        <v>2967</v>
      </c>
      <c r="F1567" s="1384"/>
      <c r="G1567" s="1384"/>
    </row>
    <row r="1568">
      <c r="A1568" s="466">
        <v>882.0</v>
      </c>
      <c r="B1568" s="467">
        <v>180.0</v>
      </c>
      <c r="C1568" s="305" t="s">
        <v>2968</v>
      </c>
      <c r="F1568" s="1384"/>
      <c r="G1568" s="1384"/>
    </row>
    <row r="1569">
      <c r="A1569" s="466">
        <v>1555.0</v>
      </c>
      <c r="B1569" s="467">
        <v>180.0</v>
      </c>
      <c r="C1569" s="305" t="s">
        <v>2969</v>
      </c>
      <c r="F1569" s="1384"/>
      <c r="G1569" s="1384"/>
    </row>
    <row r="1570">
      <c r="A1570" s="466">
        <v>1100.0</v>
      </c>
      <c r="B1570" s="467">
        <v>180.0</v>
      </c>
      <c r="C1570" s="305" t="s">
        <v>2970</v>
      </c>
      <c r="F1570" s="1384"/>
      <c r="G1570" s="1384"/>
    </row>
    <row r="1571">
      <c r="A1571" s="466">
        <v>1561.0</v>
      </c>
      <c r="B1571" s="467">
        <v>180.0</v>
      </c>
      <c r="C1571" s="305" t="s">
        <v>2971</v>
      </c>
      <c r="F1571" s="1384"/>
      <c r="G1571" s="1384"/>
    </row>
    <row r="1572">
      <c r="A1572" s="466">
        <v>111.0</v>
      </c>
      <c r="B1572" s="467">
        <v>198.0</v>
      </c>
      <c r="C1572" s="305" t="s">
        <v>2972</v>
      </c>
      <c r="F1572" s="1384"/>
      <c r="G1572" s="1384"/>
    </row>
    <row r="1573">
      <c r="A1573" s="466">
        <v>3679.0</v>
      </c>
      <c r="B1573" s="917">
        <v>171.0</v>
      </c>
      <c r="C1573" s="305" t="s">
        <v>784</v>
      </c>
      <c r="F1573" s="1384"/>
      <c r="G1573" s="1384"/>
    </row>
    <row r="1574">
      <c r="A1574" s="466">
        <v>2701.0</v>
      </c>
      <c r="B1574" s="467">
        <v>130.0</v>
      </c>
      <c r="C1574" s="305" t="s">
        <v>2973</v>
      </c>
      <c r="F1574" s="1384"/>
      <c r="G1574" s="1384"/>
    </row>
    <row r="1575">
      <c r="A1575" s="466">
        <v>3389.0</v>
      </c>
      <c r="B1575" s="467">
        <v>70.0</v>
      </c>
      <c r="C1575" s="305" t="s">
        <v>2974</v>
      </c>
      <c r="F1575" s="1384"/>
      <c r="G1575" s="1384"/>
    </row>
    <row r="1576">
      <c r="A1576" s="466">
        <v>3411.0</v>
      </c>
      <c r="B1576" s="467">
        <v>70.0</v>
      </c>
      <c r="C1576" s="305" t="s">
        <v>2975</v>
      </c>
      <c r="F1576" s="1384"/>
      <c r="G1576" s="1384"/>
    </row>
    <row r="1577">
      <c r="A1577" s="466">
        <v>3869.0</v>
      </c>
      <c r="B1577" s="467">
        <v>248.0</v>
      </c>
      <c r="C1577" s="305" t="s">
        <v>2976</v>
      </c>
      <c r="F1577" s="1384"/>
      <c r="G1577" s="1384"/>
    </row>
    <row r="1578">
      <c r="A1578" s="466">
        <v>3883.0</v>
      </c>
      <c r="B1578" s="917">
        <v>218.0</v>
      </c>
      <c r="C1578" s="305" t="s">
        <v>317</v>
      </c>
      <c r="F1578" s="1384"/>
      <c r="G1578" s="1384"/>
    </row>
    <row r="1579">
      <c r="A1579" s="466">
        <v>3884.0</v>
      </c>
      <c r="B1579" s="467">
        <v>265.0</v>
      </c>
      <c r="C1579" s="305" t="s">
        <v>2977</v>
      </c>
      <c r="F1579" s="1384"/>
      <c r="G1579" s="1384"/>
    </row>
    <row r="1580">
      <c r="A1580" s="466">
        <v>3885.0</v>
      </c>
      <c r="B1580" s="467">
        <v>289.0</v>
      </c>
      <c r="C1580" s="305" t="s">
        <v>2978</v>
      </c>
      <c r="F1580" s="1384"/>
      <c r="G1580" s="1384"/>
    </row>
    <row r="1581">
      <c r="A1581" s="466">
        <v>3872.0</v>
      </c>
      <c r="B1581" s="917">
        <v>265.0</v>
      </c>
      <c r="C1581" s="305" t="s">
        <v>442</v>
      </c>
      <c r="F1581" s="1384"/>
      <c r="G1581" s="1384"/>
    </row>
    <row r="1582">
      <c r="A1582" s="466">
        <v>3886.0</v>
      </c>
      <c r="B1582" s="467">
        <v>220.0</v>
      </c>
      <c r="C1582" s="305" t="s">
        <v>3048</v>
      </c>
      <c r="F1582" s="1384"/>
      <c r="G1582" s="1384"/>
    </row>
    <row r="1583">
      <c r="A1583" s="466">
        <v>3890.0</v>
      </c>
      <c r="B1583" s="467">
        <v>242.0</v>
      </c>
      <c r="C1583" s="305" t="s">
        <v>2981</v>
      </c>
      <c r="F1583" s="1384"/>
      <c r="G1583" s="1384"/>
    </row>
    <row r="1584">
      <c r="A1584" s="466">
        <v>3889.0</v>
      </c>
      <c r="B1584" s="917">
        <v>264.0</v>
      </c>
      <c r="C1584" s="305" t="s">
        <v>446</v>
      </c>
      <c r="F1584" s="1384"/>
      <c r="G1584" s="1384"/>
    </row>
    <row r="1585">
      <c r="A1585" s="466">
        <v>3895.0</v>
      </c>
      <c r="B1585" s="467">
        <v>210.0</v>
      </c>
      <c r="C1585" s="305" t="s">
        <v>644</v>
      </c>
      <c r="F1585" s="1384"/>
      <c r="G1585" s="1384"/>
    </row>
    <row r="1586">
      <c r="A1586" s="466">
        <v>3903.0</v>
      </c>
      <c r="B1586" s="1493"/>
      <c r="C1586" s="305" t="s">
        <v>2104</v>
      </c>
      <c r="F1586" s="1384"/>
      <c r="G1586" s="1384"/>
    </row>
    <row r="1587">
      <c r="A1587" s="466">
        <v>3906.0</v>
      </c>
      <c r="B1587" s="1493"/>
      <c r="C1587" s="305" t="s">
        <v>1432</v>
      </c>
      <c r="F1587" s="1384"/>
      <c r="G1587" s="1384"/>
    </row>
    <row r="1588">
      <c r="A1588" s="466">
        <v>3904.0</v>
      </c>
      <c r="B1588" s="1493"/>
      <c r="C1588" s="305" t="s">
        <v>1615</v>
      </c>
      <c r="F1588" s="1384"/>
      <c r="G1588" s="1384"/>
    </row>
    <row r="1589">
      <c r="A1589" s="1407">
        <v>2277.0</v>
      </c>
      <c r="B1589" s="1495"/>
      <c r="C1589" s="305" t="s">
        <v>3049</v>
      </c>
      <c r="F1589" s="1384"/>
      <c r="G1589" s="1384"/>
    </row>
    <row r="1590">
      <c r="A1590" s="466">
        <v>3915.0</v>
      </c>
      <c r="B1590" s="1493"/>
      <c r="C1590" s="305" t="s">
        <v>2778</v>
      </c>
      <c r="F1590" s="1384"/>
      <c r="G1590" s="1384"/>
    </row>
    <row r="1591">
      <c r="A1591" s="466">
        <v>3913.0</v>
      </c>
      <c r="B1591" s="1493"/>
      <c r="C1591" s="305" t="s">
        <v>2654</v>
      </c>
      <c r="F1591" s="1384"/>
      <c r="G1591" s="1384"/>
    </row>
    <row r="1592">
      <c r="A1592" s="466">
        <v>3914.0</v>
      </c>
      <c r="B1592" s="1493"/>
      <c r="C1592" s="305" t="s">
        <v>1596</v>
      </c>
      <c r="F1592" s="1384"/>
      <c r="G1592" s="1384"/>
    </row>
    <row r="1593">
      <c r="A1593" s="466">
        <v>3911.0</v>
      </c>
      <c r="B1593" s="1493"/>
      <c r="C1593" s="305" t="s">
        <v>3050</v>
      </c>
      <c r="F1593" s="1384"/>
      <c r="G1593" s="1384"/>
    </row>
    <row r="1594">
      <c r="A1594" s="466">
        <v>3912.0</v>
      </c>
      <c r="B1594" s="1493"/>
      <c r="C1594" s="305" t="s">
        <v>1916</v>
      </c>
      <c r="F1594" s="1384"/>
      <c r="G1594" s="1384"/>
    </row>
    <row r="1595">
      <c r="A1595" s="466">
        <v>3918.0</v>
      </c>
      <c r="B1595" s="1493"/>
      <c r="C1595" s="305" t="s">
        <v>1590</v>
      </c>
      <c r="F1595" s="1384"/>
      <c r="G1595" s="1384"/>
    </row>
    <row r="1596">
      <c r="A1596" s="466">
        <v>3920.0</v>
      </c>
      <c r="B1596" s="1493"/>
      <c r="C1596" s="305" t="s">
        <v>2001</v>
      </c>
      <c r="F1596" s="1384"/>
      <c r="G1596" s="1384"/>
    </row>
    <row r="1597">
      <c r="A1597" s="466">
        <v>3291.0</v>
      </c>
      <c r="B1597" s="1493"/>
      <c r="C1597" s="305" t="s">
        <v>2106</v>
      </c>
      <c r="F1597" s="1384"/>
      <c r="G1597" s="1384"/>
    </row>
    <row r="1598">
      <c r="A1598" s="466">
        <v>3922.0</v>
      </c>
      <c r="B1598" s="1493"/>
      <c r="C1598" s="305" t="s">
        <v>1944</v>
      </c>
      <c r="F1598" s="1384"/>
      <c r="G1598" s="1384"/>
    </row>
    <row r="1599">
      <c r="A1599" s="466">
        <v>3926.0</v>
      </c>
      <c r="B1599" s="1493"/>
      <c r="C1599" s="305" t="s">
        <v>2077</v>
      </c>
      <c r="F1599" s="1384"/>
      <c r="G1599" s="1384"/>
    </row>
    <row r="1600">
      <c r="A1600" s="466">
        <v>2793.0</v>
      </c>
      <c r="B1600" s="1493"/>
      <c r="C1600" s="305" t="s">
        <v>2158</v>
      </c>
      <c r="F1600" s="1384"/>
      <c r="G1600" s="1384"/>
    </row>
    <row r="1601">
      <c r="A1601" s="466">
        <v>3927.0</v>
      </c>
      <c r="B1601" s="1493"/>
      <c r="C1601" s="305" t="s">
        <v>2946</v>
      </c>
      <c r="F1601" s="1384"/>
      <c r="G1601" s="1384"/>
    </row>
    <row r="1602">
      <c r="A1602" s="466">
        <v>3928.0</v>
      </c>
      <c r="B1602" s="1493"/>
      <c r="C1602" s="305" t="s">
        <v>2026</v>
      </c>
      <c r="F1602" s="1384"/>
      <c r="G1602" s="1384"/>
    </row>
    <row r="1603">
      <c r="A1603" s="466">
        <v>3929.0</v>
      </c>
      <c r="B1603" s="1493"/>
      <c r="C1603" s="305" t="s">
        <v>2669</v>
      </c>
      <c r="F1603" s="1384"/>
      <c r="G1603" s="1384"/>
    </row>
    <row r="1604">
      <c r="A1604" s="466">
        <v>2442.0</v>
      </c>
      <c r="B1604" s="1493"/>
      <c r="C1604" s="305" t="s">
        <v>1602</v>
      </c>
      <c r="F1604" s="1384"/>
      <c r="G1604" s="1384"/>
    </row>
    <row r="1605">
      <c r="A1605" s="466">
        <v>1269.0</v>
      </c>
      <c r="B1605" s="1493"/>
      <c r="C1605" s="305" t="s">
        <v>1474</v>
      </c>
      <c r="F1605" s="1384"/>
      <c r="G1605" s="1384"/>
    </row>
    <row r="1606">
      <c r="A1606" s="466">
        <v>3931.0</v>
      </c>
      <c r="B1606" s="1493"/>
      <c r="C1606" s="305" t="s">
        <v>1594</v>
      </c>
      <c r="F1606" s="1384"/>
      <c r="G1606" s="1384"/>
    </row>
    <row r="1607">
      <c r="A1607" s="466">
        <v>3933.0</v>
      </c>
      <c r="B1607" s="1493"/>
      <c r="C1607" s="305" t="s">
        <v>1955</v>
      </c>
      <c r="F1607" s="1384"/>
      <c r="G1607" s="1384"/>
    </row>
    <row r="1608">
      <c r="A1608" s="466">
        <v>3934.0</v>
      </c>
      <c r="B1608" s="1493"/>
      <c r="C1608" s="305" t="s">
        <v>1973</v>
      </c>
      <c r="F1608" s="1384"/>
      <c r="G1608" s="1384"/>
    </row>
    <row r="1609">
      <c r="A1609" s="466">
        <v>2249.0</v>
      </c>
      <c r="B1609" s="1493"/>
      <c r="C1609" s="305" t="s">
        <v>1455</v>
      </c>
      <c r="F1609" s="1384"/>
      <c r="G1609" s="1384"/>
    </row>
    <row r="1610">
      <c r="A1610" s="466">
        <v>2471.0</v>
      </c>
      <c r="B1610" s="1493"/>
      <c r="C1610" s="305" t="s">
        <v>2839</v>
      </c>
      <c r="F1610" s="1384"/>
      <c r="G1610" s="1384"/>
    </row>
    <row r="1611">
      <c r="A1611" s="466">
        <v>3936.0</v>
      </c>
      <c r="B1611" s="1493"/>
      <c r="C1611" s="305" t="s">
        <v>2206</v>
      </c>
      <c r="F1611" s="1384"/>
      <c r="G1611" s="1384"/>
    </row>
    <row r="1612">
      <c r="A1612" s="466">
        <v>2938.0</v>
      </c>
      <c r="B1612" s="1493"/>
      <c r="C1612" s="305" t="s">
        <v>2127</v>
      </c>
      <c r="F1612" s="1384"/>
      <c r="G1612" s="1384"/>
    </row>
    <row r="1613">
      <c r="A1613" s="466">
        <v>2859.0</v>
      </c>
      <c r="B1613" s="917">
        <v>208.0</v>
      </c>
      <c r="C1613" s="305" t="s">
        <v>474</v>
      </c>
      <c r="F1613" s="1384"/>
      <c r="G1613" s="1384"/>
    </row>
    <row r="1614">
      <c r="A1614" s="1497">
        <v>3996.0</v>
      </c>
      <c r="B1614" s="1498">
        <v>98.0</v>
      </c>
      <c r="C1614" s="305" t="s">
        <v>382</v>
      </c>
      <c r="F1614" s="1384"/>
      <c r="G1614" s="1384"/>
    </row>
    <row r="1615">
      <c r="A1615" s="1497">
        <v>3999.0</v>
      </c>
      <c r="B1615" s="1498">
        <v>98.0</v>
      </c>
      <c r="C1615" s="305" t="s">
        <v>364</v>
      </c>
      <c r="F1615" s="1384"/>
      <c r="G1615" s="1384"/>
    </row>
    <row r="1616">
      <c r="A1616" s="1497">
        <v>3998.0</v>
      </c>
      <c r="B1616" s="1498">
        <v>98.0</v>
      </c>
      <c r="C1616" s="305" t="s">
        <v>388</v>
      </c>
      <c r="F1616" s="1384"/>
      <c r="G1616" s="1384"/>
    </row>
    <row r="1617">
      <c r="A1617" s="1497">
        <v>3997.0</v>
      </c>
      <c r="B1617" s="1498">
        <v>98.0</v>
      </c>
      <c r="C1617" s="305" t="s">
        <v>312</v>
      </c>
      <c r="F1617" s="1384"/>
      <c r="G1617" s="1384"/>
    </row>
    <row r="1618">
      <c r="A1618" s="1497">
        <v>4000.0</v>
      </c>
      <c r="B1618" s="1498">
        <v>98.0</v>
      </c>
      <c r="C1618" s="305" t="s">
        <v>289</v>
      </c>
      <c r="F1618" s="1384"/>
      <c r="G1618" s="1384"/>
    </row>
    <row r="1619">
      <c r="A1619" s="1497">
        <v>4013.0</v>
      </c>
      <c r="B1619" s="1498">
        <v>258.0</v>
      </c>
      <c r="C1619" s="305" t="s">
        <v>486</v>
      </c>
      <c r="F1619" s="1384"/>
      <c r="G1619" s="1384"/>
    </row>
    <row r="1620">
      <c r="A1620" s="1497">
        <v>4014.0</v>
      </c>
      <c r="B1620" s="1499">
        <v>241.0</v>
      </c>
      <c r="C1620" s="305" t="s">
        <v>492</v>
      </c>
      <c r="F1620" s="1384"/>
      <c r="G1620" s="1384"/>
    </row>
    <row r="1621">
      <c r="A1621" s="1497">
        <v>4015.0</v>
      </c>
      <c r="B1621" s="1498">
        <v>187.0</v>
      </c>
      <c r="C1621" s="305" t="s">
        <v>97</v>
      </c>
      <c r="F1621" s="1384"/>
      <c r="G1621" s="1384"/>
    </row>
    <row r="1622">
      <c r="A1622" s="1497">
        <v>4016.0</v>
      </c>
      <c r="B1622" s="1498">
        <v>148.0</v>
      </c>
      <c r="C1622" s="305" t="s">
        <v>499</v>
      </c>
      <c r="F1622" s="1384"/>
      <c r="G1622" s="1384"/>
    </row>
    <row r="1623">
      <c r="A1623" s="1497">
        <v>4017.0</v>
      </c>
      <c r="B1623" s="1498">
        <v>248.0</v>
      </c>
      <c r="C1623" s="305" t="s">
        <v>763</v>
      </c>
      <c r="F1623" s="1384"/>
      <c r="G1623" s="1384"/>
    </row>
    <row r="1624">
      <c r="A1624" s="1497">
        <v>4018.0</v>
      </c>
      <c r="B1624" s="1498">
        <v>147.0</v>
      </c>
      <c r="C1624" s="305" t="s">
        <v>1208</v>
      </c>
      <c r="F1624" s="1384"/>
      <c r="G1624" s="1384"/>
    </row>
    <row r="1625">
      <c r="A1625" s="1497">
        <v>4019.0</v>
      </c>
      <c r="B1625" s="1498">
        <v>98.0</v>
      </c>
      <c r="C1625" s="305" t="s">
        <v>521</v>
      </c>
      <c r="F1625" s="1384"/>
      <c r="G1625" s="1384"/>
    </row>
    <row r="1626">
      <c r="A1626" s="1497">
        <v>4009.0</v>
      </c>
      <c r="B1626" s="1498">
        <v>98.0</v>
      </c>
      <c r="C1626" s="305" t="s">
        <v>522</v>
      </c>
      <c r="F1626" s="1384"/>
      <c r="G1626" s="1384"/>
    </row>
    <row r="1627">
      <c r="A1627" s="1497">
        <v>4026.0</v>
      </c>
      <c r="B1627" s="1498">
        <v>232.0</v>
      </c>
      <c r="C1627" s="305" t="s">
        <v>282</v>
      </c>
      <c r="F1627" s="1384"/>
      <c r="G1627" s="1384"/>
    </row>
    <row r="1628">
      <c r="A1628" s="1497">
        <v>4025.0</v>
      </c>
      <c r="B1628" s="1499">
        <v>236.0</v>
      </c>
      <c r="C1628" s="305" t="s">
        <v>561</v>
      </c>
      <c r="F1628" s="1384"/>
      <c r="G1628" s="1384"/>
    </row>
    <row r="1629">
      <c r="A1629" s="1497">
        <v>4024.0</v>
      </c>
      <c r="B1629" s="1498">
        <v>98.0</v>
      </c>
      <c r="C1629" s="305" t="s">
        <v>271</v>
      </c>
      <c r="F1629" s="1384"/>
      <c r="G1629" s="1384"/>
    </row>
    <row r="1630">
      <c r="A1630" s="1497">
        <v>4029.0</v>
      </c>
      <c r="B1630" s="1498">
        <v>198.0</v>
      </c>
      <c r="C1630" s="305" t="s">
        <v>295</v>
      </c>
      <c r="F1630" s="1384"/>
      <c r="G1630" s="1384"/>
    </row>
    <row r="1631">
      <c r="A1631" s="1497">
        <v>4033.0</v>
      </c>
      <c r="B1631" s="1498">
        <v>183.0</v>
      </c>
      <c r="C1631" s="305" t="s">
        <v>604</v>
      </c>
      <c r="F1631" s="1384"/>
      <c r="G1631" s="1384"/>
    </row>
    <row r="1632">
      <c r="A1632" s="1497">
        <v>4030.0</v>
      </c>
      <c r="B1632" s="1499">
        <v>204.0</v>
      </c>
      <c r="C1632" s="305" t="s">
        <v>287</v>
      </c>
      <c r="F1632" s="1384"/>
      <c r="G1632" s="1384"/>
    </row>
    <row r="1633">
      <c r="A1633" s="1497">
        <v>4031.0</v>
      </c>
      <c r="B1633" s="1498">
        <v>211.0</v>
      </c>
      <c r="C1633" s="305" t="s">
        <v>310</v>
      </c>
      <c r="F1633" s="1384"/>
      <c r="G1633" s="1384"/>
    </row>
    <row r="1634">
      <c r="A1634" s="1497">
        <v>4032.0</v>
      </c>
      <c r="B1634" s="1499">
        <v>238.0</v>
      </c>
      <c r="C1634" s="305" t="s">
        <v>375</v>
      </c>
      <c r="F1634" s="1384"/>
      <c r="G1634" s="1384"/>
    </row>
    <row r="1635">
      <c r="A1635" s="1497">
        <v>4034.0</v>
      </c>
      <c r="B1635" s="1498">
        <v>168.0</v>
      </c>
      <c r="C1635" s="305" t="s">
        <v>314</v>
      </c>
      <c r="F1635" s="1384"/>
      <c r="G1635" s="1384"/>
    </row>
    <row r="1636">
      <c r="A1636" s="1497">
        <v>4037.0</v>
      </c>
      <c r="B1636" s="1499">
        <v>117.0</v>
      </c>
      <c r="C1636" s="305" t="s">
        <v>383</v>
      </c>
      <c r="F1636" s="1384"/>
      <c r="G1636" s="1384"/>
    </row>
    <row r="1637">
      <c r="A1637" s="1497">
        <v>4035.0</v>
      </c>
      <c r="B1637" s="1498">
        <v>148.0</v>
      </c>
      <c r="C1637" s="305" t="s">
        <v>299</v>
      </c>
      <c r="F1637" s="1384"/>
      <c r="G1637" s="1384"/>
    </row>
    <row r="1638">
      <c r="A1638" s="1497">
        <v>4036.0</v>
      </c>
      <c r="B1638" s="1498">
        <v>114.0</v>
      </c>
      <c r="C1638" s="305" t="s">
        <v>119</v>
      </c>
      <c r="F1638" s="1384"/>
      <c r="G1638" s="1384"/>
    </row>
    <row r="1639">
      <c r="A1639" s="1497">
        <v>4038.0</v>
      </c>
      <c r="B1639" s="1498">
        <v>98.0</v>
      </c>
      <c r="C1639" s="305" t="s">
        <v>309</v>
      </c>
      <c r="F1639" s="1384"/>
      <c r="G1639" s="1384"/>
    </row>
    <row r="1640">
      <c r="A1640" s="1497">
        <v>4045.0</v>
      </c>
      <c r="B1640" s="1498">
        <v>145.0</v>
      </c>
      <c r="C1640" s="305" t="s">
        <v>320</v>
      </c>
      <c r="F1640" s="1384"/>
      <c r="G1640" s="1384"/>
    </row>
    <row r="1641">
      <c r="A1641" s="1497">
        <v>4048.0</v>
      </c>
      <c r="B1641" s="1498">
        <v>98.0</v>
      </c>
      <c r="C1641" s="305" t="s">
        <v>322</v>
      </c>
      <c r="F1641" s="1384"/>
      <c r="G1641" s="1384"/>
    </row>
    <row r="1642">
      <c r="A1642" s="1497">
        <v>4051.0</v>
      </c>
      <c r="B1642" s="1498">
        <v>196.0</v>
      </c>
      <c r="C1642" s="305" t="s">
        <v>350</v>
      </c>
      <c r="F1642" s="1384"/>
      <c r="G1642" s="1384"/>
    </row>
    <row r="1643">
      <c r="A1643" s="1497">
        <v>4050.0</v>
      </c>
      <c r="B1643" s="1499">
        <v>178.0</v>
      </c>
      <c r="C1643" s="305" t="s">
        <v>414</v>
      </c>
      <c r="F1643" s="1384"/>
      <c r="G1643" s="1384"/>
    </row>
    <row r="1644">
      <c r="A1644" s="1497">
        <v>3223.0</v>
      </c>
      <c r="B1644" s="1498">
        <v>188.0</v>
      </c>
      <c r="C1644" s="305" t="s">
        <v>381</v>
      </c>
      <c r="F1644" s="1384"/>
      <c r="G1644" s="1384"/>
    </row>
    <row r="1645">
      <c r="A1645" s="1497">
        <v>4053.0</v>
      </c>
      <c r="B1645" s="1498">
        <v>98.0</v>
      </c>
      <c r="C1645" s="305" t="s">
        <v>337</v>
      </c>
      <c r="F1645" s="1384"/>
      <c r="G1645" s="1384"/>
    </row>
    <row r="1646">
      <c r="A1646" s="1497">
        <v>4055.0</v>
      </c>
      <c r="B1646" s="1498">
        <v>98.0</v>
      </c>
      <c r="C1646" s="305" t="s">
        <v>355</v>
      </c>
      <c r="F1646" s="1384"/>
      <c r="G1646" s="1384"/>
    </row>
    <row r="1647">
      <c r="A1647" s="1497">
        <v>4056.0</v>
      </c>
      <c r="B1647" s="1498">
        <v>128.0</v>
      </c>
      <c r="C1647" s="305" t="s">
        <v>334</v>
      </c>
      <c r="F1647" s="1384"/>
      <c r="G1647" s="1384"/>
    </row>
    <row r="1648">
      <c r="A1648" s="1497">
        <v>4058.0</v>
      </c>
      <c r="B1648" s="1498">
        <v>98.0</v>
      </c>
      <c r="C1648" s="305" t="s">
        <v>384</v>
      </c>
      <c r="F1648" s="1384"/>
      <c r="G1648" s="1384"/>
    </row>
    <row r="1649">
      <c r="A1649" s="1497">
        <v>4067.0</v>
      </c>
      <c r="B1649" s="1498">
        <v>265.0</v>
      </c>
      <c r="C1649" s="305" t="s">
        <v>391</v>
      </c>
      <c r="F1649" s="1384"/>
      <c r="G1649" s="1384"/>
    </row>
    <row r="1650">
      <c r="A1650" s="1497">
        <v>4068.0</v>
      </c>
      <c r="B1650" s="1498">
        <v>265.0</v>
      </c>
      <c r="C1650" s="305" t="s">
        <v>394</v>
      </c>
      <c r="F1650" s="1384"/>
      <c r="G1650" s="1384"/>
    </row>
    <row r="1651">
      <c r="A1651" s="1497">
        <v>4069.0</v>
      </c>
      <c r="B1651" s="1498">
        <v>265.0</v>
      </c>
      <c r="C1651" s="305" t="s">
        <v>385</v>
      </c>
      <c r="F1651" s="1384"/>
      <c r="G1651" s="1384"/>
    </row>
    <row r="1652">
      <c r="A1652" s="1497">
        <v>4070.0</v>
      </c>
      <c r="B1652" s="1502">
        <v>181.0</v>
      </c>
      <c r="C1652" s="305" t="s">
        <v>389</v>
      </c>
      <c r="F1652" s="1384"/>
      <c r="G1652" s="1384"/>
    </row>
    <row r="1653">
      <c r="A1653" s="516">
        <v>4080.0</v>
      </c>
      <c r="B1653" s="518">
        <v>226.0</v>
      </c>
      <c r="C1653" s="305" t="s">
        <v>3051</v>
      </c>
      <c r="F1653" s="1384"/>
      <c r="G1653" s="1384"/>
    </row>
    <row r="1654">
      <c r="A1654" s="516">
        <v>4086.0</v>
      </c>
      <c r="B1654" s="518">
        <v>148.0</v>
      </c>
      <c r="C1654" s="305" t="s">
        <v>431</v>
      </c>
      <c r="F1654" s="1384"/>
      <c r="G1654" s="1384"/>
    </row>
    <row r="1655">
      <c r="A1655" s="516">
        <v>4088.0</v>
      </c>
      <c r="B1655" s="518">
        <v>98.0</v>
      </c>
      <c r="C1655" s="305" t="s">
        <v>445</v>
      </c>
      <c r="F1655" s="1384"/>
      <c r="G1655" s="1384"/>
    </row>
    <row r="1656">
      <c r="A1656" s="516">
        <v>4089.0</v>
      </c>
      <c r="B1656" s="518">
        <v>210.0</v>
      </c>
      <c r="C1656" s="305" t="s">
        <v>438</v>
      </c>
      <c r="F1656" s="1384"/>
      <c r="G1656" s="1384"/>
    </row>
    <row r="1657">
      <c r="A1657" s="516">
        <v>4090.0</v>
      </c>
      <c r="B1657" s="518">
        <v>328.0</v>
      </c>
      <c r="C1657" s="305" t="s">
        <v>822</v>
      </c>
      <c r="F1657" s="1384"/>
      <c r="G1657" s="1384"/>
    </row>
    <row r="1658">
      <c r="A1658" s="516">
        <v>4098.0</v>
      </c>
      <c r="B1658" s="518">
        <v>164.0</v>
      </c>
      <c r="C1658" s="305" t="s">
        <v>3032</v>
      </c>
      <c r="F1658" s="1384"/>
      <c r="G1658" s="1384"/>
    </row>
    <row r="1659">
      <c r="A1659" s="516">
        <v>4099.0</v>
      </c>
      <c r="B1659" s="518">
        <v>221.0</v>
      </c>
      <c r="C1659" s="305" t="s">
        <v>457</v>
      </c>
      <c r="F1659" s="1384"/>
      <c r="G1659" s="1384"/>
    </row>
    <row r="1660">
      <c r="A1660" s="516">
        <v>4100.0</v>
      </c>
      <c r="B1660" s="518">
        <v>198.0</v>
      </c>
      <c r="C1660" s="305" t="s">
        <v>439</v>
      </c>
      <c r="F1660" s="1384"/>
      <c r="G1660" s="1384"/>
    </row>
    <row r="1661">
      <c r="A1661" s="516">
        <v>4101.0</v>
      </c>
      <c r="B1661" s="518">
        <v>224.0</v>
      </c>
      <c r="C1661" s="305" t="s">
        <v>3014</v>
      </c>
      <c r="F1661" s="1384"/>
      <c r="G1661" s="1384"/>
    </row>
    <row r="1662">
      <c r="A1662" s="516">
        <v>4102.0</v>
      </c>
      <c r="B1662" s="518">
        <v>282.0</v>
      </c>
      <c r="C1662" s="305" t="s">
        <v>443</v>
      </c>
      <c r="F1662" s="1384"/>
      <c r="G1662" s="1384"/>
    </row>
    <row r="1663">
      <c r="A1663" s="516">
        <v>4104.0</v>
      </c>
      <c r="B1663" s="518">
        <v>212.0</v>
      </c>
      <c r="C1663" s="305" t="s">
        <v>459</v>
      </c>
      <c r="F1663" s="1384"/>
      <c r="G1663" s="1384"/>
    </row>
    <row r="1664">
      <c r="A1664" s="516">
        <v>4105.0</v>
      </c>
      <c r="B1664" s="518">
        <v>234.0</v>
      </c>
      <c r="C1664" s="305" t="s">
        <v>435</v>
      </c>
      <c r="F1664" s="1384"/>
      <c r="G1664" s="1384"/>
    </row>
    <row r="1665">
      <c r="A1665" s="516">
        <v>4111.0</v>
      </c>
      <c r="B1665" s="518">
        <v>118.0</v>
      </c>
      <c r="C1665" s="305" t="s">
        <v>465</v>
      </c>
      <c r="F1665" s="1384"/>
      <c r="G1665" s="1384"/>
    </row>
    <row r="1666">
      <c r="A1666" s="516">
        <v>4113.0</v>
      </c>
      <c r="B1666" s="518">
        <v>168.0</v>
      </c>
      <c r="C1666" s="305" t="s">
        <v>859</v>
      </c>
      <c r="F1666" s="1384"/>
      <c r="G1666" s="1384"/>
    </row>
    <row r="1667">
      <c r="A1667" s="516">
        <v>4079.0</v>
      </c>
      <c r="B1667" s="518">
        <v>101.0</v>
      </c>
      <c r="C1667" s="305" t="s">
        <v>3052</v>
      </c>
      <c r="F1667" s="1384"/>
      <c r="G1667" s="1384"/>
    </row>
    <row r="1668">
      <c r="A1668" s="516">
        <v>4120.0</v>
      </c>
      <c r="B1668" s="518">
        <v>212.0</v>
      </c>
      <c r="C1668" s="305" t="s">
        <v>324</v>
      </c>
      <c r="F1668" s="1384"/>
      <c r="G1668" s="1384"/>
    </row>
    <row r="1669">
      <c r="A1669" s="516">
        <v>4172.0</v>
      </c>
      <c r="B1669" s="518">
        <v>210.0</v>
      </c>
      <c r="C1669" s="305" t="s">
        <v>306</v>
      </c>
      <c r="F1669" s="1384"/>
      <c r="G1669" s="1384"/>
    </row>
    <row r="1670">
      <c r="A1670" s="516">
        <v>4173.0</v>
      </c>
      <c r="B1670" s="518">
        <v>98.0</v>
      </c>
      <c r="C1670" s="305" t="s">
        <v>601</v>
      </c>
      <c r="F1670" s="1384"/>
      <c r="G1670" s="1384"/>
    </row>
    <row r="1671">
      <c r="A1671" s="516">
        <v>4175.0</v>
      </c>
      <c r="B1671" s="518">
        <v>198.0</v>
      </c>
      <c r="C1671" s="305" t="s">
        <v>565</v>
      </c>
      <c r="F1671" s="1384"/>
      <c r="G1671" s="1384"/>
    </row>
    <row r="1672">
      <c r="A1672" s="516">
        <v>4176.0</v>
      </c>
      <c r="B1672" s="518">
        <v>221.0</v>
      </c>
      <c r="C1672" s="305" t="s">
        <v>594</v>
      </c>
      <c r="F1672" s="1384"/>
      <c r="G1672" s="1384"/>
    </row>
    <row r="1673">
      <c r="A1673" s="516">
        <v>4181.0</v>
      </c>
      <c r="B1673" s="518">
        <v>173.0</v>
      </c>
      <c r="C1673" s="305" t="s">
        <v>888</v>
      </c>
      <c r="F1673" s="1384"/>
      <c r="G1673" s="1384"/>
    </row>
    <row r="1674">
      <c r="A1674" s="516">
        <v>4118.0</v>
      </c>
      <c r="B1674" s="518">
        <v>268.0</v>
      </c>
      <c r="C1674" s="305" t="s">
        <v>767</v>
      </c>
      <c r="F1674" s="1384"/>
      <c r="G1674" s="1384"/>
    </row>
    <row r="1675">
      <c r="A1675" s="516">
        <v>4184.0</v>
      </c>
      <c r="B1675" s="518">
        <v>188.0</v>
      </c>
      <c r="C1675" s="305" t="s">
        <v>750</v>
      </c>
      <c r="F1675" s="1384"/>
      <c r="G1675" s="1384"/>
    </row>
    <row r="1676">
      <c r="A1676" s="516">
        <v>4185.0</v>
      </c>
      <c r="B1676" s="518"/>
      <c r="C1676" s="305" t="s">
        <v>1176</v>
      </c>
      <c r="F1676" s="1384"/>
      <c r="G1676" s="1384"/>
    </row>
    <row r="1677">
      <c r="A1677" s="516">
        <v>4119.0</v>
      </c>
      <c r="B1677" s="518">
        <v>258.0</v>
      </c>
      <c r="C1677" s="305" t="s">
        <v>773</v>
      </c>
      <c r="F1677" s="1384"/>
      <c r="G1677" s="1384"/>
    </row>
    <row r="1678">
      <c r="A1678" s="516">
        <v>4186.0</v>
      </c>
      <c r="B1678" s="518">
        <v>268.0</v>
      </c>
      <c r="C1678" s="305" t="s">
        <v>775</v>
      </c>
      <c r="F1678" s="1384"/>
      <c r="G1678" s="1384"/>
    </row>
    <row r="1679">
      <c r="A1679" s="516">
        <v>4185.0</v>
      </c>
      <c r="B1679" s="518">
        <v>150.0</v>
      </c>
      <c r="C1679" s="305" t="s">
        <v>780</v>
      </c>
      <c r="F1679" s="1384"/>
      <c r="G1679" s="1384"/>
    </row>
    <row r="1680">
      <c r="A1680" s="516">
        <v>4192.0</v>
      </c>
      <c r="B1680" s="518">
        <v>272.0</v>
      </c>
      <c r="C1680" s="305" t="s">
        <v>777</v>
      </c>
      <c r="F1680" s="1384"/>
      <c r="G1680" s="1384"/>
    </row>
    <row r="1681">
      <c r="A1681" s="516">
        <v>4193.0</v>
      </c>
      <c r="B1681" s="518">
        <v>214.0</v>
      </c>
      <c r="C1681" s="305" t="s">
        <v>779</v>
      </c>
      <c r="F1681" s="1384"/>
      <c r="G1681" s="1384"/>
    </row>
    <row r="1682">
      <c r="A1682" s="516">
        <v>4196.0</v>
      </c>
      <c r="B1682" s="518">
        <v>243.0</v>
      </c>
      <c r="C1682" s="305" t="s">
        <v>141</v>
      </c>
      <c r="F1682" s="1384"/>
      <c r="G1682" s="1384"/>
    </row>
    <row r="1683">
      <c r="A1683" s="516">
        <v>4197.0</v>
      </c>
      <c r="B1683" s="518">
        <v>208.0</v>
      </c>
      <c r="C1683" s="305" t="s">
        <v>897</v>
      </c>
      <c r="F1683" s="1384"/>
      <c r="G1683" s="1384"/>
    </row>
    <row r="1684">
      <c r="A1684" s="516">
        <v>4201.0</v>
      </c>
      <c r="B1684" s="518">
        <v>212.0</v>
      </c>
      <c r="C1684" s="305" t="s">
        <v>3020</v>
      </c>
      <c r="F1684" s="1384"/>
      <c r="G1684" s="1384"/>
    </row>
    <row r="1685">
      <c r="A1685" s="516">
        <v>4207.0</v>
      </c>
      <c r="B1685" s="518">
        <v>186.0</v>
      </c>
      <c r="C1685" s="305" t="s">
        <v>919</v>
      </c>
      <c r="F1685" s="1384"/>
      <c r="G1685" s="1384"/>
    </row>
    <row r="1686">
      <c r="A1686" s="516">
        <v>4205.0</v>
      </c>
      <c r="B1686" s="518">
        <v>138.0</v>
      </c>
      <c r="C1686" s="305" t="s">
        <v>3021</v>
      </c>
      <c r="F1686" s="1384"/>
      <c r="G1686" s="1384"/>
    </row>
    <row r="1687">
      <c r="A1687" s="516">
        <v>4206.0</v>
      </c>
      <c r="B1687" s="518">
        <v>172.0</v>
      </c>
      <c r="C1687" s="305" t="s">
        <v>995</v>
      </c>
      <c r="F1687" s="1384"/>
      <c r="G1687" s="1384"/>
    </row>
    <row r="1688">
      <c r="A1688" s="516">
        <v>4224.0</v>
      </c>
      <c r="B1688" s="518">
        <v>281.0</v>
      </c>
      <c r="C1688" s="305" t="s">
        <v>798</v>
      </c>
      <c r="F1688" s="1384"/>
      <c r="G1688" s="1384"/>
    </row>
    <row r="1689">
      <c r="A1689" s="516">
        <v>4226.0</v>
      </c>
      <c r="B1689" s="518">
        <v>139.0</v>
      </c>
      <c r="C1689" s="305" t="s">
        <v>2979</v>
      </c>
      <c r="F1689" s="1384"/>
      <c r="G1689" s="1384"/>
    </row>
    <row r="1690">
      <c r="A1690" s="516">
        <v>4227.0</v>
      </c>
      <c r="B1690" s="518">
        <v>198.0</v>
      </c>
      <c r="C1690" s="305" t="s">
        <v>3024</v>
      </c>
      <c r="F1690" s="1384"/>
      <c r="G1690" s="1384"/>
    </row>
    <row r="1691">
      <c r="A1691" s="516">
        <v>4230.0</v>
      </c>
      <c r="B1691" s="518">
        <v>142.0</v>
      </c>
      <c r="C1691" s="305" t="s">
        <v>1011</v>
      </c>
      <c r="F1691" s="1384"/>
      <c r="G1691" s="1384"/>
    </row>
    <row r="1692">
      <c r="A1692" s="516">
        <v>4232.0</v>
      </c>
      <c r="B1692" s="518">
        <v>214.0</v>
      </c>
      <c r="C1692" s="305" t="s">
        <v>3053</v>
      </c>
      <c r="F1692" s="1384"/>
      <c r="G1692" s="1384"/>
    </row>
    <row r="1693">
      <c r="A1693" s="516">
        <v>4233.0</v>
      </c>
      <c r="B1693" s="518">
        <v>211.0</v>
      </c>
      <c r="C1693" s="305" t="s">
        <v>2496</v>
      </c>
      <c r="F1693" s="1384"/>
      <c r="G1693" s="1384"/>
    </row>
    <row r="1694">
      <c r="A1694" s="516">
        <v>4238.0</v>
      </c>
      <c r="B1694" s="518">
        <v>226.0</v>
      </c>
      <c r="C1694" s="305" t="s">
        <v>2760</v>
      </c>
      <c r="F1694" s="1384"/>
      <c r="G1694" s="1384"/>
    </row>
    <row r="1695">
      <c r="A1695" s="516">
        <v>4235.0</v>
      </c>
      <c r="B1695" s="518">
        <v>158.0</v>
      </c>
      <c r="C1695" s="305" t="s">
        <v>1007</v>
      </c>
      <c r="F1695" s="1384"/>
      <c r="G1695" s="1384"/>
    </row>
    <row r="1696">
      <c r="A1696" s="516">
        <v>4237.0</v>
      </c>
      <c r="B1696" s="518">
        <v>210.0</v>
      </c>
      <c r="C1696" s="305" t="s">
        <v>2658</v>
      </c>
      <c r="F1696" s="1384"/>
      <c r="G1696" s="1384"/>
    </row>
    <row r="1697">
      <c r="A1697" s="516">
        <v>3975.0</v>
      </c>
      <c r="B1697" s="518">
        <v>224.0</v>
      </c>
      <c r="C1697" s="305" t="s">
        <v>3054</v>
      </c>
      <c r="F1697" s="1384"/>
      <c r="G1697" s="1384"/>
    </row>
    <row r="1698">
      <c r="A1698" s="516">
        <v>4239.0</v>
      </c>
      <c r="B1698" s="518">
        <v>172.0</v>
      </c>
      <c r="C1698" s="305" t="s">
        <v>1213</v>
      </c>
      <c r="F1698" s="1384"/>
      <c r="G1698" s="1384"/>
    </row>
    <row r="1699">
      <c r="A1699" s="516"/>
      <c r="B1699" s="518"/>
      <c r="C1699" s="305" t="s">
        <v>3055</v>
      </c>
      <c r="F1699" s="1384"/>
      <c r="G1699" s="1384"/>
    </row>
    <row r="1700">
      <c r="A1700" s="516">
        <v>4065.0</v>
      </c>
      <c r="B1700" s="518">
        <v>187.0</v>
      </c>
      <c r="C1700" s="305" t="s">
        <v>3056</v>
      </c>
      <c r="F1700" s="1384"/>
      <c r="G1700" s="1384"/>
    </row>
    <row r="1701">
      <c r="A1701" s="516">
        <v>4242.0</v>
      </c>
      <c r="B1701" s="518">
        <v>158.0</v>
      </c>
      <c r="C1701" s="305" t="s">
        <v>1019</v>
      </c>
      <c r="F1701" s="1384"/>
      <c r="G1701" s="1384"/>
    </row>
    <row r="1702">
      <c r="A1702" s="516">
        <v>4244.0</v>
      </c>
      <c r="B1702" s="518">
        <v>163.0</v>
      </c>
      <c r="C1702" s="305" t="s">
        <v>1013</v>
      </c>
      <c r="F1702" s="1384"/>
      <c r="G1702" s="1384"/>
    </row>
    <row r="1703">
      <c r="A1703" s="516"/>
      <c r="B1703" s="518">
        <v>100.0</v>
      </c>
      <c r="C1703" s="305" t="s">
        <v>3057</v>
      </c>
      <c r="F1703" s="1384"/>
      <c r="G1703" s="1384"/>
    </row>
    <row r="1704">
      <c r="A1704" s="516">
        <v>4246.0</v>
      </c>
      <c r="B1704" s="518">
        <v>100.0</v>
      </c>
      <c r="C1704" s="305" t="s">
        <v>3033</v>
      </c>
      <c r="F1704" s="1384"/>
      <c r="G1704" s="1384"/>
    </row>
    <row r="1705">
      <c r="A1705" s="516"/>
      <c r="B1705" s="518"/>
      <c r="C1705" s="305" t="s">
        <v>1415</v>
      </c>
      <c r="F1705" s="1384"/>
      <c r="G1705" s="1384"/>
    </row>
    <row r="1706">
      <c r="A1706" s="516">
        <v>4252.0</v>
      </c>
      <c r="B1706" s="518">
        <v>203.0</v>
      </c>
      <c r="C1706" s="305" t="s">
        <v>3058</v>
      </c>
      <c r="F1706" s="1384"/>
      <c r="G1706" s="1384"/>
    </row>
    <row r="1707">
      <c r="A1707" s="516">
        <v>4254.0</v>
      </c>
      <c r="B1707" s="518">
        <v>186.0</v>
      </c>
      <c r="C1707" s="305" t="s">
        <v>2591</v>
      </c>
      <c r="F1707" s="1384"/>
      <c r="G1707" s="1384"/>
    </row>
    <row r="1708">
      <c r="A1708" s="516">
        <v>4253.0</v>
      </c>
      <c r="B1708" s="518">
        <v>185.0</v>
      </c>
      <c r="C1708" s="305" t="s">
        <v>3059</v>
      </c>
      <c r="F1708" s="1384"/>
      <c r="G1708" s="1384"/>
    </row>
    <row r="1709">
      <c r="A1709" s="516">
        <v>4257.0</v>
      </c>
      <c r="B1709" s="518">
        <v>237.0</v>
      </c>
      <c r="C1709" s="305" t="s">
        <v>794</v>
      </c>
      <c r="F1709" s="1384"/>
      <c r="G1709" s="1384"/>
    </row>
    <row r="1710">
      <c r="A1710" s="516">
        <v>4259.0</v>
      </c>
      <c r="B1710" s="518">
        <v>265.0</v>
      </c>
      <c r="C1710" s="305" t="s">
        <v>845</v>
      </c>
      <c r="F1710" s="1384"/>
      <c r="G1710" s="1384"/>
    </row>
    <row r="1711">
      <c r="A1711" s="516">
        <v>4260.0</v>
      </c>
      <c r="B1711" s="518">
        <v>238.0</v>
      </c>
      <c r="C1711" s="305" t="s">
        <v>1251</v>
      </c>
      <c r="F1711" s="1384"/>
      <c r="G1711" s="1384"/>
    </row>
    <row r="1712">
      <c r="A1712" s="516">
        <v>2941.0</v>
      </c>
      <c r="B1712" s="518">
        <v>278.0</v>
      </c>
      <c r="C1712" s="305" t="s">
        <v>873</v>
      </c>
      <c r="F1712" s="1384"/>
      <c r="G1712" s="1384"/>
    </row>
    <row r="1713">
      <c r="A1713" s="516">
        <v>4265.0</v>
      </c>
      <c r="B1713" s="518">
        <v>128.0</v>
      </c>
      <c r="C1713" s="305" t="s">
        <v>912</v>
      </c>
      <c r="F1713" s="1384"/>
      <c r="G1713" s="1384"/>
    </row>
    <row r="1714">
      <c r="A1714" s="516">
        <v>4266.0</v>
      </c>
      <c r="B1714" s="518">
        <v>131.0</v>
      </c>
      <c r="C1714" s="305" t="s">
        <v>3026</v>
      </c>
      <c r="F1714" s="1384"/>
      <c r="G1714" s="1384"/>
    </row>
    <row r="1715">
      <c r="A1715" s="516">
        <v>4267.0</v>
      </c>
      <c r="B1715" s="518">
        <v>208.0</v>
      </c>
      <c r="C1715" s="305" t="s">
        <v>3027</v>
      </c>
      <c r="F1715" s="1384"/>
      <c r="G1715" s="1384"/>
    </row>
    <row r="1716">
      <c r="A1716" s="516">
        <v>4268.0</v>
      </c>
      <c r="B1716" s="518">
        <v>269.0</v>
      </c>
      <c r="C1716" s="305" t="s">
        <v>865</v>
      </c>
      <c r="F1716" s="1384"/>
      <c r="G1716" s="1384"/>
    </row>
    <row r="1717">
      <c r="A1717" s="516">
        <v>4274.0</v>
      </c>
      <c r="B1717" s="518">
        <v>139.0</v>
      </c>
      <c r="C1717" s="305" t="s">
        <v>1180</v>
      </c>
      <c r="F1717" s="1384"/>
      <c r="G1717" s="1384"/>
    </row>
    <row r="1718">
      <c r="A1718" s="516">
        <v>4286.0</v>
      </c>
      <c r="B1718" s="518">
        <v>295.0</v>
      </c>
      <c r="C1718" s="305" t="s">
        <v>2611</v>
      </c>
      <c r="F1718" s="1384"/>
      <c r="G1718" s="1384"/>
    </row>
    <row r="1719">
      <c r="A1719" s="516">
        <v>4273.0</v>
      </c>
      <c r="B1719" s="518">
        <v>187.0</v>
      </c>
      <c r="C1719" s="305" t="s">
        <v>1154</v>
      </c>
      <c r="F1719" s="1384"/>
      <c r="G1719" s="1384"/>
    </row>
    <row r="1720">
      <c r="A1720" s="516">
        <v>4279.0</v>
      </c>
      <c r="B1720" s="518">
        <v>269.0</v>
      </c>
      <c r="C1720" s="305" t="s">
        <v>3036</v>
      </c>
      <c r="F1720" s="1384"/>
      <c r="G1720" s="1384"/>
    </row>
    <row r="1721">
      <c r="A1721" s="516">
        <v>4281.0</v>
      </c>
      <c r="B1721" s="518">
        <v>98.0</v>
      </c>
      <c r="C1721" s="305" t="s">
        <v>1039</v>
      </c>
      <c r="F1721" s="1384"/>
      <c r="G1721" s="1384"/>
    </row>
    <row r="1722">
      <c r="A1722" s="516">
        <v>4115.0</v>
      </c>
      <c r="B1722" s="518">
        <v>212.0</v>
      </c>
      <c r="C1722" s="305" t="s">
        <v>2925</v>
      </c>
      <c r="F1722" s="1384"/>
      <c r="G1722" s="1384"/>
    </row>
    <row r="1723">
      <c r="A1723" s="516">
        <v>4282.0</v>
      </c>
      <c r="B1723" s="518">
        <v>168.0</v>
      </c>
      <c r="C1723" s="305" t="s">
        <v>3060</v>
      </c>
      <c r="F1723" s="1384"/>
      <c r="G1723" s="1384"/>
    </row>
    <row r="1724">
      <c r="A1724" s="516">
        <v>4283.0</v>
      </c>
      <c r="B1724" s="518">
        <v>288.0</v>
      </c>
      <c r="C1724" s="305" t="s">
        <v>854</v>
      </c>
      <c r="F1724" s="1384"/>
      <c r="G1724" s="1384"/>
    </row>
    <row r="1725">
      <c r="A1725" s="516">
        <v>4294.0</v>
      </c>
      <c r="B1725" s="518">
        <v>215.0</v>
      </c>
      <c r="C1725" s="305" t="s">
        <v>2889</v>
      </c>
      <c r="F1725" s="1384"/>
      <c r="G1725" s="1384"/>
    </row>
    <row r="1726">
      <c r="A1726" s="516">
        <v>4295.0</v>
      </c>
      <c r="B1726" s="518">
        <v>218.0</v>
      </c>
      <c r="C1726" s="305" t="s">
        <v>863</v>
      </c>
      <c r="F1726" s="1384"/>
      <c r="G1726" s="1384"/>
    </row>
    <row r="1727">
      <c r="A1727" s="516">
        <v>4299.0</v>
      </c>
      <c r="B1727" s="518">
        <v>94.0</v>
      </c>
      <c r="C1727" s="305" t="s">
        <v>1148</v>
      </c>
      <c r="F1727" s="1384"/>
      <c r="G1727" s="1384"/>
    </row>
    <row r="1728">
      <c r="A1728" s="516">
        <v>4312.0</v>
      </c>
      <c r="B1728" s="518">
        <v>148.0</v>
      </c>
      <c r="C1728" s="305" t="s">
        <v>3028</v>
      </c>
      <c r="F1728" s="1384"/>
      <c r="G1728" s="1384"/>
    </row>
    <row r="1729">
      <c r="A1729" s="516">
        <v>4245.0</v>
      </c>
      <c r="B1729" s="518">
        <v>139.0</v>
      </c>
      <c r="C1729" s="305" t="s">
        <v>1239</v>
      </c>
      <c r="F1729" s="1384"/>
      <c r="G1729" s="1384"/>
    </row>
    <row r="1730">
      <c r="A1730" s="516">
        <v>4318.0</v>
      </c>
      <c r="B1730" s="518">
        <v>189.0</v>
      </c>
      <c r="C1730" s="305" t="s">
        <v>1240</v>
      </c>
      <c r="F1730" s="1384"/>
      <c r="G1730" s="1384"/>
    </row>
    <row r="1731">
      <c r="A1731" s="516">
        <v>60.0</v>
      </c>
      <c r="B1731" s="518">
        <v>141.0</v>
      </c>
      <c r="C1731" s="305" t="s">
        <v>1241</v>
      </c>
      <c r="F1731" s="1384"/>
      <c r="G1731" s="1384"/>
    </row>
    <row r="1732">
      <c r="A1732" s="516">
        <v>4317.0</v>
      </c>
      <c r="B1732" s="518">
        <v>186.0</v>
      </c>
      <c r="C1732" s="305" t="s">
        <v>3061</v>
      </c>
      <c r="F1732" s="1384"/>
      <c r="G1732" s="1384"/>
    </row>
    <row r="1733">
      <c r="A1733" s="516">
        <v>4313.0</v>
      </c>
      <c r="B1733" s="518">
        <v>208.0</v>
      </c>
      <c r="C1733" s="305" t="s">
        <v>3062</v>
      </c>
      <c r="F1733" s="1384"/>
      <c r="G1733" s="1384"/>
    </row>
    <row r="1734">
      <c r="A1734" s="516">
        <v>4319.0</v>
      </c>
      <c r="B1734" s="518">
        <v>98.0</v>
      </c>
      <c r="C1734" s="305" t="s">
        <v>1242</v>
      </c>
      <c r="F1734" s="1384"/>
      <c r="G1734" s="1384"/>
    </row>
    <row r="1735">
      <c r="A1735" s="516">
        <v>4323.0</v>
      </c>
      <c r="B1735" s="518">
        <v>210.0</v>
      </c>
      <c r="C1735" s="305" t="s">
        <v>1243</v>
      </c>
      <c r="F1735" s="1384"/>
      <c r="G1735" s="1384"/>
    </row>
    <row r="1736">
      <c r="A1736" s="516">
        <v>4324.0</v>
      </c>
      <c r="B1736" s="518">
        <v>208.0</v>
      </c>
      <c r="C1736" s="305" t="s">
        <v>1244</v>
      </c>
      <c r="F1736" s="1384"/>
      <c r="G1736" s="1384"/>
    </row>
    <row r="1737">
      <c r="A1737" s="516">
        <v>4327.0</v>
      </c>
      <c r="B1737" s="518">
        <v>98.0</v>
      </c>
      <c r="C1737" s="305" t="s">
        <v>3023</v>
      </c>
      <c r="F1737" s="1384"/>
      <c r="G1737" s="1384"/>
    </row>
    <row r="1738">
      <c r="A1738" s="516">
        <v>4328.0</v>
      </c>
      <c r="B1738" s="518">
        <v>211.0</v>
      </c>
      <c r="C1738" s="305" t="s">
        <v>761</v>
      </c>
      <c r="F1738" s="1384"/>
      <c r="G1738" s="1384"/>
    </row>
    <row r="1739">
      <c r="A1739" s="523" t="s">
        <v>1277</v>
      </c>
      <c r="B1739" s="524">
        <v>184.0</v>
      </c>
      <c r="C1739" s="1506" t="s">
        <v>1278</v>
      </c>
      <c r="F1739" s="1384"/>
      <c r="G1739" s="1384"/>
    </row>
    <row r="1740">
      <c r="A1740" s="516">
        <v>4354.0</v>
      </c>
      <c r="B1740" s="518"/>
      <c r="C1740" s="305" t="s">
        <v>2686</v>
      </c>
      <c r="F1740" s="1384"/>
      <c r="G1740" s="1384"/>
    </row>
    <row r="1741">
      <c r="A1741" s="516">
        <v>4355.0</v>
      </c>
      <c r="B1741" s="518"/>
      <c r="C1741" s="305" t="s">
        <v>3038</v>
      </c>
      <c r="F1741" s="1384"/>
      <c r="G1741" s="1384"/>
    </row>
    <row r="1742">
      <c r="A1742" s="516"/>
      <c r="B1742" s="518"/>
      <c r="C1742" s="305"/>
      <c r="F1742" s="1384"/>
      <c r="G1742" s="1384"/>
    </row>
    <row r="1743">
      <c r="A1743" s="516"/>
      <c r="B1743" s="518"/>
      <c r="C1743" s="305"/>
      <c r="F1743" s="1384"/>
      <c r="G1743" s="1384"/>
    </row>
    <row r="1744">
      <c r="A1744" s="516"/>
      <c r="B1744" s="518"/>
      <c r="C1744" s="305"/>
      <c r="F1744" s="1384"/>
      <c r="G1744" s="1384"/>
    </row>
    <row r="1745">
      <c r="A1745" s="516"/>
      <c r="B1745" s="518"/>
      <c r="C1745" s="305"/>
      <c r="F1745" s="1384"/>
      <c r="G1745" s="1384"/>
    </row>
    <row r="1746">
      <c r="A1746" s="516"/>
      <c r="B1746" s="518"/>
      <c r="C1746" s="305"/>
      <c r="F1746" s="1384"/>
      <c r="G1746" s="1384"/>
    </row>
    <row r="1747">
      <c r="A1747" s="516"/>
      <c r="B1747" s="518"/>
      <c r="C1747" s="305"/>
      <c r="F1747" s="1384"/>
      <c r="G1747" s="1384"/>
    </row>
    <row r="1748">
      <c r="A1748" s="516"/>
      <c r="B1748" s="518"/>
      <c r="C1748" s="305"/>
      <c r="F1748" s="1384"/>
      <c r="G1748" s="1384"/>
    </row>
    <row r="1749">
      <c r="A1749" s="516"/>
      <c r="B1749" s="518"/>
      <c r="C1749" s="305"/>
      <c r="F1749" s="1384"/>
      <c r="G1749" s="1384"/>
    </row>
    <row r="1750">
      <c r="A1750" s="516"/>
      <c r="B1750" s="518"/>
      <c r="C1750" s="305"/>
      <c r="F1750" s="1384"/>
      <c r="G1750" s="1384"/>
    </row>
    <row r="1751">
      <c r="A1751" s="516"/>
      <c r="B1751" s="518"/>
      <c r="C1751" s="305"/>
      <c r="F1751" s="1384"/>
      <c r="G1751" s="1384"/>
    </row>
    <row r="1752">
      <c r="A1752" s="516"/>
      <c r="B1752" s="518"/>
      <c r="C1752" s="305"/>
      <c r="F1752" s="1384"/>
      <c r="G1752" s="1384"/>
    </row>
    <row r="1753">
      <c r="A1753" s="516"/>
      <c r="B1753" s="518"/>
      <c r="C1753" s="305"/>
      <c r="F1753" s="1384"/>
      <c r="G1753" s="1384"/>
    </row>
    <row r="1754">
      <c r="A1754" s="516"/>
      <c r="B1754" s="518"/>
      <c r="C1754" s="305"/>
      <c r="F1754" s="1384"/>
      <c r="G1754" s="1384"/>
    </row>
    <row r="1755">
      <c r="A1755" s="516"/>
      <c r="B1755" s="518"/>
      <c r="C1755" s="305"/>
      <c r="F1755" s="1384"/>
      <c r="G1755" s="1384"/>
    </row>
    <row r="1756">
      <c r="A1756" s="516"/>
      <c r="B1756" s="518"/>
      <c r="C1756" s="305"/>
      <c r="F1756" s="1384"/>
      <c r="G1756" s="1384"/>
    </row>
    <row r="1757">
      <c r="A1757" s="516"/>
      <c r="B1757" s="518"/>
      <c r="C1757" s="305"/>
      <c r="F1757" s="1384"/>
      <c r="G1757" s="1384"/>
    </row>
    <row r="1758">
      <c r="A1758" s="516"/>
      <c r="B1758" s="518"/>
      <c r="C1758" s="305"/>
      <c r="F1758" s="1384"/>
      <c r="G1758" s="1384"/>
    </row>
    <row r="1759">
      <c r="A1759" s="516"/>
      <c r="B1759" s="518"/>
      <c r="C1759" s="305"/>
      <c r="F1759" s="1384"/>
      <c r="G1759" s="1384"/>
    </row>
    <row r="1760">
      <c r="A1760" s="516"/>
      <c r="B1760" s="518"/>
      <c r="C1760" s="305"/>
      <c r="F1760" s="1384"/>
      <c r="G1760" s="1384"/>
    </row>
    <row r="1761">
      <c r="A1761" s="516"/>
      <c r="B1761" s="518"/>
      <c r="C1761" s="305"/>
      <c r="F1761" s="1384"/>
      <c r="G1761" s="1384"/>
    </row>
    <row r="1762">
      <c r="A1762" s="516"/>
      <c r="B1762" s="518"/>
      <c r="C1762" s="305"/>
      <c r="F1762" s="1384"/>
      <c r="G1762" s="1384"/>
    </row>
    <row r="1763">
      <c r="A1763" s="516"/>
      <c r="B1763" s="518"/>
      <c r="C1763" s="305"/>
      <c r="F1763" s="1384"/>
      <c r="G1763" s="1384"/>
    </row>
    <row r="1764">
      <c r="A1764" s="516"/>
      <c r="B1764" s="518"/>
      <c r="C1764" s="305"/>
      <c r="F1764" s="1384"/>
      <c r="G1764" s="1384"/>
    </row>
    <row r="1765">
      <c r="A1765" s="516"/>
      <c r="B1765" s="518"/>
      <c r="C1765" s="305"/>
      <c r="F1765" s="1384"/>
      <c r="G1765" s="1384"/>
    </row>
    <row r="1766">
      <c r="A1766" s="516"/>
      <c r="B1766" s="518"/>
      <c r="C1766" s="305"/>
      <c r="F1766" s="1384"/>
      <c r="G1766" s="1384"/>
    </row>
    <row r="1767">
      <c r="A1767" s="516"/>
      <c r="B1767" s="518"/>
      <c r="C1767" s="305"/>
      <c r="F1767" s="1384"/>
      <c r="G1767" s="1384"/>
    </row>
    <row r="1768">
      <c r="A1768" s="516"/>
      <c r="B1768" s="518"/>
      <c r="C1768" s="305"/>
      <c r="F1768" s="1384"/>
      <c r="G1768" s="1384"/>
    </row>
    <row r="1769">
      <c r="A1769" s="516"/>
      <c r="B1769" s="518"/>
      <c r="C1769" s="305"/>
      <c r="F1769" s="1384"/>
      <c r="G1769" s="1384"/>
    </row>
    <row r="1770">
      <c r="A1770" s="516"/>
      <c r="B1770" s="518"/>
      <c r="C1770" s="305"/>
      <c r="F1770" s="1384"/>
      <c r="G1770" s="1384"/>
    </row>
    <row r="1771">
      <c r="A1771" s="516"/>
      <c r="B1771" s="518"/>
      <c r="C1771" s="305"/>
      <c r="F1771" s="1384"/>
      <c r="G1771" s="1384"/>
    </row>
    <row r="1772">
      <c r="A1772" s="516"/>
      <c r="B1772" s="518"/>
      <c r="C1772" s="305"/>
      <c r="F1772" s="1384"/>
      <c r="G1772" s="1384"/>
    </row>
    <row r="1773">
      <c r="A1773" s="516"/>
      <c r="B1773" s="518"/>
      <c r="C1773" s="305"/>
      <c r="F1773" s="1384"/>
      <c r="G1773" s="1384"/>
    </row>
    <row r="1774">
      <c r="A1774" s="516"/>
      <c r="B1774" s="518"/>
      <c r="C1774" s="305"/>
      <c r="F1774" s="1384"/>
      <c r="G1774" s="1384"/>
    </row>
    <row r="1775">
      <c r="A1775" s="516"/>
      <c r="B1775" s="518"/>
      <c r="C1775" s="305"/>
      <c r="F1775" s="1384"/>
      <c r="G1775" s="1384"/>
    </row>
    <row r="1776">
      <c r="A1776" s="516"/>
      <c r="B1776" s="518"/>
      <c r="C1776" s="305"/>
      <c r="F1776" s="1384"/>
      <c r="G1776" s="1384"/>
    </row>
    <row r="1777">
      <c r="A1777" s="516"/>
      <c r="B1777" s="518"/>
      <c r="C1777" s="305"/>
      <c r="F1777" s="1384"/>
      <c r="G1777" s="1384"/>
    </row>
    <row r="1778">
      <c r="A1778" s="516"/>
      <c r="B1778" s="518"/>
      <c r="C1778" s="305"/>
      <c r="F1778" s="1384"/>
      <c r="G1778" s="1384"/>
    </row>
    <row r="1779">
      <c r="A1779" s="516"/>
      <c r="B1779" s="518"/>
      <c r="C1779" s="305"/>
      <c r="F1779" s="1384"/>
      <c r="G1779" s="1384"/>
    </row>
    <row r="1780">
      <c r="A1780" s="516"/>
      <c r="B1780" s="518"/>
      <c r="C1780" s="305"/>
      <c r="F1780" s="1384"/>
      <c r="G1780" s="1384"/>
    </row>
    <row r="1781">
      <c r="A1781" s="516"/>
      <c r="B1781" s="518"/>
      <c r="C1781" s="305"/>
      <c r="F1781" s="1384"/>
      <c r="G1781" s="1384"/>
    </row>
    <row r="1782">
      <c r="A1782" s="516"/>
      <c r="B1782" s="518"/>
      <c r="C1782" s="305"/>
      <c r="F1782" s="1384"/>
      <c r="G1782" s="1384"/>
    </row>
    <row r="1783">
      <c r="A1783" s="516"/>
      <c r="B1783" s="518"/>
      <c r="C1783" s="305"/>
      <c r="F1783" s="1384"/>
      <c r="G1783" s="1384"/>
    </row>
    <row r="1784">
      <c r="A1784" s="516"/>
      <c r="B1784" s="518"/>
      <c r="C1784" s="305"/>
      <c r="F1784" s="1384"/>
      <c r="G1784" s="1384"/>
    </row>
    <row r="1785">
      <c r="A1785" s="516"/>
      <c r="B1785" s="518"/>
      <c r="C1785" s="305"/>
      <c r="F1785" s="1384"/>
      <c r="G1785" s="1384"/>
    </row>
    <row r="1786">
      <c r="A1786" s="516"/>
      <c r="B1786" s="518"/>
      <c r="C1786" s="305"/>
      <c r="F1786" s="1384"/>
      <c r="G1786" s="1384"/>
    </row>
    <row r="1787">
      <c r="A1787" s="516"/>
      <c r="B1787" s="518"/>
      <c r="C1787" s="305"/>
      <c r="F1787" s="1384"/>
      <c r="G1787" s="1384"/>
    </row>
    <row r="1788">
      <c r="A1788" s="516"/>
      <c r="B1788" s="518"/>
      <c r="C1788" s="305"/>
      <c r="F1788" s="1384"/>
      <c r="G1788" s="1384"/>
    </row>
    <row r="1789">
      <c r="A1789" s="516"/>
      <c r="B1789" s="518"/>
      <c r="C1789" s="305"/>
      <c r="F1789" s="1384"/>
      <c r="G1789" s="1384"/>
    </row>
    <row r="1790">
      <c r="A1790" s="516"/>
      <c r="B1790" s="518"/>
      <c r="C1790" s="305"/>
      <c r="F1790" s="1384"/>
      <c r="G1790" s="1384"/>
    </row>
    <row r="1791">
      <c r="A1791" s="516"/>
      <c r="B1791" s="518"/>
      <c r="C1791" s="305"/>
      <c r="F1791" s="1384"/>
      <c r="G1791" s="1384"/>
    </row>
    <row r="1792">
      <c r="A1792" s="516"/>
      <c r="B1792" s="518"/>
      <c r="C1792" s="305"/>
      <c r="F1792" s="1384"/>
      <c r="G1792" s="1384"/>
    </row>
    <row r="1793">
      <c r="A1793" s="516"/>
      <c r="B1793" s="518"/>
      <c r="C1793" s="305"/>
      <c r="F1793" s="1384"/>
      <c r="G1793" s="1384"/>
    </row>
    <row r="1794">
      <c r="A1794" s="516"/>
      <c r="B1794" s="518"/>
      <c r="C1794" s="305"/>
      <c r="F1794" s="1384"/>
      <c r="G1794" s="1384"/>
    </row>
    <row r="1795">
      <c r="A1795" s="516"/>
      <c r="B1795" s="518"/>
      <c r="C1795" s="305"/>
      <c r="F1795" s="1384"/>
      <c r="G1795" s="1384"/>
    </row>
    <row r="1796">
      <c r="A1796" s="516"/>
      <c r="B1796" s="518"/>
      <c r="C1796" s="305"/>
      <c r="F1796" s="1384"/>
      <c r="G1796" s="1384"/>
    </row>
    <row r="1797">
      <c r="A1797" s="516"/>
      <c r="B1797" s="518"/>
      <c r="C1797" s="305"/>
      <c r="F1797" s="1384"/>
      <c r="G1797" s="1384"/>
    </row>
    <row r="1798">
      <c r="A1798" s="516"/>
      <c r="B1798" s="518"/>
      <c r="C1798" s="305"/>
      <c r="F1798" s="1384"/>
      <c r="G1798" s="1384"/>
    </row>
    <row r="1799">
      <c r="A1799" s="516"/>
      <c r="B1799" s="518"/>
      <c r="C1799" s="305"/>
      <c r="F1799" s="1384"/>
      <c r="G1799" s="1384"/>
    </row>
    <row r="1800">
      <c r="A1800" s="516"/>
      <c r="B1800" s="518"/>
      <c r="C1800" s="305"/>
      <c r="F1800" s="1384"/>
      <c r="G1800" s="1384"/>
    </row>
    <row r="1801">
      <c r="A1801" s="516"/>
      <c r="B1801" s="518"/>
      <c r="C1801" s="305"/>
      <c r="F1801" s="1384"/>
      <c r="G1801" s="1384"/>
    </row>
    <row r="1802">
      <c r="A1802" s="516"/>
      <c r="B1802" s="518"/>
      <c r="C1802" s="305"/>
      <c r="F1802" s="1384"/>
      <c r="G1802" s="1384"/>
    </row>
    <row r="1803">
      <c r="A1803" s="516"/>
      <c r="B1803" s="518"/>
      <c r="C1803" s="305"/>
      <c r="F1803" s="1384"/>
      <c r="G1803" s="1384"/>
    </row>
    <row r="1804">
      <c r="A1804" s="516"/>
      <c r="B1804" s="518"/>
      <c r="C1804" s="305"/>
      <c r="F1804" s="1384"/>
      <c r="G1804" s="1384"/>
    </row>
    <row r="1805">
      <c r="A1805" s="516"/>
      <c r="B1805" s="518"/>
      <c r="C1805" s="305"/>
      <c r="F1805" s="1384"/>
      <c r="G1805" s="1384"/>
    </row>
    <row r="1806">
      <c r="A1806" s="516"/>
      <c r="B1806" s="518"/>
      <c r="C1806" s="305"/>
      <c r="F1806" s="1384"/>
      <c r="G1806" s="1384"/>
    </row>
    <row r="1807">
      <c r="A1807" s="516"/>
      <c r="B1807" s="518"/>
      <c r="C1807" s="305"/>
      <c r="F1807" s="1384"/>
      <c r="G1807" s="1384"/>
    </row>
    <row r="1808">
      <c r="A1808" s="516"/>
      <c r="B1808" s="518"/>
      <c r="C1808" s="305"/>
      <c r="F1808" s="1384"/>
      <c r="G1808" s="1384"/>
    </row>
    <row r="1809">
      <c r="A1809" s="516"/>
      <c r="B1809" s="518"/>
      <c r="C1809" s="305"/>
      <c r="F1809" s="1384"/>
      <c r="G1809" s="1384"/>
    </row>
    <row r="1810">
      <c r="A1810" s="516"/>
      <c r="B1810" s="518"/>
      <c r="C1810" s="305"/>
      <c r="F1810" s="1384"/>
      <c r="G1810" s="1384"/>
    </row>
    <row r="1811">
      <c r="A1811" s="516"/>
      <c r="B1811" s="518"/>
      <c r="C1811" s="305"/>
      <c r="F1811" s="1384"/>
      <c r="G1811" s="1384"/>
    </row>
    <row r="1812">
      <c r="A1812" s="516"/>
      <c r="B1812" s="518"/>
      <c r="C1812" s="305"/>
      <c r="F1812" s="1384"/>
      <c r="G1812" s="1384"/>
    </row>
    <row r="1813">
      <c r="A1813" s="516"/>
      <c r="B1813" s="518"/>
      <c r="C1813" s="305"/>
      <c r="F1813" s="1384"/>
      <c r="G1813" s="1384"/>
    </row>
    <row r="1814">
      <c r="A1814" s="516"/>
      <c r="B1814" s="518"/>
      <c r="C1814" s="305"/>
      <c r="F1814" s="1384"/>
      <c r="G1814" s="1384"/>
    </row>
    <row r="1815">
      <c r="A1815" s="516"/>
      <c r="B1815" s="518"/>
      <c r="C1815" s="305"/>
      <c r="F1815" s="1384"/>
      <c r="G1815" s="1384"/>
    </row>
    <row r="1816">
      <c r="A1816" s="516"/>
      <c r="B1816" s="518"/>
      <c r="C1816" s="305"/>
      <c r="F1816" s="1384"/>
      <c r="G1816" s="1384"/>
    </row>
    <row r="1817">
      <c r="A1817" s="516"/>
      <c r="B1817" s="518"/>
      <c r="C1817" s="305"/>
      <c r="F1817" s="1384"/>
      <c r="G1817" s="1384"/>
    </row>
    <row r="1818">
      <c r="A1818" s="516"/>
      <c r="B1818" s="518"/>
      <c r="C1818" s="305"/>
      <c r="F1818" s="1384"/>
      <c r="G1818" s="1384"/>
    </row>
    <row r="1819">
      <c r="A1819" s="516"/>
      <c r="B1819" s="518"/>
      <c r="C1819" s="305"/>
      <c r="F1819" s="1384"/>
      <c r="G1819" s="1384"/>
    </row>
    <row r="1820">
      <c r="A1820" s="516"/>
      <c r="B1820" s="518"/>
      <c r="C1820" s="305"/>
      <c r="F1820" s="1384"/>
      <c r="G1820" s="1384"/>
    </row>
    <row r="1821">
      <c r="A1821" s="516"/>
      <c r="B1821" s="518"/>
      <c r="C1821" s="305"/>
      <c r="F1821" s="1384"/>
      <c r="G1821" s="1384"/>
    </row>
    <row r="1822">
      <c r="A1822" s="516"/>
      <c r="B1822" s="518"/>
      <c r="C1822" s="305"/>
      <c r="F1822" s="1384"/>
      <c r="G1822" s="1384"/>
    </row>
    <row r="1823">
      <c r="A1823" s="516"/>
      <c r="B1823" s="518"/>
      <c r="C1823" s="305"/>
      <c r="F1823" s="1384"/>
      <c r="G1823" s="1384"/>
    </row>
    <row r="1824">
      <c r="A1824" s="516"/>
      <c r="B1824" s="518"/>
      <c r="C1824" s="305"/>
      <c r="F1824" s="1384"/>
      <c r="G1824" s="1384"/>
    </row>
    <row r="1825">
      <c r="A1825" s="516"/>
      <c r="B1825" s="518"/>
      <c r="C1825" s="305"/>
      <c r="F1825" s="1384"/>
      <c r="G1825" s="1384"/>
    </row>
    <row r="1826">
      <c r="A1826" s="516"/>
      <c r="B1826" s="518"/>
      <c r="C1826" s="305"/>
      <c r="F1826" s="1384"/>
      <c r="G1826" s="1384"/>
    </row>
    <row r="1827">
      <c r="A1827" s="516"/>
      <c r="B1827" s="518"/>
      <c r="C1827" s="305"/>
      <c r="F1827" s="1384"/>
      <c r="G1827" s="1384"/>
    </row>
    <row r="1828">
      <c r="A1828" s="516"/>
      <c r="B1828" s="518"/>
      <c r="C1828" s="305"/>
      <c r="F1828" s="1384"/>
      <c r="G1828" s="1384"/>
    </row>
    <row r="1829">
      <c r="A1829" s="516"/>
      <c r="B1829" s="518"/>
      <c r="C1829" s="305"/>
      <c r="F1829" s="1384"/>
      <c r="G1829" s="1384"/>
    </row>
    <row r="1830">
      <c r="A1830" s="516"/>
      <c r="B1830" s="518"/>
      <c r="C1830" s="305"/>
      <c r="F1830" s="1384"/>
      <c r="G1830" s="1384"/>
    </row>
    <row r="1831">
      <c r="A1831" s="516"/>
      <c r="B1831" s="518"/>
      <c r="C1831" s="305"/>
      <c r="F1831" s="1384"/>
      <c r="G1831" s="1384"/>
    </row>
    <row r="1832">
      <c r="A1832" s="516"/>
      <c r="B1832" s="518"/>
      <c r="C1832" s="305"/>
      <c r="F1832" s="1384"/>
      <c r="G1832" s="1384"/>
    </row>
    <row r="1833">
      <c r="A1833" s="516"/>
      <c r="B1833" s="518"/>
      <c r="C1833" s="305"/>
      <c r="F1833" s="1384"/>
      <c r="G1833" s="1384"/>
    </row>
    <row r="1834">
      <c r="A1834" s="516"/>
      <c r="B1834" s="518"/>
      <c r="C1834" s="305"/>
      <c r="F1834" s="1384"/>
      <c r="G1834" s="1384"/>
    </row>
    <row r="1835">
      <c r="A1835" s="516"/>
      <c r="B1835" s="518"/>
      <c r="C1835" s="305"/>
      <c r="F1835" s="1384"/>
      <c r="G1835" s="1384"/>
    </row>
    <row r="1836">
      <c r="A1836" s="516"/>
      <c r="B1836" s="518"/>
      <c r="C1836" s="305"/>
      <c r="F1836" s="1384"/>
      <c r="G1836" s="1384"/>
    </row>
    <row r="1837">
      <c r="A1837" s="516"/>
      <c r="B1837" s="518"/>
      <c r="C1837" s="305"/>
      <c r="F1837" s="1384"/>
      <c r="G1837" s="1384"/>
    </row>
    <row r="1838">
      <c r="A1838" s="516"/>
      <c r="B1838" s="518"/>
      <c r="C1838" s="305"/>
      <c r="F1838" s="1384"/>
      <c r="G1838" s="1384"/>
    </row>
    <row r="1839">
      <c r="A1839" s="516"/>
      <c r="B1839" s="518"/>
      <c r="C1839" s="305"/>
      <c r="F1839" s="1384"/>
      <c r="G1839" s="1384"/>
    </row>
    <row r="1840">
      <c r="A1840" s="516"/>
      <c r="B1840" s="518"/>
      <c r="C1840" s="305"/>
      <c r="F1840" s="1384"/>
      <c r="G1840" s="1384"/>
    </row>
    <row r="1841">
      <c r="A1841" s="516"/>
      <c r="B1841" s="518"/>
      <c r="C1841" s="305"/>
      <c r="F1841" s="1384"/>
      <c r="G1841" s="1384"/>
    </row>
    <row r="1842">
      <c r="A1842" s="516"/>
      <c r="B1842" s="518"/>
      <c r="C1842" s="305"/>
      <c r="F1842" s="1384"/>
      <c r="G1842" s="1384"/>
    </row>
    <row r="1843">
      <c r="A1843" s="516"/>
      <c r="B1843" s="518"/>
      <c r="C1843" s="305"/>
      <c r="F1843" s="1384"/>
      <c r="G1843" s="1384"/>
    </row>
    <row r="1844">
      <c r="A1844" s="516"/>
      <c r="B1844" s="518"/>
      <c r="C1844" s="305"/>
      <c r="F1844" s="1384"/>
      <c r="G1844" s="1384"/>
    </row>
    <row r="1845">
      <c r="A1845" s="516"/>
      <c r="B1845" s="518"/>
      <c r="C1845" s="305"/>
      <c r="F1845" s="1384"/>
      <c r="G1845" s="1384"/>
    </row>
    <row r="1846">
      <c r="A1846" s="516"/>
      <c r="B1846" s="518"/>
      <c r="C1846" s="305"/>
      <c r="F1846" s="1384"/>
      <c r="G1846" s="1384"/>
    </row>
    <row r="1847">
      <c r="A1847" s="516"/>
      <c r="B1847" s="518"/>
      <c r="C1847" s="305"/>
      <c r="F1847" s="1384"/>
      <c r="G1847" s="1384"/>
    </row>
    <row r="1848">
      <c r="A1848" s="516"/>
      <c r="B1848" s="518"/>
      <c r="C1848" s="305"/>
      <c r="F1848" s="1384"/>
      <c r="G1848" s="1384"/>
    </row>
    <row r="1849">
      <c r="A1849" s="516"/>
      <c r="B1849" s="518"/>
      <c r="C1849" s="305"/>
      <c r="F1849" s="1384"/>
      <c r="G1849" s="1384"/>
    </row>
    <row r="1850">
      <c r="A1850" s="516"/>
      <c r="B1850" s="518"/>
      <c r="C1850" s="305"/>
      <c r="F1850" s="1384"/>
      <c r="G1850" s="1384"/>
    </row>
    <row r="1851">
      <c r="A1851" s="516"/>
      <c r="B1851" s="518"/>
      <c r="C1851" s="305"/>
      <c r="F1851" s="1384"/>
      <c r="G1851" s="1384"/>
    </row>
    <row r="1852">
      <c r="A1852" s="516"/>
      <c r="B1852" s="518"/>
      <c r="C1852" s="305"/>
      <c r="F1852" s="1384"/>
      <c r="G1852" s="1384"/>
    </row>
    <row r="1853">
      <c r="A1853" s="516"/>
      <c r="B1853" s="518"/>
      <c r="C1853" s="305"/>
      <c r="F1853" s="1384"/>
      <c r="G1853" s="1384"/>
    </row>
    <row r="1854">
      <c r="A1854" s="516"/>
      <c r="B1854" s="518"/>
      <c r="C1854" s="305"/>
      <c r="F1854" s="1384"/>
      <c r="G1854" s="1384"/>
    </row>
    <row r="1855">
      <c r="A1855" s="516"/>
      <c r="B1855" s="518"/>
      <c r="C1855" s="305"/>
      <c r="F1855" s="1384"/>
      <c r="G1855" s="1384"/>
    </row>
    <row r="1856">
      <c r="A1856" s="516"/>
      <c r="B1856" s="518"/>
      <c r="C1856" s="305"/>
      <c r="F1856" s="1384"/>
      <c r="G1856" s="1384"/>
    </row>
    <row r="1857">
      <c r="A1857" s="516"/>
      <c r="B1857" s="518"/>
      <c r="C1857" s="305"/>
      <c r="F1857" s="1384"/>
      <c r="G1857" s="1384"/>
    </row>
    <row r="1858">
      <c r="A1858" s="516"/>
      <c r="B1858" s="518"/>
      <c r="C1858" s="305"/>
      <c r="F1858" s="1384"/>
      <c r="G1858" s="1384"/>
    </row>
    <row r="1859">
      <c r="A1859" s="516"/>
      <c r="B1859" s="518"/>
      <c r="C1859" s="305"/>
      <c r="F1859" s="1384"/>
      <c r="G1859" s="1384"/>
    </row>
    <row r="1860">
      <c r="A1860" s="516"/>
      <c r="B1860" s="518"/>
      <c r="C1860" s="305"/>
      <c r="F1860" s="1384"/>
      <c r="G1860" s="1384"/>
    </row>
    <row r="1861">
      <c r="A1861" s="516"/>
      <c r="B1861" s="518"/>
      <c r="C1861" s="305"/>
      <c r="F1861" s="1384"/>
      <c r="G1861" s="1384"/>
    </row>
    <row r="1862">
      <c r="A1862" s="516"/>
      <c r="B1862" s="518"/>
      <c r="C1862" s="305"/>
      <c r="F1862" s="1384"/>
      <c r="G1862" s="1384"/>
    </row>
    <row r="1863">
      <c r="A1863" s="516"/>
      <c r="B1863" s="518"/>
      <c r="C1863" s="305"/>
      <c r="F1863" s="1384"/>
      <c r="G1863" s="1384"/>
    </row>
    <row r="1864">
      <c r="A1864" s="516"/>
      <c r="B1864" s="518"/>
      <c r="C1864" s="305"/>
      <c r="F1864" s="1384"/>
      <c r="G1864" s="1384"/>
    </row>
    <row r="1865">
      <c r="A1865" s="516"/>
      <c r="B1865" s="518"/>
      <c r="C1865" s="305"/>
      <c r="F1865" s="1384"/>
      <c r="G1865" s="1384"/>
    </row>
    <row r="1866">
      <c r="A1866" s="516"/>
      <c r="B1866" s="518"/>
      <c r="C1866" s="305"/>
      <c r="F1866" s="1384"/>
      <c r="G1866" s="1384"/>
    </row>
    <row r="1867">
      <c r="A1867" s="516"/>
      <c r="B1867" s="518"/>
      <c r="C1867" s="305"/>
      <c r="F1867" s="1384"/>
      <c r="G1867" s="1384"/>
    </row>
    <row r="1868">
      <c r="A1868" s="516"/>
      <c r="B1868" s="518"/>
      <c r="C1868" s="305"/>
      <c r="F1868" s="1384"/>
      <c r="G1868" s="1384"/>
    </row>
    <row r="1869">
      <c r="A1869" s="516"/>
      <c r="B1869" s="518"/>
      <c r="C1869" s="305"/>
      <c r="F1869" s="1384"/>
      <c r="G1869" s="1384"/>
    </row>
    <row r="1870">
      <c r="A1870" s="516"/>
      <c r="B1870" s="518"/>
      <c r="C1870" s="305"/>
      <c r="F1870" s="1384"/>
      <c r="G1870" s="1384"/>
    </row>
    <row r="1871">
      <c r="A1871" s="516"/>
      <c r="B1871" s="518"/>
      <c r="C1871" s="305"/>
      <c r="F1871" s="1384"/>
      <c r="G1871" s="1384"/>
    </row>
    <row r="1872">
      <c r="A1872" s="516"/>
      <c r="B1872" s="518"/>
      <c r="C1872" s="305"/>
      <c r="F1872" s="1384"/>
      <c r="G1872" s="1384"/>
    </row>
    <row r="1873">
      <c r="A1873" s="516"/>
      <c r="B1873" s="518"/>
      <c r="C1873" s="305"/>
      <c r="F1873" s="1384"/>
      <c r="G1873" s="1384"/>
    </row>
    <row r="1874">
      <c r="A1874" s="516"/>
      <c r="B1874" s="518"/>
      <c r="C1874" s="305"/>
      <c r="F1874" s="1384"/>
      <c r="G1874" s="1384"/>
    </row>
    <row r="1875">
      <c r="A1875" s="516"/>
      <c r="B1875" s="518"/>
      <c r="C1875" s="305"/>
      <c r="F1875" s="1384"/>
      <c r="G1875" s="1384"/>
    </row>
    <row r="1876">
      <c r="A1876" s="516"/>
      <c r="B1876" s="518"/>
      <c r="C1876" s="305"/>
      <c r="F1876" s="1384"/>
      <c r="G1876" s="1384"/>
    </row>
    <row r="1877">
      <c r="A1877" s="516"/>
      <c r="B1877" s="518"/>
      <c r="C1877" s="305"/>
      <c r="F1877" s="1384"/>
      <c r="G1877" s="1384"/>
    </row>
    <row r="1878">
      <c r="A1878" s="516"/>
      <c r="B1878" s="518"/>
      <c r="C1878" s="305"/>
      <c r="F1878" s="1384"/>
      <c r="G1878" s="1384"/>
    </row>
    <row r="1879">
      <c r="A1879" s="516"/>
      <c r="B1879" s="518"/>
      <c r="C1879" s="305"/>
      <c r="F1879" s="1384"/>
      <c r="G1879" s="1384"/>
    </row>
    <row r="1880">
      <c r="A1880" s="516"/>
      <c r="B1880" s="518"/>
      <c r="C1880" s="305"/>
      <c r="F1880" s="1384"/>
      <c r="G1880" s="1384"/>
    </row>
    <row r="1881">
      <c r="A1881" s="516"/>
      <c r="B1881" s="518"/>
      <c r="C1881" s="305"/>
      <c r="F1881" s="1384"/>
      <c r="G1881" s="1384"/>
    </row>
    <row r="1882">
      <c r="A1882" s="516"/>
      <c r="B1882" s="518"/>
      <c r="C1882" s="305"/>
      <c r="F1882" s="1384"/>
      <c r="G1882" s="1384"/>
    </row>
    <row r="1883">
      <c r="A1883" s="516"/>
      <c r="B1883" s="518"/>
      <c r="C1883" s="305"/>
      <c r="F1883" s="1384"/>
      <c r="G1883" s="1384"/>
    </row>
    <row r="1884">
      <c r="A1884" s="516"/>
      <c r="B1884" s="518"/>
      <c r="C1884" s="305"/>
      <c r="F1884" s="1384"/>
      <c r="G1884" s="1384"/>
    </row>
    <row r="1885">
      <c r="A1885" s="516"/>
      <c r="B1885" s="518"/>
      <c r="C1885" s="305"/>
      <c r="F1885" s="1384"/>
      <c r="G1885" s="1384"/>
    </row>
    <row r="1886">
      <c r="A1886" s="516"/>
      <c r="B1886" s="518"/>
      <c r="C1886" s="305"/>
      <c r="F1886" s="1384"/>
      <c r="G1886" s="1384"/>
    </row>
    <row r="1887">
      <c r="A1887" s="516"/>
      <c r="B1887" s="518"/>
      <c r="C1887" s="305"/>
      <c r="F1887" s="1384"/>
      <c r="G1887" s="1384"/>
    </row>
    <row r="1888">
      <c r="A1888" s="516"/>
      <c r="B1888" s="518"/>
      <c r="C1888" s="305"/>
      <c r="F1888" s="1384"/>
      <c r="G1888" s="1384"/>
    </row>
    <row r="1889">
      <c r="A1889" s="516"/>
      <c r="B1889" s="518"/>
      <c r="C1889" s="305"/>
      <c r="F1889" s="1384"/>
      <c r="G1889" s="1384"/>
    </row>
    <row r="1890">
      <c r="A1890" s="516"/>
      <c r="B1890" s="518"/>
      <c r="C1890" s="305"/>
      <c r="F1890" s="1384"/>
      <c r="G1890" s="1384"/>
    </row>
    <row r="1891">
      <c r="A1891" s="516"/>
      <c r="B1891" s="518"/>
      <c r="C1891" s="305"/>
      <c r="F1891" s="1384"/>
      <c r="G1891" s="1384"/>
    </row>
    <row r="1892">
      <c r="A1892" s="516"/>
      <c r="B1892" s="518"/>
      <c r="C1892" s="305"/>
      <c r="F1892" s="1384"/>
      <c r="G1892" s="1384"/>
    </row>
    <row r="1893">
      <c r="A1893" s="516"/>
      <c r="B1893" s="518"/>
      <c r="C1893" s="305"/>
      <c r="F1893" s="1384"/>
      <c r="G1893" s="1384"/>
    </row>
    <row r="1894">
      <c r="A1894" s="516"/>
      <c r="B1894" s="518"/>
      <c r="C1894" s="305"/>
      <c r="F1894" s="1384"/>
      <c r="G1894" s="1384"/>
    </row>
    <row r="1895">
      <c r="A1895" s="516"/>
      <c r="B1895" s="518"/>
      <c r="C1895" s="305"/>
      <c r="F1895" s="1384"/>
      <c r="G1895" s="1384"/>
    </row>
    <row r="1896">
      <c r="A1896" s="516"/>
      <c r="B1896" s="518"/>
      <c r="C1896" s="305"/>
      <c r="F1896" s="1384"/>
      <c r="G1896" s="1384"/>
    </row>
    <row r="1897">
      <c r="A1897" s="516"/>
      <c r="B1897" s="518"/>
      <c r="C1897" s="305"/>
      <c r="F1897" s="1384"/>
      <c r="G1897" s="1384"/>
    </row>
    <row r="1898">
      <c r="A1898" s="516"/>
      <c r="B1898" s="518"/>
      <c r="C1898" s="305"/>
      <c r="F1898" s="1384"/>
      <c r="G1898" s="1384"/>
    </row>
    <row r="1899">
      <c r="A1899" s="516"/>
      <c r="B1899" s="518"/>
      <c r="C1899" s="305"/>
      <c r="F1899" s="1384"/>
      <c r="G1899" s="1384"/>
    </row>
    <row r="1900">
      <c r="A1900" s="516"/>
      <c r="B1900" s="518"/>
      <c r="C1900" s="305"/>
      <c r="F1900" s="1384"/>
      <c r="G1900" s="1384"/>
    </row>
    <row r="1901">
      <c r="A1901" s="516"/>
      <c r="B1901" s="518"/>
      <c r="C1901" s="305"/>
      <c r="F1901" s="1384"/>
      <c r="G1901" s="1384"/>
    </row>
    <row r="1902">
      <c r="A1902" s="516"/>
      <c r="B1902" s="518"/>
      <c r="C1902" s="305"/>
      <c r="F1902" s="1384"/>
      <c r="G1902" s="1384"/>
    </row>
    <row r="1903">
      <c r="A1903" s="516"/>
      <c r="B1903" s="518"/>
      <c r="C1903" s="305"/>
      <c r="F1903" s="1384"/>
      <c r="G1903" s="1384"/>
    </row>
    <row r="1904">
      <c r="A1904" s="516"/>
      <c r="B1904" s="518"/>
      <c r="C1904" s="305"/>
      <c r="F1904" s="1384"/>
      <c r="G1904" s="1384"/>
    </row>
    <row r="1905">
      <c r="A1905" s="516"/>
      <c r="B1905" s="518"/>
      <c r="C1905" s="305"/>
      <c r="F1905" s="1384"/>
      <c r="G1905" s="1384"/>
    </row>
    <row r="1906">
      <c r="A1906" s="516"/>
      <c r="B1906" s="518"/>
      <c r="C1906" s="305"/>
      <c r="F1906" s="1384"/>
      <c r="G1906" s="1384"/>
    </row>
    <row r="1907">
      <c r="A1907" s="516"/>
      <c r="B1907" s="518"/>
      <c r="C1907" s="305"/>
      <c r="F1907" s="1384"/>
      <c r="G1907" s="1384"/>
    </row>
    <row r="1908">
      <c r="A1908" s="516"/>
      <c r="B1908" s="518"/>
      <c r="C1908" s="305"/>
      <c r="F1908" s="1384"/>
      <c r="G1908" s="1384"/>
    </row>
    <row r="1909">
      <c r="A1909" s="516"/>
      <c r="B1909" s="518"/>
      <c r="C1909" s="305"/>
      <c r="F1909" s="1384"/>
      <c r="G1909" s="1384"/>
    </row>
    <row r="1910">
      <c r="A1910" s="516"/>
      <c r="B1910" s="518"/>
      <c r="C1910" s="305"/>
      <c r="F1910" s="1384"/>
      <c r="G1910" s="1384"/>
    </row>
    <row r="1911">
      <c r="A1911" s="516"/>
      <c r="B1911" s="518"/>
      <c r="C1911" s="305"/>
      <c r="F1911" s="1384"/>
      <c r="G1911" s="1384"/>
    </row>
    <row r="1912">
      <c r="A1912" s="516"/>
      <c r="B1912" s="518"/>
      <c r="C1912" s="305"/>
      <c r="F1912" s="1384"/>
      <c r="G1912" s="1384"/>
    </row>
    <row r="1913">
      <c r="A1913" s="516"/>
      <c r="B1913" s="518"/>
      <c r="C1913" s="305"/>
      <c r="F1913" s="1384"/>
      <c r="G1913" s="1384"/>
    </row>
    <row r="1914">
      <c r="A1914" s="516"/>
      <c r="B1914" s="518"/>
      <c r="C1914" s="305"/>
      <c r="F1914" s="1384"/>
      <c r="G1914" s="1384"/>
    </row>
    <row r="1915">
      <c r="A1915" s="516"/>
      <c r="B1915" s="518"/>
      <c r="C1915" s="305"/>
      <c r="F1915" s="1384"/>
      <c r="G1915" s="1384"/>
    </row>
    <row r="1916">
      <c r="A1916" s="516"/>
      <c r="B1916" s="518"/>
      <c r="C1916" s="305"/>
      <c r="F1916" s="1384"/>
      <c r="G1916" s="1384"/>
    </row>
    <row r="1917">
      <c r="A1917" s="516"/>
      <c r="B1917" s="518"/>
      <c r="C1917" s="305"/>
      <c r="F1917" s="1384"/>
      <c r="G1917" s="1384"/>
    </row>
    <row r="1918">
      <c r="A1918" s="516"/>
      <c r="B1918" s="518"/>
      <c r="C1918" s="305"/>
      <c r="F1918" s="1384"/>
      <c r="G1918" s="1384"/>
    </row>
    <row r="1919">
      <c r="A1919" s="516"/>
      <c r="B1919" s="518"/>
      <c r="C1919" s="305"/>
      <c r="F1919" s="1384"/>
      <c r="G1919" s="1384"/>
    </row>
    <row r="1920">
      <c r="A1920" s="516"/>
      <c r="B1920" s="518"/>
      <c r="C1920" s="305"/>
      <c r="F1920" s="1384"/>
      <c r="G1920" s="1384"/>
    </row>
    <row r="1921">
      <c r="A1921" s="516"/>
      <c r="B1921" s="518"/>
      <c r="C1921" s="305"/>
      <c r="F1921" s="1384"/>
      <c r="G1921" s="1384"/>
    </row>
    <row r="1922">
      <c r="A1922" s="516"/>
      <c r="B1922" s="518"/>
      <c r="C1922" s="305"/>
      <c r="F1922" s="1384"/>
      <c r="G1922" s="1384"/>
    </row>
    <row r="1923">
      <c r="A1923" s="516"/>
      <c r="B1923" s="518"/>
      <c r="C1923" s="305"/>
      <c r="F1923" s="1384"/>
      <c r="G1923" s="1384"/>
    </row>
    <row r="1924">
      <c r="A1924" s="516"/>
      <c r="B1924" s="518"/>
      <c r="C1924" s="305"/>
      <c r="F1924" s="1384"/>
      <c r="G1924" s="1384"/>
    </row>
    <row r="1925">
      <c r="A1925" s="516"/>
      <c r="B1925" s="518"/>
      <c r="C1925" s="305"/>
      <c r="F1925" s="1384"/>
      <c r="G1925" s="1384"/>
    </row>
    <row r="1926">
      <c r="A1926" s="516"/>
      <c r="B1926" s="518"/>
      <c r="C1926" s="305"/>
      <c r="F1926" s="1384"/>
      <c r="G1926" s="1384"/>
    </row>
    <row r="1927">
      <c r="A1927" s="516"/>
      <c r="B1927" s="518"/>
      <c r="C1927" s="305"/>
      <c r="F1927" s="1384"/>
      <c r="G1927" s="1384"/>
    </row>
    <row r="1928">
      <c r="A1928" s="516"/>
      <c r="B1928" s="518"/>
      <c r="C1928" s="305"/>
      <c r="F1928" s="1384"/>
      <c r="G1928" s="1384"/>
    </row>
    <row r="1929">
      <c r="A1929" s="516"/>
      <c r="B1929" s="518"/>
      <c r="C1929" s="305"/>
      <c r="F1929" s="1384"/>
      <c r="G1929" s="1384"/>
    </row>
    <row r="1930">
      <c r="A1930" s="516"/>
      <c r="B1930" s="518"/>
      <c r="C1930" s="305"/>
      <c r="F1930" s="1384"/>
      <c r="G1930" s="1384"/>
    </row>
    <row r="1931">
      <c r="A1931" s="516"/>
      <c r="B1931" s="518"/>
      <c r="C1931" s="305"/>
      <c r="F1931" s="1384"/>
      <c r="G1931" s="1384"/>
    </row>
    <row r="1932">
      <c r="A1932" s="516"/>
      <c r="B1932" s="518"/>
      <c r="C1932" s="305"/>
      <c r="F1932" s="1384"/>
      <c r="G1932" s="1384"/>
    </row>
    <row r="1933">
      <c r="A1933" s="516"/>
      <c r="B1933" s="518"/>
      <c r="C1933" s="305"/>
      <c r="F1933" s="1384"/>
      <c r="G1933" s="1384"/>
    </row>
    <row r="1934">
      <c r="A1934" s="516"/>
      <c r="B1934" s="518"/>
      <c r="C1934" s="305"/>
      <c r="F1934" s="1384"/>
      <c r="G1934" s="1384"/>
    </row>
    <row r="1935">
      <c r="A1935" s="516"/>
      <c r="B1935" s="518"/>
      <c r="C1935" s="305"/>
      <c r="F1935" s="1384"/>
      <c r="G1935" s="1384"/>
    </row>
    <row r="1936">
      <c r="A1936" s="516"/>
      <c r="B1936" s="518"/>
      <c r="C1936" s="305"/>
      <c r="F1936" s="1384"/>
      <c r="G1936" s="1384"/>
    </row>
    <row r="1937">
      <c r="A1937" s="516"/>
      <c r="B1937" s="518"/>
      <c r="C1937" s="305"/>
      <c r="F1937" s="1384"/>
      <c r="G1937" s="1384"/>
    </row>
    <row r="1938">
      <c r="A1938" s="516"/>
      <c r="B1938" s="518"/>
      <c r="C1938" s="305"/>
      <c r="F1938" s="1384"/>
      <c r="G1938" s="1384"/>
    </row>
    <row r="1939">
      <c r="A1939" s="516"/>
      <c r="B1939" s="518"/>
      <c r="C1939" s="305"/>
      <c r="F1939" s="1384"/>
      <c r="G1939" s="1384"/>
    </row>
    <row r="1940">
      <c r="A1940" s="516"/>
      <c r="B1940" s="518"/>
      <c r="C1940" s="305"/>
      <c r="F1940" s="1384"/>
      <c r="G1940" s="1384"/>
    </row>
    <row r="1941">
      <c r="A1941" s="516"/>
      <c r="B1941" s="518"/>
      <c r="C1941" s="305"/>
      <c r="F1941" s="1384"/>
      <c r="G1941" s="1384"/>
    </row>
    <row r="1942">
      <c r="A1942" s="516"/>
      <c r="B1942" s="518"/>
      <c r="C1942" s="305"/>
      <c r="F1942" s="1384"/>
      <c r="G1942" s="1384"/>
    </row>
    <row r="1943">
      <c r="A1943" s="516"/>
      <c r="B1943" s="518"/>
      <c r="C1943" s="305"/>
      <c r="F1943" s="1384"/>
      <c r="G1943" s="1384"/>
    </row>
    <row r="1944">
      <c r="A1944" s="516"/>
      <c r="B1944" s="518"/>
      <c r="C1944" s="305"/>
      <c r="F1944" s="1384"/>
      <c r="G1944" s="1384"/>
    </row>
    <row r="1945">
      <c r="A1945" s="516"/>
      <c r="B1945" s="518"/>
      <c r="C1945" s="305"/>
      <c r="F1945" s="1384"/>
      <c r="G1945" s="1384"/>
    </row>
    <row r="1946">
      <c r="A1946" s="516"/>
      <c r="B1946" s="518"/>
      <c r="C1946" s="305"/>
      <c r="F1946" s="1384"/>
      <c r="G1946" s="1384"/>
    </row>
    <row r="1947">
      <c r="A1947" s="516"/>
      <c r="B1947" s="518"/>
      <c r="C1947" s="305"/>
      <c r="F1947" s="1384"/>
      <c r="G1947" s="1384"/>
    </row>
    <row r="1948">
      <c r="A1948" s="516"/>
      <c r="B1948" s="518"/>
      <c r="C1948" s="305"/>
      <c r="F1948" s="1384"/>
      <c r="G1948" s="1384"/>
    </row>
    <row r="1949">
      <c r="A1949" s="516"/>
      <c r="B1949" s="518"/>
      <c r="C1949" s="305"/>
      <c r="F1949" s="1384"/>
      <c r="G1949" s="1384"/>
    </row>
    <row r="1950">
      <c r="A1950" s="516"/>
      <c r="B1950" s="518"/>
      <c r="C1950" s="305"/>
      <c r="F1950" s="1384"/>
      <c r="G1950" s="1384"/>
    </row>
    <row r="1951">
      <c r="A1951" s="516"/>
      <c r="B1951" s="518"/>
      <c r="C1951" s="305"/>
      <c r="F1951" s="1384"/>
      <c r="G1951" s="1384"/>
    </row>
    <row r="1952">
      <c r="A1952" s="516"/>
      <c r="B1952" s="518"/>
      <c r="C1952" s="305"/>
      <c r="F1952" s="1384"/>
      <c r="G1952" s="1384"/>
    </row>
    <row r="1953">
      <c r="A1953" s="516"/>
      <c r="B1953" s="518"/>
      <c r="C1953" s="305"/>
      <c r="F1953" s="1384"/>
      <c r="G1953" s="1384"/>
    </row>
    <row r="1954">
      <c r="A1954" s="516"/>
      <c r="B1954" s="518"/>
      <c r="C1954" s="305"/>
      <c r="F1954" s="1384"/>
      <c r="G1954" s="1384"/>
    </row>
    <row r="1955">
      <c r="A1955" s="516"/>
      <c r="B1955" s="518"/>
      <c r="C1955" s="305"/>
      <c r="F1955" s="1384"/>
      <c r="G1955" s="1384"/>
    </row>
    <row r="1956">
      <c r="A1956" s="516"/>
      <c r="B1956" s="518"/>
      <c r="C1956" s="305"/>
      <c r="F1956" s="1384"/>
      <c r="G1956" s="1384"/>
    </row>
    <row r="1957">
      <c r="A1957" s="516"/>
      <c r="B1957" s="518"/>
      <c r="C1957" s="305"/>
      <c r="F1957" s="1384"/>
      <c r="G1957" s="1384"/>
    </row>
    <row r="1958">
      <c r="A1958" s="516"/>
      <c r="B1958" s="518"/>
      <c r="C1958" s="305"/>
      <c r="F1958" s="1384"/>
      <c r="G1958" s="1384"/>
    </row>
    <row r="1959">
      <c r="A1959" s="516"/>
      <c r="B1959" s="518"/>
      <c r="C1959" s="305"/>
      <c r="F1959" s="1384"/>
      <c r="G1959" s="1384"/>
    </row>
    <row r="1960">
      <c r="A1960" s="516"/>
      <c r="B1960" s="518"/>
      <c r="C1960" s="305"/>
      <c r="F1960" s="1384"/>
      <c r="G1960" s="1384"/>
    </row>
    <row r="1961">
      <c r="A1961" s="516"/>
      <c r="B1961" s="518"/>
      <c r="C1961" s="305"/>
      <c r="F1961" s="1384"/>
      <c r="G1961" s="1384"/>
    </row>
    <row r="1962">
      <c r="A1962" s="516"/>
      <c r="B1962" s="518"/>
      <c r="C1962" s="305"/>
      <c r="F1962" s="1384"/>
      <c r="G1962" s="1384"/>
    </row>
    <row r="1963">
      <c r="A1963" s="516"/>
      <c r="B1963" s="518"/>
      <c r="C1963" s="305"/>
      <c r="F1963" s="1384"/>
      <c r="G1963" s="1384"/>
    </row>
    <row r="1964">
      <c r="A1964" s="516"/>
      <c r="B1964" s="518"/>
      <c r="C1964" s="305"/>
      <c r="F1964" s="1384"/>
      <c r="G1964" s="1384"/>
    </row>
    <row r="1965">
      <c r="A1965" s="516"/>
      <c r="B1965" s="518"/>
      <c r="C1965" s="305"/>
      <c r="F1965" s="1384"/>
      <c r="G1965" s="1384"/>
    </row>
    <row r="1966">
      <c r="A1966" s="516"/>
      <c r="B1966" s="518"/>
      <c r="C1966" s="305"/>
      <c r="F1966" s="1384"/>
      <c r="G1966" s="1384"/>
    </row>
    <row r="1967">
      <c r="A1967" s="516"/>
      <c r="B1967" s="518"/>
      <c r="C1967" s="305"/>
      <c r="F1967" s="1384"/>
      <c r="G1967" s="1384"/>
    </row>
    <row r="1968">
      <c r="A1968" s="516"/>
      <c r="B1968" s="518"/>
      <c r="C1968" s="305"/>
      <c r="F1968" s="1384"/>
      <c r="G1968" s="1384"/>
    </row>
    <row r="1969">
      <c r="A1969" s="516"/>
      <c r="B1969" s="518"/>
      <c r="C1969" s="305"/>
      <c r="F1969" s="1384"/>
      <c r="G1969" s="1384"/>
    </row>
    <row r="1970">
      <c r="A1970" s="516"/>
      <c r="B1970" s="518"/>
      <c r="C1970" s="305"/>
      <c r="F1970" s="1384"/>
      <c r="G1970" s="1384"/>
    </row>
    <row r="1971">
      <c r="A1971" s="516"/>
      <c r="B1971" s="518"/>
      <c r="C1971" s="305"/>
      <c r="F1971" s="1384"/>
      <c r="G1971" s="1384"/>
    </row>
    <row r="1972">
      <c r="A1972" s="516"/>
      <c r="B1972" s="518"/>
      <c r="C1972" s="305"/>
      <c r="F1972" s="1384"/>
      <c r="G1972" s="1384"/>
    </row>
    <row r="1973">
      <c r="A1973" s="516"/>
      <c r="B1973" s="518"/>
      <c r="C1973" s="305"/>
      <c r="F1973" s="1384"/>
      <c r="G1973" s="1384"/>
    </row>
    <row r="1974">
      <c r="A1974" s="516"/>
      <c r="B1974" s="518"/>
      <c r="C1974" s="305"/>
      <c r="F1974" s="1384"/>
      <c r="G1974" s="1384"/>
    </row>
    <row r="1975">
      <c r="A1975" s="516"/>
      <c r="B1975" s="518"/>
      <c r="C1975" s="305"/>
      <c r="F1975" s="1384"/>
      <c r="G1975" s="1384"/>
    </row>
    <row r="1976">
      <c r="A1976" s="516"/>
      <c r="B1976" s="518"/>
      <c r="C1976" s="305"/>
      <c r="F1976" s="1384"/>
      <c r="G1976" s="1384"/>
    </row>
    <row r="1977">
      <c r="A1977" s="516"/>
      <c r="B1977" s="518"/>
      <c r="C1977" s="305"/>
      <c r="F1977" s="1384"/>
      <c r="G1977" s="1384"/>
    </row>
    <row r="1978">
      <c r="A1978" s="516"/>
      <c r="B1978" s="518"/>
      <c r="C1978" s="305"/>
      <c r="F1978" s="1384"/>
      <c r="G1978" s="1384"/>
    </row>
    <row r="1979">
      <c r="A1979" s="516"/>
      <c r="B1979" s="518"/>
      <c r="C1979" s="305"/>
      <c r="F1979" s="1384"/>
      <c r="G1979" s="1384"/>
    </row>
    <row r="1980">
      <c r="A1980" s="516"/>
      <c r="B1980" s="518"/>
      <c r="C1980" s="305"/>
      <c r="F1980" s="1384"/>
      <c r="G1980" s="1384"/>
    </row>
    <row r="1981">
      <c r="A1981" s="516"/>
      <c r="B1981" s="518"/>
      <c r="C1981" s="305"/>
      <c r="F1981" s="1384"/>
      <c r="G1981" s="1384"/>
    </row>
    <row r="1982">
      <c r="A1982" s="516"/>
      <c r="B1982" s="518"/>
      <c r="C1982" s="305"/>
      <c r="F1982" s="1384"/>
      <c r="G1982" s="1384"/>
    </row>
    <row r="1983">
      <c r="A1983" s="516"/>
      <c r="B1983" s="518"/>
      <c r="C1983" s="305"/>
      <c r="F1983" s="1384"/>
      <c r="G1983" s="1384"/>
    </row>
    <row r="1984">
      <c r="A1984" s="516"/>
      <c r="B1984" s="518"/>
      <c r="C1984" s="305"/>
      <c r="F1984" s="1384"/>
      <c r="G1984" s="1384"/>
    </row>
    <row r="1985">
      <c r="A1985" s="516"/>
      <c r="B1985" s="518"/>
      <c r="C1985" s="305"/>
      <c r="F1985" s="1384"/>
      <c r="G1985" s="1384"/>
    </row>
    <row r="1986">
      <c r="A1986" s="516"/>
      <c r="B1986" s="518"/>
      <c r="C1986" s="305"/>
      <c r="F1986" s="1384"/>
      <c r="G1986" s="1384"/>
    </row>
    <row r="1987">
      <c r="A1987" s="516"/>
      <c r="B1987" s="518"/>
      <c r="C1987" s="305"/>
      <c r="F1987" s="1384"/>
      <c r="G1987" s="1384"/>
    </row>
    <row r="1988">
      <c r="A1988" s="516"/>
      <c r="B1988" s="518"/>
      <c r="C1988" s="305"/>
      <c r="F1988" s="1384"/>
      <c r="G1988" s="1384"/>
    </row>
    <row r="1989">
      <c r="A1989" s="516"/>
      <c r="B1989" s="518"/>
      <c r="C1989" s="305"/>
      <c r="F1989" s="1384"/>
      <c r="G1989" s="1384"/>
    </row>
    <row r="1990">
      <c r="A1990" s="516"/>
      <c r="B1990" s="518"/>
      <c r="C1990" s="305"/>
      <c r="F1990" s="1384"/>
      <c r="G1990" s="1384"/>
    </row>
    <row r="1991">
      <c r="A1991" s="516"/>
      <c r="B1991" s="518"/>
      <c r="C1991" s="305"/>
      <c r="F1991" s="1384"/>
      <c r="G1991" s="1384"/>
    </row>
    <row r="1992">
      <c r="A1992" s="516"/>
      <c r="B1992" s="518"/>
      <c r="C1992" s="305"/>
      <c r="F1992" s="1384"/>
      <c r="G1992" s="1384"/>
    </row>
    <row r="1993">
      <c r="A1993" s="516"/>
      <c r="B1993" s="518"/>
      <c r="C1993" s="305"/>
      <c r="F1993" s="1384"/>
      <c r="G1993" s="1384"/>
    </row>
    <row r="1994">
      <c r="A1994" s="516"/>
      <c r="B1994" s="518"/>
      <c r="C1994" s="305"/>
      <c r="F1994" s="1384"/>
      <c r="G1994" s="1384"/>
    </row>
    <row r="1995">
      <c r="A1995" s="516"/>
      <c r="B1995" s="518"/>
      <c r="C1995" s="305"/>
      <c r="F1995" s="1384"/>
      <c r="G1995" s="1384"/>
    </row>
    <row r="1996">
      <c r="A1996" s="516"/>
      <c r="B1996" s="518"/>
      <c r="C1996" s="305"/>
      <c r="F1996" s="1384"/>
      <c r="G1996" s="1384"/>
    </row>
    <row r="1997">
      <c r="A1997" s="516"/>
      <c r="B1997" s="518"/>
      <c r="C1997" s="305"/>
      <c r="F1997" s="1384"/>
      <c r="G1997" s="1384"/>
    </row>
    <row r="1998">
      <c r="A1998" s="516"/>
      <c r="B1998" s="518"/>
      <c r="C1998" s="305"/>
      <c r="F1998" s="1384"/>
      <c r="G1998" s="1384"/>
    </row>
    <row r="1999">
      <c r="A1999" s="516"/>
      <c r="B1999" s="518"/>
      <c r="C1999" s="305"/>
      <c r="F1999" s="1384"/>
      <c r="G1999" s="1384"/>
    </row>
    <row r="2000">
      <c r="A2000" s="516"/>
      <c r="B2000" s="518"/>
      <c r="C2000" s="305"/>
      <c r="F2000" s="1384"/>
      <c r="G2000" s="1384"/>
    </row>
    <row r="2001">
      <c r="A2001" s="516"/>
      <c r="B2001" s="518"/>
      <c r="C2001" s="305"/>
      <c r="F2001" s="1384"/>
      <c r="G2001" s="1384"/>
    </row>
    <row r="2002">
      <c r="A2002" s="516"/>
      <c r="B2002" s="518"/>
      <c r="C2002" s="305"/>
      <c r="F2002" s="1384"/>
      <c r="G2002" s="1384"/>
    </row>
    <row r="2003">
      <c r="A2003" s="516"/>
      <c r="B2003" s="518"/>
      <c r="C2003" s="305"/>
      <c r="F2003" s="1384"/>
      <c r="G2003" s="1384"/>
    </row>
    <row r="2004">
      <c r="A2004" s="516"/>
      <c r="B2004" s="518"/>
      <c r="C2004" s="305"/>
      <c r="F2004" s="1384"/>
      <c r="G2004" s="1384"/>
    </row>
    <row r="2005">
      <c r="A2005" s="516"/>
      <c r="B2005" s="518"/>
      <c r="C2005" s="305"/>
      <c r="F2005" s="1384"/>
      <c r="G2005" s="1384"/>
    </row>
    <row r="2006">
      <c r="A2006" s="516"/>
      <c r="B2006" s="518"/>
      <c r="C2006" s="305"/>
      <c r="F2006" s="1384"/>
      <c r="G2006" s="1384"/>
    </row>
    <row r="2007">
      <c r="A2007" s="516"/>
      <c r="B2007" s="518"/>
      <c r="C2007" s="305"/>
      <c r="F2007" s="1384"/>
      <c r="G2007" s="1384"/>
    </row>
    <row r="2008">
      <c r="A2008" s="516"/>
      <c r="B2008" s="518"/>
      <c r="C2008" s="305"/>
      <c r="F2008" s="1384"/>
      <c r="G2008" s="1384"/>
    </row>
    <row r="2009">
      <c r="A2009" s="516"/>
      <c r="B2009" s="518"/>
      <c r="C2009" s="305"/>
      <c r="F2009" s="1384"/>
      <c r="G2009" s="1384"/>
    </row>
    <row r="2010">
      <c r="A2010" s="516"/>
      <c r="B2010" s="518"/>
      <c r="C2010" s="305"/>
      <c r="F2010" s="1384"/>
      <c r="G2010" s="1384"/>
    </row>
    <row r="2011">
      <c r="A2011" s="516"/>
      <c r="B2011" s="518"/>
      <c r="C2011" s="305"/>
      <c r="F2011" s="1384"/>
      <c r="G2011" s="1384"/>
    </row>
    <row r="2012">
      <c r="A2012" s="516"/>
      <c r="B2012" s="518"/>
      <c r="C2012" s="305"/>
      <c r="F2012" s="1384"/>
      <c r="G2012" s="1384"/>
    </row>
    <row r="2013">
      <c r="A2013" s="516"/>
      <c r="B2013" s="518"/>
      <c r="C2013" s="305"/>
      <c r="F2013" s="1384"/>
      <c r="G2013" s="1384"/>
    </row>
    <row r="2014">
      <c r="A2014" s="516"/>
      <c r="B2014" s="518"/>
      <c r="C2014" s="305"/>
      <c r="F2014" s="1384"/>
      <c r="G2014" s="1384"/>
    </row>
    <row r="2015">
      <c r="A2015" s="516"/>
      <c r="B2015" s="518"/>
      <c r="C2015" s="305"/>
      <c r="F2015" s="1384"/>
      <c r="G2015" s="1384"/>
    </row>
    <row r="2016">
      <c r="A2016" s="516"/>
      <c r="B2016" s="518"/>
      <c r="C2016" s="305"/>
      <c r="F2016" s="1384"/>
      <c r="G2016" s="1384"/>
    </row>
    <row r="2017">
      <c r="A2017" s="516"/>
      <c r="B2017" s="518"/>
      <c r="C2017" s="305"/>
      <c r="F2017" s="1384"/>
      <c r="G2017" s="1384"/>
    </row>
    <row r="2018">
      <c r="A2018" s="516"/>
      <c r="B2018" s="518"/>
      <c r="C2018" s="305"/>
      <c r="F2018" s="1384"/>
      <c r="G2018" s="1384"/>
    </row>
    <row r="2019">
      <c r="A2019" s="516"/>
      <c r="B2019" s="518"/>
      <c r="C2019" s="305"/>
      <c r="F2019" s="1384"/>
      <c r="G2019" s="1384"/>
    </row>
    <row r="2020">
      <c r="A2020" s="516"/>
      <c r="B2020" s="518"/>
      <c r="C2020" s="305"/>
      <c r="F2020" s="1384"/>
      <c r="G2020" s="1384"/>
    </row>
    <row r="2021">
      <c r="A2021" s="516"/>
      <c r="B2021" s="518"/>
      <c r="C2021" s="305"/>
      <c r="F2021" s="1384"/>
      <c r="G2021" s="1384"/>
    </row>
    <row r="2022">
      <c r="A2022" s="516"/>
      <c r="B2022" s="518"/>
      <c r="C2022" s="305"/>
      <c r="F2022" s="1384"/>
      <c r="G2022" s="1384"/>
    </row>
    <row r="2023">
      <c r="A2023" s="516"/>
      <c r="B2023" s="518"/>
      <c r="C2023" s="305"/>
      <c r="F2023" s="1384"/>
      <c r="G2023" s="1384"/>
    </row>
    <row r="2024">
      <c r="A2024" s="516"/>
      <c r="B2024" s="518"/>
      <c r="C2024" s="305"/>
      <c r="F2024" s="1384"/>
      <c r="G2024" s="1384"/>
    </row>
    <row r="2025">
      <c r="A2025" s="516"/>
      <c r="B2025" s="518"/>
      <c r="C2025" s="305"/>
      <c r="F2025" s="1384"/>
      <c r="G2025" s="1384"/>
    </row>
    <row r="2026">
      <c r="A2026" s="516"/>
      <c r="B2026" s="518"/>
      <c r="C2026" s="305"/>
      <c r="F2026" s="1384"/>
      <c r="G2026" s="1384"/>
    </row>
    <row r="2027">
      <c r="A2027" s="516"/>
      <c r="B2027" s="518"/>
      <c r="C2027" s="305"/>
      <c r="F2027" s="1384"/>
      <c r="G2027" s="1384"/>
    </row>
    <row r="2028">
      <c r="A2028" s="516"/>
      <c r="B2028" s="518"/>
      <c r="C2028" s="305"/>
      <c r="F2028" s="1384"/>
      <c r="G2028" s="1384"/>
    </row>
    <row r="2029">
      <c r="A2029" s="516"/>
      <c r="B2029" s="518"/>
      <c r="C2029" s="305"/>
      <c r="F2029" s="1384"/>
      <c r="G2029" s="1384"/>
    </row>
    <row r="2030">
      <c r="A2030" s="516"/>
      <c r="B2030" s="518"/>
      <c r="C2030" s="305"/>
      <c r="F2030" s="1384"/>
      <c r="G2030" s="1384"/>
    </row>
    <row r="2031">
      <c r="A2031" s="516"/>
      <c r="B2031" s="518"/>
      <c r="C2031" s="305"/>
      <c r="F2031" s="1384"/>
      <c r="G2031" s="1384"/>
    </row>
    <row r="2032">
      <c r="A2032" s="516"/>
      <c r="B2032" s="518"/>
      <c r="C2032" s="305"/>
      <c r="F2032" s="1384"/>
      <c r="G2032" s="1384"/>
    </row>
    <row r="2033">
      <c r="A2033" s="516"/>
      <c r="B2033" s="518"/>
      <c r="C2033" s="305"/>
      <c r="F2033" s="1384"/>
      <c r="G2033" s="1384"/>
    </row>
    <row r="2034">
      <c r="A2034" s="516"/>
      <c r="B2034" s="518"/>
      <c r="C2034" s="305"/>
      <c r="F2034" s="1384"/>
      <c r="G2034" s="1384"/>
    </row>
    <row r="2035">
      <c r="A2035" s="516"/>
      <c r="B2035" s="518"/>
      <c r="C2035" s="305"/>
      <c r="F2035" s="1384"/>
      <c r="G2035" s="1384"/>
    </row>
    <row r="2036">
      <c r="A2036" s="516"/>
      <c r="B2036" s="518"/>
      <c r="C2036" s="305"/>
      <c r="F2036" s="1384"/>
      <c r="G2036" s="1384"/>
    </row>
    <row r="2037">
      <c r="A2037" s="516"/>
      <c r="B2037" s="518"/>
      <c r="C2037" s="305"/>
      <c r="F2037" s="1384"/>
      <c r="G2037" s="1384"/>
    </row>
    <row r="2038">
      <c r="A2038" s="516"/>
      <c r="B2038" s="518"/>
      <c r="C2038" s="305"/>
      <c r="F2038" s="1384"/>
      <c r="G2038" s="1384"/>
    </row>
    <row r="2039">
      <c r="A2039" s="516"/>
      <c r="B2039" s="518"/>
      <c r="C2039" s="305"/>
      <c r="F2039" s="1384"/>
      <c r="G2039" s="1384"/>
    </row>
    <row r="2040">
      <c r="A2040" s="516"/>
      <c r="B2040" s="518"/>
      <c r="C2040" s="305"/>
      <c r="F2040" s="1384"/>
      <c r="G2040" s="1384"/>
    </row>
    <row r="2041">
      <c r="A2041" s="516"/>
      <c r="B2041" s="518"/>
      <c r="C2041" s="305"/>
      <c r="F2041" s="1384"/>
      <c r="G2041" s="1384"/>
    </row>
    <row r="2042">
      <c r="A2042" s="516"/>
      <c r="B2042" s="518"/>
      <c r="C2042" s="305"/>
      <c r="F2042" s="1384"/>
      <c r="G2042" s="1384"/>
    </row>
    <row r="2043">
      <c r="A2043" s="516"/>
      <c r="B2043" s="518"/>
      <c r="C2043" s="305"/>
      <c r="F2043" s="1384"/>
      <c r="G2043" s="1384"/>
    </row>
    <row r="2044">
      <c r="A2044" s="516"/>
      <c r="B2044" s="518"/>
      <c r="C2044" s="305"/>
      <c r="F2044" s="1384"/>
      <c r="G2044" s="1384"/>
    </row>
    <row r="2045">
      <c r="A2045" s="516"/>
      <c r="B2045" s="518"/>
      <c r="C2045" s="305"/>
      <c r="F2045" s="1384"/>
      <c r="G2045" s="1384"/>
    </row>
    <row r="2046">
      <c r="A2046" s="516"/>
      <c r="B2046" s="518"/>
      <c r="C2046" s="305"/>
      <c r="F2046" s="1384"/>
      <c r="G2046" s="1384"/>
    </row>
    <row r="2047">
      <c r="A2047" s="516"/>
      <c r="B2047" s="518"/>
      <c r="C2047" s="305"/>
      <c r="F2047" s="1384"/>
      <c r="G2047" s="1384"/>
    </row>
    <row r="2048">
      <c r="A2048" s="516"/>
      <c r="B2048" s="518"/>
      <c r="C2048" s="305"/>
      <c r="F2048" s="1384"/>
      <c r="G2048" s="1384"/>
    </row>
    <row r="2049">
      <c r="A2049" s="516"/>
      <c r="B2049" s="518"/>
      <c r="C2049" s="305"/>
      <c r="F2049" s="1384"/>
      <c r="G2049" s="1384"/>
    </row>
    <row r="2050">
      <c r="A2050" s="516"/>
      <c r="B2050" s="518"/>
      <c r="C2050" s="305"/>
      <c r="F2050" s="1384"/>
      <c r="G2050" s="1384"/>
    </row>
    <row r="2051">
      <c r="A2051" s="516"/>
      <c r="B2051" s="518"/>
      <c r="C2051" s="305"/>
      <c r="F2051" s="1384"/>
      <c r="G2051" s="1384"/>
    </row>
    <row r="2052">
      <c r="A2052" s="516"/>
      <c r="B2052" s="518"/>
      <c r="C2052" s="305"/>
      <c r="F2052" s="1384"/>
      <c r="G2052" s="1384"/>
    </row>
    <row r="2053">
      <c r="A2053" s="516"/>
      <c r="B2053" s="518"/>
      <c r="C2053" s="305"/>
      <c r="F2053" s="1384"/>
      <c r="G2053" s="1384"/>
    </row>
    <row r="2054">
      <c r="A2054" s="516"/>
      <c r="B2054" s="518"/>
      <c r="C2054" s="305"/>
      <c r="F2054" s="1384"/>
      <c r="G2054" s="1384"/>
    </row>
    <row r="2055">
      <c r="A2055" s="516"/>
      <c r="B2055" s="518"/>
      <c r="C2055" s="305"/>
      <c r="F2055" s="1384"/>
      <c r="G2055" s="1384"/>
    </row>
    <row r="2056">
      <c r="A2056" s="516"/>
      <c r="B2056" s="518"/>
      <c r="C2056" s="305"/>
      <c r="F2056" s="1384"/>
      <c r="G2056" s="1384"/>
    </row>
    <row r="2057">
      <c r="A2057" s="516"/>
      <c r="B2057" s="518"/>
      <c r="C2057" s="305"/>
      <c r="F2057" s="1384"/>
      <c r="G2057" s="1384"/>
    </row>
    <row r="2058">
      <c r="A2058" s="516"/>
      <c r="B2058" s="518"/>
      <c r="C2058" s="305"/>
      <c r="F2058" s="1384"/>
      <c r="G2058" s="1384"/>
    </row>
    <row r="2059">
      <c r="A2059" s="516"/>
      <c r="B2059" s="518"/>
      <c r="C2059" s="305"/>
      <c r="F2059" s="1384"/>
      <c r="G2059" s="1384"/>
    </row>
    <row r="2060">
      <c r="A2060" s="516"/>
      <c r="B2060" s="518"/>
      <c r="C2060" s="305"/>
      <c r="F2060" s="1384"/>
      <c r="G2060" s="1384"/>
    </row>
    <row r="2061">
      <c r="A2061" s="516"/>
      <c r="B2061" s="518"/>
      <c r="C2061" s="305"/>
      <c r="F2061" s="1384"/>
      <c r="G2061" s="1384"/>
    </row>
    <row r="2062">
      <c r="A2062" s="516"/>
      <c r="B2062" s="518"/>
      <c r="C2062" s="305"/>
      <c r="F2062" s="1384"/>
      <c r="G2062" s="1384"/>
    </row>
    <row r="2063">
      <c r="A2063" s="516"/>
      <c r="B2063" s="518"/>
      <c r="C2063" s="305"/>
      <c r="F2063" s="1384"/>
      <c r="G2063" s="1384"/>
    </row>
    <row r="2064">
      <c r="A2064" s="516"/>
      <c r="B2064" s="518"/>
      <c r="C2064" s="305"/>
      <c r="F2064" s="1384"/>
      <c r="G2064" s="1384"/>
    </row>
    <row r="2065">
      <c r="A2065" s="516"/>
      <c r="B2065" s="518"/>
      <c r="C2065" s="305"/>
      <c r="F2065" s="1384"/>
      <c r="G2065" s="1384"/>
    </row>
    <row r="2066">
      <c r="A2066" s="516"/>
      <c r="B2066" s="518"/>
      <c r="C2066" s="305"/>
      <c r="F2066" s="1384"/>
      <c r="G2066" s="1384"/>
    </row>
    <row r="2067">
      <c r="A2067" s="516"/>
      <c r="B2067" s="518"/>
      <c r="C2067" s="305"/>
      <c r="F2067" s="1384"/>
      <c r="G2067" s="1384"/>
    </row>
    <row r="2068">
      <c r="A2068" s="516"/>
      <c r="B2068" s="518"/>
      <c r="C2068" s="305"/>
      <c r="F2068" s="1384"/>
      <c r="G2068" s="1384"/>
    </row>
    <row r="2069">
      <c r="A2069" s="516"/>
      <c r="B2069" s="518"/>
      <c r="C2069" s="305"/>
      <c r="F2069" s="1384"/>
      <c r="G2069" s="1384"/>
    </row>
    <row r="2070">
      <c r="A2070" s="516"/>
      <c r="B2070" s="518"/>
      <c r="C2070" s="305"/>
      <c r="F2070" s="1384"/>
      <c r="G2070" s="1384"/>
    </row>
    <row r="2071">
      <c r="A2071" s="516"/>
      <c r="B2071" s="518"/>
      <c r="C2071" s="305"/>
      <c r="F2071" s="1384"/>
      <c r="G2071" s="1384"/>
    </row>
    <row r="2072">
      <c r="A2072" s="516"/>
      <c r="B2072" s="518"/>
      <c r="C2072" s="305"/>
      <c r="F2072" s="1384"/>
      <c r="G2072" s="1384"/>
    </row>
    <row r="2073">
      <c r="A2073" s="516"/>
      <c r="B2073" s="518"/>
      <c r="C2073" s="305"/>
      <c r="F2073" s="1384"/>
      <c r="G2073" s="1384"/>
    </row>
    <row r="2074">
      <c r="A2074" s="516"/>
      <c r="B2074" s="518"/>
      <c r="C2074" s="305"/>
      <c r="F2074" s="1384"/>
      <c r="G2074" s="1384"/>
    </row>
    <row r="2075">
      <c r="A2075" s="516"/>
      <c r="B2075" s="518"/>
      <c r="C2075" s="305"/>
      <c r="F2075" s="1384"/>
      <c r="G2075" s="1384"/>
    </row>
    <row r="2076">
      <c r="A2076" s="516"/>
      <c r="B2076" s="518"/>
      <c r="C2076" s="305"/>
      <c r="F2076" s="1384"/>
      <c r="G2076" s="1384"/>
    </row>
    <row r="2077">
      <c r="A2077" s="516"/>
      <c r="B2077" s="518"/>
      <c r="C2077" s="305"/>
      <c r="F2077" s="1384"/>
      <c r="G2077" s="1384"/>
    </row>
    <row r="2078">
      <c r="A2078" s="516"/>
      <c r="B2078" s="518"/>
      <c r="C2078" s="305"/>
      <c r="F2078" s="1384"/>
      <c r="G2078" s="1384"/>
    </row>
    <row r="2079">
      <c r="A2079" s="516"/>
      <c r="B2079" s="518"/>
      <c r="C2079" s="305"/>
      <c r="F2079" s="1384"/>
      <c r="G2079" s="1384"/>
    </row>
    <row r="2080">
      <c r="A2080" s="516"/>
      <c r="B2080" s="518"/>
      <c r="C2080" s="305"/>
      <c r="F2080" s="1384"/>
      <c r="G2080" s="1384"/>
    </row>
    <row r="2081">
      <c r="A2081" s="516"/>
      <c r="B2081" s="518"/>
      <c r="C2081" s="305"/>
      <c r="F2081" s="1384"/>
      <c r="G2081" s="1384"/>
    </row>
    <row r="2082">
      <c r="A2082" s="516"/>
      <c r="B2082" s="518"/>
      <c r="C2082" s="305"/>
      <c r="F2082" s="1384"/>
      <c r="G2082" s="1384"/>
    </row>
    <row r="2083">
      <c r="A2083" s="516"/>
      <c r="B2083" s="518"/>
      <c r="C2083" s="305"/>
      <c r="F2083" s="1384"/>
      <c r="G2083" s="1384"/>
    </row>
    <row r="2084">
      <c r="A2084" s="516"/>
      <c r="B2084" s="518"/>
      <c r="C2084" s="305"/>
      <c r="F2084" s="1384"/>
      <c r="G2084" s="1384"/>
    </row>
    <row r="2085">
      <c r="A2085" s="516"/>
      <c r="B2085" s="518"/>
      <c r="C2085" s="305"/>
      <c r="F2085" s="1384"/>
      <c r="G2085" s="1384"/>
    </row>
    <row r="2086">
      <c r="A2086" s="516"/>
      <c r="B2086" s="518"/>
      <c r="C2086" s="305"/>
      <c r="F2086" s="1384"/>
      <c r="G2086" s="1384"/>
    </row>
    <row r="2087">
      <c r="A2087" s="516"/>
      <c r="B2087" s="518"/>
      <c r="C2087" s="305"/>
      <c r="F2087" s="1384"/>
      <c r="G2087" s="1384"/>
    </row>
    <row r="2088">
      <c r="A2088" s="516"/>
      <c r="B2088" s="518"/>
      <c r="C2088" s="305"/>
      <c r="F2088" s="1384"/>
      <c r="G2088" s="1384"/>
    </row>
    <row r="2089">
      <c r="A2089" s="516"/>
      <c r="B2089" s="518"/>
      <c r="C2089" s="305"/>
      <c r="F2089" s="1384"/>
      <c r="G2089" s="1384"/>
    </row>
    <row r="2090">
      <c r="A2090" s="516"/>
      <c r="B2090" s="518"/>
      <c r="C2090" s="305"/>
      <c r="F2090" s="1384"/>
      <c r="G2090" s="1384"/>
    </row>
    <row r="2091">
      <c r="A2091" s="516"/>
      <c r="B2091" s="518"/>
      <c r="C2091" s="305"/>
      <c r="F2091" s="1384"/>
      <c r="G2091" s="1384"/>
    </row>
    <row r="2092">
      <c r="A2092" s="516"/>
      <c r="B2092" s="518"/>
      <c r="C2092" s="305"/>
      <c r="F2092" s="1384"/>
      <c r="G2092" s="1384"/>
    </row>
    <row r="2093">
      <c r="A2093" s="516"/>
      <c r="B2093" s="518"/>
      <c r="C2093" s="305"/>
      <c r="F2093" s="1384"/>
      <c r="G2093" s="1384"/>
    </row>
    <row r="2094">
      <c r="A2094" s="516"/>
      <c r="B2094" s="518"/>
      <c r="C2094" s="305"/>
      <c r="F2094" s="1384"/>
      <c r="G2094" s="1384"/>
    </row>
    <row r="2095">
      <c r="A2095" s="516"/>
      <c r="B2095" s="518"/>
      <c r="C2095" s="305"/>
      <c r="F2095" s="1384"/>
      <c r="G2095" s="1384"/>
    </row>
    <row r="2096">
      <c r="A2096" s="516"/>
      <c r="B2096" s="518"/>
      <c r="C2096" s="305"/>
      <c r="F2096" s="1384"/>
      <c r="G2096" s="1384"/>
    </row>
    <row r="2097">
      <c r="A2097" s="516"/>
      <c r="B2097" s="518"/>
      <c r="C2097" s="305"/>
      <c r="F2097" s="1384"/>
      <c r="G2097" s="1384"/>
    </row>
    <row r="2098">
      <c r="A2098" s="516"/>
      <c r="B2098" s="518"/>
      <c r="C2098" s="305"/>
      <c r="F2098" s="1384"/>
      <c r="G2098" s="1384"/>
    </row>
    <row r="2099">
      <c r="A2099" s="516"/>
      <c r="B2099" s="518"/>
      <c r="C2099" s="305"/>
      <c r="F2099" s="1384"/>
      <c r="G2099" s="1384"/>
    </row>
    <row r="2100">
      <c r="A2100" s="516"/>
      <c r="B2100" s="518"/>
      <c r="C2100" s="305"/>
      <c r="F2100" s="1384"/>
      <c r="G2100" s="1384"/>
    </row>
    <row r="2101">
      <c r="A2101" s="516"/>
      <c r="B2101" s="518"/>
      <c r="C2101" s="305"/>
      <c r="F2101" s="1384"/>
      <c r="G2101" s="1384"/>
    </row>
    <row r="2102">
      <c r="A2102" s="516"/>
      <c r="B2102" s="518"/>
      <c r="C2102" s="305"/>
      <c r="F2102" s="1384"/>
      <c r="G2102" s="1384"/>
    </row>
    <row r="2103">
      <c r="A2103" s="516"/>
      <c r="B2103" s="518"/>
      <c r="C2103" s="305"/>
      <c r="F2103" s="1384"/>
      <c r="G2103" s="1384"/>
    </row>
    <row r="2104">
      <c r="A2104" s="516"/>
      <c r="B2104" s="518"/>
      <c r="C2104" s="305"/>
      <c r="F2104" s="1384"/>
      <c r="G2104" s="1384"/>
    </row>
    <row r="2105">
      <c r="A2105" s="516"/>
      <c r="B2105" s="518"/>
      <c r="C2105" s="305"/>
      <c r="F2105" s="1384"/>
      <c r="G2105" s="1384"/>
    </row>
    <row r="2106">
      <c r="A2106" s="516"/>
      <c r="B2106" s="518"/>
      <c r="C2106" s="305"/>
      <c r="F2106" s="1384"/>
      <c r="G2106" s="1384"/>
    </row>
    <row r="2107">
      <c r="A2107" s="516"/>
      <c r="B2107" s="518"/>
      <c r="C2107" s="305"/>
      <c r="F2107" s="1384"/>
      <c r="G2107" s="1384"/>
    </row>
    <row r="2108">
      <c r="A2108" s="516"/>
      <c r="B2108" s="518"/>
      <c r="C2108" s="305"/>
      <c r="F2108" s="1384"/>
      <c r="G2108" s="1384"/>
    </row>
    <row r="2109">
      <c r="A2109" s="516"/>
      <c r="B2109" s="518"/>
      <c r="C2109" s="305"/>
      <c r="F2109" s="1384"/>
      <c r="G2109" s="1384"/>
    </row>
    <row r="2110">
      <c r="A2110" s="516"/>
      <c r="B2110" s="518"/>
      <c r="C2110" s="305"/>
      <c r="F2110" s="1384"/>
      <c r="G2110" s="1384"/>
    </row>
    <row r="2111">
      <c r="A2111" s="516"/>
      <c r="B2111" s="518"/>
      <c r="C2111" s="305"/>
      <c r="F2111" s="1384"/>
      <c r="G2111" s="1384"/>
    </row>
    <row r="2112">
      <c r="A2112" s="516"/>
      <c r="B2112" s="518"/>
      <c r="C2112" s="305"/>
      <c r="F2112" s="1384"/>
      <c r="G2112" s="1384"/>
    </row>
    <row r="2113">
      <c r="A2113" s="516"/>
      <c r="B2113" s="518"/>
      <c r="C2113" s="305"/>
      <c r="F2113" s="1384"/>
      <c r="G2113" s="1384"/>
    </row>
    <row r="2114">
      <c r="A2114" s="516"/>
      <c r="B2114" s="518"/>
      <c r="C2114" s="305"/>
      <c r="F2114" s="1384"/>
      <c r="G2114" s="1384"/>
    </row>
    <row r="2115">
      <c r="A2115" s="516"/>
      <c r="B2115" s="518"/>
      <c r="C2115" s="305"/>
      <c r="F2115" s="1384"/>
      <c r="G2115" s="1384"/>
    </row>
    <row r="2116">
      <c r="A2116" s="516"/>
      <c r="B2116" s="518"/>
      <c r="C2116" s="305"/>
      <c r="F2116" s="1384"/>
      <c r="G2116" s="1384"/>
    </row>
    <row r="2117">
      <c r="A2117" s="516"/>
      <c r="B2117" s="518"/>
      <c r="C2117" s="305"/>
      <c r="F2117" s="1384"/>
      <c r="G2117" s="1384"/>
    </row>
    <row r="2118">
      <c r="A2118" s="516"/>
      <c r="B2118" s="518"/>
      <c r="C2118" s="305"/>
      <c r="F2118" s="1384"/>
      <c r="G2118" s="1384"/>
    </row>
    <row r="2119">
      <c r="A2119" s="516"/>
      <c r="B2119" s="518"/>
      <c r="C2119" s="305"/>
      <c r="F2119" s="1384"/>
      <c r="G2119" s="1384"/>
    </row>
    <row r="2120">
      <c r="A2120" s="516"/>
      <c r="B2120" s="518"/>
      <c r="C2120" s="305"/>
      <c r="F2120" s="1384"/>
      <c r="G2120" s="1384"/>
    </row>
    <row r="2121">
      <c r="A2121" s="516"/>
      <c r="B2121" s="518"/>
      <c r="C2121" s="305"/>
      <c r="F2121" s="1384"/>
      <c r="G2121" s="1384"/>
    </row>
    <row r="2122">
      <c r="A2122" s="516"/>
      <c r="B2122" s="518"/>
      <c r="C2122" s="305"/>
      <c r="F2122" s="1384"/>
      <c r="G2122" s="1384"/>
    </row>
    <row r="2123">
      <c r="A2123" s="516"/>
      <c r="B2123" s="518"/>
      <c r="C2123" s="305"/>
      <c r="F2123" s="1384"/>
      <c r="G2123" s="1384"/>
    </row>
    <row r="2124">
      <c r="A2124" s="516"/>
      <c r="B2124" s="518"/>
      <c r="C2124" s="305"/>
      <c r="F2124" s="1384"/>
      <c r="G2124" s="1384"/>
    </row>
    <row r="2125">
      <c r="A2125" s="516"/>
      <c r="B2125" s="518"/>
      <c r="C2125" s="305"/>
      <c r="F2125" s="1384"/>
      <c r="G2125" s="1384"/>
    </row>
    <row r="2126">
      <c r="A2126" s="516"/>
      <c r="B2126" s="518"/>
      <c r="C2126" s="305"/>
      <c r="F2126" s="1384"/>
      <c r="G2126" s="1384"/>
    </row>
    <row r="2127">
      <c r="A2127" s="516"/>
      <c r="B2127" s="518"/>
      <c r="C2127" s="305"/>
      <c r="F2127" s="1384"/>
      <c r="G2127" s="1384"/>
    </row>
    <row r="2128">
      <c r="A2128" s="516"/>
      <c r="B2128" s="518"/>
      <c r="C2128" s="305"/>
      <c r="F2128" s="1384"/>
      <c r="G2128" s="1384"/>
    </row>
    <row r="2129">
      <c r="A2129" s="516"/>
      <c r="B2129" s="518"/>
      <c r="C2129" s="305"/>
      <c r="F2129" s="1384"/>
      <c r="G2129" s="1384"/>
    </row>
    <row r="2130">
      <c r="A2130" s="516"/>
      <c r="B2130" s="518"/>
      <c r="C2130" s="305"/>
      <c r="F2130" s="1384"/>
      <c r="G2130" s="1384"/>
    </row>
    <row r="2131">
      <c r="A2131" s="516"/>
      <c r="B2131" s="518"/>
      <c r="C2131" s="305"/>
      <c r="F2131" s="1384"/>
      <c r="G2131" s="1384"/>
    </row>
    <row r="2132">
      <c r="A2132" s="516"/>
      <c r="B2132" s="518"/>
      <c r="C2132" s="305"/>
      <c r="F2132" s="1384"/>
      <c r="G2132" s="1384"/>
    </row>
    <row r="2133">
      <c r="A2133" s="516"/>
      <c r="B2133" s="518"/>
      <c r="C2133" s="305"/>
      <c r="F2133" s="1384"/>
      <c r="G2133" s="1384"/>
    </row>
    <row r="2134">
      <c r="A2134" s="516"/>
      <c r="B2134" s="518"/>
      <c r="C2134" s="305"/>
      <c r="F2134" s="1384"/>
      <c r="G2134" s="1384"/>
    </row>
    <row r="2135">
      <c r="A2135" s="516"/>
      <c r="B2135" s="518"/>
      <c r="C2135" s="305"/>
      <c r="F2135" s="1384"/>
      <c r="G2135" s="1384"/>
    </row>
    <row r="2136">
      <c r="A2136" s="516"/>
      <c r="B2136" s="518"/>
      <c r="C2136" s="305"/>
      <c r="F2136" s="1384"/>
      <c r="G2136" s="1384"/>
    </row>
    <row r="2137">
      <c r="A2137" s="516"/>
      <c r="B2137" s="518"/>
      <c r="C2137" s="305"/>
      <c r="F2137" s="1384"/>
      <c r="G2137" s="1384"/>
    </row>
    <row r="2138">
      <c r="A2138" s="516"/>
      <c r="B2138" s="518"/>
      <c r="C2138" s="305"/>
      <c r="F2138" s="1384"/>
      <c r="G2138" s="1384"/>
    </row>
    <row r="2139">
      <c r="A2139" s="516"/>
      <c r="B2139" s="518"/>
      <c r="C2139" s="305"/>
      <c r="F2139" s="1384"/>
      <c r="G2139" s="1384"/>
    </row>
    <row r="2140">
      <c r="A2140" s="516"/>
      <c r="B2140" s="518"/>
      <c r="C2140" s="305"/>
      <c r="F2140" s="1384"/>
      <c r="G2140" s="1384"/>
    </row>
    <row r="2141">
      <c r="A2141" s="516"/>
      <c r="B2141" s="518"/>
      <c r="C2141" s="305"/>
      <c r="F2141" s="1384"/>
      <c r="G2141" s="1384"/>
    </row>
    <row r="2142">
      <c r="A2142" s="516"/>
      <c r="B2142" s="518"/>
      <c r="C2142" s="305"/>
      <c r="F2142" s="1384"/>
      <c r="G2142" s="1384"/>
    </row>
    <row r="2143">
      <c r="A2143" s="516"/>
      <c r="B2143" s="518"/>
      <c r="C2143" s="305"/>
      <c r="F2143" s="1384"/>
      <c r="G2143" s="1384"/>
    </row>
    <row r="2144">
      <c r="A2144" s="516"/>
      <c r="B2144" s="518"/>
      <c r="C2144" s="305"/>
      <c r="F2144" s="1384"/>
      <c r="G2144" s="1384"/>
    </row>
    <row r="2145">
      <c r="A2145" s="516"/>
      <c r="B2145" s="518"/>
      <c r="C2145" s="305"/>
      <c r="F2145" s="1384"/>
      <c r="G2145" s="1384"/>
    </row>
    <row r="2146">
      <c r="A2146" s="516"/>
      <c r="B2146" s="518"/>
      <c r="C2146" s="305"/>
      <c r="F2146" s="1384"/>
      <c r="G2146" s="1384"/>
    </row>
    <row r="2147">
      <c r="A2147" s="516"/>
      <c r="B2147" s="518"/>
      <c r="C2147" s="305"/>
      <c r="F2147" s="1384"/>
      <c r="G2147" s="1384"/>
    </row>
    <row r="2148">
      <c r="A2148" s="516"/>
      <c r="B2148" s="518"/>
      <c r="C2148" s="305"/>
      <c r="F2148" s="1384"/>
      <c r="G2148" s="1384"/>
    </row>
    <row r="2149">
      <c r="A2149" s="516"/>
      <c r="B2149" s="518"/>
      <c r="C2149" s="305"/>
      <c r="F2149" s="1384"/>
      <c r="G2149" s="1384"/>
    </row>
    <row r="2150">
      <c r="A2150" s="516"/>
      <c r="B2150" s="518"/>
      <c r="C2150" s="305"/>
      <c r="F2150" s="1384"/>
      <c r="G2150" s="1384"/>
    </row>
    <row r="2151">
      <c r="A2151" s="516"/>
      <c r="B2151" s="518"/>
      <c r="C2151" s="305"/>
      <c r="F2151" s="1384"/>
      <c r="G2151" s="1384"/>
    </row>
    <row r="2152">
      <c r="A2152" s="516"/>
      <c r="B2152" s="518"/>
      <c r="C2152" s="305"/>
      <c r="F2152" s="1384"/>
      <c r="G2152" s="1384"/>
    </row>
    <row r="2153">
      <c r="A2153" s="516"/>
      <c r="B2153" s="518"/>
      <c r="C2153" s="305"/>
      <c r="F2153" s="1384"/>
      <c r="G2153" s="1384"/>
    </row>
    <row r="2154">
      <c r="A2154" s="516"/>
      <c r="B2154" s="518"/>
      <c r="C2154" s="305"/>
      <c r="F2154" s="1384"/>
      <c r="G2154" s="1384"/>
    </row>
    <row r="2155">
      <c r="A2155" s="516"/>
      <c r="B2155" s="518"/>
      <c r="C2155" s="305"/>
      <c r="F2155" s="1384"/>
      <c r="G2155" s="1384"/>
    </row>
    <row r="2156">
      <c r="A2156" s="516"/>
      <c r="B2156" s="518"/>
      <c r="C2156" s="305"/>
      <c r="F2156" s="1384"/>
      <c r="G2156" s="1384"/>
    </row>
    <row r="2157">
      <c r="A2157" s="516"/>
      <c r="B2157" s="518"/>
      <c r="C2157" s="305"/>
      <c r="F2157" s="1384"/>
      <c r="G2157" s="1384"/>
    </row>
    <row r="2158">
      <c r="A2158" s="516"/>
      <c r="B2158" s="518"/>
      <c r="C2158" s="305"/>
      <c r="F2158" s="1384"/>
      <c r="G2158" s="1384"/>
    </row>
    <row r="2159">
      <c r="A2159" s="516"/>
      <c r="B2159" s="518"/>
      <c r="C2159" s="305"/>
      <c r="F2159" s="1384"/>
      <c r="G2159" s="1384"/>
    </row>
    <row r="2160">
      <c r="A2160" s="516"/>
      <c r="B2160" s="518"/>
      <c r="C2160" s="305"/>
      <c r="F2160" s="1384"/>
      <c r="G2160" s="1384"/>
    </row>
    <row r="2161">
      <c r="A2161" s="516"/>
      <c r="B2161" s="518"/>
      <c r="C2161" s="305"/>
      <c r="F2161" s="1384"/>
      <c r="G2161" s="1384"/>
    </row>
    <row r="2162">
      <c r="A2162" s="516"/>
      <c r="B2162" s="518"/>
      <c r="C2162" s="305"/>
      <c r="F2162" s="1384"/>
      <c r="G2162" s="1384"/>
    </row>
    <row r="2163">
      <c r="A2163" s="516"/>
      <c r="B2163" s="518"/>
      <c r="C2163" s="305"/>
      <c r="F2163" s="1384"/>
      <c r="G2163" s="1384"/>
    </row>
    <row r="2164">
      <c r="A2164" s="516"/>
      <c r="B2164" s="518"/>
      <c r="C2164" s="305"/>
      <c r="F2164" s="1384"/>
      <c r="G2164" s="1384"/>
    </row>
    <row r="2165">
      <c r="A2165" s="516"/>
      <c r="B2165" s="518"/>
      <c r="C2165" s="305"/>
      <c r="F2165" s="1384"/>
      <c r="G2165" s="1384"/>
    </row>
    <row r="2166">
      <c r="A2166" s="516"/>
      <c r="B2166" s="518"/>
      <c r="C2166" s="305"/>
      <c r="F2166" s="1384"/>
      <c r="G2166" s="1384"/>
    </row>
    <row r="2167">
      <c r="A2167" s="516"/>
      <c r="B2167" s="518"/>
      <c r="C2167" s="305"/>
      <c r="F2167" s="1384"/>
      <c r="G2167" s="1384"/>
    </row>
    <row r="2168">
      <c r="A2168" s="516"/>
      <c r="B2168" s="518"/>
      <c r="C2168" s="305"/>
      <c r="F2168" s="1384"/>
      <c r="G2168" s="1384"/>
    </row>
    <row r="2169">
      <c r="A2169" s="516"/>
      <c r="B2169" s="518"/>
      <c r="C2169" s="305"/>
      <c r="F2169" s="1384"/>
      <c r="G2169" s="1384"/>
    </row>
    <row r="2170">
      <c r="A2170" s="516"/>
      <c r="B2170" s="518"/>
      <c r="C2170" s="305"/>
      <c r="F2170" s="1384"/>
      <c r="G2170" s="1384"/>
    </row>
    <row r="2171">
      <c r="A2171" s="516"/>
      <c r="B2171" s="518"/>
      <c r="C2171" s="305"/>
      <c r="F2171" s="1384"/>
      <c r="G2171" s="1384"/>
    </row>
    <row r="2172">
      <c r="A2172" s="516"/>
      <c r="B2172" s="518"/>
      <c r="C2172" s="305"/>
      <c r="F2172" s="1384"/>
      <c r="G2172" s="1384"/>
    </row>
    <row r="2173">
      <c r="A2173" s="516"/>
      <c r="B2173" s="518"/>
      <c r="C2173" s="305"/>
      <c r="F2173" s="1384"/>
      <c r="G2173" s="1384"/>
    </row>
    <row r="2174">
      <c r="A2174" s="516"/>
      <c r="B2174" s="518"/>
      <c r="C2174" s="305"/>
      <c r="F2174" s="1384"/>
      <c r="G2174" s="1384"/>
    </row>
    <row r="2175">
      <c r="A2175" s="516"/>
      <c r="B2175" s="518"/>
      <c r="C2175" s="305"/>
      <c r="F2175" s="1384"/>
      <c r="G2175" s="1384"/>
    </row>
    <row r="2176">
      <c r="A2176" s="516"/>
      <c r="B2176" s="518"/>
      <c r="C2176" s="305"/>
      <c r="F2176" s="1384"/>
      <c r="G2176" s="1384"/>
    </row>
    <row r="2177">
      <c r="A2177" s="516"/>
      <c r="B2177" s="518"/>
      <c r="C2177" s="305"/>
      <c r="F2177" s="1384"/>
      <c r="G2177" s="1384"/>
    </row>
    <row r="2178">
      <c r="A2178" s="516"/>
      <c r="B2178" s="518"/>
      <c r="C2178" s="305"/>
      <c r="F2178" s="1384"/>
      <c r="G2178" s="1384"/>
    </row>
    <row r="2179">
      <c r="A2179" s="516"/>
      <c r="B2179" s="518"/>
      <c r="C2179" s="305"/>
      <c r="F2179" s="1384"/>
      <c r="G2179" s="1384"/>
    </row>
    <row r="2180">
      <c r="A2180" s="516"/>
      <c r="B2180" s="518"/>
      <c r="C2180" s="305"/>
      <c r="F2180" s="1384"/>
      <c r="G2180" s="1384"/>
    </row>
    <row r="2181">
      <c r="A2181" s="516"/>
      <c r="B2181" s="518"/>
      <c r="C2181" s="305"/>
      <c r="F2181" s="1384"/>
      <c r="G2181" s="1384"/>
    </row>
    <row r="2182">
      <c r="A2182" s="516"/>
      <c r="B2182" s="518"/>
      <c r="C2182" s="305"/>
      <c r="F2182" s="1384"/>
      <c r="G2182" s="1384"/>
    </row>
    <row r="2183">
      <c r="A2183" s="516"/>
      <c r="B2183" s="518"/>
      <c r="C2183" s="305"/>
      <c r="F2183" s="1384"/>
      <c r="G2183" s="1384"/>
    </row>
    <row r="2184">
      <c r="A2184" s="516"/>
      <c r="B2184" s="518"/>
      <c r="C2184" s="305"/>
      <c r="F2184" s="1384"/>
      <c r="G2184" s="1384"/>
    </row>
    <row r="2185">
      <c r="A2185" s="516"/>
      <c r="B2185" s="518"/>
      <c r="C2185" s="305"/>
      <c r="F2185" s="1384"/>
      <c r="G2185" s="1384"/>
    </row>
    <row r="2186">
      <c r="A2186" s="516"/>
      <c r="B2186" s="518"/>
      <c r="C2186" s="305"/>
      <c r="F2186" s="1384"/>
      <c r="G2186" s="1384"/>
    </row>
    <row r="2187">
      <c r="A2187" s="516"/>
      <c r="B2187" s="518"/>
      <c r="C2187" s="305"/>
      <c r="F2187" s="1384"/>
      <c r="G2187" s="1384"/>
    </row>
    <row r="2188">
      <c r="A2188" s="516"/>
      <c r="B2188" s="518"/>
      <c r="C2188" s="305"/>
      <c r="F2188" s="1384"/>
      <c r="G2188" s="1384"/>
    </row>
    <row r="2189">
      <c r="A2189" s="516"/>
      <c r="B2189" s="518"/>
      <c r="C2189" s="305"/>
      <c r="F2189" s="1384"/>
      <c r="G2189" s="1384"/>
    </row>
    <row r="2190">
      <c r="A2190" s="516"/>
      <c r="B2190" s="518"/>
      <c r="C2190" s="305"/>
      <c r="F2190" s="1384"/>
      <c r="G2190" s="1384"/>
    </row>
    <row r="2191">
      <c r="A2191" s="516"/>
      <c r="B2191" s="518"/>
      <c r="C2191" s="305"/>
      <c r="F2191" s="1384"/>
      <c r="G2191" s="1384"/>
    </row>
    <row r="2192">
      <c r="A2192" s="516"/>
      <c r="B2192" s="518"/>
      <c r="C2192" s="305"/>
      <c r="F2192" s="1384"/>
      <c r="G2192" s="1384"/>
    </row>
    <row r="2193">
      <c r="A2193" s="516"/>
      <c r="B2193" s="518"/>
      <c r="C2193" s="305"/>
      <c r="F2193" s="1384"/>
      <c r="G2193" s="1384"/>
    </row>
    <row r="2194">
      <c r="A2194" s="516"/>
      <c r="B2194" s="518"/>
      <c r="C2194" s="305"/>
      <c r="F2194" s="1384"/>
      <c r="G2194" s="1384"/>
    </row>
    <row r="2195">
      <c r="A2195" s="516"/>
      <c r="B2195" s="518"/>
      <c r="C2195" s="305"/>
      <c r="F2195" s="1384"/>
      <c r="G2195" s="1384"/>
    </row>
    <row r="2196">
      <c r="A2196" s="516"/>
      <c r="B2196" s="518"/>
      <c r="C2196" s="305"/>
      <c r="F2196" s="1384"/>
      <c r="G2196" s="1384"/>
    </row>
    <row r="2197">
      <c r="A2197" s="516"/>
      <c r="B2197" s="518"/>
      <c r="C2197" s="305"/>
      <c r="F2197" s="1384"/>
      <c r="G2197" s="1384"/>
    </row>
    <row r="2198">
      <c r="A2198" s="516"/>
      <c r="B2198" s="518"/>
      <c r="C2198" s="305"/>
      <c r="F2198" s="1384"/>
      <c r="G2198" s="1384"/>
    </row>
    <row r="2199">
      <c r="A2199" s="516"/>
      <c r="B2199" s="518"/>
      <c r="C2199" s="305"/>
      <c r="F2199" s="1384"/>
      <c r="G2199" s="1384"/>
    </row>
    <row r="2200">
      <c r="A2200" s="516"/>
      <c r="B2200" s="518"/>
      <c r="C2200" s="305"/>
      <c r="F2200" s="1384"/>
      <c r="G2200" s="1384"/>
    </row>
    <row r="2201">
      <c r="A2201" s="516"/>
      <c r="B2201" s="518"/>
      <c r="C2201" s="305"/>
      <c r="F2201" s="1384"/>
      <c r="G2201" s="1384"/>
    </row>
    <row r="2202">
      <c r="A2202" s="516"/>
      <c r="B2202" s="518"/>
      <c r="C2202" s="305"/>
      <c r="F2202" s="1384"/>
      <c r="G2202" s="1384"/>
    </row>
    <row r="2203">
      <c r="A2203" s="516"/>
      <c r="B2203" s="518"/>
      <c r="C2203" s="305"/>
      <c r="F2203" s="1384"/>
      <c r="G2203" s="1384"/>
    </row>
    <row r="2204">
      <c r="A2204" s="516"/>
      <c r="B2204" s="518"/>
      <c r="C2204" s="305"/>
      <c r="F2204" s="1384"/>
      <c r="G2204" s="1384"/>
    </row>
    <row r="2205">
      <c r="A2205" s="516"/>
      <c r="B2205" s="518"/>
      <c r="C2205" s="305"/>
      <c r="F2205" s="1384"/>
      <c r="G2205" s="1384"/>
    </row>
    <row r="2206">
      <c r="A2206" s="516"/>
      <c r="B2206" s="518"/>
      <c r="C2206" s="305"/>
      <c r="F2206" s="1384"/>
      <c r="G2206" s="1384"/>
    </row>
    <row r="2207">
      <c r="A2207" s="516"/>
      <c r="B2207" s="518"/>
      <c r="C2207" s="305"/>
      <c r="F2207" s="1384"/>
      <c r="G2207" s="1384"/>
    </row>
    <row r="2208">
      <c r="A2208" s="516"/>
      <c r="B2208" s="518"/>
      <c r="C2208" s="305"/>
      <c r="F2208" s="1384"/>
      <c r="G2208" s="1384"/>
    </row>
    <row r="2209">
      <c r="A2209" s="516"/>
      <c r="B2209" s="518"/>
      <c r="C2209" s="305"/>
      <c r="F2209" s="1384"/>
      <c r="G2209" s="1384"/>
    </row>
    <row r="2210">
      <c r="A2210" s="516"/>
      <c r="B2210" s="518"/>
      <c r="C2210" s="305"/>
      <c r="F2210" s="1384"/>
      <c r="G2210" s="1384"/>
    </row>
    <row r="2211">
      <c r="A2211" s="516"/>
      <c r="B2211" s="518"/>
      <c r="C2211" s="305"/>
      <c r="F2211" s="1384"/>
      <c r="G2211" s="1384"/>
    </row>
    <row r="2212">
      <c r="A2212" s="516"/>
      <c r="B2212" s="518"/>
      <c r="C2212" s="305"/>
      <c r="F2212" s="1384"/>
      <c r="G2212" s="1384"/>
    </row>
    <row r="2213">
      <c r="A2213" s="516"/>
      <c r="B2213" s="518"/>
      <c r="C2213" s="305"/>
      <c r="F2213" s="1384"/>
      <c r="G2213" s="1384"/>
    </row>
    <row r="2214">
      <c r="A2214" s="516"/>
      <c r="B2214" s="518"/>
      <c r="C2214" s="305"/>
      <c r="F2214" s="1384"/>
      <c r="G2214" s="1384"/>
    </row>
    <row r="2215">
      <c r="A2215" s="516"/>
      <c r="B2215" s="518"/>
      <c r="C2215" s="305"/>
      <c r="F2215" s="1384"/>
      <c r="G2215" s="1384"/>
    </row>
    <row r="2216">
      <c r="A2216" s="516"/>
      <c r="B2216" s="518"/>
      <c r="C2216" s="305"/>
      <c r="F2216" s="1384"/>
      <c r="G2216" s="1384"/>
    </row>
    <row r="2217">
      <c r="A2217" s="516"/>
      <c r="B2217" s="518"/>
      <c r="C2217" s="305"/>
      <c r="F2217" s="1384"/>
      <c r="G2217" s="1384"/>
    </row>
    <row r="2218">
      <c r="A2218" s="516"/>
      <c r="B2218" s="518"/>
      <c r="C2218" s="305"/>
      <c r="F2218" s="1384"/>
      <c r="G2218" s="1384"/>
    </row>
    <row r="2219">
      <c r="A2219" s="516"/>
      <c r="B2219" s="518"/>
      <c r="C2219" s="305"/>
      <c r="F2219" s="1384"/>
      <c r="G2219" s="1384"/>
    </row>
    <row r="2220">
      <c r="A2220" s="516"/>
      <c r="B2220" s="518"/>
      <c r="C2220" s="305"/>
      <c r="F2220" s="1384"/>
      <c r="G2220" s="1384"/>
    </row>
    <row r="2221">
      <c r="A2221" s="516"/>
      <c r="B2221" s="518"/>
      <c r="C2221" s="305"/>
      <c r="F2221" s="1384"/>
      <c r="G2221" s="1384"/>
    </row>
    <row r="2222">
      <c r="A2222" s="516"/>
      <c r="B2222" s="518"/>
      <c r="C2222" s="305"/>
      <c r="F2222" s="1384"/>
      <c r="G2222" s="1384"/>
    </row>
    <row r="2223">
      <c r="A2223" s="516"/>
      <c r="B2223" s="518"/>
      <c r="C2223" s="305"/>
      <c r="F2223" s="1384"/>
      <c r="G2223" s="1384"/>
    </row>
    <row r="2224">
      <c r="A2224" s="516"/>
      <c r="B2224" s="518"/>
      <c r="C2224" s="305"/>
      <c r="F2224" s="1384"/>
      <c r="G2224" s="1384"/>
    </row>
    <row r="2225">
      <c r="A2225" s="516"/>
      <c r="B2225" s="518"/>
      <c r="C2225" s="305"/>
      <c r="F2225" s="1384"/>
      <c r="G2225" s="1384"/>
    </row>
    <row r="2226">
      <c r="A2226" s="516"/>
      <c r="B2226" s="518"/>
      <c r="C2226" s="305"/>
      <c r="F2226" s="1384"/>
      <c r="G2226" s="1384"/>
    </row>
    <row r="2227">
      <c r="A2227" s="516"/>
      <c r="B2227" s="518"/>
      <c r="C2227" s="305"/>
      <c r="F2227" s="1384"/>
      <c r="G2227" s="1384"/>
    </row>
    <row r="2228">
      <c r="A2228" s="516"/>
      <c r="B2228" s="518"/>
      <c r="C2228" s="305"/>
      <c r="F2228" s="1384"/>
      <c r="G2228" s="1384"/>
    </row>
    <row r="2229">
      <c r="A2229" s="516"/>
      <c r="B2229" s="518"/>
      <c r="C2229" s="305"/>
      <c r="F2229" s="1384"/>
      <c r="G2229" s="1384"/>
    </row>
    <row r="2230">
      <c r="A2230" s="516"/>
      <c r="B2230" s="518"/>
      <c r="C2230" s="305"/>
      <c r="F2230" s="1384"/>
      <c r="G2230" s="1384"/>
    </row>
    <row r="2231">
      <c r="A2231" s="516"/>
      <c r="B2231" s="518"/>
      <c r="C2231" s="305"/>
      <c r="F2231" s="1384"/>
      <c r="G2231" s="1384"/>
    </row>
    <row r="2232">
      <c r="A2232" s="516"/>
      <c r="B2232" s="518"/>
      <c r="C2232" s="305"/>
      <c r="F2232" s="1384"/>
      <c r="G2232" s="1384"/>
    </row>
    <row r="2233">
      <c r="A2233" s="516"/>
      <c r="B2233" s="518"/>
      <c r="C2233" s="305"/>
      <c r="F2233" s="1384"/>
      <c r="G2233" s="1384"/>
    </row>
    <row r="2234">
      <c r="A2234" s="516"/>
      <c r="B2234" s="518"/>
      <c r="C2234" s="305"/>
      <c r="F2234" s="1384"/>
      <c r="G2234" s="1384"/>
    </row>
    <row r="2235">
      <c r="A2235" s="516"/>
      <c r="B2235" s="518"/>
      <c r="C2235" s="305"/>
      <c r="F2235" s="1384"/>
      <c r="G2235" s="1384"/>
    </row>
    <row r="2236">
      <c r="A2236" s="516"/>
      <c r="B2236" s="518"/>
      <c r="C2236" s="305"/>
      <c r="F2236" s="1384"/>
      <c r="G2236" s="1384"/>
    </row>
    <row r="2237">
      <c r="A2237" s="516"/>
      <c r="B2237" s="518"/>
      <c r="C2237" s="305"/>
      <c r="F2237" s="1384"/>
      <c r="G2237" s="1384"/>
    </row>
    <row r="2238">
      <c r="A2238" s="516"/>
      <c r="B2238" s="518"/>
      <c r="C2238" s="305"/>
      <c r="F2238" s="1384"/>
      <c r="G2238" s="1384"/>
    </row>
    <row r="2239">
      <c r="A2239" s="516"/>
      <c r="B2239" s="518"/>
      <c r="C2239" s="305"/>
      <c r="F2239" s="1384"/>
      <c r="G2239" s="1384"/>
    </row>
    <row r="2240">
      <c r="A2240" s="516"/>
      <c r="B2240" s="518"/>
      <c r="C2240" s="305"/>
      <c r="F2240" s="1384"/>
      <c r="G2240" s="1384"/>
    </row>
    <row r="2241">
      <c r="A2241" s="516"/>
      <c r="B2241" s="518"/>
      <c r="C2241" s="305"/>
      <c r="F2241" s="1384"/>
      <c r="G2241" s="1384"/>
    </row>
    <row r="2242">
      <c r="A2242" s="516"/>
      <c r="B2242" s="518"/>
      <c r="C2242" s="305"/>
      <c r="F2242" s="1384"/>
      <c r="G2242" s="1384"/>
    </row>
    <row r="2243">
      <c r="A2243" s="516"/>
      <c r="B2243" s="518"/>
      <c r="C2243" s="305"/>
      <c r="F2243" s="1384"/>
      <c r="G2243" s="1384"/>
    </row>
    <row r="2244">
      <c r="A2244" s="516"/>
      <c r="B2244" s="518"/>
      <c r="C2244" s="305"/>
      <c r="F2244" s="1384"/>
      <c r="G2244" s="1384"/>
    </row>
    <row r="2245">
      <c r="A2245" s="516"/>
      <c r="B2245" s="518"/>
      <c r="C2245" s="305"/>
      <c r="F2245" s="1384"/>
      <c r="G2245" s="1384"/>
    </row>
    <row r="2246">
      <c r="A2246" s="516"/>
      <c r="B2246" s="518"/>
      <c r="C2246" s="305"/>
      <c r="F2246" s="1384"/>
      <c r="G2246" s="1384"/>
    </row>
    <row r="2247">
      <c r="A2247" s="516"/>
      <c r="B2247" s="518"/>
      <c r="C2247" s="305"/>
      <c r="F2247" s="1384"/>
      <c r="G2247" s="1384"/>
    </row>
    <row r="2248">
      <c r="A2248" s="516"/>
      <c r="B2248" s="518"/>
      <c r="C2248" s="305"/>
      <c r="F2248" s="1384"/>
      <c r="G2248" s="1384"/>
    </row>
    <row r="2249">
      <c r="A2249" s="516"/>
      <c r="B2249" s="518"/>
      <c r="C2249" s="305"/>
      <c r="F2249" s="1384"/>
      <c r="G2249" s="1384"/>
    </row>
    <row r="2250">
      <c r="A2250" s="516"/>
      <c r="B2250" s="518"/>
      <c r="C2250" s="305"/>
      <c r="F2250" s="1384"/>
      <c r="G2250" s="1384"/>
    </row>
    <row r="2251">
      <c r="A2251" s="516"/>
      <c r="B2251" s="518"/>
      <c r="C2251" s="305"/>
      <c r="F2251" s="1384"/>
      <c r="G2251" s="1384"/>
    </row>
    <row r="2252">
      <c r="A2252" s="516"/>
      <c r="B2252" s="518"/>
      <c r="C2252" s="305"/>
      <c r="F2252" s="1384"/>
      <c r="G2252" s="1384"/>
    </row>
    <row r="2253">
      <c r="A2253" s="516"/>
      <c r="B2253" s="518"/>
      <c r="C2253" s="305"/>
      <c r="F2253" s="1384"/>
      <c r="G2253" s="1384"/>
    </row>
    <row r="2254">
      <c r="A2254" s="516"/>
      <c r="B2254" s="518"/>
      <c r="C2254" s="305"/>
      <c r="F2254" s="1384"/>
      <c r="G2254" s="1384"/>
    </row>
    <row r="2255">
      <c r="A2255" s="516"/>
      <c r="B2255" s="518"/>
      <c r="C2255" s="305"/>
      <c r="F2255" s="1384"/>
      <c r="G2255" s="1384"/>
    </row>
    <row r="2256">
      <c r="A2256" s="516"/>
      <c r="B2256" s="518"/>
      <c r="C2256" s="305"/>
      <c r="F2256" s="1384"/>
      <c r="G2256" s="1384"/>
    </row>
    <row r="2257">
      <c r="A2257" s="516"/>
      <c r="B2257" s="518"/>
      <c r="C2257" s="305"/>
      <c r="F2257" s="1384"/>
      <c r="G2257" s="1384"/>
    </row>
    <row r="2258">
      <c r="A2258" s="516"/>
      <c r="B2258" s="518"/>
      <c r="C2258" s="305"/>
      <c r="F2258" s="1384"/>
      <c r="G2258" s="1384"/>
    </row>
    <row r="2259">
      <c r="A2259" s="516"/>
      <c r="B2259" s="518"/>
      <c r="C2259" s="305"/>
      <c r="F2259" s="1384"/>
      <c r="G2259" s="1384"/>
    </row>
    <row r="2260">
      <c r="A2260" s="516"/>
      <c r="B2260" s="518"/>
      <c r="C2260" s="305"/>
      <c r="F2260" s="1384"/>
      <c r="G2260" s="1384"/>
    </row>
    <row r="2261">
      <c r="A2261" s="516"/>
      <c r="B2261" s="518"/>
      <c r="C2261" s="305"/>
      <c r="F2261" s="1384"/>
      <c r="G2261" s="1384"/>
    </row>
    <row r="2262">
      <c r="A2262" s="516"/>
      <c r="B2262" s="518"/>
      <c r="C2262" s="305"/>
      <c r="F2262" s="1384"/>
      <c r="G2262" s="1384"/>
    </row>
    <row r="2263">
      <c r="A2263" s="516"/>
      <c r="B2263" s="518"/>
      <c r="C2263" s="305"/>
      <c r="F2263" s="1384"/>
      <c r="G2263" s="1384"/>
    </row>
    <row r="2264">
      <c r="A2264" s="516"/>
      <c r="B2264" s="518"/>
      <c r="C2264" s="305"/>
      <c r="F2264" s="1384"/>
      <c r="G2264" s="1384"/>
    </row>
    <row r="2265">
      <c r="A2265" s="516"/>
      <c r="B2265" s="518"/>
      <c r="C2265" s="305"/>
      <c r="F2265" s="1384"/>
      <c r="G2265" s="1384"/>
    </row>
    <row r="2266">
      <c r="A2266" s="516"/>
      <c r="B2266" s="518"/>
      <c r="C2266" s="305"/>
      <c r="F2266" s="1384"/>
      <c r="G2266" s="1384"/>
    </row>
    <row r="2267">
      <c r="A2267" s="516"/>
      <c r="B2267" s="518"/>
      <c r="C2267" s="305"/>
      <c r="F2267" s="1384"/>
      <c r="G2267" s="1384"/>
    </row>
    <row r="2268">
      <c r="A2268" s="516"/>
      <c r="B2268" s="518"/>
      <c r="C2268" s="305"/>
      <c r="F2268" s="1384"/>
      <c r="G2268" s="1384"/>
    </row>
    <row r="2269">
      <c r="A2269" s="516"/>
      <c r="B2269" s="518"/>
      <c r="C2269" s="305"/>
      <c r="F2269" s="1384"/>
      <c r="G2269" s="1384"/>
    </row>
    <row r="2270">
      <c r="A2270" s="516"/>
      <c r="B2270" s="518"/>
      <c r="C2270" s="305"/>
      <c r="F2270" s="1384"/>
      <c r="G2270" s="1384"/>
    </row>
    <row r="2271">
      <c r="A2271" s="516"/>
      <c r="B2271" s="518"/>
      <c r="C2271" s="305"/>
      <c r="F2271" s="1384"/>
      <c r="G2271" s="1384"/>
    </row>
    <row r="2272">
      <c r="A2272" s="516"/>
      <c r="B2272" s="518"/>
      <c r="C2272" s="305"/>
      <c r="F2272" s="1384"/>
      <c r="G2272" s="1384"/>
    </row>
    <row r="2273">
      <c r="A2273" s="516"/>
      <c r="B2273" s="518"/>
      <c r="C2273" s="305"/>
      <c r="F2273" s="1384"/>
      <c r="G2273" s="1384"/>
    </row>
    <row r="2274">
      <c r="A2274" s="516"/>
      <c r="B2274" s="518"/>
      <c r="C2274" s="305"/>
      <c r="F2274" s="1384"/>
      <c r="G2274" s="1384"/>
    </row>
    <row r="2275">
      <c r="A2275" s="516"/>
      <c r="B2275" s="518"/>
      <c r="C2275" s="305"/>
      <c r="F2275" s="1384"/>
      <c r="G2275" s="1384"/>
    </row>
    <row r="2276">
      <c r="A2276" s="516"/>
      <c r="B2276" s="518"/>
      <c r="C2276" s="305"/>
      <c r="F2276" s="1384"/>
      <c r="G2276" s="1384"/>
    </row>
    <row r="2277">
      <c r="A2277" s="516"/>
      <c r="B2277" s="518"/>
      <c r="C2277" s="305"/>
      <c r="F2277" s="1384"/>
      <c r="G2277" s="1384"/>
    </row>
    <row r="2278">
      <c r="A2278" s="516"/>
      <c r="B2278" s="518"/>
      <c r="C2278" s="305"/>
      <c r="F2278" s="1384"/>
      <c r="G2278" s="1384"/>
    </row>
    <row r="2279">
      <c r="A2279" s="516"/>
      <c r="B2279" s="518"/>
      <c r="C2279" s="305"/>
      <c r="F2279" s="1384"/>
      <c r="G2279" s="1384"/>
    </row>
    <row r="2280">
      <c r="A2280" s="516"/>
      <c r="B2280" s="518"/>
      <c r="C2280" s="305"/>
      <c r="F2280" s="1384"/>
      <c r="G2280" s="1384"/>
    </row>
    <row r="2281">
      <c r="A2281" s="516"/>
      <c r="B2281" s="518"/>
      <c r="C2281" s="305"/>
      <c r="F2281" s="1384"/>
      <c r="G2281" s="1384"/>
    </row>
    <row r="2282">
      <c r="A2282" s="516"/>
      <c r="B2282" s="518"/>
      <c r="C2282" s="305"/>
      <c r="F2282" s="1384"/>
      <c r="G2282" s="1384"/>
    </row>
    <row r="2283">
      <c r="A2283" s="516"/>
      <c r="B2283" s="518"/>
      <c r="C2283" s="305"/>
      <c r="F2283" s="1384"/>
      <c r="G2283" s="1384"/>
    </row>
    <row r="2284">
      <c r="A2284" s="516"/>
      <c r="B2284" s="518"/>
      <c r="C2284" s="305"/>
      <c r="F2284" s="1384"/>
      <c r="G2284" s="1384"/>
    </row>
    <row r="2285">
      <c r="A2285" s="516"/>
      <c r="B2285" s="518"/>
      <c r="C2285" s="305"/>
      <c r="F2285" s="1384"/>
      <c r="G2285" s="1384"/>
    </row>
    <row r="2286">
      <c r="A2286" s="516"/>
      <c r="B2286" s="518"/>
      <c r="C2286" s="305"/>
      <c r="F2286" s="1384"/>
      <c r="G2286" s="1384"/>
    </row>
    <row r="2287">
      <c r="A2287" s="516"/>
      <c r="B2287" s="518"/>
      <c r="C2287" s="305"/>
      <c r="F2287" s="1384"/>
      <c r="G2287" s="1384"/>
    </row>
    <row r="2288">
      <c r="A2288" s="516"/>
      <c r="B2288" s="518"/>
      <c r="C2288" s="305"/>
      <c r="F2288" s="1384"/>
      <c r="G2288" s="1384"/>
    </row>
    <row r="2289">
      <c r="A2289" s="516"/>
      <c r="B2289" s="518"/>
      <c r="C2289" s="305"/>
      <c r="F2289" s="1384"/>
      <c r="G2289" s="1384"/>
    </row>
    <row r="2290">
      <c r="A2290" s="516"/>
      <c r="B2290" s="518"/>
      <c r="C2290" s="305"/>
      <c r="F2290" s="1384"/>
      <c r="G2290" s="1384"/>
    </row>
    <row r="2291">
      <c r="A2291" s="516"/>
      <c r="B2291" s="518"/>
      <c r="C2291" s="305"/>
      <c r="F2291" s="1384"/>
      <c r="G2291" s="1384"/>
    </row>
    <row r="2292">
      <c r="A2292" s="516"/>
      <c r="B2292" s="518"/>
      <c r="C2292" s="305"/>
      <c r="F2292" s="1384"/>
      <c r="G2292" s="1384"/>
    </row>
    <row r="2293">
      <c r="A2293" s="516"/>
      <c r="B2293" s="518"/>
      <c r="C2293" s="305"/>
      <c r="F2293" s="1384"/>
      <c r="G2293" s="1384"/>
    </row>
    <row r="2294">
      <c r="A2294" s="516"/>
      <c r="B2294" s="518"/>
      <c r="C2294" s="305"/>
      <c r="F2294" s="1384"/>
      <c r="G2294" s="1384"/>
    </row>
    <row r="2295">
      <c r="A2295" s="516"/>
      <c r="B2295" s="518"/>
      <c r="C2295" s="305"/>
      <c r="F2295" s="1384"/>
      <c r="G2295" s="1384"/>
    </row>
    <row r="2296">
      <c r="A2296" s="516"/>
      <c r="B2296" s="518"/>
      <c r="C2296" s="305"/>
      <c r="F2296" s="1384"/>
      <c r="G2296" s="1384"/>
    </row>
    <row r="2297">
      <c r="A2297" s="516"/>
      <c r="B2297" s="518"/>
      <c r="C2297" s="305"/>
      <c r="F2297" s="1384"/>
      <c r="G2297" s="1384"/>
    </row>
    <row r="2298">
      <c r="A2298" s="516"/>
      <c r="B2298" s="518"/>
      <c r="C2298" s="305"/>
      <c r="F2298" s="1384"/>
      <c r="G2298" s="1384"/>
    </row>
    <row r="2299">
      <c r="A2299" s="516"/>
      <c r="B2299" s="518"/>
      <c r="C2299" s="305"/>
      <c r="F2299" s="1384"/>
      <c r="G2299" s="1384"/>
    </row>
    <row r="2300">
      <c r="A2300" s="516"/>
      <c r="B2300" s="518"/>
      <c r="C2300" s="305"/>
      <c r="F2300" s="1384"/>
      <c r="G2300" s="1384"/>
    </row>
    <row r="2301">
      <c r="A2301" s="516"/>
      <c r="B2301" s="518"/>
      <c r="C2301" s="305"/>
      <c r="F2301" s="1384"/>
      <c r="G2301" s="1384"/>
    </row>
    <row r="2302">
      <c r="A2302" s="516"/>
      <c r="B2302" s="518"/>
      <c r="C2302" s="305"/>
      <c r="F2302" s="1384"/>
      <c r="G2302" s="1384"/>
    </row>
    <row r="2303">
      <c r="A2303" s="516"/>
      <c r="B2303" s="518"/>
      <c r="C2303" s="305"/>
      <c r="F2303" s="1384"/>
      <c r="G2303" s="1384"/>
    </row>
    <row r="2304">
      <c r="A2304" s="516"/>
      <c r="B2304" s="518"/>
      <c r="C2304" s="305"/>
      <c r="F2304" s="1384"/>
      <c r="G2304" s="1384"/>
    </row>
    <row r="2305">
      <c r="A2305" s="516"/>
      <c r="B2305" s="518"/>
      <c r="C2305" s="305"/>
      <c r="F2305" s="1384"/>
      <c r="G2305" s="1384"/>
    </row>
    <row r="2306">
      <c r="A2306" s="516"/>
      <c r="B2306" s="518"/>
      <c r="C2306" s="305"/>
      <c r="F2306" s="1384"/>
      <c r="G2306" s="1384"/>
    </row>
    <row r="2307">
      <c r="A2307" s="516"/>
      <c r="B2307" s="518"/>
      <c r="C2307" s="305"/>
      <c r="F2307" s="1384"/>
      <c r="G2307" s="1384"/>
    </row>
    <row r="2308">
      <c r="A2308" s="516"/>
      <c r="B2308" s="518"/>
      <c r="C2308" s="305"/>
      <c r="F2308" s="1384"/>
      <c r="G2308" s="1384"/>
    </row>
    <row r="2309">
      <c r="A2309" s="516"/>
      <c r="B2309" s="518"/>
      <c r="C2309" s="305"/>
      <c r="F2309" s="1384"/>
      <c r="G2309" s="1384"/>
    </row>
    <row r="2310">
      <c r="A2310" s="516"/>
      <c r="B2310" s="518"/>
      <c r="C2310" s="305"/>
      <c r="F2310" s="1384"/>
      <c r="G2310" s="1384"/>
    </row>
    <row r="2311">
      <c r="A2311" s="516"/>
      <c r="B2311" s="518"/>
      <c r="C2311" s="305"/>
      <c r="F2311" s="1384"/>
      <c r="G2311" s="1384"/>
    </row>
    <row r="2312">
      <c r="A2312" s="516"/>
      <c r="B2312" s="518"/>
      <c r="C2312" s="305"/>
      <c r="F2312" s="1384"/>
      <c r="G2312" s="1384"/>
    </row>
    <row r="2313">
      <c r="A2313" s="516"/>
      <c r="B2313" s="518"/>
      <c r="C2313" s="305"/>
      <c r="F2313" s="1384"/>
      <c r="G2313" s="1384"/>
    </row>
    <row r="2314">
      <c r="A2314" s="516"/>
      <c r="B2314" s="518"/>
      <c r="C2314" s="305"/>
      <c r="F2314" s="1384"/>
      <c r="G2314" s="1384"/>
    </row>
    <row r="2315">
      <c r="A2315" s="516"/>
      <c r="B2315" s="518"/>
      <c r="C2315" s="305"/>
      <c r="F2315" s="1384"/>
      <c r="G2315" s="1384"/>
    </row>
    <row r="2316">
      <c r="A2316" s="516"/>
      <c r="B2316" s="518"/>
      <c r="C2316" s="305"/>
      <c r="F2316" s="1384"/>
      <c r="G2316" s="1384"/>
    </row>
    <row r="2317">
      <c r="A2317" s="516"/>
      <c r="B2317" s="518"/>
      <c r="C2317" s="305"/>
      <c r="F2317" s="1384"/>
      <c r="G2317" s="1384"/>
    </row>
    <row r="2318">
      <c r="A2318" s="516"/>
      <c r="B2318" s="518"/>
      <c r="C2318" s="305"/>
      <c r="F2318" s="1384"/>
      <c r="G2318" s="1384"/>
    </row>
    <row r="2319">
      <c r="A2319" s="516"/>
      <c r="B2319" s="518"/>
      <c r="C2319" s="305"/>
      <c r="F2319" s="1384"/>
      <c r="G2319" s="1384"/>
    </row>
    <row r="2320">
      <c r="A2320" s="516"/>
      <c r="B2320" s="518"/>
      <c r="C2320" s="305"/>
      <c r="F2320" s="1384"/>
      <c r="G2320" s="1384"/>
    </row>
    <row r="2321">
      <c r="A2321" s="516"/>
      <c r="B2321" s="518"/>
      <c r="C2321" s="305"/>
      <c r="F2321" s="1384"/>
      <c r="G2321" s="1384"/>
    </row>
    <row r="2322">
      <c r="A2322" s="516"/>
      <c r="B2322" s="518"/>
      <c r="C2322" s="305"/>
      <c r="F2322" s="1384"/>
      <c r="G2322" s="1384"/>
    </row>
    <row r="2323">
      <c r="A2323" s="516"/>
      <c r="B2323" s="518"/>
      <c r="C2323" s="305"/>
      <c r="F2323" s="1384"/>
      <c r="G2323" s="1384"/>
    </row>
    <row r="2324">
      <c r="A2324" s="516"/>
      <c r="B2324" s="518"/>
      <c r="C2324" s="305"/>
      <c r="F2324" s="1384"/>
      <c r="G2324" s="1384"/>
    </row>
    <row r="2325">
      <c r="A2325" s="516"/>
      <c r="B2325" s="518"/>
      <c r="C2325" s="305"/>
      <c r="F2325" s="1384"/>
      <c r="G2325" s="1384"/>
    </row>
    <row r="2326">
      <c r="A2326" s="516"/>
      <c r="B2326" s="518"/>
      <c r="C2326" s="305"/>
      <c r="F2326" s="1384"/>
      <c r="G2326" s="1384"/>
    </row>
    <row r="2327">
      <c r="A2327" s="516"/>
      <c r="B2327" s="518"/>
      <c r="C2327" s="305"/>
      <c r="F2327" s="1384"/>
      <c r="G2327" s="1384"/>
    </row>
    <row r="2328">
      <c r="A2328" s="516"/>
      <c r="B2328" s="518"/>
      <c r="C2328" s="305"/>
      <c r="F2328" s="1384"/>
      <c r="G2328" s="1384"/>
    </row>
    <row r="2329">
      <c r="A2329" s="516"/>
      <c r="B2329" s="518"/>
      <c r="C2329" s="305"/>
      <c r="F2329" s="1384"/>
      <c r="G2329" s="1384"/>
    </row>
    <row r="2330">
      <c r="A2330" s="516"/>
      <c r="B2330" s="518"/>
      <c r="C2330" s="305"/>
      <c r="F2330" s="1384"/>
      <c r="G2330" s="1384"/>
    </row>
    <row r="2331">
      <c r="A2331" s="516"/>
      <c r="B2331" s="518"/>
      <c r="C2331" s="305"/>
      <c r="F2331" s="1384"/>
      <c r="G2331" s="1384"/>
    </row>
    <row r="2332">
      <c r="A2332" s="516"/>
      <c r="B2332" s="518"/>
      <c r="C2332" s="305"/>
      <c r="F2332" s="1384"/>
      <c r="G2332" s="1384"/>
    </row>
    <row r="2333">
      <c r="A2333" s="516"/>
      <c r="B2333" s="518"/>
      <c r="C2333" s="305"/>
      <c r="F2333" s="1384"/>
      <c r="G2333" s="1384"/>
    </row>
    <row r="2334">
      <c r="A2334" s="516"/>
      <c r="B2334" s="518"/>
      <c r="C2334" s="305"/>
      <c r="F2334" s="1384"/>
      <c r="G2334" s="1384"/>
    </row>
    <row r="2335">
      <c r="A2335" s="516"/>
      <c r="B2335" s="518"/>
      <c r="C2335" s="305"/>
      <c r="F2335" s="1384"/>
      <c r="G2335" s="1384"/>
    </row>
    <row r="2336">
      <c r="A2336" s="516"/>
      <c r="B2336" s="518"/>
      <c r="C2336" s="305"/>
      <c r="F2336" s="1384"/>
      <c r="G2336" s="1384"/>
    </row>
    <row r="2337">
      <c r="A2337" s="516"/>
      <c r="B2337" s="518"/>
      <c r="C2337" s="305"/>
      <c r="F2337" s="1384"/>
      <c r="G2337" s="1384"/>
    </row>
    <row r="2338">
      <c r="A2338" s="516"/>
      <c r="B2338" s="518"/>
      <c r="C2338" s="305"/>
      <c r="F2338" s="1384"/>
      <c r="G2338" s="1384"/>
    </row>
    <row r="2339">
      <c r="A2339" s="516"/>
      <c r="B2339" s="518"/>
      <c r="C2339" s="305"/>
      <c r="F2339" s="1384"/>
      <c r="G2339" s="1384"/>
    </row>
    <row r="2340">
      <c r="A2340" s="516"/>
      <c r="B2340" s="518"/>
      <c r="C2340" s="305"/>
      <c r="F2340" s="1384"/>
      <c r="G2340" s="1384"/>
    </row>
    <row r="2341">
      <c r="A2341" s="516"/>
      <c r="B2341" s="518"/>
      <c r="C2341" s="305"/>
      <c r="F2341" s="1384"/>
      <c r="G2341" s="1384"/>
    </row>
    <row r="2342">
      <c r="A2342" s="516"/>
      <c r="B2342" s="518"/>
      <c r="C2342" s="305"/>
      <c r="F2342" s="1384"/>
      <c r="G2342" s="1384"/>
    </row>
    <row r="2343">
      <c r="A2343" s="516"/>
      <c r="B2343" s="518"/>
      <c r="C2343" s="305"/>
      <c r="F2343" s="1384"/>
      <c r="G2343" s="1384"/>
    </row>
    <row r="2344">
      <c r="A2344" s="516"/>
      <c r="B2344" s="518"/>
      <c r="C2344" s="305"/>
      <c r="F2344" s="1384"/>
      <c r="G2344" s="1384"/>
    </row>
    <row r="2345">
      <c r="A2345" s="516"/>
      <c r="B2345" s="518"/>
      <c r="C2345" s="305"/>
      <c r="F2345" s="1384"/>
      <c r="G2345" s="1384"/>
    </row>
    <row r="2346">
      <c r="A2346" s="516"/>
      <c r="B2346" s="518"/>
      <c r="C2346" s="305"/>
      <c r="F2346" s="1384"/>
      <c r="G2346" s="1384"/>
    </row>
    <row r="2347">
      <c r="A2347" s="516"/>
      <c r="B2347" s="518"/>
      <c r="C2347" s="305"/>
      <c r="F2347" s="1384"/>
      <c r="G2347" s="1384"/>
    </row>
    <row r="2348">
      <c r="A2348" s="516"/>
      <c r="B2348" s="518"/>
      <c r="C2348" s="305"/>
      <c r="F2348" s="1384"/>
      <c r="G2348" s="1384"/>
    </row>
    <row r="2349">
      <c r="A2349" s="516"/>
      <c r="B2349" s="518"/>
      <c r="C2349" s="305"/>
      <c r="F2349" s="1384"/>
      <c r="G2349" s="1384"/>
    </row>
    <row r="2350">
      <c r="A2350" s="516"/>
      <c r="B2350" s="518"/>
      <c r="C2350" s="305"/>
      <c r="F2350" s="1384"/>
      <c r="G2350" s="1384"/>
    </row>
    <row r="2351">
      <c r="A2351" s="516"/>
      <c r="B2351" s="518"/>
      <c r="C2351" s="305"/>
      <c r="F2351" s="1384"/>
      <c r="G2351" s="1384"/>
    </row>
    <row r="2352">
      <c r="A2352" s="516"/>
      <c r="B2352" s="518"/>
      <c r="C2352" s="305"/>
      <c r="F2352" s="1384"/>
      <c r="G2352" s="1384"/>
    </row>
    <row r="2353">
      <c r="A2353" s="516"/>
      <c r="B2353" s="518"/>
      <c r="C2353" s="305"/>
      <c r="F2353" s="1384"/>
      <c r="G2353" s="1384"/>
    </row>
    <row r="2354">
      <c r="A2354" s="516"/>
      <c r="B2354" s="518"/>
      <c r="C2354" s="305"/>
      <c r="F2354" s="1384"/>
      <c r="G2354" s="1384"/>
    </row>
    <row r="2355">
      <c r="A2355" s="516"/>
      <c r="B2355" s="518"/>
      <c r="C2355" s="305"/>
      <c r="F2355" s="1384"/>
      <c r="G2355" s="1384"/>
    </row>
    <row r="2356">
      <c r="A2356" s="516"/>
      <c r="B2356" s="518"/>
      <c r="C2356" s="305"/>
      <c r="F2356" s="1384"/>
      <c r="G2356" s="1384"/>
    </row>
    <row r="2357">
      <c r="A2357" s="516"/>
      <c r="B2357" s="518"/>
      <c r="C2357" s="305"/>
      <c r="F2357" s="1384"/>
      <c r="G2357" s="1384"/>
    </row>
    <row r="2358">
      <c r="A2358" s="516"/>
      <c r="B2358" s="518"/>
      <c r="C2358" s="305"/>
      <c r="F2358" s="1384"/>
      <c r="G2358" s="1384"/>
    </row>
    <row r="2359">
      <c r="A2359" s="516"/>
      <c r="B2359" s="518"/>
      <c r="C2359" s="305"/>
      <c r="F2359" s="1384"/>
      <c r="G2359" s="1384"/>
    </row>
    <row r="2360">
      <c r="A2360" s="516"/>
      <c r="B2360" s="518"/>
      <c r="C2360" s="305"/>
      <c r="F2360" s="1384"/>
      <c r="G2360" s="1384"/>
    </row>
    <row r="2361">
      <c r="A2361" s="516"/>
      <c r="B2361" s="518"/>
      <c r="C2361" s="305"/>
      <c r="F2361" s="1384"/>
      <c r="G2361" s="1384"/>
    </row>
    <row r="2362">
      <c r="A2362" s="516"/>
      <c r="B2362" s="518"/>
      <c r="C2362" s="305"/>
      <c r="F2362" s="1384"/>
      <c r="G2362" s="1384"/>
    </row>
    <row r="2363">
      <c r="A2363" s="516"/>
      <c r="B2363" s="518"/>
      <c r="C2363" s="305"/>
      <c r="F2363" s="1384"/>
      <c r="G2363" s="1384"/>
    </row>
    <row r="2364">
      <c r="A2364" s="516"/>
      <c r="B2364" s="518"/>
      <c r="C2364" s="305"/>
      <c r="F2364" s="1384"/>
      <c r="G2364" s="1384"/>
    </row>
    <row r="2365">
      <c r="A2365" s="516"/>
      <c r="B2365" s="518"/>
      <c r="C2365" s="305"/>
      <c r="F2365" s="1384"/>
      <c r="G2365" s="1384"/>
    </row>
    <row r="2366">
      <c r="A2366" s="516"/>
      <c r="B2366" s="518"/>
      <c r="C2366" s="305"/>
      <c r="F2366" s="1384"/>
      <c r="G2366" s="1384"/>
    </row>
    <row r="2367">
      <c r="A2367" s="516"/>
      <c r="B2367" s="518"/>
      <c r="C2367" s="305"/>
      <c r="F2367" s="1384"/>
      <c r="G2367" s="1384"/>
    </row>
    <row r="2368">
      <c r="A2368" s="516"/>
      <c r="B2368" s="518"/>
      <c r="C2368" s="305"/>
      <c r="F2368" s="1384"/>
      <c r="G2368" s="1384"/>
    </row>
    <row r="2369">
      <c r="A2369" s="516"/>
      <c r="B2369" s="518"/>
      <c r="C2369" s="305"/>
      <c r="F2369" s="1384"/>
      <c r="G2369" s="1384"/>
    </row>
    <row r="2370">
      <c r="A2370" s="516"/>
      <c r="B2370" s="518"/>
      <c r="C2370" s="305"/>
      <c r="F2370" s="1384"/>
      <c r="G2370" s="1384"/>
    </row>
    <row r="2371">
      <c r="A2371" s="516"/>
      <c r="B2371" s="518"/>
      <c r="C2371" s="305"/>
      <c r="F2371" s="1384"/>
      <c r="G2371" s="1384"/>
    </row>
    <row r="2372">
      <c r="A2372" s="516"/>
      <c r="B2372" s="518"/>
      <c r="C2372" s="305"/>
      <c r="F2372" s="1384"/>
      <c r="G2372" s="1384"/>
    </row>
    <row r="2373">
      <c r="A2373" s="516"/>
      <c r="B2373" s="518"/>
      <c r="C2373" s="305"/>
      <c r="F2373" s="1384"/>
      <c r="G2373" s="1384"/>
    </row>
    <row r="2374">
      <c r="A2374" s="516"/>
      <c r="B2374" s="518"/>
      <c r="C2374" s="305"/>
      <c r="F2374" s="1384"/>
      <c r="G2374" s="1384"/>
    </row>
    <row r="2375">
      <c r="A2375" s="516"/>
      <c r="B2375" s="518"/>
      <c r="C2375" s="305"/>
      <c r="F2375" s="1384"/>
      <c r="G2375" s="1384"/>
    </row>
    <row r="2376">
      <c r="A2376" s="516"/>
      <c r="B2376" s="518"/>
      <c r="C2376" s="305"/>
      <c r="F2376" s="1384"/>
      <c r="G2376" s="1384"/>
    </row>
    <row r="2377">
      <c r="A2377" s="516"/>
      <c r="B2377" s="518"/>
      <c r="C2377" s="305"/>
      <c r="F2377" s="1384"/>
      <c r="G2377" s="1384"/>
    </row>
    <row r="2378">
      <c r="A2378" s="516"/>
      <c r="B2378" s="518"/>
      <c r="C2378" s="305"/>
      <c r="F2378" s="1384"/>
      <c r="G2378" s="1384"/>
    </row>
    <row r="2379">
      <c r="A2379" s="516"/>
      <c r="B2379" s="518"/>
      <c r="C2379" s="305"/>
      <c r="F2379" s="1384"/>
      <c r="G2379" s="1384"/>
    </row>
    <row r="2380">
      <c r="A2380" s="516"/>
      <c r="B2380" s="518"/>
      <c r="C2380" s="305"/>
      <c r="F2380" s="1384"/>
      <c r="G2380" s="1384"/>
    </row>
    <row r="2381">
      <c r="A2381" s="516"/>
      <c r="B2381" s="518"/>
      <c r="C2381" s="305"/>
      <c r="F2381" s="1384"/>
      <c r="G2381" s="1384"/>
    </row>
    <row r="2382">
      <c r="A2382" s="516"/>
      <c r="B2382" s="518"/>
      <c r="C2382" s="305"/>
      <c r="F2382" s="1384"/>
      <c r="G2382" s="1384"/>
    </row>
    <row r="2383">
      <c r="A2383" s="516"/>
      <c r="B2383" s="518"/>
      <c r="C2383" s="305"/>
      <c r="F2383" s="1384"/>
      <c r="G2383" s="1384"/>
    </row>
    <row r="2384">
      <c r="A2384" s="516"/>
      <c r="B2384" s="518"/>
      <c r="C2384" s="305"/>
      <c r="F2384" s="1384"/>
      <c r="G2384" s="1384"/>
    </row>
    <row r="2385">
      <c r="A2385" s="516"/>
      <c r="B2385" s="518"/>
      <c r="C2385" s="305"/>
      <c r="F2385" s="1384"/>
      <c r="G2385" s="1384"/>
    </row>
    <row r="2386">
      <c r="A2386" s="516"/>
      <c r="B2386" s="518"/>
      <c r="C2386" s="305"/>
      <c r="F2386" s="1384"/>
      <c r="G2386" s="1384"/>
    </row>
    <row r="2387">
      <c r="A2387" s="516"/>
      <c r="B2387" s="518"/>
      <c r="C2387" s="305"/>
      <c r="F2387" s="1384"/>
      <c r="G2387" s="1384"/>
    </row>
    <row r="2388">
      <c r="A2388" s="516"/>
      <c r="B2388" s="518"/>
      <c r="C2388" s="305"/>
      <c r="F2388" s="1384"/>
      <c r="G2388" s="1384"/>
    </row>
    <row r="2389">
      <c r="A2389" s="516"/>
      <c r="B2389" s="518"/>
      <c r="C2389" s="305"/>
      <c r="F2389" s="1384"/>
      <c r="G2389" s="1384"/>
    </row>
    <row r="2390">
      <c r="A2390" s="516"/>
      <c r="B2390" s="518"/>
      <c r="C2390" s="305"/>
      <c r="F2390" s="1384"/>
      <c r="G2390" s="1384"/>
    </row>
    <row r="2391">
      <c r="A2391" s="516"/>
      <c r="B2391" s="518"/>
      <c r="C2391" s="305"/>
      <c r="F2391" s="1384"/>
      <c r="G2391" s="1384"/>
    </row>
    <row r="2392">
      <c r="A2392" s="516"/>
      <c r="B2392" s="518"/>
      <c r="C2392" s="305"/>
      <c r="F2392" s="1384"/>
      <c r="G2392" s="1384"/>
    </row>
    <row r="2393">
      <c r="A2393" s="516"/>
      <c r="B2393" s="518"/>
      <c r="C2393" s="305"/>
      <c r="F2393" s="1384"/>
      <c r="G2393" s="1384"/>
    </row>
    <row r="2394">
      <c r="A2394" s="516"/>
      <c r="B2394" s="518"/>
      <c r="C2394" s="305"/>
      <c r="F2394" s="1384"/>
      <c r="G2394" s="1384"/>
    </row>
    <row r="2395">
      <c r="A2395" s="516"/>
      <c r="B2395" s="518"/>
      <c r="C2395" s="305"/>
      <c r="F2395" s="1384"/>
      <c r="G2395" s="1384"/>
    </row>
    <row r="2396">
      <c r="A2396" s="516"/>
      <c r="B2396" s="518"/>
      <c r="C2396" s="305"/>
      <c r="F2396" s="1384"/>
      <c r="G2396" s="1384"/>
    </row>
    <row r="2397">
      <c r="A2397" s="516"/>
      <c r="B2397" s="518"/>
      <c r="C2397" s="305"/>
      <c r="F2397" s="1384"/>
      <c r="G2397" s="1384"/>
    </row>
    <row r="2398">
      <c r="A2398" s="516"/>
      <c r="B2398" s="518"/>
      <c r="C2398" s="305"/>
      <c r="F2398" s="1384"/>
      <c r="G2398" s="1384"/>
    </row>
    <row r="2399">
      <c r="A2399" s="516"/>
      <c r="B2399" s="518"/>
      <c r="C2399" s="305"/>
      <c r="F2399" s="1384"/>
      <c r="G2399" s="1384"/>
    </row>
    <row r="2400">
      <c r="A2400" s="516"/>
      <c r="B2400" s="518"/>
      <c r="C2400" s="305"/>
      <c r="F2400" s="1384"/>
      <c r="G2400" s="1384"/>
    </row>
    <row r="2401">
      <c r="A2401" s="516"/>
      <c r="B2401" s="518"/>
      <c r="C2401" s="305"/>
      <c r="F2401" s="1384"/>
      <c r="G2401" s="1384"/>
    </row>
    <row r="2402">
      <c r="A2402" s="516"/>
      <c r="B2402" s="518"/>
      <c r="C2402" s="305"/>
      <c r="F2402" s="1384"/>
      <c r="G2402" s="1384"/>
    </row>
    <row r="2403">
      <c r="A2403" s="516"/>
      <c r="B2403" s="518"/>
      <c r="C2403" s="305"/>
      <c r="F2403" s="1384"/>
      <c r="G2403" s="1384"/>
    </row>
    <row r="2404">
      <c r="A2404" s="516"/>
      <c r="B2404" s="518"/>
      <c r="C2404" s="305"/>
      <c r="F2404" s="1384"/>
      <c r="G2404" s="1384"/>
    </row>
    <row r="2405">
      <c r="A2405" s="516"/>
      <c r="B2405" s="518"/>
      <c r="C2405" s="305"/>
      <c r="F2405" s="1384"/>
      <c r="G2405" s="1384"/>
    </row>
    <row r="2406">
      <c r="A2406" s="516"/>
      <c r="B2406" s="518"/>
      <c r="C2406" s="305"/>
      <c r="F2406" s="1384"/>
      <c r="G2406" s="1384"/>
    </row>
    <row r="2407">
      <c r="A2407" s="516"/>
      <c r="B2407" s="518"/>
      <c r="C2407" s="305"/>
      <c r="F2407" s="1384"/>
      <c r="G2407" s="1384"/>
    </row>
    <row r="2408">
      <c r="A2408" s="516"/>
      <c r="B2408" s="518"/>
      <c r="C2408" s="305"/>
      <c r="F2408" s="1384"/>
      <c r="G2408" s="1384"/>
    </row>
    <row r="2409">
      <c r="A2409" s="516"/>
      <c r="B2409" s="518"/>
      <c r="C2409" s="305"/>
      <c r="F2409" s="1384"/>
      <c r="G2409" s="1384"/>
    </row>
    <row r="2410">
      <c r="A2410" s="516"/>
      <c r="B2410" s="518"/>
      <c r="C2410" s="305"/>
      <c r="F2410" s="1384"/>
      <c r="G2410" s="1384"/>
    </row>
    <row r="2411">
      <c r="A2411" s="516"/>
      <c r="B2411" s="518"/>
      <c r="C2411" s="305"/>
      <c r="F2411" s="1384"/>
      <c r="G2411" s="1384"/>
    </row>
    <row r="2412">
      <c r="A2412" s="516"/>
      <c r="B2412" s="518"/>
      <c r="C2412" s="305"/>
      <c r="F2412" s="1384"/>
      <c r="G2412" s="1384"/>
    </row>
    <row r="2413">
      <c r="A2413" s="516"/>
      <c r="B2413" s="518"/>
      <c r="C2413" s="305"/>
      <c r="F2413" s="1384"/>
      <c r="G2413" s="1384"/>
    </row>
    <row r="2414">
      <c r="A2414" s="516"/>
      <c r="B2414" s="518"/>
      <c r="C2414" s="305"/>
      <c r="F2414" s="1384"/>
      <c r="G2414" s="1384"/>
    </row>
    <row r="2415">
      <c r="A2415" s="516"/>
      <c r="B2415" s="518"/>
      <c r="C2415" s="305"/>
      <c r="F2415" s="1384"/>
      <c r="G2415" s="1384"/>
    </row>
    <row r="2416">
      <c r="A2416" s="516"/>
      <c r="B2416" s="518"/>
      <c r="C2416" s="305"/>
      <c r="F2416" s="1384"/>
      <c r="G2416" s="1384"/>
    </row>
    <row r="2417">
      <c r="A2417" s="516"/>
      <c r="B2417" s="518"/>
      <c r="C2417" s="305"/>
      <c r="F2417" s="1384"/>
      <c r="G2417" s="1384"/>
    </row>
    <row r="2418">
      <c r="A2418" s="516"/>
      <c r="B2418" s="518"/>
      <c r="C2418" s="305"/>
      <c r="F2418" s="1384"/>
      <c r="G2418" s="1384"/>
    </row>
    <row r="2419">
      <c r="A2419" s="516"/>
      <c r="B2419" s="518"/>
      <c r="C2419" s="305"/>
      <c r="F2419" s="1384"/>
      <c r="G2419" s="1384"/>
    </row>
    <row r="2420">
      <c r="A2420" s="516"/>
      <c r="B2420" s="518"/>
      <c r="C2420" s="305"/>
      <c r="F2420" s="1384"/>
      <c r="G2420" s="1384"/>
    </row>
    <row r="2421">
      <c r="A2421" s="516"/>
      <c r="B2421" s="518"/>
      <c r="C2421" s="305"/>
      <c r="F2421" s="1384"/>
      <c r="G2421" s="1384"/>
    </row>
    <row r="2422">
      <c r="A2422" s="516"/>
      <c r="B2422" s="518"/>
      <c r="C2422" s="305"/>
      <c r="F2422" s="1384"/>
      <c r="G2422" s="1384"/>
    </row>
    <row r="2423">
      <c r="A2423" s="516"/>
      <c r="B2423" s="518"/>
      <c r="C2423" s="305"/>
      <c r="F2423" s="1384"/>
      <c r="G2423" s="1384"/>
    </row>
    <row r="2424">
      <c r="A2424" s="516"/>
      <c r="B2424" s="518"/>
      <c r="C2424" s="305"/>
      <c r="F2424" s="1384"/>
      <c r="G2424" s="1384"/>
    </row>
    <row r="2425">
      <c r="A2425" s="516"/>
      <c r="B2425" s="518"/>
      <c r="C2425" s="305"/>
      <c r="F2425" s="1384"/>
      <c r="G2425" s="1384"/>
    </row>
    <row r="2426">
      <c r="A2426" s="516"/>
      <c r="B2426" s="518"/>
      <c r="C2426" s="305"/>
      <c r="F2426" s="1384"/>
      <c r="G2426" s="1384"/>
    </row>
    <row r="2427">
      <c r="A2427" s="516"/>
      <c r="B2427" s="518"/>
      <c r="C2427" s="305"/>
      <c r="F2427" s="1384"/>
      <c r="G2427" s="1384"/>
    </row>
    <row r="2428">
      <c r="A2428" s="516"/>
      <c r="B2428" s="518"/>
      <c r="C2428" s="305"/>
      <c r="F2428" s="1384"/>
      <c r="G2428" s="1384"/>
    </row>
    <row r="2429">
      <c r="A2429" s="516"/>
      <c r="B2429" s="518"/>
      <c r="C2429" s="305"/>
      <c r="F2429" s="1384"/>
      <c r="G2429" s="1384"/>
    </row>
    <row r="2430">
      <c r="A2430" s="516"/>
      <c r="B2430" s="518"/>
      <c r="C2430" s="305"/>
      <c r="F2430" s="1384"/>
      <c r="G2430" s="1384"/>
    </row>
    <row r="2431">
      <c r="A2431" s="516"/>
      <c r="B2431" s="518"/>
      <c r="C2431" s="305"/>
      <c r="F2431" s="1384"/>
      <c r="G2431" s="1384"/>
    </row>
    <row r="2432">
      <c r="A2432" s="516"/>
      <c r="B2432" s="518"/>
      <c r="C2432" s="305"/>
      <c r="F2432" s="1384"/>
      <c r="G2432" s="1384"/>
    </row>
    <row r="2433">
      <c r="A2433" s="516"/>
      <c r="B2433" s="518"/>
      <c r="C2433" s="305"/>
      <c r="F2433" s="1384"/>
      <c r="G2433" s="1384"/>
    </row>
    <row r="2434">
      <c r="A2434" s="516"/>
      <c r="B2434" s="518"/>
      <c r="C2434" s="305"/>
      <c r="F2434" s="1384"/>
      <c r="G2434" s="1384"/>
    </row>
    <row r="2435">
      <c r="A2435" s="516"/>
      <c r="B2435" s="518"/>
      <c r="C2435" s="305"/>
      <c r="F2435" s="1384"/>
      <c r="G2435" s="1384"/>
    </row>
    <row r="2436">
      <c r="A2436" s="516"/>
      <c r="B2436" s="518"/>
      <c r="C2436" s="305"/>
      <c r="F2436" s="1384"/>
      <c r="G2436" s="1384"/>
    </row>
    <row r="2437">
      <c r="A2437" s="516"/>
      <c r="B2437" s="518"/>
      <c r="C2437" s="305"/>
      <c r="F2437" s="1384"/>
      <c r="G2437" s="1384"/>
    </row>
    <row r="2438">
      <c r="A2438" s="516"/>
      <c r="B2438" s="518"/>
      <c r="C2438" s="305"/>
      <c r="F2438" s="1384"/>
      <c r="G2438" s="1384"/>
    </row>
    <row r="2439">
      <c r="A2439" s="516"/>
      <c r="B2439" s="518"/>
      <c r="C2439" s="305"/>
      <c r="F2439" s="1384"/>
      <c r="G2439" s="1384"/>
    </row>
    <row r="2440">
      <c r="A2440" s="516"/>
      <c r="B2440" s="518"/>
      <c r="C2440" s="305"/>
      <c r="F2440" s="1384"/>
      <c r="G2440" s="1384"/>
    </row>
    <row r="2441">
      <c r="A2441" s="516"/>
      <c r="B2441" s="518"/>
      <c r="C2441" s="305"/>
      <c r="F2441" s="1384"/>
      <c r="G2441" s="1384"/>
    </row>
    <row r="2442">
      <c r="A2442" s="516"/>
      <c r="B2442" s="518"/>
      <c r="C2442" s="305"/>
      <c r="F2442" s="1384"/>
      <c r="G2442" s="1384"/>
    </row>
    <row r="2443">
      <c r="A2443" s="516"/>
      <c r="B2443" s="518"/>
      <c r="C2443" s="305"/>
      <c r="F2443" s="1384"/>
      <c r="G2443" s="1384"/>
    </row>
    <row r="2444">
      <c r="A2444" s="516"/>
      <c r="B2444" s="518"/>
      <c r="C2444" s="305"/>
      <c r="F2444" s="1384"/>
      <c r="G2444" s="1384"/>
    </row>
    <row r="2445">
      <c r="A2445" s="516"/>
      <c r="B2445" s="518"/>
      <c r="C2445" s="305"/>
      <c r="F2445" s="1384"/>
      <c r="G2445" s="1384"/>
    </row>
    <row r="2446">
      <c r="A2446" s="516"/>
      <c r="B2446" s="518"/>
      <c r="C2446" s="305"/>
      <c r="F2446" s="1384"/>
      <c r="G2446" s="1384"/>
    </row>
    <row r="2447">
      <c r="A2447" s="516"/>
      <c r="B2447" s="518"/>
      <c r="C2447" s="305"/>
      <c r="F2447" s="1384"/>
      <c r="G2447" s="1384"/>
    </row>
    <row r="2448">
      <c r="A2448" s="516"/>
      <c r="B2448" s="518"/>
      <c r="C2448" s="305"/>
      <c r="F2448" s="1384"/>
      <c r="G2448" s="1384"/>
    </row>
    <row r="2449">
      <c r="A2449" s="516"/>
      <c r="B2449" s="518"/>
      <c r="C2449" s="305"/>
      <c r="F2449" s="1384"/>
      <c r="G2449" s="1384"/>
    </row>
    <row r="2450">
      <c r="A2450" s="516"/>
      <c r="B2450" s="518"/>
      <c r="C2450" s="305"/>
      <c r="F2450" s="1384"/>
      <c r="G2450" s="1384"/>
    </row>
    <row r="2451">
      <c r="A2451" s="516"/>
      <c r="B2451" s="518"/>
      <c r="C2451" s="305"/>
      <c r="F2451" s="1384"/>
      <c r="G2451" s="1384"/>
    </row>
    <row r="2452">
      <c r="A2452" s="516"/>
      <c r="B2452" s="518"/>
      <c r="C2452" s="305"/>
      <c r="F2452" s="1384"/>
      <c r="G2452" s="1384"/>
    </row>
    <row r="2453">
      <c r="A2453" s="516"/>
      <c r="B2453" s="518"/>
      <c r="C2453" s="305"/>
      <c r="F2453" s="1384"/>
      <c r="G2453" s="1384"/>
    </row>
    <row r="2454">
      <c r="A2454" s="516"/>
      <c r="B2454" s="518"/>
      <c r="C2454" s="305"/>
      <c r="F2454" s="1384"/>
      <c r="G2454" s="1384"/>
    </row>
    <row r="2455">
      <c r="A2455" s="516"/>
      <c r="B2455" s="518"/>
      <c r="C2455" s="305"/>
      <c r="F2455" s="1384"/>
      <c r="G2455" s="1384"/>
    </row>
    <row r="2456">
      <c r="A2456" s="516"/>
      <c r="B2456" s="518"/>
      <c r="C2456" s="305"/>
      <c r="F2456" s="1384"/>
      <c r="G2456" s="1384"/>
    </row>
    <row r="2457">
      <c r="A2457" s="516"/>
      <c r="B2457" s="518"/>
      <c r="C2457" s="305"/>
      <c r="F2457" s="1384"/>
      <c r="G2457" s="1384"/>
    </row>
    <row r="2458">
      <c r="A2458" s="516"/>
      <c r="B2458" s="518"/>
      <c r="C2458" s="305"/>
      <c r="F2458" s="1384"/>
      <c r="G2458" s="1384"/>
    </row>
    <row r="2459">
      <c r="A2459" s="516"/>
      <c r="B2459" s="518"/>
      <c r="C2459" s="305"/>
      <c r="F2459" s="1384"/>
      <c r="G2459" s="1384"/>
    </row>
    <row r="2460">
      <c r="A2460" s="516"/>
      <c r="B2460" s="518"/>
      <c r="C2460" s="305"/>
      <c r="F2460" s="1384"/>
      <c r="G2460" s="1384"/>
    </row>
    <row r="2461">
      <c r="A2461" s="516"/>
      <c r="B2461" s="518"/>
      <c r="C2461" s="305"/>
      <c r="F2461" s="1384"/>
      <c r="G2461" s="1384"/>
    </row>
    <row r="2462">
      <c r="A2462" s="516"/>
      <c r="B2462" s="518"/>
      <c r="C2462" s="305"/>
      <c r="F2462" s="1384"/>
      <c r="G2462" s="1384"/>
    </row>
    <row r="2463">
      <c r="A2463" s="516"/>
      <c r="B2463" s="518"/>
      <c r="C2463" s="305"/>
      <c r="F2463" s="1384"/>
      <c r="G2463" s="1384"/>
    </row>
    <row r="2464">
      <c r="A2464" s="516"/>
      <c r="B2464" s="518"/>
      <c r="C2464" s="305"/>
      <c r="F2464" s="1384"/>
      <c r="G2464" s="1384"/>
    </row>
    <row r="2465">
      <c r="A2465" s="516"/>
      <c r="B2465" s="518"/>
      <c r="C2465" s="305"/>
      <c r="F2465" s="1384"/>
      <c r="G2465" s="1384"/>
    </row>
    <row r="2466">
      <c r="A2466" s="516"/>
      <c r="B2466" s="518"/>
      <c r="C2466" s="305"/>
      <c r="F2466" s="1384"/>
      <c r="G2466" s="1384"/>
    </row>
    <row r="2467">
      <c r="A2467" s="516"/>
      <c r="B2467" s="518"/>
      <c r="C2467" s="305"/>
      <c r="F2467" s="1384"/>
      <c r="G2467" s="1384"/>
    </row>
    <row r="2468">
      <c r="A2468" s="516"/>
      <c r="B2468" s="518"/>
      <c r="C2468" s="305"/>
      <c r="F2468" s="1384"/>
      <c r="G2468" s="1384"/>
    </row>
    <row r="2469">
      <c r="A2469" s="516"/>
      <c r="B2469" s="518"/>
      <c r="C2469" s="305"/>
      <c r="F2469" s="1384"/>
      <c r="G2469" s="1384"/>
    </row>
    <row r="2470">
      <c r="A2470" s="516"/>
      <c r="B2470" s="518"/>
      <c r="C2470" s="305"/>
      <c r="F2470" s="1384"/>
      <c r="G2470" s="1384"/>
    </row>
    <row r="2471">
      <c r="A2471" s="516"/>
      <c r="B2471" s="518"/>
      <c r="C2471" s="305"/>
      <c r="F2471" s="1384"/>
      <c r="G2471" s="1384"/>
    </row>
    <row r="2472">
      <c r="A2472" s="516"/>
      <c r="B2472" s="518"/>
      <c r="C2472" s="305"/>
      <c r="F2472" s="1384"/>
      <c r="G2472" s="1384"/>
    </row>
    <row r="2473">
      <c r="A2473" s="516"/>
      <c r="B2473" s="518"/>
      <c r="C2473" s="305"/>
      <c r="F2473" s="1384"/>
      <c r="G2473" s="1384"/>
    </row>
    <row r="2474">
      <c r="A2474" s="516"/>
      <c r="B2474" s="518"/>
      <c r="C2474" s="305"/>
      <c r="F2474" s="1384"/>
      <c r="G2474" s="1384"/>
    </row>
    <row r="2475">
      <c r="A2475" s="516"/>
      <c r="B2475" s="518"/>
      <c r="C2475" s="305"/>
      <c r="F2475" s="1384"/>
      <c r="G2475" s="1384"/>
    </row>
    <row r="2476">
      <c r="A2476" s="516"/>
      <c r="B2476" s="518"/>
      <c r="C2476" s="305"/>
      <c r="F2476" s="1384"/>
      <c r="G2476" s="1384"/>
    </row>
    <row r="2477">
      <c r="A2477" s="516"/>
      <c r="B2477" s="518"/>
      <c r="C2477" s="305"/>
      <c r="F2477" s="1384"/>
      <c r="G2477" s="1384"/>
    </row>
    <row r="2478">
      <c r="A2478" s="516"/>
      <c r="B2478" s="518"/>
      <c r="C2478" s="305"/>
      <c r="F2478" s="1384"/>
      <c r="G2478" s="1384"/>
    </row>
    <row r="2479">
      <c r="A2479" s="516"/>
      <c r="B2479" s="518"/>
      <c r="C2479" s="305"/>
      <c r="F2479" s="1384"/>
      <c r="G2479" s="1384"/>
    </row>
    <row r="2480">
      <c r="A2480" s="516"/>
      <c r="B2480" s="518"/>
      <c r="C2480" s="305"/>
      <c r="F2480" s="1384"/>
      <c r="G2480" s="1384"/>
    </row>
    <row r="2481">
      <c r="A2481" s="516"/>
      <c r="B2481" s="518"/>
      <c r="C2481" s="305"/>
      <c r="F2481" s="1384"/>
      <c r="G2481" s="1384"/>
    </row>
    <row r="2482">
      <c r="A2482" s="516"/>
      <c r="B2482" s="518"/>
      <c r="C2482" s="305"/>
      <c r="F2482" s="1384"/>
      <c r="G2482" s="1384"/>
    </row>
    <row r="2483">
      <c r="A2483" s="516"/>
      <c r="B2483" s="518"/>
      <c r="C2483" s="305"/>
      <c r="F2483" s="1384"/>
      <c r="G2483" s="1384"/>
    </row>
    <row r="2484">
      <c r="A2484" s="516"/>
      <c r="B2484" s="518"/>
      <c r="C2484" s="305"/>
      <c r="F2484" s="1384"/>
      <c r="G2484" s="1384"/>
    </row>
    <row r="2485">
      <c r="A2485" s="516"/>
      <c r="B2485" s="518"/>
      <c r="C2485" s="305"/>
      <c r="F2485" s="1384"/>
      <c r="G2485" s="1384"/>
    </row>
    <row r="2486">
      <c r="A2486" s="516"/>
      <c r="B2486" s="518"/>
      <c r="C2486" s="305"/>
      <c r="F2486" s="1384"/>
      <c r="G2486" s="1384"/>
    </row>
    <row r="2487">
      <c r="A2487" s="516"/>
      <c r="B2487" s="518"/>
      <c r="C2487" s="305"/>
      <c r="F2487" s="1384"/>
      <c r="G2487" s="1384"/>
    </row>
    <row r="2488">
      <c r="A2488" s="516"/>
      <c r="B2488" s="518"/>
      <c r="C2488" s="305"/>
      <c r="F2488" s="1384"/>
      <c r="G2488" s="1384"/>
    </row>
    <row r="2489">
      <c r="A2489" s="516"/>
      <c r="B2489" s="518"/>
      <c r="C2489" s="305"/>
      <c r="F2489" s="1384"/>
      <c r="G2489" s="1384"/>
    </row>
    <row r="2490">
      <c r="A2490" s="516"/>
      <c r="B2490" s="518"/>
      <c r="C2490" s="305"/>
      <c r="F2490" s="1384"/>
      <c r="G2490" s="1384"/>
    </row>
    <row r="2491">
      <c r="A2491" s="516"/>
      <c r="B2491" s="518"/>
      <c r="C2491" s="305"/>
      <c r="F2491" s="1384"/>
      <c r="G2491" s="1384"/>
    </row>
    <row r="2492">
      <c r="A2492" s="516"/>
      <c r="B2492" s="518"/>
      <c r="C2492" s="305"/>
      <c r="F2492" s="1384"/>
      <c r="G2492" s="1384"/>
    </row>
    <row r="2493">
      <c r="A2493" s="516"/>
      <c r="B2493" s="518"/>
      <c r="C2493" s="305"/>
      <c r="F2493" s="1384"/>
      <c r="G2493" s="1384"/>
    </row>
    <row r="2494">
      <c r="A2494" s="516"/>
      <c r="B2494" s="518"/>
      <c r="C2494" s="305"/>
      <c r="F2494" s="1384"/>
      <c r="G2494" s="1384"/>
    </row>
    <row r="2495">
      <c r="A2495" s="516"/>
      <c r="B2495" s="518"/>
      <c r="C2495" s="305"/>
      <c r="F2495" s="1384"/>
      <c r="G2495" s="1384"/>
    </row>
    <row r="2496">
      <c r="A2496" s="516"/>
      <c r="B2496" s="518"/>
      <c r="C2496" s="305"/>
      <c r="F2496" s="1384"/>
      <c r="G2496" s="1384"/>
    </row>
    <row r="2497">
      <c r="A2497" s="516"/>
      <c r="B2497" s="518"/>
      <c r="C2497" s="305"/>
      <c r="F2497" s="1384"/>
      <c r="G2497" s="1384"/>
    </row>
    <row r="2498">
      <c r="A2498" s="516"/>
      <c r="B2498" s="518"/>
      <c r="C2498" s="305"/>
      <c r="F2498" s="1384"/>
      <c r="G2498" s="1384"/>
    </row>
    <row r="2499">
      <c r="A2499" s="516"/>
      <c r="B2499" s="518"/>
      <c r="C2499" s="305"/>
      <c r="F2499" s="1384"/>
      <c r="G2499" s="1384"/>
    </row>
    <row r="2500">
      <c r="A2500" s="516"/>
      <c r="B2500" s="518"/>
      <c r="C2500" s="305"/>
      <c r="F2500" s="1384"/>
      <c r="G2500" s="1384"/>
    </row>
    <row r="2501">
      <c r="A2501" s="516"/>
      <c r="B2501" s="518"/>
      <c r="C2501" s="305"/>
      <c r="F2501" s="1384"/>
      <c r="G2501" s="1384"/>
    </row>
    <row r="2502">
      <c r="A2502" s="516"/>
      <c r="B2502" s="518"/>
      <c r="C2502" s="305"/>
      <c r="F2502" s="1384"/>
      <c r="G2502" s="1384"/>
    </row>
    <row r="2503">
      <c r="A2503" s="516"/>
      <c r="B2503" s="518"/>
      <c r="C2503" s="305"/>
      <c r="F2503" s="1384"/>
      <c r="G2503" s="1384"/>
    </row>
    <row r="2504">
      <c r="A2504" s="516"/>
      <c r="B2504" s="518"/>
      <c r="C2504" s="305"/>
      <c r="F2504" s="1384"/>
      <c r="G2504" s="1384"/>
    </row>
    <row r="2505">
      <c r="A2505" s="516"/>
      <c r="B2505" s="518"/>
      <c r="C2505" s="305"/>
      <c r="F2505" s="1384"/>
      <c r="G2505" s="1384"/>
    </row>
    <row r="2506">
      <c r="A2506" s="516"/>
      <c r="B2506" s="518"/>
      <c r="C2506" s="305"/>
      <c r="F2506" s="1384"/>
      <c r="G2506" s="1384"/>
    </row>
    <row r="2507">
      <c r="A2507" s="516"/>
      <c r="B2507" s="518"/>
      <c r="C2507" s="305"/>
      <c r="F2507" s="1384"/>
      <c r="G2507" s="1384"/>
    </row>
    <row r="2508">
      <c r="A2508" s="516"/>
      <c r="B2508" s="518"/>
      <c r="C2508" s="305"/>
      <c r="F2508" s="1384"/>
      <c r="G2508" s="1384"/>
    </row>
    <row r="2509">
      <c r="A2509" s="516"/>
      <c r="B2509" s="518"/>
      <c r="C2509" s="305"/>
      <c r="F2509" s="1384"/>
      <c r="G2509" s="1384"/>
    </row>
    <row r="2510">
      <c r="A2510" s="516"/>
      <c r="B2510" s="518"/>
      <c r="C2510" s="305"/>
      <c r="F2510" s="1384"/>
      <c r="G2510" s="1384"/>
    </row>
    <row r="2511">
      <c r="A2511" s="516"/>
      <c r="B2511" s="518"/>
      <c r="C2511" s="305"/>
      <c r="F2511" s="1384"/>
      <c r="G2511" s="1384"/>
    </row>
    <row r="2512">
      <c r="A2512" s="1538"/>
      <c r="B2512" s="1539"/>
      <c r="F2512" s="1384"/>
      <c r="G2512" s="1384"/>
    </row>
  </sheetData>
  <mergeCells count="1">
    <mergeCell ref="A1:B1"/>
  </mergeCells>
  <conditionalFormatting sqref="C4:C1738 C1740:C2512">
    <cfRule type="expression" dxfId="0" priority="1">
      <formula>AND($C4&lt;&gt;"",COUNTIF($C$4:$C2512,$C4)&gt;1)</formula>
    </cfRule>
  </conditionalFormatting>
  <conditionalFormatting sqref="B2:B1738 B1740:B2512">
    <cfRule type="cellIs" dxfId="1" priority="2" operator="equal">
      <formula>0</formula>
    </cfRule>
  </conditionalFormatting>
  <dataValidations>
    <dataValidation type="list" allowBlank="1" showDropDown="1" showErrorMessage="1" sqref="C1">
      <formula1>'Справочник'!$C$4:$C2512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89"/>
    <col customWidth="1" min="2" max="2" width="4.44"/>
    <col customWidth="1" min="3" max="3" width="5.67"/>
    <col customWidth="1" min="4" max="4" width="27.0"/>
    <col customWidth="1" min="5" max="5" width="4.67"/>
    <col customWidth="1" min="6" max="6" width="5.56"/>
    <col customWidth="1" min="7" max="7" width="29.33"/>
    <col customWidth="1" min="8" max="8" width="4.11"/>
    <col customWidth="1" min="9" max="9" width="6.11"/>
    <col customWidth="1" min="10" max="10" width="16.11"/>
    <col customWidth="1" min="11" max="11" width="4.67"/>
    <col customWidth="1" min="12" max="12" width="5.44"/>
    <col customWidth="1" min="13" max="13" width="36.22"/>
    <col customWidth="1" min="14" max="14" width="6.0"/>
    <col customWidth="1" min="15" max="15" width="5.33"/>
    <col customWidth="1" min="16" max="16" width="22.78"/>
    <col customWidth="1" min="17" max="17" width="5.0"/>
    <col customWidth="1" min="18" max="18" width="5.67"/>
    <col customWidth="1" min="19" max="19" width="22.56"/>
    <col customWidth="1" min="20" max="20" width="3.89"/>
    <col customWidth="1" min="21" max="21" width="4.78"/>
    <col customWidth="1" min="22" max="22" width="17.0"/>
    <col customWidth="1" min="23" max="23" width="5.44"/>
    <col customWidth="1" min="24" max="24" width="10.56"/>
    <col customWidth="1" min="25" max="25" width="249.67"/>
  </cols>
  <sheetData>
    <row r="1" ht="15.75" customHeight="1">
      <c r="A1" s="9"/>
      <c r="B1" s="14"/>
      <c r="C1" s="15"/>
      <c r="D1" s="17"/>
      <c r="E1" s="19"/>
      <c r="F1" s="21"/>
      <c r="G1" s="25"/>
      <c r="H1" s="27"/>
      <c r="I1" s="28"/>
      <c r="J1" s="31"/>
      <c r="K1" s="28"/>
      <c r="L1" s="32"/>
      <c r="M1" s="33"/>
      <c r="N1" s="27"/>
      <c r="O1" s="27"/>
      <c r="P1" s="17"/>
      <c r="Q1" s="28"/>
      <c r="R1" s="28"/>
      <c r="S1" s="34"/>
      <c r="T1" s="35"/>
      <c r="U1" s="14"/>
      <c r="V1" s="14"/>
      <c r="W1" s="14"/>
      <c r="X1" s="14"/>
      <c r="Y1" s="37"/>
    </row>
    <row r="2" ht="15.75" customHeight="1">
      <c r="A2" s="38"/>
      <c r="B2" s="42" t="s">
        <v>49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7"/>
      <c r="T2" s="35"/>
      <c r="U2" s="14"/>
      <c r="V2" s="14"/>
      <c r="W2" s="14"/>
      <c r="X2" s="14"/>
      <c r="Y2" s="49"/>
    </row>
    <row r="3" ht="18.75" customHeight="1">
      <c r="A3" s="38"/>
      <c r="B3" s="52"/>
      <c r="C3" s="54" t="s">
        <v>65</v>
      </c>
      <c r="D3" s="56" t="s">
        <v>66</v>
      </c>
      <c r="E3" s="57" t="s">
        <v>67</v>
      </c>
      <c r="F3" s="59"/>
      <c r="G3" s="59" t="s">
        <v>70</v>
      </c>
      <c r="H3" s="61" t="s">
        <v>67</v>
      </c>
      <c r="I3" s="59" t="s">
        <v>65</v>
      </c>
      <c r="J3" s="64" t="s">
        <v>74</v>
      </c>
      <c r="K3" s="61" t="s">
        <v>67</v>
      </c>
      <c r="L3" s="59" t="s">
        <v>65</v>
      </c>
      <c r="M3" s="66" t="s">
        <v>77</v>
      </c>
      <c r="N3" s="61" t="s">
        <v>67</v>
      </c>
      <c r="O3" s="61" t="s">
        <v>65</v>
      </c>
      <c r="P3" s="61" t="s">
        <v>78</v>
      </c>
      <c r="Q3" s="61" t="s">
        <v>67</v>
      </c>
      <c r="R3" s="59" t="s">
        <v>65</v>
      </c>
      <c r="S3" s="66" t="s">
        <v>79</v>
      </c>
      <c r="T3" s="61" t="s">
        <v>67</v>
      </c>
      <c r="U3" s="71" t="s">
        <v>65</v>
      </c>
      <c r="V3" s="71" t="s">
        <v>80</v>
      </c>
      <c r="W3" s="71" t="s">
        <v>67</v>
      </c>
      <c r="X3" s="14"/>
      <c r="Y3" s="49"/>
    </row>
    <row r="4" ht="30.75" customHeight="1">
      <c r="A4" s="74">
        <v>46173.0</v>
      </c>
      <c r="B4" s="76" t="s">
        <v>84</v>
      </c>
      <c r="C4" s="78">
        <v>4323.0</v>
      </c>
      <c r="D4" s="79" t="s">
        <v>1243</v>
      </c>
      <c r="E4" s="81"/>
      <c r="F4" s="82">
        <v>3076.0</v>
      </c>
      <c r="G4" s="83" t="s">
        <v>89</v>
      </c>
      <c r="H4" s="84"/>
      <c r="I4" s="82">
        <v>2203.0</v>
      </c>
      <c r="J4" s="85" t="s">
        <v>1167</v>
      </c>
      <c r="K4" s="86"/>
      <c r="L4" s="82">
        <v>4233.0</v>
      </c>
      <c r="M4" s="375" t="s">
        <v>2496</v>
      </c>
      <c r="N4" s="88"/>
      <c r="O4" s="89">
        <v>2079.0</v>
      </c>
      <c r="P4" s="90" t="s">
        <v>361</v>
      </c>
      <c r="Q4" s="91"/>
      <c r="R4" s="92">
        <v>33.0</v>
      </c>
      <c r="S4" s="94" t="s">
        <v>524</v>
      </c>
      <c r="T4" s="96"/>
      <c r="U4" s="97">
        <v>3738.0</v>
      </c>
      <c r="V4" s="99" t="s">
        <v>447</v>
      </c>
      <c r="W4" s="100"/>
      <c r="X4" s="101" t="s">
        <v>111</v>
      </c>
      <c r="Y4" s="103"/>
    </row>
    <row r="5" ht="29.25" customHeight="1">
      <c r="B5" s="105"/>
      <c r="C5" s="107">
        <v>1557.0</v>
      </c>
      <c r="D5" s="109" t="s">
        <v>967</v>
      </c>
      <c r="E5" s="111"/>
      <c r="F5" s="113">
        <v>4009.0</v>
      </c>
      <c r="G5" s="115" t="s">
        <v>522</v>
      </c>
      <c r="H5" s="116"/>
      <c r="I5" s="113">
        <v>100.0</v>
      </c>
      <c r="J5" s="119" t="s">
        <v>1896</v>
      </c>
      <c r="K5" s="121"/>
      <c r="L5" s="113">
        <v>4014.0</v>
      </c>
      <c r="M5" s="123" t="s">
        <v>492</v>
      </c>
      <c r="N5" s="159"/>
      <c r="O5" s="113">
        <v>3518.0</v>
      </c>
      <c r="P5" s="124" t="s">
        <v>518</v>
      </c>
      <c r="Q5" s="121"/>
      <c r="R5" s="125">
        <v>5.0</v>
      </c>
      <c r="S5" s="128" t="s">
        <v>387</v>
      </c>
      <c r="T5" s="129"/>
      <c r="U5" s="131">
        <v>3999.0</v>
      </c>
      <c r="V5" s="132" t="s">
        <v>364</v>
      </c>
      <c r="W5" s="134"/>
      <c r="X5" s="136" t="s">
        <v>155</v>
      </c>
      <c r="Y5" s="103"/>
    </row>
    <row r="6" ht="31.5" customHeight="1">
      <c r="B6" s="105"/>
      <c r="C6" s="107">
        <v>1550.0</v>
      </c>
      <c r="D6" s="109" t="s">
        <v>280</v>
      </c>
      <c r="E6" s="111"/>
      <c r="F6" s="113">
        <v>3170.0</v>
      </c>
      <c r="G6" s="115" t="s">
        <v>528</v>
      </c>
      <c r="H6" s="116"/>
      <c r="I6" s="113"/>
      <c r="J6" s="119"/>
      <c r="K6" s="121"/>
      <c r="L6" s="113">
        <v>4196.0</v>
      </c>
      <c r="M6" s="123" t="s">
        <v>141</v>
      </c>
      <c r="N6" s="116" t="s">
        <v>297</v>
      </c>
      <c r="O6" s="113">
        <v>822.0</v>
      </c>
      <c r="P6" s="119" t="s">
        <v>136</v>
      </c>
      <c r="Q6" s="121"/>
      <c r="R6" s="125"/>
      <c r="S6" s="132"/>
      <c r="T6" s="142"/>
      <c r="U6" s="144"/>
      <c r="V6" s="147"/>
      <c r="W6" s="148"/>
      <c r="X6" s="150" t="s">
        <v>170</v>
      </c>
      <c r="Y6" s="103"/>
    </row>
    <row r="7" ht="29.25" customHeight="1">
      <c r="B7" s="105"/>
      <c r="C7" s="152"/>
      <c r="D7" s="154"/>
      <c r="E7" s="156"/>
      <c r="F7" s="157">
        <v>2621.0</v>
      </c>
      <c r="G7" s="158" t="s">
        <v>531</v>
      </c>
      <c r="H7" s="159"/>
      <c r="I7" s="113"/>
      <c r="J7" s="119"/>
      <c r="K7" s="121"/>
      <c r="L7" s="113">
        <v>4324.0</v>
      </c>
      <c r="M7" s="124" t="s">
        <v>1244</v>
      </c>
      <c r="N7" s="116"/>
      <c r="O7" s="113"/>
      <c r="P7" s="119"/>
      <c r="Q7" s="121"/>
      <c r="R7" s="125"/>
      <c r="S7" s="115"/>
      <c r="T7" s="160"/>
      <c r="U7" s="131"/>
      <c r="V7" s="132"/>
      <c r="W7" s="161"/>
      <c r="X7" s="163" t="s">
        <v>188</v>
      </c>
      <c r="Y7" s="49"/>
    </row>
    <row r="8" ht="18.75" customHeight="1">
      <c r="A8" s="38"/>
      <c r="B8" s="105"/>
      <c r="C8" s="152"/>
      <c r="D8" s="154"/>
      <c r="E8" s="156"/>
      <c r="F8" s="157"/>
      <c r="G8" s="166"/>
      <c r="H8" s="159"/>
      <c r="I8" s="113"/>
      <c r="J8" s="119"/>
      <c r="K8" s="121"/>
      <c r="L8" s="113">
        <v>3054.0</v>
      </c>
      <c r="M8" s="167" t="s">
        <v>2536</v>
      </c>
      <c r="N8" s="173" t="s">
        <v>293</v>
      </c>
      <c r="O8" s="113"/>
      <c r="P8" s="119"/>
      <c r="Q8" s="121"/>
      <c r="R8" s="125"/>
      <c r="S8" s="115"/>
      <c r="T8" s="168"/>
      <c r="U8" s="169"/>
      <c r="V8" s="141"/>
      <c r="W8" s="1423"/>
      <c r="X8" s="1424" t="s">
        <v>203</v>
      </c>
      <c r="Y8" s="49"/>
    </row>
    <row r="9" ht="18.75" customHeight="1">
      <c r="A9" s="38"/>
      <c r="B9" s="105"/>
      <c r="C9" s="152"/>
      <c r="D9" s="154"/>
      <c r="E9" s="156"/>
      <c r="F9" s="157"/>
      <c r="G9" s="166"/>
      <c r="H9" s="159"/>
      <c r="I9" s="113"/>
      <c r="J9" s="119"/>
      <c r="K9" s="121"/>
      <c r="L9" s="113">
        <v>3239.0</v>
      </c>
      <c r="M9" s="1425" t="s">
        <v>544</v>
      </c>
      <c r="N9" s="116" t="s">
        <v>297</v>
      </c>
      <c r="O9" s="113"/>
      <c r="P9" s="119"/>
      <c r="Q9" s="121"/>
      <c r="R9" s="125"/>
      <c r="S9" s="115"/>
      <c r="T9" s="168"/>
      <c r="U9" s="169"/>
      <c r="V9" s="141"/>
      <c r="W9" s="161"/>
      <c r="X9" s="175"/>
      <c r="Y9" s="49"/>
    </row>
    <row r="10" ht="18.75" customHeight="1">
      <c r="A10" s="38"/>
      <c r="B10" s="105"/>
      <c r="C10" s="152"/>
      <c r="D10" s="154"/>
      <c r="E10" s="156"/>
      <c r="F10" s="157"/>
      <c r="G10" s="166"/>
      <c r="H10" s="159"/>
      <c r="I10" s="113"/>
      <c r="J10" s="119"/>
      <c r="K10" s="121"/>
      <c r="L10" s="113">
        <v>4283.0</v>
      </c>
      <c r="M10" s="176" t="s">
        <v>854</v>
      </c>
      <c r="N10" s="116"/>
      <c r="O10" s="113"/>
      <c r="P10" s="119"/>
      <c r="Q10" s="121"/>
      <c r="R10" s="125"/>
      <c r="S10" s="115"/>
      <c r="T10" s="168"/>
      <c r="U10" s="169"/>
      <c r="V10" s="141"/>
      <c r="W10" s="161"/>
      <c r="X10" s="175"/>
      <c r="Y10" s="49"/>
    </row>
    <row r="11" ht="18.75" customHeight="1">
      <c r="A11" s="38"/>
      <c r="B11" s="177"/>
      <c r="C11" s="178"/>
      <c r="D11" s="179"/>
      <c r="E11" s="180"/>
      <c r="F11" s="181"/>
      <c r="G11" s="183"/>
      <c r="H11" s="184"/>
      <c r="I11" s="185"/>
      <c r="J11" s="186"/>
      <c r="K11" s="188"/>
      <c r="L11" s="185"/>
      <c r="M11" s="186"/>
      <c r="N11" s="189"/>
      <c r="O11" s="185"/>
      <c r="P11" s="186"/>
      <c r="Q11" s="188"/>
      <c r="R11" s="192"/>
      <c r="S11" s="194"/>
      <c r="T11" s="197"/>
      <c r="U11" s="198"/>
      <c r="V11" s="199"/>
      <c r="W11" s="200"/>
      <c r="X11" s="175"/>
      <c r="Y11" s="49"/>
    </row>
    <row r="12" ht="18.75" customHeight="1">
      <c r="A12" s="38"/>
      <c r="B12" s="52"/>
      <c r="C12" s="54" t="s">
        <v>65</v>
      </c>
      <c r="D12" s="56" t="s">
        <v>66</v>
      </c>
      <c r="E12" s="57" t="s">
        <v>67</v>
      </c>
      <c r="F12" s="59" t="s">
        <v>65</v>
      </c>
      <c r="G12" s="59" t="s">
        <v>70</v>
      </c>
      <c r="H12" s="61" t="s">
        <v>67</v>
      </c>
      <c r="I12" s="59" t="s">
        <v>65</v>
      </c>
      <c r="J12" s="64" t="s">
        <v>74</v>
      </c>
      <c r="K12" s="61" t="s">
        <v>67</v>
      </c>
      <c r="L12" s="59" t="s">
        <v>65</v>
      </c>
      <c r="M12" s="66" t="s">
        <v>77</v>
      </c>
      <c r="N12" s="61" t="s">
        <v>67</v>
      </c>
      <c r="O12" s="61" t="s">
        <v>65</v>
      </c>
      <c r="P12" s="61" t="s">
        <v>78</v>
      </c>
      <c r="Q12" s="61" t="s">
        <v>67</v>
      </c>
      <c r="R12" s="59" t="s">
        <v>65</v>
      </c>
      <c r="S12" s="66" t="s">
        <v>79</v>
      </c>
      <c r="T12" s="61" t="s">
        <v>67</v>
      </c>
      <c r="U12" s="71" t="s">
        <v>65</v>
      </c>
      <c r="V12" s="71" t="s">
        <v>80</v>
      </c>
      <c r="W12" s="71" t="s">
        <v>67</v>
      </c>
      <c r="X12" s="14"/>
      <c r="Y12" s="49"/>
    </row>
    <row r="13" ht="33.75" customHeight="1">
      <c r="A13" s="74">
        <v>46174.0</v>
      </c>
      <c r="B13" s="202" t="s">
        <v>263</v>
      </c>
      <c r="C13" s="78">
        <v>3196.0</v>
      </c>
      <c r="D13" s="203" t="s">
        <v>890</v>
      </c>
      <c r="E13" s="81"/>
      <c r="F13" s="204">
        <v>4024.0</v>
      </c>
      <c r="G13" s="376" t="s">
        <v>271</v>
      </c>
      <c r="H13" s="205"/>
      <c r="I13" s="89">
        <v>8.0</v>
      </c>
      <c r="J13" s="85" t="s">
        <v>272</v>
      </c>
      <c r="K13" s="91"/>
      <c r="L13" s="204">
        <v>48.0</v>
      </c>
      <c r="M13" s="207" t="s">
        <v>274</v>
      </c>
      <c r="N13" s="377"/>
      <c r="O13" s="89">
        <v>3435.0</v>
      </c>
      <c r="P13" s="90" t="s">
        <v>276</v>
      </c>
      <c r="Q13" s="91"/>
      <c r="R13" s="92">
        <v>3330.0</v>
      </c>
      <c r="S13" s="94" t="s">
        <v>330</v>
      </c>
      <c r="T13" s="96"/>
      <c r="U13" s="97">
        <v>2929.0</v>
      </c>
      <c r="V13" s="99" t="s">
        <v>415</v>
      </c>
      <c r="W13" s="100"/>
      <c r="X13" s="14"/>
      <c r="Y13" s="49"/>
    </row>
    <row r="14" ht="33.75" customHeight="1">
      <c r="B14" s="105"/>
      <c r="C14" s="107">
        <v>4235.0</v>
      </c>
      <c r="D14" s="1428" t="s">
        <v>1007</v>
      </c>
      <c r="E14" s="111"/>
      <c r="F14" s="125">
        <v>3379.0</v>
      </c>
      <c r="G14" s="115" t="s">
        <v>281</v>
      </c>
      <c r="H14" s="209"/>
      <c r="I14" s="113"/>
      <c r="J14" s="119"/>
      <c r="K14" s="121"/>
      <c r="L14" s="210">
        <v>3407.0</v>
      </c>
      <c r="M14" s="211" t="s">
        <v>856</v>
      </c>
      <c r="N14" s="160"/>
      <c r="O14" s="113">
        <v>3455.0</v>
      </c>
      <c r="P14" s="124" t="s">
        <v>283</v>
      </c>
      <c r="Q14" s="121"/>
      <c r="R14" s="125">
        <v>3408.0</v>
      </c>
      <c r="S14" s="128" t="s">
        <v>1204</v>
      </c>
      <c r="T14" s="160"/>
      <c r="U14" s="131">
        <v>4173.0</v>
      </c>
      <c r="V14" s="132" t="s">
        <v>601</v>
      </c>
      <c r="W14" s="134"/>
      <c r="X14" s="14"/>
      <c r="Y14" s="49"/>
    </row>
    <row r="15" ht="30.0" customHeight="1">
      <c r="B15" s="105"/>
      <c r="C15" s="212">
        <v>4254.0</v>
      </c>
      <c r="D15" s="214" t="s">
        <v>2591</v>
      </c>
      <c r="E15" s="111"/>
      <c r="F15" s="125">
        <v>3244.0</v>
      </c>
      <c r="G15" s="115" t="s">
        <v>286</v>
      </c>
      <c r="H15" s="209"/>
      <c r="I15" s="113"/>
      <c r="J15" s="119"/>
      <c r="K15" s="121"/>
      <c r="L15" s="125">
        <v>4030.0</v>
      </c>
      <c r="M15" s="123" t="s">
        <v>287</v>
      </c>
      <c r="N15" s="160"/>
      <c r="O15" s="113">
        <v>822.0</v>
      </c>
      <c r="P15" s="119" t="s">
        <v>136</v>
      </c>
      <c r="Q15" s="216"/>
      <c r="R15" s="125"/>
      <c r="S15" s="128"/>
      <c r="T15" s="129"/>
      <c r="U15" s="131"/>
      <c r="V15" s="147"/>
      <c r="W15" s="161"/>
      <c r="X15" s="14"/>
      <c r="Y15" s="49"/>
    </row>
    <row r="16" ht="18.75" customHeight="1">
      <c r="B16" s="105"/>
      <c r="C16" s="107"/>
      <c r="D16" s="119"/>
      <c r="E16" s="217"/>
      <c r="F16" s="125">
        <v>3343.0</v>
      </c>
      <c r="G16" s="218" t="s">
        <v>290</v>
      </c>
      <c r="H16" s="209"/>
      <c r="I16" s="219"/>
      <c r="J16" s="220"/>
      <c r="K16" s="222"/>
      <c r="L16" s="125">
        <v>886.0</v>
      </c>
      <c r="M16" s="123" t="s">
        <v>742</v>
      </c>
      <c r="N16" s="116" t="s">
        <v>297</v>
      </c>
      <c r="O16" s="113"/>
      <c r="P16" s="119"/>
      <c r="Q16" s="216"/>
      <c r="R16" s="125"/>
      <c r="S16" s="115"/>
      <c r="T16" s="160"/>
      <c r="U16" s="169"/>
      <c r="V16" s="141"/>
      <c r="W16" s="161"/>
      <c r="X16" s="14"/>
      <c r="Y16" s="49"/>
    </row>
    <row r="17" ht="18.75" customHeight="1">
      <c r="A17" s="38"/>
      <c r="B17" s="105"/>
      <c r="C17" s="107"/>
      <c r="D17" s="119"/>
      <c r="E17" s="217"/>
      <c r="F17" s="125"/>
      <c r="G17" s="115"/>
      <c r="H17" s="209"/>
      <c r="I17" s="113"/>
      <c r="J17" s="119"/>
      <c r="K17" s="121"/>
      <c r="L17" s="125">
        <v>958.0</v>
      </c>
      <c r="M17" s="223" t="s">
        <v>294</v>
      </c>
      <c r="N17" s="173" t="s">
        <v>293</v>
      </c>
      <c r="O17" s="113"/>
      <c r="P17" s="119"/>
      <c r="Q17" s="216"/>
      <c r="R17" s="125"/>
      <c r="S17" s="115"/>
      <c r="T17" s="160"/>
      <c r="U17" s="169"/>
      <c r="V17" s="141"/>
      <c r="W17" s="161"/>
      <c r="X17" s="14"/>
      <c r="Y17" s="49"/>
    </row>
    <row r="18" ht="18.75" customHeight="1">
      <c r="A18" s="38"/>
      <c r="B18" s="105"/>
      <c r="C18" s="107"/>
      <c r="D18" s="119"/>
      <c r="E18" s="217"/>
      <c r="F18" s="125"/>
      <c r="G18" s="115"/>
      <c r="H18" s="209"/>
      <c r="I18" s="113"/>
      <c r="J18" s="119"/>
      <c r="K18" s="121"/>
      <c r="L18" s="224">
        <v>4029.0</v>
      </c>
      <c r="M18" s="225" t="s">
        <v>295</v>
      </c>
      <c r="N18" s="173" t="s">
        <v>293</v>
      </c>
      <c r="O18" s="113"/>
      <c r="P18" s="119"/>
      <c r="Q18" s="216"/>
      <c r="R18" s="125"/>
      <c r="S18" s="115"/>
      <c r="T18" s="160"/>
      <c r="U18" s="169"/>
      <c r="V18" s="141"/>
      <c r="W18" s="161"/>
      <c r="X18" s="14"/>
      <c r="Y18" s="49"/>
    </row>
    <row r="19" ht="18.75" customHeight="1">
      <c r="A19" s="38"/>
      <c r="B19" s="105"/>
      <c r="C19" s="107"/>
      <c r="D19" s="119"/>
      <c r="E19" s="217"/>
      <c r="F19" s="125"/>
      <c r="G19" s="115"/>
      <c r="H19" s="209"/>
      <c r="I19" s="113"/>
      <c r="J19" s="119"/>
      <c r="K19" s="121"/>
      <c r="L19" s="125">
        <v>4286.0</v>
      </c>
      <c r="M19" s="250" t="s">
        <v>2611</v>
      </c>
      <c r="N19" s="160"/>
      <c r="O19" s="113"/>
      <c r="P19" s="119"/>
      <c r="Q19" s="216"/>
      <c r="R19" s="125"/>
      <c r="S19" s="115"/>
      <c r="T19" s="160"/>
      <c r="U19" s="169"/>
      <c r="V19" s="141"/>
      <c r="W19" s="161"/>
      <c r="X19" s="14"/>
      <c r="Y19" s="49"/>
    </row>
    <row r="20" ht="18.75" customHeight="1">
      <c r="A20" s="38"/>
      <c r="B20" s="177"/>
      <c r="C20" s="227"/>
      <c r="D20" s="186"/>
      <c r="E20" s="228"/>
      <c r="F20" s="192"/>
      <c r="G20" s="194"/>
      <c r="H20" s="229"/>
      <c r="I20" s="185"/>
      <c r="J20" s="186"/>
      <c r="K20" s="188"/>
      <c r="L20" s="192"/>
      <c r="M20" s="230"/>
      <c r="N20" s="231"/>
      <c r="O20" s="185"/>
      <c r="P20" s="186"/>
      <c r="Q20" s="232"/>
      <c r="R20" s="192"/>
      <c r="S20" s="194"/>
      <c r="T20" s="231"/>
      <c r="U20" s="198"/>
      <c r="V20" s="199"/>
      <c r="W20" s="200"/>
      <c r="X20" s="14"/>
      <c r="Y20" s="49"/>
    </row>
    <row r="21" ht="18.75" customHeight="1">
      <c r="A21" s="38"/>
      <c r="B21" s="52"/>
      <c r="C21" s="54" t="s">
        <v>65</v>
      </c>
      <c r="D21" s="56" t="s">
        <v>66</v>
      </c>
      <c r="E21" s="57" t="s">
        <v>67</v>
      </c>
      <c r="F21" s="59" t="s">
        <v>65</v>
      </c>
      <c r="G21" s="59" t="s">
        <v>70</v>
      </c>
      <c r="H21" s="61" t="s">
        <v>67</v>
      </c>
      <c r="I21" s="59" t="s">
        <v>65</v>
      </c>
      <c r="J21" s="64" t="s">
        <v>74</v>
      </c>
      <c r="K21" s="61" t="s">
        <v>67</v>
      </c>
      <c r="L21" s="59" t="s">
        <v>65</v>
      </c>
      <c r="M21" s="66" t="s">
        <v>77</v>
      </c>
      <c r="N21" s="61" t="s">
        <v>67</v>
      </c>
      <c r="O21" s="61" t="s">
        <v>65</v>
      </c>
      <c r="P21" s="61" t="s">
        <v>78</v>
      </c>
      <c r="Q21" s="61" t="s">
        <v>67</v>
      </c>
      <c r="R21" s="59" t="s">
        <v>65</v>
      </c>
      <c r="S21" s="66" t="s">
        <v>79</v>
      </c>
      <c r="T21" s="61" t="s">
        <v>67</v>
      </c>
      <c r="U21" s="71" t="s">
        <v>65</v>
      </c>
      <c r="V21" s="71" t="s">
        <v>80</v>
      </c>
      <c r="W21" s="71" t="s">
        <v>67</v>
      </c>
      <c r="X21" s="14"/>
      <c r="Y21" s="49"/>
    </row>
    <row r="22" ht="30.0" customHeight="1">
      <c r="A22" s="74">
        <v>46175.0</v>
      </c>
      <c r="B22" s="76" t="s">
        <v>298</v>
      </c>
      <c r="C22" s="78">
        <v>1404.0</v>
      </c>
      <c r="D22" s="79" t="s">
        <v>934</v>
      </c>
      <c r="E22" s="81"/>
      <c r="F22" s="204">
        <v>3230.0</v>
      </c>
      <c r="G22" s="83" t="s">
        <v>575</v>
      </c>
      <c r="H22" s="205"/>
      <c r="I22" s="233">
        <v>386.0</v>
      </c>
      <c r="J22" s="234" t="s">
        <v>300</v>
      </c>
      <c r="K22" s="91"/>
      <c r="L22" s="204">
        <v>761.0</v>
      </c>
      <c r="M22" s="87" t="s">
        <v>301</v>
      </c>
      <c r="N22" s="205"/>
      <c r="O22" s="82">
        <v>3375.0</v>
      </c>
      <c r="P22" s="235" t="s">
        <v>302</v>
      </c>
      <c r="Q22" s="86"/>
      <c r="R22" s="204">
        <v>3486.0</v>
      </c>
      <c r="S22" s="94" t="s">
        <v>303</v>
      </c>
      <c r="T22" s="96"/>
      <c r="U22" s="97">
        <v>2943.0</v>
      </c>
      <c r="V22" s="99" t="s">
        <v>278</v>
      </c>
      <c r="W22" s="100"/>
      <c r="X22" s="14"/>
      <c r="Y22" s="49"/>
    </row>
    <row r="23" ht="32.25" customHeight="1">
      <c r="B23" s="105"/>
      <c r="C23" s="107">
        <v>4036.0</v>
      </c>
      <c r="D23" s="109" t="s">
        <v>119</v>
      </c>
      <c r="E23" s="111"/>
      <c r="F23" s="236">
        <v>3301.0</v>
      </c>
      <c r="G23" s="115" t="s">
        <v>305</v>
      </c>
      <c r="H23" s="237"/>
      <c r="I23" s="157">
        <v>4274.0</v>
      </c>
      <c r="J23" s="238" t="s">
        <v>1180</v>
      </c>
      <c r="K23" s="121"/>
      <c r="L23" s="125">
        <v>4172.0</v>
      </c>
      <c r="M23" s="241" t="s">
        <v>306</v>
      </c>
      <c r="N23" s="209"/>
      <c r="O23" s="239">
        <v>822.0</v>
      </c>
      <c r="P23" s="240" t="s">
        <v>136</v>
      </c>
      <c r="Q23" s="121"/>
      <c r="R23" s="125">
        <v>3140.0</v>
      </c>
      <c r="S23" s="115" t="s">
        <v>436</v>
      </c>
      <c r="T23" s="160"/>
      <c r="U23" s="131">
        <v>4000.0</v>
      </c>
      <c r="V23" s="132" t="s">
        <v>289</v>
      </c>
      <c r="W23" s="134"/>
      <c r="X23" s="14"/>
      <c r="Y23" s="49"/>
    </row>
    <row r="24" ht="30.0" customHeight="1">
      <c r="B24" s="105"/>
      <c r="C24" s="107">
        <v>2762.0</v>
      </c>
      <c r="D24" s="109" t="s">
        <v>719</v>
      </c>
      <c r="E24" s="111"/>
      <c r="F24" s="125">
        <v>4038.0</v>
      </c>
      <c r="G24" s="115" t="s">
        <v>309</v>
      </c>
      <c r="H24" s="209"/>
      <c r="I24" s="113"/>
      <c r="J24" s="119"/>
      <c r="K24" s="121"/>
      <c r="L24" s="125">
        <v>4237.0</v>
      </c>
      <c r="M24" s="241" t="s">
        <v>2658</v>
      </c>
      <c r="N24" s="1429" t="s">
        <v>2659</v>
      </c>
      <c r="O24" s="239"/>
      <c r="P24" s="240"/>
      <c r="Q24" s="121"/>
      <c r="R24" s="125"/>
      <c r="S24" s="128"/>
      <c r="T24" s="160"/>
      <c r="U24" s="131"/>
      <c r="V24" s="132"/>
      <c r="W24" s="161"/>
      <c r="X24" s="14"/>
      <c r="Y24" s="49"/>
    </row>
    <row r="25" ht="39.0" customHeight="1">
      <c r="B25" s="105"/>
      <c r="C25" s="107"/>
      <c r="D25" s="242"/>
      <c r="E25" s="243"/>
      <c r="F25" s="125">
        <v>4034.0</v>
      </c>
      <c r="G25" s="176" t="s">
        <v>314</v>
      </c>
      <c r="H25" s="244"/>
      <c r="I25" s="113"/>
      <c r="J25" s="119"/>
      <c r="K25" s="121"/>
      <c r="L25" s="125">
        <v>3437.0</v>
      </c>
      <c r="M25" s="123" t="s">
        <v>313</v>
      </c>
      <c r="N25" s="1429" t="s">
        <v>2659</v>
      </c>
      <c r="O25" s="113"/>
      <c r="P25" s="119"/>
      <c r="Q25" s="121"/>
      <c r="R25" s="125"/>
      <c r="S25" s="115"/>
      <c r="T25" s="245"/>
      <c r="U25" s="131"/>
      <c r="V25" s="246"/>
      <c r="W25" s="247"/>
      <c r="X25" s="14"/>
      <c r="Y25" s="49"/>
    </row>
    <row r="26" ht="29.25" customHeight="1">
      <c r="A26" s="38"/>
      <c r="B26" s="105"/>
      <c r="C26" s="107"/>
      <c r="D26" s="119"/>
      <c r="E26" s="156"/>
      <c r="F26" s="125"/>
      <c r="G26" s="481"/>
      <c r="H26" s="244"/>
      <c r="I26" s="113"/>
      <c r="J26" s="119"/>
      <c r="K26" s="121"/>
      <c r="L26" s="125">
        <v>763.0</v>
      </c>
      <c r="M26" s="123" t="s">
        <v>315</v>
      </c>
      <c r="N26" s="116" t="s">
        <v>297</v>
      </c>
      <c r="O26" s="113"/>
      <c r="P26" s="119"/>
      <c r="Q26" s="121"/>
      <c r="R26" s="125"/>
      <c r="S26" s="115"/>
      <c r="T26" s="160"/>
      <c r="U26" s="169"/>
      <c r="V26" s="141"/>
      <c r="W26" s="161"/>
      <c r="X26" s="14"/>
      <c r="Y26" s="49"/>
    </row>
    <row r="27" ht="18.75" customHeight="1">
      <c r="A27" s="38"/>
      <c r="B27" s="105"/>
      <c r="C27" s="107"/>
      <c r="D27" s="119"/>
      <c r="E27" s="156"/>
      <c r="F27" s="125"/>
      <c r="G27" s="115"/>
      <c r="H27" s="244"/>
      <c r="I27" s="113"/>
      <c r="J27" s="119"/>
      <c r="K27" s="121"/>
      <c r="L27" s="125">
        <v>4354.0</v>
      </c>
      <c r="M27" s="123" t="s">
        <v>2686</v>
      </c>
      <c r="N27" s="209"/>
      <c r="O27" s="113"/>
      <c r="P27" s="119"/>
      <c r="Q27" s="121"/>
      <c r="R27" s="125"/>
      <c r="S27" s="115"/>
      <c r="T27" s="160"/>
      <c r="U27" s="169"/>
      <c r="V27" s="141"/>
      <c r="W27" s="161"/>
      <c r="X27" s="14"/>
      <c r="Y27" s="49"/>
    </row>
    <row r="28" ht="18.75" customHeight="1">
      <c r="A28" s="38"/>
      <c r="B28" s="105"/>
      <c r="C28" s="107"/>
      <c r="D28" s="119"/>
      <c r="E28" s="156"/>
      <c r="F28" s="125"/>
      <c r="G28" s="115"/>
      <c r="H28" s="244"/>
      <c r="I28" s="113"/>
      <c r="J28" s="119"/>
      <c r="K28" s="121"/>
      <c r="L28" s="543">
        <v>4017.0</v>
      </c>
      <c r="M28" s="250" t="s">
        <v>763</v>
      </c>
      <c r="N28" s="1430"/>
      <c r="O28" s="113"/>
      <c r="P28" s="119"/>
      <c r="Q28" s="121"/>
      <c r="R28" s="125"/>
      <c r="S28" s="115"/>
      <c r="T28" s="160"/>
      <c r="U28" s="169"/>
      <c r="V28" s="141"/>
      <c r="W28" s="161"/>
      <c r="X28" s="14"/>
      <c r="Y28" s="49"/>
    </row>
    <row r="29" ht="18.75" customHeight="1">
      <c r="A29" s="38"/>
      <c r="B29" s="177"/>
      <c r="C29" s="227"/>
      <c r="D29" s="186"/>
      <c r="E29" s="180"/>
      <c r="F29" s="192"/>
      <c r="G29" s="194"/>
      <c r="H29" s="251"/>
      <c r="I29" s="185"/>
      <c r="J29" s="186"/>
      <c r="K29" s="188"/>
      <c r="L29" s="192"/>
      <c r="M29" s="1431"/>
      <c r="N29" s="205"/>
      <c r="O29" s="185"/>
      <c r="P29" s="186"/>
      <c r="Q29" s="188"/>
      <c r="R29" s="192"/>
      <c r="S29" s="194"/>
      <c r="T29" s="231"/>
      <c r="U29" s="198"/>
      <c r="V29" s="199"/>
      <c r="W29" s="200"/>
      <c r="X29" s="14"/>
      <c r="Y29" s="49"/>
    </row>
    <row r="30" ht="18.75" customHeight="1">
      <c r="A30" s="38"/>
      <c r="B30" s="52"/>
      <c r="C30" s="54" t="s">
        <v>65</v>
      </c>
      <c r="D30" s="56" t="s">
        <v>66</v>
      </c>
      <c r="E30" s="57" t="s">
        <v>67</v>
      </c>
      <c r="F30" s="59" t="s">
        <v>65</v>
      </c>
      <c r="G30" s="59" t="s">
        <v>70</v>
      </c>
      <c r="H30" s="61" t="s">
        <v>67</v>
      </c>
      <c r="I30" s="59" t="s">
        <v>65</v>
      </c>
      <c r="J30" s="64" t="s">
        <v>74</v>
      </c>
      <c r="K30" s="61" t="s">
        <v>67</v>
      </c>
      <c r="L30" s="59" t="s">
        <v>65</v>
      </c>
      <c r="M30" s="66" t="s">
        <v>77</v>
      </c>
      <c r="N30" s="61" t="s">
        <v>67</v>
      </c>
      <c r="O30" s="61" t="s">
        <v>65</v>
      </c>
      <c r="P30" s="61" t="s">
        <v>78</v>
      </c>
      <c r="Q30" s="61" t="s">
        <v>67</v>
      </c>
      <c r="R30" s="59" t="s">
        <v>65</v>
      </c>
      <c r="S30" s="66" t="s">
        <v>79</v>
      </c>
      <c r="T30" s="61" t="s">
        <v>67</v>
      </c>
      <c r="U30" s="71" t="s">
        <v>65</v>
      </c>
      <c r="V30" s="71" t="s">
        <v>80</v>
      </c>
      <c r="W30" s="71" t="s">
        <v>67</v>
      </c>
      <c r="X30" s="14"/>
      <c r="Y30" s="49"/>
    </row>
    <row r="31" ht="32.25" customHeight="1">
      <c r="A31" s="74">
        <v>46176.0</v>
      </c>
      <c r="B31" s="254" t="s">
        <v>319</v>
      </c>
      <c r="C31" s="78">
        <v>4045.0</v>
      </c>
      <c r="D31" s="203" t="s">
        <v>320</v>
      </c>
      <c r="E31" s="81"/>
      <c r="F31" s="257">
        <v>3316.0</v>
      </c>
      <c r="G31" s="1432" t="s">
        <v>1155</v>
      </c>
      <c r="H31" s="205"/>
      <c r="I31" s="260">
        <v>380.0</v>
      </c>
      <c r="J31" s="261" t="s">
        <v>323</v>
      </c>
      <c r="K31" s="91"/>
      <c r="L31" s="82">
        <v>4120.0</v>
      </c>
      <c r="M31" s="87" t="s">
        <v>324</v>
      </c>
      <c r="N31" s="205" t="s">
        <v>297</v>
      </c>
      <c r="O31" s="263">
        <v>3527.0</v>
      </c>
      <c r="P31" s="264" t="s">
        <v>329</v>
      </c>
      <c r="Q31" s="86"/>
      <c r="R31" s="204">
        <v>2904.0</v>
      </c>
      <c r="S31" s="94" t="s">
        <v>420</v>
      </c>
      <c r="T31" s="96"/>
      <c r="U31" s="97"/>
      <c r="V31" s="1433"/>
      <c r="W31" s="100"/>
      <c r="X31" s="266"/>
      <c r="Y31" s="49"/>
    </row>
    <row r="32" ht="31.5" customHeight="1">
      <c r="B32" s="105"/>
      <c r="C32" s="107">
        <v>1922.0</v>
      </c>
      <c r="D32" s="109" t="s">
        <v>963</v>
      </c>
      <c r="E32" s="111"/>
      <c r="F32" s="125">
        <v>31.0</v>
      </c>
      <c r="G32" s="464" t="s">
        <v>453</v>
      </c>
      <c r="H32" s="209"/>
      <c r="I32" s="273">
        <v>3832.0</v>
      </c>
      <c r="J32" s="275" t="s">
        <v>1182</v>
      </c>
      <c r="K32" s="121"/>
      <c r="L32" s="113">
        <v>1873.0</v>
      </c>
      <c r="M32" s="138" t="s">
        <v>343</v>
      </c>
      <c r="N32" s="209"/>
      <c r="O32" s="276">
        <v>3454.0</v>
      </c>
      <c r="P32" s="277" t="s">
        <v>346</v>
      </c>
      <c r="Q32" s="121"/>
      <c r="R32" s="125">
        <v>4239.0</v>
      </c>
      <c r="S32" s="115" t="s">
        <v>1213</v>
      </c>
      <c r="T32" s="160"/>
      <c r="U32" s="131">
        <v>3194.0</v>
      </c>
      <c r="V32" s="132" t="s">
        <v>1031</v>
      </c>
      <c r="W32" s="134"/>
      <c r="X32" s="14"/>
      <c r="Y32" s="49"/>
    </row>
    <row r="33" ht="27.75" customHeight="1">
      <c r="B33" s="105"/>
      <c r="C33" s="107">
        <v>385.0</v>
      </c>
      <c r="D33" s="109" t="s">
        <v>86</v>
      </c>
      <c r="E33" s="111"/>
      <c r="F33" s="125">
        <v>4055.0</v>
      </c>
      <c r="G33" s="109" t="s">
        <v>355</v>
      </c>
      <c r="H33" s="209"/>
      <c r="I33" s="278"/>
      <c r="J33" s="119"/>
      <c r="K33" s="121"/>
      <c r="L33" s="279">
        <v>1151.0</v>
      </c>
      <c r="M33" s="280" t="s">
        <v>359</v>
      </c>
      <c r="N33" s="209" t="s">
        <v>297</v>
      </c>
      <c r="O33" s="113">
        <v>2079.0</v>
      </c>
      <c r="P33" s="282" t="s">
        <v>361</v>
      </c>
      <c r="Q33" s="283">
        <v>200.0</v>
      </c>
      <c r="R33" s="125"/>
      <c r="S33" s="132"/>
      <c r="T33" s="284"/>
      <c r="U33" s="286"/>
      <c r="V33" s="132"/>
      <c r="W33" s="161"/>
      <c r="X33" s="14"/>
      <c r="Y33" s="49"/>
    </row>
    <row r="34" ht="33.0" customHeight="1">
      <c r="B34" s="105"/>
      <c r="C34" s="107"/>
      <c r="D34" s="109"/>
      <c r="E34" s="156"/>
      <c r="F34" s="125">
        <v>3306.0</v>
      </c>
      <c r="G34" s="176" t="s">
        <v>455</v>
      </c>
      <c r="H34" s="244"/>
      <c r="I34" s="278"/>
      <c r="J34" s="119"/>
      <c r="K34" s="121"/>
      <c r="L34" s="279">
        <v>4238.0</v>
      </c>
      <c r="M34" s="123" t="s">
        <v>2760</v>
      </c>
      <c r="N34" s="1434"/>
      <c r="O34" s="113">
        <v>822.0</v>
      </c>
      <c r="P34" s="109" t="s">
        <v>136</v>
      </c>
      <c r="Q34" s="289"/>
      <c r="R34" s="125"/>
      <c r="S34" s="290"/>
      <c r="T34" s="245"/>
      <c r="U34" s="131"/>
      <c r="V34" s="246"/>
      <c r="W34" s="247"/>
      <c r="X34" s="14"/>
      <c r="Y34" s="49"/>
    </row>
    <row r="35" ht="18.75" customHeight="1">
      <c r="A35" s="38"/>
      <c r="B35" s="105"/>
      <c r="C35" s="107"/>
      <c r="D35" s="119"/>
      <c r="E35" s="156"/>
      <c r="F35" s="125"/>
      <c r="G35" s="119"/>
      <c r="H35" s="244"/>
      <c r="I35" s="113"/>
      <c r="J35" s="220"/>
      <c r="K35" s="222"/>
      <c r="L35" s="279">
        <v>3515.0</v>
      </c>
      <c r="M35" s="167" t="s">
        <v>2766</v>
      </c>
      <c r="N35" s="173"/>
      <c r="O35" s="113"/>
      <c r="P35" s="119"/>
      <c r="Q35" s="216"/>
      <c r="R35" s="125"/>
      <c r="S35" s="115"/>
      <c r="T35" s="160"/>
      <c r="U35" s="131"/>
      <c r="V35" s="132"/>
      <c r="W35" s="161"/>
      <c r="X35" s="14"/>
      <c r="Y35" s="49"/>
    </row>
    <row r="36" ht="18.75" customHeight="1">
      <c r="A36" s="38"/>
      <c r="B36" s="105"/>
      <c r="C36" s="107"/>
      <c r="D36" s="119"/>
      <c r="E36" s="156"/>
      <c r="F36" s="125"/>
      <c r="G36" s="119"/>
      <c r="H36" s="244"/>
      <c r="I36" s="113"/>
      <c r="J36" s="119"/>
      <c r="K36" s="160"/>
      <c r="L36" s="291">
        <v>1051.0</v>
      </c>
      <c r="M36" s="1425" t="s">
        <v>1622</v>
      </c>
      <c r="N36" s="173" t="s">
        <v>293</v>
      </c>
      <c r="O36" s="113"/>
      <c r="P36" s="119"/>
      <c r="Q36" s="216"/>
      <c r="R36" s="125"/>
      <c r="S36" s="115"/>
      <c r="T36" s="160"/>
      <c r="U36" s="169"/>
      <c r="V36" s="141"/>
      <c r="W36" s="161"/>
      <c r="X36" s="14"/>
      <c r="Y36" s="49"/>
    </row>
    <row r="37" ht="18.75" customHeight="1">
      <c r="A37" s="38"/>
      <c r="B37" s="105"/>
      <c r="C37" s="107"/>
      <c r="D37" s="119"/>
      <c r="E37" s="156"/>
      <c r="F37" s="125"/>
      <c r="G37" s="119"/>
      <c r="H37" s="244"/>
      <c r="I37" s="113"/>
      <c r="J37" s="119"/>
      <c r="K37" s="121"/>
      <c r="L37" s="279">
        <v>4032.0</v>
      </c>
      <c r="M37" s="295" t="s">
        <v>375</v>
      </c>
      <c r="N37" s="159"/>
      <c r="O37" s="113"/>
      <c r="P37" s="119"/>
      <c r="Q37" s="216"/>
      <c r="R37" s="125"/>
      <c r="S37" s="115"/>
      <c r="T37" s="160"/>
      <c r="U37" s="169"/>
      <c r="V37" s="141"/>
      <c r="W37" s="161"/>
      <c r="X37" s="14"/>
      <c r="Y37" s="49"/>
    </row>
    <row r="38" ht="18.75" customHeight="1">
      <c r="A38" s="38"/>
      <c r="B38" s="177"/>
      <c r="C38" s="227"/>
      <c r="D38" s="186"/>
      <c r="E38" s="180"/>
      <c r="F38" s="192"/>
      <c r="G38" s="186"/>
      <c r="H38" s="251"/>
      <c r="I38" s="185"/>
      <c r="J38" s="186"/>
      <c r="K38" s="188"/>
      <c r="L38" s="296"/>
      <c r="M38" s="297"/>
      <c r="N38" s="184"/>
      <c r="O38" s="185"/>
      <c r="P38" s="186"/>
      <c r="Q38" s="232"/>
      <c r="R38" s="192"/>
      <c r="S38" s="194"/>
      <c r="T38" s="231"/>
      <c r="U38" s="198"/>
      <c r="V38" s="199"/>
      <c r="W38" s="200"/>
      <c r="X38" s="14"/>
      <c r="Y38" s="49"/>
    </row>
    <row r="39" ht="18.75" customHeight="1">
      <c r="A39" s="38"/>
      <c r="B39" s="52"/>
      <c r="C39" s="54" t="s">
        <v>65</v>
      </c>
      <c r="D39" s="56" t="s">
        <v>66</v>
      </c>
      <c r="E39" s="57" t="s">
        <v>67</v>
      </c>
      <c r="F39" s="59" t="s">
        <v>65</v>
      </c>
      <c r="G39" s="59" t="s">
        <v>70</v>
      </c>
      <c r="H39" s="61" t="s">
        <v>67</v>
      </c>
      <c r="I39" s="59" t="s">
        <v>65</v>
      </c>
      <c r="J39" s="64" t="s">
        <v>74</v>
      </c>
      <c r="K39" s="61" t="s">
        <v>67</v>
      </c>
      <c r="L39" s="59" t="s">
        <v>65</v>
      </c>
      <c r="M39" s="66" t="s">
        <v>77</v>
      </c>
      <c r="N39" s="61" t="s">
        <v>67</v>
      </c>
      <c r="O39" s="61" t="s">
        <v>65</v>
      </c>
      <c r="P39" s="61" t="s">
        <v>78</v>
      </c>
      <c r="Q39" s="61" t="s">
        <v>67</v>
      </c>
      <c r="R39" s="59" t="s">
        <v>65</v>
      </c>
      <c r="S39" s="66" t="s">
        <v>79</v>
      </c>
      <c r="T39" s="61" t="s">
        <v>67</v>
      </c>
      <c r="U39" s="71" t="s">
        <v>65</v>
      </c>
      <c r="V39" s="71" t="s">
        <v>80</v>
      </c>
      <c r="W39" s="71" t="s">
        <v>67</v>
      </c>
      <c r="X39" s="14"/>
      <c r="Y39" s="49"/>
    </row>
    <row r="40" ht="33.0" customHeight="1">
      <c r="A40" s="74">
        <v>46177.0</v>
      </c>
      <c r="B40" s="76" t="s">
        <v>376</v>
      </c>
      <c r="C40" s="78">
        <v>3970.0</v>
      </c>
      <c r="D40" s="203" t="s">
        <v>1247</v>
      </c>
      <c r="E40" s="81"/>
      <c r="F40" s="204">
        <v>3323.0</v>
      </c>
      <c r="G40" s="83" t="s">
        <v>378</v>
      </c>
      <c r="H40" s="205"/>
      <c r="I40" s="82">
        <v>2288.0</v>
      </c>
      <c r="J40" s="85" t="s">
        <v>379</v>
      </c>
      <c r="K40" s="91"/>
      <c r="L40" s="298">
        <v>383.0</v>
      </c>
      <c r="M40" s="87" t="s">
        <v>817</v>
      </c>
      <c r="N40" s="205"/>
      <c r="O40" s="82">
        <v>3528.0</v>
      </c>
      <c r="P40" s="235" t="s">
        <v>463</v>
      </c>
      <c r="Q40" s="91"/>
      <c r="R40" s="204">
        <v>3.0</v>
      </c>
      <c r="S40" s="94" t="s">
        <v>404</v>
      </c>
      <c r="T40" s="96"/>
      <c r="U40" s="97"/>
      <c r="V40" s="1433"/>
      <c r="W40" s="100"/>
      <c r="X40" s="14"/>
      <c r="Y40" s="49"/>
    </row>
    <row r="41" ht="33.0" customHeight="1">
      <c r="B41" s="105"/>
      <c r="C41" s="107">
        <v>4037.0</v>
      </c>
      <c r="D41" s="119" t="s">
        <v>383</v>
      </c>
      <c r="E41" s="111"/>
      <c r="F41" s="125">
        <v>4058.0</v>
      </c>
      <c r="G41" s="115" t="s">
        <v>384</v>
      </c>
      <c r="H41" s="209"/>
      <c r="I41" s="113"/>
      <c r="J41" s="119"/>
      <c r="K41" s="121"/>
      <c r="L41" s="299">
        <v>4069.0</v>
      </c>
      <c r="M41" s="300" t="s">
        <v>385</v>
      </c>
      <c r="N41" s="160" t="s">
        <v>297</v>
      </c>
      <c r="O41" s="113">
        <v>822.0</v>
      </c>
      <c r="P41" s="119" t="s">
        <v>136</v>
      </c>
      <c r="Q41" s="216"/>
      <c r="R41" s="125">
        <v>2364.0</v>
      </c>
      <c r="S41" s="115" t="s">
        <v>387</v>
      </c>
      <c r="T41" s="160"/>
      <c r="U41" s="131">
        <v>3998.0</v>
      </c>
      <c r="V41" s="132" t="s">
        <v>388</v>
      </c>
      <c r="W41" s="134"/>
      <c r="X41" s="14"/>
      <c r="Y41" s="49"/>
    </row>
    <row r="42" ht="30.75" customHeight="1">
      <c r="B42" s="105"/>
      <c r="C42" s="107">
        <v>4242.0</v>
      </c>
      <c r="D42" s="109" t="s">
        <v>1019</v>
      </c>
      <c r="E42" s="111"/>
      <c r="F42" s="301">
        <v>2706.0</v>
      </c>
      <c r="G42" s="166" t="s">
        <v>390</v>
      </c>
      <c r="H42" s="237"/>
      <c r="I42" s="113"/>
      <c r="J42" s="119"/>
      <c r="K42" s="121"/>
      <c r="L42" s="303">
        <v>4067.0</v>
      </c>
      <c r="M42" s="304" t="s">
        <v>391</v>
      </c>
      <c r="N42" s="160" t="s">
        <v>297</v>
      </c>
      <c r="O42" s="113"/>
      <c r="P42" s="119"/>
      <c r="Q42" s="216"/>
      <c r="R42" s="125"/>
      <c r="S42" s="305"/>
      <c r="T42" s="160"/>
      <c r="U42" s="131"/>
      <c r="V42" s="132"/>
      <c r="W42" s="161"/>
      <c r="X42" s="14"/>
      <c r="Y42" s="49"/>
    </row>
    <row r="43" ht="30.75" customHeight="1">
      <c r="B43" s="105"/>
      <c r="C43" s="107"/>
      <c r="D43" s="109"/>
      <c r="E43" s="217"/>
      <c r="F43" s="301">
        <v>3823.0</v>
      </c>
      <c r="G43" s="158" t="s">
        <v>393</v>
      </c>
      <c r="H43" s="306"/>
      <c r="I43" s="113"/>
      <c r="J43" s="220"/>
      <c r="K43" s="222"/>
      <c r="L43" s="125">
        <v>4068.0</v>
      </c>
      <c r="M43" s="307" t="s">
        <v>394</v>
      </c>
      <c r="N43" s="160" t="s">
        <v>297</v>
      </c>
      <c r="O43" s="113"/>
      <c r="P43" s="119"/>
      <c r="Q43" s="289"/>
      <c r="R43" s="125"/>
      <c r="S43" s="115"/>
      <c r="T43" s="245"/>
      <c r="U43" s="169"/>
      <c r="V43" s="308"/>
      <c r="W43" s="247"/>
      <c r="X43" s="14"/>
      <c r="Y43" s="49"/>
    </row>
    <row r="44" ht="18.75" customHeight="1">
      <c r="A44" s="38"/>
      <c r="B44" s="105"/>
      <c r="C44" s="309"/>
      <c r="D44" s="310"/>
      <c r="E44" s="156"/>
      <c r="F44" s="125"/>
      <c r="G44" s="115"/>
      <c r="H44" s="311"/>
      <c r="I44" s="312"/>
      <c r="J44" s="313"/>
      <c r="K44" s="314"/>
      <c r="L44" s="125">
        <v>1092.0</v>
      </c>
      <c r="M44" s="123" t="s">
        <v>2810</v>
      </c>
      <c r="N44" s="160"/>
      <c r="O44" s="315"/>
      <c r="P44" s="316"/>
      <c r="Q44" s="317"/>
      <c r="R44" s="301"/>
      <c r="S44" s="166"/>
      <c r="T44" s="168"/>
      <c r="U44" s="318"/>
      <c r="V44" s="319"/>
      <c r="W44" s="320"/>
      <c r="X44" s="14"/>
      <c r="Y44" s="49"/>
    </row>
    <row r="45" ht="18.75" customHeight="1">
      <c r="A45" s="38"/>
      <c r="B45" s="105"/>
      <c r="C45" s="309"/>
      <c r="D45" s="310"/>
      <c r="E45" s="156"/>
      <c r="F45" s="125"/>
      <c r="G45" s="115"/>
      <c r="H45" s="311"/>
      <c r="I45" s="312"/>
      <c r="J45" s="313"/>
      <c r="K45" s="314"/>
      <c r="L45" s="125">
        <v>3051.0</v>
      </c>
      <c r="M45" s="123" t="s">
        <v>838</v>
      </c>
      <c r="N45" s="160"/>
      <c r="O45" s="315"/>
      <c r="P45" s="316"/>
      <c r="Q45" s="317"/>
      <c r="R45" s="321"/>
      <c r="S45" s="322"/>
      <c r="T45" s="168"/>
      <c r="U45" s="318"/>
      <c r="V45" s="319"/>
      <c r="W45" s="320"/>
      <c r="X45" s="14"/>
      <c r="Y45" s="49"/>
    </row>
    <row r="46" ht="18.75" customHeight="1">
      <c r="A46" s="38"/>
      <c r="B46" s="105"/>
      <c r="C46" s="309"/>
      <c r="D46" s="310"/>
      <c r="E46" s="156"/>
      <c r="F46" s="125"/>
      <c r="G46" s="115"/>
      <c r="H46" s="311"/>
      <c r="I46" s="312"/>
      <c r="J46" s="313"/>
      <c r="K46" s="314"/>
      <c r="L46" s="125">
        <v>3008.0</v>
      </c>
      <c r="M46" s="123" t="s">
        <v>789</v>
      </c>
      <c r="N46" s="160"/>
      <c r="O46" s="315"/>
      <c r="P46" s="316"/>
      <c r="Q46" s="317"/>
      <c r="R46" s="321"/>
      <c r="S46" s="322"/>
      <c r="T46" s="168"/>
      <c r="U46" s="318"/>
      <c r="V46" s="319"/>
      <c r="W46" s="320"/>
      <c r="X46" s="14"/>
      <c r="Y46" s="49"/>
    </row>
    <row r="47" ht="18.75" customHeight="1">
      <c r="A47" s="38"/>
      <c r="B47" s="177"/>
      <c r="C47" s="323"/>
      <c r="D47" s="324"/>
      <c r="E47" s="180"/>
      <c r="F47" s="192"/>
      <c r="G47" s="194"/>
      <c r="H47" s="325"/>
      <c r="I47" s="326"/>
      <c r="J47" s="327"/>
      <c r="K47" s="328"/>
      <c r="L47" s="192">
        <v>113.0</v>
      </c>
      <c r="M47" s="1439" t="s">
        <v>558</v>
      </c>
      <c r="N47" s="231"/>
      <c r="O47" s="330"/>
      <c r="P47" s="331"/>
      <c r="Q47" s="332"/>
      <c r="R47" s="333"/>
      <c r="S47" s="334"/>
      <c r="T47" s="197"/>
      <c r="U47" s="335"/>
      <c r="V47" s="336"/>
      <c r="W47" s="337"/>
      <c r="X47" s="14"/>
      <c r="Y47" s="49"/>
    </row>
    <row r="48" ht="15.75" customHeight="1">
      <c r="A48" s="38"/>
      <c r="B48" s="14"/>
      <c r="C48" s="15"/>
      <c r="D48" s="17"/>
      <c r="E48" s="19"/>
      <c r="F48" s="21"/>
      <c r="G48" s="338"/>
      <c r="H48" s="27"/>
      <c r="I48" s="28"/>
      <c r="J48" s="31"/>
      <c r="K48" s="28"/>
      <c r="L48" s="21"/>
      <c r="M48" s="339"/>
      <c r="N48" s="340" t="s">
        <v>399</v>
      </c>
      <c r="O48" s="27"/>
      <c r="P48" s="17"/>
      <c r="Q48" s="28"/>
      <c r="R48" s="28"/>
      <c r="S48" s="34"/>
      <c r="T48" s="35"/>
      <c r="U48" s="14"/>
      <c r="V48" s="14"/>
      <c r="W48" s="14"/>
      <c r="X48" s="14"/>
      <c r="Y48" s="49"/>
    </row>
    <row r="49" ht="15.75" customHeight="1">
      <c r="A49" s="38"/>
      <c r="B49" s="341" t="s">
        <v>400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7"/>
      <c r="U49" s="14"/>
      <c r="V49" s="14"/>
      <c r="W49" s="14"/>
      <c r="X49" s="14"/>
      <c r="Y49" s="49"/>
    </row>
    <row r="50" ht="18.75" customHeight="1">
      <c r="A50" s="38"/>
      <c r="B50" s="52"/>
      <c r="C50" s="54" t="s">
        <v>65</v>
      </c>
      <c r="D50" s="56" t="s">
        <v>66</v>
      </c>
      <c r="E50" s="57" t="s">
        <v>67</v>
      </c>
      <c r="F50" s="59" t="s">
        <v>65</v>
      </c>
      <c r="G50" s="59" t="s">
        <v>70</v>
      </c>
      <c r="H50" s="61" t="s">
        <v>67</v>
      </c>
      <c r="I50" s="59" t="s">
        <v>65</v>
      </c>
      <c r="J50" s="64" t="s">
        <v>74</v>
      </c>
      <c r="K50" s="61" t="s">
        <v>67</v>
      </c>
      <c r="L50" s="59"/>
      <c r="M50" s="342" t="s">
        <v>77</v>
      </c>
      <c r="N50" s="61" t="s">
        <v>67</v>
      </c>
      <c r="O50" s="61" t="s">
        <v>65</v>
      </c>
      <c r="P50" s="61" t="s">
        <v>78</v>
      </c>
      <c r="Q50" s="61" t="s">
        <v>67</v>
      </c>
      <c r="R50" s="59" t="s">
        <v>65</v>
      </c>
      <c r="S50" s="66" t="s">
        <v>79</v>
      </c>
      <c r="T50" s="61" t="s">
        <v>67</v>
      </c>
      <c r="U50" s="71" t="s">
        <v>65</v>
      </c>
      <c r="V50" s="71" t="s">
        <v>80</v>
      </c>
      <c r="W50" s="71" t="s">
        <v>67</v>
      </c>
      <c r="X50" s="14"/>
      <c r="Y50" s="49"/>
    </row>
    <row r="51" ht="32.25" customHeight="1">
      <c r="A51" s="74">
        <v>46180.0</v>
      </c>
      <c r="B51" s="76" t="s">
        <v>84</v>
      </c>
      <c r="C51" s="78">
        <v>2898.0</v>
      </c>
      <c r="D51" s="79" t="s">
        <v>1005</v>
      </c>
      <c r="E51" s="343">
        <v>137.0</v>
      </c>
      <c r="F51" s="82">
        <v>2686.0</v>
      </c>
      <c r="G51" s="83" t="s">
        <v>402</v>
      </c>
      <c r="H51" s="84">
        <v>217.0</v>
      </c>
      <c r="I51" s="344">
        <v>793.0</v>
      </c>
      <c r="J51" s="234" t="s">
        <v>93</v>
      </c>
      <c r="K51" s="96">
        <v>209.0</v>
      </c>
      <c r="L51" s="345">
        <v>3737.0</v>
      </c>
      <c r="M51" s="346" t="s">
        <v>403</v>
      </c>
      <c r="N51" s="84" t="s">
        <v>297</v>
      </c>
      <c r="O51" s="204">
        <v>4224.0</v>
      </c>
      <c r="P51" s="235" t="s">
        <v>798</v>
      </c>
      <c r="Q51" s="96">
        <v>206.0</v>
      </c>
      <c r="R51" s="82">
        <v>4239.0</v>
      </c>
      <c r="S51" s="94" t="s">
        <v>1213</v>
      </c>
      <c r="T51" s="91">
        <v>94.0</v>
      </c>
      <c r="U51" s="97">
        <v>2943.0</v>
      </c>
      <c r="V51" s="99" t="s">
        <v>278</v>
      </c>
      <c r="W51" s="100">
        <v>91.0</v>
      </c>
      <c r="X51" s="101" t="s">
        <v>111</v>
      </c>
      <c r="Y51" s="103"/>
    </row>
    <row r="52" ht="30.75" customHeight="1">
      <c r="B52" s="105"/>
      <c r="C52" s="107">
        <v>4206.0</v>
      </c>
      <c r="D52" s="109" t="s">
        <v>995</v>
      </c>
      <c r="E52" s="111">
        <v>142.0</v>
      </c>
      <c r="F52" s="157">
        <v>884.0</v>
      </c>
      <c r="G52" s="166" t="s">
        <v>2875</v>
      </c>
      <c r="H52" s="116">
        <v>200.0</v>
      </c>
      <c r="I52" s="301">
        <v>822.0</v>
      </c>
      <c r="J52" s="238" t="s">
        <v>136</v>
      </c>
      <c r="K52" s="160"/>
      <c r="L52" s="113">
        <v>1009.0</v>
      </c>
      <c r="M52" s="138" t="s">
        <v>406</v>
      </c>
      <c r="N52" s="116" t="s">
        <v>297</v>
      </c>
      <c r="O52" s="125"/>
      <c r="P52" s="124"/>
      <c r="Q52" s="160">
        <v>25.0</v>
      </c>
      <c r="R52" s="113">
        <v>2364.0</v>
      </c>
      <c r="S52" s="115" t="s">
        <v>407</v>
      </c>
      <c r="T52" s="121">
        <v>99.0</v>
      </c>
      <c r="U52" s="131">
        <v>3996.0</v>
      </c>
      <c r="V52" s="132" t="s">
        <v>382</v>
      </c>
      <c r="W52" s="134"/>
      <c r="X52" s="347" t="s">
        <v>155</v>
      </c>
      <c r="Y52" s="103"/>
    </row>
    <row r="53" ht="29.25" customHeight="1">
      <c r="B53" s="105"/>
      <c r="C53" s="107">
        <v>4098.0</v>
      </c>
      <c r="D53" s="109" t="s">
        <v>421</v>
      </c>
      <c r="E53" s="111">
        <v>79.0</v>
      </c>
      <c r="F53" s="157">
        <v>3165.0</v>
      </c>
      <c r="G53" s="166" t="s">
        <v>731</v>
      </c>
      <c r="H53" s="116">
        <v>132.0</v>
      </c>
      <c r="I53" s="301">
        <v>1237.0</v>
      </c>
      <c r="J53" s="348" t="s">
        <v>2721</v>
      </c>
      <c r="K53" s="160"/>
      <c r="L53" s="113">
        <v>546.0</v>
      </c>
      <c r="M53" s="123" t="s">
        <v>408</v>
      </c>
      <c r="N53" s="116"/>
      <c r="O53" s="125"/>
      <c r="P53" s="119"/>
      <c r="Q53" s="160"/>
      <c r="R53" s="113"/>
      <c r="S53" s="132"/>
      <c r="T53" s="216"/>
      <c r="U53" s="131">
        <v>2079.0</v>
      </c>
      <c r="V53" s="468" t="s">
        <v>361</v>
      </c>
      <c r="W53" s="134"/>
      <c r="X53" s="150" t="s">
        <v>170</v>
      </c>
      <c r="Y53" s="103"/>
    </row>
    <row r="54" ht="29.25" customHeight="1">
      <c r="B54" s="105"/>
      <c r="C54" s="349"/>
      <c r="D54" s="350"/>
      <c r="E54" s="217"/>
      <c r="F54" s="291">
        <v>4184.0</v>
      </c>
      <c r="G54" s="351" t="s">
        <v>750</v>
      </c>
      <c r="H54" s="352">
        <v>57.0</v>
      </c>
      <c r="I54" s="301"/>
      <c r="J54" s="238"/>
      <c r="K54" s="245"/>
      <c r="L54" s="113">
        <v>4294.0</v>
      </c>
      <c r="M54" s="167" t="s">
        <v>2889</v>
      </c>
      <c r="N54" s="1440" t="s">
        <v>293</v>
      </c>
      <c r="O54" s="125"/>
      <c r="P54" s="119"/>
      <c r="Q54" s="245"/>
      <c r="R54" s="113"/>
      <c r="S54" s="290"/>
      <c r="T54" s="289"/>
      <c r="U54" s="131"/>
      <c r="V54" s="246"/>
      <c r="W54" s="247"/>
      <c r="X54" s="163" t="s">
        <v>188</v>
      </c>
      <c r="Y54" s="49"/>
    </row>
    <row r="55" ht="18.0" customHeight="1">
      <c r="A55" s="38"/>
      <c r="B55" s="105"/>
      <c r="C55" s="349"/>
      <c r="D55" s="350"/>
      <c r="E55" s="217"/>
      <c r="F55" s="353"/>
      <c r="G55" s="354"/>
      <c r="H55" s="352"/>
      <c r="I55" s="301"/>
      <c r="J55" s="238"/>
      <c r="K55" s="160"/>
      <c r="L55" s="113">
        <v>4295.0</v>
      </c>
      <c r="M55" s="167" t="s">
        <v>863</v>
      </c>
      <c r="N55" s="352"/>
      <c r="O55" s="125"/>
      <c r="P55" s="119"/>
      <c r="Q55" s="160"/>
      <c r="R55" s="113"/>
      <c r="S55" s="115"/>
      <c r="T55" s="216"/>
      <c r="U55" s="169"/>
      <c r="V55" s="141"/>
      <c r="W55" s="161"/>
      <c r="X55" s="170" t="s">
        <v>203</v>
      </c>
      <c r="Y55" s="49"/>
    </row>
    <row r="56" ht="18.0" customHeight="1">
      <c r="A56" s="38"/>
      <c r="B56" s="105"/>
      <c r="C56" s="349"/>
      <c r="D56" s="350"/>
      <c r="E56" s="217"/>
      <c r="F56" s="353"/>
      <c r="G56" s="354"/>
      <c r="H56" s="352"/>
      <c r="I56" s="301"/>
      <c r="J56" s="238"/>
      <c r="K56" s="160"/>
      <c r="L56" s="113"/>
      <c r="M56" s="242"/>
      <c r="N56" s="352"/>
      <c r="O56" s="125"/>
      <c r="P56" s="119"/>
      <c r="Q56" s="160"/>
      <c r="R56" s="113"/>
      <c r="S56" s="115"/>
      <c r="T56" s="216"/>
      <c r="U56" s="169"/>
      <c r="V56" s="141"/>
      <c r="W56" s="161"/>
      <c r="X56" s="356"/>
      <c r="Y56" s="49"/>
    </row>
    <row r="57" ht="22.5" customHeight="1">
      <c r="A57" s="38"/>
      <c r="B57" s="177"/>
      <c r="C57" s="357"/>
      <c r="D57" s="358"/>
      <c r="E57" s="228"/>
      <c r="F57" s="359"/>
      <c r="G57" s="360"/>
      <c r="H57" s="361"/>
      <c r="I57" s="362"/>
      <c r="J57" s="363"/>
      <c r="K57" s="231"/>
      <c r="L57" s="185"/>
      <c r="M57" s="1441"/>
      <c r="N57" s="1442"/>
      <c r="O57" s="192"/>
      <c r="P57" s="186"/>
      <c r="Q57" s="231"/>
      <c r="R57" s="185"/>
      <c r="S57" s="194"/>
      <c r="T57" s="232"/>
      <c r="U57" s="198"/>
      <c r="V57" s="199"/>
      <c r="W57" s="200"/>
      <c r="X57" s="356"/>
      <c r="Y57" s="49"/>
    </row>
    <row r="58" ht="18.0" customHeight="1">
      <c r="A58" s="38"/>
      <c r="B58" s="66"/>
      <c r="C58" s="365"/>
      <c r="D58" s="366"/>
      <c r="E58" s="367"/>
      <c r="F58" s="368"/>
      <c r="G58" s="369"/>
      <c r="H58" s="370"/>
      <c r="I58" s="371"/>
      <c r="J58" s="372"/>
      <c r="K58" s="21"/>
      <c r="L58" s="21"/>
      <c r="M58" s="17"/>
      <c r="N58" s="370"/>
      <c r="O58" s="21"/>
      <c r="P58" s="339"/>
      <c r="Q58" s="21"/>
      <c r="R58" s="21"/>
      <c r="S58" s="338"/>
      <c r="T58" s="35"/>
      <c r="U58" s="49"/>
      <c r="V58" s="49"/>
      <c r="W58" s="373"/>
      <c r="X58" s="356"/>
      <c r="Y58" s="49"/>
    </row>
    <row r="59" ht="18.75" customHeight="1">
      <c r="A59" s="38"/>
      <c r="B59" s="52"/>
      <c r="C59" s="54" t="s">
        <v>65</v>
      </c>
      <c r="D59" s="56" t="s">
        <v>66</v>
      </c>
      <c r="E59" s="57" t="s">
        <v>67</v>
      </c>
      <c r="F59" s="59" t="s">
        <v>65</v>
      </c>
      <c r="G59" s="59" t="s">
        <v>70</v>
      </c>
      <c r="H59" s="61" t="s">
        <v>67</v>
      </c>
      <c r="I59" s="59" t="s">
        <v>65</v>
      </c>
      <c r="J59" s="64" t="s">
        <v>74</v>
      </c>
      <c r="K59" s="61" t="s">
        <v>67</v>
      </c>
      <c r="L59" s="59" t="s">
        <v>65</v>
      </c>
      <c r="M59" s="66" t="s">
        <v>77</v>
      </c>
      <c r="N59" s="61" t="s">
        <v>67</v>
      </c>
      <c r="O59" s="61" t="s">
        <v>65</v>
      </c>
      <c r="P59" s="61" t="s">
        <v>78</v>
      </c>
      <c r="Q59" s="61" t="s">
        <v>67</v>
      </c>
      <c r="R59" s="59" t="s">
        <v>65</v>
      </c>
      <c r="S59" s="66" t="s">
        <v>79</v>
      </c>
      <c r="T59" s="61" t="s">
        <v>67</v>
      </c>
      <c r="U59" s="71" t="s">
        <v>65</v>
      </c>
      <c r="V59" s="71" t="s">
        <v>80</v>
      </c>
      <c r="W59" s="71" t="s">
        <v>67</v>
      </c>
      <c r="X59" s="14"/>
      <c r="Y59" s="49"/>
    </row>
    <row r="60" ht="33.75" customHeight="1">
      <c r="A60" s="374">
        <v>46181.0</v>
      </c>
      <c r="B60" s="254" t="s">
        <v>409</v>
      </c>
      <c r="C60" s="78">
        <v>1550.0</v>
      </c>
      <c r="D60" s="79" t="s">
        <v>280</v>
      </c>
      <c r="E60" s="81">
        <v>110.0</v>
      </c>
      <c r="F60" s="82">
        <v>3189.0</v>
      </c>
      <c r="G60" s="83" t="s">
        <v>429</v>
      </c>
      <c r="H60" s="84">
        <v>159.0</v>
      </c>
      <c r="I60" s="344">
        <v>386.0</v>
      </c>
      <c r="J60" s="234" t="s">
        <v>300</v>
      </c>
      <c r="K60" s="96">
        <v>181.0</v>
      </c>
      <c r="L60" s="82">
        <v>4080.0</v>
      </c>
      <c r="M60" s="375" t="s">
        <v>413</v>
      </c>
      <c r="N60" s="84" t="s">
        <v>297</v>
      </c>
      <c r="O60" s="82"/>
      <c r="P60" s="235"/>
      <c r="Q60" s="86">
        <v>20.0</v>
      </c>
      <c r="R60" s="204">
        <v>654.0</v>
      </c>
      <c r="S60" s="376" t="s">
        <v>277</v>
      </c>
      <c r="T60" s="377">
        <v>84.0</v>
      </c>
      <c r="U60" s="97">
        <v>4115.0</v>
      </c>
      <c r="V60" s="378" t="s">
        <v>2925</v>
      </c>
      <c r="W60" s="379">
        <v>76.0</v>
      </c>
      <c r="X60" s="49"/>
      <c r="Y60" s="49"/>
    </row>
    <row r="61" ht="34.5" customHeight="1">
      <c r="B61" s="105"/>
      <c r="C61" s="107">
        <v>2847.0</v>
      </c>
      <c r="D61" s="109" t="s">
        <v>999</v>
      </c>
      <c r="E61" s="111">
        <v>94.0</v>
      </c>
      <c r="F61" s="157">
        <v>3301.0</v>
      </c>
      <c r="G61" s="1443" t="s">
        <v>305</v>
      </c>
      <c r="H61" s="116">
        <v>159.0</v>
      </c>
      <c r="I61" s="301"/>
      <c r="J61" s="238"/>
      <c r="K61" s="160">
        <v>25.0</v>
      </c>
      <c r="L61" s="113">
        <v>4259.0</v>
      </c>
      <c r="M61" s="380" t="s">
        <v>845</v>
      </c>
      <c r="N61" s="159"/>
      <c r="O61" s="113"/>
      <c r="P61" s="124"/>
      <c r="Q61" s="121">
        <v>25.0</v>
      </c>
      <c r="R61" s="125">
        <v>2904.0</v>
      </c>
      <c r="S61" s="115" t="s">
        <v>420</v>
      </c>
      <c r="T61" s="160">
        <v>114.0</v>
      </c>
      <c r="U61" s="131">
        <v>3999.0</v>
      </c>
      <c r="V61" s="132" t="s">
        <v>364</v>
      </c>
      <c r="W61" s="134">
        <v>61.0</v>
      </c>
      <c r="X61" s="14"/>
      <c r="Y61" s="49"/>
    </row>
    <row r="62" ht="30.0" customHeight="1">
      <c r="B62" s="105"/>
      <c r="C62" s="107">
        <v>3014.0</v>
      </c>
      <c r="D62" s="109" t="s">
        <v>444</v>
      </c>
      <c r="E62" s="111">
        <v>69.0</v>
      </c>
      <c r="F62" s="113">
        <v>3260.0</v>
      </c>
      <c r="G62" s="464" t="s">
        <v>1249</v>
      </c>
      <c r="H62" s="116">
        <v>158.0</v>
      </c>
      <c r="I62" s="301"/>
      <c r="J62" s="238"/>
      <c r="K62" s="160"/>
      <c r="L62" s="113">
        <v>1982.0</v>
      </c>
      <c r="M62" s="123" t="s">
        <v>423</v>
      </c>
      <c r="N62" s="121"/>
      <c r="O62" s="125"/>
      <c r="P62" s="119"/>
      <c r="Q62" s="121"/>
      <c r="R62" s="125"/>
      <c r="S62" s="115"/>
      <c r="T62" s="160"/>
      <c r="U62" s="131"/>
      <c r="V62" s="132"/>
      <c r="W62" s="161"/>
      <c r="X62" s="14"/>
      <c r="Y62" s="49"/>
    </row>
    <row r="63" ht="30.75" customHeight="1">
      <c r="B63" s="105"/>
      <c r="C63" s="107"/>
      <c r="D63" s="109"/>
      <c r="E63" s="217"/>
      <c r="F63" s="113">
        <v>3430.0</v>
      </c>
      <c r="G63" s="218" t="s">
        <v>1101</v>
      </c>
      <c r="H63" s="352">
        <v>82.0</v>
      </c>
      <c r="I63" s="301"/>
      <c r="J63" s="381"/>
      <c r="K63" s="245"/>
      <c r="L63" s="113">
        <v>1267.0</v>
      </c>
      <c r="M63" s="123" t="s">
        <v>425</v>
      </c>
      <c r="N63" s="116" t="s">
        <v>297</v>
      </c>
      <c r="O63" s="125"/>
      <c r="P63" s="119"/>
      <c r="Q63" s="382"/>
      <c r="R63" s="125"/>
      <c r="S63" s="115"/>
      <c r="T63" s="160"/>
      <c r="U63" s="131"/>
      <c r="V63" s="141"/>
      <c r="W63" s="161"/>
      <c r="X63" s="14"/>
      <c r="Y63" s="49"/>
    </row>
    <row r="64" ht="27.0" customHeight="1">
      <c r="A64" s="383"/>
      <c r="B64" s="105"/>
      <c r="C64" s="107"/>
      <c r="D64" s="109"/>
      <c r="E64" s="217"/>
      <c r="F64" s="113"/>
      <c r="G64" s="115"/>
      <c r="H64" s="352"/>
      <c r="I64" s="301"/>
      <c r="J64" s="238"/>
      <c r="K64" s="160"/>
      <c r="L64" s="113">
        <v>2976.0</v>
      </c>
      <c r="M64" s="123" t="s">
        <v>426</v>
      </c>
      <c r="N64" s="1444" t="s">
        <v>293</v>
      </c>
      <c r="O64" s="113"/>
      <c r="P64" s="119"/>
      <c r="Q64" s="382"/>
      <c r="R64" s="125"/>
      <c r="S64" s="115"/>
      <c r="T64" s="160"/>
      <c r="U64" s="169"/>
      <c r="V64" s="141"/>
      <c r="W64" s="161"/>
      <c r="X64" s="14"/>
      <c r="Y64" s="49"/>
    </row>
    <row r="65" ht="18.0" customHeight="1">
      <c r="A65" s="383"/>
      <c r="B65" s="105"/>
      <c r="C65" s="107"/>
      <c r="D65" s="109"/>
      <c r="E65" s="217"/>
      <c r="F65" s="113"/>
      <c r="G65" s="115"/>
      <c r="H65" s="352"/>
      <c r="I65" s="301"/>
      <c r="J65" s="238"/>
      <c r="K65" s="160"/>
      <c r="L65" s="113"/>
      <c r="M65" s="1445"/>
      <c r="N65" s="352"/>
      <c r="O65" s="113"/>
      <c r="P65" s="119"/>
      <c r="Q65" s="382"/>
      <c r="R65" s="125"/>
      <c r="S65" s="115"/>
      <c r="T65" s="160"/>
      <c r="U65" s="169"/>
      <c r="V65" s="141"/>
      <c r="W65" s="161"/>
      <c r="X65" s="14"/>
      <c r="Y65" s="49"/>
    </row>
    <row r="66" ht="18.0" customHeight="1">
      <c r="A66" s="383"/>
      <c r="B66" s="177"/>
      <c r="C66" s="227"/>
      <c r="D66" s="385"/>
      <c r="E66" s="228"/>
      <c r="F66" s="185"/>
      <c r="G66" s="194"/>
      <c r="H66" s="361"/>
      <c r="I66" s="362"/>
      <c r="J66" s="363"/>
      <c r="K66" s="231"/>
      <c r="L66" s="185">
        <v>3759.0</v>
      </c>
      <c r="M66" s="364" t="s">
        <v>843</v>
      </c>
      <c r="N66" s="361"/>
      <c r="O66" s="185"/>
      <c r="P66" s="186"/>
      <c r="Q66" s="386"/>
      <c r="R66" s="192"/>
      <c r="S66" s="194"/>
      <c r="T66" s="231"/>
      <c r="U66" s="198"/>
      <c r="V66" s="199"/>
      <c r="W66" s="200"/>
      <c r="X66" s="14"/>
      <c r="Y66" s="49"/>
    </row>
    <row r="67" ht="18.0" customHeight="1">
      <c r="A67" s="383"/>
      <c r="B67" s="387"/>
      <c r="C67" s="388"/>
      <c r="D67" s="389"/>
      <c r="E67" s="367"/>
      <c r="F67" s="21"/>
      <c r="G67" s="390"/>
      <c r="H67" s="370"/>
      <c r="I67" s="371"/>
      <c r="J67" s="372"/>
      <c r="K67" s="21"/>
      <c r="L67" s="21"/>
      <c r="M67" s="391"/>
      <c r="N67" s="370"/>
      <c r="O67" s="21"/>
      <c r="P67" s="339"/>
      <c r="Q67" s="66"/>
      <c r="R67" s="21"/>
      <c r="S67" s="338"/>
      <c r="T67" s="21"/>
      <c r="U67" s="49"/>
      <c r="V67" s="49"/>
      <c r="W67" s="373"/>
      <c r="X67" s="14"/>
      <c r="Y67" s="49"/>
    </row>
    <row r="68" ht="18.75" customHeight="1">
      <c r="A68" s="38"/>
      <c r="B68" s="52"/>
      <c r="C68" s="54" t="s">
        <v>65</v>
      </c>
      <c r="D68" s="56" t="s">
        <v>66</v>
      </c>
      <c r="E68" s="57" t="s">
        <v>67</v>
      </c>
      <c r="F68" s="59" t="s">
        <v>65</v>
      </c>
      <c r="G68" s="59" t="s">
        <v>70</v>
      </c>
      <c r="H68" s="61" t="s">
        <v>67</v>
      </c>
      <c r="I68" s="59" t="s">
        <v>65</v>
      </c>
      <c r="J68" s="64" t="s">
        <v>74</v>
      </c>
      <c r="K68" s="61" t="s">
        <v>67</v>
      </c>
      <c r="L68" s="59" t="s">
        <v>65</v>
      </c>
      <c r="M68" s="66" t="s">
        <v>77</v>
      </c>
      <c r="N68" s="61" t="s">
        <v>67</v>
      </c>
      <c r="O68" s="61" t="s">
        <v>65</v>
      </c>
      <c r="P68" s="61" t="s">
        <v>78</v>
      </c>
      <c r="Q68" s="61" t="s">
        <v>67</v>
      </c>
      <c r="R68" s="59" t="s">
        <v>65</v>
      </c>
      <c r="S68" s="66" t="s">
        <v>79</v>
      </c>
      <c r="T68" s="61" t="s">
        <v>67</v>
      </c>
      <c r="U68" s="71" t="s">
        <v>65</v>
      </c>
      <c r="V68" s="71" t="s">
        <v>80</v>
      </c>
      <c r="W68" s="71" t="s">
        <v>67</v>
      </c>
      <c r="X68" s="14"/>
      <c r="Y68" s="49"/>
    </row>
    <row r="69" ht="45.75" customHeight="1">
      <c r="A69" s="374">
        <v>46182.0</v>
      </c>
      <c r="B69" s="76" t="s">
        <v>298</v>
      </c>
      <c r="C69" s="78">
        <v>1287.0</v>
      </c>
      <c r="D69" s="203" t="s">
        <v>410</v>
      </c>
      <c r="E69" s="81"/>
      <c r="F69" s="204">
        <v>4319.0</v>
      </c>
      <c r="G69" s="83" t="s">
        <v>1242</v>
      </c>
      <c r="H69" s="205"/>
      <c r="I69" s="233">
        <v>2288.0</v>
      </c>
      <c r="J69" s="393" t="s">
        <v>379</v>
      </c>
      <c r="K69" s="86"/>
      <c r="L69" s="82">
        <v>813.0</v>
      </c>
      <c r="M69" s="87" t="s">
        <v>430</v>
      </c>
      <c r="N69" s="86"/>
      <c r="O69" s="204">
        <v>2483.0</v>
      </c>
      <c r="P69" s="235" t="s">
        <v>2631</v>
      </c>
      <c r="Q69" s="377">
        <v>20.0</v>
      </c>
      <c r="R69" s="82">
        <v>3.0</v>
      </c>
      <c r="S69" s="83" t="s">
        <v>404</v>
      </c>
      <c r="T69" s="86"/>
      <c r="U69" s="394">
        <v>2943.0</v>
      </c>
      <c r="V69" s="395" t="s">
        <v>278</v>
      </c>
      <c r="W69" s="379" t="s">
        <v>432</v>
      </c>
      <c r="X69" s="14"/>
      <c r="Y69" s="49"/>
    </row>
    <row r="70">
      <c r="B70" s="105"/>
      <c r="C70" s="107">
        <v>3970.0</v>
      </c>
      <c r="D70" s="109" t="s">
        <v>1247</v>
      </c>
      <c r="E70" s="111"/>
      <c r="F70" s="125">
        <v>3216.0</v>
      </c>
      <c r="G70" s="115" t="s">
        <v>434</v>
      </c>
      <c r="H70" s="209"/>
      <c r="I70" s="157">
        <v>4274.0</v>
      </c>
      <c r="J70" s="238" t="s">
        <v>1180</v>
      </c>
      <c r="K70" s="121"/>
      <c r="L70" s="113">
        <v>4105.0</v>
      </c>
      <c r="M70" s="138" t="s">
        <v>435</v>
      </c>
      <c r="N70" s="116"/>
      <c r="O70" s="125"/>
      <c r="P70" s="119"/>
      <c r="Q70" s="168"/>
      <c r="R70" s="113">
        <v>54.0</v>
      </c>
      <c r="S70" s="115" t="s">
        <v>554</v>
      </c>
      <c r="T70" s="121"/>
      <c r="U70" s="286">
        <v>4000.0</v>
      </c>
      <c r="V70" s="132" t="s">
        <v>289</v>
      </c>
      <c r="W70" s="134">
        <v>78.0</v>
      </c>
      <c r="X70" s="14"/>
      <c r="Y70" s="49"/>
    </row>
    <row r="71" ht="36.75" customHeight="1">
      <c r="B71" s="105"/>
      <c r="C71" s="107">
        <v>4226.0</v>
      </c>
      <c r="D71" s="109" t="s">
        <v>2979</v>
      </c>
      <c r="E71" s="217"/>
      <c r="F71" s="301">
        <v>2303.0</v>
      </c>
      <c r="G71" s="166" t="s">
        <v>437</v>
      </c>
      <c r="H71" s="209"/>
      <c r="I71" s="157"/>
      <c r="J71" s="238"/>
      <c r="K71" s="121"/>
      <c r="L71" s="291">
        <v>26.0</v>
      </c>
      <c r="M71" s="397" t="s">
        <v>397</v>
      </c>
      <c r="N71" s="121" t="s">
        <v>297</v>
      </c>
      <c r="O71" s="125"/>
      <c r="P71" s="119"/>
      <c r="Q71" s="168"/>
      <c r="R71" s="113"/>
      <c r="S71" s="115"/>
      <c r="T71" s="121"/>
      <c r="U71" s="132"/>
      <c r="V71" s="50"/>
      <c r="W71" s="161"/>
      <c r="X71" s="14"/>
      <c r="Y71" s="49"/>
    </row>
    <row r="72" ht="33.0" customHeight="1">
      <c r="B72" s="105"/>
      <c r="C72" s="107"/>
      <c r="D72" s="109"/>
      <c r="E72" s="217"/>
      <c r="F72" s="398">
        <v>2067.0</v>
      </c>
      <c r="G72" s="399" t="s">
        <v>472</v>
      </c>
      <c r="H72" s="400"/>
      <c r="I72" s="157"/>
      <c r="J72" s="238"/>
      <c r="K72" s="121"/>
      <c r="L72" s="401">
        <v>4100.0</v>
      </c>
      <c r="M72" s="402" t="s">
        <v>439</v>
      </c>
      <c r="N72" s="121" t="s">
        <v>297</v>
      </c>
      <c r="O72" s="125"/>
      <c r="P72" s="119"/>
      <c r="Q72" s="168"/>
      <c r="R72" s="113"/>
      <c r="S72" s="115"/>
      <c r="T72" s="121"/>
      <c r="U72" s="286"/>
      <c r="V72" s="132"/>
      <c r="W72" s="161"/>
      <c r="X72" s="14"/>
      <c r="Y72" s="49"/>
    </row>
    <row r="73" ht="24.0" customHeight="1">
      <c r="A73" s="383"/>
      <c r="B73" s="105"/>
      <c r="C73" s="107"/>
      <c r="D73" s="119"/>
      <c r="E73" s="217"/>
      <c r="F73" s="398"/>
      <c r="G73" s="350"/>
      <c r="H73" s="400"/>
      <c r="I73" s="157"/>
      <c r="J73" s="238"/>
      <c r="K73" s="121"/>
      <c r="L73" s="401">
        <v>3474.0</v>
      </c>
      <c r="M73" s="138" t="s">
        <v>441</v>
      </c>
      <c r="N73" s="1444" t="s">
        <v>293</v>
      </c>
      <c r="O73" s="125"/>
      <c r="P73" s="119"/>
      <c r="Q73" s="168"/>
      <c r="R73" s="113"/>
      <c r="S73" s="115"/>
      <c r="T73" s="121"/>
      <c r="U73" s="403"/>
      <c r="V73" s="141"/>
      <c r="W73" s="161"/>
      <c r="X73" s="14"/>
      <c r="Y73" s="49"/>
    </row>
    <row r="74" ht="18.0" customHeight="1">
      <c r="A74" s="383"/>
      <c r="B74" s="105"/>
      <c r="C74" s="107"/>
      <c r="D74" s="119"/>
      <c r="E74" s="217"/>
      <c r="F74" s="398"/>
      <c r="G74" s="350"/>
      <c r="H74" s="400"/>
      <c r="I74" s="157"/>
      <c r="J74" s="238"/>
      <c r="K74" s="121"/>
      <c r="L74" s="401"/>
      <c r="M74" s="1446"/>
      <c r="N74" s="352"/>
      <c r="O74" s="125"/>
      <c r="P74" s="119"/>
      <c r="Q74" s="168"/>
      <c r="R74" s="113"/>
      <c r="S74" s="115"/>
      <c r="T74" s="121"/>
      <c r="U74" s="403"/>
      <c r="V74" s="141"/>
      <c r="W74" s="161"/>
      <c r="X74" s="14"/>
      <c r="Y74" s="49"/>
    </row>
    <row r="75" ht="18.0" customHeight="1">
      <c r="A75" s="383"/>
      <c r="B75" s="177"/>
      <c r="C75" s="227"/>
      <c r="D75" s="186"/>
      <c r="E75" s="228"/>
      <c r="F75" s="405"/>
      <c r="G75" s="358"/>
      <c r="H75" s="406"/>
      <c r="I75" s="181"/>
      <c r="J75" s="363"/>
      <c r="K75" s="188"/>
      <c r="L75" s="407">
        <v>3751.0</v>
      </c>
      <c r="M75" s="408" t="s">
        <v>847</v>
      </c>
      <c r="N75" s="361"/>
      <c r="O75" s="192"/>
      <c r="P75" s="186"/>
      <c r="Q75" s="197"/>
      <c r="R75" s="185"/>
      <c r="S75" s="194"/>
      <c r="T75" s="188"/>
      <c r="U75" s="409"/>
      <c r="V75" s="199"/>
      <c r="W75" s="200"/>
      <c r="X75" s="14"/>
      <c r="Y75" s="49"/>
    </row>
    <row r="76" ht="18.0" customHeight="1">
      <c r="A76" s="383"/>
      <c r="B76" s="66"/>
      <c r="C76" s="388"/>
      <c r="D76" s="339"/>
      <c r="E76" s="367"/>
      <c r="F76" s="410"/>
      <c r="G76" s="366"/>
      <c r="H76" s="370"/>
      <c r="I76" s="371"/>
      <c r="J76" s="372"/>
      <c r="K76" s="21"/>
      <c r="L76" s="370"/>
      <c r="M76" s="339"/>
      <c r="N76" s="370"/>
      <c r="O76" s="21"/>
      <c r="P76" s="339"/>
      <c r="Q76" s="35"/>
      <c r="R76" s="21"/>
      <c r="S76" s="338"/>
      <c r="T76" s="21"/>
      <c r="U76" s="49"/>
      <c r="V76" s="49"/>
      <c r="W76" s="373"/>
      <c r="X76" s="14"/>
      <c r="Y76" s="49"/>
    </row>
    <row r="77" ht="18.75" customHeight="1">
      <c r="A77" s="38"/>
      <c r="B77" s="52"/>
      <c r="C77" s="54" t="s">
        <v>65</v>
      </c>
      <c r="D77" s="56" t="s">
        <v>66</v>
      </c>
      <c r="E77" s="57" t="s">
        <v>67</v>
      </c>
      <c r="F77" s="59" t="s">
        <v>65</v>
      </c>
      <c r="G77" s="59" t="s">
        <v>70</v>
      </c>
      <c r="H77" s="61" t="s">
        <v>67</v>
      </c>
      <c r="I77" s="59" t="s">
        <v>65</v>
      </c>
      <c r="J77" s="64" t="s">
        <v>74</v>
      </c>
      <c r="K77" s="61" t="s">
        <v>67</v>
      </c>
      <c r="L77" s="59" t="s">
        <v>65</v>
      </c>
      <c r="M77" s="66" t="s">
        <v>77</v>
      </c>
      <c r="N77" s="61" t="s">
        <v>67</v>
      </c>
      <c r="O77" s="61" t="s">
        <v>65</v>
      </c>
      <c r="P77" s="61" t="s">
        <v>78</v>
      </c>
      <c r="Q77" s="61" t="s">
        <v>67</v>
      </c>
      <c r="R77" s="59" t="s">
        <v>65</v>
      </c>
      <c r="S77" s="66" t="s">
        <v>79</v>
      </c>
      <c r="T77" s="61" t="s">
        <v>67</v>
      </c>
      <c r="U77" s="71" t="s">
        <v>65</v>
      </c>
      <c r="V77" s="71" t="s">
        <v>80</v>
      </c>
      <c r="W77" s="71" t="s">
        <v>67</v>
      </c>
      <c r="X77" s="14"/>
      <c r="Y77" s="49"/>
    </row>
    <row r="78" ht="33.0" customHeight="1">
      <c r="A78" s="74">
        <v>46183.0</v>
      </c>
      <c r="B78" s="411" t="s">
        <v>319</v>
      </c>
      <c r="C78" s="78">
        <v>3196.0</v>
      </c>
      <c r="D78" s="79" t="s">
        <v>890</v>
      </c>
      <c r="E78" s="343"/>
      <c r="F78" s="82">
        <v>3109.0</v>
      </c>
      <c r="G78" s="376" t="s">
        <v>1146</v>
      </c>
      <c r="H78" s="84"/>
      <c r="I78" s="260">
        <v>380.0</v>
      </c>
      <c r="J78" s="261" t="s">
        <v>323</v>
      </c>
      <c r="K78" s="91"/>
      <c r="L78" s="82">
        <v>3889.0</v>
      </c>
      <c r="M78" s="87" t="s">
        <v>446</v>
      </c>
      <c r="N78" s="84"/>
      <c r="O78" s="263">
        <v>3454.0</v>
      </c>
      <c r="P78" s="412" t="s">
        <v>346</v>
      </c>
      <c r="Q78" s="413"/>
      <c r="R78" s="82">
        <v>2083.0</v>
      </c>
      <c r="S78" s="94" t="s">
        <v>284</v>
      </c>
      <c r="T78" s="86"/>
      <c r="U78" s="97">
        <v>4265.0</v>
      </c>
      <c r="V78" s="99" t="s">
        <v>912</v>
      </c>
      <c r="W78" s="379">
        <v>70.0</v>
      </c>
      <c r="X78" s="14"/>
      <c r="Y78" s="49"/>
    </row>
    <row r="79" ht="30.75" customHeight="1">
      <c r="B79" s="414"/>
      <c r="C79" s="107">
        <v>3645.0</v>
      </c>
      <c r="D79" s="109" t="s">
        <v>969</v>
      </c>
      <c r="E79" s="111">
        <v>124.0</v>
      </c>
      <c r="F79" s="113">
        <v>1160.0</v>
      </c>
      <c r="G79" s="115" t="s">
        <v>449</v>
      </c>
      <c r="H79" s="116"/>
      <c r="I79" s="415"/>
      <c r="J79" s="416"/>
      <c r="K79" s="121"/>
      <c r="L79" s="113">
        <v>1899.0</v>
      </c>
      <c r="M79" s="167" t="s">
        <v>451</v>
      </c>
      <c r="N79" s="1440"/>
      <c r="O79" s="276">
        <v>3527.0</v>
      </c>
      <c r="P79" s="418" t="s">
        <v>329</v>
      </c>
      <c r="Q79" s="289"/>
      <c r="R79" s="113">
        <v>2782.0</v>
      </c>
      <c r="S79" s="115" t="s">
        <v>307</v>
      </c>
      <c r="T79" s="222"/>
      <c r="U79" s="131">
        <v>4173.0</v>
      </c>
      <c r="V79" s="132" t="s">
        <v>601</v>
      </c>
      <c r="W79" s="419"/>
      <c r="X79" s="14"/>
      <c r="Y79" s="49"/>
    </row>
    <row r="80" ht="29.25" customHeight="1">
      <c r="B80" s="414"/>
      <c r="C80" s="107">
        <v>758.0</v>
      </c>
      <c r="D80" s="109" t="s">
        <v>954</v>
      </c>
      <c r="E80" s="111"/>
      <c r="F80" s="157">
        <v>31.0</v>
      </c>
      <c r="G80" s="1443" t="s">
        <v>453</v>
      </c>
      <c r="H80" s="116"/>
      <c r="I80" s="113"/>
      <c r="J80" s="119"/>
      <c r="K80" s="121"/>
      <c r="L80" s="113">
        <v>965.0</v>
      </c>
      <c r="M80" s="138" t="s">
        <v>2411</v>
      </c>
      <c r="N80" s="116" t="s">
        <v>297</v>
      </c>
      <c r="O80" s="276">
        <v>2079.0</v>
      </c>
      <c r="P80" s="418" t="s">
        <v>361</v>
      </c>
      <c r="Q80" s="421"/>
      <c r="R80" s="113"/>
      <c r="S80" s="115"/>
      <c r="T80" s="422"/>
      <c r="U80" s="131"/>
      <c r="V80" s="132"/>
      <c r="W80" s="148"/>
      <c r="X80" s="14"/>
      <c r="Y80" s="49"/>
    </row>
    <row r="81" ht="33.0" customHeight="1">
      <c r="B81" s="414"/>
      <c r="C81" s="423"/>
      <c r="D81" s="424"/>
      <c r="E81" s="217"/>
      <c r="F81" s="157">
        <v>4260.0</v>
      </c>
      <c r="G81" s="399" t="s">
        <v>1251</v>
      </c>
      <c r="H81" s="352"/>
      <c r="I81" s="113"/>
      <c r="J81" s="220"/>
      <c r="K81" s="222"/>
      <c r="L81" s="113">
        <v>4176.0</v>
      </c>
      <c r="M81" s="123" t="s">
        <v>594</v>
      </c>
      <c r="N81" s="425"/>
      <c r="O81" s="276"/>
      <c r="P81" s="426"/>
      <c r="Q81" s="427"/>
      <c r="R81" s="113"/>
      <c r="S81" s="115"/>
      <c r="T81" s="427"/>
      <c r="U81" s="169"/>
      <c r="V81" s="141"/>
      <c r="W81" s="427"/>
      <c r="X81" s="14"/>
      <c r="Y81" s="49"/>
    </row>
    <row r="82" ht="18.0" customHeight="1">
      <c r="A82" s="383"/>
      <c r="B82" s="414"/>
      <c r="C82" s="423"/>
      <c r="D82" s="428"/>
      <c r="E82" s="217"/>
      <c r="F82" s="157"/>
      <c r="G82" s="238"/>
      <c r="H82" s="352"/>
      <c r="I82" s="113"/>
      <c r="J82" s="119"/>
      <c r="K82" s="121"/>
      <c r="L82" s="113">
        <v>4099.0</v>
      </c>
      <c r="M82" s="402" t="s">
        <v>457</v>
      </c>
      <c r="N82" s="116"/>
      <c r="O82" s="276"/>
      <c r="P82" s="426"/>
      <c r="Q82" s="216"/>
      <c r="R82" s="113"/>
      <c r="S82" s="115"/>
      <c r="T82" s="121"/>
      <c r="U82" s="169"/>
      <c r="V82" s="141"/>
      <c r="W82" s="161"/>
      <c r="X82" s="14"/>
      <c r="Y82" s="49"/>
    </row>
    <row r="83" ht="22.5" customHeight="1">
      <c r="A83" s="383"/>
      <c r="B83" s="414"/>
      <c r="C83" s="423"/>
      <c r="D83" s="428"/>
      <c r="E83" s="217"/>
      <c r="F83" s="157"/>
      <c r="G83" s="238"/>
      <c r="H83" s="352"/>
      <c r="I83" s="113"/>
      <c r="J83" s="119"/>
      <c r="K83" s="121"/>
      <c r="L83" s="113">
        <v>2022.0</v>
      </c>
      <c r="M83" s="1447" t="s">
        <v>1253</v>
      </c>
      <c r="N83" s="1440" t="s">
        <v>293</v>
      </c>
      <c r="O83" s="276"/>
      <c r="P83" s="426"/>
      <c r="Q83" s="216"/>
      <c r="R83" s="113"/>
      <c r="S83" s="115"/>
      <c r="T83" s="121"/>
      <c r="U83" s="169"/>
      <c r="V83" s="141"/>
      <c r="W83" s="161"/>
      <c r="X83" s="14"/>
      <c r="Y83" s="49"/>
    </row>
    <row r="84" ht="18.0" customHeight="1">
      <c r="A84" s="383"/>
      <c r="B84" s="414"/>
      <c r="C84" s="423"/>
      <c r="D84" s="428"/>
      <c r="E84" s="217"/>
      <c r="F84" s="157"/>
      <c r="G84" s="238"/>
      <c r="H84" s="352"/>
      <c r="I84" s="113"/>
      <c r="J84" s="119"/>
      <c r="K84" s="121"/>
      <c r="L84" s="113">
        <v>4257.0</v>
      </c>
      <c r="M84" s="1448" t="s">
        <v>794</v>
      </c>
      <c r="N84" s="1449"/>
      <c r="O84" s="276"/>
      <c r="P84" s="426"/>
      <c r="Q84" s="216"/>
      <c r="R84" s="113"/>
      <c r="S84" s="115"/>
      <c r="T84" s="121"/>
      <c r="U84" s="169"/>
      <c r="V84" s="141"/>
      <c r="W84" s="161"/>
      <c r="X84" s="14"/>
      <c r="Y84" s="49"/>
    </row>
    <row r="85" ht="27.0" customHeight="1">
      <c r="A85" s="383"/>
      <c r="B85" s="430"/>
      <c r="C85" s="431"/>
      <c r="D85" s="432"/>
      <c r="E85" s="228"/>
      <c r="F85" s="181"/>
      <c r="G85" s="363"/>
      <c r="H85" s="361"/>
      <c r="I85" s="185"/>
      <c r="J85" s="186"/>
      <c r="K85" s="188"/>
      <c r="L85" s="185">
        <v>1826.0</v>
      </c>
      <c r="M85" s="1450" t="s">
        <v>1255</v>
      </c>
      <c r="N85" s="1451"/>
      <c r="O85" s="434"/>
      <c r="P85" s="435"/>
      <c r="Q85" s="232"/>
      <c r="R85" s="185"/>
      <c r="S85" s="194"/>
      <c r="T85" s="188"/>
      <c r="U85" s="198"/>
      <c r="V85" s="199"/>
      <c r="W85" s="200"/>
      <c r="X85" s="14"/>
      <c r="Y85" s="49"/>
    </row>
    <row r="86" ht="18.75" customHeight="1">
      <c r="A86" s="38"/>
      <c r="B86" s="52"/>
      <c r="C86" s="54" t="s">
        <v>65</v>
      </c>
      <c r="D86" s="56" t="s">
        <v>66</v>
      </c>
      <c r="E86" s="57" t="s">
        <v>67</v>
      </c>
      <c r="F86" s="59" t="s">
        <v>65</v>
      </c>
      <c r="G86" s="59" t="s">
        <v>70</v>
      </c>
      <c r="H86" s="61" t="s">
        <v>67</v>
      </c>
      <c r="I86" s="59" t="s">
        <v>65</v>
      </c>
      <c r="J86" s="64" t="s">
        <v>74</v>
      </c>
      <c r="K86" s="61" t="s">
        <v>67</v>
      </c>
      <c r="L86" s="59" t="s">
        <v>65</v>
      </c>
      <c r="M86" s="66" t="s">
        <v>77</v>
      </c>
      <c r="N86" s="61" t="s">
        <v>67</v>
      </c>
      <c r="O86" s="61" t="s">
        <v>65</v>
      </c>
      <c r="P86" s="61" t="s">
        <v>78</v>
      </c>
      <c r="Q86" s="61" t="s">
        <v>67</v>
      </c>
      <c r="R86" s="59" t="s">
        <v>65</v>
      </c>
      <c r="S86" s="66" t="s">
        <v>79</v>
      </c>
      <c r="T86" s="61" t="s">
        <v>67</v>
      </c>
      <c r="U86" s="71" t="s">
        <v>65</v>
      </c>
      <c r="V86" s="71" t="s">
        <v>80</v>
      </c>
      <c r="W86" s="71" t="s">
        <v>67</v>
      </c>
      <c r="X86" s="14"/>
      <c r="Y86" s="49"/>
    </row>
    <row r="87" ht="31.5" customHeight="1">
      <c r="A87" s="74">
        <v>46184.0</v>
      </c>
      <c r="B87" s="436" t="s">
        <v>376</v>
      </c>
      <c r="C87" s="78">
        <v>89.0</v>
      </c>
      <c r="D87" s="79" t="s">
        <v>460</v>
      </c>
      <c r="E87" s="392"/>
      <c r="F87" s="82">
        <v>3433.0</v>
      </c>
      <c r="G87" s="83" t="s">
        <v>1091</v>
      </c>
      <c r="H87" s="84"/>
      <c r="I87" s="82">
        <v>8.0</v>
      </c>
      <c r="J87" s="203" t="s">
        <v>272</v>
      </c>
      <c r="K87" s="86"/>
      <c r="L87" s="82">
        <v>3768.0</v>
      </c>
      <c r="M87" s="623" t="s">
        <v>462</v>
      </c>
      <c r="N87" s="1452" t="s">
        <v>293</v>
      </c>
      <c r="O87" s="82">
        <v>3528.0</v>
      </c>
      <c r="P87" s="235" t="s">
        <v>463</v>
      </c>
      <c r="Q87" s="413"/>
      <c r="R87" s="82">
        <v>5.0</v>
      </c>
      <c r="S87" s="83" t="s">
        <v>387</v>
      </c>
      <c r="T87" s="86"/>
      <c r="U87" s="97">
        <v>4327.0</v>
      </c>
      <c r="V87" s="378" t="s">
        <v>3023</v>
      </c>
      <c r="W87" s="379">
        <v>70.0</v>
      </c>
      <c r="X87" s="14"/>
      <c r="Y87" s="49"/>
    </row>
    <row r="88" ht="30.0" customHeight="1">
      <c r="B88" s="414"/>
      <c r="C88" s="212">
        <v>385.0</v>
      </c>
      <c r="D88" s="238" t="s">
        <v>86</v>
      </c>
      <c r="E88" s="111"/>
      <c r="F88" s="113">
        <v>3180.0</v>
      </c>
      <c r="G88" s="115" t="s">
        <v>466</v>
      </c>
      <c r="H88" s="116"/>
      <c r="I88" s="113">
        <v>1106.0</v>
      </c>
      <c r="J88" s="119" t="s">
        <v>2733</v>
      </c>
      <c r="K88" s="121"/>
      <c r="L88" s="113">
        <v>3770.0</v>
      </c>
      <c r="M88" s="307" t="s">
        <v>467</v>
      </c>
      <c r="N88" s="1440" t="s">
        <v>293</v>
      </c>
      <c r="O88" s="113"/>
      <c r="P88" s="119"/>
      <c r="Q88" s="216"/>
      <c r="R88" s="113">
        <v>3330.0</v>
      </c>
      <c r="S88" s="115" t="s">
        <v>330</v>
      </c>
      <c r="T88" s="121"/>
      <c r="U88" s="131">
        <v>4197.0</v>
      </c>
      <c r="V88" s="132" t="s">
        <v>897</v>
      </c>
      <c r="W88" s="134"/>
      <c r="X88" s="14"/>
      <c r="Y88" s="49"/>
    </row>
    <row r="89" ht="18.0" customHeight="1">
      <c r="B89" s="414"/>
      <c r="C89" s="107">
        <v>138.0</v>
      </c>
      <c r="D89" s="109" t="s">
        <v>939</v>
      </c>
      <c r="E89" s="217"/>
      <c r="F89" s="113">
        <v>41.0</v>
      </c>
      <c r="G89" s="115" t="s">
        <v>2511</v>
      </c>
      <c r="H89" s="116"/>
      <c r="I89" s="157"/>
      <c r="J89" s="119"/>
      <c r="K89" s="121"/>
      <c r="L89" s="113">
        <v>3769.0</v>
      </c>
      <c r="M89" s="307" t="s">
        <v>470</v>
      </c>
      <c r="N89" s="1444" t="s">
        <v>293</v>
      </c>
      <c r="O89" s="113"/>
      <c r="P89" s="119"/>
      <c r="Q89" s="216"/>
      <c r="R89" s="113"/>
      <c r="S89" s="115"/>
      <c r="T89" s="284"/>
      <c r="U89" s="131"/>
      <c r="V89" s="132"/>
      <c r="W89" s="134"/>
      <c r="X89" s="14"/>
      <c r="Y89" s="49"/>
    </row>
    <row r="90" ht="18.0" customHeight="1">
      <c r="B90" s="414"/>
      <c r="C90" s="107"/>
      <c r="D90" s="109"/>
      <c r="E90" s="156"/>
      <c r="F90" s="444">
        <v>4089.0</v>
      </c>
      <c r="G90" s="158" t="s">
        <v>438</v>
      </c>
      <c r="H90" s="446"/>
      <c r="I90" s="157"/>
      <c r="J90" s="119"/>
      <c r="K90" s="121"/>
      <c r="L90" s="113">
        <v>3437.0</v>
      </c>
      <c r="M90" s="123" t="s">
        <v>313</v>
      </c>
      <c r="N90" s="159"/>
      <c r="O90" s="113"/>
      <c r="P90" s="119"/>
      <c r="Q90" s="216"/>
      <c r="R90" s="113"/>
      <c r="S90" s="115"/>
      <c r="T90" s="284"/>
      <c r="U90" s="131">
        <v>4266.0</v>
      </c>
      <c r="V90" s="132" t="s">
        <v>3026</v>
      </c>
      <c r="W90" s="134"/>
      <c r="X90" s="14"/>
      <c r="Y90" s="49"/>
    </row>
    <row r="91" ht="30.0" customHeight="1">
      <c r="A91" s="383"/>
      <c r="B91" s="414"/>
      <c r="C91" s="107"/>
      <c r="D91" s="119"/>
      <c r="E91" s="156"/>
      <c r="F91" s="449">
        <v>3141.0</v>
      </c>
      <c r="G91" s="450" t="s">
        <v>469</v>
      </c>
      <c r="H91" s="1453" t="s">
        <v>293</v>
      </c>
      <c r="I91" s="157"/>
      <c r="J91" s="238"/>
      <c r="K91" s="121"/>
      <c r="L91" s="113">
        <v>657.0</v>
      </c>
      <c r="M91" s="138" t="s">
        <v>819</v>
      </c>
      <c r="N91" s="159"/>
      <c r="O91" s="113"/>
      <c r="P91" s="119"/>
      <c r="Q91" s="216"/>
      <c r="R91" s="113"/>
      <c r="S91" s="115"/>
      <c r="T91" s="284"/>
      <c r="U91" s="169"/>
      <c r="V91" s="141"/>
      <c r="W91" s="161"/>
      <c r="X91" s="14"/>
      <c r="Y91" s="49"/>
    </row>
    <row r="92" ht="18.0" customHeight="1">
      <c r="A92" s="383"/>
      <c r="B92" s="414"/>
      <c r="C92" s="107"/>
      <c r="D92" s="119"/>
      <c r="E92" s="156"/>
      <c r="F92" s="449"/>
      <c r="G92" s="450"/>
      <c r="H92" s="159"/>
      <c r="I92" s="157"/>
      <c r="J92" s="238"/>
      <c r="K92" s="121"/>
      <c r="L92" s="113">
        <v>3122.0</v>
      </c>
      <c r="M92" s="123" t="s">
        <v>804</v>
      </c>
      <c r="N92" s="159"/>
      <c r="O92" s="113"/>
      <c r="P92" s="119"/>
      <c r="Q92" s="216"/>
      <c r="R92" s="113"/>
      <c r="S92" s="115"/>
      <c r="T92" s="284"/>
      <c r="U92" s="169"/>
      <c r="V92" s="141"/>
      <c r="W92" s="161"/>
      <c r="X92" s="14"/>
      <c r="Y92" s="49"/>
    </row>
    <row r="93" ht="18.0" customHeight="1">
      <c r="A93" s="383"/>
      <c r="B93" s="414"/>
      <c r="C93" s="107"/>
      <c r="D93" s="119"/>
      <c r="E93" s="156"/>
      <c r="F93" s="449"/>
      <c r="G93" s="450"/>
      <c r="H93" s="159"/>
      <c r="I93" s="157"/>
      <c r="J93" s="238"/>
      <c r="K93" s="121"/>
      <c r="L93" s="113">
        <v>1896.0</v>
      </c>
      <c r="M93" s="138" t="s">
        <v>2813</v>
      </c>
      <c r="N93" s="159"/>
      <c r="O93" s="113"/>
      <c r="P93" s="119"/>
      <c r="Q93" s="216"/>
      <c r="R93" s="113"/>
      <c r="S93" s="115"/>
      <c r="T93" s="284"/>
      <c r="U93" s="169"/>
      <c r="V93" s="141"/>
      <c r="W93" s="161"/>
      <c r="X93" s="14"/>
      <c r="Y93" s="49"/>
    </row>
    <row r="94" ht="18.0" customHeight="1">
      <c r="A94" s="383"/>
      <c r="B94" s="430"/>
      <c r="C94" s="227"/>
      <c r="D94" s="186"/>
      <c r="E94" s="180"/>
      <c r="F94" s="456"/>
      <c r="G94" s="457"/>
      <c r="H94" s="184"/>
      <c r="I94" s="181"/>
      <c r="J94" s="363"/>
      <c r="K94" s="188"/>
      <c r="L94" s="185">
        <v>372.0</v>
      </c>
      <c r="M94" s="1431" t="s">
        <v>1245</v>
      </c>
      <c r="N94" s="184"/>
      <c r="O94" s="185"/>
      <c r="P94" s="186"/>
      <c r="Q94" s="232"/>
      <c r="R94" s="185"/>
      <c r="S94" s="194"/>
      <c r="T94" s="459"/>
      <c r="U94" s="198"/>
      <c r="V94" s="199"/>
      <c r="W94" s="200"/>
      <c r="X94" s="14"/>
      <c r="Y94" s="49"/>
    </row>
    <row r="95" ht="15.75" customHeight="1">
      <c r="A95" s="38"/>
      <c r="B95" s="14"/>
      <c r="C95" s="15"/>
      <c r="D95" s="17"/>
      <c r="E95" s="19"/>
      <c r="F95" s="28"/>
      <c r="G95" s="34"/>
      <c r="H95" s="56"/>
      <c r="L95" s="21"/>
      <c r="M95" s="339"/>
      <c r="N95" s="27"/>
      <c r="O95" s="27"/>
      <c r="P95" s="17"/>
      <c r="Q95" s="28"/>
      <c r="R95" s="28"/>
      <c r="S95" s="34"/>
      <c r="T95" s="35"/>
      <c r="U95" s="14"/>
      <c r="V95" s="14"/>
      <c r="W95" s="14"/>
      <c r="X95" s="14"/>
      <c r="Y95" s="49"/>
    </row>
    <row r="96" ht="15.75" customHeight="1">
      <c r="A96" s="38"/>
      <c r="B96" s="42" t="s">
        <v>506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7"/>
      <c r="T96" s="35"/>
      <c r="U96" s="14"/>
      <c r="V96" s="14"/>
      <c r="W96" s="14"/>
      <c r="X96" s="14"/>
      <c r="Y96" s="49"/>
    </row>
    <row r="97" ht="18.75" customHeight="1">
      <c r="A97" s="460"/>
      <c r="B97" s="56"/>
      <c r="C97" s="54" t="s">
        <v>65</v>
      </c>
      <c r="D97" s="56" t="s">
        <v>66</v>
      </c>
      <c r="E97" s="57" t="s">
        <v>67</v>
      </c>
      <c r="F97" s="59" t="s">
        <v>65</v>
      </c>
      <c r="G97" s="59" t="s">
        <v>70</v>
      </c>
      <c r="H97" s="61" t="s">
        <v>67</v>
      </c>
      <c r="I97" s="59" t="s">
        <v>65</v>
      </c>
      <c r="J97" s="66" t="s">
        <v>74</v>
      </c>
      <c r="K97" s="61" t="s">
        <v>67</v>
      </c>
      <c r="L97" s="59" t="s">
        <v>65</v>
      </c>
      <c r="M97" s="66" t="s">
        <v>77</v>
      </c>
      <c r="N97" s="61" t="s">
        <v>67</v>
      </c>
      <c r="O97" s="61" t="s">
        <v>65</v>
      </c>
      <c r="P97" s="61" t="s">
        <v>78</v>
      </c>
      <c r="Q97" s="61" t="s">
        <v>67</v>
      </c>
      <c r="R97" s="59" t="s">
        <v>65</v>
      </c>
      <c r="S97" s="66" t="s">
        <v>79</v>
      </c>
      <c r="T97" s="61" t="s">
        <v>67</v>
      </c>
      <c r="U97" s="71" t="s">
        <v>65</v>
      </c>
      <c r="V97" s="71" t="s">
        <v>80</v>
      </c>
      <c r="W97" s="71" t="s">
        <v>67</v>
      </c>
      <c r="X97" s="27"/>
      <c r="Y97" s="373"/>
    </row>
    <row r="98" ht="31.5" customHeight="1">
      <c r="A98" s="74">
        <v>46186.0</v>
      </c>
      <c r="B98" s="76" t="s">
        <v>84</v>
      </c>
      <c r="C98" s="78">
        <v>4323.0</v>
      </c>
      <c r="D98" s="79" t="s">
        <v>1243</v>
      </c>
      <c r="E98" s="81">
        <v>113.0</v>
      </c>
      <c r="F98" s="82">
        <v>3076.0</v>
      </c>
      <c r="G98" s="83" t="s">
        <v>89</v>
      </c>
      <c r="H98" s="84">
        <v>172.0</v>
      </c>
      <c r="I98" s="82">
        <v>793.0</v>
      </c>
      <c r="J98" s="85" t="s">
        <v>93</v>
      </c>
      <c r="K98" s="86">
        <v>177.0</v>
      </c>
      <c r="L98" s="82">
        <v>763.0</v>
      </c>
      <c r="M98" s="87" t="s">
        <v>315</v>
      </c>
      <c r="N98" s="88">
        <v>118.0</v>
      </c>
      <c r="O98" s="89">
        <v>3518.0</v>
      </c>
      <c r="P98" s="461" t="s">
        <v>518</v>
      </c>
      <c r="Q98" s="91">
        <v>0.0</v>
      </c>
      <c r="R98" s="92">
        <v>5.0</v>
      </c>
      <c r="S98" s="1454" t="s">
        <v>387</v>
      </c>
      <c r="T98" s="96">
        <v>119.0</v>
      </c>
      <c r="U98" s="97">
        <v>3999.0</v>
      </c>
      <c r="V98" s="99" t="s">
        <v>364</v>
      </c>
      <c r="W98" s="100">
        <v>110.0</v>
      </c>
      <c r="X98" s="101" t="s">
        <v>111</v>
      </c>
      <c r="Y98" s="103"/>
    </row>
    <row r="99" ht="30.0" customHeight="1">
      <c r="B99" s="105"/>
      <c r="C99" s="107">
        <v>3290.0</v>
      </c>
      <c r="D99" s="109" t="s">
        <v>401</v>
      </c>
      <c r="E99" s="111">
        <v>90.0</v>
      </c>
      <c r="F99" s="113">
        <v>4009.0</v>
      </c>
      <c r="G99" s="115" t="s">
        <v>522</v>
      </c>
      <c r="H99" s="116">
        <v>174.0</v>
      </c>
      <c r="I99" s="113"/>
      <c r="J99" s="119"/>
      <c r="K99" s="121">
        <v>42.0</v>
      </c>
      <c r="L99" s="113">
        <v>4014.0</v>
      </c>
      <c r="M99" s="123" t="s">
        <v>492</v>
      </c>
      <c r="N99" s="116"/>
      <c r="O99" s="113">
        <v>2079.0</v>
      </c>
      <c r="P99" s="462" t="s">
        <v>361</v>
      </c>
      <c r="Q99" s="121"/>
      <c r="R99" s="125">
        <v>33.0</v>
      </c>
      <c r="S99" s="128" t="s">
        <v>524</v>
      </c>
      <c r="T99" s="129">
        <v>122.0</v>
      </c>
      <c r="U99" s="131">
        <v>3738.0</v>
      </c>
      <c r="V99" s="132" t="s">
        <v>447</v>
      </c>
      <c r="W99" s="134">
        <v>91.0</v>
      </c>
      <c r="X99" s="347" t="s">
        <v>155</v>
      </c>
      <c r="Y99" s="103"/>
    </row>
    <row r="100" ht="29.25" customHeight="1">
      <c r="B100" s="105"/>
      <c r="C100" s="107">
        <v>1550.0</v>
      </c>
      <c r="D100" s="119" t="s">
        <v>280</v>
      </c>
      <c r="E100" s="111">
        <v>118.0</v>
      </c>
      <c r="F100" s="113">
        <v>3170.0</v>
      </c>
      <c r="G100" s="464" t="s">
        <v>528</v>
      </c>
      <c r="H100" s="116">
        <v>182.0</v>
      </c>
      <c r="I100" s="113"/>
      <c r="J100" s="119"/>
      <c r="K100" s="121"/>
      <c r="L100" s="113">
        <v>3054.0</v>
      </c>
      <c r="M100" s="167" t="s">
        <v>2536</v>
      </c>
      <c r="N100" s="116" t="s">
        <v>2659</v>
      </c>
      <c r="O100" s="113"/>
      <c r="P100" s="119"/>
      <c r="Q100" s="121"/>
      <c r="R100" s="125"/>
      <c r="S100" s="141"/>
      <c r="T100" s="142"/>
      <c r="U100" s="144"/>
      <c r="V100" s="147"/>
      <c r="W100" s="148"/>
      <c r="X100" s="150" t="s">
        <v>170</v>
      </c>
      <c r="Y100" s="103"/>
    </row>
    <row r="101" ht="31.5" customHeight="1">
      <c r="B101" s="105"/>
      <c r="C101" s="152"/>
      <c r="D101" s="154"/>
      <c r="E101" s="156"/>
      <c r="F101" s="157">
        <v>3306.0</v>
      </c>
      <c r="G101" s="465" t="s">
        <v>455</v>
      </c>
      <c r="H101" s="159">
        <v>66.0</v>
      </c>
      <c r="I101" s="113"/>
      <c r="J101" s="119"/>
      <c r="K101" s="121"/>
      <c r="L101" s="113">
        <v>4233.0</v>
      </c>
      <c r="M101" s="138" t="s">
        <v>2496</v>
      </c>
      <c r="N101" s="116" t="s">
        <v>297</v>
      </c>
      <c r="O101" s="113"/>
      <c r="P101" s="119"/>
      <c r="Q101" s="121"/>
      <c r="R101" s="125"/>
      <c r="S101" s="115"/>
      <c r="T101" s="160"/>
      <c r="U101" s="169"/>
      <c r="V101" s="141"/>
      <c r="W101" s="161"/>
      <c r="X101" s="163" t="s">
        <v>188</v>
      </c>
      <c r="Y101" s="49"/>
    </row>
    <row r="102" ht="18.75" customHeight="1">
      <c r="A102" s="38"/>
      <c r="B102" s="105"/>
      <c r="C102" s="152"/>
      <c r="D102" s="154"/>
      <c r="E102" s="156"/>
      <c r="F102" s="157"/>
      <c r="G102" s="166"/>
      <c r="H102" s="159"/>
      <c r="I102" s="113"/>
      <c r="J102" s="119"/>
      <c r="K102" s="121"/>
      <c r="L102" s="113">
        <v>4196.0</v>
      </c>
      <c r="M102" s="123" t="s">
        <v>141</v>
      </c>
      <c r="N102" s="1455" t="s">
        <v>293</v>
      </c>
      <c r="O102" s="113"/>
      <c r="P102" s="119"/>
      <c r="Q102" s="121"/>
      <c r="R102" s="125"/>
      <c r="S102" s="115"/>
      <c r="T102" s="168"/>
      <c r="U102" s="169"/>
      <c r="V102" s="141"/>
      <c r="W102" s="161"/>
      <c r="X102" s="170" t="s">
        <v>203</v>
      </c>
      <c r="Y102" s="49"/>
    </row>
    <row r="103" ht="27.75" customHeight="1">
      <c r="A103" s="38"/>
      <c r="B103" s="105"/>
      <c r="C103" s="152"/>
      <c r="D103" s="154"/>
      <c r="E103" s="156"/>
      <c r="F103" s="157"/>
      <c r="G103" s="166"/>
      <c r="H103" s="159"/>
      <c r="I103" s="113"/>
      <c r="J103" s="119"/>
      <c r="K103" s="121"/>
      <c r="L103" s="113">
        <v>4267.0</v>
      </c>
      <c r="M103" s="468" t="s">
        <v>3027</v>
      </c>
      <c r="N103" s="224"/>
      <c r="O103" s="113"/>
      <c r="P103" s="119"/>
      <c r="Q103" s="121"/>
      <c r="R103" s="125"/>
      <c r="S103" s="115"/>
      <c r="T103" s="168"/>
      <c r="U103" s="169"/>
      <c r="V103" s="141"/>
      <c r="W103" s="161"/>
      <c r="X103" s="469" t="s">
        <v>537</v>
      </c>
      <c r="Y103" s="49"/>
    </row>
    <row r="104" ht="18.75" customHeight="1">
      <c r="A104" s="38"/>
      <c r="B104" s="105"/>
      <c r="C104" s="152"/>
      <c r="D104" s="154"/>
      <c r="E104" s="156"/>
      <c r="F104" s="157"/>
      <c r="G104" s="166"/>
      <c r="H104" s="159"/>
      <c r="I104" s="113"/>
      <c r="J104" s="119"/>
      <c r="K104" s="121"/>
      <c r="L104" s="113">
        <v>4324.0</v>
      </c>
      <c r="M104" s="176" t="s">
        <v>1244</v>
      </c>
      <c r="N104" s="116">
        <v>76.0</v>
      </c>
      <c r="O104" s="113"/>
      <c r="P104" s="119"/>
      <c r="Q104" s="121"/>
      <c r="R104" s="125"/>
      <c r="S104" s="115"/>
      <c r="T104" s="168"/>
      <c r="U104" s="169"/>
      <c r="V104" s="141"/>
      <c r="W104" s="161"/>
      <c r="X104" s="472"/>
      <c r="Y104" s="49"/>
    </row>
    <row r="105" ht="18.75" customHeight="1">
      <c r="A105" s="38"/>
      <c r="B105" s="177"/>
      <c r="C105" s="178"/>
      <c r="D105" s="179"/>
      <c r="E105" s="180"/>
      <c r="F105" s="181"/>
      <c r="G105" s="183"/>
      <c r="H105" s="184"/>
      <c r="I105" s="185"/>
      <c r="J105" s="186"/>
      <c r="K105" s="188"/>
      <c r="L105" s="185">
        <v>3239.0</v>
      </c>
      <c r="M105" s="1456" t="s">
        <v>544</v>
      </c>
      <c r="N105" s="189"/>
      <c r="O105" s="185"/>
      <c r="P105" s="186"/>
      <c r="Q105" s="188"/>
      <c r="R105" s="192"/>
      <c r="S105" s="194"/>
      <c r="T105" s="197"/>
      <c r="U105" s="198"/>
      <c r="V105" s="199"/>
      <c r="W105" s="200"/>
      <c r="X105" s="472"/>
      <c r="Y105" s="49"/>
    </row>
    <row r="106" ht="18.75" customHeight="1">
      <c r="A106" s="38"/>
      <c r="B106" s="52"/>
      <c r="C106" s="54" t="s">
        <v>65</v>
      </c>
      <c r="D106" s="56" t="s">
        <v>66</v>
      </c>
      <c r="E106" s="57" t="s">
        <v>67</v>
      </c>
      <c r="F106" s="59" t="s">
        <v>65</v>
      </c>
      <c r="G106" s="59" t="s">
        <v>70</v>
      </c>
      <c r="H106" s="61" t="s">
        <v>67</v>
      </c>
      <c r="I106" s="59" t="s">
        <v>65</v>
      </c>
      <c r="J106" s="64" t="s">
        <v>74</v>
      </c>
      <c r="K106" s="61" t="s">
        <v>67</v>
      </c>
      <c r="L106" s="59" t="s">
        <v>65</v>
      </c>
      <c r="M106" s="66" t="s">
        <v>77</v>
      </c>
      <c r="N106" s="61" t="s">
        <v>67</v>
      </c>
      <c r="O106" s="61"/>
      <c r="P106" s="61"/>
      <c r="Q106" s="61" t="s">
        <v>67</v>
      </c>
      <c r="R106" s="59" t="s">
        <v>65</v>
      </c>
      <c r="S106" s="66" t="s">
        <v>79</v>
      </c>
      <c r="T106" s="61" t="s">
        <v>67</v>
      </c>
      <c r="U106" s="71" t="s">
        <v>65</v>
      </c>
      <c r="V106" s="71" t="s">
        <v>80</v>
      </c>
      <c r="W106" s="71" t="s">
        <v>67</v>
      </c>
      <c r="X106" s="14"/>
      <c r="Y106" s="49"/>
    </row>
    <row r="107" ht="33.0" customHeight="1">
      <c r="A107" s="74">
        <v>46187.0</v>
      </c>
      <c r="B107" s="473" t="s">
        <v>263</v>
      </c>
      <c r="C107" s="78">
        <v>2936.0</v>
      </c>
      <c r="D107" s="203" t="s">
        <v>468</v>
      </c>
      <c r="E107" s="81">
        <v>118.0</v>
      </c>
      <c r="F107" s="204">
        <v>4024.0</v>
      </c>
      <c r="G107" s="83" t="s">
        <v>271</v>
      </c>
      <c r="H107" s="205">
        <v>180.0</v>
      </c>
      <c r="I107" s="89">
        <v>8.0</v>
      </c>
      <c r="J107" s="85" t="s">
        <v>272</v>
      </c>
      <c r="K107" s="91">
        <v>182.0</v>
      </c>
      <c r="L107" s="204">
        <v>48.0</v>
      </c>
      <c r="M107" s="207" t="s">
        <v>274</v>
      </c>
      <c r="N107" s="116"/>
      <c r="O107" s="89">
        <v>3435.0</v>
      </c>
      <c r="P107" s="461" t="s">
        <v>276</v>
      </c>
      <c r="Q107" s="91">
        <v>25.0</v>
      </c>
      <c r="R107" s="92">
        <v>3330.0</v>
      </c>
      <c r="S107" s="94" t="s">
        <v>330</v>
      </c>
      <c r="T107" s="96">
        <v>118.0</v>
      </c>
      <c r="U107" s="97">
        <v>3996.0</v>
      </c>
      <c r="V107" s="99" t="s">
        <v>382</v>
      </c>
      <c r="W107" s="100">
        <v>118.0</v>
      </c>
      <c r="Y107" s="49"/>
    </row>
    <row r="108" ht="31.5" customHeight="1">
      <c r="B108" s="105"/>
      <c r="C108" s="107">
        <v>4235.0</v>
      </c>
      <c r="D108" s="1428" t="s">
        <v>1007</v>
      </c>
      <c r="E108" s="111">
        <v>72.0</v>
      </c>
      <c r="F108" s="125">
        <v>1995.0</v>
      </c>
      <c r="G108" s="115" t="s">
        <v>1143</v>
      </c>
      <c r="H108" s="209">
        <v>194.0</v>
      </c>
      <c r="I108" s="113">
        <v>1106.0</v>
      </c>
      <c r="J108" s="119" t="s">
        <v>2733</v>
      </c>
      <c r="K108" s="121"/>
      <c r="L108" s="210">
        <v>3407.0</v>
      </c>
      <c r="M108" s="211" t="s">
        <v>856</v>
      </c>
      <c r="N108" s="160">
        <v>119.0</v>
      </c>
      <c r="O108" s="113">
        <v>3455.0</v>
      </c>
      <c r="P108" s="462" t="s">
        <v>283</v>
      </c>
      <c r="Q108" s="121">
        <v>25.0</v>
      </c>
      <c r="R108" s="125">
        <v>3408.0</v>
      </c>
      <c r="S108" s="128" t="s">
        <v>1204</v>
      </c>
      <c r="T108" s="160">
        <v>117.0</v>
      </c>
      <c r="U108" s="131"/>
      <c r="V108" s="132"/>
      <c r="W108" s="134">
        <v>83.0</v>
      </c>
      <c r="X108" s="14"/>
      <c r="Y108" s="49"/>
    </row>
    <row r="109" ht="32.25" customHeight="1">
      <c r="B109" s="105"/>
      <c r="C109" s="212">
        <v>4318.0</v>
      </c>
      <c r="D109" s="214" t="s">
        <v>1240</v>
      </c>
      <c r="E109" s="111">
        <v>136.0</v>
      </c>
      <c r="F109" s="125">
        <v>3244.0</v>
      </c>
      <c r="G109" s="115" t="s">
        <v>286</v>
      </c>
      <c r="H109" s="209">
        <v>173.0</v>
      </c>
      <c r="I109" s="113"/>
      <c r="J109" s="119"/>
      <c r="K109" s="121"/>
      <c r="L109" s="125">
        <v>4328.0</v>
      </c>
      <c r="M109" s="123" t="s">
        <v>761</v>
      </c>
      <c r="N109" s="116"/>
      <c r="O109" s="113">
        <v>4312.0</v>
      </c>
      <c r="P109" s="119" t="s">
        <v>3028</v>
      </c>
      <c r="Q109" s="121">
        <v>150.0</v>
      </c>
      <c r="R109" s="125"/>
      <c r="S109" s="128"/>
      <c r="T109" s="129"/>
      <c r="U109" s="131"/>
      <c r="V109" s="147"/>
      <c r="W109" s="161"/>
      <c r="X109" s="14"/>
      <c r="Y109" s="49"/>
    </row>
    <row r="110" ht="18.75" customHeight="1">
      <c r="B110" s="105"/>
      <c r="C110" s="107"/>
      <c r="D110" s="119"/>
      <c r="E110" s="217"/>
      <c r="F110" s="125">
        <v>2621.0</v>
      </c>
      <c r="G110" s="474" t="s">
        <v>531</v>
      </c>
      <c r="H110" s="209">
        <v>87.0</v>
      </c>
      <c r="I110" s="219"/>
      <c r="J110" s="220"/>
      <c r="K110" s="222"/>
      <c r="L110" s="125">
        <v>4025.0</v>
      </c>
      <c r="M110" s="123" t="s">
        <v>561</v>
      </c>
      <c r="N110" s="475" t="s">
        <v>297</v>
      </c>
      <c r="O110" s="113"/>
      <c r="P110" s="119"/>
      <c r="Q110" s="216"/>
      <c r="R110" s="125"/>
      <c r="S110" s="115"/>
      <c r="T110" s="160"/>
      <c r="U110" s="131"/>
      <c r="V110" s="132"/>
      <c r="W110" s="161"/>
      <c r="X110" s="14"/>
      <c r="Y110" s="49"/>
    </row>
    <row r="111" ht="18.75" customHeight="1">
      <c r="A111" s="38"/>
      <c r="B111" s="105"/>
      <c r="C111" s="107"/>
      <c r="D111" s="119"/>
      <c r="E111" s="217"/>
      <c r="F111" s="125"/>
      <c r="G111" s="115"/>
      <c r="H111" s="209"/>
      <c r="I111" s="113"/>
      <c r="J111" s="119"/>
      <c r="K111" s="121"/>
      <c r="L111" s="125">
        <v>958.0</v>
      </c>
      <c r="M111" s="223" t="s">
        <v>294</v>
      </c>
      <c r="N111" s="1457" t="s">
        <v>293</v>
      </c>
      <c r="O111" s="113"/>
      <c r="P111" s="119"/>
      <c r="Q111" s="216"/>
      <c r="R111" s="125"/>
      <c r="S111" s="115"/>
      <c r="T111" s="160"/>
      <c r="U111" s="169"/>
      <c r="V111" s="141"/>
      <c r="W111" s="161"/>
      <c r="X111" s="14"/>
      <c r="Y111" s="49"/>
    </row>
    <row r="112" ht="18.75" customHeight="1">
      <c r="A112" s="38"/>
      <c r="B112" s="105"/>
      <c r="C112" s="107"/>
      <c r="D112" s="119"/>
      <c r="E112" s="217"/>
      <c r="F112" s="125"/>
      <c r="G112" s="115"/>
      <c r="H112" s="209"/>
      <c r="I112" s="113"/>
      <c r="J112" s="119"/>
      <c r="K112" s="121"/>
      <c r="L112" s="224"/>
      <c r="M112" s="132"/>
      <c r="N112" s="160"/>
      <c r="O112" s="113"/>
      <c r="P112" s="119"/>
      <c r="Q112" s="216"/>
      <c r="R112" s="125"/>
      <c r="S112" s="115"/>
      <c r="T112" s="160"/>
      <c r="U112" s="169"/>
      <c r="V112" s="141"/>
      <c r="W112" s="161"/>
      <c r="X112" s="14"/>
      <c r="Y112" s="49"/>
    </row>
    <row r="113" ht="18.75" customHeight="1">
      <c r="A113" s="38"/>
      <c r="B113" s="105"/>
      <c r="C113" s="107"/>
      <c r="D113" s="119"/>
      <c r="E113" s="217"/>
      <c r="F113" s="125"/>
      <c r="G113" s="115"/>
      <c r="H113" s="209"/>
      <c r="I113" s="113"/>
      <c r="J113" s="119"/>
      <c r="K113" s="121"/>
      <c r="L113" s="125">
        <v>4029.0</v>
      </c>
      <c r="M113" s="477" t="s">
        <v>295</v>
      </c>
      <c r="N113" s="475" t="s">
        <v>297</v>
      </c>
      <c r="O113" s="113"/>
      <c r="P113" s="119"/>
      <c r="Q113" s="216"/>
      <c r="R113" s="125"/>
      <c r="S113" s="115"/>
      <c r="T113" s="160"/>
      <c r="U113" s="169"/>
      <c r="V113" s="141"/>
      <c r="W113" s="161"/>
      <c r="X113" s="14"/>
      <c r="Y113" s="49"/>
    </row>
    <row r="114" ht="18.75" customHeight="1">
      <c r="A114" s="38"/>
      <c r="B114" s="177"/>
      <c r="C114" s="227"/>
      <c r="D114" s="186"/>
      <c r="E114" s="228"/>
      <c r="F114" s="192"/>
      <c r="G114" s="194"/>
      <c r="H114" s="229"/>
      <c r="I114" s="185"/>
      <c r="J114" s="186"/>
      <c r="K114" s="188"/>
      <c r="L114" s="192">
        <v>4268.0</v>
      </c>
      <c r="M114" s="1458" t="s">
        <v>865</v>
      </c>
      <c r="N114" s="231"/>
      <c r="O114" s="185"/>
      <c r="P114" s="186"/>
      <c r="Q114" s="232"/>
      <c r="R114" s="192"/>
      <c r="S114" s="194"/>
      <c r="T114" s="231"/>
      <c r="U114" s="198"/>
      <c r="V114" s="199"/>
      <c r="W114" s="200"/>
      <c r="X114" s="14"/>
      <c r="Y114" s="49"/>
    </row>
    <row r="115" ht="18.75" customHeight="1">
      <c r="A115" s="38"/>
      <c r="B115" s="52"/>
      <c r="C115" s="54" t="s">
        <v>65</v>
      </c>
      <c r="D115" s="56" t="s">
        <v>66</v>
      </c>
      <c r="E115" s="57" t="s">
        <v>67</v>
      </c>
      <c r="F115" s="59" t="s">
        <v>65</v>
      </c>
      <c r="G115" s="59" t="s">
        <v>70</v>
      </c>
      <c r="H115" s="61" t="s">
        <v>67</v>
      </c>
      <c r="I115" s="59" t="s">
        <v>65</v>
      </c>
      <c r="J115" s="64" t="s">
        <v>74</v>
      </c>
      <c r="K115" s="61" t="s">
        <v>67</v>
      </c>
      <c r="L115" s="59" t="s">
        <v>65</v>
      </c>
      <c r="M115" s="66" t="s">
        <v>77</v>
      </c>
      <c r="N115" s="61" t="s">
        <v>67</v>
      </c>
      <c r="O115" s="61" t="s">
        <v>65</v>
      </c>
      <c r="P115" s="61" t="s">
        <v>78</v>
      </c>
      <c r="Q115" s="61" t="s">
        <v>67</v>
      </c>
      <c r="R115" s="59" t="s">
        <v>65</v>
      </c>
      <c r="S115" s="66" t="s">
        <v>79</v>
      </c>
      <c r="T115" s="61" t="s">
        <v>67</v>
      </c>
      <c r="U115" s="71" t="s">
        <v>65</v>
      </c>
      <c r="V115" s="71" t="s">
        <v>80</v>
      </c>
      <c r="W115" s="71" t="s">
        <v>67</v>
      </c>
      <c r="X115" s="14"/>
      <c r="Y115" s="49"/>
    </row>
    <row r="116" ht="33.0" customHeight="1">
      <c r="A116" s="74">
        <v>46105.0</v>
      </c>
      <c r="B116" s="254" t="s">
        <v>298</v>
      </c>
      <c r="C116" s="78">
        <v>3014.0</v>
      </c>
      <c r="D116" s="79" t="s">
        <v>444</v>
      </c>
      <c r="E116" s="81">
        <v>125.0</v>
      </c>
      <c r="F116" s="204">
        <v>3230.0</v>
      </c>
      <c r="G116" s="83" t="s">
        <v>575</v>
      </c>
      <c r="H116" s="205">
        <v>140.0</v>
      </c>
      <c r="I116" s="233">
        <v>386.0</v>
      </c>
      <c r="J116" s="234" t="s">
        <v>300</v>
      </c>
      <c r="K116" s="91">
        <v>161.0</v>
      </c>
      <c r="L116" s="204">
        <v>761.0</v>
      </c>
      <c r="M116" s="87" t="s">
        <v>301</v>
      </c>
      <c r="N116" s="377"/>
      <c r="O116" s="82">
        <v>3375.0</v>
      </c>
      <c r="P116" s="479" t="s">
        <v>302</v>
      </c>
      <c r="Q116" s="86">
        <v>20.0</v>
      </c>
      <c r="R116" s="204">
        <v>3486.0</v>
      </c>
      <c r="S116" s="94" t="s">
        <v>303</v>
      </c>
      <c r="T116" s="96">
        <v>109.0</v>
      </c>
      <c r="U116" s="97">
        <v>4000.0</v>
      </c>
      <c r="V116" s="99" t="s">
        <v>289</v>
      </c>
      <c r="W116" s="100">
        <v>108.0</v>
      </c>
      <c r="X116" s="14"/>
      <c r="Y116" s="49"/>
    </row>
    <row r="117" ht="28.5" customHeight="1">
      <c r="B117" s="105"/>
      <c r="C117" s="107">
        <v>138.0</v>
      </c>
      <c r="D117" s="109" t="s">
        <v>939</v>
      </c>
      <c r="E117" s="111">
        <v>82.0</v>
      </c>
      <c r="F117" s="236">
        <v>3301.0</v>
      </c>
      <c r="G117" s="115" t="s">
        <v>305</v>
      </c>
      <c r="H117" s="237">
        <v>175.0</v>
      </c>
      <c r="I117" s="157"/>
      <c r="J117" s="238"/>
      <c r="K117" s="121">
        <v>41.0</v>
      </c>
      <c r="L117" s="125">
        <v>4172.0</v>
      </c>
      <c r="M117" s="241" t="s">
        <v>306</v>
      </c>
      <c r="N117" s="209">
        <v>140.0</v>
      </c>
      <c r="O117" s="239"/>
      <c r="P117" s="240"/>
      <c r="Q117" s="121"/>
      <c r="R117" s="125">
        <v>3140.0</v>
      </c>
      <c r="S117" s="464" t="s">
        <v>436</v>
      </c>
      <c r="T117" s="160">
        <v>79.0</v>
      </c>
      <c r="U117" s="131">
        <v>2943.0</v>
      </c>
      <c r="V117" s="132" t="s">
        <v>278</v>
      </c>
      <c r="W117" s="134">
        <v>82.0</v>
      </c>
      <c r="X117" s="14"/>
      <c r="Y117" s="49"/>
    </row>
    <row r="118" ht="30.0" customHeight="1">
      <c r="B118" s="105"/>
      <c r="C118" s="107">
        <v>2762.0</v>
      </c>
      <c r="D118" s="109" t="s">
        <v>719</v>
      </c>
      <c r="E118" s="111">
        <v>97.0</v>
      </c>
      <c r="F118" s="125">
        <v>4038.0</v>
      </c>
      <c r="G118" s="115" t="s">
        <v>309</v>
      </c>
      <c r="H118" s="209">
        <v>170.0</v>
      </c>
      <c r="I118" s="113"/>
      <c r="J118" s="119"/>
      <c r="K118" s="121"/>
      <c r="L118" s="125">
        <v>4237.0</v>
      </c>
      <c r="M118" s="241" t="s">
        <v>2658</v>
      </c>
      <c r="N118" s="1459" t="s">
        <v>293</v>
      </c>
      <c r="O118" s="239"/>
      <c r="P118" s="240"/>
      <c r="Q118" s="121"/>
      <c r="R118" s="125"/>
      <c r="S118" s="128"/>
      <c r="T118" s="160"/>
      <c r="U118" s="131">
        <v>822.0</v>
      </c>
      <c r="V118" s="132" t="s">
        <v>136</v>
      </c>
      <c r="W118" s="161"/>
      <c r="X118" s="14"/>
      <c r="Y118" s="49"/>
    </row>
    <row r="119" ht="28.5" customHeight="1">
      <c r="B119" s="105"/>
      <c r="C119" s="107"/>
      <c r="D119" s="480"/>
      <c r="E119" s="156"/>
      <c r="F119" s="125">
        <v>4034.0</v>
      </c>
      <c r="G119" s="471" t="s">
        <v>314</v>
      </c>
      <c r="H119" s="244">
        <v>57.0</v>
      </c>
      <c r="I119" s="113"/>
      <c r="J119" s="119"/>
      <c r="K119" s="121"/>
      <c r="L119" s="125">
        <v>3437.0</v>
      </c>
      <c r="M119" s="123" t="s">
        <v>313</v>
      </c>
      <c r="N119" s="1459" t="s">
        <v>311</v>
      </c>
      <c r="O119" s="113"/>
      <c r="P119" s="119"/>
      <c r="Q119" s="121"/>
      <c r="R119" s="125"/>
      <c r="S119" s="115"/>
      <c r="T119" s="245"/>
      <c r="U119" s="169"/>
      <c r="V119" s="308"/>
      <c r="W119" s="247"/>
      <c r="X119" s="14"/>
      <c r="Y119" s="49"/>
    </row>
    <row r="120" ht="33.0" customHeight="1">
      <c r="A120" s="38"/>
      <c r="B120" s="105"/>
      <c r="C120" s="107"/>
      <c r="D120" s="119"/>
      <c r="E120" s="156"/>
      <c r="F120" s="125"/>
      <c r="G120" s="481"/>
      <c r="H120" s="244"/>
      <c r="I120" s="113"/>
      <c r="J120" s="119"/>
      <c r="K120" s="121"/>
      <c r="L120" s="125">
        <v>763.0</v>
      </c>
      <c r="M120" s="123" t="s">
        <v>315</v>
      </c>
      <c r="N120" s="1460" t="s">
        <v>293</v>
      </c>
      <c r="O120" s="113"/>
      <c r="P120" s="119"/>
      <c r="Q120" s="121"/>
      <c r="R120" s="125"/>
      <c r="S120" s="115"/>
      <c r="T120" s="160"/>
      <c r="U120" s="169"/>
      <c r="V120" s="141"/>
      <c r="W120" s="161"/>
      <c r="X120" s="14"/>
      <c r="Y120" s="49"/>
    </row>
    <row r="121" ht="18.75" customHeight="1">
      <c r="A121" s="38"/>
      <c r="B121" s="105"/>
      <c r="C121" s="107"/>
      <c r="D121" s="119"/>
      <c r="E121" s="156"/>
      <c r="F121" s="125"/>
      <c r="G121" s="115"/>
      <c r="H121" s="244"/>
      <c r="I121" s="113"/>
      <c r="J121" s="119"/>
      <c r="K121" s="121"/>
      <c r="L121" s="125">
        <v>4017.0</v>
      </c>
      <c r="M121" s="176" t="s">
        <v>763</v>
      </c>
      <c r="N121" s="209"/>
      <c r="O121" s="113"/>
      <c r="P121" s="119"/>
      <c r="Q121" s="121"/>
      <c r="R121" s="125"/>
      <c r="S121" s="115"/>
      <c r="T121" s="160"/>
      <c r="U121" s="169"/>
      <c r="V121" s="141"/>
      <c r="W121" s="161"/>
      <c r="X121" s="14"/>
      <c r="Y121" s="49"/>
    </row>
    <row r="122" ht="18.75" customHeight="1">
      <c r="A122" s="38"/>
      <c r="B122" s="105"/>
      <c r="C122" s="107"/>
      <c r="D122" s="119"/>
      <c r="E122" s="156"/>
      <c r="F122" s="125"/>
      <c r="G122" s="115"/>
      <c r="H122" s="244"/>
      <c r="I122" s="113"/>
      <c r="J122" s="119"/>
      <c r="K122" s="121"/>
      <c r="L122" s="249">
        <v>18.0</v>
      </c>
      <c r="M122" s="280" t="s">
        <v>588</v>
      </c>
      <c r="N122" s="209">
        <v>59.0</v>
      </c>
      <c r="O122" s="113"/>
      <c r="P122" s="119"/>
      <c r="Q122" s="121"/>
      <c r="R122" s="125"/>
      <c r="S122" s="115"/>
      <c r="T122" s="160"/>
      <c r="U122" s="169"/>
      <c r="V122" s="141"/>
      <c r="W122" s="161"/>
      <c r="X122" s="14"/>
      <c r="Y122" s="49"/>
    </row>
    <row r="123" ht="18.75" customHeight="1">
      <c r="A123" s="38"/>
      <c r="B123" s="177"/>
      <c r="C123" s="227"/>
      <c r="D123" s="186"/>
      <c r="E123" s="180"/>
      <c r="F123" s="192"/>
      <c r="G123" s="194"/>
      <c r="H123" s="251"/>
      <c r="I123" s="185"/>
      <c r="J123" s="186"/>
      <c r="K123" s="188"/>
      <c r="L123" s="192">
        <v>3872.0</v>
      </c>
      <c r="M123" s="486" t="s">
        <v>442</v>
      </c>
      <c r="N123" s="229"/>
      <c r="O123" s="185"/>
      <c r="P123" s="186"/>
      <c r="Q123" s="188"/>
      <c r="R123" s="192"/>
      <c r="S123" s="194"/>
      <c r="T123" s="231"/>
      <c r="U123" s="198"/>
      <c r="V123" s="199"/>
      <c r="W123" s="200"/>
      <c r="X123" s="14"/>
      <c r="Y123" s="49"/>
    </row>
    <row r="124" ht="18.75" customHeight="1">
      <c r="A124" s="38"/>
      <c r="B124" s="52"/>
      <c r="C124" s="54" t="s">
        <v>65</v>
      </c>
      <c r="D124" s="56" t="s">
        <v>66</v>
      </c>
      <c r="E124" s="57" t="s">
        <v>67</v>
      </c>
      <c r="F124" s="59" t="s">
        <v>65</v>
      </c>
      <c r="G124" s="59" t="s">
        <v>70</v>
      </c>
      <c r="H124" s="61" t="s">
        <v>67</v>
      </c>
      <c r="I124" s="59" t="s">
        <v>65</v>
      </c>
      <c r="J124" s="64" t="s">
        <v>74</v>
      </c>
      <c r="K124" s="61" t="s">
        <v>67</v>
      </c>
      <c r="L124" s="59" t="s">
        <v>65</v>
      </c>
      <c r="M124" s="66" t="s">
        <v>77</v>
      </c>
      <c r="N124" s="61" t="s">
        <v>67</v>
      </c>
      <c r="O124" s="61" t="s">
        <v>65</v>
      </c>
      <c r="P124" s="61" t="s">
        <v>78</v>
      </c>
      <c r="Q124" s="61" t="s">
        <v>67</v>
      </c>
      <c r="R124" s="59" t="s">
        <v>65</v>
      </c>
      <c r="S124" s="66" t="s">
        <v>79</v>
      </c>
      <c r="T124" s="61" t="s">
        <v>67</v>
      </c>
      <c r="U124" s="71" t="s">
        <v>65</v>
      </c>
      <c r="V124" s="71" t="s">
        <v>80</v>
      </c>
      <c r="W124" s="71" t="s">
        <v>67</v>
      </c>
      <c r="X124" s="14"/>
      <c r="Y124" s="49"/>
    </row>
    <row r="125" ht="31.5" customHeight="1">
      <c r="A125" s="74">
        <v>46106.0</v>
      </c>
      <c r="B125" s="76" t="s">
        <v>319</v>
      </c>
      <c r="C125" s="78">
        <v>3641.0</v>
      </c>
      <c r="D125" s="79" t="s">
        <v>2952</v>
      </c>
      <c r="E125" s="81">
        <v>95.0</v>
      </c>
      <c r="F125" s="257">
        <v>3316.0</v>
      </c>
      <c r="G125" s="1432" t="s">
        <v>1155</v>
      </c>
      <c r="H125" s="205">
        <v>162.0</v>
      </c>
      <c r="I125" s="260">
        <v>380.0</v>
      </c>
      <c r="J125" s="261" t="s">
        <v>323</v>
      </c>
      <c r="K125" s="91">
        <v>141.0</v>
      </c>
      <c r="L125" s="204">
        <v>3612.0</v>
      </c>
      <c r="M125" s="87" t="s">
        <v>598</v>
      </c>
      <c r="N125" s="116"/>
      <c r="O125" s="263">
        <v>3527.0</v>
      </c>
      <c r="P125" s="489" t="s">
        <v>329</v>
      </c>
      <c r="Q125" s="86">
        <v>35.0</v>
      </c>
      <c r="R125" s="204">
        <v>2904.0</v>
      </c>
      <c r="S125" s="1454" t="s">
        <v>420</v>
      </c>
      <c r="T125" s="96">
        <v>112.0</v>
      </c>
      <c r="U125" s="97">
        <v>4281.0</v>
      </c>
      <c r="V125" s="99" t="s">
        <v>1039</v>
      </c>
      <c r="W125" s="100"/>
      <c r="X125" s="266"/>
      <c r="Y125" s="49"/>
    </row>
    <row r="126" ht="30.0" customHeight="1">
      <c r="B126" s="105"/>
      <c r="C126" s="107">
        <v>1922.0</v>
      </c>
      <c r="D126" s="109" t="s">
        <v>963</v>
      </c>
      <c r="E126" s="111">
        <v>92.0</v>
      </c>
      <c r="F126" s="125">
        <v>4053.0</v>
      </c>
      <c r="G126" s="271" t="s">
        <v>337</v>
      </c>
      <c r="H126" s="209">
        <v>157.0</v>
      </c>
      <c r="I126" s="273">
        <v>4274.0</v>
      </c>
      <c r="J126" s="275" t="s">
        <v>1180</v>
      </c>
      <c r="K126" s="121"/>
      <c r="L126" s="125">
        <v>1873.0</v>
      </c>
      <c r="M126" s="307" t="s">
        <v>343</v>
      </c>
      <c r="N126" s="116"/>
      <c r="O126" s="276">
        <v>3454.0</v>
      </c>
      <c r="P126" s="490" t="s">
        <v>346</v>
      </c>
      <c r="Q126" s="121">
        <v>20.0</v>
      </c>
      <c r="R126" s="125">
        <v>4239.0</v>
      </c>
      <c r="S126" s="464" t="s">
        <v>1213</v>
      </c>
      <c r="T126" s="160"/>
      <c r="U126" s="131"/>
      <c r="V126" s="132"/>
      <c r="W126" s="134"/>
      <c r="X126" s="14"/>
      <c r="Y126" s="49"/>
    </row>
    <row r="127" ht="30.0" customHeight="1">
      <c r="B127" s="105"/>
      <c r="C127" s="107">
        <v>385.0</v>
      </c>
      <c r="D127" s="109" t="s">
        <v>86</v>
      </c>
      <c r="E127" s="111">
        <v>133.0</v>
      </c>
      <c r="F127" s="125">
        <v>4055.0</v>
      </c>
      <c r="G127" s="119" t="s">
        <v>355</v>
      </c>
      <c r="H127" s="209">
        <v>152.0</v>
      </c>
      <c r="I127" s="278"/>
      <c r="J127" s="119"/>
      <c r="K127" s="121"/>
      <c r="L127" s="125">
        <v>1151.0</v>
      </c>
      <c r="M127" s="123" t="s">
        <v>359</v>
      </c>
      <c r="N127" s="116" t="s">
        <v>297</v>
      </c>
      <c r="O127" s="113">
        <v>2079.0</v>
      </c>
      <c r="P127" s="468" t="s">
        <v>361</v>
      </c>
      <c r="Q127" s="134">
        <v>170.0</v>
      </c>
      <c r="R127" s="125"/>
      <c r="S127" s="141"/>
      <c r="T127" s="284"/>
      <c r="U127" s="403"/>
      <c r="V127" s="141"/>
      <c r="W127" s="161"/>
      <c r="X127" s="14"/>
      <c r="Y127" s="49"/>
    </row>
    <row r="128" ht="30.75" customHeight="1">
      <c r="B128" s="105"/>
      <c r="C128" s="107"/>
      <c r="D128" s="109"/>
      <c r="E128" s="156"/>
      <c r="F128" s="125">
        <v>3810.0</v>
      </c>
      <c r="G128" s="471" t="s">
        <v>1120</v>
      </c>
      <c r="H128" s="244">
        <v>77.0</v>
      </c>
      <c r="I128" s="278"/>
      <c r="J128" s="119"/>
      <c r="K128" s="121"/>
      <c r="L128" s="210">
        <v>3517.0</v>
      </c>
      <c r="M128" s="211" t="s">
        <v>536</v>
      </c>
      <c r="N128" s="116" t="s">
        <v>311</v>
      </c>
      <c r="O128" s="113"/>
      <c r="P128" s="109"/>
      <c r="Q128" s="289"/>
      <c r="R128" s="125"/>
      <c r="S128" s="290"/>
      <c r="T128" s="245"/>
      <c r="U128" s="169"/>
      <c r="V128" s="308"/>
      <c r="W128" s="247"/>
      <c r="X128" s="491"/>
      <c r="Y128" s="49"/>
    </row>
    <row r="129" ht="30.0" customHeight="1">
      <c r="A129" s="38"/>
      <c r="B129" s="105"/>
      <c r="C129" s="107"/>
      <c r="D129" s="119"/>
      <c r="E129" s="156"/>
      <c r="F129" s="125"/>
      <c r="G129" s="119"/>
      <c r="H129" s="244"/>
      <c r="I129" s="113"/>
      <c r="J129" s="220"/>
      <c r="K129" s="222"/>
      <c r="L129" s="210"/>
      <c r="M129" s="119"/>
      <c r="N129" s="1460"/>
      <c r="O129" s="113"/>
      <c r="P129" s="119"/>
      <c r="Q129" s="216"/>
      <c r="R129" s="125"/>
      <c r="S129" s="115"/>
      <c r="T129" s="160"/>
      <c r="U129" s="169"/>
      <c r="V129" s="141"/>
      <c r="W129" s="161"/>
      <c r="X129" s="491"/>
      <c r="Y129" s="49"/>
    </row>
    <row r="130" ht="18.75" customHeight="1">
      <c r="A130" s="38"/>
      <c r="B130" s="105"/>
      <c r="C130" s="107"/>
      <c r="D130" s="119"/>
      <c r="E130" s="156"/>
      <c r="F130" s="125"/>
      <c r="G130" s="119"/>
      <c r="H130" s="244"/>
      <c r="I130" s="113"/>
      <c r="J130" s="119"/>
      <c r="K130" s="121"/>
      <c r="L130" s="210">
        <v>4120.0</v>
      </c>
      <c r="M130" s="123" t="s">
        <v>324</v>
      </c>
      <c r="N130" s="1460" t="s">
        <v>293</v>
      </c>
      <c r="O130" s="113"/>
      <c r="P130" s="119"/>
      <c r="Q130" s="216"/>
      <c r="R130" s="125"/>
      <c r="S130" s="115"/>
      <c r="T130" s="160"/>
      <c r="U130" s="169"/>
      <c r="V130" s="141"/>
      <c r="W130" s="161"/>
      <c r="X130" s="491"/>
      <c r="Y130" s="49"/>
    </row>
    <row r="131" ht="18.75" customHeight="1">
      <c r="A131" s="38"/>
      <c r="B131" s="105"/>
      <c r="C131" s="107"/>
      <c r="D131" s="119"/>
      <c r="E131" s="156"/>
      <c r="F131" s="125"/>
      <c r="G131" s="119"/>
      <c r="H131" s="244"/>
      <c r="I131" s="113"/>
      <c r="J131" s="119"/>
      <c r="K131" s="121"/>
      <c r="L131" s="210">
        <v>4032.0</v>
      </c>
      <c r="M131" s="295" t="s">
        <v>375</v>
      </c>
      <c r="N131" s="244"/>
      <c r="O131" s="113"/>
      <c r="P131" s="119"/>
      <c r="Q131" s="216"/>
      <c r="R131" s="125"/>
      <c r="S131" s="115"/>
      <c r="T131" s="160"/>
      <c r="U131" s="169"/>
      <c r="V131" s="141"/>
      <c r="W131" s="161"/>
      <c r="X131" s="491"/>
      <c r="Y131" s="49"/>
    </row>
    <row r="132" ht="18.75" customHeight="1">
      <c r="A132" s="38"/>
      <c r="B132" s="177"/>
      <c r="C132" s="227"/>
      <c r="D132" s="186"/>
      <c r="E132" s="180"/>
      <c r="F132" s="192"/>
      <c r="G132" s="186"/>
      <c r="H132" s="251"/>
      <c r="I132" s="185"/>
      <c r="J132" s="186"/>
      <c r="K132" s="188"/>
      <c r="L132" s="493">
        <v>4238.0</v>
      </c>
      <c r="M132" s="486" t="s">
        <v>2760</v>
      </c>
      <c r="N132" s="251"/>
      <c r="O132" s="185"/>
      <c r="P132" s="186"/>
      <c r="Q132" s="232"/>
      <c r="R132" s="192"/>
      <c r="S132" s="194"/>
      <c r="T132" s="231"/>
      <c r="U132" s="198"/>
      <c r="V132" s="199"/>
      <c r="W132" s="200"/>
      <c r="X132" s="491"/>
      <c r="Y132" s="49"/>
    </row>
    <row r="133" ht="18.75" customHeight="1">
      <c r="A133" s="38"/>
      <c r="B133" s="52"/>
      <c r="C133" s="54" t="s">
        <v>65</v>
      </c>
      <c r="D133" s="56" t="s">
        <v>66</v>
      </c>
      <c r="E133" s="57" t="s">
        <v>67</v>
      </c>
      <c r="F133" s="59" t="s">
        <v>65</v>
      </c>
      <c r="G133" s="59" t="s">
        <v>70</v>
      </c>
      <c r="H133" s="61" t="s">
        <v>67</v>
      </c>
      <c r="I133" s="59" t="s">
        <v>65</v>
      </c>
      <c r="J133" s="64" t="s">
        <v>74</v>
      </c>
      <c r="K133" s="61" t="s">
        <v>67</v>
      </c>
      <c r="L133" s="59" t="s">
        <v>65</v>
      </c>
      <c r="M133" s="66" t="s">
        <v>77</v>
      </c>
      <c r="N133" s="61" t="s">
        <v>67</v>
      </c>
      <c r="O133" s="61" t="s">
        <v>65</v>
      </c>
      <c r="P133" s="61" t="s">
        <v>78</v>
      </c>
      <c r="Q133" s="61" t="s">
        <v>67</v>
      </c>
      <c r="R133" s="59" t="s">
        <v>65</v>
      </c>
      <c r="S133" s="66" t="s">
        <v>79</v>
      </c>
      <c r="T133" s="61" t="s">
        <v>67</v>
      </c>
      <c r="U133" s="71" t="s">
        <v>65</v>
      </c>
      <c r="V133" s="71" t="s">
        <v>80</v>
      </c>
      <c r="W133" s="71" t="s">
        <v>67</v>
      </c>
      <c r="X133" s="14"/>
      <c r="Y133" s="49"/>
    </row>
    <row r="134" ht="30.0" customHeight="1">
      <c r="A134" s="74">
        <v>46107.0</v>
      </c>
      <c r="B134" s="254" t="s">
        <v>376</v>
      </c>
      <c r="C134" s="78">
        <v>2951.0</v>
      </c>
      <c r="D134" s="79" t="s">
        <v>377</v>
      </c>
      <c r="E134" s="81"/>
      <c r="F134" s="204">
        <v>3323.0</v>
      </c>
      <c r="G134" s="1461" t="s">
        <v>378</v>
      </c>
      <c r="H134" s="205"/>
      <c r="I134" s="82">
        <v>2288.0</v>
      </c>
      <c r="J134" s="85" t="s">
        <v>379</v>
      </c>
      <c r="K134" s="91"/>
      <c r="L134" s="82">
        <v>3462.0</v>
      </c>
      <c r="M134" s="494" t="s">
        <v>2056</v>
      </c>
      <c r="N134" s="495"/>
      <c r="O134" s="82">
        <v>3528.0</v>
      </c>
      <c r="P134" s="479" t="s">
        <v>463</v>
      </c>
      <c r="Q134" s="91">
        <v>20.0</v>
      </c>
      <c r="R134" s="204">
        <v>3.0</v>
      </c>
      <c r="S134" s="94" t="s">
        <v>404</v>
      </c>
      <c r="T134" s="496"/>
      <c r="U134" s="97">
        <v>4173.0</v>
      </c>
      <c r="V134" s="99" t="s">
        <v>601</v>
      </c>
      <c r="W134" s="100"/>
      <c r="X134" s="14"/>
      <c r="Y134" s="49"/>
    </row>
    <row r="135" ht="31.5" customHeight="1">
      <c r="B135" s="105"/>
      <c r="C135" s="107">
        <v>4242.0</v>
      </c>
      <c r="D135" s="119" t="s">
        <v>1019</v>
      </c>
      <c r="E135" s="111"/>
      <c r="F135" s="125">
        <v>4058.0</v>
      </c>
      <c r="G135" s="271" t="s">
        <v>384</v>
      </c>
      <c r="H135" s="209"/>
      <c r="I135" s="113">
        <v>822.0</v>
      </c>
      <c r="J135" s="119" t="s">
        <v>136</v>
      </c>
      <c r="K135" s="121"/>
      <c r="L135" s="497">
        <v>3361.0</v>
      </c>
      <c r="M135" s="498" t="s">
        <v>1442</v>
      </c>
      <c r="N135" s="499"/>
      <c r="O135" s="113"/>
      <c r="P135" s="119"/>
      <c r="Q135" s="216"/>
      <c r="R135" s="125">
        <v>2364.0</v>
      </c>
      <c r="S135" s="115" t="s">
        <v>407</v>
      </c>
      <c r="T135" s="168"/>
      <c r="U135" s="131">
        <v>2077.0</v>
      </c>
      <c r="V135" s="132" t="s">
        <v>1278</v>
      </c>
      <c r="W135" s="134"/>
      <c r="X135" s="14"/>
      <c r="Y135" s="49"/>
    </row>
    <row r="136" ht="31.5" customHeight="1">
      <c r="B136" s="105"/>
      <c r="C136" s="107">
        <v>2769.0</v>
      </c>
      <c r="D136" s="119" t="s">
        <v>608</v>
      </c>
      <c r="E136" s="217"/>
      <c r="F136" s="301">
        <v>2706.0</v>
      </c>
      <c r="G136" s="302" t="s">
        <v>390</v>
      </c>
      <c r="H136" s="237"/>
      <c r="I136" s="113"/>
      <c r="J136" s="119"/>
      <c r="K136" s="121"/>
      <c r="L136" s="500">
        <v>3351.0</v>
      </c>
      <c r="M136" s="501" t="s">
        <v>1438</v>
      </c>
      <c r="N136" s="499"/>
      <c r="O136" s="113"/>
      <c r="P136" s="119"/>
      <c r="Q136" s="216"/>
      <c r="R136" s="125"/>
      <c r="S136" s="115"/>
      <c r="T136" s="160"/>
      <c r="U136" s="169"/>
      <c r="V136" s="141"/>
      <c r="W136" s="161"/>
      <c r="X136" s="14"/>
      <c r="Y136" s="49"/>
    </row>
    <row r="137" ht="30.75" customHeight="1">
      <c r="B137" s="105"/>
      <c r="C137" s="107"/>
      <c r="D137" s="109"/>
      <c r="E137" s="217"/>
      <c r="F137" s="301">
        <v>2954.0</v>
      </c>
      <c r="G137" s="465" t="s">
        <v>1257</v>
      </c>
      <c r="H137" s="306"/>
      <c r="I137" s="113"/>
      <c r="J137" s="220"/>
      <c r="K137" s="222"/>
      <c r="L137" s="113">
        <v>3869.0</v>
      </c>
      <c r="M137" s="502" t="s">
        <v>2976</v>
      </c>
      <c r="N137" s="499"/>
      <c r="O137" s="113"/>
      <c r="P137" s="119"/>
      <c r="Q137" s="289"/>
      <c r="R137" s="125"/>
      <c r="S137" s="290"/>
      <c r="T137" s="245"/>
      <c r="U137" s="169"/>
      <c r="V137" s="308"/>
      <c r="W137" s="247"/>
      <c r="X137" s="14"/>
      <c r="Y137" s="49"/>
    </row>
    <row r="138" ht="18.75" customHeight="1">
      <c r="A138" s="38"/>
      <c r="B138" s="105"/>
      <c r="C138" s="309"/>
      <c r="D138" s="310"/>
      <c r="E138" s="156"/>
      <c r="F138" s="125"/>
      <c r="G138" s="115"/>
      <c r="H138" s="311"/>
      <c r="I138" s="312"/>
      <c r="J138" s="313"/>
      <c r="K138" s="314"/>
      <c r="L138" s="113">
        <v>26.0</v>
      </c>
      <c r="M138" s="502" t="s">
        <v>397</v>
      </c>
      <c r="N138" s="503"/>
      <c r="O138" s="315"/>
      <c r="P138" s="316"/>
      <c r="Q138" s="317"/>
      <c r="R138" s="321"/>
      <c r="S138" s="322"/>
      <c r="T138" s="168"/>
      <c r="U138" s="318"/>
      <c r="V138" s="319"/>
      <c r="W138" s="320"/>
      <c r="X138" s="14"/>
      <c r="Y138" s="49"/>
    </row>
    <row r="139" ht="18.75" customHeight="1">
      <c r="A139" s="38"/>
      <c r="B139" s="105"/>
      <c r="C139" s="309"/>
      <c r="D139" s="310"/>
      <c r="E139" s="156"/>
      <c r="F139" s="125"/>
      <c r="G139" s="115"/>
      <c r="H139" s="311"/>
      <c r="I139" s="312"/>
      <c r="J139" s="313"/>
      <c r="K139" s="314"/>
      <c r="L139" s="113">
        <v>2830.0</v>
      </c>
      <c r="M139" s="1462" t="s">
        <v>792</v>
      </c>
      <c r="N139" s="503"/>
      <c r="O139" s="315"/>
      <c r="P139" s="316"/>
      <c r="Q139" s="317"/>
      <c r="R139" s="321"/>
      <c r="S139" s="322"/>
      <c r="T139" s="168"/>
      <c r="U139" s="318"/>
      <c r="V139" s="319"/>
      <c r="W139" s="320"/>
      <c r="X139" s="14"/>
      <c r="Y139" s="49"/>
    </row>
    <row r="140" ht="18.75" customHeight="1">
      <c r="A140" s="38"/>
      <c r="B140" s="105"/>
      <c r="C140" s="309"/>
      <c r="D140" s="310"/>
      <c r="E140" s="156"/>
      <c r="F140" s="125"/>
      <c r="G140" s="115"/>
      <c r="H140" s="311"/>
      <c r="I140" s="312"/>
      <c r="J140" s="313"/>
      <c r="K140" s="314"/>
      <c r="L140" s="113">
        <v>657.0</v>
      </c>
      <c r="M140" s="502" t="s">
        <v>819</v>
      </c>
      <c r="N140" s="503"/>
      <c r="O140" s="315"/>
      <c r="P140" s="316"/>
      <c r="Q140" s="317"/>
      <c r="R140" s="321"/>
      <c r="S140" s="322"/>
      <c r="T140" s="168"/>
      <c r="U140" s="318"/>
      <c r="V140" s="319"/>
      <c r="W140" s="320"/>
      <c r="X140" s="14"/>
      <c r="Y140" s="49"/>
    </row>
    <row r="141" ht="18.75" customHeight="1">
      <c r="A141" s="38"/>
      <c r="B141" s="177"/>
      <c r="C141" s="323"/>
      <c r="D141" s="324"/>
      <c r="E141" s="180"/>
      <c r="F141" s="192"/>
      <c r="G141" s="194"/>
      <c r="H141" s="325"/>
      <c r="I141" s="326"/>
      <c r="J141" s="327"/>
      <c r="K141" s="328"/>
      <c r="L141" s="185">
        <v>113.0</v>
      </c>
      <c r="M141" s="506" t="s">
        <v>558</v>
      </c>
      <c r="N141" s="508"/>
      <c r="O141" s="330"/>
      <c r="P141" s="331"/>
      <c r="Q141" s="332"/>
      <c r="R141" s="333"/>
      <c r="S141" s="334"/>
      <c r="T141" s="197"/>
      <c r="U141" s="335"/>
      <c r="V141" s="336"/>
      <c r="W141" s="337"/>
      <c r="X141" s="14"/>
      <c r="Y141" s="49"/>
    </row>
    <row r="142" ht="18.75" customHeight="1">
      <c r="A142" s="38"/>
      <c r="B142" s="14"/>
      <c r="C142" s="15"/>
      <c r="D142" s="17"/>
      <c r="E142" s="19"/>
      <c r="F142" s="28"/>
      <c r="G142" s="34"/>
      <c r="H142" s="27"/>
      <c r="I142" s="28"/>
      <c r="J142" s="31"/>
      <c r="K142" s="28"/>
      <c r="L142" s="21"/>
      <c r="M142" s="339"/>
      <c r="N142" s="27"/>
      <c r="O142" s="27"/>
      <c r="P142" s="17"/>
      <c r="Q142" s="28"/>
      <c r="R142" s="28"/>
      <c r="S142" s="34"/>
      <c r="T142" s="35"/>
      <c r="U142" s="14"/>
      <c r="V142" s="14"/>
      <c r="W142" s="14"/>
      <c r="X142" s="14"/>
      <c r="Y142" s="49"/>
    </row>
    <row r="143" ht="15.75" customHeight="1">
      <c r="A143" s="38"/>
      <c r="B143" s="14"/>
      <c r="C143" s="15"/>
      <c r="D143" s="17"/>
      <c r="E143" s="19"/>
      <c r="F143" s="21"/>
      <c r="G143" s="338"/>
      <c r="H143" s="27"/>
      <c r="I143" s="28"/>
      <c r="J143" s="31"/>
      <c r="K143" s="28"/>
      <c r="L143" s="21"/>
      <c r="M143" s="339"/>
      <c r="N143" s="27"/>
      <c r="O143" s="27"/>
      <c r="P143" s="17"/>
      <c r="Q143" s="28"/>
      <c r="R143" s="28"/>
      <c r="S143" s="34"/>
      <c r="T143" s="35"/>
      <c r="U143" s="14"/>
      <c r="V143" s="14"/>
      <c r="W143" s="14"/>
      <c r="X143" s="14"/>
      <c r="Y143" s="49"/>
    </row>
    <row r="144" ht="15.75" customHeight="1">
      <c r="A144" s="38"/>
      <c r="B144" s="42" t="s">
        <v>690</v>
      </c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7"/>
      <c r="U144" s="14"/>
      <c r="V144" s="14"/>
      <c r="W144" s="14"/>
      <c r="X144" s="14"/>
      <c r="Y144" s="49"/>
    </row>
    <row r="145" ht="18.75" customHeight="1">
      <c r="A145" s="38"/>
      <c r="B145" s="52"/>
      <c r="C145" s="54" t="s">
        <v>65</v>
      </c>
      <c r="D145" s="56" t="s">
        <v>66</v>
      </c>
      <c r="E145" s="57" t="s">
        <v>67</v>
      </c>
      <c r="F145" s="59" t="s">
        <v>65</v>
      </c>
      <c r="G145" s="59" t="s">
        <v>70</v>
      </c>
      <c r="H145" s="61" t="s">
        <v>67</v>
      </c>
      <c r="I145" s="59" t="s">
        <v>65</v>
      </c>
      <c r="J145" s="64" t="s">
        <v>74</v>
      </c>
      <c r="K145" s="61" t="s">
        <v>67</v>
      </c>
      <c r="L145" s="59" t="s">
        <v>65</v>
      </c>
      <c r="M145" s="66" t="s">
        <v>77</v>
      </c>
      <c r="N145" s="61" t="s">
        <v>67</v>
      </c>
      <c r="O145" s="61" t="s">
        <v>65</v>
      </c>
      <c r="P145" s="61" t="s">
        <v>78</v>
      </c>
      <c r="Q145" s="61" t="s">
        <v>67</v>
      </c>
      <c r="R145" s="59" t="s">
        <v>65</v>
      </c>
      <c r="S145" s="66" t="s">
        <v>79</v>
      </c>
      <c r="T145" s="61" t="s">
        <v>67</v>
      </c>
      <c r="U145" s="71" t="s">
        <v>65</v>
      </c>
      <c r="V145" s="71" t="s">
        <v>80</v>
      </c>
      <c r="W145" s="71" t="s">
        <v>67</v>
      </c>
      <c r="X145" s="14"/>
      <c r="Y145" s="49"/>
    </row>
    <row r="146" ht="29.25" customHeight="1">
      <c r="A146" s="74">
        <v>46250.0</v>
      </c>
      <c r="B146" s="511" t="s">
        <v>84</v>
      </c>
      <c r="C146" s="78">
        <v>2762.0</v>
      </c>
      <c r="D146" s="79" t="s">
        <v>719</v>
      </c>
      <c r="E146" s="81">
        <v>131.0</v>
      </c>
      <c r="F146" s="204">
        <v>3147.0</v>
      </c>
      <c r="G146" s="83" t="s">
        <v>405</v>
      </c>
      <c r="H146" s="205">
        <v>237.0</v>
      </c>
      <c r="I146" s="82">
        <v>793.0</v>
      </c>
      <c r="J146" s="85" t="s">
        <v>93</v>
      </c>
      <c r="K146" s="91">
        <v>176.0</v>
      </c>
      <c r="L146" s="82">
        <v>4175.0</v>
      </c>
      <c r="M146" s="512" t="s">
        <v>565</v>
      </c>
      <c r="N146" s="503" t="s">
        <v>297</v>
      </c>
      <c r="O146" s="82">
        <v>3518.0</v>
      </c>
      <c r="P146" s="479" t="s">
        <v>518</v>
      </c>
      <c r="Q146" s="91">
        <v>15.0</v>
      </c>
      <c r="R146" s="204">
        <v>2782.0</v>
      </c>
      <c r="S146" s="1454" t="s">
        <v>307</v>
      </c>
      <c r="T146" s="96">
        <v>107.0</v>
      </c>
      <c r="U146" s="97">
        <v>3999.0</v>
      </c>
      <c r="V146" s="99" t="s">
        <v>364</v>
      </c>
      <c r="W146" s="100">
        <v>112.0</v>
      </c>
      <c r="X146" s="101" t="s">
        <v>111</v>
      </c>
      <c r="Y146" s="49"/>
    </row>
    <row r="147" ht="28.5" customHeight="1">
      <c r="B147" s="105"/>
      <c r="C147" s="107">
        <v>1076.0</v>
      </c>
      <c r="D147" s="109" t="s">
        <v>729</v>
      </c>
      <c r="E147" s="111">
        <v>137.0</v>
      </c>
      <c r="F147" s="125">
        <v>3165.0</v>
      </c>
      <c r="G147" s="115" t="s">
        <v>731</v>
      </c>
      <c r="H147" s="209">
        <v>224.0</v>
      </c>
      <c r="I147" s="113"/>
      <c r="J147" s="119"/>
      <c r="K147" s="121">
        <v>54.0</v>
      </c>
      <c r="L147" s="497">
        <v>980.0</v>
      </c>
      <c r="M147" s="513" t="s">
        <v>563</v>
      </c>
      <c r="N147" s="499">
        <v>110.0</v>
      </c>
      <c r="O147" s="113">
        <v>2079.0</v>
      </c>
      <c r="P147" s="462" t="s">
        <v>361</v>
      </c>
      <c r="Q147" s="121">
        <v>170.0</v>
      </c>
      <c r="R147" s="125">
        <v>33.0</v>
      </c>
      <c r="S147" s="115" t="s">
        <v>524</v>
      </c>
      <c r="T147" s="160">
        <v>102.0</v>
      </c>
      <c r="U147" s="131">
        <v>2929.0</v>
      </c>
      <c r="V147" s="132" t="s">
        <v>415</v>
      </c>
      <c r="W147" s="134">
        <v>100.0</v>
      </c>
      <c r="X147" s="347" t="s">
        <v>155</v>
      </c>
      <c r="Y147" s="49"/>
    </row>
    <row r="148" ht="30.0" customHeight="1">
      <c r="B148" s="105"/>
      <c r="C148" s="107">
        <v>138.0</v>
      </c>
      <c r="D148" s="109" t="s">
        <v>939</v>
      </c>
      <c r="E148" s="111">
        <v>95.0</v>
      </c>
      <c r="F148" s="301">
        <v>2686.0</v>
      </c>
      <c r="G148" s="166" t="s">
        <v>402</v>
      </c>
      <c r="H148" s="237">
        <v>130.0</v>
      </c>
      <c r="I148" s="113">
        <v>822.0</v>
      </c>
      <c r="J148" s="119" t="s">
        <v>136</v>
      </c>
      <c r="K148" s="121"/>
      <c r="L148" s="500">
        <v>3737.0</v>
      </c>
      <c r="M148" s="172" t="s">
        <v>403</v>
      </c>
      <c r="N148" s="503" t="s">
        <v>297</v>
      </c>
      <c r="O148" s="113"/>
      <c r="P148" s="119"/>
      <c r="Q148" s="216"/>
      <c r="R148" s="125"/>
      <c r="S148" s="115"/>
      <c r="T148" s="160"/>
      <c r="U148" s="131">
        <v>4312.0</v>
      </c>
      <c r="V148" s="132" t="s">
        <v>3028</v>
      </c>
      <c r="W148" s="161"/>
      <c r="X148" s="150" t="s">
        <v>170</v>
      </c>
      <c r="Y148" s="49"/>
    </row>
    <row r="149" ht="31.5" customHeight="1">
      <c r="B149" s="105"/>
      <c r="C149" s="107"/>
      <c r="D149" s="109"/>
      <c r="E149" s="217"/>
      <c r="F149" s="301">
        <v>3306.0</v>
      </c>
      <c r="G149" s="465" t="s">
        <v>455</v>
      </c>
      <c r="H149" s="306">
        <v>61.0</v>
      </c>
      <c r="I149" s="113"/>
      <c r="J149" s="220"/>
      <c r="K149" s="222"/>
      <c r="L149" s="113">
        <v>1009.0</v>
      </c>
      <c r="M149" s="514" t="s">
        <v>406</v>
      </c>
      <c r="N149" s="499" t="s">
        <v>440</v>
      </c>
      <c r="O149" s="113"/>
      <c r="P149" s="119"/>
      <c r="Q149" s="289"/>
      <c r="R149" s="125"/>
      <c r="S149" s="290"/>
      <c r="T149" s="245"/>
      <c r="U149" s="169"/>
      <c r="V149" s="308"/>
      <c r="W149" s="247"/>
      <c r="X149" s="163" t="s">
        <v>188</v>
      </c>
      <c r="Y149" s="49"/>
    </row>
    <row r="150" ht="16.5" customHeight="1">
      <c r="A150" s="38"/>
      <c r="B150" s="105"/>
      <c r="C150" s="309"/>
      <c r="D150" s="310"/>
      <c r="E150" s="156"/>
      <c r="F150" s="125"/>
      <c r="G150" s="115"/>
      <c r="H150" s="311"/>
      <c r="I150" s="515"/>
      <c r="J150" s="517"/>
      <c r="K150" s="314"/>
      <c r="L150" s="113">
        <v>3663.0</v>
      </c>
      <c r="M150" s="519" t="s">
        <v>372</v>
      </c>
      <c r="N150" s="503"/>
      <c r="O150" s="315"/>
      <c r="P150" s="316"/>
      <c r="Q150" s="317"/>
      <c r="R150" s="321"/>
      <c r="S150" s="322"/>
      <c r="T150" s="168"/>
      <c r="U150" s="318"/>
      <c r="V150" s="319"/>
      <c r="W150" s="320"/>
      <c r="X150" s="170" t="s">
        <v>203</v>
      </c>
      <c r="Y150" s="49"/>
    </row>
    <row r="151" ht="16.5" customHeight="1">
      <c r="A151" s="38"/>
      <c r="B151" s="105"/>
      <c r="C151" s="309"/>
      <c r="D151" s="310"/>
      <c r="E151" s="156"/>
      <c r="F151" s="125"/>
      <c r="G151" s="115"/>
      <c r="H151" s="311"/>
      <c r="I151" s="312"/>
      <c r="J151" s="313"/>
      <c r="K151" s="314"/>
      <c r="L151" s="113"/>
      <c r="M151" s="504"/>
      <c r="N151" s="503"/>
      <c r="O151" s="315"/>
      <c r="P151" s="316"/>
      <c r="Q151" s="317"/>
      <c r="R151" s="321"/>
      <c r="S151" s="322"/>
      <c r="T151" s="168"/>
      <c r="U151" s="318"/>
      <c r="V151" s="319"/>
      <c r="W151" s="320"/>
      <c r="X151" s="469" t="s">
        <v>537</v>
      </c>
      <c r="Y151" s="49"/>
    </row>
    <row r="152" ht="16.5" customHeight="1">
      <c r="A152" s="38"/>
      <c r="B152" s="105"/>
      <c r="C152" s="309"/>
      <c r="D152" s="310"/>
      <c r="E152" s="156"/>
      <c r="F152" s="125"/>
      <c r="G152" s="115"/>
      <c r="H152" s="311"/>
      <c r="I152" s="312"/>
      <c r="J152" s="313"/>
      <c r="K152" s="314"/>
      <c r="L152" s="113">
        <v>4224.0</v>
      </c>
      <c r="M152" s="520" t="s">
        <v>798</v>
      </c>
      <c r="N152" s="503"/>
      <c r="O152" s="315"/>
      <c r="P152" s="316"/>
      <c r="Q152" s="317"/>
      <c r="R152" s="321"/>
      <c r="S152" s="322"/>
      <c r="T152" s="168"/>
      <c r="U152" s="318"/>
      <c r="V152" s="319"/>
      <c r="W152" s="320"/>
      <c r="X152" s="175"/>
      <c r="Y152" s="49"/>
    </row>
    <row r="153" ht="16.5" customHeight="1">
      <c r="A153" s="38"/>
      <c r="B153" s="177"/>
      <c r="C153" s="323"/>
      <c r="D153" s="324"/>
      <c r="E153" s="180"/>
      <c r="F153" s="192"/>
      <c r="G153" s="194"/>
      <c r="H153" s="325"/>
      <c r="I153" s="326"/>
      <c r="J153" s="327"/>
      <c r="K153" s="328"/>
      <c r="L153" s="185"/>
      <c r="M153" s="521"/>
      <c r="N153" s="508"/>
      <c r="O153" s="330"/>
      <c r="P153" s="331"/>
      <c r="Q153" s="332"/>
      <c r="R153" s="333"/>
      <c r="S153" s="334"/>
      <c r="T153" s="197"/>
      <c r="U153" s="335"/>
      <c r="V153" s="336"/>
      <c r="W153" s="337"/>
      <c r="X153" s="175"/>
      <c r="Y153" s="49"/>
    </row>
    <row r="154" ht="18.75" customHeight="1">
      <c r="A154" s="38"/>
      <c r="B154" s="52"/>
      <c r="C154" s="54" t="s">
        <v>65</v>
      </c>
      <c r="D154" s="56" t="s">
        <v>66</v>
      </c>
      <c r="E154" s="57" t="s">
        <v>67</v>
      </c>
      <c r="F154" s="59" t="s">
        <v>65</v>
      </c>
      <c r="G154" s="59" t="s">
        <v>70</v>
      </c>
      <c r="H154" s="61" t="s">
        <v>67</v>
      </c>
      <c r="I154" s="59" t="s">
        <v>65</v>
      </c>
      <c r="J154" s="64" t="s">
        <v>74</v>
      </c>
      <c r="K154" s="61" t="s">
        <v>67</v>
      </c>
      <c r="L154" s="59" t="s">
        <v>65</v>
      </c>
      <c r="M154" s="66" t="s">
        <v>77</v>
      </c>
      <c r="N154" s="61" t="s">
        <v>67</v>
      </c>
      <c r="O154" s="61" t="s">
        <v>65</v>
      </c>
      <c r="P154" s="61" t="s">
        <v>78</v>
      </c>
      <c r="Q154" s="61" t="s">
        <v>67</v>
      </c>
      <c r="R154" s="59" t="s">
        <v>65</v>
      </c>
      <c r="S154" s="66" t="s">
        <v>79</v>
      </c>
      <c r="T154" s="61" t="s">
        <v>67</v>
      </c>
      <c r="U154" s="71" t="s">
        <v>65</v>
      </c>
      <c r="V154" s="71" t="s">
        <v>80</v>
      </c>
      <c r="W154" s="71" t="s">
        <v>67</v>
      </c>
      <c r="X154" s="14"/>
      <c r="Y154" s="49"/>
    </row>
    <row r="155" ht="32.25" customHeight="1">
      <c r="A155" s="74">
        <v>46251.0</v>
      </c>
      <c r="B155" s="254" t="s">
        <v>409</v>
      </c>
      <c r="C155" s="78">
        <v>1287.0</v>
      </c>
      <c r="D155" s="79" t="s">
        <v>410</v>
      </c>
      <c r="E155" s="81">
        <v>149.0</v>
      </c>
      <c r="F155" s="204">
        <v>3379.0</v>
      </c>
      <c r="G155" s="83" t="s">
        <v>281</v>
      </c>
      <c r="H155" s="205" t="s">
        <v>311</v>
      </c>
      <c r="I155" s="233">
        <v>386.0</v>
      </c>
      <c r="J155" s="234" t="s">
        <v>300</v>
      </c>
      <c r="K155" s="91">
        <v>194.0</v>
      </c>
      <c r="L155" s="204">
        <v>1939.0</v>
      </c>
      <c r="M155" s="375" t="s">
        <v>419</v>
      </c>
      <c r="N155" s="377" t="s">
        <v>311</v>
      </c>
      <c r="O155" s="82">
        <v>3455.0</v>
      </c>
      <c r="P155" s="479" t="s">
        <v>283</v>
      </c>
      <c r="Q155" s="86">
        <v>20.0</v>
      </c>
      <c r="R155" s="204">
        <v>4050.0</v>
      </c>
      <c r="S155" s="94" t="s">
        <v>414</v>
      </c>
      <c r="T155" s="96">
        <v>120.0</v>
      </c>
      <c r="U155" s="97"/>
      <c r="V155" s="99"/>
      <c r="W155" s="100">
        <v>82.0</v>
      </c>
      <c r="X155" s="14"/>
      <c r="Y155" s="49"/>
    </row>
    <row r="156" ht="34.5" customHeight="1">
      <c r="B156" s="105"/>
      <c r="C156" s="107">
        <v>3426.0</v>
      </c>
      <c r="D156" s="109" t="s">
        <v>416</v>
      </c>
      <c r="E156" s="111">
        <v>120.0</v>
      </c>
      <c r="F156" s="236">
        <v>2175.0</v>
      </c>
      <c r="G156" s="115" t="s">
        <v>417</v>
      </c>
      <c r="H156" s="209">
        <v>187.0</v>
      </c>
      <c r="I156" s="157">
        <v>60.0</v>
      </c>
      <c r="J156" s="238" t="s">
        <v>1241</v>
      </c>
      <c r="K156" s="121"/>
      <c r="L156" s="125">
        <v>1982.0</v>
      </c>
      <c r="M156" s="417" t="s">
        <v>423</v>
      </c>
      <c r="N156" s="209">
        <v>156.0</v>
      </c>
      <c r="O156" s="239">
        <v>3435.0</v>
      </c>
      <c r="P156" s="522" t="s">
        <v>276</v>
      </c>
      <c r="Q156" s="121">
        <v>10.0</v>
      </c>
      <c r="R156" s="125">
        <v>5.0</v>
      </c>
      <c r="S156" s="115" t="s">
        <v>387</v>
      </c>
      <c r="T156" s="160">
        <v>149.0</v>
      </c>
      <c r="U156" s="131">
        <v>3996.0</v>
      </c>
      <c r="V156" s="132" t="s">
        <v>382</v>
      </c>
      <c r="W156" s="134">
        <v>88.0</v>
      </c>
      <c r="X156" s="14"/>
      <c r="Y156" s="49"/>
    </row>
    <row r="157" ht="30.75" customHeight="1">
      <c r="B157" s="105"/>
      <c r="C157" s="107">
        <v>4098.0</v>
      </c>
      <c r="D157" s="109" t="s">
        <v>3032</v>
      </c>
      <c r="E157" s="111">
        <v>95.0</v>
      </c>
      <c r="F157" s="125">
        <v>3814.0</v>
      </c>
      <c r="G157" s="115" t="s">
        <v>422</v>
      </c>
      <c r="H157" s="209">
        <v>188.0</v>
      </c>
      <c r="I157" s="113"/>
      <c r="J157" s="119"/>
      <c r="K157" s="121"/>
      <c r="L157" s="125">
        <v>1267.0</v>
      </c>
      <c r="M157" s="123" t="s">
        <v>425</v>
      </c>
      <c r="N157" s="503"/>
      <c r="O157" s="239"/>
      <c r="P157" s="240"/>
      <c r="Q157" s="121"/>
      <c r="R157" s="125"/>
      <c r="S157" s="128"/>
      <c r="T157" s="160"/>
      <c r="U157" s="169"/>
      <c r="V157" s="141"/>
      <c r="W157" s="161"/>
      <c r="X157" s="14"/>
      <c r="Y157" s="49"/>
    </row>
    <row r="158" ht="16.5" customHeight="1">
      <c r="B158" s="105"/>
      <c r="C158" s="107"/>
      <c r="D158" s="242"/>
      <c r="E158" s="156"/>
      <c r="F158" s="125">
        <v>4273.0</v>
      </c>
      <c r="G158" s="471" t="s">
        <v>1154</v>
      </c>
      <c r="H158" s="244">
        <v>109.0</v>
      </c>
      <c r="I158" s="113"/>
      <c r="J158" s="119"/>
      <c r="K158" s="121"/>
      <c r="L158" s="125">
        <v>2976.0</v>
      </c>
      <c r="M158" s="123" t="s">
        <v>426</v>
      </c>
      <c r="N158" s="209" t="s">
        <v>297</v>
      </c>
      <c r="O158" s="113"/>
      <c r="P158" s="119"/>
      <c r="Q158" s="121"/>
      <c r="R158" s="125"/>
      <c r="S158" s="115"/>
      <c r="T158" s="245"/>
      <c r="U158" s="169"/>
      <c r="V158" s="308"/>
      <c r="W158" s="247"/>
      <c r="X158" s="529"/>
      <c r="Y158" s="531"/>
    </row>
    <row r="159" ht="16.5" customHeight="1">
      <c r="A159" s="535"/>
      <c r="B159" s="105"/>
      <c r="C159" s="107"/>
      <c r="D159" s="119"/>
      <c r="E159" s="156"/>
      <c r="F159" s="125"/>
      <c r="G159" s="132"/>
      <c r="H159" s="538"/>
      <c r="I159" s="113"/>
      <c r="J159" s="119"/>
      <c r="K159" s="121"/>
      <c r="L159" s="125">
        <v>967.0</v>
      </c>
      <c r="M159" s="123" t="s">
        <v>573</v>
      </c>
      <c r="N159" s="209" t="s">
        <v>297</v>
      </c>
      <c r="O159" s="113"/>
      <c r="P159" s="119"/>
      <c r="Q159" s="121"/>
      <c r="R159" s="125"/>
      <c r="S159" s="115"/>
      <c r="T159" s="160"/>
      <c r="U159" s="169"/>
      <c r="V159" s="141"/>
      <c r="W159" s="161"/>
      <c r="X159" s="529"/>
      <c r="Y159" s="531"/>
    </row>
    <row r="160" ht="16.5" customHeight="1">
      <c r="A160" s="535"/>
      <c r="B160" s="105"/>
      <c r="C160" s="107"/>
      <c r="D160" s="119"/>
      <c r="E160" s="156"/>
      <c r="F160" s="125"/>
      <c r="G160" s="115"/>
      <c r="H160" s="244"/>
      <c r="I160" s="113"/>
      <c r="J160" s="119"/>
      <c r="K160" s="121"/>
      <c r="L160" s="125">
        <v>1046.0</v>
      </c>
      <c r="M160" s="123" t="s">
        <v>833</v>
      </c>
      <c r="N160" s="209">
        <v>128.0</v>
      </c>
      <c r="O160" s="113"/>
      <c r="P160" s="119"/>
      <c r="Q160" s="121"/>
      <c r="R160" s="125"/>
      <c r="S160" s="115"/>
      <c r="T160" s="160"/>
      <c r="U160" s="169"/>
      <c r="V160" s="141"/>
      <c r="W160" s="161"/>
      <c r="X160" s="529"/>
      <c r="Y160" s="531"/>
    </row>
    <row r="161" ht="16.5" customHeight="1">
      <c r="A161" s="535"/>
      <c r="B161" s="105"/>
      <c r="C161" s="107"/>
      <c r="D161" s="119"/>
      <c r="E161" s="156"/>
      <c r="F161" s="125"/>
      <c r="G161" s="115"/>
      <c r="H161" s="244"/>
      <c r="I161" s="113"/>
      <c r="J161" s="119"/>
      <c r="K161" s="121"/>
      <c r="L161" s="543">
        <v>4080.0</v>
      </c>
      <c r="M161" s="280" t="s">
        <v>413</v>
      </c>
      <c r="N161" s="209"/>
      <c r="O161" s="113"/>
      <c r="P161" s="119"/>
      <c r="Q161" s="121"/>
      <c r="R161" s="125"/>
      <c r="S161" s="115"/>
      <c r="T161" s="160"/>
      <c r="U161" s="169"/>
      <c r="V161" s="141"/>
      <c r="W161" s="161"/>
      <c r="X161" s="529"/>
      <c r="Y161" s="531"/>
    </row>
    <row r="162" ht="16.5" customHeight="1">
      <c r="A162" s="535"/>
      <c r="B162" s="177"/>
      <c r="C162" s="227"/>
      <c r="D162" s="186"/>
      <c r="E162" s="180"/>
      <c r="F162" s="192"/>
      <c r="G162" s="194"/>
      <c r="H162" s="251"/>
      <c r="I162" s="185"/>
      <c r="J162" s="186"/>
      <c r="K162" s="188"/>
      <c r="L162" s="192"/>
      <c r="M162" s="297"/>
      <c r="N162" s="229">
        <v>87.0</v>
      </c>
      <c r="O162" s="185"/>
      <c r="P162" s="186"/>
      <c r="Q162" s="188"/>
      <c r="R162" s="192"/>
      <c r="S162" s="194"/>
      <c r="T162" s="231"/>
      <c r="U162" s="198"/>
      <c r="V162" s="199"/>
      <c r="W162" s="200"/>
      <c r="X162" s="529"/>
      <c r="Y162" s="531"/>
    </row>
    <row r="163" ht="18.75" customHeight="1">
      <c r="A163" s="38"/>
      <c r="B163" s="52"/>
      <c r="C163" s="54" t="s">
        <v>65</v>
      </c>
      <c r="D163" s="56" t="s">
        <v>66</v>
      </c>
      <c r="E163" s="57" t="s">
        <v>67</v>
      </c>
      <c r="F163" s="59" t="s">
        <v>65</v>
      </c>
      <c r="G163" s="59" t="s">
        <v>70</v>
      </c>
      <c r="H163" s="61" t="s">
        <v>67</v>
      </c>
      <c r="I163" s="59" t="s">
        <v>65</v>
      </c>
      <c r="J163" s="64" t="s">
        <v>74</v>
      </c>
      <c r="K163" s="61" t="s">
        <v>67</v>
      </c>
      <c r="L163" s="59" t="s">
        <v>65</v>
      </c>
      <c r="M163" s="66" t="s">
        <v>77</v>
      </c>
      <c r="N163" s="61" t="s">
        <v>67</v>
      </c>
      <c r="O163" s="61" t="s">
        <v>65</v>
      </c>
      <c r="P163" s="61" t="s">
        <v>78</v>
      </c>
      <c r="Q163" s="61" t="s">
        <v>67</v>
      </c>
      <c r="R163" s="59" t="s">
        <v>65</v>
      </c>
      <c r="S163" s="66" t="s">
        <v>79</v>
      </c>
      <c r="T163" s="61" t="s">
        <v>67</v>
      </c>
      <c r="U163" s="71" t="s">
        <v>65</v>
      </c>
      <c r="V163" s="71" t="s">
        <v>80</v>
      </c>
      <c r="W163" s="71" t="s">
        <v>67</v>
      </c>
      <c r="X163" s="14"/>
      <c r="Y163" s="49"/>
    </row>
    <row r="164" ht="31.5" customHeight="1">
      <c r="A164" s="74">
        <v>46252.0</v>
      </c>
      <c r="B164" s="76" t="s">
        <v>298</v>
      </c>
      <c r="C164" s="78">
        <v>3196.0</v>
      </c>
      <c r="D164" s="79" t="s">
        <v>890</v>
      </c>
      <c r="E164" s="81"/>
      <c r="F164" s="204">
        <v>3189.0</v>
      </c>
      <c r="G164" s="83" t="s">
        <v>429</v>
      </c>
      <c r="H164" s="205"/>
      <c r="I164" s="233">
        <v>2288.0</v>
      </c>
      <c r="J164" s="234" t="s">
        <v>379</v>
      </c>
      <c r="K164" s="91"/>
      <c r="L164" s="204">
        <v>813.0</v>
      </c>
      <c r="M164" s="87" t="s">
        <v>430</v>
      </c>
      <c r="N164" s="209"/>
      <c r="O164" s="82">
        <v>3375.0</v>
      </c>
      <c r="P164" s="479" t="s">
        <v>302</v>
      </c>
      <c r="Q164" s="86">
        <v>20.0</v>
      </c>
      <c r="R164" s="204">
        <v>4051.0</v>
      </c>
      <c r="S164" s="94" t="s">
        <v>350</v>
      </c>
      <c r="T164" s="96"/>
      <c r="U164" s="97"/>
      <c r="V164" s="99"/>
      <c r="W164" s="100">
        <v>70.0</v>
      </c>
      <c r="X164" s="14"/>
      <c r="Y164" s="49"/>
    </row>
    <row r="165" ht="31.5" customHeight="1">
      <c r="B165" s="105"/>
      <c r="C165" s="107">
        <v>4226.0</v>
      </c>
      <c r="D165" s="109" t="s">
        <v>2979</v>
      </c>
      <c r="E165" s="111"/>
      <c r="F165" s="236">
        <v>3216.0</v>
      </c>
      <c r="G165" s="115" t="s">
        <v>3031</v>
      </c>
      <c r="H165" s="209"/>
      <c r="I165" s="157"/>
      <c r="J165" s="238"/>
      <c r="K165" s="121"/>
      <c r="L165" s="125">
        <v>4105.0</v>
      </c>
      <c r="M165" s="138" t="s">
        <v>435</v>
      </c>
      <c r="N165" s="209"/>
      <c r="O165" s="239"/>
      <c r="P165" s="240"/>
      <c r="Q165" s="121"/>
      <c r="R165" s="125">
        <v>3330.0</v>
      </c>
      <c r="S165" s="464" t="s">
        <v>330</v>
      </c>
      <c r="T165" s="160"/>
      <c r="U165" s="131">
        <v>4000.0</v>
      </c>
      <c r="V165" s="132" t="s">
        <v>289</v>
      </c>
      <c r="W165" s="134"/>
      <c r="X165" s="529"/>
      <c r="Y165" s="531"/>
    </row>
    <row r="166" ht="33.75" customHeight="1">
      <c r="B166" s="105"/>
      <c r="C166" s="107">
        <v>4246.0</v>
      </c>
      <c r="D166" s="109" t="s">
        <v>3033</v>
      </c>
      <c r="E166" s="111"/>
      <c r="F166" s="125">
        <v>2303.0</v>
      </c>
      <c r="G166" s="115" t="s">
        <v>437</v>
      </c>
      <c r="H166" s="209"/>
      <c r="I166" s="113"/>
      <c r="J166" s="119"/>
      <c r="K166" s="121"/>
      <c r="L166" s="125">
        <v>26.0</v>
      </c>
      <c r="M166" s="123" t="s">
        <v>397</v>
      </c>
      <c r="N166" s="209" t="s">
        <v>297</v>
      </c>
      <c r="O166" s="239"/>
      <c r="P166" s="240"/>
      <c r="Q166" s="121"/>
      <c r="R166" s="125">
        <v>2897.0</v>
      </c>
      <c r="S166" s="128" t="s">
        <v>2985</v>
      </c>
      <c r="T166" s="160"/>
      <c r="U166" s="131"/>
      <c r="V166" s="132"/>
      <c r="W166" s="161"/>
      <c r="X166" s="14"/>
      <c r="Y166" s="49"/>
    </row>
    <row r="167" ht="32.25" customHeight="1">
      <c r="B167" s="105"/>
      <c r="C167" s="107"/>
      <c r="D167" s="242"/>
      <c r="E167" s="156"/>
      <c r="F167" s="125">
        <v>3457.0</v>
      </c>
      <c r="G167" s="471" t="s">
        <v>1141</v>
      </c>
      <c r="H167" s="244"/>
      <c r="I167" s="113"/>
      <c r="J167" s="119"/>
      <c r="K167" s="121"/>
      <c r="L167" s="125">
        <v>4100.0</v>
      </c>
      <c r="M167" s="123" t="s">
        <v>439</v>
      </c>
      <c r="N167" s="209" t="s">
        <v>311</v>
      </c>
      <c r="O167" s="113"/>
      <c r="P167" s="119"/>
      <c r="Q167" s="121"/>
      <c r="R167" s="125"/>
      <c r="S167" s="115"/>
      <c r="T167" s="245"/>
      <c r="U167" s="169"/>
      <c r="V167" s="308"/>
      <c r="W167" s="247"/>
      <c r="X167" s="14"/>
      <c r="Y167" s="49"/>
    </row>
    <row r="168" ht="30.75" customHeight="1">
      <c r="A168" s="535"/>
      <c r="B168" s="105"/>
      <c r="C168" s="107"/>
      <c r="D168" s="119"/>
      <c r="E168" s="156"/>
      <c r="F168" s="125"/>
      <c r="G168" s="481"/>
      <c r="H168" s="244"/>
      <c r="I168" s="113"/>
      <c r="J168" s="119"/>
      <c r="K168" s="121"/>
      <c r="L168" s="125">
        <v>3474.0</v>
      </c>
      <c r="M168" s="138" t="s">
        <v>441</v>
      </c>
      <c r="N168" s="209" t="s">
        <v>3034</v>
      </c>
      <c r="O168" s="113"/>
      <c r="P168" s="119"/>
      <c r="Q168" s="121"/>
      <c r="R168" s="125"/>
      <c r="S168" s="115"/>
      <c r="T168" s="160"/>
      <c r="U168" s="169"/>
      <c r="V168" s="141"/>
      <c r="W168" s="161"/>
      <c r="X168" s="14"/>
      <c r="Y168" s="49"/>
    </row>
    <row r="169" ht="16.5" customHeight="1">
      <c r="A169" s="535"/>
      <c r="B169" s="105"/>
      <c r="C169" s="107"/>
      <c r="D169" s="119"/>
      <c r="E169" s="156"/>
      <c r="F169" s="125"/>
      <c r="G169" s="115"/>
      <c r="H169" s="244"/>
      <c r="I169" s="113"/>
      <c r="J169" s="119"/>
      <c r="K169" s="121"/>
      <c r="L169" s="125"/>
      <c r="M169" s="119"/>
      <c r="N169" s="209"/>
      <c r="O169" s="113"/>
      <c r="P169" s="119"/>
      <c r="Q169" s="121"/>
      <c r="R169" s="125"/>
      <c r="S169" s="115"/>
      <c r="T169" s="160"/>
      <c r="U169" s="169"/>
      <c r="V169" s="141"/>
      <c r="W169" s="161"/>
      <c r="X169" s="14"/>
      <c r="Y169" s="49"/>
    </row>
    <row r="170" ht="16.5" customHeight="1">
      <c r="A170" s="535"/>
      <c r="B170" s="105"/>
      <c r="C170" s="107"/>
      <c r="D170" s="119"/>
      <c r="E170" s="156"/>
      <c r="F170" s="125"/>
      <c r="G170" s="115"/>
      <c r="H170" s="244"/>
      <c r="I170" s="113"/>
      <c r="J170" s="119"/>
      <c r="K170" s="121"/>
      <c r="L170" s="249"/>
      <c r="M170" s="572"/>
      <c r="N170" s="209"/>
      <c r="O170" s="113"/>
      <c r="P170" s="119"/>
      <c r="Q170" s="121"/>
      <c r="R170" s="125"/>
      <c r="S170" s="115"/>
      <c r="T170" s="160"/>
      <c r="U170" s="169"/>
      <c r="V170" s="141"/>
      <c r="W170" s="161"/>
      <c r="X170" s="14"/>
      <c r="Y170" s="49"/>
    </row>
    <row r="171" ht="16.5" customHeight="1">
      <c r="A171" s="535"/>
      <c r="B171" s="177"/>
      <c r="C171" s="227"/>
      <c r="D171" s="186"/>
      <c r="E171" s="180"/>
      <c r="F171" s="192"/>
      <c r="G171" s="194"/>
      <c r="H171" s="251"/>
      <c r="I171" s="185"/>
      <c r="J171" s="186"/>
      <c r="K171" s="188"/>
      <c r="L171" s="192">
        <v>102.0</v>
      </c>
      <c r="M171" s="578" t="s">
        <v>535</v>
      </c>
      <c r="N171" s="229"/>
      <c r="O171" s="185"/>
      <c r="P171" s="186"/>
      <c r="Q171" s="188"/>
      <c r="R171" s="192"/>
      <c r="S171" s="194"/>
      <c r="T171" s="231"/>
      <c r="U171" s="198"/>
      <c r="V171" s="199"/>
      <c r="W171" s="200"/>
      <c r="X171" s="14"/>
      <c r="Y171" s="49"/>
    </row>
    <row r="172" ht="18.75" customHeight="1">
      <c r="A172" s="38"/>
      <c r="B172" s="52"/>
      <c r="C172" s="54" t="s">
        <v>65</v>
      </c>
      <c r="D172" s="56" t="s">
        <v>66</v>
      </c>
      <c r="E172" s="57" t="s">
        <v>67</v>
      </c>
      <c r="F172" s="59" t="s">
        <v>65</v>
      </c>
      <c r="G172" s="59" t="s">
        <v>70</v>
      </c>
      <c r="H172" s="61" t="s">
        <v>67</v>
      </c>
      <c r="I172" s="59" t="s">
        <v>65</v>
      </c>
      <c r="J172" s="64" t="s">
        <v>74</v>
      </c>
      <c r="K172" s="61" t="s">
        <v>67</v>
      </c>
      <c r="L172" s="59" t="s">
        <v>65</v>
      </c>
      <c r="M172" s="66" t="s">
        <v>77</v>
      </c>
      <c r="N172" s="61" t="s">
        <v>67</v>
      </c>
      <c r="O172" s="61" t="s">
        <v>65</v>
      </c>
      <c r="P172" s="61" t="s">
        <v>78</v>
      </c>
      <c r="Q172" s="61" t="s">
        <v>67</v>
      </c>
      <c r="R172" s="59" t="s">
        <v>65</v>
      </c>
      <c r="S172" s="66" t="s">
        <v>79</v>
      </c>
      <c r="T172" s="61" t="s">
        <v>67</v>
      </c>
      <c r="U172" s="71" t="s">
        <v>65</v>
      </c>
      <c r="V172" s="71" t="s">
        <v>80</v>
      </c>
      <c r="W172" s="71" t="s">
        <v>67</v>
      </c>
      <c r="X172" s="14"/>
      <c r="Y172" s="49"/>
    </row>
    <row r="173" ht="30.0" customHeight="1">
      <c r="A173" s="74">
        <v>46253.0</v>
      </c>
      <c r="B173" s="254" t="s">
        <v>319</v>
      </c>
      <c r="C173" s="1463">
        <v>3253.0</v>
      </c>
      <c r="D173" s="79" t="s">
        <v>433</v>
      </c>
      <c r="E173" s="81"/>
      <c r="F173" s="204">
        <v>3316.0</v>
      </c>
      <c r="G173" s="83" t="s">
        <v>1155</v>
      </c>
      <c r="H173" s="205"/>
      <c r="I173" s="233">
        <v>380.0</v>
      </c>
      <c r="J173" s="234" t="s">
        <v>323</v>
      </c>
      <c r="K173" s="91"/>
      <c r="L173" s="204">
        <v>3889.0</v>
      </c>
      <c r="M173" s="87" t="s">
        <v>446</v>
      </c>
      <c r="N173" s="209"/>
      <c r="O173" s="82">
        <v>3454.0</v>
      </c>
      <c r="P173" s="479" t="s">
        <v>346</v>
      </c>
      <c r="Q173" s="86">
        <v>20.0</v>
      </c>
      <c r="R173" s="204">
        <v>2083.0</v>
      </c>
      <c r="S173" s="94" t="s">
        <v>284</v>
      </c>
      <c r="T173" s="96"/>
      <c r="U173" s="97"/>
      <c r="V173" s="99"/>
      <c r="W173" s="100">
        <v>70.0</v>
      </c>
      <c r="X173" s="14"/>
      <c r="Y173" s="49"/>
    </row>
    <row r="174" ht="30.75" customHeight="1">
      <c r="B174" s="105"/>
      <c r="C174" s="107">
        <v>2847.0</v>
      </c>
      <c r="D174" s="109" t="s">
        <v>999</v>
      </c>
      <c r="E174" s="111"/>
      <c r="F174" s="236">
        <v>1160.0</v>
      </c>
      <c r="G174" s="115" t="s">
        <v>449</v>
      </c>
      <c r="H174" s="209"/>
      <c r="I174" s="157">
        <v>1106.0</v>
      </c>
      <c r="J174" s="238" t="s">
        <v>2733</v>
      </c>
      <c r="K174" s="121"/>
      <c r="L174" s="125">
        <v>1073.0</v>
      </c>
      <c r="M174" s="167" t="s">
        <v>368</v>
      </c>
      <c r="N174" s="209"/>
      <c r="O174" s="239">
        <v>3527.0</v>
      </c>
      <c r="P174" s="522" t="s">
        <v>329</v>
      </c>
      <c r="Q174" s="121">
        <v>28.0</v>
      </c>
      <c r="R174" s="125">
        <v>2904.0</v>
      </c>
      <c r="S174" s="115" t="s">
        <v>420</v>
      </c>
      <c r="T174" s="160"/>
      <c r="U174" s="131">
        <v>3997.0</v>
      </c>
      <c r="V174" s="132" t="s">
        <v>312</v>
      </c>
      <c r="W174" s="134"/>
      <c r="X174" s="14"/>
      <c r="Y174" s="49"/>
    </row>
    <row r="175" ht="31.5" customHeight="1">
      <c r="B175" s="105"/>
      <c r="C175" s="107">
        <v>89.0</v>
      </c>
      <c r="D175" s="109" t="s">
        <v>460</v>
      </c>
      <c r="E175" s="111"/>
      <c r="F175" s="125">
        <v>31.0</v>
      </c>
      <c r="G175" s="115" t="s">
        <v>453</v>
      </c>
      <c r="H175" s="209"/>
      <c r="I175" s="113"/>
      <c r="J175" s="119"/>
      <c r="K175" s="121"/>
      <c r="L175" s="125">
        <v>965.0</v>
      </c>
      <c r="M175" s="138" t="s">
        <v>2411</v>
      </c>
      <c r="N175" s="209" t="s">
        <v>297</v>
      </c>
      <c r="O175" s="239">
        <v>2079.0</v>
      </c>
      <c r="P175" s="522" t="s">
        <v>361</v>
      </c>
      <c r="Q175" s="121"/>
      <c r="R175" s="125"/>
      <c r="S175" s="128"/>
      <c r="T175" s="160"/>
      <c r="U175" s="169"/>
      <c r="V175" s="141"/>
      <c r="W175" s="161"/>
      <c r="X175" s="14"/>
      <c r="Y175" s="49"/>
    </row>
    <row r="176" ht="28.5" customHeight="1">
      <c r="B176" s="105"/>
      <c r="C176" s="107"/>
      <c r="D176" s="480"/>
      <c r="E176" s="156"/>
      <c r="F176" s="125">
        <v>4089.0</v>
      </c>
      <c r="G176" s="471" t="s">
        <v>438</v>
      </c>
      <c r="H176" s="244"/>
      <c r="I176" s="113"/>
      <c r="J176" s="119"/>
      <c r="K176" s="121"/>
      <c r="L176" s="125">
        <v>3663.0</v>
      </c>
      <c r="M176" s="167" t="s">
        <v>372</v>
      </c>
      <c r="N176" s="209" t="s">
        <v>297</v>
      </c>
      <c r="O176" s="113"/>
      <c r="P176" s="119"/>
      <c r="Q176" s="121"/>
      <c r="R176" s="125"/>
      <c r="S176" s="115"/>
      <c r="T176" s="245"/>
      <c r="U176" s="169"/>
      <c r="V176" s="308"/>
      <c r="W176" s="247"/>
      <c r="X176" s="14"/>
      <c r="Y176" s="49"/>
    </row>
    <row r="177" ht="16.5" customHeight="1">
      <c r="A177" s="535"/>
      <c r="B177" s="105"/>
      <c r="C177" s="107"/>
      <c r="D177" s="119"/>
      <c r="E177" s="156"/>
      <c r="F177" s="125"/>
      <c r="G177" s="481"/>
      <c r="H177" s="244"/>
      <c r="I177" s="113"/>
      <c r="J177" s="119"/>
      <c r="K177" s="121"/>
      <c r="L177" s="125">
        <v>4099.0</v>
      </c>
      <c r="M177" s="123" t="s">
        <v>457</v>
      </c>
      <c r="N177" s="209"/>
      <c r="O177" s="113"/>
      <c r="P177" s="119"/>
      <c r="Q177" s="121"/>
      <c r="R177" s="125"/>
      <c r="S177" s="115"/>
      <c r="T177" s="160"/>
      <c r="U177" s="169"/>
      <c r="V177" s="141"/>
      <c r="W177" s="161"/>
      <c r="X177" s="14"/>
      <c r="Y177" s="49"/>
    </row>
    <row r="178" ht="24.0" customHeight="1">
      <c r="A178" s="535"/>
      <c r="B178" s="105"/>
      <c r="C178" s="107"/>
      <c r="D178" s="119"/>
      <c r="E178" s="156"/>
      <c r="F178" s="125"/>
      <c r="G178" s="115"/>
      <c r="H178" s="244"/>
      <c r="I178" s="113"/>
      <c r="J178" s="119"/>
      <c r="K178" s="121"/>
      <c r="L178" s="125">
        <v>4176.0</v>
      </c>
      <c r="M178" s="123" t="s">
        <v>594</v>
      </c>
      <c r="N178" s="209" t="s">
        <v>297</v>
      </c>
      <c r="O178" s="113"/>
      <c r="P178" s="119"/>
      <c r="Q178" s="121"/>
      <c r="R178" s="125"/>
      <c r="S178" s="115"/>
      <c r="T178" s="160"/>
      <c r="U178" s="169"/>
      <c r="V178" s="141"/>
      <c r="W178" s="161"/>
      <c r="X178" s="14"/>
      <c r="Y178" s="49"/>
    </row>
    <row r="179" ht="16.5" customHeight="1">
      <c r="A179" s="535"/>
      <c r="B179" s="105"/>
      <c r="C179" s="107"/>
      <c r="D179" s="119"/>
      <c r="E179" s="156"/>
      <c r="F179" s="125"/>
      <c r="G179" s="115"/>
      <c r="H179" s="244"/>
      <c r="I179" s="113"/>
      <c r="J179" s="119"/>
      <c r="K179" s="121"/>
      <c r="L179" s="249"/>
      <c r="M179" s="572"/>
      <c r="N179" s="209"/>
      <c r="O179" s="113"/>
      <c r="P179" s="119"/>
      <c r="Q179" s="121"/>
      <c r="R179" s="125"/>
      <c r="S179" s="115"/>
      <c r="T179" s="160"/>
      <c r="U179" s="169"/>
      <c r="V179" s="141"/>
      <c r="W179" s="161"/>
      <c r="X179" s="14"/>
      <c r="Y179" s="49"/>
    </row>
    <row r="180" ht="16.5" customHeight="1">
      <c r="A180" s="535"/>
      <c r="B180" s="177"/>
      <c r="C180" s="227"/>
      <c r="D180" s="186"/>
      <c r="E180" s="180"/>
      <c r="F180" s="192"/>
      <c r="G180" s="194"/>
      <c r="H180" s="251"/>
      <c r="I180" s="185"/>
      <c r="J180" s="186"/>
      <c r="K180" s="188"/>
      <c r="L180" s="192">
        <v>4279.0</v>
      </c>
      <c r="M180" s="458" t="s">
        <v>3036</v>
      </c>
      <c r="N180" s="229"/>
      <c r="O180" s="185"/>
      <c r="P180" s="186"/>
      <c r="Q180" s="188"/>
      <c r="R180" s="192"/>
      <c r="S180" s="194"/>
      <c r="T180" s="231"/>
      <c r="U180" s="198"/>
      <c r="V180" s="199"/>
      <c r="W180" s="200"/>
      <c r="X180" s="14"/>
      <c r="Y180" s="49"/>
    </row>
    <row r="181" ht="18.75" customHeight="1">
      <c r="A181" s="38"/>
      <c r="B181" s="52"/>
      <c r="C181" s="54" t="s">
        <v>65</v>
      </c>
      <c r="D181" s="56" t="s">
        <v>66</v>
      </c>
      <c r="E181" s="57" t="s">
        <v>67</v>
      </c>
      <c r="F181" s="59" t="s">
        <v>65</v>
      </c>
      <c r="G181" s="59" t="s">
        <v>70</v>
      </c>
      <c r="H181" s="61" t="s">
        <v>67</v>
      </c>
      <c r="I181" s="59" t="s">
        <v>65</v>
      </c>
      <c r="J181" s="64" t="s">
        <v>74</v>
      </c>
      <c r="K181" s="61" t="s">
        <v>67</v>
      </c>
      <c r="L181" s="59" t="s">
        <v>65</v>
      </c>
      <c r="M181" s="66" t="s">
        <v>77</v>
      </c>
      <c r="N181" s="61" t="s">
        <v>67</v>
      </c>
      <c r="O181" s="61" t="s">
        <v>65</v>
      </c>
      <c r="P181" s="61" t="s">
        <v>78</v>
      </c>
      <c r="Q181" s="61" t="s">
        <v>67</v>
      </c>
      <c r="R181" s="59" t="s">
        <v>65</v>
      </c>
      <c r="S181" s="66" t="s">
        <v>79</v>
      </c>
      <c r="T181" s="61" t="s">
        <v>67</v>
      </c>
      <c r="U181" s="71" t="s">
        <v>65</v>
      </c>
      <c r="V181" s="71" t="s">
        <v>80</v>
      </c>
      <c r="W181" s="71" t="s">
        <v>67</v>
      </c>
      <c r="X181" s="14"/>
      <c r="Y181" s="49"/>
    </row>
    <row r="182" ht="33.0" customHeight="1">
      <c r="A182" s="74">
        <v>46254.0</v>
      </c>
      <c r="B182" s="76" t="s">
        <v>376</v>
      </c>
      <c r="C182" s="78">
        <v>1076.0</v>
      </c>
      <c r="D182" s="79" t="s">
        <v>729</v>
      </c>
      <c r="E182" s="81"/>
      <c r="F182" s="204">
        <v>3654.0</v>
      </c>
      <c r="G182" s="83" t="s">
        <v>461</v>
      </c>
      <c r="H182" s="205"/>
      <c r="I182" s="233">
        <v>8.0</v>
      </c>
      <c r="J182" s="234" t="s">
        <v>272</v>
      </c>
      <c r="K182" s="91"/>
      <c r="L182" s="204">
        <v>3768.0</v>
      </c>
      <c r="M182" s="623" t="s">
        <v>462</v>
      </c>
      <c r="N182" s="209" t="s">
        <v>297</v>
      </c>
      <c r="O182" s="82">
        <v>3528.0</v>
      </c>
      <c r="P182" s="479" t="s">
        <v>463</v>
      </c>
      <c r="Q182" s="86"/>
      <c r="R182" s="204">
        <v>5.0</v>
      </c>
      <c r="S182" s="94" t="s">
        <v>387</v>
      </c>
      <c r="T182" s="96"/>
      <c r="U182" s="97">
        <v>4281.0</v>
      </c>
      <c r="V182" s="99" t="s">
        <v>1039</v>
      </c>
      <c r="W182" s="100">
        <v>70.0</v>
      </c>
      <c r="X182" s="14"/>
      <c r="Y182" s="49"/>
    </row>
    <row r="183" ht="33.0" customHeight="1">
      <c r="B183" s="105"/>
      <c r="C183" s="107">
        <v>145.0</v>
      </c>
      <c r="D183" s="109" t="s">
        <v>978</v>
      </c>
      <c r="E183" s="111"/>
      <c r="F183" s="236">
        <v>3180.0</v>
      </c>
      <c r="G183" s="115" t="s">
        <v>466</v>
      </c>
      <c r="H183" s="209"/>
      <c r="I183" s="157"/>
      <c r="J183" s="238"/>
      <c r="K183" s="121"/>
      <c r="L183" s="125">
        <v>3770.0</v>
      </c>
      <c r="M183" s="307" t="s">
        <v>467</v>
      </c>
      <c r="N183" s="209" t="s">
        <v>297</v>
      </c>
      <c r="O183" s="239"/>
      <c r="P183" s="240"/>
      <c r="Q183" s="121"/>
      <c r="R183" s="125">
        <v>4239.0</v>
      </c>
      <c r="S183" s="115" t="s">
        <v>1213</v>
      </c>
      <c r="T183" s="160"/>
      <c r="U183" s="131">
        <v>4115.0</v>
      </c>
      <c r="V183" s="132" t="s">
        <v>2925</v>
      </c>
      <c r="W183" s="134"/>
      <c r="X183" s="14"/>
      <c r="Y183" s="49"/>
    </row>
    <row r="184" ht="27.0" customHeight="1">
      <c r="B184" s="105"/>
      <c r="C184" s="107">
        <v>1557.0</v>
      </c>
      <c r="D184" s="109" t="s">
        <v>967</v>
      </c>
      <c r="E184" s="111"/>
      <c r="F184" s="125">
        <v>41.0</v>
      </c>
      <c r="G184" s="115" t="s">
        <v>2511</v>
      </c>
      <c r="H184" s="209"/>
      <c r="I184" s="113"/>
      <c r="J184" s="119"/>
      <c r="K184" s="121"/>
      <c r="L184" s="125">
        <v>3769.0</v>
      </c>
      <c r="M184" s="307" t="s">
        <v>470</v>
      </c>
      <c r="N184" s="209" t="s">
        <v>297</v>
      </c>
      <c r="O184" s="239"/>
      <c r="P184" s="240"/>
      <c r="Q184" s="121"/>
      <c r="R184" s="125"/>
      <c r="S184" s="128"/>
      <c r="T184" s="160"/>
      <c r="U184" s="131"/>
      <c r="V184" s="132" t="s">
        <v>1415</v>
      </c>
      <c r="W184" s="161"/>
      <c r="X184" s="14"/>
      <c r="Y184" s="49"/>
    </row>
    <row r="185" ht="34.5" customHeight="1">
      <c r="B185" s="105"/>
      <c r="C185" s="107"/>
      <c r="D185" s="480"/>
      <c r="E185" s="156"/>
      <c r="F185" s="125">
        <v>3430.0</v>
      </c>
      <c r="G185" s="471" t="s">
        <v>1101</v>
      </c>
      <c r="H185" s="244"/>
      <c r="I185" s="113"/>
      <c r="J185" s="119"/>
      <c r="K185" s="121"/>
      <c r="L185" s="125">
        <v>1819.0</v>
      </c>
      <c r="M185" s="123" t="s">
        <v>1904</v>
      </c>
      <c r="N185" s="209"/>
      <c r="O185" s="113"/>
      <c r="P185" s="119"/>
      <c r="Q185" s="121"/>
      <c r="R185" s="125"/>
      <c r="S185" s="115"/>
      <c r="T185" s="245"/>
      <c r="U185" s="131"/>
      <c r="V185" s="246"/>
      <c r="W185" s="247"/>
      <c r="X185" s="14"/>
      <c r="Y185" s="49"/>
    </row>
    <row r="186" ht="30.0" customHeight="1">
      <c r="A186" s="535"/>
      <c r="B186" s="105"/>
      <c r="C186" s="107"/>
      <c r="D186" s="119"/>
      <c r="E186" s="156"/>
      <c r="F186" s="125"/>
      <c r="G186" s="481"/>
      <c r="H186" s="244"/>
      <c r="I186" s="113"/>
      <c r="J186" s="119"/>
      <c r="K186" s="121"/>
      <c r="L186" s="125">
        <v>4355.0</v>
      </c>
      <c r="M186" s="123" t="s">
        <v>3038</v>
      </c>
      <c r="N186" s="209"/>
      <c r="O186" s="113"/>
      <c r="P186" s="119"/>
      <c r="Q186" s="121"/>
      <c r="R186" s="125"/>
      <c r="S186" s="115"/>
      <c r="T186" s="160"/>
      <c r="U186" s="169"/>
      <c r="V186" s="141"/>
      <c r="W186" s="161"/>
      <c r="X186" s="14"/>
      <c r="Y186" s="49"/>
    </row>
    <row r="187" ht="16.5" customHeight="1">
      <c r="A187" s="535"/>
      <c r="B187" s="105"/>
      <c r="C187" s="107"/>
      <c r="D187" s="119"/>
      <c r="E187" s="156"/>
      <c r="F187" s="125"/>
      <c r="G187" s="115"/>
      <c r="H187" s="244"/>
      <c r="I187" s="113"/>
      <c r="J187" s="119"/>
      <c r="K187" s="121"/>
      <c r="L187" s="125">
        <v>1896.0</v>
      </c>
      <c r="M187" s="644" t="s">
        <v>2813</v>
      </c>
      <c r="N187" s="209">
        <v>150.0</v>
      </c>
      <c r="O187" s="113"/>
      <c r="P187" s="119"/>
      <c r="Q187" s="121"/>
      <c r="R187" s="125"/>
      <c r="S187" s="115"/>
      <c r="T187" s="160"/>
      <c r="U187" s="169"/>
      <c r="V187" s="141"/>
      <c r="W187" s="161"/>
      <c r="X187" s="14"/>
      <c r="Y187" s="49"/>
    </row>
    <row r="188" ht="16.5" customHeight="1">
      <c r="A188" s="535"/>
      <c r="B188" s="105"/>
      <c r="C188" s="107"/>
      <c r="D188" s="119"/>
      <c r="E188" s="156"/>
      <c r="F188" s="125"/>
      <c r="G188" s="115"/>
      <c r="H188" s="244"/>
      <c r="I188" s="113"/>
      <c r="J188" s="119"/>
      <c r="K188" s="121"/>
      <c r="L188" s="249">
        <v>1846.0</v>
      </c>
      <c r="M188" s="648" t="s">
        <v>1849</v>
      </c>
      <c r="N188" s="209"/>
      <c r="O188" s="113"/>
      <c r="P188" s="119"/>
      <c r="Q188" s="121"/>
      <c r="R188" s="125"/>
      <c r="S188" s="115"/>
      <c r="T188" s="160"/>
      <c r="U188" s="169"/>
      <c r="V188" s="141"/>
      <c r="W188" s="161"/>
      <c r="X188" s="14"/>
      <c r="Y188" s="49"/>
    </row>
    <row r="189" ht="16.5" customHeight="1">
      <c r="A189" s="535"/>
      <c r="B189" s="177"/>
      <c r="C189" s="227"/>
      <c r="D189" s="186"/>
      <c r="E189" s="180"/>
      <c r="F189" s="192"/>
      <c r="G189" s="194"/>
      <c r="H189" s="251"/>
      <c r="I189" s="185"/>
      <c r="J189" s="186"/>
      <c r="K189" s="188"/>
      <c r="L189" s="192">
        <v>959.0</v>
      </c>
      <c r="M189" s="1431" t="s">
        <v>1962</v>
      </c>
      <c r="N189" s="229"/>
      <c r="O189" s="185"/>
      <c r="P189" s="186"/>
      <c r="Q189" s="188"/>
      <c r="R189" s="192"/>
      <c r="S189" s="194"/>
      <c r="T189" s="231"/>
      <c r="U189" s="198"/>
      <c r="V189" s="199"/>
      <c r="W189" s="200"/>
      <c r="X189" s="14"/>
      <c r="Y189" s="49"/>
    </row>
    <row r="190" ht="16.5" customHeight="1">
      <c r="A190" s="38"/>
      <c r="B190" s="14"/>
      <c r="C190" s="15"/>
      <c r="D190" s="17"/>
      <c r="E190" s="655"/>
      <c r="F190" s="371"/>
      <c r="G190" s="657"/>
      <c r="H190" s="27"/>
      <c r="I190" s="28"/>
      <c r="J190" s="31"/>
      <c r="K190" s="28"/>
      <c r="L190" s="21"/>
      <c r="M190" s="339"/>
      <c r="N190" s="27"/>
      <c r="O190" s="27"/>
      <c r="P190" s="17"/>
      <c r="Q190" s="17"/>
      <c r="R190" s="27"/>
      <c r="S190" s="17"/>
      <c r="T190" s="35"/>
      <c r="U190" s="14"/>
      <c r="V190" s="14"/>
      <c r="W190" s="14"/>
      <c r="X190" s="14"/>
      <c r="Y190" s="49"/>
    </row>
    <row r="191" ht="15.75" customHeight="1">
      <c r="A191" s="38"/>
      <c r="B191" s="49"/>
      <c r="C191" s="15"/>
      <c r="D191" s="663"/>
      <c r="E191" s="664"/>
      <c r="F191" s="665"/>
      <c r="G191" s="539"/>
      <c r="H191" s="373"/>
      <c r="I191" s="665"/>
      <c r="J191" s="666"/>
      <c r="K191" s="665"/>
      <c r="L191" s="667"/>
      <c r="M191" s="668"/>
      <c r="N191" s="373"/>
      <c r="O191" s="373"/>
      <c r="P191" s="670"/>
      <c r="Q191" s="665"/>
      <c r="R191" s="665"/>
      <c r="S191" s="539"/>
      <c r="T191" s="672"/>
      <c r="U191" s="49"/>
      <c r="V191" s="49"/>
      <c r="W191" s="49"/>
      <c r="X191" s="49"/>
      <c r="Y191" s="49"/>
    </row>
    <row r="192" ht="15.75" customHeight="1">
      <c r="A192" s="38"/>
      <c r="B192" s="49"/>
      <c r="C192" s="15"/>
      <c r="D192" s="663"/>
      <c r="E192" s="664"/>
      <c r="F192" s="665"/>
      <c r="G192" s="539"/>
      <c r="H192" s="373"/>
      <c r="I192" s="665"/>
      <c r="J192" s="666"/>
      <c r="K192" s="665"/>
      <c r="L192" s="667"/>
      <c r="M192" s="668"/>
      <c r="N192" s="373"/>
      <c r="O192" s="373"/>
      <c r="P192" s="670"/>
      <c r="Q192" s="665"/>
      <c r="R192" s="665"/>
      <c r="S192" s="539"/>
      <c r="T192" s="672"/>
      <c r="U192" s="49"/>
      <c r="V192" s="49"/>
      <c r="W192" s="49"/>
      <c r="X192" s="49"/>
      <c r="Y192" s="49"/>
    </row>
    <row r="193" ht="15.75" customHeight="1">
      <c r="A193" s="38"/>
      <c r="B193" s="49"/>
      <c r="C193" s="15"/>
      <c r="D193" s="663"/>
      <c r="E193" s="664"/>
      <c r="F193" s="665"/>
      <c r="G193" s="539"/>
      <c r="H193" s="373"/>
      <c r="I193" s="665"/>
      <c r="J193" s="666"/>
      <c r="K193" s="665"/>
      <c r="L193" s="667"/>
      <c r="M193" s="668"/>
      <c r="N193" s="373"/>
      <c r="O193" s="373"/>
      <c r="P193" s="670"/>
      <c r="Q193" s="665"/>
      <c r="R193" s="665"/>
      <c r="S193" s="539"/>
      <c r="T193" s="672"/>
      <c r="U193" s="49"/>
      <c r="V193" s="49"/>
      <c r="W193" s="49"/>
      <c r="X193" s="49"/>
      <c r="Y193" s="49"/>
    </row>
    <row r="194" ht="15.75" customHeight="1">
      <c r="A194" s="38"/>
      <c r="B194" s="49"/>
      <c r="C194" s="15"/>
      <c r="D194" s="663"/>
      <c r="E194" s="664"/>
      <c r="F194" s="665"/>
      <c r="G194" s="539"/>
      <c r="H194" s="373"/>
      <c r="I194" s="665"/>
      <c r="J194" s="666"/>
      <c r="K194" s="665"/>
      <c r="L194" s="667"/>
      <c r="M194" s="668"/>
      <c r="N194" s="373"/>
      <c r="O194" s="373"/>
      <c r="P194" s="670"/>
      <c r="Q194" s="665"/>
      <c r="R194" s="665"/>
      <c r="S194" s="539"/>
      <c r="T194" s="672"/>
      <c r="U194" s="49"/>
      <c r="V194" s="49"/>
      <c r="W194" s="49"/>
      <c r="X194" s="49"/>
      <c r="Y194" s="49"/>
    </row>
    <row r="195" ht="15.75" customHeight="1">
      <c r="A195" s="38"/>
      <c r="B195" s="49"/>
      <c r="C195" s="15"/>
      <c r="D195" s="663"/>
      <c r="E195" s="664"/>
      <c r="F195" s="665"/>
      <c r="G195" s="539"/>
      <c r="H195" s="373"/>
      <c r="I195" s="665"/>
      <c r="J195" s="666"/>
      <c r="K195" s="665"/>
      <c r="L195" s="667"/>
      <c r="M195" s="668"/>
      <c r="N195" s="373"/>
      <c r="O195" s="373"/>
      <c r="P195" s="670"/>
      <c r="Q195" s="665"/>
      <c r="R195" s="665"/>
      <c r="S195" s="539"/>
      <c r="T195" s="672"/>
      <c r="U195" s="49"/>
      <c r="V195" s="49"/>
      <c r="W195" s="49"/>
      <c r="X195" s="49"/>
      <c r="Y195" s="49"/>
    </row>
    <row r="196" ht="15.75" customHeight="1">
      <c r="A196" s="38"/>
      <c r="B196" s="49"/>
      <c r="C196" s="15"/>
      <c r="D196" s="663"/>
      <c r="E196" s="664"/>
      <c r="F196" s="665"/>
      <c r="G196" s="539"/>
      <c r="H196" s="373"/>
      <c r="I196" s="665"/>
      <c r="J196" s="666"/>
      <c r="K196" s="665"/>
      <c r="L196" s="667"/>
      <c r="M196" s="668"/>
      <c r="N196" s="373"/>
      <c r="O196" s="373"/>
      <c r="P196" s="670"/>
      <c r="Q196" s="665"/>
      <c r="R196" s="665"/>
      <c r="S196" s="539"/>
      <c r="T196" s="672"/>
      <c r="U196" s="49"/>
      <c r="V196" s="49"/>
      <c r="W196" s="49"/>
      <c r="X196" s="49"/>
      <c r="Y196" s="49"/>
    </row>
    <row r="197" ht="15.75" customHeight="1">
      <c r="A197" s="38"/>
      <c r="B197" s="49"/>
      <c r="C197" s="15"/>
      <c r="D197" s="663"/>
      <c r="E197" s="664"/>
      <c r="F197" s="665"/>
      <c r="G197" s="539"/>
      <c r="H197" s="373"/>
      <c r="I197" s="665"/>
      <c r="J197" s="666"/>
      <c r="K197" s="665"/>
      <c r="L197" s="667"/>
      <c r="M197" s="668"/>
      <c r="N197" s="373"/>
      <c r="O197" s="373"/>
      <c r="P197" s="670"/>
      <c r="Q197" s="665"/>
      <c r="R197" s="665"/>
      <c r="S197" s="539"/>
      <c r="T197" s="672"/>
      <c r="U197" s="49"/>
      <c r="V197" s="49"/>
      <c r="W197" s="49"/>
      <c r="X197" s="49"/>
      <c r="Y197" s="49"/>
    </row>
    <row r="198" ht="15.75" customHeight="1">
      <c r="A198" s="38"/>
      <c r="B198" s="49"/>
      <c r="C198" s="15"/>
      <c r="D198" s="663"/>
      <c r="E198" s="664"/>
      <c r="F198" s="665"/>
      <c r="G198" s="539"/>
      <c r="H198" s="373"/>
      <c r="I198" s="665"/>
      <c r="J198" s="666"/>
      <c r="K198" s="665"/>
      <c r="L198" s="667"/>
      <c r="M198" s="668"/>
      <c r="N198" s="373"/>
      <c r="O198" s="373"/>
      <c r="P198" s="670"/>
      <c r="Q198" s="665"/>
      <c r="R198" s="665"/>
      <c r="S198" s="539"/>
      <c r="T198" s="672"/>
      <c r="U198" s="49"/>
      <c r="V198" s="49"/>
      <c r="W198" s="49"/>
      <c r="X198" s="49"/>
      <c r="Y198" s="49"/>
    </row>
    <row r="199" ht="15.75" customHeight="1">
      <c r="A199" s="38"/>
      <c r="B199" s="49"/>
      <c r="C199" s="15"/>
      <c r="D199" s="663"/>
      <c r="E199" s="664"/>
      <c r="F199" s="665"/>
      <c r="G199" s="539"/>
      <c r="H199" s="373"/>
      <c r="I199" s="665"/>
      <c r="J199" s="666"/>
      <c r="K199" s="665"/>
      <c r="L199" s="667"/>
      <c r="M199" s="668"/>
      <c r="N199" s="373"/>
      <c r="O199" s="373"/>
      <c r="P199" s="670"/>
      <c r="Q199" s="665"/>
      <c r="R199" s="665"/>
      <c r="S199" s="539"/>
      <c r="T199" s="672"/>
      <c r="U199" s="49"/>
      <c r="V199" s="49"/>
      <c r="W199" s="49"/>
      <c r="X199" s="49"/>
      <c r="Y199" s="49"/>
    </row>
    <row r="200" ht="15.75" customHeight="1">
      <c r="A200" s="38"/>
      <c r="B200" s="49"/>
      <c r="C200" s="15"/>
      <c r="D200" s="663"/>
      <c r="E200" s="664"/>
      <c r="F200" s="665"/>
      <c r="G200" s="539"/>
      <c r="H200" s="373"/>
      <c r="I200" s="665"/>
      <c r="J200" s="666"/>
      <c r="K200" s="665"/>
      <c r="L200" s="667"/>
      <c r="M200" s="668"/>
      <c r="N200" s="373"/>
      <c r="O200" s="373"/>
      <c r="P200" s="670"/>
      <c r="Q200" s="665"/>
      <c r="R200" s="665"/>
      <c r="S200" s="539"/>
      <c r="T200" s="672"/>
      <c r="U200" s="49"/>
      <c r="V200" s="49"/>
      <c r="W200" s="49"/>
      <c r="X200" s="49"/>
      <c r="Y200" s="49"/>
    </row>
    <row r="201" ht="15.75" customHeight="1">
      <c r="A201" s="38"/>
      <c r="B201" s="49"/>
      <c r="C201" s="15"/>
      <c r="D201" s="663"/>
      <c r="E201" s="664"/>
      <c r="F201" s="665"/>
      <c r="G201" s="539"/>
      <c r="H201" s="373"/>
      <c r="I201" s="665"/>
      <c r="J201" s="666"/>
      <c r="K201" s="665"/>
      <c r="L201" s="667"/>
      <c r="M201" s="668"/>
      <c r="N201" s="373"/>
      <c r="O201" s="373"/>
      <c r="P201" s="670"/>
      <c r="Q201" s="665"/>
      <c r="R201" s="665"/>
      <c r="S201" s="539"/>
      <c r="T201" s="672"/>
      <c r="U201" s="49"/>
      <c r="V201" s="49"/>
      <c r="W201" s="49"/>
      <c r="X201" s="49"/>
      <c r="Y201" s="49"/>
    </row>
    <row r="202" ht="15.75" customHeight="1">
      <c r="A202" s="38"/>
      <c r="B202" s="49"/>
      <c r="C202" s="15"/>
      <c r="D202" s="663"/>
      <c r="E202" s="664"/>
      <c r="F202" s="665"/>
      <c r="G202" s="539"/>
      <c r="H202" s="373"/>
      <c r="I202" s="665"/>
      <c r="J202" s="666"/>
      <c r="K202" s="665"/>
      <c r="L202" s="667"/>
      <c r="M202" s="668"/>
      <c r="N202" s="373"/>
      <c r="O202" s="373"/>
      <c r="P202" s="670"/>
      <c r="Q202" s="665"/>
      <c r="R202" s="665"/>
      <c r="S202" s="539"/>
      <c r="T202" s="672"/>
      <c r="U202" s="49"/>
      <c r="V202" s="49"/>
      <c r="W202" s="49"/>
      <c r="X202" s="49"/>
      <c r="Y202" s="49"/>
    </row>
    <row r="203" ht="15.75" customHeight="1">
      <c r="A203" s="38"/>
      <c r="B203" s="49"/>
      <c r="C203" s="15"/>
      <c r="D203" s="663"/>
      <c r="E203" s="664"/>
      <c r="F203" s="665"/>
      <c r="G203" s="539"/>
      <c r="H203" s="373"/>
      <c r="I203" s="665"/>
      <c r="J203" s="666"/>
      <c r="K203" s="665"/>
      <c r="L203" s="667"/>
      <c r="M203" s="668"/>
      <c r="N203" s="373"/>
      <c r="O203" s="373"/>
      <c r="P203" s="670"/>
      <c r="Q203" s="665"/>
      <c r="R203" s="665"/>
      <c r="S203" s="539"/>
      <c r="T203" s="672"/>
      <c r="U203" s="49"/>
      <c r="V203" s="49"/>
      <c r="W203" s="49"/>
      <c r="X203" s="49"/>
      <c r="Y203" s="49"/>
    </row>
    <row r="204" ht="15.75" customHeight="1">
      <c r="A204" s="38"/>
      <c r="B204" s="49"/>
      <c r="C204" s="15"/>
      <c r="D204" s="663"/>
      <c r="E204" s="664"/>
      <c r="F204" s="665"/>
      <c r="G204" s="539"/>
      <c r="H204" s="373"/>
      <c r="I204" s="665"/>
      <c r="J204" s="666"/>
      <c r="K204" s="665"/>
      <c r="L204" s="667"/>
      <c r="M204" s="668"/>
      <c r="N204" s="373"/>
      <c r="O204" s="373"/>
      <c r="P204" s="670"/>
      <c r="Q204" s="665"/>
      <c r="R204" s="665"/>
      <c r="S204" s="539"/>
      <c r="T204" s="672"/>
      <c r="U204" s="49"/>
      <c r="V204" s="49"/>
      <c r="W204" s="49"/>
      <c r="X204" s="49"/>
      <c r="Y204" s="49"/>
    </row>
    <row r="205" ht="15.75" customHeight="1">
      <c r="A205" s="38"/>
      <c r="B205" s="49"/>
      <c r="C205" s="15"/>
      <c r="D205" s="663"/>
      <c r="E205" s="664"/>
      <c r="F205" s="665"/>
      <c r="G205" s="539"/>
      <c r="H205" s="373"/>
      <c r="I205" s="665"/>
      <c r="J205" s="666"/>
      <c r="K205" s="665"/>
      <c r="L205" s="667"/>
      <c r="M205" s="668"/>
      <c r="N205" s="373"/>
      <c r="O205" s="373"/>
      <c r="P205" s="670"/>
      <c r="Q205" s="665"/>
      <c r="R205" s="665"/>
      <c r="S205" s="539"/>
      <c r="T205" s="672"/>
      <c r="U205" s="49"/>
      <c r="V205" s="49"/>
      <c r="W205" s="49"/>
      <c r="X205" s="49"/>
      <c r="Y205" s="49"/>
    </row>
    <row r="206" ht="15.75" customHeight="1">
      <c r="A206" s="38"/>
      <c r="B206" s="49"/>
      <c r="C206" s="15"/>
      <c r="D206" s="663"/>
      <c r="E206" s="664"/>
      <c r="F206" s="665"/>
      <c r="G206" s="539"/>
      <c r="H206" s="373"/>
      <c r="I206" s="665"/>
      <c r="J206" s="666"/>
      <c r="K206" s="665"/>
      <c r="L206" s="667"/>
      <c r="M206" s="668"/>
      <c r="N206" s="373"/>
      <c r="O206" s="373"/>
      <c r="P206" s="670"/>
      <c r="Q206" s="665"/>
      <c r="R206" s="665"/>
      <c r="S206" s="539"/>
      <c r="T206" s="672"/>
      <c r="U206" s="49"/>
      <c r="V206" s="49"/>
      <c r="W206" s="49"/>
      <c r="X206" s="49"/>
      <c r="Y206" s="49"/>
    </row>
    <row r="207" ht="15.75" customHeight="1">
      <c r="A207" s="38"/>
      <c r="B207" s="49"/>
      <c r="C207" s="15"/>
      <c r="D207" s="663"/>
      <c r="E207" s="664"/>
      <c r="F207" s="665"/>
      <c r="G207" s="539"/>
      <c r="H207" s="373"/>
      <c r="I207" s="665"/>
      <c r="J207" s="666"/>
      <c r="K207" s="665"/>
      <c r="L207" s="667"/>
      <c r="M207" s="668"/>
      <c r="N207" s="373"/>
      <c r="O207" s="373"/>
      <c r="P207" s="670"/>
      <c r="Q207" s="665"/>
      <c r="R207" s="665"/>
      <c r="S207" s="539"/>
      <c r="T207" s="672"/>
      <c r="U207" s="49"/>
      <c r="V207" s="49"/>
      <c r="W207" s="49"/>
      <c r="X207" s="49"/>
      <c r="Y207" s="49"/>
    </row>
    <row r="208" ht="15.75" customHeight="1">
      <c r="A208" s="38"/>
      <c r="B208" s="49"/>
      <c r="C208" s="15"/>
      <c r="D208" s="663"/>
      <c r="E208" s="664"/>
      <c r="F208" s="665"/>
      <c r="G208" s="539"/>
      <c r="H208" s="373"/>
      <c r="I208" s="665"/>
      <c r="J208" s="666"/>
      <c r="K208" s="665"/>
      <c r="L208" s="667"/>
      <c r="M208" s="668"/>
      <c r="N208" s="373"/>
      <c r="O208" s="373"/>
      <c r="P208" s="670"/>
      <c r="Q208" s="665"/>
      <c r="R208" s="665"/>
      <c r="S208" s="539"/>
      <c r="T208" s="672"/>
      <c r="U208" s="49"/>
      <c r="V208" s="49"/>
      <c r="W208" s="49"/>
      <c r="X208" s="49"/>
      <c r="Y208" s="49"/>
    </row>
    <row r="209" ht="15.75" customHeight="1">
      <c r="A209" s="38"/>
      <c r="B209" s="49"/>
      <c r="C209" s="15"/>
      <c r="D209" s="663"/>
      <c r="E209" s="664"/>
      <c r="F209" s="665"/>
      <c r="G209" s="539"/>
      <c r="H209" s="373"/>
      <c r="I209" s="665"/>
      <c r="J209" s="666"/>
      <c r="K209" s="665"/>
      <c r="L209" s="667"/>
      <c r="M209" s="668"/>
      <c r="N209" s="373"/>
      <c r="O209" s="373"/>
      <c r="P209" s="670"/>
      <c r="Q209" s="665"/>
      <c r="R209" s="665"/>
      <c r="S209" s="539"/>
      <c r="T209" s="672"/>
      <c r="U209" s="49"/>
      <c r="V209" s="49"/>
      <c r="W209" s="49"/>
      <c r="X209" s="49"/>
      <c r="Y209" s="49"/>
    </row>
    <row r="210" ht="15.75" customHeight="1">
      <c r="A210" s="38"/>
      <c r="B210" s="49"/>
      <c r="C210" s="15"/>
      <c r="D210" s="663"/>
      <c r="E210" s="664"/>
      <c r="F210" s="665"/>
      <c r="G210" s="539"/>
      <c r="H210" s="373"/>
      <c r="I210" s="665"/>
      <c r="J210" s="666"/>
      <c r="K210" s="665"/>
      <c r="L210" s="667"/>
      <c r="M210" s="668"/>
      <c r="N210" s="373"/>
      <c r="O210" s="373"/>
      <c r="P210" s="670"/>
      <c r="Q210" s="665"/>
      <c r="R210" s="665"/>
      <c r="S210" s="539"/>
      <c r="T210" s="672"/>
      <c r="U210" s="49"/>
      <c r="V210" s="49"/>
      <c r="W210" s="49"/>
      <c r="X210" s="49"/>
      <c r="Y210" s="49"/>
    </row>
    <row r="211" ht="15.75" customHeight="1">
      <c r="A211" s="38"/>
      <c r="B211" s="49"/>
      <c r="C211" s="15"/>
      <c r="D211" s="663"/>
      <c r="E211" s="664"/>
      <c r="F211" s="665"/>
      <c r="G211" s="539"/>
      <c r="H211" s="373"/>
      <c r="I211" s="665"/>
      <c r="J211" s="666"/>
      <c r="K211" s="665"/>
      <c r="L211" s="667"/>
      <c r="M211" s="668"/>
      <c r="N211" s="373"/>
      <c r="O211" s="373"/>
      <c r="P211" s="670"/>
      <c r="Q211" s="665"/>
      <c r="R211" s="665"/>
      <c r="S211" s="539"/>
      <c r="T211" s="672"/>
      <c r="U211" s="49"/>
      <c r="V211" s="49"/>
      <c r="W211" s="49"/>
      <c r="X211" s="49"/>
      <c r="Y211" s="49"/>
    </row>
    <row r="212" ht="15.75" customHeight="1">
      <c r="A212" s="38"/>
      <c r="B212" s="49"/>
      <c r="C212" s="15"/>
      <c r="D212" s="663"/>
      <c r="E212" s="664"/>
      <c r="F212" s="665"/>
      <c r="G212" s="539"/>
      <c r="H212" s="373"/>
      <c r="I212" s="665"/>
      <c r="J212" s="666"/>
      <c r="K212" s="665"/>
      <c r="L212" s="667"/>
      <c r="M212" s="668"/>
      <c r="N212" s="373"/>
      <c r="O212" s="373"/>
      <c r="P212" s="670"/>
      <c r="Q212" s="665"/>
      <c r="R212" s="665"/>
      <c r="S212" s="539"/>
      <c r="T212" s="672"/>
      <c r="U212" s="49"/>
      <c r="V212" s="49"/>
      <c r="W212" s="49"/>
      <c r="X212" s="49"/>
      <c r="Y212" s="49"/>
    </row>
    <row r="213" ht="15.75" customHeight="1">
      <c r="A213" s="38"/>
      <c r="B213" s="49"/>
      <c r="C213" s="15"/>
      <c r="D213" s="663"/>
      <c r="E213" s="664"/>
      <c r="F213" s="665"/>
      <c r="G213" s="539"/>
      <c r="H213" s="373"/>
      <c r="I213" s="665"/>
      <c r="J213" s="666"/>
      <c r="K213" s="665"/>
      <c r="L213" s="667"/>
      <c r="M213" s="668"/>
      <c r="N213" s="373"/>
      <c r="O213" s="373"/>
      <c r="P213" s="670"/>
      <c r="Q213" s="665"/>
      <c r="R213" s="665"/>
      <c r="S213" s="539"/>
      <c r="T213" s="672"/>
      <c r="U213" s="49"/>
      <c r="V213" s="49"/>
      <c r="W213" s="49"/>
      <c r="X213" s="49"/>
      <c r="Y213" s="49"/>
    </row>
    <row r="214" ht="15.75" customHeight="1">
      <c r="A214" s="38"/>
      <c r="B214" s="49"/>
      <c r="C214" s="15"/>
      <c r="D214" s="663"/>
      <c r="E214" s="664"/>
      <c r="F214" s="665"/>
      <c r="G214" s="539"/>
      <c r="H214" s="373"/>
      <c r="I214" s="665"/>
      <c r="J214" s="666"/>
      <c r="K214" s="665"/>
      <c r="L214" s="667"/>
      <c r="M214" s="668"/>
      <c r="N214" s="373"/>
      <c r="O214" s="373"/>
      <c r="P214" s="670"/>
      <c r="Q214" s="665"/>
      <c r="R214" s="665"/>
      <c r="S214" s="539"/>
      <c r="T214" s="672"/>
      <c r="U214" s="49"/>
      <c r="V214" s="49"/>
      <c r="W214" s="49"/>
      <c r="X214" s="49"/>
      <c r="Y214" s="49"/>
    </row>
    <row r="215" ht="15.75" customHeight="1">
      <c r="A215" s="38"/>
      <c r="B215" s="49"/>
      <c r="C215" s="15"/>
      <c r="D215" s="663"/>
      <c r="E215" s="664"/>
      <c r="F215" s="665"/>
      <c r="G215" s="539"/>
      <c r="H215" s="373"/>
      <c r="I215" s="665"/>
      <c r="J215" s="666"/>
      <c r="K215" s="665"/>
      <c r="L215" s="667"/>
      <c r="M215" s="668"/>
      <c r="N215" s="373"/>
      <c r="O215" s="373"/>
      <c r="P215" s="670"/>
      <c r="Q215" s="665"/>
      <c r="R215" s="665"/>
      <c r="S215" s="539"/>
      <c r="T215" s="672"/>
      <c r="U215" s="49"/>
      <c r="V215" s="49"/>
      <c r="W215" s="49"/>
      <c r="X215" s="49"/>
      <c r="Y215" s="49"/>
    </row>
    <row r="216" ht="15.75" customHeight="1">
      <c r="A216" s="38"/>
      <c r="B216" s="49"/>
      <c r="C216" s="15"/>
      <c r="D216" s="663"/>
      <c r="E216" s="664"/>
      <c r="F216" s="665"/>
      <c r="G216" s="539"/>
      <c r="H216" s="373"/>
      <c r="I216" s="665"/>
      <c r="J216" s="666"/>
      <c r="K216" s="665"/>
      <c r="L216" s="667"/>
      <c r="M216" s="668"/>
      <c r="N216" s="373"/>
      <c r="O216" s="373"/>
      <c r="P216" s="670"/>
      <c r="Q216" s="665"/>
      <c r="R216" s="665"/>
      <c r="S216" s="539"/>
      <c r="T216" s="672"/>
      <c r="U216" s="49"/>
      <c r="V216" s="49"/>
      <c r="W216" s="49"/>
      <c r="X216" s="49"/>
      <c r="Y216" s="49"/>
    </row>
    <row r="217" ht="15.75" customHeight="1">
      <c r="A217" s="38"/>
      <c r="B217" s="49"/>
      <c r="C217" s="15"/>
      <c r="D217" s="663"/>
      <c r="E217" s="664"/>
      <c r="F217" s="665"/>
      <c r="G217" s="539"/>
      <c r="H217" s="373"/>
      <c r="I217" s="665"/>
      <c r="J217" s="666"/>
      <c r="K217" s="665"/>
      <c r="L217" s="667"/>
      <c r="M217" s="668"/>
      <c r="N217" s="373"/>
      <c r="O217" s="373"/>
      <c r="P217" s="670"/>
      <c r="Q217" s="665"/>
      <c r="R217" s="665"/>
      <c r="S217" s="539"/>
      <c r="T217" s="672"/>
      <c r="U217" s="49"/>
      <c r="V217" s="49"/>
      <c r="W217" s="49"/>
      <c r="X217" s="49"/>
      <c r="Y217" s="49"/>
    </row>
    <row r="218" ht="15.75" customHeight="1">
      <c r="A218" s="38"/>
      <c r="B218" s="49"/>
      <c r="C218" s="15"/>
      <c r="D218" s="663"/>
      <c r="E218" s="664"/>
      <c r="F218" s="665"/>
      <c r="G218" s="539"/>
      <c r="H218" s="373"/>
      <c r="I218" s="665"/>
      <c r="J218" s="666"/>
      <c r="K218" s="665"/>
      <c r="L218" s="667"/>
      <c r="M218" s="668"/>
      <c r="N218" s="373"/>
      <c r="O218" s="373"/>
      <c r="P218" s="670"/>
      <c r="Q218" s="665"/>
      <c r="R218" s="665"/>
      <c r="S218" s="539"/>
      <c r="T218" s="672"/>
      <c r="U218" s="49"/>
      <c r="V218" s="49"/>
      <c r="W218" s="49"/>
      <c r="X218" s="49"/>
      <c r="Y218" s="49"/>
    </row>
    <row r="219" ht="15.75" customHeight="1">
      <c r="A219" s="38"/>
      <c r="B219" s="49"/>
      <c r="C219" s="15"/>
      <c r="D219" s="663"/>
      <c r="E219" s="664"/>
      <c r="F219" s="665"/>
      <c r="G219" s="539"/>
      <c r="H219" s="373"/>
      <c r="I219" s="665"/>
      <c r="J219" s="666"/>
      <c r="K219" s="665"/>
      <c r="L219" s="667"/>
      <c r="M219" s="668"/>
      <c r="N219" s="373"/>
      <c r="O219" s="373"/>
      <c r="P219" s="670"/>
      <c r="Q219" s="665"/>
      <c r="R219" s="665"/>
      <c r="S219" s="539"/>
      <c r="T219" s="672"/>
      <c r="U219" s="49"/>
      <c r="V219" s="49"/>
      <c r="W219" s="49"/>
      <c r="X219" s="49"/>
      <c r="Y219" s="49"/>
    </row>
    <row r="220" ht="15.75" customHeight="1">
      <c r="A220" s="38"/>
      <c r="B220" s="49"/>
      <c r="C220" s="15"/>
      <c r="D220" s="663"/>
      <c r="E220" s="664"/>
      <c r="F220" s="665"/>
      <c r="G220" s="539"/>
      <c r="H220" s="373"/>
      <c r="I220" s="665"/>
      <c r="J220" s="666"/>
      <c r="K220" s="665"/>
      <c r="L220" s="667"/>
      <c r="M220" s="668"/>
      <c r="N220" s="373"/>
      <c r="O220" s="373"/>
      <c r="P220" s="670"/>
      <c r="Q220" s="665"/>
      <c r="R220" s="665"/>
      <c r="S220" s="539"/>
      <c r="T220" s="672"/>
      <c r="U220" s="49"/>
      <c r="V220" s="49"/>
      <c r="W220" s="49"/>
      <c r="X220" s="49"/>
      <c r="Y220" s="49"/>
    </row>
    <row r="221" ht="15.75" customHeight="1">
      <c r="A221" s="38"/>
      <c r="B221" s="49"/>
      <c r="C221" s="15"/>
      <c r="D221" s="663"/>
      <c r="E221" s="664"/>
      <c r="F221" s="665"/>
      <c r="G221" s="539"/>
      <c r="H221" s="373"/>
      <c r="I221" s="665"/>
      <c r="J221" s="666"/>
      <c r="K221" s="665"/>
      <c r="L221" s="667"/>
      <c r="M221" s="668"/>
      <c r="N221" s="373"/>
      <c r="O221" s="373"/>
      <c r="P221" s="670"/>
      <c r="Q221" s="665"/>
      <c r="R221" s="665"/>
      <c r="S221" s="539"/>
      <c r="T221" s="672"/>
      <c r="U221" s="49"/>
      <c r="V221" s="49"/>
      <c r="W221" s="49"/>
      <c r="X221" s="49"/>
      <c r="Y221" s="49"/>
    </row>
    <row r="222" ht="15.75" customHeight="1">
      <c r="A222" s="38"/>
      <c r="B222" s="49"/>
      <c r="C222" s="15"/>
      <c r="D222" s="663"/>
      <c r="E222" s="664"/>
      <c r="F222" s="665"/>
      <c r="G222" s="539"/>
      <c r="H222" s="373"/>
      <c r="I222" s="665"/>
      <c r="J222" s="666"/>
      <c r="K222" s="665"/>
      <c r="L222" s="667"/>
      <c r="M222" s="668"/>
      <c r="N222" s="373"/>
      <c r="O222" s="373"/>
      <c r="P222" s="670"/>
      <c r="Q222" s="665"/>
      <c r="R222" s="665"/>
      <c r="S222" s="539"/>
      <c r="T222" s="672"/>
      <c r="U222" s="49"/>
      <c r="V222" s="49"/>
      <c r="W222" s="49"/>
      <c r="X222" s="49"/>
      <c r="Y222" s="49"/>
    </row>
    <row r="223" ht="15.75" customHeight="1">
      <c r="A223" s="38"/>
      <c r="B223" s="49"/>
      <c r="C223" s="15"/>
      <c r="D223" s="663"/>
      <c r="E223" s="664"/>
      <c r="F223" s="665"/>
      <c r="G223" s="539"/>
      <c r="H223" s="373"/>
      <c r="I223" s="665"/>
      <c r="J223" s="666"/>
      <c r="K223" s="665"/>
      <c r="L223" s="667"/>
      <c r="M223" s="668"/>
      <c r="N223" s="373"/>
      <c r="O223" s="373"/>
      <c r="P223" s="670"/>
      <c r="Q223" s="665"/>
      <c r="R223" s="665"/>
      <c r="S223" s="539"/>
      <c r="T223" s="672"/>
      <c r="U223" s="49"/>
      <c r="V223" s="49"/>
      <c r="W223" s="49"/>
      <c r="X223" s="49"/>
      <c r="Y223" s="49"/>
    </row>
    <row r="224" ht="15.75" customHeight="1">
      <c r="A224" s="38"/>
      <c r="B224" s="49"/>
      <c r="C224" s="15"/>
      <c r="D224" s="663"/>
      <c r="E224" s="664"/>
      <c r="F224" s="665"/>
      <c r="G224" s="539"/>
      <c r="H224" s="373"/>
      <c r="I224" s="665"/>
      <c r="J224" s="666"/>
      <c r="K224" s="665"/>
      <c r="L224" s="667"/>
      <c r="M224" s="668"/>
      <c r="N224" s="373"/>
      <c r="O224" s="373"/>
      <c r="P224" s="670"/>
      <c r="Q224" s="665"/>
      <c r="R224" s="665"/>
      <c r="S224" s="539"/>
      <c r="T224" s="672"/>
      <c r="U224" s="49"/>
      <c r="V224" s="49"/>
      <c r="W224" s="49"/>
      <c r="X224" s="49"/>
      <c r="Y224" s="49"/>
    </row>
    <row r="225" ht="15.75" customHeight="1">
      <c r="A225" s="38"/>
      <c r="B225" s="49"/>
      <c r="C225" s="15"/>
      <c r="D225" s="663"/>
      <c r="E225" s="664"/>
      <c r="F225" s="665"/>
      <c r="G225" s="539"/>
      <c r="H225" s="373"/>
      <c r="I225" s="665"/>
      <c r="J225" s="666"/>
      <c r="K225" s="665"/>
      <c r="L225" s="667"/>
      <c r="M225" s="668"/>
      <c r="N225" s="373"/>
      <c r="O225" s="373"/>
      <c r="P225" s="670"/>
      <c r="Q225" s="665"/>
      <c r="R225" s="665"/>
      <c r="S225" s="539"/>
      <c r="T225" s="672"/>
      <c r="U225" s="49"/>
      <c r="V225" s="49"/>
      <c r="W225" s="49"/>
      <c r="X225" s="49"/>
      <c r="Y225" s="49"/>
    </row>
    <row r="226" ht="15.75" customHeight="1">
      <c r="A226" s="38"/>
      <c r="B226" s="49"/>
      <c r="C226" s="15"/>
      <c r="D226" s="663"/>
      <c r="E226" s="664"/>
      <c r="F226" s="665"/>
      <c r="G226" s="539"/>
      <c r="H226" s="373"/>
      <c r="I226" s="665"/>
      <c r="J226" s="666"/>
      <c r="K226" s="665"/>
      <c r="L226" s="667"/>
      <c r="M226" s="668"/>
      <c r="N226" s="373"/>
      <c r="O226" s="373"/>
      <c r="P226" s="670"/>
      <c r="Q226" s="665"/>
      <c r="R226" s="665"/>
      <c r="S226" s="539"/>
      <c r="T226" s="672"/>
      <c r="U226" s="49"/>
      <c r="V226" s="49"/>
      <c r="W226" s="49"/>
      <c r="X226" s="49"/>
      <c r="Y226" s="49"/>
    </row>
    <row r="227" ht="15.75" customHeight="1">
      <c r="A227" s="38"/>
      <c r="B227" s="49"/>
      <c r="C227" s="15"/>
      <c r="D227" s="663"/>
      <c r="E227" s="664"/>
      <c r="F227" s="665"/>
      <c r="G227" s="539"/>
      <c r="H227" s="373"/>
      <c r="I227" s="665"/>
      <c r="J227" s="666"/>
      <c r="K227" s="665"/>
      <c r="L227" s="667"/>
      <c r="M227" s="668"/>
      <c r="N227" s="373"/>
      <c r="O227" s="373"/>
      <c r="P227" s="670"/>
      <c r="Q227" s="665"/>
      <c r="R227" s="665"/>
      <c r="S227" s="539"/>
      <c r="T227" s="672"/>
      <c r="U227" s="49"/>
      <c r="V227" s="49"/>
      <c r="W227" s="49"/>
      <c r="X227" s="49"/>
      <c r="Y227" s="49"/>
    </row>
    <row r="228" ht="15.75" customHeight="1">
      <c r="A228" s="38"/>
      <c r="B228" s="49"/>
      <c r="C228" s="15"/>
      <c r="D228" s="663"/>
      <c r="E228" s="664"/>
      <c r="F228" s="665"/>
      <c r="G228" s="539"/>
      <c r="H228" s="373"/>
      <c r="I228" s="665"/>
      <c r="J228" s="666"/>
      <c r="K228" s="665"/>
      <c r="L228" s="667"/>
      <c r="M228" s="668"/>
      <c r="N228" s="373"/>
      <c r="O228" s="373"/>
      <c r="P228" s="670"/>
      <c r="Q228" s="665"/>
      <c r="R228" s="665"/>
      <c r="S228" s="539"/>
      <c r="T228" s="672"/>
      <c r="U228" s="49"/>
      <c r="V228" s="49"/>
      <c r="W228" s="49"/>
      <c r="X228" s="49"/>
      <c r="Y228" s="49"/>
    </row>
    <row r="229" ht="15.75" customHeight="1">
      <c r="A229" s="38"/>
      <c r="B229" s="49"/>
      <c r="C229" s="15"/>
      <c r="D229" s="663"/>
      <c r="E229" s="664"/>
      <c r="F229" s="665"/>
      <c r="G229" s="539"/>
      <c r="H229" s="373"/>
      <c r="I229" s="665"/>
      <c r="J229" s="666"/>
      <c r="K229" s="665"/>
      <c r="L229" s="667"/>
      <c r="M229" s="668"/>
      <c r="N229" s="373"/>
      <c r="O229" s="373"/>
      <c r="P229" s="670"/>
      <c r="Q229" s="665"/>
      <c r="R229" s="665"/>
      <c r="S229" s="539"/>
      <c r="T229" s="672"/>
      <c r="U229" s="49"/>
      <c r="V229" s="49"/>
      <c r="W229" s="49"/>
      <c r="X229" s="49"/>
      <c r="Y229" s="49"/>
    </row>
    <row r="230" ht="15.75" customHeight="1">
      <c r="A230" s="38"/>
      <c r="B230" s="49"/>
      <c r="C230" s="15"/>
      <c r="D230" s="663"/>
      <c r="E230" s="664"/>
      <c r="F230" s="665"/>
      <c r="G230" s="539"/>
      <c r="H230" s="373"/>
      <c r="I230" s="665"/>
      <c r="J230" s="666"/>
      <c r="K230" s="665"/>
      <c r="L230" s="667"/>
      <c r="M230" s="668"/>
      <c r="N230" s="373"/>
      <c r="O230" s="373"/>
      <c r="P230" s="670"/>
      <c r="Q230" s="665"/>
      <c r="R230" s="665"/>
      <c r="S230" s="539"/>
      <c r="T230" s="672"/>
      <c r="U230" s="49"/>
      <c r="V230" s="49"/>
      <c r="W230" s="49"/>
      <c r="X230" s="49"/>
      <c r="Y230" s="49"/>
    </row>
    <row r="231" ht="15.75" customHeight="1">
      <c r="A231" s="38"/>
      <c r="B231" s="49"/>
      <c r="C231" s="15"/>
      <c r="D231" s="663"/>
      <c r="E231" s="664"/>
      <c r="F231" s="665"/>
      <c r="G231" s="539"/>
      <c r="H231" s="373"/>
      <c r="I231" s="665"/>
      <c r="J231" s="666"/>
      <c r="K231" s="665"/>
      <c r="L231" s="667"/>
      <c r="M231" s="668"/>
      <c r="N231" s="373"/>
      <c r="O231" s="373"/>
      <c r="P231" s="670"/>
      <c r="Q231" s="665"/>
      <c r="R231" s="665"/>
      <c r="S231" s="539"/>
      <c r="T231" s="672"/>
      <c r="U231" s="49"/>
      <c r="V231" s="49"/>
      <c r="W231" s="49"/>
      <c r="X231" s="49"/>
      <c r="Y231" s="49"/>
    </row>
    <row r="232" ht="15.75" customHeight="1">
      <c r="A232" s="38"/>
      <c r="B232" s="49"/>
      <c r="C232" s="15"/>
      <c r="D232" s="663"/>
      <c r="E232" s="664"/>
      <c r="F232" s="665"/>
      <c r="G232" s="539"/>
      <c r="H232" s="373"/>
      <c r="I232" s="665"/>
      <c r="J232" s="666"/>
      <c r="K232" s="665"/>
      <c r="L232" s="667"/>
      <c r="M232" s="668"/>
      <c r="N232" s="373"/>
      <c r="O232" s="373"/>
      <c r="P232" s="670"/>
      <c r="Q232" s="665"/>
      <c r="R232" s="665"/>
      <c r="S232" s="539"/>
      <c r="T232" s="672"/>
      <c r="U232" s="49"/>
      <c r="V232" s="49"/>
      <c r="W232" s="49"/>
      <c r="X232" s="49"/>
      <c r="Y232" s="49"/>
    </row>
    <row r="233" ht="15.75" customHeight="1">
      <c r="A233" s="38"/>
      <c r="B233" s="49"/>
      <c r="C233" s="15"/>
      <c r="D233" s="663"/>
      <c r="E233" s="664"/>
      <c r="F233" s="665"/>
      <c r="G233" s="539"/>
      <c r="H233" s="373"/>
      <c r="I233" s="665"/>
      <c r="J233" s="666"/>
      <c r="K233" s="665"/>
      <c r="L233" s="667"/>
      <c r="M233" s="668"/>
      <c r="N233" s="373"/>
      <c r="O233" s="373"/>
      <c r="P233" s="670"/>
      <c r="Q233" s="665"/>
      <c r="R233" s="665"/>
      <c r="S233" s="539"/>
      <c r="T233" s="672"/>
      <c r="U233" s="49"/>
      <c r="V233" s="49"/>
      <c r="W233" s="49"/>
      <c r="X233" s="49"/>
      <c r="Y233" s="49"/>
    </row>
    <row r="234" ht="15.75" customHeight="1">
      <c r="A234" s="38"/>
      <c r="B234" s="49"/>
      <c r="C234" s="15"/>
      <c r="D234" s="663"/>
      <c r="E234" s="664"/>
      <c r="F234" s="665"/>
      <c r="G234" s="539"/>
      <c r="H234" s="373"/>
      <c r="I234" s="665"/>
      <c r="J234" s="666"/>
      <c r="K234" s="665"/>
      <c r="L234" s="667"/>
      <c r="M234" s="668"/>
      <c r="N234" s="373"/>
      <c r="O234" s="373"/>
      <c r="P234" s="670"/>
      <c r="Q234" s="665"/>
      <c r="R234" s="665"/>
      <c r="S234" s="539"/>
      <c r="T234" s="672"/>
      <c r="U234" s="49"/>
      <c r="V234" s="49"/>
      <c r="W234" s="49"/>
      <c r="X234" s="49"/>
      <c r="Y234" s="49"/>
    </row>
    <row r="235" ht="15.75" customHeight="1">
      <c r="A235" s="38"/>
      <c r="B235" s="49"/>
      <c r="C235" s="15"/>
      <c r="D235" s="663"/>
      <c r="E235" s="664"/>
      <c r="F235" s="665"/>
      <c r="G235" s="539"/>
      <c r="H235" s="373"/>
      <c r="I235" s="665"/>
      <c r="J235" s="666"/>
      <c r="K235" s="665"/>
      <c r="L235" s="667"/>
      <c r="M235" s="668"/>
      <c r="N235" s="373"/>
      <c r="O235" s="373"/>
      <c r="P235" s="670"/>
      <c r="Q235" s="665"/>
      <c r="R235" s="665"/>
      <c r="S235" s="539"/>
      <c r="T235" s="672"/>
      <c r="U235" s="49"/>
      <c r="V235" s="49"/>
      <c r="W235" s="49"/>
      <c r="X235" s="49"/>
      <c r="Y235" s="49"/>
    </row>
    <row r="236" ht="15.75" customHeight="1">
      <c r="A236" s="38"/>
      <c r="B236" s="49"/>
      <c r="C236" s="15"/>
      <c r="D236" s="663"/>
      <c r="E236" s="664"/>
      <c r="F236" s="665"/>
      <c r="G236" s="539"/>
      <c r="H236" s="373"/>
      <c r="I236" s="665"/>
      <c r="J236" s="666"/>
      <c r="K236" s="665"/>
      <c r="L236" s="667"/>
      <c r="M236" s="668"/>
      <c r="N236" s="373"/>
      <c r="O236" s="373"/>
      <c r="P236" s="670"/>
      <c r="Q236" s="665"/>
      <c r="R236" s="665"/>
      <c r="S236" s="539"/>
      <c r="T236" s="672"/>
      <c r="U236" s="49"/>
      <c r="V236" s="49"/>
      <c r="W236" s="49"/>
      <c r="X236" s="49"/>
      <c r="Y236" s="49"/>
    </row>
    <row r="237" ht="15.75" customHeight="1">
      <c r="A237" s="38"/>
      <c r="B237" s="49"/>
      <c r="C237" s="15"/>
      <c r="D237" s="663"/>
      <c r="E237" s="664"/>
      <c r="F237" s="665"/>
      <c r="G237" s="539"/>
      <c r="H237" s="373"/>
      <c r="I237" s="665"/>
      <c r="J237" s="666"/>
      <c r="K237" s="665"/>
      <c r="L237" s="667"/>
      <c r="M237" s="668"/>
      <c r="N237" s="373"/>
      <c r="O237" s="373"/>
      <c r="P237" s="670"/>
      <c r="Q237" s="665"/>
      <c r="R237" s="665"/>
      <c r="S237" s="539"/>
      <c r="T237" s="672"/>
      <c r="U237" s="49"/>
      <c r="V237" s="49"/>
      <c r="W237" s="49"/>
      <c r="X237" s="49"/>
      <c r="Y237" s="49"/>
    </row>
    <row r="238" ht="15.75" customHeight="1">
      <c r="A238" s="38"/>
      <c r="B238" s="49"/>
      <c r="C238" s="15"/>
      <c r="D238" s="663"/>
      <c r="E238" s="664"/>
      <c r="F238" s="665"/>
      <c r="G238" s="539"/>
      <c r="H238" s="373"/>
      <c r="I238" s="665"/>
      <c r="J238" s="666"/>
      <c r="K238" s="665"/>
      <c r="L238" s="667"/>
      <c r="M238" s="668"/>
      <c r="N238" s="373"/>
      <c r="O238" s="373"/>
      <c r="P238" s="670"/>
      <c r="Q238" s="665"/>
      <c r="R238" s="665"/>
      <c r="S238" s="539"/>
      <c r="T238" s="672"/>
      <c r="U238" s="49"/>
      <c r="V238" s="49"/>
      <c r="W238" s="49"/>
      <c r="X238" s="49"/>
      <c r="Y238" s="49"/>
    </row>
    <row r="239" ht="15.75" customHeight="1">
      <c r="A239" s="38"/>
      <c r="B239" s="49"/>
      <c r="C239" s="15"/>
      <c r="D239" s="663"/>
      <c r="E239" s="664"/>
      <c r="F239" s="665"/>
      <c r="G239" s="539"/>
      <c r="H239" s="373"/>
      <c r="I239" s="665"/>
      <c r="J239" s="666"/>
      <c r="K239" s="665"/>
      <c r="L239" s="667"/>
      <c r="M239" s="668"/>
      <c r="N239" s="373"/>
      <c r="O239" s="373"/>
      <c r="P239" s="670"/>
      <c r="Q239" s="665"/>
      <c r="R239" s="665"/>
      <c r="S239" s="539"/>
      <c r="T239" s="672"/>
      <c r="U239" s="49"/>
      <c r="V239" s="49"/>
      <c r="W239" s="49"/>
      <c r="X239" s="49"/>
      <c r="Y239" s="49"/>
    </row>
    <row r="240" ht="15.75" customHeight="1">
      <c r="A240" s="38"/>
      <c r="B240" s="49"/>
      <c r="C240" s="15"/>
      <c r="D240" s="663"/>
      <c r="E240" s="664"/>
      <c r="F240" s="665"/>
      <c r="G240" s="539"/>
      <c r="H240" s="373"/>
      <c r="I240" s="665"/>
      <c r="J240" s="666"/>
      <c r="K240" s="665"/>
      <c r="L240" s="667"/>
      <c r="M240" s="668"/>
      <c r="N240" s="373"/>
      <c r="O240" s="373"/>
      <c r="P240" s="670"/>
      <c r="Q240" s="665"/>
      <c r="R240" s="665"/>
      <c r="S240" s="539"/>
      <c r="T240" s="672"/>
      <c r="U240" s="49"/>
      <c r="V240" s="49"/>
      <c r="W240" s="49"/>
      <c r="X240" s="49"/>
      <c r="Y240" s="49"/>
    </row>
    <row r="241" ht="15.75" customHeight="1">
      <c r="A241" s="38"/>
      <c r="B241" s="49"/>
      <c r="C241" s="15"/>
      <c r="D241" s="663"/>
      <c r="E241" s="664"/>
      <c r="F241" s="665"/>
      <c r="G241" s="539"/>
      <c r="H241" s="373"/>
      <c r="I241" s="665"/>
      <c r="J241" s="666"/>
      <c r="K241" s="665"/>
      <c r="L241" s="667"/>
      <c r="M241" s="668"/>
      <c r="N241" s="373"/>
      <c r="O241" s="373"/>
      <c r="P241" s="670"/>
      <c r="Q241" s="665"/>
      <c r="R241" s="665"/>
      <c r="S241" s="539"/>
      <c r="T241" s="672"/>
      <c r="U241" s="49"/>
      <c r="V241" s="49"/>
      <c r="W241" s="49"/>
      <c r="X241" s="49"/>
      <c r="Y241" s="49"/>
    </row>
    <row r="242" ht="15.75" customHeight="1">
      <c r="A242" s="38"/>
      <c r="B242" s="49"/>
      <c r="C242" s="15"/>
      <c r="D242" s="663"/>
      <c r="E242" s="664"/>
      <c r="F242" s="665"/>
      <c r="G242" s="539"/>
      <c r="H242" s="373"/>
      <c r="I242" s="665"/>
      <c r="J242" s="666"/>
      <c r="K242" s="665"/>
      <c r="L242" s="667"/>
      <c r="M242" s="668"/>
      <c r="N242" s="373"/>
      <c r="O242" s="373"/>
      <c r="P242" s="670"/>
      <c r="Q242" s="665"/>
      <c r="R242" s="665"/>
      <c r="S242" s="539"/>
      <c r="T242" s="672"/>
      <c r="U242" s="49"/>
      <c r="V242" s="49"/>
      <c r="W242" s="49"/>
      <c r="X242" s="49"/>
      <c r="Y242" s="49"/>
    </row>
    <row r="243" ht="15.75" customHeight="1">
      <c r="A243" s="38"/>
      <c r="B243" s="49"/>
      <c r="C243" s="15"/>
      <c r="D243" s="663"/>
      <c r="E243" s="664"/>
      <c r="F243" s="665"/>
      <c r="G243" s="539"/>
      <c r="H243" s="373"/>
      <c r="I243" s="665"/>
      <c r="J243" s="666"/>
      <c r="K243" s="665"/>
      <c r="L243" s="667"/>
      <c r="M243" s="668"/>
      <c r="N243" s="373"/>
      <c r="O243" s="373"/>
      <c r="P243" s="670"/>
      <c r="Q243" s="665"/>
      <c r="R243" s="665"/>
      <c r="S243" s="539"/>
      <c r="T243" s="672"/>
      <c r="U243" s="49"/>
      <c r="V243" s="49"/>
      <c r="W243" s="49"/>
      <c r="X243" s="49"/>
      <c r="Y243" s="49"/>
    </row>
    <row r="244" ht="15.75" customHeight="1">
      <c r="A244" s="38"/>
      <c r="B244" s="49"/>
      <c r="C244" s="15"/>
      <c r="D244" s="663"/>
      <c r="E244" s="664"/>
      <c r="F244" s="665"/>
      <c r="G244" s="539"/>
      <c r="H244" s="373"/>
      <c r="I244" s="665"/>
      <c r="J244" s="666"/>
      <c r="K244" s="665"/>
      <c r="L244" s="667"/>
      <c r="M244" s="668"/>
      <c r="N244" s="373"/>
      <c r="O244" s="373"/>
      <c r="P244" s="670"/>
      <c r="Q244" s="665"/>
      <c r="R244" s="665"/>
      <c r="S244" s="539"/>
      <c r="T244" s="672"/>
      <c r="U244" s="49"/>
      <c r="V244" s="49"/>
      <c r="W244" s="49"/>
      <c r="X244" s="49"/>
      <c r="Y244" s="49"/>
    </row>
    <row r="245" ht="15.75" customHeight="1">
      <c r="A245" s="38"/>
      <c r="B245" s="49"/>
      <c r="C245" s="15"/>
      <c r="D245" s="663"/>
      <c r="E245" s="664"/>
      <c r="F245" s="665"/>
      <c r="G245" s="539"/>
      <c r="H245" s="373"/>
      <c r="I245" s="665"/>
      <c r="J245" s="666"/>
      <c r="K245" s="665"/>
      <c r="L245" s="667"/>
      <c r="M245" s="668"/>
      <c r="N245" s="373"/>
      <c r="O245" s="373"/>
      <c r="P245" s="670"/>
      <c r="Q245" s="665"/>
      <c r="R245" s="665"/>
      <c r="S245" s="539"/>
      <c r="T245" s="672"/>
      <c r="U245" s="49"/>
      <c r="V245" s="49"/>
      <c r="W245" s="49"/>
      <c r="X245" s="49"/>
      <c r="Y245" s="49"/>
    </row>
    <row r="246" ht="15.75" customHeight="1">
      <c r="A246" s="38"/>
      <c r="B246" s="49"/>
      <c r="C246" s="15"/>
      <c r="D246" s="663"/>
      <c r="E246" s="664"/>
      <c r="F246" s="665"/>
      <c r="G246" s="539"/>
      <c r="H246" s="373"/>
      <c r="I246" s="665"/>
      <c r="J246" s="666"/>
      <c r="K246" s="665"/>
      <c r="L246" s="667"/>
      <c r="M246" s="668"/>
      <c r="N246" s="373"/>
      <c r="O246" s="373"/>
      <c r="P246" s="670"/>
      <c r="Q246" s="665"/>
      <c r="R246" s="665"/>
      <c r="S246" s="539"/>
      <c r="T246" s="672"/>
      <c r="U246" s="49"/>
      <c r="V246" s="49"/>
      <c r="W246" s="49"/>
      <c r="X246" s="49"/>
      <c r="Y246" s="49"/>
    </row>
    <row r="247" ht="15.75" customHeight="1">
      <c r="A247" s="38"/>
      <c r="B247" s="49"/>
      <c r="C247" s="15"/>
      <c r="D247" s="663"/>
      <c r="E247" s="664"/>
      <c r="F247" s="665"/>
      <c r="G247" s="539"/>
      <c r="H247" s="373"/>
      <c r="I247" s="665"/>
      <c r="J247" s="666"/>
      <c r="K247" s="665"/>
      <c r="L247" s="667"/>
      <c r="M247" s="668"/>
      <c r="N247" s="373"/>
      <c r="O247" s="373"/>
      <c r="P247" s="670"/>
      <c r="Q247" s="665"/>
      <c r="R247" s="665"/>
      <c r="S247" s="539"/>
      <c r="T247" s="672"/>
      <c r="U247" s="49"/>
      <c r="V247" s="49"/>
      <c r="W247" s="49"/>
      <c r="X247" s="49"/>
      <c r="Y247" s="49"/>
    </row>
    <row r="248" ht="15.75" customHeight="1">
      <c r="A248" s="38"/>
      <c r="B248" s="49"/>
      <c r="C248" s="15"/>
      <c r="D248" s="663"/>
      <c r="E248" s="664"/>
      <c r="F248" s="665"/>
      <c r="G248" s="539"/>
      <c r="H248" s="373"/>
      <c r="I248" s="665"/>
      <c r="J248" s="666"/>
      <c r="K248" s="665"/>
      <c r="L248" s="667"/>
      <c r="M248" s="668"/>
      <c r="N248" s="373"/>
      <c r="O248" s="373"/>
      <c r="P248" s="670"/>
      <c r="Q248" s="665"/>
      <c r="R248" s="665"/>
      <c r="S248" s="539"/>
      <c r="T248" s="672"/>
      <c r="U248" s="49"/>
      <c r="V248" s="49"/>
      <c r="W248" s="49"/>
      <c r="X248" s="49"/>
      <c r="Y248" s="49"/>
    </row>
    <row r="249" ht="15.75" customHeight="1">
      <c r="A249" s="38"/>
      <c r="B249" s="49"/>
      <c r="C249" s="15"/>
      <c r="D249" s="663"/>
      <c r="E249" s="664"/>
      <c r="F249" s="665"/>
      <c r="G249" s="539"/>
      <c r="H249" s="373"/>
      <c r="I249" s="665"/>
      <c r="J249" s="666"/>
      <c r="K249" s="665"/>
      <c r="L249" s="667"/>
      <c r="M249" s="668"/>
      <c r="N249" s="373"/>
      <c r="O249" s="373"/>
      <c r="P249" s="670"/>
      <c r="Q249" s="665"/>
      <c r="R249" s="665"/>
      <c r="S249" s="539"/>
      <c r="T249" s="672"/>
      <c r="U249" s="49"/>
      <c r="V249" s="49"/>
      <c r="W249" s="49"/>
      <c r="X249" s="49"/>
      <c r="Y249" s="49"/>
    </row>
    <row r="250" ht="15.75" customHeight="1">
      <c r="A250" s="38"/>
      <c r="B250" s="49"/>
      <c r="C250" s="15"/>
      <c r="D250" s="663"/>
      <c r="E250" s="664"/>
      <c r="F250" s="665"/>
      <c r="G250" s="539"/>
      <c r="H250" s="373"/>
      <c r="I250" s="665"/>
      <c r="J250" s="666"/>
      <c r="K250" s="665"/>
      <c r="L250" s="667"/>
      <c r="M250" s="668"/>
      <c r="N250" s="373"/>
      <c r="O250" s="373"/>
      <c r="P250" s="670"/>
      <c r="Q250" s="665"/>
      <c r="R250" s="665"/>
      <c r="S250" s="539"/>
      <c r="T250" s="672"/>
      <c r="U250" s="49"/>
      <c r="V250" s="49"/>
      <c r="W250" s="49"/>
      <c r="X250" s="49"/>
      <c r="Y250" s="49"/>
    </row>
    <row r="251" ht="15.75" customHeight="1">
      <c r="A251" s="38"/>
      <c r="B251" s="49"/>
      <c r="C251" s="15"/>
      <c r="D251" s="663"/>
      <c r="E251" s="664"/>
      <c r="F251" s="665"/>
      <c r="G251" s="539"/>
      <c r="H251" s="373"/>
      <c r="I251" s="665"/>
      <c r="J251" s="666"/>
      <c r="K251" s="665"/>
      <c r="L251" s="667"/>
      <c r="M251" s="668"/>
      <c r="N251" s="373"/>
      <c r="O251" s="373"/>
      <c r="P251" s="670"/>
      <c r="Q251" s="665"/>
      <c r="R251" s="665"/>
      <c r="S251" s="539"/>
      <c r="T251" s="672"/>
      <c r="U251" s="49"/>
      <c r="V251" s="49"/>
      <c r="W251" s="49"/>
      <c r="X251" s="49"/>
      <c r="Y251" s="49"/>
    </row>
    <row r="252" ht="15.75" customHeight="1">
      <c r="A252" s="38"/>
      <c r="B252" s="49"/>
      <c r="C252" s="15"/>
      <c r="D252" s="663"/>
      <c r="E252" s="664"/>
      <c r="F252" s="665"/>
      <c r="G252" s="539"/>
      <c r="H252" s="373"/>
      <c r="I252" s="665"/>
      <c r="J252" s="666"/>
      <c r="K252" s="665"/>
      <c r="L252" s="667"/>
      <c r="M252" s="668"/>
      <c r="N252" s="373"/>
      <c r="O252" s="373"/>
      <c r="P252" s="670"/>
      <c r="Q252" s="665"/>
      <c r="R252" s="665"/>
      <c r="S252" s="539"/>
      <c r="T252" s="672"/>
      <c r="U252" s="49"/>
      <c r="V252" s="49"/>
      <c r="W252" s="49"/>
      <c r="X252" s="49"/>
      <c r="Y252" s="49"/>
    </row>
    <row r="253" ht="15.75" customHeight="1">
      <c r="A253" s="38"/>
      <c r="B253" s="49"/>
      <c r="C253" s="15"/>
      <c r="D253" s="663"/>
      <c r="E253" s="664"/>
      <c r="F253" s="665"/>
      <c r="G253" s="539"/>
      <c r="H253" s="373"/>
      <c r="I253" s="665"/>
      <c r="J253" s="666"/>
      <c r="K253" s="665"/>
      <c r="L253" s="667"/>
      <c r="M253" s="668"/>
      <c r="N253" s="373"/>
      <c r="O253" s="373"/>
      <c r="P253" s="670"/>
      <c r="Q253" s="665"/>
      <c r="R253" s="665"/>
      <c r="S253" s="539"/>
      <c r="T253" s="672"/>
      <c r="U253" s="49"/>
      <c r="V253" s="49"/>
      <c r="W253" s="49"/>
      <c r="X253" s="49"/>
      <c r="Y253" s="49"/>
    </row>
    <row r="254" ht="15.75" customHeight="1">
      <c r="A254" s="38"/>
      <c r="B254" s="49"/>
      <c r="C254" s="15"/>
      <c r="D254" s="663"/>
      <c r="E254" s="664"/>
      <c r="F254" s="665"/>
      <c r="G254" s="539"/>
      <c r="H254" s="373"/>
      <c r="I254" s="665"/>
      <c r="J254" s="666"/>
      <c r="K254" s="665"/>
      <c r="L254" s="667"/>
      <c r="M254" s="668"/>
      <c r="N254" s="373"/>
      <c r="O254" s="373"/>
      <c r="P254" s="670"/>
      <c r="Q254" s="665"/>
      <c r="R254" s="665"/>
      <c r="S254" s="539"/>
      <c r="T254" s="672"/>
      <c r="U254" s="49"/>
      <c r="V254" s="49"/>
      <c r="W254" s="49"/>
      <c r="X254" s="49"/>
      <c r="Y254" s="49"/>
    </row>
    <row r="255" ht="15.75" customHeight="1">
      <c r="A255" s="38"/>
      <c r="B255" s="49"/>
      <c r="C255" s="15"/>
      <c r="D255" s="663"/>
      <c r="E255" s="664"/>
      <c r="F255" s="665"/>
      <c r="G255" s="539"/>
      <c r="H255" s="373"/>
      <c r="I255" s="665"/>
      <c r="J255" s="666"/>
      <c r="K255" s="665"/>
      <c r="L255" s="667"/>
      <c r="M255" s="668"/>
      <c r="N255" s="373"/>
      <c r="O255" s="373"/>
      <c r="P255" s="670"/>
      <c r="Q255" s="665"/>
      <c r="R255" s="665"/>
      <c r="S255" s="539"/>
      <c r="T255" s="672"/>
      <c r="U255" s="49"/>
      <c r="V255" s="49"/>
      <c r="W255" s="49"/>
      <c r="X255" s="49"/>
      <c r="Y255" s="49"/>
    </row>
    <row r="256" ht="15.75" customHeight="1">
      <c r="A256" s="38"/>
      <c r="B256" s="49"/>
      <c r="C256" s="15"/>
      <c r="D256" s="663"/>
      <c r="E256" s="664"/>
      <c r="F256" s="665"/>
      <c r="G256" s="539"/>
      <c r="H256" s="373"/>
      <c r="I256" s="665"/>
      <c r="J256" s="666"/>
      <c r="K256" s="665"/>
      <c r="L256" s="667"/>
      <c r="M256" s="668"/>
      <c r="N256" s="373"/>
      <c r="O256" s="373"/>
      <c r="P256" s="670"/>
      <c r="Q256" s="665"/>
      <c r="R256" s="665"/>
      <c r="S256" s="539"/>
      <c r="T256" s="672"/>
      <c r="U256" s="49"/>
      <c r="V256" s="49"/>
      <c r="W256" s="49"/>
      <c r="X256" s="49"/>
      <c r="Y256" s="49"/>
    </row>
    <row r="257" ht="15.75" customHeight="1">
      <c r="A257" s="38"/>
      <c r="B257" s="49"/>
      <c r="C257" s="15"/>
      <c r="D257" s="663"/>
      <c r="E257" s="664"/>
      <c r="F257" s="665"/>
      <c r="G257" s="539"/>
      <c r="H257" s="373"/>
      <c r="I257" s="665"/>
      <c r="J257" s="666"/>
      <c r="K257" s="665"/>
      <c r="L257" s="667"/>
      <c r="M257" s="668"/>
      <c r="N257" s="373"/>
      <c r="O257" s="373"/>
      <c r="P257" s="670"/>
      <c r="Q257" s="665"/>
      <c r="R257" s="665"/>
      <c r="S257" s="539"/>
      <c r="T257" s="672"/>
      <c r="U257" s="49"/>
      <c r="V257" s="49"/>
      <c r="W257" s="49"/>
      <c r="X257" s="49"/>
      <c r="Y257" s="49"/>
    </row>
    <row r="258" ht="15.75" customHeight="1">
      <c r="A258" s="38"/>
      <c r="B258" s="49"/>
      <c r="C258" s="15"/>
      <c r="D258" s="663"/>
      <c r="E258" s="664"/>
      <c r="F258" s="665"/>
      <c r="G258" s="539"/>
      <c r="H258" s="373"/>
      <c r="I258" s="665"/>
      <c r="J258" s="666"/>
      <c r="K258" s="665"/>
      <c r="L258" s="667"/>
      <c r="M258" s="668"/>
      <c r="N258" s="373"/>
      <c r="O258" s="373"/>
      <c r="P258" s="670"/>
      <c r="Q258" s="665"/>
      <c r="R258" s="665"/>
      <c r="S258" s="539"/>
      <c r="T258" s="672"/>
      <c r="U258" s="49"/>
      <c r="V258" s="49"/>
      <c r="W258" s="49"/>
      <c r="X258" s="49"/>
      <c r="Y258" s="49"/>
    </row>
    <row r="259" ht="15.75" customHeight="1">
      <c r="A259" s="38"/>
      <c r="B259" s="49"/>
      <c r="C259" s="15"/>
      <c r="D259" s="663"/>
      <c r="E259" s="664"/>
      <c r="F259" s="665"/>
      <c r="G259" s="539"/>
      <c r="H259" s="373"/>
      <c r="I259" s="665"/>
      <c r="J259" s="666"/>
      <c r="K259" s="665"/>
      <c r="L259" s="667"/>
      <c r="M259" s="668"/>
      <c r="N259" s="373"/>
      <c r="O259" s="373"/>
      <c r="P259" s="670"/>
      <c r="Q259" s="665"/>
      <c r="R259" s="665"/>
      <c r="S259" s="539"/>
      <c r="T259" s="672"/>
      <c r="U259" s="49"/>
      <c r="V259" s="49"/>
      <c r="W259" s="49"/>
      <c r="X259" s="49"/>
      <c r="Y259" s="49"/>
    </row>
    <row r="260" ht="15.75" customHeight="1">
      <c r="A260" s="38"/>
      <c r="B260" s="49"/>
      <c r="C260" s="15"/>
      <c r="D260" s="663"/>
      <c r="E260" s="664"/>
      <c r="F260" s="665"/>
      <c r="G260" s="539"/>
      <c r="H260" s="373"/>
      <c r="I260" s="665"/>
      <c r="J260" s="666"/>
      <c r="K260" s="665"/>
      <c r="L260" s="667"/>
      <c r="M260" s="668"/>
      <c r="N260" s="373"/>
      <c r="O260" s="373"/>
      <c r="P260" s="670"/>
      <c r="Q260" s="665"/>
      <c r="R260" s="665"/>
      <c r="S260" s="539"/>
      <c r="T260" s="672"/>
      <c r="U260" s="49"/>
      <c r="V260" s="49"/>
      <c r="W260" s="49"/>
      <c r="X260" s="49"/>
      <c r="Y260" s="49"/>
    </row>
    <row r="261" ht="15.75" customHeight="1">
      <c r="A261" s="38"/>
      <c r="B261" s="49"/>
      <c r="C261" s="15"/>
      <c r="D261" s="663"/>
      <c r="E261" s="664"/>
      <c r="F261" s="665"/>
      <c r="G261" s="539"/>
      <c r="H261" s="373"/>
      <c r="I261" s="665"/>
      <c r="J261" s="666"/>
      <c r="K261" s="665"/>
      <c r="L261" s="667"/>
      <c r="M261" s="668"/>
      <c r="N261" s="373"/>
      <c r="O261" s="373"/>
      <c r="P261" s="670"/>
      <c r="Q261" s="665"/>
      <c r="R261" s="665"/>
      <c r="S261" s="539"/>
      <c r="T261" s="672"/>
      <c r="U261" s="49"/>
      <c r="V261" s="49"/>
      <c r="W261" s="49"/>
      <c r="X261" s="49"/>
      <c r="Y261" s="49"/>
    </row>
    <row r="262" ht="15.75" customHeight="1">
      <c r="A262" s="38"/>
      <c r="B262" s="49"/>
      <c r="C262" s="15"/>
      <c r="D262" s="663"/>
      <c r="E262" s="664"/>
      <c r="F262" s="665"/>
      <c r="G262" s="539"/>
      <c r="H262" s="373"/>
      <c r="I262" s="665"/>
      <c r="J262" s="666"/>
      <c r="K262" s="665"/>
      <c r="L262" s="667"/>
      <c r="M262" s="668"/>
      <c r="N262" s="373"/>
      <c r="O262" s="373"/>
      <c r="P262" s="670"/>
      <c r="Q262" s="665"/>
      <c r="R262" s="665"/>
      <c r="S262" s="539"/>
      <c r="T262" s="672"/>
      <c r="U262" s="49"/>
      <c r="V262" s="49"/>
      <c r="W262" s="49"/>
      <c r="X262" s="49"/>
      <c r="Y262" s="49"/>
    </row>
    <row r="263" ht="15.75" customHeight="1">
      <c r="A263" s="38"/>
      <c r="B263" s="49"/>
      <c r="C263" s="15"/>
      <c r="D263" s="663"/>
      <c r="E263" s="664"/>
      <c r="F263" s="665"/>
      <c r="G263" s="539"/>
      <c r="H263" s="373"/>
      <c r="I263" s="665"/>
      <c r="J263" s="666"/>
      <c r="K263" s="665"/>
      <c r="L263" s="667"/>
      <c r="M263" s="668"/>
      <c r="N263" s="373"/>
      <c r="O263" s="373"/>
      <c r="P263" s="670"/>
      <c r="Q263" s="665"/>
      <c r="R263" s="665"/>
      <c r="S263" s="539"/>
      <c r="T263" s="672"/>
      <c r="U263" s="49"/>
      <c r="V263" s="49"/>
      <c r="W263" s="49"/>
      <c r="X263" s="49"/>
      <c r="Y263" s="49"/>
    </row>
    <row r="264" ht="15.75" customHeight="1">
      <c r="A264" s="38"/>
      <c r="B264" s="49"/>
      <c r="C264" s="15"/>
      <c r="D264" s="663"/>
      <c r="E264" s="664"/>
      <c r="F264" s="665"/>
      <c r="G264" s="539"/>
      <c r="H264" s="373"/>
      <c r="I264" s="665"/>
      <c r="J264" s="666"/>
      <c r="K264" s="665"/>
      <c r="L264" s="667"/>
      <c r="M264" s="668"/>
      <c r="N264" s="373"/>
      <c r="O264" s="373"/>
      <c r="P264" s="670"/>
      <c r="Q264" s="665"/>
      <c r="R264" s="665"/>
      <c r="S264" s="539"/>
      <c r="T264" s="672"/>
      <c r="U264" s="49"/>
      <c r="V264" s="49"/>
      <c r="W264" s="49"/>
      <c r="X264" s="49"/>
      <c r="Y264" s="49"/>
    </row>
    <row r="265" ht="15.75" customHeight="1">
      <c r="A265" s="38"/>
      <c r="B265" s="49"/>
      <c r="C265" s="15"/>
      <c r="D265" s="663"/>
      <c r="E265" s="664"/>
      <c r="F265" s="665"/>
      <c r="G265" s="539"/>
      <c r="H265" s="373"/>
      <c r="I265" s="665"/>
      <c r="J265" s="666"/>
      <c r="K265" s="665"/>
      <c r="L265" s="667"/>
      <c r="M265" s="668"/>
      <c r="N265" s="373"/>
      <c r="O265" s="373"/>
      <c r="P265" s="670"/>
      <c r="Q265" s="665"/>
      <c r="R265" s="665"/>
      <c r="S265" s="539"/>
      <c r="T265" s="672"/>
      <c r="U265" s="49"/>
      <c r="V265" s="49"/>
      <c r="W265" s="49"/>
      <c r="X265" s="49"/>
      <c r="Y265" s="49"/>
    </row>
    <row r="266" ht="15.75" customHeight="1">
      <c r="A266" s="38"/>
      <c r="B266" s="49"/>
      <c r="C266" s="15"/>
      <c r="D266" s="663"/>
      <c r="E266" s="664"/>
      <c r="F266" s="665"/>
      <c r="G266" s="539"/>
      <c r="H266" s="373"/>
      <c r="I266" s="665"/>
      <c r="J266" s="666"/>
      <c r="K266" s="665"/>
      <c r="L266" s="667"/>
      <c r="M266" s="668"/>
      <c r="N266" s="373"/>
      <c r="O266" s="373"/>
      <c r="P266" s="670"/>
      <c r="Q266" s="665"/>
      <c r="R266" s="665"/>
      <c r="S266" s="539"/>
      <c r="T266" s="672"/>
      <c r="U266" s="49"/>
      <c r="V266" s="49"/>
      <c r="W266" s="49"/>
      <c r="X266" s="49"/>
      <c r="Y266" s="49"/>
    </row>
    <row r="267" ht="15.75" customHeight="1">
      <c r="A267" s="38"/>
      <c r="B267" s="49"/>
      <c r="C267" s="15"/>
      <c r="D267" s="663"/>
      <c r="E267" s="664"/>
      <c r="F267" s="665"/>
      <c r="G267" s="539"/>
      <c r="H267" s="373"/>
      <c r="I267" s="665"/>
      <c r="J267" s="666"/>
      <c r="K267" s="665"/>
      <c r="L267" s="667"/>
      <c r="M267" s="668"/>
      <c r="N267" s="373"/>
      <c r="O267" s="373"/>
      <c r="P267" s="670"/>
      <c r="Q267" s="665"/>
      <c r="R267" s="665"/>
      <c r="S267" s="539"/>
      <c r="T267" s="672"/>
      <c r="U267" s="49"/>
      <c r="V267" s="49"/>
      <c r="W267" s="49"/>
      <c r="X267" s="49"/>
      <c r="Y267" s="49"/>
    </row>
    <row r="268" ht="15.75" customHeight="1">
      <c r="A268" s="38"/>
      <c r="B268" s="49"/>
      <c r="C268" s="15"/>
      <c r="D268" s="663"/>
      <c r="E268" s="664"/>
      <c r="F268" s="665"/>
      <c r="G268" s="539"/>
      <c r="H268" s="373"/>
      <c r="I268" s="665"/>
      <c r="J268" s="666"/>
      <c r="K268" s="665"/>
      <c r="L268" s="667"/>
      <c r="M268" s="668"/>
      <c r="N268" s="373"/>
      <c r="O268" s="373"/>
      <c r="P268" s="670"/>
      <c r="Q268" s="665"/>
      <c r="R268" s="665"/>
      <c r="S268" s="539"/>
      <c r="T268" s="672"/>
      <c r="U268" s="49"/>
      <c r="V268" s="49"/>
      <c r="W268" s="49"/>
      <c r="X268" s="49"/>
      <c r="Y268" s="49"/>
    </row>
    <row r="269" ht="15.75" customHeight="1">
      <c r="A269" s="38"/>
      <c r="B269" s="49"/>
      <c r="C269" s="15"/>
      <c r="D269" s="663"/>
      <c r="E269" s="664"/>
      <c r="F269" s="665"/>
      <c r="G269" s="539"/>
      <c r="H269" s="373"/>
      <c r="I269" s="665"/>
      <c r="J269" s="666"/>
      <c r="K269" s="665"/>
      <c r="L269" s="667"/>
      <c r="M269" s="668"/>
      <c r="N269" s="373"/>
      <c r="O269" s="373"/>
      <c r="P269" s="670"/>
      <c r="Q269" s="665"/>
      <c r="R269" s="665"/>
      <c r="S269" s="539"/>
      <c r="T269" s="672"/>
      <c r="U269" s="49"/>
      <c r="V269" s="49"/>
      <c r="W269" s="49"/>
      <c r="X269" s="49"/>
      <c r="Y269" s="49"/>
    </row>
    <row r="270" ht="15.75" customHeight="1">
      <c r="A270" s="38"/>
      <c r="B270" s="49"/>
      <c r="C270" s="15"/>
      <c r="D270" s="663"/>
      <c r="E270" s="664"/>
      <c r="F270" s="665"/>
      <c r="G270" s="539"/>
      <c r="H270" s="373"/>
      <c r="I270" s="665"/>
      <c r="J270" s="666"/>
      <c r="K270" s="665"/>
      <c r="L270" s="667"/>
      <c r="M270" s="668"/>
      <c r="N270" s="373"/>
      <c r="O270" s="373"/>
      <c r="P270" s="670"/>
      <c r="Q270" s="665"/>
      <c r="R270" s="665"/>
      <c r="S270" s="539"/>
      <c r="T270" s="672"/>
      <c r="U270" s="49"/>
      <c r="V270" s="49"/>
      <c r="W270" s="49"/>
      <c r="X270" s="49"/>
      <c r="Y270" s="49"/>
    </row>
    <row r="271" ht="15.75" customHeight="1">
      <c r="A271" s="38"/>
      <c r="B271" s="49"/>
      <c r="C271" s="15"/>
      <c r="D271" s="663"/>
      <c r="E271" s="664"/>
      <c r="F271" s="665"/>
      <c r="G271" s="539"/>
      <c r="H271" s="373"/>
      <c r="I271" s="665"/>
      <c r="J271" s="666"/>
      <c r="K271" s="665"/>
      <c r="L271" s="667"/>
      <c r="M271" s="668"/>
      <c r="N271" s="373"/>
      <c r="O271" s="373"/>
      <c r="P271" s="670"/>
      <c r="Q271" s="665"/>
      <c r="R271" s="665"/>
      <c r="S271" s="539"/>
      <c r="T271" s="672"/>
      <c r="U271" s="49"/>
      <c r="V271" s="49"/>
      <c r="W271" s="49"/>
      <c r="X271" s="49"/>
      <c r="Y271" s="49"/>
    </row>
    <row r="272" ht="15.75" customHeight="1">
      <c r="A272" s="38"/>
      <c r="B272" s="49"/>
      <c r="C272" s="15"/>
      <c r="D272" s="663"/>
      <c r="E272" s="664"/>
      <c r="F272" s="665"/>
      <c r="G272" s="539"/>
      <c r="H272" s="373"/>
      <c r="I272" s="665"/>
      <c r="J272" s="666"/>
      <c r="K272" s="665"/>
      <c r="L272" s="667"/>
      <c r="M272" s="668"/>
      <c r="N272" s="373"/>
      <c r="O272" s="373"/>
      <c r="P272" s="670"/>
      <c r="Q272" s="665"/>
      <c r="R272" s="665"/>
      <c r="S272" s="539"/>
      <c r="T272" s="672"/>
      <c r="U272" s="49"/>
      <c r="V272" s="49"/>
      <c r="W272" s="49"/>
      <c r="X272" s="49"/>
      <c r="Y272" s="49"/>
    </row>
    <row r="273" ht="15.75" customHeight="1">
      <c r="A273" s="38"/>
      <c r="B273" s="49"/>
      <c r="C273" s="15"/>
      <c r="D273" s="663"/>
      <c r="E273" s="664"/>
      <c r="F273" s="665"/>
      <c r="G273" s="539"/>
      <c r="H273" s="373"/>
      <c r="I273" s="665"/>
      <c r="J273" s="666"/>
      <c r="K273" s="665"/>
      <c r="L273" s="667"/>
      <c r="M273" s="668"/>
      <c r="N273" s="373"/>
      <c r="O273" s="373"/>
      <c r="P273" s="670"/>
      <c r="Q273" s="665"/>
      <c r="R273" s="665"/>
      <c r="S273" s="539"/>
      <c r="T273" s="672"/>
      <c r="U273" s="49"/>
      <c r="V273" s="49"/>
      <c r="W273" s="49"/>
      <c r="X273" s="49"/>
      <c r="Y273" s="49"/>
    </row>
    <row r="274" ht="15.75" customHeight="1">
      <c r="A274" s="38"/>
      <c r="B274" s="49"/>
      <c r="C274" s="15"/>
      <c r="D274" s="663"/>
      <c r="E274" s="664"/>
      <c r="F274" s="665"/>
      <c r="G274" s="539"/>
      <c r="H274" s="373"/>
      <c r="I274" s="665"/>
      <c r="J274" s="666"/>
      <c r="K274" s="665"/>
      <c r="L274" s="667"/>
      <c r="M274" s="668"/>
      <c r="N274" s="373"/>
      <c r="O274" s="373"/>
      <c r="P274" s="670"/>
      <c r="Q274" s="665"/>
      <c r="R274" s="665"/>
      <c r="S274" s="539"/>
      <c r="T274" s="672"/>
      <c r="U274" s="49"/>
      <c r="V274" s="49"/>
      <c r="W274" s="49"/>
      <c r="X274" s="49"/>
      <c r="Y274" s="49"/>
    </row>
    <row r="275" ht="15.75" customHeight="1">
      <c r="A275" s="38"/>
      <c r="B275" s="49"/>
      <c r="C275" s="15"/>
      <c r="D275" s="663"/>
      <c r="E275" s="664"/>
      <c r="F275" s="665"/>
      <c r="G275" s="539"/>
      <c r="H275" s="373"/>
      <c r="I275" s="665"/>
      <c r="J275" s="666"/>
      <c r="K275" s="665"/>
      <c r="L275" s="667"/>
      <c r="M275" s="668"/>
      <c r="N275" s="373"/>
      <c r="O275" s="373"/>
      <c r="P275" s="670"/>
      <c r="Q275" s="665"/>
      <c r="R275" s="665"/>
      <c r="S275" s="539"/>
      <c r="T275" s="672"/>
      <c r="U275" s="49"/>
      <c r="V275" s="49"/>
      <c r="W275" s="49"/>
      <c r="X275" s="49"/>
      <c r="Y275" s="49"/>
    </row>
    <row r="276" ht="15.75" customHeight="1">
      <c r="A276" s="38"/>
      <c r="B276" s="49"/>
      <c r="C276" s="15"/>
      <c r="D276" s="663"/>
      <c r="E276" s="664"/>
      <c r="F276" s="665"/>
      <c r="G276" s="539"/>
      <c r="H276" s="373"/>
      <c r="I276" s="665"/>
      <c r="J276" s="666"/>
      <c r="K276" s="665"/>
      <c r="L276" s="667"/>
      <c r="M276" s="668"/>
      <c r="N276" s="373"/>
      <c r="O276" s="373"/>
      <c r="P276" s="670"/>
      <c r="Q276" s="665"/>
      <c r="R276" s="665"/>
      <c r="S276" s="539"/>
      <c r="T276" s="672"/>
      <c r="U276" s="49"/>
      <c r="V276" s="49"/>
      <c r="W276" s="49"/>
      <c r="X276" s="49"/>
      <c r="Y276" s="49"/>
    </row>
    <row r="277" ht="15.75" customHeight="1">
      <c r="A277" s="38"/>
      <c r="B277" s="49"/>
      <c r="C277" s="15"/>
      <c r="D277" s="663"/>
      <c r="E277" s="664"/>
      <c r="F277" s="665"/>
      <c r="G277" s="539"/>
      <c r="H277" s="373"/>
      <c r="I277" s="665"/>
      <c r="J277" s="666"/>
      <c r="K277" s="665"/>
      <c r="L277" s="667"/>
      <c r="M277" s="668"/>
      <c r="N277" s="373"/>
      <c r="O277" s="373"/>
      <c r="P277" s="670"/>
      <c r="Q277" s="665"/>
      <c r="R277" s="665"/>
      <c r="S277" s="539"/>
      <c r="T277" s="672"/>
      <c r="U277" s="49"/>
      <c r="V277" s="49"/>
      <c r="W277" s="49"/>
      <c r="X277" s="49"/>
      <c r="Y277" s="49"/>
    </row>
    <row r="278" ht="15.75" customHeight="1">
      <c r="A278" s="38"/>
      <c r="B278" s="49"/>
      <c r="C278" s="15"/>
      <c r="D278" s="663"/>
      <c r="E278" s="664"/>
      <c r="F278" s="665"/>
      <c r="G278" s="539"/>
      <c r="H278" s="373"/>
      <c r="I278" s="665"/>
      <c r="J278" s="666"/>
      <c r="K278" s="665"/>
      <c r="L278" s="667"/>
      <c r="M278" s="668"/>
      <c r="N278" s="373"/>
      <c r="O278" s="373"/>
      <c r="P278" s="670"/>
      <c r="Q278" s="665"/>
      <c r="R278" s="665"/>
      <c r="S278" s="539"/>
      <c r="T278" s="672"/>
      <c r="U278" s="49"/>
      <c r="V278" s="49"/>
      <c r="W278" s="49"/>
      <c r="X278" s="49"/>
      <c r="Y278" s="49"/>
    </row>
    <row r="279" ht="15.75" customHeight="1">
      <c r="A279" s="38"/>
      <c r="B279" s="49"/>
      <c r="C279" s="15"/>
      <c r="D279" s="663"/>
      <c r="E279" s="664"/>
      <c r="F279" s="665"/>
      <c r="G279" s="539"/>
      <c r="H279" s="373"/>
      <c r="I279" s="665"/>
      <c r="J279" s="666"/>
      <c r="K279" s="665"/>
      <c r="L279" s="667"/>
      <c r="M279" s="668"/>
      <c r="N279" s="373"/>
      <c r="O279" s="373"/>
      <c r="P279" s="670"/>
      <c r="Q279" s="665"/>
      <c r="R279" s="665"/>
      <c r="S279" s="539"/>
      <c r="T279" s="672"/>
      <c r="U279" s="49"/>
      <c r="V279" s="49"/>
      <c r="W279" s="49"/>
      <c r="X279" s="49"/>
      <c r="Y279" s="49"/>
    </row>
    <row r="280" ht="15.75" customHeight="1">
      <c r="A280" s="38"/>
      <c r="B280" s="49"/>
      <c r="C280" s="15"/>
      <c r="D280" s="663"/>
      <c r="E280" s="664"/>
      <c r="F280" s="665"/>
      <c r="G280" s="539"/>
      <c r="H280" s="373"/>
      <c r="I280" s="665"/>
      <c r="J280" s="666"/>
      <c r="K280" s="665"/>
      <c r="L280" s="667"/>
      <c r="M280" s="668"/>
      <c r="N280" s="373"/>
      <c r="O280" s="373"/>
      <c r="P280" s="670"/>
      <c r="Q280" s="665"/>
      <c r="R280" s="665"/>
      <c r="S280" s="539"/>
      <c r="T280" s="672"/>
      <c r="U280" s="49"/>
      <c r="V280" s="49"/>
      <c r="W280" s="49"/>
      <c r="X280" s="49"/>
      <c r="Y280" s="49"/>
    </row>
    <row r="281" ht="15.75" customHeight="1">
      <c r="A281" s="38"/>
      <c r="B281" s="49"/>
      <c r="C281" s="15"/>
      <c r="D281" s="663"/>
      <c r="E281" s="664"/>
      <c r="F281" s="665"/>
      <c r="G281" s="539"/>
      <c r="H281" s="373"/>
      <c r="I281" s="665"/>
      <c r="J281" s="666"/>
      <c r="K281" s="665"/>
      <c r="L281" s="667"/>
      <c r="M281" s="668"/>
      <c r="N281" s="373"/>
      <c r="O281" s="373"/>
      <c r="P281" s="670"/>
      <c r="Q281" s="665"/>
      <c r="R281" s="665"/>
      <c r="S281" s="539"/>
      <c r="T281" s="672"/>
      <c r="U281" s="49"/>
      <c r="V281" s="49"/>
      <c r="W281" s="49"/>
      <c r="X281" s="49"/>
      <c r="Y281" s="49"/>
    </row>
    <row r="282" ht="15.75" customHeight="1">
      <c r="A282" s="38"/>
      <c r="B282" s="49"/>
      <c r="C282" s="15"/>
      <c r="D282" s="663"/>
      <c r="E282" s="664"/>
      <c r="F282" s="665"/>
      <c r="G282" s="539"/>
      <c r="H282" s="373"/>
      <c r="I282" s="665"/>
      <c r="J282" s="666"/>
      <c r="K282" s="665"/>
      <c r="L282" s="667"/>
      <c r="M282" s="668"/>
      <c r="N282" s="373"/>
      <c r="O282" s="373"/>
      <c r="P282" s="670"/>
      <c r="Q282" s="665"/>
      <c r="R282" s="665"/>
      <c r="S282" s="539"/>
      <c r="T282" s="672"/>
      <c r="U282" s="49"/>
      <c r="V282" s="49"/>
      <c r="W282" s="49"/>
      <c r="X282" s="49"/>
      <c r="Y282" s="49"/>
    </row>
    <row r="283" ht="15.75" customHeight="1">
      <c r="A283" s="38"/>
      <c r="B283" s="49"/>
      <c r="C283" s="15"/>
      <c r="D283" s="663"/>
      <c r="E283" s="664"/>
      <c r="F283" s="665"/>
      <c r="G283" s="539"/>
      <c r="H283" s="373"/>
      <c r="I283" s="665"/>
      <c r="J283" s="666"/>
      <c r="K283" s="665"/>
      <c r="L283" s="667"/>
      <c r="M283" s="668"/>
      <c r="N283" s="373"/>
      <c r="O283" s="373"/>
      <c r="P283" s="670"/>
      <c r="Q283" s="665"/>
      <c r="R283" s="665"/>
      <c r="S283" s="539"/>
      <c r="T283" s="672"/>
      <c r="U283" s="49"/>
      <c r="V283" s="49"/>
      <c r="W283" s="49"/>
      <c r="X283" s="49"/>
      <c r="Y283" s="49"/>
    </row>
    <row r="284" ht="15.75" customHeight="1">
      <c r="A284" s="38"/>
      <c r="B284" s="49"/>
      <c r="C284" s="15"/>
      <c r="D284" s="663"/>
      <c r="E284" s="664"/>
      <c r="F284" s="665"/>
      <c r="G284" s="539"/>
      <c r="H284" s="373"/>
      <c r="I284" s="665"/>
      <c r="J284" s="666"/>
      <c r="K284" s="665"/>
      <c r="L284" s="667"/>
      <c r="M284" s="668"/>
      <c r="N284" s="373"/>
      <c r="O284" s="373"/>
      <c r="P284" s="670"/>
      <c r="Q284" s="665"/>
      <c r="R284" s="665"/>
      <c r="S284" s="539"/>
      <c r="T284" s="672"/>
      <c r="U284" s="49"/>
      <c r="V284" s="49"/>
      <c r="W284" s="49"/>
      <c r="X284" s="49"/>
      <c r="Y284" s="49"/>
    </row>
    <row r="285" ht="15.75" customHeight="1">
      <c r="A285" s="38"/>
      <c r="B285" s="49"/>
      <c r="C285" s="15"/>
      <c r="D285" s="663"/>
      <c r="E285" s="664"/>
      <c r="F285" s="665"/>
      <c r="G285" s="539"/>
      <c r="H285" s="373"/>
      <c r="I285" s="665"/>
      <c r="J285" s="666"/>
      <c r="K285" s="665"/>
      <c r="L285" s="667"/>
      <c r="M285" s="668"/>
      <c r="N285" s="373"/>
      <c r="O285" s="373"/>
      <c r="P285" s="670"/>
      <c r="Q285" s="665"/>
      <c r="R285" s="665"/>
      <c r="S285" s="539"/>
      <c r="T285" s="672"/>
      <c r="U285" s="49"/>
      <c r="V285" s="49"/>
      <c r="W285" s="49"/>
      <c r="X285" s="49"/>
      <c r="Y285" s="49"/>
    </row>
    <row r="286" ht="15.75" customHeight="1">
      <c r="A286" s="38"/>
      <c r="B286" s="49"/>
      <c r="C286" s="15"/>
      <c r="D286" s="663"/>
      <c r="E286" s="664"/>
      <c r="F286" s="665"/>
      <c r="G286" s="539"/>
      <c r="H286" s="373"/>
      <c r="I286" s="665"/>
      <c r="J286" s="666"/>
      <c r="K286" s="665"/>
      <c r="L286" s="667"/>
      <c r="M286" s="668"/>
      <c r="N286" s="373"/>
      <c r="O286" s="373"/>
      <c r="P286" s="670"/>
      <c r="Q286" s="665"/>
      <c r="R286" s="665"/>
      <c r="S286" s="539"/>
      <c r="T286" s="672"/>
      <c r="U286" s="49"/>
      <c r="V286" s="49"/>
      <c r="W286" s="49"/>
      <c r="X286" s="49"/>
      <c r="Y286" s="49"/>
    </row>
    <row r="287" ht="15.75" customHeight="1">
      <c r="A287" s="38"/>
      <c r="B287" s="49"/>
      <c r="C287" s="15"/>
      <c r="D287" s="663"/>
      <c r="E287" s="664"/>
      <c r="F287" s="665"/>
      <c r="G287" s="539"/>
      <c r="H287" s="373"/>
      <c r="I287" s="665"/>
      <c r="J287" s="666"/>
      <c r="K287" s="665"/>
      <c r="L287" s="667"/>
      <c r="M287" s="668"/>
      <c r="N287" s="373"/>
      <c r="O287" s="373"/>
      <c r="P287" s="670"/>
      <c r="Q287" s="665"/>
      <c r="R287" s="665"/>
      <c r="S287" s="539"/>
      <c r="T287" s="672"/>
      <c r="U287" s="49"/>
      <c r="V287" s="49"/>
      <c r="W287" s="49"/>
      <c r="X287" s="49"/>
      <c r="Y287" s="49"/>
    </row>
    <row r="288" ht="15.75" customHeight="1">
      <c r="A288" s="38"/>
      <c r="B288" s="49"/>
      <c r="C288" s="15"/>
      <c r="D288" s="663"/>
      <c r="E288" s="664"/>
      <c r="F288" s="665"/>
      <c r="G288" s="539"/>
      <c r="H288" s="373"/>
      <c r="I288" s="665"/>
      <c r="J288" s="666"/>
      <c r="K288" s="665"/>
      <c r="L288" s="667"/>
      <c r="M288" s="668"/>
      <c r="N288" s="373"/>
      <c r="O288" s="373"/>
      <c r="P288" s="670"/>
      <c r="Q288" s="665"/>
      <c r="R288" s="665"/>
      <c r="S288" s="539"/>
      <c r="T288" s="672"/>
      <c r="U288" s="49"/>
      <c r="V288" s="49"/>
      <c r="W288" s="49"/>
      <c r="X288" s="49"/>
      <c r="Y288" s="49"/>
    </row>
    <row r="289" ht="15.75" customHeight="1">
      <c r="A289" s="38"/>
      <c r="B289" s="49"/>
      <c r="C289" s="15"/>
      <c r="D289" s="663"/>
      <c r="E289" s="664"/>
      <c r="F289" s="665"/>
      <c r="G289" s="539"/>
      <c r="H289" s="373"/>
      <c r="I289" s="665"/>
      <c r="J289" s="666"/>
      <c r="K289" s="665"/>
      <c r="L289" s="667"/>
      <c r="M289" s="668"/>
      <c r="N289" s="373"/>
      <c r="O289" s="373"/>
      <c r="P289" s="670"/>
      <c r="Q289" s="665"/>
      <c r="R289" s="665"/>
      <c r="S289" s="539"/>
      <c r="T289" s="672"/>
      <c r="U289" s="49"/>
      <c r="V289" s="49"/>
      <c r="W289" s="49"/>
      <c r="X289" s="49"/>
      <c r="Y289" s="49"/>
    </row>
    <row r="290" ht="15.75" customHeight="1">
      <c r="A290" s="38"/>
      <c r="B290" s="49"/>
      <c r="C290" s="15"/>
      <c r="D290" s="663"/>
      <c r="E290" s="664"/>
      <c r="F290" s="665"/>
      <c r="G290" s="539"/>
      <c r="H290" s="373"/>
      <c r="I290" s="665"/>
      <c r="J290" s="666"/>
      <c r="K290" s="665"/>
      <c r="L290" s="667"/>
      <c r="M290" s="668"/>
      <c r="N290" s="373"/>
      <c r="O290" s="373"/>
      <c r="P290" s="670"/>
      <c r="Q290" s="665"/>
      <c r="R290" s="665"/>
      <c r="S290" s="539"/>
      <c r="T290" s="672"/>
      <c r="U290" s="49"/>
      <c r="V290" s="49"/>
      <c r="W290" s="49"/>
      <c r="X290" s="49"/>
      <c r="Y290" s="49"/>
    </row>
    <row r="291" ht="15.75" customHeight="1">
      <c r="A291" s="38"/>
      <c r="B291" s="49"/>
      <c r="C291" s="15"/>
      <c r="D291" s="663"/>
      <c r="E291" s="664"/>
      <c r="F291" s="665"/>
      <c r="G291" s="539"/>
      <c r="H291" s="373"/>
      <c r="I291" s="665"/>
      <c r="J291" s="666"/>
      <c r="K291" s="665"/>
      <c r="L291" s="667"/>
      <c r="M291" s="668"/>
      <c r="N291" s="373"/>
      <c r="O291" s="373"/>
      <c r="P291" s="670"/>
      <c r="Q291" s="665"/>
      <c r="R291" s="665"/>
      <c r="S291" s="539"/>
      <c r="T291" s="672"/>
      <c r="U291" s="49"/>
      <c r="V291" s="49"/>
      <c r="W291" s="49"/>
      <c r="X291" s="49"/>
      <c r="Y291" s="49"/>
    </row>
    <row r="292" ht="15.75" customHeight="1">
      <c r="A292" s="38"/>
      <c r="B292" s="49"/>
      <c r="C292" s="15"/>
      <c r="D292" s="663"/>
      <c r="E292" s="664"/>
      <c r="F292" s="665"/>
      <c r="G292" s="539"/>
      <c r="H292" s="373"/>
      <c r="I292" s="665"/>
      <c r="J292" s="666"/>
      <c r="K292" s="665"/>
      <c r="L292" s="667"/>
      <c r="M292" s="668"/>
      <c r="N292" s="373"/>
      <c r="O292" s="373"/>
      <c r="P292" s="670"/>
      <c r="Q292" s="665"/>
      <c r="R292" s="665"/>
      <c r="S292" s="539"/>
      <c r="T292" s="672"/>
      <c r="U292" s="49"/>
      <c r="V292" s="49"/>
      <c r="W292" s="49"/>
      <c r="X292" s="49"/>
      <c r="Y292" s="49"/>
    </row>
    <row r="293" ht="15.75" customHeight="1">
      <c r="A293" s="38"/>
      <c r="B293" s="49"/>
      <c r="C293" s="15"/>
      <c r="D293" s="663"/>
      <c r="E293" s="664"/>
      <c r="F293" s="665"/>
      <c r="G293" s="539"/>
      <c r="H293" s="373"/>
      <c r="I293" s="665"/>
      <c r="J293" s="666"/>
      <c r="K293" s="665"/>
      <c r="L293" s="667"/>
      <c r="M293" s="668"/>
      <c r="N293" s="373"/>
      <c r="O293" s="373"/>
      <c r="P293" s="670"/>
      <c r="Q293" s="665"/>
      <c r="R293" s="665"/>
      <c r="S293" s="539"/>
      <c r="T293" s="672"/>
      <c r="U293" s="49"/>
      <c r="V293" s="49"/>
      <c r="W293" s="49"/>
      <c r="X293" s="49"/>
      <c r="Y293" s="49"/>
    </row>
    <row r="294" ht="15.75" customHeight="1">
      <c r="A294" s="38"/>
      <c r="B294" s="49"/>
      <c r="C294" s="15"/>
      <c r="D294" s="663"/>
      <c r="E294" s="664"/>
      <c r="F294" s="665"/>
      <c r="G294" s="539"/>
      <c r="H294" s="373"/>
      <c r="I294" s="665"/>
      <c r="J294" s="666"/>
      <c r="K294" s="665"/>
      <c r="L294" s="667"/>
      <c r="M294" s="668"/>
      <c r="N294" s="373"/>
      <c r="O294" s="373"/>
      <c r="P294" s="670"/>
      <c r="Q294" s="665"/>
      <c r="R294" s="665"/>
      <c r="S294" s="539"/>
      <c r="T294" s="672"/>
      <c r="U294" s="49"/>
      <c r="V294" s="49"/>
      <c r="W294" s="49"/>
      <c r="X294" s="49"/>
      <c r="Y294" s="49"/>
    </row>
    <row r="295" ht="15.75" customHeight="1">
      <c r="A295" s="38"/>
      <c r="B295" s="49"/>
      <c r="C295" s="15"/>
      <c r="D295" s="663"/>
      <c r="E295" s="664"/>
      <c r="F295" s="665"/>
      <c r="G295" s="539"/>
      <c r="H295" s="373"/>
      <c r="I295" s="665"/>
      <c r="J295" s="666"/>
      <c r="K295" s="665"/>
      <c r="L295" s="667"/>
      <c r="M295" s="668"/>
      <c r="N295" s="373"/>
      <c r="O295" s="373"/>
      <c r="P295" s="670"/>
      <c r="Q295" s="665"/>
      <c r="R295" s="665"/>
      <c r="S295" s="539"/>
      <c r="T295" s="672"/>
      <c r="U295" s="49"/>
      <c r="V295" s="49"/>
      <c r="W295" s="49"/>
      <c r="X295" s="49"/>
      <c r="Y295" s="49"/>
    </row>
    <row r="296" ht="15.75" customHeight="1">
      <c r="A296" s="38"/>
      <c r="B296" s="49"/>
      <c r="C296" s="15"/>
      <c r="D296" s="663"/>
      <c r="E296" s="664"/>
      <c r="F296" s="665"/>
      <c r="G296" s="539"/>
      <c r="H296" s="373"/>
      <c r="I296" s="665"/>
      <c r="J296" s="666"/>
      <c r="K296" s="665"/>
      <c r="L296" s="667"/>
      <c r="M296" s="668"/>
      <c r="N296" s="373"/>
      <c r="O296" s="373"/>
      <c r="P296" s="670"/>
      <c r="Q296" s="665"/>
      <c r="R296" s="665"/>
      <c r="S296" s="539"/>
      <c r="T296" s="672"/>
      <c r="U296" s="49"/>
      <c r="V296" s="49"/>
      <c r="W296" s="49"/>
      <c r="X296" s="49"/>
      <c r="Y296" s="49"/>
    </row>
    <row r="297" ht="15.75" customHeight="1">
      <c r="A297" s="38"/>
      <c r="B297" s="49"/>
      <c r="C297" s="15"/>
      <c r="D297" s="663"/>
      <c r="E297" s="664"/>
      <c r="F297" s="665"/>
      <c r="G297" s="539"/>
      <c r="H297" s="373"/>
      <c r="I297" s="665"/>
      <c r="J297" s="666"/>
      <c r="K297" s="665"/>
      <c r="L297" s="667"/>
      <c r="M297" s="668"/>
      <c r="N297" s="373"/>
      <c r="O297" s="373"/>
      <c r="P297" s="670"/>
      <c r="Q297" s="665"/>
      <c r="R297" s="665"/>
      <c r="S297" s="539"/>
      <c r="T297" s="672"/>
      <c r="U297" s="49"/>
      <c r="V297" s="49"/>
      <c r="W297" s="49"/>
      <c r="X297" s="49"/>
      <c r="Y297" s="49"/>
    </row>
    <row r="298" ht="15.75" customHeight="1">
      <c r="A298" s="38"/>
      <c r="B298" s="49"/>
      <c r="C298" s="15"/>
      <c r="D298" s="663"/>
      <c r="E298" s="664"/>
      <c r="F298" s="665"/>
      <c r="G298" s="539"/>
      <c r="H298" s="373"/>
      <c r="I298" s="665"/>
      <c r="J298" s="666"/>
      <c r="K298" s="665"/>
      <c r="L298" s="667"/>
      <c r="M298" s="668"/>
      <c r="N298" s="373"/>
      <c r="O298" s="373"/>
      <c r="P298" s="670"/>
      <c r="Q298" s="665"/>
      <c r="R298" s="665"/>
      <c r="S298" s="539"/>
      <c r="T298" s="672"/>
      <c r="U298" s="49"/>
      <c r="V298" s="49"/>
      <c r="W298" s="49"/>
      <c r="X298" s="49"/>
      <c r="Y298" s="49"/>
    </row>
    <row r="299" ht="15.75" customHeight="1">
      <c r="A299" s="38"/>
      <c r="B299" s="49"/>
      <c r="C299" s="15"/>
      <c r="D299" s="663"/>
      <c r="E299" s="664"/>
      <c r="F299" s="665"/>
      <c r="G299" s="539"/>
      <c r="H299" s="373"/>
      <c r="I299" s="665"/>
      <c r="J299" s="666"/>
      <c r="K299" s="665"/>
      <c r="L299" s="667"/>
      <c r="M299" s="668"/>
      <c r="N299" s="373"/>
      <c r="O299" s="373"/>
      <c r="P299" s="670"/>
      <c r="Q299" s="665"/>
      <c r="R299" s="665"/>
      <c r="S299" s="539"/>
      <c r="T299" s="672"/>
      <c r="U299" s="49"/>
      <c r="V299" s="49"/>
      <c r="W299" s="49"/>
      <c r="X299" s="49"/>
      <c r="Y299" s="49"/>
    </row>
    <row r="300" ht="15.75" customHeight="1">
      <c r="A300" s="38"/>
      <c r="B300" s="49"/>
      <c r="C300" s="15"/>
      <c r="D300" s="663"/>
      <c r="E300" s="664"/>
      <c r="F300" s="665"/>
      <c r="G300" s="539"/>
      <c r="H300" s="373"/>
      <c r="I300" s="665"/>
      <c r="J300" s="666"/>
      <c r="K300" s="665"/>
      <c r="L300" s="667"/>
      <c r="M300" s="668"/>
      <c r="N300" s="373"/>
      <c r="O300" s="373"/>
      <c r="P300" s="670"/>
      <c r="Q300" s="665"/>
      <c r="R300" s="665"/>
      <c r="S300" s="539"/>
      <c r="T300" s="672"/>
      <c r="U300" s="49"/>
      <c r="V300" s="49"/>
      <c r="W300" s="49"/>
      <c r="X300" s="49"/>
      <c r="Y300" s="49"/>
    </row>
    <row r="301" ht="15.75" customHeight="1">
      <c r="A301" s="38"/>
      <c r="B301" s="49"/>
      <c r="C301" s="15"/>
      <c r="D301" s="663"/>
      <c r="E301" s="664"/>
      <c r="F301" s="665"/>
      <c r="G301" s="539"/>
      <c r="H301" s="373"/>
      <c r="I301" s="665"/>
      <c r="J301" s="666"/>
      <c r="K301" s="665"/>
      <c r="L301" s="667"/>
      <c r="M301" s="668"/>
      <c r="N301" s="373"/>
      <c r="O301" s="373"/>
      <c r="P301" s="670"/>
      <c r="Q301" s="665"/>
      <c r="R301" s="665"/>
      <c r="S301" s="539"/>
      <c r="T301" s="672"/>
      <c r="U301" s="49"/>
      <c r="V301" s="49"/>
      <c r="W301" s="49"/>
      <c r="X301" s="49"/>
      <c r="Y301" s="49"/>
    </row>
    <row r="302" ht="15.75" customHeight="1">
      <c r="A302" s="38"/>
      <c r="B302" s="49"/>
      <c r="C302" s="15"/>
      <c r="D302" s="663"/>
      <c r="E302" s="664"/>
      <c r="F302" s="665"/>
      <c r="G302" s="539"/>
      <c r="H302" s="373"/>
      <c r="I302" s="665"/>
      <c r="J302" s="666"/>
      <c r="K302" s="665"/>
      <c r="L302" s="667"/>
      <c r="M302" s="668"/>
      <c r="N302" s="373"/>
      <c r="O302" s="373"/>
      <c r="P302" s="670"/>
      <c r="Q302" s="665"/>
      <c r="R302" s="665"/>
      <c r="S302" s="539"/>
      <c r="T302" s="672"/>
      <c r="U302" s="49"/>
      <c r="V302" s="49"/>
      <c r="W302" s="49"/>
      <c r="X302" s="49"/>
      <c r="Y302" s="49"/>
    </row>
    <row r="303" ht="15.75" customHeight="1">
      <c r="A303" s="38"/>
      <c r="B303" s="49"/>
      <c r="C303" s="15"/>
      <c r="D303" s="663"/>
      <c r="E303" s="664"/>
      <c r="F303" s="665"/>
      <c r="G303" s="539"/>
      <c r="H303" s="373"/>
      <c r="I303" s="665"/>
      <c r="J303" s="666"/>
      <c r="K303" s="665"/>
      <c r="L303" s="667"/>
      <c r="M303" s="668"/>
      <c r="N303" s="373"/>
      <c r="O303" s="373"/>
      <c r="P303" s="670"/>
      <c r="Q303" s="665"/>
      <c r="R303" s="665"/>
      <c r="S303" s="539"/>
      <c r="T303" s="672"/>
      <c r="U303" s="49"/>
      <c r="V303" s="49"/>
      <c r="W303" s="49"/>
      <c r="X303" s="49"/>
      <c r="Y303" s="49"/>
    </row>
    <row r="304" ht="15.75" customHeight="1">
      <c r="A304" s="38"/>
      <c r="B304" s="49"/>
      <c r="C304" s="15"/>
      <c r="D304" s="663"/>
      <c r="E304" s="664"/>
      <c r="F304" s="665"/>
      <c r="G304" s="539"/>
      <c r="H304" s="373"/>
      <c r="I304" s="665"/>
      <c r="J304" s="666"/>
      <c r="K304" s="665"/>
      <c r="L304" s="667"/>
      <c r="M304" s="668"/>
      <c r="N304" s="373"/>
      <c r="O304" s="373"/>
      <c r="P304" s="670"/>
      <c r="Q304" s="665"/>
      <c r="R304" s="665"/>
      <c r="S304" s="539"/>
      <c r="T304" s="672"/>
      <c r="U304" s="49"/>
      <c r="V304" s="49"/>
      <c r="W304" s="49"/>
      <c r="X304" s="49"/>
      <c r="Y304" s="49"/>
    </row>
    <row r="305" ht="15.75" customHeight="1">
      <c r="A305" s="38"/>
      <c r="B305" s="49"/>
      <c r="C305" s="15"/>
      <c r="D305" s="663"/>
      <c r="E305" s="664"/>
      <c r="F305" s="665"/>
      <c r="G305" s="539"/>
      <c r="H305" s="373"/>
      <c r="I305" s="665"/>
      <c r="J305" s="666"/>
      <c r="K305" s="665"/>
      <c r="L305" s="667"/>
      <c r="M305" s="668"/>
      <c r="N305" s="373"/>
      <c r="O305" s="373"/>
      <c r="P305" s="670"/>
      <c r="Q305" s="665"/>
      <c r="R305" s="665"/>
      <c r="S305" s="539"/>
      <c r="T305" s="672"/>
      <c r="U305" s="49"/>
      <c r="V305" s="49"/>
      <c r="W305" s="49"/>
      <c r="X305" s="49"/>
      <c r="Y305" s="49"/>
    </row>
    <row r="306" ht="15.75" customHeight="1">
      <c r="A306" s="38"/>
      <c r="B306" s="49"/>
      <c r="C306" s="15"/>
      <c r="D306" s="663"/>
      <c r="E306" s="664"/>
      <c r="F306" s="665"/>
      <c r="G306" s="539"/>
      <c r="H306" s="373"/>
      <c r="I306" s="665"/>
      <c r="J306" s="666"/>
      <c r="K306" s="665"/>
      <c r="L306" s="667"/>
      <c r="M306" s="668"/>
      <c r="N306" s="373"/>
      <c r="O306" s="373"/>
      <c r="P306" s="670"/>
      <c r="Q306" s="665"/>
      <c r="R306" s="665"/>
      <c r="S306" s="539"/>
      <c r="T306" s="672"/>
      <c r="U306" s="49"/>
      <c r="V306" s="49"/>
      <c r="W306" s="49"/>
      <c r="X306" s="49"/>
      <c r="Y306" s="49"/>
    </row>
    <row r="307" ht="15.75" customHeight="1">
      <c r="A307" s="38"/>
      <c r="B307" s="49"/>
      <c r="C307" s="15"/>
      <c r="D307" s="663"/>
      <c r="E307" s="664"/>
      <c r="F307" s="665"/>
      <c r="G307" s="539"/>
      <c r="H307" s="373"/>
      <c r="I307" s="665"/>
      <c r="J307" s="666"/>
      <c r="K307" s="665"/>
      <c r="L307" s="667"/>
      <c r="M307" s="668"/>
      <c r="N307" s="373"/>
      <c r="O307" s="373"/>
      <c r="P307" s="670"/>
      <c r="Q307" s="665"/>
      <c r="R307" s="665"/>
      <c r="S307" s="539"/>
      <c r="T307" s="672"/>
      <c r="U307" s="49"/>
      <c r="V307" s="49"/>
      <c r="W307" s="49"/>
      <c r="X307" s="49"/>
      <c r="Y307" s="49"/>
    </row>
    <row r="308" ht="15.75" customHeight="1">
      <c r="A308" s="38"/>
      <c r="B308" s="49"/>
      <c r="C308" s="15"/>
      <c r="D308" s="663"/>
      <c r="E308" s="664"/>
      <c r="F308" s="665"/>
      <c r="G308" s="539"/>
      <c r="H308" s="373"/>
      <c r="I308" s="665"/>
      <c r="J308" s="666"/>
      <c r="K308" s="665"/>
      <c r="L308" s="667"/>
      <c r="M308" s="668"/>
      <c r="N308" s="373"/>
      <c r="O308" s="373"/>
      <c r="P308" s="670"/>
      <c r="Q308" s="665"/>
      <c r="R308" s="665"/>
      <c r="S308" s="539"/>
      <c r="T308" s="672"/>
      <c r="U308" s="49"/>
      <c r="V308" s="49"/>
      <c r="W308" s="49"/>
      <c r="X308" s="49"/>
      <c r="Y308" s="49"/>
    </row>
    <row r="309" ht="15.75" customHeight="1">
      <c r="A309" s="38"/>
      <c r="B309" s="49"/>
      <c r="C309" s="15"/>
      <c r="D309" s="663"/>
      <c r="E309" s="664"/>
      <c r="F309" s="665"/>
      <c r="G309" s="539"/>
      <c r="H309" s="373"/>
      <c r="I309" s="665"/>
      <c r="J309" s="666"/>
      <c r="K309" s="665"/>
      <c r="L309" s="667"/>
      <c r="M309" s="668"/>
      <c r="N309" s="373"/>
      <c r="O309" s="373"/>
      <c r="P309" s="670"/>
      <c r="Q309" s="665"/>
      <c r="R309" s="665"/>
      <c r="S309" s="539"/>
      <c r="T309" s="672"/>
      <c r="U309" s="49"/>
      <c r="V309" s="49"/>
      <c r="W309" s="49"/>
      <c r="X309" s="49"/>
      <c r="Y309" s="49"/>
    </row>
    <row r="310" ht="15.75" customHeight="1">
      <c r="A310" s="38"/>
      <c r="B310" s="49"/>
      <c r="C310" s="15"/>
      <c r="D310" s="663"/>
      <c r="E310" s="664"/>
      <c r="F310" s="665"/>
      <c r="G310" s="539"/>
      <c r="H310" s="373"/>
      <c r="I310" s="665"/>
      <c r="J310" s="666"/>
      <c r="K310" s="665"/>
      <c r="L310" s="667"/>
      <c r="M310" s="668"/>
      <c r="N310" s="373"/>
      <c r="O310" s="373"/>
      <c r="P310" s="670"/>
      <c r="Q310" s="665"/>
      <c r="R310" s="665"/>
      <c r="S310" s="539"/>
      <c r="T310" s="672"/>
      <c r="U310" s="49"/>
      <c r="V310" s="49"/>
      <c r="W310" s="49"/>
      <c r="X310" s="49"/>
      <c r="Y310" s="49"/>
    </row>
    <row r="311" ht="15.75" customHeight="1">
      <c r="A311" s="38"/>
      <c r="B311" s="49"/>
      <c r="C311" s="15"/>
      <c r="D311" s="663"/>
      <c r="E311" s="664"/>
      <c r="F311" s="665"/>
      <c r="G311" s="539"/>
      <c r="H311" s="373"/>
      <c r="I311" s="665"/>
      <c r="J311" s="666"/>
      <c r="K311" s="665"/>
      <c r="L311" s="667"/>
      <c r="M311" s="668"/>
      <c r="N311" s="373"/>
      <c r="O311" s="373"/>
      <c r="P311" s="670"/>
      <c r="Q311" s="665"/>
      <c r="R311" s="665"/>
      <c r="S311" s="539"/>
      <c r="T311" s="672"/>
      <c r="U311" s="49"/>
      <c r="V311" s="49"/>
      <c r="W311" s="49"/>
      <c r="X311" s="49"/>
      <c r="Y311" s="49"/>
    </row>
    <row r="312" ht="15.75" customHeight="1">
      <c r="A312" s="38"/>
      <c r="B312" s="49"/>
      <c r="C312" s="15"/>
      <c r="D312" s="663"/>
      <c r="E312" s="664"/>
      <c r="F312" s="665"/>
      <c r="G312" s="539"/>
      <c r="H312" s="373"/>
      <c r="I312" s="665"/>
      <c r="J312" s="666"/>
      <c r="K312" s="665"/>
      <c r="L312" s="667"/>
      <c r="M312" s="668"/>
      <c r="N312" s="373"/>
      <c r="O312" s="373"/>
      <c r="P312" s="670"/>
      <c r="Q312" s="665"/>
      <c r="R312" s="665"/>
      <c r="S312" s="539"/>
      <c r="T312" s="672"/>
      <c r="U312" s="49"/>
      <c r="V312" s="49"/>
      <c r="W312" s="49"/>
      <c r="X312" s="49"/>
      <c r="Y312" s="49"/>
    </row>
    <row r="313" ht="15.75" customHeight="1">
      <c r="A313" s="38"/>
      <c r="B313" s="49"/>
      <c r="C313" s="15"/>
      <c r="D313" s="663"/>
      <c r="E313" s="664"/>
      <c r="F313" s="665"/>
      <c r="G313" s="539"/>
      <c r="H313" s="373"/>
      <c r="I313" s="665"/>
      <c r="J313" s="666"/>
      <c r="K313" s="665"/>
      <c r="L313" s="667"/>
      <c r="M313" s="668"/>
      <c r="N313" s="373"/>
      <c r="O313" s="373"/>
      <c r="P313" s="670"/>
      <c r="Q313" s="665"/>
      <c r="R313" s="665"/>
      <c r="S313" s="539"/>
      <c r="T313" s="672"/>
      <c r="U313" s="49"/>
      <c r="V313" s="49"/>
      <c r="W313" s="49"/>
      <c r="X313" s="49"/>
      <c r="Y313" s="49"/>
    </row>
    <row r="314" ht="15.75" customHeight="1">
      <c r="A314" s="38"/>
      <c r="B314" s="49"/>
      <c r="C314" s="15"/>
      <c r="D314" s="663"/>
      <c r="E314" s="664"/>
      <c r="F314" s="665"/>
      <c r="G314" s="539"/>
      <c r="H314" s="373"/>
      <c r="I314" s="665"/>
      <c r="J314" s="666"/>
      <c r="K314" s="665"/>
      <c r="L314" s="667"/>
      <c r="M314" s="668"/>
      <c r="N314" s="373"/>
      <c r="O314" s="373"/>
      <c r="P314" s="670"/>
      <c r="Q314" s="665"/>
      <c r="R314" s="665"/>
      <c r="S314" s="539"/>
      <c r="T314" s="672"/>
      <c r="U314" s="49"/>
      <c r="V314" s="49"/>
      <c r="W314" s="49"/>
      <c r="X314" s="49"/>
      <c r="Y314" s="49"/>
    </row>
    <row r="315" ht="15.75" customHeight="1">
      <c r="A315" s="38"/>
      <c r="B315" s="49"/>
      <c r="C315" s="15"/>
      <c r="D315" s="663"/>
      <c r="E315" s="664"/>
      <c r="F315" s="665"/>
      <c r="G315" s="539"/>
      <c r="H315" s="373"/>
      <c r="I315" s="665"/>
      <c r="J315" s="666"/>
      <c r="K315" s="665"/>
      <c r="L315" s="667"/>
      <c r="M315" s="668"/>
      <c r="N315" s="373"/>
      <c r="O315" s="373"/>
      <c r="P315" s="670"/>
      <c r="Q315" s="665"/>
      <c r="R315" s="665"/>
      <c r="S315" s="539"/>
      <c r="T315" s="672"/>
      <c r="U315" s="49"/>
      <c r="V315" s="49"/>
      <c r="W315" s="49"/>
      <c r="X315" s="49"/>
      <c r="Y315" s="49"/>
    </row>
    <row r="316" ht="15.75" customHeight="1">
      <c r="A316" s="38"/>
      <c r="B316" s="49"/>
      <c r="C316" s="15"/>
      <c r="D316" s="663"/>
      <c r="E316" s="664"/>
      <c r="F316" s="665"/>
      <c r="G316" s="539"/>
      <c r="H316" s="373"/>
      <c r="I316" s="665"/>
      <c r="J316" s="666"/>
      <c r="K316" s="665"/>
      <c r="L316" s="667"/>
      <c r="M316" s="668"/>
      <c r="N316" s="373"/>
      <c r="O316" s="373"/>
      <c r="P316" s="670"/>
      <c r="Q316" s="665"/>
      <c r="R316" s="665"/>
      <c r="S316" s="539"/>
      <c r="T316" s="672"/>
      <c r="U316" s="49"/>
      <c r="V316" s="49"/>
      <c r="W316" s="49"/>
      <c r="X316" s="49"/>
      <c r="Y316" s="49"/>
    </row>
    <row r="317" ht="15.75" customHeight="1">
      <c r="A317" s="38"/>
      <c r="B317" s="49"/>
      <c r="C317" s="15"/>
      <c r="D317" s="663"/>
      <c r="E317" s="664"/>
      <c r="F317" s="665"/>
      <c r="G317" s="539"/>
      <c r="H317" s="373"/>
      <c r="I317" s="665"/>
      <c r="J317" s="666"/>
      <c r="K317" s="665"/>
      <c r="L317" s="667"/>
      <c r="M317" s="668"/>
      <c r="N317" s="373"/>
      <c r="O317" s="373"/>
      <c r="P317" s="670"/>
      <c r="Q317" s="665"/>
      <c r="R317" s="665"/>
      <c r="S317" s="539"/>
      <c r="T317" s="672"/>
      <c r="U317" s="49"/>
      <c r="V317" s="49"/>
      <c r="W317" s="49"/>
      <c r="X317" s="49"/>
      <c r="Y317" s="49"/>
    </row>
    <row r="318" ht="15.75" customHeight="1">
      <c r="A318" s="38"/>
      <c r="B318" s="49"/>
      <c r="C318" s="15"/>
      <c r="D318" s="663"/>
      <c r="E318" s="664"/>
      <c r="F318" s="665"/>
      <c r="G318" s="539"/>
      <c r="H318" s="373"/>
      <c r="I318" s="665"/>
      <c r="J318" s="666"/>
      <c r="K318" s="665"/>
      <c r="L318" s="667"/>
      <c r="M318" s="668"/>
      <c r="N318" s="373"/>
      <c r="O318" s="373"/>
      <c r="P318" s="670"/>
      <c r="Q318" s="665"/>
      <c r="R318" s="665"/>
      <c r="S318" s="539"/>
      <c r="T318" s="672"/>
      <c r="U318" s="49"/>
      <c r="V318" s="49"/>
      <c r="W318" s="49"/>
      <c r="X318" s="49"/>
      <c r="Y318" s="49"/>
    </row>
    <row r="319" ht="15.75" customHeight="1">
      <c r="A319" s="38"/>
      <c r="B319" s="49"/>
      <c r="C319" s="15"/>
      <c r="D319" s="663"/>
      <c r="E319" s="664"/>
      <c r="F319" s="665"/>
      <c r="G319" s="539"/>
      <c r="H319" s="373"/>
      <c r="I319" s="665"/>
      <c r="J319" s="666"/>
      <c r="K319" s="665"/>
      <c r="L319" s="667"/>
      <c r="M319" s="668"/>
      <c r="N319" s="373"/>
      <c r="O319" s="373"/>
      <c r="P319" s="670"/>
      <c r="Q319" s="665"/>
      <c r="R319" s="665"/>
      <c r="S319" s="539"/>
      <c r="T319" s="672"/>
      <c r="U319" s="49"/>
      <c r="V319" s="49"/>
      <c r="W319" s="49"/>
      <c r="X319" s="49"/>
      <c r="Y319" s="49"/>
    </row>
    <row r="320" ht="15.75" customHeight="1">
      <c r="A320" s="38"/>
      <c r="B320" s="49"/>
      <c r="C320" s="15"/>
      <c r="D320" s="663"/>
      <c r="E320" s="664"/>
      <c r="F320" s="665"/>
      <c r="G320" s="539"/>
      <c r="H320" s="373"/>
      <c r="I320" s="665"/>
      <c r="J320" s="666"/>
      <c r="K320" s="665"/>
      <c r="L320" s="667"/>
      <c r="M320" s="668"/>
      <c r="N320" s="373"/>
      <c r="O320" s="373"/>
      <c r="P320" s="670"/>
      <c r="Q320" s="665"/>
      <c r="R320" s="665"/>
      <c r="S320" s="539"/>
      <c r="T320" s="672"/>
      <c r="U320" s="49"/>
      <c r="V320" s="49"/>
      <c r="W320" s="49"/>
      <c r="X320" s="49"/>
      <c r="Y320" s="49"/>
    </row>
    <row r="321" ht="15.75" customHeight="1">
      <c r="A321" s="38"/>
      <c r="B321" s="49"/>
      <c r="C321" s="15"/>
      <c r="D321" s="663"/>
      <c r="E321" s="664"/>
      <c r="F321" s="665"/>
      <c r="G321" s="539"/>
      <c r="H321" s="373"/>
      <c r="I321" s="665"/>
      <c r="J321" s="666"/>
      <c r="K321" s="665"/>
      <c r="L321" s="667"/>
      <c r="M321" s="668"/>
      <c r="N321" s="373"/>
      <c r="O321" s="373"/>
      <c r="P321" s="670"/>
      <c r="Q321" s="665"/>
      <c r="R321" s="665"/>
      <c r="S321" s="539"/>
      <c r="T321" s="672"/>
      <c r="U321" s="49"/>
      <c r="V321" s="49"/>
      <c r="W321" s="49"/>
      <c r="X321" s="49"/>
      <c r="Y321" s="49"/>
    </row>
    <row r="322" ht="15.75" customHeight="1">
      <c r="A322" s="38"/>
      <c r="B322" s="49"/>
      <c r="C322" s="15"/>
      <c r="D322" s="663"/>
      <c r="E322" s="664"/>
      <c r="F322" s="665"/>
      <c r="G322" s="539"/>
      <c r="H322" s="373"/>
      <c r="I322" s="665"/>
      <c r="J322" s="666"/>
      <c r="K322" s="665"/>
      <c r="L322" s="667"/>
      <c r="M322" s="668"/>
      <c r="N322" s="373"/>
      <c r="O322" s="373"/>
      <c r="P322" s="670"/>
      <c r="Q322" s="665"/>
      <c r="R322" s="665"/>
      <c r="S322" s="539"/>
      <c r="T322" s="672"/>
      <c r="U322" s="49"/>
      <c r="V322" s="49"/>
      <c r="W322" s="49"/>
      <c r="X322" s="49"/>
      <c r="Y322" s="49"/>
    </row>
    <row r="323" ht="15.75" customHeight="1">
      <c r="A323" s="38"/>
      <c r="B323" s="49"/>
      <c r="C323" s="15"/>
      <c r="D323" s="663"/>
      <c r="E323" s="664"/>
      <c r="F323" s="665"/>
      <c r="G323" s="539"/>
      <c r="H323" s="373"/>
      <c r="I323" s="665"/>
      <c r="J323" s="666"/>
      <c r="K323" s="665"/>
      <c r="L323" s="667"/>
      <c r="M323" s="668"/>
      <c r="N323" s="373"/>
      <c r="O323" s="373"/>
      <c r="P323" s="670"/>
      <c r="Q323" s="665"/>
      <c r="R323" s="665"/>
      <c r="S323" s="539"/>
      <c r="T323" s="672"/>
      <c r="U323" s="49"/>
      <c r="V323" s="49"/>
      <c r="W323" s="49"/>
      <c r="X323" s="49"/>
      <c r="Y323" s="49"/>
    </row>
    <row r="324" ht="15.75" customHeight="1">
      <c r="A324" s="38"/>
      <c r="B324" s="49"/>
      <c r="C324" s="15"/>
      <c r="D324" s="663"/>
      <c r="E324" s="664"/>
      <c r="F324" s="665"/>
      <c r="G324" s="539"/>
      <c r="H324" s="373"/>
      <c r="I324" s="665"/>
      <c r="J324" s="666"/>
      <c r="K324" s="665"/>
      <c r="L324" s="667"/>
      <c r="M324" s="668"/>
      <c r="N324" s="373"/>
      <c r="O324" s="373"/>
      <c r="P324" s="670"/>
      <c r="Q324" s="665"/>
      <c r="R324" s="665"/>
      <c r="S324" s="539"/>
      <c r="T324" s="672"/>
      <c r="U324" s="49"/>
      <c r="V324" s="49"/>
      <c r="W324" s="49"/>
      <c r="X324" s="49"/>
      <c r="Y324" s="49"/>
    </row>
    <row r="325" ht="15.75" customHeight="1">
      <c r="A325" s="38"/>
      <c r="B325" s="49"/>
      <c r="C325" s="15"/>
      <c r="D325" s="663"/>
      <c r="E325" s="664"/>
      <c r="F325" s="665"/>
      <c r="G325" s="539"/>
      <c r="H325" s="373"/>
      <c r="I325" s="665"/>
      <c r="J325" s="666"/>
      <c r="K325" s="665"/>
      <c r="L325" s="667"/>
      <c r="M325" s="668"/>
      <c r="N325" s="373"/>
      <c r="O325" s="373"/>
      <c r="P325" s="670"/>
      <c r="Q325" s="665"/>
      <c r="R325" s="665"/>
      <c r="S325" s="539"/>
      <c r="T325" s="672"/>
      <c r="U325" s="49"/>
      <c r="V325" s="49"/>
      <c r="W325" s="49"/>
      <c r="X325" s="49"/>
      <c r="Y325" s="49"/>
    </row>
    <row r="326" ht="15.75" customHeight="1">
      <c r="A326" s="38"/>
      <c r="B326" s="49"/>
      <c r="C326" s="15"/>
      <c r="D326" s="663"/>
      <c r="E326" s="664"/>
      <c r="F326" s="665"/>
      <c r="G326" s="539"/>
      <c r="H326" s="373"/>
      <c r="I326" s="665"/>
      <c r="J326" s="666"/>
      <c r="K326" s="665"/>
      <c r="L326" s="667"/>
      <c r="M326" s="668"/>
      <c r="N326" s="373"/>
      <c r="O326" s="373"/>
      <c r="P326" s="670"/>
      <c r="Q326" s="665"/>
      <c r="R326" s="665"/>
      <c r="S326" s="539"/>
      <c r="T326" s="665"/>
      <c r="U326" s="49"/>
      <c r="V326" s="49"/>
      <c r="W326" s="49"/>
      <c r="X326" s="49"/>
      <c r="Y326" s="49"/>
    </row>
    <row r="327" ht="15.75" customHeight="1">
      <c r="A327" s="38"/>
      <c r="B327" s="49"/>
      <c r="C327" s="15"/>
      <c r="D327" s="663"/>
      <c r="E327" s="664"/>
      <c r="F327" s="665"/>
      <c r="G327" s="539"/>
      <c r="H327" s="373"/>
      <c r="I327" s="665"/>
      <c r="J327" s="666"/>
      <c r="K327" s="665"/>
      <c r="L327" s="667"/>
      <c r="M327" s="668"/>
      <c r="N327" s="373"/>
      <c r="O327" s="373"/>
      <c r="P327" s="670"/>
      <c r="Q327" s="665"/>
      <c r="R327" s="665"/>
      <c r="S327" s="539"/>
      <c r="T327" s="665"/>
      <c r="U327" s="49"/>
      <c r="V327" s="49"/>
      <c r="W327" s="49"/>
      <c r="X327" s="49"/>
      <c r="Y327" s="49"/>
    </row>
    <row r="328" ht="15.75" customHeight="1">
      <c r="A328" s="38"/>
      <c r="B328" s="49"/>
      <c r="C328" s="15"/>
      <c r="D328" s="663"/>
      <c r="E328" s="664"/>
      <c r="F328" s="665"/>
      <c r="G328" s="539"/>
      <c r="H328" s="373"/>
      <c r="I328" s="665"/>
      <c r="J328" s="666"/>
      <c r="K328" s="665"/>
      <c r="L328" s="667"/>
      <c r="M328" s="668"/>
      <c r="N328" s="373"/>
      <c r="O328" s="373"/>
      <c r="P328" s="670"/>
      <c r="Q328" s="665"/>
      <c r="R328" s="665"/>
      <c r="S328" s="539"/>
      <c r="T328" s="665"/>
      <c r="U328" s="49"/>
      <c r="V328" s="49"/>
      <c r="W328" s="49"/>
      <c r="X328" s="49"/>
      <c r="Y328" s="49"/>
    </row>
    <row r="329" ht="15.75" customHeight="1">
      <c r="A329" s="38"/>
      <c r="B329" s="49"/>
      <c r="C329" s="15"/>
      <c r="D329" s="663"/>
      <c r="E329" s="664"/>
      <c r="F329" s="665"/>
      <c r="G329" s="539"/>
      <c r="H329" s="373"/>
      <c r="I329" s="665"/>
      <c r="J329" s="666"/>
      <c r="K329" s="665"/>
      <c r="L329" s="667"/>
      <c r="M329" s="668"/>
      <c r="N329" s="373"/>
      <c r="O329" s="373"/>
      <c r="P329" s="670"/>
      <c r="Q329" s="665"/>
      <c r="R329" s="665"/>
      <c r="S329" s="539"/>
      <c r="T329" s="665"/>
      <c r="U329" s="49"/>
      <c r="V329" s="49"/>
      <c r="W329" s="49"/>
      <c r="X329" s="49"/>
      <c r="Y329" s="49"/>
    </row>
    <row r="330" ht="15.75" customHeight="1">
      <c r="A330" s="38"/>
      <c r="B330" s="49"/>
      <c r="C330" s="15"/>
      <c r="D330" s="663"/>
      <c r="E330" s="664"/>
      <c r="F330" s="665"/>
      <c r="G330" s="539"/>
      <c r="H330" s="373"/>
      <c r="I330" s="665"/>
      <c r="J330" s="666"/>
      <c r="K330" s="665"/>
      <c r="L330" s="667"/>
      <c r="M330" s="668"/>
      <c r="N330" s="373"/>
      <c r="O330" s="373"/>
      <c r="P330" s="670"/>
      <c r="Q330" s="665"/>
      <c r="R330" s="665"/>
      <c r="S330" s="539"/>
      <c r="T330" s="665"/>
      <c r="U330" s="49"/>
      <c r="V330" s="49"/>
      <c r="W330" s="49"/>
      <c r="X330" s="49"/>
      <c r="Y330" s="49"/>
    </row>
    <row r="331" ht="15.75" customHeight="1">
      <c r="A331" s="38"/>
      <c r="B331" s="49"/>
      <c r="C331" s="15"/>
      <c r="D331" s="663"/>
      <c r="E331" s="664"/>
      <c r="F331" s="665"/>
      <c r="G331" s="539"/>
      <c r="H331" s="373"/>
      <c r="I331" s="665"/>
      <c r="J331" s="666"/>
      <c r="K331" s="665"/>
      <c r="L331" s="667"/>
      <c r="M331" s="668"/>
      <c r="N331" s="373"/>
      <c r="O331" s="373"/>
      <c r="P331" s="670"/>
      <c r="Q331" s="665"/>
      <c r="R331" s="665"/>
      <c r="S331" s="539"/>
      <c r="T331" s="665"/>
      <c r="U331" s="49"/>
      <c r="V331" s="49"/>
      <c r="W331" s="49"/>
      <c r="X331" s="49"/>
      <c r="Y331" s="49"/>
    </row>
    <row r="332" ht="15.75" customHeight="1">
      <c r="A332" s="38"/>
      <c r="B332" s="49"/>
      <c r="C332" s="15"/>
      <c r="D332" s="663"/>
      <c r="E332" s="664"/>
      <c r="F332" s="665"/>
      <c r="G332" s="539"/>
      <c r="H332" s="373"/>
      <c r="I332" s="665"/>
      <c r="J332" s="666"/>
      <c r="K332" s="665"/>
      <c r="L332" s="667"/>
      <c r="M332" s="668"/>
      <c r="N332" s="373"/>
      <c r="O332" s="373"/>
      <c r="P332" s="670"/>
      <c r="Q332" s="665"/>
      <c r="R332" s="665"/>
      <c r="S332" s="539"/>
      <c r="T332" s="665"/>
      <c r="U332" s="49"/>
      <c r="V332" s="49"/>
      <c r="W332" s="49"/>
      <c r="X332" s="49"/>
      <c r="Y332" s="49"/>
    </row>
    <row r="333" ht="15.75" customHeight="1">
      <c r="A333" s="38"/>
      <c r="B333" s="49"/>
      <c r="C333" s="15"/>
      <c r="D333" s="663"/>
      <c r="E333" s="664"/>
      <c r="F333" s="665"/>
      <c r="G333" s="539"/>
      <c r="H333" s="373"/>
      <c r="I333" s="665"/>
      <c r="J333" s="666"/>
      <c r="K333" s="665"/>
      <c r="L333" s="667"/>
      <c r="M333" s="668"/>
      <c r="N333" s="373"/>
      <c r="O333" s="373"/>
      <c r="P333" s="670"/>
      <c r="Q333" s="665"/>
      <c r="R333" s="665"/>
      <c r="S333" s="539"/>
      <c r="T333" s="665"/>
      <c r="U333" s="49"/>
      <c r="V333" s="49"/>
      <c r="W333" s="49"/>
      <c r="X333" s="49"/>
      <c r="Y333" s="49"/>
    </row>
    <row r="334" ht="15.75" customHeight="1">
      <c r="A334" s="38"/>
      <c r="B334" s="49"/>
      <c r="C334" s="15"/>
      <c r="D334" s="663"/>
      <c r="E334" s="664"/>
      <c r="F334" s="665"/>
      <c r="G334" s="539"/>
      <c r="H334" s="373"/>
      <c r="I334" s="665"/>
      <c r="J334" s="666"/>
      <c r="K334" s="665"/>
      <c r="L334" s="667"/>
      <c r="M334" s="668"/>
      <c r="N334" s="373"/>
      <c r="O334" s="373"/>
      <c r="P334" s="670"/>
      <c r="Q334" s="665"/>
      <c r="R334" s="665"/>
      <c r="S334" s="539"/>
      <c r="T334" s="665"/>
      <c r="U334" s="49"/>
      <c r="V334" s="49"/>
      <c r="W334" s="49"/>
      <c r="X334" s="49"/>
      <c r="Y334" s="49"/>
    </row>
    <row r="335" ht="15.75" customHeight="1">
      <c r="A335" s="38"/>
      <c r="B335" s="49"/>
      <c r="C335" s="15"/>
      <c r="D335" s="663"/>
      <c r="E335" s="664"/>
      <c r="F335" s="665"/>
      <c r="G335" s="539"/>
      <c r="H335" s="373"/>
      <c r="I335" s="665"/>
      <c r="J335" s="666"/>
      <c r="K335" s="665"/>
      <c r="L335" s="667"/>
      <c r="M335" s="668"/>
      <c r="N335" s="373"/>
      <c r="O335" s="373"/>
      <c r="P335" s="670"/>
      <c r="Q335" s="665"/>
      <c r="R335" s="665"/>
      <c r="S335" s="539"/>
      <c r="T335" s="665"/>
      <c r="U335" s="49"/>
      <c r="V335" s="49"/>
      <c r="W335" s="49"/>
      <c r="X335" s="49"/>
      <c r="Y335" s="49"/>
    </row>
    <row r="336" ht="15.75" customHeight="1">
      <c r="A336" s="38"/>
      <c r="B336" s="49"/>
      <c r="C336" s="15"/>
      <c r="D336" s="663"/>
      <c r="E336" s="664"/>
      <c r="F336" s="665"/>
      <c r="G336" s="539"/>
      <c r="H336" s="373"/>
      <c r="I336" s="665"/>
      <c r="J336" s="666"/>
      <c r="K336" s="665"/>
      <c r="L336" s="667"/>
      <c r="M336" s="668"/>
      <c r="N336" s="373"/>
      <c r="O336" s="373"/>
      <c r="P336" s="670"/>
      <c r="Q336" s="665"/>
      <c r="R336" s="665"/>
      <c r="S336" s="539"/>
      <c r="T336" s="665"/>
      <c r="U336" s="49"/>
      <c r="V336" s="49"/>
      <c r="W336" s="49"/>
      <c r="X336" s="49"/>
      <c r="Y336" s="49"/>
    </row>
    <row r="337" ht="15.75" customHeight="1">
      <c r="A337" s="38"/>
      <c r="B337" s="49"/>
      <c r="C337" s="15"/>
      <c r="D337" s="663"/>
      <c r="E337" s="664"/>
      <c r="F337" s="665"/>
      <c r="G337" s="539"/>
      <c r="H337" s="373"/>
      <c r="I337" s="665"/>
      <c r="J337" s="666"/>
      <c r="K337" s="665"/>
      <c r="L337" s="667"/>
      <c r="M337" s="668"/>
      <c r="N337" s="373"/>
      <c r="O337" s="373"/>
      <c r="P337" s="670"/>
      <c r="Q337" s="665"/>
      <c r="R337" s="665"/>
      <c r="S337" s="539"/>
      <c r="T337" s="665"/>
      <c r="U337" s="49"/>
      <c r="V337" s="49"/>
      <c r="W337" s="49"/>
      <c r="X337" s="49"/>
      <c r="Y337" s="49"/>
    </row>
    <row r="338" ht="15.75" customHeight="1">
      <c r="A338" s="38"/>
      <c r="B338" s="49"/>
      <c r="C338" s="15"/>
      <c r="D338" s="663"/>
      <c r="E338" s="664"/>
      <c r="F338" s="665"/>
      <c r="G338" s="539"/>
      <c r="H338" s="373"/>
      <c r="I338" s="665"/>
      <c r="J338" s="666"/>
      <c r="K338" s="665"/>
      <c r="L338" s="667"/>
      <c r="M338" s="668"/>
      <c r="N338" s="373"/>
      <c r="O338" s="373"/>
      <c r="P338" s="670"/>
      <c r="Q338" s="665"/>
      <c r="R338" s="665"/>
      <c r="S338" s="539"/>
      <c r="T338" s="665"/>
      <c r="U338" s="49"/>
      <c r="V338" s="49"/>
      <c r="W338" s="49"/>
      <c r="X338" s="49"/>
      <c r="Y338" s="49"/>
    </row>
    <row r="339" ht="15.75" customHeight="1">
      <c r="A339" s="38"/>
      <c r="B339" s="49"/>
      <c r="C339" s="15"/>
      <c r="D339" s="663"/>
      <c r="E339" s="664"/>
      <c r="F339" s="665"/>
      <c r="G339" s="539"/>
      <c r="H339" s="373"/>
      <c r="I339" s="665"/>
      <c r="J339" s="666"/>
      <c r="K339" s="665"/>
      <c r="L339" s="667"/>
      <c r="M339" s="668"/>
      <c r="N339" s="373"/>
      <c r="O339" s="373"/>
      <c r="P339" s="670"/>
      <c r="Q339" s="665"/>
      <c r="R339" s="665"/>
      <c r="S339" s="539"/>
      <c r="T339" s="665"/>
      <c r="U339" s="49"/>
      <c r="V339" s="49"/>
      <c r="W339" s="49"/>
      <c r="X339" s="49"/>
      <c r="Y339" s="49"/>
    </row>
    <row r="340" ht="15.75" customHeight="1">
      <c r="A340" s="38"/>
      <c r="B340" s="49"/>
      <c r="C340" s="15"/>
      <c r="D340" s="663"/>
      <c r="E340" s="664"/>
      <c r="F340" s="665"/>
      <c r="G340" s="539"/>
      <c r="H340" s="373"/>
      <c r="I340" s="665"/>
      <c r="J340" s="666"/>
      <c r="K340" s="665"/>
      <c r="L340" s="667"/>
      <c r="M340" s="668"/>
      <c r="N340" s="373"/>
      <c r="O340" s="373"/>
      <c r="P340" s="670"/>
      <c r="Q340" s="665"/>
      <c r="R340" s="665"/>
      <c r="S340" s="539"/>
      <c r="T340" s="665"/>
      <c r="U340" s="49"/>
      <c r="V340" s="49"/>
      <c r="W340" s="49"/>
      <c r="X340" s="49"/>
      <c r="Y340" s="49"/>
    </row>
    <row r="341" ht="15.75" customHeight="1">
      <c r="A341" s="38"/>
      <c r="B341" s="49"/>
      <c r="C341" s="15"/>
      <c r="D341" s="663"/>
      <c r="E341" s="664"/>
      <c r="F341" s="665"/>
      <c r="G341" s="539"/>
      <c r="H341" s="373"/>
      <c r="I341" s="665"/>
      <c r="J341" s="666"/>
      <c r="K341" s="665"/>
      <c r="L341" s="667"/>
      <c r="M341" s="668"/>
      <c r="N341" s="373"/>
      <c r="O341" s="373"/>
      <c r="P341" s="670"/>
      <c r="Q341" s="665"/>
      <c r="R341" s="665"/>
      <c r="S341" s="539"/>
      <c r="T341" s="665"/>
      <c r="U341" s="49"/>
      <c r="V341" s="49"/>
      <c r="W341" s="49"/>
      <c r="X341" s="49"/>
      <c r="Y341" s="49"/>
    </row>
    <row r="342" ht="15.75" customHeight="1">
      <c r="A342" s="38"/>
      <c r="B342" s="49"/>
      <c r="C342" s="15"/>
      <c r="D342" s="663"/>
      <c r="E342" s="664"/>
      <c r="F342" s="665"/>
      <c r="G342" s="539"/>
      <c r="H342" s="373"/>
      <c r="I342" s="665"/>
      <c r="J342" s="666"/>
      <c r="K342" s="665"/>
      <c r="L342" s="667"/>
      <c r="M342" s="668"/>
      <c r="N342" s="373"/>
      <c r="O342" s="373"/>
      <c r="P342" s="670"/>
      <c r="Q342" s="665"/>
      <c r="R342" s="665"/>
      <c r="S342" s="539"/>
      <c r="T342" s="665"/>
      <c r="U342" s="49"/>
      <c r="V342" s="49"/>
      <c r="W342" s="49"/>
      <c r="X342" s="49"/>
      <c r="Y342" s="49"/>
    </row>
    <row r="343" ht="15.75" customHeight="1">
      <c r="A343" s="38"/>
      <c r="B343" s="49"/>
      <c r="C343" s="15"/>
      <c r="D343" s="663"/>
      <c r="E343" s="664"/>
      <c r="F343" s="665"/>
      <c r="G343" s="539"/>
      <c r="H343" s="373"/>
      <c r="I343" s="665"/>
      <c r="J343" s="666"/>
      <c r="K343" s="665"/>
      <c r="L343" s="667"/>
      <c r="M343" s="668"/>
      <c r="N343" s="373"/>
      <c r="O343" s="373"/>
      <c r="P343" s="670"/>
      <c r="Q343" s="665"/>
      <c r="R343" s="665"/>
      <c r="S343" s="539"/>
      <c r="T343" s="665"/>
      <c r="U343" s="49"/>
      <c r="V343" s="49"/>
      <c r="W343" s="49"/>
      <c r="X343" s="49"/>
      <c r="Y343" s="49"/>
    </row>
    <row r="344" ht="15.75" customHeight="1">
      <c r="A344" s="38"/>
      <c r="B344" s="49"/>
      <c r="C344" s="15"/>
      <c r="D344" s="663"/>
      <c r="E344" s="664"/>
      <c r="F344" s="665"/>
      <c r="G344" s="539"/>
      <c r="H344" s="373"/>
      <c r="I344" s="665"/>
      <c r="J344" s="666"/>
      <c r="K344" s="665"/>
      <c r="L344" s="667"/>
      <c r="M344" s="668"/>
      <c r="N344" s="373"/>
      <c r="O344" s="373"/>
      <c r="P344" s="670"/>
      <c r="Q344" s="665"/>
      <c r="R344" s="665"/>
      <c r="S344" s="539"/>
      <c r="T344" s="665"/>
      <c r="U344" s="49"/>
      <c r="V344" s="49"/>
      <c r="W344" s="49"/>
      <c r="X344" s="49"/>
      <c r="Y344" s="49"/>
    </row>
    <row r="345" ht="15.75" customHeight="1">
      <c r="A345" s="38"/>
      <c r="B345" s="49"/>
      <c r="C345" s="15"/>
      <c r="D345" s="663"/>
      <c r="E345" s="664"/>
      <c r="F345" s="665"/>
      <c r="G345" s="539"/>
      <c r="H345" s="373"/>
      <c r="I345" s="665"/>
      <c r="J345" s="666"/>
      <c r="K345" s="665"/>
      <c r="L345" s="667"/>
      <c r="M345" s="668"/>
      <c r="N345" s="373"/>
      <c r="O345" s="373"/>
      <c r="P345" s="670"/>
      <c r="Q345" s="665"/>
      <c r="R345" s="665"/>
      <c r="S345" s="539"/>
      <c r="T345" s="665"/>
      <c r="U345" s="49"/>
      <c r="V345" s="49"/>
      <c r="W345" s="49"/>
      <c r="X345" s="49"/>
      <c r="Y345" s="49"/>
    </row>
    <row r="346" ht="15.75" customHeight="1">
      <c r="A346" s="38"/>
      <c r="B346" s="49"/>
      <c r="C346" s="15"/>
      <c r="D346" s="663"/>
      <c r="E346" s="664"/>
      <c r="F346" s="665"/>
      <c r="G346" s="539"/>
      <c r="H346" s="373"/>
      <c r="I346" s="665"/>
      <c r="J346" s="666"/>
      <c r="K346" s="665"/>
      <c r="L346" s="667"/>
      <c r="M346" s="668"/>
      <c r="N346" s="373"/>
      <c r="O346" s="373"/>
      <c r="P346" s="670"/>
      <c r="Q346" s="665"/>
      <c r="R346" s="665"/>
      <c r="S346" s="539"/>
      <c r="T346" s="665"/>
      <c r="U346" s="49"/>
      <c r="V346" s="49"/>
      <c r="W346" s="49"/>
      <c r="X346" s="49"/>
      <c r="Y346" s="49"/>
    </row>
    <row r="347" ht="15.75" customHeight="1">
      <c r="A347" s="38"/>
      <c r="B347" s="49"/>
      <c r="C347" s="15"/>
      <c r="D347" s="663"/>
      <c r="E347" s="664"/>
      <c r="F347" s="665"/>
      <c r="G347" s="539"/>
      <c r="H347" s="373"/>
      <c r="I347" s="665"/>
      <c r="J347" s="666"/>
      <c r="K347" s="665"/>
      <c r="L347" s="667"/>
      <c r="M347" s="668"/>
      <c r="N347" s="373"/>
      <c r="O347" s="373"/>
      <c r="P347" s="670"/>
      <c r="Q347" s="665"/>
      <c r="R347" s="665"/>
      <c r="S347" s="539"/>
      <c r="T347" s="665"/>
      <c r="U347" s="49"/>
      <c r="V347" s="49"/>
      <c r="W347" s="49"/>
      <c r="X347" s="49"/>
      <c r="Y347" s="49"/>
    </row>
    <row r="348" ht="15.75" customHeight="1">
      <c r="A348" s="38"/>
      <c r="B348" s="49"/>
      <c r="C348" s="15"/>
      <c r="D348" s="663"/>
      <c r="E348" s="664"/>
      <c r="F348" s="665"/>
      <c r="G348" s="539"/>
      <c r="H348" s="373"/>
      <c r="I348" s="665"/>
      <c r="J348" s="666"/>
      <c r="K348" s="665"/>
      <c r="L348" s="667"/>
      <c r="M348" s="668"/>
      <c r="N348" s="373"/>
      <c r="O348" s="373"/>
      <c r="P348" s="670"/>
      <c r="Q348" s="665"/>
      <c r="R348" s="665"/>
      <c r="S348" s="539"/>
      <c r="T348" s="665"/>
      <c r="U348" s="49"/>
      <c r="V348" s="49"/>
      <c r="W348" s="49"/>
      <c r="X348" s="49"/>
      <c r="Y348" s="49"/>
    </row>
    <row r="349" ht="15.75" customHeight="1">
      <c r="A349" s="38"/>
      <c r="B349" s="49"/>
      <c r="C349" s="15"/>
      <c r="D349" s="663"/>
      <c r="E349" s="664"/>
      <c r="F349" s="665"/>
      <c r="G349" s="539"/>
      <c r="H349" s="373"/>
      <c r="I349" s="665"/>
      <c r="J349" s="666"/>
      <c r="K349" s="665"/>
      <c r="L349" s="667"/>
      <c r="M349" s="668"/>
      <c r="N349" s="373"/>
      <c r="O349" s="373"/>
      <c r="P349" s="670"/>
      <c r="Q349" s="665"/>
      <c r="R349" s="665"/>
      <c r="S349" s="539"/>
      <c r="T349" s="665"/>
      <c r="U349" s="49"/>
      <c r="V349" s="49"/>
      <c r="W349" s="49"/>
      <c r="X349" s="49"/>
      <c r="Y349" s="49"/>
    </row>
    <row r="350" ht="15.75" customHeight="1">
      <c r="A350" s="38"/>
      <c r="B350" s="49"/>
      <c r="C350" s="15"/>
      <c r="D350" s="663"/>
      <c r="E350" s="664"/>
      <c r="F350" s="665"/>
      <c r="G350" s="539"/>
      <c r="H350" s="373"/>
      <c r="I350" s="665"/>
      <c r="J350" s="666"/>
      <c r="K350" s="665"/>
      <c r="L350" s="667"/>
      <c r="M350" s="668"/>
      <c r="N350" s="373"/>
      <c r="O350" s="373"/>
      <c r="P350" s="670"/>
      <c r="Q350" s="665"/>
      <c r="R350" s="665"/>
      <c r="S350" s="539"/>
      <c r="T350" s="665"/>
      <c r="U350" s="49"/>
      <c r="V350" s="49"/>
      <c r="W350" s="49"/>
      <c r="X350" s="49"/>
      <c r="Y350" s="49"/>
    </row>
    <row r="351" ht="15.75" customHeight="1">
      <c r="A351" s="38"/>
      <c r="B351" s="49"/>
      <c r="C351" s="15"/>
      <c r="D351" s="663"/>
      <c r="E351" s="664"/>
      <c r="F351" s="665"/>
      <c r="G351" s="539"/>
      <c r="H351" s="373"/>
      <c r="I351" s="665"/>
      <c r="J351" s="666"/>
      <c r="K351" s="665"/>
      <c r="L351" s="667"/>
      <c r="M351" s="668"/>
      <c r="N351" s="373"/>
      <c r="O351" s="373"/>
      <c r="P351" s="670"/>
      <c r="Q351" s="665"/>
      <c r="R351" s="665"/>
      <c r="S351" s="539"/>
      <c r="T351" s="665"/>
      <c r="U351" s="49"/>
      <c r="V351" s="49"/>
      <c r="W351" s="49"/>
      <c r="X351" s="49"/>
      <c r="Y351" s="49"/>
    </row>
    <row r="352" ht="15.75" customHeight="1">
      <c r="A352" s="38"/>
      <c r="B352" s="49"/>
      <c r="C352" s="15"/>
      <c r="D352" s="663"/>
      <c r="E352" s="664"/>
      <c r="F352" s="665"/>
      <c r="G352" s="539"/>
      <c r="H352" s="373"/>
      <c r="I352" s="665"/>
      <c r="J352" s="666"/>
      <c r="K352" s="665"/>
      <c r="L352" s="667"/>
      <c r="M352" s="668"/>
      <c r="N352" s="373"/>
      <c r="O352" s="373"/>
      <c r="P352" s="670"/>
      <c r="Q352" s="665"/>
      <c r="R352" s="665"/>
      <c r="S352" s="539"/>
      <c r="T352" s="665"/>
      <c r="U352" s="49"/>
      <c r="V352" s="49"/>
      <c r="W352" s="49"/>
      <c r="X352" s="49"/>
      <c r="Y352" s="49"/>
    </row>
    <row r="353" ht="15.75" customHeight="1">
      <c r="A353" s="38"/>
      <c r="B353" s="49"/>
      <c r="C353" s="15"/>
      <c r="D353" s="663"/>
      <c r="E353" s="664"/>
      <c r="F353" s="665"/>
      <c r="G353" s="539"/>
      <c r="H353" s="373"/>
      <c r="I353" s="665"/>
      <c r="J353" s="666"/>
      <c r="K353" s="665"/>
      <c r="L353" s="667"/>
      <c r="M353" s="668"/>
      <c r="N353" s="373"/>
      <c r="O353" s="373"/>
      <c r="P353" s="670"/>
      <c r="Q353" s="665"/>
      <c r="R353" s="665"/>
      <c r="S353" s="539"/>
      <c r="T353" s="665"/>
      <c r="U353" s="49"/>
      <c r="V353" s="49"/>
      <c r="W353" s="49"/>
      <c r="X353" s="49"/>
      <c r="Y353" s="49"/>
    </row>
    <row r="354" ht="15.75" customHeight="1">
      <c r="A354" s="38"/>
      <c r="B354" s="49"/>
      <c r="C354" s="15"/>
      <c r="D354" s="663"/>
      <c r="E354" s="664"/>
      <c r="F354" s="665"/>
      <c r="G354" s="539"/>
      <c r="H354" s="373"/>
      <c r="I354" s="665"/>
      <c r="J354" s="666"/>
      <c r="K354" s="665"/>
      <c r="L354" s="667"/>
      <c r="M354" s="668"/>
      <c r="N354" s="373"/>
      <c r="O354" s="373"/>
      <c r="P354" s="670"/>
      <c r="Q354" s="665"/>
      <c r="R354" s="665"/>
      <c r="S354" s="539"/>
      <c r="T354" s="665"/>
      <c r="U354" s="49"/>
      <c r="V354" s="49"/>
      <c r="W354" s="49"/>
      <c r="X354" s="49"/>
      <c r="Y354" s="49"/>
    </row>
    <row r="355" ht="15.75" customHeight="1">
      <c r="A355" s="38"/>
      <c r="B355" s="49"/>
      <c r="C355" s="15"/>
      <c r="D355" s="663"/>
      <c r="E355" s="664"/>
      <c r="F355" s="665"/>
      <c r="G355" s="539"/>
      <c r="H355" s="373"/>
      <c r="I355" s="665"/>
      <c r="J355" s="666"/>
      <c r="K355" s="665"/>
      <c r="L355" s="667"/>
      <c r="M355" s="668"/>
      <c r="N355" s="373"/>
      <c r="O355" s="373"/>
      <c r="P355" s="670"/>
      <c r="Q355" s="665"/>
      <c r="R355" s="665"/>
      <c r="S355" s="539"/>
      <c r="T355" s="665"/>
      <c r="U355" s="49"/>
      <c r="V355" s="49"/>
      <c r="W355" s="49"/>
      <c r="X355" s="49"/>
      <c r="Y355" s="49"/>
    </row>
    <row r="356" ht="15.75" customHeight="1">
      <c r="A356" s="38"/>
      <c r="B356" s="49"/>
      <c r="C356" s="15"/>
      <c r="D356" s="663"/>
      <c r="E356" s="664"/>
      <c r="F356" s="665"/>
      <c r="G356" s="539"/>
      <c r="H356" s="373"/>
      <c r="I356" s="665"/>
      <c r="J356" s="666"/>
      <c r="K356" s="665"/>
      <c r="L356" s="667"/>
      <c r="M356" s="668"/>
      <c r="N356" s="373"/>
      <c r="O356" s="373"/>
      <c r="P356" s="670"/>
      <c r="Q356" s="665"/>
      <c r="R356" s="665"/>
      <c r="S356" s="539"/>
      <c r="T356" s="665"/>
      <c r="U356" s="49"/>
      <c r="V356" s="49"/>
      <c r="W356" s="49"/>
      <c r="X356" s="49"/>
      <c r="Y356" s="49"/>
    </row>
    <row r="357" ht="15.75" customHeight="1">
      <c r="A357" s="38"/>
      <c r="B357" s="49"/>
      <c r="C357" s="15"/>
      <c r="D357" s="663"/>
      <c r="E357" s="664"/>
      <c r="F357" s="665"/>
      <c r="G357" s="539"/>
      <c r="H357" s="373"/>
      <c r="I357" s="665"/>
      <c r="J357" s="666"/>
      <c r="K357" s="665"/>
      <c r="L357" s="667"/>
      <c r="M357" s="668"/>
      <c r="N357" s="373"/>
      <c r="O357" s="373"/>
      <c r="P357" s="670"/>
      <c r="Q357" s="665"/>
      <c r="R357" s="665"/>
      <c r="S357" s="539"/>
      <c r="T357" s="665"/>
      <c r="U357" s="49"/>
      <c r="V357" s="49"/>
      <c r="W357" s="49"/>
      <c r="X357" s="49"/>
      <c r="Y357" s="49"/>
    </row>
    <row r="358" ht="15.75" customHeight="1">
      <c r="A358" s="38"/>
      <c r="B358" s="49"/>
      <c r="C358" s="15"/>
      <c r="D358" s="663"/>
      <c r="E358" s="664"/>
      <c r="F358" s="665"/>
      <c r="G358" s="539"/>
      <c r="H358" s="373"/>
      <c r="I358" s="665"/>
      <c r="J358" s="666"/>
      <c r="K358" s="665"/>
      <c r="L358" s="667"/>
      <c r="M358" s="668"/>
      <c r="N358" s="373"/>
      <c r="O358" s="373"/>
      <c r="P358" s="670"/>
      <c r="Q358" s="665"/>
      <c r="R358" s="665"/>
      <c r="S358" s="539"/>
      <c r="T358" s="665"/>
      <c r="U358" s="49"/>
      <c r="V358" s="49"/>
      <c r="W358" s="49"/>
      <c r="X358" s="49"/>
      <c r="Y358" s="49"/>
    </row>
    <row r="359" ht="15.75" customHeight="1">
      <c r="A359" s="38"/>
      <c r="B359" s="49"/>
      <c r="C359" s="15"/>
      <c r="D359" s="663"/>
      <c r="E359" s="664"/>
      <c r="F359" s="665"/>
      <c r="G359" s="539"/>
      <c r="H359" s="373"/>
      <c r="I359" s="665"/>
      <c r="J359" s="666"/>
      <c r="K359" s="665"/>
      <c r="L359" s="667"/>
      <c r="M359" s="668"/>
      <c r="N359" s="373"/>
      <c r="O359" s="373"/>
      <c r="P359" s="670"/>
      <c r="Q359" s="665"/>
      <c r="R359" s="665"/>
      <c r="S359" s="539"/>
      <c r="T359" s="665"/>
      <c r="U359" s="49"/>
      <c r="V359" s="49"/>
      <c r="W359" s="49"/>
      <c r="X359" s="49"/>
      <c r="Y359" s="49"/>
    </row>
    <row r="360" ht="15.75" customHeight="1">
      <c r="A360" s="38"/>
      <c r="B360" s="49"/>
      <c r="C360" s="15"/>
      <c r="D360" s="663"/>
      <c r="E360" s="664"/>
      <c r="F360" s="665"/>
      <c r="G360" s="539"/>
      <c r="H360" s="373"/>
      <c r="I360" s="665"/>
      <c r="J360" s="666"/>
      <c r="K360" s="665"/>
      <c r="L360" s="667"/>
      <c r="M360" s="668"/>
      <c r="N360" s="373"/>
      <c r="O360" s="373"/>
      <c r="P360" s="670"/>
      <c r="Q360" s="665"/>
      <c r="R360" s="665"/>
      <c r="S360" s="539"/>
      <c r="T360" s="665"/>
      <c r="U360" s="49"/>
      <c r="V360" s="49"/>
      <c r="W360" s="49"/>
      <c r="X360" s="49"/>
      <c r="Y360" s="49"/>
    </row>
    <row r="361" ht="15.75" customHeight="1">
      <c r="A361" s="38"/>
      <c r="B361" s="49"/>
      <c r="C361" s="15"/>
      <c r="D361" s="663"/>
      <c r="E361" s="664"/>
      <c r="F361" s="665"/>
      <c r="G361" s="539"/>
      <c r="H361" s="373"/>
      <c r="I361" s="665"/>
      <c r="J361" s="666"/>
      <c r="K361" s="665"/>
      <c r="L361" s="667"/>
      <c r="M361" s="668"/>
      <c r="N361" s="373"/>
      <c r="O361" s="373"/>
      <c r="P361" s="670"/>
      <c r="Q361" s="665"/>
      <c r="R361" s="665"/>
      <c r="S361" s="539"/>
      <c r="T361" s="665"/>
      <c r="U361" s="49"/>
      <c r="V361" s="49"/>
      <c r="W361" s="49"/>
      <c r="X361" s="49"/>
      <c r="Y361" s="49"/>
    </row>
    <row r="362" ht="15.75" customHeight="1">
      <c r="A362" s="38"/>
      <c r="B362" s="49"/>
      <c r="C362" s="15"/>
      <c r="D362" s="663"/>
      <c r="E362" s="664"/>
      <c r="F362" s="665"/>
      <c r="G362" s="539"/>
      <c r="H362" s="373"/>
      <c r="I362" s="665"/>
      <c r="J362" s="666"/>
      <c r="K362" s="665"/>
      <c r="L362" s="667"/>
      <c r="M362" s="668"/>
      <c r="N362" s="373"/>
      <c r="O362" s="373"/>
      <c r="P362" s="670"/>
      <c r="Q362" s="665"/>
      <c r="R362" s="665"/>
      <c r="S362" s="539"/>
      <c r="T362" s="665"/>
      <c r="U362" s="49"/>
      <c r="V362" s="49"/>
      <c r="W362" s="49"/>
      <c r="X362" s="49"/>
      <c r="Y362" s="49"/>
    </row>
    <row r="363" ht="15.75" customHeight="1">
      <c r="A363" s="38"/>
      <c r="B363" s="49"/>
      <c r="C363" s="15"/>
      <c r="D363" s="663"/>
      <c r="E363" s="664"/>
      <c r="F363" s="665"/>
      <c r="G363" s="539"/>
      <c r="H363" s="373"/>
      <c r="I363" s="665"/>
      <c r="J363" s="666"/>
      <c r="K363" s="665"/>
      <c r="L363" s="667"/>
      <c r="M363" s="668"/>
      <c r="N363" s="373"/>
      <c r="O363" s="373"/>
      <c r="P363" s="670"/>
      <c r="Q363" s="665"/>
      <c r="R363" s="665"/>
      <c r="S363" s="539"/>
      <c r="T363" s="665"/>
      <c r="U363" s="49"/>
      <c r="V363" s="49"/>
      <c r="W363" s="49"/>
      <c r="X363" s="49"/>
      <c r="Y363" s="49"/>
    </row>
    <row r="364" ht="15.75" customHeight="1">
      <c r="A364" s="38"/>
      <c r="B364" s="49"/>
      <c r="C364" s="15"/>
      <c r="D364" s="663"/>
      <c r="E364" s="664"/>
      <c r="F364" s="665"/>
      <c r="G364" s="539"/>
      <c r="H364" s="373"/>
      <c r="I364" s="665"/>
      <c r="J364" s="666"/>
      <c r="K364" s="665"/>
      <c r="L364" s="667"/>
      <c r="M364" s="668"/>
      <c r="N364" s="373"/>
      <c r="O364" s="373"/>
      <c r="P364" s="670"/>
      <c r="Q364" s="665"/>
      <c r="R364" s="665"/>
      <c r="S364" s="539"/>
      <c r="T364" s="665"/>
      <c r="U364" s="49"/>
      <c r="V364" s="49"/>
      <c r="W364" s="49"/>
      <c r="X364" s="49"/>
      <c r="Y364" s="49"/>
    </row>
    <row r="365" ht="15.75" customHeight="1">
      <c r="A365" s="38"/>
      <c r="B365" s="49"/>
      <c r="C365" s="15"/>
      <c r="D365" s="663"/>
      <c r="E365" s="664"/>
      <c r="F365" s="665"/>
      <c r="G365" s="539"/>
      <c r="H365" s="373"/>
      <c r="I365" s="665"/>
      <c r="J365" s="666"/>
      <c r="K365" s="665"/>
      <c r="L365" s="667"/>
      <c r="M365" s="668"/>
      <c r="N365" s="373"/>
      <c r="O365" s="373"/>
      <c r="P365" s="670"/>
      <c r="Q365" s="665"/>
      <c r="R365" s="665"/>
      <c r="S365" s="539"/>
      <c r="T365" s="665"/>
      <c r="U365" s="49"/>
      <c r="V365" s="49"/>
      <c r="W365" s="49"/>
      <c r="X365" s="49"/>
      <c r="Y365" s="49"/>
    </row>
    <row r="366" ht="15.75" customHeight="1">
      <c r="A366" s="38"/>
      <c r="B366" s="49"/>
      <c r="C366" s="15"/>
      <c r="D366" s="663"/>
      <c r="E366" s="664"/>
      <c r="F366" s="665"/>
      <c r="G366" s="539"/>
      <c r="H366" s="373"/>
      <c r="I366" s="665"/>
      <c r="J366" s="666"/>
      <c r="K366" s="665"/>
      <c r="L366" s="667"/>
      <c r="M366" s="668"/>
      <c r="N366" s="373"/>
      <c r="O366" s="373"/>
      <c r="P366" s="670"/>
      <c r="Q366" s="665"/>
      <c r="R366" s="665"/>
      <c r="S366" s="539"/>
      <c r="T366" s="665"/>
      <c r="U366" s="49"/>
      <c r="V366" s="49"/>
      <c r="W366" s="49"/>
      <c r="X366" s="49"/>
      <c r="Y366" s="49"/>
    </row>
    <row r="367" ht="15.75" customHeight="1">
      <c r="A367" s="38"/>
      <c r="B367" s="49"/>
      <c r="C367" s="15"/>
      <c r="D367" s="663"/>
      <c r="E367" s="664"/>
      <c r="F367" s="665"/>
      <c r="G367" s="539"/>
      <c r="H367" s="373"/>
      <c r="I367" s="665"/>
      <c r="J367" s="666"/>
      <c r="K367" s="665"/>
      <c r="L367" s="667"/>
      <c r="M367" s="668"/>
      <c r="N367" s="373"/>
      <c r="O367" s="373"/>
      <c r="P367" s="670"/>
      <c r="Q367" s="665"/>
      <c r="R367" s="665"/>
      <c r="S367" s="539"/>
      <c r="T367" s="665"/>
      <c r="U367" s="49"/>
      <c r="V367" s="49"/>
      <c r="W367" s="49"/>
      <c r="X367" s="49"/>
      <c r="Y367" s="49"/>
    </row>
    <row r="368" ht="15.75" customHeight="1">
      <c r="A368" s="38"/>
      <c r="B368" s="49"/>
      <c r="C368" s="15"/>
      <c r="D368" s="663"/>
      <c r="E368" s="664"/>
      <c r="F368" s="665"/>
      <c r="G368" s="539"/>
      <c r="H368" s="373"/>
      <c r="I368" s="665"/>
      <c r="J368" s="666"/>
      <c r="K368" s="665"/>
      <c r="L368" s="667"/>
      <c r="M368" s="668"/>
      <c r="N368" s="373"/>
      <c r="O368" s="373"/>
      <c r="P368" s="670"/>
      <c r="Q368" s="665"/>
      <c r="R368" s="665"/>
      <c r="S368" s="539"/>
      <c r="T368" s="665"/>
      <c r="U368" s="49"/>
      <c r="V368" s="49"/>
      <c r="W368" s="49"/>
      <c r="X368" s="49"/>
      <c r="Y368" s="49"/>
    </row>
    <row r="369" ht="15.75" customHeight="1">
      <c r="A369" s="38"/>
      <c r="B369" s="49"/>
      <c r="C369" s="15"/>
      <c r="D369" s="663"/>
      <c r="E369" s="664"/>
      <c r="F369" s="665"/>
      <c r="G369" s="539"/>
      <c r="H369" s="373"/>
      <c r="I369" s="665"/>
      <c r="J369" s="666"/>
      <c r="K369" s="665"/>
      <c r="L369" s="667"/>
      <c r="M369" s="668"/>
      <c r="N369" s="373"/>
      <c r="O369" s="373"/>
      <c r="P369" s="670"/>
      <c r="Q369" s="665"/>
      <c r="R369" s="665"/>
      <c r="S369" s="539"/>
      <c r="T369" s="665"/>
      <c r="U369" s="49"/>
      <c r="V369" s="49"/>
      <c r="W369" s="49"/>
      <c r="X369" s="49"/>
      <c r="Y369" s="49"/>
    </row>
    <row r="370" ht="15.75" customHeight="1">
      <c r="A370" s="38"/>
      <c r="B370" s="49"/>
      <c r="C370" s="15"/>
      <c r="D370" s="663"/>
      <c r="E370" s="664"/>
      <c r="F370" s="665"/>
      <c r="G370" s="539"/>
      <c r="H370" s="373"/>
      <c r="I370" s="665"/>
      <c r="J370" s="666"/>
      <c r="K370" s="665"/>
      <c r="L370" s="667"/>
      <c r="M370" s="668"/>
      <c r="N370" s="373"/>
      <c r="O370" s="373"/>
      <c r="P370" s="670"/>
      <c r="Q370" s="665"/>
      <c r="R370" s="665"/>
      <c r="S370" s="539"/>
      <c r="T370" s="665"/>
      <c r="U370" s="49"/>
      <c r="V370" s="49"/>
      <c r="W370" s="49"/>
      <c r="X370" s="49"/>
      <c r="Y370" s="49"/>
    </row>
    <row r="371" ht="15.75" customHeight="1">
      <c r="A371" s="38"/>
      <c r="B371" s="49"/>
      <c r="C371" s="15"/>
      <c r="D371" s="663"/>
      <c r="E371" s="664"/>
      <c r="F371" s="665"/>
      <c r="G371" s="539"/>
      <c r="H371" s="373"/>
      <c r="I371" s="665"/>
      <c r="J371" s="666"/>
      <c r="K371" s="665"/>
      <c r="L371" s="667"/>
      <c r="M371" s="668"/>
      <c r="N371" s="373"/>
      <c r="O371" s="373"/>
      <c r="P371" s="670"/>
      <c r="Q371" s="665"/>
      <c r="R371" s="665"/>
      <c r="S371" s="539"/>
      <c r="T371" s="665"/>
      <c r="U371" s="49"/>
      <c r="V371" s="49"/>
      <c r="W371" s="49"/>
      <c r="X371" s="49"/>
      <c r="Y371" s="49"/>
    </row>
    <row r="372" ht="15.75" customHeight="1">
      <c r="A372" s="38"/>
      <c r="B372" s="49"/>
      <c r="C372" s="15"/>
      <c r="D372" s="663"/>
      <c r="E372" s="664"/>
      <c r="F372" s="665"/>
      <c r="G372" s="539"/>
      <c r="H372" s="373"/>
      <c r="I372" s="665"/>
      <c r="J372" s="666"/>
      <c r="K372" s="665"/>
      <c r="L372" s="667"/>
      <c r="M372" s="668"/>
      <c r="N372" s="373"/>
      <c r="O372" s="373"/>
      <c r="P372" s="670"/>
      <c r="Q372" s="665"/>
      <c r="R372" s="665"/>
      <c r="S372" s="539"/>
      <c r="T372" s="665"/>
      <c r="U372" s="49"/>
      <c r="V372" s="49"/>
      <c r="W372" s="49"/>
      <c r="X372" s="49"/>
      <c r="Y372" s="49"/>
    </row>
    <row r="373" ht="15.75" customHeight="1">
      <c r="A373" s="38"/>
      <c r="B373" s="49"/>
      <c r="C373" s="15"/>
      <c r="D373" s="663"/>
      <c r="E373" s="664"/>
      <c r="F373" s="665"/>
      <c r="G373" s="539"/>
      <c r="H373" s="373"/>
      <c r="I373" s="665"/>
      <c r="J373" s="666"/>
      <c r="K373" s="665"/>
      <c r="L373" s="667"/>
      <c r="M373" s="668"/>
      <c r="N373" s="373"/>
      <c r="O373" s="373"/>
      <c r="P373" s="670"/>
      <c r="Q373" s="665"/>
      <c r="R373" s="665"/>
      <c r="S373" s="539"/>
      <c r="T373" s="665"/>
      <c r="U373" s="49"/>
      <c r="V373" s="49"/>
      <c r="W373" s="49"/>
      <c r="X373" s="49"/>
      <c r="Y373" s="49"/>
    </row>
    <row r="374" ht="15.75" customHeight="1">
      <c r="A374" s="38"/>
      <c r="B374" s="49"/>
      <c r="C374" s="15"/>
      <c r="D374" s="663"/>
      <c r="E374" s="664"/>
      <c r="F374" s="665"/>
      <c r="G374" s="539"/>
      <c r="H374" s="373"/>
      <c r="I374" s="665"/>
      <c r="J374" s="666"/>
      <c r="K374" s="665"/>
      <c r="L374" s="667"/>
      <c r="M374" s="668"/>
      <c r="N374" s="373"/>
      <c r="O374" s="373"/>
      <c r="P374" s="670"/>
      <c r="Q374" s="665"/>
      <c r="R374" s="665"/>
      <c r="S374" s="539"/>
      <c r="T374" s="665"/>
      <c r="U374" s="49"/>
      <c r="V374" s="49"/>
      <c r="W374" s="49"/>
      <c r="X374" s="49"/>
      <c r="Y374" s="49"/>
    </row>
    <row r="375" ht="15.75" customHeight="1">
      <c r="A375" s="38"/>
      <c r="B375" s="49"/>
      <c r="C375" s="15"/>
      <c r="D375" s="663"/>
      <c r="E375" s="664"/>
      <c r="F375" s="665"/>
      <c r="G375" s="539"/>
      <c r="H375" s="373"/>
      <c r="I375" s="665"/>
      <c r="J375" s="666"/>
      <c r="K375" s="665"/>
      <c r="L375" s="667"/>
      <c r="M375" s="668"/>
      <c r="N375" s="373"/>
      <c r="O375" s="373"/>
      <c r="P375" s="670"/>
      <c r="Q375" s="665"/>
      <c r="R375" s="665"/>
      <c r="S375" s="539"/>
      <c r="T375" s="665"/>
      <c r="U375" s="49"/>
      <c r="V375" s="49"/>
      <c r="W375" s="49"/>
      <c r="X375" s="49"/>
      <c r="Y375" s="49"/>
    </row>
    <row r="376" ht="15.75" customHeight="1">
      <c r="A376" s="38"/>
      <c r="B376" s="49"/>
      <c r="C376" s="15"/>
      <c r="D376" s="663"/>
      <c r="E376" s="664"/>
      <c r="F376" s="665"/>
      <c r="G376" s="539"/>
      <c r="H376" s="373"/>
      <c r="I376" s="665"/>
      <c r="J376" s="666"/>
      <c r="K376" s="665"/>
      <c r="L376" s="667"/>
      <c r="M376" s="668"/>
      <c r="N376" s="373"/>
      <c r="O376" s="373"/>
      <c r="P376" s="670"/>
      <c r="Q376" s="665"/>
      <c r="R376" s="665"/>
      <c r="S376" s="539"/>
      <c r="T376" s="665"/>
      <c r="U376" s="49"/>
      <c r="V376" s="49"/>
      <c r="W376" s="49"/>
      <c r="X376" s="49"/>
      <c r="Y376" s="49"/>
    </row>
    <row r="377" ht="15.75" customHeight="1">
      <c r="A377" s="38"/>
      <c r="B377" s="49"/>
      <c r="C377" s="15"/>
      <c r="D377" s="663"/>
      <c r="E377" s="664"/>
      <c r="F377" s="665"/>
      <c r="G377" s="539"/>
      <c r="H377" s="373"/>
      <c r="I377" s="665"/>
      <c r="J377" s="666"/>
      <c r="K377" s="665"/>
      <c r="L377" s="667"/>
      <c r="M377" s="668"/>
      <c r="N377" s="373"/>
      <c r="O377" s="373"/>
      <c r="P377" s="670"/>
      <c r="Q377" s="665"/>
      <c r="R377" s="665"/>
      <c r="S377" s="539"/>
      <c r="T377" s="665"/>
      <c r="U377" s="49"/>
      <c r="V377" s="49"/>
      <c r="W377" s="49"/>
      <c r="X377" s="49"/>
      <c r="Y377" s="49"/>
    </row>
    <row r="378" ht="15.75" customHeight="1">
      <c r="A378" s="38"/>
      <c r="B378" s="49"/>
      <c r="C378" s="15"/>
      <c r="D378" s="663"/>
      <c r="E378" s="664"/>
      <c r="F378" s="665"/>
      <c r="G378" s="539"/>
      <c r="H378" s="373"/>
      <c r="I378" s="665"/>
      <c r="J378" s="666"/>
      <c r="K378" s="665"/>
      <c r="L378" s="667"/>
      <c r="M378" s="668"/>
      <c r="N378" s="373"/>
      <c r="O378" s="373"/>
      <c r="P378" s="670"/>
      <c r="Q378" s="665"/>
      <c r="R378" s="665"/>
      <c r="S378" s="539"/>
      <c r="T378" s="665"/>
      <c r="U378" s="49"/>
      <c r="V378" s="49"/>
      <c r="W378" s="49"/>
      <c r="X378" s="49"/>
      <c r="Y378" s="49"/>
    </row>
    <row r="379" ht="15.75" customHeight="1">
      <c r="A379" s="38"/>
      <c r="B379" s="49"/>
      <c r="C379" s="15"/>
      <c r="D379" s="663"/>
      <c r="E379" s="664"/>
      <c r="F379" s="665"/>
      <c r="G379" s="539"/>
      <c r="H379" s="373"/>
      <c r="I379" s="665"/>
      <c r="J379" s="666"/>
      <c r="K379" s="665"/>
      <c r="L379" s="667"/>
      <c r="M379" s="668"/>
      <c r="N379" s="373"/>
      <c r="O379" s="373"/>
      <c r="P379" s="670"/>
      <c r="Q379" s="665"/>
      <c r="R379" s="665"/>
      <c r="S379" s="539"/>
      <c r="T379" s="665"/>
      <c r="U379" s="49"/>
      <c r="V379" s="49"/>
      <c r="W379" s="49"/>
      <c r="X379" s="49"/>
      <c r="Y379" s="49"/>
    </row>
    <row r="380" ht="15.75" customHeight="1">
      <c r="A380" s="38"/>
      <c r="B380" s="49"/>
      <c r="C380" s="15"/>
      <c r="D380" s="663"/>
      <c r="E380" s="664"/>
      <c r="F380" s="665"/>
      <c r="G380" s="539"/>
      <c r="H380" s="373"/>
      <c r="I380" s="665"/>
      <c r="J380" s="666"/>
      <c r="K380" s="665"/>
      <c r="L380" s="667"/>
      <c r="M380" s="668"/>
      <c r="N380" s="373"/>
      <c r="O380" s="373"/>
      <c r="P380" s="670"/>
      <c r="Q380" s="665"/>
      <c r="R380" s="665"/>
      <c r="S380" s="539"/>
      <c r="T380" s="665"/>
      <c r="U380" s="49"/>
      <c r="V380" s="49"/>
      <c r="W380" s="49"/>
      <c r="X380" s="49"/>
      <c r="Y380" s="49"/>
    </row>
    <row r="381" ht="15.75" customHeight="1">
      <c r="A381" s="38"/>
      <c r="B381" s="49"/>
      <c r="C381" s="15"/>
      <c r="D381" s="663"/>
      <c r="E381" s="664"/>
      <c r="F381" s="665"/>
      <c r="G381" s="539"/>
      <c r="H381" s="373"/>
      <c r="I381" s="665"/>
      <c r="J381" s="666"/>
      <c r="K381" s="665"/>
      <c r="L381" s="667"/>
      <c r="M381" s="668"/>
      <c r="N381" s="373"/>
      <c r="O381" s="373"/>
      <c r="P381" s="670"/>
      <c r="Q381" s="665"/>
      <c r="R381" s="665"/>
      <c r="S381" s="539"/>
      <c r="T381" s="665"/>
      <c r="U381" s="49"/>
      <c r="V381" s="49"/>
      <c r="W381" s="49"/>
      <c r="X381" s="49"/>
      <c r="Y381" s="49"/>
    </row>
    <row r="382" ht="15.75" customHeight="1">
      <c r="A382" s="38"/>
      <c r="B382" s="49"/>
      <c r="C382" s="15"/>
      <c r="D382" s="663"/>
      <c r="E382" s="664"/>
      <c r="F382" s="665"/>
      <c r="G382" s="539"/>
      <c r="H382" s="373"/>
      <c r="I382" s="665"/>
      <c r="J382" s="666"/>
      <c r="K382" s="665"/>
      <c r="L382" s="667"/>
      <c r="M382" s="668"/>
      <c r="N382" s="373"/>
      <c r="O382" s="373"/>
      <c r="P382" s="670"/>
      <c r="Q382" s="665"/>
      <c r="R382" s="665"/>
      <c r="S382" s="539"/>
      <c r="T382" s="665"/>
      <c r="U382" s="49"/>
      <c r="V382" s="49"/>
      <c r="W382" s="49"/>
      <c r="X382" s="49"/>
      <c r="Y382" s="49"/>
    </row>
    <row r="383" ht="15.75" customHeight="1">
      <c r="A383" s="38"/>
      <c r="B383" s="49"/>
      <c r="C383" s="15"/>
      <c r="D383" s="663"/>
      <c r="E383" s="664"/>
      <c r="F383" s="665"/>
      <c r="G383" s="539"/>
      <c r="H383" s="373"/>
      <c r="I383" s="665"/>
      <c r="J383" s="666"/>
      <c r="K383" s="665"/>
      <c r="L383" s="667"/>
      <c r="M383" s="668"/>
      <c r="N383" s="373"/>
      <c r="O383" s="373"/>
      <c r="P383" s="670"/>
      <c r="Q383" s="665"/>
      <c r="R383" s="665"/>
      <c r="S383" s="539"/>
      <c r="T383" s="665"/>
      <c r="U383" s="49"/>
      <c r="V383" s="49"/>
      <c r="W383" s="49"/>
      <c r="X383" s="49"/>
      <c r="Y383" s="49"/>
    </row>
    <row r="384" ht="15.75" customHeight="1">
      <c r="A384" s="38"/>
      <c r="B384" s="49"/>
      <c r="C384" s="15"/>
      <c r="D384" s="663"/>
      <c r="E384" s="664"/>
      <c r="F384" s="665"/>
      <c r="G384" s="539"/>
      <c r="H384" s="373"/>
      <c r="I384" s="665"/>
      <c r="J384" s="666"/>
      <c r="K384" s="665"/>
      <c r="L384" s="667"/>
      <c r="M384" s="668"/>
      <c r="N384" s="373"/>
      <c r="O384" s="373"/>
      <c r="P384" s="670"/>
      <c r="Q384" s="665"/>
      <c r="R384" s="665"/>
      <c r="S384" s="539"/>
      <c r="T384" s="665"/>
      <c r="U384" s="49"/>
      <c r="V384" s="49"/>
      <c r="W384" s="49"/>
      <c r="X384" s="49"/>
      <c r="Y384" s="49"/>
    </row>
    <row r="385" ht="15.75" customHeight="1">
      <c r="A385" s="38"/>
      <c r="B385" s="49"/>
      <c r="C385" s="15"/>
      <c r="D385" s="663"/>
      <c r="E385" s="664"/>
      <c r="F385" s="665"/>
      <c r="G385" s="539"/>
      <c r="H385" s="373"/>
      <c r="I385" s="665"/>
      <c r="J385" s="666"/>
      <c r="K385" s="665"/>
      <c r="L385" s="667"/>
      <c r="M385" s="668"/>
      <c r="N385" s="373"/>
      <c r="O385" s="373"/>
      <c r="P385" s="670"/>
      <c r="Q385" s="665"/>
      <c r="R385" s="665"/>
      <c r="S385" s="539"/>
      <c r="T385" s="665"/>
      <c r="U385" s="49"/>
      <c r="V385" s="49"/>
      <c r="W385" s="49"/>
      <c r="X385" s="49"/>
      <c r="Y385" s="49"/>
    </row>
    <row r="386" ht="15.75" customHeight="1">
      <c r="A386" s="38"/>
      <c r="B386" s="49"/>
      <c r="C386" s="15"/>
      <c r="D386" s="663"/>
      <c r="E386" s="664"/>
      <c r="F386" s="665"/>
      <c r="G386" s="539"/>
      <c r="H386" s="373"/>
      <c r="I386" s="665"/>
      <c r="J386" s="666"/>
      <c r="K386" s="665"/>
      <c r="L386" s="667"/>
      <c r="M386" s="668"/>
      <c r="N386" s="373"/>
      <c r="O386" s="373"/>
      <c r="P386" s="670"/>
      <c r="Q386" s="665"/>
      <c r="R386" s="665"/>
      <c r="S386" s="539"/>
      <c r="T386" s="665"/>
      <c r="U386" s="49"/>
      <c r="V386" s="49"/>
      <c r="W386" s="49"/>
      <c r="X386" s="49"/>
      <c r="Y386" s="49"/>
    </row>
    <row r="387" ht="15.75" customHeight="1">
      <c r="A387" s="38"/>
      <c r="B387" s="49"/>
      <c r="C387" s="15"/>
      <c r="D387" s="663"/>
      <c r="E387" s="664"/>
      <c r="F387" s="665"/>
      <c r="G387" s="539"/>
      <c r="H387" s="373"/>
      <c r="I387" s="665"/>
      <c r="J387" s="666"/>
      <c r="K387" s="665"/>
      <c r="L387" s="667"/>
      <c r="M387" s="668"/>
      <c r="N387" s="373"/>
      <c r="O387" s="373"/>
      <c r="P387" s="670"/>
      <c r="Q387" s="665"/>
      <c r="R387" s="665"/>
      <c r="S387" s="539"/>
      <c r="T387" s="665"/>
      <c r="U387" s="49"/>
      <c r="V387" s="49"/>
      <c r="W387" s="49"/>
      <c r="X387" s="49"/>
      <c r="Y387" s="49"/>
    </row>
    <row r="388" ht="15.75" customHeight="1">
      <c r="A388" s="38"/>
      <c r="B388" s="49"/>
      <c r="C388" s="15"/>
      <c r="D388" s="663"/>
      <c r="E388" s="664"/>
      <c r="F388" s="665"/>
      <c r="G388" s="539"/>
      <c r="H388" s="373"/>
      <c r="I388" s="665"/>
      <c r="J388" s="666"/>
      <c r="K388" s="665"/>
      <c r="L388" s="667"/>
      <c r="M388" s="668"/>
      <c r="N388" s="373"/>
      <c r="O388" s="373"/>
      <c r="P388" s="670"/>
      <c r="Q388" s="665"/>
      <c r="R388" s="665"/>
      <c r="S388" s="539"/>
      <c r="T388" s="665"/>
      <c r="U388" s="49"/>
      <c r="V388" s="49"/>
      <c r="W388" s="49"/>
      <c r="X388" s="49"/>
      <c r="Y388" s="49"/>
    </row>
    <row r="389" ht="15.75" customHeight="1">
      <c r="A389" s="38"/>
      <c r="B389" s="49"/>
      <c r="C389" s="15"/>
      <c r="D389" s="663"/>
      <c r="E389" s="664"/>
      <c r="F389" s="665"/>
      <c r="G389" s="539"/>
      <c r="H389" s="373"/>
      <c r="I389" s="665"/>
      <c r="J389" s="666"/>
      <c r="K389" s="665"/>
      <c r="L389" s="667"/>
      <c r="M389" s="668"/>
      <c r="N389" s="373"/>
      <c r="O389" s="373"/>
      <c r="P389" s="670"/>
      <c r="Q389" s="665"/>
      <c r="R389" s="665"/>
      <c r="S389" s="539"/>
      <c r="T389" s="665"/>
      <c r="U389" s="49"/>
      <c r="V389" s="49"/>
      <c r="W389" s="49"/>
      <c r="X389" s="49"/>
      <c r="Y389" s="49"/>
    </row>
    <row r="390" ht="15.75" customHeight="1">
      <c r="A390" s="38"/>
      <c r="B390" s="49"/>
      <c r="C390" s="15"/>
      <c r="D390" s="663"/>
      <c r="E390" s="664"/>
      <c r="F390" s="665"/>
      <c r="G390" s="539"/>
      <c r="H390" s="373"/>
      <c r="I390" s="665"/>
      <c r="J390" s="666"/>
      <c r="K390" s="665"/>
      <c r="L390" s="667"/>
      <c r="M390" s="668"/>
      <c r="N390" s="373"/>
      <c r="O390" s="373"/>
      <c r="P390" s="670"/>
      <c r="Q390" s="665"/>
      <c r="R390" s="665"/>
      <c r="S390" s="539"/>
      <c r="T390" s="665"/>
      <c r="U390" s="49"/>
      <c r="V390" s="49"/>
      <c r="W390" s="49"/>
      <c r="X390" s="49"/>
      <c r="Y390" s="49"/>
    </row>
    <row r="391" ht="15.75" customHeight="1">
      <c r="A391" s="38"/>
      <c r="B391" s="49"/>
      <c r="C391" s="15"/>
      <c r="D391" s="663"/>
      <c r="E391" s="664"/>
      <c r="F391" s="665"/>
      <c r="G391" s="539"/>
      <c r="H391" s="373"/>
      <c r="I391" s="665"/>
      <c r="J391" s="666"/>
      <c r="K391" s="665"/>
      <c r="L391" s="667"/>
      <c r="M391" s="668"/>
      <c r="N391" s="373"/>
      <c r="O391" s="373"/>
      <c r="P391" s="670"/>
      <c r="Q391" s="665"/>
      <c r="R391" s="665"/>
      <c r="S391" s="539"/>
      <c r="T391" s="665"/>
      <c r="U391" s="49"/>
      <c r="V391" s="49"/>
      <c r="W391" s="49"/>
      <c r="X391" s="49"/>
      <c r="Y391" s="49"/>
    </row>
    <row r="392" ht="15.75" customHeight="1">
      <c r="A392" s="38"/>
      <c r="B392" s="49"/>
      <c r="C392" s="15"/>
      <c r="D392" s="663"/>
      <c r="E392" s="664"/>
      <c r="F392" s="665"/>
      <c r="G392" s="539"/>
      <c r="H392" s="373"/>
      <c r="I392" s="665"/>
      <c r="J392" s="666"/>
      <c r="K392" s="665"/>
      <c r="L392" s="667"/>
      <c r="M392" s="668"/>
      <c r="N392" s="373"/>
      <c r="O392" s="373"/>
      <c r="P392" s="670"/>
      <c r="Q392" s="665"/>
      <c r="R392" s="665"/>
      <c r="S392" s="539"/>
      <c r="T392" s="665"/>
      <c r="U392" s="49"/>
      <c r="V392" s="49"/>
      <c r="W392" s="49"/>
      <c r="X392" s="49"/>
      <c r="Y392" s="49"/>
    </row>
    <row r="393" ht="15.75" customHeight="1">
      <c r="A393" s="38"/>
      <c r="B393" s="49"/>
      <c r="C393" s="15"/>
      <c r="D393" s="663"/>
      <c r="E393" s="664"/>
      <c r="F393" s="665"/>
      <c r="G393" s="539"/>
      <c r="H393" s="373"/>
      <c r="I393" s="665"/>
      <c r="J393" s="666"/>
      <c r="K393" s="665"/>
      <c r="L393" s="667"/>
      <c r="M393" s="668"/>
      <c r="N393" s="373"/>
      <c r="O393" s="373"/>
      <c r="P393" s="670"/>
      <c r="Q393" s="665"/>
      <c r="R393" s="665"/>
      <c r="S393" s="539"/>
      <c r="T393" s="665"/>
      <c r="U393" s="49"/>
      <c r="V393" s="49"/>
      <c r="W393" s="49"/>
      <c r="X393" s="49"/>
      <c r="Y393" s="49"/>
    </row>
    <row r="394" ht="15.75" customHeight="1">
      <c r="A394" s="38"/>
      <c r="B394" s="49"/>
      <c r="C394" s="15"/>
      <c r="D394" s="663"/>
      <c r="E394" s="664"/>
      <c r="F394" s="665"/>
      <c r="G394" s="539"/>
      <c r="H394" s="373"/>
      <c r="I394" s="665"/>
      <c r="J394" s="666"/>
      <c r="K394" s="665"/>
      <c r="L394" s="667"/>
      <c r="M394" s="668"/>
      <c r="N394" s="373"/>
      <c r="O394" s="373"/>
      <c r="P394" s="670"/>
      <c r="Q394" s="665"/>
      <c r="R394" s="665"/>
      <c r="S394" s="539"/>
      <c r="T394" s="665"/>
      <c r="U394" s="49"/>
      <c r="V394" s="49"/>
      <c r="W394" s="49"/>
      <c r="X394" s="49"/>
      <c r="Y394" s="49"/>
    </row>
    <row r="395" ht="15.75" customHeight="1">
      <c r="A395" s="38"/>
      <c r="B395" s="49"/>
      <c r="C395" s="15"/>
      <c r="D395" s="663"/>
      <c r="E395" s="664"/>
      <c r="F395" s="665"/>
      <c r="G395" s="539"/>
      <c r="H395" s="373"/>
      <c r="I395" s="665"/>
      <c r="J395" s="666"/>
      <c r="K395" s="665"/>
      <c r="L395" s="667"/>
      <c r="M395" s="668"/>
      <c r="N395" s="373"/>
      <c r="O395" s="373"/>
      <c r="P395" s="670"/>
      <c r="Q395" s="665"/>
      <c r="R395" s="665"/>
      <c r="S395" s="539"/>
      <c r="T395" s="665"/>
      <c r="U395" s="49"/>
      <c r="V395" s="49"/>
      <c r="W395" s="49"/>
      <c r="X395" s="49"/>
      <c r="Y395" s="49"/>
    </row>
    <row r="396" ht="15.75" customHeight="1">
      <c r="A396" s="38"/>
      <c r="B396" s="49"/>
      <c r="C396" s="15"/>
      <c r="D396" s="663"/>
      <c r="E396" s="664"/>
      <c r="F396" s="665"/>
      <c r="G396" s="539"/>
      <c r="H396" s="373"/>
      <c r="I396" s="665"/>
      <c r="J396" s="666"/>
      <c r="K396" s="665"/>
      <c r="L396" s="667"/>
      <c r="M396" s="668"/>
      <c r="N396" s="373"/>
      <c r="O396" s="373"/>
      <c r="P396" s="670"/>
      <c r="Q396" s="665"/>
      <c r="R396" s="665"/>
      <c r="S396" s="539"/>
      <c r="T396" s="665"/>
      <c r="U396" s="49"/>
      <c r="V396" s="49"/>
      <c r="W396" s="49"/>
      <c r="X396" s="49"/>
      <c r="Y396" s="49"/>
    </row>
    <row r="397" ht="15.75" customHeight="1">
      <c r="A397" s="38"/>
      <c r="B397" s="49"/>
      <c r="C397" s="15"/>
      <c r="D397" s="663"/>
      <c r="E397" s="664"/>
      <c r="F397" s="665"/>
      <c r="G397" s="539"/>
      <c r="H397" s="373"/>
      <c r="I397" s="665"/>
      <c r="J397" s="666"/>
      <c r="K397" s="665"/>
      <c r="L397" s="667"/>
      <c r="M397" s="668"/>
      <c r="N397" s="373"/>
      <c r="O397" s="373"/>
      <c r="P397" s="670"/>
      <c r="Q397" s="665"/>
      <c r="R397" s="665"/>
      <c r="S397" s="539"/>
      <c r="T397" s="665"/>
      <c r="U397" s="49"/>
      <c r="V397" s="49"/>
      <c r="W397" s="49"/>
      <c r="X397" s="49"/>
      <c r="Y397" s="49"/>
    </row>
    <row r="398" ht="15.75" customHeight="1">
      <c r="A398" s="38"/>
      <c r="B398" s="49"/>
      <c r="C398" s="15"/>
      <c r="D398" s="663"/>
      <c r="E398" s="664"/>
      <c r="F398" s="665"/>
      <c r="G398" s="539"/>
      <c r="H398" s="373"/>
      <c r="I398" s="665"/>
      <c r="J398" s="666"/>
      <c r="K398" s="665"/>
      <c r="L398" s="667"/>
      <c r="M398" s="668"/>
      <c r="N398" s="373"/>
      <c r="O398" s="373"/>
      <c r="P398" s="670"/>
      <c r="Q398" s="665"/>
      <c r="R398" s="665"/>
      <c r="S398" s="539"/>
      <c r="T398" s="665"/>
      <c r="U398" s="49"/>
      <c r="V398" s="49"/>
      <c r="W398" s="49"/>
      <c r="X398" s="49"/>
      <c r="Y398" s="49"/>
    </row>
    <row r="399" ht="15.75" customHeight="1">
      <c r="A399" s="38"/>
      <c r="B399" s="49"/>
      <c r="C399" s="15"/>
      <c r="D399" s="663"/>
      <c r="E399" s="664"/>
      <c r="F399" s="665"/>
      <c r="G399" s="539"/>
      <c r="H399" s="373"/>
      <c r="I399" s="665"/>
      <c r="J399" s="666"/>
      <c r="K399" s="665"/>
      <c r="L399" s="667"/>
      <c r="M399" s="668"/>
      <c r="N399" s="373"/>
      <c r="O399" s="373"/>
      <c r="P399" s="670"/>
      <c r="Q399" s="665"/>
      <c r="R399" s="665"/>
      <c r="S399" s="539"/>
      <c r="T399" s="665"/>
      <c r="U399" s="49"/>
      <c r="V399" s="49"/>
      <c r="W399" s="49"/>
      <c r="X399" s="49"/>
      <c r="Y399" s="49"/>
    </row>
    <row r="400" ht="15.75" customHeight="1">
      <c r="A400" s="38"/>
      <c r="B400" s="49"/>
      <c r="C400" s="15"/>
      <c r="D400" s="663"/>
      <c r="E400" s="664"/>
      <c r="F400" s="665"/>
      <c r="G400" s="539"/>
      <c r="H400" s="373"/>
      <c r="I400" s="665"/>
      <c r="J400" s="666"/>
      <c r="K400" s="665"/>
      <c r="L400" s="667"/>
      <c r="M400" s="668"/>
      <c r="N400" s="373"/>
      <c r="O400" s="373"/>
      <c r="P400" s="670"/>
      <c r="Q400" s="665"/>
      <c r="R400" s="665"/>
      <c r="S400" s="539"/>
      <c r="T400" s="665"/>
      <c r="U400" s="49"/>
      <c r="V400" s="49"/>
      <c r="W400" s="49"/>
      <c r="X400" s="49"/>
      <c r="Y400" s="49"/>
    </row>
    <row r="401" ht="15.75" customHeight="1">
      <c r="A401" s="38"/>
      <c r="B401" s="49"/>
      <c r="C401" s="15"/>
      <c r="D401" s="663"/>
      <c r="E401" s="664"/>
      <c r="F401" s="665"/>
      <c r="G401" s="539"/>
      <c r="H401" s="373"/>
      <c r="I401" s="665"/>
      <c r="J401" s="666"/>
      <c r="K401" s="665"/>
      <c r="L401" s="667"/>
      <c r="M401" s="668"/>
      <c r="N401" s="373"/>
      <c r="O401" s="373"/>
      <c r="P401" s="670"/>
      <c r="Q401" s="665"/>
      <c r="R401" s="665"/>
      <c r="S401" s="539"/>
      <c r="T401" s="665"/>
      <c r="U401" s="49"/>
      <c r="V401" s="49"/>
      <c r="W401" s="49"/>
      <c r="X401" s="49"/>
      <c r="Y401" s="49"/>
    </row>
    <row r="402" ht="15.75" customHeight="1">
      <c r="A402" s="38"/>
      <c r="B402" s="49"/>
      <c r="C402" s="15"/>
      <c r="D402" s="663"/>
      <c r="E402" s="664"/>
      <c r="F402" s="665"/>
      <c r="G402" s="539"/>
      <c r="H402" s="373"/>
      <c r="I402" s="665"/>
      <c r="J402" s="666"/>
      <c r="K402" s="665"/>
      <c r="L402" s="667"/>
      <c r="M402" s="668"/>
      <c r="N402" s="373"/>
      <c r="O402" s="373"/>
      <c r="P402" s="670"/>
      <c r="Q402" s="665"/>
      <c r="R402" s="665"/>
      <c r="S402" s="539"/>
      <c r="T402" s="665"/>
      <c r="U402" s="49"/>
      <c r="V402" s="49"/>
      <c r="W402" s="49"/>
      <c r="X402" s="49"/>
      <c r="Y402" s="49"/>
    </row>
    <row r="403" ht="15.75" customHeight="1">
      <c r="A403" s="38"/>
      <c r="B403" s="49"/>
      <c r="C403" s="15"/>
      <c r="D403" s="663"/>
      <c r="E403" s="664"/>
      <c r="F403" s="665"/>
      <c r="G403" s="539"/>
      <c r="H403" s="373"/>
      <c r="I403" s="665"/>
      <c r="J403" s="666"/>
      <c r="K403" s="665"/>
      <c r="L403" s="667"/>
      <c r="M403" s="668"/>
      <c r="N403" s="373"/>
      <c r="O403" s="373"/>
      <c r="P403" s="670"/>
      <c r="Q403" s="665"/>
      <c r="R403" s="665"/>
      <c r="S403" s="539"/>
      <c r="T403" s="665"/>
      <c r="U403" s="49"/>
      <c r="V403" s="49"/>
      <c r="W403" s="49"/>
      <c r="X403" s="49"/>
      <c r="Y403" s="49"/>
    </row>
    <row r="404" ht="15.75" customHeight="1">
      <c r="A404" s="38"/>
      <c r="B404" s="49"/>
      <c r="C404" s="15"/>
      <c r="D404" s="663"/>
      <c r="E404" s="664"/>
      <c r="F404" s="665"/>
      <c r="G404" s="539"/>
      <c r="H404" s="373"/>
      <c r="I404" s="665"/>
      <c r="J404" s="666"/>
      <c r="K404" s="665"/>
      <c r="L404" s="667"/>
      <c r="M404" s="668"/>
      <c r="N404" s="373"/>
      <c r="O404" s="373"/>
      <c r="P404" s="670"/>
      <c r="Q404" s="665"/>
      <c r="R404" s="665"/>
      <c r="S404" s="539"/>
      <c r="T404" s="665"/>
      <c r="U404" s="49"/>
      <c r="V404" s="49"/>
      <c r="W404" s="49"/>
      <c r="X404" s="49"/>
      <c r="Y404" s="49"/>
    </row>
    <row r="405" ht="15.75" customHeight="1">
      <c r="A405" s="38"/>
      <c r="B405" s="49"/>
      <c r="C405" s="15"/>
      <c r="D405" s="663"/>
      <c r="E405" s="664"/>
      <c r="F405" s="665"/>
      <c r="G405" s="539"/>
      <c r="H405" s="373"/>
      <c r="I405" s="665"/>
      <c r="J405" s="666"/>
      <c r="K405" s="665"/>
      <c r="L405" s="667"/>
      <c r="M405" s="668"/>
      <c r="N405" s="373"/>
      <c r="O405" s="373"/>
      <c r="P405" s="670"/>
      <c r="Q405" s="665"/>
      <c r="R405" s="665"/>
      <c r="S405" s="539"/>
      <c r="T405" s="665"/>
      <c r="U405" s="49"/>
      <c r="V405" s="49"/>
      <c r="W405" s="49"/>
      <c r="X405" s="49"/>
      <c r="Y405" s="49"/>
    </row>
    <row r="406" ht="15.75" customHeight="1">
      <c r="A406" s="38"/>
      <c r="B406" s="49"/>
      <c r="C406" s="15"/>
      <c r="D406" s="663"/>
      <c r="E406" s="664"/>
      <c r="F406" s="665"/>
      <c r="G406" s="539"/>
      <c r="H406" s="373"/>
      <c r="I406" s="665"/>
      <c r="J406" s="666"/>
      <c r="K406" s="665"/>
      <c r="L406" s="667"/>
      <c r="M406" s="668"/>
      <c r="N406" s="373"/>
      <c r="O406" s="373"/>
      <c r="P406" s="670"/>
      <c r="Q406" s="665"/>
      <c r="R406" s="665"/>
      <c r="S406" s="539"/>
      <c r="T406" s="665"/>
      <c r="U406" s="49"/>
      <c r="V406" s="49"/>
      <c r="W406" s="49"/>
      <c r="X406" s="49"/>
      <c r="Y406" s="49"/>
    </row>
    <row r="407" ht="15.75" customHeight="1">
      <c r="A407" s="38"/>
      <c r="B407" s="49"/>
      <c r="C407" s="15"/>
      <c r="D407" s="663"/>
      <c r="E407" s="664"/>
      <c r="F407" s="665"/>
      <c r="G407" s="539"/>
      <c r="H407" s="373"/>
      <c r="I407" s="665"/>
      <c r="J407" s="666"/>
      <c r="K407" s="665"/>
      <c r="L407" s="667"/>
      <c r="M407" s="668"/>
      <c r="N407" s="373"/>
      <c r="O407" s="373"/>
      <c r="P407" s="670"/>
      <c r="Q407" s="665"/>
      <c r="R407" s="665"/>
      <c r="S407" s="539"/>
      <c r="T407" s="665"/>
      <c r="U407" s="49"/>
      <c r="V407" s="49"/>
      <c r="W407" s="49"/>
      <c r="X407" s="49"/>
      <c r="Y407" s="49"/>
    </row>
    <row r="408" ht="15.75" customHeight="1">
      <c r="A408" s="38"/>
      <c r="B408" s="49"/>
      <c r="C408" s="15"/>
      <c r="D408" s="663"/>
      <c r="E408" s="664"/>
      <c r="F408" s="665"/>
      <c r="G408" s="539"/>
      <c r="H408" s="373"/>
      <c r="I408" s="665"/>
      <c r="J408" s="666"/>
      <c r="K408" s="665"/>
      <c r="L408" s="667"/>
      <c r="M408" s="668"/>
      <c r="N408" s="373"/>
      <c r="O408" s="373"/>
      <c r="P408" s="670"/>
      <c r="Q408" s="665"/>
      <c r="R408" s="665"/>
      <c r="S408" s="539"/>
      <c r="T408" s="665"/>
      <c r="U408" s="49"/>
      <c r="V408" s="49"/>
      <c r="W408" s="49"/>
      <c r="X408" s="49"/>
      <c r="Y408" s="49"/>
    </row>
    <row r="409" ht="15.75" customHeight="1">
      <c r="A409" s="38"/>
      <c r="B409" s="49"/>
      <c r="C409" s="15"/>
      <c r="D409" s="663"/>
      <c r="E409" s="664"/>
      <c r="F409" s="665"/>
      <c r="G409" s="539"/>
      <c r="H409" s="373"/>
      <c r="I409" s="665"/>
      <c r="J409" s="666"/>
      <c r="K409" s="665"/>
      <c r="L409" s="667"/>
      <c r="M409" s="668"/>
      <c r="N409" s="373"/>
      <c r="O409" s="373"/>
      <c r="P409" s="670"/>
      <c r="Q409" s="665"/>
      <c r="R409" s="665"/>
      <c r="S409" s="539"/>
      <c r="T409" s="665"/>
      <c r="U409" s="49"/>
      <c r="V409" s="49"/>
      <c r="W409" s="49"/>
      <c r="X409" s="49"/>
      <c r="Y409" s="49"/>
    </row>
    <row r="410" ht="15.75" customHeight="1">
      <c r="A410" s="38"/>
      <c r="B410" s="49"/>
      <c r="C410" s="15"/>
      <c r="D410" s="663"/>
      <c r="E410" s="664"/>
      <c r="F410" s="665"/>
      <c r="G410" s="539"/>
      <c r="H410" s="373"/>
      <c r="I410" s="665"/>
      <c r="J410" s="666"/>
      <c r="K410" s="665"/>
      <c r="L410" s="667"/>
      <c r="M410" s="668"/>
      <c r="N410" s="373"/>
      <c r="O410" s="373"/>
      <c r="P410" s="670"/>
      <c r="Q410" s="665"/>
      <c r="R410" s="665"/>
      <c r="S410" s="539"/>
      <c r="T410" s="665"/>
      <c r="U410" s="49"/>
      <c r="V410" s="49"/>
      <c r="W410" s="49"/>
      <c r="X410" s="49"/>
      <c r="Y410" s="49"/>
    </row>
    <row r="411" ht="15.75" customHeight="1">
      <c r="A411" s="38"/>
      <c r="B411" s="49"/>
      <c r="C411" s="15"/>
      <c r="D411" s="663"/>
      <c r="E411" s="664"/>
      <c r="F411" s="665"/>
      <c r="G411" s="539"/>
      <c r="H411" s="373"/>
      <c r="I411" s="665"/>
      <c r="J411" s="666"/>
      <c r="K411" s="665"/>
      <c r="L411" s="667"/>
      <c r="M411" s="668"/>
      <c r="N411" s="373"/>
      <c r="O411" s="373"/>
      <c r="P411" s="670"/>
      <c r="Q411" s="665"/>
      <c r="R411" s="665"/>
      <c r="S411" s="539"/>
      <c r="T411" s="665"/>
      <c r="U411" s="49"/>
      <c r="V411" s="49"/>
      <c r="W411" s="49"/>
      <c r="X411" s="49"/>
      <c r="Y411" s="49"/>
    </row>
    <row r="412" ht="15.75" customHeight="1">
      <c r="A412" s="38"/>
      <c r="B412" s="49"/>
      <c r="C412" s="15"/>
      <c r="D412" s="663"/>
      <c r="E412" s="664"/>
      <c r="F412" s="665"/>
      <c r="G412" s="539"/>
      <c r="H412" s="373"/>
      <c r="I412" s="665"/>
      <c r="J412" s="666"/>
      <c r="K412" s="665"/>
      <c r="L412" s="667"/>
      <c r="M412" s="668"/>
      <c r="N412" s="373"/>
      <c r="O412" s="373"/>
      <c r="P412" s="670"/>
      <c r="Q412" s="665"/>
      <c r="R412" s="665"/>
      <c r="S412" s="539"/>
      <c r="T412" s="665"/>
      <c r="U412" s="49"/>
      <c r="V412" s="49"/>
      <c r="W412" s="49"/>
      <c r="X412" s="49"/>
      <c r="Y412" s="49"/>
    </row>
    <row r="413" ht="15.75" customHeight="1">
      <c r="A413" s="38"/>
      <c r="B413" s="49"/>
      <c r="C413" s="15"/>
      <c r="D413" s="663"/>
      <c r="E413" s="664"/>
      <c r="F413" s="665"/>
      <c r="G413" s="539"/>
      <c r="H413" s="373"/>
      <c r="I413" s="665"/>
      <c r="J413" s="666"/>
      <c r="K413" s="665"/>
      <c r="L413" s="667"/>
      <c r="M413" s="668"/>
      <c r="N413" s="373"/>
      <c r="O413" s="373"/>
      <c r="P413" s="670"/>
      <c r="Q413" s="665"/>
      <c r="R413" s="665"/>
      <c r="S413" s="539"/>
      <c r="T413" s="665"/>
      <c r="U413" s="49"/>
      <c r="V413" s="49"/>
      <c r="W413" s="49"/>
      <c r="X413" s="49"/>
      <c r="Y413" s="49"/>
    </row>
    <row r="414" ht="15.75" customHeight="1">
      <c r="A414" s="38"/>
      <c r="B414" s="49"/>
      <c r="C414" s="15"/>
      <c r="D414" s="663"/>
      <c r="E414" s="664"/>
      <c r="F414" s="665"/>
      <c r="G414" s="539"/>
      <c r="H414" s="373"/>
      <c r="I414" s="665"/>
      <c r="J414" s="666"/>
      <c r="K414" s="665"/>
      <c r="L414" s="667"/>
      <c r="M414" s="668"/>
      <c r="N414" s="373"/>
      <c r="O414" s="373"/>
      <c r="P414" s="670"/>
      <c r="Q414" s="665"/>
      <c r="R414" s="665"/>
      <c r="S414" s="539"/>
      <c r="T414" s="665"/>
      <c r="U414" s="49"/>
      <c r="V414" s="49"/>
      <c r="W414" s="49"/>
      <c r="X414" s="49"/>
      <c r="Y414" s="49"/>
    </row>
    <row r="415" ht="15.75" customHeight="1">
      <c r="A415" s="38"/>
      <c r="B415" s="49"/>
      <c r="C415" s="15"/>
      <c r="D415" s="663"/>
      <c r="E415" s="664"/>
      <c r="F415" s="665"/>
      <c r="G415" s="539"/>
      <c r="H415" s="373"/>
      <c r="I415" s="665"/>
      <c r="J415" s="666"/>
      <c r="K415" s="665"/>
      <c r="L415" s="667"/>
      <c r="M415" s="668"/>
      <c r="N415" s="373"/>
      <c r="O415" s="373"/>
      <c r="P415" s="670"/>
      <c r="Q415" s="665"/>
      <c r="R415" s="665"/>
      <c r="S415" s="539"/>
      <c r="T415" s="665"/>
      <c r="U415" s="49"/>
      <c r="V415" s="49"/>
      <c r="W415" s="49"/>
      <c r="X415" s="49"/>
      <c r="Y415" s="49"/>
    </row>
    <row r="416" ht="15.75" customHeight="1">
      <c r="A416" s="38"/>
      <c r="B416" s="49"/>
      <c r="C416" s="15"/>
      <c r="D416" s="663"/>
      <c r="E416" s="664"/>
      <c r="F416" s="665"/>
      <c r="G416" s="539"/>
      <c r="H416" s="373"/>
      <c r="I416" s="665"/>
      <c r="J416" s="666"/>
      <c r="K416" s="665"/>
      <c r="L416" s="667"/>
      <c r="M416" s="668"/>
      <c r="N416" s="373"/>
      <c r="O416" s="373"/>
      <c r="P416" s="670"/>
      <c r="Q416" s="665"/>
      <c r="R416" s="665"/>
      <c r="S416" s="539"/>
      <c r="T416" s="665"/>
      <c r="U416" s="49"/>
      <c r="V416" s="49"/>
      <c r="W416" s="49"/>
      <c r="X416" s="49"/>
      <c r="Y416" s="49"/>
    </row>
    <row r="417" ht="15.75" customHeight="1">
      <c r="A417" s="38"/>
      <c r="B417" s="49"/>
      <c r="C417" s="15"/>
      <c r="D417" s="663"/>
      <c r="E417" s="664"/>
      <c r="F417" s="665"/>
      <c r="G417" s="539"/>
      <c r="H417" s="373"/>
      <c r="I417" s="665"/>
      <c r="J417" s="666"/>
      <c r="K417" s="665"/>
      <c r="L417" s="667"/>
      <c r="M417" s="668"/>
      <c r="N417" s="373"/>
      <c r="O417" s="373"/>
      <c r="P417" s="670"/>
      <c r="Q417" s="665"/>
      <c r="R417" s="665"/>
      <c r="S417" s="539"/>
      <c r="T417" s="665"/>
      <c r="U417" s="49"/>
      <c r="V417" s="49"/>
      <c r="W417" s="49"/>
      <c r="X417" s="49"/>
      <c r="Y417" s="49"/>
    </row>
    <row r="418" ht="15.75" customHeight="1">
      <c r="A418" s="38"/>
      <c r="B418" s="49"/>
      <c r="C418" s="15"/>
      <c r="D418" s="663"/>
      <c r="E418" s="664"/>
      <c r="F418" s="665"/>
      <c r="G418" s="539"/>
      <c r="H418" s="373"/>
      <c r="I418" s="665"/>
      <c r="J418" s="666"/>
      <c r="K418" s="665"/>
      <c r="L418" s="667"/>
      <c r="M418" s="668"/>
      <c r="N418" s="373"/>
      <c r="O418" s="373"/>
      <c r="P418" s="670"/>
      <c r="Q418" s="665"/>
      <c r="R418" s="665"/>
      <c r="S418" s="539"/>
      <c r="T418" s="665"/>
      <c r="U418" s="49"/>
      <c r="V418" s="49"/>
      <c r="W418" s="49"/>
      <c r="X418" s="49"/>
      <c r="Y418" s="49"/>
    </row>
    <row r="419" ht="15.75" customHeight="1">
      <c r="A419" s="38"/>
      <c r="B419" s="49"/>
      <c r="C419" s="15"/>
      <c r="D419" s="663"/>
      <c r="E419" s="664"/>
      <c r="F419" s="665"/>
      <c r="G419" s="539"/>
      <c r="H419" s="373"/>
      <c r="I419" s="665"/>
      <c r="J419" s="666"/>
      <c r="K419" s="665"/>
      <c r="L419" s="667"/>
      <c r="M419" s="668"/>
      <c r="N419" s="373"/>
      <c r="O419" s="373"/>
      <c r="P419" s="670"/>
      <c r="Q419" s="665"/>
      <c r="R419" s="665"/>
      <c r="S419" s="539"/>
      <c r="T419" s="665"/>
      <c r="U419" s="49"/>
      <c r="V419" s="49"/>
      <c r="W419" s="49"/>
      <c r="X419" s="49"/>
      <c r="Y419" s="49"/>
    </row>
    <row r="420" ht="15.75" customHeight="1">
      <c r="A420" s="38"/>
      <c r="B420" s="49"/>
      <c r="C420" s="15"/>
      <c r="D420" s="663"/>
      <c r="E420" s="664"/>
      <c r="F420" s="665"/>
      <c r="G420" s="539"/>
      <c r="H420" s="373"/>
      <c r="I420" s="665"/>
      <c r="J420" s="666"/>
      <c r="K420" s="665"/>
      <c r="L420" s="667"/>
      <c r="M420" s="668"/>
      <c r="N420" s="373"/>
      <c r="O420" s="373"/>
      <c r="P420" s="670"/>
      <c r="Q420" s="665"/>
      <c r="R420" s="665"/>
      <c r="S420" s="539"/>
      <c r="T420" s="665"/>
      <c r="U420" s="49"/>
      <c r="V420" s="49"/>
      <c r="W420" s="49"/>
      <c r="X420" s="49"/>
      <c r="Y420" s="49"/>
    </row>
    <row r="421" ht="15.75" customHeight="1">
      <c r="A421" s="38"/>
      <c r="B421" s="49"/>
      <c r="C421" s="15"/>
      <c r="D421" s="663"/>
      <c r="E421" s="664"/>
      <c r="F421" s="665"/>
      <c r="G421" s="539"/>
      <c r="H421" s="373"/>
      <c r="I421" s="665"/>
      <c r="J421" s="666"/>
      <c r="K421" s="665"/>
      <c r="L421" s="667"/>
      <c r="M421" s="668"/>
      <c r="N421" s="373"/>
      <c r="O421" s="373"/>
      <c r="P421" s="670"/>
      <c r="Q421" s="665"/>
      <c r="R421" s="665"/>
      <c r="S421" s="539"/>
      <c r="T421" s="665"/>
      <c r="U421" s="49"/>
      <c r="V421" s="49"/>
      <c r="W421" s="49"/>
      <c r="X421" s="49"/>
      <c r="Y421" s="49"/>
    </row>
    <row r="422" ht="15.75" customHeight="1">
      <c r="A422" s="38"/>
      <c r="B422" s="49"/>
      <c r="C422" s="15"/>
      <c r="D422" s="663"/>
      <c r="E422" s="664"/>
      <c r="F422" s="665"/>
      <c r="G422" s="539"/>
      <c r="H422" s="373"/>
      <c r="I422" s="665"/>
      <c r="J422" s="666"/>
      <c r="K422" s="665"/>
      <c r="L422" s="667"/>
      <c r="M422" s="668"/>
      <c r="N422" s="373"/>
      <c r="O422" s="373"/>
      <c r="P422" s="670"/>
      <c r="Q422" s="665"/>
      <c r="R422" s="665"/>
      <c r="S422" s="539"/>
      <c r="T422" s="665"/>
      <c r="U422" s="49"/>
      <c r="V422" s="49"/>
      <c r="W422" s="49"/>
      <c r="X422" s="49"/>
      <c r="Y422" s="49"/>
    </row>
    <row r="423" ht="15.75" customHeight="1">
      <c r="A423" s="38"/>
      <c r="B423" s="49"/>
      <c r="C423" s="15"/>
      <c r="D423" s="663"/>
      <c r="E423" s="664"/>
      <c r="F423" s="665"/>
      <c r="G423" s="539"/>
      <c r="H423" s="373"/>
      <c r="I423" s="665"/>
      <c r="J423" s="666"/>
      <c r="K423" s="665"/>
      <c r="L423" s="667"/>
      <c r="M423" s="668"/>
      <c r="N423" s="373"/>
      <c r="O423" s="373"/>
      <c r="P423" s="670"/>
      <c r="Q423" s="665"/>
      <c r="R423" s="665"/>
      <c r="S423" s="539"/>
      <c r="T423" s="665"/>
      <c r="U423" s="49"/>
      <c r="V423" s="49"/>
      <c r="W423" s="49"/>
      <c r="X423" s="49"/>
      <c r="Y423" s="49"/>
    </row>
    <row r="424" ht="15.75" customHeight="1">
      <c r="A424" s="38"/>
      <c r="B424" s="49"/>
      <c r="C424" s="15"/>
      <c r="D424" s="663"/>
      <c r="E424" s="664"/>
      <c r="F424" s="665"/>
      <c r="G424" s="539"/>
      <c r="H424" s="373"/>
      <c r="I424" s="665"/>
      <c r="J424" s="666"/>
      <c r="K424" s="665"/>
      <c r="L424" s="667"/>
      <c r="M424" s="668"/>
      <c r="N424" s="373"/>
      <c r="O424" s="373"/>
      <c r="P424" s="670"/>
      <c r="Q424" s="665"/>
      <c r="R424" s="665"/>
      <c r="S424" s="539"/>
      <c r="T424" s="665"/>
      <c r="U424" s="49"/>
      <c r="V424" s="49"/>
      <c r="W424" s="49"/>
      <c r="X424" s="49"/>
      <c r="Y424" s="49"/>
    </row>
    <row r="425" ht="15.75" customHeight="1">
      <c r="A425" s="38"/>
      <c r="B425" s="49"/>
      <c r="C425" s="15"/>
      <c r="D425" s="663"/>
      <c r="E425" s="664"/>
      <c r="F425" s="665"/>
      <c r="G425" s="539"/>
      <c r="H425" s="373"/>
      <c r="I425" s="665"/>
      <c r="J425" s="666"/>
      <c r="K425" s="665"/>
      <c r="L425" s="667"/>
      <c r="M425" s="668"/>
      <c r="N425" s="373"/>
      <c r="O425" s="373"/>
      <c r="P425" s="670"/>
      <c r="Q425" s="665"/>
      <c r="R425" s="665"/>
      <c r="S425" s="539"/>
      <c r="T425" s="665"/>
      <c r="U425" s="49"/>
      <c r="V425" s="49"/>
      <c r="W425" s="49"/>
      <c r="X425" s="49"/>
      <c r="Y425" s="49"/>
    </row>
    <row r="426" ht="15.75" customHeight="1">
      <c r="A426" s="38"/>
      <c r="B426" s="49"/>
      <c r="C426" s="15"/>
      <c r="D426" s="663"/>
      <c r="E426" s="664"/>
      <c r="F426" s="665"/>
      <c r="G426" s="539"/>
      <c r="H426" s="373"/>
      <c r="I426" s="665"/>
      <c r="J426" s="666"/>
      <c r="K426" s="665"/>
      <c r="L426" s="667"/>
      <c r="M426" s="668"/>
      <c r="N426" s="373"/>
      <c r="O426" s="373"/>
      <c r="P426" s="670"/>
      <c r="Q426" s="665"/>
      <c r="R426" s="665"/>
      <c r="S426" s="539"/>
      <c r="T426" s="665"/>
      <c r="U426" s="49"/>
      <c r="V426" s="49"/>
      <c r="W426" s="49"/>
      <c r="X426" s="49"/>
      <c r="Y426" s="49"/>
    </row>
    <row r="427" ht="15.75" customHeight="1">
      <c r="A427" s="38"/>
      <c r="B427" s="49"/>
      <c r="C427" s="15"/>
      <c r="D427" s="663"/>
      <c r="E427" s="664"/>
      <c r="F427" s="665"/>
      <c r="G427" s="539"/>
      <c r="H427" s="373"/>
      <c r="I427" s="665"/>
      <c r="J427" s="666"/>
      <c r="K427" s="665"/>
      <c r="L427" s="667"/>
      <c r="M427" s="668"/>
      <c r="N427" s="373"/>
      <c r="O427" s="373"/>
      <c r="P427" s="670"/>
      <c r="Q427" s="665"/>
      <c r="R427" s="665"/>
      <c r="S427" s="539"/>
      <c r="T427" s="665"/>
      <c r="U427" s="49"/>
      <c r="V427" s="49"/>
      <c r="W427" s="49"/>
      <c r="X427" s="49"/>
      <c r="Y427" s="49"/>
    </row>
    <row r="428" ht="15.75" customHeight="1">
      <c r="A428" s="38"/>
      <c r="B428" s="49"/>
      <c r="C428" s="15"/>
      <c r="D428" s="663"/>
      <c r="E428" s="664"/>
      <c r="F428" s="665"/>
      <c r="G428" s="539"/>
      <c r="H428" s="373"/>
      <c r="I428" s="665"/>
      <c r="J428" s="666"/>
      <c r="K428" s="665"/>
      <c r="L428" s="667"/>
      <c r="M428" s="668"/>
      <c r="N428" s="373"/>
      <c r="O428" s="373"/>
      <c r="P428" s="670"/>
      <c r="Q428" s="665"/>
      <c r="R428" s="665"/>
      <c r="S428" s="539"/>
      <c r="T428" s="665"/>
      <c r="U428" s="49"/>
      <c r="V428" s="49"/>
      <c r="W428" s="49"/>
      <c r="X428" s="49"/>
      <c r="Y428" s="49"/>
    </row>
    <row r="429" ht="15.75" customHeight="1">
      <c r="A429" s="38"/>
      <c r="B429" s="49"/>
      <c r="C429" s="15"/>
      <c r="D429" s="663"/>
      <c r="E429" s="664"/>
      <c r="F429" s="665"/>
      <c r="G429" s="539"/>
      <c r="H429" s="373"/>
      <c r="I429" s="665"/>
      <c r="J429" s="666"/>
      <c r="K429" s="665"/>
      <c r="L429" s="667"/>
      <c r="M429" s="668"/>
      <c r="N429" s="373"/>
      <c r="O429" s="373"/>
      <c r="P429" s="670"/>
      <c r="Q429" s="665"/>
      <c r="R429" s="665"/>
      <c r="S429" s="539"/>
      <c r="T429" s="665"/>
      <c r="U429" s="49"/>
      <c r="V429" s="49"/>
      <c r="W429" s="49"/>
      <c r="X429" s="49"/>
      <c r="Y429" s="49"/>
    </row>
    <row r="430" ht="15.75" customHeight="1">
      <c r="A430" s="38"/>
      <c r="B430" s="49"/>
      <c r="C430" s="15"/>
      <c r="D430" s="663"/>
      <c r="E430" s="664"/>
      <c r="F430" s="665"/>
      <c r="G430" s="539"/>
      <c r="H430" s="373"/>
      <c r="I430" s="665"/>
      <c r="J430" s="666"/>
      <c r="K430" s="665"/>
      <c r="L430" s="667"/>
      <c r="M430" s="668"/>
      <c r="N430" s="373"/>
      <c r="O430" s="373"/>
      <c r="P430" s="670"/>
      <c r="Q430" s="665"/>
      <c r="R430" s="665"/>
      <c r="S430" s="539"/>
      <c r="T430" s="665"/>
      <c r="U430" s="49"/>
      <c r="V430" s="49"/>
      <c r="W430" s="49"/>
      <c r="X430" s="49"/>
      <c r="Y430" s="49"/>
    </row>
    <row r="431" ht="15.75" customHeight="1">
      <c r="A431" s="38"/>
      <c r="B431" s="49"/>
      <c r="C431" s="15"/>
      <c r="D431" s="663"/>
      <c r="E431" s="664"/>
      <c r="F431" s="665"/>
      <c r="G431" s="539"/>
      <c r="H431" s="373"/>
      <c r="I431" s="665"/>
      <c r="J431" s="666"/>
      <c r="K431" s="665"/>
      <c r="L431" s="667"/>
      <c r="M431" s="668"/>
      <c r="N431" s="373"/>
      <c r="O431" s="373"/>
      <c r="P431" s="670"/>
      <c r="Q431" s="665"/>
      <c r="R431" s="665"/>
      <c r="S431" s="539"/>
      <c r="T431" s="665"/>
      <c r="U431" s="49"/>
      <c r="V431" s="49"/>
      <c r="W431" s="49"/>
      <c r="X431" s="49"/>
      <c r="Y431" s="49"/>
    </row>
    <row r="432" ht="15.75" customHeight="1">
      <c r="A432" s="38"/>
      <c r="B432" s="49"/>
      <c r="C432" s="15"/>
      <c r="D432" s="663"/>
      <c r="E432" s="664"/>
      <c r="F432" s="665"/>
      <c r="G432" s="539"/>
      <c r="H432" s="373"/>
      <c r="I432" s="665"/>
      <c r="J432" s="666"/>
      <c r="K432" s="665"/>
      <c r="L432" s="667"/>
      <c r="M432" s="668"/>
      <c r="N432" s="373"/>
      <c r="O432" s="373"/>
      <c r="P432" s="670"/>
      <c r="Q432" s="665"/>
      <c r="R432" s="665"/>
      <c r="S432" s="539"/>
      <c r="T432" s="665"/>
      <c r="U432" s="49"/>
      <c r="V432" s="49"/>
      <c r="W432" s="49"/>
      <c r="X432" s="49"/>
      <c r="Y432" s="49"/>
    </row>
    <row r="433" ht="15.75" customHeight="1">
      <c r="A433" s="38"/>
      <c r="B433" s="49"/>
      <c r="C433" s="15"/>
      <c r="D433" s="663"/>
      <c r="E433" s="664"/>
      <c r="F433" s="665"/>
      <c r="G433" s="539"/>
      <c r="H433" s="373"/>
      <c r="I433" s="665"/>
      <c r="J433" s="666"/>
      <c r="K433" s="665"/>
      <c r="L433" s="667"/>
      <c r="M433" s="668"/>
      <c r="N433" s="373"/>
      <c r="O433" s="373"/>
      <c r="P433" s="670"/>
      <c r="Q433" s="665"/>
      <c r="R433" s="665"/>
      <c r="S433" s="539"/>
      <c r="T433" s="665"/>
      <c r="U433" s="49"/>
      <c r="V433" s="49"/>
      <c r="W433" s="49"/>
      <c r="X433" s="49"/>
      <c r="Y433" s="49"/>
    </row>
    <row r="434" ht="15.75" customHeight="1">
      <c r="A434" s="38"/>
      <c r="B434" s="49"/>
      <c r="C434" s="15"/>
      <c r="D434" s="663"/>
      <c r="E434" s="664"/>
      <c r="F434" s="665"/>
      <c r="G434" s="539"/>
      <c r="H434" s="373"/>
      <c r="I434" s="665"/>
      <c r="J434" s="666"/>
      <c r="K434" s="665"/>
      <c r="L434" s="667"/>
      <c r="M434" s="668"/>
      <c r="N434" s="373"/>
      <c r="O434" s="373"/>
      <c r="P434" s="670"/>
      <c r="Q434" s="665"/>
      <c r="R434" s="665"/>
      <c r="S434" s="539"/>
      <c r="T434" s="665"/>
      <c r="U434" s="49"/>
      <c r="V434" s="49"/>
      <c r="W434" s="49"/>
      <c r="X434" s="49"/>
      <c r="Y434" s="49"/>
    </row>
    <row r="435" ht="15.75" customHeight="1">
      <c r="A435" s="38"/>
      <c r="B435" s="49"/>
      <c r="C435" s="15"/>
      <c r="D435" s="663"/>
      <c r="E435" s="664"/>
      <c r="F435" s="665"/>
      <c r="G435" s="539"/>
      <c r="H435" s="373"/>
      <c r="I435" s="665"/>
      <c r="J435" s="666"/>
      <c r="K435" s="665"/>
      <c r="L435" s="667"/>
      <c r="M435" s="668"/>
      <c r="N435" s="373"/>
      <c r="O435" s="373"/>
      <c r="P435" s="670"/>
      <c r="Q435" s="665"/>
      <c r="R435" s="665"/>
      <c r="S435" s="539"/>
      <c r="T435" s="665"/>
      <c r="U435" s="49"/>
      <c r="V435" s="49"/>
      <c r="W435" s="49"/>
      <c r="X435" s="49"/>
      <c r="Y435" s="49"/>
    </row>
    <row r="436" ht="15.75" customHeight="1">
      <c r="A436" s="38"/>
      <c r="B436" s="49"/>
      <c r="C436" s="15"/>
      <c r="D436" s="663"/>
      <c r="E436" s="664"/>
      <c r="F436" s="665"/>
      <c r="G436" s="539"/>
      <c r="H436" s="373"/>
      <c r="I436" s="665"/>
      <c r="J436" s="666"/>
      <c r="K436" s="665"/>
      <c r="L436" s="667"/>
      <c r="M436" s="668"/>
      <c r="N436" s="373"/>
      <c r="O436" s="373"/>
      <c r="P436" s="670"/>
      <c r="Q436" s="665"/>
      <c r="R436" s="665"/>
      <c r="S436" s="539"/>
      <c r="T436" s="665"/>
      <c r="U436" s="49"/>
      <c r="V436" s="49"/>
      <c r="W436" s="49"/>
      <c r="X436" s="49"/>
      <c r="Y436" s="49"/>
    </row>
    <row r="437" ht="15.75" customHeight="1">
      <c r="A437" s="38"/>
      <c r="B437" s="49"/>
      <c r="C437" s="15"/>
      <c r="D437" s="663"/>
      <c r="E437" s="664"/>
      <c r="F437" s="665"/>
      <c r="G437" s="539"/>
      <c r="H437" s="373"/>
      <c r="I437" s="665"/>
      <c r="J437" s="666"/>
      <c r="K437" s="665"/>
      <c r="L437" s="667"/>
      <c r="M437" s="668"/>
      <c r="N437" s="373"/>
      <c r="O437" s="373"/>
      <c r="P437" s="670"/>
      <c r="Q437" s="665"/>
      <c r="R437" s="665"/>
      <c r="S437" s="539"/>
      <c r="T437" s="665"/>
      <c r="U437" s="49"/>
      <c r="V437" s="49"/>
      <c r="W437" s="49"/>
      <c r="X437" s="49"/>
      <c r="Y437" s="49"/>
    </row>
    <row r="438" ht="15.75" customHeight="1">
      <c r="A438" s="38"/>
      <c r="B438" s="49"/>
      <c r="C438" s="15"/>
      <c r="D438" s="663"/>
      <c r="E438" s="664"/>
      <c r="F438" s="665"/>
      <c r="G438" s="539"/>
      <c r="H438" s="373"/>
      <c r="I438" s="665"/>
      <c r="J438" s="666"/>
      <c r="K438" s="665"/>
      <c r="L438" s="667"/>
      <c r="M438" s="668"/>
      <c r="N438" s="373"/>
      <c r="O438" s="373"/>
      <c r="P438" s="670"/>
      <c r="Q438" s="665"/>
      <c r="R438" s="665"/>
      <c r="S438" s="539"/>
      <c r="T438" s="665"/>
      <c r="U438" s="49"/>
      <c r="V438" s="49"/>
      <c r="W438" s="49"/>
      <c r="X438" s="49"/>
      <c r="Y438" s="49"/>
    </row>
    <row r="439" ht="15.75" customHeight="1">
      <c r="A439" s="38"/>
      <c r="B439" s="49"/>
      <c r="C439" s="15"/>
      <c r="D439" s="663"/>
      <c r="E439" s="664"/>
      <c r="F439" s="665"/>
      <c r="G439" s="539"/>
      <c r="H439" s="373"/>
      <c r="I439" s="665"/>
      <c r="J439" s="666"/>
      <c r="K439" s="665"/>
      <c r="L439" s="667"/>
      <c r="M439" s="668"/>
      <c r="N439" s="373"/>
      <c r="O439" s="373"/>
      <c r="P439" s="670"/>
      <c r="Q439" s="665"/>
      <c r="R439" s="665"/>
      <c r="S439" s="539"/>
      <c r="T439" s="665"/>
      <c r="U439" s="49"/>
      <c r="V439" s="49"/>
      <c r="W439" s="49"/>
      <c r="X439" s="49"/>
      <c r="Y439" s="49"/>
    </row>
    <row r="440" ht="15.75" customHeight="1">
      <c r="A440" s="38"/>
      <c r="B440" s="49"/>
      <c r="C440" s="15"/>
      <c r="D440" s="663"/>
      <c r="E440" s="664"/>
      <c r="F440" s="665"/>
      <c r="G440" s="539"/>
      <c r="H440" s="373"/>
      <c r="I440" s="665"/>
      <c r="J440" s="666"/>
      <c r="K440" s="665"/>
      <c r="L440" s="667"/>
      <c r="M440" s="668"/>
      <c r="N440" s="373"/>
      <c r="O440" s="373"/>
      <c r="P440" s="670"/>
      <c r="Q440" s="665"/>
      <c r="R440" s="665"/>
      <c r="S440" s="539"/>
      <c r="T440" s="665"/>
      <c r="U440" s="49"/>
      <c r="V440" s="49"/>
      <c r="W440" s="49"/>
      <c r="X440" s="49"/>
      <c r="Y440" s="49"/>
    </row>
    <row r="441" ht="15.75" customHeight="1">
      <c r="A441" s="38"/>
      <c r="B441" s="49"/>
      <c r="C441" s="15"/>
      <c r="D441" s="663"/>
      <c r="E441" s="664"/>
      <c r="F441" s="665"/>
      <c r="G441" s="539"/>
      <c r="H441" s="373"/>
      <c r="I441" s="665"/>
      <c r="J441" s="666"/>
      <c r="K441" s="665"/>
      <c r="L441" s="667"/>
      <c r="M441" s="668"/>
      <c r="N441" s="373"/>
      <c r="O441" s="373"/>
      <c r="P441" s="670"/>
      <c r="Q441" s="665"/>
      <c r="R441" s="665"/>
      <c r="S441" s="539"/>
      <c r="T441" s="665"/>
      <c r="U441" s="49"/>
      <c r="V441" s="49"/>
      <c r="W441" s="49"/>
      <c r="X441" s="49"/>
      <c r="Y441" s="49"/>
    </row>
    <row r="442" ht="15.75" customHeight="1">
      <c r="A442" s="38"/>
      <c r="B442" s="49"/>
      <c r="C442" s="15"/>
      <c r="D442" s="663"/>
      <c r="E442" s="664"/>
      <c r="F442" s="665"/>
      <c r="G442" s="539"/>
      <c r="H442" s="373"/>
      <c r="I442" s="665"/>
      <c r="J442" s="666"/>
      <c r="K442" s="665"/>
      <c r="L442" s="667"/>
      <c r="M442" s="668"/>
      <c r="N442" s="373"/>
      <c r="O442" s="373"/>
      <c r="P442" s="670"/>
      <c r="Q442" s="665"/>
      <c r="R442" s="665"/>
      <c r="S442" s="539"/>
      <c r="T442" s="665"/>
      <c r="U442" s="49"/>
      <c r="V442" s="49"/>
      <c r="W442" s="49"/>
      <c r="X442" s="49"/>
      <c r="Y442" s="49"/>
    </row>
    <row r="443" ht="15.75" customHeight="1">
      <c r="A443" s="38"/>
      <c r="B443" s="49"/>
      <c r="C443" s="15"/>
      <c r="D443" s="663"/>
      <c r="E443" s="664"/>
      <c r="F443" s="665"/>
      <c r="G443" s="539"/>
      <c r="H443" s="373"/>
      <c r="I443" s="665"/>
      <c r="J443" s="666"/>
      <c r="K443" s="665"/>
      <c r="L443" s="667"/>
      <c r="M443" s="668"/>
      <c r="N443" s="373"/>
      <c r="O443" s="373"/>
      <c r="P443" s="670"/>
      <c r="Q443" s="665"/>
      <c r="R443" s="665"/>
      <c r="S443" s="539"/>
      <c r="T443" s="665"/>
      <c r="U443" s="49"/>
      <c r="V443" s="49"/>
      <c r="W443" s="49"/>
      <c r="X443" s="49"/>
      <c r="Y443" s="49"/>
    </row>
    <row r="444" ht="15.75" customHeight="1">
      <c r="A444" s="38"/>
      <c r="B444" s="49"/>
      <c r="C444" s="15"/>
      <c r="D444" s="663"/>
      <c r="E444" s="664"/>
      <c r="F444" s="665"/>
      <c r="G444" s="539"/>
      <c r="H444" s="373"/>
      <c r="I444" s="665"/>
      <c r="J444" s="666"/>
      <c r="K444" s="665"/>
      <c r="L444" s="667"/>
      <c r="M444" s="668"/>
      <c r="N444" s="373"/>
      <c r="O444" s="373"/>
      <c r="P444" s="670"/>
      <c r="Q444" s="665"/>
      <c r="R444" s="665"/>
      <c r="S444" s="539"/>
      <c r="T444" s="665"/>
      <c r="U444" s="49"/>
      <c r="V444" s="49"/>
      <c r="W444" s="49"/>
      <c r="X444" s="49"/>
      <c r="Y444" s="49"/>
    </row>
    <row r="445" ht="15.75" customHeight="1">
      <c r="A445" s="38"/>
      <c r="B445" s="49"/>
      <c r="C445" s="15"/>
      <c r="D445" s="663"/>
      <c r="E445" s="664"/>
      <c r="F445" s="665"/>
      <c r="G445" s="539"/>
      <c r="H445" s="373"/>
      <c r="I445" s="665"/>
      <c r="J445" s="666"/>
      <c r="K445" s="665"/>
      <c r="L445" s="667"/>
      <c r="M445" s="668"/>
      <c r="N445" s="373"/>
      <c r="O445" s="373"/>
      <c r="P445" s="670"/>
      <c r="Q445" s="665"/>
      <c r="R445" s="665"/>
      <c r="S445" s="539"/>
      <c r="T445" s="665"/>
      <c r="U445" s="49"/>
      <c r="V445" s="49"/>
      <c r="W445" s="49"/>
      <c r="X445" s="49"/>
      <c r="Y445" s="49"/>
    </row>
    <row r="446" ht="15.75" customHeight="1">
      <c r="A446" s="38"/>
      <c r="B446" s="49"/>
      <c r="C446" s="15"/>
      <c r="D446" s="663"/>
      <c r="E446" s="664"/>
      <c r="F446" s="665"/>
      <c r="G446" s="539"/>
      <c r="H446" s="373"/>
      <c r="I446" s="665"/>
      <c r="J446" s="666"/>
      <c r="K446" s="665"/>
      <c r="L446" s="667"/>
      <c r="M446" s="668"/>
      <c r="N446" s="373"/>
      <c r="O446" s="373"/>
      <c r="P446" s="670"/>
      <c r="Q446" s="665"/>
      <c r="R446" s="665"/>
      <c r="S446" s="539"/>
      <c r="T446" s="665"/>
      <c r="U446" s="49"/>
      <c r="V446" s="49"/>
      <c r="W446" s="49"/>
      <c r="X446" s="49"/>
      <c r="Y446" s="49"/>
    </row>
    <row r="447" ht="15.75" customHeight="1">
      <c r="A447" s="38"/>
      <c r="B447" s="49"/>
      <c r="C447" s="15"/>
      <c r="D447" s="663"/>
      <c r="E447" s="664"/>
      <c r="F447" s="665"/>
      <c r="G447" s="539"/>
      <c r="H447" s="373"/>
      <c r="I447" s="665"/>
      <c r="J447" s="666"/>
      <c r="K447" s="665"/>
      <c r="L447" s="667"/>
      <c r="M447" s="668"/>
      <c r="N447" s="373"/>
      <c r="O447" s="373"/>
      <c r="P447" s="670"/>
      <c r="Q447" s="665"/>
      <c r="R447" s="665"/>
      <c r="S447" s="539"/>
      <c r="T447" s="665"/>
      <c r="U447" s="49"/>
      <c r="V447" s="49"/>
      <c r="W447" s="49"/>
      <c r="X447" s="49"/>
      <c r="Y447" s="49"/>
    </row>
    <row r="448" ht="15.75" customHeight="1">
      <c r="A448" s="38"/>
      <c r="B448" s="49"/>
      <c r="C448" s="15"/>
      <c r="D448" s="663"/>
      <c r="E448" s="664"/>
      <c r="F448" s="665"/>
      <c r="G448" s="539"/>
      <c r="H448" s="373"/>
      <c r="I448" s="665"/>
      <c r="J448" s="666"/>
      <c r="K448" s="665"/>
      <c r="L448" s="667"/>
      <c r="M448" s="668"/>
      <c r="N448" s="373"/>
      <c r="O448" s="373"/>
      <c r="P448" s="670"/>
      <c r="Q448" s="665"/>
      <c r="R448" s="665"/>
      <c r="S448" s="539"/>
      <c r="T448" s="665"/>
      <c r="U448" s="49"/>
      <c r="V448" s="49"/>
      <c r="W448" s="49"/>
      <c r="X448" s="49"/>
      <c r="Y448" s="49"/>
    </row>
    <row r="449" ht="15.75" customHeight="1">
      <c r="A449" s="38"/>
      <c r="B449" s="49"/>
      <c r="C449" s="15"/>
      <c r="D449" s="663"/>
      <c r="E449" s="664"/>
      <c r="F449" s="665"/>
      <c r="G449" s="539"/>
      <c r="H449" s="373"/>
      <c r="I449" s="665"/>
      <c r="J449" s="666"/>
      <c r="K449" s="665"/>
      <c r="L449" s="667"/>
      <c r="M449" s="668"/>
      <c r="N449" s="373"/>
      <c r="O449" s="373"/>
      <c r="P449" s="670"/>
      <c r="Q449" s="665"/>
      <c r="R449" s="665"/>
      <c r="S449" s="539"/>
      <c r="T449" s="665"/>
      <c r="U449" s="49"/>
      <c r="V449" s="49"/>
      <c r="W449" s="49"/>
      <c r="X449" s="49"/>
      <c r="Y449" s="49"/>
    </row>
    <row r="450" ht="15.75" customHeight="1">
      <c r="A450" s="38"/>
      <c r="B450" s="49"/>
      <c r="C450" s="15"/>
      <c r="D450" s="663"/>
      <c r="E450" s="664"/>
      <c r="F450" s="665"/>
      <c r="G450" s="539"/>
      <c r="H450" s="373"/>
      <c r="I450" s="665"/>
      <c r="J450" s="666"/>
      <c r="K450" s="665"/>
      <c r="L450" s="667"/>
      <c r="M450" s="668"/>
      <c r="N450" s="373"/>
      <c r="O450" s="373"/>
      <c r="P450" s="670"/>
      <c r="Q450" s="665"/>
      <c r="R450" s="665"/>
      <c r="S450" s="539"/>
      <c r="T450" s="665"/>
      <c r="U450" s="49"/>
      <c r="V450" s="49"/>
      <c r="W450" s="49"/>
      <c r="X450" s="49"/>
      <c r="Y450" s="49"/>
    </row>
    <row r="451" ht="15.75" customHeight="1">
      <c r="A451" s="38"/>
      <c r="B451" s="49"/>
      <c r="C451" s="15"/>
      <c r="D451" s="663"/>
      <c r="E451" s="664"/>
      <c r="F451" s="665"/>
      <c r="G451" s="539"/>
      <c r="H451" s="373"/>
      <c r="I451" s="665"/>
      <c r="J451" s="666"/>
      <c r="K451" s="665"/>
      <c r="L451" s="667"/>
      <c r="M451" s="668"/>
      <c r="N451" s="373"/>
      <c r="O451" s="373"/>
      <c r="P451" s="670"/>
      <c r="Q451" s="665"/>
      <c r="R451" s="665"/>
      <c r="S451" s="539"/>
      <c r="T451" s="665"/>
      <c r="U451" s="49"/>
      <c r="V451" s="49"/>
      <c r="W451" s="49"/>
      <c r="X451" s="49"/>
      <c r="Y451" s="49"/>
    </row>
    <row r="452" ht="15.75" customHeight="1">
      <c r="A452" s="38"/>
      <c r="B452" s="49"/>
      <c r="C452" s="15"/>
      <c r="D452" s="663"/>
      <c r="E452" s="664"/>
      <c r="F452" s="665"/>
      <c r="G452" s="539"/>
      <c r="H452" s="373"/>
      <c r="I452" s="665"/>
      <c r="J452" s="666"/>
      <c r="K452" s="665"/>
      <c r="L452" s="667"/>
      <c r="M452" s="668"/>
      <c r="N452" s="373"/>
      <c r="O452" s="373"/>
      <c r="P452" s="670"/>
      <c r="Q452" s="665"/>
      <c r="R452" s="665"/>
      <c r="S452" s="539"/>
      <c r="T452" s="665"/>
      <c r="U452" s="49"/>
      <c r="V452" s="49"/>
      <c r="W452" s="49"/>
      <c r="X452" s="49"/>
      <c r="Y452" s="49"/>
    </row>
    <row r="453" ht="15.75" customHeight="1">
      <c r="A453" s="38"/>
      <c r="B453" s="49"/>
      <c r="C453" s="15"/>
      <c r="D453" s="663"/>
      <c r="E453" s="664"/>
      <c r="F453" s="665"/>
      <c r="G453" s="539"/>
      <c r="H453" s="373"/>
      <c r="I453" s="665"/>
      <c r="J453" s="666"/>
      <c r="K453" s="665"/>
      <c r="L453" s="667"/>
      <c r="M453" s="668"/>
      <c r="N453" s="373"/>
      <c r="O453" s="373"/>
      <c r="P453" s="670"/>
      <c r="Q453" s="665"/>
      <c r="R453" s="665"/>
      <c r="S453" s="539"/>
      <c r="T453" s="665"/>
      <c r="U453" s="49"/>
      <c r="V453" s="49"/>
      <c r="W453" s="49"/>
      <c r="X453" s="49"/>
      <c r="Y453" s="49"/>
    </row>
    <row r="454" ht="15.75" customHeight="1">
      <c r="A454" s="38"/>
      <c r="B454" s="49"/>
      <c r="C454" s="15"/>
      <c r="D454" s="663"/>
      <c r="E454" s="664"/>
      <c r="F454" s="665"/>
      <c r="G454" s="539"/>
      <c r="H454" s="373"/>
      <c r="I454" s="665"/>
      <c r="J454" s="666"/>
      <c r="K454" s="665"/>
      <c r="L454" s="667"/>
      <c r="M454" s="668"/>
      <c r="N454" s="373"/>
      <c r="O454" s="373"/>
      <c r="P454" s="670"/>
      <c r="Q454" s="665"/>
      <c r="R454" s="665"/>
      <c r="S454" s="539"/>
      <c r="T454" s="665"/>
      <c r="U454" s="49"/>
      <c r="V454" s="49"/>
      <c r="W454" s="49"/>
      <c r="X454" s="49"/>
      <c r="Y454" s="49"/>
    </row>
    <row r="455" ht="15.75" customHeight="1">
      <c r="A455" s="38"/>
      <c r="B455" s="49"/>
      <c r="C455" s="15"/>
      <c r="D455" s="663"/>
      <c r="E455" s="664"/>
      <c r="F455" s="665"/>
      <c r="G455" s="539"/>
      <c r="H455" s="373"/>
      <c r="I455" s="665"/>
      <c r="J455" s="666"/>
      <c r="K455" s="665"/>
      <c r="L455" s="667"/>
      <c r="M455" s="668"/>
      <c r="N455" s="373"/>
      <c r="O455" s="373"/>
      <c r="P455" s="670"/>
      <c r="Q455" s="665"/>
      <c r="R455" s="665"/>
      <c r="S455" s="539"/>
      <c r="T455" s="665"/>
      <c r="U455" s="49"/>
      <c r="V455" s="49"/>
      <c r="W455" s="49"/>
      <c r="X455" s="49"/>
      <c r="Y455" s="49"/>
    </row>
    <row r="456" ht="15.75" customHeight="1">
      <c r="A456" s="38"/>
      <c r="B456" s="49"/>
      <c r="C456" s="15"/>
      <c r="D456" s="663"/>
      <c r="E456" s="664"/>
      <c r="F456" s="665"/>
      <c r="G456" s="539"/>
      <c r="H456" s="373"/>
      <c r="I456" s="665"/>
      <c r="J456" s="666"/>
      <c r="K456" s="665"/>
      <c r="L456" s="667"/>
      <c r="M456" s="668"/>
      <c r="N456" s="373"/>
      <c r="O456" s="373"/>
      <c r="P456" s="670"/>
      <c r="Q456" s="665"/>
      <c r="R456" s="665"/>
      <c r="S456" s="539"/>
      <c r="T456" s="665"/>
      <c r="U456" s="49"/>
      <c r="V456" s="49"/>
      <c r="W456" s="49"/>
      <c r="X456" s="49"/>
      <c r="Y456" s="49"/>
    </row>
    <row r="457" ht="15.75" customHeight="1">
      <c r="A457" s="38"/>
      <c r="B457" s="49"/>
      <c r="C457" s="15"/>
      <c r="D457" s="663"/>
      <c r="E457" s="664"/>
      <c r="F457" s="665"/>
      <c r="G457" s="539"/>
      <c r="H457" s="373"/>
      <c r="I457" s="665"/>
      <c r="J457" s="666"/>
      <c r="K457" s="665"/>
      <c r="L457" s="667"/>
      <c r="M457" s="668"/>
      <c r="N457" s="373"/>
      <c r="O457" s="373"/>
      <c r="P457" s="670"/>
      <c r="Q457" s="665"/>
      <c r="R457" s="665"/>
      <c r="S457" s="539"/>
      <c r="T457" s="665"/>
      <c r="U457" s="49"/>
      <c r="V457" s="49"/>
      <c r="W457" s="49"/>
      <c r="X457" s="49"/>
      <c r="Y457" s="49"/>
    </row>
    <row r="458" ht="15.75" customHeight="1">
      <c r="A458" s="38"/>
      <c r="B458" s="49"/>
      <c r="C458" s="15"/>
      <c r="D458" s="663"/>
      <c r="E458" s="664"/>
      <c r="F458" s="665"/>
      <c r="G458" s="539"/>
      <c r="H458" s="373"/>
      <c r="I458" s="665"/>
      <c r="J458" s="666"/>
      <c r="K458" s="665"/>
      <c r="L458" s="667"/>
      <c r="M458" s="668"/>
      <c r="N458" s="373"/>
      <c r="O458" s="373"/>
      <c r="P458" s="670"/>
      <c r="Q458" s="665"/>
      <c r="R458" s="665"/>
      <c r="S458" s="539"/>
      <c r="T458" s="665"/>
      <c r="U458" s="49"/>
      <c r="V458" s="49"/>
      <c r="W458" s="49"/>
      <c r="X458" s="49"/>
      <c r="Y458" s="49"/>
    </row>
    <row r="459" ht="15.75" customHeight="1">
      <c r="A459" s="38"/>
      <c r="B459" s="49"/>
      <c r="C459" s="15"/>
      <c r="D459" s="663"/>
      <c r="E459" s="664"/>
      <c r="F459" s="665"/>
      <c r="G459" s="539"/>
      <c r="H459" s="373"/>
      <c r="I459" s="665"/>
      <c r="J459" s="666"/>
      <c r="K459" s="665"/>
      <c r="L459" s="667"/>
      <c r="M459" s="668"/>
      <c r="N459" s="373"/>
      <c r="O459" s="373"/>
      <c r="P459" s="670"/>
      <c r="Q459" s="665"/>
      <c r="R459" s="665"/>
      <c r="S459" s="539"/>
      <c r="T459" s="665"/>
      <c r="U459" s="49"/>
      <c r="V459" s="49"/>
      <c r="W459" s="49"/>
      <c r="X459" s="49"/>
      <c r="Y459" s="49"/>
    </row>
    <row r="460" ht="15.75" customHeight="1">
      <c r="A460" s="38"/>
      <c r="B460" s="49"/>
      <c r="C460" s="15"/>
      <c r="D460" s="663"/>
      <c r="E460" s="664"/>
      <c r="F460" s="665"/>
      <c r="G460" s="539"/>
      <c r="H460" s="373"/>
      <c r="I460" s="665"/>
      <c r="J460" s="666"/>
      <c r="K460" s="665"/>
      <c r="L460" s="667"/>
      <c r="M460" s="668"/>
      <c r="N460" s="373"/>
      <c r="O460" s="373"/>
      <c r="P460" s="670"/>
      <c r="Q460" s="665"/>
      <c r="R460" s="665"/>
      <c r="S460" s="539"/>
      <c r="T460" s="665"/>
      <c r="U460" s="49"/>
      <c r="V460" s="49"/>
      <c r="W460" s="49"/>
      <c r="X460" s="49"/>
      <c r="Y460" s="49"/>
    </row>
    <row r="461" ht="15.75" customHeight="1">
      <c r="A461" s="38"/>
      <c r="B461" s="49"/>
      <c r="C461" s="15"/>
      <c r="D461" s="663"/>
      <c r="E461" s="664"/>
      <c r="F461" s="665"/>
      <c r="G461" s="539"/>
      <c r="H461" s="373"/>
      <c r="I461" s="665"/>
      <c r="J461" s="666"/>
      <c r="K461" s="665"/>
      <c r="L461" s="667"/>
      <c r="M461" s="668"/>
      <c r="N461" s="373"/>
      <c r="O461" s="373"/>
      <c r="P461" s="670"/>
      <c r="Q461" s="665"/>
      <c r="R461" s="665"/>
      <c r="S461" s="539"/>
      <c r="T461" s="665"/>
      <c r="U461" s="49"/>
      <c r="V461" s="49"/>
      <c r="W461" s="49"/>
      <c r="X461" s="49"/>
      <c r="Y461" s="49"/>
    </row>
    <row r="462" ht="15.75" customHeight="1">
      <c r="A462" s="38"/>
      <c r="B462" s="49"/>
      <c r="C462" s="15"/>
      <c r="D462" s="663"/>
      <c r="E462" s="664"/>
      <c r="F462" s="665"/>
      <c r="G462" s="539"/>
      <c r="H462" s="373"/>
      <c r="I462" s="665"/>
      <c r="J462" s="666"/>
      <c r="K462" s="665"/>
      <c r="L462" s="667"/>
      <c r="M462" s="668"/>
      <c r="N462" s="373"/>
      <c r="O462" s="373"/>
      <c r="P462" s="670"/>
      <c r="Q462" s="665"/>
      <c r="R462" s="665"/>
      <c r="S462" s="539"/>
      <c r="T462" s="665"/>
      <c r="U462" s="49"/>
      <c r="V462" s="49"/>
      <c r="W462" s="49"/>
      <c r="X462" s="49"/>
      <c r="Y462" s="49"/>
    </row>
    <row r="463" ht="15.75" customHeight="1">
      <c r="A463" s="38"/>
      <c r="B463" s="49"/>
      <c r="C463" s="15"/>
      <c r="D463" s="663"/>
      <c r="E463" s="664"/>
      <c r="F463" s="665"/>
      <c r="G463" s="539"/>
      <c r="H463" s="373"/>
      <c r="I463" s="665"/>
      <c r="J463" s="666"/>
      <c r="K463" s="665"/>
      <c r="L463" s="667"/>
      <c r="M463" s="668"/>
      <c r="N463" s="373"/>
      <c r="O463" s="373"/>
      <c r="P463" s="670"/>
      <c r="Q463" s="665"/>
      <c r="R463" s="665"/>
      <c r="S463" s="539"/>
      <c r="T463" s="665"/>
      <c r="U463" s="49"/>
      <c r="V463" s="49"/>
      <c r="W463" s="49"/>
      <c r="X463" s="49"/>
      <c r="Y463" s="49"/>
    </row>
    <row r="464" ht="15.75" customHeight="1">
      <c r="A464" s="38"/>
      <c r="B464" s="49"/>
      <c r="C464" s="15"/>
      <c r="D464" s="663"/>
      <c r="E464" s="664"/>
      <c r="F464" s="665"/>
      <c r="G464" s="539"/>
      <c r="H464" s="373"/>
      <c r="I464" s="665"/>
      <c r="J464" s="666"/>
      <c r="K464" s="665"/>
      <c r="L464" s="667"/>
      <c r="M464" s="668"/>
      <c r="N464" s="373"/>
      <c r="O464" s="373"/>
      <c r="P464" s="670"/>
      <c r="Q464" s="665"/>
      <c r="R464" s="665"/>
      <c r="S464" s="539"/>
      <c r="T464" s="665"/>
      <c r="U464" s="49"/>
      <c r="V464" s="49"/>
      <c r="W464" s="49"/>
      <c r="X464" s="49"/>
      <c r="Y464" s="49"/>
    </row>
    <row r="465" ht="15.75" customHeight="1">
      <c r="A465" s="38"/>
      <c r="B465" s="49"/>
      <c r="C465" s="15"/>
      <c r="D465" s="663"/>
      <c r="E465" s="664"/>
      <c r="F465" s="665"/>
      <c r="G465" s="539"/>
      <c r="H465" s="373"/>
      <c r="I465" s="665"/>
      <c r="J465" s="666"/>
      <c r="K465" s="665"/>
      <c r="L465" s="667"/>
      <c r="M465" s="668"/>
      <c r="N465" s="373"/>
      <c r="O465" s="373"/>
      <c r="P465" s="670"/>
      <c r="Q465" s="665"/>
      <c r="R465" s="665"/>
      <c r="S465" s="539"/>
      <c r="T465" s="665"/>
      <c r="U465" s="49"/>
      <c r="V465" s="49"/>
      <c r="W465" s="49"/>
      <c r="X465" s="49"/>
      <c r="Y465" s="49"/>
    </row>
    <row r="466" ht="15.75" customHeight="1">
      <c r="A466" s="38"/>
      <c r="B466" s="49"/>
      <c r="C466" s="15"/>
      <c r="D466" s="663"/>
      <c r="E466" s="664"/>
      <c r="F466" s="665"/>
      <c r="G466" s="539"/>
      <c r="H466" s="373"/>
      <c r="I466" s="665"/>
      <c r="J466" s="666"/>
      <c r="K466" s="665"/>
      <c r="L466" s="667"/>
      <c r="M466" s="668"/>
      <c r="N466" s="373"/>
      <c r="O466" s="373"/>
      <c r="P466" s="670"/>
      <c r="Q466" s="665"/>
      <c r="R466" s="665"/>
      <c r="S466" s="539"/>
      <c r="T466" s="665"/>
      <c r="U466" s="49"/>
      <c r="V466" s="49"/>
      <c r="W466" s="49"/>
      <c r="X466" s="49"/>
      <c r="Y466" s="49"/>
    </row>
    <row r="467" ht="15.75" customHeight="1">
      <c r="A467" s="38"/>
      <c r="B467" s="49"/>
      <c r="C467" s="15"/>
      <c r="D467" s="663"/>
      <c r="E467" s="664"/>
      <c r="F467" s="665"/>
      <c r="G467" s="539"/>
      <c r="H467" s="373"/>
      <c r="I467" s="665"/>
      <c r="J467" s="666"/>
      <c r="K467" s="665"/>
      <c r="L467" s="667"/>
      <c r="M467" s="668"/>
      <c r="N467" s="373"/>
      <c r="O467" s="373"/>
      <c r="P467" s="670"/>
      <c r="Q467" s="665"/>
      <c r="R467" s="665"/>
      <c r="S467" s="539"/>
      <c r="T467" s="665"/>
      <c r="U467" s="49"/>
      <c r="V467" s="49"/>
      <c r="W467" s="49"/>
      <c r="X467" s="49"/>
      <c r="Y467" s="49"/>
    </row>
    <row r="468" ht="15.75" customHeight="1">
      <c r="A468" s="38"/>
      <c r="B468" s="49"/>
      <c r="C468" s="15"/>
      <c r="D468" s="663"/>
      <c r="E468" s="664"/>
      <c r="F468" s="665"/>
      <c r="G468" s="539"/>
      <c r="H468" s="373"/>
      <c r="I468" s="665"/>
      <c r="J468" s="666"/>
      <c r="K468" s="665"/>
      <c r="L468" s="667"/>
      <c r="M468" s="668"/>
      <c r="N468" s="373"/>
      <c r="O468" s="373"/>
      <c r="P468" s="670"/>
      <c r="Q468" s="665"/>
      <c r="R468" s="665"/>
      <c r="S468" s="539"/>
      <c r="T468" s="665"/>
      <c r="U468" s="49"/>
      <c r="V468" s="49"/>
      <c r="W468" s="49"/>
      <c r="X468" s="49"/>
      <c r="Y468" s="49"/>
    </row>
    <row r="469" ht="15.75" customHeight="1">
      <c r="A469" s="38"/>
      <c r="B469" s="49"/>
      <c r="C469" s="15"/>
      <c r="D469" s="663"/>
      <c r="E469" s="664"/>
      <c r="F469" s="665"/>
      <c r="G469" s="539"/>
      <c r="H469" s="373"/>
      <c r="I469" s="665"/>
      <c r="J469" s="666"/>
      <c r="K469" s="665"/>
      <c r="L469" s="667"/>
      <c r="M469" s="668"/>
      <c r="N469" s="373"/>
      <c r="O469" s="373"/>
      <c r="P469" s="670"/>
      <c r="Q469" s="665"/>
      <c r="R469" s="665"/>
      <c r="S469" s="539"/>
      <c r="T469" s="665"/>
      <c r="U469" s="49"/>
      <c r="V469" s="49"/>
      <c r="W469" s="49"/>
      <c r="X469" s="49"/>
      <c r="Y469" s="49"/>
    </row>
    <row r="470" ht="15.75" customHeight="1">
      <c r="A470" s="38"/>
      <c r="B470" s="49"/>
      <c r="C470" s="15"/>
      <c r="D470" s="663"/>
      <c r="E470" s="664"/>
      <c r="F470" s="665"/>
      <c r="G470" s="539"/>
      <c r="H470" s="373"/>
      <c r="I470" s="665"/>
      <c r="J470" s="666"/>
      <c r="K470" s="665"/>
      <c r="L470" s="667"/>
      <c r="M470" s="668"/>
      <c r="N470" s="373"/>
      <c r="O470" s="373"/>
      <c r="P470" s="670"/>
      <c r="Q470" s="665"/>
      <c r="R470" s="665"/>
      <c r="S470" s="539"/>
      <c r="T470" s="665"/>
      <c r="U470" s="49"/>
      <c r="V470" s="49"/>
      <c r="W470" s="49"/>
      <c r="X470" s="49"/>
      <c r="Y470" s="49"/>
    </row>
    <row r="471" ht="15.75" customHeight="1">
      <c r="A471" s="38"/>
      <c r="B471" s="49"/>
      <c r="C471" s="15"/>
      <c r="D471" s="663"/>
      <c r="E471" s="664"/>
      <c r="F471" s="665"/>
      <c r="G471" s="539"/>
      <c r="H471" s="373"/>
      <c r="I471" s="665"/>
      <c r="J471" s="666"/>
      <c r="K471" s="665"/>
      <c r="L471" s="667"/>
      <c r="M471" s="668"/>
      <c r="N471" s="373"/>
      <c r="O471" s="373"/>
      <c r="P471" s="670"/>
      <c r="Q471" s="665"/>
      <c r="R471" s="665"/>
      <c r="S471" s="539"/>
      <c r="T471" s="665"/>
      <c r="U471" s="49"/>
      <c r="V471" s="49"/>
      <c r="W471" s="49"/>
      <c r="X471" s="49"/>
      <c r="Y471" s="49"/>
    </row>
    <row r="472" ht="15.75" customHeight="1">
      <c r="A472" s="38"/>
      <c r="B472" s="49"/>
      <c r="C472" s="15"/>
      <c r="D472" s="663"/>
      <c r="E472" s="664"/>
      <c r="F472" s="665"/>
      <c r="G472" s="539"/>
      <c r="H472" s="373"/>
      <c r="I472" s="665"/>
      <c r="J472" s="666"/>
      <c r="K472" s="665"/>
      <c r="L472" s="667"/>
      <c r="M472" s="668"/>
      <c r="N472" s="373"/>
      <c r="O472" s="373"/>
      <c r="P472" s="670"/>
      <c r="Q472" s="665"/>
      <c r="R472" s="665"/>
      <c r="S472" s="539"/>
      <c r="T472" s="665"/>
      <c r="U472" s="49"/>
      <c r="V472" s="49"/>
      <c r="W472" s="49"/>
      <c r="X472" s="49"/>
      <c r="Y472" s="49"/>
    </row>
    <row r="473" ht="15.75" customHeight="1">
      <c r="A473" s="38"/>
      <c r="B473" s="49"/>
      <c r="C473" s="15"/>
      <c r="D473" s="663"/>
      <c r="E473" s="664"/>
      <c r="F473" s="665"/>
      <c r="G473" s="539"/>
      <c r="H473" s="373"/>
      <c r="I473" s="665"/>
      <c r="J473" s="666"/>
      <c r="K473" s="665"/>
      <c r="L473" s="667"/>
      <c r="M473" s="668"/>
      <c r="N473" s="373"/>
      <c r="O473" s="373"/>
      <c r="P473" s="670"/>
      <c r="Q473" s="665"/>
      <c r="R473" s="665"/>
      <c r="S473" s="539"/>
      <c r="T473" s="665"/>
      <c r="U473" s="49"/>
      <c r="V473" s="49"/>
      <c r="W473" s="49"/>
      <c r="X473" s="49"/>
      <c r="Y473" s="49"/>
    </row>
    <row r="474" ht="15.75" customHeight="1">
      <c r="A474" s="38"/>
      <c r="B474" s="49"/>
      <c r="C474" s="15"/>
      <c r="D474" s="663"/>
      <c r="E474" s="664"/>
      <c r="F474" s="665"/>
      <c r="G474" s="539"/>
      <c r="H474" s="373"/>
      <c r="I474" s="665"/>
      <c r="J474" s="666"/>
      <c r="K474" s="665"/>
      <c r="L474" s="667"/>
      <c r="M474" s="668"/>
      <c r="N474" s="373"/>
      <c r="O474" s="373"/>
      <c r="P474" s="670"/>
      <c r="Q474" s="665"/>
      <c r="R474" s="665"/>
      <c r="S474" s="539"/>
      <c r="T474" s="665"/>
      <c r="U474" s="49"/>
      <c r="V474" s="49"/>
      <c r="W474" s="49"/>
      <c r="X474" s="49"/>
      <c r="Y474" s="49"/>
    </row>
    <row r="475" ht="15.75" customHeight="1">
      <c r="A475" s="38"/>
      <c r="B475" s="49"/>
      <c r="C475" s="15"/>
      <c r="D475" s="663"/>
      <c r="E475" s="664"/>
      <c r="F475" s="665"/>
      <c r="G475" s="539"/>
      <c r="H475" s="373"/>
      <c r="I475" s="665"/>
      <c r="J475" s="666"/>
      <c r="K475" s="665"/>
      <c r="L475" s="667"/>
      <c r="M475" s="668"/>
      <c r="N475" s="373"/>
      <c r="O475" s="373"/>
      <c r="P475" s="670"/>
      <c r="Q475" s="665"/>
      <c r="R475" s="665"/>
      <c r="S475" s="539"/>
      <c r="T475" s="665"/>
      <c r="U475" s="49"/>
      <c r="V475" s="49"/>
      <c r="W475" s="49"/>
      <c r="X475" s="49"/>
      <c r="Y475" s="49"/>
    </row>
    <row r="476" ht="15.75" customHeight="1">
      <c r="A476" s="38"/>
      <c r="B476" s="49"/>
      <c r="C476" s="15"/>
      <c r="D476" s="663"/>
      <c r="E476" s="664"/>
      <c r="F476" s="665"/>
      <c r="G476" s="539"/>
      <c r="H476" s="373"/>
      <c r="I476" s="665"/>
      <c r="J476" s="666"/>
      <c r="K476" s="665"/>
      <c r="L476" s="667"/>
      <c r="M476" s="668"/>
      <c r="N476" s="373"/>
      <c r="O476" s="373"/>
      <c r="P476" s="670"/>
      <c r="Q476" s="665"/>
      <c r="R476" s="665"/>
      <c r="S476" s="539"/>
      <c r="T476" s="665"/>
      <c r="U476" s="49"/>
      <c r="V476" s="49"/>
      <c r="W476" s="49"/>
      <c r="X476" s="49"/>
      <c r="Y476" s="49"/>
    </row>
    <row r="477" ht="15.75" customHeight="1">
      <c r="A477" s="38"/>
      <c r="B477" s="49"/>
      <c r="C477" s="15"/>
      <c r="D477" s="663"/>
      <c r="E477" s="664"/>
      <c r="F477" s="665"/>
      <c r="G477" s="539"/>
      <c r="H477" s="373"/>
      <c r="I477" s="665"/>
      <c r="J477" s="666"/>
      <c r="K477" s="665"/>
      <c r="L477" s="667"/>
      <c r="M477" s="668"/>
      <c r="N477" s="373"/>
      <c r="O477" s="373"/>
      <c r="P477" s="670"/>
      <c r="Q477" s="665"/>
      <c r="R477" s="665"/>
      <c r="S477" s="539"/>
      <c r="T477" s="665"/>
      <c r="U477" s="49"/>
      <c r="V477" s="49"/>
      <c r="W477" s="49"/>
      <c r="X477" s="49"/>
      <c r="Y477" s="49"/>
    </row>
    <row r="478" ht="15.75" customHeight="1">
      <c r="A478" s="38"/>
      <c r="B478" s="49"/>
      <c r="C478" s="15"/>
      <c r="D478" s="663"/>
      <c r="E478" s="664"/>
      <c r="F478" s="665"/>
      <c r="G478" s="539"/>
      <c r="H478" s="373"/>
      <c r="I478" s="665"/>
      <c r="J478" s="666"/>
      <c r="K478" s="665"/>
      <c r="L478" s="667"/>
      <c r="M478" s="668"/>
      <c r="N478" s="373"/>
      <c r="O478" s="373"/>
      <c r="P478" s="670"/>
      <c r="Q478" s="665"/>
      <c r="R478" s="665"/>
      <c r="S478" s="539"/>
      <c r="T478" s="665"/>
      <c r="U478" s="49"/>
      <c r="V478" s="49"/>
      <c r="W478" s="49"/>
      <c r="X478" s="49"/>
      <c r="Y478" s="49"/>
    </row>
    <row r="479" ht="15.75" customHeight="1">
      <c r="A479" s="38"/>
      <c r="B479" s="49"/>
      <c r="C479" s="15"/>
      <c r="D479" s="663"/>
      <c r="E479" s="664"/>
      <c r="F479" s="665"/>
      <c r="G479" s="539"/>
      <c r="H479" s="373"/>
      <c r="I479" s="665"/>
      <c r="J479" s="666"/>
      <c r="K479" s="665"/>
      <c r="L479" s="667"/>
      <c r="M479" s="668"/>
      <c r="N479" s="373"/>
      <c r="O479" s="373"/>
      <c r="P479" s="670"/>
      <c r="Q479" s="665"/>
      <c r="R479" s="665"/>
      <c r="S479" s="539"/>
      <c r="T479" s="665"/>
      <c r="U479" s="49"/>
      <c r="V479" s="49"/>
      <c r="W479" s="49"/>
      <c r="X479" s="49"/>
      <c r="Y479" s="49"/>
    </row>
    <row r="480" ht="15.75" customHeight="1">
      <c r="A480" s="38"/>
      <c r="B480" s="49"/>
      <c r="C480" s="15"/>
      <c r="D480" s="663"/>
      <c r="E480" s="664"/>
      <c r="F480" s="665"/>
      <c r="G480" s="539"/>
      <c r="H480" s="373"/>
      <c r="I480" s="665"/>
      <c r="J480" s="666"/>
      <c r="K480" s="665"/>
      <c r="L480" s="667"/>
      <c r="M480" s="668"/>
      <c r="N480" s="373"/>
      <c r="O480" s="373"/>
      <c r="P480" s="670"/>
      <c r="Q480" s="665"/>
      <c r="R480" s="665"/>
      <c r="S480" s="539"/>
      <c r="T480" s="665"/>
      <c r="U480" s="49"/>
      <c r="V480" s="49"/>
      <c r="W480" s="49"/>
      <c r="X480" s="49"/>
      <c r="Y480" s="49"/>
    </row>
    <row r="481" ht="15.75" customHeight="1">
      <c r="A481" s="38"/>
      <c r="B481" s="49"/>
      <c r="C481" s="15"/>
      <c r="D481" s="663"/>
      <c r="E481" s="664"/>
      <c r="F481" s="665"/>
      <c r="G481" s="539"/>
      <c r="H481" s="373"/>
      <c r="I481" s="665"/>
      <c r="J481" s="666"/>
      <c r="K481" s="665"/>
      <c r="L481" s="667"/>
      <c r="M481" s="668"/>
      <c r="N481" s="373"/>
      <c r="O481" s="373"/>
      <c r="P481" s="670"/>
      <c r="Q481" s="665"/>
      <c r="R481" s="665"/>
      <c r="S481" s="539"/>
      <c r="T481" s="665"/>
      <c r="U481" s="49"/>
      <c r="V481" s="49"/>
      <c r="W481" s="49"/>
      <c r="X481" s="49"/>
      <c r="Y481" s="49"/>
    </row>
    <row r="482" ht="15.75" customHeight="1">
      <c r="A482" s="38"/>
      <c r="B482" s="49"/>
      <c r="C482" s="15"/>
      <c r="D482" s="663"/>
      <c r="E482" s="664"/>
      <c r="F482" s="665"/>
      <c r="G482" s="539"/>
      <c r="H482" s="373"/>
      <c r="I482" s="665"/>
      <c r="J482" s="666"/>
      <c r="K482" s="665"/>
      <c r="L482" s="667"/>
      <c r="M482" s="668"/>
      <c r="N482" s="373"/>
      <c r="O482" s="373"/>
      <c r="P482" s="670"/>
      <c r="Q482" s="665"/>
      <c r="R482" s="665"/>
      <c r="S482" s="539"/>
      <c r="T482" s="665"/>
      <c r="U482" s="49"/>
      <c r="V482" s="49"/>
      <c r="W482" s="49"/>
      <c r="X482" s="49"/>
      <c r="Y482" s="49"/>
    </row>
    <row r="483" ht="15.75" customHeight="1">
      <c r="A483" s="38"/>
      <c r="B483" s="49"/>
      <c r="C483" s="15"/>
      <c r="D483" s="663"/>
      <c r="E483" s="664"/>
      <c r="F483" s="665"/>
      <c r="G483" s="539"/>
      <c r="H483" s="373"/>
      <c r="I483" s="665"/>
      <c r="J483" s="666"/>
      <c r="K483" s="665"/>
      <c r="L483" s="667"/>
      <c r="M483" s="668"/>
      <c r="N483" s="373"/>
      <c r="O483" s="373"/>
      <c r="P483" s="670"/>
      <c r="Q483" s="665"/>
      <c r="R483" s="665"/>
      <c r="S483" s="539"/>
      <c r="T483" s="665"/>
      <c r="U483" s="49"/>
      <c r="V483" s="49"/>
      <c r="W483" s="49"/>
      <c r="X483" s="49"/>
      <c r="Y483" s="49"/>
    </row>
    <row r="484" ht="15.75" customHeight="1">
      <c r="A484" s="38"/>
      <c r="B484" s="49"/>
      <c r="C484" s="15"/>
      <c r="D484" s="663"/>
      <c r="E484" s="664"/>
      <c r="F484" s="665"/>
      <c r="G484" s="539"/>
      <c r="H484" s="373"/>
      <c r="I484" s="665"/>
      <c r="J484" s="666"/>
      <c r="K484" s="665"/>
      <c r="L484" s="667"/>
      <c r="M484" s="668"/>
      <c r="N484" s="373"/>
      <c r="O484" s="373"/>
      <c r="P484" s="670"/>
      <c r="Q484" s="665"/>
      <c r="R484" s="665"/>
      <c r="S484" s="539"/>
      <c r="T484" s="665"/>
      <c r="U484" s="49"/>
      <c r="V484" s="49"/>
      <c r="W484" s="49"/>
      <c r="X484" s="49"/>
      <c r="Y484" s="49"/>
    </row>
    <row r="485" ht="15.75" customHeight="1">
      <c r="A485" s="38"/>
      <c r="B485" s="49"/>
      <c r="C485" s="15"/>
      <c r="D485" s="663"/>
      <c r="E485" s="664"/>
      <c r="F485" s="665"/>
      <c r="G485" s="539"/>
      <c r="H485" s="373"/>
      <c r="I485" s="665"/>
      <c r="J485" s="666"/>
      <c r="K485" s="665"/>
      <c r="L485" s="667"/>
      <c r="M485" s="668"/>
      <c r="N485" s="373"/>
      <c r="O485" s="373"/>
      <c r="P485" s="670"/>
      <c r="Q485" s="665"/>
      <c r="R485" s="665"/>
      <c r="S485" s="539"/>
      <c r="T485" s="665"/>
      <c r="U485" s="49"/>
      <c r="V485" s="49"/>
      <c r="W485" s="49"/>
      <c r="X485" s="49"/>
      <c r="Y485" s="49"/>
    </row>
    <row r="486" ht="15.75" customHeight="1">
      <c r="A486" s="38"/>
      <c r="B486" s="49"/>
      <c r="C486" s="15"/>
      <c r="D486" s="663"/>
      <c r="E486" s="664"/>
      <c r="F486" s="665"/>
      <c r="G486" s="539"/>
      <c r="H486" s="373"/>
      <c r="I486" s="665"/>
      <c r="J486" s="666"/>
      <c r="K486" s="665"/>
      <c r="L486" s="667"/>
      <c r="M486" s="668"/>
      <c r="N486" s="373"/>
      <c r="O486" s="373"/>
      <c r="P486" s="670"/>
      <c r="Q486" s="665"/>
      <c r="R486" s="665"/>
      <c r="S486" s="539"/>
      <c r="T486" s="665"/>
      <c r="U486" s="49"/>
      <c r="V486" s="49"/>
      <c r="W486" s="49"/>
      <c r="X486" s="49"/>
      <c r="Y486" s="49"/>
    </row>
    <row r="487" ht="15.75" customHeight="1">
      <c r="A487" s="38"/>
      <c r="B487" s="49"/>
      <c r="C487" s="15"/>
      <c r="D487" s="663"/>
      <c r="E487" s="664"/>
      <c r="F487" s="665"/>
      <c r="G487" s="539"/>
      <c r="H487" s="373"/>
      <c r="I487" s="665"/>
      <c r="J487" s="666"/>
      <c r="K487" s="665"/>
      <c r="L487" s="667"/>
      <c r="M487" s="668"/>
      <c r="N487" s="373"/>
      <c r="O487" s="373"/>
      <c r="P487" s="670"/>
      <c r="Q487" s="665"/>
      <c r="R487" s="665"/>
      <c r="S487" s="539"/>
      <c r="T487" s="665"/>
      <c r="U487" s="49"/>
      <c r="V487" s="49"/>
      <c r="W487" s="49"/>
      <c r="X487" s="49"/>
      <c r="Y487" s="49"/>
    </row>
    <row r="488" ht="15.75" customHeight="1">
      <c r="A488" s="38"/>
      <c r="B488" s="49"/>
      <c r="C488" s="15"/>
      <c r="D488" s="663"/>
      <c r="E488" s="664"/>
      <c r="F488" s="665"/>
      <c r="G488" s="539"/>
      <c r="H488" s="373"/>
      <c r="I488" s="665"/>
      <c r="J488" s="666"/>
      <c r="K488" s="665"/>
      <c r="L488" s="667"/>
      <c r="M488" s="668"/>
      <c r="N488" s="373"/>
      <c r="O488" s="373"/>
      <c r="P488" s="670"/>
      <c r="Q488" s="665"/>
      <c r="R488" s="665"/>
      <c r="S488" s="539"/>
      <c r="T488" s="665"/>
      <c r="U488" s="49"/>
      <c r="V488" s="49"/>
      <c r="W488" s="49"/>
      <c r="X488" s="49"/>
      <c r="Y488" s="49"/>
    </row>
    <row r="489" ht="15.75" customHeight="1">
      <c r="A489" s="38"/>
      <c r="B489" s="49"/>
      <c r="C489" s="15"/>
      <c r="D489" s="663"/>
      <c r="E489" s="664"/>
      <c r="F489" s="665"/>
      <c r="G489" s="539"/>
      <c r="H489" s="373"/>
      <c r="I489" s="665"/>
      <c r="J489" s="666"/>
      <c r="K489" s="665"/>
      <c r="L489" s="667"/>
      <c r="M489" s="668"/>
      <c r="N489" s="373"/>
      <c r="O489" s="373"/>
      <c r="P489" s="670"/>
      <c r="Q489" s="665"/>
      <c r="R489" s="665"/>
      <c r="S489" s="539"/>
      <c r="T489" s="665"/>
      <c r="U489" s="49"/>
      <c r="V489" s="49"/>
      <c r="W489" s="49"/>
      <c r="X489" s="49"/>
      <c r="Y489" s="49"/>
    </row>
    <row r="490" ht="15.75" customHeight="1">
      <c r="A490" s="38"/>
      <c r="B490" s="49"/>
      <c r="C490" s="15"/>
      <c r="D490" s="663"/>
      <c r="E490" s="664"/>
      <c r="F490" s="665"/>
      <c r="G490" s="539"/>
      <c r="H490" s="373"/>
      <c r="I490" s="665"/>
      <c r="J490" s="666"/>
      <c r="K490" s="665"/>
      <c r="L490" s="667"/>
      <c r="M490" s="668"/>
      <c r="N490" s="373"/>
      <c r="O490" s="373"/>
      <c r="P490" s="670"/>
      <c r="Q490" s="665"/>
      <c r="R490" s="665"/>
      <c r="S490" s="539"/>
      <c r="T490" s="665"/>
      <c r="U490" s="49"/>
      <c r="V490" s="49"/>
      <c r="W490" s="49"/>
      <c r="X490" s="49"/>
      <c r="Y490" s="49"/>
    </row>
    <row r="491" ht="15.75" customHeight="1">
      <c r="A491" s="38"/>
      <c r="B491" s="49"/>
      <c r="C491" s="15"/>
      <c r="D491" s="663"/>
      <c r="E491" s="664"/>
      <c r="F491" s="665"/>
      <c r="G491" s="539"/>
      <c r="H491" s="373"/>
      <c r="I491" s="665"/>
      <c r="J491" s="666"/>
      <c r="K491" s="665"/>
      <c r="L491" s="667"/>
      <c r="M491" s="668"/>
      <c r="N491" s="373"/>
      <c r="O491" s="373"/>
      <c r="P491" s="670"/>
      <c r="Q491" s="665"/>
      <c r="R491" s="665"/>
      <c r="S491" s="539"/>
      <c r="T491" s="665"/>
      <c r="U491" s="49"/>
      <c r="V491" s="49"/>
      <c r="W491" s="49"/>
      <c r="X491" s="49"/>
      <c r="Y491" s="49"/>
    </row>
    <row r="492" ht="15.75" customHeight="1">
      <c r="A492" s="38"/>
      <c r="B492" s="49"/>
      <c r="C492" s="15"/>
      <c r="D492" s="663"/>
      <c r="E492" s="664"/>
      <c r="F492" s="665"/>
      <c r="G492" s="539"/>
      <c r="H492" s="373"/>
      <c r="I492" s="665"/>
      <c r="J492" s="666"/>
      <c r="K492" s="665"/>
      <c r="L492" s="667"/>
      <c r="M492" s="668"/>
      <c r="N492" s="373"/>
      <c r="O492" s="373"/>
      <c r="P492" s="670"/>
      <c r="Q492" s="665"/>
      <c r="R492" s="665"/>
      <c r="S492" s="539"/>
      <c r="T492" s="665"/>
      <c r="U492" s="49"/>
      <c r="V492" s="49"/>
      <c r="W492" s="49"/>
      <c r="X492" s="49"/>
      <c r="Y492" s="49"/>
    </row>
    <row r="493" ht="15.75" customHeight="1">
      <c r="A493" s="38"/>
      <c r="B493" s="49"/>
      <c r="C493" s="15"/>
      <c r="D493" s="663"/>
      <c r="E493" s="664"/>
      <c r="F493" s="665"/>
      <c r="G493" s="539"/>
      <c r="H493" s="373"/>
      <c r="I493" s="665"/>
      <c r="J493" s="666"/>
      <c r="K493" s="665"/>
      <c r="L493" s="667"/>
      <c r="M493" s="668"/>
      <c r="N493" s="373"/>
      <c r="O493" s="373"/>
      <c r="P493" s="670"/>
      <c r="Q493" s="665"/>
      <c r="R493" s="665"/>
      <c r="S493" s="539"/>
      <c r="T493" s="665"/>
      <c r="U493" s="49"/>
      <c r="V493" s="49"/>
      <c r="W493" s="49"/>
      <c r="X493" s="49"/>
      <c r="Y493" s="49"/>
    </row>
    <row r="494" ht="15.75" customHeight="1">
      <c r="A494" s="38"/>
      <c r="B494" s="49"/>
      <c r="C494" s="15"/>
      <c r="D494" s="663"/>
      <c r="E494" s="664"/>
      <c r="F494" s="665"/>
      <c r="G494" s="539"/>
      <c r="H494" s="373"/>
      <c r="I494" s="665"/>
      <c r="J494" s="666"/>
      <c r="K494" s="665"/>
      <c r="L494" s="667"/>
      <c r="M494" s="668"/>
      <c r="N494" s="373"/>
      <c r="O494" s="373"/>
      <c r="P494" s="670"/>
      <c r="Q494" s="665"/>
      <c r="R494" s="665"/>
      <c r="S494" s="539"/>
      <c r="T494" s="665"/>
      <c r="U494" s="49"/>
      <c r="V494" s="49"/>
      <c r="W494" s="49"/>
      <c r="X494" s="49"/>
      <c r="Y494" s="49"/>
    </row>
    <row r="495" ht="15.75" customHeight="1">
      <c r="A495" s="38"/>
      <c r="B495" s="49"/>
      <c r="C495" s="15"/>
      <c r="D495" s="663"/>
      <c r="E495" s="664"/>
      <c r="F495" s="665"/>
      <c r="G495" s="539"/>
      <c r="H495" s="373"/>
      <c r="I495" s="665"/>
      <c r="J495" s="666"/>
      <c r="K495" s="665"/>
      <c r="L495" s="667"/>
      <c r="M495" s="668"/>
      <c r="N495" s="373"/>
      <c r="O495" s="373"/>
      <c r="P495" s="670"/>
      <c r="Q495" s="665"/>
      <c r="R495" s="665"/>
      <c r="S495" s="539"/>
      <c r="T495" s="665"/>
      <c r="U495" s="49"/>
      <c r="V495" s="49"/>
      <c r="W495" s="49"/>
      <c r="X495" s="49"/>
      <c r="Y495" s="49"/>
    </row>
    <row r="496" ht="15.75" customHeight="1">
      <c r="A496" s="38"/>
      <c r="B496" s="49"/>
      <c r="C496" s="15"/>
      <c r="D496" s="663"/>
      <c r="E496" s="664"/>
      <c r="F496" s="665"/>
      <c r="G496" s="539"/>
      <c r="H496" s="373"/>
      <c r="I496" s="665"/>
      <c r="J496" s="666"/>
      <c r="K496" s="665"/>
      <c r="L496" s="667"/>
      <c r="M496" s="668"/>
      <c r="N496" s="373"/>
      <c r="O496" s="373"/>
      <c r="P496" s="670"/>
      <c r="Q496" s="665"/>
      <c r="R496" s="665"/>
      <c r="S496" s="539"/>
      <c r="T496" s="665"/>
      <c r="U496" s="49"/>
      <c r="V496" s="49"/>
      <c r="W496" s="49"/>
      <c r="X496" s="49"/>
      <c r="Y496" s="49"/>
    </row>
    <row r="497" ht="15.75" customHeight="1">
      <c r="A497" s="38"/>
      <c r="B497" s="49"/>
      <c r="C497" s="15"/>
      <c r="D497" s="663"/>
      <c r="E497" s="664"/>
      <c r="F497" s="665"/>
      <c r="G497" s="539"/>
      <c r="H497" s="373"/>
      <c r="I497" s="665"/>
      <c r="J497" s="666"/>
      <c r="K497" s="665"/>
      <c r="L497" s="667"/>
      <c r="M497" s="668"/>
      <c r="N497" s="373"/>
      <c r="O497" s="373"/>
      <c r="P497" s="670"/>
      <c r="Q497" s="665"/>
      <c r="R497" s="665"/>
      <c r="S497" s="539"/>
      <c r="T497" s="665"/>
      <c r="U497" s="49"/>
      <c r="V497" s="49"/>
      <c r="W497" s="49"/>
      <c r="X497" s="49"/>
      <c r="Y497" s="49"/>
    </row>
    <row r="498" ht="15.75" customHeight="1">
      <c r="A498" s="38"/>
      <c r="B498" s="49"/>
      <c r="C498" s="15"/>
      <c r="D498" s="663"/>
      <c r="E498" s="664"/>
      <c r="F498" s="665"/>
      <c r="G498" s="539"/>
      <c r="H498" s="373"/>
      <c r="I498" s="665"/>
      <c r="J498" s="666"/>
      <c r="K498" s="665"/>
      <c r="L498" s="667"/>
      <c r="M498" s="668"/>
      <c r="N498" s="373"/>
      <c r="O498" s="373"/>
      <c r="P498" s="670"/>
      <c r="Q498" s="665"/>
      <c r="R498" s="665"/>
      <c r="S498" s="539"/>
      <c r="T498" s="665"/>
      <c r="U498" s="49"/>
      <c r="V498" s="49"/>
      <c r="W498" s="49"/>
      <c r="X498" s="49"/>
      <c r="Y498" s="49"/>
    </row>
    <row r="499" ht="15.75" customHeight="1">
      <c r="A499" s="38"/>
      <c r="B499" s="49"/>
      <c r="C499" s="15"/>
      <c r="D499" s="663"/>
      <c r="E499" s="664"/>
      <c r="F499" s="665"/>
      <c r="G499" s="539"/>
      <c r="H499" s="373"/>
      <c r="I499" s="665"/>
      <c r="J499" s="666"/>
      <c r="K499" s="665"/>
      <c r="L499" s="667"/>
      <c r="M499" s="668"/>
      <c r="N499" s="373"/>
      <c r="O499" s="373"/>
      <c r="P499" s="670"/>
      <c r="Q499" s="665"/>
      <c r="R499" s="665"/>
      <c r="S499" s="539"/>
      <c r="T499" s="665"/>
      <c r="U499" s="49"/>
      <c r="V499" s="49"/>
      <c r="W499" s="49"/>
      <c r="X499" s="49"/>
      <c r="Y499" s="49"/>
    </row>
    <row r="500" ht="15.75" customHeight="1">
      <c r="A500" s="38"/>
      <c r="B500" s="49"/>
      <c r="C500" s="15"/>
      <c r="D500" s="663"/>
      <c r="E500" s="664"/>
      <c r="F500" s="665"/>
      <c r="G500" s="539"/>
      <c r="H500" s="373"/>
      <c r="I500" s="665"/>
      <c r="J500" s="666"/>
      <c r="K500" s="665"/>
      <c r="L500" s="667"/>
      <c r="M500" s="668"/>
      <c r="N500" s="373"/>
      <c r="O500" s="373"/>
      <c r="P500" s="670"/>
      <c r="Q500" s="665"/>
      <c r="R500" s="665"/>
      <c r="S500" s="539"/>
      <c r="T500" s="665"/>
      <c r="U500" s="49"/>
      <c r="V500" s="49"/>
      <c r="W500" s="49"/>
      <c r="X500" s="49"/>
      <c r="Y500" s="49"/>
    </row>
    <row r="501" ht="15.75" customHeight="1">
      <c r="A501" s="38"/>
      <c r="B501" s="49"/>
      <c r="C501" s="15"/>
      <c r="D501" s="663"/>
      <c r="E501" s="664"/>
      <c r="F501" s="665"/>
      <c r="G501" s="539"/>
      <c r="H501" s="373"/>
      <c r="I501" s="665"/>
      <c r="J501" s="666"/>
      <c r="K501" s="665"/>
      <c r="L501" s="667"/>
      <c r="M501" s="668"/>
      <c r="N501" s="373"/>
      <c r="O501" s="373"/>
      <c r="P501" s="670"/>
      <c r="Q501" s="665"/>
      <c r="R501" s="665"/>
      <c r="S501" s="539"/>
      <c r="T501" s="665"/>
      <c r="U501" s="49"/>
      <c r="V501" s="49"/>
      <c r="W501" s="49"/>
      <c r="X501" s="49"/>
      <c r="Y501" s="49"/>
    </row>
    <row r="502" ht="15.75" customHeight="1">
      <c r="A502" s="38"/>
      <c r="B502" s="49"/>
      <c r="C502" s="15"/>
      <c r="D502" s="663"/>
      <c r="E502" s="664"/>
      <c r="F502" s="665"/>
      <c r="G502" s="539"/>
      <c r="H502" s="373"/>
      <c r="I502" s="665"/>
      <c r="J502" s="666"/>
      <c r="K502" s="665"/>
      <c r="L502" s="667"/>
      <c r="M502" s="668"/>
      <c r="N502" s="373"/>
      <c r="O502" s="373"/>
      <c r="P502" s="670"/>
      <c r="Q502" s="665"/>
      <c r="R502" s="665"/>
      <c r="S502" s="539"/>
      <c r="T502" s="665"/>
      <c r="U502" s="49"/>
      <c r="V502" s="49"/>
      <c r="W502" s="49"/>
      <c r="X502" s="49"/>
      <c r="Y502" s="49"/>
    </row>
    <row r="503" ht="15.75" customHeight="1">
      <c r="A503" s="38"/>
      <c r="B503" s="49"/>
      <c r="C503" s="15"/>
      <c r="D503" s="663"/>
      <c r="E503" s="664"/>
      <c r="F503" s="665"/>
      <c r="G503" s="539"/>
      <c r="H503" s="373"/>
      <c r="I503" s="665"/>
      <c r="J503" s="666"/>
      <c r="K503" s="665"/>
      <c r="L503" s="667"/>
      <c r="M503" s="668"/>
      <c r="N503" s="373"/>
      <c r="O503" s="373"/>
      <c r="P503" s="670"/>
      <c r="Q503" s="665"/>
      <c r="R503" s="665"/>
      <c r="S503" s="539"/>
      <c r="T503" s="665"/>
      <c r="U503" s="49"/>
      <c r="V503" s="49"/>
      <c r="W503" s="49"/>
      <c r="X503" s="49"/>
      <c r="Y503" s="49"/>
    </row>
    <row r="504" ht="15.75" customHeight="1">
      <c r="A504" s="38"/>
      <c r="B504" s="49"/>
      <c r="C504" s="15"/>
      <c r="D504" s="663"/>
      <c r="E504" s="664"/>
      <c r="F504" s="665"/>
      <c r="G504" s="539"/>
      <c r="H504" s="373"/>
      <c r="I504" s="665"/>
      <c r="J504" s="666"/>
      <c r="K504" s="665"/>
      <c r="L504" s="667"/>
      <c r="M504" s="668"/>
      <c r="N504" s="373"/>
      <c r="O504" s="373"/>
      <c r="P504" s="670"/>
      <c r="Q504" s="665"/>
      <c r="R504" s="665"/>
      <c r="S504" s="539"/>
      <c r="T504" s="665"/>
      <c r="U504" s="49"/>
      <c r="V504" s="49"/>
      <c r="W504" s="49"/>
      <c r="X504" s="49"/>
      <c r="Y504" s="49"/>
    </row>
    <row r="505" ht="15.75" customHeight="1">
      <c r="A505" s="38"/>
      <c r="B505" s="49"/>
      <c r="C505" s="15"/>
      <c r="D505" s="663"/>
      <c r="E505" s="664"/>
      <c r="F505" s="665"/>
      <c r="G505" s="539"/>
      <c r="H505" s="373"/>
      <c r="I505" s="665"/>
      <c r="J505" s="666"/>
      <c r="K505" s="665"/>
      <c r="L505" s="667"/>
      <c r="M505" s="668"/>
      <c r="N505" s="373"/>
      <c r="O505" s="373"/>
      <c r="P505" s="670"/>
      <c r="Q505" s="665"/>
      <c r="R505" s="665"/>
      <c r="S505" s="539"/>
      <c r="T505" s="665"/>
      <c r="U505" s="49"/>
      <c r="V505" s="49"/>
      <c r="W505" s="49"/>
      <c r="X505" s="49"/>
      <c r="Y505" s="49"/>
    </row>
    <row r="506" ht="15.75" customHeight="1">
      <c r="A506" s="38"/>
      <c r="B506" s="49"/>
      <c r="C506" s="15"/>
      <c r="D506" s="663"/>
      <c r="E506" s="664"/>
      <c r="F506" s="665"/>
      <c r="G506" s="539"/>
      <c r="H506" s="373"/>
      <c r="I506" s="665"/>
      <c r="J506" s="666"/>
      <c r="K506" s="665"/>
      <c r="L506" s="667"/>
      <c r="M506" s="668"/>
      <c r="N506" s="373"/>
      <c r="O506" s="373"/>
      <c r="P506" s="670"/>
      <c r="Q506" s="665"/>
      <c r="R506" s="665"/>
      <c r="S506" s="539"/>
      <c r="T506" s="665"/>
      <c r="U506" s="49"/>
      <c r="V506" s="49"/>
      <c r="W506" s="49"/>
      <c r="X506" s="49"/>
      <c r="Y506" s="49"/>
    </row>
    <row r="507" ht="15.75" customHeight="1">
      <c r="A507" s="38"/>
      <c r="B507" s="49"/>
      <c r="C507" s="15"/>
      <c r="D507" s="663"/>
      <c r="E507" s="664"/>
      <c r="F507" s="665"/>
      <c r="G507" s="539"/>
      <c r="H507" s="373"/>
      <c r="I507" s="665"/>
      <c r="J507" s="666"/>
      <c r="K507" s="665"/>
      <c r="L507" s="667"/>
      <c r="M507" s="668"/>
      <c r="N507" s="373"/>
      <c r="O507" s="373"/>
      <c r="P507" s="670"/>
      <c r="Q507" s="665"/>
      <c r="R507" s="665"/>
      <c r="S507" s="539"/>
      <c r="T507" s="665"/>
      <c r="U507" s="49"/>
      <c r="V507" s="49"/>
      <c r="W507" s="49"/>
      <c r="X507" s="49"/>
      <c r="Y507" s="49"/>
    </row>
    <row r="508" ht="15.75" customHeight="1">
      <c r="A508" s="38"/>
      <c r="B508" s="49"/>
      <c r="C508" s="15"/>
      <c r="D508" s="663"/>
      <c r="E508" s="664"/>
      <c r="F508" s="665"/>
      <c r="G508" s="539"/>
      <c r="H508" s="373"/>
      <c r="I508" s="665"/>
      <c r="J508" s="666"/>
      <c r="K508" s="665"/>
      <c r="L508" s="667"/>
      <c r="M508" s="668"/>
      <c r="N508" s="373"/>
      <c r="O508" s="373"/>
      <c r="P508" s="670"/>
      <c r="Q508" s="665"/>
      <c r="R508" s="665"/>
      <c r="S508" s="539"/>
      <c r="T508" s="665"/>
      <c r="U508" s="49"/>
      <c r="V508" s="49"/>
      <c r="W508" s="49"/>
      <c r="X508" s="49"/>
      <c r="Y508" s="49"/>
    </row>
    <row r="509" ht="15.75" customHeight="1">
      <c r="A509" s="38"/>
      <c r="B509" s="49"/>
      <c r="C509" s="15"/>
      <c r="D509" s="663"/>
      <c r="E509" s="664"/>
      <c r="F509" s="665"/>
      <c r="G509" s="539"/>
      <c r="H509" s="373"/>
      <c r="I509" s="665"/>
      <c r="J509" s="666"/>
      <c r="K509" s="665"/>
      <c r="L509" s="667"/>
      <c r="M509" s="668"/>
      <c r="N509" s="373"/>
      <c r="O509" s="373"/>
      <c r="P509" s="670"/>
      <c r="Q509" s="665"/>
      <c r="R509" s="665"/>
      <c r="S509" s="539"/>
      <c r="T509" s="665"/>
      <c r="U509" s="49"/>
      <c r="V509" s="49"/>
      <c r="W509" s="49"/>
      <c r="X509" s="49"/>
      <c r="Y509" s="49"/>
    </row>
    <row r="510" ht="15.75" customHeight="1">
      <c r="A510" s="38"/>
      <c r="B510" s="49"/>
      <c r="C510" s="15"/>
      <c r="D510" s="663"/>
      <c r="E510" s="664"/>
      <c r="F510" s="665"/>
      <c r="G510" s="539"/>
      <c r="H510" s="373"/>
      <c r="I510" s="665"/>
      <c r="J510" s="666"/>
      <c r="K510" s="665"/>
      <c r="L510" s="667"/>
      <c r="M510" s="668"/>
      <c r="N510" s="373"/>
      <c r="O510" s="373"/>
      <c r="P510" s="670"/>
      <c r="Q510" s="665"/>
      <c r="R510" s="665"/>
      <c r="S510" s="539"/>
      <c r="T510" s="665"/>
      <c r="U510" s="49"/>
      <c r="V510" s="49"/>
      <c r="W510" s="49"/>
      <c r="X510" s="49"/>
      <c r="Y510" s="49"/>
    </row>
    <row r="511" ht="15.75" customHeight="1">
      <c r="A511" s="38"/>
      <c r="B511" s="49"/>
      <c r="C511" s="15"/>
      <c r="D511" s="663"/>
      <c r="E511" s="664"/>
      <c r="F511" s="665"/>
      <c r="G511" s="539"/>
      <c r="H511" s="373"/>
      <c r="I511" s="665"/>
      <c r="J511" s="666"/>
      <c r="K511" s="665"/>
      <c r="L511" s="667"/>
      <c r="M511" s="668"/>
      <c r="N511" s="373"/>
      <c r="O511" s="373"/>
      <c r="P511" s="670"/>
      <c r="Q511" s="665"/>
      <c r="R511" s="665"/>
      <c r="S511" s="539"/>
      <c r="T511" s="665"/>
      <c r="U511" s="49"/>
      <c r="V511" s="49"/>
      <c r="W511" s="49"/>
      <c r="X511" s="49"/>
      <c r="Y511" s="49"/>
    </row>
    <row r="512" ht="15.75" customHeight="1">
      <c r="A512" s="38"/>
      <c r="B512" s="49"/>
      <c r="C512" s="15"/>
      <c r="D512" s="663"/>
      <c r="E512" s="664"/>
      <c r="F512" s="665"/>
      <c r="G512" s="539"/>
      <c r="H512" s="373"/>
      <c r="I512" s="665"/>
      <c r="J512" s="666"/>
      <c r="K512" s="665"/>
      <c r="L512" s="667"/>
      <c r="M512" s="668"/>
      <c r="N512" s="373"/>
      <c r="O512" s="373"/>
      <c r="P512" s="670"/>
      <c r="Q512" s="665"/>
      <c r="R512" s="665"/>
      <c r="S512" s="539"/>
      <c r="T512" s="665"/>
      <c r="U512" s="49"/>
      <c r="V512" s="49"/>
      <c r="W512" s="49"/>
      <c r="X512" s="49"/>
      <c r="Y512" s="49"/>
    </row>
    <row r="513" ht="15.75" customHeight="1">
      <c r="A513" s="38"/>
      <c r="B513" s="49"/>
      <c r="C513" s="15"/>
      <c r="D513" s="663"/>
      <c r="E513" s="664"/>
      <c r="F513" s="665"/>
      <c r="G513" s="539"/>
      <c r="H513" s="373"/>
      <c r="I513" s="665"/>
      <c r="J513" s="666"/>
      <c r="K513" s="665"/>
      <c r="L513" s="667"/>
      <c r="M513" s="668"/>
      <c r="N513" s="373"/>
      <c r="O513" s="373"/>
      <c r="P513" s="670"/>
      <c r="Q513" s="665"/>
      <c r="R513" s="665"/>
      <c r="S513" s="539"/>
      <c r="T513" s="665"/>
      <c r="U513" s="49"/>
      <c r="V513" s="49"/>
      <c r="W513" s="49"/>
      <c r="X513" s="49"/>
      <c r="Y513" s="49"/>
    </row>
    <row r="514" ht="15.75" customHeight="1">
      <c r="A514" s="38"/>
      <c r="B514" s="49"/>
      <c r="C514" s="15"/>
      <c r="D514" s="663"/>
      <c r="E514" s="664"/>
      <c r="F514" s="665"/>
      <c r="G514" s="539"/>
      <c r="H514" s="373"/>
      <c r="I514" s="665"/>
      <c r="J514" s="666"/>
      <c r="K514" s="665"/>
      <c r="L514" s="667"/>
      <c r="M514" s="668"/>
      <c r="N514" s="373"/>
      <c r="O514" s="373"/>
      <c r="P514" s="670"/>
      <c r="Q514" s="665"/>
      <c r="R514" s="665"/>
      <c r="S514" s="539"/>
      <c r="T514" s="665"/>
      <c r="U514" s="49"/>
      <c r="V514" s="49"/>
      <c r="W514" s="49"/>
      <c r="X514" s="49"/>
      <c r="Y514" s="49"/>
    </row>
    <row r="515" ht="15.75" customHeight="1">
      <c r="A515" s="38"/>
      <c r="B515" s="49"/>
      <c r="C515" s="15"/>
      <c r="D515" s="663"/>
      <c r="E515" s="664"/>
      <c r="F515" s="665"/>
      <c r="G515" s="539"/>
      <c r="H515" s="373"/>
      <c r="I515" s="665"/>
      <c r="J515" s="666"/>
      <c r="K515" s="665"/>
      <c r="L515" s="667"/>
      <c r="M515" s="668"/>
      <c r="N515" s="373"/>
      <c r="O515" s="373"/>
      <c r="P515" s="670"/>
      <c r="Q515" s="665"/>
      <c r="R515" s="665"/>
      <c r="S515" s="539"/>
      <c r="T515" s="665"/>
      <c r="U515" s="49"/>
      <c r="V515" s="49"/>
      <c r="W515" s="49"/>
      <c r="X515" s="49"/>
      <c r="Y515" s="49"/>
    </row>
    <row r="516" ht="15.75" customHeight="1">
      <c r="A516" s="38"/>
      <c r="B516" s="49"/>
      <c r="C516" s="15"/>
      <c r="D516" s="663"/>
      <c r="E516" s="664"/>
      <c r="F516" s="665"/>
      <c r="G516" s="539"/>
      <c r="H516" s="373"/>
      <c r="I516" s="665"/>
      <c r="J516" s="666"/>
      <c r="K516" s="665"/>
      <c r="L516" s="667"/>
      <c r="M516" s="668"/>
      <c r="N516" s="373"/>
      <c r="O516" s="373"/>
      <c r="P516" s="670"/>
      <c r="Q516" s="665"/>
      <c r="R516" s="665"/>
      <c r="S516" s="539"/>
      <c r="T516" s="665"/>
      <c r="U516" s="49"/>
      <c r="V516" s="49"/>
      <c r="W516" s="49"/>
      <c r="X516" s="49"/>
      <c r="Y516" s="49"/>
    </row>
    <row r="517" ht="15.75" customHeight="1">
      <c r="A517" s="38"/>
      <c r="B517" s="49"/>
      <c r="C517" s="15"/>
      <c r="D517" s="663"/>
      <c r="E517" s="664"/>
      <c r="F517" s="665"/>
      <c r="G517" s="539"/>
      <c r="H517" s="373"/>
      <c r="I517" s="665"/>
      <c r="J517" s="666"/>
      <c r="K517" s="665"/>
      <c r="L517" s="667"/>
      <c r="M517" s="668"/>
      <c r="N517" s="373"/>
      <c r="O517" s="373"/>
      <c r="P517" s="670"/>
      <c r="Q517" s="665"/>
      <c r="R517" s="665"/>
      <c r="S517" s="539"/>
      <c r="T517" s="665"/>
      <c r="U517" s="49"/>
      <c r="V517" s="49"/>
      <c r="W517" s="49"/>
      <c r="X517" s="49"/>
      <c r="Y517" s="49"/>
    </row>
    <row r="518" ht="15.75" customHeight="1">
      <c r="A518" s="38"/>
      <c r="B518" s="49"/>
      <c r="C518" s="15"/>
      <c r="D518" s="663"/>
      <c r="E518" s="664"/>
      <c r="F518" s="665"/>
      <c r="G518" s="539"/>
      <c r="H518" s="373"/>
      <c r="I518" s="665"/>
      <c r="J518" s="666"/>
      <c r="K518" s="665"/>
      <c r="L518" s="667"/>
      <c r="M518" s="668"/>
      <c r="N518" s="373"/>
      <c r="O518" s="373"/>
      <c r="P518" s="670"/>
      <c r="Q518" s="665"/>
      <c r="R518" s="665"/>
      <c r="S518" s="539"/>
      <c r="T518" s="665"/>
      <c r="U518" s="49"/>
      <c r="V518" s="49"/>
      <c r="W518" s="49"/>
      <c r="X518" s="49"/>
      <c r="Y518" s="49"/>
    </row>
    <row r="519" ht="15.75" customHeight="1">
      <c r="A519" s="38"/>
      <c r="B519" s="49"/>
      <c r="C519" s="15"/>
      <c r="D519" s="663"/>
      <c r="E519" s="664"/>
      <c r="F519" s="665"/>
      <c r="G519" s="539"/>
      <c r="H519" s="373"/>
      <c r="I519" s="665"/>
      <c r="J519" s="666"/>
      <c r="K519" s="665"/>
      <c r="L519" s="667"/>
      <c r="M519" s="668"/>
      <c r="N519" s="373"/>
      <c r="O519" s="373"/>
      <c r="P519" s="670"/>
      <c r="Q519" s="665"/>
      <c r="R519" s="665"/>
      <c r="S519" s="539"/>
      <c r="T519" s="665"/>
      <c r="U519" s="49"/>
      <c r="V519" s="49"/>
      <c r="W519" s="49"/>
      <c r="X519" s="49"/>
      <c r="Y519" s="49"/>
    </row>
    <row r="520" ht="15.75" customHeight="1">
      <c r="A520" s="38"/>
      <c r="B520" s="49"/>
      <c r="C520" s="15"/>
      <c r="D520" s="663"/>
      <c r="E520" s="664"/>
      <c r="F520" s="665"/>
      <c r="G520" s="539"/>
      <c r="H520" s="373"/>
      <c r="I520" s="665"/>
      <c r="J520" s="666"/>
      <c r="K520" s="665"/>
      <c r="L520" s="667"/>
      <c r="M520" s="668"/>
      <c r="N520" s="373"/>
      <c r="O520" s="373"/>
      <c r="P520" s="670"/>
      <c r="Q520" s="665"/>
      <c r="R520" s="665"/>
      <c r="S520" s="539"/>
      <c r="T520" s="665"/>
      <c r="U520" s="49"/>
      <c r="V520" s="49"/>
      <c r="W520" s="49"/>
      <c r="X520" s="49"/>
      <c r="Y520" s="49"/>
    </row>
    <row r="521" ht="15.75" customHeight="1">
      <c r="A521" s="38"/>
      <c r="B521" s="49"/>
      <c r="C521" s="15"/>
      <c r="D521" s="663"/>
      <c r="E521" s="664"/>
      <c r="F521" s="665"/>
      <c r="G521" s="539"/>
      <c r="H521" s="373"/>
      <c r="I521" s="665"/>
      <c r="J521" s="666"/>
      <c r="K521" s="665"/>
      <c r="L521" s="667"/>
      <c r="M521" s="668"/>
      <c r="N521" s="373"/>
      <c r="O521" s="373"/>
      <c r="P521" s="670"/>
      <c r="Q521" s="665"/>
      <c r="R521" s="665"/>
      <c r="S521" s="539"/>
      <c r="T521" s="665"/>
      <c r="U521" s="49"/>
      <c r="V521" s="49"/>
      <c r="W521" s="49"/>
      <c r="X521" s="49"/>
      <c r="Y521" s="49"/>
    </row>
    <row r="522" ht="15.75" customHeight="1">
      <c r="A522" s="38"/>
      <c r="B522" s="49"/>
      <c r="C522" s="15"/>
      <c r="D522" s="663"/>
      <c r="E522" s="664"/>
      <c r="F522" s="665"/>
      <c r="G522" s="539"/>
      <c r="H522" s="373"/>
      <c r="I522" s="665"/>
      <c r="J522" s="666"/>
      <c r="K522" s="665"/>
      <c r="L522" s="667"/>
      <c r="M522" s="668"/>
      <c r="N522" s="373"/>
      <c r="O522" s="373"/>
      <c r="P522" s="670"/>
      <c r="Q522" s="665"/>
      <c r="R522" s="665"/>
      <c r="S522" s="539"/>
      <c r="T522" s="665"/>
      <c r="U522" s="49"/>
      <c r="V522" s="49"/>
      <c r="W522" s="49"/>
      <c r="X522" s="49"/>
      <c r="Y522" s="49"/>
    </row>
    <row r="523" ht="15.75" customHeight="1">
      <c r="A523" s="38"/>
      <c r="B523" s="49"/>
      <c r="C523" s="15"/>
      <c r="D523" s="663"/>
      <c r="E523" s="664"/>
      <c r="F523" s="665"/>
      <c r="G523" s="539"/>
      <c r="H523" s="373"/>
      <c r="I523" s="665"/>
      <c r="J523" s="666"/>
      <c r="K523" s="665"/>
      <c r="L523" s="667"/>
      <c r="M523" s="668"/>
      <c r="N523" s="373"/>
      <c r="O523" s="373"/>
      <c r="P523" s="670"/>
      <c r="Q523" s="665"/>
      <c r="R523" s="665"/>
      <c r="S523" s="539"/>
      <c r="T523" s="665"/>
      <c r="U523" s="49"/>
      <c r="V523" s="49"/>
      <c r="W523" s="49"/>
      <c r="X523" s="49"/>
      <c r="Y523" s="49"/>
    </row>
    <row r="524" ht="15.75" customHeight="1">
      <c r="A524" s="38"/>
      <c r="B524" s="49"/>
      <c r="C524" s="15"/>
      <c r="D524" s="663"/>
      <c r="E524" s="664"/>
      <c r="F524" s="665"/>
      <c r="G524" s="539"/>
      <c r="H524" s="373"/>
      <c r="I524" s="665"/>
      <c r="J524" s="666"/>
      <c r="K524" s="665"/>
      <c r="L524" s="667"/>
      <c r="M524" s="668"/>
      <c r="N524" s="373"/>
      <c r="O524" s="373"/>
      <c r="P524" s="670"/>
      <c r="Q524" s="665"/>
      <c r="R524" s="665"/>
      <c r="S524" s="539"/>
      <c r="T524" s="665"/>
      <c r="U524" s="49"/>
      <c r="V524" s="49"/>
      <c r="W524" s="49"/>
      <c r="X524" s="49"/>
      <c r="Y524" s="49"/>
    </row>
    <row r="525" ht="15.75" customHeight="1">
      <c r="A525" s="38"/>
      <c r="B525" s="49"/>
      <c r="C525" s="15"/>
      <c r="D525" s="663"/>
      <c r="E525" s="664"/>
      <c r="F525" s="665"/>
      <c r="G525" s="539"/>
      <c r="H525" s="373"/>
      <c r="I525" s="665"/>
      <c r="J525" s="666"/>
      <c r="K525" s="665"/>
      <c r="L525" s="667"/>
      <c r="M525" s="668"/>
      <c r="N525" s="373"/>
      <c r="O525" s="373"/>
      <c r="P525" s="670"/>
      <c r="Q525" s="665"/>
      <c r="R525" s="665"/>
      <c r="S525" s="539"/>
      <c r="T525" s="665"/>
      <c r="U525" s="49"/>
      <c r="V525" s="49"/>
      <c r="W525" s="49"/>
      <c r="X525" s="49"/>
      <c r="Y525" s="49"/>
    </row>
    <row r="526" ht="15.75" customHeight="1">
      <c r="A526" s="38"/>
      <c r="B526" s="49"/>
      <c r="C526" s="15"/>
      <c r="D526" s="663"/>
      <c r="E526" s="664"/>
      <c r="F526" s="665"/>
      <c r="G526" s="539"/>
      <c r="H526" s="373"/>
      <c r="I526" s="665"/>
      <c r="J526" s="666"/>
      <c r="K526" s="665"/>
      <c r="L526" s="667"/>
      <c r="M526" s="668"/>
      <c r="N526" s="373"/>
      <c r="O526" s="373"/>
      <c r="P526" s="670"/>
      <c r="Q526" s="665"/>
      <c r="R526" s="665"/>
      <c r="S526" s="539"/>
      <c r="T526" s="665"/>
      <c r="U526" s="49"/>
      <c r="V526" s="49"/>
      <c r="W526" s="49"/>
      <c r="X526" s="49"/>
      <c r="Y526" s="49"/>
    </row>
    <row r="527" ht="15.75" customHeight="1">
      <c r="A527" s="38"/>
      <c r="B527" s="49"/>
      <c r="C527" s="15"/>
      <c r="D527" s="663"/>
      <c r="E527" s="664"/>
      <c r="F527" s="665"/>
      <c r="G527" s="539"/>
      <c r="H527" s="373"/>
      <c r="I527" s="665"/>
      <c r="J527" s="666"/>
      <c r="K527" s="665"/>
      <c r="L527" s="667"/>
      <c r="M527" s="668"/>
      <c r="N527" s="373"/>
      <c r="O527" s="373"/>
      <c r="P527" s="670"/>
      <c r="Q527" s="665"/>
      <c r="R527" s="665"/>
      <c r="S527" s="539"/>
      <c r="T527" s="665"/>
      <c r="U527" s="49"/>
      <c r="V527" s="49"/>
      <c r="W527" s="49"/>
      <c r="X527" s="49"/>
      <c r="Y527" s="49"/>
    </row>
    <row r="528" ht="15.75" customHeight="1">
      <c r="A528" s="38"/>
      <c r="B528" s="49"/>
      <c r="C528" s="15"/>
      <c r="D528" s="663"/>
      <c r="E528" s="664"/>
      <c r="F528" s="665"/>
      <c r="G528" s="539"/>
      <c r="H528" s="373"/>
      <c r="I528" s="665"/>
      <c r="J528" s="666"/>
      <c r="K528" s="665"/>
      <c r="L528" s="667"/>
      <c r="M528" s="668"/>
      <c r="N528" s="373"/>
      <c r="O528" s="373"/>
      <c r="P528" s="670"/>
      <c r="Q528" s="665"/>
      <c r="R528" s="665"/>
      <c r="S528" s="539"/>
      <c r="T528" s="665"/>
      <c r="U528" s="49"/>
      <c r="V528" s="49"/>
      <c r="W528" s="49"/>
      <c r="X528" s="49"/>
      <c r="Y528" s="49"/>
    </row>
    <row r="529" ht="15.75" customHeight="1">
      <c r="A529" s="38"/>
      <c r="B529" s="49"/>
      <c r="C529" s="15"/>
      <c r="D529" s="663"/>
      <c r="E529" s="664"/>
      <c r="F529" s="665"/>
      <c r="G529" s="539"/>
      <c r="H529" s="373"/>
      <c r="I529" s="665"/>
      <c r="J529" s="666"/>
      <c r="K529" s="665"/>
      <c r="L529" s="667"/>
      <c r="M529" s="668"/>
      <c r="N529" s="373"/>
      <c r="O529" s="373"/>
      <c r="P529" s="670"/>
      <c r="Q529" s="665"/>
      <c r="R529" s="665"/>
      <c r="S529" s="539"/>
      <c r="T529" s="665"/>
      <c r="U529" s="49"/>
      <c r="V529" s="49"/>
      <c r="W529" s="49"/>
      <c r="X529" s="49"/>
      <c r="Y529" s="49"/>
    </row>
    <row r="530" ht="15.75" customHeight="1">
      <c r="A530" s="38"/>
      <c r="B530" s="49"/>
      <c r="C530" s="15"/>
      <c r="D530" s="663"/>
      <c r="E530" s="664"/>
      <c r="F530" s="665"/>
      <c r="G530" s="539"/>
      <c r="H530" s="373"/>
      <c r="I530" s="665"/>
      <c r="J530" s="666"/>
      <c r="K530" s="665"/>
      <c r="L530" s="667"/>
      <c r="M530" s="668"/>
      <c r="N530" s="373"/>
      <c r="O530" s="373"/>
      <c r="P530" s="670"/>
      <c r="Q530" s="665"/>
      <c r="R530" s="665"/>
      <c r="S530" s="539"/>
      <c r="T530" s="665"/>
      <c r="U530" s="49"/>
      <c r="V530" s="49"/>
      <c r="W530" s="49"/>
      <c r="X530" s="49"/>
      <c r="Y530" s="49"/>
    </row>
    <row r="531" ht="15.75" customHeight="1">
      <c r="A531" s="38"/>
      <c r="B531" s="49"/>
      <c r="C531" s="15"/>
      <c r="D531" s="663"/>
      <c r="E531" s="664"/>
      <c r="F531" s="665"/>
      <c r="G531" s="539"/>
      <c r="H531" s="373"/>
      <c r="I531" s="665"/>
      <c r="J531" s="666"/>
      <c r="K531" s="665"/>
      <c r="L531" s="667"/>
      <c r="M531" s="668"/>
      <c r="N531" s="373"/>
      <c r="O531" s="373"/>
      <c r="P531" s="670"/>
      <c r="Q531" s="665"/>
      <c r="R531" s="665"/>
      <c r="S531" s="539"/>
      <c r="T531" s="665"/>
      <c r="U531" s="49"/>
      <c r="V531" s="49"/>
      <c r="W531" s="49"/>
      <c r="X531" s="49"/>
      <c r="Y531" s="49"/>
    </row>
    <row r="532" ht="15.75" customHeight="1">
      <c r="A532" s="38"/>
      <c r="B532" s="49"/>
      <c r="C532" s="15"/>
      <c r="D532" s="663"/>
      <c r="E532" s="664"/>
      <c r="F532" s="665"/>
      <c r="G532" s="539"/>
      <c r="H532" s="373"/>
      <c r="I532" s="665"/>
      <c r="J532" s="666"/>
      <c r="K532" s="665"/>
      <c r="L532" s="667"/>
      <c r="M532" s="668"/>
      <c r="N532" s="373"/>
      <c r="O532" s="373"/>
      <c r="P532" s="670"/>
      <c r="Q532" s="665"/>
      <c r="R532" s="665"/>
      <c r="S532" s="539"/>
      <c r="T532" s="665"/>
      <c r="U532" s="49"/>
      <c r="V532" s="49"/>
      <c r="W532" s="49"/>
      <c r="X532" s="49"/>
      <c r="Y532" s="49"/>
    </row>
    <row r="533" ht="15.75" customHeight="1">
      <c r="A533" s="38"/>
      <c r="B533" s="49"/>
      <c r="C533" s="15"/>
      <c r="D533" s="663"/>
      <c r="E533" s="664"/>
      <c r="F533" s="665"/>
      <c r="G533" s="539"/>
      <c r="H533" s="373"/>
      <c r="I533" s="665"/>
      <c r="J533" s="666"/>
      <c r="K533" s="665"/>
      <c r="L533" s="667"/>
      <c r="M533" s="668"/>
      <c r="N533" s="373"/>
      <c r="O533" s="373"/>
      <c r="P533" s="670"/>
      <c r="Q533" s="665"/>
      <c r="R533" s="665"/>
      <c r="S533" s="539"/>
      <c r="T533" s="665"/>
      <c r="U533" s="49"/>
      <c r="V533" s="49"/>
      <c r="W533" s="49"/>
      <c r="X533" s="49"/>
      <c r="Y533" s="49"/>
    </row>
    <row r="534" ht="15.75" customHeight="1">
      <c r="A534" s="38"/>
      <c r="B534" s="49"/>
      <c r="C534" s="15"/>
      <c r="D534" s="663"/>
      <c r="E534" s="664"/>
      <c r="F534" s="665"/>
      <c r="G534" s="539"/>
      <c r="H534" s="373"/>
      <c r="I534" s="665"/>
      <c r="J534" s="666"/>
      <c r="K534" s="665"/>
      <c r="L534" s="667"/>
      <c r="M534" s="668"/>
      <c r="N534" s="373"/>
      <c r="O534" s="373"/>
      <c r="P534" s="670"/>
      <c r="Q534" s="665"/>
      <c r="R534" s="665"/>
      <c r="S534" s="539"/>
      <c r="T534" s="665"/>
      <c r="U534" s="49"/>
      <c r="V534" s="49"/>
      <c r="W534" s="49"/>
      <c r="X534" s="49"/>
      <c r="Y534" s="49"/>
    </row>
    <row r="535" ht="15.75" customHeight="1">
      <c r="A535" s="38"/>
      <c r="B535" s="49"/>
      <c r="C535" s="15"/>
      <c r="D535" s="663"/>
      <c r="E535" s="664"/>
      <c r="F535" s="665"/>
      <c r="G535" s="539"/>
      <c r="H535" s="373"/>
      <c r="I535" s="665"/>
      <c r="J535" s="666"/>
      <c r="K535" s="665"/>
      <c r="L535" s="667"/>
      <c r="M535" s="668"/>
      <c r="N535" s="373"/>
      <c r="O535" s="373"/>
      <c r="P535" s="670"/>
      <c r="Q535" s="665"/>
      <c r="R535" s="665"/>
      <c r="S535" s="539"/>
      <c r="T535" s="665"/>
      <c r="U535" s="49"/>
      <c r="V535" s="49"/>
      <c r="W535" s="49"/>
      <c r="X535" s="49"/>
      <c r="Y535" s="49"/>
    </row>
    <row r="536" ht="15.75" customHeight="1">
      <c r="A536" s="38"/>
      <c r="B536" s="49"/>
      <c r="C536" s="15"/>
      <c r="D536" s="663"/>
      <c r="E536" s="664"/>
      <c r="F536" s="665"/>
      <c r="G536" s="539"/>
      <c r="H536" s="373"/>
      <c r="I536" s="665"/>
      <c r="J536" s="666"/>
      <c r="K536" s="665"/>
      <c r="L536" s="667"/>
      <c r="M536" s="668"/>
      <c r="N536" s="373"/>
      <c r="O536" s="373"/>
      <c r="P536" s="670"/>
      <c r="Q536" s="665"/>
      <c r="R536" s="665"/>
      <c r="S536" s="539"/>
      <c r="T536" s="665"/>
      <c r="U536" s="49"/>
      <c r="V536" s="49"/>
      <c r="W536" s="49"/>
      <c r="X536" s="49"/>
      <c r="Y536" s="49"/>
    </row>
    <row r="537" ht="15.75" customHeight="1">
      <c r="A537" s="38"/>
      <c r="B537" s="49"/>
      <c r="C537" s="15"/>
      <c r="D537" s="663"/>
      <c r="E537" s="664"/>
      <c r="F537" s="665"/>
      <c r="G537" s="539"/>
      <c r="H537" s="373"/>
      <c r="I537" s="665"/>
      <c r="J537" s="666"/>
      <c r="K537" s="665"/>
      <c r="L537" s="667"/>
      <c r="M537" s="668"/>
      <c r="N537" s="373"/>
      <c r="O537" s="373"/>
      <c r="P537" s="670"/>
      <c r="Q537" s="665"/>
      <c r="R537" s="665"/>
      <c r="S537" s="539"/>
      <c r="T537" s="665"/>
      <c r="U537" s="49"/>
      <c r="V537" s="49"/>
      <c r="W537" s="49"/>
      <c r="X537" s="49"/>
      <c r="Y537" s="49"/>
    </row>
    <row r="538" ht="15.75" customHeight="1">
      <c r="A538" s="38"/>
      <c r="B538" s="49"/>
      <c r="C538" s="15"/>
      <c r="D538" s="663"/>
      <c r="E538" s="664"/>
      <c r="F538" s="665"/>
      <c r="G538" s="539"/>
      <c r="H538" s="373"/>
      <c r="I538" s="665"/>
      <c r="J538" s="666"/>
      <c r="K538" s="665"/>
      <c r="L538" s="667"/>
      <c r="M538" s="668"/>
      <c r="N538" s="373"/>
      <c r="O538" s="373"/>
      <c r="P538" s="670"/>
      <c r="Q538" s="665"/>
      <c r="R538" s="665"/>
      <c r="S538" s="539"/>
      <c r="T538" s="665"/>
      <c r="U538" s="49"/>
      <c r="V538" s="49"/>
      <c r="W538" s="49"/>
      <c r="X538" s="49"/>
      <c r="Y538" s="49"/>
    </row>
    <row r="539" ht="15.75" customHeight="1">
      <c r="A539" s="38"/>
      <c r="B539" s="49"/>
      <c r="C539" s="15"/>
      <c r="D539" s="663"/>
      <c r="E539" s="664"/>
      <c r="F539" s="665"/>
      <c r="G539" s="539"/>
      <c r="H539" s="373"/>
      <c r="I539" s="665"/>
      <c r="J539" s="666"/>
      <c r="K539" s="665"/>
      <c r="L539" s="667"/>
      <c r="M539" s="668"/>
      <c r="N539" s="373"/>
      <c r="O539" s="373"/>
      <c r="P539" s="670"/>
      <c r="Q539" s="665"/>
      <c r="R539" s="665"/>
      <c r="S539" s="539"/>
      <c r="T539" s="665"/>
      <c r="U539" s="49"/>
      <c r="V539" s="49"/>
      <c r="W539" s="49"/>
      <c r="X539" s="49"/>
      <c r="Y539" s="49"/>
    </row>
    <row r="540" ht="15.75" customHeight="1">
      <c r="A540" s="38"/>
      <c r="B540" s="49"/>
      <c r="C540" s="15"/>
      <c r="D540" s="663"/>
      <c r="E540" s="664"/>
      <c r="F540" s="665"/>
      <c r="G540" s="539"/>
      <c r="H540" s="373"/>
      <c r="I540" s="665"/>
      <c r="J540" s="666"/>
      <c r="K540" s="665"/>
      <c r="L540" s="667"/>
      <c r="M540" s="668"/>
      <c r="N540" s="373"/>
      <c r="O540" s="373"/>
      <c r="P540" s="670"/>
      <c r="Q540" s="665"/>
      <c r="R540" s="665"/>
      <c r="S540" s="539"/>
      <c r="T540" s="665"/>
      <c r="U540" s="49"/>
      <c r="V540" s="49"/>
      <c r="W540" s="49"/>
      <c r="X540" s="49"/>
      <c r="Y540" s="49"/>
    </row>
    <row r="541" ht="15.75" customHeight="1">
      <c r="A541" s="38"/>
      <c r="B541" s="49"/>
      <c r="C541" s="15"/>
      <c r="D541" s="663"/>
      <c r="E541" s="664"/>
      <c r="F541" s="665"/>
      <c r="G541" s="539"/>
      <c r="H541" s="373"/>
      <c r="I541" s="665"/>
      <c r="J541" s="666"/>
      <c r="K541" s="665"/>
      <c r="L541" s="667"/>
      <c r="M541" s="668"/>
      <c r="N541" s="373"/>
      <c r="O541" s="373"/>
      <c r="P541" s="670"/>
      <c r="Q541" s="665"/>
      <c r="R541" s="665"/>
      <c r="S541" s="539"/>
      <c r="T541" s="665"/>
      <c r="U541" s="49"/>
      <c r="V541" s="49"/>
      <c r="W541" s="49"/>
      <c r="X541" s="49"/>
      <c r="Y541" s="49"/>
    </row>
    <row r="542" ht="15.75" customHeight="1">
      <c r="A542" s="38"/>
      <c r="B542" s="49"/>
      <c r="C542" s="15"/>
      <c r="D542" s="663"/>
      <c r="E542" s="664"/>
      <c r="F542" s="665"/>
      <c r="G542" s="539"/>
      <c r="H542" s="373"/>
      <c r="I542" s="665"/>
      <c r="J542" s="666"/>
      <c r="K542" s="665"/>
      <c r="L542" s="667"/>
      <c r="M542" s="668"/>
      <c r="N542" s="373"/>
      <c r="O542" s="373"/>
      <c r="P542" s="670"/>
      <c r="Q542" s="665"/>
      <c r="R542" s="665"/>
      <c r="S542" s="539"/>
      <c r="T542" s="665"/>
      <c r="U542" s="49"/>
      <c r="V542" s="49"/>
      <c r="W542" s="49"/>
      <c r="X542" s="49"/>
      <c r="Y542" s="49"/>
    </row>
    <row r="543" ht="15.75" customHeight="1">
      <c r="A543" s="38"/>
      <c r="B543" s="49"/>
      <c r="C543" s="15"/>
      <c r="D543" s="663"/>
      <c r="E543" s="664"/>
      <c r="F543" s="665"/>
      <c r="G543" s="539"/>
      <c r="H543" s="373"/>
      <c r="I543" s="665"/>
      <c r="J543" s="666"/>
      <c r="K543" s="665"/>
      <c r="L543" s="667"/>
      <c r="M543" s="668"/>
      <c r="N543" s="373"/>
      <c r="O543" s="373"/>
      <c r="P543" s="670"/>
      <c r="Q543" s="665"/>
      <c r="R543" s="665"/>
      <c r="S543" s="539"/>
      <c r="T543" s="665"/>
      <c r="U543" s="49"/>
      <c r="V543" s="49"/>
      <c r="W543" s="49"/>
      <c r="X543" s="49"/>
      <c r="Y543" s="49"/>
    </row>
    <row r="544" ht="15.75" customHeight="1">
      <c r="A544" s="38"/>
      <c r="B544" s="49"/>
      <c r="C544" s="15"/>
      <c r="D544" s="663"/>
      <c r="E544" s="664"/>
      <c r="F544" s="665"/>
      <c r="G544" s="539"/>
      <c r="H544" s="373"/>
      <c r="I544" s="665"/>
      <c r="J544" s="666"/>
      <c r="K544" s="665"/>
      <c r="L544" s="667"/>
      <c r="M544" s="668"/>
      <c r="N544" s="373"/>
      <c r="O544" s="373"/>
      <c r="P544" s="670"/>
      <c r="Q544" s="665"/>
      <c r="R544" s="665"/>
      <c r="S544" s="539"/>
      <c r="T544" s="665"/>
      <c r="U544" s="49"/>
      <c r="V544" s="49"/>
      <c r="W544" s="49"/>
      <c r="X544" s="49"/>
      <c r="Y544" s="49"/>
    </row>
    <row r="545" ht="15.75" customHeight="1">
      <c r="A545" s="38"/>
      <c r="B545" s="49"/>
      <c r="C545" s="15"/>
      <c r="D545" s="663"/>
      <c r="E545" s="664"/>
      <c r="F545" s="665"/>
      <c r="G545" s="539"/>
      <c r="H545" s="373"/>
      <c r="I545" s="665"/>
      <c r="J545" s="666"/>
      <c r="K545" s="665"/>
      <c r="L545" s="667"/>
      <c r="M545" s="668"/>
      <c r="N545" s="373"/>
      <c r="O545" s="373"/>
      <c r="P545" s="670"/>
      <c r="Q545" s="665"/>
      <c r="R545" s="665"/>
      <c r="S545" s="539"/>
      <c r="T545" s="665"/>
      <c r="U545" s="49"/>
      <c r="V545" s="49"/>
      <c r="W545" s="49"/>
      <c r="X545" s="49"/>
      <c r="Y545" s="49"/>
    </row>
    <row r="546" ht="15.75" customHeight="1">
      <c r="A546" s="38"/>
      <c r="B546" s="49"/>
      <c r="C546" s="15"/>
      <c r="D546" s="663"/>
      <c r="E546" s="664"/>
      <c r="F546" s="665"/>
      <c r="G546" s="539"/>
      <c r="H546" s="373"/>
      <c r="I546" s="665"/>
      <c r="J546" s="666"/>
      <c r="K546" s="665"/>
      <c r="L546" s="667"/>
      <c r="M546" s="668"/>
      <c r="N546" s="373"/>
      <c r="O546" s="373"/>
      <c r="P546" s="670"/>
      <c r="Q546" s="665"/>
      <c r="R546" s="665"/>
      <c r="S546" s="539"/>
      <c r="T546" s="665"/>
      <c r="U546" s="49"/>
      <c r="V546" s="49"/>
      <c r="W546" s="49"/>
      <c r="X546" s="49"/>
      <c r="Y546" s="49"/>
    </row>
    <row r="547" ht="15.75" customHeight="1">
      <c r="A547" s="38"/>
      <c r="B547" s="49"/>
      <c r="C547" s="15"/>
      <c r="D547" s="663"/>
      <c r="E547" s="664"/>
      <c r="F547" s="665"/>
      <c r="G547" s="539"/>
      <c r="H547" s="373"/>
      <c r="I547" s="665"/>
      <c r="J547" s="666"/>
      <c r="K547" s="665"/>
      <c r="L547" s="667"/>
      <c r="M547" s="668"/>
      <c r="N547" s="373"/>
      <c r="O547" s="373"/>
      <c r="P547" s="670"/>
      <c r="Q547" s="665"/>
      <c r="R547" s="665"/>
      <c r="S547" s="539"/>
      <c r="T547" s="665"/>
      <c r="U547" s="49"/>
      <c r="V547" s="49"/>
      <c r="W547" s="49"/>
      <c r="X547" s="49"/>
      <c r="Y547" s="49"/>
    </row>
    <row r="548" ht="15.75" customHeight="1">
      <c r="A548" s="38"/>
      <c r="B548" s="49"/>
      <c r="C548" s="15"/>
      <c r="D548" s="663"/>
      <c r="E548" s="664"/>
      <c r="F548" s="665"/>
      <c r="G548" s="539"/>
      <c r="H548" s="373"/>
      <c r="I548" s="665"/>
      <c r="J548" s="666"/>
      <c r="K548" s="665"/>
      <c r="L548" s="667"/>
      <c r="M548" s="668"/>
      <c r="N548" s="373"/>
      <c r="O548" s="373"/>
      <c r="P548" s="670"/>
      <c r="Q548" s="665"/>
      <c r="R548" s="665"/>
      <c r="S548" s="539"/>
      <c r="T548" s="665"/>
      <c r="U548" s="49"/>
      <c r="V548" s="49"/>
      <c r="W548" s="49"/>
      <c r="X548" s="49"/>
      <c r="Y548" s="49"/>
    </row>
    <row r="549" ht="15.75" customHeight="1">
      <c r="A549" s="38"/>
      <c r="B549" s="49"/>
      <c r="C549" s="15"/>
      <c r="D549" s="663"/>
      <c r="E549" s="664"/>
      <c r="F549" s="665"/>
      <c r="G549" s="539"/>
      <c r="H549" s="373"/>
      <c r="I549" s="665"/>
      <c r="J549" s="666"/>
      <c r="K549" s="665"/>
      <c r="L549" s="667"/>
      <c r="M549" s="668"/>
      <c r="N549" s="373"/>
      <c r="O549" s="373"/>
      <c r="P549" s="670"/>
      <c r="Q549" s="665"/>
      <c r="R549" s="665"/>
      <c r="S549" s="539"/>
      <c r="T549" s="665"/>
      <c r="U549" s="49"/>
      <c r="V549" s="49"/>
      <c r="W549" s="49"/>
      <c r="X549" s="49"/>
      <c r="Y549" s="49"/>
    </row>
    <row r="550" ht="15.75" customHeight="1">
      <c r="A550" s="38"/>
      <c r="B550" s="49"/>
      <c r="C550" s="15"/>
      <c r="D550" s="663"/>
      <c r="E550" s="664"/>
      <c r="F550" s="665"/>
      <c r="G550" s="539"/>
      <c r="H550" s="373"/>
      <c r="I550" s="665"/>
      <c r="J550" s="666"/>
      <c r="K550" s="665"/>
      <c r="L550" s="667"/>
      <c r="M550" s="668"/>
      <c r="N550" s="373"/>
      <c r="O550" s="373"/>
      <c r="P550" s="670"/>
      <c r="Q550" s="665"/>
      <c r="R550" s="665"/>
      <c r="S550" s="539"/>
      <c r="T550" s="665"/>
      <c r="U550" s="49"/>
      <c r="V550" s="49"/>
      <c r="W550" s="49"/>
      <c r="X550" s="49"/>
      <c r="Y550" s="49"/>
    </row>
    <row r="551" ht="15.75" customHeight="1">
      <c r="A551" s="38"/>
      <c r="B551" s="49"/>
      <c r="C551" s="15"/>
      <c r="D551" s="663"/>
      <c r="E551" s="664"/>
      <c r="F551" s="665"/>
      <c r="G551" s="539"/>
      <c r="H551" s="373"/>
      <c r="I551" s="665"/>
      <c r="J551" s="666"/>
      <c r="K551" s="665"/>
      <c r="L551" s="667"/>
      <c r="M551" s="668"/>
      <c r="N551" s="373"/>
      <c r="O551" s="373"/>
      <c r="P551" s="670"/>
      <c r="Q551" s="665"/>
      <c r="R551" s="665"/>
      <c r="S551" s="539"/>
      <c r="T551" s="665"/>
      <c r="U551" s="49"/>
      <c r="V551" s="49"/>
      <c r="W551" s="49"/>
      <c r="X551" s="49"/>
      <c r="Y551" s="49"/>
    </row>
    <row r="552" ht="15.75" customHeight="1">
      <c r="A552" s="38"/>
      <c r="B552" s="49"/>
      <c r="C552" s="15"/>
      <c r="D552" s="663"/>
      <c r="E552" s="664"/>
      <c r="F552" s="665"/>
      <c r="G552" s="539"/>
      <c r="H552" s="373"/>
      <c r="I552" s="665"/>
      <c r="J552" s="666"/>
      <c r="K552" s="665"/>
      <c r="L552" s="667"/>
      <c r="M552" s="668"/>
      <c r="N552" s="373"/>
      <c r="O552" s="373"/>
      <c r="P552" s="670"/>
      <c r="Q552" s="665"/>
      <c r="R552" s="665"/>
      <c r="S552" s="539"/>
      <c r="T552" s="665"/>
      <c r="U552" s="49"/>
      <c r="V552" s="49"/>
      <c r="W552" s="49"/>
      <c r="X552" s="49"/>
      <c r="Y552" s="49"/>
    </row>
    <row r="553" ht="15.75" customHeight="1">
      <c r="A553" s="38"/>
      <c r="B553" s="49"/>
      <c r="C553" s="15"/>
      <c r="D553" s="663"/>
      <c r="E553" s="664"/>
      <c r="F553" s="665"/>
      <c r="G553" s="539"/>
      <c r="H553" s="373"/>
      <c r="I553" s="665"/>
      <c r="J553" s="666"/>
      <c r="K553" s="665"/>
      <c r="L553" s="667"/>
      <c r="M553" s="668"/>
      <c r="N553" s="373"/>
      <c r="O553" s="373"/>
      <c r="P553" s="670"/>
      <c r="Q553" s="665"/>
      <c r="R553" s="665"/>
      <c r="S553" s="539"/>
      <c r="T553" s="665"/>
      <c r="U553" s="49"/>
      <c r="V553" s="49"/>
      <c r="W553" s="49"/>
      <c r="X553" s="49"/>
      <c r="Y553" s="49"/>
    </row>
    <row r="554" ht="15.75" customHeight="1">
      <c r="A554" s="38"/>
      <c r="B554" s="49"/>
      <c r="C554" s="15"/>
      <c r="D554" s="663"/>
      <c r="E554" s="664"/>
      <c r="F554" s="665"/>
      <c r="G554" s="539"/>
      <c r="H554" s="373"/>
      <c r="I554" s="665"/>
      <c r="J554" s="666"/>
      <c r="K554" s="665"/>
      <c r="L554" s="667"/>
      <c r="M554" s="668"/>
      <c r="N554" s="373"/>
      <c r="O554" s="373"/>
      <c r="P554" s="670"/>
      <c r="Q554" s="665"/>
      <c r="R554" s="665"/>
      <c r="S554" s="539"/>
      <c r="T554" s="665"/>
      <c r="U554" s="49"/>
      <c r="V554" s="49"/>
      <c r="W554" s="49"/>
      <c r="X554" s="49"/>
      <c r="Y554" s="49"/>
    </row>
    <row r="555" ht="15.75" customHeight="1">
      <c r="A555" s="38"/>
      <c r="B555" s="49"/>
      <c r="C555" s="15"/>
      <c r="D555" s="663"/>
      <c r="E555" s="664"/>
      <c r="F555" s="665"/>
      <c r="G555" s="539"/>
      <c r="H555" s="373"/>
      <c r="I555" s="665"/>
      <c r="J555" s="666"/>
      <c r="K555" s="665"/>
      <c r="L555" s="667"/>
      <c r="M555" s="668"/>
      <c r="N555" s="373"/>
      <c r="O555" s="373"/>
      <c r="P555" s="670"/>
      <c r="Q555" s="665"/>
      <c r="R555" s="665"/>
      <c r="S555" s="539"/>
      <c r="T555" s="665"/>
      <c r="U555" s="49"/>
      <c r="V555" s="49"/>
      <c r="W555" s="49"/>
      <c r="X555" s="49"/>
      <c r="Y555" s="49"/>
    </row>
    <row r="556" ht="15.75" customHeight="1">
      <c r="A556" s="38"/>
      <c r="B556" s="49"/>
      <c r="C556" s="15"/>
      <c r="D556" s="663"/>
      <c r="E556" s="664"/>
      <c r="F556" s="665"/>
      <c r="G556" s="539"/>
      <c r="H556" s="373"/>
      <c r="I556" s="665"/>
      <c r="J556" s="666"/>
      <c r="K556" s="665"/>
      <c r="L556" s="667"/>
      <c r="M556" s="668"/>
      <c r="N556" s="373"/>
      <c r="O556" s="373"/>
      <c r="P556" s="670"/>
      <c r="Q556" s="665"/>
      <c r="R556" s="665"/>
      <c r="S556" s="539"/>
      <c r="T556" s="665"/>
      <c r="U556" s="49"/>
      <c r="V556" s="49"/>
      <c r="W556" s="49"/>
      <c r="X556" s="49"/>
      <c r="Y556" s="49"/>
    </row>
    <row r="557" ht="15.75" customHeight="1">
      <c r="A557" s="38"/>
      <c r="B557" s="49"/>
      <c r="C557" s="15"/>
      <c r="D557" s="663"/>
      <c r="E557" s="664"/>
      <c r="F557" s="665"/>
      <c r="G557" s="539"/>
      <c r="H557" s="373"/>
      <c r="I557" s="665"/>
      <c r="J557" s="666"/>
      <c r="K557" s="665"/>
      <c r="L557" s="667"/>
      <c r="M557" s="668"/>
      <c r="N557" s="373"/>
      <c r="O557" s="373"/>
      <c r="P557" s="670"/>
      <c r="Q557" s="665"/>
      <c r="R557" s="665"/>
      <c r="S557" s="539"/>
      <c r="T557" s="665"/>
      <c r="U557" s="49"/>
      <c r="V557" s="49"/>
      <c r="W557" s="49"/>
      <c r="X557" s="49"/>
      <c r="Y557" s="49"/>
    </row>
    <row r="558" ht="15.75" customHeight="1">
      <c r="A558" s="38"/>
      <c r="B558" s="49"/>
      <c r="C558" s="15"/>
      <c r="D558" s="663"/>
      <c r="E558" s="664"/>
      <c r="F558" s="665"/>
      <c r="G558" s="539"/>
      <c r="H558" s="373"/>
      <c r="I558" s="665"/>
      <c r="J558" s="666"/>
      <c r="K558" s="665"/>
      <c r="L558" s="667"/>
      <c r="M558" s="668"/>
      <c r="N558" s="373"/>
      <c r="O558" s="373"/>
      <c r="P558" s="670"/>
      <c r="Q558" s="665"/>
      <c r="R558" s="665"/>
      <c r="S558" s="539"/>
      <c r="T558" s="665"/>
      <c r="U558" s="49"/>
      <c r="V558" s="49"/>
      <c r="W558" s="49"/>
      <c r="X558" s="49"/>
      <c r="Y558" s="49"/>
    </row>
    <row r="559" ht="15.75" customHeight="1">
      <c r="A559" s="38"/>
      <c r="B559" s="49"/>
      <c r="C559" s="15"/>
      <c r="D559" s="663"/>
      <c r="E559" s="664"/>
      <c r="F559" s="665"/>
      <c r="G559" s="539"/>
      <c r="H559" s="373"/>
      <c r="I559" s="665"/>
      <c r="J559" s="666"/>
      <c r="K559" s="665"/>
      <c r="L559" s="667"/>
      <c r="M559" s="668"/>
      <c r="N559" s="373"/>
      <c r="O559" s="373"/>
      <c r="P559" s="670"/>
      <c r="Q559" s="665"/>
      <c r="R559" s="665"/>
      <c r="S559" s="539"/>
      <c r="T559" s="665"/>
      <c r="U559" s="49"/>
      <c r="V559" s="49"/>
      <c r="W559" s="49"/>
      <c r="X559" s="49"/>
      <c r="Y559" s="49"/>
    </row>
    <row r="560" ht="15.75" customHeight="1">
      <c r="A560" s="38"/>
      <c r="B560" s="49"/>
      <c r="C560" s="15"/>
      <c r="D560" s="663"/>
      <c r="E560" s="664"/>
      <c r="F560" s="665"/>
      <c r="G560" s="539"/>
      <c r="H560" s="373"/>
      <c r="I560" s="665"/>
      <c r="J560" s="666"/>
      <c r="K560" s="665"/>
      <c r="L560" s="667"/>
      <c r="M560" s="668"/>
      <c r="N560" s="373"/>
      <c r="O560" s="373"/>
      <c r="P560" s="670"/>
      <c r="Q560" s="665"/>
      <c r="R560" s="665"/>
      <c r="S560" s="539"/>
      <c r="T560" s="665"/>
      <c r="U560" s="49"/>
      <c r="V560" s="49"/>
      <c r="W560" s="49"/>
      <c r="X560" s="49"/>
      <c r="Y560" s="49"/>
    </row>
    <row r="561" ht="15.75" customHeight="1">
      <c r="A561" s="38"/>
      <c r="B561" s="49"/>
      <c r="C561" s="15"/>
      <c r="D561" s="663"/>
      <c r="E561" s="664"/>
      <c r="F561" s="665"/>
      <c r="G561" s="539"/>
      <c r="H561" s="373"/>
      <c r="I561" s="665"/>
      <c r="J561" s="666"/>
      <c r="K561" s="665"/>
      <c r="L561" s="667"/>
      <c r="M561" s="668"/>
      <c r="N561" s="373"/>
      <c r="O561" s="373"/>
      <c r="P561" s="670"/>
      <c r="Q561" s="665"/>
      <c r="R561" s="665"/>
      <c r="S561" s="539"/>
      <c r="T561" s="665"/>
      <c r="U561" s="49"/>
      <c r="V561" s="49"/>
      <c r="W561" s="49"/>
      <c r="X561" s="49"/>
      <c r="Y561" s="49"/>
    </row>
    <row r="562" ht="15.75" customHeight="1">
      <c r="A562" s="38"/>
      <c r="B562" s="49"/>
      <c r="C562" s="15"/>
      <c r="D562" s="663"/>
      <c r="E562" s="664"/>
      <c r="F562" s="665"/>
      <c r="G562" s="539"/>
      <c r="H562" s="373"/>
      <c r="I562" s="665"/>
      <c r="J562" s="666"/>
      <c r="K562" s="665"/>
      <c r="L562" s="667"/>
      <c r="M562" s="668"/>
      <c r="N562" s="373"/>
      <c r="O562" s="373"/>
      <c r="P562" s="670"/>
      <c r="Q562" s="665"/>
      <c r="R562" s="665"/>
      <c r="S562" s="539"/>
      <c r="T562" s="665"/>
      <c r="U562" s="49"/>
      <c r="V562" s="49"/>
      <c r="W562" s="49"/>
      <c r="X562" s="49"/>
      <c r="Y562" s="49"/>
    </row>
    <row r="563" ht="15.75" customHeight="1">
      <c r="A563" s="38"/>
      <c r="B563" s="49"/>
      <c r="C563" s="15"/>
      <c r="D563" s="663"/>
      <c r="E563" s="664"/>
      <c r="F563" s="665"/>
      <c r="G563" s="539"/>
      <c r="H563" s="373"/>
      <c r="I563" s="665"/>
      <c r="J563" s="666"/>
      <c r="K563" s="665"/>
      <c r="L563" s="667"/>
      <c r="M563" s="668"/>
      <c r="N563" s="373"/>
      <c r="O563" s="373"/>
      <c r="P563" s="670"/>
      <c r="Q563" s="665"/>
      <c r="R563" s="665"/>
      <c r="S563" s="539"/>
      <c r="T563" s="665"/>
      <c r="U563" s="49"/>
      <c r="V563" s="49"/>
      <c r="W563" s="49"/>
      <c r="X563" s="49"/>
      <c r="Y563" s="49"/>
    </row>
    <row r="564" ht="15.75" customHeight="1">
      <c r="A564" s="38"/>
      <c r="B564" s="49"/>
      <c r="C564" s="15"/>
      <c r="D564" s="663"/>
      <c r="E564" s="664"/>
      <c r="F564" s="665"/>
      <c r="G564" s="539"/>
      <c r="H564" s="373"/>
      <c r="I564" s="665"/>
      <c r="J564" s="666"/>
      <c r="K564" s="665"/>
      <c r="L564" s="667"/>
      <c r="M564" s="668"/>
      <c r="N564" s="373"/>
      <c r="O564" s="373"/>
      <c r="P564" s="670"/>
      <c r="Q564" s="665"/>
      <c r="R564" s="665"/>
      <c r="S564" s="539"/>
      <c r="T564" s="665"/>
      <c r="U564" s="49"/>
      <c r="V564" s="49"/>
      <c r="W564" s="49"/>
      <c r="X564" s="49"/>
      <c r="Y564" s="49"/>
    </row>
    <row r="565" ht="15.75" customHeight="1">
      <c r="A565" s="38"/>
      <c r="B565" s="49"/>
      <c r="C565" s="15"/>
      <c r="D565" s="663"/>
      <c r="E565" s="664"/>
      <c r="F565" s="665"/>
      <c r="G565" s="539"/>
      <c r="H565" s="373"/>
      <c r="I565" s="665"/>
      <c r="J565" s="666"/>
      <c r="K565" s="665"/>
      <c r="L565" s="667"/>
      <c r="M565" s="668"/>
      <c r="N565" s="373"/>
      <c r="O565" s="373"/>
      <c r="P565" s="670"/>
      <c r="Q565" s="665"/>
      <c r="R565" s="665"/>
      <c r="S565" s="539"/>
      <c r="T565" s="665"/>
      <c r="U565" s="49"/>
      <c r="V565" s="49"/>
      <c r="W565" s="49"/>
      <c r="X565" s="49"/>
      <c r="Y565" s="49"/>
    </row>
    <row r="566" ht="15.75" customHeight="1">
      <c r="A566" s="38"/>
      <c r="B566" s="49"/>
      <c r="C566" s="15"/>
      <c r="D566" s="663"/>
      <c r="E566" s="664"/>
      <c r="F566" s="665"/>
      <c r="G566" s="539"/>
      <c r="H566" s="373"/>
      <c r="I566" s="665"/>
      <c r="J566" s="666"/>
      <c r="K566" s="665"/>
      <c r="L566" s="667"/>
      <c r="M566" s="668"/>
      <c r="N566" s="373"/>
      <c r="O566" s="373"/>
      <c r="P566" s="670"/>
      <c r="Q566" s="665"/>
      <c r="R566" s="665"/>
      <c r="S566" s="539"/>
      <c r="T566" s="665"/>
      <c r="U566" s="49"/>
      <c r="V566" s="49"/>
      <c r="W566" s="49"/>
      <c r="X566" s="49"/>
      <c r="Y566" s="49"/>
    </row>
    <row r="567" ht="15.75" customHeight="1">
      <c r="A567" s="38"/>
      <c r="B567" s="49"/>
      <c r="C567" s="15"/>
      <c r="D567" s="663"/>
      <c r="E567" s="664"/>
      <c r="F567" s="665"/>
      <c r="G567" s="539"/>
      <c r="H567" s="373"/>
      <c r="I567" s="665"/>
      <c r="J567" s="666"/>
      <c r="K567" s="665"/>
      <c r="L567" s="667"/>
      <c r="M567" s="668"/>
      <c r="N567" s="373"/>
      <c r="O567" s="373"/>
      <c r="P567" s="670"/>
      <c r="Q567" s="665"/>
      <c r="R567" s="665"/>
      <c r="S567" s="539"/>
      <c r="T567" s="665"/>
      <c r="U567" s="49"/>
      <c r="V567" s="49"/>
      <c r="W567" s="49"/>
      <c r="X567" s="49"/>
      <c r="Y567" s="49"/>
    </row>
    <row r="568" ht="15.75" customHeight="1">
      <c r="A568" s="38"/>
      <c r="B568" s="49"/>
      <c r="C568" s="15"/>
      <c r="D568" s="663"/>
      <c r="E568" s="664"/>
      <c r="F568" s="665"/>
      <c r="G568" s="539"/>
      <c r="H568" s="373"/>
      <c r="I568" s="665"/>
      <c r="J568" s="666"/>
      <c r="K568" s="665"/>
      <c r="L568" s="667"/>
      <c r="M568" s="668"/>
      <c r="N568" s="373"/>
      <c r="O568" s="373"/>
      <c r="P568" s="670"/>
      <c r="Q568" s="665"/>
      <c r="R568" s="665"/>
      <c r="S568" s="539"/>
      <c r="T568" s="665"/>
      <c r="U568" s="49"/>
      <c r="V568" s="49"/>
      <c r="W568" s="49"/>
      <c r="X568" s="49"/>
      <c r="Y568" s="49"/>
    </row>
    <row r="569" ht="15.75" customHeight="1">
      <c r="A569" s="38"/>
      <c r="B569" s="49"/>
      <c r="C569" s="15"/>
      <c r="D569" s="663"/>
      <c r="E569" s="664"/>
      <c r="F569" s="665"/>
      <c r="G569" s="539"/>
      <c r="H569" s="373"/>
      <c r="I569" s="665"/>
      <c r="J569" s="666"/>
      <c r="K569" s="665"/>
      <c r="L569" s="667"/>
      <c r="M569" s="668"/>
      <c r="N569" s="373"/>
      <c r="O569" s="373"/>
      <c r="P569" s="670"/>
      <c r="Q569" s="665"/>
      <c r="R569" s="665"/>
      <c r="S569" s="539"/>
      <c r="T569" s="665"/>
      <c r="U569" s="49"/>
      <c r="V569" s="49"/>
      <c r="W569" s="49"/>
      <c r="X569" s="49"/>
      <c r="Y569" s="49"/>
    </row>
    <row r="570" ht="15.75" customHeight="1">
      <c r="A570" s="38"/>
      <c r="B570" s="49"/>
      <c r="C570" s="15"/>
      <c r="D570" s="663"/>
      <c r="E570" s="664"/>
      <c r="F570" s="665"/>
      <c r="G570" s="539"/>
      <c r="H570" s="373"/>
      <c r="I570" s="665"/>
      <c r="J570" s="666"/>
      <c r="K570" s="665"/>
      <c r="L570" s="667"/>
      <c r="M570" s="668"/>
      <c r="N570" s="373"/>
      <c r="O570" s="373"/>
      <c r="P570" s="670"/>
      <c r="Q570" s="665"/>
      <c r="R570" s="665"/>
      <c r="S570" s="539"/>
      <c r="T570" s="665"/>
      <c r="U570" s="49"/>
      <c r="V570" s="49"/>
      <c r="W570" s="49"/>
      <c r="X570" s="49"/>
      <c r="Y570" s="49"/>
    </row>
    <row r="571" ht="15.75" customHeight="1">
      <c r="A571" s="38"/>
      <c r="B571" s="49"/>
      <c r="C571" s="15"/>
      <c r="D571" s="663"/>
      <c r="E571" s="664"/>
      <c r="F571" s="665"/>
      <c r="G571" s="539"/>
      <c r="H571" s="373"/>
      <c r="I571" s="665"/>
      <c r="J571" s="666"/>
      <c r="K571" s="665"/>
      <c r="L571" s="667"/>
      <c r="M571" s="668"/>
      <c r="N571" s="373"/>
      <c r="O571" s="373"/>
      <c r="P571" s="670"/>
      <c r="Q571" s="665"/>
      <c r="R571" s="665"/>
      <c r="S571" s="539"/>
      <c r="T571" s="665"/>
      <c r="U571" s="49"/>
      <c r="V571" s="49"/>
      <c r="W571" s="49"/>
      <c r="X571" s="49"/>
      <c r="Y571" s="49"/>
    </row>
    <row r="572" ht="15.75" customHeight="1">
      <c r="A572" s="38"/>
      <c r="B572" s="49"/>
      <c r="C572" s="15"/>
      <c r="D572" s="663"/>
      <c r="E572" s="664"/>
      <c r="F572" s="665"/>
      <c r="G572" s="539"/>
      <c r="H572" s="373"/>
      <c r="I572" s="665"/>
      <c r="J572" s="666"/>
      <c r="K572" s="665"/>
      <c r="L572" s="667"/>
      <c r="M572" s="668"/>
      <c r="N572" s="373"/>
      <c r="O572" s="373"/>
      <c r="P572" s="670"/>
      <c r="Q572" s="665"/>
      <c r="R572" s="665"/>
      <c r="S572" s="539"/>
      <c r="T572" s="665"/>
      <c r="U572" s="49"/>
      <c r="V572" s="49"/>
      <c r="W572" s="49"/>
      <c r="X572" s="49"/>
      <c r="Y572" s="49"/>
    </row>
    <row r="573" ht="15.75" customHeight="1">
      <c r="A573" s="38"/>
      <c r="B573" s="49"/>
      <c r="C573" s="15"/>
      <c r="D573" s="663"/>
      <c r="E573" s="664"/>
      <c r="F573" s="665"/>
      <c r="G573" s="539"/>
      <c r="H573" s="373"/>
      <c r="I573" s="665"/>
      <c r="J573" s="666"/>
      <c r="K573" s="665"/>
      <c r="L573" s="667"/>
      <c r="M573" s="668"/>
      <c r="N573" s="373"/>
      <c r="O573" s="373"/>
      <c r="P573" s="670"/>
      <c r="Q573" s="665"/>
      <c r="R573" s="665"/>
      <c r="S573" s="539"/>
      <c r="T573" s="665"/>
      <c r="U573" s="49"/>
      <c r="V573" s="49"/>
      <c r="W573" s="49"/>
      <c r="X573" s="49"/>
      <c r="Y573" s="49"/>
    </row>
    <row r="574" ht="15.75" customHeight="1">
      <c r="A574" s="38"/>
      <c r="B574" s="49"/>
      <c r="C574" s="15"/>
      <c r="D574" s="663"/>
      <c r="E574" s="664"/>
      <c r="F574" s="665"/>
      <c r="G574" s="539"/>
      <c r="H574" s="373"/>
      <c r="I574" s="665"/>
      <c r="J574" s="666"/>
      <c r="K574" s="665"/>
      <c r="L574" s="667"/>
      <c r="M574" s="668"/>
      <c r="N574" s="373"/>
      <c r="O574" s="373"/>
      <c r="P574" s="670"/>
      <c r="Q574" s="665"/>
      <c r="R574" s="665"/>
      <c r="S574" s="539"/>
      <c r="T574" s="665"/>
      <c r="U574" s="49"/>
      <c r="V574" s="49"/>
      <c r="W574" s="49"/>
      <c r="X574" s="49"/>
      <c r="Y574" s="49"/>
    </row>
    <row r="575" ht="15.75" customHeight="1">
      <c r="A575" s="38"/>
      <c r="B575" s="49"/>
      <c r="C575" s="15"/>
      <c r="D575" s="663"/>
      <c r="E575" s="664"/>
      <c r="F575" s="665"/>
      <c r="G575" s="539"/>
      <c r="H575" s="373"/>
      <c r="I575" s="665"/>
      <c r="J575" s="666"/>
      <c r="K575" s="665"/>
      <c r="L575" s="667"/>
      <c r="M575" s="668"/>
      <c r="N575" s="373"/>
      <c r="O575" s="373"/>
      <c r="P575" s="670"/>
      <c r="Q575" s="665"/>
      <c r="R575" s="665"/>
      <c r="S575" s="539"/>
      <c r="T575" s="665"/>
      <c r="U575" s="49"/>
      <c r="V575" s="49"/>
      <c r="W575" s="49"/>
      <c r="X575" s="49"/>
      <c r="Y575" s="49"/>
    </row>
    <row r="576" ht="15.75" customHeight="1">
      <c r="A576" s="38"/>
      <c r="B576" s="49"/>
      <c r="C576" s="15"/>
      <c r="D576" s="663"/>
      <c r="E576" s="664"/>
      <c r="F576" s="665"/>
      <c r="G576" s="539"/>
      <c r="H576" s="373"/>
      <c r="I576" s="665"/>
      <c r="J576" s="666"/>
      <c r="K576" s="665"/>
      <c r="L576" s="667"/>
      <c r="M576" s="668"/>
      <c r="N576" s="373"/>
      <c r="O576" s="373"/>
      <c r="P576" s="670"/>
      <c r="Q576" s="665"/>
      <c r="R576" s="665"/>
      <c r="S576" s="539"/>
      <c r="T576" s="665"/>
      <c r="U576" s="49"/>
      <c r="V576" s="49"/>
      <c r="W576" s="49"/>
      <c r="X576" s="49"/>
      <c r="Y576" s="49"/>
    </row>
    <row r="577" ht="15.75" customHeight="1">
      <c r="A577" s="38"/>
      <c r="B577" s="49"/>
      <c r="C577" s="15"/>
      <c r="D577" s="663"/>
      <c r="E577" s="664"/>
      <c r="F577" s="665"/>
      <c r="G577" s="539"/>
      <c r="H577" s="373"/>
      <c r="I577" s="665"/>
      <c r="J577" s="666"/>
      <c r="K577" s="665"/>
      <c r="L577" s="667"/>
      <c r="M577" s="668"/>
      <c r="N577" s="373"/>
      <c r="O577" s="373"/>
      <c r="P577" s="670"/>
      <c r="Q577" s="665"/>
      <c r="R577" s="665"/>
      <c r="S577" s="539"/>
      <c r="T577" s="665"/>
      <c r="U577" s="49"/>
      <c r="V577" s="49"/>
      <c r="W577" s="49"/>
      <c r="X577" s="49"/>
      <c r="Y577" s="49"/>
    </row>
    <row r="578" ht="15.75" customHeight="1">
      <c r="A578" s="38"/>
      <c r="B578" s="49"/>
      <c r="C578" s="15"/>
      <c r="D578" s="663"/>
      <c r="E578" s="664"/>
      <c r="F578" s="665"/>
      <c r="G578" s="539"/>
      <c r="H578" s="373"/>
      <c r="I578" s="665"/>
      <c r="J578" s="666"/>
      <c r="K578" s="665"/>
      <c r="L578" s="667"/>
      <c r="M578" s="668"/>
      <c r="N578" s="373"/>
      <c r="O578" s="373"/>
      <c r="P578" s="670"/>
      <c r="Q578" s="665"/>
      <c r="R578" s="665"/>
      <c r="S578" s="539"/>
      <c r="T578" s="665"/>
      <c r="U578" s="49"/>
      <c r="V578" s="49"/>
      <c r="W578" s="49"/>
      <c r="X578" s="49"/>
      <c r="Y578" s="49"/>
    </row>
    <row r="579" ht="15.75" customHeight="1">
      <c r="A579" s="38"/>
      <c r="B579" s="49"/>
      <c r="C579" s="15"/>
      <c r="D579" s="663"/>
      <c r="E579" s="664"/>
      <c r="F579" s="665"/>
      <c r="G579" s="539"/>
      <c r="H579" s="373"/>
      <c r="I579" s="665"/>
      <c r="J579" s="666"/>
      <c r="K579" s="665"/>
      <c r="L579" s="667"/>
      <c r="M579" s="668"/>
      <c r="N579" s="373"/>
      <c r="O579" s="373"/>
      <c r="P579" s="670"/>
      <c r="Q579" s="665"/>
      <c r="R579" s="665"/>
      <c r="S579" s="539"/>
      <c r="T579" s="665"/>
      <c r="U579" s="49"/>
      <c r="V579" s="49"/>
      <c r="W579" s="49"/>
      <c r="X579" s="49"/>
      <c r="Y579" s="49"/>
    </row>
    <row r="580" ht="15.75" customHeight="1">
      <c r="A580" s="38"/>
      <c r="B580" s="49"/>
      <c r="C580" s="15"/>
      <c r="D580" s="663"/>
      <c r="E580" s="664"/>
      <c r="F580" s="665"/>
      <c r="G580" s="539"/>
      <c r="H580" s="373"/>
      <c r="I580" s="665"/>
      <c r="J580" s="666"/>
      <c r="K580" s="665"/>
      <c r="L580" s="667"/>
      <c r="M580" s="668"/>
      <c r="N580" s="373"/>
      <c r="O580" s="373"/>
      <c r="P580" s="670"/>
      <c r="Q580" s="665"/>
      <c r="R580" s="665"/>
      <c r="S580" s="539"/>
      <c r="T580" s="665"/>
      <c r="U580" s="49"/>
      <c r="V580" s="49"/>
      <c r="W580" s="49"/>
      <c r="X580" s="49"/>
      <c r="Y580" s="49"/>
    </row>
    <row r="581" ht="15.75" customHeight="1">
      <c r="A581" s="38"/>
      <c r="B581" s="49"/>
      <c r="C581" s="15"/>
      <c r="D581" s="663"/>
      <c r="E581" s="664"/>
      <c r="F581" s="665"/>
      <c r="G581" s="539"/>
      <c r="H581" s="373"/>
      <c r="I581" s="665"/>
      <c r="J581" s="666"/>
      <c r="K581" s="665"/>
      <c r="L581" s="667"/>
      <c r="M581" s="668"/>
      <c r="N581" s="373"/>
      <c r="O581" s="373"/>
      <c r="P581" s="670"/>
      <c r="Q581" s="665"/>
      <c r="R581" s="665"/>
      <c r="S581" s="539"/>
      <c r="T581" s="665"/>
      <c r="U581" s="49"/>
      <c r="V581" s="49"/>
      <c r="W581" s="49"/>
      <c r="X581" s="49"/>
      <c r="Y581" s="49"/>
    </row>
    <row r="582" ht="15.75" customHeight="1">
      <c r="A582" s="38"/>
      <c r="B582" s="49"/>
      <c r="C582" s="15"/>
      <c r="D582" s="663"/>
      <c r="E582" s="664"/>
      <c r="F582" s="665"/>
      <c r="G582" s="539"/>
      <c r="H582" s="373"/>
      <c r="I582" s="665"/>
      <c r="J582" s="666"/>
      <c r="K582" s="665"/>
      <c r="L582" s="667"/>
      <c r="M582" s="668"/>
      <c r="N582" s="373"/>
      <c r="O582" s="373"/>
      <c r="P582" s="670"/>
      <c r="Q582" s="665"/>
      <c r="R582" s="665"/>
      <c r="S582" s="539"/>
      <c r="T582" s="665"/>
      <c r="U582" s="49"/>
      <c r="V582" s="49"/>
      <c r="W582" s="49"/>
      <c r="X582" s="49"/>
      <c r="Y582" s="49"/>
    </row>
    <row r="583" ht="15.75" customHeight="1">
      <c r="A583" s="38"/>
      <c r="B583" s="49"/>
      <c r="C583" s="15"/>
      <c r="D583" s="663"/>
      <c r="E583" s="664"/>
      <c r="F583" s="665"/>
      <c r="G583" s="539"/>
      <c r="H583" s="373"/>
      <c r="I583" s="665"/>
      <c r="J583" s="666"/>
      <c r="K583" s="665"/>
      <c r="L583" s="667"/>
      <c r="M583" s="668"/>
      <c r="N583" s="373"/>
      <c r="O583" s="373"/>
      <c r="P583" s="670"/>
      <c r="Q583" s="665"/>
      <c r="R583" s="665"/>
      <c r="S583" s="539"/>
      <c r="T583" s="665"/>
      <c r="U583" s="49"/>
      <c r="V583" s="49"/>
      <c r="W583" s="49"/>
      <c r="X583" s="49"/>
      <c r="Y583" s="49"/>
    </row>
    <row r="584" ht="15.75" customHeight="1">
      <c r="A584" s="38"/>
      <c r="B584" s="49"/>
      <c r="C584" s="15"/>
      <c r="D584" s="663"/>
      <c r="E584" s="664"/>
      <c r="F584" s="665"/>
      <c r="G584" s="539"/>
      <c r="H584" s="373"/>
      <c r="I584" s="665"/>
      <c r="J584" s="666"/>
      <c r="K584" s="665"/>
      <c r="L584" s="667"/>
      <c r="M584" s="668"/>
      <c r="N584" s="373"/>
      <c r="O584" s="373"/>
      <c r="P584" s="670"/>
      <c r="Q584" s="665"/>
      <c r="R584" s="665"/>
      <c r="S584" s="539"/>
      <c r="T584" s="665"/>
      <c r="U584" s="49"/>
      <c r="V584" s="49"/>
      <c r="W584" s="49"/>
      <c r="X584" s="49"/>
      <c r="Y584" s="49"/>
    </row>
    <row r="585" ht="15.75" customHeight="1">
      <c r="A585" s="38"/>
      <c r="B585" s="49"/>
      <c r="C585" s="15"/>
      <c r="D585" s="663"/>
      <c r="E585" s="664"/>
      <c r="F585" s="665"/>
      <c r="G585" s="539"/>
      <c r="H585" s="373"/>
      <c r="I585" s="665"/>
      <c r="J585" s="666"/>
      <c r="K585" s="665"/>
      <c r="L585" s="667"/>
      <c r="M585" s="668"/>
      <c r="N585" s="373"/>
      <c r="O585" s="373"/>
      <c r="P585" s="670"/>
      <c r="Q585" s="665"/>
      <c r="R585" s="665"/>
      <c r="S585" s="539"/>
      <c r="T585" s="665"/>
      <c r="U585" s="49"/>
      <c r="V585" s="49"/>
      <c r="W585" s="49"/>
      <c r="X585" s="49"/>
      <c r="Y585" s="49"/>
    </row>
    <row r="586" ht="15.75" customHeight="1">
      <c r="A586" s="38"/>
      <c r="B586" s="49"/>
      <c r="C586" s="15"/>
      <c r="D586" s="663"/>
      <c r="E586" s="664"/>
      <c r="F586" s="665"/>
      <c r="G586" s="539"/>
      <c r="H586" s="373"/>
      <c r="I586" s="665"/>
      <c r="J586" s="666"/>
      <c r="K586" s="665"/>
      <c r="L586" s="667"/>
      <c r="M586" s="668"/>
      <c r="N586" s="373"/>
      <c r="O586" s="373"/>
      <c r="P586" s="670"/>
      <c r="Q586" s="665"/>
      <c r="R586" s="665"/>
      <c r="S586" s="539"/>
      <c r="T586" s="665"/>
      <c r="U586" s="49"/>
      <c r="V586" s="49"/>
      <c r="W586" s="49"/>
      <c r="X586" s="49"/>
      <c r="Y586" s="49"/>
    </row>
    <row r="587" ht="15.75" customHeight="1">
      <c r="A587" s="38"/>
      <c r="B587" s="49"/>
      <c r="C587" s="15"/>
      <c r="D587" s="663"/>
      <c r="E587" s="664"/>
      <c r="F587" s="665"/>
      <c r="G587" s="539"/>
      <c r="H587" s="373"/>
      <c r="I587" s="665"/>
      <c r="J587" s="666"/>
      <c r="K587" s="665"/>
      <c r="L587" s="667"/>
      <c r="M587" s="668"/>
      <c r="N587" s="373"/>
      <c r="O587" s="373"/>
      <c r="P587" s="670"/>
      <c r="Q587" s="665"/>
      <c r="R587" s="665"/>
      <c r="S587" s="539"/>
      <c r="T587" s="665"/>
      <c r="U587" s="49"/>
      <c r="V587" s="49"/>
      <c r="W587" s="49"/>
      <c r="X587" s="49"/>
      <c r="Y587" s="49"/>
    </row>
    <row r="588" ht="15.75" customHeight="1">
      <c r="A588" s="38"/>
      <c r="B588" s="49"/>
      <c r="C588" s="15"/>
      <c r="D588" s="663"/>
      <c r="E588" s="664"/>
      <c r="F588" s="665"/>
      <c r="G588" s="539"/>
      <c r="H588" s="373"/>
      <c r="I588" s="665"/>
      <c r="J588" s="666"/>
      <c r="K588" s="665"/>
      <c r="L588" s="667"/>
      <c r="M588" s="668"/>
      <c r="N588" s="373"/>
      <c r="O588" s="373"/>
      <c r="P588" s="670"/>
      <c r="Q588" s="665"/>
      <c r="R588" s="665"/>
      <c r="S588" s="539"/>
      <c r="T588" s="665"/>
      <c r="U588" s="49"/>
      <c r="V588" s="49"/>
      <c r="W588" s="49"/>
      <c r="X588" s="49"/>
      <c r="Y588" s="49"/>
    </row>
    <row r="589" ht="15.75" customHeight="1">
      <c r="A589" s="38"/>
      <c r="B589" s="49"/>
      <c r="C589" s="15"/>
      <c r="D589" s="663"/>
      <c r="E589" s="664"/>
      <c r="F589" s="665"/>
      <c r="G589" s="539"/>
      <c r="H589" s="373"/>
      <c r="I589" s="665"/>
      <c r="J589" s="666"/>
      <c r="K589" s="665"/>
      <c r="L589" s="667"/>
      <c r="M589" s="668"/>
      <c r="N589" s="373"/>
      <c r="O589" s="373"/>
      <c r="P589" s="670"/>
      <c r="Q589" s="665"/>
      <c r="R589" s="665"/>
      <c r="S589" s="539"/>
      <c r="T589" s="665"/>
      <c r="U589" s="49"/>
      <c r="V589" s="49"/>
      <c r="W589" s="49"/>
      <c r="X589" s="49"/>
      <c r="Y589" s="49"/>
    </row>
    <row r="590" ht="15.75" customHeight="1">
      <c r="A590" s="38"/>
      <c r="B590" s="49"/>
      <c r="C590" s="15"/>
      <c r="D590" s="663"/>
      <c r="E590" s="664"/>
      <c r="F590" s="665"/>
      <c r="G590" s="539"/>
      <c r="H590" s="373"/>
      <c r="I590" s="665"/>
      <c r="J590" s="666"/>
      <c r="K590" s="665"/>
      <c r="L590" s="667"/>
      <c r="M590" s="668"/>
      <c r="N590" s="373"/>
      <c r="O590" s="373"/>
      <c r="P590" s="670"/>
      <c r="Q590" s="665"/>
      <c r="R590" s="665"/>
      <c r="S590" s="539"/>
      <c r="T590" s="665"/>
      <c r="U590" s="49"/>
      <c r="V590" s="49"/>
      <c r="W590" s="49"/>
      <c r="X590" s="49"/>
      <c r="Y590" s="49"/>
    </row>
    <row r="591" ht="15.75" customHeight="1">
      <c r="A591" s="38"/>
      <c r="B591" s="49"/>
      <c r="C591" s="15"/>
      <c r="D591" s="663"/>
      <c r="E591" s="664"/>
      <c r="F591" s="665"/>
      <c r="G591" s="539"/>
      <c r="H591" s="373"/>
      <c r="I591" s="665"/>
      <c r="J591" s="666"/>
      <c r="K591" s="665"/>
      <c r="L591" s="667"/>
      <c r="M591" s="668"/>
      <c r="N591" s="373"/>
      <c r="O591" s="373"/>
      <c r="P591" s="670"/>
      <c r="Q591" s="665"/>
      <c r="R591" s="665"/>
      <c r="S591" s="539"/>
      <c r="T591" s="665"/>
      <c r="U591" s="49"/>
      <c r="V591" s="49"/>
      <c r="W591" s="49"/>
      <c r="X591" s="49"/>
      <c r="Y591" s="49"/>
    </row>
    <row r="592" ht="15.75" customHeight="1">
      <c r="A592" s="38"/>
      <c r="B592" s="49"/>
      <c r="C592" s="15"/>
      <c r="D592" s="663"/>
      <c r="E592" s="664"/>
      <c r="F592" s="665"/>
      <c r="G592" s="539"/>
      <c r="H592" s="373"/>
      <c r="I592" s="665"/>
      <c r="J592" s="666"/>
      <c r="K592" s="665"/>
      <c r="L592" s="667"/>
      <c r="M592" s="668"/>
      <c r="N592" s="373"/>
      <c r="O592" s="373"/>
      <c r="P592" s="670"/>
      <c r="Q592" s="665"/>
      <c r="R592" s="665"/>
      <c r="S592" s="539"/>
      <c r="T592" s="665"/>
      <c r="U592" s="49"/>
      <c r="V592" s="49"/>
      <c r="W592" s="49"/>
      <c r="X592" s="49"/>
      <c r="Y592" s="49"/>
    </row>
    <row r="593" ht="15.75" customHeight="1">
      <c r="A593" s="38"/>
      <c r="B593" s="49"/>
      <c r="C593" s="15"/>
      <c r="D593" s="663"/>
      <c r="E593" s="664"/>
      <c r="F593" s="665"/>
      <c r="G593" s="539"/>
      <c r="H593" s="373"/>
      <c r="I593" s="665"/>
      <c r="J593" s="666"/>
      <c r="K593" s="665"/>
      <c r="L593" s="667"/>
      <c r="M593" s="668"/>
      <c r="N593" s="373"/>
      <c r="O593" s="373"/>
      <c r="P593" s="670"/>
      <c r="Q593" s="665"/>
      <c r="R593" s="665"/>
      <c r="S593" s="539"/>
      <c r="T593" s="665"/>
      <c r="U593" s="49"/>
      <c r="V593" s="49"/>
      <c r="W593" s="49"/>
      <c r="X593" s="49"/>
      <c r="Y593" s="49"/>
    </row>
    <row r="594" ht="15.75" customHeight="1">
      <c r="A594" s="38"/>
      <c r="B594" s="49"/>
      <c r="C594" s="15"/>
      <c r="D594" s="663"/>
      <c r="E594" s="664"/>
      <c r="F594" s="665"/>
      <c r="G594" s="539"/>
      <c r="H594" s="373"/>
      <c r="I594" s="665"/>
      <c r="J594" s="666"/>
      <c r="K594" s="665"/>
      <c r="L594" s="667"/>
      <c r="M594" s="668"/>
      <c r="N594" s="373"/>
      <c r="O594" s="373"/>
      <c r="P594" s="670"/>
      <c r="Q594" s="665"/>
      <c r="R594" s="665"/>
      <c r="S594" s="539"/>
      <c r="T594" s="665"/>
      <c r="U594" s="49"/>
      <c r="V594" s="49"/>
      <c r="W594" s="49"/>
      <c r="X594" s="49"/>
      <c r="Y594" s="49"/>
    </row>
    <row r="595" ht="15.75" customHeight="1">
      <c r="A595" s="38"/>
      <c r="B595" s="49"/>
      <c r="C595" s="15"/>
      <c r="D595" s="663"/>
      <c r="E595" s="664"/>
      <c r="F595" s="665"/>
      <c r="G595" s="539"/>
      <c r="H595" s="373"/>
      <c r="I595" s="665"/>
      <c r="J595" s="666"/>
      <c r="K595" s="665"/>
      <c r="L595" s="667"/>
      <c r="M595" s="668"/>
      <c r="N595" s="373"/>
      <c r="O595" s="373"/>
      <c r="P595" s="670"/>
      <c r="Q595" s="665"/>
      <c r="R595" s="665"/>
      <c r="S595" s="539"/>
      <c r="T595" s="665"/>
      <c r="U595" s="49"/>
      <c r="V595" s="49"/>
      <c r="W595" s="49"/>
      <c r="X595" s="49"/>
      <c r="Y595" s="49"/>
    </row>
    <row r="596" ht="15.75" customHeight="1">
      <c r="A596" s="38"/>
      <c r="B596" s="49"/>
      <c r="C596" s="15"/>
      <c r="D596" s="663"/>
      <c r="E596" s="664"/>
      <c r="F596" s="665"/>
      <c r="G596" s="539"/>
      <c r="H596" s="373"/>
      <c r="I596" s="665"/>
      <c r="J596" s="666"/>
      <c r="K596" s="665"/>
      <c r="L596" s="667"/>
      <c r="M596" s="668"/>
      <c r="N596" s="373"/>
      <c r="O596" s="373"/>
      <c r="P596" s="670"/>
      <c r="Q596" s="665"/>
      <c r="R596" s="665"/>
      <c r="S596" s="539"/>
      <c r="T596" s="665"/>
      <c r="U596" s="49"/>
      <c r="V596" s="49"/>
      <c r="W596" s="49"/>
      <c r="X596" s="49"/>
      <c r="Y596" s="49"/>
    </row>
    <row r="597" ht="15.75" customHeight="1">
      <c r="A597" s="38"/>
      <c r="B597" s="49"/>
      <c r="C597" s="15"/>
      <c r="D597" s="663"/>
      <c r="E597" s="664"/>
      <c r="F597" s="665"/>
      <c r="G597" s="539"/>
      <c r="H597" s="373"/>
      <c r="I597" s="665"/>
      <c r="J597" s="666"/>
      <c r="K597" s="665"/>
      <c r="L597" s="667"/>
      <c r="M597" s="668"/>
      <c r="N597" s="373"/>
      <c r="O597" s="373"/>
      <c r="P597" s="670"/>
      <c r="Q597" s="665"/>
      <c r="R597" s="665"/>
      <c r="S597" s="539"/>
      <c r="T597" s="665"/>
      <c r="U597" s="49"/>
      <c r="V597" s="49"/>
      <c r="W597" s="49"/>
      <c r="X597" s="49"/>
      <c r="Y597" s="49"/>
    </row>
    <row r="598" ht="15.75" customHeight="1">
      <c r="A598" s="38"/>
      <c r="B598" s="49"/>
      <c r="C598" s="15"/>
      <c r="D598" s="663"/>
      <c r="E598" s="664"/>
      <c r="F598" s="665"/>
      <c r="G598" s="539"/>
      <c r="H598" s="373"/>
      <c r="I598" s="665"/>
      <c r="J598" s="666"/>
      <c r="K598" s="665"/>
      <c r="L598" s="667"/>
      <c r="M598" s="668"/>
      <c r="N598" s="373"/>
      <c r="O598" s="373"/>
      <c r="P598" s="670"/>
      <c r="Q598" s="665"/>
      <c r="R598" s="665"/>
      <c r="S598" s="539"/>
      <c r="T598" s="665"/>
      <c r="U598" s="49"/>
      <c r="V598" s="49"/>
      <c r="W598" s="49"/>
      <c r="X598" s="49"/>
      <c r="Y598" s="49"/>
    </row>
    <row r="599" ht="15.75" customHeight="1">
      <c r="A599" s="38"/>
      <c r="B599" s="49"/>
      <c r="C599" s="15"/>
      <c r="D599" s="663"/>
      <c r="E599" s="664"/>
      <c r="F599" s="665"/>
      <c r="G599" s="539"/>
      <c r="H599" s="373"/>
      <c r="I599" s="665"/>
      <c r="J599" s="666"/>
      <c r="K599" s="665"/>
      <c r="L599" s="667"/>
      <c r="M599" s="668"/>
      <c r="N599" s="373"/>
      <c r="O599" s="373"/>
      <c r="P599" s="670"/>
      <c r="Q599" s="665"/>
      <c r="R599" s="665"/>
      <c r="S599" s="539"/>
      <c r="T599" s="665"/>
      <c r="U599" s="49"/>
      <c r="V599" s="49"/>
      <c r="W599" s="49"/>
      <c r="X599" s="49"/>
      <c r="Y599" s="49"/>
    </row>
    <row r="600" ht="15.75" customHeight="1">
      <c r="A600" s="38"/>
      <c r="B600" s="49"/>
      <c r="C600" s="15"/>
      <c r="D600" s="663"/>
      <c r="E600" s="664"/>
      <c r="F600" s="665"/>
      <c r="G600" s="539"/>
      <c r="H600" s="373"/>
      <c r="I600" s="665"/>
      <c r="J600" s="666"/>
      <c r="K600" s="665"/>
      <c r="L600" s="667"/>
      <c r="M600" s="668"/>
      <c r="N600" s="373"/>
      <c r="O600" s="373"/>
      <c r="P600" s="670"/>
      <c r="Q600" s="665"/>
      <c r="R600" s="665"/>
      <c r="S600" s="539"/>
      <c r="T600" s="665"/>
      <c r="U600" s="49"/>
      <c r="V600" s="49"/>
      <c r="W600" s="49"/>
      <c r="X600" s="49"/>
      <c r="Y600" s="49"/>
    </row>
    <row r="601" ht="15.75" customHeight="1">
      <c r="A601" s="38"/>
      <c r="B601" s="49"/>
      <c r="C601" s="15"/>
      <c r="D601" s="663"/>
      <c r="E601" s="664"/>
      <c r="F601" s="665"/>
      <c r="G601" s="539"/>
      <c r="H601" s="373"/>
      <c r="I601" s="665"/>
      <c r="J601" s="666"/>
      <c r="K601" s="665"/>
      <c r="L601" s="667"/>
      <c r="M601" s="668"/>
      <c r="N601" s="373"/>
      <c r="O601" s="373"/>
      <c r="P601" s="670"/>
      <c r="Q601" s="665"/>
      <c r="R601" s="665"/>
      <c r="S601" s="539"/>
      <c r="T601" s="665"/>
      <c r="U601" s="49"/>
      <c r="V601" s="49"/>
      <c r="W601" s="49"/>
      <c r="X601" s="49"/>
      <c r="Y601" s="49"/>
    </row>
    <row r="602" ht="15.75" customHeight="1">
      <c r="A602" s="38"/>
      <c r="B602" s="49"/>
      <c r="C602" s="15"/>
      <c r="D602" s="663"/>
      <c r="E602" s="664"/>
      <c r="F602" s="665"/>
      <c r="G602" s="539"/>
      <c r="H602" s="373"/>
      <c r="I602" s="665"/>
      <c r="J602" s="666"/>
      <c r="K602" s="665"/>
      <c r="L602" s="667"/>
      <c r="M602" s="668"/>
      <c r="N602" s="373"/>
      <c r="O602" s="373"/>
      <c r="P602" s="670"/>
      <c r="Q602" s="665"/>
      <c r="R602" s="665"/>
      <c r="S602" s="539"/>
      <c r="T602" s="665"/>
      <c r="U602" s="49"/>
      <c r="V602" s="49"/>
      <c r="W602" s="49"/>
      <c r="X602" s="49"/>
      <c r="Y602" s="49"/>
    </row>
    <row r="603" ht="15.75" customHeight="1">
      <c r="A603" s="38"/>
      <c r="B603" s="49"/>
      <c r="C603" s="15"/>
      <c r="D603" s="663"/>
      <c r="E603" s="664"/>
      <c r="F603" s="665"/>
      <c r="G603" s="539"/>
      <c r="H603" s="373"/>
      <c r="I603" s="665"/>
      <c r="J603" s="666"/>
      <c r="K603" s="665"/>
      <c r="L603" s="667"/>
      <c r="M603" s="668"/>
      <c r="N603" s="373"/>
      <c r="O603" s="373"/>
      <c r="P603" s="670"/>
      <c r="Q603" s="665"/>
      <c r="R603" s="665"/>
      <c r="S603" s="539"/>
      <c r="T603" s="665"/>
      <c r="U603" s="49"/>
      <c r="V603" s="49"/>
      <c r="W603" s="49"/>
      <c r="X603" s="49"/>
      <c r="Y603" s="49"/>
    </row>
    <row r="604" ht="15.75" customHeight="1">
      <c r="A604" s="38"/>
      <c r="B604" s="49"/>
      <c r="C604" s="15"/>
      <c r="D604" s="663"/>
      <c r="E604" s="664"/>
      <c r="F604" s="665"/>
      <c r="G604" s="539"/>
      <c r="H604" s="373"/>
      <c r="I604" s="665"/>
      <c r="J604" s="666"/>
      <c r="K604" s="665"/>
      <c r="L604" s="667"/>
      <c r="M604" s="668"/>
      <c r="N604" s="373"/>
      <c r="O604" s="373"/>
      <c r="P604" s="670"/>
      <c r="Q604" s="665"/>
      <c r="R604" s="665"/>
      <c r="S604" s="539"/>
      <c r="T604" s="665"/>
      <c r="U604" s="49"/>
      <c r="V604" s="49"/>
      <c r="W604" s="49"/>
      <c r="X604" s="49"/>
      <c r="Y604" s="49"/>
    </row>
    <row r="605" ht="15.75" customHeight="1">
      <c r="A605" s="38"/>
      <c r="B605" s="49"/>
      <c r="C605" s="15"/>
      <c r="D605" s="663"/>
      <c r="E605" s="664"/>
      <c r="F605" s="665"/>
      <c r="G605" s="539"/>
      <c r="H605" s="373"/>
      <c r="I605" s="665"/>
      <c r="J605" s="666"/>
      <c r="K605" s="665"/>
      <c r="L605" s="667"/>
      <c r="M605" s="668"/>
      <c r="N605" s="373"/>
      <c r="O605" s="373"/>
      <c r="P605" s="670"/>
      <c r="Q605" s="665"/>
      <c r="R605" s="665"/>
      <c r="S605" s="539"/>
      <c r="T605" s="665"/>
      <c r="U605" s="49"/>
      <c r="V605" s="49"/>
      <c r="W605" s="49"/>
      <c r="X605" s="49"/>
      <c r="Y605" s="49"/>
    </row>
    <row r="606" ht="15.75" customHeight="1">
      <c r="A606" s="38"/>
      <c r="B606" s="49"/>
      <c r="C606" s="15"/>
      <c r="D606" s="663"/>
      <c r="E606" s="664"/>
      <c r="F606" s="665"/>
      <c r="G606" s="539"/>
      <c r="H606" s="373"/>
      <c r="I606" s="665"/>
      <c r="J606" s="666"/>
      <c r="K606" s="665"/>
      <c r="L606" s="667"/>
      <c r="M606" s="668"/>
      <c r="N606" s="373"/>
      <c r="O606" s="373"/>
      <c r="P606" s="670"/>
      <c r="Q606" s="665"/>
      <c r="R606" s="665"/>
      <c r="S606" s="539"/>
      <c r="T606" s="665"/>
      <c r="U606" s="49"/>
      <c r="V606" s="49"/>
      <c r="W606" s="49"/>
      <c r="X606" s="49"/>
      <c r="Y606" s="49"/>
    </row>
    <row r="607" ht="15.75" customHeight="1">
      <c r="A607" s="38"/>
      <c r="B607" s="49"/>
      <c r="C607" s="15"/>
      <c r="D607" s="663"/>
      <c r="E607" s="664"/>
      <c r="F607" s="665"/>
      <c r="G607" s="539"/>
      <c r="H607" s="373"/>
      <c r="I607" s="665"/>
      <c r="J607" s="666"/>
      <c r="K607" s="665"/>
      <c r="L607" s="667"/>
      <c r="M607" s="668"/>
      <c r="N607" s="373"/>
      <c r="O607" s="373"/>
      <c r="P607" s="670"/>
      <c r="Q607" s="665"/>
      <c r="R607" s="665"/>
      <c r="S607" s="539"/>
      <c r="T607" s="665"/>
      <c r="U607" s="49"/>
      <c r="V607" s="49"/>
      <c r="W607" s="49"/>
      <c r="X607" s="49"/>
      <c r="Y607" s="49"/>
    </row>
    <row r="608" ht="15.75" customHeight="1">
      <c r="A608" s="38"/>
      <c r="B608" s="49"/>
      <c r="C608" s="15"/>
      <c r="D608" s="663"/>
      <c r="E608" s="664"/>
      <c r="F608" s="665"/>
      <c r="G608" s="539"/>
      <c r="H608" s="373"/>
      <c r="I608" s="665"/>
      <c r="J608" s="666"/>
      <c r="K608" s="665"/>
      <c r="L608" s="667"/>
      <c r="M608" s="668"/>
      <c r="N608" s="373"/>
      <c r="O608" s="373"/>
      <c r="P608" s="670"/>
      <c r="Q608" s="665"/>
      <c r="R608" s="665"/>
      <c r="S608" s="539"/>
      <c r="T608" s="665"/>
      <c r="U608" s="49"/>
      <c r="V608" s="49"/>
      <c r="W608" s="49"/>
      <c r="X608" s="49"/>
      <c r="Y608" s="49"/>
    </row>
    <row r="609" ht="15.75" customHeight="1">
      <c r="A609" s="38"/>
      <c r="B609" s="49"/>
      <c r="C609" s="15"/>
      <c r="D609" s="663"/>
      <c r="E609" s="664"/>
      <c r="F609" s="665"/>
      <c r="G609" s="539"/>
      <c r="H609" s="373"/>
      <c r="I609" s="665"/>
      <c r="J609" s="666"/>
      <c r="K609" s="665"/>
      <c r="L609" s="667"/>
      <c r="M609" s="668"/>
      <c r="N609" s="373"/>
      <c r="O609" s="373"/>
      <c r="P609" s="670"/>
      <c r="Q609" s="665"/>
      <c r="R609" s="665"/>
      <c r="S609" s="539"/>
      <c r="T609" s="665"/>
      <c r="U609" s="49"/>
      <c r="V609" s="49"/>
      <c r="W609" s="49"/>
      <c r="X609" s="49"/>
      <c r="Y609" s="49"/>
    </row>
    <row r="610" ht="15.75" customHeight="1">
      <c r="A610" s="38"/>
      <c r="B610" s="49"/>
      <c r="C610" s="15"/>
      <c r="D610" s="663"/>
      <c r="E610" s="664"/>
      <c r="F610" s="665"/>
      <c r="G610" s="539"/>
      <c r="H610" s="373"/>
      <c r="I610" s="665"/>
      <c r="J610" s="666"/>
      <c r="K610" s="665"/>
      <c r="L610" s="667"/>
      <c r="M610" s="668"/>
      <c r="N610" s="373"/>
      <c r="O610" s="373"/>
      <c r="P610" s="670"/>
      <c r="Q610" s="665"/>
      <c r="R610" s="665"/>
      <c r="S610" s="539"/>
      <c r="T610" s="665"/>
      <c r="U610" s="49"/>
      <c r="V610" s="49"/>
      <c r="W610" s="49"/>
      <c r="X610" s="49"/>
      <c r="Y610" s="49"/>
    </row>
    <row r="611" ht="15.75" customHeight="1">
      <c r="A611" s="38"/>
      <c r="B611" s="49"/>
      <c r="C611" s="15"/>
      <c r="D611" s="663"/>
      <c r="E611" s="664"/>
      <c r="F611" s="665"/>
      <c r="G611" s="539"/>
      <c r="H611" s="373"/>
      <c r="I611" s="665"/>
      <c r="J611" s="666"/>
      <c r="K611" s="665"/>
      <c r="L611" s="667"/>
      <c r="M611" s="668"/>
      <c r="N611" s="373"/>
      <c r="O611" s="373"/>
      <c r="P611" s="670"/>
      <c r="Q611" s="665"/>
      <c r="R611" s="665"/>
      <c r="S611" s="539"/>
      <c r="T611" s="665"/>
      <c r="U611" s="49"/>
      <c r="V611" s="49"/>
      <c r="W611" s="49"/>
      <c r="X611" s="49"/>
      <c r="Y611" s="49"/>
    </row>
    <row r="612" ht="15.75" customHeight="1">
      <c r="A612" s="38"/>
      <c r="B612" s="49"/>
      <c r="C612" s="15"/>
      <c r="D612" s="663"/>
      <c r="E612" s="664"/>
      <c r="F612" s="665"/>
      <c r="G612" s="539"/>
      <c r="H612" s="373"/>
      <c r="I612" s="665"/>
      <c r="J612" s="666"/>
      <c r="K612" s="665"/>
      <c r="L612" s="667"/>
      <c r="M612" s="668"/>
      <c r="N612" s="373"/>
      <c r="O612" s="373"/>
      <c r="P612" s="670"/>
      <c r="Q612" s="665"/>
      <c r="R612" s="665"/>
      <c r="S612" s="539"/>
      <c r="T612" s="665"/>
      <c r="U612" s="49"/>
      <c r="V612" s="49"/>
      <c r="W612" s="49"/>
      <c r="X612" s="49"/>
      <c r="Y612" s="49"/>
    </row>
    <row r="613" ht="15.75" customHeight="1">
      <c r="A613" s="38"/>
      <c r="B613" s="49"/>
      <c r="C613" s="15"/>
      <c r="D613" s="663"/>
      <c r="E613" s="664"/>
      <c r="F613" s="665"/>
      <c r="G613" s="539"/>
      <c r="H613" s="373"/>
      <c r="I613" s="665"/>
      <c r="J613" s="666"/>
      <c r="K613" s="665"/>
      <c r="L613" s="667"/>
      <c r="M613" s="668"/>
      <c r="N613" s="373"/>
      <c r="O613" s="373"/>
      <c r="P613" s="670"/>
      <c r="Q613" s="665"/>
      <c r="R613" s="665"/>
      <c r="S613" s="539"/>
      <c r="T613" s="665"/>
      <c r="U613" s="49"/>
      <c r="V613" s="49"/>
      <c r="W613" s="49"/>
      <c r="X613" s="49"/>
      <c r="Y613" s="49"/>
    </row>
    <row r="614" ht="15.75" customHeight="1">
      <c r="A614" s="38"/>
      <c r="B614" s="49"/>
      <c r="C614" s="15"/>
      <c r="D614" s="663"/>
      <c r="E614" s="664"/>
      <c r="F614" s="665"/>
      <c r="G614" s="539"/>
      <c r="H614" s="373"/>
      <c r="I614" s="665"/>
      <c r="J614" s="666"/>
      <c r="K614" s="665"/>
      <c r="L614" s="667"/>
      <c r="M614" s="668"/>
      <c r="N614" s="373"/>
      <c r="O614" s="373"/>
      <c r="P614" s="670"/>
      <c r="Q614" s="665"/>
      <c r="R614" s="665"/>
      <c r="S614" s="539"/>
      <c r="T614" s="665"/>
      <c r="U614" s="49"/>
      <c r="V614" s="49"/>
      <c r="W614" s="49"/>
      <c r="X614" s="49"/>
      <c r="Y614" s="49"/>
    </row>
    <row r="615" ht="15.75" customHeight="1">
      <c r="A615" s="38"/>
      <c r="B615" s="49"/>
      <c r="C615" s="15"/>
      <c r="D615" s="663"/>
      <c r="E615" s="664"/>
      <c r="F615" s="665"/>
      <c r="G615" s="539"/>
      <c r="H615" s="373"/>
      <c r="I615" s="665"/>
      <c r="J615" s="666"/>
      <c r="K615" s="665"/>
      <c r="L615" s="667"/>
      <c r="M615" s="668"/>
      <c r="N615" s="373"/>
      <c r="O615" s="373"/>
      <c r="P615" s="670"/>
      <c r="Q615" s="665"/>
      <c r="R615" s="665"/>
      <c r="S615" s="539"/>
      <c r="T615" s="665"/>
      <c r="U615" s="49"/>
      <c r="V615" s="49"/>
      <c r="W615" s="49"/>
      <c r="X615" s="49"/>
      <c r="Y615" s="49"/>
    </row>
    <row r="616" ht="15.75" customHeight="1">
      <c r="A616" s="38"/>
      <c r="B616" s="49"/>
      <c r="C616" s="15"/>
      <c r="D616" s="663"/>
      <c r="E616" s="664"/>
      <c r="F616" s="665"/>
      <c r="G616" s="539"/>
      <c r="H616" s="373"/>
      <c r="I616" s="665"/>
      <c r="J616" s="666"/>
      <c r="K616" s="665"/>
      <c r="L616" s="667"/>
      <c r="M616" s="668"/>
      <c r="N616" s="373"/>
      <c r="O616" s="373"/>
      <c r="P616" s="670"/>
      <c r="Q616" s="665"/>
      <c r="R616" s="665"/>
      <c r="S616" s="539"/>
      <c r="T616" s="665"/>
      <c r="U616" s="49"/>
      <c r="V616" s="49"/>
      <c r="W616" s="49"/>
      <c r="X616" s="49"/>
      <c r="Y616" s="49"/>
    </row>
    <row r="617" ht="15.75" customHeight="1">
      <c r="A617" s="38"/>
      <c r="B617" s="49"/>
      <c r="C617" s="15"/>
      <c r="D617" s="663"/>
      <c r="E617" s="664"/>
      <c r="F617" s="665"/>
      <c r="G617" s="539"/>
      <c r="H617" s="373"/>
      <c r="I617" s="665"/>
      <c r="J617" s="666"/>
      <c r="K617" s="665"/>
      <c r="L617" s="667"/>
      <c r="M617" s="668"/>
      <c r="N617" s="373"/>
      <c r="O617" s="373"/>
      <c r="P617" s="670"/>
      <c r="Q617" s="665"/>
      <c r="R617" s="665"/>
      <c r="S617" s="539"/>
      <c r="T617" s="665"/>
      <c r="U617" s="49"/>
      <c r="V617" s="49"/>
      <c r="W617" s="49"/>
      <c r="X617" s="49"/>
      <c r="Y617" s="49"/>
    </row>
    <row r="618" ht="15.75" customHeight="1">
      <c r="A618" s="38"/>
      <c r="B618" s="49"/>
      <c r="C618" s="15"/>
      <c r="D618" s="663"/>
      <c r="E618" s="664"/>
      <c r="F618" s="665"/>
      <c r="G618" s="539"/>
      <c r="H618" s="373"/>
      <c r="I618" s="665"/>
      <c r="J618" s="666"/>
      <c r="K618" s="665"/>
      <c r="L618" s="667"/>
      <c r="M618" s="668"/>
      <c r="N618" s="373"/>
      <c r="O618" s="373"/>
      <c r="P618" s="670"/>
      <c r="Q618" s="665"/>
      <c r="R618" s="665"/>
      <c r="S618" s="539"/>
      <c r="T618" s="665"/>
      <c r="U618" s="49"/>
      <c r="V618" s="49"/>
      <c r="W618" s="49"/>
      <c r="X618" s="49"/>
      <c r="Y618" s="49"/>
    </row>
    <row r="619" ht="15.75" customHeight="1">
      <c r="A619" s="38"/>
      <c r="B619" s="49"/>
      <c r="C619" s="15"/>
      <c r="D619" s="663"/>
      <c r="E619" s="664"/>
      <c r="F619" s="665"/>
      <c r="G619" s="539"/>
      <c r="H619" s="373"/>
      <c r="I619" s="665"/>
      <c r="J619" s="666"/>
      <c r="K619" s="665"/>
      <c r="L619" s="667"/>
      <c r="M619" s="668"/>
      <c r="N619" s="373"/>
      <c r="O619" s="373"/>
      <c r="P619" s="670"/>
      <c r="Q619" s="665"/>
      <c r="R619" s="665"/>
      <c r="S619" s="539"/>
      <c r="T619" s="665"/>
      <c r="U619" s="49"/>
      <c r="V619" s="49"/>
      <c r="W619" s="49"/>
      <c r="X619" s="49"/>
      <c r="Y619" s="49"/>
    </row>
    <row r="620" ht="15.75" customHeight="1">
      <c r="A620" s="38"/>
      <c r="B620" s="49"/>
      <c r="C620" s="15"/>
      <c r="D620" s="663"/>
      <c r="E620" s="664"/>
      <c r="F620" s="665"/>
      <c r="G620" s="539"/>
      <c r="H620" s="373"/>
      <c r="I620" s="665"/>
      <c r="J620" s="666"/>
      <c r="K620" s="665"/>
      <c r="L620" s="667"/>
      <c r="M620" s="668"/>
      <c r="N620" s="373"/>
      <c r="O620" s="373"/>
      <c r="P620" s="670"/>
      <c r="Q620" s="665"/>
      <c r="R620" s="665"/>
      <c r="S620" s="539"/>
      <c r="T620" s="665"/>
      <c r="U620" s="49"/>
      <c r="V620" s="49"/>
      <c r="W620" s="49"/>
      <c r="X620" s="49"/>
      <c r="Y620" s="49"/>
    </row>
    <row r="621" ht="15.75" customHeight="1">
      <c r="A621" s="38"/>
      <c r="B621" s="49"/>
      <c r="C621" s="15"/>
      <c r="D621" s="663"/>
      <c r="E621" s="664"/>
      <c r="F621" s="665"/>
      <c r="G621" s="539"/>
      <c r="H621" s="373"/>
      <c r="I621" s="665"/>
      <c r="J621" s="666"/>
      <c r="K621" s="665"/>
      <c r="L621" s="667"/>
      <c r="M621" s="668"/>
      <c r="N621" s="373"/>
      <c r="O621" s="373"/>
      <c r="P621" s="670"/>
      <c r="Q621" s="665"/>
      <c r="R621" s="665"/>
      <c r="S621" s="539"/>
      <c r="T621" s="665"/>
      <c r="U621" s="49"/>
      <c r="V621" s="49"/>
      <c r="W621" s="49"/>
      <c r="X621" s="49"/>
      <c r="Y621" s="49"/>
    </row>
    <row r="622" ht="15.75" customHeight="1">
      <c r="A622" s="38"/>
      <c r="B622" s="49"/>
      <c r="C622" s="15"/>
      <c r="D622" s="663"/>
      <c r="E622" s="664"/>
      <c r="F622" s="665"/>
      <c r="G622" s="539"/>
      <c r="H622" s="373"/>
      <c r="I622" s="665"/>
      <c r="J622" s="666"/>
      <c r="K622" s="665"/>
      <c r="L622" s="667"/>
      <c r="M622" s="668"/>
      <c r="N622" s="373"/>
      <c r="O622" s="373"/>
      <c r="P622" s="670"/>
      <c r="Q622" s="665"/>
      <c r="R622" s="665"/>
      <c r="S622" s="539"/>
      <c r="T622" s="665"/>
      <c r="U622" s="49"/>
      <c r="V622" s="49"/>
      <c r="W622" s="49"/>
      <c r="X622" s="49"/>
      <c r="Y622" s="49"/>
    </row>
    <row r="623" ht="15.75" customHeight="1">
      <c r="A623" s="38"/>
      <c r="B623" s="49"/>
      <c r="C623" s="15"/>
      <c r="D623" s="663"/>
      <c r="E623" s="664"/>
      <c r="F623" s="665"/>
      <c r="G623" s="539"/>
      <c r="H623" s="373"/>
      <c r="I623" s="665"/>
      <c r="J623" s="666"/>
      <c r="K623" s="665"/>
      <c r="L623" s="667"/>
      <c r="M623" s="668"/>
      <c r="N623" s="373"/>
      <c r="O623" s="373"/>
      <c r="P623" s="670"/>
      <c r="Q623" s="665"/>
      <c r="R623" s="665"/>
      <c r="S623" s="539"/>
      <c r="T623" s="665"/>
      <c r="U623" s="49"/>
      <c r="V623" s="49"/>
      <c r="W623" s="49"/>
      <c r="X623" s="49"/>
      <c r="Y623" s="49"/>
    </row>
    <row r="624" ht="15.75" customHeight="1">
      <c r="A624" s="38"/>
      <c r="B624" s="49"/>
      <c r="C624" s="15"/>
      <c r="D624" s="663"/>
      <c r="E624" s="664"/>
      <c r="F624" s="665"/>
      <c r="G624" s="539"/>
      <c r="H624" s="373"/>
      <c r="I624" s="665"/>
      <c r="J624" s="666"/>
      <c r="K624" s="665"/>
      <c r="L624" s="667"/>
      <c r="M624" s="668"/>
      <c r="N624" s="373"/>
      <c r="O624" s="373"/>
      <c r="P624" s="670"/>
      <c r="Q624" s="665"/>
      <c r="R624" s="665"/>
      <c r="S624" s="539"/>
      <c r="T624" s="665"/>
      <c r="U624" s="49"/>
      <c r="V624" s="49"/>
      <c r="W624" s="49"/>
      <c r="X624" s="49"/>
      <c r="Y624" s="49"/>
    </row>
    <row r="625" ht="15.75" customHeight="1">
      <c r="A625" s="38"/>
      <c r="B625" s="49"/>
      <c r="C625" s="15"/>
      <c r="D625" s="663"/>
      <c r="E625" s="664"/>
      <c r="F625" s="665"/>
      <c r="G625" s="539"/>
      <c r="H625" s="373"/>
      <c r="I625" s="665"/>
      <c r="J625" s="666"/>
      <c r="K625" s="665"/>
      <c r="L625" s="667"/>
      <c r="M625" s="668"/>
      <c r="N625" s="373"/>
      <c r="O625" s="373"/>
      <c r="P625" s="670"/>
      <c r="Q625" s="665"/>
      <c r="R625" s="665"/>
      <c r="S625" s="539"/>
      <c r="T625" s="665"/>
      <c r="U625" s="49"/>
      <c r="V625" s="49"/>
      <c r="W625" s="49"/>
      <c r="X625" s="49"/>
      <c r="Y625" s="49"/>
    </row>
    <row r="626" ht="15.75" customHeight="1">
      <c r="A626" s="38"/>
      <c r="B626" s="49"/>
      <c r="C626" s="15"/>
      <c r="D626" s="663"/>
      <c r="E626" s="664"/>
      <c r="F626" s="665"/>
      <c r="G626" s="539"/>
      <c r="H626" s="373"/>
      <c r="I626" s="665"/>
      <c r="J626" s="666"/>
      <c r="K626" s="665"/>
      <c r="L626" s="667"/>
      <c r="M626" s="668"/>
      <c r="N626" s="373"/>
      <c r="O626" s="373"/>
      <c r="P626" s="670"/>
      <c r="Q626" s="665"/>
      <c r="R626" s="665"/>
      <c r="S626" s="539"/>
      <c r="T626" s="665"/>
      <c r="U626" s="49"/>
      <c r="V626" s="49"/>
      <c r="W626" s="49"/>
      <c r="X626" s="49"/>
      <c r="Y626" s="49"/>
    </row>
    <row r="627" ht="15.75" customHeight="1">
      <c r="A627" s="38"/>
      <c r="B627" s="49"/>
      <c r="C627" s="15"/>
      <c r="D627" s="663"/>
      <c r="E627" s="664"/>
      <c r="F627" s="665"/>
      <c r="G627" s="539"/>
      <c r="H627" s="373"/>
      <c r="I627" s="665"/>
      <c r="J627" s="666"/>
      <c r="K627" s="665"/>
      <c r="L627" s="667"/>
      <c r="M627" s="668"/>
      <c r="N627" s="373"/>
      <c r="O627" s="373"/>
      <c r="P627" s="670"/>
      <c r="Q627" s="665"/>
      <c r="R627" s="665"/>
      <c r="S627" s="539"/>
      <c r="T627" s="665"/>
      <c r="U627" s="49"/>
      <c r="V627" s="49"/>
      <c r="W627" s="49"/>
      <c r="X627" s="49"/>
      <c r="Y627" s="49"/>
    </row>
    <row r="628" ht="15.75" customHeight="1">
      <c r="A628" s="38"/>
      <c r="B628" s="49"/>
      <c r="C628" s="15"/>
      <c r="D628" s="663"/>
      <c r="E628" s="664"/>
      <c r="F628" s="665"/>
      <c r="G628" s="539"/>
      <c r="H628" s="373"/>
      <c r="I628" s="665"/>
      <c r="J628" s="666"/>
      <c r="K628" s="665"/>
      <c r="L628" s="667"/>
      <c r="M628" s="668"/>
      <c r="N628" s="373"/>
      <c r="O628" s="373"/>
      <c r="P628" s="670"/>
      <c r="Q628" s="665"/>
      <c r="R628" s="665"/>
      <c r="S628" s="539"/>
      <c r="T628" s="665"/>
      <c r="U628" s="49"/>
      <c r="V628" s="49"/>
      <c r="W628" s="49"/>
      <c r="X628" s="49"/>
      <c r="Y628" s="49"/>
    </row>
    <row r="629" ht="15.75" customHeight="1">
      <c r="A629" s="38"/>
      <c r="B629" s="49"/>
      <c r="C629" s="15"/>
      <c r="D629" s="663"/>
      <c r="E629" s="664"/>
      <c r="F629" s="665"/>
      <c r="G629" s="539"/>
      <c r="H629" s="373"/>
      <c r="I629" s="665"/>
      <c r="J629" s="666"/>
      <c r="K629" s="665"/>
      <c r="L629" s="667"/>
      <c r="M629" s="668"/>
      <c r="N629" s="373"/>
      <c r="O629" s="373"/>
      <c r="P629" s="670"/>
      <c r="Q629" s="665"/>
      <c r="R629" s="665"/>
      <c r="S629" s="539"/>
      <c r="T629" s="665"/>
      <c r="U629" s="49"/>
      <c r="V629" s="49"/>
      <c r="W629" s="49"/>
      <c r="X629" s="49"/>
      <c r="Y629" s="49"/>
    </row>
    <row r="630" ht="15.75" customHeight="1">
      <c r="A630" s="38"/>
      <c r="B630" s="49"/>
      <c r="C630" s="15"/>
      <c r="D630" s="663"/>
      <c r="E630" s="664"/>
      <c r="F630" s="665"/>
      <c r="G630" s="539"/>
      <c r="H630" s="373"/>
      <c r="I630" s="665"/>
      <c r="J630" s="666"/>
      <c r="K630" s="665"/>
      <c r="L630" s="667"/>
      <c r="M630" s="668"/>
      <c r="N630" s="373"/>
      <c r="O630" s="373"/>
      <c r="P630" s="670"/>
      <c r="Q630" s="665"/>
      <c r="R630" s="665"/>
      <c r="S630" s="539"/>
      <c r="T630" s="665"/>
      <c r="U630" s="49"/>
      <c r="V630" s="49"/>
      <c r="W630" s="49"/>
      <c r="X630" s="49"/>
      <c r="Y630" s="49"/>
    </row>
    <row r="631" ht="15.75" customHeight="1">
      <c r="A631" s="38"/>
      <c r="B631" s="49"/>
      <c r="C631" s="15"/>
      <c r="D631" s="663"/>
      <c r="E631" s="664"/>
      <c r="F631" s="665"/>
      <c r="G631" s="539"/>
      <c r="H631" s="373"/>
      <c r="I631" s="665"/>
      <c r="J631" s="666"/>
      <c r="K631" s="665"/>
      <c r="L631" s="667"/>
      <c r="M631" s="668"/>
      <c r="N631" s="373"/>
      <c r="O631" s="373"/>
      <c r="P631" s="670"/>
      <c r="Q631" s="665"/>
      <c r="R631" s="665"/>
      <c r="S631" s="539"/>
      <c r="T631" s="665"/>
      <c r="U631" s="49"/>
      <c r="V631" s="49"/>
      <c r="W631" s="49"/>
      <c r="X631" s="49"/>
      <c r="Y631" s="49"/>
    </row>
    <row r="632" ht="15.75" customHeight="1">
      <c r="A632" s="38"/>
      <c r="B632" s="49"/>
      <c r="C632" s="15"/>
      <c r="D632" s="663"/>
      <c r="E632" s="664"/>
      <c r="F632" s="665"/>
      <c r="G632" s="539"/>
      <c r="H632" s="373"/>
      <c r="I632" s="665"/>
      <c r="J632" s="666"/>
      <c r="K632" s="665"/>
      <c r="L632" s="667"/>
      <c r="M632" s="668"/>
      <c r="N632" s="373"/>
      <c r="O632" s="373"/>
      <c r="P632" s="670"/>
      <c r="Q632" s="665"/>
      <c r="R632" s="665"/>
      <c r="S632" s="539"/>
      <c r="T632" s="665"/>
      <c r="U632" s="49"/>
      <c r="V632" s="49"/>
      <c r="W632" s="49"/>
      <c r="X632" s="49"/>
      <c r="Y632" s="49"/>
    </row>
    <row r="633" ht="15.75" customHeight="1">
      <c r="A633" s="38"/>
      <c r="B633" s="49"/>
      <c r="C633" s="15"/>
      <c r="D633" s="663"/>
      <c r="E633" s="664"/>
      <c r="F633" s="665"/>
      <c r="G633" s="539"/>
      <c r="H633" s="373"/>
      <c r="I633" s="665"/>
      <c r="J633" s="666"/>
      <c r="K633" s="665"/>
      <c r="L633" s="667"/>
      <c r="M633" s="668"/>
      <c r="N633" s="373"/>
      <c r="O633" s="373"/>
      <c r="P633" s="670"/>
      <c r="Q633" s="665"/>
      <c r="R633" s="665"/>
      <c r="S633" s="539"/>
      <c r="T633" s="665"/>
      <c r="U633" s="49"/>
      <c r="V633" s="49"/>
      <c r="W633" s="49"/>
      <c r="X633" s="49"/>
      <c r="Y633" s="49"/>
    </row>
    <row r="634" ht="15.75" customHeight="1">
      <c r="A634" s="38"/>
      <c r="B634" s="49"/>
      <c r="C634" s="15"/>
      <c r="D634" s="663"/>
      <c r="E634" s="664"/>
      <c r="F634" s="665"/>
      <c r="G634" s="539"/>
      <c r="H634" s="373"/>
      <c r="I634" s="665"/>
      <c r="J634" s="666"/>
      <c r="K634" s="665"/>
      <c r="L634" s="667"/>
      <c r="M634" s="668"/>
      <c r="N634" s="373"/>
      <c r="O634" s="373"/>
      <c r="P634" s="670"/>
      <c r="Q634" s="665"/>
      <c r="R634" s="665"/>
      <c r="S634" s="539"/>
      <c r="T634" s="665"/>
      <c r="U634" s="49"/>
      <c r="V634" s="49"/>
      <c r="W634" s="49"/>
      <c r="X634" s="49"/>
      <c r="Y634" s="49"/>
    </row>
    <row r="635" ht="15.75" customHeight="1">
      <c r="A635" s="38"/>
      <c r="B635" s="49"/>
      <c r="C635" s="15"/>
      <c r="D635" s="663"/>
      <c r="E635" s="664"/>
      <c r="F635" s="665"/>
      <c r="G635" s="539"/>
      <c r="H635" s="373"/>
      <c r="I635" s="665"/>
      <c r="J635" s="666"/>
      <c r="K635" s="665"/>
      <c r="L635" s="667"/>
      <c r="M635" s="668"/>
      <c r="N635" s="373"/>
      <c r="O635" s="373"/>
      <c r="P635" s="670"/>
      <c r="Q635" s="665"/>
      <c r="R635" s="665"/>
      <c r="S635" s="539"/>
      <c r="T635" s="665"/>
      <c r="U635" s="49"/>
      <c r="V635" s="49"/>
      <c r="W635" s="49"/>
      <c r="X635" s="49"/>
      <c r="Y635" s="49"/>
    </row>
    <row r="636" ht="15.75" customHeight="1">
      <c r="A636" s="38"/>
      <c r="B636" s="49"/>
      <c r="C636" s="15"/>
      <c r="D636" s="663"/>
      <c r="E636" s="664"/>
      <c r="F636" s="665"/>
      <c r="G636" s="539"/>
      <c r="H636" s="373"/>
      <c r="I636" s="665"/>
      <c r="J636" s="666"/>
      <c r="K636" s="665"/>
      <c r="L636" s="667"/>
      <c r="M636" s="668"/>
      <c r="N636" s="373"/>
      <c r="O636" s="373"/>
      <c r="P636" s="670"/>
      <c r="Q636" s="665"/>
      <c r="R636" s="665"/>
      <c r="S636" s="539"/>
      <c r="T636" s="665"/>
      <c r="U636" s="49"/>
      <c r="V636" s="49"/>
      <c r="W636" s="49"/>
      <c r="X636" s="49"/>
      <c r="Y636" s="49"/>
    </row>
    <row r="637" ht="15.75" customHeight="1">
      <c r="A637" s="38"/>
      <c r="B637" s="49"/>
      <c r="C637" s="15"/>
      <c r="D637" s="663"/>
      <c r="E637" s="664"/>
      <c r="F637" s="665"/>
      <c r="G637" s="539"/>
      <c r="H637" s="373"/>
      <c r="I637" s="665"/>
      <c r="J637" s="666"/>
      <c r="K637" s="665"/>
      <c r="L637" s="667"/>
      <c r="M637" s="668"/>
      <c r="N637" s="373"/>
      <c r="O637" s="373"/>
      <c r="P637" s="670"/>
      <c r="Q637" s="665"/>
      <c r="R637" s="665"/>
      <c r="S637" s="539"/>
      <c r="T637" s="665"/>
      <c r="U637" s="49"/>
      <c r="V637" s="49"/>
      <c r="W637" s="49"/>
      <c r="X637" s="49"/>
      <c r="Y637" s="49"/>
    </row>
    <row r="638" ht="15.75" customHeight="1">
      <c r="A638" s="38"/>
      <c r="B638" s="49"/>
      <c r="C638" s="15"/>
      <c r="D638" s="663"/>
      <c r="E638" s="664"/>
      <c r="F638" s="665"/>
      <c r="G638" s="539"/>
      <c r="H638" s="373"/>
      <c r="I638" s="665"/>
      <c r="J638" s="666"/>
      <c r="K638" s="665"/>
      <c r="L638" s="667"/>
      <c r="M638" s="668"/>
      <c r="N638" s="373"/>
      <c r="O638" s="373"/>
      <c r="P638" s="670"/>
      <c r="Q638" s="665"/>
      <c r="R638" s="665"/>
      <c r="S638" s="539"/>
      <c r="T638" s="665"/>
      <c r="U638" s="49"/>
      <c r="V638" s="49"/>
      <c r="W638" s="49"/>
      <c r="X638" s="49"/>
      <c r="Y638" s="49"/>
    </row>
    <row r="639" ht="15.75" customHeight="1">
      <c r="A639" s="38"/>
      <c r="B639" s="49"/>
      <c r="C639" s="15"/>
      <c r="D639" s="663"/>
      <c r="E639" s="664"/>
      <c r="F639" s="665"/>
      <c r="G639" s="539"/>
      <c r="H639" s="373"/>
      <c r="I639" s="665"/>
      <c r="J639" s="666"/>
      <c r="K639" s="665"/>
      <c r="L639" s="667"/>
      <c r="M639" s="668"/>
      <c r="N639" s="373"/>
      <c r="O639" s="373"/>
      <c r="P639" s="670"/>
      <c r="Q639" s="665"/>
      <c r="R639" s="665"/>
      <c r="S639" s="539"/>
      <c r="T639" s="665"/>
      <c r="U639" s="49"/>
      <c r="V639" s="49"/>
      <c r="W639" s="49"/>
      <c r="X639" s="49"/>
      <c r="Y639" s="49"/>
    </row>
    <row r="640" ht="15.75" customHeight="1">
      <c r="A640" s="38"/>
      <c r="B640" s="49"/>
      <c r="C640" s="15"/>
      <c r="D640" s="663"/>
      <c r="E640" s="664"/>
      <c r="F640" s="665"/>
      <c r="G640" s="539"/>
      <c r="H640" s="373"/>
      <c r="I640" s="665"/>
      <c r="J640" s="666"/>
      <c r="K640" s="665"/>
      <c r="L640" s="667"/>
      <c r="M640" s="668"/>
      <c r="N640" s="373"/>
      <c r="O640" s="373"/>
      <c r="P640" s="670"/>
      <c r="Q640" s="665"/>
      <c r="R640" s="665"/>
      <c r="S640" s="539"/>
      <c r="T640" s="665"/>
      <c r="U640" s="49"/>
      <c r="V640" s="49"/>
      <c r="W640" s="49"/>
      <c r="X640" s="49"/>
      <c r="Y640" s="49"/>
    </row>
    <row r="641" ht="15.75" customHeight="1">
      <c r="A641" s="38"/>
      <c r="B641" s="49"/>
      <c r="C641" s="15"/>
      <c r="D641" s="663"/>
      <c r="E641" s="664"/>
      <c r="F641" s="665"/>
      <c r="G641" s="539"/>
      <c r="H641" s="373"/>
      <c r="I641" s="665"/>
      <c r="J641" s="666"/>
      <c r="K641" s="665"/>
      <c r="L641" s="667"/>
      <c r="M641" s="668"/>
      <c r="N641" s="373"/>
      <c r="O641" s="373"/>
      <c r="P641" s="670"/>
      <c r="Q641" s="665"/>
      <c r="R641" s="665"/>
      <c r="S641" s="539"/>
      <c r="T641" s="665"/>
      <c r="U641" s="49"/>
      <c r="V641" s="49"/>
      <c r="W641" s="49"/>
      <c r="X641" s="49"/>
      <c r="Y641" s="49"/>
    </row>
    <row r="642" ht="15.75" customHeight="1">
      <c r="A642" s="38"/>
      <c r="B642" s="49"/>
      <c r="C642" s="15"/>
      <c r="D642" s="663"/>
      <c r="E642" s="664"/>
      <c r="F642" s="665"/>
      <c r="G642" s="539"/>
      <c r="H642" s="373"/>
      <c r="I642" s="665"/>
      <c r="J642" s="666"/>
      <c r="K642" s="665"/>
      <c r="L642" s="667"/>
      <c r="M642" s="668"/>
      <c r="N642" s="373"/>
      <c r="O642" s="373"/>
      <c r="P642" s="670"/>
      <c r="Q642" s="665"/>
      <c r="R642" s="665"/>
      <c r="S642" s="539"/>
      <c r="T642" s="665"/>
      <c r="U642" s="49"/>
      <c r="V642" s="49"/>
      <c r="W642" s="49"/>
      <c r="X642" s="49"/>
      <c r="Y642" s="49"/>
    </row>
    <row r="643" ht="15.75" customHeight="1">
      <c r="A643" s="38"/>
      <c r="B643" s="49"/>
      <c r="C643" s="15"/>
      <c r="D643" s="663"/>
      <c r="E643" s="664"/>
      <c r="F643" s="665"/>
      <c r="G643" s="539"/>
      <c r="H643" s="373"/>
      <c r="I643" s="665"/>
      <c r="J643" s="666"/>
      <c r="K643" s="665"/>
      <c r="L643" s="667"/>
      <c r="M643" s="668"/>
      <c r="N643" s="373"/>
      <c r="O643" s="373"/>
      <c r="P643" s="670"/>
      <c r="Q643" s="665"/>
      <c r="R643" s="665"/>
      <c r="S643" s="539"/>
      <c r="T643" s="665"/>
      <c r="U643" s="49"/>
      <c r="V643" s="49"/>
      <c r="W643" s="49"/>
      <c r="X643" s="49"/>
      <c r="Y643" s="49"/>
    </row>
    <row r="644" ht="15.75" customHeight="1">
      <c r="A644" s="38"/>
      <c r="B644" s="49"/>
      <c r="C644" s="15"/>
      <c r="D644" s="663"/>
      <c r="E644" s="664"/>
      <c r="F644" s="665"/>
      <c r="G644" s="539"/>
      <c r="H644" s="373"/>
      <c r="I644" s="665"/>
      <c r="J644" s="666"/>
      <c r="K644" s="665"/>
      <c r="L644" s="667"/>
      <c r="M644" s="668"/>
      <c r="N644" s="373"/>
      <c r="O644" s="373"/>
      <c r="P644" s="670"/>
      <c r="Q644" s="665"/>
      <c r="R644" s="665"/>
      <c r="S644" s="539"/>
      <c r="T644" s="665"/>
      <c r="U644" s="49"/>
      <c r="V644" s="49"/>
      <c r="W644" s="49"/>
      <c r="X644" s="49"/>
      <c r="Y644" s="49"/>
    </row>
    <row r="645" ht="15.75" customHeight="1">
      <c r="A645" s="38"/>
      <c r="B645" s="49"/>
      <c r="C645" s="15"/>
      <c r="D645" s="663"/>
      <c r="E645" s="664"/>
      <c r="F645" s="665"/>
      <c r="G645" s="539"/>
      <c r="H645" s="373"/>
      <c r="I645" s="665"/>
      <c r="J645" s="666"/>
      <c r="K645" s="665"/>
      <c r="L645" s="667"/>
      <c r="M645" s="668"/>
      <c r="N645" s="373"/>
      <c r="O645" s="373"/>
      <c r="P645" s="670"/>
      <c r="Q645" s="665"/>
      <c r="R645" s="665"/>
      <c r="S645" s="539"/>
      <c r="T645" s="665"/>
      <c r="U645" s="49"/>
      <c r="V645" s="49"/>
      <c r="W645" s="49"/>
      <c r="X645" s="49"/>
      <c r="Y645" s="49"/>
    </row>
    <row r="646" ht="15.75" customHeight="1">
      <c r="A646" s="38"/>
      <c r="B646" s="49"/>
      <c r="C646" s="15"/>
      <c r="D646" s="663"/>
      <c r="E646" s="664"/>
      <c r="F646" s="665"/>
      <c r="G646" s="539"/>
      <c r="H646" s="373"/>
      <c r="I646" s="665"/>
      <c r="J646" s="666"/>
      <c r="K646" s="665"/>
      <c r="L646" s="667"/>
      <c r="M646" s="668"/>
      <c r="N646" s="373"/>
      <c r="O646" s="373"/>
      <c r="P646" s="670"/>
      <c r="Q646" s="665"/>
      <c r="R646" s="665"/>
      <c r="S646" s="539"/>
      <c r="T646" s="665"/>
      <c r="U646" s="49"/>
      <c r="V646" s="49"/>
      <c r="W646" s="49"/>
      <c r="X646" s="49"/>
      <c r="Y646" s="49"/>
    </row>
    <row r="647" ht="15.75" customHeight="1">
      <c r="A647" s="38"/>
      <c r="B647" s="49"/>
      <c r="C647" s="15"/>
      <c r="D647" s="663"/>
      <c r="E647" s="664"/>
      <c r="F647" s="665"/>
      <c r="G647" s="539"/>
      <c r="H647" s="373"/>
      <c r="I647" s="665"/>
      <c r="J647" s="666"/>
      <c r="K647" s="665"/>
      <c r="L647" s="667"/>
      <c r="M647" s="668"/>
      <c r="N647" s="373"/>
      <c r="O647" s="373"/>
      <c r="P647" s="670"/>
      <c r="Q647" s="665"/>
      <c r="R647" s="665"/>
      <c r="S647" s="539"/>
      <c r="T647" s="665"/>
      <c r="U647" s="49"/>
      <c r="V647" s="49"/>
      <c r="W647" s="49"/>
      <c r="X647" s="49"/>
      <c r="Y647" s="49"/>
    </row>
    <row r="648" ht="15.75" customHeight="1">
      <c r="A648" s="38"/>
      <c r="B648" s="49"/>
      <c r="C648" s="15"/>
      <c r="D648" s="663"/>
      <c r="E648" s="664"/>
      <c r="F648" s="665"/>
      <c r="G648" s="539"/>
      <c r="H648" s="373"/>
      <c r="I648" s="665"/>
      <c r="J648" s="666"/>
      <c r="K648" s="665"/>
      <c r="L648" s="667"/>
      <c r="M648" s="668"/>
      <c r="N648" s="373"/>
      <c r="O648" s="373"/>
      <c r="P648" s="670"/>
      <c r="Q648" s="665"/>
      <c r="R648" s="665"/>
      <c r="S648" s="539"/>
      <c r="T648" s="665"/>
      <c r="U648" s="49"/>
      <c r="V648" s="49"/>
      <c r="W648" s="49"/>
      <c r="X648" s="49"/>
      <c r="Y648" s="49"/>
    </row>
    <row r="649" ht="15.75" customHeight="1">
      <c r="A649" s="38"/>
      <c r="B649" s="49"/>
      <c r="C649" s="15"/>
      <c r="D649" s="663"/>
      <c r="E649" s="664"/>
      <c r="F649" s="665"/>
      <c r="G649" s="539"/>
      <c r="H649" s="373"/>
      <c r="I649" s="665"/>
      <c r="J649" s="666"/>
      <c r="K649" s="665"/>
      <c r="L649" s="667"/>
      <c r="M649" s="668"/>
      <c r="N649" s="373"/>
      <c r="O649" s="373"/>
      <c r="P649" s="670"/>
      <c r="Q649" s="665"/>
      <c r="R649" s="665"/>
      <c r="S649" s="539"/>
      <c r="T649" s="665"/>
      <c r="U649" s="49"/>
      <c r="V649" s="49"/>
      <c r="W649" s="49"/>
      <c r="X649" s="49"/>
      <c r="Y649" s="49"/>
    </row>
    <row r="650" ht="15.75" customHeight="1">
      <c r="A650" s="38"/>
      <c r="B650" s="49"/>
      <c r="C650" s="15"/>
      <c r="D650" s="663"/>
      <c r="E650" s="664"/>
      <c r="F650" s="665"/>
      <c r="G650" s="539"/>
      <c r="H650" s="373"/>
      <c r="I650" s="665"/>
      <c r="J650" s="666"/>
      <c r="K650" s="665"/>
      <c r="L650" s="667"/>
      <c r="M650" s="668"/>
      <c r="N650" s="373"/>
      <c r="O650" s="373"/>
      <c r="P650" s="670"/>
      <c r="Q650" s="665"/>
      <c r="R650" s="665"/>
      <c r="S650" s="539"/>
      <c r="T650" s="665"/>
      <c r="U650" s="49"/>
      <c r="V650" s="49"/>
      <c r="W650" s="49"/>
      <c r="X650" s="49"/>
      <c r="Y650" s="49"/>
    </row>
    <row r="651" ht="15.75" customHeight="1">
      <c r="A651" s="38"/>
      <c r="B651" s="49"/>
      <c r="C651" s="15"/>
      <c r="D651" s="663"/>
      <c r="E651" s="664"/>
      <c r="F651" s="665"/>
      <c r="G651" s="539"/>
      <c r="H651" s="373"/>
      <c r="I651" s="665"/>
      <c r="J651" s="666"/>
      <c r="K651" s="665"/>
      <c r="L651" s="667"/>
      <c r="M651" s="668"/>
      <c r="N651" s="373"/>
      <c r="O651" s="373"/>
      <c r="P651" s="670"/>
      <c r="Q651" s="665"/>
      <c r="R651" s="665"/>
      <c r="S651" s="539"/>
      <c r="T651" s="665"/>
      <c r="U651" s="49"/>
      <c r="V651" s="49"/>
      <c r="W651" s="49"/>
      <c r="X651" s="49"/>
      <c r="Y651" s="49"/>
    </row>
    <row r="652" ht="15.75" customHeight="1">
      <c r="A652" s="38"/>
      <c r="B652" s="49"/>
      <c r="C652" s="15"/>
      <c r="D652" s="663"/>
      <c r="E652" s="664"/>
      <c r="F652" s="665"/>
      <c r="G652" s="539"/>
      <c r="H652" s="373"/>
      <c r="I652" s="665"/>
      <c r="J652" s="666"/>
      <c r="K652" s="665"/>
      <c r="L652" s="667"/>
      <c r="M652" s="668"/>
      <c r="N652" s="373"/>
      <c r="O652" s="373"/>
      <c r="P652" s="670"/>
      <c r="Q652" s="665"/>
      <c r="R652" s="665"/>
      <c r="S652" s="539"/>
      <c r="T652" s="665"/>
      <c r="U652" s="49"/>
      <c r="V652" s="49"/>
      <c r="W652" s="49"/>
      <c r="X652" s="49"/>
      <c r="Y652" s="49"/>
    </row>
    <row r="653" ht="15.75" customHeight="1">
      <c r="A653" s="38"/>
      <c r="B653" s="49"/>
      <c r="C653" s="15"/>
      <c r="D653" s="663"/>
      <c r="E653" s="664"/>
      <c r="F653" s="665"/>
      <c r="G653" s="539"/>
      <c r="H653" s="373"/>
      <c r="I653" s="665"/>
      <c r="J653" s="666"/>
      <c r="K653" s="665"/>
      <c r="L653" s="667"/>
      <c r="M653" s="668"/>
      <c r="N653" s="373"/>
      <c r="O653" s="373"/>
      <c r="P653" s="670"/>
      <c r="Q653" s="665"/>
      <c r="R653" s="665"/>
      <c r="S653" s="539"/>
      <c r="T653" s="665"/>
      <c r="U653" s="49"/>
      <c r="V653" s="49"/>
      <c r="W653" s="49"/>
      <c r="X653" s="49"/>
      <c r="Y653" s="49"/>
    </row>
    <row r="654" ht="15.75" customHeight="1">
      <c r="A654" s="38"/>
      <c r="B654" s="49"/>
      <c r="C654" s="15"/>
      <c r="D654" s="663"/>
      <c r="E654" s="664"/>
      <c r="F654" s="665"/>
      <c r="G654" s="539"/>
      <c r="H654" s="373"/>
      <c r="I654" s="665"/>
      <c r="J654" s="666"/>
      <c r="K654" s="665"/>
      <c r="L654" s="667"/>
      <c r="M654" s="668"/>
      <c r="N654" s="373"/>
      <c r="O654" s="373"/>
      <c r="P654" s="670"/>
      <c r="Q654" s="665"/>
      <c r="R654" s="665"/>
      <c r="S654" s="539"/>
      <c r="T654" s="665"/>
      <c r="U654" s="49"/>
      <c r="V654" s="49"/>
      <c r="W654" s="49"/>
      <c r="X654" s="49"/>
      <c r="Y654" s="49"/>
    </row>
    <row r="655" ht="15.75" customHeight="1">
      <c r="A655" s="38"/>
      <c r="B655" s="49"/>
      <c r="C655" s="15"/>
      <c r="D655" s="663"/>
      <c r="E655" s="664"/>
      <c r="F655" s="665"/>
      <c r="G655" s="539"/>
      <c r="H655" s="373"/>
      <c r="I655" s="665"/>
      <c r="J655" s="666"/>
      <c r="K655" s="665"/>
      <c r="L655" s="667"/>
      <c r="M655" s="668"/>
      <c r="N655" s="373"/>
      <c r="O655" s="373"/>
      <c r="P655" s="670"/>
      <c r="Q655" s="665"/>
      <c r="R655" s="665"/>
      <c r="S655" s="539"/>
      <c r="T655" s="665"/>
      <c r="U655" s="49"/>
      <c r="V655" s="49"/>
      <c r="W655" s="49"/>
      <c r="X655" s="49"/>
      <c r="Y655" s="49"/>
    </row>
    <row r="656" ht="15.75" customHeight="1">
      <c r="A656" s="38"/>
      <c r="B656" s="49"/>
      <c r="C656" s="15"/>
      <c r="D656" s="663"/>
      <c r="E656" s="664"/>
      <c r="F656" s="665"/>
      <c r="G656" s="539"/>
      <c r="H656" s="373"/>
      <c r="I656" s="665"/>
      <c r="J656" s="666"/>
      <c r="K656" s="665"/>
      <c r="L656" s="667"/>
      <c r="M656" s="668"/>
      <c r="N656" s="373"/>
      <c r="O656" s="373"/>
      <c r="P656" s="670"/>
      <c r="Q656" s="665"/>
      <c r="R656" s="665"/>
      <c r="S656" s="539"/>
      <c r="T656" s="665"/>
      <c r="U656" s="49"/>
      <c r="V656" s="49"/>
      <c r="W656" s="49"/>
      <c r="X656" s="49"/>
      <c r="Y656" s="49"/>
    </row>
    <row r="657" ht="15.75" customHeight="1">
      <c r="A657" s="38"/>
      <c r="B657" s="49"/>
      <c r="C657" s="15"/>
      <c r="D657" s="663"/>
      <c r="E657" s="664"/>
      <c r="F657" s="665"/>
      <c r="G657" s="539"/>
      <c r="H657" s="373"/>
      <c r="I657" s="665"/>
      <c r="J657" s="666"/>
      <c r="K657" s="665"/>
      <c r="L657" s="667"/>
      <c r="M657" s="668"/>
      <c r="N657" s="373"/>
      <c r="O657" s="373"/>
      <c r="P657" s="670"/>
      <c r="Q657" s="665"/>
      <c r="R657" s="665"/>
      <c r="S657" s="539"/>
      <c r="T657" s="665"/>
      <c r="U657" s="49"/>
      <c r="V657" s="49"/>
      <c r="W657" s="49"/>
      <c r="X657" s="49"/>
      <c r="Y657" s="49"/>
    </row>
    <row r="658" ht="15.75" customHeight="1">
      <c r="A658" s="38"/>
      <c r="B658" s="49"/>
      <c r="C658" s="15"/>
      <c r="D658" s="663"/>
      <c r="E658" s="664"/>
      <c r="F658" s="665"/>
      <c r="G658" s="539"/>
      <c r="H658" s="373"/>
      <c r="I658" s="665"/>
      <c r="J658" s="666"/>
      <c r="K658" s="665"/>
      <c r="L658" s="667"/>
      <c r="M658" s="668"/>
      <c r="N658" s="373"/>
      <c r="O658" s="373"/>
      <c r="P658" s="670"/>
      <c r="Q658" s="665"/>
      <c r="R658" s="665"/>
      <c r="S658" s="539"/>
      <c r="T658" s="665"/>
      <c r="U658" s="49"/>
      <c r="V658" s="49"/>
      <c r="W658" s="49"/>
      <c r="X658" s="49"/>
      <c r="Y658" s="49"/>
    </row>
    <row r="659" ht="15.75" customHeight="1">
      <c r="A659" s="38"/>
      <c r="B659" s="49"/>
      <c r="C659" s="15"/>
      <c r="D659" s="663"/>
      <c r="E659" s="664"/>
      <c r="F659" s="665"/>
      <c r="G659" s="539"/>
      <c r="H659" s="373"/>
      <c r="I659" s="665"/>
      <c r="J659" s="666"/>
      <c r="K659" s="665"/>
      <c r="L659" s="667"/>
      <c r="M659" s="668"/>
      <c r="N659" s="373"/>
      <c r="O659" s="373"/>
      <c r="P659" s="670"/>
      <c r="Q659" s="665"/>
      <c r="R659" s="665"/>
      <c r="S659" s="539"/>
      <c r="T659" s="665"/>
      <c r="U659" s="49"/>
      <c r="V659" s="49"/>
      <c r="W659" s="49"/>
      <c r="X659" s="49"/>
      <c r="Y659" s="49"/>
    </row>
    <row r="660" ht="15.75" customHeight="1">
      <c r="A660" s="38"/>
      <c r="B660" s="49"/>
      <c r="C660" s="15"/>
      <c r="D660" s="663"/>
      <c r="E660" s="664"/>
      <c r="F660" s="665"/>
      <c r="G660" s="539"/>
      <c r="H660" s="373"/>
      <c r="I660" s="665"/>
      <c r="J660" s="666"/>
      <c r="K660" s="665"/>
      <c r="L660" s="667"/>
      <c r="M660" s="668"/>
      <c r="N660" s="373"/>
      <c r="O660" s="373"/>
      <c r="P660" s="670"/>
      <c r="Q660" s="665"/>
      <c r="R660" s="665"/>
      <c r="S660" s="539"/>
      <c r="T660" s="665"/>
      <c r="U660" s="49"/>
      <c r="V660" s="49"/>
      <c r="W660" s="49"/>
      <c r="X660" s="49"/>
      <c r="Y660" s="49"/>
    </row>
    <row r="661" ht="15.75" customHeight="1">
      <c r="A661" s="38"/>
      <c r="B661" s="49"/>
      <c r="C661" s="15"/>
      <c r="D661" s="663"/>
      <c r="E661" s="664"/>
      <c r="F661" s="665"/>
      <c r="G661" s="539"/>
      <c r="H661" s="373"/>
      <c r="I661" s="665"/>
      <c r="J661" s="666"/>
      <c r="K661" s="665"/>
      <c r="L661" s="667"/>
      <c r="M661" s="668"/>
      <c r="N661" s="373"/>
      <c r="O661" s="373"/>
      <c r="P661" s="670"/>
      <c r="Q661" s="665"/>
      <c r="R661" s="665"/>
      <c r="S661" s="539"/>
      <c r="T661" s="665"/>
      <c r="U661" s="49"/>
      <c r="V661" s="49"/>
      <c r="W661" s="49"/>
      <c r="X661" s="49"/>
      <c r="Y661" s="49"/>
    </row>
    <row r="662" ht="15.75" customHeight="1">
      <c r="A662" s="38"/>
      <c r="B662" s="49"/>
      <c r="C662" s="15"/>
      <c r="D662" s="663"/>
      <c r="E662" s="664"/>
      <c r="F662" s="665"/>
      <c r="G662" s="539"/>
      <c r="H662" s="373"/>
      <c r="I662" s="665"/>
      <c r="J662" s="666"/>
      <c r="K662" s="665"/>
      <c r="L662" s="667"/>
      <c r="M662" s="668"/>
      <c r="N662" s="373"/>
      <c r="O662" s="373"/>
      <c r="P662" s="670"/>
      <c r="Q662" s="665"/>
      <c r="R662" s="665"/>
      <c r="S662" s="539"/>
      <c r="T662" s="665"/>
      <c r="U662" s="49"/>
      <c r="V662" s="49"/>
      <c r="W662" s="49"/>
      <c r="X662" s="49"/>
      <c r="Y662" s="49"/>
    </row>
    <row r="663" ht="15.75" customHeight="1">
      <c r="A663" s="38"/>
      <c r="B663" s="49"/>
      <c r="C663" s="15"/>
      <c r="D663" s="663"/>
      <c r="E663" s="664"/>
      <c r="F663" s="665"/>
      <c r="G663" s="539"/>
      <c r="H663" s="373"/>
      <c r="I663" s="665"/>
      <c r="J663" s="666"/>
      <c r="K663" s="665"/>
      <c r="L663" s="667"/>
      <c r="M663" s="668"/>
      <c r="N663" s="373"/>
      <c r="O663" s="373"/>
      <c r="P663" s="670"/>
      <c r="Q663" s="665"/>
      <c r="R663" s="665"/>
      <c r="S663" s="539"/>
      <c r="T663" s="665"/>
      <c r="U663" s="49"/>
      <c r="V663" s="49"/>
      <c r="W663" s="49"/>
      <c r="X663" s="49"/>
      <c r="Y663" s="49"/>
    </row>
    <row r="664" ht="15.75" customHeight="1">
      <c r="A664" s="38"/>
      <c r="B664" s="49"/>
      <c r="C664" s="15"/>
      <c r="D664" s="663"/>
      <c r="E664" s="664"/>
      <c r="F664" s="665"/>
      <c r="G664" s="539"/>
      <c r="H664" s="373"/>
      <c r="I664" s="665"/>
      <c r="J664" s="666"/>
      <c r="K664" s="665"/>
      <c r="L664" s="667"/>
      <c r="M664" s="668"/>
      <c r="N664" s="373"/>
      <c r="O664" s="373"/>
      <c r="P664" s="670"/>
      <c r="Q664" s="665"/>
      <c r="R664" s="665"/>
      <c r="S664" s="539"/>
      <c r="T664" s="665"/>
      <c r="U664" s="49"/>
      <c r="V664" s="49"/>
      <c r="W664" s="49"/>
      <c r="X664" s="49"/>
      <c r="Y664" s="49"/>
    </row>
    <row r="665" ht="15.75" customHeight="1">
      <c r="A665" s="38"/>
      <c r="B665" s="49"/>
      <c r="C665" s="15"/>
      <c r="D665" s="663"/>
      <c r="E665" s="664"/>
      <c r="F665" s="665"/>
      <c r="G665" s="539"/>
      <c r="H665" s="373"/>
      <c r="I665" s="665"/>
      <c r="J665" s="666"/>
      <c r="K665" s="665"/>
      <c r="L665" s="667"/>
      <c r="M665" s="668"/>
      <c r="N665" s="373"/>
      <c r="O665" s="373"/>
      <c r="P665" s="670"/>
      <c r="Q665" s="665"/>
      <c r="R665" s="665"/>
      <c r="S665" s="539"/>
      <c r="T665" s="665"/>
      <c r="U665" s="49"/>
      <c r="V665" s="49"/>
      <c r="W665" s="49"/>
      <c r="X665" s="49"/>
      <c r="Y665" s="49"/>
    </row>
    <row r="666" ht="15.75" customHeight="1">
      <c r="A666" s="38"/>
      <c r="B666" s="49"/>
      <c r="C666" s="15"/>
      <c r="D666" s="663"/>
      <c r="E666" s="664"/>
      <c r="F666" s="665"/>
      <c r="G666" s="539"/>
      <c r="H666" s="373"/>
      <c r="I666" s="665"/>
      <c r="J666" s="666"/>
      <c r="K666" s="665"/>
      <c r="L666" s="667"/>
      <c r="M666" s="668"/>
      <c r="N666" s="373"/>
      <c r="O666" s="373"/>
      <c r="P666" s="670"/>
      <c r="Q666" s="665"/>
      <c r="R666" s="665"/>
      <c r="S666" s="539"/>
      <c r="T666" s="665"/>
      <c r="U666" s="49"/>
      <c r="V666" s="49"/>
      <c r="W666" s="49"/>
      <c r="X666" s="49"/>
      <c r="Y666" s="49"/>
    </row>
    <row r="667" ht="15.75" customHeight="1">
      <c r="A667" s="38"/>
      <c r="B667" s="49"/>
      <c r="C667" s="15"/>
      <c r="D667" s="663"/>
      <c r="E667" s="664"/>
      <c r="F667" s="665"/>
      <c r="G667" s="539"/>
      <c r="H667" s="373"/>
      <c r="I667" s="665"/>
      <c r="J667" s="666"/>
      <c r="K667" s="665"/>
      <c r="L667" s="667"/>
      <c r="M667" s="668"/>
      <c r="N667" s="373"/>
      <c r="O667" s="373"/>
      <c r="P667" s="670"/>
      <c r="Q667" s="665"/>
      <c r="R667" s="665"/>
      <c r="S667" s="539"/>
      <c r="T667" s="665"/>
      <c r="U667" s="49"/>
      <c r="V667" s="49"/>
      <c r="W667" s="49"/>
      <c r="X667" s="49"/>
      <c r="Y667" s="49"/>
    </row>
    <row r="668" ht="15.75" customHeight="1">
      <c r="A668" s="38"/>
      <c r="B668" s="49"/>
      <c r="C668" s="15"/>
      <c r="D668" s="663"/>
      <c r="E668" s="664"/>
      <c r="F668" s="665"/>
      <c r="G668" s="539"/>
      <c r="H668" s="373"/>
      <c r="I668" s="665"/>
      <c r="J668" s="666"/>
      <c r="K668" s="665"/>
      <c r="L668" s="667"/>
      <c r="M668" s="668"/>
      <c r="N668" s="373"/>
      <c r="O668" s="373"/>
      <c r="P668" s="670"/>
      <c r="Q668" s="665"/>
      <c r="R668" s="665"/>
      <c r="S668" s="539"/>
      <c r="T668" s="665"/>
      <c r="U668" s="49"/>
      <c r="V668" s="49"/>
      <c r="W668" s="49"/>
      <c r="X668" s="49"/>
      <c r="Y668" s="49"/>
    </row>
    <row r="669" ht="15.75" customHeight="1">
      <c r="A669" s="38"/>
      <c r="B669" s="49"/>
      <c r="C669" s="15"/>
      <c r="D669" s="663"/>
      <c r="E669" s="664"/>
      <c r="F669" s="665"/>
      <c r="G669" s="539"/>
      <c r="H669" s="373"/>
      <c r="I669" s="665"/>
      <c r="J669" s="666"/>
      <c r="K669" s="665"/>
      <c r="L669" s="667"/>
      <c r="M669" s="668"/>
      <c r="N669" s="373"/>
      <c r="O669" s="373"/>
      <c r="P669" s="670"/>
      <c r="Q669" s="665"/>
      <c r="R669" s="665"/>
      <c r="S669" s="539"/>
      <c r="T669" s="665"/>
      <c r="U669" s="49"/>
      <c r="V669" s="49"/>
      <c r="W669" s="49"/>
      <c r="X669" s="49"/>
      <c r="Y669" s="49"/>
    </row>
    <row r="670" ht="15.75" customHeight="1">
      <c r="A670" s="38"/>
      <c r="B670" s="49"/>
      <c r="C670" s="15"/>
      <c r="D670" s="663"/>
      <c r="E670" s="664"/>
      <c r="F670" s="665"/>
      <c r="G670" s="539"/>
      <c r="H670" s="373"/>
      <c r="I670" s="665"/>
      <c r="J670" s="666"/>
      <c r="K670" s="665"/>
      <c r="L670" s="667"/>
      <c r="M670" s="668"/>
      <c r="N670" s="373"/>
      <c r="O670" s="373"/>
      <c r="P670" s="670"/>
      <c r="Q670" s="665"/>
      <c r="R670" s="665"/>
      <c r="S670" s="539"/>
      <c r="T670" s="665"/>
      <c r="U670" s="49"/>
      <c r="V670" s="49"/>
      <c r="W670" s="49"/>
      <c r="X670" s="49"/>
      <c r="Y670" s="49"/>
    </row>
    <row r="671" ht="15.75" customHeight="1">
      <c r="A671" s="38"/>
      <c r="B671" s="49"/>
      <c r="C671" s="15"/>
      <c r="D671" s="663"/>
      <c r="E671" s="664"/>
      <c r="F671" s="665"/>
      <c r="G671" s="539"/>
      <c r="H671" s="373"/>
      <c r="I671" s="665"/>
      <c r="J671" s="666"/>
      <c r="K671" s="665"/>
      <c r="L671" s="667"/>
      <c r="M671" s="668"/>
      <c r="N671" s="373"/>
      <c r="O671" s="373"/>
      <c r="P671" s="670"/>
      <c r="Q671" s="665"/>
      <c r="R671" s="665"/>
      <c r="S671" s="539"/>
      <c r="T671" s="665"/>
      <c r="U671" s="49"/>
      <c r="V671" s="49"/>
      <c r="W671" s="49"/>
      <c r="X671" s="49"/>
      <c r="Y671" s="49"/>
    </row>
    <row r="672" ht="15.75" customHeight="1">
      <c r="A672" s="38"/>
      <c r="B672" s="49"/>
      <c r="C672" s="15"/>
      <c r="D672" s="663"/>
      <c r="E672" s="664"/>
      <c r="F672" s="665"/>
      <c r="G672" s="539"/>
      <c r="H672" s="373"/>
      <c r="I672" s="665"/>
      <c r="J672" s="666"/>
      <c r="K672" s="665"/>
      <c r="L672" s="667"/>
      <c r="M672" s="668"/>
      <c r="N672" s="373"/>
      <c r="O672" s="373"/>
      <c r="P672" s="670"/>
      <c r="Q672" s="665"/>
      <c r="R672" s="665"/>
      <c r="S672" s="539"/>
      <c r="T672" s="665"/>
      <c r="U672" s="49"/>
      <c r="V672" s="49"/>
      <c r="W672" s="49"/>
      <c r="X672" s="49"/>
      <c r="Y672" s="49"/>
    </row>
    <row r="673" ht="15.75" customHeight="1">
      <c r="A673" s="38"/>
      <c r="B673" s="49"/>
      <c r="C673" s="15"/>
      <c r="D673" s="663"/>
      <c r="E673" s="664"/>
      <c r="F673" s="665"/>
      <c r="G673" s="539"/>
      <c r="H673" s="373"/>
      <c r="I673" s="665"/>
      <c r="J673" s="666"/>
      <c r="K673" s="665"/>
      <c r="L673" s="667"/>
      <c r="M673" s="668"/>
      <c r="N673" s="373"/>
      <c r="O673" s="373"/>
      <c r="P673" s="670"/>
      <c r="Q673" s="665"/>
      <c r="R673" s="665"/>
      <c r="S673" s="539"/>
      <c r="T673" s="665"/>
      <c r="U673" s="49"/>
      <c r="V673" s="49"/>
      <c r="W673" s="49"/>
      <c r="X673" s="49"/>
      <c r="Y673" s="49"/>
    </row>
    <row r="674" ht="15.75" customHeight="1">
      <c r="A674" s="38"/>
      <c r="B674" s="49"/>
      <c r="C674" s="15"/>
      <c r="D674" s="663"/>
      <c r="E674" s="664"/>
      <c r="F674" s="665"/>
      <c r="G674" s="539"/>
      <c r="H674" s="373"/>
      <c r="I674" s="665"/>
      <c r="J674" s="666"/>
      <c r="K674" s="665"/>
      <c r="L674" s="667"/>
      <c r="M674" s="668"/>
      <c r="N674" s="373"/>
      <c r="O674" s="373"/>
      <c r="P674" s="670"/>
      <c r="Q674" s="665"/>
      <c r="R674" s="665"/>
      <c r="S674" s="539"/>
      <c r="T674" s="665"/>
      <c r="U674" s="49"/>
      <c r="V674" s="49"/>
      <c r="W674" s="49"/>
      <c r="X674" s="49"/>
      <c r="Y674" s="49"/>
    </row>
    <row r="675" ht="15.75" customHeight="1">
      <c r="A675" s="38"/>
      <c r="B675" s="49"/>
      <c r="C675" s="15"/>
      <c r="D675" s="663"/>
      <c r="E675" s="664"/>
      <c r="F675" s="665"/>
      <c r="G675" s="539"/>
      <c r="H675" s="373"/>
      <c r="I675" s="665"/>
      <c r="J675" s="666"/>
      <c r="K675" s="665"/>
      <c r="L675" s="667"/>
      <c r="M675" s="668"/>
      <c r="N675" s="373"/>
      <c r="O675" s="373"/>
      <c r="P675" s="670"/>
      <c r="Q675" s="665"/>
      <c r="R675" s="665"/>
      <c r="S675" s="539"/>
      <c r="T675" s="665"/>
      <c r="U675" s="49"/>
      <c r="V675" s="49"/>
      <c r="W675" s="49"/>
      <c r="X675" s="49"/>
      <c r="Y675" s="49"/>
    </row>
    <row r="676" ht="15.75" customHeight="1">
      <c r="A676" s="38"/>
      <c r="B676" s="49"/>
      <c r="C676" s="15"/>
      <c r="D676" s="663"/>
      <c r="E676" s="664"/>
      <c r="F676" s="665"/>
      <c r="G676" s="539"/>
      <c r="H676" s="373"/>
      <c r="I676" s="665"/>
      <c r="J676" s="666"/>
      <c r="K676" s="665"/>
      <c r="L676" s="667"/>
      <c r="M676" s="668"/>
      <c r="N676" s="373"/>
      <c r="O676" s="373"/>
      <c r="P676" s="670"/>
      <c r="Q676" s="665"/>
      <c r="R676" s="665"/>
      <c r="S676" s="539"/>
      <c r="T676" s="665"/>
      <c r="U676" s="49"/>
      <c r="V676" s="49"/>
      <c r="W676" s="49"/>
      <c r="X676" s="49"/>
      <c r="Y676" s="49"/>
    </row>
    <row r="677" ht="15.75" customHeight="1">
      <c r="A677" s="38"/>
      <c r="B677" s="49"/>
      <c r="C677" s="15"/>
      <c r="D677" s="663"/>
      <c r="E677" s="664"/>
      <c r="F677" s="665"/>
      <c r="G677" s="539"/>
      <c r="H677" s="373"/>
      <c r="I677" s="665"/>
      <c r="J677" s="666"/>
      <c r="K677" s="665"/>
      <c r="L677" s="667"/>
      <c r="M677" s="668"/>
      <c r="N677" s="373"/>
      <c r="O677" s="373"/>
      <c r="P677" s="670"/>
      <c r="Q677" s="665"/>
      <c r="R677" s="665"/>
      <c r="S677" s="539"/>
      <c r="T677" s="665"/>
      <c r="U677" s="49"/>
      <c r="V677" s="49"/>
      <c r="W677" s="49"/>
      <c r="X677" s="49"/>
      <c r="Y677" s="49"/>
    </row>
    <row r="678" ht="15.75" customHeight="1">
      <c r="A678" s="38"/>
      <c r="B678" s="49"/>
      <c r="C678" s="15"/>
      <c r="D678" s="663"/>
      <c r="E678" s="664"/>
      <c r="F678" s="665"/>
      <c r="G678" s="539"/>
      <c r="H678" s="373"/>
      <c r="I678" s="665"/>
      <c r="J678" s="666"/>
      <c r="K678" s="665"/>
      <c r="L678" s="667"/>
      <c r="M678" s="668"/>
      <c r="N678" s="373"/>
      <c r="O678" s="373"/>
      <c r="P678" s="670"/>
      <c r="Q678" s="665"/>
      <c r="R678" s="665"/>
      <c r="S678" s="539"/>
      <c r="T678" s="665"/>
      <c r="U678" s="49"/>
      <c r="V678" s="49"/>
      <c r="W678" s="49"/>
      <c r="X678" s="49"/>
      <c r="Y678" s="49"/>
    </row>
    <row r="679" ht="15.75" customHeight="1">
      <c r="A679" s="38"/>
      <c r="B679" s="49"/>
      <c r="C679" s="15"/>
      <c r="D679" s="663"/>
      <c r="E679" s="664"/>
      <c r="F679" s="665"/>
      <c r="G679" s="539"/>
      <c r="H679" s="373"/>
      <c r="I679" s="665"/>
      <c r="J679" s="666"/>
      <c r="K679" s="665"/>
      <c r="L679" s="667"/>
      <c r="M679" s="668"/>
      <c r="N679" s="373"/>
      <c r="O679" s="373"/>
      <c r="P679" s="670"/>
      <c r="Q679" s="665"/>
      <c r="R679" s="665"/>
      <c r="S679" s="539"/>
      <c r="T679" s="665"/>
      <c r="U679" s="49"/>
      <c r="V679" s="49"/>
      <c r="W679" s="49"/>
      <c r="X679" s="49"/>
      <c r="Y679" s="49"/>
    </row>
    <row r="680" ht="15.75" customHeight="1">
      <c r="A680" s="38"/>
      <c r="B680" s="49"/>
      <c r="C680" s="15"/>
      <c r="D680" s="663"/>
      <c r="E680" s="664"/>
      <c r="F680" s="665"/>
      <c r="G680" s="539"/>
      <c r="H680" s="373"/>
      <c r="I680" s="665"/>
      <c r="J680" s="666"/>
      <c r="K680" s="665"/>
      <c r="L680" s="667"/>
      <c r="M680" s="668"/>
      <c r="N680" s="373"/>
      <c r="O680" s="373"/>
      <c r="P680" s="670"/>
      <c r="Q680" s="665"/>
      <c r="R680" s="665"/>
      <c r="S680" s="539"/>
      <c r="T680" s="665"/>
      <c r="U680" s="49"/>
      <c r="V680" s="49"/>
      <c r="W680" s="49"/>
      <c r="X680" s="49"/>
      <c r="Y680" s="49"/>
    </row>
    <row r="681" ht="15.75" customHeight="1">
      <c r="A681" s="38"/>
      <c r="B681" s="49"/>
      <c r="C681" s="15"/>
      <c r="D681" s="663"/>
      <c r="E681" s="664"/>
      <c r="F681" s="665"/>
      <c r="G681" s="539"/>
      <c r="H681" s="373"/>
      <c r="I681" s="665"/>
      <c r="J681" s="666"/>
      <c r="K681" s="665"/>
      <c r="L681" s="667"/>
      <c r="M681" s="668"/>
      <c r="N681" s="373"/>
      <c r="O681" s="373"/>
      <c r="P681" s="670"/>
      <c r="Q681" s="665"/>
      <c r="R681" s="665"/>
      <c r="S681" s="539"/>
      <c r="T681" s="665"/>
      <c r="U681" s="49"/>
      <c r="V681" s="49"/>
      <c r="W681" s="49"/>
      <c r="X681" s="49"/>
      <c r="Y681" s="49"/>
    </row>
    <row r="682" ht="15.75" customHeight="1">
      <c r="A682" s="38"/>
      <c r="B682" s="49"/>
      <c r="C682" s="15"/>
      <c r="D682" s="663"/>
      <c r="E682" s="664"/>
      <c r="F682" s="665"/>
      <c r="G682" s="539"/>
      <c r="H682" s="373"/>
      <c r="I682" s="665"/>
      <c r="J682" s="666"/>
      <c r="K682" s="665"/>
      <c r="L682" s="667"/>
      <c r="M682" s="668"/>
      <c r="N682" s="373"/>
      <c r="O682" s="373"/>
      <c r="P682" s="670"/>
      <c r="Q682" s="665"/>
      <c r="R682" s="665"/>
      <c r="S682" s="539"/>
      <c r="T682" s="665"/>
      <c r="U682" s="49"/>
      <c r="V682" s="49"/>
      <c r="W682" s="49"/>
      <c r="X682" s="49"/>
      <c r="Y682" s="49"/>
    </row>
    <row r="683" ht="15.75" customHeight="1">
      <c r="A683" s="38"/>
      <c r="B683" s="49"/>
      <c r="C683" s="15"/>
      <c r="D683" s="663"/>
      <c r="E683" s="664"/>
      <c r="F683" s="665"/>
      <c r="G683" s="539"/>
      <c r="H683" s="373"/>
      <c r="I683" s="665"/>
      <c r="J683" s="666"/>
      <c r="K683" s="665"/>
      <c r="L683" s="667"/>
      <c r="M683" s="668"/>
      <c r="N683" s="373"/>
      <c r="O683" s="373"/>
      <c r="P683" s="670"/>
      <c r="Q683" s="665"/>
      <c r="R683" s="665"/>
      <c r="S683" s="539"/>
      <c r="T683" s="665"/>
      <c r="U683" s="49"/>
      <c r="V683" s="49"/>
      <c r="W683" s="49"/>
      <c r="X683" s="49"/>
      <c r="Y683" s="49"/>
    </row>
    <row r="684" ht="15.75" customHeight="1">
      <c r="A684" s="38"/>
      <c r="B684" s="49"/>
      <c r="C684" s="15"/>
      <c r="D684" s="663"/>
      <c r="E684" s="664"/>
      <c r="F684" s="665"/>
      <c r="G684" s="539"/>
      <c r="H684" s="373"/>
      <c r="I684" s="665"/>
      <c r="J684" s="666"/>
      <c r="K684" s="665"/>
      <c r="L684" s="667"/>
      <c r="M684" s="668"/>
      <c r="N684" s="373"/>
      <c r="O684" s="373"/>
      <c r="P684" s="670"/>
      <c r="Q684" s="665"/>
      <c r="R684" s="665"/>
      <c r="S684" s="539"/>
      <c r="T684" s="665"/>
      <c r="U684" s="49"/>
      <c r="V684" s="49"/>
      <c r="W684" s="49"/>
      <c r="X684" s="49"/>
      <c r="Y684" s="49"/>
    </row>
    <row r="685" ht="15.75" customHeight="1">
      <c r="A685" s="38"/>
      <c r="B685" s="49"/>
      <c r="C685" s="15"/>
      <c r="D685" s="663"/>
      <c r="E685" s="664"/>
      <c r="F685" s="665"/>
      <c r="G685" s="539"/>
      <c r="H685" s="373"/>
      <c r="I685" s="665"/>
      <c r="J685" s="666"/>
      <c r="K685" s="665"/>
      <c r="L685" s="667"/>
      <c r="M685" s="668"/>
      <c r="N685" s="373"/>
      <c r="O685" s="373"/>
      <c r="P685" s="670"/>
      <c r="Q685" s="665"/>
      <c r="R685" s="665"/>
      <c r="S685" s="539"/>
      <c r="T685" s="665"/>
      <c r="U685" s="49"/>
      <c r="V685" s="49"/>
      <c r="W685" s="49"/>
      <c r="X685" s="49"/>
      <c r="Y685" s="49"/>
    </row>
    <row r="686" ht="15.75" customHeight="1">
      <c r="A686" s="38"/>
      <c r="B686" s="49"/>
      <c r="C686" s="15"/>
      <c r="D686" s="663"/>
      <c r="E686" s="664"/>
      <c r="F686" s="665"/>
      <c r="G686" s="539"/>
      <c r="H686" s="373"/>
      <c r="I686" s="665"/>
      <c r="J686" s="666"/>
      <c r="K686" s="665"/>
      <c r="L686" s="667"/>
      <c r="M686" s="668"/>
      <c r="N686" s="373"/>
      <c r="O686" s="373"/>
      <c r="P686" s="670"/>
      <c r="Q686" s="665"/>
      <c r="R686" s="665"/>
      <c r="S686" s="539"/>
      <c r="T686" s="665"/>
      <c r="U686" s="49"/>
      <c r="V686" s="49"/>
      <c r="W686" s="49"/>
      <c r="X686" s="49"/>
      <c r="Y686" s="49"/>
    </row>
    <row r="687" ht="15.75" customHeight="1">
      <c r="A687" s="38"/>
      <c r="B687" s="49"/>
      <c r="C687" s="15"/>
      <c r="D687" s="663"/>
      <c r="E687" s="664"/>
      <c r="F687" s="665"/>
      <c r="G687" s="539"/>
      <c r="H687" s="373"/>
      <c r="I687" s="665"/>
      <c r="J687" s="666"/>
      <c r="K687" s="665"/>
      <c r="L687" s="667"/>
      <c r="M687" s="668"/>
      <c r="N687" s="373"/>
      <c r="O687" s="373"/>
      <c r="P687" s="670"/>
      <c r="Q687" s="665"/>
      <c r="R687" s="665"/>
      <c r="S687" s="539"/>
      <c r="T687" s="665"/>
      <c r="U687" s="49"/>
      <c r="V687" s="49"/>
      <c r="W687" s="49"/>
      <c r="X687" s="49"/>
      <c r="Y687" s="49"/>
    </row>
    <row r="688" ht="15.75" customHeight="1">
      <c r="A688" s="38"/>
      <c r="B688" s="49"/>
      <c r="C688" s="15"/>
      <c r="D688" s="663"/>
      <c r="E688" s="664"/>
      <c r="F688" s="665"/>
      <c r="G688" s="539"/>
      <c r="H688" s="373"/>
      <c r="I688" s="665"/>
      <c r="J688" s="666"/>
      <c r="K688" s="665"/>
      <c r="L688" s="667"/>
      <c r="M688" s="668"/>
      <c r="N688" s="373"/>
      <c r="O688" s="373"/>
      <c r="P688" s="670"/>
      <c r="Q688" s="665"/>
      <c r="R688" s="665"/>
      <c r="S688" s="539"/>
      <c r="T688" s="665"/>
      <c r="U688" s="49"/>
      <c r="V688" s="49"/>
      <c r="W688" s="49"/>
      <c r="X688" s="49"/>
      <c r="Y688" s="49"/>
    </row>
    <row r="689" ht="15.75" customHeight="1">
      <c r="A689" s="38"/>
      <c r="B689" s="49"/>
      <c r="C689" s="15"/>
      <c r="D689" s="663"/>
      <c r="E689" s="664"/>
      <c r="F689" s="665"/>
      <c r="G689" s="539"/>
      <c r="H689" s="373"/>
      <c r="I689" s="665"/>
      <c r="J689" s="666"/>
      <c r="K689" s="665"/>
      <c r="L689" s="667"/>
      <c r="M689" s="668"/>
      <c r="N689" s="373"/>
      <c r="O689" s="373"/>
      <c r="P689" s="670"/>
      <c r="Q689" s="665"/>
      <c r="R689" s="665"/>
      <c r="S689" s="539"/>
      <c r="T689" s="665"/>
      <c r="U689" s="49"/>
      <c r="V689" s="49"/>
      <c r="W689" s="49"/>
      <c r="X689" s="49"/>
      <c r="Y689" s="49"/>
    </row>
    <row r="690" ht="15.75" customHeight="1">
      <c r="A690" s="38"/>
      <c r="B690" s="49"/>
      <c r="C690" s="15"/>
      <c r="D690" s="663"/>
      <c r="E690" s="664"/>
      <c r="F690" s="665"/>
      <c r="G690" s="539"/>
      <c r="H690" s="373"/>
      <c r="I690" s="665"/>
      <c r="J690" s="666"/>
      <c r="K690" s="665"/>
      <c r="L690" s="667"/>
      <c r="M690" s="668"/>
      <c r="N690" s="373"/>
      <c r="O690" s="373"/>
      <c r="P690" s="670"/>
      <c r="Q690" s="665"/>
      <c r="R690" s="665"/>
      <c r="S690" s="539"/>
      <c r="T690" s="665"/>
      <c r="U690" s="49"/>
      <c r="V690" s="49"/>
      <c r="W690" s="49"/>
      <c r="X690" s="49"/>
      <c r="Y690" s="49"/>
    </row>
    <row r="691" ht="15.75" customHeight="1">
      <c r="A691" s="38"/>
      <c r="B691" s="49"/>
      <c r="C691" s="15"/>
      <c r="D691" s="663"/>
      <c r="E691" s="664"/>
      <c r="F691" s="665"/>
      <c r="G691" s="539"/>
      <c r="H691" s="373"/>
      <c r="I691" s="665"/>
      <c r="J691" s="666"/>
      <c r="K691" s="665"/>
      <c r="L691" s="667"/>
      <c r="M691" s="668"/>
      <c r="N691" s="373"/>
      <c r="O691" s="373"/>
      <c r="P691" s="670"/>
      <c r="Q691" s="665"/>
      <c r="R691" s="665"/>
      <c r="S691" s="539"/>
      <c r="T691" s="665"/>
      <c r="U691" s="49"/>
      <c r="V691" s="49"/>
      <c r="W691" s="49"/>
      <c r="X691" s="49"/>
      <c r="Y691" s="49"/>
    </row>
    <row r="692" ht="15.75" customHeight="1">
      <c r="A692" s="38"/>
      <c r="B692" s="49"/>
      <c r="C692" s="15"/>
      <c r="D692" s="663"/>
      <c r="E692" s="664"/>
      <c r="F692" s="665"/>
      <c r="G692" s="539"/>
      <c r="H692" s="373"/>
      <c r="I692" s="665"/>
      <c r="J692" s="666"/>
      <c r="K692" s="665"/>
      <c r="L692" s="667"/>
      <c r="M692" s="668"/>
      <c r="N692" s="373"/>
      <c r="O692" s="373"/>
      <c r="P692" s="670"/>
      <c r="Q692" s="665"/>
      <c r="R692" s="665"/>
      <c r="S692" s="539"/>
      <c r="T692" s="665"/>
      <c r="U692" s="49"/>
      <c r="V692" s="49"/>
      <c r="W692" s="49"/>
      <c r="X692" s="49"/>
      <c r="Y692" s="49"/>
    </row>
    <row r="693" ht="15.75" customHeight="1">
      <c r="A693" s="38"/>
      <c r="B693" s="49"/>
      <c r="C693" s="15"/>
      <c r="D693" s="663"/>
      <c r="E693" s="664"/>
      <c r="F693" s="665"/>
      <c r="G693" s="539"/>
      <c r="H693" s="373"/>
      <c r="I693" s="665"/>
      <c r="J693" s="666"/>
      <c r="K693" s="665"/>
      <c r="L693" s="667"/>
      <c r="M693" s="668"/>
      <c r="N693" s="373"/>
      <c r="O693" s="373"/>
      <c r="P693" s="670"/>
      <c r="Q693" s="665"/>
      <c r="R693" s="665"/>
      <c r="S693" s="539"/>
      <c r="T693" s="665"/>
      <c r="U693" s="49"/>
      <c r="V693" s="49"/>
      <c r="W693" s="49"/>
      <c r="X693" s="49"/>
      <c r="Y693" s="49"/>
    </row>
    <row r="694" ht="15.75" customHeight="1">
      <c r="A694" s="38"/>
      <c r="B694" s="49"/>
      <c r="C694" s="15"/>
      <c r="D694" s="663"/>
      <c r="E694" s="664"/>
      <c r="F694" s="665"/>
      <c r="G694" s="539"/>
      <c r="H694" s="373"/>
      <c r="I694" s="665"/>
      <c r="J694" s="666"/>
      <c r="K694" s="665"/>
      <c r="L694" s="667"/>
      <c r="M694" s="668"/>
      <c r="N694" s="373"/>
      <c r="O694" s="373"/>
      <c r="P694" s="670"/>
      <c r="Q694" s="665"/>
      <c r="R694" s="665"/>
      <c r="S694" s="539"/>
      <c r="T694" s="665"/>
      <c r="U694" s="49"/>
      <c r="V694" s="49"/>
      <c r="W694" s="49"/>
      <c r="X694" s="49"/>
      <c r="Y694" s="49"/>
    </row>
    <row r="695" ht="15.75" customHeight="1">
      <c r="A695" s="38"/>
      <c r="B695" s="49"/>
      <c r="C695" s="15"/>
      <c r="D695" s="663"/>
      <c r="E695" s="664"/>
      <c r="F695" s="665"/>
      <c r="G695" s="539"/>
      <c r="H695" s="373"/>
      <c r="I695" s="665"/>
      <c r="J695" s="666"/>
      <c r="K695" s="665"/>
      <c r="L695" s="667"/>
      <c r="M695" s="668"/>
      <c r="N695" s="373"/>
      <c r="O695" s="373"/>
      <c r="P695" s="670"/>
      <c r="Q695" s="665"/>
      <c r="R695" s="665"/>
      <c r="S695" s="539"/>
      <c r="T695" s="665"/>
      <c r="U695" s="49"/>
      <c r="V695" s="49"/>
      <c r="W695" s="49"/>
      <c r="X695" s="49"/>
      <c r="Y695" s="49"/>
    </row>
    <row r="696" ht="15.75" customHeight="1">
      <c r="A696" s="38"/>
      <c r="B696" s="49"/>
      <c r="C696" s="15"/>
      <c r="D696" s="663"/>
      <c r="E696" s="664"/>
      <c r="F696" s="665"/>
      <c r="G696" s="539"/>
      <c r="H696" s="373"/>
      <c r="I696" s="665"/>
      <c r="J696" s="666"/>
      <c r="K696" s="665"/>
      <c r="L696" s="667"/>
      <c r="M696" s="668"/>
      <c r="N696" s="373"/>
      <c r="O696" s="373"/>
      <c r="P696" s="670"/>
      <c r="Q696" s="665"/>
      <c r="R696" s="665"/>
      <c r="S696" s="539"/>
      <c r="T696" s="665"/>
      <c r="U696" s="49"/>
      <c r="V696" s="49"/>
      <c r="W696" s="49"/>
      <c r="X696" s="49"/>
      <c r="Y696" s="49"/>
    </row>
    <row r="697" ht="15.75" customHeight="1">
      <c r="A697" s="38"/>
      <c r="B697" s="49"/>
      <c r="C697" s="15"/>
      <c r="D697" s="663"/>
      <c r="E697" s="664"/>
      <c r="F697" s="665"/>
      <c r="G697" s="539"/>
      <c r="H697" s="373"/>
      <c r="I697" s="665"/>
      <c r="J697" s="666"/>
      <c r="K697" s="665"/>
      <c r="L697" s="667"/>
      <c r="M697" s="668"/>
      <c r="N697" s="373"/>
      <c r="O697" s="373"/>
      <c r="P697" s="670"/>
      <c r="Q697" s="665"/>
      <c r="R697" s="665"/>
      <c r="S697" s="539"/>
      <c r="T697" s="665"/>
      <c r="U697" s="49"/>
      <c r="V697" s="49"/>
      <c r="W697" s="49"/>
      <c r="X697" s="49"/>
      <c r="Y697" s="49"/>
    </row>
    <row r="698" ht="15.75" customHeight="1">
      <c r="A698" s="38"/>
      <c r="B698" s="49"/>
      <c r="C698" s="15"/>
      <c r="D698" s="663"/>
      <c r="E698" s="664"/>
      <c r="F698" s="665"/>
      <c r="G698" s="539"/>
      <c r="H698" s="373"/>
      <c r="I698" s="665"/>
      <c r="J698" s="666"/>
      <c r="K698" s="665"/>
      <c r="L698" s="667"/>
      <c r="M698" s="668"/>
      <c r="N698" s="373"/>
      <c r="O698" s="373"/>
      <c r="P698" s="670"/>
      <c r="Q698" s="665"/>
      <c r="R698" s="665"/>
      <c r="S698" s="539"/>
      <c r="T698" s="665"/>
      <c r="U698" s="49"/>
      <c r="V698" s="49"/>
      <c r="W698" s="49"/>
      <c r="X698" s="49"/>
      <c r="Y698" s="49"/>
    </row>
    <row r="699" ht="15.75" customHeight="1">
      <c r="A699" s="38"/>
      <c r="B699" s="49"/>
      <c r="C699" s="15"/>
      <c r="D699" s="663"/>
      <c r="E699" s="664"/>
      <c r="F699" s="665"/>
      <c r="G699" s="539"/>
      <c r="H699" s="373"/>
      <c r="I699" s="665"/>
      <c r="J699" s="666"/>
      <c r="K699" s="665"/>
      <c r="L699" s="667"/>
      <c r="M699" s="668"/>
      <c r="N699" s="373"/>
      <c r="O699" s="373"/>
      <c r="P699" s="670"/>
      <c r="Q699" s="665"/>
      <c r="R699" s="665"/>
      <c r="S699" s="539"/>
      <c r="T699" s="665"/>
      <c r="U699" s="49"/>
      <c r="V699" s="49"/>
      <c r="W699" s="49"/>
      <c r="X699" s="49"/>
      <c r="Y699" s="49"/>
    </row>
    <row r="700" ht="15.75" customHeight="1">
      <c r="A700" s="38"/>
      <c r="B700" s="49"/>
      <c r="C700" s="15"/>
      <c r="D700" s="663"/>
      <c r="E700" s="664"/>
      <c r="F700" s="665"/>
      <c r="G700" s="539"/>
      <c r="H700" s="373"/>
      <c r="I700" s="665"/>
      <c r="J700" s="666"/>
      <c r="K700" s="665"/>
      <c r="L700" s="667"/>
      <c r="M700" s="668"/>
      <c r="N700" s="373"/>
      <c r="O700" s="373"/>
      <c r="P700" s="670"/>
      <c r="Q700" s="665"/>
      <c r="R700" s="665"/>
      <c r="S700" s="539"/>
      <c r="T700" s="665"/>
      <c r="U700" s="49"/>
      <c r="V700" s="49"/>
      <c r="W700" s="49"/>
      <c r="X700" s="49"/>
      <c r="Y700" s="49"/>
    </row>
    <row r="701" ht="15.75" customHeight="1">
      <c r="A701" s="38"/>
      <c r="B701" s="49"/>
      <c r="C701" s="15"/>
      <c r="D701" s="663"/>
      <c r="E701" s="664"/>
      <c r="F701" s="665"/>
      <c r="G701" s="539"/>
      <c r="H701" s="373"/>
      <c r="I701" s="665"/>
      <c r="J701" s="666"/>
      <c r="K701" s="665"/>
      <c r="L701" s="667"/>
      <c r="M701" s="668"/>
      <c r="N701" s="373"/>
      <c r="O701" s="373"/>
      <c r="P701" s="670"/>
      <c r="Q701" s="665"/>
      <c r="R701" s="665"/>
      <c r="S701" s="539"/>
      <c r="T701" s="665"/>
      <c r="U701" s="49"/>
      <c r="V701" s="49"/>
      <c r="W701" s="49"/>
      <c r="X701" s="49"/>
      <c r="Y701" s="49"/>
    </row>
    <row r="702" ht="15.75" customHeight="1">
      <c r="A702" s="38"/>
      <c r="B702" s="49"/>
      <c r="C702" s="15"/>
      <c r="D702" s="663"/>
      <c r="E702" s="664"/>
      <c r="F702" s="665"/>
      <c r="G702" s="539"/>
      <c r="H702" s="373"/>
      <c r="I702" s="665"/>
      <c r="J702" s="666"/>
      <c r="K702" s="665"/>
      <c r="L702" s="667"/>
      <c r="M702" s="668"/>
      <c r="N702" s="373"/>
      <c r="O702" s="373"/>
      <c r="P702" s="670"/>
      <c r="Q702" s="665"/>
      <c r="R702" s="665"/>
      <c r="S702" s="539"/>
      <c r="T702" s="665"/>
      <c r="U702" s="49"/>
      <c r="V702" s="49"/>
      <c r="W702" s="49"/>
      <c r="X702" s="49"/>
      <c r="Y702" s="49"/>
    </row>
    <row r="703" ht="15.75" customHeight="1">
      <c r="A703" s="38"/>
      <c r="B703" s="49"/>
      <c r="C703" s="15"/>
      <c r="D703" s="663"/>
      <c r="E703" s="664"/>
      <c r="F703" s="665"/>
      <c r="G703" s="539"/>
      <c r="H703" s="373"/>
      <c r="I703" s="665"/>
      <c r="J703" s="666"/>
      <c r="K703" s="665"/>
      <c r="L703" s="667"/>
      <c r="M703" s="668"/>
      <c r="N703" s="373"/>
      <c r="O703" s="373"/>
      <c r="P703" s="670"/>
      <c r="Q703" s="665"/>
      <c r="R703" s="665"/>
      <c r="S703" s="539"/>
      <c r="T703" s="665"/>
      <c r="U703" s="49"/>
      <c r="V703" s="49"/>
      <c r="W703" s="49"/>
      <c r="X703" s="49"/>
      <c r="Y703" s="49"/>
    </row>
    <row r="704" ht="15.75" customHeight="1">
      <c r="A704" s="38"/>
      <c r="B704" s="49"/>
      <c r="C704" s="15"/>
      <c r="D704" s="663"/>
      <c r="E704" s="664"/>
      <c r="F704" s="665"/>
      <c r="G704" s="539"/>
      <c r="H704" s="373"/>
      <c r="I704" s="665"/>
      <c r="J704" s="666"/>
      <c r="K704" s="665"/>
      <c r="L704" s="667"/>
      <c r="M704" s="668"/>
      <c r="N704" s="373"/>
      <c r="O704" s="373"/>
      <c r="P704" s="670"/>
      <c r="Q704" s="665"/>
      <c r="R704" s="665"/>
      <c r="S704" s="539"/>
      <c r="T704" s="665"/>
      <c r="U704" s="49"/>
      <c r="V704" s="49"/>
      <c r="W704" s="49"/>
      <c r="X704" s="49"/>
      <c r="Y704" s="49"/>
    </row>
    <row r="705" ht="15.75" customHeight="1">
      <c r="A705" s="38"/>
      <c r="B705" s="49"/>
      <c r="C705" s="15"/>
      <c r="D705" s="663"/>
      <c r="E705" s="664"/>
      <c r="F705" s="665"/>
      <c r="G705" s="539"/>
      <c r="H705" s="373"/>
      <c r="I705" s="665"/>
      <c r="J705" s="666"/>
      <c r="K705" s="665"/>
      <c r="L705" s="667"/>
      <c r="M705" s="668"/>
      <c r="N705" s="373"/>
      <c r="O705" s="373"/>
      <c r="P705" s="670"/>
      <c r="Q705" s="665"/>
      <c r="R705" s="665"/>
      <c r="S705" s="539"/>
      <c r="T705" s="665"/>
      <c r="U705" s="49"/>
      <c r="V705" s="49"/>
      <c r="W705" s="49"/>
      <c r="X705" s="49"/>
      <c r="Y705" s="49"/>
    </row>
    <row r="706" ht="15.75" customHeight="1">
      <c r="A706" s="38"/>
      <c r="B706" s="49"/>
      <c r="C706" s="15"/>
      <c r="D706" s="663"/>
      <c r="E706" s="664"/>
      <c r="F706" s="665"/>
      <c r="G706" s="539"/>
      <c r="H706" s="373"/>
      <c r="I706" s="665"/>
      <c r="J706" s="666"/>
      <c r="K706" s="665"/>
      <c r="L706" s="667"/>
      <c r="M706" s="668"/>
      <c r="N706" s="373"/>
      <c r="O706" s="373"/>
      <c r="P706" s="670"/>
      <c r="Q706" s="665"/>
      <c r="R706" s="665"/>
      <c r="S706" s="539"/>
      <c r="T706" s="665"/>
      <c r="U706" s="49"/>
      <c r="V706" s="49"/>
      <c r="W706" s="49"/>
      <c r="X706" s="49"/>
      <c r="Y706" s="49"/>
    </row>
    <row r="707" ht="15.75" customHeight="1">
      <c r="A707" s="38"/>
      <c r="B707" s="49"/>
      <c r="C707" s="15"/>
      <c r="D707" s="663"/>
      <c r="E707" s="664"/>
      <c r="F707" s="665"/>
      <c r="G707" s="539"/>
      <c r="H707" s="373"/>
      <c r="I707" s="665"/>
      <c r="J707" s="666"/>
      <c r="K707" s="665"/>
      <c r="L707" s="667"/>
      <c r="M707" s="668"/>
      <c r="N707" s="373"/>
      <c r="O707" s="373"/>
      <c r="P707" s="670"/>
      <c r="Q707" s="665"/>
      <c r="R707" s="665"/>
      <c r="S707" s="539"/>
      <c r="T707" s="665"/>
      <c r="U707" s="49"/>
      <c r="V707" s="49"/>
      <c r="W707" s="49"/>
      <c r="X707" s="49"/>
      <c r="Y707" s="49"/>
    </row>
    <row r="708" ht="15.75" customHeight="1">
      <c r="A708" s="38"/>
      <c r="B708" s="49"/>
      <c r="C708" s="15"/>
      <c r="D708" s="663"/>
      <c r="E708" s="664"/>
      <c r="F708" s="665"/>
      <c r="G708" s="539"/>
      <c r="H708" s="373"/>
      <c r="I708" s="665"/>
      <c r="J708" s="666"/>
      <c r="K708" s="665"/>
      <c r="L708" s="667"/>
      <c r="M708" s="668"/>
      <c r="N708" s="373"/>
      <c r="O708" s="373"/>
      <c r="P708" s="670"/>
      <c r="Q708" s="665"/>
      <c r="R708" s="665"/>
      <c r="S708" s="539"/>
      <c r="T708" s="665"/>
      <c r="U708" s="49"/>
      <c r="V708" s="49"/>
      <c r="W708" s="49"/>
      <c r="X708" s="49"/>
      <c r="Y708" s="49"/>
    </row>
    <row r="709" ht="15.75" customHeight="1">
      <c r="A709" s="38"/>
      <c r="B709" s="49"/>
      <c r="C709" s="15"/>
      <c r="D709" s="663"/>
      <c r="E709" s="664"/>
      <c r="F709" s="665"/>
      <c r="G709" s="539"/>
      <c r="H709" s="373"/>
      <c r="I709" s="665"/>
      <c r="J709" s="666"/>
      <c r="K709" s="665"/>
      <c r="L709" s="667"/>
      <c r="M709" s="668"/>
      <c r="N709" s="373"/>
      <c r="O709" s="373"/>
      <c r="P709" s="670"/>
      <c r="Q709" s="665"/>
      <c r="R709" s="665"/>
      <c r="S709" s="539"/>
      <c r="T709" s="665"/>
      <c r="U709" s="49"/>
      <c r="V709" s="49"/>
      <c r="W709" s="49"/>
      <c r="X709" s="49"/>
      <c r="Y709" s="49"/>
    </row>
    <row r="710" ht="15.75" customHeight="1">
      <c r="A710" s="38"/>
      <c r="B710" s="49"/>
      <c r="C710" s="15"/>
      <c r="D710" s="663"/>
      <c r="E710" s="664"/>
      <c r="F710" s="665"/>
      <c r="G710" s="539"/>
      <c r="H710" s="373"/>
      <c r="I710" s="665"/>
      <c r="J710" s="666"/>
      <c r="K710" s="665"/>
      <c r="L710" s="667"/>
      <c r="M710" s="668"/>
      <c r="N710" s="373"/>
      <c r="O710" s="373"/>
      <c r="P710" s="670"/>
      <c r="Q710" s="665"/>
      <c r="R710" s="665"/>
      <c r="S710" s="539"/>
      <c r="T710" s="665"/>
      <c r="U710" s="49"/>
      <c r="V710" s="49"/>
      <c r="W710" s="49"/>
      <c r="X710" s="49"/>
      <c r="Y710" s="49"/>
    </row>
    <row r="711" ht="15.75" customHeight="1">
      <c r="A711" s="38"/>
      <c r="B711" s="49"/>
      <c r="C711" s="15"/>
      <c r="D711" s="663"/>
      <c r="E711" s="664"/>
      <c r="F711" s="665"/>
      <c r="G711" s="539"/>
      <c r="H711" s="373"/>
      <c r="I711" s="665"/>
      <c r="J711" s="666"/>
      <c r="K711" s="665"/>
      <c r="L711" s="667"/>
      <c r="M711" s="668"/>
      <c r="N711" s="373"/>
      <c r="O711" s="373"/>
      <c r="P711" s="670"/>
      <c r="Q711" s="665"/>
      <c r="R711" s="665"/>
      <c r="S711" s="539"/>
      <c r="T711" s="665"/>
      <c r="U711" s="49"/>
      <c r="V711" s="49"/>
      <c r="W711" s="49"/>
      <c r="X711" s="49"/>
      <c r="Y711" s="49"/>
    </row>
    <row r="712" ht="15.75" customHeight="1">
      <c r="A712" s="38"/>
      <c r="B712" s="49"/>
      <c r="C712" s="15"/>
      <c r="D712" s="663"/>
      <c r="E712" s="664"/>
      <c r="F712" s="665"/>
      <c r="G712" s="539"/>
      <c r="H712" s="373"/>
      <c r="I712" s="665"/>
      <c r="J712" s="666"/>
      <c r="K712" s="665"/>
      <c r="L712" s="667"/>
      <c r="M712" s="668"/>
      <c r="N712" s="373"/>
      <c r="O712" s="373"/>
      <c r="P712" s="670"/>
      <c r="Q712" s="665"/>
      <c r="R712" s="665"/>
      <c r="S712" s="539"/>
      <c r="T712" s="665"/>
      <c r="U712" s="49"/>
      <c r="V712" s="49"/>
      <c r="W712" s="49"/>
      <c r="X712" s="49"/>
      <c r="Y712" s="49"/>
    </row>
    <row r="713" ht="15.75" customHeight="1">
      <c r="A713" s="38"/>
      <c r="B713" s="49"/>
      <c r="C713" s="15"/>
      <c r="D713" s="663"/>
      <c r="E713" s="664"/>
      <c r="F713" s="665"/>
      <c r="G713" s="539"/>
      <c r="H713" s="373"/>
      <c r="I713" s="665"/>
      <c r="J713" s="666"/>
      <c r="K713" s="665"/>
      <c r="L713" s="667"/>
      <c r="M713" s="668"/>
      <c r="N713" s="373"/>
      <c r="O713" s="373"/>
      <c r="P713" s="670"/>
      <c r="Q713" s="665"/>
      <c r="R713" s="665"/>
      <c r="S713" s="539"/>
      <c r="T713" s="665"/>
      <c r="U713" s="49"/>
      <c r="V713" s="49"/>
      <c r="W713" s="49"/>
      <c r="X713" s="49"/>
      <c r="Y713" s="49"/>
    </row>
    <row r="714" ht="15.75" customHeight="1">
      <c r="A714" s="38"/>
      <c r="B714" s="49"/>
      <c r="C714" s="15"/>
      <c r="D714" s="663"/>
      <c r="E714" s="664"/>
      <c r="F714" s="665"/>
      <c r="G714" s="539"/>
      <c r="H714" s="373"/>
      <c r="I714" s="665"/>
      <c r="J714" s="666"/>
      <c r="K714" s="665"/>
      <c r="L714" s="667"/>
      <c r="M714" s="668"/>
      <c r="N714" s="373"/>
      <c r="O714" s="373"/>
      <c r="P714" s="670"/>
      <c r="Q714" s="665"/>
      <c r="R714" s="665"/>
      <c r="S714" s="539"/>
      <c r="T714" s="665"/>
      <c r="U714" s="49"/>
      <c r="V714" s="49"/>
      <c r="W714" s="49"/>
      <c r="X714" s="49"/>
      <c r="Y714" s="49"/>
    </row>
    <row r="715" ht="15.75" customHeight="1">
      <c r="A715" s="38"/>
      <c r="B715" s="49"/>
      <c r="C715" s="15"/>
      <c r="D715" s="663"/>
      <c r="E715" s="664"/>
      <c r="F715" s="665"/>
      <c r="G715" s="539"/>
      <c r="H715" s="373"/>
      <c r="I715" s="665"/>
      <c r="J715" s="666"/>
      <c r="K715" s="665"/>
      <c r="L715" s="667"/>
      <c r="M715" s="668"/>
      <c r="N715" s="373"/>
      <c r="O715" s="373"/>
      <c r="P715" s="670"/>
      <c r="Q715" s="665"/>
      <c r="R715" s="665"/>
      <c r="S715" s="539"/>
      <c r="T715" s="665"/>
      <c r="U715" s="49"/>
      <c r="V715" s="49"/>
      <c r="W715" s="49"/>
      <c r="X715" s="49"/>
      <c r="Y715" s="49"/>
    </row>
    <row r="716" ht="15.75" customHeight="1">
      <c r="A716" s="38"/>
      <c r="B716" s="49"/>
      <c r="C716" s="15"/>
      <c r="D716" s="663"/>
      <c r="E716" s="664"/>
      <c r="F716" s="665"/>
      <c r="G716" s="539"/>
      <c r="H716" s="373"/>
      <c r="I716" s="665"/>
      <c r="J716" s="666"/>
      <c r="K716" s="665"/>
      <c r="L716" s="667"/>
      <c r="M716" s="668"/>
      <c r="N716" s="373"/>
      <c r="O716" s="373"/>
      <c r="P716" s="670"/>
      <c r="Q716" s="665"/>
      <c r="R716" s="665"/>
      <c r="S716" s="539"/>
      <c r="T716" s="665"/>
      <c r="U716" s="49"/>
      <c r="V716" s="49"/>
      <c r="W716" s="49"/>
      <c r="X716" s="49"/>
      <c r="Y716" s="49"/>
    </row>
    <row r="717" ht="15.75" customHeight="1">
      <c r="A717" s="38"/>
      <c r="B717" s="49"/>
      <c r="C717" s="15"/>
      <c r="D717" s="663"/>
      <c r="E717" s="664"/>
      <c r="F717" s="665"/>
      <c r="G717" s="539"/>
      <c r="H717" s="373"/>
      <c r="I717" s="665"/>
      <c r="J717" s="666"/>
      <c r="K717" s="665"/>
      <c r="L717" s="667"/>
      <c r="M717" s="668"/>
      <c r="N717" s="373"/>
      <c r="O717" s="373"/>
      <c r="P717" s="670"/>
      <c r="Q717" s="665"/>
      <c r="R717" s="665"/>
      <c r="S717" s="539"/>
      <c r="T717" s="665"/>
      <c r="U717" s="49"/>
      <c r="V717" s="49"/>
      <c r="W717" s="49"/>
      <c r="X717" s="49"/>
      <c r="Y717" s="49"/>
    </row>
    <row r="718" ht="15.75" customHeight="1">
      <c r="A718" s="38"/>
      <c r="B718" s="49"/>
      <c r="C718" s="15"/>
      <c r="D718" s="663"/>
      <c r="E718" s="664"/>
      <c r="F718" s="665"/>
      <c r="G718" s="539"/>
      <c r="H718" s="373"/>
      <c r="I718" s="665"/>
      <c r="J718" s="666"/>
      <c r="K718" s="665"/>
      <c r="L718" s="667"/>
      <c r="M718" s="668"/>
      <c r="N718" s="373"/>
      <c r="O718" s="373"/>
      <c r="P718" s="670"/>
      <c r="Q718" s="665"/>
      <c r="R718" s="665"/>
      <c r="S718" s="539"/>
      <c r="T718" s="665"/>
      <c r="U718" s="49"/>
      <c r="V718" s="49"/>
      <c r="W718" s="49"/>
      <c r="X718" s="49"/>
      <c r="Y718" s="49"/>
    </row>
    <row r="719" ht="15.75" customHeight="1">
      <c r="A719" s="38"/>
      <c r="B719" s="49"/>
      <c r="C719" s="15"/>
      <c r="D719" s="663"/>
      <c r="E719" s="664"/>
      <c r="F719" s="665"/>
      <c r="G719" s="539"/>
      <c r="H719" s="373"/>
      <c r="I719" s="665"/>
      <c r="J719" s="666"/>
      <c r="K719" s="665"/>
      <c r="L719" s="667"/>
      <c r="M719" s="668"/>
      <c r="N719" s="373"/>
      <c r="O719" s="373"/>
      <c r="P719" s="670"/>
      <c r="Q719" s="665"/>
      <c r="R719" s="665"/>
      <c r="S719" s="539"/>
      <c r="T719" s="665"/>
      <c r="U719" s="49"/>
      <c r="V719" s="49"/>
      <c r="W719" s="49"/>
      <c r="X719" s="49"/>
      <c r="Y719" s="49"/>
    </row>
    <row r="720" ht="15.75" customHeight="1">
      <c r="A720" s="38"/>
      <c r="B720" s="49"/>
      <c r="C720" s="15"/>
      <c r="D720" s="663"/>
      <c r="E720" s="664"/>
      <c r="F720" s="665"/>
      <c r="G720" s="539"/>
      <c r="H720" s="373"/>
      <c r="I720" s="665"/>
      <c r="J720" s="666"/>
      <c r="K720" s="665"/>
      <c r="L720" s="667"/>
      <c r="M720" s="668"/>
      <c r="N720" s="373"/>
      <c r="O720" s="373"/>
      <c r="P720" s="670"/>
      <c r="Q720" s="665"/>
      <c r="R720" s="665"/>
      <c r="S720" s="539"/>
      <c r="T720" s="665"/>
      <c r="U720" s="49"/>
      <c r="V720" s="49"/>
      <c r="W720" s="49"/>
      <c r="X720" s="49"/>
      <c r="Y720" s="49"/>
    </row>
    <row r="721" ht="15.75" customHeight="1">
      <c r="A721" s="38"/>
      <c r="B721" s="49"/>
      <c r="C721" s="15"/>
      <c r="D721" s="663"/>
      <c r="E721" s="664"/>
      <c r="F721" s="665"/>
      <c r="G721" s="539"/>
      <c r="H721" s="373"/>
      <c r="I721" s="665"/>
      <c r="J721" s="666"/>
      <c r="K721" s="665"/>
      <c r="L721" s="667"/>
      <c r="M721" s="668"/>
      <c r="N721" s="373"/>
      <c r="O721" s="373"/>
      <c r="P721" s="670"/>
      <c r="Q721" s="665"/>
      <c r="R721" s="665"/>
      <c r="S721" s="539"/>
      <c r="T721" s="665"/>
      <c r="U721" s="49"/>
      <c r="V721" s="49"/>
      <c r="W721" s="49"/>
      <c r="X721" s="49"/>
      <c r="Y721" s="49"/>
    </row>
    <row r="722" ht="15.75" customHeight="1">
      <c r="A722" s="38"/>
      <c r="B722" s="49"/>
      <c r="C722" s="15"/>
      <c r="D722" s="663"/>
      <c r="E722" s="664"/>
      <c r="F722" s="665"/>
      <c r="G722" s="539"/>
      <c r="H722" s="373"/>
      <c r="I722" s="665"/>
      <c r="J722" s="666"/>
      <c r="K722" s="665"/>
      <c r="L722" s="667"/>
      <c r="M722" s="668"/>
      <c r="N722" s="373"/>
      <c r="O722" s="373"/>
      <c r="P722" s="670"/>
      <c r="Q722" s="665"/>
      <c r="R722" s="665"/>
      <c r="S722" s="539"/>
      <c r="T722" s="665"/>
      <c r="U722" s="49"/>
      <c r="V722" s="49"/>
      <c r="W722" s="49"/>
      <c r="X722" s="49"/>
      <c r="Y722" s="49"/>
    </row>
    <row r="723" ht="15.75" customHeight="1">
      <c r="A723" s="38"/>
      <c r="B723" s="49"/>
      <c r="C723" s="15"/>
      <c r="D723" s="663"/>
      <c r="E723" s="664"/>
      <c r="F723" s="665"/>
      <c r="G723" s="539"/>
      <c r="H723" s="373"/>
      <c r="I723" s="665"/>
      <c r="J723" s="666"/>
      <c r="K723" s="665"/>
      <c r="L723" s="667"/>
      <c r="M723" s="668"/>
      <c r="N723" s="373"/>
      <c r="O723" s="373"/>
      <c r="P723" s="670"/>
      <c r="Q723" s="665"/>
      <c r="R723" s="665"/>
      <c r="S723" s="539"/>
      <c r="T723" s="665"/>
      <c r="U723" s="49"/>
      <c r="V723" s="49"/>
      <c r="W723" s="49"/>
      <c r="X723" s="49"/>
      <c r="Y723" s="49"/>
    </row>
    <row r="724" ht="15.75" customHeight="1">
      <c r="A724" s="38"/>
      <c r="B724" s="49"/>
      <c r="C724" s="15"/>
      <c r="D724" s="663"/>
      <c r="E724" s="664"/>
      <c r="F724" s="665"/>
      <c r="G724" s="539"/>
      <c r="H724" s="373"/>
      <c r="I724" s="665"/>
      <c r="J724" s="666"/>
      <c r="K724" s="665"/>
      <c r="L724" s="667"/>
      <c r="M724" s="668"/>
      <c r="N724" s="373"/>
      <c r="O724" s="373"/>
      <c r="P724" s="670"/>
      <c r="Q724" s="665"/>
      <c r="R724" s="665"/>
      <c r="S724" s="539"/>
      <c r="T724" s="665"/>
      <c r="U724" s="49"/>
      <c r="V724" s="49"/>
      <c r="W724" s="49"/>
      <c r="X724" s="49"/>
      <c r="Y724" s="49"/>
    </row>
    <row r="725" ht="15.75" customHeight="1">
      <c r="A725" s="38"/>
      <c r="B725" s="49"/>
      <c r="C725" s="15"/>
      <c r="D725" s="663"/>
      <c r="E725" s="664"/>
      <c r="F725" s="665"/>
      <c r="G725" s="539"/>
      <c r="H725" s="373"/>
      <c r="I725" s="665"/>
      <c r="J725" s="666"/>
      <c r="K725" s="665"/>
      <c r="L725" s="667"/>
      <c r="M725" s="668"/>
      <c r="N725" s="373"/>
      <c r="O725" s="373"/>
      <c r="P725" s="670"/>
      <c r="Q725" s="665"/>
      <c r="R725" s="665"/>
      <c r="S725" s="539"/>
      <c r="T725" s="665"/>
      <c r="U725" s="49"/>
      <c r="V725" s="49"/>
      <c r="W725" s="49"/>
      <c r="X725" s="49"/>
      <c r="Y725" s="49"/>
    </row>
    <row r="726" ht="15.75" customHeight="1">
      <c r="A726" s="38"/>
      <c r="B726" s="49"/>
      <c r="C726" s="15"/>
      <c r="D726" s="663"/>
      <c r="E726" s="664"/>
      <c r="F726" s="665"/>
      <c r="G726" s="539"/>
      <c r="H726" s="373"/>
      <c r="I726" s="665"/>
      <c r="J726" s="666"/>
      <c r="K726" s="665"/>
      <c r="L726" s="667"/>
      <c r="M726" s="668"/>
      <c r="N726" s="373"/>
      <c r="O726" s="373"/>
      <c r="P726" s="670"/>
      <c r="Q726" s="665"/>
      <c r="R726" s="665"/>
      <c r="S726" s="539"/>
      <c r="T726" s="665"/>
      <c r="U726" s="49"/>
      <c r="V726" s="49"/>
      <c r="W726" s="49"/>
      <c r="X726" s="49"/>
      <c r="Y726" s="49"/>
    </row>
    <row r="727" ht="15.75" customHeight="1">
      <c r="A727" s="38"/>
      <c r="B727" s="49"/>
      <c r="C727" s="15"/>
      <c r="D727" s="663"/>
      <c r="E727" s="664"/>
      <c r="F727" s="665"/>
      <c r="G727" s="539"/>
      <c r="H727" s="373"/>
      <c r="I727" s="665"/>
      <c r="J727" s="666"/>
      <c r="K727" s="665"/>
      <c r="L727" s="667"/>
      <c r="M727" s="668"/>
      <c r="N727" s="373"/>
      <c r="O727" s="373"/>
      <c r="P727" s="670"/>
      <c r="Q727" s="665"/>
      <c r="R727" s="665"/>
      <c r="S727" s="539"/>
      <c r="T727" s="665"/>
      <c r="U727" s="49"/>
      <c r="V727" s="49"/>
      <c r="W727" s="49"/>
      <c r="X727" s="49"/>
      <c r="Y727" s="49"/>
    </row>
    <row r="728" ht="15.75" customHeight="1">
      <c r="A728" s="38"/>
      <c r="B728" s="49"/>
      <c r="C728" s="15"/>
      <c r="D728" s="663"/>
      <c r="E728" s="664"/>
      <c r="F728" s="665"/>
      <c r="G728" s="539"/>
      <c r="H728" s="373"/>
      <c r="I728" s="665"/>
      <c r="J728" s="666"/>
      <c r="K728" s="665"/>
      <c r="L728" s="667"/>
      <c r="M728" s="668"/>
      <c r="N728" s="373"/>
      <c r="O728" s="373"/>
      <c r="P728" s="670"/>
      <c r="Q728" s="665"/>
      <c r="R728" s="665"/>
      <c r="S728" s="539"/>
      <c r="T728" s="665"/>
      <c r="U728" s="49"/>
      <c r="V728" s="49"/>
      <c r="W728" s="49"/>
      <c r="X728" s="49"/>
      <c r="Y728" s="49"/>
    </row>
    <row r="729" ht="15.75" customHeight="1">
      <c r="A729" s="38"/>
      <c r="B729" s="49"/>
      <c r="C729" s="15"/>
      <c r="D729" s="663"/>
      <c r="E729" s="664"/>
      <c r="F729" s="665"/>
      <c r="G729" s="539"/>
      <c r="H729" s="373"/>
      <c r="I729" s="665"/>
      <c r="J729" s="666"/>
      <c r="K729" s="665"/>
      <c r="L729" s="667"/>
      <c r="M729" s="668"/>
      <c r="N729" s="373"/>
      <c r="O729" s="373"/>
      <c r="P729" s="670"/>
      <c r="Q729" s="665"/>
      <c r="R729" s="665"/>
      <c r="S729" s="539"/>
      <c r="T729" s="665"/>
      <c r="U729" s="49"/>
      <c r="V729" s="49"/>
      <c r="W729" s="49"/>
      <c r="X729" s="49"/>
      <c r="Y729" s="49"/>
    </row>
    <row r="730" ht="15.75" customHeight="1">
      <c r="A730" s="38"/>
      <c r="B730" s="49"/>
      <c r="C730" s="15"/>
      <c r="D730" s="663"/>
      <c r="E730" s="664"/>
      <c r="F730" s="665"/>
      <c r="G730" s="539"/>
      <c r="H730" s="373"/>
      <c r="I730" s="665"/>
      <c r="J730" s="666"/>
      <c r="K730" s="665"/>
      <c r="L730" s="667"/>
      <c r="M730" s="668"/>
      <c r="N730" s="373"/>
      <c r="O730" s="373"/>
      <c r="P730" s="670"/>
      <c r="Q730" s="665"/>
      <c r="R730" s="665"/>
      <c r="S730" s="539"/>
      <c r="T730" s="665"/>
      <c r="U730" s="49"/>
      <c r="V730" s="49"/>
      <c r="W730" s="49"/>
      <c r="X730" s="49"/>
      <c r="Y730" s="49"/>
    </row>
    <row r="731" ht="15.75" customHeight="1">
      <c r="A731" s="38"/>
      <c r="B731" s="49"/>
      <c r="C731" s="15"/>
      <c r="D731" s="663"/>
      <c r="E731" s="664"/>
      <c r="F731" s="665"/>
      <c r="G731" s="539"/>
      <c r="H731" s="373"/>
      <c r="I731" s="665"/>
      <c r="J731" s="666"/>
      <c r="K731" s="665"/>
      <c r="L731" s="667"/>
      <c r="M731" s="668"/>
      <c r="N731" s="373"/>
      <c r="O731" s="373"/>
      <c r="P731" s="670"/>
      <c r="Q731" s="665"/>
      <c r="R731" s="665"/>
      <c r="S731" s="539"/>
      <c r="T731" s="665"/>
      <c r="U731" s="49"/>
      <c r="V731" s="49"/>
      <c r="W731" s="49"/>
      <c r="X731" s="49"/>
      <c r="Y731" s="49"/>
    </row>
    <row r="732" ht="15.75" customHeight="1">
      <c r="A732" s="38"/>
      <c r="B732" s="49"/>
      <c r="C732" s="15"/>
      <c r="D732" s="663"/>
      <c r="E732" s="664"/>
      <c r="F732" s="665"/>
      <c r="G732" s="539"/>
      <c r="H732" s="373"/>
      <c r="I732" s="665"/>
      <c r="J732" s="666"/>
      <c r="K732" s="665"/>
      <c r="L732" s="667"/>
      <c r="M732" s="668"/>
      <c r="N732" s="373"/>
      <c r="O732" s="373"/>
      <c r="P732" s="670"/>
      <c r="Q732" s="665"/>
      <c r="R732" s="665"/>
      <c r="S732" s="539"/>
      <c r="T732" s="665"/>
      <c r="U732" s="49"/>
      <c r="V732" s="49"/>
      <c r="W732" s="49"/>
      <c r="X732" s="49"/>
      <c r="Y732" s="49"/>
    </row>
    <row r="733" ht="15.75" customHeight="1">
      <c r="A733" s="38"/>
      <c r="B733" s="49"/>
      <c r="C733" s="15"/>
      <c r="D733" s="663"/>
      <c r="E733" s="664"/>
      <c r="F733" s="665"/>
      <c r="G733" s="539"/>
      <c r="H733" s="373"/>
      <c r="I733" s="665"/>
      <c r="J733" s="666"/>
      <c r="K733" s="665"/>
      <c r="L733" s="667"/>
      <c r="M733" s="668"/>
      <c r="N733" s="373"/>
      <c r="O733" s="373"/>
      <c r="P733" s="670"/>
      <c r="Q733" s="665"/>
      <c r="R733" s="665"/>
      <c r="S733" s="539"/>
      <c r="T733" s="665"/>
      <c r="U733" s="49"/>
      <c r="V733" s="49"/>
      <c r="W733" s="49"/>
      <c r="X733" s="49"/>
      <c r="Y733" s="49"/>
    </row>
    <row r="734" ht="15.75" customHeight="1">
      <c r="A734" s="38"/>
      <c r="B734" s="49"/>
      <c r="C734" s="15"/>
      <c r="D734" s="663"/>
      <c r="E734" s="664"/>
      <c r="F734" s="665"/>
      <c r="G734" s="539"/>
      <c r="H734" s="373"/>
      <c r="I734" s="665"/>
      <c r="J734" s="666"/>
      <c r="K734" s="665"/>
      <c r="L734" s="667"/>
      <c r="M734" s="668"/>
      <c r="N734" s="373"/>
      <c r="O734" s="373"/>
      <c r="P734" s="670"/>
      <c r="Q734" s="665"/>
      <c r="R734" s="665"/>
      <c r="S734" s="539"/>
      <c r="T734" s="665"/>
      <c r="U734" s="49"/>
      <c r="V734" s="49"/>
      <c r="W734" s="49"/>
      <c r="X734" s="49"/>
      <c r="Y734" s="49"/>
    </row>
    <row r="735" ht="15.75" customHeight="1">
      <c r="A735" s="38"/>
      <c r="B735" s="49"/>
      <c r="C735" s="15"/>
      <c r="D735" s="663"/>
      <c r="E735" s="664"/>
      <c r="F735" s="665"/>
      <c r="G735" s="539"/>
      <c r="H735" s="373"/>
      <c r="I735" s="665"/>
      <c r="J735" s="666"/>
      <c r="K735" s="665"/>
      <c r="L735" s="667"/>
      <c r="M735" s="668"/>
      <c r="N735" s="373"/>
      <c r="O735" s="373"/>
      <c r="P735" s="670"/>
      <c r="Q735" s="665"/>
      <c r="R735" s="665"/>
      <c r="S735" s="539"/>
      <c r="T735" s="665"/>
      <c r="U735" s="49"/>
      <c r="V735" s="49"/>
      <c r="W735" s="49"/>
      <c r="X735" s="49"/>
      <c r="Y735" s="49"/>
    </row>
    <row r="736" ht="15.75" customHeight="1">
      <c r="A736" s="38"/>
      <c r="B736" s="49"/>
      <c r="C736" s="15"/>
      <c r="D736" s="663"/>
      <c r="E736" s="664"/>
      <c r="F736" s="665"/>
      <c r="G736" s="539"/>
      <c r="H736" s="373"/>
      <c r="I736" s="665"/>
      <c r="J736" s="666"/>
      <c r="K736" s="665"/>
      <c r="L736" s="667"/>
      <c r="M736" s="668"/>
      <c r="N736" s="373"/>
      <c r="O736" s="373"/>
      <c r="P736" s="670"/>
      <c r="Q736" s="665"/>
      <c r="R736" s="665"/>
      <c r="S736" s="539"/>
      <c r="T736" s="665"/>
      <c r="U736" s="49"/>
      <c r="V736" s="49"/>
      <c r="W736" s="49"/>
      <c r="X736" s="49"/>
      <c r="Y736" s="49"/>
    </row>
    <row r="737" ht="15.75" customHeight="1">
      <c r="A737" s="38"/>
      <c r="B737" s="49"/>
      <c r="C737" s="15"/>
      <c r="D737" s="663"/>
      <c r="E737" s="664"/>
      <c r="F737" s="665"/>
      <c r="G737" s="539"/>
      <c r="H737" s="373"/>
      <c r="I737" s="665"/>
      <c r="J737" s="666"/>
      <c r="K737" s="665"/>
      <c r="L737" s="667"/>
      <c r="M737" s="668"/>
      <c r="N737" s="373"/>
      <c r="O737" s="373"/>
      <c r="P737" s="670"/>
      <c r="Q737" s="665"/>
      <c r="R737" s="665"/>
      <c r="S737" s="539"/>
      <c r="T737" s="665"/>
      <c r="U737" s="49"/>
      <c r="V737" s="49"/>
      <c r="W737" s="49"/>
      <c r="X737" s="49"/>
      <c r="Y737" s="49"/>
    </row>
    <row r="738" ht="15.75" customHeight="1">
      <c r="A738" s="38"/>
      <c r="B738" s="49"/>
      <c r="C738" s="15"/>
      <c r="D738" s="663"/>
      <c r="E738" s="664"/>
      <c r="F738" s="665"/>
      <c r="G738" s="539"/>
      <c r="H738" s="373"/>
      <c r="I738" s="665"/>
      <c r="J738" s="666"/>
      <c r="K738" s="665"/>
      <c r="L738" s="667"/>
      <c r="M738" s="668"/>
      <c r="N738" s="373"/>
      <c r="O738" s="373"/>
      <c r="P738" s="670"/>
      <c r="Q738" s="665"/>
      <c r="R738" s="665"/>
      <c r="S738" s="539"/>
      <c r="T738" s="665"/>
      <c r="U738" s="49"/>
      <c r="V738" s="49"/>
      <c r="W738" s="49"/>
      <c r="X738" s="49"/>
      <c r="Y738" s="49"/>
    </row>
    <row r="739" ht="15.75" customHeight="1">
      <c r="A739" s="38"/>
      <c r="B739" s="49"/>
      <c r="C739" s="15"/>
      <c r="D739" s="663"/>
      <c r="E739" s="664"/>
      <c r="F739" s="665"/>
      <c r="G739" s="539"/>
      <c r="H739" s="373"/>
      <c r="I739" s="665"/>
      <c r="J739" s="666"/>
      <c r="K739" s="665"/>
      <c r="L739" s="667"/>
      <c r="M739" s="668"/>
      <c r="N739" s="373"/>
      <c r="O739" s="373"/>
      <c r="P739" s="670"/>
      <c r="Q739" s="665"/>
      <c r="R739" s="665"/>
      <c r="S739" s="539"/>
      <c r="T739" s="665"/>
      <c r="U739" s="49"/>
      <c r="V739" s="49"/>
      <c r="W739" s="49"/>
      <c r="X739" s="49"/>
      <c r="Y739" s="49"/>
    </row>
    <row r="740" ht="15.75" customHeight="1">
      <c r="A740" s="38"/>
      <c r="B740" s="49"/>
      <c r="C740" s="15"/>
      <c r="D740" s="663"/>
      <c r="E740" s="664"/>
      <c r="F740" s="665"/>
      <c r="G740" s="539"/>
      <c r="H740" s="373"/>
      <c r="I740" s="665"/>
      <c r="J740" s="666"/>
      <c r="K740" s="665"/>
      <c r="L740" s="667"/>
      <c r="M740" s="668"/>
      <c r="N740" s="373"/>
      <c r="O740" s="373"/>
      <c r="P740" s="670"/>
      <c r="Q740" s="665"/>
      <c r="R740" s="665"/>
      <c r="S740" s="539"/>
      <c r="T740" s="665"/>
      <c r="U740" s="49"/>
      <c r="V740" s="49"/>
      <c r="W740" s="49"/>
      <c r="X740" s="49"/>
      <c r="Y740" s="49"/>
    </row>
    <row r="741" ht="15.75" customHeight="1">
      <c r="A741" s="38"/>
      <c r="B741" s="49"/>
      <c r="C741" s="15"/>
      <c r="D741" s="663"/>
      <c r="E741" s="664"/>
      <c r="F741" s="665"/>
      <c r="G741" s="539"/>
      <c r="H741" s="373"/>
      <c r="I741" s="665"/>
      <c r="J741" s="666"/>
      <c r="K741" s="665"/>
      <c r="L741" s="667"/>
      <c r="M741" s="668"/>
      <c r="N741" s="373"/>
      <c r="O741" s="373"/>
      <c r="P741" s="670"/>
      <c r="Q741" s="665"/>
      <c r="R741" s="665"/>
      <c r="S741" s="539"/>
      <c r="T741" s="665"/>
      <c r="U741" s="49"/>
      <c r="V741" s="49"/>
      <c r="W741" s="49"/>
      <c r="X741" s="49"/>
      <c r="Y741" s="49"/>
    </row>
    <row r="742" ht="15.75" customHeight="1">
      <c r="A742" s="38"/>
      <c r="B742" s="49"/>
      <c r="C742" s="15"/>
      <c r="D742" s="663"/>
      <c r="E742" s="664"/>
      <c r="F742" s="665"/>
      <c r="G742" s="539"/>
      <c r="H742" s="373"/>
      <c r="I742" s="665"/>
      <c r="J742" s="666"/>
      <c r="K742" s="665"/>
      <c r="L742" s="667"/>
      <c r="M742" s="668"/>
      <c r="N742" s="373"/>
      <c r="O742" s="373"/>
      <c r="P742" s="670"/>
      <c r="Q742" s="665"/>
      <c r="R742" s="665"/>
      <c r="S742" s="539"/>
      <c r="T742" s="665"/>
      <c r="U742" s="49"/>
      <c r="V742" s="49"/>
      <c r="W742" s="49"/>
      <c r="X742" s="49"/>
      <c r="Y742" s="49"/>
    </row>
    <row r="743" ht="15.75" customHeight="1">
      <c r="A743" s="38"/>
      <c r="B743" s="49"/>
      <c r="C743" s="15"/>
      <c r="D743" s="663"/>
      <c r="E743" s="664"/>
      <c r="F743" s="665"/>
      <c r="G743" s="539"/>
      <c r="H743" s="373"/>
      <c r="I743" s="665"/>
      <c r="J743" s="666"/>
      <c r="K743" s="665"/>
      <c r="L743" s="667"/>
      <c r="M743" s="668"/>
      <c r="N743" s="373"/>
      <c r="O743" s="373"/>
      <c r="P743" s="670"/>
      <c r="Q743" s="665"/>
      <c r="R743" s="665"/>
      <c r="S743" s="539"/>
      <c r="T743" s="665"/>
      <c r="U743" s="49"/>
      <c r="V743" s="49"/>
      <c r="W743" s="49"/>
      <c r="X743" s="49"/>
      <c r="Y743" s="49"/>
    </row>
    <row r="744" ht="15.75" customHeight="1">
      <c r="A744" s="38"/>
      <c r="B744" s="49"/>
      <c r="C744" s="15"/>
      <c r="D744" s="663"/>
      <c r="E744" s="664"/>
      <c r="F744" s="665"/>
      <c r="G744" s="539"/>
      <c r="H744" s="373"/>
      <c r="I744" s="665"/>
      <c r="J744" s="666"/>
      <c r="K744" s="665"/>
      <c r="L744" s="667"/>
      <c r="M744" s="668"/>
      <c r="N744" s="373"/>
      <c r="O744" s="373"/>
      <c r="P744" s="670"/>
      <c r="Q744" s="665"/>
      <c r="R744" s="665"/>
      <c r="S744" s="539"/>
      <c r="T744" s="665"/>
      <c r="U744" s="49"/>
      <c r="V744" s="49"/>
      <c r="W744" s="49"/>
      <c r="X744" s="49"/>
      <c r="Y744" s="49"/>
    </row>
    <row r="745" ht="15.75" customHeight="1">
      <c r="A745" s="38"/>
      <c r="B745" s="49"/>
      <c r="C745" s="15"/>
      <c r="D745" s="663"/>
      <c r="E745" s="664"/>
      <c r="F745" s="665"/>
      <c r="G745" s="539"/>
      <c r="H745" s="373"/>
      <c r="I745" s="665"/>
      <c r="J745" s="666"/>
      <c r="K745" s="665"/>
      <c r="L745" s="667"/>
      <c r="M745" s="668"/>
      <c r="N745" s="373"/>
      <c r="O745" s="373"/>
      <c r="P745" s="670"/>
      <c r="Q745" s="665"/>
      <c r="R745" s="665"/>
      <c r="S745" s="539"/>
      <c r="T745" s="665"/>
      <c r="U745" s="49"/>
      <c r="V745" s="49"/>
      <c r="W745" s="49"/>
      <c r="X745" s="49"/>
      <c r="Y745" s="49"/>
    </row>
    <row r="746" ht="15.75" customHeight="1">
      <c r="A746" s="38"/>
      <c r="B746" s="49"/>
      <c r="C746" s="15"/>
      <c r="D746" s="663"/>
      <c r="E746" s="664"/>
      <c r="F746" s="665"/>
      <c r="G746" s="539"/>
      <c r="H746" s="373"/>
      <c r="I746" s="665"/>
      <c r="J746" s="666"/>
      <c r="K746" s="665"/>
      <c r="L746" s="667"/>
      <c r="M746" s="668"/>
      <c r="N746" s="373"/>
      <c r="O746" s="373"/>
      <c r="P746" s="670"/>
      <c r="Q746" s="665"/>
      <c r="R746" s="665"/>
      <c r="S746" s="539"/>
      <c r="T746" s="665"/>
      <c r="U746" s="49"/>
      <c r="V746" s="49"/>
      <c r="W746" s="49"/>
      <c r="X746" s="49"/>
      <c r="Y746" s="49"/>
    </row>
    <row r="747" ht="15.75" customHeight="1">
      <c r="A747" s="38"/>
      <c r="B747" s="49"/>
      <c r="C747" s="15"/>
      <c r="D747" s="663"/>
      <c r="E747" s="664"/>
      <c r="F747" s="665"/>
      <c r="G747" s="539"/>
      <c r="H747" s="373"/>
      <c r="I747" s="665"/>
      <c r="J747" s="666"/>
      <c r="K747" s="665"/>
      <c r="L747" s="667"/>
      <c r="M747" s="668"/>
      <c r="N747" s="373"/>
      <c r="O747" s="373"/>
      <c r="P747" s="670"/>
      <c r="Q747" s="665"/>
      <c r="R747" s="665"/>
      <c r="S747" s="539"/>
      <c r="T747" s="665"/>
      <c r="U747" s="49"/>
      <c r="V747" s="49"/>
      <c r="W747" s="49"/>
      <c r="X747" s="49"/>
      <c r="Y747" s="49"/>
    </row>
    <row r="748" ht="15.75" customHeight="1">
      <c r="A748" s="38"/>
      <c r="B748" s="49"/>
      <c r="C748" s="15"/>
      <c r="D748" s="663"/>
      <c r="E748" s="664"/>
      <c r="F748" s="665"/>
      <c r="G748" s="539"/>
      <c r="H748" s="373"/>
      <c r="I748" s="665"/>
      <c r="J748" s="666"/>
      <c r="K748" s="665"/>
      <c r="L748" s="667"/>
      <c r="M748" s="668"/>
      <c r="N748" s="373"/>
      <c r="O748" s="373"/>
      <c r="P748" s="670"/>
      <c r="Q748" s="665"/>
      <c r="R748" s="665"/>
      <c r="S748" s="539"/>
      <c r="T748" s="665"/>
      <c r="U748" s="49"/>
      <c r="V748" s="49"/>
      <c r="W748" s="49"/>
      <c r="X748" s="49"/>
      <c r="Y748" s="49"/>
    </row>
    <row r="749" ht="15.75" customHeight="1">
      <c r="A749" s="38"/>
      <c r="B749" s="49"/>
      <c r="C749" s="15"/>
      <c r="D749" s="663"/>
      <c r="E749" s="664"/>
      <c r="F749" s="665"/>
      <c r="G749" s="539"/>
      <c r="H749" s="373"/>
      <c r="I749" s="665"/>
      <c r="J749" s="666"/>
      <c r="K749" s="665"/>
      <c r="L749" s="667"/>
      <c r="M749" s="668"/>
      <c r="N749" s="373"/>
      <c r="O749" s="373"/>
      <c r="P749" s="670"/>
      <c r="Q749" s="665"/>
      <c r="R749" s="665"/>
      <c r="S749" s="539"/>
      <c r="T749" s="665"/>
      <c r="U749" s="49"/>
      <c r="V749" s="49"/>
      <c r="W749" s="49"/>
      <c r="X749" s="49"/>
      <c r="Y749" s="49"/>
    </row>
    <row r="750" ht="15.75" customHeight="1">
      <c r="A750" s="38"/>
      <c r="B750" s="49"/>
      <c r="C750" s="15"/>
      <c r="D750" s="663"/>
      <c r="E750" s="664"/>
      <c r="F750" s="665"/>
      <c r="G750" s="539"/>
      <c r="H750" s="373"/>
      <c r="I750" s="665"/>
      <c r="J750" s="666"/>
      <c r="K750" s="665"/>
      <c r="L750" s="667"/>
      <c r="M750" s="668"/>
      <c r="N750" s="373"/>
      <c r="O750" s="373"/>
      <c r="P750" s="670"/>
      <c r="Q750" s="665"/>
      <c r="R750" s="665"/>
      <c r="S750" s="539"/>
      <c r="T750" s="665"/>
      <c r="U750" s="49"/>
      <c r="V750" s="49"/>
      <c r="W750" s="49"/>
      <c r="X750" s="49"/>
      <c r="Y750" s="49"/>
    </row>
    <row r="751" ht="15.75" customHeight="1">
      <c r="A751" s="38"/>
      <c r="B751" s="49"/>
      <c r="C751" s="15"/>
      <c r="D751" s="663"/>
      <c r="E751" s="664"/>
      <c r="F751" s="665"/>
      <c r="G751" s="539"/>
      <c r="H751" s="373"/>
      <c r="I751" s="665"/>
      <c r="J751" s="666"/>
      <c r="K751" s="665"/>
      <c r="L751" s="667"/>
      <c r="M751" s="668"/>
      <c r="N751" s="373"/>
      <c r="O751" s="373"/>
      <c r="P751" s="670"/>
      <c r="Q751" s="665"/>
      <c r="R751" s="665"/>
      <c r="S751" s="539"/>
      <c r="T751" s="665"/>
      <c r="U751" s="49"/>
      <c r="V751" s="49"/>
      <c r="W751" s="49"/>
      <c r="X751" s="49"/>
      <c r="Y751" s="49"/>
    </row>
    <row r="752" ht="15.75" customHeight="1">
      <c r="A752" s="38"/>
      <c r="B752" s="49"/>
      <c r="C752" s="15"/>
      <c r="D752" s="663"/>
      <c r="E752" s="664"/>
      <c r="F752" s="665"/>
      <c r="G752" s="539"/>
      <c r="H752" s="373"/>
      <c r="I752" s="665"/>
      <c r="J752" s="666"/>
      <c r="K752" s="665"/>
      <c r="L752" s="667"/>
      <c r="M752" s="668"/>
      <c r="N752" s="373"/>
      <c r="O752" s="373"/>
      <c r="P752" s="670"/>
      <c r="Q752" s="665"/>
      <c r="R752" s="665"/>
      <c r="S752" s="539"/>
      <c r="T752" s="665"/>
      <c r="U752" s="49"/>
      <c r="V752" s="49"/>
      <c r="W752" s="49"/>
      <c r="X752" s="49"/>
      <c r="Y752" s="49"/>
    </row>
    <row r="753" ht="15.75" customHeight="1">
      <c r="A753" s="38"/>
      <c r="B753" s="49"/>
      <c r="C753" s="15"/>
      <c r="D753" s="663"/>
      <c r="E753" s="664"/>
      <c r="F753" s="665"/>
      <c r="G753" s="539"/>
      <c r="H753" s="373"/>
      <c r="I753" s="665"/>
      <c r="J753" s="666"/>
      <c r="K753" s="665"/>
      <c r="L753" s="667"/>
      <c r="M753" s="668"/>
      <c r="N753" s="373"/>
      <c r="O753" s="373"/>
      <c r="P753" s="670"/>
      <c r="Q753" s="665"/>
      <c r="R753" s="665"/>
      <c r="S753" s="539"/>
      <c r="T753" s="665"/>
      <c r="U753" s="49"/>
      <c r="V753" s="49"/>
      <c r="W753" s="49"/>
      <c r="X753" s="49"/>
      <c r="Y753" s="49"/>
    </row>
    <row r="754" ht="15.75" customHeight="1">
      <c r="A754" s="38"/>
      <c r="B754" s="49"/>
      <c r="C754" s="15"/>
      <c r="D754" s="663"/>
      <c r="E754" s="664"/>
      <c r="F754" s="665"/>
      <c r="G754" s="539"/>
      <c r="H754" s="373"/>
      <c r="I754" s="665"/>
      <c r="J754" s="666"/>
      <c r="K754" s="665"/>
      <c r="L754" s="667"/>
      <c r="M754" s="668"/>
      <c r="N754" s="373"/>
      <c r="O754" s="373"/>
      <c r="P754" s="670"/>
      <c r="Q754" s="665"/>
      <c r="R754" s="665"/>
      <c r="S754" s="539"/>
      <c r="T754" s="665"/>
      <c r="U754" s="49"/>
      <c r="V754" s="49"/>
      <c r="W754" s="49"/>
      <c r="X754" s="49"/>
      <c r="Y754" s="49"/>
    </row>
    <row r="755" ht="15.75" customHeight="1">
      <c r="A755" s="38"/>
      <c r="B755" s="49"/>
      <c r="C755" s="15"/>
      <c r="D755" s="663"/>
      <c r="E755" s="664"/>
      <c r="F755" s="665"/>
      <c r="G755" s="539"/>
      <c r="H755" s="373"/>
      <c r="I755" s="665"/>
      <c r="J755" s="666"/>
      <c r="K755" s="665"/>
      <c r="L755" s="667"/>
      <c r="M755" s="668"/>
      <c r="N755" s="373"/>
      <c r="O755" s="373"/>
      <c r="P755" s="670"/>
      <c r="Q755" s="665"/>
      <c r="R755" s="665"/>
      <c r="S755" s="539"/>
      <c r="T755" s="665"/>
      <c r="U755" s="49"/>
      <c r="V755" s="49"/>
      <c r="W755" s="49"/>
      <c r="X755" s="49"/>
      <c r="Y755" s="49"/>
    </row>
    <row r="756" ht="15.75" customHeight="1">
      <c r="A756" s="38"/>
      <c r="B756" s="49"/>
      <c r="C756" s="15"/>
      <c r="D756" s="663"/>
      <c r="E756" s="664"/>
      <c r="F756" s="665"/>
      <c r="G756" s="539"/>
      <c r="H756" s="373"/>
      <c r="I756" s="665"/>
      <c r="J756" s="666"/>
      <c r="K756" s="665"/>
      <c r="L756" s="667"/>
      <c r="M756" s="668"/>
      <c r="N756" s="373"/>
      <c r="O756" s="373"/>
      <c r="P756" s="670"/>
      <c r="Q756" s="665"/>
      <c r="R756" s="665"/>
      <c r="S756" s="539"/>
      <c r="T756" s="665"/>
      <c r="U756" s="49"/>
      <c r="V756" s="49"/>
      <c r="W756" s="49"/>
      <c r="X756" s="49"/>
      <c r="Y756" s="49"/>
    </row>
    <row r="757" ht="15.75" customHeight="1">
      <c r="A757" s="38"/>
      <c r="B757" s="49"/>
      <c r="C757" s="15"/>
      <c r="D757" s="663"/>
      <c r="E757" s="664"/>
      <c r="F757" s="665"/>
      <c r="G757" s="539"/>
      <c r="H757" s="373"/>
      <c r="I757" s="665"/>
      <c r="J757" s="666"/>
      <c r="K757" s="665"/>
      <c r="L757" s="667"/>
      <c r="M757" s="668"/>
      <c r="N757" s="373"/>
      <c r="O757" s="373"/>
      <c r="P757" s="670"/>
      <c r="Q757" s="665"/>
      <c r="R757" s="665"/>
      <c r="S757" s="539"/>
      <c r="T757" s="665"/>
      <c r="U757" s="49"/>
      <c r="V757" s="49"/>
      <c r="W757" s="49"/>
      <c r="X757" s="49"/>
      <c r="Y757" s="49"/>
    </row>
    <row r="758" ht="15.75" customHeight="1">
      <c r="A758" s="38"/>
      <c r="B758" s="49"/>
      <c r="C758" s="15"/>
      <c r="D758" s="663"/>
      <c r="E758" s="664"/>
      <c r="F758" s="665"/>
      <c r="G758" s="539"/>
      <c r="H758" s="373"/>
      <c r="I758" s="665"/>
      <c r="J758" s="666"/>
      <c r="K758" s="665"/>
      <c r="L758" s="667"/>
      <c r="M758" s="668"/>
      <c r="N758" s="373"/>
      <c r="O758" s="373"/>
      <c r="P758" s="670"/>
      <c r="Q758" s="665"/>
      <c r="R758" s="665"/>
      <c r="S758" s="539"/>
      <c r="T758" s="665"/>
      <c r="U758" s="49"/>
      <c r="V758" s="49"/>
      <c r="W758" s="49"/>
      <c r="X758" s="49"/>
      <c r="Y758" s="49"/>
    </row>
    <row r="759" ht="15.75" customHeight="1">
      <c r="A759" s="38"/>
      <c r="B759" s="49"/>
      <c r="C759" s="15"/>
      <c r="D759" s="663"/>
      <c r="E759" s="664"/>
      <c r="F759" s="665"/>
      <c r="G759" s="539"/>
      <c r="H759" s="373"/>
      <c r="I759" s="665"/>
      <c r="J759" s="666"/>
      <c r="K759" s="665"/>
      <c r="L759" s="667"/>
      <c r="M759" s="668"/>
      <c r="N759" s="373"/>
      <c r="O759" s="373"/>
      <c r="P759" s="670"/>
      <c r="Q759" s="665"/>
      <c r="R759" s="665"/>
      <c r="S759" s="539"/>
      <c r="T759" s="665"/>
      <c r="U759" s="49"/>
      <c r="V759" s="49"/>
      <c r="W759" s="49"/>
      <c r="X759" s="49"/>
      <c r="Y759" s="49"/>
    </row>
    <row r="760" ht="15.75" customHeight="1">
      <c r="A760" s="38"/>
      <c r="B760" s="49"/>
      <c r="C760" s="15"/>
      <c r="D760" s="663"/>
      <c r="E760" s="664"/>
      <c r="F760" s="665"/>
      <c r="G760" s="539"/>
      <c r="H760" s="373"/>
      <c r="I760" s="665"/>
      <c r="J760" s="666"/>
      <c r="K760" s="665"/>
      <c r="L760" s="667"/>
      <c r="M760" s="668"/>
      <c r="N760" s="373"/>
      <c r="O760" s="373"/>
      <c r="P760" s="670"/>
      <c r="Q760" s="665"/>
      <c r="R760" s="665"/>
      <c r="S760" s="539"/>
      <c r="T760" s="665"/>
      <c r="U760" s="49"/>
      <c r="V760" s="49"/>
      <c r="W760" s="49"/>
      <c r="X760" s="49"/>
      <c r="Y760" s="49"/>
    </row>
    <row r="761" ht="15.75" customHeight="1">
      <c r="A761" s="38"/>
      <c r="B761" s="49"/>
      <c r="C761" s="15"/>
      <c r="D761" s="663"/>
      <c r="E761" s="664"/>
      <c r="F761" s="665"/>
      <c r="G761" s="539"/>
      <c r="H761" s="373"/>
      <c r="I761" s="665"/>
      <c r="J761" s="666"/>
      <c r="K761" s="665"/>
      <c r="L761" s="667"/>
      <c r="M761" s="668"/>
      <c r="N761" s="373"/>
      <c r="O761" s="373"/>
      <c r="P761" s="670"/>
      <c r="Q761" s="665"/>
      <c r="R761" s="665"/>
      <c r="S761" s="539"/>
      <c r="T761" s="665"/>
      <c r="U761" s="49"/>
      <c r="V761" s="49"/>
      <c r="W761" s="49"/>
      <c r="X761" s="49"/>
      <c r="Y761" s="49"/>
    </row>
    <row r="762" ht="15.75" customHeight="1">
      <c r="A762" s="38"/>
      <c r="B762" s="49"/>
      <c r="C762" s="15"/>
      <c r="D762" s="663"/>
      <c r="E762" s="664"/>
      <c r="F762" s="665"/>
      <c r="G762" s="539"/>
      <c r="H762" s="373"/>
      <c r="I762" s="665"/>
      <c r="J762" s="666"/>
      <c r="K762" s="665"/>
      <c r="L762" s="667"/>
      <c r="M762" s="668"/>
      <c r="N762" s="373"/>
      <c r="O762" s="373"/>
      <c r="P762" s="670"/>
      <c r="Q762" s="665"/>
      <c r="R762" s="665"/>
      <c r="S762" s="539"/>
      <c r="T762" s="665"/>
      <c r="U762" s="49"/>
      <c r="V762" s="49"/>
      <c r="W762" s="49"/>
      <c r="X762" s="49"/>
      <c r="Y762" s="49"/>
    </row>
    <row r="763" ht="15.75" customHeight="1">
      <c r="A763" s="38"/>
      <c r="B763" s="49"/>
      <c r="C763" s="15"/>
      <c r="D763" s="663"/>
      <c r="E763" s="664"/>
      <c r="F763" s="665"/>
      <c r="G763" s="539"/>
      <c r="H763" s="373"/>
      <c r="I763" s="665"/>
      <c r="J763" s="666"/>
      <c r="K763" s="665"/>
      <c r="L763" s="667"/>
      <c r="M763" s="668"/>
      <c r="N763" s="373"/>
      <c r="O763" s="373"/>
      <c r="P763" s="670"/>
      <c r="Q763" s="665"/>
      <c r="R763" s="665"/>
      <c r="S763" s="539"/>
      <c r="T763" s="665"/>
      <c r="U763" s="49"/>
      <c r="V763" s="49"/>
      <c r="W763" s="49"/>
      <c r="X763" s="49"/>
      <c r="Y763" s="49"/>
    </row>
    <row r="764" ht="15.75" customHeight="1">
      <c r="A764" s="38"/>
      <c r="B764" s="49"/>
      <c r="C764" s="15"/>
      <c r="D764" s="663"/>
      <c r="E764" s="664"/>
      <c r="F764" s="665"/>
      <c r="G764" s="539"/>
      <c r="H764" s="373"/>
      <c r="I764" s="665"/>
      <c r="J764" s="666"/>
      <c r="K764" s="665"/>
      <c r="L764" s="667"/>
      <c r="M764" s="668"/>
      <c r="N764" s="373"/>
      <c r="O764" s="373"/>
      <c r="P764" s="670"/>
      <c r="Q764" s="665"/>
      <c r="R764" s="665"/>
      <c r="S764" s="539"/>
      <c r="T764" s="665"/>
      <c r="U764" s="49"/>
      <c r="V764" s="49"/>
      <c r="W764" s="49"/>
      <c r="X764" s="49"/>
      <c r="Y764" s="49"/>
    </row>
    <row r="765" ht="15.75" customHeight="1">
      <c r="A765" s="38"/>
      <c r="B765" s="49"/>
      <c r="C765" s="15"/>
      <c r="D765" s="663"/>
      <c r="E765" s="664"/>
      <c r="F765" s="665"/>
      <c r="G765" s="539"/>
      <c r="H765" s="373"/>
      <c r="I765" s="665"/>
      <c r="J765" s="666"/>
      <c r="K765" s="665"/>
      <c r="L765" s="667"/>
      <c r="M765" s="668"/>
      <c r="N765" s="373"/>
      <c r="O765" s="373"/>
      <c r="P765" s="670"/>
      <c r="Q765" s="665"/>
      <c r="R765" s="665"/>
      <c r="S765" s="539"/>
      <c r="T765" s="665"/>
      <c r="U765" s="49"/>
      <c r="V765" s="49"/>
      <c r="W765" s="49"/>
      <c r="X765" s="49"/>
      <c r="Y765" s="49"/>
    </row>
    <row r="766" ht="15.75" customHeight="1">
      <c r="A766" s="38"/>
      <c r="B766" s="49"/>
      <c r="C766" s="15"/>
      <c r="D766" s="663"/>
      <c r="E766" s="664"/>
      <c r="F766" s="665"/>
      <c r="G766" s="539"/>
      <c r="H766" s="373"/>
      <c r="I766" s="665"/>
      <c r="J766" s="666"/>
      <c r="K766" s="665"/>
      <c r="L766" s="667"/>
      <c r="M766" s="668"/>
      <c r="N766" s="373"/>
      <c r="O766" s="373"/>
      <c r="P766" s="670"/>
      <c r="Q766" s="665"/>
      <c r="R766" s="665"/>
      <c r="S766" s="539"/>
      <c r="T766" s="665"/>
      <c r="U766" s="49"/>
      <c r="V766" s="49"/>
      <c r="W766" s="49"/>
      <c r="X766" s="49"/>
      <c r="Y766" s="49"/>
    </row>
    <row r="767" ht="15.75" customHeight="1">
      <c r="A767" s="38"/>
      <c r="B767" s="49"/>
      <c r="C767" s="15"/>
      <c r="D767" s="663"/>
      <c r="E767" s="664"/>
      <c r="F767" s="665"/>
      <c r="G767" s="539"/>
      <c r="H767" s="373"/>
      <c r="I767" s="665"/>
      <c r="J767" s="666"/>
      <c r="K767" s="665"/>
      <c r="L767" s="667"/>
      <c r="M767" s="668"/>
      <c r="N767" s="373"/>
      <c r="O767" s="373"/>
      <c r="P767" s="670"/>
      <c r="Q767" s="665"/>
      <c r="R767" s="665"/>
      <c r="S767" s="539"/>
      <c r="T767" s="665"/>
      <c r="U767" s="49"/>
      <c r="V767" s="49"/>
      <c r="W767" s="49"/>
      <c r="X767" s="49"/>
      <c r="Y767" s="49"/>
    </row>
    <row r="768" ht="15.75" customHeight="1">
      <c r="A768" s="38"/>
      <c r="B768" s="49"/>
      <c r="C768" s="15"/>
      <c r="D768" s="663"/>
      <c r="E768" s="664"/>
      <c r="F768" s="665"/>
      <c r="G768" s="539"/>
      <c r="H768" s="373"/>
      <c r="I768" s="665"/>
      <c r="J768" s="666"/>
      <c r="K768" s="665"/>
      <c r="L768" s="667"/>
      <c r="M768" s="668"/>
      <c r="N768" s="373"/>
      <c r="O768" s="373"/>
      <c r="P768" s="670"/>
      <c r="Q768" s="665"/>
      <c r="R768" s="665"/>
      <c r="S768" s="539"/>
      <c r="T768" s="665"/>
      <c r="U768" s="49"/>
      <c r="V768" s="49"/>
      <c r="W768" s="49"/>
      <c r="X768" s="49"/>
      <c r="Y768" s="49"/>
    </row>
    <row r="769" ht="15.75" customHeight="1">
      <c r="A769" s="38"/>
      <c r="B769" s="49"/>
      <c r="C769" s="15"/>
      <c r="D769" s="663"/>
      <c r="E769" s="664"/>
      <c r="F769" s="665"/>
      <c r="G769" s="539"/>
      <c r="H769" s="373"/>
      <c r="I769" s="665"/>
      <c r="J769" s="666"/>
      <c r="K769" s="665"/>
      <c r="L769" s="667"/>
      <c r="M769" s="668"/>
      <c r="N769" s="373"/>
      <c r="O769" s="373"/>
      <c r="P769" s="670"/>
      <c r="Q769" s="665"/>
      <c r="R769" s="665"/>
      <c r="S769" s="539"/>
      <c r="T769" s="665"/>
      <c r="U769" s="49"/>
      <c r="V769" s="49"/>
      <c r="W769" s="49"/>
      <c r="X769" s="49"/>
      <c r="Y769" s="49"/>
    </row>
    <row r="770" ht="15.75" customHeight="1">
      <c r="A770" s="38"/>
      <c r="B770" s="49"/>
      <c r="C770" s="15"/>
      <c r="D770" s="663"/>
      <c r="E770" s="664"/>
      <c r="F770" s="665"/>
      <c r="G770" s="539"/>
      <c r="H770" s="373"/>
      <c r="I770" s="665"/>
      <c r="J770" s="666"/>
      <c r="K770" s="665"/>
      <c r="L770" s="667"/>
      <c r="M770" s="668"/>
      <c r="N770" s="373"/>
      <c r="O770" s="373"/>
      <c r="P770" s="670"/>
      <c r="Q770" s="665"/>
      <c r="R770" s="665"/>
      <c r="S770" s="539"/>
      <c r="T770" s="665"/>
      <c r="U770" s="49"/>
      <c r="V770" s="49"/>
      <c r="W770" s="49"/>
      <c r="X770" s="49"/>
      <c r="Y770" s="49"/>
    </row>
    <row r="771" ht="15.75" customHeight="1">
      <c r="A771" s="38"/>
      <c r="B771" s="49"/>
      <c r="C771" s="15"/>
      <c r="D771" s="663"/>
      <c r="E771" s="664"/>
      <c r="F771" s="665"/>
      <c r="G771" s="539"/>
      <c r="H771" s="373"/>
      <c r="I771" s="665"/>
      <c r="J771" s="666"/>
      <c r="K771" s="665"/>
      <c r="L771" s="667"/>
      <c r="M771" s="668"/>
      <c r="N771" s="373"/>
      <c r="O771" s="373"/>
      <c r="P771" s="670"/>
      <c r="Q771" s="665"/>
      <c r="R771" s="665"/>
      <c r="S771" s="539"/>
      <c r="T771" s="665"/>
      <c r="U771" s="49"/>
      <c r="V771" s="49"/>
      <c r="W771" s="49"/>
      <c r="X771" s="49"/>
      <c r="Y771" s="49"/>
    </row>
    <row r="772" ht="15.75" customHeight="1">
      <c r="A772" s="38"/>
      <c r="B772" s="49"/>
      <c r="C772" s="15"/>
      <c r="D772" s="663"/>
      <c r="E772" s="664"/>
      <c r="F772" s="665"/>
      <c r="G772" s="539"/>
      <c r="H772" s="373"/>
      <c r="I772" s="665"/>
      <c r="J772" s="666"/>
      <c r="K772" s="665"/>
      <c r="L772" s="667"/>
      <c r="M772" s="668"/>
      <c r="N772" s="373"/>
      <c r="O772" s="373"/>
      <c r="P772" s="670"/>
      <c r="Q772" s="665"/>
      <c r="R772" s="665"/>
      <c r="S772" s="539"/>
      <c r="T772" s="665"/>
      <c r="U772" s="49"/>
      <c r="V772" s="49"/>
      <c r="W772" s="49"/>
      <c r="X772" s="49"/>
      <c r="Y772" s="49"/>
    </row>
    <row r="773" ht="15.75" customHeight="1">
      <c r="A773" s="38"/>
      <c r="B773" s="49"/>
      <c r="C773" s="15"/>
      <c r="D773" s="663"/>
      <c r="E773" s="664"/>
      <c r="F773" s="665"/>
      <c r="G773" s="539"/>
      <c r="H773" s="373"/>
      <c r="I773" s="665"/>
      <c r="J773" s="666"/>
      <c r="K773" s="665"/>
      <c r="L773" s="667"/>
      <c r="M773" s="668"/>
      <c r="N773" s="373"/>
      <c r="O773" s="373"/>
      <c r="P773" s="670"/>
      <c r="Q773" s="665"/>
      <c r="R773" s="665"/>
      <c r="S773" s="539"/>
      <c r="T773" s="665"/>
      <c r="U773" s="49"/>
      <c r="V773" s="49"/>
      <c r="W773" s="49"/>
      <c r="X773" s="49"/>
      <c r="Y773" s="49"/>
    </row>
    <row r="774" ht="15.75" customHeight="1">
      <c r="A774" s="38"/>
      <c r="B774" s="49"/>
      <c r="C774" s="15"/>
      <c r="D774" s="663"/>
      <c r="E774" s="664"/>
      <c r="F774" s="665"/>
      <c r="G774" s="539"/>
      <c r="H774" s="373"/>
      <c r="I774" s="665"/>
      <c r="J774" s="666"/>
      <c r="K774" s="665"/>
      <c r="L774" s="667"/>
      <c r="M774" s="668"/>
      <c r="N774" s="373"/>
      <c r="O774" s="373"/>
      <c r="P774" s="670"/>
      <c r="Q774" s="665"/>
      <c r="R774" s="665"/>
      <c r="S774" s="539"/>
      <c r="T774" s="665"/>
      <c r="U774" s="49"/>
      <c r="V774" s="49"/>
      <c r="W774" s="49"/>
      <c r="X774" s="49"/>
      <c r="Y774" s="49"/>
    </row>
    <row r="775" ht="15.75" customHeight="1">
      <c r="A775" s="38"/>
      <c r="B775" s="49"/>
      <c r="C775" s="15"/>
      <c r="D775" s="663"/>
      <c r="E775" s="664"/>
      <c r="F775" s="665"/>
      <c r="G775" s="539"/>
      <c r="H775" s="373"/>
      <c r="I775" s="665"/>
      <c r="J775" s="666"/>
      <c r="K775" s="665"/>
      <c r="L775" s="667"/>
      <c r="M775" s="668"/>
      <c r="N775" s="373"/>
      <c r="O775" s="373"/>
      <c r="P775" s="670"/>
      <c r="Q775" s="665"/>
      <c r="R775" s="665"/>
      <c r="S775" s="539"/>
      <c r="T775" s="665"/>
      <c r="U775" s="49"/>
      <c r="V775" s="49"/>
      <c r="W775" s="49"/>
      <c r="X775" s="49"/>
      <c r="Y775" s="49"/>
    </row>
    <row r="776" ht="15.75" customHeight="1">
      <c r="A776" s="38"/>
      <c r="B776" s="49"/>
      <c r="C776" s="15"/>
      <c r="D776" s="663"/>
      <c r="E776" s="664"/>
      <c r="F776" s="665"/>
      <c r="G776" s="539"/>
      <c r="H776" s="373"/>
      <c r="I776" s="665"/>
      <c r="J776" s="666"/>
      <c r="K776" s="665"/>
      <c r="L776" s="667"/>
      <c r="M776" s="668"/>
      <c r="N776" s="373"/>
      <c r="O776" s="373"/>
      <c r="P776" s="670"/>
      <c r="Q776" s="665"/>
      <c r="R776" s="665"/>
      <c r="S776" s="539"/>
      <c r="T776" s="665"/>
      <c r="U776" s="49"/>
      <c r="V776" s="49"/>
      <c r="W776" s="49"/>
      <c r="X776" s="49"/>
      <c r="Y776" s="49"/>
    </row>
    <row r="777" ht="15.75" customHeight="1">
      <c r="A777" s="38"/>
      <c r="B777" s="49"/>
      <c r="C777" s="15"/>
      <c r="D777" s="663"/>
      <c r="E777" s="664"/>
      <c r="F777" s="665"/>
      <c r="G777" s="539"/>
      <c r="H777" s="373"/>
      <c r="I777" s="665"/>
      <c r="J777" s="666"/>
      <c r="K777" s="665"/>
      <c r="L777" s="667"/>
      <c r="M777" s="668"/>
      <c r="N777" s="373"/>
      <c r="O777" s="373"/>
      <c r="P777" s="670"/>
      <c r="Q777" s="665"/>
      <c r="R777" s="665"/>
      <c r="S777" s="539"/>
      <c r="T777" s="665"/>
      <c r="U777" s="49"/>
      <c r="V777" s="49"/>
      <c r="W777" s="49"/>
      <c r="X777" s="49"/>
      <c r="Y777" s="49"/>
    </row>
    <row r="778" ht="15.75" customHeight="1">
      <c r="A778" s="38"/>
      <c r="B778" s="49"/>
      <c r="C778" s="15"/>
      <c r="D778" s="663"/>
      <c r="E778" s="664"/>
      <c r="F778" s="665"/>
      <c r="G778" s="539"/>
      <c r="H778" s="373"/>
      <c r="I778" s="665"/>
      <c r="J778" s="666"/>
      <c r="K778" s="665"/>
      <c r="L778" s="667"/>
      <c r="M778" s="668"/>
      <c r="N778" s="373"/>
      <c r="O778" s="373"/>
      <c r="P778" s="670"/>
      <c r="Q778" s="665"/>
      <c r="R778" s="665"/>
      <c r="S778" s="539"/>
      <c r="T778" s="665"/>
      <c r="U778" s="49"/>
      <c r="V778" s="49"/>
      <c r="W778" s="49"/>
      <c r="X778" s="49"/>
      <c r="Y778" s="49"/>
    </row>
    <row r="779" ht="15.75" customHeight="1">
      <c r="A779" s="38"/>
      <c r="B779" s="49"/>
      <c r="C779" s="15"/>
      <c r="D779" s="663"/>
      <c r="E779" s="664"/>
      <c r="F779" s="665"/>
      <c r="G779" s="539"/>
      <c r="H779" s="373"/>
      <c r="I779" s="665"/>
      <c r="J779" s="666"/>
      <c r="K779" s="665"/>
      <c r="L779" s="667"/>
      <c r="M779" s="668"/>
      <c r="N779" s="373"/>
      <c r="O779" s="373"/>
      <c r="P779" s="670"/>
      <c r="Q779" s="665"/>
      <c r="R779" s="665"/>
      <c r="S779" s="539"/>
      <c r="T779" s="665"/>
      <c r="U779" s="49"/>
      <c r="V779" s="49"/>
      <c r="W779" s="49"/>
      <c r="X779" s="49"/>
      <c r="Y779" s="49"/>
    </row>
    <row r="780" ht="15.75" customHeight="1">
      <c r="A780" s="38"/>
      <c r="B780" s="49"/>
      <c r="C780" s="15"/>
      <c r="D780" s="663"/>
      <c r="E780" s="664"/>
      <c r="F780" s="665"/>
      <c r="G780" s="539"/>
      <c r="H780" s="373"/>
      <c r="I780" s="665"/>
      <c r="J780" s="666"/>
      <c r="K780" s="665"/>
      <c r="L780" s="667"/>
      <c r="M780" s="668"/>
      <c r="N780" s="373"/>
      <c r="O780" s="373"/>
      <c r="P780" s="670"/>
      <c r="Q780" s="665"/>
      <c r="R780" s="665"/>
      <c r="S780" s="539"/>
      <c r="T780" s="665"/>
      <c r="U780" s="49"/>
      <c r="V780" s="49"/>
      <c r="W780" s="49"/>
      <c r="X780" s="49"/>
      <c r="Y780" s="49"/>
    </row>
    <row r="781" ht="15.75" customHeight="1">
      <c r="A781" s="38"/>
      <c r="B781" s="49"/>
      <c r="C781" s="15"/>
      <c r="D781" s="663"/>
      <c r="E781" s="664"/>
      <c r="F781" s="665"/>
      <c r="G781" s="539"/>
      <c r="H781" s="373"/>
      <c r="I781" s="665"/>
      <c r="J781" s="666"/>
      <c r="K781" s="665"/>
      <c r="L781" s="667"/>
      <c r="M781" s="668"/>
      <c r="N781" s="373"/>
      <c r="O781" s="373"/>
      <c r="P781" s="670"/>
      <c r="Q781" s="665"/>
      <c r="R781" s="665"/>
      <c r="S781" s="539"/>
      <c r="T781" s="665"/>
      <c r="U781" s="49"/>
      <c r="V781" s="49"/>
      <c r="W781" s="49"/>
      <c r="X781" s="49"/>
      <c r="Y781" s="49"/>
    </row>
    <row r="782" ht="15.75" customHeight="1">
      <c r="A782" s="38"/>
      <c r="B782" s="49"/>
      <c r="C782" s="15"/>
      <c r="D782" s="663"/>
      <c r="E782" s="664"/>
      <c r="F782" s="665"/>
      <c r="G782" s="539"/>
      <c r="H782" s="373"/>
      <c r="I782" s="665"/>
      <c r="J782" s="666"/>
      <c r="K782" s="665"/>
      <c r="L782" s="667"/>
      <c r="M782" s="668"/>
      <c r="N782" s="373"/>
      <c r="O782" s="373"/>
      <c r="P782" s="670"/>
      <c r="Q782" s="665"/>
      <c r="R782" s="665"/>
      <c r="S782" s="539"/>
      <c r="T782" s="665"/>
      <c r="U782" s="49"/>
      <c r="V782" s="49"/>
      <c r="W782" s="49"/>
      <c r="X782" s="49"/>
      <c r="Y782" s="49"/>
    </row>
    <row r="783" ht="15.75" customHeight="1">
      <c r="A783" s="38"/>
      <c r="B783" s="49"/>
      <c r="C783" s="15"/>
      <c r="D783" s="663"/>
      <c r="E783" s="664"/>
      <c r="F783" s="665"/>
      <c r="G783" s="539"/>
      <c r="H783" s="373"/>
      <c r="I783" s="665"/>
      <c r="J783" s="666"/>
      <c r="K783" s="665"/>
      <c r="L783" s="667"/>
      <c r="M783" s="668"/>
      <c r="N783" s="373"/>
      <c r="O783" s="373"/>
      <c r="P783" s="670"/>
      <c r="Q783" s="665"/>
      <c r="R783" s="665"/>
      <c r="S783" s="539"/>
      <c r="T783" s="665"/>
      <c r="U783" s="49"/>
      <c r="V783" s="49"/>
      <c r="W783" s="49"/>
      <c r="X783" s="49"/>
      <c r="Y783" s="49"/>
    </row>
    <row r="784" ht="15.75" customHeight="1">
      <c r="A784" s="38"/>
      <c r="B784" s="49"/>
      <c r="C784" s="15"/>
      <c r="D784" s="663"/>
      <c r="E784" s="664"/>
      <c r="F784" s="665"/>
      <c r="G784" s="539"/>
      <c r="H784" s="373"/>
      <c r="I784" s="665"/>
      <c r="J784" s="666"/>
      <c r="K784" s="665"/>
      <c r="L784" s="667"/>
      <c r="M784" s="668"/>
      <c r="N784" s="373"/>
      <c r="O784" s="373"/>
      <c r="P784" s="670"/>
      <c r="Q784" s="665"/>
      <c r="R784" s="665"/>
      <c r="S784" s="539"/>
      <c r="T784" s="665"/>
      <c r="U784" s="49"/>
      <c r="V784" s="49"/>
      <c r="W784" s="49"/>
      <c r="X784" s="49"/>
      <c r="Y784" s="49"/>
    </row>
    <row r="785" ht="15.75" customHeight="1">
      <c r="A785" s="38"/>
      <c r="B785" s="49"/>
      <c r="C785" s="15"/>
      <c r="D785" s="663"/>
      <c r="E785" s="664"/>
      <c r="F785" s="665"/>
      <c r="G785" s="539"/>
      <c r="H785" s="373"/>
      <c r="I785" s="665"/>
      <c r="J785" s="666"/>
      <c r="K785" s="665"/>
      <c r="L785" s="667"/>
      <c r="M785" s="668"/>
      <c r="N785" s="373"/>
      <c r="O785" s="373"/>
      <c r="P785" s="670"/>
      <c r="Q785" s="665"/>
      <c r="R785" s="665"/>
      <c r="S785" s="539"/>
      <c r="T785" s="665"/>
      <c r="U785" s="49"/>
      <c r="V785" s="49"/>
      <c r="W785" s="49"/>
      <c r="X785" s="49"/>
      <c r="Y785" s="49"/>
    </row>
    <row r="786" ht="15.75" customHeight="1">
      <c r="A786" s="38"/>
      <c r="B786" s="49"/>
      <c r="C786" s="15"/>
      <c r="D786" s="663"/>
      <c r="E786" s="664"/>
      <c r="F786" s="665"/>
      <c r="G786" s="539"/>
      <c r="H786" s="373"/>
      <c r="I786" s="665"/>
      <c r="J786" s="666"/>
      <c r="K786" s="665"/>
      <c r="L786" s="667"/>
      <c r="M786" s="668"/>
      <c r="N786" s="373"/>
      <c r="O786" s="373"/>
      <c r="P786" s="670"/>
      <c r="Q786" s="665"/>
      <c r="R786" s="665"/>
      <c r="S786" s="539"/>
      <c r="T786" s="665"/>
      <c r="U786" s="49"/>
      <c r="V786" s="49"/>
      <c r="W786" s="49"/>
      <c r="X786" s="49"/>
      <c r="Y786" s="49"/>
    </row>
    <row r="787" ht="15.75" customHeight="1">
      <c r="A787" s="38"/>
      <c r="B787" s="49"/>
      <c r="C787" s="15"/>
      <c r="D787" s="663"/>
      <c r="E787" s="664"/>
      <c r="F787" s="665"/>
      <c r="G787" s="539"/>
      <c r="H787" s="373"/>
      <c r="I787" s="665"/>
      <c r="J787" s="666"/>
      <c r="K787" s="665"/>
      <c r="L787" s="667"/>
      <c r="M787" s="668"/>
      <c r="N787" s="373"/>
      <c r="O787" s="373"/>
      <c r="P787" s="670"/>
      <c r="Q787" s="665"/>
      <c r="R787" s="665"/>
      <c r="S787" s="539"/>
      <c r="T787" s="665"/>
      <c r="U787" s="49"/>
      <c r="V787" s="49"/>
      <c r="W787" s="49"/>
      <c r="X787" s="49"/>
      <c r="Y787" s="49"/>
    </row>
    <row r="788" ht="15.75" customHeight="1">
      <c r="A788" s="38"/>
      <c r="B788" s="49"/>
      <c r="C788" s="15"/>
      <c r="D788" s="663"/>
      <c r="E788" s="664"/>
      <c r="F788" s="665"/>
      <c r="G788" s="539"/>
      <c r="H788" s="373"/>
      <c r="I788" s="665"/>
      <c r="J788" s="666"/>
      <c r="K788" s="665"/>
      <c r="L788" s="667"/>
      <c r="M788" s="668"/>
      <c r="N788" s="373"/>
      <c r="O788" s="373"/>
      <c r="P788" s="670"/>
      <c r="Q788" s="665"/>
      <c r="R788" s="665"/>
      <c r="S788" s="539"/>
      <c r="T788" s="665"/>
      <c r="U788" s="49"/>
      <c r="V788" s="49"/>
      <c r="W788" s="49"/>
      <c r="X788" s="49"/>
      <c r="Y788" s="49"/>
    </row>
    <row r="789" ht="15.75" customHeight="1">
      <c r="A789" s="38"/>
      <c r="B789" s="49"/>
      <c r="C789" s="15"/>
      <c r="D789" s="663"/>
      <c r="E789" s="664"/>
      <c r="F789" s="665"/>
      <c r="G789" s="539"/>
      <c r="H789" s="373"/>
      <c r="I789" s="665"/>
      <c r="J789" s="666"/>
      <c r="K789" s="665"/>
      <c r="L789" s="667"/>
      <c r="M789" s="668"/>
      <c r="N789" s="373"/>
      <c r="O789" s="373"/>
      <c r="P789" s="670"/>
      <c r="Q789" s="665"/>
      <c r="R789" s="665"/>
      <c r="S789" s="539"/>
      <c r="T789" s="665"/>
      <c r="U789" s="49"/>
      <c r="V789" s="49"/>
      <c r="W789" s="49"/>
      <c r="X789" s="49"/>
      <c r="Y789" s="49"/>
    </row>
    <row r="790" ht="15.75" customHeight="1">
      <c r="A790" s="38"/>
      <c r="B790" s="49"/>
      <c r="C790" s="15"/>
      <c r="D790" s="663"/>
      <c r="E790" s="664"/>
      <c r="F790" s="665"/>
      <c r="G790" s="539"/>
      <c r="H790" s="373"/>
      <c r="I790" s="665"/>
      <c r="J790" s="666"/>
      <c r="K790" s="665"/>
      <c r="L790" s="667"/>
      <c r="M790" s="668"/>
      <c r="N790" s="373"/>
      <c r="O790" s="373"/>
      <c r="P790" s="670"/>
      <c r="Q790" s="665"/>
      <c r="R790" s="665"/>
      <c r="S790" s="539"/>
      <c r="T790" s="665"/>
      <c r="U790" s="49"/>
      <c r="V790" s="49"/>
      <c r="W790" s="49"/>
      <c r="X790" s="49"/>
      <c r="Y790" s="49"/>
    </row>
    <row r="791" ht="15.75" customHeight="1">
      <c r="A791" s="38"/>
      <c r="B791" s="49"/>
      <c r="C791" s="15"/>
      <c r="D791" s="663"/>
      <c r="E791" s="664"/>
      <c r="F791" s="665"/>
      <c r="G791" s="539"/>
      <c r="H791" s="373"/>
      <c r="I791" s="665"/>
      <c r="J791" s="666"/>
      <c r="K791" s="665"/>
      <c r="L791" s="667"/>
      <c r="M791" s="668"/>
      <c r="N791" s="373"/>
      <c r="O791" s="373"/>
      <c r="P791" s="670"/>
      <c r="Q791" s="665"/>
      <c r="R791" s="665"/>
      <c r="S791" s="539"/>
      <c r="T791" s="665"/>
      <c r="U791" s="49"/>
      <c r="V791" s="49"/>
      <c r="W791" s="49"/>
      <c r="X791" s="49"/>
      <c r="Y791" s="49"/>
    </row>
    <row r="792" ht="15.75" customHeight="1">
      <c r="A792" s="38"/>
      <c r="B792" s="49"/>
      <c r="C792" s="15"/>
      <c r="D792" s="663"/>
      <c r="E792" s="664"/>
      <c r="F792" s="665"/>
      <c r="G792" s="539"/>
      <c r="H792" s="373"/>
      <c r="I792" s="665"/>
      <c r="J792" s="666"/>
      <c r="K792" s="665"/>
      <c r="L792" s="667"/>
      <c r="M792" s="668"/>
      <c r="N792" s="373"/>
      <c r="O792" s="373"/>
      <c r="P792" s="670"/>
      <c r="Q792" s="665"/>
      <c r="R792" s="665"/>
      <c r="S792" s="539"/>
      <c r="T792" s="665"/>
      <c r="U792" s="49"/>
      <c r="V792" s="49"/>
      <c r="W792" s="49"/>
      <c r="X792" s="49"/>
      <c r="Y792" s="49"/>
    </row>
    <row r="793" ht="15.75" customHeight="1">
      <c r="A793" s="38"/>
      <c r="B793" s="49"/>
      <c r="C793" s="15"/>
      <c r="D793" s="663"/>
      <c r="E793" s="664"/>
      <c r="F793" s="665"/>
      <c r="G793" s="539"/>
      <c r="H793" s="373"/>
      <c r="I793" s="665"/>
      <c r="J793" s="666"/>
      <c r="K793" s="665"/>
      <c r="L793" s="667"/>
      <c r="M793" s="668"/>
      <c r="N793" s="373"/>
      <c r="O793" s="373"/>
      <c r="P793" s="670"/>
      <c r="Q793" s="665"/>
      <c r="R793" s="665"/>
      <c r="S793" s="539"/>
      <c r="T793" s="665"/>
      <c r="U793" s="49"/>
      <c r="V793" s="49"/>
      <c r="W793" s="49"/>
      <c r="X793" s="49"/>
      <c r="Y793" s="49"/>
    </row>
    <row r="794" ht="15.75" customHeight="1">
      <c r="A794" s="38"/>
      <c r="B794" s="49"/>
      <c r="C794" s="15"/>
      <c r="D794" s="663"/>
      <c r="E794" s="664"/>
      <c r="F794" s="665"/>
      <c r="G794" s="539"/>
      <c r="H794" s="373"/>
      <c r="I794" s="665"/>
      <c r="J794" s="666"/>
      <c r="K794" s="665"/>
      <c r="L794" s="667"/>
      <c r="M794" s="668"/>
      <c r="N794" s="373"/>
      <c r="O794" s="373"/>
      <c r="P794" s="670"/>
      <c r="Q794" s="665"/>
      <c r="R794" s="665"/>
      <c r="S794" s="539"/>
      <c r="T794" s="665"/>
      <c r="U794" s="49"/>
      <c r="V794" s="49"/>
      <c r="W794" s="49"/>
      <c r="X794" s="49"/>
      <c r="Y794" s="49"/>
    </row>
    <row r="795" ht="15.75" customHeight="1">
      <c r="A795" s="38"/>
      <c r="B795" s="49"/>
      <c r="C795" s="15"/>
      <c r="D795" s="663"/>
      <c r="E795" s="664"/>
      <c r="F795" s="665"/>
      <c r="G795" s="539"/>
      <c r="H795" s="373"/>
      <c r="I795" s="665"/>
      <c r="J795" s="666"/>
      <c r="K795" s="665"/>
      <c r="L795" s="667"/>
      <c r="M795" s="668"/>
      <c r="N795" s="373"/>
      <c r="O795" s="373"/>
      <c r="P795" s="670"/>
      <c r="Q795" s="665"/>
      <c r="R795" s="665"/>
      <c r="S795" s="539"/>
      <c r="T795" s="665"/>
      <c r="U795" s="49"/>
      <c r="V795" s="49"/>
      <c r="W795" s="49"/>
      <c r="X795" s="49"/>
      <c r="Y795" s="49"/>
    </row>
    <row r="796" ht="15.75" customHeight="1">
      <c r="A796" s="38"/>
      <c r="B796" s="49"/>
      <c r="C796" s="15"/>
      <c r="D796" s="663"/>
      <c r="E796" s="664"/>
      <c r="F796" s="665"/>
      <c r="G796" s="539"/>
      <c r="H796" s="373"/>
      <c r="I796" s="665"/>
      <c r="J796" s="666"/>
      <c r="K796" s="665"/>
      <c r="L796" s="667"/>
      <c r="M796" s="668"/>
      <c r="N796" s="373"/>
      <c r="O796" s="373"/>
      <c r="P796" s="670"/>
      <c r="Q796" s="665"/>
      <c r="R796" s="665"/>
      <c r="S796" s="539"/>
      <c r="T796" s="665"/>
      <c r="U796" s="49"/>
      <c r="V796" s="49"/>
      <c r="W796" s="49"/>
      <c r="X796" s="49"/>
      <c r="Y796" s="49"/>
    </row>
    <row r="797" ht="15.75" customHeight="1">
      <c r="A797" s="38"/>
      <c r="B797" s="49"/>
      <c r="C797" s="15"/>
      <c r="D797" s="663"/>
      <c r="E797" s="664"/>
      <c r="F797" s="665"/>
      <c r="G797" s="539"/>
      <c r="H797" s="373"/>
      <c r="I797" s="665"/>
      <c r="J797" s="666"/>
      <c r="K797" s="665"/>
      <c r="L797" s="667"/>
      <c r="M797" s="668"/>
      <c r="N797" s="373"/>
      <c r="O797" s="373"/>
      <c r="P797" s="670"/>
      <c r="Q797" s="665"/>
      <c r="R797" s="665"/>
      <c r="S797" s="539"/>
      <c r="T797" s="665"/>
      <c r="U797" s="49"/>
      <c r="V797" s="49"/>
      <c r="W797" s="49"/>
      <c r="X797" s="49"/>
      <c r="Y797" s="49"/>
    </row>
    <row r="798" ht="15.75" customHeight="1">
      <c r="A798" s="38"/>
      <c r="B798" s="49"/>
      <c r="C798" s="15"/>
      <c r="D798" s="663"/>
      <c r="E798" s="664"/>
      <c r="F798" s="665"/>
      <c r="G798" s="539"/>
      <c r="H798" s="373"/>
      <c r="I798" s="665"/>
      <c r="J798" s="666"/>
      <c r="K798" s="665"/>
      <c r="L798" s="667"/>
      <c r="M798" s="668"/>
      <c r="N798" s="373"/>
      <c r="O798" s="373"/>
      <c r="P798" s="670"/>
      <c r="Q798" s="665"/>
      <c r="R798" s="665"/>
      <c r="S798" s="539"/>
      <c r="T798" s="665"/>
      <c r="U798" s="49"/>
      <c r="V798" s="49"/>
      <c r="W798" s="49"/>
      <c r="X798" s="49"/>
      <c r="Y798" s="49"/>
    </row>
    <row r="799" ht="15.75" customHeight="1">
      <c r="A799" s="38"/>
      <c r="B799" s="49"/>
      <c r="C799" s="15"/>
      <c r="D799" s="663"/>
      <c r="E799" s="664"/>
      <c r="F799" s="665"/>
      <c r="G799" s="539"/>
      <c r="H799" s="373"/>
      <c r="I799" s="665"/>
      <c r="J799" s="666"/>
      <c r="K799" s="665"/>
      <c r="L799" s="667"/>
      <c r="M799" s="668"/>
      <c r="N799" s="373"/>
      <c r="O799" s="373"/>
      <c r="P799" s="670"/>
      <c r="Q799" s="665"/>
      <c r="R799" s="665"/>
      <c r="S799" s="539"/>
      <c r="T799" s="665"/>
      <c r="U799" s="49"/>
      <c r="V799" s="49"/>
      <c r="W799" s="49"/>
      <c r="X799" s="49"/>
      <c r="Y799" s="49"/>
    </row>
    <row r="800" ht="15.75" customHeight="1">
      <c r="A800" s="38"/>
      <c r="B800" s="49"/>
      <c r="C800" s="15"/>
      <c r="D800" s="663"/>
      <c r="E800" s="664"/>
      <c r="F800" s="665"/>
      <c r="G800" s="539"/>
      <c r="H800" s="373"/>
      <c r="I800" s="665"/>
      <c r="J800" s="666"/>
      <c r="K800" s="665"/>
      <c r="L800" s="667"/>
      <c r="M800" s="668"/>
      <c r="N800" s="373"/>
      <c r="O800" s="373"/>
      <c r="P800" s="670"/>
      <c r="Q800" s="665"/>
      <c r="R800" s="665"/>
      <c r="S800" s="539"/>
      <c r="T800" s="665"/>
      <c r="U800" s="49"/>
      <c r="V800" s="49"/>
      <c r="W800" s="49"/>
      <c r="X800" s="49"/>
      <c r="Y800" s="49"/>
    </row>
    <row r="801" ht="15.75" customHeight="1">
      <c r="A801" s="38"/>
      <c r="B801" s="49"/>
      <c r="C801" s="15"/>
      <c r="D801" s="663"/>
      <c r="E801" s="664"/>
      <c r="F801" s="665"/>
      <c r="G801" s="539"/>
      <c r="H801" s="373"/>
      <c r="I801" s="665"/>
      <c r="J801" s="666"/>
      <c r="K801" s="665"/>
      <c r="L801" s="667"/>
      <c r="M801" s="668"/>
      <c r="N801" s="373"/>
      <c r="O801" s="373"/>
      <c r="P801" s="670"/>
      <c r="Q801" s="665"/>
      <c r="R801" s="665"/>
      <c r="S801" s="539"/>
      <c r="T801" s="665"/>
      <c r="U801" s="49"/>
      <c r="V801" s="49"/>
      <c r="W801" s="49"/>
      <c r="X801" s="49"/>
      <c r="Y801" s="49"/>
    </row>
    <row r="802" ht="15.75" customHeight="1">
      <c r="A802" s="38"/>
      <c r="B802" s="49"/>
      <c r="C802" s="15"/>
      <c r="D802" s="663"/>
      <c r="E802" s="664"/>
      <c r="F802" s="665"/>
      <c r="G802" s="539"/>
      <c r="H802" s="373"/>
      <c r="I802" s="665"/>
      <c r="J802" s="666"/>
      <c r="K802" s="665"/>
      <c r="L802" s="667"/>
      <c r="M802" s="668"/>
      <c r="N802" s="373"/>
      <c r="O802" s="373"/>
      <c r="P802" s="670"/>
      <c r="Q802" s="665"/>
      <c r="R802" s="665"/>
      <c r="S802" s="539"/>
      <c r="T802" s="665"/>
      <c r="U802" s="49"/>
      <c r="V802" s="49"/>
      <c r="W802" s="49"/>
      <c r="X802" s="49"/>
      <c r="Y802" s="49"/>
    </row>
    <row r="803" ht="15.75" customHeight="1">
      <c r="A803" s="38"/>
      <c r="B803" s="49"/>
      <c r="C803" s="15"/>
      <c r="D803" s="663"/>
      <c r="E803" s="664"/>
      <c r="F803" s="665"/>
      <c r="G803" s="539"/>
      <c r="H803" s="373"/>
      <c r="I803" s="665"/>
      <c r="J803" s="666"/>
      <c r="K803" s="665"/>
      <c r="L803" s="667"/>
      <c r="M803" s="668"/>
      <c r="N803" s="373"/>
      <c r="O803" s="373"/>
      <c r="P803" s="670"/>
      <c r="Q803" s="665"/>
      <c r="R803" s="665"/>
      <c r="S803" s="539"/>
      <c r="T803" s="665"/>
      <c r="U803" s="49"/>
      <c r="V803" s="49"/>
      <c r="W803" s="49"/>
      <c r="X803" s="49"/>
      <c r="Y803" s="49"/>
    </row>
    <row r="804" ht="15.75" customHeight="1">
      <c r="A804" s="38"/>
      <c r="B804" s="49"/>
      <c r="C804" s="15"/>
      <c r="D804" s="663"/>
      <c r="E804" s="664"/>
      <c r="F804" s="665"/>
      <c r="G804" s="539"/>
      <c r="H804" s="373"/>
      <c r="I804" s="665"/>
      <c r="J804" s="666"/>
      <c r="K804" s="665"/>
      <c r="L804" s="667"/>
      <c r="M804" s="668"/>
      <c r="N804" s="373"/>
      <c r="O804" s="373"/>
      <c r="P804" s="670"/>
      <c r="Q804" s="665"/>
      <c r="R804" s="665"/>
      <c r="S804" s="539"/>
      <c r="T804" s="665"/>
      <c r="U804" s="49"/>
      <c r="V804" s="49"/>
      <c r="W804" s="49"/>
      <c r="X804" s="49"/>
      <c r="Y804" s="49"/>
    </row>
    <row r="805" ht="15.75" customHeight="1">
      <c r="A805" s="38"/>
      <c r="B805" s="49"/>
      <c r="C805" s="15"/>
      <c r="D805" s="663"/>
      <c r="E805" s="664"/>
      <c r="F805" s="665"/>
      <c r="G805" s="539"/>
      <c r="H805" s="373"/>
      <c r="I805" s="665"/>
      <c r="J805" s="666"/>
      <c r="K805" s="665"/>
      <c r="L805" s="667"/>
      <c r="M805" s="668"/>
      <c r="N805" s="373"/>
      <c r="O805" s="373"/>
      <c r="P805" s="670"/>
      <c r="Q805" s="665"/>
      <c r="R805" s="665"/>
      <c r="S805" s="539"/>
      <c r="T805" s="665"/>
      <c r="U805" s="49"/>
      <c r="V805" s="49"/>
      <c r="W805" s="49"/>
      <c r="X805" s="49"/>
      <c r="Y805" s="49"/>
    </row>
    <row r="806" ht="15.75" customHeight="1">
      <c r="A806" s="38"/>
      <c r="B806" s="49"/>
      <c r="C806" s="15"/>
      <c r="D806" s="663"/>
      <c r="E806" s="664"/>
      <c r="F806" s="665"/>
      <c r="G806" s="539"/>
      <c r="H806" s="373"/>
      <c r="I806" s="665"/>
      <c r="J806" s="666"/>
      <c r="K806" s="665"/>
      <c r="L806" s="667"/>
      <c r="M806" s="668"/>
      <c r="N806" s="373"/>
      <c r="O806" s="373"/>
      <c r="P806" s="670"/>
      <c r="Q806" s="665"/>
      <c r="R806" s="665"/>
      <c r="S806" s="539"/>
      <c r="T806" s="665"/>
      <c r="U806" s="49"/>
      <c r="V806" s="49"/>
      <c r="W806" s="49"/>
      <c r="X806" s="49"/>
      <c r="Y806" s="49"/>
    </row>
    <row r="807" ht="15.75" customHeight="1">
      <c r="A807" s="38"/>
      <c r="B807" s="49"/>
      <c r="C807" s="15"/>
      <c r="D807" s="663"/>
      <c r="E807" s="664"/>
      <c r="F807" s="665"/>
      <c r="G807" s="539"/>
      <c r="H807" s="373"/>
      <c r="I807" s="665"/>
      <c r="J807" s="666"/>
      <c r="K807" s="665"/>
      <c r="L807" s="667"/>
      <c r="M807" s="668"/>
      <c r="N807" s="373"/>
      <c r="O807" s="373"/>
      <c r="P807" s="670"/>
      <c r="Q807" s="665"/>
      <c r="R807" s="665"/>
      <c r="S807" s="539"/>
      <c r="T807" s="665"/>
      <c r="U807" s="49"/>
      <c r="V807" s="49"/>
      <c r="W807" s="49"/>
      <c r="X807" s="49"/>
      <c r="Y807" s="49"/>
    </row>
    <row r="808" ht="15.75" customHeight="1">
      <c r="A808" s="38"/>
      <c r="B808" s="49"/>
      <c r="C808" s="15"/>
      <c r="D808" s="663"/>
      <c r="E808" s="664"/>
      <c r="F808" s="665"/>
      <c r="G808" s="539"/>
      <c r="H808" s="373"/>
      <c r="I808" s="665"/>
      <c r="J808" s="666"/>
      <c r="K808" s="665"/>
      <c r="L808" s="667"/>
      <c r="M808" s="668"/>
      <c r="N808" s="373"/>
      <c r="O808" s="373"/>
      <c r="P808" s="670"/>
      <c r="Q808" s="665"/>
      <c r="R808" s="665"/>
      <c r="S808" s="539"/>
      <c r="T808" s="665"/>
      <c r="U808" s="49"/>
      <c r="V808" s="49"/>
      <c r="W808" s="49"/>
      <c r="X808" s="49"/>
      <c r="Y808" s="49"/>
    </row>
    <row r="809" ht="15.75" customHeight="1">
      <c r="A809" s="38"/>
      <c r="B809" s="49"/>
      <c r="C809" s="15"/>
      <c r="D809" s="663"/>
      <c r="E809" s="664"/>
      <c r="F809" s="665"/>
      <c r="G809" s="539"/>
      <c r="H809" s="373"/>
      <c r="I809" s="665"/>
      <c r="J809" s="666"/>
      <c r="K809" s="665"/>
      <c r="L809" s="667"/>
      <c r="M809" s="668"/>
      <c r="N809" s="373"/>
      <c r="O809" s="373"/>
      <c r="P809" s="670"/>
      <c r="Q809" s="665"/>
      <c r="R809" s="665"/>
      <c r="S809" s="539"/>
      <c r="T809" s="665"/>
      <c r="U809" s="49"/>
      <c r="V809" s="49"/>
      <c r="W809" s="49"/>
      <c r="X809" s="49"/>
      <c r="Y809" s="49"/>
    </row>
    <row r="810" ht="15.75" customHeight="1">
      <c r="A810" s="38"/>
      <c r="B810" s="49"/>
      <c r="C810" s="15"/>
      <c r="D810" s="663"/>
      <c r="E810" s="664"/>
      <c r="F810" s="665"/>
      <c r="G810" s="539"/>
      <c r="H810" s="373"/>
      <c r="I810" s="665"/>
      <c r="J810" s="666"/>
      <c r="K810" s="665"/>
      <c r="L810" s="667"/>
      <c r="M810" s="668"/>
      <c r="N810" s="373"/>
      <c r="O810" s="373"/>
      <c r="P810" s="670"/>
      <c r="Q810" s="665"/>
      <c r="R810" s="665"/>
      <c r="S810" s="539"/>
      <c r="T810" s="665"/>
      <c r="U810" s="49"/>
      <c r="V810" s="49"/>
      <c r="W810" s="49"/>
      <c r="X810" s="49"/>
      <c r="Y810" s="49"/>
    </row>
    <row r="811" ht="15.75" customHeight="1">
      <c r="A811" s="38"/>
      <c r="B811" s="49"/>
      <c r="C811" s="15"/>
      <c r="D811" s="663"/>
      <c r="E811" s="664"/>
      <c r="F811" s="665"/>
      <c r="G811" s="539"/>
      <c r="H811" s="373"/>
      <c r="I811" s="665"/>
      <c r="J811" s="666"/>
      <c r="K811" s="665"/>
      <c r="L811" s="667"/>
      <c r="M811" s="668"/>
      <c r="N811" s="373"/>
      <c r="O811" s="373"/>
      <c r="P811" s="670"/>
      <c r="Q811" s="665"/>
      <c r="R811" s="665"/>
      <c r="S811" s="539"/>
      <c r="T811" s="665"/>
      <c r="U811" s="49"/>
      <c r="V811" s="49"/>
      <c r="W811" s="49"/>
      <c r="X811" s="49"/>
      <c r="Y811" s="49"/>
    </row>
    <row r="812" ht="15.75" customHeight="1">
      <c r="A812" s="38"/>
      <c r="B812" s="49"/>
      <c r="C812" s="15"/>
      <c r="D812" s="663"/>
      <c r="E812" s="664"/>
      <c r="F812" s="665"/>
      <c r="G812" s="539"/>
      <c r="H812" s="373"/>
      <c r="I812" s="665"/>
      <c r="J812" s="666"/>
      <c r="K812" s="665"/>
      <c r="L812" s="667"/>
      <c r="M812" s="668"/>
      <c r="N812" s="373"/>
      <c r="O812" s="373"/>
      <c r="P812" s="670"/>
      <c r="Q812" s="665"/>
      <c r="R812" s="665"/>
      <c r="S812" s="539"/>
      <c r="T812" s="665"/>
      <c r="U812" s="49"/>
      <c r="V812" s="49"/>
      <c r="W812" s="49"/>
      <c r="X812" s="49"/>
      <c r="Y812" s="49"/>
    </row>
    <row r="813" ht="15.75" customHeight="1">
      <c r="A813" s="38"/>
      <c r="B813" s="49"/>
      <c r="C813" s="15"/>
      <c r="D813" s="663"/>
      <c r="E813" s="664"/>
      <c r="F813" s="665"/>
      <c r="G813" s="539"/>
      <c r="H813" s="373"/>
      <c r="I813" s="665"/>
      <c r="J813" s="666"/>
      <c r="K813" s="665"/>
      <c r="L813" s="667"/>
      <c r="M813" s="668"/>
      <c r="N813" s="373"/>
      <c r="O813" s="373"/>
      <c r="P813" s="670"/>
      <c r="Q813" s="665"/>
      <c r="R813" s="665"/>
      <c r="S813" s="539"/>
      <c r="T813" s="665"/>
      <c r="U813" s="49"/>
      <c r="V813" s="49"/>
      <c r="W813" s="49"/>
      <c r="X813" s="49"/>
      <c r="Y813" s="49"/>
    </row>
    <row r="814" ht="15.75" customHeight="1">
      <c r="A814" s="38"/>
      <c r="B814" s="49"/>
      <c r="C814" s="15"/>
      <c r="D814" s="663"/>
      <c r="E814" s="664"/>
      <c r="F814" s="665"/>
      <c r="G814" s="539"/>
      <c r="H814" s="373"/>
      <c r="I814" s="665"/>
      <c r="J814" s="666"/>
      <c r="K814" s="665"/>
      <c r="L814" s="667"/>
      <c r="M814" s="668"/>
      <c r="N814" s="373"/>
      <c r="O814" s="373"/>
      <c r="P814" s="670"/>
      <c r="Q814" s="665"/>
      <c r="R814" s="665"/>
      <c r="S814" s="539"/>
      <c r="T814" s="665"/>
      <c r="U814" s="49"/>
      <c r="V814" s="49"/>
      <c r="W814" s="49"/>
      <c r="X814" s="49"/>
      <c r="Y814" s="49"/>
    </row>
    <row r="815" ht="15.75" customHeight="1">
      <c r="A815" s="38"/>
      <c r="B815" s="49"/>
      <c r="C815" s="15"/>
      <c r="D815" s="663"/>
      <c r="E815" s="664"/>
      <c r="F815" s="665"/>
      <c r="G815" s="539"/>
      <c r="H815" s="373"/>
      <c r="I815" s="665"/>
      <c r="J815" s="666"/>
      <c r="K815" s="665"/>
      <c r="L815" s="667"/>
      <c r="M815" s="668"/>
      <c r="N815" s="373"/>
      <c r="O815" s="373"/>
      <c r="P815" s="670"/>
      <c r="Q815" s="665"/>
      <c r="R815" s="665"/>
      <c r="S815" s="539"/>
      <c r="T815" s="665"/>
      <c r="U815" s="49"/>
      <c r="V815" s="49"/>
      <c r="W815" s="49"/>
      <c r="X815" s="49"/>
      <c r="Y815" s="49"/>
    </row>
    <row r="816" ht="15.75" customHeight="1">
      <c r="A816" s="38"/>
      <c r="B816" s="49"/>
      <c r="C816" s="15"/>
      <c r="D816" s="663"/>
      <c r="E816" s="664"/>
      <c r="F816" s="665"/>
      <c r="G816" s="539"/>
      <c r="H816" s="373"/>
      <c r="I816" s="665"/>
      <c r="J816" s="666"/>
      <c r="K816" s="665"/>
      <c r="L816" s="667"/>
      <c r="M816" s="668"/>
      <c r="N816" s="373"/>
      <c r="O816" s="373"/>
      <c r="P816" s="670"/>
      <c r="Q816" s="665"/>
      <c r="R816" s="665"/>
      <c r="S816" s="539"/>
      <c r="T816" s="665"/>
      <c r="U816" s="49"/>
      <c r="V816" s="49"/>
      <c r="W816" s="49"/>
      <c r="X816" s="49"/>
      <c r="Y816" s="49"/>
    </row>
    <row r="817" ht="15.75" customHeight="1">
      <c r="A817" s="38"/>
      <c r="B817" s="49"/>
      <c r="C817" s="15"/>
      <c r="D817" s="663"/>
      <c r="E817" s="664"/>
      <c r="F817" s="665"/>
      <c r="G817" s="539"/>
      <c r="H817" s="373"/>
      <c r="I817" s="665"/>
      <c r="J817" s="666"/>
      <c r="K817" s="665"/>
      <c r="L817" s="667"/>
      <c r="M817" s="668"/>
      <c r="N817" s="373"/>
      <c r="O817" s="373"/>
      <c r="P817" s="670"/>
      <c r="Q817" s="665"/>
      <c r="R817" s="665"/>
      <c r="S817" s="539"/>
      <c r="T817" s="665"/>
      <c r="U817" s="49"/>
      <c r="V817" s="49"/>
      <c r="W817" s="49"/>
      <c r="X817" s="49"/>
      <c r="Y817" s="49"/>
    </row>
    <row r="818" ht="15.75" customHeight="1">
      <c r="A818" s="38"/>
      <c r="B818" s="49"/>
      <c r="C818" s="15"/>
      <c r="D818" s="663"/>
      <c r="E818" s="664"/>
      <c r="F818" s="665"/>
      <c r="G818" s="539"/>
      <c r="H818" s="373"/>
      <c r="I818" s="665"/>
      <c r="J818" s="666"/>
      <c r="K818" s="665"/>
      <c r="L818" s="667"/>
      <c r="M818" s="668"/>
      <c r="N818" s="373"/>
      <c r="O818" s="373"/>
      <c r="P818" s="670"/>
      <c r="Q818" s="665"/>
      <c r="R818" s="665"/>
      <c r="S818" s="539"/>
      <c r="T818" s="665"/>
      <c r="U818" s="49"/>
      <c r="V818" s="49"/>
      <c r="W818" s="49"/>
      <c r="X818" s="49"/>
      <c r="Y818" s="49"/>
    </row>
    <row r="819" ht="15.75" customHeight="1">
      <c r="A819" s="38"/>
      <c r="B819" s="49"/>
      <c r="C819" s="15"/>
      <c r="D819" s="663"/>
      <c r="E819" s="664"/>
      <c r="F819" s="665"/>
      <c r="G819" s="539"/>
      <c r="H819" s="373"/>
      <c r="I819" s="665"/>
      <c r="J819" s="666"/>
      <c r="K819" s="665"/>
      <c r="L819" s="667"/>
      <c r="M819" s="668"/>
      <c r="N819" s="373"/>
      <c r="O819" s="373"/>
      <c r="P819" s="670"/>
      <c r="Q819" s="665"/>
      <c r="R819" s="665"/>
      <c r="S819" s="539"/>
      <c r="T819" s="665"/>
      <c r="U819" s="49"/>
      <c r="V819" s="49"/>
      <c r="W819" s="49"/>
      <c r="X819" s="49"/>
      <c r="Y819" s="49"/>
    </row>
    <row r="820" ht="15.75" customHeight="1">
      <c r="A820" s="38"/>
      <c r="B820" s="49"/>
      <c r="C820" s="15"/>
      <c r="D820" s="663"/>
      <c r="E820" s="664"/>
      <c r="F820" s="665"/>
      <c r="G820" s="539"/>
      <c r="H820" s="373"/>
      <c r="I820" s="665"/>
      <c r="J820" s="666"/>
      <c r="K820" s="665"/>
      <c r="L820" s="667"/>
      <c r="M820" s="668"/>
      <c r="N820" s="373"/>
      <c r="O820" s="373"/>
      <c r="P820" s="670"/>
      <c r="Q820" s="665"/>
      <c r="R820" s="665"/>
      <c r="S820" s="539"/>
      <c r="T820" s="665"/>
      <c r="U820" s="49"/>
      <c r="V820" s="49"/>
      <c r="W820" s="49"/>
      <c r="X820" s="49"/>
      <c r="Y820" s="49"/>
    </row>
    <row r="821" ht="15.75" customHeight="1">
      <c r="A821" s="38"/>
      <c r="B821" s="49"/>
      <c r="C821" s="15"/>
      <c r="D821" s="663"/>
      <c r="E821" s="664"/>
      <c r="F821" s="665"/>
      <c r="G821" s="539"/>
      <c r="H821" s="373"/>
      <c r="I821" s="665"/>
      <c r="J821" s="666"/>
      <c r="K821" s="665"/>
      <c r="L821" s="667"/>
      <c r="M821" s="668"/>
      <c r="N821" s="373"/>
      <c r="O821" s="373"/>
      <c r="P821" s="670"/>
      <c r="Q821" s="665"/>
      <c r="R821" s="665"/>
      <c r="S821" s="539"/>
      <c r="T821" s="665"/>
      <c r="U821" s="49"/>
      <c r="V821" s="49"/>
      <c r="W821" s="49"/>
      <c r="X821" s="49"/>
      <c r="Y821" s="49"/>
    </row>
    <row r="822" ht="15.75" customHeight="1">
      <c r="A822" s="38"/>
      <c r="B822" s="49"/>
      <c r="C822" s="15"/>
      <c r="D822" s="663"/>
      <c r="E822" s="664"/>
      <c r="F822" s="665"/>
      <c r="G822" s="539"/>
      <c r="H822" s="373"/>
      <c r="I822" s="665"/>
      <c r="J822" s="666"/>
      <c r="K822" s="665"/>
      <c r="L822" s="667"/>
      <c r="M822" s="668"/>
      <c r="N822" s="373"/>
      <c r="O822" s="373"/>
      <c r="P822" s="670"/>
      <c r="Q822" s="665"/>
      <c r="R822" s="665"/>
      <c r="S822" s="539"/>
      <c r="T822" s="665"/>
      <c r="U822" s="49"/>
      <c r="V822" s="49"/>
      <c r="W822" s="49"/>
      <c r="X822" s="49"/>
      <c r="Y822" s="49"/>
    </row>
    <row r="823" ht="15.75" customHeight="1">
      <c r="A823" s="38"/>
      <c r="B823" s="49"/>
      <c r="C823" s="15"/>
      <c r="D823" s="663"/>
      <c r="E823" s="664"/>
      <c r="F823" s="665"/>
      <c r="G823" s="539"/>
      <c r="H823" s="373"/>
      <c r="I823" s="665"/>
      <c r="J823" s="666"/>
      <c r="K823" s="665"/>
      <c r="L823" s="667"/>
      <c r="M823" s="668"/>
      <c r="N823" s="373"/>
      <c r="O823" s="373"/>
      <c r="P823" s="670"/>
      <c r="Q823" s="665"/>
      <c r="R823" s="665"/>
      <c r="S823" s="539"/>
      <c r="T823" s="665"/>
      <c r="U823" s="49"/>
      <c r="V823" s="49"/>
      <c r="W823" s="49"/>
      <c r="X823" s="49"/>
      <c r="Y823" s="49"/>
    </row>
    <row r="824" ht="15.75" customHeight="1">
      <c r="A824" s="38"/>
      <c r="B824" s="49"/>
      <c r="C824" s="15"/>
      <c r="D824" s="663"/>
      <c r="E824" s="664"/>
      <c r="F824" s="665"/>
      <c r="G824" s="539"/>
      <c r="H824" s="373"/>
      <c r="I824" s="665"/>
      <c r="J824" s="666"/>
      <c r="K824" s="665"/>
      <c r="L824" s="667"/>
      <c r="M824" s="668"/>
      <c r="N824" s="373"/>
      <c r="O824" s="373"/>
      <c r="P824" s="670"/>
      <c r="Q824" s="665"/>
      <c r="R824" s="665"/>
      <c r="S824" s="539"/>
      <c r="T824" s="665"/>
      <c r="U824" s="49"/>
      <c r="V824" s="49"/>
      <c r="W824" s="49"/>
      <c r="X824" s="49"/>
      <c r="Y824" s="49"/>
    </row>
    <row r="825" ht="15.75" customHeight="1">
      <c r="A825" s="38"/>
      <c r="B825" s="49"/>
      <c r="C825" s="15"/>
      <c r="D825" s="663"/>
      <c r="E825" s="664"/>
      <c r="F825" s="665"/>
      <c r="G825" s="539"/>
      <c r="H825" s="373"/>
      <c r="I825" s="665"/>
      <c r="J825" s="666"/>
      <c r="K825" s="665"/>
      <c r="L825" s="667"/>
      <c r="M825" s="668"/>
      <c r="N825" s="373"/>
      <c r="O825" s="373"/>
      <c r="P825" s="670"/>
      <c r="Q825" s="665"/>
      <c r="R825" s="665"/>
      <c r="S825" s="539"/>
      <c r="T825" s="665"/>
      <c r="U825" s="49"/>
      <c r="V825" s="49"/>
      <c r="W825" s="49"/>
      <c r="X825" s="49"/>
      <c r="Y825" s="49"/>
    </row>
    <row r="826" ht="15.75" customHeight="1">
      <c r="A826" s="38"/>
      <c r="B826" s="49"/>
      <c r="C826" s="15"/>
      <c r="D826" s="663"/>
      <c r="E826" s="664"/>
      <c r="F826" s="665"/>
      <c r="G826" s="539"/>
      <c r="H826" s="373"/>
      <c r="I826" s="665"/>
      <c r="J826" s="666"/>
      <c r="K826" s="665"/>
      <c r="L826" s="667"/>
      <c r="M826" s="668"/>
      <c r="N826" s="373"/>
      <c r="O826" s="373"/>
      <c r="P826" s="670"/>
      <c r="Q826" s="665"/>
      <c r="R826" s="665"/>
      <c r="S826" s="539"/>
      <c r="T826" s="665"/>
      <c r="U826" s="49"/>
      <c r="V826" s="49"/>
      <c r="W826" s="49"/>
      <c r="X826" s="49"/>
      <c r="Y826" s="49"/>
    </row>
    <row r="827" ht="15.75" customHeight="1">
      <c r="A827" s="38"/>
      <c r="B827" s="49"/>
      <c r="C827" s="15"/>
      <c r="D827" s="663"/>
      <c r="E827" s="664"/>
      <c r="F827" s="665"/>
      <c r="G827" s="539"/>
      <c r="H827" s="373"/>
      <c r="I827" s="665"/>
      <c r="J827" s="666"/>
      <c r="K827" s="665"/>
      <c r="L827" s="667"/>
      <c r="M827" s="668"/>
      <c r="N827" s="373"/>
      <c r="O827" s="373"/>
      <c r="P827" s="670"/>
      <c r="Q827" s="665"/>
      <c r="R827" s="665"/>
      <c r="S827" s="539"/>
      <c r="T827" s="665"/>
      <c r="U827" s="49"/>
      <c r="V827" s="49"/>
      <c r="W827" s="49"/>
      <c r="X827" s="49"/>
      <c r="Y827" s="49"/>
    </row>
    <row r="828" ht="15.75" customHeight="1">
      <c r="A828" s="38"/>
      <c r="B828" s="49"/>
      <c r="C828" s="15"/>
      <c r="D828" s="663"/>
      <c r="E828" s="664"/>
      <c r="F828" s="665"/>
      <c r="G828" s="539"/>
      <c r="H828" s="373"/>
      <c r="I828" s="665"/>
      <c r="J828" s="666"/>
      <c r="K828" s="665"/>
      <c r="L828" s="667"/>
      <c r="M828" s="668"/>
      <c r="N828" s="373"/>
      <c r="O828" s="373"/>
      <c r="P828" s="670"/>
      <c r="Q828" s="665"/>
      <c r="R828" s="665"/>
      <c r="S828" s="539"/>
      <c r="T828" s="665"/>
      <c r="U828" s="49"/>
      <c r="V828" s="49"/>
      <c r="W828" s="49"/>
      <c r="X828" s="49"/>
      <c r="Y828" s="49"/>
    </row>
    <row r="829" ht="15.75" customHeight="1">
      <c r="A829" s="38"/>
      <c r="B829" s="49"/>
      <c r="C829" s="15"/>
      <c r="D829" s="663"/>
      <c r="E829" s="664"/>
      <c r="F829" s="665"/>
      <c r="G829" s="539"/>
      <c r="H829" s="373"/>
      <c r="I829" s="665"/>
      <c r="J829" s="666"/>
      <c r="K829" s="665"/>
      <c r="L829" s="667"/>
      <c r="M829" s="668"/>
      <c r="N829" s="373"/>
      <c r="O829" s="373"/>
      <c r="P829" s="670"/>
      <c r="Q829" s="665"/>
      <c r="R829" s="665"/>
      <c r="S829" s="539"/>
      <c r="T829" s="665"/>
      <c r="U829" s="49"/>
      <c r="V829" s="49"/>
      <c r="W829" s="49"/>
      <c r="X829" s="49"/>
      <c r="Y829" s="49"/>
    </row>
    <row r="830" ht="15.75" customHeight="1">
      <c r="A830" s="38"/>
      <c r="B830" s="49"/>
      <c r="C830" s="15"/>
      <c r="D830" s="663"/>
      <c r="E830" s="664"/>
      <c r="F830" s="665"/>
      <c r="G830" s="539"/>
      <c r="H830" s="373"/>
      <c r="I830" s="665"/>
      <c r="J830" s="666"/>
      <c r="K830" s="665"/>
      <c r="L830" s="667"/>
      <c r="M830" s="668"/>
      <c r="N830" s="373"/>
      <c r="O830" s="373"/>
      <c r="P830" s="670"/>
      <c r="Q830" s="665"/>
      <c r="R830" s="665"/>
      <c r="S830" s="539"/>
      <c r="T830" s="665"/>
      <c r="U830" s="49"/>
      <c r="V830" s="49"/>
      <c r="W830" s="49"/>
      <c r="X830" s="49"/>
      <c r="Y830" s="49"/>
    </row>
    <row r="831" ht="15.75" customHeight="1">
      <c r="A831" s="38"/>
      <c r="B831" s="49"/>
      <c r="C831" s="15"/>
      <c r="D831" s="663"/>
      <c r="E831" s="664"/>
      <c r="F831" s="665"/>
      <c r="G831" s="539"/>
      <c r="H831" s="373"/>
      <c r="I831" s="665"/>
      <c r="J831" s="666"/>
      <c r="K831" s="665"/>
      <c r="L831" s="667"/>
      <c r="M831" s="668"/>
      <c r="N831" s="373"/>
      <c r="O831" s="373"/>
      <c r="P831" s="670"/>
      <c r="Q831" s="665"/>
      <c r="R831" s="665"/>
      <c r="S831" s="539"/>
      <c r="T831" s="665"/>
      <c r="U831" s="49"/>
      <c r="V831" s="49"/>
      <c r="W831" s="49"/>
      <c r="X831" s="49"/>
      <c r="Y831" s="49"/>
    </row>
    <row r="832" ht="15.75" customHeight="1">
      <c r="A832" s="38"/>
      <c r="B832" s="49"/>
      <c r="C832" s="15"/>
      <c r="D832" s="663"/>
      <c r="E832" s="664"/>
      <c r="F832" s="665"/>
      <c r="G832" s="539"/>
      <c r="H832" s="373"/>
      <c r="I832" s="665"/>
      <c r="J832" s="666"/>
      <c r="K832" s="665"/>
      <c r="L832" s="667"/>
      <c r="M832" s="668"/>
      <c r="N832" s="373"/>
      <c r="O832" s="373"/>
      <c r="P832" s="670"/>
      <c r="Q832" s="665"/>
      <c r="R832" s="665"/>
      <c r="S832" s="539"/>
      <c r="T832" s="665"/>
      <c r="U832" s="49"/>
      <c r="V832" s="49"/>
      <c r="W832" s="49"/>
      <c r="X832" s="49"/>
      <c r="Y832" s="49"/>
    </row>
    <row r="833" ht="15.75" customHeight="1">
      <c r="A833" s="38"/>
      <c r="B833" s="49"/>
      <c r="C833" s="15"/>
      <c r="D833" s="663"/>
      <c r="E833" s="664"/>
      <c r="F833" s="665"/>
      <c r="G833" s="539"/>
      <c r="H833" s="373"/>
      <c r="I833" s="665"/>
      <c r="J833" s="666"/>
      <c r="K833" s="665"/>
      <c r="L833" s="667"/>
      <c r="M833" s="668"/>
      <c r="N833" s="373"/>
      <c r="O833" s="373"/>
      <c r="P833" s="670"/>
      <c r="Q833" s="665"/>
      <c r="R833" s="665"/>
      <c r="S833" s="539"/>
      <c r="T833" s="665"/>
      <c r="U833" s="49"/>
      <c r="V833" s="49"/>
      <c r="W833" s="49"/>
      <c r="X833" s="49"/>
      <c r="Y833" s="49"/>
    </row>
    <row r="834" ht="15.75" customHeight="1">
      <c r="A834" s="38"/>
      <c r="B834" s="49"/>
      <c r="C834" s="15"/>
      <c r="D834" s="663"/>
      <c r="E834" s="664"/>
      <c r="F834" s="665"/>
      <c r="G834" s="539"/>
      <c r="H834" s="373"/>
      <c r="I834" s="665"/>
      <c r="J834" s="666"/>
      <c r="K834" s="665"/>
      <c r="L834" s="667"/>
      <c r="M834" s="668"/>
      <c r="N834" s="373"/>
      <c r="O834" s="373"/>
      <c r="P834" s="670"/>
      <c r="Q834" s="665"/>
      <c r="R834" s="665"/>
      <c r="S834" s="539"/>
      <c r="T834" s="665"/>
      <c r="U834" s="49"/>
      <c r="V834" s="49"/>
      <c r="W834" s="49"/>
      <c r="X834" s="49"/>
      <c r="Y834" s="49"/>
    </row>
    <row r="835" ht="15.75" customHeight="1">
      <c r="A835" s="38"/>
      <c r="B835" s="49"/>
      <c r="C835" s="15"/>
      <c r="D835" s="663"/>
      <c r="E835" s="664"/>
      <c r="F835" s="665"/>
      <c r="G835" s="539"/>
      <c r="H835" s="373"/>
      <c r="I835" s="665"/>
      <c r="J835" s="666"/>
      <c r="K835" s="665"/>
      <c r="L835" s="667"/>
      <c r="M835" s="668"/>
      <c r="N835" s="373"/>
      <c r="O835" s="373"/>
      <c r="P835" s="670"/>
      <c r="Q835" s="665"/>
      <c r="R835" s="665"/>
      <c r="S835" s="539"/>
      <c r="T835" s="665"/>
      <c r="U835" s="49"/>
      <c r="V835" s="49"/>
      <c r="W835" s="49"/>
      <c r="X835" s="49"/>
      <c r="Y835" s="49"/>
    </row>
    <row r="836" ht="15.75" customHeight="1">
      <c r="A836" s="38"/>
      <c r="B836" s="49"/>
      <c r="C836" s="15"/>
      <c r="D836" s="663"/>
      <c r="E836" s="664"/>
      <c r="F836" s="665"/>
      <c r="G836" s="539"/>
      <c r="H836" s="373"/>
      <c r="I836" s="665"/>
      <c r="J836" s="666"/>
      <c r="K836" s="665"/>
      <c r="L836" s="667"/>
      <c r="M836" s="668"/>
      <c r="N836" s="373"/>
      <c r="O836" s="373"/>
      <c r="P836" s="670"/>
      <c r="Q836" s="665"/>
      <c r="R836" s="665"/>
      <c r="S836" s="539"/>
      <c r="T836" s="665"/>
      <c r="U836" s="49"/>
      <c r="V836" s="49"/>
      <c r="W836" s="49"/>
      <c r="X836" s="49"/>
      <c r="Y836" s="49"/>
    </row>
    <row r="837" ht="15.75" customHeight="1">
      <c r="A837" s="38"/>
      <c r="B837" s="49"/>
      <c r="C837" s="15"/>
      <c r="D837" s="663"/>
      <c r="E837" s="664"/>
      <c r="F837" s="665"/>
      <c r="G837" s="539"/>
      <c r="H837" s="373"/>
      <c r="I837" s="665"/>
      <c r="J837" s="666"/>
      <c r="K837" s="665"/>
      <c r="L837" s="667"/>
      <c r="M837" s="668"/>
      <c r="N837" s="373"/>
      <c r="O837" s="373"/>
      <c r="P837" s="670"/>
      <c r="Q837" s="665"/>
      <c r="R837" s="665"/>
      <c r="S837" s="539"/>
      <c r="T837" s="665"/>
      <c r="U837" s="49"/>
      <c r="V837" s="49"/>
      <c r="W837" s="49"/>
      <c r="X837" s="49"/>
      <c r="Y837" s="49"/>
    </row>
    <row r="838" ht="15.75" customHeight="1">
      <c r="A838" s="38"/>
      <c r="B838" s="49"/>
      <c r="C838" s="15"/>
      <c r="D838" s="663"/>
      <c r="E838" s="664"/>
      <c r="F838" s="665"/>
      <c r="G838" s="539"/>
      <c r="H838" s="373"/>
      <c r="I838" s="665"/>
      <c r="J838" s="666"/>
      <c r="K838" s="665"/>
      <c r="L838" s="667"/>
      <c r="M838" s="668"/>
      <c r="N838" s="373"/>
      <c r="O838" s="373"/>
      <c r="P838" s="670"/>
      <c r="Q838" s="665"/>
      <c r="R838" s="665"/>
      <c r="S838" s="539"/>
      <c r="T838" s="665"/>
      <c r="U838" s="49"/>
      <c r="V838" s="49"/>
      <c r="W838" s="49"/>
      <c r="X838" s="49"/>
      <c r="Y838" s="49"/>
    </row>
    <row r="839" ht="15.75" customHeight="1">
      <c r="A839" s="38"/>
      <c r="B839" s="49"/>
      <c r="C839" s="15"/>
      <c r="D839" s="663"/>
      <c r="E839" s="664"/>
      <c r="F839" s="665"/>
      <c r="G839" s="539"/>
      <c r="H839" s="373"/>
      <c r="I839" s="665"/>
      <c r="J839" s="666"/>
      <c r="K839" s="665"/>
      <c r="L839" s="667"/>
      <c r="M839" s="668"/>
      <c r="N839" s="373"/>
      <c r="O839" s="373"/>
      <c r="P839" s="670"/>
      <c r="Q839" s="665"/>
      <c r="R839" s="665"/>
      <c r="S839" s="539"/>
      <c r="T839" s="665"/>
      <c r="U839" s="49"/>
      <c r="V839" s="49"/>
      <c r="W839" s="49"/>
      <c r="X839" s="49"/>
      <c r="Y839" s="49"/>
    </row>
    <row r="840" ht="15.75" customHeight="1">
      <c r="A840" s="38"/>
      <c r="B840" s="49"/>
      <c r="C840" s="15"/>
      <c r="D840" s="663"/>
      <c r="E840" s="664"/>
      <c r="F840" s="665"/>
      <c r="G840" s="539"/>
      <c r="H840" s="373"/>
      <c r="I840" s="665"/>
      <c r="J840" s="666"/>
      <c r="K840" s="665"/>
      <c r="L840" s="667"/>
      <c r="M840" s="668"/>
      <c r="N840" s="373"/>
      <c r="O840" s="373"/>
      <c r="P840" s="670"/>
      <c r="Q840" s="665"/>
      <c r="R840" s="665"/>
      <c r="S840" s="539"/>
      <c r="T840" s="665"/>
      <c r="U840" s="49"/>
      <c r="V840" s="49"/>
      <c r="W840" s="49"/>
      <c r="X840" s="49"/>
      <c r="Y840" s="49"/>
    </row>
    <row r="841" ht="15.75" customHeight="1">
      <c r="A841" s="38"/>
      <c r="B841" s="49"/>
      <c r="C841" s="15"/>
      <c r="D841" s="663"/>
      <c r="E841" s="664"/>
      <c r="F841" s="665"/>
      <c r="G841" s="539"/>
      <c r="H841" s="373"/>
      <c r="I841" s="665"/>
      <c r="J841" s="666"/>
      <c r="K841" s="665"/>
      <c r="L841" s="667"/>
      <c r="M841" s="668"/>
      <c r="N841" s="373"/>
      <c r="O841" s="373"/>
      <c r="P841" s="670"/>
      <c r="Q841" s="665"/>
      <c r="R841" s="665"/>
      <c r="S841" s="539"/>
      <c r="T841" s="665"/>
      <c r="U841" s="49"/>
      <c r="V841" s="49"/>
      <c r="W841" s="49"/>
      <c r="X841" s="49"/>
      <c r="Y841" s="49"/>
    </row>
    <row r="842" ht="15.75" customHeight="1">
      <c r="A842" s="38"/>
      <c r="B842" s="49"/>
      <c r="C842" s="15"/>
      <c r="D842" s="663"/>
      <c r="E842" s="664"/>
      <c r="F842" s="665"/>
      <c r="G842" s="539"/>
      <c r="H842" s="373"/>
      <c r="I842" s="665"/>
      <c r="J842" s="666"/>
      <c r="K842" s="665"/>
      <c r="L842" s="667"/>
      <c r="M842" s="668"/>
      <c r="N842" s="373"/>
      <c r="O842" s="373"/>
      <c r="P842" s="670"/>
      <c r="Q842" s="665"/>
      <c r="R842" s="665"/>
      <c r="S842" s="539"/>
      <c r="T842" s="665"/>
      <c r="U842" s="49"/>
      <c r="V842" s="49"/>
      <c r="W842" s="49"/>
      <c r="X842" s="49"/>
      <c r="Y842" s="49"/>
    </row>
    <row r="843" ht="15.75" customHeight="1">
      <c r="A843" s="38"/>
      <c r="B843" s="49"/>
      <c r="C843" s="15"/>
      <c r="D843" s="663"/>
      <c r="E843" s="664"/>
      <c r="F843" s="665"/>
      <c r="G843" s="539"/>
      <c r="H843" s="373"/>
      <c r="I843" s="665"/>
      <c r="J843" s="666"/>
      <c r="K843" s="665"/>
      <c r="L843" s="667"/>
      <c r="M843" s="668"/>
      <c r="N843" s="373"/>
      <c r="O843" s="373"/>
      <c r="P843" s="670"/>
      <c r="Q843" s="665"/>
      <c r="R843" s="665"/>
      <c r="S843" s="539"/>
      <c r="T843" s="665"/>
      <c r="U843" s="49"/>
      <c r="V843" s="49"/>
      <c r="W843" s="49"/>
      <c r="X843" s="49"/>
      <c r="Y843" s="49"/>
    </row>
    <row r="844" ht="15.75" customHeight="1">
      <c r="A844" s="38"/>
      <c r="B844" s="49"/>
      <c r="C844" s="15"/>
      <c r="D844" s="663"/>
      <c r="E844" s="664"/>
      <c r="F844" s="665"/>
      <c r="G844" s="539"/>
      <c r="H844" s="373"/>
      <c r="I844" s="665"/>
      <c r="J844" s="666"/>
      <c r="K844" s="665"/>
      <c r="L844" s="667"/>
      <c r="M844" s="668"/>
      <c r="N844" s="373"/>
      <c r="O844" s="373"/>
      <c r="P844" s="670"/>
      <c r="Q844" s="665"/>
      <c r="R844" s="665"/>
      <c r="S844" s="539"/>
      <c r="T844" s="665"/>
      <c r="U844" s="49"/>
      <c r="V844" s="49"/>
      <c r="W844" s="49"/>
      <c r="X844" s="49"/>
      <c r="Y844" s="49"/>
    </row>
    <row r="845" ht="15.75" customHeight="1">
      <c r="A845" s="38"/>
      <c r="B845" s="49"/>
      <c r="C845" s="15"/>
      <c r="D845" s="663"/>
      <c r="E845" s="664"/>
      <c r="F845" s="665"/>
      <c r="G845" s="539"/>
      <c r="H845" s="373"/>
      <c r="I845" s="665"/>
      <c r="J845" s="666"/>
      <c r="K845" s="665"/>
      <c r="L845" s="667"/>
      <c r="M845" s="668"/>
      <c r="N845" s="373"/>
      <c r="O845" s="373"/>
      <c r="P845" s="670"/>
      <c r="Q845" s="665"/>
      <c r="R845" s="665"/>
      <c r="S845" s="539"/>
      <c r="T845" s="665"/>
      <c r="U845" s="49"/>
      <c r="V845" s="49"/>
      <c r="W845" s="49"/>
      <c r="X845" s="49"/>
      <c r="Y845" s="49"/>
    </row>
    <row r="846" ht="15.75" customHeight="1">
      <c r="A846" s="38"/>
      <c r="B846" s="49"/>
      <c r="C846" s="15"/>
      <c r="D846" s="663"/>
      <c r="E846" s="664"/>
      <c r="F846" s="665"/>
      <c r="G846" s="539"/>
      <c r="H846" s="373"/>
      <c r="I846" s="665"/>
      <c r="J846" s="666"/>
      <c r="K846" s="665"/>
      <c r="L846" s="667"/>
      <c r="M846" s="668"/>
      <c r="N846" s="373"/>
      <c r="O846" s="373"/>
      <c r="P846" s="670"/>
      <c r="Q846" s="665"/>
      <c r="R846" s="665"/>
      <c r="S846" s="539"/>
      <c r="T846" s="665"/>
      <c r="U846" s="49"/>
      <c r="V846" s="49"/>
      <c r="W846" s="49"/>
      <c r="X846" s="49"/>
      <c r="Y846" s="49"/>
    </row>
    <row r="847" ht="15.75" customHeight="1">
      <c r="A847" s="38"/>
      <c r="B847" s="49"/>
      <c r="C847" s="15"/>
      <c r="D847" s="663"/>
      <c r="E847" s="664"/>
      <c r="F847" s="665"/>
      <c r="G847" s="539"/>
      <c r="H847" s="373"/>
      <c r="I847" s="665"/>
      <c r="J847" s="666"/>
      <c r="K847" s="665"/>
      <c r="L847" s="667"/>
      <c r="M847" s="668"/>
      <c r="N847" s="373"/>
      <c r="O847" s="373"/>
      <c r="P847" s="670"/>
      <c r="Q847" s="665"/>
      <c r="R847" s="665"/>
      <c r="S847" s="539"/>
      <c r="T847" s="665"/>
      <c r="U847" s="49"/>
      <c r="V847" s="49"/>
      <c r="W847" s="49"/>
      <c r="X847" s="49"/>
      <c r="Y847" s="49"/>
    </row>
    <row r="848" ht="15.75" customHeight="1">
      <c r="A848" s="38"/>
      <c r="B848" s="49"/>
      <c r="C848" s="15"/>
      <c r="D848" s="663"/>
      <c r="E848" s="664"/>
      <c r="F848" s="665"/>
      <c r="G848" s="539"/>
      <c r="H848" s="373"/>
      <c r="I848" s="665"/>
      <c r="J848" s="666"/>
      <c r="K848" s="665"/>
      <c r="L848" s="667"/>
      <c r="M848" s="668"/>
      <c r="N848" s="373"/>
      <c r="O848" s="373"/>
      <c r="P848" s="670"/>
      <c r="Q848" s="665"/>
      <c r="R848" s="665"/>
      <c r="S848" s="539"/>
      <c r="T848" s="665"/>
      <c r="U848" s="49"/>
      <c r="V848" s="49"/>
      <c r="W848" s="49"/>
      <c r="X848" s="49"/>
      <c r="Y848" s="49"/>
    </row>
    <row r="849" ht="15.75" customHeight="1">
      <c r="A849" s="38"/>
      <c r="B849" s="49"/>
      <c r="C849" s="15"/>
      <c r="D849" s="663"/>
      <c r="E849" s="664"/>
      <c r="F849" s="665"/>
      <c r="G849" s="539"/>
      <c r="H849" s="373"/>
      <c r="I849" s="665"/>
      <c r="J849" s="666"/>
      <c r="K849" s="665"/>
      <c r="L849" s="667"/>
      <c r="M849" s="668"/>
      <c r="N849" s="373"/>
      <c r="O849" s="373"/>
      <c r="P849" s="670"/>
      <c r="Q849" s="665"/>
      <c r="R849" s="665"/>
      <c r="S849" s="539"/>
      <c r="T849" s="665"/>
      <c r="U849" s="49"/>
      <c r="V849" s="49"/>
      <c r="W849" s="49"/>
      <c r="X849" s="49"/>
      <c r="Y849" s="49"/>
    </row>
    <row r="850" ht="15.75" customHeight="1">
      <c r="A850" s="38"/>
      <c r="B850" s="49"/>
      <c r="C850" s="15"/>
      <c r="D850" s="663"/>
      <c r="E850" s="664"/>
      <c r="F850" s="665"/>
      <c r="G850" s="539"/>
      <c r="H850" s="373"/>
      <c r="I850" s="665"/>
      <c r="J850" s="666"/>
      <c r="K850" s="665"/>
      <c r="L850" s="667"/>
      <c r="M850" s="668"/>
      <c r="N850" s="373"/>
      <c r="O850" s="373"/>
      <c r="P850" s="670"/>
      <c r="Q850" s="665"/>
      <c r="R850" s="665"/>
      <c r="S850" s="539"/>
      <c r="T850" s="665"/>
      <c r="U850" s="49"/>
      <c r="V850" s="49"/>
      <c r="W850" s="49"/>
      <c r="X850" s="49"/>
      <c r="Y850" s="49"/>
    </row>
    <row r="851" ht="15.75" customHeight="1">
      <c r="A851" s="38"/>
      <c r="B851" s="49"/>
      <c r="C851" s="15"/>
      <c r="D851" s="663"/>
      <c r="E851" s="664"/>
      <c r="F851" s="665"/>
      <c r="G851" s="539"/>
      <c r="H851" s="373"/>
      <c r="I851" s="665"/>
      <c r="J851" s="666"/>
      <c r="K851" s="665"/>
      <c r="L851" s="667"/>
      <c r="M851" s="668"/>
      <c r="N851" s="373"/>
      <c r="O851" s="373"/>
      <c r="P851" s="670"/>
      <c r="Q851" s="665"/>
      <c r="R851" s="665"/>
      <c r="S851" s="539"/>
      <c r="T851" s="665"/>
      <c r="U851" s="49"/>
      <c r="V851" s="49"/>
      <c r="W851" s="49"/>
      <c r="X851" s="49"/>
      <c r="Y851" s="49"/>
    </row>
    <row r="852" ht="15.75" customHeight="1">
      <c r="A852" s="38"/>
      <c r="B852" s="49"/>
      <c r="C852" s="15"/>
      <c r="D852" s="663"/>
      <c r="E852" s="664"/>
      <c r="F852" s="665"/>
      <c r="G852" s="539"/>
      <c r="H852" s="373"/>
      <c r="I852" s="665"/>
      <c r="J852" s="666"/>
      <c r="K852" s="665"/>
      <c r="L852" s="667"/>
      <c r="M852" s="668"/>
      <c r="N852" s="373"/>
      <c r="O852" s="373"/>
      <c r="P852" s="670"/>
      <c r="Q852" s="665"/>
      <c r="R852" s="665"/>
      <c r="S852" s="539"/>
      <c r="T852" s="665"/>
      <c r="U852" s="49"/>
      <c r="V852" s="49"/>
      <c r="W852" s="49"/>
      <c r="X852" s="49"/>
      <c r="Y852" s="49"/>
    </row>
    <row r="853" ht="15.75" customHeight="1">
      <c r="A853" s="38"/>
      <c r="B853" s="49"/>
      <c r="C853" s="15"/>
      <c r="D853" s="663"/>
      <c r="E853" s="664"/>
      <c r="F853" s="665"/>
      <c r="G853" s="539"/>
      <c r="H853" s="373"/>
      <c r="I853" s="665"/>
      <c r="J853" s="666"/>
      <c r="K853" s="665"/>
      <c r="L853" s="667"/>
      <c r="M853" s="668"/>
      <c r="N853" s="373"/>
      <c r="O853" s="373"/>
      <c r="P853" s="670"/>
      <c r="Q853" s="665"/>
      <c r="R853" s="665"/>
      <c r="S853" s="539"/>
      <c r="T853" s="665"/>
      <c r="U853" s="49"/>
      <c r="V853" s="49"/>
      <c r="W853" s="49"/>
      <c r="X853" s="49"/>
      <c r="Y853" s="49"/>
    </row>
    <row r="854" ht="15.75" customHeight="1">
      <c r="A854" s="38"/>
      <c r="B854" s="49"/>
      <c r="C854" s="15"/>
      <c r="D854" s="663"/>
      <c r="E854" s="664"/>
      <c r="F854" s="665"/>
      <c r="G854" s="539"/>
      <c r="H854" s="373"/>
      <c r="I854" s="665"/>
      <c r="J854" s="666"/>
      <c r="K854" s="665"/>
      <c r="L854" s="667"/>
      <c r="M854" s="668"/>
      <c r="N854" s="373"/>
      <c r="O854" s="373"/>
      <c r="P854" s="670"/>
      <c r="Q854" s="665"/>
      <c r="R854" s="665"/>
      <c r="S854" s="539"/>
      <c r="T854" s="665"/>
      <c r="U854" s="49"/>
      <c r="V854" s="49"/>
      <c r="W854" s="49"/>
      <c r="X854" s="49"/>
      <c r="Y854" s="49"/>
    </row>
    <row r="855" ht="15.75" customHeight="1">
      <c r="A855" s="38"/>
      <c r="B855" s="49"/>
      <c r="C855" s="15"/>
      <c r="D855" s="663"/>
      <c r="E855" s="664"/>
      <c r="F855" s="665"/>
      <c r="G855" s="539"/>
      <c r="H855" s="373"/>
      <c r="I855" s="665"/>
      <c r="J855" s="666"/>
      <c r="K855" s="665"/>
      <c r="L855" s="667"/>
      <c r="M855" s="668"/>
      <c r="N855" s="373"/>
      <c r="O855" s="373"/>
      <c r="P855" s="670"/>
      <c r="Q855" s="665"/>
      <c r="R855" s="665"/>
      <c r="S855" s="539"/>
      <c r="T855" s="665"/>
      <c r="U855" s="49"/>
      <c r="V855" s="49"/>
      <c r="W855" s="49"/>
      <c r="X855" s="49"/>
      <c r="Y855" s="49"/>
    </row>
    <row r="856" ht="15.75" customHeight="1">
      <c r="A856" s="38"/>
      <c r="B856" s="49"/>
      <c r="C856" s="15"/>
      <c r="D856" s="663"/>
      <c r="E856" s="664"/>
      <c r="F856" s="665"/>
      <c r="G856" s="539"/>
      <c r="H856" s="373"/>
      <c r="I856" s="665"/>
      <c r="J856" s="666"/>
      <c r="K856" s="665"/>
      <c r="L856" s="667"/>
      <c r="M856" s="668"/>
      <c r="N856" s="373"/>
      <c r="O856" s="373"/>
      <c r="P856" s="670"/>
      <c r="Q856" s="665"/>
      <c r="R856" s="665"/>
      <c r="S856" s="539"/>
      <c r="T856" s="665"/>
      <c r="U856" s="49"/>
      <c r="V856" s="49"/>
      <c r="W856" s="49"/>
      <c r="X856" s="49"/>
      <c r="Y856" s="49"/>
    </row>
    <row r="857" ht="15.75" customHeight="1">
      <c r="A857" s="38"/>
      <c r="B857" s="49"/>
      <c r="C857" s="15"/>
      <c r="D857" s="663"/>
      <c r="E857" s="664"/>
      <c r="F857" s="665"/>
      <c r="G857" s="539"/>
      <c r="H857" s="373"/>
      <c r="I857" s="665"/>
      <c r="J857" s="666"/>
      <c r="K857" s="665"/>
      <c r="L857" s="667"/>
      <c r="M857" s="668"/>
      <c r="N857" s="373"/>
      <c r="O857" s="373"/>
      <c r="P857" s="670"/>
      <c r="Q857" s="665"/>
      <c r="R857" s="665"/>
      <c r="S857" s="539"/>
      <c r="T857" s="665"/>
      <c r="U857" s="49"/>
      <c r="V857" s="49"/>
      <c r="W857" s="49"/>
      <c r="X857" s="49"/>
      <c r="Y857" s="49"/>
    </row>
    <row r="858" ht="15.75" customHeight="1">
      <c r="A858" s="38"/>
      <c r="B858" s="49"/>
      <c r="C858" s="15"/>
      <c r="D858" s="663"/>
      <c r="E858" s="664"/>
      <c r="F858" s="665"/>
      <c r="G858" s="539"/>
      <c r="H858" s="373"/>
      <c r="I858" s="665"/>
      <c r="J858" s="666"/>
      <c r="K858" s="665"/>
      <c r="L858" s="667"/>
      <c r="M858" s="668"/>
      <c r="N858" s="373"/>
      <c r="O858" s="373"/>
      <c r="P858" s="670"/>
      <c r="Q858" s="665"/>
      <c r="R858" s="665"/>
      <c r="S858" s="539"/>
      <c r="T858" s="665"/>
      <c r="U858" s="49"/>
      <c r="V858" s="49"/>
      <c r="W858" s="49"/>
      <c r="X858" s="49"/>
      <c r="Y858" s="49"/>
    </row>
    <row r="859" ht="15.75" customHeight="1">
      <c r="A859" s="38"/>
      <c r="B859" s="49"/>
      <c r="C859" s="15"/>
      <c r="D859" s="663"/>
      <c r="E859" s="664"/>
      <c r="F859" s="665"/>
      <c r="G859" s="539"/>
      <c r="H859" s="373"/>
      <c r="I859" s="665"/>
      <c r="J859" s="666"/>
      <c r="K859" s="665"/>
      <c r="L859" s="667"/>
      <c r="M859" s="668"/>
      <c r="N859" s="373"/>
      <c r="O859" s="373"/>
      <c r="P859" s="670"/>
      <c r="Q859" s="665"/>
      <c r="R859" s="665"/>
      <c r="S859" s="539"/>
      <c r="T859" s="665"/>
      <c r="U859" s="49"/>
      <c r="V859" s="49"/>
      <c r="W859" s="49"/>
      <c r="X859" s="49"/>
      <c r="Y859" s="49"/>
    </row>
    <row r="860" ht="15.75" customHeight="1">
      <c r="A860" s="38"/>
      <c r="B860" s="49"/>
      <c r="C860" s="15"/>
      <c r="D860" s="663"/>
      <c r="E860" s="664"/>
      <c r="F860" s="665"/>
      <c r="G860" s="539"/>
      <c r="H860" s="373"/>
      <c r="I860" s="665"/>
      <c r="J860" s="666"/>
      <c r="K860" s="665"/>
      <c r="L860" s="667"/>
      <c r="M860" s="668"/>
      <c r="N860" s="373"/>
      <c r="O860" s="373"/>
      <c r="P860" s="670"/>
      <c r="Q860" s="665"/>
      <c r="R860" s="665"/>
      <c r="S860" s="539"/>
      <c r="T860" s="665"/>
      <c r="U860" s="49"/>
      <c r="V860" s="49"/>
      <c r="W860" s="49"/>
      <c r="X860" s="49"/>
      <c r="Y860" s="49"/>
    </row>
    <row r="861" ht="15.75" customHeight="1">
      <c r="A861" s="38"/>
      <c r="B861" s="49"/>
      <c r="C861" s="15"/>
      <c r="D861" s="663"/>
      <c r="E861" s="664"/>
      <c r="F861" s="665"/>
      <c r="G861" s="539"/>
      <c r="H861" s="373"/>
      <c r="I861" s="665"/>
      <c r="J861" s="666"/>
      <c r="K861" s="665"/>
      <c r="L861" s="667"/>
      <c r="M861" s="668"/>
      <c r="N861" s="373"/>
      <c r="O861" s="373"/>
      <c r="P861" s="670"/>
      <c r="Q861" s="665"/>
      <c r="R861" s="665"/>
      <c r="S861" s="539"/>
      <c r="T861" s="665"/>
      <c r="U861" s="49"/>
      <c r="V861" s="49"/>
      <c r="W861" s="49"/>
      <c r="X861" s="49"/>
      <c r="Y861" s="49"/>
    </row>
    <row r="862" ht="15.75" customHeight="1">
      <c r="A862" s="38"/>
      <c r="B862" s="49"/>
      <c r="C862" s="15"/>
      <c r="D862" s="663"/>
      <c r="E862" s="664"/>
      <c r="F862" s="665"/>
      <c r="G862" s="539"/>
      <c r="H862" s="373"/>
      <c r="I862" s="665"/>
      <c r="J862" s="666"/>
      <c r="K862" s="665"/>
      <c r="L862" s="667"/>
      <c r="M862" s="668"/>
      <c r="N862" s="373"/>
      <c r="O862" s="373"/>
      <c r="P862" s="670"/>
      <c r="Q862" s="665"/>
      <c r="R862" s="665"/>
      <c r="S862" s="539"/>
      <c r="T862" s="665"/>
      <c r="U862" s="49"/>
      <c r="V862" s="49"/>
      <c r="W862" s="49"/>
      <c r="X862" s="49"/>
      <c r="Y862" s="49"/>
    </row>
    <row r="863" ht="15.75" customHeight="1">
      <c r="A863" s="38"/>
      <c r="B863" s="49"/>
      <c r="C863" s="15"/>
      <c r="D863" s="663"/>
      <c r="E863" s="664"/>
      <c r="F863" s="665"/>
      <c r="G863" s="539"/>
      <c r="H863" s="373"/>
      <c r="I863" s="665"/>
      <c r="J863" s="666"/>
      <c r="K863" s="665"/>
      <c r="L863" s="667"/>
      <c r="M863" s="668"/>
      <c r="N863" s="373"/>
      <c r="O863" s="373"/>
      <c r="P863" s="670"/>
      <c r="Q863" s="665"/>
      <c r="R863" s="665"/>
      <c r="S863" s="539"/>
      <c r="T863" s="665"/>
      <c r="U863" s="49"/>
      <c r="V863" s="49"/>
      <c r="W863" s="49"/>
      <c r="X863" s="49"/>
      <c r="Y863" s="49"/>
    </row>
    <row r="864" ht="15.75" customHeight="1">
      <c r="A864" s="38"/>
      <c r="B864" s="49"/>
      <c r="C864" s="15"/>
      <c r="D864" s="663"/>
      <c r="E864" s="664"/>
      <c r="F864" s="665"/>
      <c r="G864" s="539"/>
      <c r="H864" s="373"/>
      <c r="I864" s="665"/>
      <c r="J864" s="666"/>
      <c r="K864" s="665"/>
      <c r="L864" s="667"/>
      <c r="M864" s="668"/>
      <c r="N864" s="373"/>
      <c r="O864" s="373"/>
      <c r="P864" s="670"/>
      <c r="Q864" s="665"/>
      <c r="R864" s="665"/>
      <c r="S864" s="539"/>
      <c r="T864" s="665"/>
      <c r="U864" s="49"/>
      <c r="V864" s="49"/>
      <c r="W864" s="49"/>
      <c r="X864" s="49"/>
      <c r="Y864" s="49"/>
    </row>
    <row r="865" ht="15.75" customHeight="1">
      <c r="A865" s="38"/>
      <c r="B865" s="49"/>
      <c r="C865" s="15"/>
      <c r="D865" s="663"/>
      <c r="E865" s="664"/>
      <c r="F865" s="665"/>
      <c r="G865" s="539"/>
      <c r="H865" s="373"/>
      <c r="I865" s="665"/>
      <c r="J865" s="666"/>
      <c r="K865" s="665"/>
      <c r="L865" s="667"/>
      <c r="M865" s="668"/>
      <c r="N865" s="373"/>
      <c r="O865" s="373"/>
      <c r="P865" s="670"/>
      <c r="Q865" s="665"/>
      <c r="R865" s="665"/>
      <c r="S865" s="539"/>
      <c r="T865" s="665"/>
      <c r="U865" s="49"/>
      <c r="V865" s="49"/>
      <c r="W865" s="49"/>
      <c r="X865" s="49"/>
      <c r="Y865" s="49"/>
    </row>
    <row r="866" ht="15.75" customHeight="1">
      <c r="A866" s="38"/>
      <c r="B866" s="49"/>
      <c r="C866" s="15"/>
      <c r="D866" s="663"/>
      <c r="E866" s="664"/>
      <c r="F866" s="665"/>
      <c r="G866" s="539"/>
      <c r="H866" s="373"/>
      <c r="I866" s="665"/>
      <c r="J866" s="666"/>
      <c r="K866" s="665"/>
      <c r="L866" s="667"/>
      <c r="M866" s="668"/>
      <c r="N866" s="373"/>
      <c r="O866" s="373"/>
      <c r="P866" s="670"/>
      <c r="Q866" s="665"/>
      <c r="R866" s="665"/>
      <c r="S866" s="539"/>
      <c r="T866" s="665"/>
      <c r="U866" s="49"/>
      <c r="V866" s="49"/>
      <c r="W866" s="49"/>
      <c r="X866" s="49"/>
      <c r="Y866" s="49"/>
    </row>
    <row r="867" ht="15.75" customHeight="1">
      <c r="A867" s="38"/>
      <c r="B867" s="49"/>
      <c r="C867" s="15"/>
      <c r="D867" s="663"/>
      <c r="E867" s="664"/>
      <c r="F867" s="665"/>
      <c r="G867" s="539"/>
      <c r="H867" s="373"/>
      <c r="I867" s="665"/>
      <c r="J867" s="666"/>
      <c r="K867" s="665"/>
      <c r="L867" s="667"/>
      <c r="M867" s="668"/>
      <c r="N867" s="373"/>
      <c r="O867" s="373"/>
      <c r="P867" s="670"/>
      <c r="Q867" s="665"/>
      <c r="R867" s="665"/>
      <c r="S867" s="539"/>
      <c r="T867" s="665"/>
      <c r="U867" s="49"/>
      <c r="V867" s="49"/>
      <c r="W867" s="49"/>
      <c r="X867" s="49"/>
      <c r="Y867" s="49"/>
    </row>
    <row r="868" ht="15.75" customHeight="1">
      <c r="A868" s="38"/>
      <c r="B868" s="49"/>
      <c r="C868" s="15"/>
      <c r="D868" s="663"/>
      <c r="E868" s="664"/>
      <c r="F868" s="665"/>
      <c r="G868" s="539"/>
      <c r="H868" s="373"/>
      <c r="I868" s="665"/>
      <c r="J868" s="666"/>
      <c r="K868" s="665"/>
      <c r="L868" s="667"/>
      <c r="M868" s="668"/>
      <c r="N868" s="373"/>
      <c r="O868" s="373"/>
      <c r="P868" s="670"/>
      <c r="Q868" s="665"/>
      <c r="R868" s="665"/>
      <c r="S868" s="539"/>
      <c r="T868" s="665"/>
      <c r="U868" s="49"/>
      <c r="V868" s="49"/>
      <c r="W868" s="49"/>
      <c r="X868" s="49"/>
      <c r="Y868" s="49"/>
    </row>
    <row r="869" ht="15.75" customHeight="1">
      <c r="A869" s="38"/>
      <c r="B869" s="49"/>
      <c r="C869" s="15"/>
      <c r="D869" s="663"/>
      <c r="E869" s="664"/>
      <c r="F869" s="665"/>
      <c r="G869" s="539"/>
      <c r="H869" s="373"/>
      <c r="I869" s="665"/>
      <c r="J869" s="666"/>
      <c r="K869" s="665"/>
      <c r="L869" s="667"/>
      <c r="M869" s="668"/>
      <c r="N869" s="373"/>
      <c r="O869" s="373"/>
      <c r="P869" s="670"/>
      <c r="Q869" s="665"/>
      <c r="R869" s="665"/>
      <c r="S869" s="539"/>
      <c r="T869" s="665"/>
      <c r="U869" s="49"/>
      <c r="V869" s="49"/>
      <c r="W869" s="49"/>
      <c r="X869" s="49"/>
      <c r="Y869" s="49"/>
    </row>
    <row r="870" ht="15.75" customHeight="1">
      <c r="A870" s="38"/>
      <c r="B870" s="49"/>
      <c r="C870" s="15"/>
      <c r="D870" s="663"/>
      <c r="E870" s="664"/>
      <c r="F870" s="665"/>
      <c r="G870" s="539"/>
      <c r="H870" s="373"/>
      <c r="I870" s="665"/>
      <c r="J870" s="666"/>
      <c r="K870" s="665"/>
      <c r="L870" s="667"/>
      <c r="M870" s="668"/>
      <c r="N870" s="373"/>
      <c r="O870" s="373"/>
      <c r="P870" s="670"/>
      <c r="Q870" s="665"/>
      <c r="R870" s="665"/>
      <c r="S870" s="539"/>
      <c r="T870" s="665"/>
      <c r="U870" s="49"/>
      <c r="V870" s="49"/>
      <c r="W870" s="49"/>
      <c r="X870" s="49"/>
      <c r="Y870" s="49"/>
    </row>
    <row r="871" ht="15.75" customHeight="1">
      <c r="A871" s="38"/>
      <c r="B871" s="49"/>
      <c r="C871" s="15"/>
      <c r="D871" s="663"/>
      <c r="E871" s="664"/>
      <c r="F871" s="665"/>
      <c r="G871" s="539"/>
      <c r="H871" s="373"/>
      <c r="I871" s="665"/>
      <c r="J871" s="666"/>
      <c r="K871" s="665"/>
      <c r="L871" s="667"/>
      <c r="M871" s="668"/>
      <c r="N871" s="373"/>
      <c r="O871" s="373"/>
      <c r="P871" s="670"/>
      <c r="Q871" s="665"/>
      <c r="R871" s="665"/>
      <c r="S871" s="539"/>
      <c r="T871" s="665"/>
      <c r="U871" s="49"/>
      <c r="V871" s="49"/>
      <c r="W871" s="49"/>
      <c r="X871" s="49"/>
      <c r="Y871" s="49"/>
    </row>
    <row r="872" ht="15.75" customHeight="1">
      <c r="A872" s="38"/>
      <c r="B872" s="49"/>
      <c r="C872" s="15"/>
      <c r="D872" s="663"/>
      <c r="E872" s="664"/>
      <c r="F872" s="665"/>
      <c r="G872" s="539"/>
      <c r="H872" s="373"/>
      <c r="I872" s="665"/>
      <c r="J872" s="666"/>
      <c r="K872" s="665"/>
      <c r="L872" s="667"/>
      <c r="M872" s="668"/>
      <c r="N872" s="373"/>
      <c r="O872" s="373"/>
      <c r="P872" s="670"/>
      <c r="Q872" s="665"/>
      <c r="R872" s="665"/>
      <c r="S872" s="539"/>
      <c r="T872" s="665"/>
      <c r="U872" s="49"/>
      <c r="V872" s="49"/>
      <c r="W872" s="49"/>
      <c r="X872" s="49"/>
      <c r="Y872" s="49"/>
    </row>
    <row r="873" ht="15.75" customHeight="1">
      <c r="A873" s="38"/>
      <c r="B873" s="49"/>
      <c r="C873" s="15"/>
      <c r="D873" s="663"/>
      <c r="E873" s="664"/>
      <c r="F873" s="665"/>
      <c r="G873" s="539"/>
      <c r="H873" s="373"/>
      <c r="I873" s="665"/>
      <c r="J873" s="666"/>
      <c r="K873" s="665"/>
      <c r="L873" s="667"/>
      <c r="M873" s="668"/>
      <c r="N873" s="373"/>
      <c r="O873" s="373"/>
      <c r="P873" s="670"/>
      <c r="Q873" s="665"/>
      <c r="R873" s="665"/>
      <c r="S873" s="539"/>
      <c r="T873" s="665"/>
      <c r="U873" s="49"/>
      <c r="V873" s="49"/>
      <c r="W873" s="49"/>
      <c r="X873" s="49"/>
      <c r="Y873" s="49"/>
    </row>
    <row r="874" ht="15.75" customHeight="1">
      <c r="A874" s="38"/>
      <c r="B874" s="49"/>
      <c r="C874" s="15"/>
      <c r="D874" s="663"/>
      <c r="E874" s="664"/>
      <c r="F874" s="665"/>
      <c r="G874" s="539"/>
      <c r="H874" s="373"/>
      <c r="I874" s="665"/>
      <c r="J874" s="666"/>
      <c r="K874" s="665"/>
      <c r="L874" s="667"/>
      <c r="M874" s="668"/>
      <c r="N874" s="373"/>
      <c r="O874" s="373"/>
      <c r="P874" s="670"/>
      <c r="Q874" s="665"/>
      <c r="R874" s="665"/>
      <c r="S874" s="539"/>
      <c r="T874" s="665"/>
      <c r="U874" s="49"/>
      <c r="V874" s="49"/>
      <c r="W874" s="49"/>
      <c r="X874" s="49"/>
      <c r="Y874" s="49"/>
    </row>
    <row r="875" ht="15.75" customHeight="1">
      <c r="A875" s="38"/>
      <c r="B875" s="49"/>
      <c r="C875" s="15"/>
      <c r="D875" s="663"/>
      <c r="E875" s="664"/>
      <c r="F875" s="665"/>
      <c r="G875" s="539"/>
      <c r="H875" s="373"/>
      <c r="I875" s="665"/>
      <c r="J875" s="666"/>
      <c r="K875" s="665"/>
      <c r="L875" s="667"/>
      <c r="M875" s="668"/>
      <c r="N875" s="373"/>
      <c r="O875" s="373"/>
      <c r="P875" s="670"/>
      <c r="Q875" s="665"/>
      <c r="R875" s="665"/>
      <c r="S875" s="539"/>
      <c r="T875" s="665"/>
      <c r="U875" s="49"/>
      <c r="V875" s="49"/>
      <c r="W875" s="49"/>
      <c r="X875" s="49"/>
      <c r="Y875" s="49"/>
    </row>
    <row r="876" ht="15.75" customHeight="1">
      <c r="A876" s="38"/>
      <c r="B876" s="49"/>
      <c r="C876" s="15"/>
      <c r="D876" s="663"/>
      <c r="E876" s="664"/>
      <c r="F876" s="665"/>
      <c r="G876" s="539"/>
      <c r="H876" s="373"/>
      <c r="I876" s="665"/>
      <c r="J876" s="666"/>
      <c r="K876" s="665"/>
      <c r="L876" s="667"/>
      <c r="M876" s="668"/>
      <c r="N876" s="373"/>
      <c r="O876" s="373"/>
      <c r="P876" s="670"/>
      <c r="Q876" s="665"/>
      <c r="R876" s="665"/>
      <c r="S876" s="539"/>
      <c r="T876" s="665"/>
      <c r="U876" s="49"/>
      <c r="V876" s="49"/>
      <c r="W876" s="49"/>
      <c r="X876" s="49"/>
      <c r="Y876" s="49"/>
    </row>
    <row r="877" ht="15.75" customHeight="1">
      <c r="A877" s="38"/>
      <c r="B877" s="49"/>
      <c r="C877" s="15"/>
      <c r="D877" s="663"/>
      <c r="E877" s="664"/>
      <c r="F877" s="665"/>
      <c r="G877" s="539"/>
      <c r="H877" s="373"/>
      <c r="I877" s="665"/>
      <c r="J877" s="666"/>
      <c r="K877" s="665"/>
      <c r="L877" s="667"/>
      <c r="M877" s="668"/>
      <c r="N877" s="373"/>
      <c r="O877" s="373"/>
      <c r="P877" s="670"/>
      <c r="Q877" s="665"/>
      <c r="R877" s="665"/>
      <c r="S877" s="539"/>
      <c r="T877" s="665"/>
      <c r="U877" s="49"/>
      <c r="V877" s="49"/>
      <c r="W877" s="49"/>
      <c r="X877" s="49"/>
      <c r="Y877" s="49"/>
    </row>
    <row r="878" ht="15.75" customHeight="1">
      <c r="A878" s="38"/>
      <c r="B878" s="49"/>
      <c r="C878" s="15"/>
      <c r="D878" s="663"/>
      <c r="E878" s="664"/>
      <c r="F878" s="665"/>
      <c r="G878" s="539"/>
      <c r="H878" s="373"/>
      <c r="I878" s="665"/>
      <c r="J878" s="666"/>
      <c r="K878" s="665"/>
      <c r="L878" s="667"/>
      <c r="M878" s="668"/>
      <c r="N878" s="373"/>
      <c r="O878" s="373"/>
      <c r="P878" s="670"/>
      <c r="Q878" s="665"/>
      <c r="R878" s="665"/>
      <c r="S878" s="539"/>
      <c r="T878" s="665"/>
      <c r="U878" s="49"/>
      <c r="V878" s="49"/>
      <c r="W878" s="49"/>
      <c r="X878" s="49"/>
      <c r="Y878" s="49"/>
    </row>
    <row r="879" ht="15.75" customHeight="1">
      <c r="A879" s="38"/>
      <c r="B879" s="49"/>
      <c r="C879" s="15"/>
      <c r="D879" s="663"/>
      <c r="E879" s="664"/>
      <c r="F879" s="665"/>
      <c r="G879" s="539"/>
      <c r="H879" s="373"/>
      <c r="I879" s="665"/>
      <c r="J879" s="666"/>
      <c r="K879" s="665"/>
      <c r="L879" s="667"/>
      <c r="M879" s="668"/>
      <c r="N879" s="373"/>
      <c r="O879" s="373"/>
      <c r="P879" s="670"/>
      <c r="Q879" s="665"/>
      <c r="R879" s="665"/>
      <c r="S879" s="539"/>
      <c r="T879" s="665"/>
      <c r="U879" s="49"/>
      <c r="V879" s="49"/>
      <c r="W879" s="49"/>
      <c r="X879" s="49"/>
      <c r="Y879" s="49"/>
    </row>
    <row r="880" ht="15.75" customHeight="1">
      <c r="A880" s="38"/>
      <c r="B880" s="49"/>
      <c r="C880" s="15"/>
      <c r="D880" s="663"/>
      <c r="E880" s="664"/>
      <c r="F880" s="665"/>
      <c r="G880" s="539"/>
      <c r="H880" s="373"/>
      <c r="I880" s="665"/>
      <c r="J880" s="666"/>
      <c r="K880" s="665"/>
      <c r="L880" s="667"/>
      <c r="M880" s="668"/>
      <c r="N880" s="373"/>
      <c r="O880" s="373"/>
      <c r="P880" s="670"/>
      <c r="Q880" s="665"/>
      <c r="R880" s="665"/>
      <c r="S880" s="539"/>
      <c r="T880" s="665"/>
      <c r="U880" s="49"/>
      <c r="V880" s="49"/>
      <c r="W880" s="49"/>
      <c r="X880" s="49"/>
      <c r="Y880" s="49"/>
    </row>
    <row r="881" ht="15.75" customHeight="1">
      <c r="A881" s="38"/>
      <c r="B881" s="49"/>
      <c r="C881" s="15"/>
      <c r="D881" s="663"/>
      <c r="E881" s="664"/>
      <c r="F881" s="665"/>
      <c r="G881" s="539"/>
      <c r="H881" s="373"/>
      <c r="I881" s="665"/>
      <c r="J881" s="666"/>
      <c r="K881" s="665"/>
      <c r="L881" s="667"/>
      <c r="M881" s="668"/>
      <c r="N881" s="373"/>
      <c r="O881" s="373"/>
      <c r="P881" s="670"/>
      <c r="Q881" s="665"/>
      <c r="R881" s="665"/>
      <c r="S881" s="539"/>
      <c r="T881" s="665"/>
      <c r="U881" s="49"/>
      <c r="V881" s="49"/>
      <c r="W881" s="49"/>
      <c r="X881" s="49"/>
      <c r="Y881" s="49"/>
    </row>
    <row r="882" ht="15.75" customHeight="1">
      <c r="A882" s="38"/>
      <c r="B882" s="49"/>
      <c r="C882" s="15"/>
      <c r="D882" s="663"/>
      <c r="E882" s="664"/>
      <c r="F882" s="665"/>
      <c r="G882" s="539"/>
      <c r="H882" s="373"/>
      <c r="I882" s="665"/>
      <c r="J882" s="666"/>
      <c r="K882" s="665"/>
      <c r="L882" s="667"/>
      <c r="M882" s="668"/>
      <c r="N882" s="373"/>
      <c r="O882" s="373"/>
      <c r="P882" s="670"/>
      <c r="Q882" s="665"/>
      <c r="R882" s="665"/>
      <c r="S882" s="539"/>
      <c r="T882" s="665"/>
      <c r="U882" s="49"/>
      <c r="V882" s="49"/>
      <c r="W882" s="49"/>
      <c r="X882" s="49"/>
      <c r="Y882" s="49"/>
    </row>
    <row r="883" ht="15.75" customHeight="1">
      <c r="A883" s="38"/>
      <c r="B883" s="49"/>
      <c r="C883" s="15"/>
      <c r="D883" s="663"/>
      <c r="E883" s="664"/>
      <c r="F883" s="665"/>
      <c r="G883" s="539"/>
      <c r="H883" s="373"/>
      <c r="I883" s="665"/>
      <c r="J883" s="666"/>
      <c r="K883" s="665"/>
      <c r="L883" s="667"/>
      <c r="M883" s="668"/>
      <c r="N883" s="373"/>
      <c r="O883" s="373"/>
      <c r="P883" s="670"/>
      <c r="Q883" s="665"/>
      <c r="R883" s="665"/>
      <c r="S883" s="539"/>
      <c r="T883" s="665"/>
      <c r="U883" s="49"/>
      <c r="V883" s="49"/>
      <c r="W883" s="49"/>
      <c r="X883" s="49"/>
      <c r="Y883" s="49"/>
    </row>
    <row r="884" ht="15.75" customHeight="1">
      <c r="A884" s="38"/>
      <c r="B884" s="49"/>
      <c r="C884" s="15"/>
      <c r="D884" s="663"/>
      <c r="E884" s="664"/>
      <c r="F884" s="665"/>
      <c r="G884" s="539"/>
      <c r="H884" s="373"/>
      <c r="I884" s="665"/>
      <c r="J884" s="666"/>
      <c r="K884" s="665"/>
      <c r="L884" s="667"/>
      <c r="M884" s="668"/>
      <c r="N884" s="373"/>
      <c r="O884" s="373"/>
      <c r="P884" s="670"/>
      <c r="Q884" s="665"/>
      <c r="R884" s="665"/>
      <c r="S884" s="539"/>
      <c r="T884" s="665"/>
      <c r="U884" s="49"/>
      <c r="V884" s="49"/>
      <c r="W884" s="49"/>
      <c r="X884" s="49"/>
      <c r="Y884" s="49"/>
    </row>
    <row r="885" ht="15.75" customHeight="1">
      <c r="A885" s="38"/>
      <c r="B885" s="49"/>
      <c r="C885" s="15"/>
      <c r="D885" s="663"/>
      <c r="E885" s="664"/>
      <c r="F885" s="665"/>
      <c r="G885" s="539"/>
      <c r="H885" s="373"/>
      <c r="I885" s="665"/>
      <c r="J885" s="666"/>
      <c r="K885" s="665"/>
      <c r="L885" s="667"/>
      <c r="M885" s="668"/>
      <c r="N885" s="373"/>
      <c r="O885" s="373"/>
      <c r="P885" s="670"/>
      <c r="Q885" s="665"/>
      <c r="R885" s="665"/>
      <c r="S885" s="539"/>
      <c r="T885" s="665"/>
      <c r="U885" s="49"/>
      <c r="V885" s="49"/>
      <c r="W885" s="49"/>
      <c r="X885" s="49"/>
      <c r="Y885" s="49"/>
    </row>
    <row r="886" ht="15.75" customHeight="1">
      <c r="A886" s="38"/>
      <c r="B886" s="49"/>
      <c r="C886" s="15"/>
      <c r="D886" s="663"/>
      <c r="E886" s="664"/>
      <c r="F886" s="665"/>
      <c r="G886" s="539"/>
      <c r="H886" s="373"/>
      <c r="I886" s="665"/>
      <c r="J886" s="666"/>
      <c r="K886" s="665"/>
      <c r="L886" s="667"/>
      <c r="M886" s="668"/>
      <c r="N886" s="373"/>
      <c r="O886" s="373"/>
      <c r="P886" s="670"/>
      <c r="Q886" s="665"/>
      <c r="R886" s="665"/>
      <c r="S886" s="539"/>
      <c r="T886" s="665"/>
      <c r="U886" s="49"/>
      <c r="V886" s="49"/>
      <c r="W886" s="49"/>
      <c r="X886" s="49"/>
      <c r="Y886" s="49"/>
    </row>
    <row r="887" ht="15.75" customHeight="1">
      <c r="A887" s="38"/>
      <c r="B887" s="49"/>
      <c r="C887" s="15"/>
      <c r="D887" s="663"/>
      <c r="E887" s="664"/>
      <c r="F887" s="665"/>
      <c r="G887" s="539"/>
      <c r="H887" s="373"/>
      <c r="I887" s="665"/>
      <c r="J887" s="666"/>
      <c r="K887" s="665"/>
      <c r="L887" s="667"/>
      <c r="M887" s="668"/>
      <c r="N887" s="373"/>
      <c r="O887" s="373"/>
      <c r="P887" s="670"/>
      <c r="Q887" s="665"/>
      <c r="R887" s="665"/>
      <c r="S887" s="539"/>
      <c r="T887" s="665"/>
      <c r="U887" s="49"/>
      <c r="V887" s="49"/>
      <c r="W887" s="49"/>
      <c r="X887" s="49"/>
      <c r="Y887" s="49"/>
    </row>
    <row r="888" ht="15.75" customHeight="1">
      <c r="A888" s="38"/>
      <c r="B888" s="49"/>
      <c r="C888" s="15"/>
      <c r="D888" s="663"/>
      <c r="E888" s="664"/>
      <c r="F888" s="665"/>
      <c r="G888" s="539"/>
      <c r="H888" s="373"/>
      <c r="I888" s="665"/>
      <c r="J888" s="666"/>
      <c r="K888" s="665"/>
      <c r="L888" s="667"/>
      <c r="M888" s="668"/>
      <c r="N888" s="373"/>
      <c r="O888" s="373"/>
      <c r="P888" s="670"/>
      <c r="Q888" s="665"/>
      <c r="R888" s="665"/>
      <c r="S888" s="539"/>
      <c r="T888" s="665"/>
      <c r="U888" s="49"/>
      <c r="V888" s="49"/>
      <c r="W888" s="49"/>
      <c r="X888" s="49"/>
      <c r="Y888" s="49"/>
    </row>
    <row r="889" ht="15.75" customHeight="1">
      <c r="A889" s="38"/>
      <c r="B889" s="49"/>
      <c r="C889" s="15"/>
      <c r="D889" s="663"/>
      <c r="E889" s="664"/>
      <c r="F889" s="665"/>
      <c r="G889" s="539"/>
      <c r="H889" s="373"/>
      <c r="I889" s="665"/>
      <c r="J889" s="666"/>
      <c r="K889" s="665"/>
      <c r="L889" s="667"/>
      <c r="M889" s="668"/>
      <c r="N889" s="373"/>
      <c r="O889" s="373"/>
      <c r="P889" s="670"/>
      <c r="Q889" s="665"/>
      <c r="R889" s="665"/>
      <c r="S889" s="539"/>
      <c r="T889" s="665"/>
      <c r="U889" s="49"/>
      <c r="V889" s="49"/>
      <c r="W889" s="49"/>
      <c r="X889" s="49"/>
      <c r="Y889" s="49"/>
    </row>
    <row r="890" ht="15.75" customHeight="1">
      <c r="A890" s="38"/>
      <c r="B890" s="49"/>
      <c r="C890" s="15"/>
      <c r="D890" s="663"/>
      <c r="E890" s="664"/>
      <c r="F890" s="665"/>
      <c r="G890" s="539"/>
      <c r="H890" s="373"/>
      <c r="I890" s="665"/>
      <c r="J890" s="666"/>
      <c r="K890" s="665"/>
      <c r="L890" s="667"/>
      <c r="M890" s="668"/>
      <c r="N890" s="373"/>
      <c r="O890" s="373"/>
      <c r="P890" s="670"/>
      <c r="Q890" s="665"/>
      <c r="R890" s="665"/>
      <c r="S890" s="539"/>
      <c r="T890" s="665"/>
      <c r="U890" s="49"/>
      <c r="V890" s="49"/>
      <c r="W890" s="49"/>
      <c r="X890" s="49"/>
      <c r="Y890" s="49"/>
    </row>
    <row r="891" ht="15.75" customHeight="1">
      <c r="A891" s="38"/>
      <c r="B891" s="49"/>
      <c r="C891" s="15"/>
      <c r="D891" s="663"/>
      <c r="E891" s="664"/>
      <c r="F891" s="665"/>
      <c r="G891" s="539"/>
      <c r="H891" s="373"/>
      <c r="I891" s="665"/>
      <c r="J891" s="666"/>
      <c r="K891" s="665"/>
      <c r="L891" s="667"/>
      <c r="M891" s="668"/>
      <c r="N891" s="373"/>
      <c r="O891" s="373"/>
      <c r="P891" s="670"/>
      <c r="Q891" s="665"/>
      <c r="R891" s="665"/>
      <c r="S891" s="539"/>
      <c r="T891" s="665"/>
      <c r="U891" s="49"/>
      <c r="V891" s="49"/>
      <c r="W891" s="49"/>
      <c r="X891" s="49"/>
      <c r="Y891" s="49"/>
    </row>
    <row r="892" ht="15.75" customHeight="1">
      <c r="A892" s="38"/>
      <c r="B892" s="49"/>
      <c r="C892" s="15"/>
      <c r="D892" s="663"/>
      <c r="E892" s="664"/>
      <c r="F892" s="665"/>
      <c r="G892" s="539"/>
      <c r="H892" s="373"/>
      <c r="I892" s="665"/>
      <c r="J892" s="666"/>
      <c r="K892" s="665"/>
      <c r="L892" s="667"/>
      <c r="M892" s="668"/>
      <c r="N892" s="373"/>
      <c r="O892" s="373"/>
      <c r="P892" s="670"/>
      <c r="Q892" s="665"/>
      <c r="R892" s="665"/>
      <c r="S892" s="539"/>
      <c r="T892" s="665"/>
      <c r="U892" s="49"/>
      <c r="V892" s="49"/>
      <c r="W892" s="49"/>
      <c r="X892" s="49"/>
      <c r="Y892" s="49"/>
    </row>
    <row r="893" ht="15.75" customHeight="1">
      <c r="A893" s="38"/>
      <c r="B893" s="49"/>
      <c r="C893" s="15"/>
      <c r="D893" s="663"/>
      <c r="E893" s="664"/>
      <c r="F893" s="665"/>
      <c r="G893" s="539"/>
      <c r="H893" s="373"/>
      <c r="I893" s="665"/>
      <c r="J893" s="666"/>
      <c r="K893" s="665"/>
      <c r="L893" s="667"/>
      <c r="M893" s="668"/>
      <c r="N893" s="373"/>
      <c r="O893" s="373"/>
      <c r="P893" s="670"/>
      <c r="Q893" s="665"/>
      <c r="R893" s="665"/>
      <c r="S893" s="539"/>
      <c r="T893" s="665"/>
      <c r="U893" s="49"/>
      <c r="V893" s="49"/>
      <c r="W893" s="49"/>
      <c r="X893" s="49"/>
      <c r="Y893" s="49"/>
    </row>
    <row r="894" ht="15.75" customHeight="1">
      <c r="A894" s="38"/>
      <c r="B894" s="49"/>
      <c r="C894" s="15"/>
      <c r="D894" s="663"/>
      <c r="E894" s="664"/>
      <c r="F894" s="665"/>
      <c r="G894" s="539"/>
      <c r="H894" s="373"/>
      <c r="I894" s="665"/>
      <c r="J894" s="666"/>
      <c r="K894" s="665"/>
      <c r="L894" s="667"/>
      <c r="M894" s="668"/>
      <c r="N894" s="373"/>
      <c r="O894" s="373"/>
      <c r="P894" s="670"/>
      <c r="Q894" s="665"/>
      <c r="R894" s="665"/>
      <c r="S894" s="539"/>
      <c r="T894" s="665"/>
      <c r="U894" s="49"/>
      <c r="V894" s="49"/>
      <c r="W894" s="49"/>
      <c r="X894" s="49"/>
      <c r="Y894" s="49"/>
    </row>
    <row r="895" ht="15.75" customHeight="1">
      <c r="A895" s="38"/>
      <c r="B895" s="49"/>
      <c r="C895" s="15"/>
      <c r="D895" s="663"/>
      <c r="E895" s="664"/>
      <c r="F895" s="665"/>
      <c r="G895" s="539"/>
      <c r="H895" s="373"/>
      <c r="I895" s="665"/>
      <c r="J895" s="666"/>
      <c r="K895" s="665"/>
      <c r="L895" s="667"/>
      <c r="M895" s="668"/>
      <c r="N895" s="373"/>
      <c r="O895" s="373"/>
      <c r="P895" s="670"/>
      <c r="Q895" s="665"/>
      <c r="R895" s="665"/>
      <c r="S895" s="539"/>
      <c r="T895" s="665"/>
      <c r="U895" s="49"/>
      <c r="V895" s="49"/>
      <c r="W895" s="49"/>
      <c r="X895" s="49"/>
      <c r="Y895" s="49"/>
    </row>
    <row r="896" ht="15.75" customHeight="1">
      <c r="A896" s="38"/>
      <c r="B896" s="49"/>
      <c r="C896" s="15"/>
      <c r="D896" s="663"/>
      <c r="E896" s="664"/>
      <c r="F896" s="665"/>
      <c r="G896" s="539"/>
      <c r="H896" s="373"/>
      <c r="I896" s="665"/>
      <c r="J896" s="666"/>
      <c r="K896" s="665"/>
      <c r="L896" s="667"/>
      <c r="M896" s="668"/>
      <c r="N896" s="373"/>
      <c r="O896" s="373"/>
      <c r="P896" s="670"/>
      <c r="Q896" s="665"/>
      <c r="R896" s="665"/>
      <c r="S896" s="539"/>
      <c r="T896" s="665"/>
      <c r="U896" s="49"/>
      <c r="V896" s="49"/>
      <c r="W896" s="49"/>
      <c r="X896" s="49"/>
      <c r="Y896" s="49"/>
    </row>
    <row r="897" ht="15.75" customHeight="1">
      <c r="A897" s="38"/>
      <c r="B897" s="49"/>
      <c r="C897" s="15"/>
      <c r="D897" s="663"/>
      <c r="E897" s="664"/>
      <c r="F897" s="665"/>
      <c r="G897" s="539"/>
      <c r="H897" s="373"/>
      <c r="I897" s="665"/>
      <c r="J897" s="666"/>
      <c r="K897" s="665"/>
      <c r="L897" s="667"/>
      <c r="M897" s="668"/>
      <c r="N897" s="373"/>
      <c r="O897" s="373"/>
      <c r="P897" s="670"/>
      <c r="Q897" s="665"/>
      <c r="R897" s="665"/>
      <c r="S897" s="539"/>
      <c r="T897" s="665"/>
      <c r="U897" s="49"/>
      <c r="V897" s="49"/>
      <c r="W897" s="49"/>
      <c r="X897" s="49"/>
      <c r="Y897" s="49"/>
    </row>
    <row r="898" ht="15.75" customHeight="1">
      <c r="A898" s="38"/>
      <c r="B898" s="49"/>
      <c r="C898" s="15"/>
      <c r="D898" s="663"/>
      <c r="E898" s="664"/>
      <c r="F898" s="665"/>
      <c r="G898" s="539"/>
      <c r="H898" s="373"/>
      <c r="I898" s="665"/>
      <c r="J898" s="666"/>
      <c r="K898" s="665"/>
      <c r="L898" s="667"/>
      <c r="M898" s="668"/>
      <c r="N898" s="373"/>
      <c r="O898" s="373"/>
      <c r="P898" s="670"/>
      <c r="Q898" s="665"/>
      <c r="R898" s="665"/>
      <c r="S898" s="539"/>
      <c r="T898" s="665"/>
      <c r="U898" s="49"/>
      <c r="V898" s="49"/>
      <c r="W898" s="49"/>
      <c r="X898" s="49"/>
      <c r="Y898" s="49"/>
    </row>
    <row r="899" ht="15.75" customHeight="1">
      <c r="A899" s="38"/>
      <c r="B899" s="49"/>
      <c r="C899" s="15"/>
      <c r="D899" s="663"/>
      <c r="E899" s="664"/>
      <c r="F899" s="665"/>
      <c r="G899" s="539"/>
      <c r="H899" s="373"/>
      <c r="I899" s="665"/>
      <c r="J899" s="666"/>
      <c r="K899" s="665"/>
      <c r="L899" s="667"/>
      <c r="M899" s="668"/>
      <c r="N899" s="373"/>
      <c r="O899" s="373"/>
      <c r="P899" s="670"/>
      <c r="Q899" s="665"/>
      <c r="R899" s="665"/>
      <c r="S899" s="539"/>
      <c r="T899" s="665"/>
      <c r="U899" s="49"/>
      <c r="V899" s="49"/>
      <c r="W899" s="49"/>
      <c r="X899" s="49"/>
      <c r="Y899" s="49"/>
    </row>
    <row r="900" ht="15.75" customHeight="1">
      <c r="A900" s="38"/>
      <c r="B900" s="49"/>
      <c r="C900" s="15"/>
      <c r="D900" s="663"/>
      <c r="E900" s="664"/>
      <c r="F900" s="665"/>
      <c r="G900" s="539"/>
      <c r="H900" s="373"/>
      <c r="I900" s="665"/>
      <c r="J900" s="666"/>
      <c r="K900" s="665"/>
      <c r="L900" s="667"/>
      <c r="M900" s="668"/>
      <c r="N900" s="373"/>
      <c r="O900" s="373"/>
      <c r="P900" s="670"/>
      <c r="Q900" s="665"/>
      <c r="R900" s="665"/>
      <c r="S900" s="539"/>
      <c r="T900" s="665"/>
      <c r="U900" s="49"/>
      <c r="V900" s="49"/>
      <c r="W900" s="49"/>
      <c r="X900" s="49"/>
      <c r="Y900" s="49"/>
    </row>
    <row r="901" ht="15.75" customHeight="1">
      <c r="A901" s="38"/>
      <c r="B901" s="49"/>
      <c r="C901" s="15"/>
      <c r="D901" s="663"/>
      <c r="E901" s="664"/>
      <c r="F901" s="665"/>
      <c r="G901" s="539"/>
      <c r="H901" s="373"/>
      <c r="I901" s="665"/>
      <c r="J901" s="666"/>
      <c r="K901" s="665"/>
      <c r="L901" s="667"/>
      <c r="M901" s="668"/>
      <c r="N901" s="373"/>
      <c r="O901" s="373"/>
      <c r="P901" s="670"/>
      <c r="Q901" s="665"/>
      <c r="R901" s="665"/>
      <c r="S901" s="539"/>
      <c r="T901" s="665"/>
      <c r="U901" s="49"/>
      <c r="V901" s="49"/>
      <c r="W901" s="49"/>
      <c r="X901" s="49"/>
      <c r="Y901" s="49"/>
    </row>
    <row r="902" ht="15.75" customHeight="1">
      <c r="A902" s="38"/>
      <c r="B902" s="49"/>
      <c r="C902" s="15"/>
      <c r="D902" s="663"/>
      <c r="E902" s="664"/>
      <c r="F902" s="665"/>
      <c r="G902" s="539"/>
      <c r="H902" s="373"/>
      <c r="I902" s="665"/>
      <c r="J902" s="666"/>
      <c r="K902" s="665"/>
      <c r="L902" s="667"/>
      <c r="M902" s="668"/>
      <c r="N902" s="373"/>
      <c r="O902" s="373"/>
      <c r="P902" s="670"/>
      <c r="Q902" s="665"/>
      <c r="R902" s="665"/>
      <c r="S902" s="539"/>
      <c r="T902" s="665"/>
      <c r="U902" s="49"/>
      <c r="V902" s="49"/>
      <c r="W902" s="49"/>
      <c r="X902" s="49"/>
      <c r="Y902" s="49"/>
    </row>
    <row r="903" ht="15.75" customHeight="1">
      <c r="A903" s="38"/>
      <c r="B903" s="49"/>
      <c r="C903" s="15"/>
      <c r="D903" s="663"/>
      <c r="E903" s="664"/>
      <c r="F903" s="665"/>
      <c r="G903" s="539"/>
      <c r="H903" s="373"/>
      <c r="I903" s="665"/>
      <c r="J903" s="666"/>
      <c r="K903" s="665"/>
      <c r="L903" s="667"/>
      <c r="M903" s="668"/>
      <c r="N903" s="373"/>
      <c r="O903" s="373"/>
      <c r="P903" s="670"/>
      <c r="Q903" s="665"/>
      <c r="R903" s="665"/>
      <c r="S903" s="539"/>
      <c r="T903" s="665"/>
      <c r="U903" s="49"/>
      <c r="V903" s="49"/>
      <c r="W903" s="49"/>
      <c r="X903" s="49"/>
      <c r="Y903" s="49"/>
    </row>
    <row r="904" ht="15.75" customHeight="1">
      <c r="A904" s="38"/>
      <c r="B904" s="49"/>
      <c r="C904" s="15"/>
      <c r="D904" s="663"/>
      <c r="E904" s="664"/>
      <c r="F904" s="665"/>
      <c r="G904" s="539"/>
      <c r="H904" s="373"/>
      <c r="I904" s="665"/>
      <c r="J904" s="666"/>
      <c r="K904" s="665"/>
      <c r="L904" s="667"/>
      <c r="M904" s="668"/>
      <c r="N904" s="373"/>
      <c r="O904" s="373"/>
      <c r="P904" s="670"/>
      <c r="Q904" s="665"/>
      <c r="R904" s="665"/>
      <c r="S904" s="539"/>
      <c r="T904" s="665"/>
      <c r="U904" s="49"/>
      <c r="V904" s="49"/>
      <c r="W904" s="49"/>
      <c r="X904" s="49"/>
      <c r="Y904" s="49"/>
    </row>
    <row r="905" ht="15.75" customHeight="1">
      <c r="A905" s="38"/>
      <c r="B905" s="49"/>
      <c r="C905" s="15"/>
      <c r="D905" s="663"/>
      <c r="E905" s="664"/>
      <c r="F905" s="665"/>
      <c r="G905" s="539"/>
      <c r="H905" s="373"/>
      <c r="I905" s="665"/>
      <c r="J905" s="666"/>
      <c r="K905" s="665"/>
      <c r="L905" s="667"/>
      <c r="M905" s="668"/>
      <c r="N905" s="373"/>
      <c r="O905" s="373"/>
      <c r="P905" s="670"/>
      <c r="Q905" s="665"/>
      <c r="R905" s="665"/>
      <c r="S905" s="539"/>
      <c r="T905" s="665"/>
      <c r="U905" s="49"/>
      <c r="V905" s="49"/>
      <c r="W905" s="49"/>
      <c r="X905" s="49"/>
      <c r="Y905" s="49"/>
    </row>
    <row r="906" ht="15.75" customHeight="1">
      <c r="A906" s="38"/>
      <c r="B906" s="49"/>
      <c r="C906" s="15"/>
      <c r="D906" s="663"/>
      <c r="E906" s="664"/>
      <c r="F906" s="665"/>
      <c r="G906" s="539"/>
      <c r="H906" s="373"/>
      <c r="I906" s="665"/>
      <c r="J906" s="666"/>
      <c r="K906" s="665"/>
      <c r="L906" s="667"/>
      <c r="M906" s="668"/>
      <c r="N906" s="373"/>
      <c r="O906" s="373"/>
      <c r="P906" s="670"/>
      <c r="Q906" s="665"/>
      <c r="R906" s="665"/>
      <c r="S906" s="539"/>
      <c r="T906" s="665"/>
      <c r="U906" s="49"/>
      <c r="V906" s="49"/>
      <c r="W906" s="49"/>
      <c r="X906" s="49"/>
      <c r="Y906" s="49"/>
    </row>
    <row r="907" ht="15.75" customHeight="1">
      <c r="A907" s="38"/>
      <c r="B907" s="49"/>
      <c r="C907" s="15"/>
      <c r="D907" s="663"/>
      <c r="E907" s="664"/>
      <c r="F907" s="665"/>
      <c r="G907" s="539"/>
      <c r="H907" s="373"/>
      <c r="I907" s="665"/>
      <c r="J907" s="666"/>
      <c r="K907" s="665"/>
      <c r="L907" s="667"/>
      <c r="M907" s="668"/>
      <c r="N907" s="373"/>
      <c r="O907" s="373"/>
      <c r="P907" s="670"/>
      <c r="Q907" s="665"/>
      <c r="R907" s="665"/>
      <c r="S907" s="539"/>
      <c r="T907" s="665"/>
      <c r="U907" s="49"/>
      <c r="V907" s="49"/>
      <c r="W907" s="49"/>
      <c r="X907" s="49"/>
      <c r="Y907" s="49"/>
    </row>
    <row r="908" ht="15.75" customHeight="1">
      <c r="A908" s="38"/>
      <c r="B908" s="49"/>
      <c r="C908" s="15"/>
      <c r="D908" s="663"/>
      <c r="E908" s="664"/>
      <c r="F908" s="665"/>
      <c r="G908" s="539"/>
      <c r="H908" s="373"/>
      <c r="I908" s="665"/>
      <c r="J908" s="666"/>
      <c r="K908" s="665"/>
      <c r="L908" s="667"/>
      <c r="M908" s="668"/>
      <c r="N908" s="373"/>
      <c r="O908" s="373"/>
      <c r="P908" s="670"/>
      <c r="Q908" s="665"/>
      <c r="R908" s="665"/>
      <c r="S908" s="539"/>
      <c r="T908" s="665"/>
      <c r="U908" s="49"/>
      <c r="V908" s="49"/>
      <c r="W908" s="49"/>
      <c r="X908" s="49"/>
      <c r="Y908" s="49"/>
    </row>
    <row r="909" ht="15.75" customHeight="1">
      <c r="A909" s="38"/>
      <c r="B909" s="49"/>
      <c r="C909" s="15"/>
      <c r="D909" s="663"/>
      <c r="E909" s="664"/>
      <c r="F909" s="665"/>
      <c r="G909" s="539"/>
      <c r="H909" s="373"/>
      <c r="I909" s="665"/>
      <c r="J909" s="666"/>
      <c r="K909" s="665"/>
      <c r="L909" s="667"/>
      <c r="M909" s="668"/>
      <c r="N909" s="373"/>
      <c r="O909" s="373"/>
      <c r="P909" s="670"/>
      <c r="Q909" s="665"/>
      <c r="R909" s="665"/>
      <c r="S909" s="539"/>
      <c r="T909" s="665"/>
      <c r="U909" s="49"/>
      <c r="V909" s="49"/>
      <c r="W909" s="49"/>
      <c r="X909" s="49"/>
      <c r="Y909" s="49"/>
    </row>
    <row r="910" ht="15.75" customHeight="1">
      <c r="A910" s="38"/>
      <c r="B910" s="49"/>
      <c r="C910" s="15"/>
      <c r="D910" s="663"/>
      <c r="E910" s="664"/>
      <c r="F910" s="665"/>
      <c r="G910" s="539"/>
      <c r="H910" s="373"/>
      <c r="I910" s="665"/>
      <c r="J910" s="666"/>
      <c r="K910" s="665"/>
      <c r="L910" s="667"/>
      <c r="M910" s="668"/>
      <c r="N910" s="373"/>
      <c r="O910" s="373"/>
      <c r="P910" s="670"/>
      <c r="Q910" s="665"/>
      <c r="R910" s="665"/>
      <c r="S910" s="539"/>
      <c r="T910" s="665"/>
      <c r="U910" s="49"/>
      <c r="V910" s="49"/>
      <c r="W910" s="49"/>
      <c r="X910" s="49"/>
      <c r="Y910" s="49"/>
    </row>
    <row r="911" ht="15.75" customHeight="1">
      <c r="A911" s="38"/>
      <c r="B911" s="49"/>
      <c r="C911" s="15"/>
      <c r="D911" s="663"/>
      <c r="E911" s="664"/>
      <c r="F911" s="665"/>
      <c r="G911" s="539"/>
      <c r="H911" s="373"/>
      <c r="I911" s="665"/>
      <c r="J911" s="666"/>
      <c r="K911" s="665"/>
      <c r="L911" s="667"/>
      <c r="M911" s="668"/>
      <c r="N911" s="373"/>
      <c r="O911" s="373"/>
      <c r="P911" s="670"/>
      <c r="Q911" s="665"/>
      <c r="R911" s="665"/>
      <c r="S911" s="539"/>
      <c r="T911" s="665"/>
      <c r="U911" s="49"/>
      <c r="V911" s="49"/>
      <c r="W911" s="49"/>
      <c r="X911" s="49"/>
      <c r="Y911" s="49"/>
    </row>
    <row r="912" ht="15.75" customHeight="1">
      <c r="A912" s="38"/>
      <c r="B912" s="49"/>
      <c r="C912" s="15"/>
      <c r="D912" s="663"/>
      <c r="E912" s="664"/>
      <c r="F912" s="665"/>
      <c r="G912" s="539"/>
      <c r="H912" s="373"/>
      <c r="I912" s="665"/>
      <c r="J912" s="666"/>
      <c r="K912" s="665"/>
      <c r="L912" s="667"/>
      <c r="M912" s="668"/>
      <c r="N912" s="373"/>
      <c r="O912" s="373"/>
      <c r="P912" s="670"/>
      <c r="Q912" s="665"/>
      <c r="R912" s="665"/>
      <c r="S912" s="539"/>
      <c r="T912" s="665"/>
      <c r="U912" s="49"/>
      <c r="V912" s="49"/>
      <c r="W912" s="49"/>
      <c r="X912" s="49"/>
      <c r="Y912" s="49"/>
    </row>
    <row r="913" ht="15.75" customHeight="1">
      <c r="A913" s="38"/>
      <c r="B913" s="49"/>
      <c r="C913" s="15"/>
      <c r="D913" s="663"/>
      <c r="E913" s="664"/>
      <c r="F913" s="665"/>
      <c r="G913" s="539"/>
      <c r="H913" s="373"/>
      <c r="I913" s="665"/>
      <c r="J913" s="666"/>
      <c r="K913" s="665"/>
      <c r="L913" s="667"/>
      <c r="M913" s="668"/>
      <c r="N913" s="373"/>
      <c r="O913" s="373"/>
      <c r="P913" s="670"/>
      <c r="Q913" s="665"/>
      <c r="R913" s="665"/>
      <c r="S913" s="539"/>
      <c r="T913" s="665"/>
      <c r="U913" s="49"/>
      <c r="V913" s="49"/>
      <c r="W913" s="49"/>
      <c r="X913" s="49"/>
      <c r="Y913" s="49"/>
    </row>
    <row r="914" ht="15.75" customHeight="1">
      <c r="A914" s="38"/>
      <c r="B914" s="49"/>
      <c r="C914" s="15"/>
      <c r="D914" s="663"/>
      <c r="E914" s="664"/>
      <c r="F914" s="665"/>
      <c r="G914" s="539"/>
      <c r="H914" s="373"/>
      <c r="I914" s="665"/>
      <c r="J914" s="666"/>
      <c r="K914" s="665"/>
      <c r="L914" s="667"/>
      <c r="M914" s="668"/>
      <c r="N914" s="373"/>
      <c r="O914" s="373"/>
      <c r="P914" s="670"/>
      <c r="Q914" s="665"/>
      <c r="R914" s="665"/>
      <c r="S914" s="539"/>
      <c r="T914" s="665"/>
      <c r="U914" s="49"/>
      <c r="V914" s="49"/>
      <c r="W914" s="49"/>
      <c r="X914" s="49"/>
      <c r="Y914" s="49"/>
    </row>
    <row r="915" ht="15.75" customHeight="1">
      <c r="A915" s="38"/>
      <c r="B915" s="49"/>
      <c r="C915" s="15"/>
      <c r="D915" s="663"/>
      <c r="E915" s="664"/>
      <c r="F915" s="665"/>
      <c r="G915" s="539"/>
      <c r="H915" s="373"/>
      <c r="I915" s="665"/>
      <c r="J915" s="666"/>
      <c r="K915" s="665"/>
      <c r="L915" s="667"/>
      <c r="M915" s="668"/>
      <c r="N915" s="373"/>
      <c r="O915" s="373"/>
      <c r="P915" s="670"/>
      <c r="Q915" s="665"/>
      <c r="R915" s="665"/>
      <c r="S915" s="539"/>
      <c r="T915" s="665"/>
      <c r="U915" s="49"/>
      <c r="V915" s="49"/>
      <c r="W915" s="49"/>
      <c r="X915" s="49"/>
      <c r="Y915" s="49"/>
    </row>
    <row r="916" ht="15.75" customHeight="1">
      <c r="A916" s="38"/>
      <c r="B916" s="49"/>
      <c r="C916" s="15"/>
      <c r="D916" s="663"/>
      <c r="E916" s="664"/>
      <c r="F916" s="665"/>
      <c r="G916" s="539"/>
      <c r="H916" s="373"/>
      <c r="I916" s="665"/>
      <c r="J916" s="666"/>
      <c r="K916" s="665"/>
      <c r="L916" s="667"/>
      <c r="M916" s="668"/>
      <c r="N916" s="373"/>
      <c r="O916" s="373"/>
      <c r="P916" s="670"/>
      <c r="Q916" s="665"/>
      <c r="R916" s="665"/>
      <c r="S916" s="539"/>
      <c r="T916" s="665"/>
      <c r="U916" s="49"/>
      <c r="V916" s="49"/>
      <c r="W916" s="49"/>
      <c r="X916" s="49"/>
      <c r="Y916" s="49"/>
    </row>
    <row r="917" ht="15.75" customHeight="1">
      <c r="A917" s="38"/>
      <c r="B917" s="49"/>
      <c r="C917" s="15"/>
      <c r="D917" s="663"/>
      <c r="E917" s="664"/>
      <c r="F917" s="665"/>
      <c r="G917" s="539"/>
      <c r="H917" s="373"/>
      <c r="I917" s="665"/>
      <c r="J917" s="666"/>
      <c r="K917" s="665"/>
      <c r="L917" s="667"/>
      <c r="M917" s="668"/>
      <c r="N917" s="373"/>
      <c r="O917" s="373"/>
      <c r="P917" s="670"/>
      <c r="Q917" s="665"/>
      <c r="R917" s="665"/>
      <c r="S917" s="539"/>
      <c r="T917" s="665"/>
      <c r="U917" s="49"/>
      <c r="V917" s="49"/>
      <c r="W917" s="49"/>
      <c r="X917" s="49"/>
      <c r="Y917" s="49"/>
    </row>
    <row r="918" ht="15.75" customHeight="1">
      <c r="A918" s="38"/>
      <c r="B918" s="49"/>
      <c r="C918" s="15"/>
      <c r="D918" s="663"/>
      <c r="E918" s="664"/>
      <c r="F918" s="665"/>
      <c r="G918" s="539"/>
      <c r="H918" s="373"/>
      <c r="I918" s="665"/>
      <c r="J918" s="666"/>
      <c r="K918" s="665"/>
      <c r="L918" s="667"/>
      <c r="M918" s="668"/>
      <c r="N918" s="373"/>
      <c r="O918" s="373"/>
      <c r="P918" s="670"/>
      <c r="Q918" s="665"/>
      <c r="R918" s="665"/>
      <c r="S918" s="539"/>
      <c r="T918" s="665"/>
      <c r="U918" s="49"/>
      <c r="V918" s="49"/>
      <c r="W918" s="49"/>
      <c r="X918" s="49"/>
      <c r="Y918" s="49"/>
    </row>
    <row r="919" ht="15.75" customHeight="1">
      <c r="A919" s="38"/>
      <c r="B919" s="49"/>
      <c r="C919" s="15"/>
      <c r="D919" s="663"/>
      <c r="E919" s="664"/>
      <c r="F919" s="665"/>
      <c r="G919" s="539"/>
      <c r="H919" s="373"/>
      <c r="I919" s="665"/>
      <c r="J919" s="666"/>
      <c r="K919" s="665"/>
      <c r="L919" s="667"/>
      <c r="M919" s="668"/>
      <c r="N919" s="373"/>
      <c r="O919" s="373"/>
      <c r="P919" s="670"/>
      <c r="Q919" s="665"/>
      <c r="R919" s="665"/>
      <c r="S919" s="539"/>
      <c r="T919" s="665"/>
      <c r="U919" s="49"/>
      <c r="V919" s="49"/>
      <c r="W919" s="49"/>
      <c r="X919" s="49"/>
      <c r="Y919" s="49"/>
    </row>
    <row r="920" ht="15.75" customHeight="1">
      <c r="A920" s="38"/>
      <c r="B920" s="49"/>
      <c r="C920" s="15"/>
      <c r="D920" s="663"/>
      <c r="E920" s="664"/>
      <c r="F920" s="665"/>
      <c r="G920" s="539"/>
      <c r="H920" s="373"/>
      <c r="I920" s="665"/>
      <c r="J920" s="666"/>
      <c r="K920" s="665"/>
      <c r="L920" s="667"/>
      <c r="M920" s="668"/>
      <c r="N920" s="373"/>
      <c r="O920" s="373"/>
      <c r="P920" s="670"/>
      <c r="Q920" s="665"/>
      <c r="R920" s="665"/>
      <c r="S920" s="539"/>
      <c r="T920" s="665"/>
      <c r="U920" s="49"/>
      <c r="V920" s="49"/>
      <c r="W920" s="49"/>
      <c r="X920" s="49"/>
      <c r="Y920" s="49"/>
    </row>
    <row r="921" ht="15.75" customHeight="1">
      <c r="A921" s="38"/>
      <c r="B921" s="49"/>
      <c r="C921" s="15"/>
      <c r="D921" s="663"/>
      <c r="E921" s="664"/>
      <c r="F921" s="665"/>
      <c r="G921" s="539"/>
      <c r="H921" s="373"/>
      <c r="I921" s="665"/>
      <c r="J921" s="666"/>
      <c r="K921" s="665"/>
      <c r="L921" s="667"/>
      <c r="M921" s="668"/>
      <c r="N921" s="373"/>
      <c r="O921" s="373"/>
      <c r="P921" s="670"/>
      <c r="Q921" s="665"/>
      <c r="R921" s="665"/>
      <c r="S921" s="539"/>
      <c r="T921" s="665"/>
      <c r="U921" s="49"/>
      <c r="V921" s="49"/>
      <c r="W921" s="49"/>
      <c r="X921" s="49"/>
      <c r="Y921" s="49"/>
    </row>
    <row r="922" ht="15.75" customHeight="1">
      <c r="A922" s="38"/>
      <c r="B922" s="49"/>
      <c r="C922" s="15"/>
      <c r="D922" s="663"/>
      <c r="E922" s="664"/>
      <c r="F922" s="665"/>
      <c r="G922" s="539"/>
      <c r="H922" s="373"/>
      <c r="I922" s="665"/>
      <c r="J922" s="666"/>
      <c r="K922" s="665"/>
      <c r="L922" s="667"/>
      <c r="M922" s="668"/>
      <c r="N922" s="373"/>
      <c r="O922" s="373"/>
      <c r="P922" s="670"/>
      <c r="Q922" s="665"/>
      <c r="R922" s="665"/>
      <c r="S922" s="539"/>
      <c r="T922" s="665"/>
      <c r="U922" s="49"/>
      <c r="V922" s="49"/>
      <c r="W922" s="49"/>
      <c r="X922" s="49"/>
      <c r="Y922" s="49"/>
    </row>
    <row r="923" ht="15.75" customHeight="1">
      <c r="A923" s="38"/>
      <c r="B923" s="49"/>
      <c r="C923" s="15"/>
      <c r="D923" s="663"/>
      <c r="E923" s="664"/>
      <c r="F923" s="665"/>
      <c r="G923" s="539"/>
      <c r="H923" s="373"/>
      <c r="I923" s="665"/>
      <c r="J923" s="666"/>
      <c r="K923" s="665"/>
      <c r="L923" s="667"/>
      <c r="M923" s="668"/>
      <c r="N923" s="373"/>
      <c r="O923" s="373"/>
      <c r="P923" s="670"/>
      <c r="Q923" s="665"/>
      <c r="R923" s="665"/>
      <c r="S923" s="539"/>
      <c r="T923" s="665"/>
      <c r="U923" s="49"/>
      <c r="V923" s="49"/>
      <c r="W923" s="49"/>
      <c r="X923" s="49"/>
      <c r="Y923" s="49"/>
    </row>
    <row r="924" ht="15.75" customHeight="1">
      <c r="A924" s="38"/>
      <c r="B924" s="49"/>
      <c r="C924" s="15"/>
      <c r="D924" s="663"/>
      <c r="E924" s="664"/>
      <c r="F924" s="665"/>
      <c r="G924" s="539"/>
      <c r="H924" s="373"/>
      <c r="I924" s="665"/>
      <c r="J924" s="666"/>
      <c r="K924" s="665"/>
      <c r="L924" s="667"/>
      <c r="M924" s="668"/>
      <c r="N924" s="373"/>
      <c r="O924" s="373"/>
      <c r="P924" s="670"/>
      <c r="Q924" s="665"/>
      <c r="R924" s="665"/>
      <c r="S924" s="539"/>
      <c r="T924" s="665"/>
      <c r="U924" s="49"/>
      <c r="V924" s="49"/>
      <c r="W924" s="49"/>
      <c r="X924" s="49"/>
      <c r="Y924" s="49"/>
    </row>
    <row r="925" ht="15.75" customHeight="1">
      <c r="A925" s="38"/>
      <c r="B925" s="49"/>
      <c r="C925" s="15"/>
      <c r="D925" s="663"/>
      <c r="E925" s="664"/>
      <c r="F925" s="665"/>
      <c r="G925" s="539"/>
      <c r="H925" s="373"/>
      <c r="I925" s="665"/>
      <c r="J925" s="666"/>
      <c r="K925" s="665"/>
      <c r="L925" s="667"/>
      <c r="M925" s="668"/>
      <c r="N925" s="373"/>
      <c r="O925" s="373"/>
      <c r="P925" s="670"/>
      <c r="Q925" s="665"/>
      <c r="R925" s="665"/>
      <c r="S925" s="539"/>
      <c r="T925" s="665"/>
      <c r="U925" s="49"/>
      <c r="V925" s="49"/>
      <c r="W925" s="49"/>
      <c r="X925" s="49"/>
      <c r="Y925" s="49"/>
    </row>
    <row r="926" ht="15.75" customHeight="1">
      <c r="A926" s="38"/>
      <c r="B926" s="49"/>
      <c r="C926" s="15"/>
      <c r="D926" s="663"/>
      <c r="E926" s="664"/>
      <c r="F926" s="665"/>
      <c r="G926" s="539"/>
      <c r="H926" s="373"/>
      <c r="I926" s="665"/>
      <c r="J926" s="666"/>
      <c r="K926" s="665"/>
      <c r="L926" s="667"/>
      <c r="M926" s="668"/>
      <c r="N926" s="373"/>
      <c r="O926" s="373"/>
      <c r="P926" s="670"/>
      <c r="Q926" s="665"/>
      <c r="R926" s="665"/>
      <c r="S926" s="539"/>
      <c r="T926" s="665"/>
      <c r="U926" s="49"/>
      <c r="V926" s="49"/>
      <c r="W926" s="49"/>
      <c r="X926" s="49"/>
      <c r="Y926" s="49"/>
    </row>
    <row r="927" ht="15.75" customHeight="1">
      <c r="A927" s="38"/>
      <c r="B927" s="49"/>
      <c r="C927" s="15"/>
      <c r="D927" s="663"/>
      <c r="E927" s="664"/>
      <c r="F927" s="665"/>
      <c r="G927" s="539"/>
      <c r="H927" s="373"/>
      <c r="I927" s="665"/>
      <c r="J927" s="666"/>
      <c r="K927" s="665"/>
      <c r="L927" s="667"/>
      <c r="M927" s="668"/>
      <c r="N927" s="373"/>
      <c r="O927" s="373"/>
      <c r="P927" s="670"/>
      <c r="Q927" s="665"/>
      <c r="R927" s="665"/>
      <c r="S927" s="539"/>
      <c r="T927" s="665"/>
      <c r="U927" s="49"/>
      <c r="V927" s="49"/>
      <c r="W927" s="49"/>
      <c r="X927" s="49"/>
      <c r="Y927" s="49"/>
    </row>
    <row r="928" ht="15.75" customHeight="1">
      <c r="A928" s="38"/>
      <c r="B928" s="49"/>
      <c r="C928" s="15"/>
      <c r="D928" s="663"/>
      <c r="E928" s="664"/>
      <c r="F928" s="665"/>
      <c r="G928" s="539"/>
      <c r="H928" s="373"/>
      <c r="I928" s="665"/>
      <c r="J928" s="666"/>
      <c r="K928" s="665"/>
      <c r="L928" s="667"/>
      <c r="M928" s="668"/>
      <c r="N928" s="373"/>
      <c r="O928" s="373"/>
      <c r="P928" s="670"/>
      <c r="Q928" s="665"/>
      <c r="R928" s="665"/>
      <c r="S928" s="539"/>
      <c r="T928" s="665"/>
      <c r="U928" s="49"/>
      <c r="V928" s="49"/>
      <c r="W928" s="49"/>
      <c r="X928" s="49"/>
      <c r="Y928" s="49"/>
    </row>
    <row r="929" ht="15.75" customHeight="1">
      <c r="A929" s="38"/>
      <c r="B929" s="49"/>
      <c r="C929" s="15"/>
      <c r="D929" s="663"/>
      <c r="E929" s="664"/>
      <c r="F929" s="665"/>
      <c r="G929" s="539"/>
      <c r="H929" s="373"/>
      <c r="I929" s="665"/>
      <c r="J929" s="666"/>
      <c r="K929" s="665"/>
      <c r="L929" s="667"/>
      <c r="M929" s="668"/>
      <c r="N929" s="373"/>
      <c r="O929" s="373"/>
      <c r="P929" s="670"/>
      <c r="Q929" s="665"/>
      <c r="R929" s="665"/>
      <c r="S929" s="539"/>
      <c r="T929" s="665"/>
      <c r="U929" s="49"/>
      <c r="V929" s="49"/>
      <c r="W929" s="49"/>
      <c r="X929" s="49"/>
      <c r="Y929" s="49"/>
    </row>
    <row r="930" ht="15.75" customHeight="1">
      <c r="A930" s="38"/>
      <c r="B930" s="49"/>
      <c r="C930" s="15"/>
      <c r="D930" s="663"/>
      <c r="E930" s="664"/>
      <c r="F930" s="665"/>
      <c r="G930" s="539"/>
      <c r="H930" s="373"/>
      <c r="I930" s="665"/>
      <c r="J930" s="666"/>
      <c r="K930" s="665"/>
      <c r="L930" s="667"/>
      <c r="M930" s="668"/>
      <c r="N930" s="373"/>
      <c r="O930" s="373"/>
      <c r="P930" s="670"/>
      <c r="Q930" s="665"/>
      <c r="R930" s="665"/>
      <c r="S930" s="539"/>
      <c r="T930" s="665"/>
      <c r="U930" s="49"/>
      <c r="V930" s="49"/>
      <c r="W930" s="49"/>
      <c r="X930" s="49"/>
      <c r="Y930" s="49"/>
    </row>
    <row r="931" ht="15.75" customHeight="1">
      <c r="A931" s="38"/>
      <c r="B931" s="49"/>
      <c r="C931" s="15"/>
      <c r="D931" s="663"/>
      <c r="E931" s="664"/>
      <c r="F931" s="665"/>
      <c r="G931" s="539"/>
      <c r="H931" s="373"/>
      <c r="I931" s="665"/>
      <c r="J931" s="666"/>
      <c r="K931" s="665"/>
      <c r="L931" s="667"/>
      <c r="M931" s="668"/>
      <c r="N931" s="373"/>
      <c r="O931" s="373"/>
      <c r="P931" s="670"/>
      <c r="Q931" s="665"/>
      <c r="R931" s="665"/>
      <c r="S931" s="539"/>
      <c r="T931" s="665"/>
      <c r="U931" s="49"/>
      <c r="V931" s="49"/>
      <c r="W931" s="49"/>
      <c r="X931" s="49"/>
      <c r="Y931" s="49"/>
    </row>
    <row r="932" ht="15.75" customHeight="1">
      <c r="A932" s="38"/>
      <c r="B932" s="49"/>
      <c r="C932" s="15"/>
      <c r="D932" s="663"/>
      <c r="E932" s="664"/>
      <c r="F932" s="665"/>
      <c r="G932" s="539"/>
      <c r="H932" s="373"/>
      <c r="I932" s="665"/>
      <c r="J932" s="666"/>
      <c r="K932" s="665"/>
      <c r="L932" s="667"/>
      <c r="M932" s="668"/>
      <c r="N932" s="373"/>
      <c r="O932" s="373"/>
      <c r="P932" s="670"/>
      <c r="Q932" s="665"/>
      <c r="R932" s="665"/>
      <c r="S932" s="539"/>
      <c r="T932" s="665"/>
      <c r="U932" s="49"/>
      <c r="V932" s="49"/>
      <c r="W932" s="49"/>
      <c r="X932" s="49"/>
      <c r="Y932" s="49"/>
    </row>
    <row r="933" ht="15.75" customHeight="1">
      <c r="A933" s="38"/>
      <c r="B933" s="49"/>
      <c r="C933" s="15"/>
      <c r="D933" s="663"/>
      <c r="E933" s="664"/>
      <c r="F933" s="665"/>
      <c r="G933" s="539"/>
      <c r="H933" s="373"/>
      <c r="I933" s="665"/>
      <c r="J933" s="666"/>
      <c r="K933" s="665"/>
      <c r="L933" s="667"/>
      <c r="M933" s="668"/>
      <c r="N933" s="373"/>
      <c r="O933" s="373"/>
      <c r="P933" s="670"/>
      <c r="Q933" s="665"/>
      <c r="R933" s="665"/>
      <c r="S933" s="539"/>
      <c r="T933" s="665"/>
      <c r="U933" s="49"/>
      <c r="V933" s="49"/>
      <c r="W933" s="49"/>
      <c r="X933" s="49"/>
      <c r="Y933" s="49"/>
    </row>
    <row r="934" ht="15.75" customHeight="1">
      <c r="A934" s="38"/>
      <c r="B934" s="49"/>
      <c r="C934" s="15"/>
      <c r="D934" s="663"/>
      <c r="E934" s="664"/>
      <c r="F934" s="665"/>
      <c r="G934" s="539"/>
      <c r="H934" s="373"/>
      <c r="I934" s="665"/>
      <c r="J934" s="666"/>
      <c r="K934" s="665"/>
      <c r="L934" s="667"/>
      <c r="M934" s="668"/>
      <c r="N934" s="373"/>
      <c r="O934" s="373"/>
      <c r="P934" s="670"/>
      <c r="Q934" s="665"/>
      <c r="R934" s="665"/>
      <c r="S934" s="539"/>
      <c r="T934" s="665"/>
      <c r="U934" s="49"/>
      <c r="V934" s="49"/>
      <c r="W934" s="49"/>
      <c r="X934" s="49"/>
      <c r="Y934" s="49"/>
    </row>
    <row r="935" ht="15.75" customHeight="1">
      <c r="A935" s="38"/>
      <c r="B935" s="49"/>
      <c r="C935" s="15"/>
      <c r="D935" s="663"/>
      <c r="E935" s="664"/>
      <c r="F935" s="665"/>
      <c r="G935" s="539"/>
      <c r="H935" s="373"/>
      <c r="I935" s="665"/>
      <c r="J935" s="666"/>
      <c r="K935" s="665"/>
      <c r="L935" s="667"/>
      <c r="M935" s="668"/>
      <c r="N935" s="373"/>
      <c r="O935" s="373"/>
      <c r="P935" s="670"/>
      <c r="Q935" s="665"/>
      <c r="R935" s="665"/>
      <c r="S935" s="539"/>
      <c r="T935" s="665"/>
      <c r="U935" s="49"/>
      <c r="V935" s="49"/>
      <c r="W935" s="49"/>
      <c r="X935" s="49"/>
      <c r="Y935" s="49"/>
    </row>
    <row r="936" ht="15.75" customHeight="1">
      <c r="A936" s="38"/>
      <c r="B936" s="49"/>
      <c r="C936" s="15"/>
      <c r="D936" s="663"/>
      <c r="E936" s="664"/>
      <c r="F936" s="665"/>
      <c r="G936" s="539"/>
      <c r="H936" s="373"/>
      <c r="I936" s="665"/>
      <c r="J936" s="666"/>
      <c r="K936" s="665"/>
      <c r="L936" s="667"/>
      <c r="M936" s="668"/>
      <c r="N936" s="373"/>
      <c r="O936" s="373"/>
      <c r="P936" s="670"/>
      <c r="Q936" s="665"/>
      <c r="R936" s="665"/>
      <c r="S936" s="539"/>
      <c r="T936" s="665"/>
      <c r="U936" s="49"/>
      <c r="V936" s="49"/>
      <c r="W936" s="49"/>
      <c r="X936" s="49"/>
      <c r="Y936" s="49"/>
    </row>
    <row r="937" ht="15.75" customHeight="1">
      <c r="A937" s="38"/>
      <c r="B937" s="49"/>
      <c r="C937" s="15"/>
      <c r="D937" s="663"/>
      <c r="E937" s="664"/>
      <c r="F937" s="665"/>
      <c r="G937" s="539"/>
      <c r="H937" s="373"/>
      <c r="I937" s="665"/>
      <c r="J937" s="666"/>
      <c r="K937" s="665"/>
      <c r="L937" s="667"/>
      <c r="M937" s="668"/>
      <c r="N937" s="373"/>
      <c r="O937" s="373"/>
      <c r="P937" s="670"/>
      <c r="Q937" s="665"/>
      <c r="R937" s="665"/>
      <c r="S937" s="539"/>
      <c r="T937" s="665"/>
      <c r="U937" s="49"/>
      <c r="V937" s="49"/>
      <c r="W937" s="49"/>
      <c r="X937" s="49"/>
      <c r="Y937" s="49"/>
    </row>
    <row r="938" ht="15.75" customHeight="1">
      <c r="A938" s="38"/>
      <c r="B938" s="49"/>
      <c r="C938" s="15"/>
      <c r="D938" s="663"/>
      <c r="E938" s="664"/>
      <c r="F938" s="665"/>
      <c r="G938" s="539"/>
      <c r="H938" s="373"/>
      <c r="I938" s="665"/>
      <c r="J938" s="666"/>
      <c r="K938" s="665"/>
      <c r="L938" s="667"/>
      <c r="M938" s="668"/>
      <c r="N938" s="373"/>
      <c r="O938" s="373"/>
      <c r="P938" s="670"/>
      <c r="Q938" s="665"/>
      <c r="R938" s="665"/>
      <c r="S938" s="539"/>
      <c r="T938" s="665"/>
      <c r="U938" s="49"/>
      <c r="V938" s="49"/>
      <c r="W938" s="49"/>
      <c r="X938" s="49"/>
      <c r="Y938" s="49"/>
    </row>
    <row r="939" ht="15.75" customHeight="1">
      <c r="A939" s="38"/>
      <c r="B939" s="49"/>
      <c r="C939" s="15"/>
      <c r="D939" s="663"/>
      <c r="E939" s="664"/>
      <c r="F939" s="665"/>
      <c r="G939" s="539"/>
      <c r="H939" s="373"/>
      <c r="I939" s="665"/>
      <c r="J939" s="666"/>
      <c r="K939" s="665"/>
      <c r="L939" s="667"/>
      <c r="M939" s="668"/>
      <c r="N939" s="373"/>
      <c r="O939" s="373"/>
      <c r="P939" s="670"/>
      <c r="Q939" s="665"/>
      <c r="R939" s="665"/>
      <c r="S939" s="539"/>
      <c r="T939" s="665"/>
      <c r="U939" s="49"/>
      <c r="V939" s="49"/>
      <c r="W939" s="49"/>
      <c r="X939" s="49"/>
      <c r="Y939" s="49"/>
    </row>
    <row r="940" ht="15.75" customHeight="1">
      <c r="A940" s="38"/>
      <c r="B940" s="49"/>
      <c r="C940" s="15"/>
      <c r="D940" s="663"/>
      <c r="E940" s="664"/>
      <c r="F940" s="665"/>
      <c r="G940" s="539"/>
      <c r="H940" s="373"/>
      <c r="I940" s="665"/>
      <c r="J940" s="666"/>
      <c r="K940" s="665"/>
      <c r="L940" s="667"/>
      <c r="M940" s="668"/>
      <c r="N940" s="373"/>
      <c r="O940" s="373"/>
      <c r="P940" s="670"/>
      <c r="Q940" s="665"/>
      <c r="R940" s="665"/>
      <c r="S940" s="539"/>
      <c r="T940" s="665"/>
      <c r="U940" s="49"/>
      <c r="V940" s="49"/>
      <c r="W940" s="49"/>
      <c r="X940" s="49"/>
      <c r="Y940" s="49"/>
    </row>
    <row r="941" ht="15.75" customHeight="1">
      <c r="A941" s="38"/>
      <c r="B941" s="49"/>
      <c r="C941" s="15"/>
      <c r="D941" s="663"/>
      <c r="E941" s="664"/>
      <c r="F941" s="665"/>
      <c r="G941" s="539"/>
      <c r="H941" s="373"/>
      <c r="I941" s="665"/>
      <c r="J941" s="666"/>
      <c r="K941" s="665"/>
      <c r="L941" s="667"/>
      <c r="M941" s="668"/>
      <c r="N941" s="373"/>
      <c r="O941" s="373"/>
      <c r="P941" s="670"/>
      <c r="Q941" s="665"/>
      <c r="R941" s="665"/>
      <c r="S941" s="539"/>
      <c r="T941" s="665"/>
      <c r="U941" s="49"/>
      <c r="V941" s="49"/>
      <c r="W941" s="49"/>
      <c r="X941" s="49"/>
      <c r="Y941" s="49"/>
    </row>
    <row r="942" ht="15.75" customHeight="1">
      <c r="A942" s="38"/>
      <c r="B942" s="49"/>
      <c r="C942" s="15"/>
      <c r="D942" s="663"/>
      <c r="E942" s="664"/>
      <c r="F942" s="665"/>
      <c r="G942" s="539"/>
      <c r="H942" s="373"/>
      <c r="I942" s="665"/>
      <c r="J942" s="666"/>
      <c r="K942" s="665"/>
      <c r="L942" s="667"/>
      <c r="M942" s="668"/>
      <c r="N942" s="373"/>
      <c r="O942" s="373"/>
      <c r="P942" s="670"/>
      <c r="Q942" s="665"/>
      <c r="R942" s="665"/>
      <c r="S942" s="539"/>
      <c r="T942" s="665"/>
      <c r="U942" s="49"/>
      <c r="V942" s="49"/>
      <c r="W942" s="49"/>
      <c r="X942" s="49"/>
      <c r="Y942" s="49"/>
    </row>
    <row r="943" ht="15.75" customHeight="1">
      <c r="A943" s="38"/>
      <c r="B943" s="49"/>
      <c r="C943" s="15"/>
      <c r="D943" s="663"/>
      <c r="E943" s="664"/>
      <c r="F943" s="665"/>
      <c r="G943" s="539"/>
      <c r="H943" s="373"/>
      <c r="I943" s="665"/>
      <c r="J943" s="666"/>
      <c r="K943" s="665"/>
      <c r="L943" s="667"/>
      <c r="M943" s="668"/>
      <c r="N943" s="373"/>
      <c r="O943" s="373"/>
      <c r="P943" s="670"/>
      <c r="Q943" s="665"/>
      <c r="R943" s="665"/>
      <c r="S943" s="539"/>
      <c r="T943" s="665"/>
      <c r="U943" s="49"/>
      <c r="V943" s="49"/>
      <c r="W943" s="49"/>
      <c r="X943" s="49"/>
      <c r="Y943" s="49"/>
    </row>
    <row r="944" ht="15.75" customHeight="1">
      <c r="A944" s="38"/>
      <c r="B944" s="49"/>
      <c r="C944" s="15"/>
      <c r="D944" s="663"/>
      <c r="E944" s="664"/>
      <c r="F944" s="665"/>
      <c r="G944" s="539"/>
      <c r="H944" s="373"/>
      <c r="I944" s="665"/>
      <c r="J944" s="666"/>
      <c r="K944" s="665"/>
      <c r="L944" s="667"/>
      <c r="M944" s="668"/>
      <c r="N944" s="373"/>
      <c r="O944" s="373"/>
      <c r="P944" s="670"/>
      <c r="Q944" s="665"/>
      <c r="R944" s="665"/>
      <c r="S944" s="539"/>
      <c r="T944" s="665"/>
      <c r="U944" s="49"/>
      <c r="V944" s="49"/>
      <c r="W944" s="49"/>
      <c r="X944" s="49"/>
      <c r="Y944" s="49"/>
    </row>
    <row r="945" ht="15.75" customHeight="1">
      <c r="A945" s="38"/>
      <c r="B945" s="49"/>
      <c r="C945" s="15"/>
      <c r="D945" s="663"/>
      <c r="E945" s="664"/>
      <c r="F945" s="665"/>
      <c r="G945" s="539"/>
      <c r="H945" s="373"/>
      <c r="I945" s="665"/>
      <c r="J945" s="666"/>
      <c r="K945" s="665"/>
      <c r="L945" s="667"/>
      <c r="M945" s="668"/>
      <c r="N945" s="373"/>
      <c r="O945" s="373"/>
      <c r="P945" s="670"/>
      <c r="Q945" s="665"/>
      <c r="R945" s="665"/>
      <c r="S945" s="539"/>
      <c r="T945" s="665"/>
      <c r="U945" s="49"/>
      <c r="V945" s="49"/>
      <c r="W945" s="49"/>
      <c r="X945" s="49"/>
      <c r="Y945" s="49"/>
    </row>
    <row r="946" ht="15.75" customHeight="1">
      <c r="A946" s="38"/>
      <c r="B946" s="49"/>
      <c r="C946" s="15"/>
      <c r="D946" s="663"/>
      <c r="E946" s="664"/>
      <c r="F946" s="665"/>
      <c r="G946" s="539"/>
      <c r="H946" s="373"/>
      <c r="I946" s="665"/>
      <c r="J946" s="666"/>
      <c r="K946" s="665"/>
      <c r="L946" s="667"/>
      <c r="M946" s="668"/>
      <c r="N946" s="373"/>
      <c r="O946" s="373"/>
      <c r="P946" s="670"/>
      <c r="Q946" s="665"/>
      <c r="R946" s="665"/>
      <c r="S946" s="539"/>
      <c r="T946" s="665"/>
      <c r="U946" s="49"/>
      <c r="V946" s="49"/>
      <c r="W946" s="49"/>
      <c r="X946" s="49"/>
      <c r="Y946" s="49"/>
    </row>
    <row r="947" ht="15.75" customHeight="1">
      <c r="A947" s="38"/>
      <c r="B947" s="49"/>
      <c r="C947" s="15"/>
      <c r="D947" s="663"/>
      <c r="E947" s="664"/>
      <c r="F947" s="665"/>
      <c r="G947" s="539"/>
      <c r="H947" s="373"/>
      <c r="I947" s="665"/>
      <c r="J947" s="666"/>
      <c r="K947" s="665"/>
      <c r="L947" s="667"/>
      <c r="M947" s="668"/>
      <c r="N947" s="373"/>
      <c r="O947" s="373"/>
      <c r="P947" s="670"/>
      <c r="Q947" s="665"/>
      <c r="R947" s="665"/>
      <c r="S947" s="539"/>
      <c r="T947" s="665"/>
      <c r="U947" s="49"/>
      <c r="V947" s="49"/>
      <c r="W947" s="49"/>
      <c r="X947" s="49"/>
      <c r="Y947" s="49"/>
    </row>
    <row r="948" ht="15.75" customHeight="1">
      <c r="A948" s="38"/>
      <c r="B948" s="49"/>
      <c r="C948" s="15"/>
      <c r="D948" s="663"/>
      <c r="E948" s="664"/>
      <c r="F948" s="665"/>
      <c r="G948" s="539"/>
      <c r="H948" s="373"/>
      <c r="I948" s="665"/>
      <c r="J948" s="666"/>
      <c r="K948" s="665"/>
      <c r="L948" s="667"/>
      <c r="M948" s="668"/>
      <c r="N948" s="373"/>
      <c r="O948" s="373"/>
      <c r="P948" s="670"/>
      <c r="Q948" s="665"/>
      <c r="R948" s="665"/>
      <c r="S948" s="539"/>
      <c r="T948" s="665"/>
      <c r="U948" s="49"/>
      <c r="V948" s="49"/>
      <c r="W948" s="49"/>
      <c r="X948" s="49"/>
      <c r="Y948" s="49"/>
    </row>
    <row r="949" ht="15.75" customHeight="1">
      <c r="A949" s="38"/>
      <c r="B949" s="49"/>
      <c r="C949" s="15"/>
      <c r="D949" s="663"/>
      <c r="E949" s="664"/>
      <c r="F949" s="665"/>
      <c r="G949" s="539"/>
      <c r="H949" s="373"/>
      <c r="I949" s="665"/>
      <c r="J949" s="666"/>
      <c r="K949" s="665"/>
      <c r="L949" s="667"/>
      <c r="M949" s="668"/>
      <c r="N949" s="373"/>
      <c r="O949" s="373"/>
      <c r="P949" s="670"/>
      <c r="Q949" s="665"/>
      <c r="R949" s="665"/>
      <c r="S949" s="539"/>
      <c r="T949" s="665"/>
      <c r="U949" s="49"/>
      <c r="V949" s="49"/>
      <c r="W949" s="49"/>
      <c r="X949" s="49"/>
      <c r="Y949" s="49"/>
    </row>
    <row r="950" ht="15.75" customHeight="1">
      <c r="A950" s="38"/>
      <c r="B950" s="49"/>
      <c r="C950" s="15"/>
      <c r="D950" s="663"/>
      <c r="E950" s="664"/>
      <c r="F950" s="665"/>
      <c r="G950" s="539"/>
      <c r="H950" s="373"/>
      <c r="I950" s="665"/>
      <c r="J950" s="666"/>
      <c r="K950" s="665"/>
      <c r="L950" s="667"/>
      <c r="M950" s="668"/>
      <c r="N950" s="373"/>
      <c r="O950" s="373"/>
      <c r="P950" s="670"/>
      <c r="Q950" s="665"/>
      <c r="R950" s="665"/>
      <c r="S950" s="539"/>
      <c r="T950" s="665"/>
      <c r="U950" s="49"/>
      <c r="V950" s="49"/>
      <c r="W950" s="49"/>
      <c r="X950" s="49"/>
      <c r="Y950" s="49"/>
    </row>
    <row r="951" ht="15.75" customHeight="1">
      <c r="A951" s="38"/>
      <c r="B951" s="49"/>
      <c r="C951" s="15"/>
      <c r="D951" s="663"/>
      <c r="E951" s="664"/>
      <c r="F951" s="665"/>
      <c r="G951" s="539"/>
      <c r="H951" s="373"/>
      <c r="I951" s="665"/>
      <c r="J951" s="666"/>
      <c r="K951" s="665"/>
      <c r="L951" s="667"/>
      <c r="M951" s="668"/>
      <c r="N951" s="373"/>
      <c r="O951" s="373"/>
      <c r="P951" s="670"/>
      <c r="Q951" s="665"/>
      <c r="R951" s="665"/>
      <c r="S951" s="539"/>
      <c r="T951" s="665"/>
      <c r="U951" s="49"/>
      <c r="V951" s="49"/>
      <c r="W951" s="49"/>
      <c r="X951" s="49"/>
      <c r="Y951" s="49"/>
    </row>
    <row r="952" ht="15.75" customHeight="1">
      <c r="A952" s="38"/>
      <c r="B952" s="49"/>
      <c r="C952" s="15"/>
      <c r="D952" s="663"/>
      <c r="E952" s="664"/>
      <c r="F952" s="665"/>
      <c r="G952" s="539"/>
      <c r="H952" s="373"/>
      <c r="I952" s="665"/>
      <c r="J952" s="666"/>
      <c r="K952" s="665"/>
      <c r="L952" s="667"/>
      <c r="M952" s="668"/>
      <c r="N952" s="373"/>
      <c r="O952" s="373"/>
      <c r="P952" s="670"/>
      <c r="Q952" s="665"/>
      <c r="R952" s="665"/>
      <c r="S952" s="539"/>
      <c r="T952" s="665"/>
      <c r="U952" s="49"/>
      <c r="V952" s="49"/>
      <c r="W952" s="49"/>
      <c r="X952" s="49"/>
      <c r="Y952" s="49"/>
    </row>
    <row r="953" ht="15.75" customHeight="1">
      <c r="A953" s="38"/>
      <c r="B953" s="49"/>
      <c r="C953" s="15"/>
      <c r="D953" s="663"/>
      <c r="E953" s="664"/>
      <c r="F953" s="665"/>
      <c r="G953" s="539"/>
      <c r="H953" s="373"/>
      <c r="I953" s="665"/>
      <c r="J953" s="666"/>
      <c r="K953" s="665"/>
      <c r="L953" s="667"/>
      <c r="M953" s="668"/>
      <c r="N953" s="373"/>
      <c r="O953" s="373"/>
      <c r="P953" s="670"/>
      <c r="Q953" s="665"/>
      <c r="R953" s="665"/>
      <c r="S953" s="539"/>
      <c r="T953" s="665"/>
      <c r="U953" s="49"/>
      <c r="V953" s="49"/>
      <c r="W953" s="49"/>
      <c r="X953" s="49"/>
      <c r="Y953" s="49"/>
    </row>
    <row r="954" ht="15.75" customHeight="1">
      <c r="A954" s="38"/>
      <c r="B954" s="49"/>
      <c r="C954" s="15"/>
      <c r="D954" s="663"/>
      <c r="E954" s="664"/>
      <c r="F954" s="665"/>
      <c r="G954" s="539"/>
      <c r="H954" s="373"/>
      <c r="I954" s="665"/>
      <c r="J954" s="666"/>
      <c r="K954" s="665"/>
      <c r="L954" s="667"/>
      <c r="M954" s="668"/>
      <c r="N954" s="373"/>
      <c r="O954" s="373"/>
      <c r="P954" s="670"/>
      <c r="Q954" s="665"/>
      <c r="R954" s="665"/>
      <c r="S954" s="539"/>
      <c r="T954" s="665"/>
      <c r="U954" s="49"/>
      <c r="V954" s="49"/>
      <c r="W954" s="49"/>
      <c r="X954" s="49"/>
      <c r="Y954" s="49"/>
    </row>
    <row r="955" ht="15.75" customHeight="1">
      <c r="A955" s="38"/>
      <c r="B955" s="49"/>
      <c r="C955" s="15"/>
      <c r="D955" s="663"/>
      <c r="E955" s="664"/>
      <c r="F955" s="665"/>
      <c r="G955" s="539"/>
      <c r="H955" s="373"/>
      <c r="I955" s="665"/>
      <c r="J955" s="666"/>
      <c r="K955" s="665"/>
      <c r="L955" s="667"/>
      <c r="M955" s="668"/>
      <c r="N955" s="373"/>
      <c r="O955" s="373"/>
      <c r="P955" s="670"/>
      <c r="Q955" s="665"/>
      <c r="R955" s="665"/>
      <c r="S955" s="539"/>
      <c r="T955" s="665"/>
      <c r="U955" s="49"/>
      <c r="V955" s="49"/>
      <c r="W955" s="49"/>
      <c r="X955" s="49"/>
      <c r="Y955" s="49"/>
    </row>
    <row r="956" ht="15.75" customHeight="1">
      <c r="A956" s="38"/>
      <c r="B956" s="49"/>
      <c r="C956" s="15"/>
      <c r="D956" s="663"/>
      <c r="E956" s="664"/>
      <c r="F956" s="665"/>
      <c r="G956" s="539"/>
      <c r="H956" s="373"/>
      <c r="I956" s="665"/>
      <c r="J956" s="666"/>
      <c r="K956" s="665"/>
      <c r="L956" s="667"/>
      <c r="M956" s="668"/>
      <c r="N956" s="373"/>
      <c r="O956" s="373"/>
      <c r="P956" s="670"/>
      <c r="Q956" s="665"/>
      <c r="R956" s="665"/>
      <c r="S956" s="539"/>
      <c r="T956" s="665"/>
      <c r="U956" s="49"/>
      <c r="V956" s="49"/>
      <c r="W956" s="49"/>
      <c r="X956" s="49"/>
      <c r="Y956" s="49"/>
    </row>
    <row r="957" ht="15.75" customHeight="1">
      <c r="A957" s="38"/>
      <c r="B957" s="49"/>
      <c r="C957" s="15"/>
      <c r="D957" s="663"/>
      <c r="E957" s="664"/>
      <c r="F957" s="665"/>
      <c r="G957" s="539"/>
      <c r="H957" s="373"/>
      <c r="I957" s="665"/>
      <c r="J957" s="666"/>
      <c r="K957" s="665"/>
      <c r="L957" s="667"/>
      <c r="M957" s="668"/>
      <c r="N957" s="373"/>
      <c r="O957" s="373"/>
      <c r="P957" s="670"/>
      <c r="Q957" s="665"/>
      <c r="R957" s="665"/>
      <c r="S957" s="539"/>
      <c r="T957" s="665"/>
      <c r="U957" s="49"/>
      <c r="V957" s="49"/>
      <c r="W957" s="49"/>
      <c r="X957" s="49"/>
      <c r="Y957" s="49"/>
    </row>
    <row r="958" ht="15.75" customHeight="1">
      <c r="A958" s="38"/>
      <c r="B958" s="49"/>
      <c r="C958" s="15"/>
      <c r="D958" s="663"/>
      <c r="E958" s="664"/>
      <c r="F958" s="665"/>
      <c r="G958" s="539"/>
      <c r="H958" s="373"/>
      <c r="I958" s="665"/>
      <c r="J958" s="666"/>
      <c r="K958" s="665"/>
      <c r="L958" s="667"/>
      <c r="M958" s="668"/>
      <c r="N958" s="373"/>
      <c r="O958" s="373"/>
      <c r="P958" s="670"/>
      <c r="Q958" s="665"/>
      <c r="R958" s="665"/>
      <c r="S958" s="539"/>
      <c r="T958" s="665"/>
      <c r="U958" s="49"/>
      <c r="V958" s="49"/>
      <c r="W958" s="49"/>
      <c r="X958" s="49"/>
      <c r="Y958" s="49"/>
    </row>
    <row r="959" ht="15.75" customHeight="1">
      <c r="A959" s="38"/>
      <c r="B959" s="49"/>
      <c r="C959" s="15"/>
      <c r="D959" s="663"/>
      <c r="E959" s="664"/>
      <c r="F959" s="665"/>
      <c r="G959" s="539"/>
      <c r="H959" s="373"/>
      <c r="I959" s="665"/>
      <c r="J959" s="666"/>
      <c r="K959" s="665"/>
      <c r="L959" s="667"/>
      <c r="M959" s="668"/>
      <c r="N959" s="373"/>
      <c r="O959" s="373"/>
      <c r="P959" s="670"/>
      <c r="Q959" s="665"/>
      <c r="R959" s="665"/>
      <c r="S959" s="539"/>
      <c r="T959" s="665"/>
      <c r="U959" s="49"/>
      <c r="V959" s="49"/>
      <c r="W959" s="49"/>
      <c r="X959" s="49"/>
      <c r="Y959" s="49"/>
    </row>
    <row r="960" ht="15.75" customHeight="1">
      <c r="A960" s="38"/>
      <c r="B960" s="49"/>
      <c r="C960" s="15"/>
      <c r="D960" s="663"/>
      <c r="E960" s="664"/>
      <c r="F960" s="665"/>
      <c r="G960" s="539"/>
      <c r="H960" s="373"/>
      <c r="I960" s="665"/>
      <c r="J960" s="666"/>
      <c r="K960" s="665"/>
      <c r="L960" s="667"/>
      <c r="M960" s="668"/>
      <c r="N960" s="373"/>
      <c r="O960" s="373"/>
      <c r="P960" s="670"/>
      <c r="Q960" s="665"/>
      <c r="R960" s="665"/>
      <c r="S960" s="539"/>
      <c r="T960" s="665"/>
      <c r="U960" s="49"/>
      <c r="V960" s="49"/>
      <c r="W960" s="49"/>
      <c r="X960" s="49"/>
      <c r="Y960" s="49"/>
    </row>
    <row r="961" ht="15.75" customHeight="1">
      <c r="A961" s="38"/>
      <c r="B961" s="49"/>
      <c r="C961" s="15"/>
      <c r="D961" s="663"/>
      <c r="E961" s="664"/>
      <c r="F961" s="665"/>
      <c r="G961" s="539"/>
      <c r="H961" s="373"/>
      <c r="I961" s="665"/>
      <c r="J961" s="666"/>
      <c r="K961" s="665"/>
      <c r="L961" s="667"/>
      <c r="M961" s="668"/>
      <c r="N961" s="373"/>
      <c r="O961" s="373"/>
      <c r="P961" s="670"/>
      <c r="Q961" s="665"/>
      <c r="R961" s="665"/>
      <c r="S961" s="539"/>
      <c r="T961" s="665"/>
      <c r="U961" s="49"/>
      <c r="V961" s="49"/>
      <c r="W961" s="49"/>
      <c r="X961" s="49"/>
      <c r="Y961" s="49"/>
    </row>
    <row r="962" ht="15.75" customHeight="1">
      <c r="A962" s="38"/>
      <c r="B962" s="49"/>
      <c r="C962" s="15"/>
      <c r="D962" s="663"/>
      <c r="E962" s="664"/>
      <c r="F962" s="665"/>
      <c r="G962" s="539"/>
      <c r="H962" s="373"/>
      <c r="I962" s="665"/>
      <c r="J962" s="666"/>
      <c r="K962" s="665"/>
      <c r="L962" s="667"/>
      <c r="M962" s="668"/>
      <c r="N962" s="373"/>
      <c r="O962" s="373"/>
      <c r="P962" s="670"/>
      <c r="Q962" s="665"/>
      <c r="R962" s="665"/>
      <c r="S962" s="539"/>
      <c r="T962" s="665"/>
      <c r="U962" s="49"/>
      <c r="V962" s="49"/>
      <c r="W962" s="49"/>
      <c r="X962" s="49"/>
      <c r="Y962" s="49"/>
    </row>
    <row r="963" ht="15.75" customHeight="1">
      <c r="A963" s="38"/>
      <c r="B963" s="49"/>
      <c r="C963" s="15"/>
      <c r="D963" s="663"/>
      <c r="E963" s="664"/>
      <c r="F963" s="665"/>
      <c r="G963" s="539"/>
      <c r="H963" s="373"/>
      <c r="I963" s="665"/>
      <c r="J963" s="666"/>
      <c r="K963" s="665"/>
      <c r="L963" s="667"/>
      <c r="M963" s="668"/>
      <c r="N963" s="373"/>
      <c r="O963" s="373"/>
      <c r="P963" s="670"/>
      <c r="Q963" s="665"/>
      <c r="R963" s="665"/>
      <c r="S963" s="539"/>
      <c r="T963" s="665"/>
      <c r="U963" s="49"/>
      <c r="V963" s="49"/>
      <c r="W963" s="49"/>
      <c r="X963" s="49"/>
      <c r="Y963" s="49"/>
    </row>
    <row r="964" ht="15.75" customHeight="1">
      <c r="A964" s="38"/>
      <c r="B964" s="49"/>
      <c r="C964" s="15"/>
      <c r="D964" s="663"/>
      <c r="E964" s="664"/>
      <c r="F964" s="665"/>
      <c r="G964" s="539"/>
      <c r="H964" s="373"/>
      <c r="I964" s="665"/>
      <c r="J964" s="666"/>
      <c r="K964" s="665"/>
      <c r="L964" s="667"/>
      <c r="M964" s="668"/>
      <c r="N964" s="373"/>
      <c r="O964" s="373"/>
      <c r="P964" s="670"/>
      <c r="Q964" s="665"/>
      <c r="R964" s="665"/>
      <c r="S964" s="539"/>
      <c r="T964" s="665"/>
      <c r="U964" s="49"/>
      <c r="V964" s="49"/>
      <c r="W964" s="49"/>
      <c r="X964" s="49"/>
      <c r="Y964" s="49"/>
    </row>
    <row r="965" ht="15.75" customHeight="1">
      <c r="A965" s="38"/>
      <c r="B965" s="49"/>
      <c r="C965" s="15"/>
      <c r="D965" s="663"/>
      <c r="E965" s="664"/>
      <c r="F965" s="665"/>
      <c r="G965" s="539"/>
      <c r="H965" s="373"/>
      <c r="I965" s="665"/>
      <c r="J965" s="666"/>
      <c r="K965" s="665"/>
      <c r="L965" s="667"/>
      <c r="M965" s="668"/>
      <c r="N965" s="373"/>
      <c r="O965" s="373"/>
      <c r="P965" s="670"/>
      <c r="Q965" s="665"/>
      <c r="R965" s="665"/>
      <c r="S965" s="539"/>
      <c r="T965" s="665"/>
      <c r="U965" s="49"/>
      <c r="V965" s="49"/>
      <c r="W965" s="49"/>
      <c r="X965" s="49"/>
      <c r="Y965" s="49"/>
    </row>
    <row r="966" ht="15.75" customHeight="1">
      <c r="A966" s="38"/>
      <c r="B966" s="49"/>
      <c r="C966" s="15"/>
      <c r="D966" s="663"/>
      <c r="E966" s="664"/>
      <c r="F966" s="665"/>
      <c r="G966" s="539"/>
      <c r="H966" s="373"/>
      <c r="I966" s="665"/>
      <c r="J966" s="666"/>
      <c r="K966" s="665"/>
      <c r="L966" s="667"/>
      <c r="M966" s="668"/>
      <c r="N966" s="373"/>
      <c r="O966" s="373"/>
      <c r="P966" s="670"/>
      <c r="Q966" s="665"/>
      <c r="R966" s="665"/>
      <c r="S966" s="539"/>
      <c r="T966" s="665"/>
      <c r="U966" s="49"/>
      <c r="V966" s="49"/>
      <c r="W966" s="49"/>
      <c r="X966" s="49"/>
      <c r="Y966" s="49"/>
    </row>
    <row r="967" ht="15.75" customHeight="1">
      <c r="A967" s="38"/>
      <c r="B967" s="49"/>
      <c r="C967" s="15"/>
      <c r="D967" s="663"/>
      <c r="E967" s="664"/>
      <c r="F967" s="665"/>
      <c r="G967" s="539"/>
      <c r="H967" s="373"/>
      <c r="I967" s="665"/>
      <c r="J967" s="666"/>
      <c r="K967" s="665"/>
      <c r="L967" s="667"/>
      <c r="M967" s="668"/>
      <c r="N967" s="373"/>
      <c r="O967" s="373"/>
      <c r="P967" s="670"/>
      <c r="Q967" s="665"/>
      <c r="R967" s="665"/>
      <c r="S967" s="539"/>
      <c r="T967" s="665"/>
      <c r="U967" s="49"/>
      <c r="V967" s="49"/>
      <c r="W967" s="49"/>
      <c r="X967" s="49"/>
      <c r="Y967" s="49"/>
    </row>
    <row r="968" ht="15.75" customHeight="1">
      <c r="A968" s="38"/>
      <c r="B968" s="49"/>
      <c r="C968" s="15"/>
      <c r="D968" s="663"/>
      <c r="E968" s="664"/>
      <c r="F968" s="665"/>
      <c r="G968" s="539"/>
      <c r="H968" s="373"/>
      <c r="I968" s="665"/>
      <c r="J968" s="666"/>
      <c r="K968" s="665"/>
      <c r="L968" s="667"/>
      <c r="M968" s="668"/>
      <c r="N968" s="373"/>
      <c r="O968" s="373"/>
      <c r="P968" s="670"/>
      <c r="Q968" s="665"/>
      <c r="R968" s="665"/>
      <c r="S968" s="539"/>
      <c r="T968" s="665"/>
      <c r="U968" s="49"/>
      <c r="V968" s="49"/>
      <c r="W968" s="49"/>
      <c r="X968" s="49"/>
      <c r="Y968" s="49"/>
    </row>
    <row r="969" ht="15.75" customHeight="1">
      <c r="A969" s="38"/>
      <c r="B969" s="49"/>
      <c r="C969" s="15"/>
      <c r="D969" s="663"/>
      <c r="E969" s="664"/>
      <c r="F969" s="665"/>
      <c r="G969" s="539"/>
      <c r="H969" s="373"/>
      <c r="I969" s="665"/>
      <c r="J969" s="666"/>
      <c r="K969" s="665"/>
      <c r="L969" s="667"/>
      <c r="M969" s="668"/>
      <c r="N969" s="373"/>
      <c r="O969" s="373"/>
      <c r="P969" s="670"/>
      <c r="Q969" s="665"/>
      <c r="R969" s="665"/>
      <c r="S969" s="539"/>
      <c r="T969" s="665"/>
      <c r="U969" s="49"/>
      <c r="V969" s="49"/>
      <c r="W969" s="49"/>
      <c r="X969" s="49"/>
      <c r="Y969" s="49"/>
    </row>
    <row r="970" ht="15.75" customHeight="1">
      <c r="A970" s="38"/>
      <c r="B970" s="49"/>
      <c r="C970" s="15"/>
      <c r="D970" s="663"/>
      <c r="E970" s="664"/>
      <c r="F970" s="665"/>
      <c r="G970" s="539"/>
      <c r="H970" s="373"/>
      <c r="I970" s="665"/>
      <c r="J970" s="666"/>
      <c r="K970" s="665"/>
      <c r="L970" s="667"/>
      <c r="M970" s="668"/>
      <c r="N970" s="373"/>
      <c r="O970" s="373"/>
      <c r="P970" s="670"/>
      <c r="Q970" s="665"/>
      <c r="R970" s="665"/>
      <c r="S970" s="539"/>
      <c r="T970" s="665"/>
      <c r="U970" s="49"/>
      <c r="V970" s="49"/>
      <c r="W970" s="49"/>
      <c r="X970" s="49"/>
      <c r="Y970" s="49"/>
    </row>
    <row r="971" ht="15.75" customHeight="1">
      <c r="A971" s="38"/>
      <c r="B971" s="49"/>
      <c r="C971" s="15"/>
      <c r="D971" s="663"/>
      <c r="E971" s="664"/>
      <c r="F971" s="665"/>
      <c r="G971" s="539"/>
      <c r="H971" s="373"/>
      <c r="I971" s="665"/>
      <c r="J971" s="666"/>
      <c r="K971" s="665"/>
      <c r="L971" s="667"/>
      <c r="M971" s="668"/>
      <c r="N971" s="373"/>
      <c r="O971" s="373"/>
      <c r="P971" s="670"/>
      <c r="Q971" s="665"/>
      <c r="R971" s="665"/>
      <c r="S971" s="539"/>
      <c r="T971" s="665"/>
      <c r="U971" s="49"/>
      <c r="V971" s="49"/>
      <c r="W971" s="49"/>
      <c r="X971" s="49"/>
      <c r="Y971" s="49"/>
    </row>
    <row r="972" ht="15.75" customHeight="1">
      <c r="A972" s="38"/>
      <c r="B972" s="49"/>
      <c r="C972" s="15"/>
      <c r="D972" s="663"/>
      <c r="E972" s="664"/>
      <c r="F972" s="665"/>
      <c r="G972" s="539"/>
      <c r="H972" s="373"/>
      <c r="I972" s="665"/>
      <c r="J972" s="666"/>
      <c r="K972" s="665"/>
      <c r="L972" s="667"/>
      <c r="M972" s="668"/>
      <c r="N972" s="373"/>
      <c r="O972" s="373"/>
      <c r="P972" s="670"/>
      <c r="Q972" s="665"/>
      <c r="R972" s="665"/>
      <c r="S972" s="539"/>
      <c r="T972" s="665"/>
      <c r="U972" s="49"/>
      <c r="V972" s="49"/>
      <c r="W972" s="49"/>
      <c r="X972" s="49"/>
      <c r="Y972" s="49"/>
    </row>
    <row r="973" ht="15.75" customHeight="1">
      <c r="A973" s="38"/>
      <c r="B973" s="49"/>
      <c r="C973" s="15"/>
      <c r="D973" s="663"/>
      <c r="E973" s="664"/>
      <c r="F973" s="665"/>
      <c r="G973" s="539"/>
      <c r="H973" s="373"/>
      <c r="I973" s="665"/>
      <c r="J973" s="666"/>
      <c r="K973" s="665"/>
      <c r="L973" s="667"/>
      <c r="M973" s="668"/>
      <c r="N973" s="373"/>
      <c r="O973" s="373"/>
      <c r="P973" s="670"/>
      <c r="Q973" s="665"/>
      <c r="R973" s="665"/>
      <c r="S973" s="539"/>
      <c r="T973" s="665"/>
      <c r="U973" s="49"/>
      <c r="V973" s="49"/>
      <c r="W973" s="49"/>
      <c r="X973" s="49"/>
      <c r="Y973" s="49"/>
    </row>
    <row r="974" ht="15.75" customHeight="1">
      <c r="A974" s="38"/>
      <c r="B974" s="49"/>
      <c r="C974" s="15"/>
      <c r="D974" s="663"/>
      <c r="E974" s="664"/>
      <c r="F974" s="665"/>
      <c r="G974" s="539"/>
      <c r="H974" s="373"/>
      <c r="I974" s="665"/>
      <c r="J974" s="666"/>
      <c r="K974" s="665"/>
      <c r="L974" s="667"/>
      <c r="M974" s="668"/>
      <c r="N974" s="373"/>
      <c r="O974" s="373"/>
      <c r="P974" s="670"/>
      <c r="Q974" s="665"/>
      <c r="R974" s="665"/>
      <c r="S974" s="539"/>
      <c r="T974" s="665"/>
      <c r="U974" s="49"/>
      <c r="V974" s="49"/>
      <c r="W974" s="49"/>
      <c r="X974" s="49"/>
      <c r="Y974" s="49"/>
    </row>
    <row r="975" ht="15.75" customHeight="1">
      <c r="A975" s="38"/>
      <c r="B975" s="49"/>
      <c r="C975" s="15"/>
      <c r="D975" s="663"/>
      <c r="E975" s="664"/>
      <c r="F975" s="665"/>
      <c r="G975" s="539"/>
      <c r="H975" s="373"/>
      <c r="I975" s="665"/>
      <c r="J975" s="666"/>
      <c r="K975" s="665"/>
      <c r="L975" s="667"/>
      <c r="M975" s="668"/>
      <c r="N975" s="373"/>
      <c r="O975" s="373"/>
      <c r="P975" s="670"/>
      <c r="Q975" s="665"/>
      <c r="R975" s="665"/>
      <c r="S975" s="539"/>
      <c r="T975" s="665"/>
      <c r="U975" s="49"/>
      <c r="V975" s="49"/>
      <c r="W975" s="49"/>
      <c r="X975" s="49"/>
      <c r="Y975" s="49"/>
    </row>
    <row r="976" ht="15.75" customHeight="1">
      <c r="A976" s="38"/>
      <c r="B976" s="49"/>
      <c r="C976" s="15"/>
      <c r="D976" s="663"/>
      <c r="E976" s="664"/>
      <c r="F976" s="665"/>
      <c r="G976" s="539"/>
      <c r="H976" s="373"/>
      <c r="I976" s="665"/>
      <c r="J976" s="666"/>
      <c r="K976" s="665"/>
      <c r="L976" s="667"/>
      <c r="M976" s="668"/>
      <c r="N976" s="373"/>
      <c r="O976" s="373"/>
      <c r="P976" s="670"/>
      <c r="Q976" s="665"/>
      <c r="R976" s="665"/>
      <c r="S976" s="539"/>
      <c r="T976" s="665"/>
      <c r="U976" s="49"/>
      <c r="V976" s="49"/>
      <c r="W976" s="49"/>
      <c r="X976" s="49"/>
      <c r="Y976" s="49"/>
    </row>
    <row r="977" ht="15.75" customHeight="1">
      <c r="A977" s="38"/>
      <c r="B977" s="49"/>
      <c r="C977" s="15"/>
      <c r="D977" s="663"/>
      <c r="E977" s="664"/>
      <c r="F977" s="665"/>
      <c r="G977" s="539"/>
      <c r="H977" s="373"/>
      <c r="I977" s="665"/>
      <c r="J977" s="666"/>
      <c r="K977" s="665"/>
      <c r="L977" s="667"/>
      <c r="M977" s="668"/>
      <c r="N977" s="373"/>
      <c r="O977" s="373"/>
      <c r="P977" s="670"/>
      <c r="Q977" s="665"/>
      <c r="R977" s="665"/>
      <c r="S977" s="539"/>
      <c r="T977" s="665"/>
      <c r="U977" s="49"/>
      <c r="V977" s="49"/>
      <c r="W977" s="49"/>
      <c r="X977" s="49"/>
      <c r="Y977" s="49"/>
    </row>
    <row r="978" ht="15.75" customHeight="1">
      <c r="A978" s="38"/>
      <c r="B978" s="49"/>
      <c r="C978" s="15"/>
      <c r="D978" s="663"/>
      <c r="E978" s="664"/>
      <c r="F978" s="665"/>
      <c r="G978" s="539"/>
      <c r="H978" s="373"/>
      <c r="I978" s="665"/>
      <c r="J978" s="666"/>
      <c r="K978" s="665"/>
      <c r="L978" s="667"/>
      <c r="M978" s="668"/>
      <c r="N978" s="373"/>
      <c r="O978" s="373"/>
      <c r="P978" s="670"/>
      <c r="Q978" s="665"/>
      <c r="R978" s="665"/>
      <c r="S978" s="539"/>
      <c r="T978" s="665"/>
      <c r="U978" s="49"/>
      <c r="V978" s="49"/>
      <c r="W978" s="49"/>
      <c r="X978" s="49"/>
      <c r="Y978" s="49"/>
    </row>
    <row r="979" ht="15.75" customHeight="1">
      <c r="A979" s="38"/>
      <c r="B979" s="49"/>
      <c r="C979" s="15"/>
      <c r="D979" s="663"/>
      <c r="E979" s="664"/>
      <c r="F979" s="665"/>
      <c r="G979" s="539"/>
      <c r="H979" s="373"/>
      <c r="I979" s="665"/>
      <c r="J979" s="666"/>
      <c r="K979" s="665"/>
      <c r="L979" s="667"/>
      <c r="M979" s="668"/>
      <c r="N979" s="373"/>
      <c r="O979" s="373"/>
      <c r="P979" s="670"/>
      <c r="Q979" s="665"/>
      <c r="R979" s="665"/>
      <c r="S979" s="539"/>
      <c r="T979" s="665"/>
      <c r="U979" s="49"/>
      <c r="V979" s="49"/>
      <c r="W979" s="49"/>
      <c r="X979" s="49"/>
      <c r="Y979" s="49"/>
    </row>
    <row r="980" ht="15.75" customHeight="1">
      <c r="A980" s="38"/>
      <c r="B980" s="49"/>
      <c r="C980" s="15"/>
      <c r="D980" s="663"/>
      <c r="E980" s="664"/>
      <c r="F980" s="665"/>
      <c r="G980" s="539"/>
      <c r="H980" s="373"/>
      <c r="I980" s="665"/>
      <c r="J980" s="666"/>
      <c r="K980" s="665"/>
      <c r="L980" s="667"/>
      <c r="M980" s="668"/>
      <c r="N980" s="373"/>
      <c r="O980" s="373"/>
      <c r="P980" s="670"/>
      <c r="Q980" s="665"/>
      <c r="R980" s="665"/>
      <c r="S980" s="539"/>
      <c r="T980" s="665"/>
      <c r="U980" s="49"/>
      <c r="V980" s="49"/>
      <c r="W980" s="49"/>
      <c r="X980" s="49"/>
      <c r="Y980" s="49"/>
    </row>
    <row r="981" ht="15.75" customHeight="1">
      <c r="A981" s="38"/>
      <c r="B981" s="49"/>
      <c r="C981" s="15"/>
      <c r="D981" s="663"/>
      <c r="E981" s="664"/>
      <c r="F981" s="665"/>
      <c r="G981" s="539"/>
      <c r="H981" s="373"/>
      <c r="I981" s="665"/>
      <c r="J981" s="666"/>
      <c r="K981" s="665"/>
      <c r="L981" s="667"/>
      <c r="M981" s="668"/>
      <c r="N981" s="373"/>
      <c r="O981" s="373"/>
      <c r="P981" s="670"/>
      <c r="Q981" s="665"/>
      <c r="R981" s="665"/>
      <c r="S981" s="539"/>
      <c r="T981" s="665"/>
      <c r="U981" s="49"/>
      <c r="V981" s="49"/>
      <c r="W981" s="49"/>
      <c r="X981" s="49"/>
      <c r="Y981" s="49"/>
    </row>
    <row r="982" ht="15.75" customHeight="1">
      <c r="A982" s="38"/>
      <c r="B982" s="49"/>
      <c r="C982" s="15"/>
      <c r="D982" s="663"/>
      <c r="E982" s="664"/>
      <c r="F982" s="665"/>
      <c r="G982" s="539"/>
      <c r="H982" s="373"/>
      <c r="I982" s="665"/>
      <c r="J982" s="666"/>
      <c r="K982" s="665"/>
      <c r="L982" s="667"/>
      <c r="M982" s="668"/>
      <c r="N982" s="373"/>
      <c r="O982" s="373"/>
      <c r="P982" s="670"/>
      <c r="Q982" s="665"/>
      <c r="R982" s="665"/>
      <c r="S982" s="539"/>
      <c r="T982" s="665"/>
      <c r="U982" s="49"/>
      <c r="V982" s="49"/>
      <c r="W982" s="49"/>
      <c r="X982" s="49"/>
      <c r="Y982" s="49"/>
    </row>
    <row r="983" ht="15.75" customHeight="1">
      <c r="A983" s="38"/>
      <c r="B983" s="49"/>
      <c r="C983" s="15"/>
      <c r="D983" s="663"/>
      <c r="E983" s="664"/>
      <c r="F983" s="665"/>
      <c r="G983" s="539"/>
      <c r="H983" s="373"/>
      <c r="I983" s="665"/>
      <c r="J983" s="666"/>
      <c r="K983" s="665"/>
      <c r="L983" s="667"/>
      <c r="M983" s="668"/>
      <c r="N983" s="373"/>
      <c r="O983" s="373"/>
      <c r="P983" s="670"/>
      <c r="Q983" s="665"/>
      <c r="R983" s="665"/>
      <c r="S983" s="539"/>
      <c r="T983" s="665"/>
      <c r="U983" s="49"/>
      <c r="V983" s="49"/>
      <c r="W983" s="49"/>
      <c r="X983" s="49"/>
      <c r="Y983" s="49"/>
    </row>
    <row r="984" ht="15.75" customHeight="1">
      <c r="A984" s="38"/>
      <c r="B984" s="49"/>
      <c r="C984" s="15"/>
      <c r="D984" s="663"/>
      <c r="E984" s="664"/>
      <c r="F984" s="665"/>
      <c r="G984" s="539"/>
      <c r="H984" s="373"/>
      <c r="I984" s="665"/>
      <c r="J984" s="666"/>
      <c r="K984" s="665"/>
      <c r="L984" s="667"/>
      <c r="M984" s="668"/>
      <c r="N984" s="373"/>
      <c r="O984" s="373"/>
      <c r="P984" s="670"/>
      <c r="Q984" s="665"/>
      <c r="R984" s="665"/>
      <c r="S984" s="539"/>
      <c r="T984" s="665"/>
      <c r="U984" s="49"/>
      <c r="V984" s="49"/>
      <c r="W984" s="49"/>
      <c r="X984" s="49"/>
      <c r="Y984" s="49"/>
    </row>
    <row r="985" ht="15.75" customHeight="1">
      <c r="A985" s="38"/>
      <c r="B985" s="49"/>
      <c r="C985" s="15"/>
      <c r="D985" s="663"/>
      <c r="E985" s="664"/>
      <c r="F985" s="665"/>
      <c r="G985" s="539"/>
      <c r="H985" s="373"/>
      <c r="I985" s="665"/>
      <c r="J985" s="666"/>
      <c r="K985" s="665"/>
      <c r="L985" s="667"/>
      <c r="M985" s="668"/>
      <c r="N985" s="373"/>
      <c r="O985" s="373"/>
      <c r="P985" s="670"/>
      <c r="Q985" s="665"/>
      <c r="R985" s="665"/>
      <c r="S985" s="539"/>
      <c r="T985" s="665"/>
      <c r="U985" s="49"/>
      <c r="V985" s="49"/>
      <c r="W985" s="49"/>
      <c r="X985" s="49"/>
      <c r="Y985" s="49"/>
    </row>
    <row r="986" ht="15.75" customHeight="1">
      <c r="A986" s="38"/>
      <c r="B986" s="49"/>
      <c r="C986" s="15"/>
      <c r="D986" s="663"/>
      <c r="E986" s="664"/>
      <c r="F986" s="665"/>
      <c r="G986" s="539"/>
      <c r="H986" s="373"/>
      <c r="I986" s="665"/>
      <c r="J986" s="666"/>
      <c r="K986" s="665"/>
      <c r="L986" s="667"/>
      <c r="M986" s="668"/>
      <c r="N986" s="373"/>
      <c r="O986" s="373"/>
      <c r="P986" s="670"/>
      <c r="Q986" s="665"/>
      <c r="R986" s="665"/>
      <c r="S986" s="539"/>
      <c r="T986" s="665"/>
      <c r="U986" s="49"/>
      <c r="V986" s="49"/>
      <c r="W986" s="49"/>
      <c r="X986" s="49"/>
      <c r="Y986" s="49"/>
    </row>
    <row r="987" ht="15.75" customHeight="1">
      <c r="A987" s="38"/>
      <c r="B987" s="49"/>
      <c r="C987" s="15"/>
      <c r="D987" s="663"/>
      <c r="E987" s="664"/>
      <c r="F987" s="665"/>
      <c r="G987" s="539"/>
      <c r="H987" s="373"/>
      <c r="I987" s="665"/>
      <c r="J987" s="666"/>
      <c r="K987" s="665"/>
      <c r="L987" s="667"/>
      <c r="M987" s="668"/>
      <c r="N987" s="373"/>
      <c r="O987" s="373"/>
      <c r="P987" s="670"/>
      <c r="Q987" s="665"/>
      <c r="R987" s="665"/>
      <c r="S987" s="539"/>
      <c r="T987" s="665"/>
      <c r="U987" s="49"/>
      <c r="V987" s="49"/>
      <c r="W987" s="49"/>
      <c r="X987" s="49"/>
      <c r="Y987" s="49"/>
    </row>
    <row r="988" ht="15.75" customHeight="1">
      <c r="A988" s="38"/>
      <c r="B988" s="49"/>
      <c r="C988" s="15"/>
      <c r="D988" s="663"/>
      <c r="E988" s="664"/>
      <c r="F988" s="665"/>
      <c r="G988" s="539"/>
      <c r="H988" s="373"/>
      <c r="I988" s="665"/>
      <c r="J988" s="666"/>
      <c r="K988" s="665"/>
      <c r="L988" s="667"/>
      <c r="M988" s="668"/>
      <c r="N988" s="373"/>
      <c r="O988" s="373"/>
      <c r="P988" s="670"/>
      <c r="Q988" s="665"/>
      <c r="R988" s="665"/>
      <c r="S988" s="539"/>
      <c r="T988" s="665"/>
      <c r="U988" s="49"/>
      <c r="V988" s="49"/>
      <c r="W988" s="49"/>
      <c r="X988" s="49"/>
      <c r="Y988" s="49"/>
    </row>
    <row r="989" ht="15.75" customHeight="1">
      <c r="A989" s="38"/>
      <c r="B989" s="49"/>
      <c r="C989" s="15"/>
      <c r="D989" s="663"/>
      <c r="E989" s="664"/>
      <c r="F989" s="665"/>
      <c r="G989" s="539"/>
      <c r="H989" s="373"/>
      <c r="I989" s="665"/>
      <c r="J989" s="666"/>
      <c r="K989" s="665"/>
      <c r="L989" s="667"/>
      <c r="M989" s="668"/>
      <c r="N989" s="373"/>
      <c r="O989" s="373"/>
      <c r="P989" s="670"/>
      <c r="Q989" s="665"/>
      <c r="R989" s="665"/>
      <c r="S989" s="539"/>
      <c r="T989" s="665"/>
      <c r="U989" s="49"/>
      <c r="V989" s="49"/>
      <c r="W989" s="49"/>
      <c r="X989" s="49"/>
      <c r="Y989" s="49"/>
    </row>
    <row r="990" ht="15.75" customHeight="1">
      <c r="A990" s="38"/>
      <c r="B990" s="49"/>
      <c r="C990" s="15"/>
      <c r="D990" s="663"/>
      <c r="E990" s="664"/>
      <c r="F990" s="665"/>
      <c r="G990" s="539"/>
      <c r="H990" s="373"/>
      <c r="I990" s="665"/>
      <c r="J990" s="666"/>
      <c r="K990" s="665"/>
      <c r="L990" s="667"/>
      <c r="M990" s="668"/>
      <c r="N990" s="373"/>
      <c r="O990" s="373"/>
      <c r="P990" s="670"/>
      <c r="Q990" s="665"/>
      <c r="R990" s="665"/>
      <c r="S990" s="539"/>
      <c r="T990" s="665"/>
      <c r="U990" s="49"/>
      <c r="V990" s="49"/>
      <c r="W990" s="49"/>
      <c r="X990" s="49"/>
      <c r="Y990" s="49"/>
    </row>
    <row r="991" ht="15.75" customHeight="1">
      <c r="A991" s="38"/>
      <c r="B991" s="49"/>
      <c r="C991" s="15"/>
      <c r="D991" s="663"/>
      <c r="E991" s="664"/>
      <c r="F991" s="665"/>
      <c r="G991" s="539"/>
      <c r="H991" s="373"/>
      <c r="I991" s="665"/>
      <c r="J991" s="666"/>
      <c r="K991" s="665"/>
      <c r="L991" s="667"/>
      <c r="M991" s="668"/>
      <c r="N991" s="373"/>
      <c r="O991" s="373"/>
      <c r="P991" s="670"/>
      <c r="Q991" s="665"/>
      <c r="R991" s="665"/>
      <c r="S991" s="539"/>
      <c r="T991" s="665"/>
      <c r="U991" s="49"/>
      <c r="V991" s="49"/>
      <c r="W991" s="49"/>
      <c r="X991" s="49"/>
      <c r="Y991" s="49"/>
    </row>
    <row r="992" ht="15.75" customHeight="1">
      <c r="A992" s="38"/>
      <c r="B992" s="49"/>
      <c r="C992" s="15"/>
      <c r="D992" s="663"/>
      <c r="E992" s="664"/>
      <c r="F992" s="665"/>
      <c r="G992" s="539"/>
      <c r="H992" s="373"/>
      <c r="I992" s="665"/>
      <c r="J992" s="666"/>
      <c r="K992" s="665"/>
      <c r="L992" s="667"/>
      <c r="M992" s="668"/>
      <c r="N992" s="373"/>
      <c r="O992" s="373"/>
      <c r="P992" s="670"/>
      <c r="Q992" s="665"/>
      <c r="R992" s="665"/>
      <c r="S992" s="539"/>
      <c r="T992" s="665"/>
      <c r="U992" s="49"/>
      <c r="V992" s="49"/>
      <c r="W992" s="49"/>
      <c r="X992" s="49"/>
      <c r="Y992" s="49"/>
    </row>
    <row r="993" ht="15.75" customHeight="1">
      <c r="A993" s="38"/>
      <c r="B993" s="49"/>
      <c r="C993" s="15"/>
      <c r="D993" s="663"/>
      <c r="E993" s="664"/>
      <c r="F993" s="665"/>
      <c r="G993" s="539"/>
      <c r="H993" s="373"/>
      <c r="I993" s="665"/>
      <c r="J993" s="666"/>
      <c r="K993" s="665"/>
      <c r="L993" s="667"/>
      <c r="M993" s="668"/>
      <c r="N993" s="373"/>
      <c r="O993" s="373"/>
      <c r="P993" s="670"/>
      <c r="Q993" s="665"/>
      <c r="R993" s="665"/>
      <c r="S993" s="539"/>
      <c r="T993" s="665"/>
      <c r="U993" s="49"/>
      <c r="V993" s="49"/>
      <c r="W993" s="49"/>
      <c r="X993" s="49"/>
      <c r="Y993" s="49"/>
    </row>
    <row r="994" ht="15.75" customHeight="1">
      <c r="A994" s="38"/>
      <c r="B994" s="49"/>
      <c r="C994" s="15"/>
      <c r="D994" s="663"/>
      <c r="E994" s="664"/>
      <c r="F994" s="665"/>
      <c r="G994" s="539"/>
      <c r="H994" s="373"/>
      <c r="I994" s="665"/>
      <c r="J994" s="666"/>
      <c r="K994" s="665"/>
      <c r="L994" s="667"/>
      <c r="M994" s="668"/>
      <c r="N994" s="373"/>
      <c r="O994" s="373"/>
      <c r="P994" s="670"/>
      <c r="Q994" s="665"/>
      <c r="R994" s="665"/>
      <c r="S994" s="539"/>
      <c r="T994" s="665"/>
      <c r="U994" s="49"/>
      <c r="V994" s="49"/>
      <c r="W994" s="49"/>
      <c r="X994" s="49"/>
      <c r="Y994" s="49"/>
    </row>
    <row r="995" ht="15.75" customHeight="1">
      <c r="A995" s="38"/>
      <c r="B995" s="49"/>
      <c r="C995" s="15"/>
      <c r="D995" s="663"/>
      <c r="E995" s="664"/>
      <c r="F995" s="665"/>
      <c r="G995" s="539"/>
      <c r="H995" s="373"/>
      <c r="I995" s="665"/>
      <c r="J995" s="666"/>
      <c r="K995" s="665"/>
      <c r="L995" s="667"/>
      <c r="M995" s="668"/>
      <c r="N995" s="373"/>
      <c r="O995" s="373"/>
      <c r="P995" s="670"/>
      <c r="Q995" s="665"/>
      <c r="R995" s="665"/>
      <c r="S995" s="539"/>
      <c r="T995" s="665"/>
      <c r="U995" s="49"/>
      <c r="V995" s="49"/>
      <c r="W995" s="49"/>
      <c r="X995" s="49"/>
      <c r="Y995" s="49"/>
    </row>
    <row r="996" ht="15.75" customHeight="1">
      <c r="A996" s="38"/>
      <c r="B996" s="49"/>
      <c r="C996" s="15"/>
      <c r="D996" s="663"/>
      <c r="E996" s="664"/>
      <c r="F996" s="665"/>
      <c r="G996" s="539"/>
      <c r="H996" s="373"/>
      <c r="I996" s="665"/>
      <c r="J996" s="666"/>
      <c r="K996" s="665"/>
      <c r="L996" s="667"/>
      <c r="M996" s="668"/>
      <c r="N996" s="373"/>
      <c r="O996" s="373"/>
      <c r="P996" s="670"/>
      <c r="Q996" s="665"/>
      <c r="R996" s="665"/>
      <c r="S996" s="539"/>
      <c r="T996" s="665"/>
      <c r="U996" s="49"/>
      <c r="V996" s="49"/>
      <c r="W996" s="49"/>
      <c r="X996" s="49"/>
      <c r="Y996" s="49"/>
    </row>
    <row r="997" ht="15.75" customHeight="1">
      <c r="A997" s="38"/>
      <c r="B997" s="49"/>
      <c r="C997" s="15"/>
      <c r="D997" s="663"/>
      <c r="E997" s="664"/>
      <c r="F997" s="665"/>
      <c r="G997" s="539"/>
      <c r="H997" s="373"/>
      <c r="I997" s="665"/>
      <c r="J997" s="666"/>
      <c r="K997" s="665"/>
      <c r="L997" s="667"/>
      <c r="M997" s="668"/>
      <c r="N997" s="373"/>
      <c r="O997" s="373"/>
      <c r="P997" s="670"/>
      <c r="Q997" s="665"/>
      <c r="R997" s="665"/>
      <c r="S997" s="539"/>
      <c r="T997" s="665"/>
      <c r="U997" s="49"/>
      <c r="V997" s="49"/>
      <c r="W997" s="49"/>
      <c r="X997" s="49"/>
      <c r="Y997" s="49"/>
    </row>
    <row r="998" ht="15.75" customHeight="1">
      <c r="A998" s="38"/>
      <c r="B998" s="49"/>
      <c r="C998" s="15"/>
      <c r="D998" s="663"/>
      <c r="E998" s="664"/>
      <c r="F998" s="665"/>
      <c r="G998" s="539"/>
      <c r="H998" s="373"/>
      <c r="I998" s="665"/>
      <c r="J998" s="666"/>
      <c r="K998" s="665"/>
      <c r="L998" s="667"/>
      <c r="M998" s="668"/>
      <c r="N998" s="373"/>
      <c r="O998" s="373"/>
      <c r="P998" s="670"/>
      <c r="Q998" s="665"/>
      <c r="R998" s="665"/>
      <c r="S998" s="539"/>
      <c r="T998" s="665"/>
      <c r="U998" s="49"/>
      <c r="V998" s="49"/>
      <c r="W998" s="49"/>
      <c r="X998" s="49"/>
      <c r="Y998" s="49"/>
    </row>
    <row r="999" ht="15.75" customHeight="1">
      <c r="A999" s="38"/>
      <c r="B999" s="49"/>
      <c r="C999" s="15"/>
      <c r="D999" s="663"/>
      <c r="E999" s="664"/>
      <c r="F999" s="665"/>
      <c r="G999" s="539"/>
      <c r="H999" s="373"/>
      <c r="I999" s="665"/>
      <c r="J999" s="666"/>
      <c r="K999" s="665"/>
      <c r="L999" s="667"/>
      <c r="M999" s="668"/>
      <c r="N999" s="373"/>
      <c r="O999" s="373"/>
      <c r="P999" s="670"/>
      <c r="Q999" s="665"/>
      <c r="R999" s="665"/>
      <c r="S999" s="539"/>
      <c r="T999" s="665"/>
      <c r="U999" s="49"/>
      <c r="V999" s="49"/>
      <c r="W999" s="49"/>
      <c r="X999" s="49"/>
      <c r="Y999" s="49"/>
    </row>
    <row r="1000" ht="15.75" customHeight="1">
      <c r="A1000" s="38"/>
      <c r="B1000" s="49"/>
      <c r="C1000" s="15"/>
      <c r="D1000" s="663"/>
      <c r="E1000" s="664"/>
      <c r="F1000" s="665"/>
      <c r="G1000" s="539"/>
      <c r="H1000" s="373"/>
      <c r="I1000" s="665"/>
      <c r="J1000" s="666"/>
      <c r="K1000" s="665"/>
      <c r="L1000" s="667"/>
      <c r="M1000" s="668"/>
      <c r="N1000" s="373"/>
      <c r="O1000" s="373"/>
      <c r="P1000" s="670"/>
      <c r="Q1000" s="665"/>
      <c r="R1000" s="665"/>
      <c r="S1000" s="539"/>
      <c r="T1000" s="665"/>
      <c r="U1000" s="49"/>
      <c r="V1000" s="49"/>
      <c r="W1000" s="49"/>
      <c r="X1000" s="49"/>
      <c r="Y1000" s="49"/>
    </row>
    <row r="1001" ht="15.75" customHeight="1">
      <c r="A1001" s="38"/>
      <c r="B1001" s="49"/>
      <c r="C1001" s="15"/>
      <c r="D1001" s="663"/>
      <c r="E1001" s="664"/>
      <c r="F1001" s="665"/>
      <c r="G1001" s="539"/>
      <c r="H1001" s="373"/>
      <c r="I1001" s="665"/>
      <c r="J1001" s="666"/>
      <c r="K1001" s="665"/>
      <c r="L1001" s="667"/>
      <c r="M1001" s="668"/>
      <c r="N1001" s="373"/>
      <c r="O1001" s="373"/>
      <c r="P1001" s="670"/>
      <c r="Q1001" s="665"/>
      <c r="R1001" s="665"/>
      <c r="S1001" s="539"/>
      <c r="T1001" s="665"/>
      <c r="U1001" s="49"/>
      <c r="V1001" s="49"/>
      <c r="W1001" s="49"/>
      <c r="X1001" s="49"/>
      <c r="Y1001" s="49"/>
    </row>
    <row r="1002" ht="15.75" customHeight="1">
      <c r="A1002" s="38"/>
      <c r="B1002" s="49"/>
      <c r="C1002" s="15"/>
      <c r="D1002" s="663"/>
      <c r="E1002" s="664"/>
      <c r="F1002" s="665"/>
      <c r="G1002" s="539"/>
      <c r="H1002" s="373"/>
      <c r="I1002" s="665"/>
      <c r="J1002" s="666"/>
      <c r="K1002" s="665"/>
      <c r="L1002" s="667"/>
      <c r="M1002" s="668"/>
      <c r="N1002" s="373"/>
      <c r="O1002" s="373"/>
      <c r="P1002" s="670"/>
      <c r="Q1002" s="665"/>
      <c r="R1002" s="665"/>
      <c r="S1002" s="539"/>
      <c r="T1002" s="665"/>
      <c r="U1002" s="49"/>
      <c r="V1002" s="49"/>
      <c r="W1002" s="49"/>
      <c r="X1002" s="49"/>
      <c r="Y1002" s="49"/>
    </row>
    <row r="1003" ht="15.75" customHeight="1">
      <c r="A1003" s="38"/>
      <c r="B1003" s="49"/>
      <c r="C1003" s="15"/>
      <c r="D1003" s="663"/>
      <c r="E1003" s="664"/>
      <c r="F1003" s="665"/>
      <c r="G1003" s="539"/>
      <c r="H1003" s="373"/>
      <c r="I1003" s="665"/>
      <c r="J1003" s="666"/>
      <c r="K1003" s="665"/>
      <c r="L1003" s="667"/>
      <c r="M1003" s="668"/>
      <c r="N1003" s="373"/>
      <c r="O1003" s="373"/>
      <c r="P1003" s="670"/>
      <c r="Q1003" s="665"/>
      <c r="R1003" s="665"/>
      <c r="S1003" s="539"/>
      <c r="T1003" s="665"/>
      <c r="U1003" s="49"/>
      <c r="V1003" s="49"/>
      <c r="W1003" s="49"/>
      <c r="X1003" s="49"/>
      <c r="Y1003" s="49"/>
    </row>
    <row r="1004" ht="15.75" customHeight="1">
      <c r="A1004" s="38"/>
      <c r="B1004" s="49"/>
      <c r="C1004" s="15"/>
      <c r="D1004" s="663"/>
      <c r="E1004" s="664"/>
      <c r="F1004" s="665"/>
      <c r="G1004" s="539"/>
      <c r="H1004" s="373"/>
      <c r="I1004" s="665"/>
      <c r="J1004" s="666"/>
      <c r="K1004" s="665"/>
      <c r="L1004" s="667"/>
      <c r="M1004" s="668"/>
      <c r="N1004" s="373"/>
      <c r="O1004" s="373"/>
      <c r="P1004" s="670"/>
      <c r="Q1004" s="665"/>
      <c r="R1004" s="665"/>
      <c r="S1004" s="539"/>
      <c r="T1004" s="665"/>
      <c r="U1004" s="49"/>
      <c r="V1004" s="49"/>
      <c r="W1004" s="49"/>
      <c r="X1004" s="49"/>
      <c r="Y1004" s="49"/>
    </row>
    <row r="1005" ht="15.75" customHeight="1">
      <c r="A1005" s="38"/>
      <c r="B1005" s="49"/>
      <c r="C1005" s="15"/>
      <c r="D1005" s="663"/>
      <c r="E1005" s="664"/>
      <c r="F1005" s="665"/>
      <c r="G1005" s="539"/>
      <c r="H1005" s="373"/>
      <c r="I1005" s="665"/>
      <c r="J1005" s="666"/>
      <c r="K1005" s="665"/>
      <c r="L1005" s="667"/>
      <c r="M1005" s="668"/>
      <c r="N1005" s="373"/>
      <c r="O1005" s="373"/>
      <c r="P1005" s="670"/>
      <c r="Q1005" s="665"/>
      <c r="R1005" s="665"/>
      <c r="S1005" s="539"/>
      <c r="T1005" s="665"/>
      <c r="U1005" s="49"/>
      <c r="V1005" s="49"/>
      <c r="W1005" s="49"/>
      <c r="X1005" s="49"/>
      <c r="Y1005" s="49"/>
    </row>
    <row r="1006" ht="15.75" customHeight="1">
      <c r="A1006" s="38"/>
      <c r="B1006" s="49"/>
      <c r="C1006" s="15"/>
      <c r="D1006" s="663"/>
      <c r="E1006" s="664"/>
      <c r="F1006" s="665"/>
      <c r="G1006" s="539"/>
      <c r="H1006" s="373"/>
      <c r="I1006" s="665"/>
      <c r="J1006" s="666"/>
      <c r="K1006" s="665"/>
      <c r="L1006" s="667"/>
      <c r="M1006" s="668"/>
      <c r="N1006" s="373"/>
      <c r="O1006" s="373"/>
      <c r="P1006" s="670"/>
      <c r="Q1006" s="665"/>
      <c r="R1006" s="665"/>
      <c r="S1006" s="539"/>
      <c r="T1006" s="665"/>
      <c r="U1006" s="49"/>
      <c r="V1006" s="49"/>
      <c r="W1006" s="49"/>
      <c r="X1006" s="49"/>
      <c r="Y1006" s="49"/>
    </row>
    <row r="1007" ht="15.75" customHeight="1">
      <c r="A1007" s="38"/>
      <c r="B1007" s="49"/>
      <c r="C1007" s="15"/>
      <c r="D1007" s="663"/>
      <c r="E1007" s="664"/>
      <c r="F1007" s="665"/>
      <c r="G1007" s="539"/>
      <c r="H1007" s="373"/>
      <c r="I1007" s="665"/>
      <c r="J1007" s="666"/>
      <c r="K1007" s="665"/>
      <c r="L1007" s="667"/>
      <c r="M1007" s="668"/>
      <c r="N1007" s="373"/>
      <c r="O1007" s="373"/>
      <c r="P1007" s="670"/>
      <c r="Q1007" s="665"/>
      <c r="R1007" s="665"/>
      <c r="S1007" s="539"/>
      <c r="T1007" s="665"/>
      <c r="U1007" s="49"/>
      <c r="V1007" s="49"/>
      <c r="W1007" s="49"/>
      <c r="X1007" s="49"/>
      <c r="Y1007" s="49"/>
    </row>
    <row r="1008" ht="15.75" customHeight="1">
      <c r="A1008" s="38"/>
      <c r="B1008" s="49"/>
      <c r="C1008" s="15"/>
      <c r="D1008" s="663"/>
      <c r="E1008" s="664"/>
      <c r="F1008" s="665"/>
      <c r="G1008" s="539"/>
      <c r="H1008" s="373"/>
      <c r="I1008" s="665"/>
      <c r="J1008" s="666"/>
      <c r="K1008" s="665"/>
      <c r="L1008" s="667"/>
      <c r="M1008" s="668"/>
      <c r="N1008" s="373"/>
      <c r="O1008" s="373"/>
      <c r="P1008" s="670"/>
      <c r="Q1008" s="665"/>
      <c r="R1008" s="665"/>
      <c r="S1008" s="539"/>
      <c r="T1008" s="665"/>
      <c r="U1008" s="49"/>
      <c r="V1008" s="49"/>
      <c r="W1008" s="49"/>
      <c r="X1008" s="49"/>
      <c r="Y1008" s="49"/>
    </row>
    <row r="1009" ht="15.75" customHeight="1">
      <c r="A1009" s="38"/>
      <c r="B1009" s="49"/>
      <c r="C1009" s="15"/>
      <c r="D1009" s="663"/>
      <c r="E1009" s="664"/>
      <c r="F1009" s="665"/>
      <c r="G1009" s="539"/>
      <c r="H1009" s="373"/>
      <c r="I1009" s="665"/>
      <c r="J1009" s="666"/>
      <c r="K1009" s="665"/>
      <c r="L1009" s="667"/>
      <c r="M1009" s="668"/>
      <c r="N1009" s="373"/>
      <c r="O1009" s="373"/>
      <c r="P1009" s="670"/>
      <c r="Q1009" s="665"/>
      <c r="R1009" s="665"/>
      <c r="S1009" s="539"/>
      <c r="T1009" s="665"/>
      <c r="U1009" s="49"/>
      <c r="V1009" s="49"/>
      <c r="W1009" s="49"/>
      <c r="X1009" s="49"/>
      <c r="Y1009" s="49"/>
    </row>
    <row r="1010" ht="15.75" customHeight="1">
      <c r="A1010" s="38"/>
      <c r="B1010" s="49"/>
      <c r="C1010" s="15"/>
      <c r="D1010" s="663"/>
      <c r="E1010" s="664"/>
      <c r="F1010" s="665"/>
      <c r="G1010" s="539"/>
      <c r="H1010" s="373"/>
      <c r="I1010" s="665"/>
      <c r="J1010" s="666"/>
      <c r="K1010" s="665"/>
      <c r="L1010" s="667"/>
      <c r="M1010" s="668"/>
      <c r="N1010" s="373"/>
      <c r="O1010" s="373"/>
      <c r="P1010" s="670"/>
      <c r="Q1010" s="665"/>
      <c r="R1010" s="665"/>
      <c r="S1010" s="539"/>
      <c r="T1010" s="665"/>
      <c r="U1010" s="49"/>
      <c r="V1010" s="49"/>
      <c r="W1010" s="49"/>
      <c r="X1010" s="49"/>
      <c r="Y1010" s="49"/>
    </row>
    <row r="1011" ht="15.75" customHeight="1">
      <c r="A1011" s="38"/>
      <c r="B1011" s="49"/>
      <c r="C1011" s="15"/>
      <c r="D1011" s="663"/>
      <c r="E1011" s="664"/>
      <c r="F1011" s="665"/>
      <c r="G1011" s="539"/>
      <c r="H1011" s="373"/>
      <c r="I1011" s="665"/>
      <c r="J1011" s="666"/>
      <c r="K1011" s="665"/>
      <c r="L1011" s="667"/>
      <c r="M1011" s="668"/>
      <c r="N1011" s="373"/>
      <c r="O1011" s="373"/>
      <c r="P1011" s="670"/>
      <c r="Q1011" s="665"/>
      <c r="R1011" s="665"/>
      <c r="S1011" s="539"/>
      <c r="T1011" s="665"/>
      <c r="U1011" s="49"/>
      <c r="V1011" s="49"/>
      <c r="W1011" s="49"/>
      <c r="X1011" s="49"/>
      <c r="Y1011" s="49"/>
    </row>
    <row r="1012" ht="15.75" customHeight="1">
      <c r="A1012" s="38"/>
      <c r="B1012" s="49"/>
      <c r="C1012" s="15"/>
      <c r="D1012" s="663"/>
      <c r="E1012" s="664"/>
      <c r="F1012" s="665"/>
      <c r="G1012" s="539"/>
      <c r="H1012" s="373"/>
      <c r="I1012" s="665"/>
      <c r="J1012" s="666"/>
      <c r="K1012" s="665"/>
      <c r="L1012" s="667"/>
      <c r="M1012" s="668"/>
      <c r="N1012" s="373"/>
      <c r="O1012" s="373"/>
      <c r="P1012" s="670"/>
      <c r="Q1012" s="665"/>
      <c r="R1012" s="665"/>
      <c r="S1012" s="539"/>
      <c r="T1012" s="665"/>
      <c r="U1012" s="49"/>
      <c r="V1012" s="49"/>
      <c r="W1012" s="49"/>
      <c r="X1012" s="49"/>
      <c r="Y1012" s="49"/>
    </row>
    <row r="1013" ht="15.75" customHeight="1">
      <c r="A1013" s="38"/>
      <c r="B1013" s="49"/>
      <c r="C1013" s="15"/>
      <c r="D1013" s="663"/>
      <c r="E1013" s="664"/>
      <c r="F1013" s="665"/>
      <c r="G1013" s="539"/>
      <c r="H1013" s="373"/>
      <c r="I1013" s="665"/>
      <c r="J1013" s="666"/>
      <c r="K1013" s="665"/>
      <c r="L1013" s="667"/>
      <c r="M1013" s="668"/>
      <c r="N1013" s="373"/>
      <c r="O1013" s="373"/>
      <c r="P1013" s="670"/>
      <c r="Q1013" s="665"/>
      <c r="R1013" s="665"/>
      <c r="S1013" s="539"/>
      <c r="T1013" s="665"/>
      <c r="U1013" s="49"/>
      <c r="V1013" s="49"/>
      <c r="W1013" s="49"/>
      <c r="X1013" s="49"/>
      <c r="Y1013" s="49"/>
    </row>
    <row r="1014" ht="15.75" customHeight="1">
      <c r="A1014" s="38"/>
      <c r="B1014" s="49"/>
      <c r="C1014" s="15"/>
      <c r="D1014" s="663"/>
      <c r="E1014" s="664"/>
      <c r="F1014" s="665"/>
      <c r="G1014" s="539"/>
      <c r="H1014" s="373"/>
      <c r="I1014" s="665"/>
      <c r="J1014" s="666"/>
      <c r="K1014" s="665"/>
      <c r="L1014" s="667"/>
      <c r="M1014" s="668"/>
      <c r="N1014" s="373"/>
      <c r="O1014" s="373"/>
      <c r="P1014" s="670"/>
      <c r="Q1014" s="665"/>
      <c r="R1014" s="665"/>
      <c r="S1014" s="539"/>
      <c r="T1014" s="665"/>
      <c r="U1014" s="49"/>
      <c r="V1014" s="49"/>
      <c r="W1014" s="49"/>
      <c r="X1014" s="49"/>
      <c r="Y1014" s="49"/>
    </row>
    <row r="1015" ht="15.75" customHeight="1">
      <c r="A1015" s="38"/>
      <c r="B1015" s="49"/>
      <c r="C1015" s="15"/>
      <c r="D1015" s="663"/>
      <c r="E1015" s="664"/>
      <c r="F1015" s="665"/>
      <c r="G1015" s="539"/>
      <c r="H1015" s="373"/>
      <c r="I1015" s="665"/>
      <c r="J1015" s="666"/>
      <c r="K1015" s="665"/>
      <c r="L1015" s="667"/>
      <c r="M1015" s="668"/>
      <c r="N1015" s="373"/>
      <c r="O1015" s="373"/>
      <c r="P1015" s="670"/>
      <c r="Q1015" s="665"/>
      <c r="R1015" s="665"/>
      <c r="S1015" s="539"/>
      <c r="T1015" s="665"/>
      <c r="U1015" s="49"/>
      <c r="V1015" s="49"/>
      <c r="W1015" s="49"/>
      <c r="X1015" s="49"/>
      <c r="Y1015" s="49"/>
    </row>
    <row r="1016" ht="15.75" customHeight="1">
      <c r="A1016" s="38"/>
      <c r="B1016" s="49"/>
      <c r="C1016" s="15"/>
      <c r="D1016" s="663"/>
      <c r="E1016" s="664"/>
      <c r="F1016" s="665"/>
      <c r="G1016" s="539"/>
      <c r="H1016" s="373"/>
      <c r="I1016" s="665"/>
      <c r="J1016" s="666"/>
      <c r="K1016" s="665"/>
      <c r="L1016" s="667"/>
      <c r="M1016" s="668"/>
      <c r="N1016" s="373"/>
      <c r="O1016" s="373"/>
      <c r="P1016" s="670"/>
      <c r="Q1016" s="665"/>
      <c r="R1016" s="665"/>
      <c r="S1016" s="539"/>
      <c r="T1016" s="665"/>
      <c r="U1016" s="49"/>
      <c r="V1016" s="49"/>
      <c r="W1016" s="49"/>
      <c r="X1016" s="49"/>
      <c r="Y1016" s="49"/>
    </row>
    <row r="1017" ht="15.75" customHeight="1">
      <c r="A1017" s="38"/>
      <c r="B1017" s="49"/>
      <c r="C1017" s="15"/>
      <c r="D1017" s="663"/>
      <c r="E1017" s="664"/>
      <c r="F1017" s="665"/>
      <c r="G1017" s="539"/>
      <c r="H1017" s="373"/>
      <c r="I1017" s="665"/>
      <c r="J1017" s="666"/>
      <c r="K1017" s="665"/>
      <c r="L1017" s="667"/>
      <c r="M1017" s="668"/>
      <c r="N1017" s="373"/>
      <c r="O1017" s="373"/>
      <c r="P1017" s="670"/>
      <c r="Q1017" s="665"/>
      <c r="R1017" s="665"/>
      <c r="S1017" s="539"/>
      <c r="T1017" s="665"/>
      <c r="U1017" s="49"/>
      <c r="V1017" s="49"/>
      <c r="W1017" s="49"/>
      <c r="X1017" s="49"/>
      <c r="Y1017" s="49"/>
    </row>
    <row r="1018" ht="15.75" customHeight="1">
      <c r="A1018" s="38"/>
      <c r="B1018" s="49"/>
      <c r="C1018" s="15"/>
      <c r="D1018" s="663"/>
      <c r="E1018" s="664"/>
      <c r="F1018" s="665"/>
      <c r="G1018" s="539"/>
      <c r="H1018" s="373"/>
      <c r="I1018" s="665"/>
      <c r="J1018" s="666"/>
      <c r="K1018" s="665"/>
      <c r="L1018" s="667"/>
      <c r="M1018" s="668"/>
      <c r="N1018" s="373"/>
      <c r="O1018" s="373"/>
      <c r="P1018" s="670"/>
      <c r="Q1018" s="665"/>
      <c r="R1018" s="665"/>
      <c r="S1018" s="539"/>
      <c r="T1018" s="665"/>
      <c r="U1018" s="49"/>
      <c r="V1018" s="49"/>
      <c r="W1018" s="49"/>
      <c r="X1018" s="49"/>
      <c r="Y1018" s="49"/>
    </row>
    <row r="1019" ht="15.75" customHeight="1">
      <c r="A1019" s="38"/>
      <c r="B1019" s="49"/>
      <c r="C1019" s="15"/>
      <c r="D1019" s="663"/>
      <c r="E1019" s="664"/>
      <c r="F1019" s="665"/>
      <c r="G1019" s="539"/>
      <c r="H1019" s="373"/>
      <c r="I1019" s="665"/>
      <c r="J1019" s="666"/>
      <c r="K1019" s="665"/>
      <c r="L1019" s="667"/>
      <c r="M1019" s="668"/>
      <c r="N1019" s="373"/>
      <c r="O1019" s="373"/>
      <c r="P1019" s="670"/>
      <c r="Q1019" s="665"/>
      <c r="R1019" s="665"/>
      <c r="S1019" s="539"/>
      <c r="T1019" s="665"/>
      <c r="U1019" s="49"/>
      <c r="V1019" s="49"/>
      <c r="W1019" s="49"/>
      <c r="X1019" s="49"/>
      <c r="Y1019" s="49"/>
    </row>
    <row r="1020" ht="15.75" customHeight="1">
      <c r="A1020" s="38"/>
      <c r="B1020" s="49"/>
      <c r="C1020" s="15"/>
      <c r="D1020" s="663"/>
      <c r="E1020" s="664"/>
      <c r="F1020" s="665"/>
      <c r="G1020" s="539"/>
      <c r="H1020" s="373"/>
      <c r="I1020" s="665"/>
      <c r="J1020" s="666"/>
      <c r="K1020" s="665"/>
      <c r="L1020" s="667"/>
      <c r="M1020" s="668"/>
      <c r="N1020" s="373"/>
      <c r="O1020" s="373"/>
      <c r="P1020" s="670"/>
      <c r="Q1020" s="665"/>
      <c r="R1020" s="665"/>
      <c r="S1020" s="539"/>
      <c r="T1020" s="665"/>
      <c r="U1020" s="49"/>
      <c r="V1020" s="49"/>
      <c r="W1020" s="49"/>
      <c r="X1020" s="49"/>
      <c r="Y1020" s="49"/>
    </row>
    <row r="1021" ht="15.75" customHeight="1">
      <c r="A1021" s="38"/>
      <c r="B1021" s="49"/>
      <c r="C1021" s="15"/>
      <c r="D1021" s="663"/>
      <c r="E1021" s="664"/>
      <c r="F1021" s="665"/>
      <c r="G1021" s="539"/>
      <c r="H1021" s="373"/>
      <c r="I1021" s="665"/>
      <c r="J1021" s="666"/>
      <c r="K1021" s="665"/>
      <c r="L1021" s="667"/>
      <c r="M1021" s="668"/>
      <c r="N1021" s="373"/>
      <c r="O1021" s="373"/>
      <c r="P1021" s="670"/>
      <c r="Q1021" s="665"/>
      <c r="R1021" s="665"/>
      <c r="S1021" s="539"/>
      <c r="T1021" s="665"/>
      <c r="U1021" s="49"/>
      <c r="V1021" s="49"/>
      <c r="W1021" s="49"/>
      <c r="X1021" s="49"/>
      <c r="Y1021" s="49"/>
    </row>
    <row r="1022" ht="15.75" customHeight="1">
      <c r="A1022" s="38"/>
      <c r="B1022" s="49"/>
      <c r="C1022" s="15"/>
      <c r="D1022" s="663"/>
      <c r="E1022" s="664"/>
      <c r="F1022" s="665"/>
      <c r="G1022" s="539"/>
      <c r="H1022" s="373"/>
      <c r="I1022" s="665"/>
      <c r="J1022" s="666"/>
      <c r="K1022" s="665"/>
      <c r="L1022" s="667"/>
      <c r="M1022" s="668"/>
      <c r="N1022" s="373"/>
      <c r="O1022" s="373"/>
      <c r="P1022" s="670"/>
      <c r="Q1022" s="665"/>
      <c r="R1022" s="665"/>
      <c r="S1022" s="539"/>
      <c r="T1022" s="665"/>
      <c r="U1022" s="49"/>
      <c r="V1022" s="49"/>
      <c r="W1022" s="49"/>
      <c r="X1022" s="49"/>
      <c r="Y1022" s="49"/>
    </row>
    <row r="1023" ht="15.75" customHeight="1">
      <c r="A1023" s="38"/>
      <c r="B1023" s="49"/>
      <c r="C1023" s="15"/>
      <c r="D1023" s="663"/>
      <c r="E1023" s="664"/>
      <c r="F1023" s="665"/>
      <c r="G1023" s="539"/>
      <c r="H1023" s="373"/>
      <c r="I1023" s="665"/>
      <c r="J1023" s="666"/>
      <c r="K1023" s="665"/>
      <c r="L1023" s="667"/>
      <c r="M1023" s="668"/>
      <c r="N1023" s="373"/>
      <c r="O1023" s="373"/>
      <c r="P1023" s="670"/>
      <c r="Q1023" s="665"/>
      <c r="R1023" s="665"/>
      <c r="S1023" s="539"/>
      <c r="T1023" s="665"/>
      <c r="U1023" s="49"/>
      <c r="V1023" s="49"/>
      <c r="W1023" s="49"/>
      <c r="X1023" s="49"/>
      <c r="Y1023" s="49"/>
    </row>
    <row r="1024" ht="15.75" customHeight="1">
      <c r="A1024" s="38"/>
      <c r="B1024" s="49"/>
      <c r="C1024" s="15"/>
      <c r="D1024" s="663"/>
      <c r="E1024" s="664"/>
      <c r="F1024" s="665"/>
      <c r="G1024" s="539"/>
      <c r="H1024" s="373"/>
      <c r="I1024" s="665"/>
      <c r="J1024" s="666"/>
      <c r="K1024" s="665"/>
      <c r="L1024" s="667"/>
      <c r="M1024" s="668"/>
      <c r="N1024" s="373"/>
      <c r="O1024" s="373"/>
      <c r="P1024" s="670"/>
      <c r="Q1024" s="665"/>
      <c r="R1024" s="665"/>
      <c r="S1024" s="539"/>
      <c r="T1024" s="665"/>
      <c r="U1024" s="49"/>
      <c r="V1024" s="49"/>
      <c r="W1024" s="49"/>
      <c r="X1024" s="49"/>
      <c r="Y1024" s="49"/>
    </row>
    <row r="1025" ht="15.75" customHeight="1">
      <c r="A1025" s="38"/>
      <c r="B1025" s="49"/>
      <c r="C1025" s="15"/>
      <c r="D1025" s="663"/>
      <c r="E1025" s="664"/>
      <c r="F1025" s="665"/>
      <c r="G1025" s="539"/>
      <c r="H1025" s="373"/>
      <c r="I1025" s="665"/>
      <c r="J1025" s="666"/>
      <c r="K1025" s="665"/>
      <c r="L1025" s="667"/>
      <c r="M1025" s="668"/>
      <c r="N1025" s="373"/>
      <c r="O1025" s="373"/>
      <c r="P1025" s="670"/>
      <c r="Q1025" s="665"/>
      <c r="R1025" s="665"/>
      <c r="S1025" s="539"/>
      <c r="T1025" s="665"/>
      <c r="U1025" s="49"/>
      <c r="V1025" s="49"/>
      <c r="W1025" s="49"/>
      <c r="X1025" s="49"/>
      <c r="Y1025" s="49"/>
    </row>
    <row r="1026" ht="15.75" customHeight="1">
      <c r="A1026" s="38"/>
      <c r="B1026" s="49"/>
      <c r="C1026" s="15"/>
      <c r="D1026" s="663"/>
      <c r="E1026" s="664"/>
      <c r="F1026" s="665"/>
      <c r="G1026" s="539"/>
      <c r="H1026" s="373"/>
      <c r="I1026" s="665"/>
      <c r="J1026" s="666"/>
      <c r="K1026" s="665"/>
      <c r="L1026" s="667"/>
      <c r="M1026" s="668"/>
      <c r="N1026" s="373"/>
      <c r="O1026" s="373"/>
      <c r="P1026" s="670"/>
      <c r="Q1026" s="665"/>
      <c r="R1026" s="665"/>
      <c r="S1026" s="539"/>
      <c r="T1026" s="665"/>
      <c r="U1026" s="49"/>
      <c r="V1026" s="49"/>
      <c r="W1026" s="49"/>
      <c r="X1026" s="49"/>
      <c r="Y1026" s="49"/>
    </row>
    <row r="1027" ht="15.75" customHeight="1">
      <c r="A1027" s="38"/>
      <c r="B1027" s="49"/>
      <c r="C1027" s="15"/>
      <c r="D1027" s="663"/>
      <c r="E1027" s="664"/>
      <c r="F1027" s="665"/>
      <c r="G1027" s="539"/>
      <c r="H1027" s="373"/>
      <c r="I1027" s="665"/>
      <c r="J1027" s="666"/>
      <c r="K1027" s="665"/>
      <c r="L1027" s="667"/>
      <c r="M1027" s="668"/>
      <c r="N1027" s="373"/>
      <c r="O1027" s="373"/>
      <c r="P1027" s="670"/>
      <c r="Q1027" s="665"/>
      <c r="R1027" s="665"/>
      <c r="S1027" s="539"/>
      <c r="T1027" s="665"/>
      <c r="U1027" s="49"/>
      <c r="V1027" s="49"/>
      <c r="W1027" s="49"/>
      <c r="X1027" s="49"/>
      <c r="Y1027" s="49"/>
    </row>
    <row r="1028" ht="15.75" customHeight="1">
      <c r="A1028" s="38"/>
      <c r="B1028" s="49"/>
      <c r="C1028" s="15"/>
      <c r="D1028" s="663"/>
      <c r="E1028" s="664"/>
      <c r="F1028" s="665"/>
      <c r="G1028" s="539"/>
      <c r="H1028" s="373"/>
      <c r="I1028" s="665"/>
      <c r="J1028" s="666"/>
      <c r="K1028" s="665"/>
      <c r="L1028" s="667"/>
      <c r="M1028" s="668"/>
      <c r="N1028" s="373"/>
      <c r="O1028" s="373"/>
      <c r="P1028" s="670"/>
      <c r="Q1028" s="665"/>
      <c r="R1028" s="665"/>
      <c r="S1028" s="539"/>
      <c r="T1028" s="665"/>
      <c r="U1028" s="49"/>
      <c r="V1028" s="49"/>
      <c r="W1028" s="49"/>
      <c r="X1028" s="49"/>
      <c r="Y1028" s="49"/>
    </row>
    <row r="1029" ht="15.75" customHeight="1">
      <c r="A1029" s="38"/>
      <c r="B1029" s="49"/>
      <c r="C1029" s="15"/>
      <c r="D1029" s="663"/>
      <c r="E1029" s="664"/>
      <c r="F1029" s="665"/>
      <c r="G1029" s="539"/>
      <c r="H1029" s="373"/>
      <c r="I1029" s="665"/>
      <c r="J1029" s="666"/>
      <c r="K1029" s="665"/>
      <c r="L1029" s="667"/>
      <c r="M1029" s="668"/>
      <c r="N1029" s="373"/>
      <c r="O1029" s="373"/>
      <c r="P1029" s="670"/>
      <c r="Q1029" s="665"/>
      <c r="R1029" s="665"/>
      <c r="S1029" s="539"/>
      <c r="T1029" s="665"/>
      <c r="U1029" s="49"/>
      <c r="V1029" s="49"/>
      <c r="W1029" s="49"/>
      <c r="X1029" s="49"/>
      <c r="Y1029" s="49"/>
    </row>
    <row r="1030" ht="15.75" customHeight="1">
      <c r="A1030" s="38"/>
      <c r="B1030" s="49"/>
      <c r="C1030" s="15"/>
      <c r="D1030" s="663"/>
      <c r="E1030" s="664"/>
      <c r="F1030" s="665"/>
      <c r="G1030" s="539"/>
      <c r="H1030" s="373"/>
      <c r="I1030" s="665"/>
      <c r="J1030" s="666"/>
      <c r="K1030" s="665"/>
      <c r="L1030" s="667"/>
      <c r="M1030" s="668"/>
      <c r="N1030" s="373"/>
      <c r="O1030" s="373"/>
      <c r="P1030" s="670"/>
      <c r="Q1030" s="665"/>
      <c r="R1030" s="665"/>
      <c r="S1030" s="539"/>
      <c r="T1030" s="665"/>
      <c r="U1030" s="49"/>
      <c r="V1030" s="49"/>
      <c r="W1030" s="49"/>
      <c r="X1030" s="49"/>
      <c r="Y1030" s="49"/>
    </row>
    <row r="1031" ht="15.75" customHeight="1">
      <c r="A1031" s="38"/>
      <c r="B1031" s="49"/>
      <c r="C1031" s="15"/>
      <c r="D1031" s="663"/>
      <c r="E1031" s="664"/>
      <c r="F1031" s="665"/>
      <c r="G1031" s="539"/>
      <c r="H1031" s="373"/>
      <c r="I1031" s="665"/>
      <c r="J1031" s="666"/>
      <c r="K1031" s="665"/>
      <c r="L1031" s="667"/>
      <c r="M1031" s="668"/>
      <c r="N1031" s="373"/>
      <c r="O1031" s="373"/>
      <c r="P1031" s="670"/>
      <c r="Q1031" s="665"/>
      <c r="R1031" s="665"/>
      <c r="S1031" s="539"/>
      <c r="T1031" s="665"/>
      <c r="U1031" s="49"/>
      <c r="V1031" s="49"/>
      <c r="W1031" s="49"/>
      <c r="X1031" s="49"/>
      <c r="Y1031" s="49"/>
    </row>
    <row r="1032" ht="15.75" customHeight="1">
      <c r="A1032" s="38"/>
      <c r="B1032" s="49"/>
      <c r="C1032" s="15"/>
      <c r="D1032" s="663"/>
      <c r="E1032" s="664"/>
      <c r="F1032" s="665"/>
      <c r="G1032" s="539"/>
      <c r="H1032" s="373"/>
      <c r="I1032" s="665"/>
      <c r="J1032" s="666"/>
      <c r="K1032" s="665"/>
      <c r="L1032" s="667"/>
      <c r="M1032" s="668"/>
      <c r="N1032" s="373"/>
      <c r="O1032" s="373"/>
      <c r="P1032" s="670"/>
      <c r="Q1032" s="665"/>
      <c r="R1032" s="665"/>
      <c r="S1032" s="539"/>
      <c r="T1032" s="665"/>
      <c r="U1032" s="49"/>
      <c r="V1032" s="49"/>
      <c r="W1032" s="49"/>
      <c r="X1032" s="49"/>
      <c r="Y1032" s="49"/>
    </row>
    <row r="1033" ht="15.75" customHeight="1">
      <c r="A1033" s="38"/>
      <c r="B1033" s="49"/>
      <c r="C1033" s="15"/>
      <c r="D1033" s="663"/>
      <c r="E1033" s="664"/>
      <c r="F1033" s="665"/>
      <c r="G1033" s="539"/>
      <c r="H1033" s="373"/>
      <c r="I1033" s="665"/>
      <c r="J1033" s="666"/>
      <c r="K1033" s="665"/>
      <c r="L1033" s="667"/>
      <c r="M1033" s="668"/>
      <c r="N1033" s="373"/>
      <c r="O1033" s="373"/>
      <c r="P1033" s="670"/>
      <c r="Q1033" s="665"/>
      <c r="R1033" s="665"/>
      <c r="S1033" s="539"/>
      <c r="T1033" s="665"/>
      <c r="U1033" s="49"/>
      <c r="V1033" s="49"/>
      <c r="W1033" s="49"/>
      <c r="X1033" s="49"/>
      <c r="Y1033" s="49"/>
    </row>
    <row r="1034" ht="15.75" customHeight="1">
      <c r="A1034" s="38"/>
      <c r="B1034" s="49"/>
      <c r="C1034" s="15"/>
      <c r="D1034" s="663"/>
      <c r="E1034" s="664"/>
      <c r="F1034" s="665"/>
      <c r="G1034" s="539"/>
      <c r="H1034" s="373"/>
      <c r="I1034" s="665"/>
      <c r="J1034" s="666"/>
      <c r="K1034" s="665"/>
      <c r="L1034" s="667"/>
      <c r="M1034" s="668"/>
      <c r="N1034" s="373"/>
      <c r="O1034" s="373"/>
      <c r="P1034" s="670"/>
      <c r="Q1034" s="665"/>
      <c r="R1034" s="665"/>
      <c r="S1034" s="539"/>
      <c r="T1034" s="665"/>
      <c r="U1034" s="49"/>
      <c r="V1034" s="49"/>
      <c r="W1034" s="49"/>
      <c r="X1034" s="49"/>
      <c r="Y1034" s="49"/>
    </row>
    <row r="1035" ht="15.75" customHeight="1">
      <c r="A1035" s="38"/>
      <c r="B1035" s="49"/>
      <c r="C1035" s="15"/>
      <c r="D1035" s="663"/>
      <c r="E1035" s="664"/>
      <c r="F1035" s="665"/>
      <c r="G1035" s="539"/>
      <c r="H1035" s="373"/>
      <c r="I1035" s="665"/>
      <c r="J1035" s="666"/>
      <c r="K1035" s="665"/>
      <c r="L1035" s="667"/>
      <c r="M1035" s="668"/>
      <c r="N1035" s="373"/>
      <c r="O1035" s="373"/>
      <c r="P1035" s="670"/>
      <c r="Q1035" s="665"/>
      <c r="R1035" s="665"/>
      <c r="S1035" s="539"/>
      <c r="T1035" s="665"/>
      <c r="U1035" s="49"/>
      <c r="V1035" s="49"/>
      <c r="W1035" s="49"/>
      <c r="X1035" s="49"/>
      <c r="Y1035" s="49"/>
    </row>
    <row r="1036" ht="15.75" customHeight="1">
      <c r="A1036" s="38"/>
      <c r="B1036" s="49"/>
      <c r="C1036" s="15"/>
      <c r="D1036" s="663"/>
      <c r="E1036" s="664"/>
      <c r="F1036" s="665"/>
      <c r="G1036" s="539"/>
      <c r="H1036" s="373"/>
      <c r="I1036" s="665"/>
      <c r="J1036" s="666"/>
      <c r="K1036" s="665"/>
      <c r="L1036" s="667"/>
      <c r="M1036" s="668"/>
      <c r="N1036" s="373"/>
      <c r="O1036" s="373"/>
      <c r="P1036" s="670"/>
      <c r="Q1036" s="665"/>
      <c r="R1036" s="665"/>
      <c r="S1036" s="539"/>
      <c r="T1036" s="665"/>
      <c r="U1036" s="49"/>
      <c r="V1036" s="49"/>
      <c r="W1036" s="49"/>
      <c r="X1036" s="49"/>
      <c r="Y1036" s="49"/>
    </row>
    <row r="1037" ht="15.75" customHeight="1">
      <c r="A1037" s="38"/>
      <c r="B1037" s="49"/>
      <c r="C1037" s="15"/>
      <c r="D1037" s="663"/>
      <c r="E1037" s="664"/>
      <c r="F1037" s="665"/>
      <c r="G1037" s="539"/>
      <c r="H1037" s="373"/>
      <c r="I1037" s="665"/>
      <c r="J1037" s="666"/>
      <c r="K1037" s="665"/>
      <c r="L1037" s="667"/>
      <c r="M1037" s="668"/>
      <c r="N1037" s="373"/>
      <c r="O1037" s="373"/>
      <c r="P1037" s="670"/>
      <c r="Q1037" s="665"/>
      <c r="R1037" s="665"/>
      <c r="S1037" s="539"/>
      <c r="T1037" s="665"/>
      <c r="U1037" s="49"/>
      <c r="V1037" s="49"/>
      <c r="W1037" s="49"/>
      <c r="X1037" s="49"/>
      <c r="Y1037" s="49"/>
    </row>
    <row r="1038" ht="15.75" customHeight="1">
      <c r="A1038" s="38"/>
      <c r="B1038" s="49"/>
      <c r="C1038" s="15"/>
      <c r="D1038" s="663"/>
      <c r="E1038" s="664"/>
      <c r="F1038" s="665"/>
      <c r="G1038" s="539"/>
      <c r="H1038" s="373"/>
      <c r="I1038" s="665"/>
      <c r="J1038" s="666"/>
      <c r="K1038" s="665"/>
      <c r="L1038" s="667"/>
      <c r="M1038" s="668"/>
      <c r="N1038" s="373"/>
      <c r="O1038" s="373"/>
      <c r="P1038" s="670"/>
      <c r="Q1038" s="665"/>
      <c r="R1038" s="665"/>
      <c r="S1038" s="539"/>
      <c r="T1038" s="665"/>
      <c r="U1038" s="49"/>
      <c r="V1038" s="49"/>
      <c r="W1038" s="49"/>
      <c r="X1038" s="49"/>
      <c r="Y1038" s="49"/>
    </row>
    <row r="1039" ht="15.75" customHeight="1">
      <c r="A1039" s="38"/>
      <c r="B1039" s="49"/>
      <c r="C1039" s="15"/>
      <c r="D1039" s="663"/>
      <c r="E1039" s="664"/>
      <c r="F1039" s="665"/>
      <c r="G1039" s="539"/>
      <c r="H1039" s="373"/>
      <c r="I1039" s="665"/>
      <c r="J1039" s="666"/>
      <c r="K1039" s="665"/>
      <c r="L1039" s="667"/>
      <c r="M1039" s="668"/>
      <c r="N1039" s="373"/>
      <c r="O1039" s="373"/>
      <c r="P1039" s="670"/>
      <c r="Q1039" s="665"/>
      <c r="R1039" s="665"/>
      <c r="S1039" s="539"/>
      <c r="T1039" s="665"/>
      <c r="U1039" s="49"/>
      <c r="V1039" s="49"/>
      <c r="W1039" s="49"/>
      <c r="X1039" s="49"/>
      <c r="Y1039" s="49"/>
    </row>
    <row r="1040" ht="15.75" customHeight="1">
      <c r="A1040" s="38"/>
      <c r="B1040" s="49"/>
      <c r="C1040" s="15"/>
      <c r="D1040" s="663"/>
      <c r="E1040" s="664"/>
      <c r="F1040" s="665"/>
      <c r="G1040" s="539"/>
      <c r="H1040" s="373"/>
      <c r="I1040" s="665"/>
      <c r="J1040" s="666"/>
      <c r="K1040" s="665"/>
      <c r="L1040" s="667"/>
      <c r="M1040" s="668"/>
      <c r="N1040" s="373"/>
      <c r="O1040" s="373"/>
      <c r="P1040" s="670"/>
      <c r="Q1040" s="665"/>
      <c r="R1040" s="665"/>
      <c r="S1040" s="539"/>
      <c r="T1040" s="665"/>
      <c r="U1040" s="49"/>
      <c r="V1040" s="49"/>
      <c r="W1040" s="49"/>
      <c r="X1040" s="49"/>
      <c r="Y1040" s="49"/>
    </row>
    <row r="1041" ht="15.75" customHeight="1">
      <c r="A1041" s="38"/>
      <c r="B1041" s="49"/>
      <c r="C1041" s="15"/>
      <c r="D1041" s="663"/>
      <c r="E1041" s="664"/>
      <c r="F1041" s="665"/>
      <c r="G1041" s="539"/>
      <c r="H1041" s="373"/>
      <c r="I1041" s="665"/>
      <c r="J1041" s="666"/>
      <c r="K1041" s="665"/>
      <c r="L1041" s="667"/>
      <c r="M1041" s="668"/>
      <c r="N1041" s="373"/>
      <c r="O1041" s="373"/>
      <c r="P1041" s="670"/>
      <c r="Q1041" s="665"/>
      <c r="R1041" s="665"/>
      <c r="S1041" s="539"/>
      <c r="T1041" s="665"/>
      <c r="U1041" s="49"/>
      <c r="V1041" s="49"/>
      <c r="W1041" s="49"/>
      <c r="X1041" s="49"/>
      <c r="Y1041" s="49"/>
    </row>
    <row r="1042" ht="15.75" customHeight="1">
      <c r="A1042" s="38"/>
      <c r="B1042" s="49"/>
      <c r="C1042" s="15"/>
      <c r="D1042" s="663"/>
      <c r="E1042" s="664"/>
      <c r="F1042" s="665"/>
      <c r="G1042" s="539"/>
      <c r="H1042" s="373"/>
      <c r="I1042" s="665"/>
      <c r="J1042" s="666"/>
      <c r="K1042" s="665"/>
      <c r="L1042" s="667"/>
      <c r="M1042" s="668"/>
      <c r="N1042" s="373"/>
      <c r="O1042" s="373"/>
      <c r="P1042" s="670"/>
      <c r="Q1042" s="665"/>
      <c r="R1042" s="665"/>
      <c r="S1042" s="539"/>
      <c r="T1042" s="665"/>
      <c r="U1042" s="49"/>
      <c r="V1042" s="49"/>
      <c r="W1042" s="49"/>
      <c r="X1042" s="49"/>
      <c r="Y1042" s="49"/>
    </row>
    <row r="1043" ht="15.75" customHeight="1">
      <c r="A1043" s="38"/>
      <c r="B1043" s="49"/>
      <c r="C1043" s="15"/>
      <c r="D1043" s="663"/>
      <c r="E1043" s="664"/>
      <c r="F1043" s="665"/>
      <c r="G1043" s="539"/>
      <c r="H1043" s="373"/>
      <c r="I1043" s="665"/>
      <c r="J1043" s="666"/>
      <c r="K1043" s="665"/>
      <c r="L1043" s="667"/>
      <c r="M1043" s="668"/>
      <c r="N1043" s="373"/>
      <c r="O1043" s="373"/>
      <c r="P1043" s="670"/>
      <c r="Q1043" s="665"/>
      <c r="R1043" s="665"/>
      <c r="S1043" s="539"/>
      <c r="T1043" s="665"/>
      <c r="U1043" s="49"/>
      <c r="V1043" s="49"/>
      <c r="W1043" s="49"/>
      <c r="X1043" s="49"/>
      <c r="Y1043" s="49"/>
    </row>
    <row r="1044" ht="15.75" customHeight="1">
      <c r="A1044" s="38"/>
      <c r="B1044" s="49"/>
      <c r="C1044" s="15"/>
      <c r="D1044" s="663"/>
      <c r="E1044" s="664"/>
      <c r="F1044" s="665"/>
      <c r="G1044" s="539"/>
      <c r="H1044" s="373"/>
      <c r="I1044" s="665"/>
      <c r="J1044" s="666"/>
      <c r="K1044" s="665"/>
      <c r="L1044" s="667"/>
      <c r="M1044" s="668"/>
      <c r="N1044" s="373"/>
      <c r="O1044" s="373"/>
      <c r="P1044" s="670"/>
      <c r="Q1044" s="665"/>
      <c r="R1044" s="665"/>
      <c r="S1044" s="539"/>
      <c r="T1044" s="665"/>
      <c r="U1044" s="49"/>
      <c r="V1044" s="49"/>
      <c r="W1044" s="49"/>
      <c r="X1044" s="49"/>
      <c r="Y1044" s="49"/>
    </row>
    <row r="1045" ht="15.75" customHeight="1">
      <c r="A1045" s="38"/>
      <c r="B1045" s="49"/>
      <c r="C1045" s="15"/>
      <c r="D1045" s="663"/>
      <c r="E1045" s="664"/>
      <c r="F1045" s="665"/>
      <c r="G1045" s="539"/>
      <c r="H1045" s="373"/>
      <c r="I1045" s="665"/>
      <c r="J1045" s="666"/>
      <c r="K1045" s="665"/>
      <c r="L1045" s="667"/>
      <c r="M1045" s="668"/>
      <c r="N1045" s="373"/>
      <c r="O1045" s="373"/>
      <c r="P1045" s="670"/>
      <c r="Q1045" s="665"/>
      <c r="R1045" s="665"/>
      <c r="S1045" s="539"/>
      <c r="T1045" s="665"/>
      <c r="U1045" s="49"/>
      <c r="V1045" s="49"/>
      <c r="W1045" s="49"/>
      <c r="X1045" s="49"/>
      <c r="Y1045" s="49"/>
    </row>
    <row r="1046" ht="15.75" customHeight="1">
      <c r="A1046" s="38"/>
      <c r="B1046" s="49"/>
      <c r="C1046" s="15"/>
      <c r="D1046" s="663"/>
      <c r="E1046" s="664"/>
      <c r="F1046" s="665"/>
      <c r="G1046" s="539"/>
      <c r="H1046" s="373"/>
      <c r="I1046" s="665"/>
      <c r="J1046" s="666"/>
      <c r="K1046" s="665"/>
      <c r="L1046" s="667"/>
      <c r="M1046" s="668"/>
      <c r="N1046" s="373"/>
      <c r="O1046" s="373"/>
      <c r="P1046" s="670"/>
      <c r="Q1046" s="665"/>
      <c r="R1046" s="665"/>
      <c r="S1046" s="539"/>
      <c r="T1046" s="665"/>
      <c r="U1046" s="49"/>
      <c r="V1046" s="49"/>
      <c r="W1046" s="49"/>
      <c r="X1046" s="49"/>
      <c r="Y1046" s="49"/>
    </row>
    <row r="1047" ht="15.75" customHeight="1">
      <c r="A1047" s="38"/>
      <c r="B1047" s="49"/>
      <c r="C1047" s="15"/>
      <c r="D1047" s="663"/>
      <c r="E1047" s="664"/>
      <c r="F1047" s="665"/>
      <c r="G1047" s="539"/>
      <c r="H1047" s="373"/>
      <c r="I1047" s="665"/>
      <c r="J1047" s="666"/>
      <c r="K1047" s="665"/>
      <c r="L1047" s="667"/>
      <c r="M1047" s="668"/>
      <c r="N1047" s="373"/>
      <c r="O1047" s="373"/>
      <c r="P1047" s="670"/>
      <c r="Q1047" s="665"/>
      <c r="R1047" s="665"/>
      <c r="S1047" s="539"/>
      <c r="T1047" s="665"/>
      <c r="U1047" s="49"/>
      <c r="V1047" s="49"/>
      <c r="W1047" s="49"/>
      <c r="X1047" s="49"/>
      <c r="Y1047" s="49"/>
    </row>
    <row r="1048" ht="15.75" customHeight="1">
      <c r="A1048" s="38"/>
      <c r="B1048" s="49"/>
      <c r="C1048" s="15"/>
      <c r="D1048" s="663"/>
      <c r="E1048" s="664"/>
      <c r="F1048" s="665"/>
      <c r="G1048" s="539"/>
      <c r="H1048" s="373"/>
      <c r="I1048" s="665"/>
      <c r="J1048" s="666"/>
      <c r="K1048" s="665"/>
      <c r="L1048" s="667"/>
      <c r="M1048" s="668"/>
      <c r="N1048" s="373"/>
      <c r="O1048" s="373"/>
      <c r="P1048" s="670"/>
      <c r="Q1048" s="665"/>
      <c r="R1048" s="665"/>
      <c r="S1048" s="539"/>
      <c r="T1048" s="665"/>
      <c r="U1048" s="49"/>
      <c r="V1048" s="49"/>
      <c r="W1048" s="49"/>
      <c r="X1048" s="49"/>
      <c r="Y1048" s="49"/>
    </row>
    <row r="1049" ht="15.75" customHeight="1">
      <c r="A1049" s="38"/>
      <c r="B1049" s="49"/>
      <c r="C1049" s="15"/>
      <c r="D1049" s="663"/>
      <c r="E1049" s="664"/>
      <c r="F1049" s="665"/>
      <c r="G1049" s="539"/>
      <c r="H1049" s="373"/>
      <c r="I1049" s="665"/>
      <c r="J1049" s="666"/>
      <c r="K1049" s="665"/>
      <c r="L1049" s="667"/>
      <c r="M1049" s="668"/>
      <c r="N1049" s="373"/>
      <c r="O1049" s="373"/>
      <c r="P1049" s="670"/>
      <c r="Q1049" s="665"/>
      <c r="R1049" s="665"/>
      <c r="S1049" s="539"/>
      <c r="T1049" s="665"/>
      <c r="U1049" s="49"/>
      <c r="V1049" s="49"/>
      <c r="W1049" s="49"/>
      <c r="X1049" s="49"/>
      <c r="Y1049" s="49"/>
    </row>
    <row r="1050" ht="15.75" customHeight="1">
      <c r="A1050" s="38"/>
      <c r="B1050" s="49"/>
      <c r="C1050" s="15"/>
      <c r="D1050" s="663"/>
      <c r="E1050" s="664"/>
      <c r="F1050" s="665"/>
      <c r="G1050" s="539"/>
      <c r="H1050" s="373"/>
      <c r="I1050" s="665"/>
      <c r="J1050" s="666"/>
      <c r="K1050" s="665"/>
      <c r="L1050" s="667"/>
      <c r="M1050" s="668"/>
      <c r="N1050" s="373"/>
      <c r="O1050" s="373"/>
      <c r="P1050" s="670"/>
      <c r="Q1050" s="665"/>
      <c r="R1050" s="665"/>
      <c r="S1050" s="539"/>
      <c r="T1050" s="665"/>
      <c r="U1050" s="49"/>
      <c r="V1050" s="49"/>
      <c r="W1050" s="49"/>
      <c r="X1050" s="49"/>
      <c r="Y1050" s="49"/>
    </row>
    <row r="1051" ht="15.75" customHeight="1">
      <c r="A1051" s="38"/>
      <c r="B1051" s="49"/>
      <c r="C1051" s="15"/>
      <c r="D1051" s="663"/>
      <c r="E1051" s="664"/>
      <c r="F1051" s="665"/>
      <c r="G1051" s="539"/>
      <c r="H1051" s="373"/>
      <c r="I1051" s="665"/>
      <c r="J1051" s="666"/>
      <c r="K1051" s="665"/>
      <c r="L1051" s="667"/>
      <c r="M1051" s="668"/>
      <c r="N1051" s="373"/>
      <c r="O1051" s="373"/>
      <c r="P1051" s="670"/>
      <c r="Q1051" s="665"/>
      <c r="R1051" s="665"/>
      <c r="S1051" s="539"/>
      <c r="T1051" s="665"/>
      <c r="U1051" s="49"/>
      <c r="V1051" s="49"/>
      <c r="W1051" s="49"/>
      <c r="X1051" s="49"/>
      <c r="Y1051" s="49"/>
    </row>
    <row r="1052" ht="15.75" customHeight="1">
      <c r="A1052" s="38"/>
      <c r="B1052" s="49"/>
      <c r="C1052" s="15"/>
      <c r="D1052" s="663"/>
      <c r="E1052" s="664"/>
      <c r="F1052" s="665"/>
      <c r="G1052" s="539"/>
      <c r="H1052" s="373"/>
      <c r="I1052" s="665"/>
      <c r="J1052" s="666"/>
      <c r="K1052" s="665"/>
      <c r="L1052" s="667"/>
      <c r="M1052" s="668"/>
      <c r="N1052" s="373"/>
      <c r="O1052" s="373"/>
      <c r="P1052" s="670"/>
      <c r="Q1052" s="665"/>
      <c r="R1052" s="665"/>
      <c r="S1052" s="539"/>
      <c r="T1052" s="665"/>
      <c r="U1052" s="49"/>
      <c r="V1052" s="49"/>
      <c r="W1052" s="49"/>
      <c r="X1052" s="49"/>
      <c r="Y1052" s="49"/>
    </row>
    <row r="1053" ht="15.75" customHeight="1">
      <c r="A1053" s="38"/>
      <c r="B1053" s="49"/>
      <c r="C1053" s="15"/>
      <c r="D1053" s="663"/>
      <c r="E1053" s="664"/>
      <c r="F1053" s="665"/>
      <c r="G1053" s="539"/>
      <c r="H1053" s="373"/>
      <c r="I1053" s="665"/>
      <c r="J1053" s="666"/>
      <c r="K1053" s="665"/>
      <c r="L1053" s="667"/>
      <c r="M1053" s="668"/>
      <c r="N1053" s="373"/>
      <c r="O1053" s="373"/>
      <c r="P1053" s="670"/>
      <c r="Q1053" s="665"/>
      <c r="R1053" s="665"/>
      <c r="S1053" s="539"/>
      <c r="T1053" s="665"/>
      <c r="U1053" s="49"/>
      <c r="V1053" s="49"/>
      <c r="W1053" s="49"/>
      <c r="X1053" s="49"/>
      <c r="Y1053" s="49"/>
    </row>
    <row r="1054" ht="15.75" customHeight="1">
      <c r="A1054" s="38"/>
      <c r="B1054" s="49"/>
      <c r="C1054" s="15"/>
      <c r="D1054" s="663"/>
      <c r="E1054" s="664"/>
      <c r="F1054" s="665"/>
      <c r="G1054" s="539"/>
      <c r="H1054" s="373"/>
      <c r="I1054" s="665"/>
      <c r="J1054" s="666"/>
      <c r="K1054" s="665"/>
      <c r="L1054" s="667"/>
      <c r="M1054" s="668"/>
      <c r="N1054" s="373"/>
      <c r="O1054" s="373"/>
      <c r="P1054" s="670"/>
      <c r="Q1054" s="665"/>
      <c r="R1054" s="665"/>
      <c r="S1054" s="539"/>
      <c r="T1054" s="665"/>
      <c r="U1054" s="49"/>
      <c r="V1054" s="49"/>
      <c r="W1054" s="49"/>
      <c r="X1054" s="49"/>
      <c r="Y1054" s="49"/>
    </row>
    <row r="1055" ht="15.75" customHeight="1">
      <c r="A1055" s="38"/>
      <c r="B1055" s="49"/>
      <c r="C1055" s="15"/>
      <c r="D1055" s="663"/>
      <c r="E1055" s="664"/>
      <c r="F1055" s="665"/>
      <c r="G1055" s="539"/>
      <c r="H1055" s="373"/>
      <c r="I1055" s="665"/>
      <c r="J1055" s="666"/>
      <c r="K1055" s="665"/>
      <c r="L1055" s="667"/>
      <c r="M1055" s="668"/>
      <c r="N1055" s="373"/>
      <c r="O1055" s="373"/>
      <c r="P1055" s="670"/>
      <c r="Q1055" s="665"/>
      <c r="R1055" s="665"/>
      <c r="S1055" s="539"/>
      <c r="T1055" s="665"/>
      <c r="U1055" s="49"/>
      <c r="V1055" s="49"/>
      <c r="W1055" s="49"/>
      <c r="X1055" s="49"/>
      <c r="Y1055" s="49"/>
    </row>
    <row r="1056" ht="15.75" customHeight="1">
      <c r="A1056" s="38"/>
      <c r="B1056" s="49"/>
      <c r="C1056" s="15"/>
      <c r="D1056" s="663"/>
      <c r="E1056" s="664"/>
      <c r="F1056" s="665"/>
      <c r="G1056" s="539"/>
      <c r="H1056" s="373"/>
      <c r="I1056" s="665"/>
      <c r="J1056" s="666"/>
      <c r="K1056" s="665"/>
      <c r="L1056" s="667"/>
      <c r="M1056" s="668"/>
      <c r="N1056" s="373"/>
      <c r="O1056" s="373"/>
      <c r="P1056" s="670"/>
      <c r="Q1056" s="665"/>
      <c r="R1056" s="665"/>
      <c r="S1056" s="539"/>
      <c r="T1056" s="665"/>
      <c r="U1056" s="49"/>
      <c r="V1056" s="49"/>
      <c r="W1056" s="49"/>
      <c r="X1056" s="49"/>
      <c r="Y1056" s="49"/>
    </row>
    <row r="1057" ht="15.75" customHeight="1">
      <c r="A1057" s="38"/>
      <c r="B1057" s="49"/>
      <c r="C1057" s="15"/>
      <c r="D1057" s="663"/>
      <c r="E1057" s="664"/>
      <c r="F1057" s="665"/>
      <c r="G1057" s="539"/>
      <c r="H1057" s="373"/>
      <c r="I1057" s="665"/>
      <c r="J1057" s="666"/>
      <c r="K1057" s="665"/>
      <c r="L1057" s="667"/>
      <c r="M1057" s="668"/>
      <c r="N1057" s="373"/>
      <c r="O1057" s="373"/>
      <c r="P1057" s="670"/>
      <c r="Q1057" s="665"/>
      <c r="R1057" s="665"/>
      <c r="S1057" s="539"/>
      <c r="T1057" s="665"/>
      <c r="U1057" s="49"/>
      <c r="V1057" s="49"/>
      <c r="W1057" s="49"/>
      <c r="X1057" s="49"/>
      <c r="Y1057" s="49"/>
    </row>
    <row r="1058" ht="15.75" customHeight="1">
      <c r="A1058" s="38"/>
      <c r="B1058" s="49"/>
      <c r="C1058" s="15"/>
      <c r="D1058" s="663"/>
      <c r="E1058" s="664"/>
      <c r="F1058" s="665"/>
      <c r="G1058" s="539"/>
      <c r="H1058" s="373"/>
      <c r="I1058" s="665"/>
      <c r="J1058" s="666"/>
      <c r="K1058" s="665"/>
      <c r="L1058" s="667"/>
      <c r="M1058" s="668"/>
      <c r="N1058" s="373"/>
      <c r="O1058" s="373"/>
      <c r="P1058" s="670"/>
      <c r="Q1058" s="665"/>
      <c r="R1058" s="665"/>
      <c r="S1058" s="539"/>
      <c r="T1058" s="665"/>
      <c r="U1058" s="49"/>
      <c r="V1058" s="49"/>
      <c r="W1058" s="49"/>
      <c r="X1058" s="49"/>
      <c r="Y1058" s="49"/>
    </row>
    <row r="1059" ht="15.75" customHeight="1">
      <c r="A1059" s="38"/>
      <c r="B1059" s="49"/>
      <c r="C1059" s="15"/>
      <c r="D1059" s="663"/>
      <c r="E1059" s="664"/>
      <c r="F1059" s="665"/>
      <c r="G1059" s="539"/>
      <c r="H1059" s="373"/>
      <c r="I1059" s="665"/>
      <c r="J1059" s="666"/>
      <c r="K1059" s="665"/>
      <c r="L1059" s="667"/>
      <c r="M1059" s="668"/>
      <c r="N1059" s="373"/>
      <c r="O1059" s="373"/>
      <c r="P1059" s="670"/>
      <c r="Q1059" s="665"/>
      <c r="R1059" s="665"/>
      <c r="S1059" s="539"/>
      <c r="T1059" s="665"/>
      <c r="U1059" s="49"/>
      <c r="V1059" s="49"/>
      <c r="W1059" s="49"/>
      <c r="X1059" s="49"/>
      <c r="Y1059" s="49"/>
    </row>
    <row r="1060" ht="15.75" customHeight="1">
      <c r="A1060" s="38"/>
      <c r="B1060" s="49"/>
      <c r="C1060" s="15"/>
      <c r="D1060" s="663"/>
      <c r="E1060" s="664"/>
      <c r="F1060" s="665"/>
      <c r="G1060" s="539"/>
      <c r="H1060" s="373"/>
      <c r="I1060" s="665"/>
      <c r="J1060" s="666"/>
      <c r="K1060" s="665"/>
      <c r="L1060" s="667"/>
      <c r="M1060" s="668"/>
      <c r="N1060" s="373"/>
      <c r="O1060" s="373"/>
      <c r="P1060" s="670"/>
      <c r="Q1060" s="665"/>
      <c r="R1060" s="665"/>
      <c r="S1060" s="539"/>
      <c r="T1060" s="665"/>
      <c r="U1060" s="49"/>
      <c r="V1060" s="49"/>
      <c r="W1060" s="49"/>
      <c r="X1060" s="49"/>
      <c r="Y1060" s="49"/>
    </row>
    <row r="1061" ht="15.75" customHeight="1">
      <c r="A1061" s="38"/>
      <c r="B1061" s="49"/>
      <c r="C1061" s="15"/>
      <c r="D1061" s="663"/>
      <c r="E1061" s="664"/>
      <c r="F1061" s="665"/>
      <c r="G1061" s="539"/>
      <c r="H1061" s="373"/>
      <c r="I1061" s="665"/>
      <c r="J1061" s="666"/>
      <c r="K1061" s="665"/>
      <c r="L1061" s="667"/>
      <c r="M1061" s="668"/>
      <c r="N1061" s="373"/>
      <c r="O1061" s="373"/>
      <c r="P1061" s="670"/>
      <c r="Q1061" s="665"/>
      <c r="R1061" s="665"/>
      <c r="S1061" s="539"/>
      <c r="T1061" s="665"/>
      <c r="U1061" s="49"/>
      <c r="V1061" s="49"/>
      <c r="W1061" s="49"/>
      <c r="X1061" s="49"/>
      <c r="Y1061" s="49"/>
    </row>
    <row r="1062" ht="15.75" customHeight="1">
      <c r="A1062" s="38"/>
      <c r="B1062" s="49"/>
      <c r="C1062" s="15"/>
      <c r="D1062" s="663"/>
      <c r="E1062" s="664"/>
      <c r="F1062" s="665"/>
      <c r="G1062" s="539"/>
      <c r="H1062" s="373"/>
      <c r="I1062" s="665"/>
      <c r="J1062" s="666"/>
      <c r="K1062" s="665"/>
      <c r="L1062" s="667"/>
      <c r="M1062" s="668"/>
      <c r="N1062" s="373"/>
      <c r="O1062" s="373"/>
      <c r="P1062" s="670"/>
      <c r="Q1062" s="665"/>
      <c r="R1062" s="665"/>
      <c r="S1062" s="539"/>
      <c r="T1062" s="665"/>
      <c r="U1062" s="49"/>
      <c r="V1062" s="49"/>
      <c r="W1062" s="49"/>
      <c r="X1062" s="49"/>
      <c r="Y1062" s="49"/>
    </row>
    <row r="1063" ht="15.75" customHeight="1">
      <c r="A1063" s="38"/>
      <c r="B1063" s="49"/>
      <c r="C1063" s="15"/>
      <c r="D1063" s="663"/>
      <c r="E1063" s="664"/>
      <c r="F1063" s="665"/>
      <c r="G1063" s="539"/>
      <c r="H1063" s="373"/>
      <c r="I1063" s="665"/>
      <c r="J1063" s="666"/>
      <c r="K1063" s="665"/>
      <c r="L1063" s="667"/>
      <c r="M1063" s="668"/>
      <c r="N1063" s="373"/>
      <c r="O1063" s="373"/>
      <c r="P1063" s="670"/>
      <c r="Q1063" s="665"/>
      <c r="R1063" s="665"/>
      <c r="S1063" s="539"/>
      <c r="T1063" s="665"/>
      <c r="U1063" s="49"/>
      <c r="V1063" s="49"/>
      <c r="W1063" s="49"/>
      <c r="X1063" s="49"/>
      <c r="Y1063" s="49"/>
    </row>
    <row r="1064" ht="15.75" customHeight="1">
      <c r="A1064" s="38"/>
      <c r="B1064" s="49"/>
      <c r="C1064" s="15"/>
      <c r="D1064" s="663"/>
      <c r="E1064" s="664"/>
      <c r="F1064" s="665"/>
      <c r="G1064" s="539"/>
      <c r="H1064" s="373"/>
      <c r="I1064" s="665"/>
      <c r="J1064" s="666"/>
      <c r="K1064" s="665"/>
      <c r="L1064" s="667"/>
      <c r="M1064" s="668"/>
      <c r="N1064" s="373"/>
      <c r="O1064" s="373"/>
      <c r="P1064" s="670"/>
      <c r="Q1064" s="665"/>
      <c r="R1064" s="665"/>
      <c r="S1064" s="539"/>
      <c r="T1064" s="665"/>
      <c r="U1064" s="49"/>
      <c r="V1064" s="49"/>
      <c r="W1064" s="49"/>
      <c r="X1064" s="49"/>
      <c r="Y1064" s="49"/>
    </row>
    <row r="1065" ht="15.75" customHeight="1">
      <c r="A1065" s="38"/>
      <c r="B1065" s="49"/>
      <c r="C1065" s="15"/>
      <c r="D1065" s="663"/>
      <c r="E1065" s="664"/>
      <c r="F1065" s="665"/>
      <c r="G1065" s="539"/>
      <c r="H1065" s="373"/>
      <c r="I1065" s="665"/>
      <c r="J1065" s="666"/>
      <c r="K1065" s="665"/>
      <c r="L1065" s="667"/>
      <c r="M1065" s="668"/>
      <c r="N1065" s="373"/>
      <c r="O1065" s="373"/>
      <c r="P1065" s="670"/>
      <c r="Q1065" s="665"/>
      <c r="R1065" s="665"/>
      <c r="S1065" s="539"/>
      <c r="T1065" s="665"/>
      <c r="U1065" s="49"/>
      <c r="V1065" s="49"/>
      <c r="W1065" s="49"/>
      <c r="X1065" s="49"/>
      <c r="Y1065" s="49"/>
    </row>
    <row r="1066" ht="15.75" customHeight="1">
      <c r="A1066" s="38"/>
      <c r="B1066" s="49"/>
      <c r="C1066" s="15"/>
      <c r="D1066" s="663"/>
      <c r="E1066" s="664"/>
      <c r="F1066" s="665"/>
      <c r="G1066" s="539"/>
      <c r="H1066" s="373"/>
      <c r="I1066" s="665"/>
      <c r="J1066" s="666"/>
      <c r="K1066" s="665"/>
      <c r="L1066" s="667"/>
      <c r="M1066" s="668"/>
      <c r="N1066" s="373"/>
      <c r="O1066" s="373"/>
      <c r="P1066" s="670"/>
      <c r="Q1066" s="665"/>
      <c r="R1066" s="665"/>
      <c r="S1066" s="539"/>
      <c r="T1066" s="665"/>
      <c r="U1066" s="49"/>
      <c r="V1066" s="49"/>
      <c r="W1066" s="49"/>
      <c r="X1066" s="49"/>
      <c r="Y1066" s="49"/>
    </row>
    <row r="1067" ht="15.75" customHeight="1">
      <c r="A1067" s="38"/>
      <c r="B1067" s="49"/>
      <c r="C1067" s="15"/>
      <c r="D1067" s="663"/>
      <c r="E1067" s="664"/>
      <c r="F1067" s="665"/>
      <c r="G1067" s="539"/>
      <c r="H1067" s="373"/>
      <c r="I1067" s="665"/>
      <c r="J1067" s="666"/>
      <c r="K1067" s="665"/>
      <c r="L1067" s="667"/>
      <c r="M1067" s="668"/>
      <c r="N1067" s="373"/>
      <c r="O1067" s="373"/>
      <c r="P1067" s="670"/>
      <c r="Q1067" s="665"/>
      <c r="R1067" s="665"/>
      <c r="S1067" s="539"/>
      <c r="T1067" s="665"/>
      <c r="U1067" s="49"/>
      <c r="V1067" s="49"/>
      <c r="W1067" s="49"/>
      <c r="X1067" s="49"/>
      <c r="Y1067" s="49"/>
    </row>
    <row r="1068" ht="15.75" customHeight="1">
      <c r="A1068" s="38"/>
      <c r="B1068" s="49"/>
      <c r="C1068" s="15"/>
      <c r="D1068" s="663"/>
      <c r="E1068" s="664"/>
      <c r="F1068" s="665"/>
      <c r="G1068" s="539"/>
      <c r="H1068" s="373"/>
      <c r="I1068" s="665"/>
      <c r="J1068" s="666"/>
      <c r="K1068" s="665"/>
      <c r="L1068" s="667"/>
      <c r="M1068" s="668"/>
      <c r="N1068" s="373"/>
      <c r="O1068" s="373"/>
      <c r="P1068" s="670"/>
      <c r="Q1068" s="665"/>
      <c r="R1068" s="665"/>
      <c r="S1068" s="539"/>
      <c r="T1068" s="665"/>
      <c r="U1068" s="49"/>
      <c r="V1068" s="49"/>
      <c r="W1068" s="49"/>
      <c r="X1068" s="49"/>
      <c r="Y1068" s="49"/>
    </row>
    <row r="1069" ht="15.75" customHeight="1">
      <c r="A1069" s="38"/>
      <c r="B1069" s="49"/>
      <c r="C1069" s="15"/>
      <c r="D1069" s="663"/>
      <c r="E1069" s="664"/>
      <c r="F1069" s="665"/>
      <c r="G1069" s="539"/>
      <c r="H1069" s="373"/>
      <c r="I1069" s="665"/>
      <c r="J1069" s="666"/>
      <c r="K1069" s="665"/>
      <c r="L1069" s="667"/>
      <c r="M1069" s="668"/>
      <c r="N1069" s="373"/>
      <c r="O1069" s="373"/>
      <c r="P1069" s="670"/>
      <c r="Q1069" s="665"/>
      <c r="R1069" s="665"/>
      <c r="S1069" s="539"/>
      <c r="T1069" s="665"/>
      <c r="U1069" s="49"/>
      <c r="V1069" s="49"/>
      <c r="W1069" s="49"/>
      <c r="X1069" s="49"/>
      <c r="Y1069" s="49"/>
    </row>
    <row r="1070" ht="15.75" customHeight="1">
      <c r="A1070" s="38"/>
      <c r="B1070" s="49"/>
      <c r="C1070" s="15"/>
      <c r="D1070" s="663"/>
      <c r="E1070" s="664"/>
      <c r="F1070" s="665"/>
      <c r="G1070" s="539"/>
      <c r="H1070" s="373"/>
      <c r="I1070" s="665"/>
      <c r="J1070" s="666"/>
      <c r="K1070" s="665"/>
      <c r="L1070" s="667"/>
      <c r="M1070" s="668"/>
      <c r="N1070" s="373"/>
      <c r="O1070" s="373"/>
      <c r="P1070" s="670"/>
      <c r="Q1070" s="665"/>
      <c r="R1070" s="665"/>
      <c r="S1070" s="539"/>
      <c r="T1070" s="665"/>
      <c r="U1070" s="49"/>
      <c r="V1070" s="49"/>
      <c r="W1070" s="49"/>
      <c r="X1070" s="49"/>
      <c r="Y1070" s="49"/>
    </row>
    <row r="1071" ht="15.75" customHeight="1">
      <c r="A1071" s="38"/>
      <c r="B1071" s="49"/>
      <c r="C1071" s="15"/>
      <c r="D1071" s="663"/>
      <c r="E1071" s="664"/>
      <c r="F1071" s="665"/>
      <c r="G1071" s="539"/>
      <c r="H1071" s="373"/>
      <c r="I1071" s="665"/>
      <c r="J1071" s="666"/>
      <c r="K1071" s="665"/>
      <c r="L1071" s="667"/>
      <c r="M1071" s="668"/>
      <c r="N1071" s="373"/>
      <c r="O1071" s="373"/>
      <c r="P1071" s="670"/>
      <c r="Q1071" s="665"/>
      <c r="R1071" s="665"/>
      <c r="S1071" s="539"/>
      <c r="T1071" s="665"/>
      <c r="U1071" s="49"/>
      <c r="V1071" s="49"/>
      <c r="W1071" s="49"/>
      <c r="X1071" s="49"/>
      <c r="Y1071" s="49"/>
    </row>
    <row r="1072" ht="15.75" customHeight="1">
      <c r="A1072" s="38"/>
      <c r="B1072" s="49"/>
      <c r="C1072" s="15"/>
      <c r="D1072" s="663"/>
      <c r="E1072" s="664"/>
      <c r="F1072" s="665"/>
      <c r="G1072" s="539"/>
      <c r="H1072" s="373"/>
      <c r="I1072" s="665"/>
      <c r="J1072" s="666"/>
      <c r="K1072" s="665"/>
      <c r="L1072" s="667"/>
      <c r="M1072" s="668"/>
      <c r="N1072" s="373"/>
      <c r="O1072" s="373"/>
      <c r="P1072" s="670"/>
      <c r="Q1072" s="665"/>
      <c r="R1072" s="665"/>
      <c r="S1072" s="539"/>
      <c r="T1072" s="665"/>
      <c r="U1072" s="49"/>
      <c r="V1072" s="49"/>
      <c r="W1072" s="49"/>
      <c r="X1072" s="49"/>
      <c r="Y1072" s="49"/>
    </row>
    <row r="1073" ht="15.75" customHeight="1">
      <c r="A1073" s="38"/>
      <c r="B1073" s="49"/>
      <c r="C1073" s="15"/>
      <c r="D1073" s="663"/>
      <c r="E1073" s="664"/>
      <c r="F1073" s="665"/>
      <c r="G1073" s="539"/>
      <c r="H1073" s="373"/>
      <c r="I1073" s="665"/>
      <c r="J1073" s="666"/>
      <c r="K1073" s="665"/>
      <c r="L1073" s="667"/>
      <c r="M1073" s="668"/>
      <c r="N1073" s="373"/>
      <c r="O1073" s="373"/>
      <c r="P1073" s="670"/>
      <c r="Q1073" s="665"/>
      <c r="R1073" s="665"/>
      <c r="S1073" s="539"/>
      <c r="T1073" s="665"/>
      <c r="U1073" s="49"/>
      <c r="V1073" s="49"/>
      <c r="W1073" s="49"/>
      <c r="X1073" s="49"/>
      <c r="Y1073" s="49"/>
    </row>
    <row r="1074" ht="15.75" customHeight="1">
      <c r="A1074" s="38"/>
      <c r="B1074" s="49"/>
      <c r="C1074" s="15"/>
      <c r="D1074" s="663"/>
      <c r="E1074" s="664"/>
      <c r="F1074" s="665"/>
      <c r="G1074" s="539"/>
      <c r="H1074" s="373"/>
      <c r="I1074" s="665"/>
      <c r="J1074" s="666"/>
      <c r="K1074" s="665"/>
      <c r="L1074" s="667"/>
      <c r="M1074" s="668"/>
      <c r="N1074" s="373"/>
      <c r="O1074" s="373"/>
      <c r="P1074" s="670"/>
      <c r="Q1074" s="665"/>
      <c r="R1074" s="665"/>
      <c r="S1074" s="539"/>
      <c r="T1074" s="665"/>
      <c r="U1074" s="49"/>
      <c r="V1074" s="49"/>
      <c r="W1074" s="49"/>
      <c r="X1074" s="49"/>
      <c r="Y1074" s="49"/>
    </row>
    <row r="1075" ht="15.75" customHeight="1">
      <c r="A1075" s="38"/>
      <c r="B1075" s="49"/>
      <c r="C1075" s="15"/>
      <c r="D1075" s="663"/>
      <c r="E1075" s="664"/>
      <c r="F1075" s="665"/>
      <c r="G1075" s="539"/>
      <c r="H1075" s="373"/>
      <c r="I1075" s="665"/>
      <c r="J1075" s="666"/>
      <c r="K1075" s="665"/>
      <c r="L1075" s="667"/>
      <c r="M1075" s="668"/>
      <c r="N1075" s="373"/>
      <c r="O1075" s="373"/>
      <c r="P1075" s="670"/>
      <c r="Q1075" s="665"/>
      <c r="R1075" s="665"/>
      <c r="S1075" s="539"/>
      <c r="T1075" s="665"/>
      <c r="U1075" s="49"/>
      <c r="V1075" s="49"/>
      <c r="W1075" s="49"/>
      <c r="X1075" s="49"/>
      <c r="Y1075" s="49"/>
    </row>
    <row r="1076" ht="15.75" customHeight="1">
      <c r="A1076" s="38"/>
      <c r="B1076" s="49"/>
      <c r="C1076" s="15"/>
      <c r="D1076" s="663"/>
      <c r="E1076" s="664"/>
      <c r="F1076" s="665"/>
      <c r="G1076" s="539"/>
      <c r="H1076" s="373"/>
      <c r="I1076" s="665"/>
      <c r="J1076" s="666"/>
      <c r="K1076" s="665"/>
      <c r="L1076" s="667"/>
      <c r="M1076" s="668"/>
      <c r="N1076" s="373"/>
      <c r="O1076" s="373"/>
      <c r="P1076" s="670"/>
      <c r="Q1076" s="665"/>
      <c r="R1076" s="665"/>
      <c r="S1076" s="539"/>
      <c r="T1076" s="665"/>
      <c r="U1076" s="49"/>
      <c r="V1076" s="49"/>
      <c r="W1076" s="49"/>
      <c r="X1076" s="49"/>
      <c r="Y1076" s="49"/>
    </row>
  </sheetData>
  <mergeCells count="48">
    <mergeCell ref="B2:S2"/>
    <mergeCell ref="A4:A7"/>
    <mergeCell ref="B4:B11"/>
    <mergeCell ref="A13:A16"/>
    <mergeCell ref="B13:B20"/>
    <mergeCell ref="A22:A25"/>
    <mergeCell ref="A31:A34"/>
    <mergeCell ref="B49:T49"/>
    <mergeCell ref="B69:B75"/>
    <mergeCell ref="B78:B85"/>
    <mergeCell ref="Q80:Q81"/>
    <mergeCell ref="T80:T81"/>
    <mergeCell ref="W80:W81"/>
    <mergeCell ref="H95:K95"/>
    <mergeCell ref="B96:S96"/>
    <mergeCell ref="B22:B29"/>
    <mergeCell ref="B31:B38"/>
    <mergeCell ref="A40:A43"/>
    <mergeCell ref="B40:B47"/>
    <mergeCell ref="A51:A54"/>
    <mergeCell ref="B51:B57"/>
    <mergeCell ref="B60:B66"/>
    <mergeCell ref="B98:B105"/>
    <mergeCell ref="B107:B114"/>
    <mergeCell ref="A116:A119"/>
    <mergeCell ref="B116:B123"/>
    <mergeCell ref="A125:A128"/>
    <mergeCell ref="B125:B132"/>
    <mergeCell ref="A134:A137"/>
    <mergeCell ref="B134:B141"/>
    <mergeCell ref="B144:T144"/>
    <mergeCell ref="A60:A63"/>
    <mergeCell ref="A69:A72"/>
    <mergeCell ref="A78:A81"/>
    <mergeCell ref="A87:A90"/>
    <mergeCell ref="B87:B94"/>
    <mergeCell ref="A98:A101"/>
    <mergeCell ref="A107:A110"/>
    <mergeCell ref="A173:A176"/>
    <mergeCell ref="A182:A185"/>
    <mergeCell ref="A146:A149"/>
    <mergeCell ref="B146:B153"/>
    <mergeCell ref="A155:A158"/>
    <mergeCell ref="B155:B162"/>
    <mergeCell ref="A164:A167"/>
    <mergeCell ref="B164:B171"/>
    <mergeCell ref="B173:B180"/>
    <mergeCell ref="B182:B189"/>
  </mergeCells>
  <conditionalFormatting sqref="S42">
    <cfRule type="expression" dxfId="0" priority="1">
      <formula>AND($E42&lt;&gt;"",COUNTIF($E$4:$E1076,$E42)&gt;1)</formula>
    </cfRule>
  </conditionalFormatting>
  <dataValidations>
    <dataValidation type="list" allowBlank="1" showDropDown="1" showErrorMessage="1" sqref="S4:S41 D4:D48 G4:G48 J4:J48 M4:M48 P4:P48 S43:S48 V4:V70 U71 J50:J94 D50:D95 G50:G95 M50:M95 P50:P95 S50:S95 D97:D143 G97:G143 J97:J143 M97:M143 P97:P143 S97:S143 D145:D1076 G145:G1076 J145:J1076 M145:M1076 P145:P1076 S145:S1076 V72:V1076">
      <formula1>'Справочник'!$C$3:$C1076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1.22" defaultRowHeight="15.0"/>
  <cols>
    <col customWidth="1" min="1" max="1" width="5.56"/>
    <col customWidth="1" min="2" max="2" width="3.89"/>
    <col customWidth="1" min="3" max="3" width="3.78"/>
    <col customWidth="1" min="4" max="4" width="7.44"/>
    <col customWidth="1" min="5" max="5" width="36.67"/>
    <col customWidth="1" min="6" max="66" width="3.22"/>
    <col customWidth="1" min="67" max="67" width="4.33"/>
    <col customWidth="1" min="68" max="68" width="6.56"/>
    <col customWidth="1" min="69" max="69" width="6.67"/>
    <col customWidth="1" min="70" max="71" width="9.0"/>
    <col customWidth="1" min="72" max="72" width="10.56"/>
  </cols>
  <sheetData>
    <row r="1" ht="16.5" customHeight="1">
      <c r="A1" s="1540"/>
      <c r="B1" s="1541"/>
      <c r="C1" s="1542"/>
      <c r="D1" s="1543"/>
      <c r="E1" s="906"/>
      <c r="F1" s="1544"/>
      <c r="G1" s="684"/>
      <c r="H1" s="1544"/>
      <c r="I1" s="684"/>
      <c r="J1" s="1544"/>
      <c r="K1" s="684"/>
      <c r="L1" s="1544"/>
      <c r="M1" s="684"/>
      <c r="N1" s="1544"/>
      <c r="O1" s="684"/>
      <c r="P1" s="1544"/>
      <c r="Q1" s="684"/>
      <c r="R1" s="1544"/>
      <c r="S1" s="684"/>
      <c r="T1" s="1544"/>
      <c r="U1" s="684"/>
      <c r="V1" s="1544"/>
      <c r="W1" s="684"/>
      <c r="X1" s="1544"/>
      <c r="Y1" s="1545"/>
      <c r="Z1" s="1544"/>
      <c r="AA1" s="684"/>
      <c r="AB1" s="1544"/>
      <c r="AC1" s="684"/>
      <c r="AD1" s="1546"/>
      <c r="AE1" s="684"/>
      <c r="AF1" s="1546"/>
      <c r="AG1" s="684"/>
      <c r="AH1" s="1546"/>
      <c r="AI1" s="684"/>
      <c r="AJ1" s="1546"/>
      <c r="AK1" s="684"/>
      <c r="AL1" s="1546"/>
      <c r="AM1" s="684"/>
      <c r="AN1" s="1544"/>
      <c r="AO1" s="1545"/>
      <c r="AP1" s="1544"/>
      <c r="AQ1" s="1545"/>
      <c r="AR1" s="1545"/>
      <c r="AS1" s="684"/>
      <c r="AT1" s="684"/>
      <c r="AU1" s="684"/>
      <c r="AV1" s="684"/>
      <c r="AW1" s="684"/>
      <c r="AX1" s="684"/>
      <c r="AY1" s="684"/>
      <c r="AZ1" s="684"/>
      <c r="BA1" s="684"/>
      <c r="BB1" s="677"/>
      <c r="BC1" s="684"/>
      <c r="BD1" s="677"/>
      <c r="BE1" s="684"/>
      <c r="BF1" s="677"/>
      <c r="BG1" s="684"/>
      <c r="BH1" s="13"/>
      <c r="BI1" s="684"/>
      <c r="BJ1" s="13"/>
      <c r="BK1" s="684"/>
      <c r="BL1" s="684"/>
      <c r="BM1" s="684"/>
      <c r="BN1" s="677"/>
      <c r="BO1" s="684"/>
      <c r="BP1" s="541"/>
      <c r="BQ1" s="633"/>
      <c r="BR1" s="541"/>
      <c r="BS1" s="541"/>
      <c r="BT1" s="541"/>
    </row>
    <row r="2" ht="18.75" customHeight="1">
      <c r="A2" s="1547" t="s">
        <v>3067</v>
      </c>
      <c r="B2" s="1548"/>
      <c r="C2" s="1549"/>
      <c r="D2" s="1550">
        <v>46257.0</v>
      </c>
      <c r="E2" s="1551" t="s">
        <v>3068</v>
      </c>
      <c r="F2" s="1552"/>
      <c r="G2" s="1552"/>
      <c r="H2" s="1552"/>
      <c r="I2" s="1552"/>
      <c r="J2" s="1552"/>
      <c r="K2" s="1552"/>
      <c r="L2" s="1552"/>
      <c r="M2" s="1552"/>
      <c r="N2" s="1552"/>
      <c r="O2" s="1552"/>
      <c r="P2" s="1552"/>
      <c r="Q2" s="1552"/>
      <c r="R2" s="1552"/>
      <c r="S2" s="1552"/>
      <c r="T2" s="1552"/>
      <c r="U2" s="1552"/>
      <c r="V2" s="1553"/>
      <c r="W2" s="1552"/>
      <c r="X2" s="1552"/>
      <c r="Y2" s="1552"/>
      <c r="Z2" s="1552"/>
      <c r="AA2" s="1552"/>
      <c r="AB2" s="1552"/>
      <c r="AC2" s="1552"/>
      <c r="AD2" s="1552"/>
      <c r="AE2" s="1552"/>
      <c r="AF2" s="1552"/>
      <c r="AG2" s="1552"/>
      <c r="AH2" s="1552"/>
      <c r="AI2" s="1552"/>
      <c r="AJ2" s="1552"/>
      <c r="AK2" s="1552"/>
      <c r="AL2" s="1552"/>
      <c r="AM2" s="1552"/>
      <c r="AN2" s="1552"/>
      <c r="AO2" s="1552"/>
      <c r="AP2" s="1553"/>
      <c r="AQ2" s="1552"/>
      <c r="AR2" s="1552"/>
      <c r="AS2" s="1552"/>
      <c r="AT2" s="1552"/>
      <c r="AU2" s="1552"/>
      <c r="AV2" s="1552"/>
      <c r="AW2" s="1552"/>
      <c r="AX2" s="1552"/>
      <c r="AY2" s="1552"/>
      <c r="AZ2" s="1552"/>
      <c r="BA2" s="1552"/>
      <c r="BB2" s="1553"/>
      <c r="BC2" s="1552"/>
      <c r="BD2" s="1553"/>
      <c r="BE2" s="1552"/>
      <c r="BF2" s="1553"/>
      <c r="BG2" s="1552"/>
      <c r="BH2" s="1552"/>
      <c r="BI2" s="1552"/>
      <c r="BJ2" s="1552"/>
      <c r="BK2" s="1552"/>
      <c r="BL2" s="1552"/>
      <c r="BM2" s="1552"/>
      <c r="BN2" s="1552"/>
      <c r="BO2" s="1552"/>
      <c r="BP2" s="1552"/>
      <c r="BQ2" s="1554"/>
      <c r="BR2" s="1555"/>
      <c r="BS2" s="1555"/>
      <c r="BT2" s="1552"/>
    </row>
    <row r="3" ht="18.75" customHeight="1">
      <c r="A3" s="1556" t="s">
        <v>3069</v>
      </c>
      <c r="B3" s="1557" t="s">
        <v>1283</v>
      </c>
      <c r="C3" s="1558" t="s">
        <v>19</v>
      </c>
      <c r="D3" s="1557" t="s">
        <v>3070</v>
      </c>
      <c r="E3" s="1559" t="s">
        <v>471</v>
      </c>
      <c r="F3" s="1075" t="s">
        <v>1357</v>
      </c>
      <c r="G3" s="1409" t="s">
        <v>3071</v>
      </c>
      <c r="H3" s="1075" t="s">
        <v>1287</v>
      </c>
      <c r="I3" s="1409" t="s">
        <v>1288</v>
      </c>
      <c r="J3" s="1075" t="s">
        <v>1358</v>
      </c>
      <c r="K3" s="1409" t="s">
        <v>3072</v>
      </c>
      <c r="L3" s="1075" t="s">
        <v>1359</v>
      </c>
      <c r="M3" s="1409" t="s">
        <v>3073</v>
      </c>
      <c r="N3" s="1075" t="s">
        <v>1360</v>
      </c>
      <c r="O3" s="1409" t="s">
        <v>3074</v>
      </c>
      <c r="P3" s="1075" t="s">
        <v>1361</v>
      </c>
      <c r="Q3" s="1409" t="s">
        <v>3075</v>
      </c>
      <c r="R3" s="1485" t="s">
        <v>1362</v>
      </c>
      <c r="S3" s="1560" t="s">
        <v>1298</v>
      </c>
      <c r="T3" s="1427" t="s">
        <v>1299</v>
      </c>
      <c r="U3" s="1560" t="s">
        <v>1300</v>
      </c>
      <c r="V3" s="1487" t="s">
        <v>1301</v>
      </c>
      <c r="W3" s="1560" t="s">
        <v>1302</v>
      </c>
      <c r="X3" s="1427" t="s">
        <v>1363</v>
      </c>
      <c r="Y3" s="1560" t="s">
        <v>1304</v>
      </c>
      <c r="Z3" s="1487" t="s">
        <v>1305</v>
      </c>
      <c r="AA3" s="1560" t="s">
        <v>1306</v>
      </c>
      <c r="AB3" s="1487" t="s">
        <v>1307</v>
      </c>
      <c r="AC3" s="1560" t="s">
        <v>1308</v>
      </c>
      <c r="AD3" s="1487" t="s">
        <v>1309</v>
      </c>
      <c r="AE3" s="1560" t="s">
        <v>1310</v>
      </c>
      <c r="AF3" s="1427" t="s">
        <v>1311</v>
      </c>
      <c r="AG3" s="1560" t="s">
        <v>1312</v>
      </c>
      <c r="AH3" s="1487" t="s">
        <v>1313</v>
      </c>
      <c r="AI3" s="1560" t="s">
        <v>1314</v>
      </c>
      <c r="AJ3" s="1487" t="s">
        <v>1315</v>
      </c>
      <c r="AK3" s="1560" t="s">
        <v>1316</v>
      </c>
      <c r="AL3" s="1487" t="s">
        <v>1317</v>
      </c>
      <c r="AM3" s="1560" t="s">
        <v>1318</v>
      </c>
      <c r="AN3" s="1487" t="s">
        <v>1319</v>
      </c>
      <c r="AO3" s="1560" t="s">
        <v>1320</v>
      </c>
      <c r="AP3" s="1487" t="s">
        <v>1321</v>
      </c>
      <c r="AQ3" s="1486" t="s">
        <v>1322</v>
      </c>
      <c r="AR3" s="1427" t="s">
        <v>1323</v>
      </c>
      <c r="AS3" s="1486" t="s">
        <v>1324</v>
      </c>
      <c r="AT3" s="1485" t="s">
        <v>1325</v>
      </c>
      <c r="AU3" s="1486" t="s">
        <v>1326</v>
      </c>
      <c r="AV3" s="1485" t="s">
        <v>1327</v>
      </c>
      <c r="AW3" s="1486" t="s">
        <v>1328</v>
      </c>
      <c r="AX3" s="1485" t="s">
        <v>3076</v>
      </c>
      <c r="AY3" s="1486" t="s">
        <v>3077</v>
      </c>
      <c r="AZ3" s="1485" t="s">
        <v>3078</v>
      </c>
      <c r="BA3" s="1486" t="s">
        <v>3079</v>
      </c>
      <c r="BB3" s="1485" t="s">
        <v>3080</v>
      </c>
      <c r="BC3" s="1486" t="s">
        <v>3081</v>
      </c>
      <c r="BD3" s="1485" t="s">
        <v>3082</v>
      </c>
      <c r="BE3" s="1486" t="s">
        <v>3083</v>
      </c>
      <c r="BF3" s="1485" t="s">
        <v>3084</v>
      </c>
      <c r="BG3" s="1486" t="s">
        <v>3085</v>
      </c>
      <c r="BH3" s="1485" t="s">
        <v>3086</v>
      </c>
      <c r="BI3" s="1486" t="s">
        <v>3087</v>
      </c>
      <c r="BJ3" s="1485" t="s">
        <v>3088</v>
      </c>
      <c r="BK3" s="1486" t="s">
        <v>3089</v>
      </c>
      <c r="BL3" s="1120" t="s">
        <v>1425</v>
      </c>
      <c r="BM3" s="1121" t="s">
        <v>3045</v>
      </c>
      <c r="BN3" s="1562" t="s">
        <v>3090</v>
      </c>
      <c r="BO3" s="1563" t="s">
        <v>3091</v>
      </c>
      <c r="BP3" s="1564" t="s">
        <v>1331</v>
      </c>
      <c r="BQ3" s="1131" t="s">
        <v>3092</v>
      </c>
      <c r="BR3" s="1126" t="s">
        <v>3093</v>
      </c>
      <c r="BS3" s="1075" t="s">
        <v>3094</v>
      </c>
      <c r="BT3" s="908"/>
    </row>
    <row r="4" ht="18.75" customHeight="1">
      <c r="A4" s="1565"/>
      <c r="B4" s="1566">
        <v>4323.0</v>
      </c>
      <c r="C4" s="1567">
        <v>210.0</v>
      </c>
      <c r="D4" s="1568" t="s">
        <v>3095</v>
      </c>
      <c r="E4" s="1569" t="str">
        <f>'Матрица 4 недели'!D4</f>
        <v>Груша запеченая с творожным кремом</v>
      </c>
      <c r="F4" s="1120">
        <v>3.0</v>
      </c>
      <c r="G4" s="1121"/>
      <c r="H4" s="1120">
        <v>6.0</v>
      </c>
      <c r="I4" s="1121"/>
      <c r="J4" s="1120">
        <v>2.0</v>
      </c>
      <c r="K4" s="1121"/>
      <c r="L4" s="1120">
        <v>4.0</v>
      </c>
      <c r="M4" s="1121"/>
      <c r="N4" s="1120">
        <v>4.0</v>
      </c>
      <c r="O4" s="1121"/>
      <c r="P4" s="1120">
        <v>2.0</v>
      </c>
      <c r="Q4" s="1121"/>
      <c r="R4" s="1126">
        <v>2.0</v>
      </c>
      <c r="S4" s="1121"/>
      <c r="T4" s="1120">
        <v>2.0</v>
      </c>
      <c r="U4" s="1121"/>
      <c r="V4" s="1126">
        <v>3.0</v>
      </c>
      <c r="W4" s="1121"/>
      <c r="X4" s="1120">
        <v>3.0</v>
      </c>
      <c r="Y4" s="1121"/>
      <c r="Z4" s="1137"/>
      <c r="AA4" s="1121"/>
      <c r="AB4" s="1126">
        <v>2.0</v>
      </c>
      <c r="AC4" s="1121"/>
      <c r="AD4" s="1126">
        <v>3.0</v>
      </c>
      <c r="AE4" s="1121"/>
      <c r="AF4" s="1120">
        <v>4.0</v>
      </c>
      <c r="AG4" s="1121"/>
      <c r="AH4" s="1126">
        <v>2.0</v>
      </c>
      <c r="AI4" s="1121"/>
      <c r="AJ4" s="1120">
        <v>2.0</v>
      </c>
      <c r="AK4" s="1121"/>
      <c r="AL4" s="1137">
        <v>2.0</v>
      </c>
      <c r="AM4" s="1121"/>
      <c r="AN4" s="1126">
        <v>3.0</v>
      </c>
      <c r="AO4" s="1138"/>
      <c r="AP4" s="1126">
        <v>2.0</v>
      </c>
      <c r="AQ4" s="1121"/>
      <c r="AR4" s="1120">
        <v>3.0</v>
      </c>
      <c r="AS4" s="1121"/>
      <c r="AT4" s="1126">
        <v>2.0</v>
      </c>
      <c r="AU4" s="1121"/>
      <c r="AV4" s="1126">
        <v>2.0</v>
      </c>
      <c r="AW4" s="1121"/>
      <c r="AX4" s="1126">
        <v>8.0</v>
      </c>
      <c r="AY4" s="1121"/>
      <c r="AZ4" s="1126">
        <v>2.0</v>
      </c>
      <c r="BA4" s="1138"/>
      <c r="BB4" s="1126">
        <v>3.0</v>
      </c>
      <c r="BC4" s="1570"/>
      <c r="BD4" s="1126">
        <v>3.0</v>
      </c>
      <c r="BE4" s="1127"/>
      <c r="BF4" s="1126">
        <v>2.0</v>
      </c>
      <c r="BG4" s="1127"/>
      <c r="BH4" s="1126">
        <v>2.0</v>
      </c>
      <c r="BI4" s="1127"/>
      <c r="BJ4" s="1126">
        <v>2.0</v>
      </c>
      <c r="BK4" s="1127"/>
      <c r="BL4" s="1134"/>
      <c r="BM4" s="1121"/>
      <c r="BN4" s="1087">
        <v>10.0</v>
      </c>
      <c r="BO4" s="1121"/>
      <c r="BP4" s="783">
        <f t="shared" ref="BP4:BP30" si="1">(F4+H4+J4+L4+N4+P4+R4+T4+V4+X4+Z4+AB4+AF4+AH4+AJ4+AR4+BL4+AL4+AD4+AN4+AP4+AT4+AV4+AX4+AZ4+BB4+BD4+BF4+BH4+BJ4)+1</f>
        <v>81</v>
      </c>
      <c r="BQ4" s="1571">
        <f t="shared" ref="BQ4:BQ30" si="2">G4+I4+K4+M4+O4+Q4+S4+W4+U4+Y4+AA4+BM4+AC4+AG4+AI4+AK4+AS4+AE4+AM4+AO4+AQ4+AU4+AW4+AY4+BA4+BC4+BE4+BG4+BI4+BK4</f>
        <v>0</v>
      </c>
      <c r="BR4" s="1572">
        <f t="shared" ref="BR4:BR30" si="3">BQ4*C4</f>
        <v>0</v>
      </c>
      <c r="BS4" s="784">
        <f t="shared" ref="BS4:BS30" si="4">BP4*C4</f>
        <v>17010</v>
      </c>
      <c r="BT4" s="1573"/>
    </row>
    <row r="5" ht="18.75" customHeight="1">
      <c r="A5" s="1565"/>
      <c r="B5" s="1566">
        <v>1557.0</v>
      </c>
      <c r="C5" s="1567">
        <v>98.0</v>
      </c>
      <c r="D5" s="1568" t="s">
        <v>3095</v>
      </c>
      <c r="E5" s="1569" t="str">
        <f>'Матрица 4 недели'!D5</f>
        <v>Каша пшенная (на молоке)</v>
      </c>
      <c r="F5" s="1120">
        <v>3.0</v>
      </c>
      <c r="G5" s="1138"/>
      <c r="H5" s="1120">
        <v>2.0</v>
      </c>
      <c r="I5" s="1138"/>
      <c r="J5" s="1120">
        <v>5.0</v>
      </c>
      <c r="K5" s="1138"/>
      <c r="L5" s="1120">
        <v>2.0</v>
      </c>
      <c r="M5" s="1138"/>
      <c r="N5" s="1120">
        <v>5.0</v>
      </c>
      <c r="O5" s="1138"/>
      <c r="P5" s="1120">
        <v>3.0</v>
      </c>
      <c r="Q5" s="1138"/>
      <c r="R5" s="1126">
        <v>1.0</v>
      </c>
      <c r="S5" s="1138"/>
      <c r="T5" s="1120">
        <v>2.0</v>
      </c>
      <c r="U5" s="1138"/>
      <c r="V5" s="1126">
        <v>0.0</v>
      </c>
      <c r="W5" s="1138"/>
      <c r="X5" s="1126">
        <v>2.0</v>
      </c>
      <c r="Y5" s="1138"/>
      <c r="Z5" s="1137"/>
      <c r="AA5" s="1138"/>
      <c r="AB5" s="1126">
        <v>0.0</v>
      </c>
      <c r="AC5" s="1138"/>
      <c r="AD5" s="1126">
        <v>3.0</v>
      </c>
      <c r="AE5" s="1138"/>
      <c r="AF5" s="1120">
        <v>5.0</v>
      </c>
      <c r="AG5" s="1138"/>
      <c r="AH5" s="1120">
        <v>3.0</v>
      </c>
      <c r="AI5" s="1138"/>
      <c r="AJ5" s="1120">
        <v>2.0</v>
      </c>
      <c r="AK5" s="1138"/>
      <c r="AL5" s="1137">
        <v>0.0</v>
      </c>
      <c r="AM5" s="1138"/>
      <c r="AN5" s="1126">
        <v>3.0</v>
      </c>
      <c r="AO5" s="1138"/>
      <c r="AP5" s="1120">
        <v>1.0</v>
      </c>
      <c r="AQ5" s="1138"/>
      <c r="AR5" s="1120">
        <v>2.0</v>
      </c>
      <c r="AS5" s="1138"/>
      <c r="AT5" s="1126">
        <v>1.0</v>
      </c>
      <c r="AU5" s="1138"/>
      <c r="AV5" s="1126">
        <v>1.0</v>
      </c>
      <c r="AW5" s="1138"/>
      <c r="AX5" s="1126">
        <v>1.0</v>
      </c>
      <c r="AY5" s="1138"/>
      <c r="AZ5" s="1126">
        <v>2.0</v>
      </c>
      <c r="BA5" s="1138"/>
      <c r="BB5" s="1126">
        <v>1.0</v>
      </c>
      <c r="BC5" s="1570"/>
      <c r="BD5" s="1126">
        <v>1.0</v>
      </c>
      <c r="BE5" s="1127"/>
      <c r="BF5" s="1126">
        <v>1.0</v>
      </c>
      <c r="BG5" s="1127"/>
      <c r="BH5" s="1126">
        <v>0.0</v>
      </c>
      <c r="BI5" s="1127"/>
      <c r="BJ5" s="1126">
        <v>3.0</v>
      </c>
      <c r="BK5" s="1127"/>
      <c r="BL5" s="1134"/>
      <c r="BM5" s="1138"/>
      <c r="BN5" s="1087"/>
      <c r="BO5" s="1138"/>
      <c r="BP5" s="783">
        <f t="shared" si="1"/>
        <v>56</v>
      </c>
      <c r="BQ5" s="1571">
        <f t="shared" si="2"/>
        <v>0</v>
      </c>
      <c r="BR5" s="1572">
        <f t="shared" si="3"/>
        <v>0</v>
      </c>
      <c r="BS5" s="784">
        <f t="shared" si="4"/>
        <v>5488</v>
      </c>
      <c r="BT5" s="1573"/>
    </row>
    <row r="6" ht="18.75" customHeight="1">
      <c r="A6" s="1565"/>
      <c r="B6" s="1566">
        <v>1550.0</v>
      </c>
      <c r="C6" s="1567">
        <v>158.0</v>
      </c>
      <c r="D6" s="1568" t="s">
        <v>3095</v>
      </c>
      <c r="E6" s="1569" t="str">
        <f>'Матрица 4 недели'!D6</f>
        <v>Омлет с овощами и сыром </v>
      </c>
      <c r="F6" s="1137">
        <v>3.0</v>
      </c>
      <c r="G6" s="1138"/>
      <c r="H6" s="1126">
        <v>3.0</v>
      </c>
      <c r="I6" s="1138"/>
      <c r="J6" s="1120">
        <v>4.0</v>
      </c>
      <c r="K6" s="1138"/>
      <c r="L6" s="1126">
        <v>2.0</v>
      </c>
      <c r="M6" s="1138"/>
      <c r="N6" s="1120">
        <v>6.0</v>
      </c>
      <c r="O6" s="1138"/>
      <c r="P6" s="1126">
        <v>2.0</v>
      </c>
      <c r="Q6" s="1121"/>
      <c r="R6" s="1126">
        <v>2.0</v>
      </c>
      <c r="S6" s="1121"/>
      <c r="T6" s="1137">
        <v>7.0</v>
      </c>
      <c r="U6" s="1121"/>
      <c r="V6" s="1126">
        <v>4.0</v>
      </c>
      <c r="W6" s="1121"/>
      <c r="X6" s="1126">
        <v>5.0</v>
      </c>
      <c r="Y6" s="1121"/>
      <c r="Z6" s="1120"/>
      <c r="AA6" s="1121"/>
      <c r="AB6" s="1126">
        <v>3.0</v>
      </c>
      <c r="AC6" s="1121"/>
      <c r="AD6" s="1126">
        <v>3.0</v>
      </c>
      <c r="AE6" s="1121"/>
      <c r="AF6" s="1120">
        <v>6.0</v>
      </c>
      <c r="AG6" s="1121"/>
      <c r="AH6" s="1126">
        <v>4.0</v>
      </c>
      <c r="AI6" s="1121"/>
      <c r="AJ6" s="1120">
        <v>9.0</v>
      </c>
      <c r="AK6" s="1121"/>
      <c r="AL6" s="1120">
        <v>5.0</v>
      </c>
      <c r="AM6" s="1121"/>
      <c r="AN6" s="1126">
        <v>3.0</v>
      </c>
      <c r="AO6" s="1138"/>
      <c r="AP6" s="1137">
        <v>2.0</v>
      </c>
      <c r="AQ6" s="1138"/>
      <c r="AR6" s="1126">
        <v>8.0</v>
      </c>
      <c r="AS6" s="1138"/>
      <c r="AT6" s="1126">
        <v>4.0</v>
      </c>
      <c r="AU6" s="1131"/>
      <c r="AV6" s="1126">
        <v>4.0</v>
      </c>
      <c r="AW6" s="1131"/>
      <c r="AX6" s="1126">
        <v>5.0</v>
      </c>
      <c r="AY6" s="1131"/>
      <c r="AZ6" s="1126">
        <v>2.0</v>
      </c>
      <c r="BA6" s="1131"/>
      <c r="BB6" s="1126">
        <v>4.0</v>
      </c>
      <c r="BC6" s="1131"/>
      <c r="BD6" s="1126">
        <v>3.0</v>
      </c>
      <c r="BE6" s="1131"/>
      <c r="BF6" s="1126">
        <v>4.0</v>
      </c>
      <c r="BG6" s="1131"/>
      <c r="BH6" s="1126">
        <v>9.0</v>
      </c>
      <c r="BI6" s="1131"/>
      <c r="BJ6" s="1126">
        <v>5.0</v>
      </c>
      <c r="BK6" s="1131"/>
      <c r="BL6" s="1139"/>
      <c r="BM6" s="1138"/>
      <c r="BN6" s="1087"/>
      <c r="BO6" s="1138"/>
      <c r="BP6" s="783">
        <f t="shared" si="1"/>
        <v>122</v>
      </c>
      <c r="BQ6" s="1571">
        <f t="shared" si="2"/>
        <v>0</v>
      </c>
      <c r="BR6" s="1572">
        <f t="shared" si="3"/>
        <v>0</v>
      </c>
      <c r="BS6" s="784">
        <f t="shared" si="4"/>
        <v>19276</v>
      </c>
      <c r="BT6" s="1573"/>
    </row>
    <row r="7" ht="18.75" customHeight="1">
      <c r="A7" s="1565"/>
      <c r="B7" s="1566">
        <v>3076.0</v>
      </c>
      <c r="C7" s="1567">
        <v>98.0</v>
      </c>
      <c r="D7" s="1568" t="s">
        <v>70</v>
      </c>
      <c r="E7" s="1569" t="str">
        <f>'Матрица 4 недели'!G4</f>
        <v>Салат ''Оливье'' (колбаса варен)</v>
      </c>
      <c r="F7" s="1126">
        <v>8.0</v>
      </c>
      <c r="G7" s="1121"/>
      <c r="H7" s="1120">
        <v>2.0</v>
      </c>
      <c r="I7" s="1121"/>
      <c r="J7" s="1120">
        <v>4.0</v>
      </c>
      <c r="K7" s="1121"/>
      <c r="L7" s="1126">
        <v>2.0</v>
      </c>
      <c r="M7" s="1121"/>
      <c r="N7" s="1126">
        <v>4.0</v>
      </c>
      <c r="O7" s="1121"/>
      <c r="P7" s="1126">
        <v>5.0</v>
      </c>
      <c r="Q7" s="1121"/>
      <c r="R7" s="1126">
        <v>2.0</v>
      </c>
      <c r="S7" s="1121"/>
      <c r="T7" s="1120">
        <v>3.0</v>
      </c>
      <c r="U7" s="1121"/>
      <c r="V7" s="1120">
        <v>2.0</v>
      </c>
      <c r="W7" s="1121"/>
      <c r="X7" s="1120">
        <v>3.0</v>
      </c>
      <c r="Y7" s="1121"/>
      <c r="Z7" s="1137"/>
      <c r="AA7" s="1121"/>
      <c r="AB7" s="1126">
        <v>2.0</v>
      </c>
      <c r="AC7" s="1121"/>
      <c r="AD7" s="1126">
        <v>2.0</v>
      </c>
      <c r="AE7" s="1121"/>
      <c r="AF7" s="1126">
        <v>2.0</v>
      </c>
      <c r="AG7" s="1121"/>
      <c r="AH7" s="1126">
        <v>2.0</v>
      </c>
      <c r="AI7" s="1121"/>
      <c r="AJ7" s="1120">
        <v>1.0</v>
      </c>
      <c r="AK7" s="1127"/>
      <c r="AL7" s="1120">
        <v>2.0</v>
      </c>
      <c r="AM7" s="1127"/>
      <c r="AN7" s="1126">
        <v>3.0</v>
      </c>
      <c r="AO7" s="1121"/>
      <c r="AP7" s="1126">
        <v>1.0</v>
      </c>
      <c r="AQ7" s="1121"/>
      <c r="AR7" s="1126">
        <v>9.0</v>
      </c>
      <c r="AS7" s="1121"/>
      <c r="AT7" s="1126">
        <v>3.0</v>
      </c>
      <c r="AU7" s="1121"/>
      <c r="AV7" s="1126">
        <v>5.0</v>
      </c>
      <c r="AW7" s="1121"/>
      <c r="AX7" s="1126">
        <v>2.0</v>
      </c>
      <c r="AY7" s="1121"/>
      <c r="AZ7" s="1126">
        <v>2.0</v>
      </c>
      <c r="BA7" s="1121"/>
      <c r="BB7" s="1126">
        <v>2.0</v>
      </c>
      <c r="BC7" s="1121"/>
      <c r="BD7" s="1126">
        <v>4.0</v>
      </c>
      <c r="BE7" s="1121"/>
      <c r="BF7" s="1126">
        <v>3.0</v>
      </c>
      <c r="BG7" s="1121"/>
      <c r="BH7" s="1126">
        <v>3.0</v>
      </c>
      <c r="BI7" s="1121"/>
      <c r="BJ7" s="1126">
        <v>2.0</v>
      </c>
      <c r="BK7" s="1121"/>
      <c r="BL7" s="1134">
        <v>44.0</v>
      </c>
      <c r="BM7" s="1121"/>
      <c r="BN7" s="1087">
        <v>5.0</v>
      </c>
      <c r="BO7" s="1121"/>
      <c r="BP7" s="783">
        <f t="shared" si="1"/>
        <v>130</v>
      </c>
      <c r="BQ7" s="1571">
        <f t="shared" si="2"/>
        <v>0</v>
      </c>
      <c r="BR7" s="1572">
        <f t="shared" si="3"/>
        <v>0</v>
      </c>
      <c r="BS7" s="784">
        <f t="shared" si="4"/>
        <v>12740</v>
      </c>
      <c r="BT7" s="1573"/>
    </row>
    <row r="8" ht="18.75" customHeight="1">
      <c r="A8" s="1565"/>
      <c r="B8" s="1566">
        <v>4009.0</v>
      </c>
      <c r="C8" s="1567">
        <v>98.0</v>
      </c>
      <c r="D8" s="1568" t="s">
        <v>70</v>
      </c>
      <c r="E8" s="1569" t="str">
        <f>'Матрица 4 недели'!G5</f>
        <v>Салат "Маковый" (курица, мак)</v>
      </c>
      <c r="F8" s="1126">
        <v>3.0</v>
      </c>
      <c r="G8" s="1121"/>
      <c r="H8" s="1120">
        <v>1.0</v>
      </c>
      <c r="I8" s="1121"/>
      <c r="J8" s="1120">
        <v>4.0</v>
      </c>
      <c r="K8" s="1121"/>
      <c r="L8" s="1126">
        <v>3.0</v>
      </c>
      <c r="M8" s="1121"/>
      <c r="N8" s="1126">
        <v>5.0</v>
      </c>
      <c r="O8" s="1121"/>
      <c r="P8" s="1126">
        <v>1.0</v>
      </c>
      <c r="Q8" s="1121"/>
      <c r="R8" s="1126">
        <v>2.0</v>
      </c>
      <c r="S8" s="1121"/>
      <c r="T8" s="1120">
        <v>2.0</v>
      </c>
      <c r="U8" s="1121"/>
      <c r="V8" s="1120">
        <v>1.0</v>
      </c>
      <c r="W8" s="1121"/>
      <c r="X8" s="1120">
        <v>0.0</v>
      </c>
      <c r="Y8" s="1121"/>
      <c r="Z8" s="1137"/>
      <c r="AA8" s="1121"/>
      <c r="AB8" s="1126">
        <v>1.0</v>
      </c>
      <c r="AC8" s="1121"/>
      <c r="AD8" s="1120">
        <v>2.0</v>
      </c>
      <c r="AE8" s="1121"/>
      <c r="AF8" s="1126">
        <v>3.0</v>
      </c>
      <c r="AG8" s="1121"/>
      <c r="AH8" s="1126">
        <v>2.0</v>
      </c>
      <c r="AI8" s="1121"/>
      <c r="AJ8" s="1120">
        <v>2.0</v>
      </c>
      <c r="AK8" s="1127"/>
      <c r="AL8" s="1120">
        <v>2.0</v>
      </c>
      <c r="AM8" s="1127"/>
      <c r="AN8" s="1126">
        <v>3.0</v>
      </c>
      <c r="AO8" s="1121"/>
      <c r="AP8" s="1126">
        <v>2.0</v>
      </c>
      <c r="AQ8" s="1121"/>
      <c r="AR8" s="1126">
        <v>4.0</v>
      </c>
      <c r="AS8" s="1121"/>
      <c r="AT8" s="1126">
        <v>5.0</v>
      </c>
      <c r="AU8" s="1127"/>
      <c r="AV8" s="1126">
        <v>0.0</v>
      </c>
      <c r="AW8" s="1127"/>
      <c r="AX8" s="1126">
        <v>4.0</v>
      </c>
      <c r="AY8" s="1127"/>
      <c r="AZ8" s="1126">
        <v>2.0</v>
      </c>
      <c r="BA8" s="1127"/>
      <c r="BB8" s="1126">
        <v>1.0</v>
      </c>
      <c r="BC8" s="1127"/>
      <c r="BD8" s="1126">
        <v>1.0</v>
      </c>
      <c r="BE8" s="1127"/>
      <c r="BF8" s="1126">
        <v>5.0</v>
      </c>
      <c r="BG8" s="1127"/>
      <c r="BH8" s="1126">
        <v>2.0</v>
      </c>
      <c r="BI8" s="1127"/>
      <c r="BJ8" s="1126">
        <v>1.0</v>
      </c>
      <c r="BK8" s="1127"/>
      <c r="BL8" s="1134">
        <v>43.0</v>
      </c>
      <c r="BM8" s="1135"/>
      <c r="BN8" s="1576"/>
      <c r="BO8" s="1135"/>
      <c r="BP8" s="783">
        <f t="shared" si="1"/>
        <v>108</v>
      </c>
      <c r="BQ8" s="1571">
        <f t="shared" si="2"/>
        <v>0</v>
      </c>
      <c r="BR8" s="1572">
        <f t="shared" si="3"/>
        <v>0</v>
      </c>
      <c r="BS8" s="784">
        <f t="shared" si="4"/>
        <v>10584</v>
      </c>
      <c r="BT8" s="1573"/>
    </row>
    <row r="9" ht="18.75" customHeight="1">
      <c r="A9" s="1565"/>
      <c r="B9" s="1566">
        <v>3170.0</v>
      </c>
      <c r="C9" s="1567">
        <v>98.0</v>
      </c>
      <c r="D9" s="1568" t="s">
        <v>70</v>
      </c>
      <c r="E9" s="1569" t="str">
        <f>'Матрица 4 недели'!G6</f>
        <v>Салат ''Фунчоза'' 120 г</v>
      </c>
      <c r="F9" s="1126">
        <v>6.0</v>
      </c>
      <c r="G9" s="1138"/>
      <c r="H9" s="1126">
        <v>3.0</v>
      </c>
      <c r="I9" s="1138"/>
      <c r="J9" s="1126">
        <v>4.0</v>
      </c>
      <c r="K9" s="1138"/>
      <c r="L9" s="1126">
        <v>2.0</v>
      </c>
      <c r="M9" s="1138"/>
      <c r="N9" s="1126">
        <v>4.0</v>
      </c>
      <c r="O9" s="1138"/>
      <c r="P9" s="1126">
        <v>6.0</v>
      </c>
      <c r="Q9" s="1121"/>
      <c r="R9" s="1126">
        <v>2.0</v>
      </c>
      <c r="S9" s="1121"/>
      <c r="T9" s="1137">
        <v>1.0</v>
      </c>
      <c r="U9" s="1121"/>
      <c r="V9" s="1137">
        <v>2.0</v>
      </c>
      <c r="W9" s="1121"/>
      <c r="X9" s="1137">
        <v>1.0</v>
      </c>
      <c r="Y9" s="1121"/>
      <c r="Z9" s="1137"/>
      <c r="AA9" s="1121"/>
      <c r="AB9" s="1126">
        <v>2.0</v>
      </c>
      <c r="AC9" s="1121"/>
      <c r="AD9" s="1120">
        <v>2.0</v>
      </c>
      <c r="AE9" s="1121"/>
      <c r="AF9" s="1126">
        <v>5.0</v>
      </c>
      <c r="AG9" s="1121"/>
      <c r="AH9" s="1126">
        <v>3.0</v>
      </c>
      <c r="AI9" s="1121"/>
      <c r="AJ9" s="1120">
        <v>4.0</v>
      </c>
      <c r="AK9" s="1121"/>
      <c r="AL9" s="1120">
        <v>4.0</v>
      </c>
      <c r="AM9" s="1121"/>
      <c r="AN9" s="1126">
        <v>3.0</v>
      </c>
      <c r="AO9" s="1138"/>
      <c r="AP9" s="1126">
        <v>3.0</v>
      </c>
      <c r="AQ9" s="1138"/>
      <c r="AR9" s="1126">
        <v>6.0</v>
      </c>
      <c r="AS9" s="1138"/>
      <c r="AT9" s="1126">
        <v>2.0</v>
      </c>
      <c r="AU9" s="1138"/>
      <c r="AV9" s="1126">
        <v>4.0</v>
      </c>
      <c r="AW9" s="1138"/>
      <c r="AX9" s="1126">
        <v>4.0</v>
      </c>
      <c r="AY9" s="1138"/>
      <c r="AZ9" s="1126">
        <v>3.0</v>
      </c>
      <c r="BA9" s="1138"/>
      <c r="BB9" s="1126">
        <v>2.0</v>
      </c>
      <c r="BC9" s="1138"/>
      <c r="BD9" s="1126">
        <v>2.0</v>
      </c>
      <c r="BE9" s="1138"/>
      <c r="BF9" s="1126">
        <v>5.0</v>
      </c>
      <c r="BG9" s="1138"/>
      <c r="BH9" s="1126">
        <v>2.0</v>
      </c>
      <c r="BI9" s="1138"/>
      <c r="BJ9" s="1126">
        <v>2.0</v>
      </c>
      <c r="BK9" s="1138"/>
      <c r="BL9" s="1139">
        <v>43.0</v>
      </c>
      <c r="BM9" s="1138"/>
      <c r="BN9" s="1087">
        <v>5.0</v>
      </c>
      <c r="BO9" s="1138"/>
      <c r="BP9" s="783">
        <f t="shared" si="1"/>
        <v>133</v>
      </c>
      <c r="BQ9" s="1571">
        <f t="shared" si="2"/>
        <v>0</v>
      </c>
      <c r="BR9" s="1572">
        <f t="shared" si="3"/>
        <v>0</v>
      </c>
      <c r="BS9" s="784">
        <f t="shared" si="4"/>
        <v>13034</v>
      </c>
      <c r="BT9" s="1573"/>
    </row>
    <row r="10" ht="18.75" customHeight="1">
      <c r="A10" s="1565"/>
      <c r="B10" s="1566">
        <v>2621.0</v>
      </c>
      <c r="C10" s="1567">
        <v>244.0</v>
      </c>
      <c r="D10" s="1580" t="s">
        <v>537</v>
      </c>
      <c r="E10" s="1569" t="str">
        <f>'Матрица 4 недели'!G7</f>
        <v>Салат ''Цезарь с курицей''</v>
      </c>
      <c r="F10" s="1126">
        <v>5.0</v>
      </c>
      <c r="G10" s="1121"/>
      <c r="H10" s="1120">
        <v>0.0</v>
      </c>
      <c r="I10" s="1121"/>
      <c r="J10" s="1120">
        <v>0.0</v>
      </c>
      <c r="K10" s="1121"/>
      <c r="L10" s="1126">
        <v>2.0</v>
      </c>
      <c r="M10" s="1121"/>
      <c r="N10" s="1126">
        <v>5.0</v>
      </c>
      <c r="O10" s="1121"/>
      <c r="P10" s="1126">
        <v>5.0</v>
      </c>
      <c r="Q10" s="1121"/>
      <c r="R10" s="1126">
        <v>0.0</v>
      </c>
      <c r="S10" s="1121"/>
      <c r="T10" s="1120">
        <v>2.0</v>
      </c>
      <c r="U10" s="1121"/>
      <c r="V10" s="1120">
        <v>4.0</v>
      </c>
      <c r="W10" s="1121"/>
      <c r="X10" s="1120">
        <v>1.0</v>
      </c>
      <c r="Y10" s="1121"/>
      <c r="Z10" s="1137"/>
      <c r="AA10" s="1121"/>
      <c r="AB10" s="1126">
        <v>3.0</v>
      </c>
      <c r="AC10" s="1121"/>
      <c r="AD10" s="1120">
        <v>3.0</v>
      </c>
      <c r="AE10" s="1121"/>
      <c r="AF10" s="1126">
        <v>6.0</v>
      </c>
      <c r="AG10" s="1121"/>
      <c r="AH10" s="1126">
        <v>2.0</v>
      </c>
      <c r="AI10" s="1121"/>
      <c r="AJ10" s="1120">
        <v>2.0</v>
      </c>
      <c r="AK10" s="1121"/>
      <c r="AL10" s="1120">
        <v>3.0</v>
      </c>
      <c r="AM10" s="1121"/>
      <c r="AN10" s="1126">
        <v>2.0</v>
      </c>
      <c r="AO10" s="1121"/>
      <c r="AP10" s="1126">
        <v>1.0</v>
      </c>
      <c r="AQ10" s="1121"/>
      <c r="AR10" s="1126">
        <v>3.0</v>
      </c>
      <c r="AS10" s="1121"/>
      <c r="AT10" s="1126">
        <v>2.0</v>
      </c>
      <c r="AU10" s="1121"/>
      <c r="AV10" s="1126">
        <v>3.0</v>
      </c>
      <c r="AW10" s="1121"/>
      <c r="AX10" s="1126">
        <v>0.0</v>
      </c>
      <c r="AY10" s="1121"/>
      <c r="AZ10" s="1126">
        <v>2.0</v>
      </c>
      <c r="BA10" s="1121"/>
      <c r="BB10" s="1126">
        <v>1.0</v>
      </c>
      <c r="BC10" s="1121"/>
      <c r="BD10" s="1126">
        <v>0.0</v>
      </c>
      <c r="BE10" s="1121"/>
      <c r="BF10" s="1126">
        <v>3.0</v>
      </c>
      <c r="BG10" s="1121"/>
      <c r="BH10" s="1126">
        <v>2.0</v>
      </c>
      <c r="BI10" s="1121"/>
      <c r="BJ10" s="1126">
        <v>3.0</v>
      </c>
      <c r="BK10" s="1121"/>
      <c r="BL10" s="1134"/>
      <c r="BM10" s="1121"/>
      <c r="BN10" s="1087"/>
      <c r="BO10" s="1121"/>
      <c r="BP10" s="783">
        <f t="shared" si="1"/>
        <v>66</v>
      </c>
      <c r="BQ10" s="1571">
        <f t="shared" si="2"/>
        <v>0</v>
      </c>
      <c r="BR10" s="1572">
        <f t="shared" si="3"/>
        <v>0</v>
      </c>
      <c r="BS10" s="784">
        <f t="shared" si="4"/>
        <v>16104</v>
      </c>
      <c r="BT10" s="1573"/>
    </row>
    <row r="11" ht="18.75" customHeight="1">
      <c r="A11" s="1565"/>
      <c r="B11" s="1566">
        <v>2203.0</v>
      </c>
      <c r="C11" s="1567">
        <v>96.0</v>
      </c>
      <c r="D11" s="1568" t="s">
        <v>74</v>
      </c>
      <c r="E11" s="1569" t="str">
        <f>'Матрица 4 недели'!J4</f>
        <v>Борщ с мясом</v>
      </c>
      <c r="F11" s="1137"/>
      <c r="G11" s="1138"/>
      <c r="H11" s="1126"/>
      <c r="I11" s="1138"/>
      <c r="J11" s="1126"/>
      <c r="K11" s="1138"/>
      <c r="L11" s="1126"/>
      <c r="M11" s="1138"/>
      <c r="N11" s="1126"/>
      <c r="O11" s="1138"/>
      <c r="P11" s="1126"/>
      <c r="Q11" s="1121"/>
      <c r="R11" s="1126"/>
      <c r="S11" s="1121"/>
      <c r="T11" s="1137"/>
      <c r="U11" s="1121"/>
      <c r="V11" s="1137"/>
      <c r="W11" s="1121"/>
      <c r="X11" s="1137"/>
      <c r="Y11" s="1121"/>
      <c r="Z11" s="1120"/>
      <c r="AA11" s="1121"/>
      <c r="AB11" s="1120"/>
      <c r="AC11" s="1121"/>
      <c r="AD11" s="1120"/>
      <c r="AE11" s="1121"/>
      <c r="AF11" s="1137"/>
      <c r="AG11" s="1121"/>
      <c r="AH11" s="1120"/>
      <c r="AI11" s="1121"/>
      <c r="AJ11" s="1120"/>
      <c r="AK11" s="1121"/>
      <c r="AL11" s="1120"/>
      <c r="AM11" s="1121"/>
      <c r="AN11" s="1137"/>
      <c r="AO11" s="1138"/>
      <c r="AP11" s="1137"/>
      <c r="AQ11" s="1138"/>
      <c r="AR11" s="1137"/>
      <c r="AS11" s="1138"/>
      <c r="AT11" s="1126"/>
      <c r="AU11" s="1131"/>
      <c r="AV11" s="1126"/>
      <c r="AW11" s="1131"/>
      <c r="AX11" s="1126"/>
      <c r="AY11" s="1131"/>
      <c r="AZ11" s="1126"/>
      <c r="BA11" s="1131"/>
      <c r="BB11" s="1126"/>
      <c r="BC11" s="1131"/>
      <c r="BD11" s="1126"/>
      <c r="BE11" s="1131"/>
      <c r="BF11" s="1126"/>
      <c r="BG11" s="1131"/>
      <c r="BH11" s="1126"/>
      <c r="BI11" s="1131"/>
      <c r="BJ11" s="1126"/>
      <c r="BK11" s="1131"/>
      <c r="BL11" s="1134">
        <v>120.0</v>
      </c>
      <c r="BM11" s="1121"/>
      <c r="BN11" s="1087">
        <v>15.0</v>
      </c>
      <c r="BO11" s="1121"/>
      <c r="BP11" s="783">
        <f t="shared" si="1"/>
        <v>121</v>
      </c>
      <c r="BQ11" s="1571">
        <f t="shared" si="2"/>
        <v>0</v>
      </c>
      <c r="BR11" s="1572">
        <f t="shared" si="3"/>
        <v>0</v>
      </c>
      <c r="BS11" s="784">
        <f t="shared" si="4"/>
        <v>11616</v>
      </c>
      <c r="BT11" s="1573"/>
    </row>
    <row r="12" ht="18.75" customHeight="1">
      <c r="A12" s="1565"/>
      <c r="B12" s="1585">
        <v>100.0</v>
      </c>
      <c r="C12" s="1567">
        <v>90.0</v>
      </c>
      <c r="D12" s="1586" t="s">
        <v>74</v>
      </c>
      <c r="E12" s="1587" t="str">
        <f>'Матрица 4 недели'!J5</f>
        <v>Крем-суп овощной с курицей</v>
      </c>
      <c r="F12" s="1120">
        <v>3.0</v>
      </c>
      <c r="G12" s="1121"/>
      <c r="H12" s="1120">
        <v>3.0</v>
      </c>
      <c r="I12" s="1142"/>
      <c r="J12" s="1120">
        <v>3.0</v>
      </c>
      <c r="K12" s="1121"/>
      <c r="L12" s="1120">
        <v>4.0</v>
      </c>
      <c r="M12" s="1121"/>
      <c r="N12" s="1126">
        <v>3.0</v>
      </c>
      <c r="O12" s="1121"/>
      <c r="P12" s="1120">
        <v>2.0</v>
      </c>
      <c r="Q12" s="1142"/>
      <c r="R12" s="1120">
        <v>2.0</v>
      </c>
      <c r="S12" s="1121"/>
      <c r="T12" s="1120">
        <v>3.0</v>
      </c>
      <c r="U12" s="1121"/>
      <c r="V12" s="1120">
        <v>3.0</v>
      </c>
      <c r="W12" s="1121"/>
      <c r="X12" s="1120">
        <v>2.0</v>
      </c>
      <c r="Y12" s="1121"/>
      <c r="Z12" s="1120"/>
      <c r="AA12" s="1121"/>
      <c r="AB12" s="1120">
        <v>2.0</v>
      </c>
      <c r="AC12" s="1121"/>
      <c r="AD12" s="1120">
        <v>2.0</v>
      </c>
      <c r="AE12" s="1121"/>
      <c r="AF12" s="1120">
        <v>3.0</v>
      </c>
      <c r="AG12" s="1121"/>
      <c r="AH12" s="1120">
        <v>2.0</v>
      </c>
      <c r="AI12" s="1121"/>
      <c r="AJ12" s="1120">
        <v>2.0</v>
      </c>
      <c r="AK12" s="1121"/>
      <c r="AL12" s="1120">
        <v>2.0</v>
      </c>
      <c r="AM12" s="1121"/>
      <c r="AN12" s="1120">
        <v>2.0</v>
      </c>
      <c r="AO12" s="1121"/>
      <c r="AP12" s="1126">
        <v>2.0</v>
      </c>
      <c r="AQ12" s="1138"/>
      <c r="AR12" s="1120">
        <v>2.0</v>
      </c>
      <c r="AS12" s="1138"/>
      <c r="AT12" s="1126">
        <v>2.0</v>
      </c>
      <c r="AU12" s="1138"/>
      <c r="AV12" s="1126">
        <v>2.0</v>
      </c>
      <c r="AW12" s="1138"/>
      <c r="AX12" s="1126">
        <v>3.0</v>
      </c>
      <c r="AY12" s="1138"/>
      <c r="AZ12" s="1126">
        <v>2.0</v>
      </c>
      <c r="BA12" s="1138"/>
      <c r="BB12" s="1126">
        <v>2.0</v>
      </c>
      <c r="BC12" s="1138"/>
      <c r="BD12" s="1126">
        <v>2.0</v>
      </c>
      <c r="BE12" s="1138"/>
      <c r="BF12" s="1126">
        <v>2.0</v>
      </c>
      <c r="BG12" s="1138"/>
      <c r="BH12" s="1126">
        <v>2.0</v>
      </c>
      <c r="BI12" s="1138"/>
      <c r="BJ12" s="1126">
        <v>3.0</v>
      </c>
      <c r="BK12" s="1138"/>
      <c r="BL12" s="1139"/>
      <c r="BM12" s="1138"/>
      <c r="BN12" s="1087">
        <v>10.0</v>
      </c>
      <c r="BO12" s="1138"/>
      <c r="BP12" s="783">
        <f t="shared" si="1"/>
        <v>68</v>
      </c>
      <c r="BQ12" s="1589">
        <f t="shared" si="2"/>
        <v>0</v>
      </c>
      <c r="BR12" s="1572">
        <f t="shared" si="3"/>
        <v>0</v>
      </c>
      <c r="BS12" s="784">
        <f t="shared" si="4"/>
        <v>6120</v>
      </c>
      <c r="BT12" s="1573"/>
    </row>
    <row r="13" ht="18.75" customHeight="1">
      <c r="A13" s="1565"/>
      <c r="B13" s="1585">
        <v>4233.0</v>
      </c>
      <c r="C13" s="1567">
        <v>211.0</v>
      </c>
      <c r="D13" s="1586" t="s">
        <v>77</v>
      </c>
      <c r="E13" s="1590" t="str">
        <f>'Матрица 4 недели'!M4</f>
        <v>Свинина с тмином с тушеной капустой </v>
      </c>
      <c r="F13" s="1137">
        <v>0.0</v>
      </c>
      <c r="G13" s="1138"/>
      <c r="H13" s="1126">
        <v>1.0</v>
      </c>
      <c r="I13" s="1138"/>
      <c r="J13" s="1126">
        <v>4.0</v>
      </c>
      <c r="K13" s="1138"/>
      <c r="L13" s="1126">
        <v>5.0</v>
      </c>
      <c r="M13" s="1138"/>
      <c r="N13" s="1126">
        <v>9.0</v>
      </c>
      <c r="O13" s="1138"/>
      <c r="P13" s="1126">
        <v>5.0</v>
      </c>
      <c r="Q13" s="1121"/>
      <c r="R13" s="1126">
        <v>3.0</v>
      </c>
      <c r="S13" s="1121"/>
      <c r="T13" s="1137">
        <v>0.0</v>
      </c>
      <c r="U13" s="1121"/>
      <c r="V13" s="1137">
        <v>4.0</v>
      </c>
      <c r="W13" s="1121"/>
      <c r="X13" s="1137">
        <v>0.0</v>
      </c>
      <c r="Y13" s="1121"/>
      <c r="Z13" s="1120"/>
      <c r="AA13" s="1121"/>
      <c r="AB13" s="1120">
        <v>0.0</v>
      </c>
      <c r="AC13" s="1121"/>
      <c r="AD13" s="1120">
        <v>3.0</v>
      </c>
      <c r="AE13" s="1121"/>
      <c r="AF13" s="1137">
        <v>3.0</v>
      </c>
      <c r="AG13" s="1121"/>
      <c r="AH13" s="1120">
        <v>2.0</v>
      </c>
      <c r="AI13" s="1121"/>
      <c r="AJ13" s="1120">
        <v>3.0</v>
      </c>
      <c r="AK13" s="1121"/>
      <c r="AL13" s="1120">
        <v>0.0</v>
      </c>
      <c r="AM13" s="1121"/>
      <c r="AN13" s="1137">
        <v>3.0</v>
      </c>
      <c r="AO13" s="1138"/>
      <c r="AP13" s="1126">
        <v>2.0</v>
      </c>
      <c r="AQ13" s="1138"/>
      <c r="AR13" s="1137">
        <v>3.0</v>
      </c>
      <c r="AS13" s="1138"/>
      <c r="AT13" s="1126">
        <v>4.0</v>
      </c>
      <c r="AU13" s="1138"/>
      <c r="AV13" s="1126">
        <v>2.0</v>
      </c>
      <c r="AW13" s="1138"/>
      <c r="AX13" s="1126">
        <v>3.0</v>
      </c>
      <c r="AY13" s="1138"/>
      <c r="AZ13" s="1126">
        <v>2.0</v>
      </c>
      <c r="BA13" s="1138"/>
      <c r="BB13" s="1126">
        <v>2.0</v>
      </c>
      <c r="BC13" s="1138"/>
      <c r="BD13" s="1126">
        <v>1.0</v>
      </c>
      <c r="BE13" s="1138"/>
      <c r="BF13" s="1126">
        <v>2.0</v>
      </c>
      <c r="BG13" s="1138"/>
      <c r="BH13" s="1126">
        <v>3.0</v>
      </c>
      <c r="BI13" s="1138"/>
      <c r="BJ13" s="1126">
        <v>3.0</v>
      </c>
      <c r="BK13" s="1138"/>
      <c r="BL13" s="1134">
        <v>25.0</v>
      </c>
      <c r="BM13" s="1138"/>
      <c r="BN13" s="1087">
        <v>10.0</v>
      </c>
      <c r="BO13" s="1138"/>
      <c r="BP13" s="783">
        <f t="shared" si="1"/>
        <v>98</v>
      </c>
      <c r="BQ13" s="1571">
        <f t="shared" si="2"/>
        <v>0</v>
      </c>
      <c r="BR13" s="1572">
        <f t="shared" si="3"/>
        <v>0</v>
      </c>
      <c r="BS13" s="784">
        <f t="shared" si="4"/>
        <v>20678</v>
      </c>
      <c r="BT13" s="1573"/>
    </row>
    <row r="14" ht="18.75" customHeight="1">
      <c r="A14" s="1565"/>
      <c r="B14" s="1585">
        <v>4014.0</v>
      </c>
      <c r="C14" s="1567">
        <v>241.0</v>
      </c>
      <c r="D14" s="1586" t="s">
        <v>77</v>
      </c>
      <c r="E14" s="1592" t="str">
        <f>'Матрица 4 недели'!M5</f>
        <v>Филе с сыром и печеным картофелем </v>
      </c>
      <c r="F14" s="1137">
        <v>10.0</v>
      </c>
      <c r="G14" s="1138"/>
      <c r="H14" s="1126">
        <v>5.0</v>
      </c>
      <c r="I14" s="1138"/>
      <c r="J14" s="1126">
        <v>8.0</v>
      </c>
      <c r="K14" s="1138"/>
      <c r="L14" s="1126">
        <v>2.0</v>
      </c>
      <c r="M14" s="1138"/>
      <c r="N14" s="1126">
        <v>10.0</v>
      </c>
      <c r="O14" s="1138"/>
      <c r="P14" s="1126">
        <v>9.0</v>
      </c>
      <c r="Q14" s="1142"/>
      <c r="R14" s="1126">
        <v>4.0</v>
      </c>
      <c r="S14" s="1121"/>
      <c r="T14" s="1137">
        <v>4.0</v>
      </c>
      <c r="U14" s="1121"/>
      <c r="V14" s="1137">
        <v>5.0</v>
      </c>
      <c r="W14" s="1121"/>
      <c r="X14" s="1137">
        <v>5.0</v>
      </c>
      <c r="Y14" s="1121"/>
      <c r="Z14" s="1120"/>
      <c r="AA14" s="1121"/>
      <c r="AB14" s="1120">
        <v>6.0</v>
      </c>
      <c r="AC14" s="1121"/>
      <c r="AD14" s="1120">
        <v>4.0</v>
      </c>
      <c r="AE14" s="1121"/>
      <c r="AF14" s="1137">
        <v>12.0</v>
      </c>
      <c r="AG14" s="1121"/>
      <c r="AH14" s="1120">
        <v>4.0</v>
      </c>
      <c r="AI14" s="1121"/>
      <c r="AJ14" s="1120">
        <v>8.0</v>
      </c>
      <c r="AK14" s="1121"/>
      <c r="AL14" s="1120">
        <v>4.0</v>
      </c>
      <c r="AM14" s="1121"/>
      <c r="AN14" s="1137">
        <v>3.0</v>
      </c>
      <c r="AO14" s="1138"/>
      <c r="AP14" s="1126">
        <v>3.0</v>
      </c>
      <c r="AQ14" s="1138"/>
      <c r="AR14" s="1137">
        <v>7.0</v>
      </c>
      <c r="AS14" s="1138"/>
      <c r="AT14" s="1126">
        <v>6.0</v>
      </c>
      <c r="AU14" s="1138"/>
      <c r="AV14" s="1126">
        <v>5.0</v>
      </c>
      <c r="AW14" s="1138"/>
      <c r="AX14" s="1126">
        <v>4.0</v>
      </c>
      <c r="AY14" s="1138"/>
      <c r="AZ14" s="1126">
        <v>3.0</v>
      </c>
      <c r="BA14" s="1138"/>
      <c r="BB14" s="1126">
        <v>2.0</v>
      </c>
      <c r="BC14" s="1138"/>
      <c r="BD14" s="1126">
        <v>3.0</v>
      </c>
      <c r="BE14" s="1138"/>
      <c r="BF14" s="1126">
        <v>7.0</v>
      </c>
      <c r="BG14" s="1138"/>
      <c r="BH14" s="1126">
        <v>5.0</v>
      </c>
      <c r="BI14" s="1138"/>
      <c r="BJ14" s="1126">
        <v>9.0</v>
      </c>
      <c r="BK14" s="1138"/>
      <c r="BL14" s="1134"/>
      <c r="BM14" s="1138"/>
      <c r="BN14" s="1087"/>
      <c r="BO14" s="1138"/>
      <c r="BP14" s="783">
        <f t="shared" si="1"/>
        <v>158</v>
      </c>
      <c r="BQ14" s="1589">
        <f t="shared" si="2"/>
        <v>0</v>
      </c>
      <c r="BR14" s="1572">
        <f t="shared" si="3"/>
        <v>0</v>
      </c>
      <c r="BS14" s="784">
        <f t="shared" si="4"/>
        <v>38078</v>
      </c>
      <c r="BT14" s="1573"/>
    </row>
    <row r="15" ht="18.75" customHeight="1">
      <c r="A15" s="1565"/>
      <c r="B15" s="1585">
        <v>4196.0</v>
      </c>
      <c r="C15" s="1567">
        <v>243.0</v>
      </c>
      <c r="D15" s="1586" t="s">
        <v>77</v>
      </c>
      <c r="E15" s="1592" t="str">
        <f>'Матрица 4 недели'!M6</f>
        <v>Филе с сыром и макаронами</v>
      </c>
      <c r="F15" s="1137"/>
      <c r="G15" s="1121"/>
      <c r="H15" s="1126"/>
      <c r="I15" s="1121"/>
      <c r="J15" s="1126"/>
      <c r="K15" s="1600"/>
      <c r="L15" s="1161"/>
      <c r="M15" s="1600"/>
      <c r="N15" s="1126"/>
      <c r="O15" s="1121"/>
      <c r="P15" s="1126"/>
      <c r="Q15" s="1121"/>
      <c r="R15" s="1126"/>
      <c r="S15" s="1121"/>
      <c r="T15" s="1126"/>
      <c r="U15" s="1138"/>
      <c r="V15" s="1126"/>
      <c r="W15" s="1138"/>
      <c r="X15" s="1137"/>
      <c r="Y15" s="1138"/>
      <c r="Z15" s="1120"/>
      <c r="AA15" s="1138"/>
      <c r="AB15" s="1137"/>
      <c r="AC15" s="1138"/>
      <c r="AD15" s="1137"/>
      <c r="AE15" s="1138"/>
      <c r="AF15" s="1137"/>
      <c r="AG15" s="1138"/>
      <c r="AH15" s="1137"/>
      <c r="AI15" s="1138"/>
      <c r="AJ15" s="1137"/>
      <c r="AK15" s="1138"/>
      <c r="AL15" s="1120"/>
      <c r="AM15" s="1138"/>
      <c r="AN15" s="1120"/>
      <c r="AO15" s="1138"/>
      <c r="AP15" s="1120"/>
      <c r="AQ15" s="1138"/>
      <c r="AR15" s="1120"/>
      <c r="AS15" s="1138"/>
      <c r="AT15" s="1126"/>
      <c r="AU15" s="1138"/>
      <c r="AV15" s="1126"/>
      <c r="AW15" s="1138"/>
      <c r="AX15" s="1126"/>
      <c r="AY15" s="1138"/>
      <c r="AZ15" s="1126"/>
      <c r="BA15" s="1138"/>
      <c r="BB15" s="1126"/>
      <c r="BC15" s="1138"/>
      <c r="BD15" s="1126"/>
      <c r="BE15" s="1138"/>
      <c r="BF15" s="1126"/>
      <c r="BG15" s="1138"/>
      <c r="BH15" s="1126"/>
      <c r="BI15" s="1138"/>
      <c r="BJ15" s="1126"/>
      <c r="BK15" s="1138"/>
      <c r="BL15" s="1134">
        <v>80.0</v>
      </c>
      <c r="BM15" s="1138"/>
      <c r="BN15" s="1087">
        <v>10.0</v>
      </c>
      <c r="BO15" s="1138"/>
      <c r="BP15" s="783">
        <f t="shared" si="1"/>
        <v>81</v>
      </c>
      <c r="BQ15" s="1571">
        <f t="shared" si="2"/>
        <v>0</v>
      </c>
      <c r="BR15" s="1572">
        <f t="shared" si="3"/>
        <v>0</v>
      </c>
      <c r="BS15" s="784">
        <f t="shared" si="4"/>
        <v>19683</v>
      </c>
      <c r="BT15" s="1573"/>
    </row>
    <row r="16" ht="18.75" customHeight="1">
      <c r="A16" s="1565"/>
      <c r="B16" s="1585">
        <v>4324.0</v>
      </c>
      <c r="C16" s="1567">
        <v>208.0</v>
      </c>
      <c r="D16" s="1586" t="s">
        <v>77</v>
      </c>
      <c r="E16" s="1592" t="str">
        <f>'Матрица 4 недели'!M7</f>
        <v>Спагетти в сливочном соусе с грибами</v>
      </c>
      <c r="F16" s="1137">
        <v>9.0</v>
      </c>
      <c r="G16" s="1138"/>
      <c r="H16" s="1126">
        <v>3.0</v>
      </c>
      <c r="I16" s="1140"/>
      <c r="J16" s="1126">
        <v>4.0</v>
      </c>
      <c r="K16" s="1138"/>
      <c r="L16" s="1126">
        <v>3.0</v>
      </c>
      <c r="M16" s="1138"/>
      <c r="N16" s="1126">
        <v>7.0</v>
      </c>
      <c r="O16" s="1138"/>
      <c r="P16" s="1126">
        <v>7.0</v>
      </c>
      <c r="Q16" s="1142"/>
      <c r="R16" s="1137">
        <v>4.0</v>
      </c>
      <c r="S16" s="1121"/>
      <c r="T16" s="1137">
        <v>5.0</v>
      </c>
      <c r="U16" s="1121"/>
      <c r="V16" s="1137">
        <v>3.0</v>
      </c>
      <c r="W16" s="1121"/>
      <c r="X16" s="1137">
        <v>7.0</v>
      </c>
      <c r="Y16" s="1121"/>
      <c r="Z16" s="1120"/>
      <c r="AA16" s="1121"/>
      <c r="AB16" s="1120">
        <v>4.0</v>
      </c>
      <c r="AC16" s="1121"/>
      <c r="AD16" s="1120">
        <v>4.0</v>
      </c>
      <c r="AE16" s="1121"/>
      <c r="AF16" s="1137">
        <v>5.0</v>
      </c>
      <c r="AG16" s="1121"/>
      <c r="AH16" s="1120">
        <v>6.0</v>
      </c>
      <c r="AI16" s="1121"/>
      <c r="AJ16" s="1120">
        <v>8.0</v>
      </c>
      <c r="AK16" s="1121"/>
      <c r="AL16" s="1120">
        <v>4.0</v>
      </c>
      <c r="AM16" s="1121"/>
      <c r="AN16" s="1137">
        <v>3.0</v>
      </c>
      <c r="AO16" s="1138"/>
      <c r="AP16" s="1126">
        <v>3.0</v>
      </c>
      <c r="AQ16" s="1138"/>
      <c r="AR16" s="1137">
        <v>9.0</v>
      </c>
      <c r="AS16" s="1138"/>
      <c r="AT16" s="1126">
        <v>4.0</v>
      </c>
      <c r="AU16" s="1138"/>
      <c r="AV16" s="1126">
        <v>6.0</v>
      </c>
      <c r="AW16" s="1138"/>
      <c r="AX16" s="1126">
        <v>3.0</v>
      </c>
      <c r="AY16" s="1138"/>
      <c r="AZ16" s="1126">
        <v>3.0</v>
      </c>
      <c r="BA16" s="1138"/>
      <c r="BB16" s="1126">
        <v>3.0</v>
      </c>
      <c r="BC16" s="1138"/>
      <c r="BD16" s="1126">
        <v>5.0</v>
      </c>
      <c r="BE16" s="1138"/>
      <c r="BF16" s="1126">
        <v>7.0</v>
      </c>
      <c r="BG16" s="1138"/>
      <c r="BH16" s="1126">
        <v>4.0</v>
      </c>
      <c r="BI16" s="1138"/>
      <c r="BJ16" s="1126">
        <v>7.0</v>
      </c>
      <c r="BK16" s="1138"/>
      <c r="BL16" s="1605"/>
      <c r="BM16" s="1138"/>
      <c r="BN16" s="1087">
        <v>10.0</v>
      </c>
      <c r="BO16" s="1138"/>
      <c r="BP16" s="783">
        <f t="shared" si="1"/>
        <v>141</v>
      </c>
      <c r="BQ16" s="1589">
        <f t="shared" si="2"/>
        <v>0</v>
      </c>
      <c r="BR16" s="1572">
        <f t="shared" si="3"/>
        <v>0</v>
      </c>
      <c r="BS16" s="784">
        <f t="shared" si="4"/>
        <v>29328</v>
      </c>
      <c r="BT16" s="1573"/>
    </row>
    <row r="17" ht="18.75" customHeight="1">
      <c r="A17" s="1565"/>
      <c r="B17" s="1585">
        <v>3054.0</v>
      </c>
      <c r="C17" s="1567">
        <v>198.0</v>
      </c>
      <c r="D17" s="1608" t="s">
        <v>77</v>
      </c>
      <c r="E17" s="1592" t="str">
        <f>'Матрица 4 недели'!M8</f>
        <v>Минтай под овощами с рисом</v>
      </c>
      <c r="F17" s="1137"/>
      <c r="G17" s="1138"/>
      <c r="H17" s="1126"/>
      <c r="I17" s="1140"/>
      <c r="J17" s="1126"/>
      <c r="K17" s="1138"/>
      <c r="L17" s="1126"/>
      <c r="M17" s="1138"/>
      <c r="N17" s="1126"/>
      <c r="O17" s="1138"/>
      <c r="P17" s="1126"/>
      <c r="Q17" s="1142"/>
      <c r="R17" s="1137"/>
      <c r="S17" s="1121"/>
      <c r="T17" s="1137"/>
      <c r="U17" s="1121"/>
      <c r="V17" s="1137"/>
      <c r="W17" s="1121"/>
      <c r="X17" s="1137"/>
      <c r="Y17" s="1121"/>
      <c r="Z17" s="1120"/>
      <c r="AA17" s="1121"/>
      <c r="AB17" s="1120"/>
      <c r="AC17" s="1121"/>
      <c r="AD17" s="1120"/>
      <c r="AE17" s="1121"/>
      <c r="AF17" s="1137"/>
      <c r="AG17" s="1121"/>
      <c r="AH17" s="1120"/>
      <c r="AI17" s="1121"/>
      <c r="AJ17" s="1120"/>
      <c r="AK17" s="1121"/>
      <c r="AL17" s="1120"/>
      <c r="AM17" s="1121"/>
      <c r="AN17" s="1137"/>
      <c r="AO17" s="1138"/>
      <c r="AP17" s="1126"/>
      <c r="AQ17" s="1138"/>
      <c r="AR17" s="1137"/>
      <c r="AS17" s="1138"/>
      <c r="AT17" s="1126"/>
      <c r="AU17" s="1138"/>
      <c r="AV17" s="1126"/>
      <c r="AW17" s="1138"/>
      <c r="AX17" s="1126"/>
      <c r="AY17" s="1138"/>
      <c r="AZ17" s="1126"/>
      <c r="BA17" s="1138"/>
      <c r="BB17" s="1126"/>
      <c r="BC17" s="1138"/>
      <c r="BD17" s="1126"/>
      <c r="BE17" s="1138"/>
      <c r="BF17" s="1126"/>
      <c r="BG17" s="1138"/>
      <c r="BH17" s="1126"/>
      <c r="BI17" s="1138"/>
      <c r="BJ17" s="1126"/>
      <c r="BK17" s="1138"/>
      <c r="BL17" s="1134">
        <v>25.0</v>
      </c>
      <c r="BM17" s="1138"/>
      <c r="BN17" s="1087"/>
      <c r="BO17" s="1138"/>
      <c r="BP17" s="783">
        <f t="shared" si="1"/>
        <v>26</v>
      </c>
      <c r="BQ17" s="1589">
        <f t="shared" si="2"/>
        <v>0</v>
      </c>
      <c r="BR17" s="1572">
        <f t="shared" si="3"/>
        <v>0</v>
      </c>
      <c r="BS17" s="784">
        <f t="shared" si="4"/>
        <v>5148</v>
      </c>
      <c r="BT17" s="1573"/>
    </row>
    <row r="18" ht="18.75" customHeight="1">
      <c r="A18" s="1565"/>
      <c r="B18" s="1585">
        <v>3239.0</v>
      </c>
      <c r="C18" s="1567">
        <v>215.0</v>
      </c>
      <c r="D18" s="1608" t="s">
        <v>77</v>
      </c>
      <c r="E18" s="1592" t="str">
        <f>'Матрица 4 недели'!M9</f>
        <v>Минтай под овощами с рисом Радуга</v>
      </c>
      <c r="F18" s="1137">
        <v>3.0</v>
      </c>
      <c r="G18" s="1138"/>
      <c r="H18" s="1126">
        <v>2.0</v>
      </c>
      <c r="I18" s="1140"/>
      <c r="J18" s="1126">
        <v>6.0</v>
      </c>
      <c r="K18" s="1138"/>
      <c r="L18" s="1126">
        <v>2.0</v>
      </c>
      <c r="M18" s="1138"/>
      <c r="N18" s="1126">
        <v>5.0</v>
      </c>
      <c r="O18" s="1138"/>
      <c r="P18" s="1126">
        <v>3.0</v>
      </c>
      <c r="Q18" s="1142"/>
      <c r="R18" s="1137">
        <v>0.0</v>
      </c>
      <c r="S18" s="1121"/>
      <c r="T18" s="1137">
        <v>3.0</v>
      </c>
      <c r="U18" s="1121"/>
      <c r="V18" s="1137">
        <v>3.0</v>
      </c>
      <c r="W18" s="1121"/>
      <c r="X18" s="1137">
        <v>3.0</v>
      </c>
      <c r="Y18" s="1121"/>
      <c r="Z18" s="1120"/>
      <c r="AA18" s="1121"/>
      <c r="AB18" s="1120">
        <v>2.0</v>
      </c>
      <c r="AC18" s="1121"/>
      <c r="AD18" s="1120">
        <v>4.0</v>
      </c>
      <c r="AE18" s="1121"/>
      <c r="AF18" s="1137">
        <v>4.0</v>
      </c>
      <c r="AG18" s="1121"/>
      <c r="AH18" s="1120">
        <v>4.0</v>
      </c>
      <c r="AI18" s="1121"/>
      <c r="AJ18" s="1120">
        <v>2.0</v>
      </c>
      <c r="AK18" s="1121"/>
      <c r="AL18" s="1120">
        <v>4.0</v>
      </c>
      <c r="AM18" s="1121"/>
      <c r="AN18" s="1137">
        <v>3.0</v>
      </c>
      <c r="AO18" s="1138"/>
      <c r="AP18" s="1126">
        <v>2.0</v>
      </c>
      <c r="AQ18" s="1138"/>
      <c r="AR18" s="1137">
        <v>8.0</v>
      </c>
      <c r="AS18" s="1138"/>
      <c r="AT18" s="1126">
        <v>5.0</v>
      </c>
      <c r="AU18" s="1138"/>
      <c r="AV18" s="1126">
        <v>2.0</v>
      </c>
      <c r="AW18" s="1138"/>
      <c r="AX18" s="1126">
        <v>3.0</v>
      </c>
      <c r="AY18" s="1138"/>
      <c r="AZ18" s="1126">
        <v>2.0</v>
      </c>
      <c r="BA18" s="1138"/>
      <c r="BB18" s="1126">
        <v>3.0</v>
      </c>
      <c r="BC18" s="1138"/>
      <c r="BD18" s="1126">
        <v>2.0</v>
      </c>
      <c r="BE18" s="1138"/>
      <c r="BF18" s="1126">
        <v>2.0</v>
      </c>
      <c r="BG18" s="1138"/>
      <c r="BH18" s="1126">
        <v>4.0</v>
      </c>
      <c r="BI18" s="1138"/>
      <c r="BJ18" s="1126">
        <v>6.0</v>
      </c>
      <c r="BK18" s="1138"/>
      <c r="BL18" s="1134"/>
      <c r="BM18" s="1138"/>
      <c r="BN18" s="1087"/>
      <c r="BO18" s="1138"/>
      <c r="BP18" s="783">
        <f t="shared" si="1"/>
        <v>93</v>
      </c>
      <c r="BQ18" s="1589">
        <f t="shared" si="2"/>
        <v>0</v>
      </c>
      <c r="BR18" s="1572">
        <f t="shared" si="3"/>
        <v>0</v>
      </c>
      <c r="BS18" s="784">
        <f t="shared" si="4"/>
        <v>19995</v>
      </c>
      <c r="BT18" s="1573"/>
    </row>
    <row r="19" ht="18.75" customHeight="1">
      <c r="A19" s="1565"/>
      <c r="B19" s="1585">
        <v>4283.0</v>
      </c>
      <c r="C19" s="1567">
        <v>288.0</v>
      </c>
      <c r="D19" s="1608" t="s">
        <v>537</v>
      </c>
      <c r="E19" s="1592" t="str">
        <f>'Матрица 4 недели'!M10</f>
        <v>Плов ташкентский с говядиной</v>
      </c>
      <c r="F19" s="1137">
        <v>2.0</v>
      </c>
      <c r="G19" s="1138"/>
      <c r="H19" s="1126">
        <v>3.0</v>
      </c>
      <c r="I19" s="1140"/>
      <c r="J19" s="1126">
        <v>3.0</v>
      </c>
      <c r="K19" s="1138"/>
      <c r="L19" s="1126">
        <v>2.0</v>
      </c>
      <c r="M19" s="1138"/>
      <c r="N19" s="1126">
        <v>2.0</v>
      </c>
      <c r="O19" s="1138"/>
      <c r="P19" s="1126">
        <v>3.0</v>
      </c>
      <c r="Q19" s="1142"/>
      <c r="R19" s="1137">
        <v>2.0</v>
      </c>
      <c r="S19" s="1121"/>
      <c r="T19" s="1137">
        <v>3.0</v>
      </c>
      <c r="U19" s="1121"/>
      <c r="V19" s="1137">
        <v>2.0</v>
      </c>
      <c r="W19" s="1121"/>
      <c r="X19" s="1137">
        <v>1.0</v>
      </c>
      <c r="Y19" s="1121"/>
      <c r="Z19" s="1120"/>
      <c r="AA19" s="1121"/>
      <c r="AB19" s="1120">
        <v>1.0</v>
      </c>
      <c r="AC19" s="1121"/>
      <c r="AD19" s="1120">
        <v>3.0</v>
      </c>
      <c r="AE19" s="1121"/>
      <c r="AF19" s="1137">
        <v>3.0</v>
      </c>
      <c r="AG19" s="1121"/>
      <c r="AH19" s="1120">
        <v>3.0</v>
      </c>
      <c r="AI19" s="1121"/>
      <c r="AJ19" s="1120">
        <v>2.0</v>
      </c>
      <c r="AK19" s="1121"/>
      <c r="AL19" s="1120">
        <v>2.0</v>
      </c>
      <c r="AM19" s="1121"/>
      <c r="AN19" s="1137">
        <v>2.0</v>
      </c>
      <c r="AO19" s="1138"/>
      <c r="AP19" s="1126">
        <v>3.0</v>
      </c>
      <c r="AQ19" s="1138"/>
      <c r="AR19" s="1137">
        <v>2.0</v>
      </c>
      <c r="AS19" s="1138"/>
      <c r="AT19" s="1126">
        <v>3.0</v>
      </c>
      <c r="AU19" s="1138"/>
      <c r="AV19" s="1126">
        <v>2.0</v>
      </c>
      <c r="AW19" s="1138"/>
      <c r="AX19" s="1126">
        <v>3.0</v>
      </c>
      <c r="AY19" s="1138"/>
      <c r="AZ19" s="1126">
        <v>3.0</v>
      </c>
      <c r="BA19" s="1138"/>
      <c r="BB19" s="1126">
        <v>0.0</v>
      </c>
      <c r="BC19" s="1138"/>
      <c r="BD19" s="1126">
        <v>2.0</v>
      </c>
      <c r="BE19" s="1138"/>
      <c r="BF19" s="1126">
        <v>2.0</v>
      </c>
      <c r="BG19" s="1138"/>
      <c r="BH19" s="1126">
        <v>3.0</v>
      </c>
      <c r="BI19" s="1138"/>
      <c r="BJ19" s="1126">
        <v>3.0</v>
      </c>
      <c r="BK19" s="1138"/>
      <c r="BL19" s="1134"/>
      <c r="BM19" s="1138"/>
      <c r="BN19" s="1087"/>
      <c r="BO19" s="1138"/>
      <c r="BP19" s="783">
        <f t="shared" si="1"/>
        <v>66</v>
      </c>
      <c r="BQ19" s="1589">
        <f t="shared" si="2"/>
        <v>0</v>
      </c>
      <c r="BR19" s="1572">
        <f t="shared" si="3"/>
        <v>0</v>
      </c>
      <c r="BS19" s="784">
        <f t="shared" si="4"/>
        <v>19008</v>
      </c>
      <c r="BT19" s="1573"/>
    </row>
    <row r="20" ht="18.75" customHeight="1">
      <c r="A20" s="1565"/>
      <c r="B20" s="1585"/>
      <c r="C20" s="1619"/>
      <c r="D20" s="1608"/>
      <c r="E20" s="1172" t="str">
        <f>'Матрица 4 недели'!M11</f>
        <v/>
      </c>
      <c r="F20" s="1620"/>
      <c r="G20" s="1621"/>
      <c r="H20" s="1622"/>
      <c r="I20" s="1621"/>
      <c r="J20" s="1622"/>
      <c r="K20" s="1621"/>
      <c r="L20" s="1622"/>
      <c r="M20" s="1621"/>
      <c r="N20" s="1622"/>
      <c r="O20" s="1621"/>
      <c r="P20" s="1622"/>
      <c r="Q20" s="1623"/>
      <c r="R20" s="1622"/>
      <c r="S20" s="1624"/>
      <c r="T20" s="1622"/>
      <c r="U20" s="1624"/>
      <c r="V20" s="1622"/>
      <c r="W20" s="1624"/>
      <c r="X20" s="1622"/>
      <c r="Y20" s="1624"/>
      <c r="Z20" s="1625"/>
      <c r="AA20" s="1624"/>
      <c r="AB20" s="1622"/>
      <c r="AC20" s="1624"/>
      <c r="AD20" s="1622"/>
      <c r="AE20" s="1624"/>
      <c r="AF20" s="1622"/>
      <c r="AG20" s="1624"/>
      <c r="AH20" s="1622"/>
      <c r="AI20" s="1624"/>
      <c r="AJ20" s="1622"/>
      <c r="AK20" s="1624"/>
      <c r="AL20" s="1625"/>
      <c r="AM20" s="1626"/>
      <c r="AN20" s="1622"/>
      <c r="AO20" s="1621"/>
      <c r="AP20" s="1622"/>
      <c r="AQ20" s="1621"/>
      <c r="AR20" s="1625"/>
      <c r="AS20" s="1621"/>
      <c r="AT20" s="1622"/>
      <c r="AU20" s="1621"/>
      <c r="AV20" s="1622"/>
      <c r="AW20" s="1621"/>
      <c r="AX20" s="1622"/>
      <c r="AY20" s="1621"/>
      <c r="AZ20" s="1622"/>
      <c r="BA20" s="1621"/>
      <c r="BB20" s="1622"/>
      <c r="BC20" s="1621"/>
      <c r="BD20" s="1622"/>
      <c r="BE20" s="1621"/>
      <c r="BF20" s="1622"/>
      <c r="BG20" s="1621"/>
      <c r="BH20" s="1622"/>
      <c r="BI20" s="1621"/>
      <c r="BJ20" s="1622"/>
      <c r="BK20" s="1621"/>
      <c r="BL20" s="1134"/>
      <c r="BM20" s="1121"/>
      <c r="BN20" s="1087"/>
      <c r="BO20" s="1121"/>
      <c r="BP20" s="783">
        <f t="shared" si="1"/>
        <v>1</v>
      </c>
      <c r="BQ20" s="1589">
        <f t="shared" si="2"/>
        <v>0</v>
      </c>
      <c r="BR20" s="1572">
        <f t="shared" si="3"/>
        <v>0</v>
      </c>
      <c r="BS20" s="784">
        <f t="shared" si="4"/>
        <v>0</v>
      </c>
      <c r="BT20" s="1573"/>
    </row>
    <row r="21" ht="18.75" customHeight="1">
      <c r="A21" s="1565"/>
      <c r="B21" s="1627">
        <v>33.0</v>
      </c>
      <c r="C21" s="1567">
        <v>155.0</v>
      </c>
      <c r="D21" s="1586" t="s">
        <v>79</v>
      </c>
      <c r="E21" s="1628" t="str">
        <f>'Матрица 4 недели'!S4</f>
        <v>Сэндвич с копчёной курицей и сыром</v>
      </c>
      <c r="F21" s="1137">
        <v>10.0</v>
      </c>
      <c r="G21" s="1121"/>
      <c r="H21" s="1126">
        <v>4.0</v>
      </c>
      <c r="I21" s="1121"/>
      <c r="J21" s="1126">
        <v>2.0</v>
      </c>
      <c r="K21" s="1121"/>
      <c r="L21" s="1126">
        <v>2.0</v>
      </c>
      <c r="M21" s="1121"/>
      <c r="N21" s="1126">
        <v>6.0</v>
      </c>
      <c r="O21" s="1121"/>
      <c r="P21" s="1126">
        <v>7.0</v>
      </c>
      <c r="Q21" s="1121"/>
      <c r="R21" s="1137">
        <v>3.0</v>
      </c>
      <c r="S21" s="1121"/>
      <c r="T21" s="1126">
        <v>3.0</v>
      </c>
      <c r="U21" s="1138"/>
      <c r="V21" s="1137">
        <v>3.0</v>
      </c>
      <c r="W21" s="1138"/>
      <c r="X21" s="1137">
        <v>9.0</v>
      </c>
      <c r="Y21" s="1138"/>
      <c r="Z21" s="1120"/>
      <c r="AA21" s="1138"/>
      <c r="AB21" s="1137">
        <v>3.0</v>
      </c>
      <c r="AC21" s="1138"/>
      <c r="AD21" s="1137">
        <v>2.0</v>
      </c>
      <c r="AE21" s="1138"/>
      <c r="AF21" s="1137">
        <v>6.0</v>
      </c>
      <c r="AG21" s="1138"/>
      <c r="AH21" s="1120">
        <v>4.0</v>
      </c>
      <c r="AI21" s="1138"/>
      <c r="AJ21" s="1120">
        <v>4.0</v>
      </c>
      <c r="AK21" s="1138"/>
      <c r="AL21" s="1120">
        <v>3.0</v>
      </c>
      <c r="AM21" s="1138"/>
      <c r="AN21" s="1120">
        <v>3.0</v>
      </c>
      <c r="AO21" s="1121"/>
      <c r="AP21" s="1120">
        <v>4.0</v>
      </c>
      <c r="AQ21" s="1138"/>
      <c r="AR21" s="1120">
        <v>5.0</v>
      </c>
      <c r="AS21" s="1121"/>
      <c r="AT21" s="1126">
        <v>3.0</v>
      </c>
      <c r="AU21" s="1121"/>
      <c r="AV21" s="1126">
        <v>2.0</v>
      </c>
      <c r="AW21" s="1121"/>
      <c r="AX21" s="1126">
        <v>2.0</v>
      </c>
      <c r="AY21" s="1121"/>
      <c r="AZ21" s="1126">
        <v>2.0</v>
      </c>
      <c r="BA21" s="1121"/>
      <c r="BB21" s="1126">
        <v>7.0</v>
      </c>
      <c r="BC21" s="1121"/>
      <c r="BD21" s="1126">
        <v>2.0</v>
      </c>
      <c r="BE21" s="1121"/>
      <c r="BF21" s="1126">
        <v>4.0</v>
      </c>
      <c r="BG21" s="1121"/>
      <c r="BH21" s="1126">
        <v>3.0</v>
      </c>
      <c r="BI21" s="1121"/>
      <c r="BJ21" s="1126">
        <v>2.0</v>
      </c>
      <c r="BK21" s="1121"/>
      <c r="BL21" s="1169"/>
      <c r="BM21" s="1170"/>
      <c r="BN21" s="900"/>
      <c r="BO21" s="1170"/>
      <c r="BP21" s="783">
        <f t="shared" si="1"/>
        <v>111</v>
      </c>
      <c r="BQ21" s="1571">
        <f t="shared" si="2"/>
        <v>0</v>
      </c>
      <c r="BR21" s="1572">
        <f t="shared" si="3"/>
        <v>0</v>
      </c>
      <c r="BS21" s="784">
        <f t="shared" si="4"/>
        <v>17205</v>
      </c>
      <c r="BT21" s="1573"/>
    </row>
    <row r="22" ht="18.75" customHeight="1">
      <c r="A22" s="1565"/>
      <c r="B22" s="1585">
        <v>5.0</v>
      </c>
      <c r="C22" s="1567">
        <v>155.0</v>
      </c>
      <c r="D22" s="1568" t="s">
        <v>79</v>
      </c>
      <c r="E22" s="1630" t="str">
        <f>'Матрица 4 недели'!S5</f>
        <v>Сэндвич с ветчиной и сыром</v>
      </c>
      <c r="F22" s="1137">
        <v>10.0</v>
      </c>
      <c r="G22" s="1121"/>
      <c r="H22" s="1126">
        <v>3.0</v>
      </c>
      <c r="I22" s="1121"/>
      <c r="J22" s="1126">
        <v>3.0</v>
      </c>
      <c r="K22" s="1121"/>
      <c r="L22" s="1126">
        <v>4.0</v>
      </c>
      <c r="M22" s="1121"/>
      <c r="N22" s="1126">
        <v>6.0</v>
      </c>
      <c r="O22" s="1121"/>
      <c r="P22" s="1126">
        <v>7.0</v>
      </c>
      <c r="Q22" s="1121"/>
      <c r="R22" s="1137">
        <v>3.0</v>
      </c>
      <c r="S22" s="1121"/>
      <c r="T22" s="1126">
        <v>2.0</v>
      </c>
      <c r="U22" s="1138"/>
      <c r="V22" s="1137">
        <v>5.0</v>
      </c>
      <c r="W22" s="1138"/>
      <c r="X22" s="1137">
        <v>10.0</v>
      </c>
      <c r="Y22" s="1138"/>
      <c r="Z22" s="1120"/>
      <c r="AA22" s="1138"/>
      <c r="AB22" s="1137">
        <v>4.0</v>
      </c>
      <c r="AC22" s="1138"/>
      <c r="AD22" s="1137">
        <v>4.0</v>
      </c>
      <c r="AE22" s="1138"/>
      <c r="AF22" s="1137">
        <v>7.0</v>
      </c>
      <c r="AG22" s="1138"/>
      <c r="AH22" s="1120">
        <v>5.0</v>
      </c>
      <c r="AI22" s="1138"/>
      <c r="AJ22" s="1120">
        <v>3.0</v>
      </c>
      <c r="AK22" s="1138"/>
      <c r="AL22" s="1120">
        <v>4.0</v>
      </c>
      <c r="AM22" s="1138"/>
      <c r="AN22" s="1137">
        <v>3.0</v>
      </c>
      <c r="AO22" s="1138"/>
      <c r="AP22" s="1137">
        <v>5.0</v>
      </c>
      <c r="AQ22" s="1138"/>
      <c r="AR22" s="1137">
        <v>14.0</v>
      </c>
      <c r="AS22" s="1138"/>
      <c r="AT22" s="1126">
        <v>3.0</v>
      </c>
      <c r="AU22" s="1138"/>
      <c r="AV22" s="1126">
        <v>5.0</v>
      </c>
      <c r="AW22" s="1138"/>
      <c r="AX22" s="1126">
        <v>8.0</v>
      </c>
      <c r="AY22" s="1138"/>
      <c r="AZ22" s="1126">
        <v>3.0</v>
      </c>
      <c r="BA22" s="1138"/>
      <c r="BB22" s="1126">
        <v>8.0</v>
      </c>
      <c r="BC22" s="1138"/>
      <c r="BD22" s="1126">
        <v>3.0</v>
      </c>
      <c r="BE22" s="1138"/>
      <c r="BF22" s="1126">
        <v>6.0</v>
      </c>
      <c r="BG22" s="1138"/>
      <c r="BH22" s="1126">
        <v>5.0</v>
      </c>
      <c r="BI22" s="1138"/>
      <c r="BJ22" s="1126">
        <v>3.0</v>
      </c>
      <c r="BK22" s="1138"/>
      <c r="BL22" s="1139"/>
      <c r="BM22" s="1138"/>
      <c r="BN22" s="1087"/>
      <c r="BO22" s="1138"/>
      <c r="BP22" s="783">
        <f t="shared" si="1"/>
        <v>147</v>
      </c>
      <c r="BQ22" s="1571">
        <f t="shared" si="2"/>
        <v>0</v>
      </c>
      <c r="BR22" s="1572">
        <f t="shared" si="3"/>
        <v>0</v>
      </c>
      <c r="BS22" s="784">
        <f t="shared" si="4"/>
        <v>22785</v>
      </c>
      <c r="BT22" s="1573"/>
    </row>
    <row r="23" ht="18.75" customHeight="1">
      <c r="A23" s="1565"/>
      <c r="B23" s="1585">
        <v>3738.0</v>
      </c>
      <c r="C23" s="1567">
        <v>173.0</v>
      </c>
      <c r="D23" s="1586" t="s">
        <v>80</v>
      </c>
      <c r="E23" s="1172" t="str">
        <f>'Матрица 4 недели'!V4</f>
        <v>Ролл сэндвич с крабом</v>
      </c>
      <c r="F23" s="1137">
        <v>11.0</v>
      </c>
      <c r="G23" s="1138"/>
      <c r="H23" s="1126">
        <v>4.0</v>
      </c>
      <c r="I23" s="1140"/>
      <c r="J23" s="1126">
        <v>0.0</v>
      </c>
      <c r="K23" s="1405"/>
      <c r="L23" s="1161">
        <v>2.0</v>
      </c>
      <c r="M23" s="1405"/>
      <c r="N23" s="1126">
        <v>5.0</v>
      </c>
      <c r="O23" s="1138"/>
      <c r="P23" s="1120">
        <v>2.0</v>
      </c>
      <c r="Q23" s="1142"/>
      <c r="R23" s="1126">
        <v>0.0</v>
      </c>
      <c r="S23" s="1121"/>
      <c r="T23" s="1137">
        <v>2.0</v>
      </c>
      <c r="U23" s="1121"/>
      <c r="V23" s="1137">
        <v>2.0</v>
      </c>
      <c r="W23" s="1121"/>
      <c r="X23" s="1137">
        <v>4.0</v>
      </c>
      <c r="Y23" s="1121"/>
      <c r="Z23" s="1120"/>
      <c r="AA23" s="1121"/>
      <c r="AB23" s="1120">
        <v>2.0</v>
      </c>
      <c r="AC23" s="1121"/>
      <c r="AD23" s="1120">
        <v>0.0</v>
      </c>
      <c r="AE23" s="1121"/>
      <c r="AF23" s="1137">
        <v>1.0</v>
      </c>
      <c r="AG23" s="1121"/>
      <c r="AH23" s="1120">
        <v>1.0</v>
      </c>
      <c r="AI23" s="1121"/>
      <c r="AJ23" s="1120">
        <v>3.0</v>
      </c>
      <c r="AK23" s="1121"/>
      <c r="AL23" s="1120">
        <v>0.0</v>
      </c>
      <c r="AM23" s="1121"/>
      <c r="AN23" s="1126">
        <v>2.0</v>
      </c>
      <c r="AO23" s="1121"/>
      <c r="AP23" s="1126">
        <v>2.0</v>
      </c>
      <c r="AQ23" s="1121"/>
      <c r="AR23" s="1126">
        <v>0.0</v>
      </c>
      <c r="AS23" s="1121"/>
      <c r="AT23" s="1126">
        <v>2.0</v>
      </c>
      <c r="AU23" s="1121"/>
      <c r="AV23" s="1126">
        <v>2.0</v>
      </c>
      <c r="AW23" s="1121"/>
      <c r="AX23" s="1126">
        <v>2.0</v>
      </c>
      <c r="AY23" s="1121"/>
      <c r="AZ23" s="1126">
        <v>2.0</v>
      </c>
      <c r="BA23" s="1121"/>
      <c r="BB23" s="1126">
        <v>2.0</v>
      </c>
      <c r="BC23" s="1121"/>
      <c r="BD23" s="1126">
        <v>2.0</v>
      </c>
      <c r="BE23" s="1121"/>
      <c r="BF23" s="1126">
        <v>5.0</v>
      </c>
      <c r="BG23" s="1121"/>
      <c r="BH23" s="1126">
        <v>2.0</v>
      </c>
      <c r="BI23" s="1121"/>
      <c r="BJ23" s="1126">
        <v>3.0</v>
      </c>
      <c r="BK23" s="1121"/>
      <c r="BL23" s="1134"/>
      <c r="BM23" s="1138"/>
      <c r="BN23" s="1087"/>
      <c r="BO23" s="1138"/>
      <c r="BP23" s="783">
        <f t="shared" si="1"/>
        <v>66</v>
      </c>
      <c r="BQ23" s="1589">
        <f t="shared" si="2"/>
        <v>0</v>
      </c>
      <c r="BR23" s="1572">
        <f t="shared" si="3"/>
        <v>0</v>
      </c>
      <c r="BS23" s="784">
        <f t="shared" si="4"/>
        <v>11418</v>
      </c>
      <c r="BT23" s="1573"/>
    </row>
    <row r="24" ht="18.75" customHeight="1">
      <c r="A24" s="1565"/>
      <c r="B24" s="1585"/>
      <c r="C24" s="1567"/>
      <c r="D24" s="1568"/>
      <c r="E24" s="1628"/>
      <c r="F24" s="1137"/>
      <c r="G24" s="1121"/>
      <c r="H24" s="1126"/>
      <c r="I24" s="1121"/>
      <c r="J24" s="1126"/>
      <c r="K24" s="1160"/>
      <c r="L24" s="1161"/>
      <c r="M24" s="1162"/>
      <c r="N24" s="1126"/>
      <c r="O24" s="1121"/>
      <c r="P24" s="1126"/>
      <c r="Q24" s="1121"/>
      <c r="R24" s="1126"/>
      <c r="S24" s="1121"/>
      <c r="T24" s="1126"/>
      <c r="U24" s="1121"/>
      <c r="V24" s="1137"/>
      <c r="W24" s="1121"/>
      <c r="X24" s="1137"/>
      <c r="Y24" s="1121"/>
      <c r="Z24" s="1126"/>
      <c r="AA24" s="1121"/>
      <c r="AB24" s="1137"/>
      <c r="AC24" s="1121"/>
      <c r="AD24" s="1137"/>
      <c r="AE24" s="1121"/>
      <c r="AF24" s="1120"/>
      <c r="AG24" s="1121"/>
      <c r="AH24" s="1137"/>
      <c r="AI24" s="1121"/>
      <c r="AJ24" s="1120"/>
      <c r="AK24" s="1121"/>
      <c r="AL24" s="1126"/>
      <c r="AM24" s="1121"/>
      <c r="AN24" s="1120"/>
      <c r="AO24" s="1138"/>
      <c r="AP24" s="1126"/>
      <c r="AQ24" s="1138"/>
      <c r="AR24" s="1120"/>
      <c r="AS24" s="1121"/>
      <c r="AT24" s="1126"/>
      <c r="AU24" s="1121"/>
      <c r="AV24" s="1126"/>
      <c r="AW24" s="1121"/>
      <c r="AX24" s="1126"/>
      <c r="AY24" s="1121"/>
      <c r="AZ24" s="1141"/>
      <c r="BA24" s="1305"/>
      <c r="BB24" s="1141"/>
      <c r="BC24" s="1305"/>
      <c r="BD24" s="1141"/>
      <c r="BE24" s="1305"/>
      <c r="BF24" s="1141"/>
      <c r="BG24" s="1305"/>
      <c r="BH24" s="1126"/>
      <c r="BI24" s="1131"/>
      <c r="BJ24" s="1126"/>
      <c r="BK24" s="1305"/>
      <c r="BL24" s="1139"/>
      <c r="BM24" s="1138"/>
      <c r="BN24" s="1087"/>
      <c r="BO24" s="1138"/>
      <c r="BP24" s="783">
        <f t="shared" si="1"/>
        <v>1</v>
      </c>
      <c r="BQ24" s="1571">
        <f t="shared" si="2"/>
        <v>0</v>
      </c>
      <c r="BR24" s="1572">
        <f t="shared" si="3"/>
        <v>0</v>
      </c>
      <c r="BS24" s="784">
        <f t="shared" si="4"/>
        <v>0</v>
      </c>
      <c r="BT24" s="1573"/>
    </row>
    <row r="25" ht="18.75" customHeight="1">
      <c r="A25" s="1565"/>
      <c r="B25" s="1585">
        <v>2079.0</v>
      </c>
      <c r="C25" s="1567">
        <v>105.0</v>
      </c>
      <c r="D25" s="1568" t="s">
        <v>78</v>
      </c>
      <c r="E25" s="1655" t="str">
        <f>'Матрица 4 недели'!P4</f>
        <v>Вафельная трубочка с вареной сгущенкой</v>
      </c>
      <c r="F25" s="1137">
        <v>36.0</v>
      </c>
      <c r="G25" s="1121"/>
      <c r="H25" s="1126">
        <v>4.0</v>
      </c>
      <c r="I25" s="1121"/>
      <c r="J25" s="1126">
        <v>3.0</v>
      </c>
      <c r="K25" s="1160"/>
      <c r="L25" s="1161">
        <v>8.0</v>
      </c>
      <c r="M25" s="1162"/>
      <c r="N25" s="1126">
        <v>8.0</v>
      </c>
      <c r="O25" s="1121"/>
      <c r="P25" s="1126">
        <v>6.0</v>
      </c>
      <c r="Q25" s="1121"/>
      <c r="R25" s="1126">
        <v>7.0</v>
      </c>
      <c r="S25" s="1121"/>
      <c r="T25" s="1126">
        <v>7.0</v>
      </c>
      <c r="U25" s="1121"/>
      <c r="V25" s="1137">
        <v>16.0</v>
      </c>
      <c r="W25" s="1121"/>
      <c r="X25" s="1137">
        <v>10.0</v>
      </c>
      <c r="Y25" s="1121"/>
      <c r="Z25" s="1126"/>
      <c r="AA25" s="1121"/>
      <c r="AB25" s="1137">
        <v>9.0</v>
      </c>
      <c r="AC25" s="1121"/>
      <c r="AD25" s="1137">
        <v>17.0</v>
      </c>
      <c r="AE25" s="1121"/>
      <c r="AF25" s="1120">
        <v>21.0</v>
      </c>
      <c r="AG25" s="1121"/>
      <c r="AH25" s="1137">
        <v>8.0</v>
      </c>
      <c r="AI25" s="1121"/>
      <c r="AJ25" s="1120">
        <v>9.0</v>
      </c>
      <c r="AK25" s="1121"/>
      <c r="AL25" s="1126">
        <v>4.0</v>
      </c>
      <c r="AM25" s="1121"/>
      <c r="AN25" s="1120">
        <v>5.0</v>
      </c>
      <c r="AO25" s="1138"/>
      <c r="AP25" s="1126">
        <v>18.0</v>
      </c>
      <c r="AQ25" s="1138"/>
      <c r="AR25" s="1120">
        <v>4.0</v>
      </c>
      <c r="AS25" s="1121"/>
      <c r="AT25" s="1126">
        <v>8.0</v>
      </c>
      <c r="AU25" s="1121"/>
      <c r="AV25" s="1126">
        <v>7.0</v>
      </c>
      <c r="AW25" s="1121"/>
      <c r="AX25" s="1126">
        <v>9.0</v>
      </c>
      <c r="AY25" s="1121"/>
      <c r="AZ25" s="1141">
        <v>13.0</v>
      </c>
      <c r="BA25" s="1305"/>
      <c r="BB25" s="1141">
        <v>7.0</v>
      </c>
      <c r="BC25" s="1305"/>
      <c r="BD25" s="1141">
        <v>4.0</v>
      </c>
      <c r="BE25" s="1305"/>
      <c r="BF25" s="1141">
        <v>8.0</v>
      </c>
      <c r="BG25" s="1305"/>
      <c r="BH25" s="1126">
        <v>7.0</v>
      </c>
      <c r="BI25" s="1131"/>
      <c r="BJ25" s="1126">
        <v>7.0</v>
      </c>
      <c r="BK25" s="1131"/>
      <c r="BL25" s="1139"/>
      <c r="BM25" s="1138"/>
      <c r="BN25" s="1087"/>
      <c r="BO25" s="1138"/>
      <c r="BP25" s="783">
        <f t="shared" si="1"/>
        <v>271</v>
      </c>
      <c r="BQ25" s="1571">
        <f t="shared" si="2"/>
        <v>0</v>
      </c>
      <c r="BR25" s="1572">
        <f t="shared" si="3"/>
        <v>0</v>
      </c>
      <c r="BS25" s="784">
        <f t="shared" si="4"/>
        <v>28455</v>
      </c>
      <c r="BT25" s="1573"/>
    </row>
    <row r="26" ht="18.75" customHeight="1">
      <c r="A26" s="1565"/>
      <c r="B26" s="1568">
        <v>3518.0</v>
      </c>
      <c r="C26" s="1567">
        <v>85.0</v>
      </c>
      <c r="D26" s="1568" t="s">
        <v>78</v>
      </c>
      <c r="E26" s="1655" t="str">
        <f>'Матрица 4 недели'!P5</f>
        <v>Слойка ''Нежная'' с сыром 100 г</v>
      </c>
      <c r="F26" s="1137"/>
      <c r="G26" s="1121"/>
      <c r="H26" s="1126"/>
      <c r="I26" s="1121"/>
      <c r="J26" s="1126"/>
      <c r="K26" s="1121"/>
      <c r="L26" s="1126"/>
      <c r="M26" s="1127"/>
      <c r="N26" s="1126"/>
      <c r="O26" s="1127"/>
      <c r="P26" s="1126"/>
      <c r="Q26" s="1121"/>
      <c r="R26" s="1126"/>
      <c r="S26" s="1291"/>
      <c r="T26" s="1126"/>
      <c r="U26" s="1138"/>
      <c r="V26" s="1137"/>
      <c r="W26" s="1138"/>
      <c r="X26" s="1137"/>
      <c r="Y26" s="1138"/>
      <c r="Z26" s="1137"/>
      <c r="AA26" s="1138"/>
      <c r="AB26" s="1137"/>
      <c r="AC26" s="1138"/>
      <c r="AD26" s="1120"/>
      <c r="AE26" s="1138"/>
      <c r="AF26" s="1120"/>
      <c r="AG26" s="1138"/>
      <c r="AH26" s="1137"/>
      <c r="AI26" s="1138"/>
      <c r="AJ26" s="1137"/>
      <c r="AK26" s="1138"/>
      <c r="AL26" s="1137"/>
      <c r="AM26" s="1138"/>
      <c r="AN26" s="1137"/>
      <c r="AO26" s="1138"/>
      <c r="AP26" s="1137"/>
      <c r="AQ26" s="1131"/>
      <c r="AR26" s="1137"/>
      <c r="AS26" s="1138"/>
      <c r="AT26" s="1126"/>
      <c r="AU26" s="1138"/>
      <c r="AV26" s="1126"/>
      <c r="AW26" s="1138"/>
      <c r="AX26" s="1126"/>
      <c r="AY26" s="1138"/>
      <c r="AZ26" s="1126"/>
      <c r="BA26" s="1138"/>
      <c r="BB26" s="1126"/>
      <c r="BC26" s="1138"/>
      <c r="BD26" s="1126"/>
      <c r="BE26" s="1138"/>
      <c r="BF26" s="1126"/>
      <c r="BG26" s="1138"/>
      <c r="BH26" s="1126"/>
      <c r="BI26" s="1138"/>
      <c r="BJ26" s="1126"/>
      <c r="BK26" s="1138"/>
      <c r="BL26" s="1139"/>
      <c r="BM26" s="1138"/>
      <c r="BN26" s="1087"/>
      <c r="BO26" s="1138"/>
      <c r="BP26" s="783">
        <f t="shared" si="1"/>
        <v>1</v>
      </c>
      <c r="BQ26" s="1571">
        <f t="shared" si="2"/>
        <v>0</v>
      </c>
      <c r="BR26" s="1572">
        <f t="shared" si="3"/>
        <v>0</v>
      </c>
      <c r="BS26" s="784">
        <f t="shared" si="4"/>
        <v>85</v>
      </c>
      <c r="BT26" s="1573"/>
    </row>
    <row r="27" ht="18.75" customHeight="1">
      <c r="A27" s="1565"/>
      <c r="B27" s="1585">
        <v>3999.0</v>
      </c>
      <c r="C27" s="1567">
        <v>98.0</v>
      </c>
      <c r="D27" s="1568" t="s">
        <v>80</v>
      </c>
      <c r="E27" s="1657" t="str">
        <f>'Матрица 4 недели'!V5</f>
        <v>Морс ягодный 0,5 л</v>
      </c>
      <c r="F27" s="1126">
        <v>11.0</v>
      </c>
      <c r="G27" s="1127"/>
      <c r="H27" s="1126">
        <v>5.0</v>
      </c>
      <c r="I27" s="1127"/>
      <c r="J27" s="1126">
        <v>5.0</v>
      </c>
      <c r="K27" s="1127"/>
      <c r="L27" s="1126">
        <v>6.0</v>
      </c>
      <c r="M27" s="1127"/>
      <c r="N27" s="1126">
        <v>5.0</v>
      </c>
      <c r="O27" s="1127"/>
      <c r="P27" s="1126">
        <v>16.0</v>
      </c>
      <c r="Q27" s="1121"/>
      <c r="R27" s="1126">
        <v>7.0</v>
      </c>
      <c r="S27" s="1121"/>
      <c r="T27" s="1126">
        <v>0.0</v>
      </c>
      <c r="U27" s="1127"/>
      <c r="V27" s="1126">
        <v>0.0</v>
      </c>
      <c r="W27" s="1127"/>
      <c r="X27" s="1126">
        <v>5.0</v>
      </c>
      <c r="Y27" s="1127"/>
      <c r="Z27" s="1126"/>
      <c r="AA27" s="1121"/>
      <c r="AB27" s="1126">
        <v>0.0</v>
      </c>
      <c r="AC27" s="1121"/>
      <c r="AD27" s="1126">
        <v>0.0</v>
      </c>
      <c r="AE27" s="1121"/>
      <c r="AF27" s="1126">
        <v>5.0</v>
      </c>
      <c r="AG27" s="1121"/>
      <c r="AH27" s="1126">
        <v>5.0</v>
      </c>
      <c r="AI27" s="1121"/>
      <c r="AJ27" s="1126">
        <v>0.0</v>
      </c>
      <c r="AK27" s="1127"/>
      <c r="AL27" s="1126">
        <v>0.0</v>
      </c>
      <c r="AM27" s="1127"/>
      <c r="AN27" s="1126">
        <v>0.0</v>
      </c>
      <c r="AO27" s="1138"/>
      <c r="AP27" s="1126">
        <v>0.0</v>
      </c>
      <c r="AQ27" s="1138"/>
      <c r="AR27" s="1126">
        <v>25.0</v>
      </c>
      <c r="AS27" s="1131"/>
      <c r="AT27" s="1126">
        <v>6.0</v>
      </c>
      <c r="AU27" s="1131"/>
      <c r="AV27" s="1126">
        <v>6.0</v>
      </c>
      <c r="AW27" s="1131"/>
      <c r="AX27" s="1126">
        <v>11.0</v>
      </c>
      <c r="AY27" s="1131"/>
      <c r="AZ27" s="1126">
        <v>10.0</v>
      </c>
      <c r="BA27" s="1131"/>
      <c r="BB27" s="1126">
        <v>7.0</v>
      </c>
      <c r="BC27" s="1131"/>
      <c r="BD27" s="1126">
        <v>9.0</v>
      </c>
      <c r="BE27" s="1131"/>
      <c r="BF27" s="1126">
        <v>17.0</v>
      </c>
      <c r="BG27" s="1131"/>
      <c r="BH27" s="1126">
        <v>11.0</v>
      </c>
      <c r="BI27" s="1131"/>
      <c r="BJ27" s="1126">
        <v>10.0</v>
      </c>
      <c r="BK27" s="1131"/>
      <c r="BL27" s="1139"/>
      <c r="BM27" s="1138"/>
      <c r="BN27" s="1087"/>
      <c r="BO27" s="1138"/>
      <c r="BP27" s="783">
        <f t="shared" si="1"/>
        <v>183</v>
      </c>
      <c r="BQ27" s="1571">
        <f t="shared" si="2"/>
        <v>0</v>
      </c>
      <c r="BR27" s="1572">
        <f t="shared" si="3"/>
        <v>0</v>
      </c>
      <c r="BS27" s="784">
        <f t="shared" si="4"/>
        <v>17934</v>
      </c>
      <c r="BT27" s="1573"/>
    </row>
    <row r="28" ht="18.75" customHeight="1">
      <c r="A28" s="1565"/>
      <c r="B28" s="1585">
        <v>822.0</v>
      </c>
      <c r="C28" s="1567">
        <v>5.0</v>
      </c>
      <c r="D28" s="1568" t="s">
        <v>78</v>
      </c>
      <c r="E28" s="1657" t="str">
        <f>'Матрица 4 недели'!P6</f>
        <v>Хлеб пшеничный</v>
      </c>
      <c r="F28" s="1126">
        <v>6.0</v>
      </c>
      <c r="G28" s="1138"/>
      <c r="H28" s="1126">
        <v>3.0</v>
      </c>
      <c r="I28" s="1138"/>
      <c r="J28" s="1126">
        <v>3.0</v>
      </c>
      <c r="K28" s="1138"/>
      <c r="L28" s="1126">
        <v>3.0</v>
      </c>
      <c r="M28" s="1138"/>
      <c r="N28" s="1126">
        <v>3.0</v>
      </c>
      <c r="O28" s="1138"/>
      <c r="P28" s="1126">
        <v>5.0</v>
      </c>
      <c r="Q28" s="1138"/>
      <c r="R28" s="1120">
        <v>4.0</v>
      </c>
      <c r="S28" s="1138"/>
      <c r="T28" s="1137">
        <v>3.0</v>
      </c>
      <c r="U28" s="1138"/>
      <c r="V28" s="1126">
        <v>3.0</v>
      </c>
      <c r="W28" s="1138"/>
      <c r="X28" s="1126">
        <v>3.0</v>
      </c>
      <c r="Y28" s="1138"/>
      <c r="Z28" s="1126"/>
      <c r="AA28" s="1138"/>
      <c r="AB28" s="1120">
        <v>3.0</v>
      </c>
      <c r="AC28" s="1138"/>
      <c r="AD28" s="1137">
        <v>3.0</v>
      </c>
      <c r="AE28" s="1138"/>
      <c r="AF28" s="1137">
        <v>5.0</v>
      </c>
      <c r="AG28" s="1138"/>
      <c r="AH28" s="1137">
        <v>3.0</v>
      </c>
      <c r="AI28" s="1138"/>
      <c r="AJ28" s="1137">
        <v>3.0</v>
      </c>
      <c r="AK28" s="1138"/>
      <c r="AL28" s="1120">
        <v>4.0</v>
      </c>
      <c r="AM28" s="1138"/>
      <c r="AN28" s="1137">
        <v>3.0</v>
      </c>
      <c r="AO28" s="1138"/>
      <c r="AP28" s="1126">
        <v>4.0</v>
      </c>
      <c r="AQ28" s="1138"/>
      <c r="AR28" s="1126">
        <v>0.0</v>
      </c>
      <c r="AS28" s="1138"/>
      <c r="AT28" s="1126">
        <v>3.0</v>
      </c>
      <c r="AU28" s="1138"/>
      <c r="AV28" s="1126">
        <v>3.0</v>
      </c>
      <c r="AW28" s="1138"/>
      <c r="AX28" s="1126">
        <v>3.0</v>
      </c>
      <c r="AY28" s="1138"/>
      <c r="AZ28" s="1126">
        <v>15.0</v>
      </c>
      <c r="BA28" s="1138"/>
      <c r="BB28" s="1126">
        <v>3.0</v>
      </c>
      <c r="BC28" s="1138"/>
      <c r="BD28" s="1126">
        <v>3.0</v>
      </c>
      <c r="BE28" s="1138"/>
      <c r="BF28" s="1126">
        <v>6.0</v>
      </c>
      <c r="BG28" s="1138"/>
      <c r="BH28" s="1126">
        <v>8.0</v>
      </c>
      <c r="BI28" s="1138"/>
      <c r="BJ28" s="1126">
        <v>4.0</v>
      </c>
      <c r="BK28" s="1138"/>
      <c r="BL28" s="1139">
        <v>125.0</v>
      </c>
      <c r="BM28" s="1138"/>
      <c r="BN28" s="1087"/>
      <c r="BO28" s="1138"/>
      <c r="BP28" s="783">
        <f t="shared" si="1"/>
        <v>238</v>
      </c>
      <c r="BQ28" s="1571">
        <f t="shared" si="2"/>
        <v>0</v>
      </c>
      <c r="BR28" s="1572">
        <f t="shared" si="3"/>
        <v>0</v>
      </c>
      <c r="BS28" s="784">
        <f t="shared" si="4"/>
        <v>1190</v>
      </c>
      <c r="BT28" s="1573"/>
    </row>
    <row r="29" ht="18.0" customHeight="1">
      <c r="A29" s="1565"/>
      <c r="B29" s="1585"/>
      <c r="C29" s="1567"/>
      <c r="D29" s="1568"/>
      <c r="E29" s="1660" t="str">
        <f>'Матрица 4 недели'!V7</f>
        <v/>
      </c>
      <c r="F29" s="1120"/>
      <c r="G29" s="1121"/>
      <c r="H29" s="1120"/>
      <c r="I29" s="1121"/>
      <c r="J29" s="1120"/>
      <c r="K29" s="1138"/>
      <c r="L29" s="1120"/>
      <c r="M29" s="1138"/>
      <c r="N29" s="1120"/>
      <c r="O29" s="1138"/>
      <c r="P29" s="1120"/>
      <c r="Q29" s="1138"/>
      <c r="R29" s="1120"/>
      <c r="S29" s="1138"/>
      <c r="T29" s="1120"/>
      <c r="U29" s="1138"/>
      <c r="V29" s="1120"/>
      <c r="W29" s="1138"/>
      <c r="X29" s="1120"/>
      <c r="Y29" s="1138"/>
      <c r="Z29" s="1120"/>
      <c r="AA29" s="1138"/>
      <c r="AB29" s="1120"/>
      <c r="AC29" s="1138"/>
      <c r="AD29" s="1120"/>
      <c r="AE29" s="1138"/>
      <c r="AF29" s="1120"/>
      <c r="AG29" s="1138"/>
      <c r="AH29" s="1120"/>
      <c r="AI29" s="1138"/>
      <c r="AJ29" s="1120"/>
      <c r="AK29" s="1138"/>
      <c r="AL29" s="1120"/>
      <c r="AM29" s="1138"/>
      <c r="AN29" s="1120"/>
      <c r="AO29" s="1138"/>
      <c r="AP29" s="1120"/>
      <c r="AQ29" s="1138"/>
      <c r="AR29" s="1120"/>
      <c r="AS29" s="1305"/>
      <c r="AT29" s="1141"/>
      <c r="AU29" s="1305"/>
      <c r="AV29" s="1141"/>
      <c r="AW29" s="1305"/>
      <c r="AX29" s="1141"/>
      <c r="AY29" s="1305"/>
      <c r="AZ29" s="1126"/>
      <c r="BA29" s="1305"/>
      <c r="BB29" s="1141"/>
      <c r="BC29" s="1305"/>
      <c r="BD29" s="1141"/>
      <c r="BE29" s="1305"/>
      <c r="BF29" s="1141"/>
      <c r="BG29" s="1305"/>
      <c r="BH29" s="1141"/>
      <c r="BI29" s="1305"/>
      <c r="BJ29" s="1141"/>
      <c r="BK29" s="1305"/>
      <c r="BL29" s="1139"/>
      <c r="BM29" s="1138"/>
      <c r="BN29" s="1087"/>
      <c r="BO29" s="1138"/>
      <c r="BP29" s="783">
        <f t="shared" si="1"/>
        <v>1</v>
      </c>
      <c r="BQ29" s="1571">
        <f t="shared" si="2"/>
        <v>0</v>
      </c>
      <c r="BR29" s="1572">
        <f t="shared" si="3"/>
        <v>0</v>
      </c>
      <c r="BS29" s="784">
        <f t="shared" si="4"/>
        <v>0</v>
      </c>
      <c r="BT29" s="1573"/>
    </row>
    <row r="30" ht="18.0" customHeight="1">
      <c r="A30" s="1565"/>
      <c r="B30" s="1568"/>
      <c r="C30" s="1567"/>
      <c r="D30" s="1568"/>
      <c r="E30" s="1666"/>
      <c r="F30" s="1120"/>
      <c r="G30" s="1121"/>
      <c r="H30" s="1120"/>
      <c r="I30" s="1121"/>
      <c r="J30" s="1120"/>
      <c r="K30" s="1138"/>
      <c r="L30" s="1120"/>
      <c r="M30" s="1138"/>
      <c r="N30" s="1120"/>
      <c r="O30" s="1138"/>
      <c r="P30" s="1120"/>
      <c r="Q30" s="1138"/>
      <c r="R30" s="1120"/>
      <c r="S30" s="1138"/>
      <c r="T30" s="1120"/>
      <c r="U30" s="1138"/>
      <c r="V30" s="1120"/>
      <c r="W30" s="1138"/>
      <c r="X30" s="1120"/>
      <c r="Y30" s="1138"/>
      <c r="Z30" s="1120"/>
      <c r="AA30" s="1138"/>
      <c r="AB30" s="1120"/>
      <c r="AC30" s="1138"/>
      <c r="AD30" s="1120"/>
      <c r="AE30" s="1138"/>
      <c r="AF30" s="1120"/>
      <c r="AG30" s="1138"/>
      <c r="AH30" s="1120"/>
      <c r="AI30" s="1138"/>
      <c r="AJ30" s="1120"/>
      <c r="AK30" s="1138"/>
      <c r="AL30" s="1120"/>
      <c r="AM30" s="1138"/>
      <c r="AN30" s="1120"/>
      <c r="AO30" s="1138"/>
      <c r="AP30" s="1120"/>
      <c r="AQ30" s="1138"/>
      <c r="AR30" s="1120"/>
      <c r="AS30" s="1305"/>
      <c r="AT30" s="1141"/>
      <c r="AU30" s="1305"/>
      <c r="AV30" s="1141"/>
      <c r="AW30" s="1305"/>
      <c r="AX30" s="1141"/>
      <c r="AY30" s="1305"/>
      <c r="AZ30" s="1126"/>
      <c r="BA30" s="1305"/>
      <c r="BB30" s="1141"/>
      <c r="BC30" s="1305"/>
      <c r="BD30" s="1141"/>
      <c r="BE30" s="1305"/>
      <c r="BF30" s="1141"/>
      <c r="BG30" s="1305"/>
      <c r="BH30" s="1141"/>
      <c r="BI30" s="1305"/>
      <c r="BJ30" s="1141"/>
      <c r="BK30" s="1305"/>
      <c r="BL30" s="1139"/>
      <c r="BM30" s="1138"/>
      <c r="BN30" s="1087">
        <v>20.0</v>
      </c>
      <c r="BO30" s="1138"/>
      <c r="BP30" s="783">
        <f t="shared" si="1"/>
        <v>1</v>
      </c>
      <c r="BQ30" s="1571">
        <f t="shared" si="2"/>
        <v>0</v>
      </c>
      <c r="BR30" s="1572">
        <f t="shared" si="3"/>
        <v>0</v>
      </c>
      <c r="BS30" s="784">
        <f t="shared" si="4"/>
        <v>0</v>
      </c>
      <c r="BT30" s="1610" t="s">
        <v>3104</v>
      </c>
    </row>
    <row r="31" ht="15.75" customHeight="1">
      <c r="A31" s="1668"/>
      <c r="B31" s="1669"/>
      <c r="C31" s="1668"/>
      <c r="D31" s="1670"/>
      <c r="E31" s="1671"/>
      <c r="F31" s="1672"/>
      <c r="H31" s="1672"/>
      <c r="J31" s="1672"/>
      <c r="L31" s="1672"/>
      <c r="N31" s="1672"/>
      <c r="P31" s="1672"/>
      <c r="R31" s="1672"/>
      <c r="T31" s="1672"/>
      <c r="V31" s="1672"/>
      <c r="X31" s="1672"/>
      <c r="Z31" s="1672"/>
      <c r="AB31" s="1672"/>
      <c r="AD31" s="1672"/>
      <c r="AF31" s="1672"/>
      <c r="AH31" s="1672"/>
      <c r="AJ31" s="1672"/>
      <c r="AL31" s="1672"/>
      <c r="AN31" s="1672"/>
      <c r="AP31" s="1672"/>
      <c r="AR31" s="1673"/>
      <c r="AT31" s="1672"/>
      <c r="AV31" s="1672"/>
      <c r="AW31" s="1179"/>
      <c r="AX31" s="1179"/>
      <c r="AY31" s="1179"/>
      <c r="AZ31" s="1179"/>
      <c r="BA31" s="1179"/>
      <c r="BB31" s="1179"/>
      <c r="BC31" s="1179"/>
      <c r="BD31" s="1179"/>
      <c r="BE31" s="1179"/>
      <c r="BF31" s="1179"/>
      <c r="BG31" s="1179"/>
      <c r="BH31" s="1674"/>
      <c r="BI31" s="1179"/>
      <c r="BJ31" s="1674"/>
      <c r="BK31" s="1179"/>
      <c r="BL31" s="678" t="s">
        <v>1365</v>
      </c>
      <c r="BM31" s="1417"/>
      <c r="BN31" s="1179"/>
      <c r="BO31" s="1417"/>
      <c r="BP31" s="1675">
        <f t="shared" ref="BP31:BS31" si="5">SUM(BP4:BP30)</f>
        <v>2569</v>
      </c>
      <c r="BQ31" s="1675">
        <f t="shared" si="5"/>
        <v>0</v>
      </c>
      <c r="BR31" s="1676">
        <f t="shared" si="5"/>
        <v>0</v>
      </c>
      <c r="BS31" s="1677">
        <f t="shared" si="5"/>
        <v>362962</v>
      </c>
      <c r="BT31" s="1678">
        <f>BR31-BS31</f>
        <v>-362962</v>
      </c>
    </row>
    <row r="32" ht="15.75" customHeight="1">
      <c r="A32" s="1679"/>
      <c r="B32" s="1669"/>
      <c r="C32" s="1668"/>
      <c r="D32" s="1670"/>
      <c r="E32" s="1680"/>
      <c r="F32" s="1672"/>
      <c r="G32" s="1681"/>
      <c r="H32" s="1672"/>
      <c r="I32" s="1672"/>
      <c r="J32" s="1672"/>
      <c r="K32" s="1681"/>
      <c r="L32" s="1672"/>
      <c r="M32" s="1672"/>
      <c r="N32" s="1672"/>
      <c r="O32" s="1672"/>
      <c r="P32" s="1672"/>
      <c r="Q32" s="1672"/>
      <c r="R32" s="1672"/>
      <c r="S32" s="1672"/>
      <c r="T32" s="1672"/>
      <c r="U32" s="1672"/>
      <c r="V32" s="1681"/>
      <c r="W32" s="1672"/>
      <c r="X32" s="1672"/>
      <c r="Y32" s="1672"/>
      <c r="Z32" s="1672"/>
      <c r="AA32" s="1672"/>
      <c r="AB32" s="1672"/>
      <c r="AC32" s="1672"/>
      <c r="AD32" s="1672"/>
      <c r="AE32" s="1417"/>
      <c r="AF32" s="678"/>
      <c r="AG32" s="1417"/>
      <c r="AH32" s="678"/>
      <c r="AI32" s="1417"/>
      <c r="AJ32" s="678"/>
      <c r="AK32" s="1417"/>
      <c r="AL32" s="678"/>
      <c r="AM32" s="1417"/>
      <c r="AN32" s="1683"/>
      <c r="AO32" s="1683"/>
      <c r="AP32" s="1683"/>
      <c r="AQ32" s="1683"/>
      <c r="AR32" s="1683"/>
      <c r="AS32" s="1417"/>
      <c r="AT32" s="1417"/>
      <c r="AU32" s="1417"/>
      <c r="AV32" s="1417"/>
      <c r="AW32" s="1417"/>
      <c r="AX32" s="1417"/>
      <c r="AY32" s="1417"/>
      <c r="AZ32" s="1417"/>
      <c r="BA32" s="1417"/>
      <c r="BB32" s="1179"/>
      <c r="BC32" s="1417"/>
      <c r="BD32" s="1179"/>
      <c r="BE32" s="1417"/>
      <c r="BF32" s="1179"/>
      <c r="BG32" s="1417"/>
      <c r="BH32" s="1674"/>
      <c r="BI32" s="1417"/>
      <c r="BJ32" s="1674"/>
      <c r="BK32" s="1417"/>
      <c r="BL32" s="1417"/>
      <c r="BM32" s="1417"/>
      <c r="BN32" s="1179"/>
      <c r="BO32" s="1417"/>
      <c r="BP32" s="1684"/>
      <c r="BQ32" s="629"/>
      <c r="BR32" s="541"/>
      <c r="BS32" s="684"/>
      <c r="BT32" s="1685"/>
    </row>
    <row r="33" ht="15.75" customHeight="1">
      <c r="A33" s="1686" t="s">
        <v>1354</v>
      </c>
      <c r="B33" s="1687"/>
      <c r="C33" s="541"/>
      <c r="D33" s="1688">
        <v>46257.0</v>
      </c>
      <c r="E33" s="908" t="s">
        <v>3106</v>
      </c>
      <c r="F33" s="544"/>
      <c r="G33" s="544"/>
      <c r="H33" s="544"/>
      <c r="I33" s="544"/>
      <c r="J33" s="544" t="s">
        <v>1356</v>
      </c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  <c r="AD33" s="544"/>
      <c r="AE33" s="544"/>
      <c r="AF33" s="544"/>
      <c r="AG33" s="544"/>
      <c r="AH33" s="544"/>
      <c r="AI33" s="544"/>
      <c r="AJ33" s="544"/>
      <c r="AK33" s="544"/>
      <c r="AL33" s="544"/>
      <c r="AM33" s="544"/>
      <c r="AN33" s="544"/>
      <c r="AO33" s="544"/>
      <c r="AP33" s="544"/>
      <c r="AQ33" s="544"/>
      <c r="AR33" s="544"/>
      <c r="AS33" s="544"/>
      <c r="AT33" s="544"/>
      <c r="AU33" s="544"/>
      <c r="AV33" s="544"/>
      <c r="AW33" s="544"/>
      <c r="AX33" s="544"/>
      <c r="AY33" s="544"/>
      <c r="AZ33" s="544"/>
      <c r="BA33" s="544"/>
      <c r="BB33" s="545"/>
      <c r="BC33" s="544"/>
      <c r="BD33" s="545"/>
      <c r="BE33" s="544"/>
      <c r="BF33" s="545"/>
      <c r="BG33" s="544"/>
      <c r="BH33" s="545"/>
      <c r="BI33" s="544"/>
      <c r="BJ33" s="545"/>
      <c r="BK33" s="544"/>
      <c r="BL33" s="544"/>
      <c r="BM33" s="544"/>
      <c r="BN33" s="545"/>
      <c r="BO33" s="544"/>
      <c r="BP33" s="1691"/>
      <c r="BQ33" s="1691"/>
      <c r="BR33" s="1691"/>
      <c r="BS33" s="629"/>
      <c r="BT33" s="1692"/>
    </row>
    <row r="34" ht="21.75" customHeight="1">
      <c r="A34" s="1693" t="s">
        <v>3069</v>
      </c>
      <c r="B34" s="1694"/>
      <c r="C34" s="1693" t="s">
        <v>19</v>
      </c>
      <c r="D34" s="1557" t="s">
        <v>3070</v>
      </c>
      <c r="E34" s="783" t="s">
        <v>471</v>
      </c>
      <c r="F34" s="1606" t="s">
        <v>1357</v>
      </c>
      <c r="G34" s="69"/>
      <c r="H34" s="1487" t="s">
        <v>1287</v>
      </c>
      <c r="I34" s="69"/>
      <c r="J34" s="1606" t="s">
        <v>1358</v>
      </c>
      <c r="K34" s="69"/>
      <c r="L34" s="1606" t="s">
        <v>1359</v>
      </c>
      <c r="M34" s="69"/>
      <c r="N34" s="1606" t="s">
        <v>1360</v>
      </c>
      <c r="O34" s="69"/>
      <c r="P34" s="1606" t="s">
        <v>1361</v>
      </c>
      <c r="Q34" s="69"/>
      <c r="R34" s="1487" t="s">
        <v>1362</v>
      </c>
      <c r="S34" s="69"/>
      <c r="T34" s="1487" t="s">
        <v>1299</v>
      </c>
      <c r="U34" s="69"/>
      <c r="V34" s="1487" t="s">
        <v>1301</v>
      </c>
      <c r="W34" s="69"/>
      <c r="X34" s="1487" t="s">
        <v>1363</v>
      </c>
      <c r="Y34" s="69"/>
      <c r="Z34" s="1487" t="s">
        <v>1305</v>
      </c>
      <c r="AA34" s="69"/>
      <c r="AB34" s="1487" t="s">
        <v>1307</v>
      </c>
      <c r="AC34" s="69"/>
      <c r="AD34" s="1487" t="s">
        <v>1309</v>
      </c>
      <c r="AE34" s="69"/>
      <c r="AF34" s="1487" t="s">
        <v>1311</v>
      </c>
      <c r="AG34" s="69"/>
      <c r="AH34" s="1487" t="s">
        <v>1313</v>
      </c>
      <c r="AI34" s="69"/>
      <c r="AJ34" s="1487" t="s">
        <v>1315</v>
      </c>
      <c r="AK34" s="69"/>
      <c r="AL34" s="1487" t="s">
        <v>1317</v>
      </c>
      <c r="AM34" s="69"/>
      <c r="AN34" s="1487" t="s">
        <v>1319</v>
      </c>
      <c r="AO34" s="69"/>
      <c r="AP34" s="1487" t="s">
        <v>1321</v>
      </c>
      <c r="AQ34" s="69"/>
      <c r="AR34" s="1487" t="s">
        <v>1323</v>
      </c>
      <c r="AS34" s="69"/>
      <c r="AT34" s="1487" t="s">
        <v>1325</v>
      </c>
      <c r="AU34" s="69"/>
      <c r="AV34" s="1487" t="s">
        <v>1327</v>
      </c>
      <c r="AW34" s="69"/>
      <c r="AX34" s="1487" t="s">
        <v>3076</v>
      </c>
      <c r="AY34" s="69"/>
      <c r="AZ34" s="1487" t="s">
        <v>3078</v>
      </c>
      <c r="BA34" s="69"/>
      <c r="BB34" s="1485" t="s">
        <v>3080</v>
      </c>
      <c r="BC34" s="69"/>
      <c r="BD34" s="1485" t="s">
        <v>3082</v>
      </c>
      <c r="BE34" s="69"/>
      <c r="BF34" s="1485" t="s">
        <v>3084</v>
      </c>
      <c r="BG34" s="69"/>
      <c r="BH34" s="1485" t="s">
        <v>3086</v>
      </c>
      <c r="BI34" s="69"/>
      <c r="BJ34" s="1485" t="s">
        <v>3088</v>
      </c>
      <c r="BK34" s="69"/>
      <c r="BL34" s="1487" t="s">
        <v>297</v>
      </c>
      <c r="BM34" s="69"/>
      <c r="BN34" s="1487" t="s">
        <v>5</v>
      </c>
      <c r="BO34" s="69"/>
      <c r="BR34" s="1193"/>
      <c r="BS34" s="684"/>
      <c r="BT34" s="1193"/>
    </row>
    <row r="35" ht="20.25" customHeight="1">
      <c r="A35" s="1698" t="str">
        <f t="shared" ref="A35:A47" si="6">A4</f>
        <v/>
      </c>
      <c r="B35" s="1699">
        <v>4323.0</v>
      </c>
      <c r="C35" s="1700">
        <v>210.0</v>
      </c>
      <c r="D35" s="1701"/>
      <c r="E35" s="1702" t="str">
        <f t="shared" ref="E35:E61" si="7">E4</f>
        <v>Груша запеченая с творожным кремом</v>
      </c>
      <c r="F35" s="1703" t="str">
        <f t="shared" ref="F35:F60" si="8">G4</f>
        <v/>
      </c>
      <c r="G35" s="69"/>
      <c r="H35" s="1703" t="str">
        <f t="shared" ref="H35:H60" si="9">I4</f>
        <v/>
      </c>
      <c r="I35" s="69"/>
      <c r="J35" s="1703" t="str">
        <f t="shared" ref="J35:J60" si="10">K4</f>
        <v/>
      </c>
      <c r="K35" s="69"/>
      <c r="L35" s="1703" t="str">
        <f t="shared" ref="L35:L60" si="11">M4</f>
        <v/>
      </c>
      <c r="M35" s="69"/>
      <c r="N35" s="1703" t="str">
        <f t="shared" ref="N35:N60" si="12">O4</f>
        <v/>
      </c>
      <c r="O35" s="69"/>
      <c r="P35" s="1703" t="str">
        <f t="shared" ref="P35:P60" si="13">Q4</f>
        <v/>
      </c>
      <c r="Q35" s="69"/>
      <c r="R35" s="1703" t="str">
        <f t="shared" ref="R35:R60" si="14">S4</f>
        <v/>
      </c>
      <c r="S35" s="69"/>
      <c r="T35" s="1703" t="str">
        <f t="shared" ref="T35:T60" si="15">U4</f>
        <v/>
      </c>
      <c r="U35" s="69"/>
      <c r="V35" s="1703" t="str">
        <f t="shared" ref="V35:V60" si="16">W4</f>
        <v/>
      </c>
      <c r="W35" s="69"/>
      <c r="X35" s="1703" t="str">
        <f t="shared" ref="X35:X60" si="17">Y4</f>
        <v/>
      </c>
      <c r="Y35" s="69"/>
      <c r="Z35" s="1703" t="str">
        <f t="shared" ref="Z35:Z60" si="18">AA4</f>
        <v/>
      </c>
      <c r="AA35" s="69"/>
      <c r="AB35" s="1703" t="str">
        <f t="shared" ref="AB35:AB60" si="19">AC4</f>
        <v/>
      </c>
      <c r="AC35" s="69"/>
      <c r="AD35" s="1706" t="str">
        <f t="shared" ref="AD35:AD60" si="20">AE4</f>
        <v/>
      </c>
      <c r="AE35" s="69"/>
      <c r="AF35" s="1706" t="str">
        <f t="shared" ref="AF35:AF60" si="21">AG4</f>
        <v/>
      </c>
      <c r="AG35" s="69"/>
      <c r="AH35" s="1706" t="str">
        <f t="shared" ref="AH35:AH60" si="22">AI4</f>
        <v/>
      </c>
      <c r="AI35" s="69"/>
      <c r="AJ35" s="1706" t="str">
        <f t="shared" ref="AJ35:AJ60" si="23">AK4</f>
        <v/>
      </c>
      <c r="AK35" s="69"/>
      <c r="AL35" s="1706" t="str">
        <f t="shared" ref="AL35:AL60" si="24">AM4</f>
        <v/>
      </c>
      <c r="AM35" s="69"/>
      <c r="AN35" s="1706" t="str">
        <f t="shared" ref="AN35:AN60" si="25">AO4</f>
        <v/>
      </c>
      <c r="AO35" s="69"/>
      <c r="AP35" s="1706" t="str">
        <f t="shared" ref="AP35:AP60" si="26">AQ4</f>
        <v/>
      </c>
      <c r="AQ35" s="69"/>
      <c r="AR35" s="1706" t="str">
        <f t="shared" ref="AR35:AR60" si="27">AS4</f>
        <v/>
      </c>
      <c r="AS35" s="69"/>
      <c r="AT35" s="1706" t="str">
        <f t="shared" ref="AT35:AT60" si="28">AU4</f>
        <v/>
      </c>
      <c r="AU35" s="69"/>
      <c r="AV35" s="1706" t="str">
        <f t="shared" ref="AV35:AV60" si="29">AW4</f>
        <v/>
      </c>
      <c r="AW35" s="69"/>
      <c r="AX35" s="1706" t="str">
        <f t="shared" ref="AX35:AX60" si="30">AY4</f>
        <v/>
      </c>
      <c r="AY35" s="69"/>
      <c r="AZ35" s="1706" t="str">
        <f t="shared" ref="AZ35:AZ60" si="31">BA4</f>
        <v/>
      </c>
      <c r="BA35" s="69"/>
      <c r="BB35" s="1709" t="str">
        <f t="shared" ref="BB35:BB60" si="32">BC4</f>
        <v/>
      </c>
      <c r="BC35" s="69"/>
      <c r="BD35" s="1709" t="str">
        <f t="shared" ref="BD35:BD60" si="33">BE4</f>
        <v/>
      </c>
      <c r="BE35" s="69"/>
      <c r="BF35" s="1709" t="str">
        <f t="shared" ref="BF35:BF60" si="34">BG4</f>
        <v/>
      </c>
      <c r="BG35" s="69"/>
      <c r="BH35" s="1709" t="str">
        <f t="shared" ref="BH35:BH60" si="35">BI4</f>
        <v/>
      </c>
      <c r="BI35" s="69"/>
      <c r="BJ35" s="1709" t="str">
        <f t="shared" ref="BJ35:BJ60" si="36">BK4</f>
        <v/>
      </c>
      <c r="BK35" s="69"/>
      <c r="BL35" s="1706" t="str">
        <f t="shared" ref="BL35:BL60" si="37">BM4</f>
        <v/>
      </c>
      <c r="BM35" s="69"/>
      <c r="BN35" s="1706">
        <f t="shared" ref="BN35:BN61" si="38">SUM(F35:BM35)</f>
        <v>0</v>
      </c>
      <c r="BO35" s="69"/>
      <c r="BR35" s="541"/>
      <c r="BS35" s="684"/>
      <c r="BT35" s="541"/>
    </row>
    <row r="36" ht="20.25" customHeight="1">
      <c r="A36" s="1698" t="str">
        <f t="shared" si="6"/>
        <v/>
      </c>
      <c r="B36" s="1699">
        <v>1557.0</v>
      </c>
      <c r="C36" s="1700">
        <v>98.0</v>
      </c>
      <c r="D36" s="1701"/>
      <c r="E36" s="1702" t="str">
        <f t="shared" si="7"/>
        <v>Каша пшенная (на молоке)</v>
      </c>
      <c r="F36" s="1703" t="str">
        <f t="shared" si="8"/>
        <v/>
      </c>
      <c r="G36" s="69"/>
      <c r="H36" s="1703" t="str">
        <f t="shared" si="9"/>
        <v/>
      </c>
      <c r="I36" s="69"/>
      <c r="J36" s="1703" t="str">
        <f t="shared" si="10"/>
        <v/>
      </c>
      <c r="K36" s="69"/>
      <c r="L36" s="1703" t="str">
        <f t="shared" si="11"/>
        <v/>
      </c>
      <c r="M36" s="69"/>
      <c r="N36" s="1703" t="str">
        <f t="shared" si="12"/>
        <v/>
      </c>
      <c r="O36" s="69"/>
      <c r="P36" s="1703" t="str">
        <f t="shared" si="13"/>
        <v/>
      </c>
      <c r="Q36" s="69"/>
      <c r="R36" s="1703" t="str">
        <f t="shared" si="14"/>
        <v/>
      </c>
      <c r="S36" s="69"/>
      <c r="T36" s="1703" t="str">
        <f t="shared" si="15"/>
        <v/>
      </c>
      <c r="U36" s="69"/>
      <c r="V36" s="1703" t="str">
        <f t="shared" si="16"/>
        <v/>
      </c>
      <c r="W36" s="69"/>
      <c r="X36" s="1703" t="str">
        <f t="shared" si="17"/>
        <v/>
      </c>
      <c r="Y36" s="69"/>
      <c r="Z36" s="1703" t="str">
        <f t="shared" si="18"/>
        <v/>
      </c>
      <c r="AA36" s="69"/>
      <c r="AB36" s="1703" t="str">
        <f t="shared" si="19"/>
        <v/>
      </c>
      <c r="AC36" s="69"/>
      <c r="AD36" s="1706" t="str">
        <f t="shared" si="20"/>
        <v/>
      </c>
      <c r="AE36" s="69"/>
      <c r="AF36" s="1706" t="str">
        <f t="shared" si="21"/>
        <v/>
      </c>
      <c r="AG36" s="69"/>
      <c r="AH36" s="1706" t="str">
        <f t="shared" si="22"/>
        <v/>
      </c>
      <c r="AI36" s="69"/>
      <c r="AJ36" s="1706" t="str">
        <f t="shared" si="23"/>
        <v/>
      </c>
      <c r="AK36" s="69"/>
      <c r="AL36" s="1706" t="str">
        <f t="shared" si="24"/>
        <v/>
      </c>
      <c r="AM36" s="69"/>
      <c r="AN36" s="1706" t="str">
        <f t="shared" si="25"/>
        <v/>
      </c>
      <c r="AO36" s="69"/>
      <c r="AP36" s="1706" t="str">
        <f t="shared" si="26"/>
        <v/>
      </c>
      <c r="AQ36" s="69"/>
      <c r="AR36" s="1706" t="str">
        <f t="shared" si="27"/>
        <v/>
      </c>
      <c r="AS36" s="69"/>
      <c r="AT36" s="1706" t="str">
        <f t="shared" si="28"/>
        <v/>
      </c>
      <c r="AU36" s="69"/>
      <c r="AV36" s="1706" t="str">
        <f t="shared" si="29"/>
        <v/>
      </c>
      <c r="AW36" s="69"/>
      <c r="AX36" s="1706" t="str">
        <f t="shared" si="30"/>
        <v/>
      </c>
      <c r="AY36" s="69"/>
      <c r="AZ36" s="1706" t="str">
        <f t="shared" si="31"/>
        <v/>
      </c>
      <c r="BA36" s="69"/>
      <c r="BB36" s="1709" t="str">
        <f t="shared" si="32"/>
        <v/>
      </c>
      <c r="BC36" s="69"/>
      <c r="BD36" s="1709" t="str">
        <f t="shared" si="33"/>
        <v/>
      </c>
      <c r="BE36" s="69"/>
      <c r="BF36" s="1709" t="str">
        <f t="shared" si="34"/>
        <v/>
      </c>
      <c r="BG36" s="69"/>
      <c r="BH36" s="1709" t="str">
        <f t="shared" si="35"/>
        <v/>
      </c>
      <c r="BI36" s="69"/>
      <c r="BJ36" s="1709" t="str">
        <f t="shared" si="36"/>
        <v/>
      </c>
      <c r="BK36" s="69"/>
      <c r="BL36" s="1706" t="str">
        <f t="shared" si="37"/>
        <v/>
      </c>
      <c r="BM36" s="69"/>
      <c r="BN36" s="1706">
        <f t="shared" si="38"/>
        <v>0</v>
      </c>
      <c r="BO36" s="69"/>
      <c r="BR36" s="541"/>
      <c r="BS36" s="684"/>
      <c r="BT36" s="541"/>
    </row>
    <row r="37" ht="20.25" customHeight="1">
      <c r="A37" s="1698" t="str">
        <f t="shared" si="6"/>
        <v/>
      </c>
      <c r="B37" s="1699">
        <v>1550.0</v>
      </c>
      <c r="C37" s="1700">
        <v>158.0</v>
      </c>
      <c r="D37" s="1701"/>
      <c r="E37" s="1702" t="str">
        <f t="shared" si="7"/>
        <v>Омлет с овощами и сыром </v>
      </c>
      <c r="F37" s="1703" t="str">
        <f t="shared" si="8"/>
        <v/>
      </c>
      <c r="G37" s="69"/>
      <c r="H37" s="1703" t="str">
        <f t="shared" si="9"/>
        <v/>
      </c>
      <c r="I37" s="69"/>
      <c r="J37" s="1703" t="str">
        <f t="shared" si="10"/>
        <v/>
      </c>
      <c r="K37" s="69"/>
      <c r="L37" s="1703" t="str">
        <f t="shared" si="11"/>
        <v/>
      </c>
      <c r="M37" s="69"/>
      <c r="N37" s="1703" t="str">
        <f t="shared" si="12"/>
        <v/>
      </c>
      <c r="O37" s="69"/>
      <c r="P37" s="1703" t="str">
        <f t="shared" si="13"/>
        <v/>
      </c>
      <c r="Q37" s="69"/>
      <c r="R37" s="1703" t="str">
        <f t="shared" si="14"/>
        <v/>
      </c>
      <c r="S37" s="69"/>
      <c r="T37" s="1703" t="str">
        <f t="shared" si="15"/>
        <v/>
      </c>
      <c r="U37" s="69"/>
      <c r="V37" s="1703" t="str">
        <f t="shared" si="16"/>
        <v/>
      </c>
      <c r="W37" s="69"/>
      <c r="X37" s="1703" t="str">
        <f t="shared" si="17"/>
        <v/>
      </c>
      <c r="Y37" s="69"/>
      <c r="Z37" s="1703" t="str">
        <f t="shared" si="18"/>
        <v/>
      </c>
      <c r="AA37" s="69"/>
      <c r="AB37" s="1703" t="str">
        <f t="shared" si="19"/>
        <v/>
      </c>
      <c r="AC37" s="69"/>
      <c r="AD37" s="1706" t="str">
        <f t="shared" si="20"/>
        <v/>
      </c>
      <c r="AE37" s="69"/>
      <c r="AF37" s="1706" t="str">
        <f t="shared" si="21"/>
        <v/>
      </c>
      <c r="AG37" s="69"/>
      <c r="AH37" s="1706" t="str">
        <f t="shared" si="22"/>
        <v/>
      </c>
      <c r="AI37" s="69"/>
      <c r="AJ37" s="1706" t="str">
        <f t="shared" si="23"/>
        <v/>
      </c>
      <c r="AK37" s="69"/>
      <c r="AL37" s="1706" t="str">
        <f t="shared" si="24"/>
        <v/>
      </c>
      <c r="AM37" s="69"/>
      <c r="AN37" s="1706" t="str">
        <f t="shared" si="25"/>
        <v/>
      </c>
      <c r="AO37" s="69"/>
      <c r="AP37" s="1706" t="str">
        <f t="shared" si="26"/>
        <v/>
      </c>
      <c r="AQ37" s="69"/>
      <c r="AR37" s="1706" t="str">
        <f t="shared" si="27"/>
        <v/>
      </c>
      <c r="AS37" s="69"/>
      <c r="AT37" s="1706" t="str">
        <f t="shared" si="28"/>
        <v/>
      </c>
      <c r="AU37" s="69"/>
      <c r="AV37" s="1706" t="str">
        <f t="shared" si="29"/>
        <v/>
      </c>
      <c r="AW37" s="69"/>
      <c r="AX37" s="1706" t="str">
        <f t="shared" si="30"/>
        <v/>
      </c>
      <c r="AY37" s="69"/>
      <c r="AZ37" s="1706" t="str">
        <f t="shared" si="31"/>
        <v/>
      </c>
      <c r="BA37" s="69"/>
      <c r="BB37" s="1709" t="str">
        <f t="shared" si="32"/>
        <v/>
      </c>
      <c r="BC37" s="69"/>
      <c r="BD37" s="1709" t="str">
        <f t="shared" si="33"/>
        <v/>
      </c>
      <c r="BE37" s="69"/>
      <c r="BF37" s="1709" t="str">
        <f t="shared" si="34"/>
        <v/>
      </c>
      <c r="BG37" s="69"/>
      <c r="BH37" s="1709" t="str">
        <f t="shared" si="35"/>
        <v/>
      </c>
      <c r="BI37" s="69"/>
      <c r="BJ37" s="1709" t="str">
        <f t="shared" si="36"/>
        <v/>
      </c>
      <c r="BK37" s="69"/>
      <c r="BL37" s="1706" t="str">
        <f t="shared" si="37"/>
        <v/>
      </c>
      <c r="BM37" s="69"/>
      <c r="BN37" s="1706">
        <f t="shared" si="38"/>
        <v>0</v>
      </c>
      <c r="BO37" s="69"/>
      <c r="BR37" s="541"/>
      <c r="BS37" s="684"/>
      <c r="BT37" s="541"/>
    </row>
    <row r="38" ht="20.25" customHeight="1">
      <c r="A38" s="1698" t="str">
        <f t="shared" si="6"/>
        <v/>
      </c>
      <c r="B38" s="1699">
        <v>3076.0</v>
      </c>
      <c r="C38" s="1700">
        <v>98.0</v>
      </c>
      <c r="D38" s="1701"/>
      <c r="E38" s="1702" t="str">
        <f t="shared" si="7"/>
        <v>Салат ''Оливье'' (колбаса варен)</v>
      </c>
      <c r="F38" s="1703" t="str">
        <f t="shared" si="8"/>
        <v/>
      </c>
      <c r="G38" s="69"/>
      <c r="H38" s="1703" t="str">
        <f t="shared" si="9"/>
        <v/>
      </c>
      <c r="I38" s="69"/>
      <c r="J38" s="1703" t="str">
        <f t="shared" si="10"/>
        <v/>
      </c>
      <c r="K38" s="69"/>
      <c r="L38" s="1703" t="str">
        <f t="shared" si="11"/>
        <v/>
      </c>
      <c r="M38" s="69"/>
      <c r="N38" s="1703" t="str">
        <f t="shared" si="12"/>
        <v/>
      </c>
      <c r="O38" s="69"/>
      <c r="P38" s="1703" t="str">
        <f t="shared" si="13"/>
        <v/>
      </c>
      <c r="Q38" s="69"/>
      <c r="R38" s="1703" t="str">
        <f t="shared" si="14"/>
        <v/>
      </c>
      <c r="S38" s="69"/>
      <c r="T38" s="1703" t="str">
        <f t="shared" si="15"/>
        <v/>
      </c>
      <c r="U38" s="69"/>
      <c r="V38" s="1703" t="str">
        <f t="shared" si="16"/>
        <v/>
      </c>
      <c r="W38" s="69"/>
      <c r="X38" s="1703" t="str">
        <f t="shared" si="17"/>
        <v/>
      </c>
      <c r="Y38" s="69"/>
      <c r="Z38" s="1703" t="str">
        <f t="shared" si="18"/>
        <v/>
      </c>
      <c r="AA38" s="69"/>
      <c r="AB38" s="1703" t="str">
        <f t="shared" si="19"/>
        <v/>
      </c>
      <c r="AC38" s="69"/>
      <c r="AD38" s="1706" t="str">
        <f t="shared" si="20"/>
        <v/>
      </c>
      <c r="AE38" s="69"/>
      <c r="AF38" s="1706" t="str">
        <f t="shared" si="21"/>
        <v/>
      </c>
      <c r="AG38" s="69"/>
      <c r="AH38" s="1706" t="str">
        <f t="shared" si="22"/>
        <v/>
      </c>
      <c r="AI38" s="69"/>
      <c r="AJ38" s="1706" t="str">
        <f t="shared" si="23"/>
        <v/>
      </c>
      <c r="AK38" s="69"/>
      <c r="AL38" s="1706" t="str">
        <f t="shared" si="24"/>
        <v/>
      </c>
      <c r="AM38" s="69"/>
      <c r="AN38" s="1706" t="str">
        <f t="shared" si="25"/>
        <v/>
      </c>
      <c r="AO38" s="69"/>
      <c r="AP38" s="1706" t="str">
        <f t="shared" si="26"/>
        <v/>
      </c>
      <c r="AQ38" s="69"/>
      <c r="AR38" s="1706" t="str">
        <f t="shared" si="27"/>
        <v/>
      </c>
      <c r="AS38" s="69"/>
      <c r="AT38" s="1706" t="str">
        <f t="shared" si="28"/>
        <v/>
      </c>
      <c r="AU38" s="69"/>
      <c r="AV38" s="1706" t="str">
        <f t="shared" si="29"/>
        <v/>
      </c>
      <c r="AW38" s="69"/>
      <c r="AX38" s="1706" t="str">
        <f t="shared" si="30"/>
        <v/>
      </c>
      <c r="AY38" s="69"/>
      <c r="AZ38" s="1706" t="str">
        <f t="shared" si="31"/>
        <v/>
      </c>
      <c r="BA38" s="69"/>
      <c r="BB38" s="1709" t="str">
        <f t="shared" si="32"/>
        <v/>
      </c>
      <c r="BC38" s="69"/>
      <c r="BD38" s="1709" t="str">
        <f t="shared" si="33"/>
        <v/>
      </c>
      <c r="BE38" s="69"/>
      <c r="BF38" s="1709" t="str">
        <f t="shared" si="34"/>
        <v/>
      </c>
      <c r="BG38" s="69"/>
      <c r="BH38" s="1709" t="str">
        <f t="shared" si="35"/>
        <v/>
      </c>
      <c r="BI38" s="69"/>
      <c r="BJ38" s="1709" t="str">
        <f t="shared" si="36"/>
        <v/>
      </c>
      <c r="BK38" s="69"/>
      <c r="BL38" s="1706" t="str">
        <f t="shared" si="37"/>
        <v/>
      </c>
      <c r="BM38" s="69"/>
      <c r="BN38" s="1706">
        <f t="shared" si="38"/>
        <v>0</v>
      </c>
      <c r="BO38" s="69"/>
      <c r="BR38" s="541"/>
      <c r="BS38" s="684"/>
      <c r="BT38" s="541"/>
    </row>
    <row r="39" ht="20.25" customHeight="1">
      <c r="A39" s="1698" t="str">
        <f t="shared" si="6"/>
        <v/>
      </c>
      <c r="B39" s="1699">
        <v>4009.0</v>
      </c>
      <c r="C39" s="1700">
        <v>98.0</v>
      </c>
      <c r="D39" s="1701"/>
      <c r="E39" s="1702" t="str">
        <f t="shared" si="7"/>
        <v>Салат "Маковый" (курица, мак)</v>
      </c>
      <c r="F39" s="1703" t="str">
        <f t="shared" si="8"/>
        <v/>
      </c>
      <c r="G39" s="69"/>
      <c r="H39" s="1703" t="str">
        <f t="shared" si="9"/>
        <v/>
      </c>
      <c r="I39" s="69"/>
      <c r="J39" s="1703" t="str">
        <f t="shared" si="10"/>
        <v/>
      </c>
      <c r="K39" s="69"/>
      <c r="L39" s="1703" t="str">
        <f t="shared" si="11"/>
        <v/>
      </c>
      <c r="M39" s="69"/>
      <c r="N39" s="1703" t="str">
        <f t="shared" si="12"/>
        <v/>
      </c>
      <c r="O39" s="69"/>
      <c r="P39" s="1703" t="str">
        <f t="shared" si="13"/>
        <v/>
      </c>
      <c r="Q39" s="69"/>
      <c r="R39" s="1703" t="str">
        <f t="shared" si="14"/>
        <v/>
      </c>
      <c r="S39" s="69"/>
      <c r="T39" s="1703" t="str">
        <f t="shared" si="15"/>
        <v/>
      </c>
      <c r="U39" s="69"/>
      <c r="V39" s="1703" t="str">
        <f t="shared" si="16"/>
        <v/>
      </c>
      <c r="W39" s="69"/>
      <c r="X39" s="1703" t="str">
        <f t="shared" si="17"/>
        <v/>
      </c>
      <c r="Y39" s="69"/>
      <c r="Z39" s="1703" t="str">
        <f t="shared" si="18"/>
        <v/>
      </c>
      <c r="AA39" s="69"/>
      <c r="AB39" s="1703" t="str">
        <f t="shared" si="19"/>
        <v/>
      </c>
      <c r="AC39" s="69"/>
      <c r="AD39" s="1706" t="str">
        <f t="shared" si="20"/>
        <v/>
      </c>
      <c r="AE39" s="69"/>
      <c r="AF39" s="1706" t="str">
        <f t="shared" si="21"/>
        <v/>
      </c>
      <c r="AG39" s="69"/>
      <c r="AH39" s="1706" t="str">
        <f t="shared" si="22"/>
        <v/>
      </c>
      <c r="AI39" s="69"/>
      <c r="AJ39" s="1706" t="str">
        <f t="shared" si="23"/>
        <v/>
      </c>
      <c r="AK39" s="69"/>
      <c r="AL39" s="1706" t="str">
        <f t="shared" si="24"/>
        <v/>
      </c>
      <c r="AM39" s="69"/>
      <c r="AN39" s="1706" t="str">
        <f t="shared" si="25"/>
        <v/>
      </c>
      <c r="AO39" s="69"/>
      <c r="AP39" s="1706" t="str">
        <f t="shared" si="26"/>
        <v/>
      </c>
      <c r="AQ39" s="69"/>
      <c r="AR39" s="1706" t="str">
        <f t="shared" si="27"/>
        <v/>
      </c>
      <c r="AS39" s="69"/>
      <c r="AT39" s="1706" t="str">
        <f t="shared" si="28"/>
        <v/>
      </c>
      <c r="AU39" s="69"/>
      <c r="AV39" s="1706" t="str">
        <f t="shared" si="29"/>
        <v/>
      </c>
      <c r="AW39" s="69"/>
      <c r="AX39" s="1706" t="str">
        <f t="shared" si="30"/>
        <v/>
      </c>
      <c r="AY39" s="69"/>
      <c r="AZ39" s="1706" t="str">
        <f t="shared" si="31"/>
        <v/>
      </c>
      <c r="BA39" s="69"/>
      <c r="BB39" s="1709" t="str">
        <f t="shared" si="32"/>
        <v/>
      </c>
      <c r="BC39" s="69"/>
      <c r="BD39" s="1709" t="str">
        <f t="shared" si="33"/>
        <v/>
      </c>
      <c r="BE39" s="69"/>
      <c r="BF39" s="1709" t="str">
        <f t="shared" si="34"/>
        <v/>
      </c>
      <c r="BG39" s="69"/>
      <c r="BH39" s="1709" t="str">
        <f t="shared" si="35"/>
        <v/>
      </c>
      <c r="BI39" s="69"/>
      <c r="BJ39" s="1709" t="str">
        <f t="shared" si="36"/>
        <v/>
      </c>
      <c r="BK39" s="69"/>
      <c r="BL39" s="1706" t="str">
        <f t="shared" si="37"/>
        <v/>
      </c>
      <c r="BM39" s="69"/>
      <c r="BN39" s="1706">
        <f t="shared" si="38"/>
        <v>0</v>
      </c>
      <c r="BO39" s="69"/>
      <c r="BR39" s="541"/>
      <c r="BS39" s="684"/>
      <c r="BT39" s="541"/>
    </row>
    <row r="40" ht="20.25" customHeight="1">
      <c r="A40" s="1698" t="str">
        <f t="shared" si="6"/>
        <v/>
      </c>
      <c r="B40" s="1699">
        <v>3170.0</v>
      </c>
      <c r="C40" s="1700">
        <v>98.0</v>
      </c>
      <c r="D40" s="1701"/>
      <c r="E40" s="1702" t="str">
        <f t="shared" si="7"/>
        <v>Салат ''Фунчоза'' 120 г</v>
      </c>
      <c r="F40" s="1703" t="str">
        <f t="shared" si="8"/>
        <v/>
      </c>
      <c r="G40" s="69"/>
      <c r="H40" s="1703" t="str">
        <f t="shared" si="9"/>
        <v/>
      </c>
      <c r="I40" s="69"/>
      <c r="J40" s="1703" t="str">
        <f t="shared" si="10"/>
        <v/>
      </c>
      <c r="K40" s="69"/>
      <c r="L40" s="1703" t="str">
        <f t="shared" si="11"/>
        <v/>
      </c>
      <c r="M40" s="69"/>
      <c r="N40" s="1703" t="str">
        <f t="shared" si="12"/>
        <v/>
      </c>
      <c r="O40" s="69"/>
      <c r="P40" s="1703" t="str">
        <f t="shared" si="13"/>
        <v/>
      </c>
      <c r="Q40" s="69"/>
      <c r="R40" s="1703" t="str">
        <f t="shared" si="14"/>
        <v/>
      </c>
      <c r="S40" s="69"/>
      <c r="T40" s="1703" t="str">
        <f t="shared" si="15"/>
        <v/>
      </c>
      <c r="U40" s="69"/>
      <c r="V40" s="1703" t="str">
        <f t="shared" si="16"/>
        <v/>
      </c>
      <c r="W40" s="69"/>
      <c r="X40" s="1703" t="str">
        <f t="shared" si="17"/>
        <v/>
      </c>
      <c r="Y40" s="69"/>
      <c r="Z40" s="1703" t="str">
        <f t="shared" si="18"/>
        <v/>
      </c>
      <c r="AA40" s="69"/>
      <c r="AB40" s="1703" t="str">
        <f t="shared" si="19"/>
        <v/>
      </c>
      <c r="AC40" s="69"/>
      <c r="AD40" s="1706" t="str">
        <f t="shared" si="20"/>
        <v/>
      </c>
      <c r="AE40" s="69"/>
      <c r="AF40" s="1706" t="str">
        <f t="shared" si="21"/>
        <v/>
      </c>
      <c r="AG40" s="69"/>
      <c r="AH40" s="1706" t="str">
        <f t="shared" si="22"/>
        <v/>
      </c>
      <c r="AI40" s="69"/>
      <c r="AJ40" s="1706" t="str">
        <f t="shared" si="23"/>
        <v/>
      </c>
      <c r="AK40" s="69"/>
      <c r="AL40" s="1706" t="str">
        <f t="shared" si="24"/>
        <v/>
      </c>
      <c r="AM40" s="69"/>
      <c r="AN40" s="1706" t="str">
        <f t="shared" si="25"/>
        <v/>
      </c>
      <c r="AO40" s="69"/>
      <c r="AP40" s="1706" t="str">
        <f t="shared" si="26"/>
        <v/>
      </c>
      <c r="AQ40" s="69"/>
      <c r="AR40" s="1706" t="str">
        <f t="shared" si="27"/>
        <v/>
      </c>
      <c r="AS40" s="69"/>
      <c r="AT40" s="1706" t="str">
        <f t="shared" si="28"/>
        <v/>
      </c>
      <c r="AU40" s="69"/>
      <c r="AV40" s="1706" t="str">
        <f t="shared" si="29"/>
        <v/>
      </c>
      <c r="AW40" s="69"/>
      <c r="AX40" s="1706" t="str">
        <f t="shared" si="30"/>
        <v/>
      </c>
      <c r="AY40" s="69"/>
      <c r="AZ40" s="1706" t="str">
        <f t="shared" si="31"/>
        <v/>
      </c>
      <c r="BA40" s="69"/>
      <c r="BB40" s="1709" t="str">
        <f t="shared" si="32"/>
        <v/>
      </c>
      <c r="BC40" s="69"/>
      <c r="BD40" s="1709" t="str">
        <f t="shared" si="33"/>
        <v/>
      </c>
      <c r="BE40" s="69"/>
      <c r="BF40" s="1709" t="str">
        <f t="shared" si="34"/>
        <v/>
      </c>
      <c r="BG40" s="69"/>
      <c r="BH40" s="1709" t="str">
        <f t="shared" si="35"/>
        <v/>
      </c>
      <c r="BI40" s="69"/>
      <c r="BJ40" s="1709" t="str">
        <f t="shared" si="36"/>
        <v/>
      </c>
      <c r="BK40" s="69"/>
      <c r="BL40" s="1706" t="str">
        <f t="shared" si="37"/>
        <v/>
      </c>
      <c r="BM40" s="69"/>
      <c r="BN40" s="1706">
        <f t="shared" si="38"/>
        <v>0</v>
      </c>
      <c r="BO40" s="69"/>
      <c r="BR40" s="541"/>
      <c r="BS40" s="684"/>
      <c r="BT40" s="541"/>
    </row>
    <row r="41" ht="20.25" customHeight="1">
      <c r="A41" s="1698" t="str">
        <f t="shared" si="6"/>
        <v/>
      </c>
      <c r="B41" s="1699">
        <v>2621.0</v>
      </c>
      <c r="C41" s="1700">
        <v>244.0</v>
      </c>
      <c r="D41" s="1701"/>
      <c r="E41" s="1702" t="str">
        <f t="shared" si="7"/>
        <v>Салат ''Цезарь с курицей''</v>
      </c>
      <c r="F41" s="1703" t="str">
        <f t="shared" si="8"/>
        <v/>
      </c>
      <c r="G41" s="69"/>
      <c r="H41" s="1703" t="str">
        <f t="shared" si="9"/>
        <v/>
      </c>
      <c r="I41" s="69"/>
      <c r="J41" s="1703" t="str">
        <f t="shared" si="10"/>
        <v/>
      </c>
      <c r="K41" s="69"/>
      <c r="L41" s="1703" t="str">
        <f t="shared" si="11"/>
        <v/>
      </c>
      <c r="M41" s="69"/>
      <c r="N41" s="1703" t="str">
        <f t="shared" si="12"/>
        <v/>
      </c>
      <c r="O41" s="69"/>
      <c r="P41" s="1703" t="str">
        <f t="shared" si="13"/>
        <v/>
      </c>
      <c r="Q41" s="69"/>
      <c r="R41" s="1703" t="str">
        <f t="shared" si="14"/>
        <v/>
      </c>
      <c r="S41" s="69"/>
      <c r="T41" s="1703" t="str">
        <f t="shared" si="15"/>
        <v/>
      </c>
      <c r="U41" s="69"/>
      <c r="V41" s="1703" t="str">
        <f t="shared" si="16"/>
        <v/>
      </c>
      <c r="W41" s="69"/>
      <c r="X41" s="1703" t="str">
        <f t="shared" si="17"/>
        <v/>
      </c>
      <c r="Y41" s="69"/>
      <c r="Z41" s="1703" t="str">
        <f t="shared" si="18"/>
        <v/>
      </c>
      <c r="AA41" s="69"/>
      <c r="AB41" s="1703" t="str">
        <f t="shared" si="19"/>
        <v/>
      </c>
      <c r="AC41" s="69"/>
      <c r="AD41" s="1706" t="str">
        <f t="shared" si="20"/>
        <v/>
      </c>
      <c r="AE41" s="69"/>
      <c r="AF41" s="1706" t="str">
        <f t="shared" si="21"/>
        <v/>
      </c>
      <c r="AG41" s="69"/>
      <c r="AH41" s="1706" t="str">
        <f t="shared" si="22"/>
        <v/>
      </c>
      <c r="AI41" s="69"/>
      <c r="AJ41" s="1706" t="str">
        <f t="shared" si="23"/>
        <v/>
      </c>
      <c r="AK41" s="69"/>
      <c r="AL41" s="1706" t="str">
        <f t="shared" si="24"/>
        <v/>
      </c>
      <c r="AM41" s="69"/>
      <c r="AN41" s="1706" t="str">
        <f t="shared" si="25"/>
        <v/>
      </c>
      <c r="AO41" s="69"/>
      <c r="AP41" s="1706" t="str">
        <f t="shared" si="26"/>
        <v/>
      </c>
      <c r="AQ41" s="69"/>
      <c r="AR41" s="1706" t="str">
        <f t="shared" si="27"/>
        <v/>
      </c>
      <c r="AS41" s="69"/>
      <c r="AT41" s="1706" t="str">
        <f t="shared" si="28"/>
        <v/>
      </c>
      <c r="AU41" s="69"/>
      <c r="AV41" s="1706" t="str">
        <f t="shared" si="29"/>
        <v/>
      </c>
      <c r="AW41" s="69"/>
      <c r="AX41" s="1706" t="str">
        <f t="shared" si="30"/>
        <v/>
      </c>
      <c r="AY41" s="69"/>
      <c r="AZ41" s="1706" t="str">
        <f t="shared" si="31"/>
        <v/>
      </c>
      <c r="BA41" s="69"/>
      <c r="BB41" s="1709" t="str">
        <f t="shared" si="32"/>
        <v/>
      </c>
      <c r="BC41" s="69"/>
      <c r="BD41" s="1709" t="str">
        <f t="shared" si="33"/>
        <v/>
      </c>
      <c r="BE41" s="69"/>
      <c r="BF41" s="1709" t="str">
        <f t="shared" si="34"/>
        <v/>
      </c>
      <c r="BG41" s="69"/>
      <c r="BH41" s="1709" t="str">
        <f t="shared" si="35"/>
        <v/>
      </c>
      <c r="BI41" s="69"/>
      <c r="BJ41" s="1709" t="str">
        <f t="shared" si="36"/>
        <v/>
      </c>
      <c r="BK41" s="69"/>
      <c r="BL41" s="1706" t="str">
        <f t="shared" si="37"/>
        <v/>
      </c>
      <c r="BM41" s="69"/>
      <c r="BN41" s="1706">
        <f t="shared" si="38"/>
        <v>0</v>
      </c>
      <c r="BO41" s="69"/>
      <c r="BR41" s="541"/>
      <c r="BS41" s="684"/>
      <c r="BT41" s="541"/>
    </row>
    <row r="42" ht="20.25" customHeight="1">
      <c r="A42" s="1698" t="str">
        <f t="shared" si="6"/>
        <v/>
      </c>
      <c r="B42" s="1699">
        <v>2203.0</v>
      </c>
      <c r="C42" s="1700">
        <v>96.0</v>
      </c>
      <c r="D42" s="1701"/>
      <c r="E42" s="1702" t="str">
        <f t="shared" si="7"/>
        <v>Борщ с мясом</v>
      </c>
      <c r="F42" s="1703" t="str">
        <f t="shared" si="8"/>
        <v/>
      </c>
      <c r="G42" s="69"/>
      <c r="H42" s="1703" t="str">
        <f t="shared" si="9"/>
        <v/>
      </c>
      <c r="I42" s="69"/>
      <c r="J42" s="1703" t="str">
        <f t="shared" si="10"/>
        <v/>
      </c>
      <c r="K42" s="69"/>
      <c r="L42" s="1703" t="str">
        <f t="shared" si="11"/>
        <v/>
      </c>
      <c r="M42" s="69"/>
      <c r="N42" s="1703" t="str">
        <f t="shared" si="12"/>
        <v/>
      </c>
      <c r="O42" s="69"/>
      <c r="P42" s="1703" t="str">
        <f t="shared" si="13"/>
        <v/>
      </c>
      <c r="Q42" s="69"/>
      <c r="R42" s="1703" t="str">
        <f t="shared" si="14"/>
        <v/>
      </c>
      <c r="S42" s="69"/>
      <c r="T42" s="1703" t="str">
        <f t="shared" si="15"/>
        <v/>
      </c>
      <c r="U42" s="69"/>
      <c r="V42" s="1703" t="str">
        <f t="shared" si="16"/>
        <v/>
      </c>
      <c r="W42" s="69"/>
      <c r="X42" s="1703" t="str">
        <f t="shared" si="17"/>
        <v/>
      </c>
      <c r="Y42" s="69"/>
      <c r="Z42" s="1703" t="str">
        <f t="shared" si="18"/>
        <v/>
      </c>
      <c r="AA42" s="69"/>
      <c r="AB42" s="1703" t="str">
        <f t="shared" si="19"/>
        <v/>
      </c>
      <c r="AC42" s="69"/>
      <c r="AD42" s="1706" t="str">
        <f t="shared" si="20"/>
        <v/>
      </c>
      <c r="AE42" s="69"/>
      <c r="AF42" s="1706" t="str">
        <f t="shared" si="21"/>
        <v/>
      </c>
      <c r="AG42" s="69"/>
      <c r="AH42" s="1706" t="str">
        <f t="shared" si="22"/>
        <v/>
      </c>
      <c r="AI42" s="69"/>
      <c r="AJ42" s="1706" t="str">
        <f t="shared" si="23"/>
        <v/>
      </c>
      <c r="AK42" s="69"/>
      <c r="AL42" s="1706" t="str">
        <f t="shared" si="24"/>
        <v/>
      </c>
      <c r="AM42" s="69"/>
      <c r="AN42" s="1706" t="str">
        <f t="shared" si="25"/>
        <v/>
      </c>
      <c r="AO42" s="69"/>
      <c r="AP42" s="1706" t="str">
        <f t="shared" si="26"/>
        <v/>
      </c>
      <c r="AQ42" s="69"/>
      <c r="AR42" s="1706" t="str">
        <f t="shared" si="27"/>
        <v/>
      </c>
      <c r="AS42" s="69"/>
      <c r="AT42" s="1706" t="str">
        <f t="shared" si="28"/>
        <v/>
      </c>
      <c r="AU42" s="69"/>
      <c r="AV42" s="1706" t="str">
        <f t="shared" si="29"/>
        <v/>
      </c>
      <c r="AW42" s="69"/>
      <c r="AX42" s="1706" t="str">
        <f t="shared" si="30"/>
        <v/>
      </c>
      <c r="AY42" s="69"/>
      <c r="AZ42" s="1706" t="str">
        <f t="shared" si="31"/>
        <v/>
      </c>
      <c r="BA42" s="69"/>
      <c r="BB42" s="1709" t="str">
        <f t="shared" si="32"/>
        <v/>
      </c>
      <c r="BC42" s="69"/>
      <c r="BD42" s="1709" t="str">
        <f t="shared" si="33"/>
        <v/>
      </c>
      <c r="BE42" s="69"/>
      <c r="BF42" s="1709" t="str">
        <f t="shared" si="34"/>
        <v/>
      </c>
      <c r="BG42" s="69"/>
      <c r="BH42" s="1709" t="str">
        <f t="shared" si="35"/>
        <v/>
      </c>
      <c r="BI42" s="69"/>
      <c r="BJ42" s="1709" t="str">
        <f t="shared" si="36"/>
        <v/>
      </c>
      <c r="BK42" s="69"/>
      <c r="BL42" s="1706" t="str">
        <f t="shared" si="37"/>
        <v/>
      </c>
      <c r="BM42" s="69"/>
      <c r="BN42" s="1706">
        <f t="shared" si="38"/>
        <v>0</v>
      </c>
      <c r="BO42" s="69"/>
      <c r="BR42" s="541"/>
      <c r="BS42" s="684"/>
      <c r="BT42" s="541"/>
    </row>
    <row r="43" ht="20.25" customHeight="1">
      <c r="A43" s="1698" t="str">
        <f t="shared" si="6"/>
        <v/>
      </c>
      <c r="B43" s="1699">
        <v>100.0</v>
      </c>
      <c r="C43" s="1700">
        <v>90.0</v>
      </c>
      <c r="D43" s="1701"/>
      <c r="E43" s="1702" t="str">
        <f t="shared" si="7"/>
        <v>Крем-суп овощной с курицей</v>
      </c>
      <c r="F43" s="1703" t="str">
        <f t="shared" si="8"/>
        <v/>
      </c>
      <c r="G43" s="69"/>
      <c r="H43" s="1725" t="str">
        <f t="shared" si="9"/>
        <v/>
      </c>
      <c r="I43" s="69"/>
      <c r="J43" s="1703" t="str">
        <f t="shared" si="10"/>
        <v/>
      </c>
      <c r="K43" s="69"/>
      <c r="L43" s="1703" t="str">
        <f t="shared" si="11"/>
        <v/>
      </c>
      <c r="M43" s="69"/>
      <c r="N43" s="1703" t="str">
        <f t="shared" si="12"/>
        <v/>
      </c>
      <c r="O43" s="69"/>
      <c r="P43" s="1725" t="str">
        <f t="shared" si="13"/>
        <v/>
      </c>
      <c r="Q43" s="69"/>
      <c r="R43" s="1703" t="str">
        <f t="shared" si="14"/>
        <v/>
      </c>
      <c r="S43" s="69"/>
      <c r="T43" s="1703" t="str">
        <f t="shared" si="15"/>
        <v/>
      </c>
      <c r="U43" s="69"/>
      <c r="V43" s="1703" t="str">
        <f t="shared" si="16"/>
        <v/>
      </c>
      <c r="W43" s="69"/>
      <c r="X43" s="1703" t="str">
        <f t="shared" si="17"/>
        <v/>
      </c>
      <c r="Y43" s="69"/>
      <c r="Z43" s="1703" t="str">
        <f t="shared" si="18"/>
        <v/>
      </c>
      <c r="AA43" s="69"/>
      <c r="AB43" s="1703" t="str">
        <f t="shared" si="19"/>
        <v/>
      </c>
      <c r="AC43" s="69"/>
      <c r="AD43" s="1706" t="str">
        <f t="shared" si="20"/>
        <v/>
      </c>
      <c r="AE43" s="69"/>
      <c r="AF43" s="1706" t="str">
        <f t="shared" si="21"/>
        <v/>
      </c>
      <c r="AG43" s="69"/>
      <c r="AH43" s="1706" t="str">
        <f t="shared" si="22"/>
        <v/>
      </c>
      <c r="AI43" s="69"/>
      <c r="AJ43" s="1706" t="str">
        <f t="shared" si="23"/>
        <v/>
      </c>
      <c r="AK43" s="69"/>
      <c r="AL43" s="1706" t="str">
        <f t="shared" si="24"/>
        <v/>
      </c>
      <c r="AM43" s="69"/>
      <c r="AN43" s="1706" t="str">
        <f t="shared" si="25"/>
        <v/>
      </c>
      <c r="AO43" s="69"/>
      <c r="AP43" s="1706" t="str">
        <f t="shared" si="26"/>
        <v/>
      </c>
      <c r="AQ43" s="69"/>
      <c r="AR43" s="1706" t="str">
        <f t="shared" si="27"/>
        <v/>
      </c>
      <c r="AS43" s="69"/>
      <c r="AT43" s="1706" t="str">
        <f t="shared" si="28"/>
        <v/>
      </c>
      <c r="AU43" s="69"/>
      <c r="AV43" s="1706" t="str">
        <f t="shared" si="29"/>
        <v/>
      </c>
      <c r="AW43" s="69"/>
      <c r="AX43" s="1706" t="str">
        <f t="shared" si="30"/>
        <v/>
      </c>
      <c r="AY43" s="69"/>
      <c r="AZ43" s="1706" t="str">
        <f t="shared" si="31"/>
        <v/>
      </c>
      <c r="BA43" s="69"/>
      <c r="BB43" s="1709" t="str">
        <f t="shared" si="32"/>
        <v/>
      </c>
      <c r="BC43" s="69"/>
      <c r="BD43" s="1709" t="str">
        <f t="shared" si="33"/>
        <v/>
      </c>
      <c r="BE43" s="69"/>
      <c r="BF43" s="1709" t="str">
        <f t="shared" si="34"/>
        <v/>
      </c>
      <c r="BG43" s="69"/>
      <c r="BH43" s="1709" t="str">
        <f t="shared" si="35"/>
        <v/>
      </c>
      <c r="BI43" s="69"/>
      <c r="BJ43" s="1709" t="str">
        <f t="shared" si="36"/>
        <v/>
      </c>
      <c r="BK43" s="69"/>
      <c r="BL43" s="1706" t="str">
        <f t="shared" si="37"/>
        <v/>
      </c>
      <c r="BM43" s="69"/>
      <c r="BN43" s="1706">
        <f t="shared" si="38"/>
        <v>0</v>
      </c>
      <c r="BO43" s="69"/>
      <c r="BR43" s="541"/>
      <c r="BS43" s="684"/>
      <c r="BT43" s="541"/>
    </row>
    <row r="44" ht="20.25" customHeight="1">
      <c r="A44" s="1698" t="str">
        <f t="shared" si="6"/>
        <v/>
      </c>
      <c r="B44" s="1699">
        <v>4233.0</v>
      </c>
      <c r="C44" s="1700">
        <v>211.0</v>
      </c>
      <c r="D44" s="1701"/>
      <c r="E44" s="1702" t="str">
        <f t="shared" si="7"/>
        <v>Свинина с тмином с тушеной капустой </v>
      </c>
      <c r="F44" s="1703" t="str">
        <f t="shared" si="8"/>
        <v/>
      </c>
      <c r="G44" s="69"/>
      <c r="H44" s="1703" t="str">
        <f t="shared" si="9"/>
        <v/>
      </c>
      <c r="I44" s="69"/>
      <c r="J44" s="1703" t="str">
        <f t="shared" si="10"/>
        <v/>
      </c>
      <c r="K44" s="69"/>
      <c r="L44" s="1703" t="str">
        <f t="shared" si="11"/>
        <v/>
      </c>
      <c r="M44" s="69"/>
      <c r="N44" s="1703" t="str">
        <f t="shared" si="12"/>
        <v/>
      </c>
      <c r="O44" s="69"/>
      <c r="P44" s="1703" t="str">
        <f t="shared" si="13"/>
        <v/>
      </c>
      <c r="Q44" s="69"/>
      <c r="R44" s="1703" t="str">
        <f t="shared" si="14"/>
        <v/>
      </c>
      <c r="S44" s="69"/>
      <c r="T44" s="1703" t="str">
        <f t="shared" si="15"/>
        <v/>
      </c>
      <c r="U44" s="69"/>
      <c r="V44" s="1703" t="str">
        <f t="shared" si="16"/>
        <v/>
      </c>
      <c r="W44" s="69"/>
      <c r="X44" s="1703" t="str">
        <f t="shared" si="17"/>
        <v/>
      </c>
      <c r="Y44" s="69"/>
      <c r="Z44" s="1703" t="str">
        <f t="shared" si="18"/>
        <v/>
      </c>
      <c r="AA44" s="69"/>
      <c r="AB44" s="1703" t="str">
        <f t="shared" si="19"/>
        <v/>
      </c>
      <c r="AC44" s="69"/>
      <c r="AD44" s="1706" t="str">
        <f t="shared" si="20"/>
        <v/>
      </c>
      <c r="AE44" s="69"/>
      <c r="AF44" s="1706" t="str">
        <f t="shared" si="21"/>
        <v/>
      </c>
      <c r="AG44" s="69"/>
      <c r="AH44" s="1706" t="str">
        <f t="shared" si="22"/>
        <v/>
      </c>
      <c r="AI44" s="69"/>
      <c r="AJ44" s="1706" t="str">
        <f t="shared" si="23"/>
        <v/>
      </c>
      <c r="AK44" s="69"/>
      <c r="AL44" s="1706" t="str">
        <f t="shared" si="24"/>
        <v/>
      </c>
      <c r="AM44" s="69"/>
      <c r="AN44" s="1706" t="str">
        <f t="shared" si="25"/>
        <v/>
      </c>
      <c r="AO44" s="69"/>
      <c r="AP44" s="1706" t="str">
        <f t="shared" si="26"/>
        <v/>
      </c>
      <c r="AQ44" s="69"/>
      <c r="AR44" s="1706" t="str">
        <f t="shared" si="27"/>
        <v/>
      </c>
      <c r="AS44" s="69"/>
      <c r="AT44" s="1706" t="str">
        <f t="shared" si="28"/>
        <v/>
      </c>
      <c r="AU44" s="69"/>
      <c r="AV44" s="1706" t="str">
        <f t="shared" si="29"/>
        <v/>
      </c>
      <c r="AW44" s="69"/>
      <c r="AX44" s="1706" t="str">
        <f t="shared" si="30"/>
        <v/>
      </c>
      <c r="AY44" s="69"/>
      <c r="AZ44" s="1706" t="str">
        <f t="shared" si="31"/>
        <v/>
      </c>
      <c r="BA44" s="69"/>
      <c r="BB44" s="1709" t="str">
        <f t="shared" si="32"/>
        <v/>
      </c>
      <c r="BC44" s="69"/>
      <c r="BD44" s="1709" t="str">
        <f t="shared" si="33"/>
        <v/>
      </c>
      <c r="BE44" s="69"/>
      <c r="BF44" s="1709" t="str">
        <f t="shared" si="34"/>
        <v/>
      </c>
      <c r="BG44" s="69"/>
      <c r="BH44" s="1709" t="str">
        <f t="shared" si="35"/>
        <v/>
      </c>
      <c r="BI44" s="69"/>
      <c r="BJ44" s="1709" t="str">
        <f t="shared" si="36"/>
        <v/>
      </c>
      <c r="BK44" s="69"/>
      <c r="BL44" s="1706" t="str">
        <f t="shared" si="37"/>
        <v/>
      </c>
      <c r="BM44" s="69"/>
      <c r="BN44" s="1706">
        <f t="shared" si="38"/>
        <v>0</v>
      </c>
      <c r="BO44" s="69"/>
      <c r="BR44" s="541"/>
      <c r="BS44" s="684"/>
      <c r="BT44" s="541"/>
    </row>
    <row r="45" ht="20.25" customHeight="1">
      <c r="A45" s="1698" t="str">
        <f t="shared" si="6"/>
        <v/>
      </c>
      <c r="B45" s="1699">
        <v>4014.0</v>
      </c>
      <c r="C45" s="1700">
        <v>241.0</v>
      </c>
      <c r="D45" s="1701"/>
      <c r="E45" s="1702" t="str">
        <f t="shared" si="7"/>
        <v>Филе с сыром и печеным картофелем </v>
      </c>
      <c r="F45" s="1703" t="str">
        <f t="shared" si="8"/>
        <v/>
      </c>
      <c r="G45" s="69"/>
      <c r="H45" s="1703" t="str">
        <f t="shared" si="9"/>
        <v/>
      </c>
      <c r="I45" s="69"/>
      <c r="J45" s="1703" t="str">
        <f t="shared" si="10"/>
        <v/>
      </c>
      <c r="K45" s="69"/>
      <c r="L45" s="1703" t="str">
        <f t="shared" si="11"/>
        <v/>
      </c>
      <c r="M45" s="69"/>
      <c r="N45" s="1703" t="str">
        <f t="shared" si="12"/>
        <v/>
      </c>
      <c r="O45" s="69"/>
      <c r="P45" s="1725" t="str">
        <f t="shared" si="13"/>
        <v/>
      </c>
      <c r="Q45" s="69"/>
      <c r="R45" s="1703" t="str">
        <f t="shared" si="14"/>
        <v/>
      </c>
      <c r="S45" s="69"/>
      <c r="T45" s="1703" t="str">
        <f t="shared" si="15"/>
        <v/>
      </c>
      <c r="U45" s="69"/>
      <c r="V45" s="1703" t="str">
        <f t="shared" si="16"/>
        <v/>
      </c>
      <c r="W45" s="69"/>
      <c r="X45" s="1703" t="str">
        <f t="shared" si="17"/>
        <v/>
      </c>
      <c r="Y45" s="69"/>
      <c r="Z45" s="1703" t="str">
        <f t="shared" si="18"/>
        <v/>
      </c>
      <c r="AA45" s="69"/>
      <c r="AB45" s="1703" t="str">
        <f t="shared" si="19"/>
        <v/>
      </c>
      <c r="AC45" s="69"/>
      <c r="AD45" s="1706" t="str">
        <f t="shared" si="20"/>
        <v/>
      </c>
      <c r="AE45" s="69"/>
      <c r="AF45" s="1706" t="str">
        <f t="shared" si="21"/>
        <v/>
      </c>
      <c r="AG45" s="69"/>
      <c r="AH45" s="1706" t="str">
        <f t="shared" si="22"/>
        <v/>
      </c>
      <c r="AI45" s="69"/>
      <c r="AJ45" s="1706" t="str">
        <f t="shared" si="23"/>
        <v/>
      </c>
      <c r="AK45" s="69"/>
      <c r="AL45" s="1706" t="str">
        <f t="shared" si="24"/>
        <v/>
      </c>
      <c r="AM45" s="69"/>
      <c r="AN45" s="1706" t="str">
        <f t="shared" si="25"/>
        <v/>
      </c>
      <c r="AO45" s="69"/>
      <c r="AP45" s="1706" t="str">
        <f t="shared" si="26"/>
        <v/>
      </c>
      <c r="AQ45" s="69"/>
      <c r="AR45" s="1706" t="str">
        <f t="shared" si="27"/>
        <v/>
      </c>
      <c r="AS45" s="69"/>
      <c r="AT45" s="1706" t="str">
        <f t="shared" si="28"/>
        <v/>
      </c>
      <c r="AU45" s="69"/>
      <c r="AV45" s="1706" t="str">
        <f t="shared" si="29"/>
        <v/>
      </c>
      <c r="AW45" s="69"/>
      <c r="AX45" s="1706" t="str">
        <f t="shared" si="30"/>
        <v/>
      </c>
      <c r="AY45" s="69"/>
      <c r="AZ45" s="1706" t="str">
        <f t="shared" si="31"/>
        <v/>
      </c>
      <c r="BA45" s="69"/>
      <c r="BB45" s="1709" t="str">
        <f t="shared" si="32"/>
        <v/>
      </c>
      <c r="BC45" s="69"/>
      <c r="BD45" s="1709" t="str">
        <f t="shared" si="33"/>
        <v/>
      </c>
      <c r="BE45" s="69"/>
      <c r="BF45" s="1709" t="str">
        <f t="shared" si="34"/>
        <v/>
      </c>
      <c r="BG45" s="69"/>
      <c r="BH45" s="1709" t="str">
        <f t="shared" si="35"/>
        <v/>
      </c>
      <c r="BI45" s="69"/>
      <c r="BJ45" s="1709" t="str">
        <f t="shared" si="36"/>
        <v/>
      </c>
      <c r="BK45" s="69"/>
      <c r="BL45" s="1706" t="str">
        <f t="shared" si="37"/>
        <v/>
      </c>
      <c r="BM45" s="69"/>
      <c r="BN45" s="1706">
        <f t="shared" si="38"/>
        <v>0</v>
      </c>
      <c r="BO45" s="69"/>
      <c r="BR45" s="684"/>
      <c r="BS45" s="684"/>
      <c r="BT45" s="541"/>
    </row>
    <row r="46" ht="20.25" customHeight="1">
      <c r="A46" s="1698" t="str">
        <f t="shared" si="6"/>
        <v/>
      </c>
      <c r="B46" s="1699">
        <v>4196.0</v>
      </c>
      <c r="C46" s="1700">
        <v>243.0</v>
      </c>
      <c r="D46" s="1701"/>
      <c r="E46" s="1702" t="str">
        <f t="shared" si="7"/>
        <v>Филе с сыром и макаронами</v>
      </c>
      <c r="F46" s="1703" t="str">
        <f t="shared" si="8"/>
        <v/>
      </c>
      <c r="G46" s="69"/>
      <c r="H46" s="1703" t="str">
        <f t="shared" si="9"/>
        <v/>
      </c>
      <c r="I46" s="69"/>
      <c r="J46" s="1703" t="str">
        <f t="shared" si="10"/>
        <v/>
      </c>
      <c r="K46" s="69"/>
      <c r="L46" s="1703" t="str">
        <f t="shared" si="11"/>
        <v/>
      </c>
      <c r="M46" s="69"/>
      <c r="N46" s="1703" t="str">
        <f t="shared" si="12"/>
        <v/>
      </c>
      <c r="O46" s="69"/>
      <c r="P46" s="1703" t="str">
        <f t="shared" si="13"/>
        <v/>
      </c>
      <c r="Q46" s="69"/>
      <c r="R46" s="1703" t="str">
        <f t="shared" si="14"/>
        <v/>
      </c>
      <c r="S46" s="69"/>
      <c r="T46" s="1703" t="str">
        <f t="shared" si="15"/>
        <v/>
      </c>
      <c r="U46" s="69"/>
      <c r="V46" s="1703" t="str">
        <f t="shared" si="16"/>
        <v/>
      </c>
      <c r="W46" s="69"/>
      <c r="X46" s="1703" t="str">
        <f t="shared" si="17"/>
        <v/>
      </c>
      <c r="Y46" s="69"/>
      <c r="Z46" s="1703" t="str">
        <f t="shared" si="18"/>
        <v/>
      </c>
      <c r="AA46" s="69"/>
      <c r="AB46" s="1703" t="str">
        <f t="shared" si="19"/>
        <v/>
      </c>
      <c r="AC46" s="69"/>
      <c r="AD46" s="1706" t="str">
        <f t="shared" si="20"/>
        <v/>
      </c>
      <c r="AE46" s="69"/>
      <c r="AF46" s="1706" t="str">
        <f t="shared" si="21"/>
        <v/>
      </c>
      <c r="AG46" s="69"/>
      <c r="AH46" s="1706" t="str">
        <f t="shared" si="22"/>
        <v/>
      </c>
      <c r="AI46" s="69"/>
      <c r="AJ46" s="1706" t="str">
        <f t="shared" si="23"/>
        <v/>
      </c>
      <c r="AK46" s="69"/>
      <c r="AL46" s="1706" t="str">
        <f t="shared" si="24"/>
        <v/>
      </c>
      <c r="AM46" s="69"/>
      <c r="AN46" s="1706" t="str">
        <f t="shared" si="25"/>
        <v/>
      </c>
      <c r="AO46" s="69"/>
      <c r="AP46" s="1706" t="str">
        <f t="shared" si="26"/>
        <v/>
      </c>
      <c r="AQ46" s="69"/>
      <c r="AR46" s="1706" t="str">
        <f t="shared" si="27"/>
        <v/>
      </c>
      <c r="AS46" s="69"/>
      <c r="AT46" s="1706" t="str">
        <f t="shared" si="28"/>
        <v/>
      </c>
      <c r="AU46" s="69"/>
      <c r="AV46" s="1706" t="str">
        <f t="shared" si="29"/>
        <v/>
      </c>
      <c r="AW46" s="69"/>
      <c r="AX46" s="1706" t="str">
        <f t="shared" si="30"/>
        <v/>
      </c>
      <c r="AY46" s="69"/>
      <c r="AZ46" s="1706" t="str">
        <f t="shared" si="31"/>
        <v/>
      </c>
      <c r="BA46" s="69"/>
      <c r="BB46" s="1709" t="str">
        <f t="shared" si="32"/>
        <v/>
      </c>
      <c r="BC46" s="69"/>
      <c r="BD46" s="1709" t="str">
        <f t="shared" si="33"/>
        <v/>
      </c>
      <c r="BE46" s="69"/>
      <c r="BF46" s="1709" t="str">
        <f t="shared" si="34"/>
        <v/>
      </c>
      <c r="BG46" s="69"/>
      <c r="BH46" s="1709" t="str">
        <f t="shared" si="35"/>
        <v/>
      </c>
      <c r="BI46" s="69"/>
      <c r="BJ46" s="1709" t="str">
        <f t="shared" si="36"/>
        <v/>
      </c>
      <c r="BK46" s="69"/>
      <c r="BL46" s="1706" t="str">
        <f t="shared" si="37"/>
        <v/>
      </c>
      <c r="BM46" s="69"/>
      <c r="BN46" s="1706">
        <f t="shared" si="38"/>
        <v>0</v>
      </c>
      <c r="BO46" s="69"/>
      <c r="BR46" s="684"/>
      <c r="BS46" s="684"/>
      <c r="BT46" s="541"/>
    </row>
    <row r="47" ht="20.25" customHeight="1">
      <c r="A47" s="1698" t="str">
        <f t="shared" si="6"/>
        <v/>
      </c>
      <c r="B47" s="1699">
        <v>4324.0</v>
      </c>
      <c r="C47" s="1700">
        <v>208.0</v>
      </c>
      <c r="D47" s="1701"/>
      <c r="E47" s="1702" t="str">
        <f t="shared" si="7"/>
        <v>Спагетти в сливочном соусе с грибами</v>
      </c>
      <c r="F47" s="1703" t="str">
        <f t="shared" si="8"/>
        <v/>
      </c>
      <c r="G47" s="69"/>
      <c r="H47" s="1725" t="str">
        <f t="shared" si="9"/>
        <v/>
      </c>
      <c r="I47" s="69"/>
      <c r="J47" s="1703" t="str">
        <f t="shared" si="10"/>
        <v/>
      </c>
      <c r="K47" s="69"/>
      <c r="L47" s="1703" t="str">
        <f t="shared" si="11"/>
        <v/>
      </c>
      <c r="M47" s="69"/>
      <c r="N47" s="1703" t="str">
        <f t="shared" si="12"/>
        <v/>
      </c>
      <c r="O47" s="69"/>
      <c r="P47" s="1725" t="str">
        <f t="shared" si="13"/>
        <v/>
      </c>
      <c r="Q47" s="69"/>
      <c r="R47" s="1703" t="str">
        <f t="shared" si="14"/>
        <v/>
      </c>
      <c r="S47" s="69"/>
      <c r="T47" s="1703" t="str">
        <f t="shared" si="15"/>
        <v/>
      </c>
      <c r="U47" s="69"/>
      <c r="V47" s="1703" t="str">
        <f t="shared" si="16"/>
        <v/>
      </c>
      <c r="W47" s="69"/>
      <c r="X47" s="1703" t="str">
        <f t="shared" si="17"/>
        <v/>
      </c>
      <c r="Y47" s="69"/>
      <c r="Z47" s="1703" t="str">
        <f t="shared" si="18"/>
        <v/>
      </c>
      <c r="AA47" s="69"/>
      <c r="AB47" s="1703" t="str">
        <f t="shared" si="19"/>
        <v/>
      </c>
      <c r="AC47" s="69"/>
      <c r="AD47" s="1706" t="str">
        <f t="shared" si="20"/>
        <v/>
      </c>
      <c r="AE47" s="69"/>
      <c r="AF47" s="1706" t="str">
        <f t="shared" si="21"/>
        <v/>
      </c>
      <c r="AG47" s="69"/>
      <c r="AH47" s="1706" t="str">
        <f t="shared" si="22"/>
        <v/>
      </c>
      <c r="AI47" s="69"/>
      <c r="AJ47" s="1706" t="str">
        <f t="shared" si="23"/>
        <v/>
      </c>
      <c r="AK47" s="69"/>
      <c r="AL47" s="1706" t="str">
        <f t="shared" si="24"/>
        <v/>
      </c>
      <c r="AM47" s="69"/>
      <c r="AN47" s="1706" t="str">
        <f t="shared" si="25"/>
        <v/>
      </c>
      <c r="AO47" s="69"/>
      <c r="AP47" s="1706" t="str">
        <f t="shared" si="26"/>
        <v/>
      </c>
      <c r="AQ47" s="69"/>
      <c r="AR47" s="1706" t="str">
        <f t="shared" si="27"/>
        <v/>
      </c>
      <c r="AS47" s="69"/>
      <c r="AT47" s="1706" t="str">
        <f t="shared" si="28"/>
        <v/>
      </c>
      <c r="AU47" s="69"/>
      <c r="AV47" s="1706" t="str">
        <f t="shared" si="29"/>
        <v/>
      </c>
      <c r="AW47" s="69"/>
      <c r="AX47" s="1706" t="str">
        <f t="shared" si="30"/>
        <v/>
      </c>
      <c r="AY47" s="69"/>
      <c r="AZ47" s="1706" t="str">
        <f t="shared" si="31"/>
        <v/>
      </c>
      <c r="BA47" s="69"/>
      <c r="BB47" s="1709" t="str">
        <f t="shared" si="32"/>
        <v/>
      </c>
      <c r="BC47" s="69"/>
      <c r="BD47" s="1709" t="str">
        <f t="shared" si="33"/>
        <v/>
      </c>
      <c r="BE47" s="69"/>
      <c r="BF47" s="1709" t="str">
        <f t="shared" si="34"/>
        <v/>
      </c>
      <c r="BG47" s="69"/>
      <c r="BH47" s="1709" t="str">
        <f t="shared" si="35"/>
        <v/>
      </c>
      <c r="BI47" s="69"/>
      <c r="BJ47" s="1709" t="str">
        <f t="shared" si="36"/>
        <v/>
      </c>
      <c r="BK47" s="69"/>
      <c r="BL47" s="1706" t="str">
        <f t="shared" si="37"/>
        <v/>
      </c>
      <c r="BM47" s="69"/>
      <c r="BN47" s="1706">
        <f t="shared" si="38"/>
        <v>0</v>
      </c>
      <c r="BO47" s="69"/>
      <c r="BR47" s="684"/>
      <c r="BS47" s="684"/>
      <c r="BT47" s="541"/>
    </row>
    <row r="48" ht="20.25" customHeight="1">
      <c r="A48" s="1698" t="str">
        <f t="shared" ref="A48:A59" si="39">A18</f>
        <v/>
      </c>
      <c r="B48" s="1699">
        <v>3054.0</v>
      </c>
      <c r="C48" s="1700">
        <v>198.0</v>
      </c>
      <c r="D48" s="1701"/>
      <c r="E48" s="1702" t="str">
        <f t="shared" si="7"/>
        <v>Минтай под овощами с рисом</v>
      </c>
      <c r="F48" s="1703" t="str">
        <f t="shared" si="8"/>
        <v/>
      </c>
      <c r="G48" s="69"/>
      <c r="H48" s="1725" t="str">
        <f t="shared" si="9"/>
        <v/>
      </c>
      <c r="I48" s="69"/>
      <c r="J48" s="1703" t="str">
        <f t="shared" si="10"/>
        <v/>
      </c>
      <c r="K48" s="69"/>
      <c r="L48" s="1703" t="str">
        <f t="shared" si="11"/>
        <v/>
      </c>
      <c r="M48" s="69"/>
      <c r="N48" s="1703" t="str">
        <f t="shared" si="12"/>
        <v/>
      </c>
      <c r="O48" s="69"/>
      <c r="P48" s="1725" t="str">
        <f t="shared" si="13"/>
        <v/>
      </c>
      <c r="Q48" s="69"/>
      <c r="R48" s="1703" t="str">
        <f t="shared" si="14"/>
        <v/>
      </c>
      <c r="S48" s="69"/>
      <c r="T48" s="1703" t="str">
        <f t="shared" si="15"/>
        <v/>
      </c>
      <c r="U48" s="69"/>
      <c r="V48" s="1703" t="str">
        <f t="shared" si="16"/>
        <v/>
      </c>
      <c r="W48" s="69"/>
      <c r="X48" s="1703" t="str">
        <f t="shared" si="17"/>
        <v/>
      </c>
      <c r="Y48" s="69"/>
      <c r="Z48" s="1703" t="str">
        <f t="shared" si="18"/>
        <v/>
      </c>
      <c r="AA48" s="69"/>
      <c r="AB48" s="1703" t="str">
        <f t="shared" si="19"/>
        <v/>
      </c>
      <c r="AC48" s="69"/>
      <c r="AD48" s="1706" t="str">
        <f t="shared" si="20"/>
        <v/>
      </c>
      <c r="AE48" s="69"/>
      <c r="AF48" s="1706" t="str">
        <f t="shared" si="21"/>
        <v/>
      </c>
      <c r="AG48" s="69"/>
      <c r="AH48" s="1706" t="str">
        <f t="shared" si="22"/>
        <v/>
      </c>
      <c r="AI48" s="69"/>
      <c r="AJ48" s="1706" t="str">
        <f t="shared" si="23"/>
        <v/>
      </c>
      <c r="AK48" s="69"/>
      <c r="AL48" s="1706" t="str">
        <f t="shared" si="24"/>
        <v/>
      </c>
      <c r="AM48" s="69"/>
      <c r="AN48" s="1706" t="str">
        <f t="shared" si="25"/>
        <v/>
      </c>
      <c r="AO48" s="69"/>
      <c r="AP48" s="1706" t="str">
        <f t="shared" si="26"/>
        <v/>
      </c>
      <c r="AQ48" s="69"/>
      <c r="AR48" s="1706" t="str">
        <f t="shared" si="27"/>
        <v/>
      </c>
      <c r="AS48" s="69"/>
      <c r="AT48" s="1706" t="str">
        <f t="shared" si="28"/>
        <v/>
      </c>
      <c r="AU48" s="69"/>
      <c r="AV48" s="1706" t="str">
        <f t="shared" si="29"/>
        <v/>
      </c>
      <c r="AW48" s="69"/>
      <c r="AX48" s="1706" t="str">
        <f t="shared" si="30"/>
        <v/>
      </c>
      <c r="AY48" s="69"/>
      <c r="AZ48" s="1706" t="str">
        <f t="shared" si="31"/>
        <v/>
      </c>
      <c r="BA48" s="69"/>
      <c r="BB48" s="1709" t="str">
        <f t="shared" si="32"/>
        <v/>
      </c>
      <c r="BC48" s="69"/>
      <c r="BD48" s="1709" t="str">
        <f t="shared" si="33"/>
        <v/>
      </c>
      <c r="BE48" s="69"/>
      <c r="BF48" s="1709" t="str">
        <f t="shared" si="34"/>
        <v/>
      </c>
      <c r="BG48" s="69"/>
      <c r="BH48" s="1709" t="str">
        <f t="shared" si="35"/>
        <v/>
      </c>
      <c r="BI48" s="69"/>
      <c r="BJ48" s="1709" t="str">
        <f t="shared" si="36"/>
        <v/>
      </c>
      <c r="BK48" s="69"/>
      <c r="BL48" s="1706" t="str">
        <f t="shared" si="37"/>
        <v/>
      </c>
      <c r="BM48" s="69"/>
      <c r="BN48" s="1706">
        <f t="shared" si="38"/>
        <v>0</v>
      </c>
      <c r="BO48" s="69"/>
      <c r="BR48" s="684"/>
      <c r="BS48" s="684"/>
      <c r="BT48" s="541"/>
    </row>
    <row r="49" ht="20.25" customHeight="1">
      <c r="A49" s="1698" t="str">
        <f t="shared" si="39"/>
        <v/>
      </c>
      <c r="B49" s="1699">
        <v>3239.0</v>
      </c>
      <c r="C49" s="1700">
        <v>215.0</v>
      </c>
      <c r="D49" s="1701"/>
      <c r="E49" s="1702" t="str">
        <f t="shared" si="7"/>
        <v>Минтай под овощами с рисом Радуга</v>
      </c>
      <c r="F49" s="1703" t="str">
        <f t="shared" si="8"/>
        <v/>
      </c>
      <c r="G49" s="69"/>
      <c r="H49" s="1725" t="str">
        <f t="shared" si="9"/>
        <v/>
      </c>
      <c r="I49" s="69"/>
      <c r="J49" s="1703" t="str">
        <f t="shared" si="10"/>
        <v/>
      </c>
      <c r="K49" s="69"/>
      <c r="L49" s="1703" t="str">
        <f t="shared" si="11"/>
        <v/>
      </c>
      <c r="M49" s="69"/>
      <c r="N49" s="1703" t="str">
        <f t="shared" si="12"/>
        <v/>
      </c>
      <c r="O49" s="69"/>
      <c r="P49" s="1725" t="str">
        <f t="shared" si="13"/>
        <v/>
      </c>
      <c r="Q49" s="69"/>
      <c r="R49" s="1703" t="str">
        <f t="shared" si="14"/>
        <v/>
      </c>
      <c r="S49" s="69"/>
      <c r="T49" s="1703" t="str">
        <f t="shared" si="15"/>
        <v/>
      </c>
      <c r="U49" s="69"/>
      <c r="V49" s="1703" t="str">
        <f t="shared" si="16"/>
        <v/>
      </c>
      <c r="W49" s="69"/>
      <c r="X49" s="1703" t="str">
        <f t="shared" si="17"/>
        <v/>
      </c>
      <c r="Y49" s="69"/>
      <c r="Z49" s="1703" t="str">
        <f t="shared" si="18"/>
        <v/>
      </c>
      <c r="AA49" s="69"/>
      <c r="AB49" s="1703" t="str">
        <f t="shared" si="19"/>
        <v/>
      </c>
      <c r="AC49" s="69"/>
      <c r="AD49" s="1706" t="str">
        <f t="shared" si="20"/>
        <v/>
      </c>
      <c r="AE49" s="69"/>
      <c r="AF49" s="1706" t="str">
        <f t="shared" si="21"/>
        <v/>
      </c>
      <c r="AG49" s="69"/>
      <c r="AH49" s="1706" t="str">
        <f t="shared" si="22"/>
        <v/>
      </c>
      <c r="AI49" s="69"/>
      <c r="AJ49" s="1706" t="str">
        <f t="shared" si="23"/>
        <v/>
      </c>
      <c r="AK49" s="69"/>
      <c r="AL49" s="1706" t="str">
        <f t="shared" si="24"/>
        <v/>
      </c>
      <c r="AM49" s="69"/>
      <c r="AN49" s="1706" t="str">
        <f t="shared" si="25"/>
        <v/>
      </c>
      <c r="AO49" s="69"/>
      <c r="AP49" s="1706" t="str">
        <f t="shared" si="26"/>
        <v/>
      </c>
      <c r="AQ49" s="69"/>
      <c r="AR49" s="1706" t="str">
        <f t="shared" si="27"/>
        <v/>
      </c>
      <c r="AS49" s="69"/>
      <c r="AT49" s="1706" t="str">
        <f t="shared" si="28"/>
        <v/>
      </c>
      <c r="AU49" s="69"/>
      <c r="AV49" s="1706" t="str">
        <f t="shared" si="29"/>
        <v/>
      </c>
      <c r="AW49" s="69"/>
      <c r="AX49" s="1706" t="str">
        <f t="shared" si="30"/>
        <v/>
      </c>
      <c r="AY49" s="69"/>
      <c r="AZ49" s="1706" t="str">
        <f t="shared" si="31"/>
        <v/>
      </c>
      <c r="BA49" s="69"/>
      <c r="BB49" s="1709" t="str">
        <f t="shared" si="32"/>
        <v/>
      </c>
      <c r="BC49" s="69"/>
      <c r="BD49" s="1709" t="str">
        <f t="shared" si="33"/>
        <v/>
      </c>
      <c r="BE49" s="69"/>
      <c r="BF49" s="1709" t="str">
        <f t="shared" si="34"/>
        <v/>
      </c>
      <c r="BG49" s="69"/>
      <c r="BH49" s="1709" t="str">
        <f t="shared" si="35"/>
        <v/>
      </c>
      <c r="BI49" s="69"/>
      <c r="BJ49" s="1709" t="str">
        <f t="shared" si="36"/>
        <v/>
      </c>
      <c r="BK49" s="69"/>
      <c r="BL49" s="1706" t="str">
        <f t="shared" si="37"/>
        <v/>
      </c>
      <c r="BM49" s="69"/>
      <c r="BN49" s="1706">
        <f t="shared" si="38"/>
        <v>0</v>
      </c>
      <c r="BO49" s="69"/>
      <c r="BR49" s="684"/>
      <c r="BS49" s="684"/>
      <c r="BT49" s="541"/>
    </row>
    <row r="50" ht="20.25" customHeight="1">
      <c r="A50" s="1698" t="str">
        <f t="shared" si="39"/>
        <v/>
      </c>
      <c r="B50" s="1699">
        <v>4283.0</v>
      </c>
      <c r="C50" s="1700">
        <v>288.0</v>
      </c>
      <c r="D50" s="1701"/>
      <c r="E50" s="1702" t="str">
        <f t="shared" si="7"/>
        <v>Плов ташкентский с говядиной</v>
      </c>
      <c r="F50" s="1703" t="str">
        <f t="shared" si="8"/>
        <v/>
      </c>
      <c r="G50" s="69"/>
      <c r="H50" s="1725" t="str">
        <f t="shared" si="9"/>
        <v/>
      </c>
      <c r="I50" s="69"/>
      <c r="J50" s="1703" t="str">
        <f t="shared" si="10"/>
        <v/>
      </c>
      <c r="K50" s="69"/>
      <c r="L50" s="1703" t="str">
        <f t="shared" si="11"/>
        <v/>
      </c>
      <c r="M50" s="69"/>
      <c r="N50" s="1703" t="str">
        <f t="shared" si="12"/>
        <v/>
      </c>
      <c r="O50" s="69"/>
      <c r="P50" s="1725" t="str">
        <f t="shared" si="13"/>
        <v/>
      </c>
      <c r="Q50" s="69"/>
      <c r="R50" s="1703" t="str">
        <f t="shared" si="14"/>
        <v/>
      </c>
      <c r="S50" s="69"/>
      <c r="T50" s="1703" t="str">
        <f t="shared" si="15"/>
        <v/>
      </c>
      <c r="U50" s="69"/>
      <c r="V50" s="1703" t="str">
        <f t="shared" si="16"/>
        <v/>
      </c>
      <c r="W50" s="69"/>
      <c r="X50" s="1703" t="str">
        <f t="shared" si="17"/>
        <v/>
      </c>
      <c r="Y50" s="69"/>
      <c r="Z50" s="1703" t="str">
        <f t="shared" si="18"/>
        <v/>
      </c>
      <c r="AA50" s="69"/>
      <c r="AB50" s="1703" t="str">
        <f t="shared" si="19"/>
        <v/>
      </c>
      <c r="AC50" s="69"/>
      <c r="AD50" s="1706" t="str">
        <f t="shared" si="20"/>
        <v/>
      </c>
      <c r="AE50" s="69"/>
      <c r="AF50" s="1706" t="str">
        <f t="shared" si="21"/>
        <v/>
      </c>
      <c r="AG50" s="69"/>
      <c r="AH50" s="1706" t="str">
        <f t="shared" si="22"/>
        <v/>
      </c>
      <c r="AI50" s="69"/>
      <c r="AJ50" s="1706" t="str">
        <f t="shared" si="23"/>
        <v/>
      </c>
      <c r="AK50" s="69"/>
      <c r="AL50" s="1706" t="str">
        <f t="shared" si="24"/>
        <v/>
      </c>
      <c r="AM50" s="69"/>
      <c r="AN50" s="1706" t="str">
        <f t="shared" si="25"/>
        <v/>
      </c>
      <c r="AO50" s="69"/>
      <c r="AP50" s="1706" t="str">
        <f t="shared" si="26"/>
        <v/>
      </c>
      <c r="AQ50" s="69"/>
      <c r="AR50" s="1706" t="str">
        <f t="shared" si="27"/>
        <v/>
      </c>
      <c r="AS50" s="69"/>
      <c r="AT50" s="1706" t="str">
        <f t="shared" si="28"/>
        <v/>
      </c>
      <c r="AU50" s="69"/>
      <c r="AV50" s="1706" t="str">
        <f t="shared" si="29"/>
        <v/>
      </c>
      <c r="AW50" s="69"/>
      <c r="AX50" s="1706" t="str">
        <f t="shared" si="30"/>
        <v/>
      </c>
      <c r="AY50" s="69"/>
      <c r="AZ50" s="1706" t="str">
        <f t="shared" si="31"/>
        <v/>
      </c>
      <c r="BA50" s="69"/>
      <c r="BB50" s="1709" t="str">
        <f t="shared" si="32"/>
        <v/>
      </c>
      <c r="BC50" s="69"/>
      <c r="BD50" s="1709" t="str">
        <f t="shared" si="33"/>
        <v/>
      </c>
      <c r="BE50" s="69"/>
      <c r="BF50" s="1709" t="str">
        <f t="shared" si="34"/>
        <v/>
      </c>
      <c r="BG50" s="69"/>
      <c r="BH50" s="1709" t="str">
        <f t="shared" si="35"/>
        <v/>
      </c>
      <c r="BI50" s="69"/>
      <c r="BJ50" s="1709" t="str">
        <f t="shared" si="36"/>
        <v/>
      </c>
      <c r="BK50" s="69"/>
      <c r="BL50" s="1706" t="str">
        <f t="shared" si="37"/>
        <v/>
      </c>
      <c r="BM50" s="69"/>
      <c r="BN50" s="1706">
        <f t="shared" si="38"/>
        <v>0</v>
      </c>
      <c r="BO50" s="69"/>
      <c r="BR50" s="684"/>
      <c r="BS50" s="684"/>
      <c r="BT50" s="541"/>
    </row>
    <row r="51" ht="20.25" customHeight="1">
      <c r="A51" s="1698" t="str">
        <f t="shared" si="39"/>
        <v/>
      </c>
      <c r="B51" s="1699"/>
      <c r="C51" s="1700"/>
      <c r="D51" s="1701"/>
      <c r="E51" s="1702" t="str">
        <f t="shared" si="7"/>
        <v/>
      </c>
      <c r="F51" s="1703" t="str">
        <f t="shared" si="8"/>
        <v/>
      </c>
      <c r="G51" s="69"/>
      <c r="H51" s="1703" t="str">
        <f t="shared" si="9"/>
        <v/>
      </c>
      <c r="I51" s="69"/>
      <c r="J51" s="1703" t="str">
        <f t="shared" si="10"/>
        <v/>
      </c>
      <c r="K51" s="69"/>
      <c r="L51" s="1703" t="str">
        <f t="shared" si="11"/>
        <v/>
      </c>
      <c r="M51" s="69"/>
      <c r="N51" s="1703" t="str">
        <f t="shared" si="12"/>
        <v/>
      </c>
      <c r="O51" s="69"/>
      <c r="P51" s="1725" t="str">
        <f t="shared" si="13"/>
        <v/>
      </c>
      <c r="Q51" s="69"/>
      <c r="R51" s="1703" t="str">
        <f t="shared" si="14"/>
        <v/>
      </c>
      <c r="S51" s="69"/>
      <c r="T51" s="1703" t="str">
        <f t="shared" si="15"/>
        <v/>
      </c>
      <c r="U51" s="69"/>
      <c r="V51" s="1703" t="str">
        <f t="shared" si="16"/>
        <v/>
      </c>
      <c r="W51" s="69"/>
      <c r="X51" s="1703" t="str">
        <f t="shared" si="17"/>
        <v/>
      </c>
      <c r="Y51" s="69"/>
      <c r="Z51" s="1703" t="str">
        <f t="shared" si="18"/>
        <v/>
      </c>
      <c r="AA51" s="69"/>
      <c r="AB51" s="1703" t="str">
        <f t="shared" si="19"/>
        <v/>
      </c>
      <c r="AC51" s="69"/>
      <c r="AD51" s="1706" t="str">
        <f t="shared" si="20"/>
        <v/>
      </c>
      <c r="AE51" s="69"/>
      <c r="AF51" s="1706" t="str">
        <f t="shared" si="21"/>
        <v/>
      </c>
      <c r="AG51" s="69"/>
      <c r="AH51" s="1706" t="str">
        <f t="shared" si="22"/>
        <v/>
      </c>
      <c r="AI51" s="69"/>
      <c r="AJ51" s="1706" t="str">
        <f t="shared" si="23"/>
        <v/>
      </c>
      <c r="AK51" s="69"/>
      <c r="AL51" s="1706" t="str">
        <f t="shared" si="24"/>
        <v/>
      </c>
      <c r="AM51" s="69"/>
      <c r="AN51" s="1706" t="str">
        <f t="shared" si="25"/>
        <v/>
      </c>
      <c r="AO51" s="69"/>
      <c r="AP51" s="1706" t="str">
        <f t="shared" si="26"/>
        <v/>
      </c>
      <c r="AQ51" s="69"/>
      <c r="AR51" s="1706" t="str">
        <f t="shared" si="27"/>
        <v/>
      </c>
      <c r="AS51" s="69"/>
      <c r="AT51" s="1706" t="str">
        <f t="shared" si="28"/>
        <v/>
      </c>
      <c r="AU51" s="69"/>
      <c r="AV51" s="1706" t="str">
        <f t="shared" si="29"/>
        <v/>
      </c>
      <c r="AW51" s="69"/>
      <c r="AX51" s="1706" t="str">
        <f t="shared" si="30"/>
        <v/>
      </c>
      <c r="AY51" s="69"/>
      <c r="AZ51" s="1706" t="str">
        <f t="shared" si="31"/>
        <v/>
      </c>
      <c r="BA51" s="69"/>
      <c r="BB51" s="1709" t="str">
        <f t="shared" si="32"/>
        <v/>
      </c>
      <c r="BC51" s="69"/>
      <c r="BD51" s="1709" t="str">
        <f t="shared" si="33"/>
        <v/>
      </c>
      <c r="BE51" s="69"/>
      <c r="BF51" s="1709" t="str">
        <f t="shared" si="34"/>
        <v/>
      </c>
      <c r="BG51" s="69"/>
      <c r="BH51" s="1709" t="str">
        <f t="shared" si="35"/>
        <v/>
      </c>
      <c r="BI51" s="69"/>
      <c r="BJ51" s="1709" t="str">
        <f t="shared" si="36"/>
        <v/>
      </c>
      <c r="BK51" s="69"/>
      <c r="BL51" s="1706" t="str">
        <f t="shared" si="37"/>
        <v/>
      </c>
      <c r="BM51" s="69"/>
      <c r="BN51" s="1706">
        <f t="shared" si="38"/>
        <v>0</v>
      </c>
      <c r="BO51" s="69"/>
      <c r="BR51" s="684"/>
      <c r="BS51" s="684"/>
      <c r="BT51" s="541"/>
    </row>
    <row r="52" ht="20.25" customHeight="1">
      <c r="A52" s="1698" t="str">
        <f t="shared" si="39"/>
        <v/>
      </c>
      <c r="B52" s="1699">
        <v>33.0</v>
      </c>
      <c r="C52" s="1700">
        <v>155.0</v>
      </c>
      <c r="D52" s="1701"/>
      <c r="E52" s="1702" t="str">
        <f t="shared" si="7"/>
        <v>Сэндвич с копчёной курицей и сыром</v>
      </c>
      <c r="F52" s="1703" t="str">
        <f t="shared" si="8"/>
        <v/>
      </c>
      <c r="G52" s="69"/>
      <c r="H52" s="1703" t="str">
        <f t="shared" si="9"/>
        <v/>
      </c>
      <c r="I52" s="69"/>
      <c r="J52" s="1703" t="str">
        <f t="shared" si="10"/>
        <v/>
      </c>
      <c r="K52" s="69"/>
      <c r="L52" s="1703" t="str">
        <f t="shared" si="11"/>
        <v/>
      </c>
      <c r="M52" s="69"/>
      <c r="N52" s="1703" t="str">
        <f t="shared" si="12"/>
        <v/>
      </c>
      <c r="O52" s="69"/>
      <c r="P52" s="1703" t="str">
        <f t="shared" si="13"/>
        <v/>
      </c>
      <c r="Q52" s="69"/>
      <c r="R52" s="1703" t="str">
        <f t="shared" si="14"/>
        <v/>
      </c>
      <c r="S52" s="69"/>
      <c r="T52" s="1703" t="str">
        <f t="shared" si="15"/>
        <v/>
      </c>
      <c r="U52" s="69"/>
      <c r="V52" s="1703" t="str">
        <f t="shared" si="16"/>
        <v/>
      </c>
      <c r="W52" s="69"/>
      <c r="X52" s="1703" t="str">
        <f t="shared" si="17"/>
        <v/>
      </c>
      <c r="Y52" s="69"/>
      <c r="Z52" s="1703" t="str">
        <f t="shared" si="18"/>
        <v/>
      </c>
      <c r="AA52" s="69"/>
      <c r="AB52" s="1703" t="str">
        <f t="shared" si="19"/>
        <v/>
      </c>
      <c r="AC52" s="69"/>
      <c r="AD52" s="1706" t="str">
        <f t="shared" si="20"/>
        <v/>
      </c>
      <c r="AE52" s="69"/>
      <c r="AF52" s="1706" t="str">
        <f t="shared" si="21"/>
        <v/>
      </c>
      <c r="AG52" s="69"/>
      <c r="AH52" s="1706" t="str">
        <f t="shared" si="22"/>
        <v/>
      </c>
      <c r="AI52" s="69"/>
      <c r="AJ52" s="1706" t="str">
        <f t="shared" si="23"/>
        <v/>
      </c>
      <c r="AK52" s="69"/>
      <c r="AL52" s="1706" t="str">
        <f t="shared" si="24"/>
        <v/>
      </c>
      <c r="AM52" s="69"/>
      <c r="AN52" s="1706" t="str">
        <f t="shared" si="25"/>
        <v/>
      </c>
      <c r="AO52" s="69"/>
      <c r="AP52" s="1706" t="str">
        <f t="shared" si="26"/>
        <v/>
      </c>
      <c r="AQ52" s="69"/>
      <c r="AR52" s="1706" t="str">
        <f t="shared" si="27"/>
        <v/>
      </c>
      <c r="AS52" s="69"/>
      <c r="AT52" s="1706" t="str">
        <f t="shared" si="28"/>
        <v/>
      </c>
      <c r="AU52" s="69"/>
      <c r="AV52" s="1706" t="str">
        <f t="shared" si="29"/>
        <v/>
      </c>
      <c r="AW52" s="69"/>
      <c r="AX52" s="1706" t="str">
        <f t="shared" si="30"/>
        <v/>
      </c>
      <c r="AY52" s="69"/>
      <c r="AZ52" s="1706" t="str">
        <f t="shared" si="31"/>
        <v/>
      </c>
      <c r="BA52" s="69"/>
      <c r="BB52" s="1709" t="str">
        <f t="shared" si="32"/>
        <v/>
      </c>
      <c r="BC52" s="69"/>
      <c r="BD52" s="1709" t="str">
        <f t="shared" si="33"/>
        <v/>
      </c>
      <c r="BE52" s="69"/>
      <c r="BF52" s="1709" t="str">
        <f t="shared" si="34"/>
        <v/>
      </c>
      <c r="BG52" s="69"/>
      <c r="BH52" s="1709" t="str">
        <f t="shared" si="35"/>
        <v/>
      </c>
      <c r="BI52" s="69"/>
      <c r="BJ52" s="1709" t="str">
        <f t="shared" si="36"/>
        <v/>
      </c>
      <c r="BK52" s="69"/>
      <c r="BL52" s="1706" t="str">
        <f t="shared" si="37"/>
        <v/>
      </c>
      <c r="BM52" s="69"/>
      <c r="BN52" s="1706">
        <f t="shared" si="38"/>
        <v>0</v>
      </c>
      <c r="BO52" s="69"/>
      <c r="BR52" s="684"/>
      <c r="BS52" s="684"/>
      <c r="BT52" s="541"/>
    </row>
    <row r="53" ht="20.25" customHeight="1">
      <c r="A53" s="1698" t="str">
        <f t="shared" si="39"/>
        <v/>
      </c>
      <c r="B53" s="1699">
        <v>5.0</v>
      </c>
      <c r="C53" s="1700">
        <v>155.0</v>
      </c>
      <c r="D53" s="1701"/>
      <c r="E53" s="1702" t="str">
        <f t="shared" si="7"/>
        <v>Сэндвич с ветчиной и сыром</v>
      </c>
      <c r="F53" s="1703" t="str">
        <f t="shared" si="8"/>
        <v/>
      </c>
      <c r="G53" s="69"/>
      <c r="H53" s="1703" t="str">
        <f t="shared" si="9"/>
        <v/>
      </c>
      <c r="I53" s="69"/>
      <c r="J53" s="1703" t="str">
        <f t="shared" si="10"/>
        <v/>
      </c>
      <c r="K53" s="69"/>
      <c r="L53" s="1703" t="str">
        <f t="shared" si="11"/>
        <v/>
      </c>
      <c r="M53" s="69"/>
      <c r="N53" s="1703" t="str">
        <f t="shared" si="12"/>
        <v/>
      </c>
      <c r="O53" s="69"/>
      <c r="P53" s="1703" t="str">
        <f t="shared" si="13"/>
        <v/>
      </c>
      <c r="Q53" s="69"/>
      <c r="R53" s="1703" t="str">
        <f t="shared" si="14"/>
        <v/>
      </c>
      <c r="S53" s="69"/>
      <c r="T53" s="1703" t="str">
        <f t="shared" si="15"/>
        <v/>
      </c>
      <c r="U53" s="69"/>
      <c r="V53" s="1703" t="str">
        <f t="shared" si="16"/>
        <v/>
      </c>
      <c r="W53" s="69"/>
      <c r="X53" s="1703" t="str">
        <f t="shared" si="17"/>
        <v/>
      </c>
      <c r="Y53" s="69"/>
      <c r="Z53" s="1703" t="str">
        <f t="shared" si="18"/>
        <v/>
      </c>
      <c r="AA53" s="69"/>
      <c r="AB53" s="1703" t="str">
        <f t="shared" si="19"/>
        <v/>
      </c>
      <c r="AC53" s="69"/>
      <c r="AD53" s="1706" t="str">
        <f t="shared" si="20"/>
        <v/>
      </c>
      <c r="AE53" s="69"/>
      <c r="AF53" s="1706" t="str">
        <f t="shared" si="21"/>
        <v/>
      </c>
      <c r="AG53" s="69"/>
      <c r="AH53" s="1706" t="str">
        <f t="shared" si="22"/>
        <v/>
      </c>
      <c r="AI53" s="69"/>
      <c r="AJ53" s="1706" t="str">
        <f t="shared" si="23"/>
        <v/>
      </c>
      <c r="AK53" s="69"/>
      <c r="AL53" s="1706" t="str">
        <f t="shared" si="24"/>
        <v/>
      </c>
      <c r="AM53" s="69"/>
      <c r="AN53" s="1706" t="str">
        <f t="shared" si="25"/>
        <v/>
      </c>
      <c r="AO53" s="69"/>
      <c r="AP53" s="1706" t="str">
        <f t="shared" si="26"/>
        <v/>
      </c>
      <c r="AQ53" s="69"/>
      <c r="AR53" s="1706" t="str">
        <f t="shared" si="27"/>
        <v/>
      </c>
      <c r="AS53" s="69"/>
      <c r="AT53" s="1706" t="str">
        <f t="shared" si="28"/>
        <v/>
      </c>
      <c r="AU53" s="69"/>
      <c r="AV53" s="1706" t="str">
        <f t="shared" si="29"/>
        <v/>
      </c>
      <c r="AW53" s="69"/>
      <c r="AX53" s="1706" t="str">
        <f t="shared" si="30"/>
        <v/>
      </c>
      <c r="AY53" s="69"/>
      <c r="AZ53" s="1706" t="str">
        <f t="shared" si="31"/>
        <v/>
      </c>
      <c r="BA53" s="69"/>
      <c r="BB53" s="1709" t="str">
        <f t="shared" si="32"/>
        <v/>
      </c>
      <c r="BC53" s="69"/>
      <c r="BD53" s="1709" t="str">
        <f t="shared" si="33"/>
        <v/>
      </c>
      <c r="BE53" s="69"/>
      <c r="BF53" s="1709" t="str">
        <f t="shared" si="34"/>
        <v/>
      </c>
      <c r="BG53" s="69"/>
      <c r="BH53" s="1709" t="str">
        <f t="shared" si="35"/>
        <v/>
      </c>
      <c r="BI53" s="69"/>
      <c r="BJ53" s="1709" t="str">
        <f t="shared" si="36"/>
        <v/>
      </c>
      <c r="BK53" s="69"/>
      <c r="BL53" s="1706" t="str">
        <f t="shared" si="37"/>
        <v/>
      </c>
      <c r="BM53" s="69"/>
      <c r="BN53" s="1706">
        <f t="shared" si="38"/>
        <v>0</v>
      </c>
      <c r="BO53" s="69"/>
      <c r="BR53" s="684"/>
      <c r="BS53" s="684"/>
      <c r="BT53" s="541"/>
    </row>
    <row r="54" ht="20.25" customHeight="1">
      <c r="A54" s="1698" t="str">
        <f t="shared" si="39"/>
        <v/>
      </c>
      <c r="B54" s="1699">
        <v>3738.0</v>
      </c>
      <c r="C54" s="1700">
        <v>173.0</v>
      </c>
      <c r="D54" s="1701"/>
      <c r="E54" s="1702" t="str">
        <f t="shared" si="7"/>
        <v>Ролл сэндвич с крабом</v>
      </c>
      <c r="F54" s="1703" t="str">
        <f t="shared" si="8"/>
        <v/>
      </c>
      <c r="G54" s="69"/>
      <c r="H54" s="1725" t="str">
        <f t="shared" si="9"/>
        <v/>
      </c>
      <c r="I54" s="69"/>
      <c r="J54" s="1703" t="str">
        <f t="shared" si="10"/>
        <v/>
      </c>
      <c r="K54" s="69"/>
      <c r="L54" s="1703" t="str">
        <f t="shared" si="11"/>
        <v/>
      </c>
      <c r="M54" s="69"/>
      <c r="N54" s="1703" t="str">
        <f t="shared" si="12"/>
        <v/>
      </c>
      <c r="O54" s="69"/>
      <c r="P54" s="1725" t="str">
        <f t="shared" si="13"/>
        <v/>
      </c>
      <c r="Q54" s="69"/>
      <c r="R54" s="1703" t="str">
        <f t="shared" si="14"/>
        <v/>
      </c>
      <c r="S54" s="69"/>
      <c r="T54" s="1703" t="str">
        <f t="shared" si="15"/>
        <v/>
      </c>
      <c r="U54" s="69"/>
      <c r="V54" s="1703" t="str">
        <f t="shared" si="16"/>
        <v/>
      </c>
      <c r="W54" s="69"/>
      <c r="X54" s="1703" t="str">
        <f t="shared" si="17"/>
        <v/>
      </c>
      <c r="Y54" s="69"/>
      <c r="Z54" s="1703" t="str">
        <f t="shared" si="18"/>
        <v/>
      </c>
      <c r="AA54" s="69"/>
      <c r="AB54" s="1703" t="str">
        <f t="shared" si="19"/>
        <v/>
      </c>
      <c r="AC54" s="69"/>
      <c r="AD54" s="1706" t="str">
        <f t="shared" si="20"/>
        <v/>
      </c>
      <c r="AE54" s="69"/>
      <c r="AF54" s="1706" t="str">
        <f t="shared" si="21"/>
        <v/>
      </c>
      <c r="AG54" s="69"/>
      <c r="AH54" s="1706" t="str">
        <f t="shared" si="22"/>
        <v/>
      </c>
      <c r="AI54" s="69"/>
      <c r="AJ54" s="1706" t="str">
        <f t="shared" si="23"/>
        <v/>
      </c>
      <c r="AK54" s="69"/>
      <c r="AL54" s="1706" t="str">
        <f t="shared" si="24"/>
        <v/>
      </c>
      <c r="AM54" s="69"/>
      <c r="AN54" s="1706" t="str">
        <f t="shared" si="25"/>
        <v/>
      </c>
      <c r="AO54" s="69"/>
      <c r="AP54" s="1706" t="str">
        <f t="shared" si="26"/>
        <v/>
      </c>
      <c r="AQ54" s="69"/>
      <c r="AR54" s="1706" t="str">
        <f t="shared" si="27"/>
        <v/>
      </c>
      <c r="AS54" s="69"/>
      <c r="AT54" s="1706" t="str">
        <f t="shared" si="28"/>
        <v/>
      </c>
      <c r="AU54" s="69"/>
      <c r="AV54" s="1706" t="str">
        <f t="shared" si="29"/>
        <v/>
      </c>
      <c r="AW54" s="69"/>
      <c r="AX54" s="1706" t="str">
        <f t="shared" si="30"/>
        <v/>
      </c>
      <c r="AY54" s="69"/>
      <c r="AZ54" s="1706" t="str">
        <f t="shared" si="31"/>
        <v/>
      </c>
      <c r="BA54" s="69"/>
      <c r="BB54" s="1709" t="str">
        <f t="shared" si="32"/>
        <v/>
      </c>
      <c r="BC54" s="69"/>
      <c r="BD54" s="1709" t="str">
        <f t="shared" si="33"/>
        <v/>
      </c>
      <c r="BE54" s="69"/>
      <c r="BF54" s="1709" t="str">
        <f t="shared" si="34"/>
        <v/>
      </c>
      <c r="BG54" s="69"/>
      <c r="BH54" s="1709" t="str">
        <f t="shared" si="35"/>
        <v/>
      </c>
      <c r="BI54" s="69"/>
      <c r="BJ54" s="1709" t="str">
        <f t="shared" si="36"/>
        <v/>
      </c>
      <c r="BK54" s="69"/>
      <c r="BL54" s="1706" t="str">
        <f t="shared" si="37"/>
        <v/>
      </c>
      <c r="BM54" s="69"/>
      <c r="BN54" s="1706">
        <f t="shared" si="38"/>
        <v>0</v>
      </c>
      <c r="BO54" s="69"/>
      <c r="BR54" s="684"/>
      <c r="BS54" s="684"/>
      <c r="BT54" s="541"/>
    </row>
    <row r="55" ht="20.25" customHeight="1">
      <c r="A55" s="1698" t="str">
        <f t="shared" si="39"/>
        <v/>
      </c>
      <c r="B55" s="1699"/>
      <c r="C55" s="1700"/>
      <c r="D55" s="1701"/>
      <c r="E55" s="1702" t="str">
        <f t="shared" si="7"/>
        <v/>
      </c>
      <c r="F55" s="1703" t="str">
        <f t="shared" si="8"/>
        <v/>
      </c>
      <c r="G55" s="69"/>
      <c r="H55" s="1703" t="str">
        <f t="shared" si="9"/>
        <v/>
      </c>
      <c r="I55" s="69"/>
      <c r="J55" s="1703" t="str">
        <f t="shared" si="10"/>
        <v/>
      </c>
      <c r="K55" s="69"/>
      <c r="L55" s="1703" t="str">
        <f t="shared" si="11"/>
        <v/>
      </c>
      <c r="M55" s="69"/>
      <c r="N55" s="1703" t="str">
        <f t="shared" si="12"/>
        <v/>
      </c>
      <c r="O55" s="69"/>
      <c r="P55" s="1703" t="str">
        <f t="shared" si="13"/>
        <v/>
      </c>
      <c r="Q55" s="69"/>
      <c r="R55" s="1703" t="str">
        <f t="shared" si="14"/>
        <v/>
      </c>
      <c r="S55" s="69"/>
      <c r="T55" s="1703" t="str">
        <f t="shared" si="15"/>
        <v/>
      </c>
      <c r="U55" s="69"/>
      <c r="V55" s="1703" t="str">
        <f t="shared" si="16"/>
        <v/>
      </c>
      <c r="W55" s="69"/>
      <c r="X55" s="1703" t="str">
        <f t="shared" si="17"/>
        <v/>
      </c>
      <c r="Y55" s="69"/>
      <c r="Z55" s="1703" t="str">
        <f t="shared" si="18"/>
        <v/>
      </c>
      <c r="AA55" s="69"/>
      <c r="AB55" s="1703" t="str">
        <f t="shared" si="19"/>
        <v/>
      </c>
      <c r="AC55" s="69"/>
      <c r="AD55" s="1706" t="str">
        <f t="shared" si="20"/>
        <v/>
      </c>
      <c r="AE55" s="69"/>
      <c r="AF55" s="1706" t="str">
        <f t="shared" si="21"/>
        <v/>
      </c>
      <c r="AG55" s="69"/>
      <c r="AH55" s="1706" t="str">
        <f t="shared" si="22"/>
        <v/>
      </c>
      <c r="AI55" s="69"/>
      <c r="AJ55" s="1706" t="str">
        <f t="shared" si="23"/>
        <v/>
      </c>
      <c r="AK55" s="69"/>
      <c r="AL55" s="1706" t="str">
        <f t="shared" si="24"/>
        <v/>
      </c>
      <c r="AM55" s="69"/>
      <c r="AN55" s="1706" t="str">
        <f t="shared" si="25"/>
        <v/>
      </c>
      <c r="AO55" s="69"/>
      <c r="AP55" s="1706" t="str">
        <f t="shared" si="26"/>
        <v/>
      </c>
      <c r="AQ55" s="69"/>
      <c r="AR55" s="1706" t="str">
        <f t="shared" si="27"/>
        <v/>
      </c>
      <c r="AS55" s="69"/>
      <c r="AT55" s="1706" t="str">
        <f t="shared" si="28"/>
        <v/>
      </c>
      <c r="AU55" s="69"/>
      <c r="AV55" s="1706" t="str">
        <f t="shared" si="29"/>
        <v/>
      </c>
      <c r="AW55" s="69"/>
      <c r="AX55" s="1706" t="str">
        <f t="shared" si="30"/>
        <v/>
      </c>
      <c r="AY55" s="69"/>
      <c r="AZ55" s="1706" t="str">
        <f t="shared" si="31"/>
        <v/>
      </c>
      <c r="BA55" s="69"/>
      <c r="BB55" s="1709" t="str">
        <f t="shared" si="32"/>
        <v/>
      </c>
      <c r="BC55" s="69"/>
      <c r="BD55" s="1709" t="str">
        <f t="shared" si="33"/>
        <v/>
      </c>
      <c r="BE55" s="69"/>
      <c r="BF55" s="1709" t="str">
        <f t="shared" si="34"/>
        <v/>
      </c>
      <c r="BG55" s="69"/>
      <c r="BH55" s="1709" t="str">
        <f t="shared" si="35"/>
        <v/>
      </c>
      <c r="BI55" s="69"/>
      <c r="BJ55" s="1709" t="str">
        <f t="shared" si="36"/>
        <v/>
      </c>
      <c r="BK55" s="69"/>
      <c r="BL55" s="1706" t="str">
        <f t="shared" si="37"/>
        <v/>
      </c>
      <c r="BM55" s="69"/>
      <c r="BN55" s="1706">
        <f t="shared" si="38"/>
        <v>0</v>
      </c>
      <c r="BO55" s="69"/>
      <c r="BR55" s="684"/>
      <c r="BS55" s="684"/>
      <c r="BT55" s="541"/>
    </row>
    <row r="56" ht="20.25" customHeight="1">
      <c r="A56" s="1698" t="str">
        <f t="shared" si="39"/>
        <v/>
      </c>
      <c r="B56" s="1699">
        <v>2079.0</v>
      </c>
      <c r="C56" s="1700">
        <v>105.0</v>
      </c>
      <c r="D56" s="1701"/>
      <c r="E56" s="1702" t="str">
        <f t="shared" si="7"/>
        <v>Вафельная трубочка с вареной сгущенкой</v>
      </c>
      <c r="F56" s="1703" t="str">
        <f t="shared" si="8"/>
        <v/>
      </c>
      <c r="G56" s="69"/>
      <c r="H56" s="1703" t="str">
        <f t="shared" si="9"/>
        <v/>
      </c>
      <c r="I56" s="69"/>
      <c r="J56" s="1703" t="str">
        <f t="shared" si="10"/>
        <v/>
      </c>
      <c r="K56" s="69"/>
      <c r="L56" s="1703" t="str">
        <f t="shared" si="11"/>
        <v/>
      </c>
      <c r="M56" s="69"/>
      <c r="N56" s="1703" t="str">
        <f t="shared" si="12"/>
        <v/>
      </c>
      <c r="O56" s="69"/>
      <c r="P56" s="1703" t="str">
        <f t="shared" si="13"/>
        <v/>
      </c>
      <c r="Q56" s="69"/>
      <c r="R56" s="1703" t="str">
        <f t="shared" si="14"/>
        <v/>
      </c>
      <c r="S56" s="69"/>
      <c r="T56" s="1703" t="str">
        <f t="shared" si="15"/>
        <v/>
      </c>
      <c r="U56" s="69"/>
      <c r="V56" s="1703" t="str">
        <f t="shared" si="16"/>
        <v/>
      </c>
      <c r="W56" s="69"/>
      <c r="X56" s="1703" t="str">
        <f t="shared" si="17"/>
        <v/>
      </c>
      <c r="Y56" s="69"/>
      <c r="Z56" s="1703" t="str">
        <f t="shared" si="18"/>
        <v/>
      </c>
      <c r="AA56" s="69"/>
      <c r="AB56" s="1703" t="str">
        <f t="shared" si="19"/>
        <v/>
      </c>
      <c r="AC56" s="69"/>
      <c r="AD56" s="1706" t="str">
        <f t="shared" si="20"/>
        <v/>
      </c>
      <c r="AE56" s="69"/>
      <c r="AF56" s="1706" t="str">
        <f t="shared" si="21"/>
        <v/>
      </c>
      <c r="AG56" s="69"/>
      <c r="AH56" s="1706" t="str">
        <f t="shared" si="22"/>
        <v/>
      </c>
      <c r="AI56" s="69"/>
      <c r="AJ56" s="1706" t="str">
        <f t="shared" si="23"/>
        <v/>
      </c>
      <c r="AK56" s="69"/>
      <c r="AL56" s="1706" t="str">
        <f t="shared" si="24"/>
        <v/>
      </c>
      <c r="AM56" s="69"/>
      <c r="AN56" s="1706" t="str">
        <f t="shared" si="25"/>
        <v/>
      </c>
      <c r="AO56" s="69"/>
      <c r="AP56" s="1706" t="str">
        <f t="shared" si="26"/>
        <v/>
      </c>
      <c r="AQ56" s="69"/>
      <c r="AR56" s="1706" t="str">
        <f t="shared" si="27"/>
        <v/>
      </c>
      <c r="AS56" s="69"/>
      <c r="AT56" s="1706" t="str">
        <f t="shared" si="28"/>
        <v/>
      </c>
      <c r="AU56" s="69"/>
      <c r="AV56" s="1706" t="str">
        <f t="shared" si="29"/>
        <v/>
      </c>
      <c r="AW56" s="69"/>
      <c r="AX56" s="1706" t="str">
        <f t="shared" si="30"/>
        <v/>
      </c>
      <c r="AY56" s="69"/>
      <c r="AZ56" s="1706" t="str">
        <f t="shared" si="31"/>
        <v/>
      </c>
      <c r="BA56" s="69"/>
      <c r="BB56" s="1709" t="str">
        <f t="shared" si="32"/>
        <v/>
      </c>
      <c r="BC56" s="69"/>
      <c r="BD56" s="1709" t="str">
        <f t="shared" si="33"/>
        <v/>
      </c>
      <c r="BE56" s="69"/>
      <c r="BF56" s="1709" t="str">
        <f t="shared" si="34"/>
        <v/>
      </c>
      <c r="BG56" s="69"/>
      <c r="BH56" s="1709" t="str">
        <f t="shared" si="35"/>
        <v/>
      </c>
      <c r="BI56" s="69"/>
      <c r="BJ56" s="1709" t="str">
        <f t="shared" si="36"/>
        <v/>
      </c>
      <c r="BK56" s="69"/>
      <c r="BL56" s="1706" t="str">
        <f t="shared" si="37"/>
        <v/>
      </c>
      <c r="BM56" s="69"/>
      <c r="BN56" s="1706">
        <f t="shared" si="38"/>
        <v>0</v>
      </c>
      <c r="BO56" s="69"/>
      <c r="BR56" s="684"/>
      <c r="BS56" s="684"/>
      <c r="BT56" s="541"/>
    </row>
    <row r="57" ht="20.25" customHeight="1">
      <c r="A57" s="1698" t="str">
        <f t="shared" si="39"/>
        <v/>
      </c>
      <c r="B57" s="1699">
        <v>3518.0</v>
      </c>
      <c r="C57" s="1700">
        <v>85.0</v>
      </c>
      <c r="D57" s="1701"/>
      <c r="E57" s="1702" t="str">
        <f t="shared" si="7"/>
        <v>Слойка ''Нежная'' с сыром 100 г</v>
      </c>
      <c r="F57" s="1703" t="str">
        <f t="shared" si="8"/>
        <v/>
      </c>
      <c r="G57" s="69"/>
      <c r="H57" s="1703" t="str">
        <f t="shared" si="9"/>
        <v/>
      </c>
      <c r="I57" s="69"/>
      <c r="J57" s="1703" t="str">
        <f t="shared" si="10"/>
        <v/>
      </c>
      <c r="K57" s="69"/>
      <c r="L57" s="1703" t="str">
        <f t="shared" si="11"/>
        <v/>
      </c>
      <c r="M57" s="69"/>
      <c r="N57" s="1703" t="str">
        <f t="shared" si="12"/>
        <v/>
      </c>
      <c r="O57" s="69"/>
      <c r="P57" s="1703" t="str">
        <f t="shared" si="13"/>
        <v/>
      </c>
      <c r="Q57" s="69"/>
      <c r="R57" s="1703" t="str">
        <f t="shared" si="14"/>
        <v/>
      </c>
      <c r="S57" s="69"/>
      <c r="T57" s="1703" t="str">
        <f t="shared" si="15"/>
        <v/>
      </c>
      <c r="U57" s="69"/>
      <c r="V57" s="1703" t="str">
        <f t="shared" si="16"/>
        <v/>
      </c>
      <c r="W57" s="69"/>
      <c r="X57" s="1703" t="str">
        <f t="shared" si="17"/>
        <v/>
      </c>
      <c r="Y57" s="69"/>
      <c r="Z57" s="1703" t="str">
        <f t="shared" si="18"/>
        <v/>
      </c>
      <c r="AA57" s="69"/>
      <c r="AB57" s="1703" t="str">
        <f t="shared" si="19"/>
        <v/>
      </c>
      <c r="AC57" s="69"/>
      <c r="AD57" s="1706" t="str">
        <f t="shared" si="20"/>
        <v/>
      </c>
      <c r="AE57" s="69"/>
      <c r="AF57" s="1706" t="str">
        <f t="shared" si="21"/>
        <v/>
      </c>
      <c r="AG57" s="69"/>
      <c r="AH57" s="1706" t="str">
        <f t="shared" si="22"/>
        <v/>
      </c>
      <c r="AI57" s="69"/>
      <c r="AJ57" s="1706" t="str">
        <f t="shared" si="23"/>
        <v/>
      </c>
      <c r="AK57" s="69"/>
      <c r="AL57" s="1706" t="str">
        <f t="shared" si="24"/>
        <v/>
      </c>
      <c r="AM57" s="69"/>
      <c r="AN57" s="1706" t="str">
        <f t="shared" si="25"/>
        <v/>
      </c>
      <c r="AO57" s="69"/>
      <c r="AP57" s="1706" t="str">
        <f t="shared" si="26"/>
        <v/>
      </c>
      <c r="AQ57" s="69"/>
      <c r="AR57" s="1706" t="str">
        <f t="shared" si="27"/>
        <v/>
      </c>
      <c r="AS57" s="69"/>
      <c r="AT57" s="1706" t="str">
        <f t="shared" si="28"/>
        <v/>
      </c>
      <c r="AU57" s="69"/>
      <c r="AV57" s="1706" t="str">
        <f t="shared" si="29"/>
        <v/>
      </c>
      <c r="AW57" s="69"/>
      <c r="AX57" s="1706" t="str">
        <f t="shared" si="30"/>
        <v/>
      </c>
      <c r="AY57" s="69"/>
      <c r="AZ57" s="1706" t="str">
        <f t="shared" si="31"/>
        <v/>
      </c>
      <c r="BA57" s="69"/>
      <c r="BB57" s="1709" t="str">
        <f t="shared" si="32"/>
        <v/>
      </c>
      <c r="BC57" s="69"/>
      <c r="BD57" s="1709" t="str">
        <f t="shared" si="33"/>
        <v/>
      </c>
      <c r="BE57" s="69"/>
      <c r="BF57" s="1709" t="str">
        <f t="shared" si="34"/>
        <v/>
      </c>
      <c r="BG57" s="69"/>
      <c r="BH57" s="1709" t="str">
        <f t="shared" si="35"/>
        <v/>
      </c>
      <c r="BI57" s="69"/>
      <c r="BJ57" s="1709" t="str">
        <f t="shared" si="36"/>
        <v/>
      </c>
      <c r="BK57" s="69"/>
      <c r="BL57" s="1706" t="str">
        <f t="shared" si="37"/>
        <v/>
      </c>
      <c r="BM57" s="69"/>
      <c r="BN57" s="1706">
        <f t="shared" si="38"/>
        <v>0</v>
      </c>
      <c r="BO57" s="69"/>
      <c r="BR57" s="684"/>
      <c r="BS57" s="684"/>
      <c r="BT57" s="541"/>
    </row>
    <row r="58" ht="20.25" customHeight="1">
      <c r="A58" s="1698" t="str">
        <f t="shared" si="39"/>
        <v/>
      </c>
      <c r="B58" s="1699">
        <v>3999.0</v>
      </c>
      <c r="C58" s="1700">
        <v>98.0</v>
      </c>
      <c r="D58" s="1701"/>
      <c r="E58" s="1702" t="str">
        <f t="shared" si="7"/>
        <v>Морс ягодный 0,5 л</v>
      </c>
      <c r="F58" s="1703" t="str">
        <f t="shared" si="8"/>
        <v/>
      </c>
      <c r="G58" s="69"/>
      <c r="H58" s="1703" t="str">
        <f t="shared" si="9"/>
        <v/>
      </c>
      <c r="I58" s="69"/>
      <c r="J58" s="1703" t="str">
        <f t="shared" si="10"/>
        <v/>
      </c>
      <c r="K58" s="69"/>
      <c r="L58" s="1703" t="str">
        <f t="shared" si="11"/>
        <v/>
      </c>
      <c r="M58" s="69"/>
      <c r="N58" s="1703" t="str">
        <f t="shared" si="12"/>
        <v/>
      </c>
      <c r="O58" s="69"/>
      <c r="P58" s="1703" t="str">
        <f t="shared" si="13"/>
        <v/>
      </c>
      <c r="Q58" s="69"/>
      <c r="R58" s="1703" t="str">
        <f t="shared" si="14"/>
        <v/>
      </c>
      <c r="S58" s="69"/>
      <c r="T58" s="1703" t="str">
        <f t="shared" si="15"/>
        <v/>
      </c>
      <c r="U58" s="69"/>
      <c r="V58" s="1703" t="str">
        <f t="shared" si="16"/>
        <v/>
      </c>
      <c r="W58" s="69"/>
      <c r="X58" s="1703" t="str">
        <f t="shared" si="17"/>
        <v/>
      </c>
      <c r="Y58" s="69"/>
      <c r="Z58" s="1703" t="str">
        <f t="shared" si="18"/>
        <v/>
      </c>
      <c r="AA58" s="69"/>
      <c r="AB58" s="1703" t="str">
        <f t="shared" si="19"/>
        <v/>
      </c>
      <c r="AC58" s="69"/>
      <c r="AD58" s="1706" t="str">
        <f t="shared" si="20"/>
        <v/>
      </c>
      <c r="AE58" s="69"/>
      <c r="AF58" s="1706" t="str">
        <f t="shared" si="21"/>
        <v/>
      </c>
      <c r="AG58" s="69"/>
      <c r="AH58" s="1706" t="str">
        <f t="shared" si="22"/>
        <v/>
      </c>
      <c r="AI58" s="69"/>
      <c r="AJ58" s="1706" t="str">
        <f t="shared" si="23"/>
        <v/>
      </c>
      <c r="AK58" s="69"/>
      <c r="AL58" s="1706" t="str">
        <f t="shared" si="24"/>
        <v/>
      </c>
      <c r="AM58" s="69"/>
      <c r="AN58" s="1706" t="str">
        <f t="shared" si="25"/>
        <v/>
      </c>
      <c r="AO58" s="69"/>
      <c r="AP58" s="1706" t="str">
        <f t="shared" si="26"/>
        <v/>
      </c>
      <c r="AQ58" s="69"/>
      <c r="AR58" s="1706" t="str">
        <f t="shared" si="27"/>
        <v/>
      </c>
      <c r="AS58" s="69"/>
      <c r="AT58" s="1706" t="str">
        <f t="shared" si="28"/>
        <v/>
      </c>
      <c r="AU58" s="69"/>
      <c r="AV58" s="1706" t="str">
        <f t="shared" si="29"/>
        <v/>
      </c>
      <c r="AW58" s="69"/>
      <c r="AX58" s="1706" t="str">
        <f t="shared" si="30"/>
        <v/>
      </c>
      <c r="AY58" s="69"/>
      <c r="AZ58" s="1706" t="str">
        <f t="shared" si="31"/>
        <v/>
      </c>
      <c r="BA58" s="69"/>
      <c r="BB58" s="1709" t="str">
        <f t="shared" si="32"/>
        <v/>
      </c>
      <c r="BC58" s="69"/>
      <c r="BD58" s="1709" t="str">
        <f t="shared" si="33"/>
        <v/>
      </c>
      <c r="BE58" s="69"/>
      <c r="BF58" s="1709" t="str">
        <f t="shared" si="34"/>
        <v/>
      </c>
      <c r="BG58" s="69"/>
      <c r="BH58" s="1709" t="str">
        <f t="shared" si="35"/>
        <v/>
      </c>
      <c r="BI58" s="69"/>
      <c r="BJ58" s="1709" t="str">
        <f t="shared" si="36"/>
        <v/>
      </c>
      <c r="BK58" s="69"/>
      <c r="BL58" s="1706" t="str">
        <f t="shared" si="37"/>
        <v/>
      </c>
      <c r="BM58" s="69"/>
      <c r="BN58" s="1706">
        <f t="shared" si="38"/>
        <v>0</v>
      </c>
      <c r="BO58" s="69"/>
      <c r="BR58" s="684"/>
      <c r="BS58" s="684"/>
      <c r="BT58" s="541"/>
    </row>
    <row r="59" ht="20.25" customHeight="1">
      <c r="A59" s="1698" t="str">
        <f t="shared" si="39"/>
        <v/>
      </c>
      <c r="B59" s="1699">
        <v>822.0</v>
      </c>
      <c r="C59" s="1700">
        <v>5.0</v>
      </c>
      <c r="D59" s="1701"/>
      <c r="E59" s="1702" t="str">
        <f t="shared" si="7"/>
        <v>Хлеб пшеничный</v>
      </c>
      <c r="F59" s="1703" t="str">
        <f t="shared" si="8"/>
        <v/>
      </c>
      <c r="G59" s="69"/>
      <c r="H59" s="1703" t="str">
        <f t="shared" si="9"/>
        <v/>
      </c>
      <c r="I59" s="69"/>
      <c r="J59" s="1703" t="str">
        <f t="shared" si="10"/>
        <v/>
      </c>
      <c r="K59" s="69"/>
      <c r="L59" s="1703" t="str">
        <f t="shared" si="11"/>
        <v/>
      </c>
      <c r="M59" s="69"/>
      <c r="N59" s="1703" t="str">
        <f t="shared" si="12"/>
        <v/>
      </c>
      <c r="O59" s="69"/>
      <c r="P59" s="1703" t="str">
        <f t="shared" si="13"/>
        <v/>
      </c>
      <c r="Q59" s="69"/>
      <c r="R59" s="1703" t="str">
        <f t="shared" si="14"/>
        <v/>
      </c>
      <c r="S59" s="69"/>
      <c r="T59" s="1703" t="str">
        <f t="shared" si="15"/>
        <v/>
      </c>
      <c r="U59" s="69"/>
      <c r="V59" s="1703" t="str">
        <f t="shared" si="16"/>
        <v/>
      </c>
      <c r="W59" s="69"/>
      <c r="X59" s="1703" t="str">
        <f t="shared" si="17"/>
        <v/>
      </c>
      <c r="Y59" s="69"/>
      <c r="Z59" s="1703" t="str">
        <f t="shared" si="18"/>
        <v/>
      </c>
      <c r="AA59" s="69"/>
      <c r="AB59" s="1703" t="str">
        <f t="shared" si="19"/>
        <v/>
      </c>
      <c r="AC59" s="69"/>
      <c r="AD59" s="1706" t="str">
        <f t="shared" si="20"/>
        <v/>
      </c>
      <c r="AE59" s="69"/>
      <c r="AF59" s="1706" t="str">
        <f t="shared" si="21"/>
        <v/>
      </c>
      <c r="AG59" s="69"/>
      <c r="AH59" s="1706" t="str">
        <f t="shared" si="22"/>
        <v/>
      </c>
      <c r="AI59" s="69"/>
      <c r="AJ59" s="1706" t="str">
        <f t="shared" si="23"/>
        <v/>
      </c>
      <c r="AK59" s="69"/>
      <c r="AL59" s="1706" t="str">
        <f t="shared" si="24"/>
        <v/>
      </c>
      <c r="AM59" s="69"/>
      <c r="AN59" s="1706" t="str">
        <f t="shared" si="25"/>
        <v/>
      </c>
      <c r="AO59" s="69"/>
      <c r="AP59" s="1706" t="str">
        <f t="shared" si="26"/>
        <v/>
      </c>
      <c r="AQ59" s="69"/>
      <c r="AR59" s="1706" t="str">
        <f t="shared" si="27"/>
        <v/>
      </c>
      <c r="AS59" s="69"/>
      <c r="AT59" s="1706" t="str">
        <f t="shared" si="28"/>
        <v/>
      </c>
      <c r="AU59" s="69"/>
      <c r="AV59" s="1706" t="str">
        <f t="shared" si="29"/>
        <v/>
      </c>
      <c r="AW59" s="69"/>
      <c r="AX59" s="1706" t="str">
        <f t="shared" si="30"/>
        <v/>
      </c>
      <c r="AY59" s="69"/>
      <c r="AZ59" s="1706" t="str">
        <f t="shared" si="31"/>
        <v/>
      </c>
      <c r="BA59" s="69"/>
      <c r="BB59" s="1709" t="str">
        <f t="shared" si="32"/>
        <v/>
      </c>
      <c r="BC59" s="69"/>
      <c r="BD59" s="1709" t="str">
        <f t="shared" si="33"/>
        <v/>
      </c>
      <c r="BE59" s="69"/>
      <c r="BF59" s="1709" t="str">
        <f t="shared" si="34"/>
        <v/>
      </c>
      <c r="BG59" s="69"/>
      <c r="BH59" s="1709" t="str">
        <f t="shared" si="35"/>
        <v/>
      </c>
      <c r="BI59" s="69"/>
      <c r="BJ59" s="1709" t="str">
        <f t="shared" si="36"/>
        <v/>
      </c>
      <c r="BK59" s="69"/>
      <c r="BL59" s="1706" t="str">
        <f t="shared" si="37"/>
        <v/>
      </c>
      <c r="BM59" s="69"/>
      <c r="BN59" s="1706">
        <f t="shared" si="38"/>
        <v>0</v>
      </c>
      <c r="BO59" s="69"/>
      <c r="BR59" s="684"/>
      <c r="BS59" s="684"/>
      <c r="BT59" s="541"/>
    </row>
    <row r="60" ht="20.25" customHeight="1">
      <c r="A60" s="1698"/>
      <c r="B60" s="1699"/>
      <c r="C60" s="1700"/>
      <c r="D60" s="1701"/>
      <c r="E60" s="1702" t="str">
        <f t="shared" si="7"/>
        <v/>
      </c>
      <c r="F60" s="1703" t="str">
        <f t="shared" si="8"/>
        <v/>
      </c>
      <c r="G60" s="69"/>
      <c r="H60" s="1703" t="str">
        <f t="shared" si="9"/>
        <v/>
      </c>
      <c r="I60" s="69"/>
      <c r="J60" s="1703" t="str">
        <f t="shared" si="10"/>
        <v/>
      </c>
      <c r="K60" s="69"/>
      <c r="L60" s="1703" t="str">
        <f t="shared" si="11"/>
        <v/>
      </c>
      <c r="M60" s="69"/>
      <c r="N60" s="1703" t="str">
        <f t="shared" si="12"/>
        <v/>
      </c>
      <c r="O60" s="69"/>
      <c r="P60" s="1703" t="str">
        <f t="shared" si="13"/>
        <v/>
      </c>
      <c r="Q60" s="69"/>
      <c r="R60" s="1703" t="str">
        <f t="shared" si="14"/>
        <v/>
      </c>
      <c r="S60" s="69"/>
      <c r="T60" s="1703" t="str">
        <f t="shared" si="15"/>
        <v/>
      </c>
      <c r="U60" s="69"/>
      <c r="V60" s="1703" t="str">
        <f t="shared" si="16"/>
        <v/>
      </c>
      <c r="W60" s="69"/>
      <c r="X60" s="1703" t="str">
        <f t="shared" si="17"/>
        <v/>
      </c>
      <c r="Y60" s="69"/>
      <c r="Z60" s="1703" t="str">
        <f t="shared" si="18"/>
        <v/>
      </c>
      <c r="AA60" s="69"/>
      <c r="AB60" s="1703" t="str">
        <f t="shared" si="19"/>
        <v/>
      </c>
      <c r="AC60" s="69"/>
      <c r="AD60" s="1703" t="str">
        <f t="shared" si="20"/>
        <v/>
      </c>
      <c r="AE60" s="69"/>
      <c r="AF60" s="1703" t="str">
        <f t="shared" si="21"/>
        <v/>
      </c>
      <c r="AG60" s="69"/>
      <c r="AH60" s="1703" t="str">
        <f t="shared" si="22"/>
        <v/>
      </c>
      <c r="AI60" s="69"/>
      <c r="AJ60" s="1703" t="str">
        <f t="shared" si="23"/>
        <v/>
      </c>
      <c r="AK60" s="69"/>
      <c r="AL60" s="1703" t="str">
        <f t="shared" si="24"/>
        <v/>
      </c>
      <c r="AM60" s="69"/>
      <c r="AN60" s="1703" t="str">
        <f t="shared" si="25"/>
        <v/>
      </c>
      <c r="AO60" s="69"/>
      <c r="AP60" s="1703" t="str">
        <f t="shared" si="26"/>
        <v/>
      </c>
      <c r="AQ60" s="69"/>
      <c r="AR60" s="1703" t="str">
        <f t="shared" si="27"/>
        <v/>
      </c>
      <c r="AS60" s="69"/>
      <c r="AT60" s="1703" t="str">
        <f t="shared" si="28"/>
        <v/>
      </c>
      <c r="AU60" s="69"/>
      <c r="AV60" s="1703" t="str">
        <f t="shared" si="29"/>
        <v/>
      </c>
      <c r="AW60" s="69"/>
      <c r="AX60" s="1703" t="str">
        <f t="shared" si="30"/>
        <v/>
      </c>
      <c r="AY60" s="69"/>
      <c r="AZ60" s="1703" t="str">
        <f t="shared" si="31"/>
        <v/>
      </c>
      <c r="BA60" s="69"/>
      <c r="BB60" s="1709" t="str">
        <f t="shared" si="32"/>
        <v/>
      </c>
      <c r="BC60" s="69"/>
      <c r="BD60" s="1709" t="str">
        <f t="shared" si="33"/>
        <v/>
      </c>
      <c r="BE60" s="69"/>
      <c r="BF60" s="1709" t="str">
        <f t="shared" si="34"/>
        <v/>
      </c>
      <c r="BG60" s="69"/>
      <c r="BH60" s="1709" t="str">
        <f t="shared" si="35"/>
        <v/>
      </c>
      <c r="BI60" s="69"/>
      <c r="BJ60" s="1709" t="str">
        <f t="shared" si="36"/>
        <v/>
      </c>
      <c r="BK60" s="69"/>
      <c r="BL60" s="1703" t="str">
        <f t="shared" si="37"/>
        <v/>
      </c>
      <c r="BM60" s="69"/>
      <c r="BN60" s="1706">
        <f t="shared" si="38"/>
        <v>0</v>
      </c>
      <c r="BO60" s="69"/>
      <c r="BR60" s="541"/>
      <c r="BS60" s="541"/>
      <c r="BT60" s="541"/>
    </row>
    <row r="61" ht="20.25" customHeight="1">
      <c r="A61" s="1698" t="str">
        <f>A30</f>
        <v/>
      </c>
      <c r="B61" s="1795"/>
      <c r="C61" s="1700"/>
      <c r="D61" s="1701"/>
      <c r="E61" s="1702" t="str">
        <f t="shared" si="7"/>
        <v/>
      </c>
      <c r="F61" s="1703"/>
      <c r="G61" s="69"/>
      <c r="H61" s="1703"/>
      <c r="I61" s="69"/>
      <c r="J61" s="1703"/>
      <c r="K61" s="69"/>
      <c r="L61" s="1703"/>
      <c r="M61" s="69"/>
      <c r="N61" s="1703"/>
      <c r="O61" s="69"/>
      <c r="P61" s="1703"/>
      <c r="Q61" s="69"/>
      <c r="R61" s="1703"/>
      <c r="S61" s="69"/>
      <c r="T61" s="1703"/>
      <c r="U61" s="69"/>
      <c r="V61" s="1703"/>
      <c r="W61" s="69"/>
      <c r="X61" s="1703"/>
      <c r="Y61" s="69"/>
      <c r="Z61" s="1703"/>
      <c r="AA61" s="69"/>
      <c r="AB61" s="1703"/>
      <c r="AC61" s="69"/>
      <c r="AD61" s="1703"/>
      <c r="AE61" s="69"/>
      <c r="AF61" s="1703"/>
      <c r="AG61" s="69"/>
      <c r="AH61" s="1703"/>
      <c r="AI61" s="69"/>
      <c r="AJ61" s="1703"/>
      <c r="AK61" s="69"/>
      <c r="AL61" s="1703"/>
      <c r="AM61" s="69"/>
      <c r="AN61" s="1703"/>
      <c r="AO61" s="69"/>
      <c r="AP61" s="1703"/>
      <c r="AQ61" s="69"/>
      <c r="AR61" s="1703"/>
      <c r="AS61" s="69"/>
      <c r="AT61" s="1703"/>
      <c r="AU61" s="69"/>
      <c r="AV61" s="1703"/>
      <c r="AW61" s="69"/>
      <c r="AX61" s="1703"/>
      <c r="AY61" s="69"/>
      <c r="AZ61" s="1703"/>
      <c r="BA61" s="69"/>
      <c r="BB61" s="1703"/>
      <c r="BC61" s="69"/>
      <c r="BD61" s="1703"/>
      <c r="BE61" s="69"/>
      <c r="BF61" s="1703"/>
      <c r="BG61" s="69"/>
      <c r="BH61" s="1703"/>
      <c r="BI61" s="69"/>
      <c r="BJ61" s="1703"/>
      <c r="BK61" s="69"/>
      <c r="BL61" s="1703"/>
      <c r="BM61" s="69"/>
      <c r="BN61" s="1706">
        <f t="shared" si="38"/>
        <v>0</v>
      </c>
      <c r="BO61" s="69"/>
      <c r="BR61" s="541"/>
      <c r="BS61" s="541"/>
      <c r="BT61" s="541"/>
    </row>
    <row r="62" ht="15.75" customHeight="1">
      <c r="A62" s="1591"/>
      <c r="B62" s="1541"/>
      <c r="C62" s="1591"/>
      <c r="D62" s="1543"/>
      <c r="E62" s="906"/>
      <c r="F62" s="1801"/>
      <c r="H62" s="1801"/>
      <c r="J62" s="1801"/>
      <c r="L62" s="1801"/>
      <c r="N62" s="1801"/>
      <c r="P62" s="1801"/>
      <c r="R62" s="1801"/>
      <c r="T62" s="1801"/>
      <c r="V62" s="1801"/>
      <c r="X62" s="1801"/>
      <c r="Z62" s="1801"/>
      <c r="AB62" s="1801"/>
      <c r="AD62" s="1801"/>
      <c r="AF62" s="1801"/>
      <c r="AH62" s="1801"/>
      <c r="AJ62" s="1801"/>
      <c r="AL62" s="1801"/>
      <c r="AN62" s="1801"/>
      <c r="AP62" s="1801"/>
      <c r="AR62" s="1801"/>
      <c r="AT62" s="1801"/>
      <c r="AV62" s="1801"/>
      <c r="AX62" s="1801"/>
      <c r="AZ62" s="1801"/>
      <c r="BB62" s="1804"/>
      <c r="BC62" s="1801"/>
      <c r="BD62" s="1804"/>
      <c r="BE62" s="1801"/>
      <c r="BF62" s="1804"/>
      <c r="BG62" s="1801"/>
      <c r="BH62" s="1804"/>
      <c r="BI62" s="1801"/>
      <c r="BJ62" s="1804"/>
      <c r="BK62" s="1801"/>
      <c r="BL62" s="1606" t="s">
        <v>1365</v>
      </c>
      <c r="BM62" s="69"/>
      <c r="BN62" s="1487">
        <f>SUM(BN35:BN58)</f>
        <v>0</v>
      </c>
      <c r="BO62" s="69"/>
      <c r="BR62" s="541"/>
      <c r="BS62" s="541"/>
      <c r="BT62" s="541"/>
    </row>
    <row r="63" ht="15.75" customHeight="1">
      <c r="A63" s="1749" t="s">
        <v>3112</v>
      </c>
      <c r="B63" s="1541"/>
      <c r="C63" s="1591"/>
      <c r="D63" s="1543"/>
      <c r="E63" s="906"/>
      <c r="F63" s="620"/>
      <c r="G63" s="541"/>
      <c r="H63" s="620"/>
      <c r="I63" s="541"/>
      <c r="J63" s="620"/>
      <c r="K63" s="541"/>
      <c r="L63" s="620"/>
      <c r="M63" s="541"/>
      <c r="N63" s="620"/>
      <c r="O63" s="541"/>
      <c r="P63" s="620"/>
      <c r="Q63" s="541"/>
      <c r="R63" s="620"/>
      <c r="S63" s="541"/>
      <c r="T63" s="620"/>
      <c r="U63" s="541"/>
      <c r="V63" s="620"/>
      <c r="W63" s="541"/>
      <c r="X63" s="620"/>
      <c r="Y63" s="541"/>
      <c r="Z63" s="620"/>
      <c r="AA63" s="541"/>
      <c r="AB63" s="620"/>
      <c r="AC63" s="541"/>
      <c r="AD63" s="620"/>
      <c r="AE63" s="541"/>
      <c r="AF63" s="620"/>
      <c r="AG63" s="541"/>
      <c r="AH63" s="620"/>
      <c r="AI63" s="541"/>
      <c r="AJ63" s="620"/>
      <c r="AK63" s="541"/>
      <c r="AL63" s="620"/>
      <c r="AM63" s="541"/>
      <c r="AN63" s="1730"/>
      <c r="AO63" s="1748"/>
      <c r="AP63" s="1730"/>
      <c r="AQ63" s="1748"/>
      <c r="AR63" s="1748"/>
      <c r="AS63" s="541"/>
      <c r="AT63" s="541"/>
      <c r="AU63" s="541"/>
      <c r="AV63" s="541"/>
      <c r="AW63" s="541"/>
      <c r="AX63" s="541"/>
      <c r="AY63" s="541"/>
      <c r="AZ63" s="541"/>
      <c r="BA63" s="541"/>
      <c r="BC63" s="541"/>
      <c r="BE63" s="541"/>
      <c r="BG63" s="541"/>
      <c r="BH63" s="1190"/>
      <c r="BI63" s="541"/>
      <c r="BJ63" s="1190"/>
      <c r="BK63" s="541"/>
      <c r="BL63" s="541"/>
      <c r="BM63" s="541"/>
      <c r="BO63" s="541"/>
      <c r="BP63" s="541"/>
      <c r="BQ63" s="633"/>
      <c r="BR63" s="541"/>
      <c r="BS63" s="541"/>
      <c r="BT63" s="541"/>
    </row>
    <row r="64" ht="16.5" customHeight="1">
      <c r="A64" s="1547" t="s">
        <v>1279</v>
      </c>
      <c r="B64" s="1548"/>
      <c r="C64" s="1810"/>
      <c r="D64" s="1811">
        <v>46230.0</v>
      </c>
      <c r="E64" s="1551" t="s">
        <v>3114</v>
      </c>
      <c r="F64" s="1552"/>
      <c r="G64" s="1552"/>
      <c r="H64" s="1552"/>
      <c r="I64" s="1552"/>
      <c r="J64" s="1552"/>
      <c r="K64" s="1552"/>
      <c r="L64" s="1552"/>
      <c r="M64" s="1552"/>
      <c r="N64" s="1552"/>
      <c r="O64" s="1552"/>
      <c r="P64" s="1552"/>
      <c r="Q64" s="1552"/>
      <c r="R64" s="1552"/>
      <c r="S64" s="1552"/>
      <c r="T64" s="1552"/>
      <c r="U64" s="1552"/>
      <c r="V64" s="1553"/>
      <c r="W64" s="1552"/>
      <c r="X64" s="1552"/>
      <c r="Y64" s="1552"/>
      <c r="Z64" s="1552"/>
      <c r="AA64" s="1552"/>
      <c r="AB64" s="1552"/>
      <c r="AC64" s="1552"/>
      <c r="AD64" s="1552"/>
      <c r="AE64" s="1552"/>
      <c r="AF64" s="1552"/>
      <c r="AG64" s="1552"/>
      <c r="AH64" s="1552"/>
      <c r="AI64" s="1552"/>
      <c r="AJ64" s="1552"/>
      <c r="AK64" s="1552"/>
      <c r="AL64" s="1552"/>
      <c r="AM64" s="1552"/>
      <c r="AN64" s="1552"/>
      <c r="AO64" s="1552"/>
      <c r="AP64" s="1552"/>
      <c r="AQ64" s="1552"/>
      <c r="AR64" s="1552"/>
      <c r="AS64" s="1552"/>
      <c r="AT64" s="1552"/>
      <c r="AU64" s="1552"/>
      <c r="AV64" s="1552"/>
      <c r="AW64" s="1552"/>
      <c r="AX64" s="1552"/>
      <c r="AY64" s="1552"/>
      <c r="AZ64" s="1552"/>
      <c r="BA64" s="1552"/>
      <c r="BB64" s="1552"/>
      <c r="BC64" s="1552"/>
      <c r="BD64" s="1552"/>
      <c r="BE64" s="1552"/>
      <c r="BF64" s="1552"/>
      <c r="BG64" s="1552"/>
      <c r="BH64" s="1552"/>
      <c r="BI64" s="1552"/>
      <c r="BJ64" s="1552"/>
      <c r="BK64" s="1552"/>
      <c r="BL64" s="1552"/>
      <c r="BM64" s="1552"/>
      <c r="BN64" s="1552"/>
      <c r="BO64" s="1552"/>
      <c r="BP64" s="1552"/>
      <c r="BQ64" s="1554"/>
      <c r="BR64" s="1555"/>
      <c r="BS64" s="1555"/>
      <c r="BT64" s="1552"/>
    </row>
    <row r="65" ht="16.5" customHeight="1">
      <c r="A65" s="1602" t="s">
        <v>3069</v>
      </c>
      <c r="B65" s="1694" t="s">
        <v>1283</v>
      </c>
      <c r="C65" s="1693" t="s">
        <v>19</v>
      </c>
      <c r="D65" s="1557" t="s">
        <v>3070</v>
      </c>
      <c r="E65" s="783" t="s">
        <v>471</v>
      </c>
      <c r="F65" s="1075" t="s">
        <v>1357</v>
      </c>
      <c r="G65" s="1409" t="s">
        <v>3071</v>
      </c>
      <c r="H65" s="1075" t="s">
        <v>1287</v>
      </c>
      <c r="I65" s="1409" t="s">
        <v>1288</v>
      </c>
      <c r="J65" s="1075" t="s">
        <v>1358</v>
      </c>
      <c r="K65" s="1409" t="s">
        <v>3072</v>
      </c>
      <c r="L65" s="1075" t="s">
        <v>1359</v>
      </c>
      <c r="M65" s="1409" t="s">
        <v>3073</v>
      </c>
      <c r="N65" s="1075" t="s">
        <v>1360</v>
      </c>
      <c r="O65" s="1409" t="s">
        <v>3074</v>
      </c>
      <c r="P65" s="1075" t="s">
        <v>1361</v>
      </c>
      <c r="Q65" s="1409" t="s">
        <v>3075</v>
      </c>
      <c r="R65" s="1485" t="s">
        <v>1362</v>
      </c>
      <c r="S65" s="1560" t="s">
        <v>1298</v>
      </c>
      <c r="T65" s="1427" t="s">
        <v>1299</v>
      </c>
      <c r="U65" s="1560" t="s">
        <v>1300</v>
      </c>
      <c r="V65" s="1487" t="s">
        <v>1301</v>
      </c>
      <c r="W65" s="1560" t="s">
        <v>1302</v>
      </c>
      <c r="X65" s="1427" t="s">
        <v>1363</v>
      </c>
      <c r="Y65" s="1560" t="s">
        <v>1304</v>
      </c>
      <c r="Z65" s="1487" t="s">
        <v>1305</v>
      </c>
      <c r="AA65" s="1560" t="s">
        <v>1306</v>
      </c>
      <c r="AB65" s="1487" t="s">
        <v>1307</v>
      </c>
      <c r="AC65" s="1560" t="s">
        <v>1308</v>
      </c>
      <c r="AD65" s="1487" t="s">
        <v>1309</v>
      </c>
      <c r="AE65" s="1560" t="s">
        <v>1310</v>
      </c>
      <c r="AF65" s="1427" t="s">
        <v>1311</v>
      </c>
      <c r="AG65" s="1560" t="s">
        <v>1312</v>
      </c>
      <c r="AH65" s="1487" t="s">
        <v>1313</v>
      </c>
      <c r="AI65" s="1560" t="s">
        <v>1314</v>
      </c>
      <c r="AJ65" s="1487" t="s">
        <v>1315</v>
      </c>
      <c r="AK65" s="1560" t="s">
        <v>1316</v>
      </c>
      <c r="AL65" s="1487" t="s">
        <v>1317</v>
      </c>
      <c r="AM65" s="1560" t="s">
        <v>1318</v>
      </c>
      <c r="AN65" s="1487" t="s">
        <v>1319</v>
      </c>
      <c r="AO65" s="1560" t="s">
        <v>1320</v>
      </c>
      <c r="AP65" s="1487" t="s">
        <v>1321</v>
      </c>
      <c r="AQ65" s="1486" t="s">
        <v>1322</v>
      </c>
      <c r="AR65" s="1427" t="s">
        <v>1323</v>
      </c>
      <c r="AS65" s="1486" t="s">
        <v>1324</v>
      </c>
      <c r="AT65" s="1485" t="s">
        <v>1325</v>
      </c>
      <c r="AU65" s="1486" t="s">
        <v>1326</v>
      </c>
      <c r="AV65" s="1485" t="s">
        <v>1327</v>
      </c>
      <c r="AW65" s="1486" t="s">
        <v>1328</v>
      </c>
      <c r="AX65" s="1485" t="s">
        <v>3076</v>
      </c>
      <c r="AY65" s="1486" t="s">
        <v>3077</v>
      </c>
      <c r="AZ65" s="1485" t="s">
        <v>3078</v>
      </c>
      <c r="BA65" s="1486" t="s">
        <v>3079</v>
      </c>
      <c r="BB65" s="1485" t="s">
        <v>3080</v>
      </c>
      <c r="BC65" s="1486" t="s">
        <v>3081</v>
      </c>
      <c r="BD65" s="1485" t="s">
        <v>3082</v>
      </c>
      <c r="BE65" s="1486" t="s">
        <v>3083</v>
      </c>
      <c r="BF65" s="1485" t="s">
        <v>3084</v>
      </c>
      <c r="BG65" s="1486" t="s">
        <v>3085</v>
      </c>
      <c r="BH65" s="1485" t="s">
        <v>3086</v>
      </c>
      <c r="BI65" s="1486" t="s">
        <v>3087</v>
      </c>
      <c r="BJ65" s="1485" t="s">
        <v>3088</v>
      </c>
      <c r="BK65" s="1486" t="s">
        <v>3089</v>
      </c>
      <c r="BL65" s="1120" t="s">
        <v>1425</v>
      </c>
      <c r="BM65" s="1121" t="s">
        <v>3045</v>
      </c>
      <c r="BN65" s="1814" t="s">
        <v>3090</v>
      </c>
      <c r="BO65" s="1815" t="s">
        <v>3091</v>
      </c>
      <c r="BP65" s="1606" t="s">
        <v>1331</v>
      </c>
      <c r="BQ65" s="1168" t="s">
        <v>3092</v>
      </c>
      <c r="BR65" s="1075" t="s">
        <v>3093</v>
      </c>
      <c r="BS65" s="1075" t="s">
        <v>3094</v>
      </c>
      <c r="BT65" s="629"/>
    </row>
    <row r="66" ht="16.5" customHeight="1">
      <c r="A66" s="1565"/>
      <c r="B66" s="1566">
        <v>3196.0</v>
      </c>
      <c r="C66" s="1567">
        <v>97.0</v>
      </c>
      <c r="D66" s="1566" t="s">
        <v>3095</v>
      </c>
      <c r="E66" s="1818" t="str">
        <f>'Матрица 4 недели'!D13</f>
        <v>Манник ''Маковый''</v>
      </c>
      <c r="F66" s="1120">
        <v>5.0</v>
      </c>
      <c r="G66" s="1121"/>
      <c r="H66" s="1120">
        <v>2.0</v>
      </c>
      <c r="I66" s="1121"/>
      <c r="J66" s="1120">
        <v>2.0</v>
      </c>
      <c r="K66" s="1121"/>
      <c r="L66" s="1120">
        <v>3.0</v>
      </c>
      <c r="M66" s="1121"/>
      <c r="N66" s="1120">
        <v>8.0</v>
      </c>
      <c r="O66" s="1121"/>
      <c r="P66" s="1120">
        <v>4.0</v>
      </c>
      <c r="Q66" s="1121"/>
      <c r="R66" s="1120">
        <v>2.0</v>
      </c>
      <c r="S66" s="1121"/>
      <c r="T66" s="1120">
        <v>3.0</v>
      </c>
      <c r="U66" s="1121"/>
      <c r="V66" s="1120">
        <v>3.0</v>
      </c>
      <c r="W66" s="1121"/>
      <c r="X66" s="1120">
        <v>3.0</v>
      </c>
      <c r="Y66" s="1121"/>
      <c r="Z66" s="1120"/>
      <c r="AA66" s="1121"/>
      <c r="AB66" s="1120">
        <v>3.0</v>
      </c>
      <c r="AC66" s="1121"/>
      <c r="AD66" s="1120">
        <v>5.0</v>
      </c>
      <c r="AE66" s="1121"/>
      <c r="AF66" s="1120">
        <v>8.0</v>
      </c>
      <c r="AG66" s="1121"/>
      <c r="AH66" s="1120">
        <v>3.0</v>
      </c>
      <c r="AI66" s="1121"/>
      <c r="AJ66" s="1120">
        <v>3.0</v>
      </c>
      <c r="AK66" s="1121"/>
      <c r="AL66" s="1120">
        <v>2.0</v>
      </c>
      <c r="AM66" s="1121"/>
      <c r="AN66" s="1120">
        <v>3.0</v>
      </c>
      <c r="AO66" s="1121"/>
      <c r="AP66" s="1120">
        <v>4.0</v>
      </c>
      <c r="AQ66" s="1121"/>
      <c r="AR66" s="1120">
        <v>12.0</v>
      </c>
      <c r="AS66" s="1138"/>
      <c r="AT66" s="1126">
        <v>6.0</v>
      </c>
      <c r="AU66" s="1138"/>
      <c r="AV66" s="1126">
        <v>3.0</v>
      </c>
      <c r="AW66" s="1138"/>
      <c r="AX66" s="1126">
        <v>3.0</v>
      </c>
      <c r="AY66" s="1138"/>
      <c r="AZ66" s="1126">
        <v>2.0</v>
      </c>
      <c r="BA66" s="1138"/>
      <c r="BB66" s="1126">
        <v>2.0</v>
      </c>
      <c r="BC66" s="1138"/>
      <c r="BD66" s="1126">
        <v>2.0</v>
      </c>
      <c r="BE66" s="1138"/>
      <c r="BF66" s="1126">
        <v>3.0</v>
      </c>
      <c r="BG66" s="1138"/>
      <c r="BH66" s="1126">
        <v>4.0</v>
      </c>
      <c r="BI66" s="1138"/>
      <c r="BJ66" s="1126">
        <v>6.0</v>
      </c>
      <c r="BK66" s="1138"/>
      <c r="BL66" s="1134"/>
      <c r="BM66" s="1138"/>
      <c r="BN66" s="1087"/>
      <c r="BO66" s="1138"/>
      <c r="BP66" s="783">
        <f t="shared" ref="BP66:BP92" si="40">(F66+H66+J66+L66+N66+P66+R66+T66+V66+X66+Z66+AB66+AD66+AF66+AH66+AJ66+AL66+AR66+BL66+AN66+AP66+AT66+AV66+AX66+AZ66+BB66+BD66+BF66+BH66+BJ66)+1</f>
        <v>110</v>
      </c>
      <c r="BQ66" s="1405">
        <f t="shared" ref="BQ66:BQ92" si="41">G66+I66+K66+M66+O66+Q66+S66+U66+W66+Y66+AA66+AC66+AE66+AG66+AI66+AK66+AM66+AO66+AQ66+AU66+AW66+BM66+AS66+AY66+BA66+BC66+BE66+BG66+BI66+BK66</f>
        <v>0</v>
      </c>
      <c r="BR66" s="711"/>
      <c r="BS66" s="784">
        <f t="shared" ref="BS66:BS92" si="42">BP66*C66</f>
        <v>10670</v>
      </c>
      <c r="BT66" s="1545"/>
    </row>
    <row r="67" ht="16.5" customHeight="1">
      <c r="A67" s="1565"/>
      <c r="B67" s="1786">
        <v>4235.0</v>
      </c>
      <c r="C67" s="1567">
        <v>158.0</v>
      </c>
      <c r="D67" s="1566" t="s">
        <v>3095</v>
      </c>
      <c r="E67" s="1821" t="str">
        <f>'Матрица 4 недели'!D14</f>
        <v>Киш с курицей</v>
      </c>
      <c r="F67" s="1120">
        <v>7.0</v>
      </c>
      <c r="G67" s="1138"/>
      <c r="H67" s="1120">
        <v>2.0</v>
      </c>
      <c r="I67" s="1138"/>
      <c r="J67" s="1120">
        <v>3.0</v>
      </c>
      <c r="K67" s="1138"/>
      <c r="L67" s="1120">
        <v>4.0</v>
      </c>
      <c r="M67" s="1138"/>
      <c r="N67" s="1120">
        <v>6.0</v>
      </c>
      <c r="O67" s="1138"/>
      <c r="P67" s="1120">
        <v>2.0</v>
      </c>
      <c r="Q67" s="1138"/>
      <c r="R67" s="1120">
        <v>3.0</v>
      </c>
      <c r="S67" s="1138"/>
      <c r="T67" s="1120">
        <v>4.0</v>
      </c>
      <c r="U67" s="1138"/>
      <c r="V67" s="1120">
        <v>5.0</v>
      </c>
      <c r="W67" s="1138"/>
      <c r="X67" s="1120">
        <v>2.0</v>
      </c>
      <c r="Y67" s="1138"/>
      <c r="Z67" s="1120"/>
      <c r="AA67" s="1138"/>
      <c r="AB67" s="1120">
        <v>3.0</v>
      </c>
      <c r="AC67" s="1138"/>
      <c r="AD67" s="1120">
        <v>1.0</v>
      </c>
      <c r="AE67" s="1138"/>
      <c r="AF67" s="1120">
        <v>8.0</v>
      </c>
      <c r="AG67" s="1138"/>
      <c r="AH67" s="1120">
        <v>5.0</v>
      </c>
      <c r="AI67" s="1138"/>
      <c r="AJ67" s="1120">
        <v>5.0</v>
      </c>
      <c r="AK67" s="1138"/>
      <c r="AL67" s="1120">
        <v>2.0</v>
      </c>
      <c r="AM67" s="1138"/>
      <c r="AN67" s="1120">
        <v>3.0</v>
      </c>
      <c r="AO67" s="1138"/>
      <c r="AP67" s="1120">
        <v>4.0</v>
      </c>
      <c r="AQ67" s="1138"/>
      <c r="AR67" s="1120">
        <v>14.0</v>
      </c>
      <c r="AS67" s="1138"/>
      <c r="AT67" s="1126">
        <v>2.0</v>
      </c>
      <c r="AU67" s="1138"/>
      <c r="AV67" s="1126">
        <v>3.0</v>
      </c>
      <c r="AW67" s="1138"/>
      <c r="AX67" s="1126">
        <v>6.0</v>
      </c>
      <c r="AY67" s="1138"/>
      <c r="AZ67" s="1126">
        <v>2.0</v>
      </c>
      <c r="BA67" s="1138"/>
      <c r="BB67" s="1126">
        <v>2.0</v>
      </c>
      <c r="BC67" s="1138"/>
      <c r="BD67" s="1126">
        <v>2.0</v>
      </c>
      <c r="BE67" s="1138"/>
      <c r="BF67" s="1126">
        <v>3.0</v>
      </c>
      <c r="BG67" s="1138"/>
      <c r="BH67" s="1126">
        <v>4.0</v>
      </c>
      <c r="BI67" s="1138"/>
      <c r="BJ67" s="1126">
        <v>2.0</v>
      </c>
      <c r="BK67" s="1138"/>
      <c r="BL67" s="1134"/>
      <c r="BM67" s="1138"/>
      <c r="BN67" s="1087"/>
      <c r="BO67" s="1138"/>
      <c r="BP67" s="783">
        <f t="shared" si="40"/>
        <v>110</v>
      </c>
      <c r="BQ67" s="1405">
        <f t="shared" si="41"/>
        <v>0</v>
      </c>
      <c r="BR67" s="711">
        <f t="shared" ref="BR67:BR92" si="43">BQ67*C67</f>
        <v>0</v>
      </c>
      <c r="BS67" s="784">
        <f t="shared" si="42"/>
        <v>17380</v>
      </c>
      <c r="BT67" s="1545"/>
    </row>
    <row r="68" ht="16.5" customHeight="1">
      <c r="A68" s="1565"/>
      <c r="B68" s="1786">
        <v>4254.0</v>
      </c>
      <c r="C68" s="1567">
        <v>186.0</v>
      </c>
      <c r="D68" s="1566" t="s">
        <v>3095</v>
      </c>
      <c r="E68" s="1821" t="str">
        <f>'Матрица 4 недели'!D15</f>
        <v>Творожный чизкейк </v>
      </c>
      <c r="F68" s="1120">
        <v>6.0</v>
      </c>
      <c r="G68" s="1121"/>
      <c r="H68" s="1120">
        <v>2.0</v>
      </c>
      <c r="I68" s="1121"/>
      <c r="J68" s="1120">
        <v>2.0</v>
      </c>
      <c r="K68" s="1121"/>
      <c r="L68" s="1120">
        <v>2.0</v>
      </c>
      <c r="M68" s="1121"/>
      <c r="N68" s="1120">
        <v>6.0</v>
      </c>
      <c r="O68" s="1121"/>
      <c r="P68" s="1120">
        <v>2.0</v>
      </c>
      <c r="Q68" s="1121"/>
      <c r="R68" s="1120">
        <v>3.0</v>
      </c>
      <c r="S68" s="1121"/>
      <c r="T68" s="1120">
        <v>4.0</v>
      </c>
      <c r="U68" s="1138"/>
      <c r="V68" s="1120">
        <v>5.0</v>
      </c>
      <c r="W68" s="1138"/>
      <c r="X68" s="1120">
        <v>2.0</v>
      </c>
      <c r="Y68" s="1138"/>
      <c r="Z68" s="1120"/>
      <c r="AA68" s="1138"/>
      <c r="AB68" s="1120">
        <v>2.0</v>
      </c>
      <c r="AC68" s="1138"/>
      <c r="AD68" s="1120">
        <v>3.0</v>
      </c>
      <c r="AE68" s="1138"/>
      <c r="AF68" s="1120">
        <v>6.0</v>
      </c>
      <c r="AG68" s="1138"/>
      <c r="AH68" s="1120">
        <v>5.0</v>
      </c>
      <c r="AI68" s="1138"/>
      <c r="AJ68" s="1120">
        <v>4.0</v>
      </c>
      <c r="AK68" s="1138"/>
      <c r="AL68" s="1120">
        <v>2.0</v>
      </c>
      <c r="AM68" s="1138"/>
      <c r="AN68" s="1120">
        <v>3.0</v>
      </c>
      <c r="AO68" s="1131"/>
      <c r="AP68" s="1120">
        <v>3.0</v>
      </c>
      <c r="AQ68" s="1131"/>
      <c r="AR68" s="1120">
        <v>9.0</v>
      </c>
      <c r="AS68" s="1138"/>
      <c r="AT68" s="1126">
        <v>3.0</v>
      </c>
      <c r="AU68" s="1138"/>
      <c r="AV68" s="1126">
        <v>3.0</v>
      </c>
      <c r="AW68" s="1138"/>
      <c r="AX68" s="1126">
        <v>5.0</v>
      </c>
      <c r="AY68" s="1138"/>
      <c r="AZ68" s="1126">
        <v>2.0</v>
      </c>
      <c r="BA68" s="1138"/>
      <c r="BB68" s="1126">
        <v>2.0</v>
      </c>
      <c r="BC68" s="1138"/>
      <c r="BD68" s="1126">
        <v>2.0</v>
      </c>
      <c r="BE68" s="1138"/>
      <c r="BF68" s="1126">
        <v>3.0</v>
      </c>
      <c r="BG68" s="1138"/>
      <c r="BH68" s="1126">
        <v>2.0</v>
      </c>
      <c r="BI68" s="1138"/>
      <c r="BJ68" s="1126">
        <v>2.0</v>
      </c>
      <c r="BK68" s="1138"/>
      <c r="BL68" s="1134"/>
      <c r="BM68" s="1138"/>
      <c r="BN68" s="1087"/>
      <c r="BO68" s="1138"/>
      <c r="BP68" s="783">
        <f t="shared" si="40"/>
        <v>96</v>
      </c>
      <c r="BQ68" s="1405">
        <f t="shared" si="41"/>
        <v>0</v>
      </c>
      <c r="BR68" s="711">
        <f t="shared" si="43"/>
        <v>0</v>
      </c>
      <c r="BS68" s="784">
        <f t="shared" si="42"/>
        <v>17856</v>
      </c>
      <c r="BT68" s="1545"/>
    </row>
    <row r="69" ht="16.5" customHeight="1">
      <c r="A69" s="1565"/>
      <c r="B69" s="1786">
        <v>4024.0</v>
      </c>
      <c r="C69" s="1567">
        <v>98.0</v>
      </c>
      <c r="D69" s="1566" t="s">
        <v>70</v>
      </c>
      <c r="E69" s="1821" t="str">
        <f>'Матрица 4 недели'!G13</f>
        <v>Салат "Чешский" (колбаса п/к)</v>
      </c>
      <c r="F69" s="1120">
        <v>3.0</v>
      </c>
      <c r="G69" s="1121"/>
      <c r="H69" s="1120">
        <v>1.0</v>
      </c>
      <c r="I69" s="1121"/>
      <c r="J69" s="1120">
        <v>2.0</v>
      </c>
      <c r="K69" s="1121"/>
      <c r="L69" s="1120">
        <v>4.0</v>
      </c>
      <c r="M69" s="1121"/>
      <c r="N69" s="1120">
        <v>6.0</v>
      </c>
      <c r="O69" s="1121"/>
      <c r="P69" s="1120">
        <v>6.0</v>
      </c>
      <c r="Q69" s="1121"/>
      <c r="R69" s="1120">
        <v>2.0</v>
      </c>
      <c r="S69" s="1121"/>
      <c r="T69" s="1120">
        <v>2.0</v>
      </c>
      <c r="U69" s="1138"/>
      <c r="V69" s="1120">
        <v>2.0</v>
      </c>
      <c r="W69" s="1138"/>
      <c r="X69" s="1120">
        <v>2.0</v>
      </c>
      <c r="Y69" s="1138"/>
      <c r="Z69" s="1120"/>
      <c r="AA69" s="1138"/>
      <c r="AB69" s="1120">
        <v>1.0</v>
      </c>
      <c r="AC69" s="1138"/>
      <c r="AD69" s="1120">
        <v>3.0</v>
      </c>
      <c r="AE69" s="1138"/>
      <c r="AF69" s="1120">
        <v>4.0</v>
      </c>
      <c r="AG69" s="1138"/>
      <c r="AH69" s="1120">
        <v>2.0</v>
      </c>
      <c r="AI69" s="1138"/>
      <c r="AJ69" s="1120">
        <v>4.0</v>
      </c>
      <c r="AK69" s="1138"/>
      <c r="AL69" s="1120">
        <v>2.0</v>
      </c>
      <c r="AM69" s="1138"/>
      <c r="AN69" s="1120">
        <v>2.0</v>
      </c>
      <c r="AO69" s="1131"/>
      <c r="AP69" s="1120">
        <v>2.0</v>
      </c>
      <c r="AQ69" s="1131"/>
      <c r="AR69" s="1120">
        <v>5.0</v>
      </c>
      <c r="AS69" s="1138"/>
      <c r="AT69" s="1126">
        <v>4.0</v>
      </c>
      <c r="AU69" s="1138"/>
      <c r="AV69" s="1126">
        <v>0.0</v>
      </c>
      <c r="AW69" s="1138"/>
      <c r="AX69" s="1126">
        <v>2.0</v>
      </c>
      <c r="AY69" s="1138"/>
      <c r="AZ69" s="1126">
        <v>0.0</v>
      </c>
      <c r="BA69" s="1138"/>
      <c r="BB69" s="1126">
        <v>3.0</v>
      </c>
      <c r="BC69" s="1138"/>
      <c r="BD69" s="1126">
        <v>0.0</v>
      </c>
      <c r="BE69" s="1138"/>
      <c r="BF69" s="1126">
        <v>1.0</v>
      </c>
      <c r="BG69" s="1138"/>
      <c r="BH69" s="1126">
        <v>0.0</v>
      </c>
      <c r="BI69" s="1138"/>
      <c r="BJ69" s="1126">
        <v>3.0</v>
      </c>
      <c r="BK69" s="1138"/>
      <c r="BL69" s="1134">
        <v>44.0</v>
      </c>
      <c r="BM69" s="1138"/>
      <c r="BN69" s="1087"/>
      <c r="BO69" s="1138"/>
      <c r="BP69" s="783">
        <f t="shared" si="40"/>
        <v>113</v>
      </c>
      <c r="BQ69" s="1405">
        <f t="shared" si="41"/>
        <v>0</v>
      </c>
      <c r="BR69" s="711">
        <f t="shared" si="43"/>
        <v>0</v>
      </c>
      <c r="BS69" s="784">
        <f t="shared" si="42"/>
        <v>11074</v>
      </c>
      <c r="BT69" s="1545"/>
    </row>
    <row r="70" ht="16.5" customHeight="1">
      <c r="A70" s="1565"/>
      <c r="B70" s="1786">
        <v>3379.0</v>
      </c>
      <c r="C70" s="1567">
        <v>98.0</v>
      </c>
      <c r="D70" s="1786" t="s">
        <v>70</v>
      </c>
      <c r="E70" s="1821" t="str">
        <f>'Матрица 4 недели'!G14</f>
        <v>Салат ''Зайка'' 120 г</v>
      </c>
      <c r="F70" s="1120">
        <v>7.0</v>
      </c>
      <c r="G70" s="1121"/>
      <c r="H70" s="1120">
        <v>3.0</v>
      </c>
      <c r="I70" s="1121"/>
      <c r="J70" s="1120">
        <v>2.0</v>
      </c>
      <c r="K70" s="1121"/>
      <c r="L70" s="1120">
        <v>2.0</v>
      </c>
      <c r="M70" s="1121"/>
      <c r="N70" s="1120">
        <v>10.0</v>
      </c>
      <c r="O70" s="1121"/>
      <c r="P70" s="1120">
        <v>4.0</v>
      </c>
      <c r="Q70" s="1121"/>
      <c r="R70" s="1120">
        <v>5.0</v>
      </c>
      <c r="S70" s="1121"/>
      <c r="T70" s="1120">
        <v>2.0</v>
      </c>
      <c r="U70" s="1138"/>
      <c r="V70" s="1120">
        <v>2.0</v>
      </c>
      <c r="W70" s="1138"/>
      <c r="X70" s="1120">
        <v>2.0</v>
      </c>
      <c r="Y70" s="1138"/>
      <c r="Z70" s="1120"/>
      <c r="AA70" s="1138"/>
      <c r="AB70" s="1120">
        <v>1.0</v>
      </c>
      <c r="AC70" s="1138"/>
      <c r="AD70" s="1120">
        <v>4.0</v>
      </c>
      <c r="AE70" s="1138"/>
      <c r="AF70" s="1120">
        <v>6.0</v>
      </c>
      <c r="AG70" s="1138"/>
      <c r="AH70" s="1120">
        <v>2.0</v>
      </c>
      <c r="AI70" s="1138"/>
      <c r="AJ70" s="1120">
        <v>2.0</v>
      </c>
      <c r="AK70" s="1138"/>
      <c r="AL70" s="1120">
        <v>6.0</v>
      </c>
      <c r="AM70" s="1138"/>
      <c r="AN70" s="1120">
        <v>2.0</v>
      </c>
      <c r="AO70" s="1131"/>
      <c r="AP70" s="1120">
        <v>4.0</v>
      </c>
      <c r="AQ70" s="1131"/>
      <c r="AR70" s="1120">
        <v>12.0</v>
      </c>
      <c r="AS70" s="1138"/>
      <c r="AT70" s="1126">
        <v>6.0</v>
      </c>
      <c r="AU70" s="1138"/>
      <c r="AV70" s="1126">
        <v>2.0</v>
      </c>
      <c r="AW70" s="1138"/>
      <c r="AX70" s="1126">
        <v>3.0</v>
      </c>
      <c r="AY70" s="1138"/>
      <c r="AZ70" s="1126">
        <v>3.0</v>
      </c>
      <c r="BA70" s="1138"/>
      <c r="BB70" s="1126">
        <v>2.0</v>
      </c>
      <c r="BC70" s="1138"/>
      <c r="BD70" s="1126">
        <v>1.0</v>
      </c>
      <c r="BE70" s="1138"/>
      <c r="BF70" s="1126">
        <v>6.0</v>
      </c>
      <c r="BG70" s="1138"/>
      <c r="BH70" s="1126">
        <v>3.0</v>
      </c>
      <c r="BI70" s="1138"/>
      <c r="BJ70" s="1126">
        <v>4.0</v>
      </c>
      <c r="BK70" s="1138"/>
      <c r="BL70" s="1134">
        <v>43.0</v>
      </c>
      <c r="BM70" s="1138"/>
      <c r="BN70" s="1087"/>
      <c r="BO70" s="1138"/>
      <c r="BP70" s="783">
        <f t="shared" si="40"/>
        <v>152</v>
      </c>
      <c r="BQ70" s="1405">
        <f t="shared" si="41"/>
        <v>0</v>
      </c>
      <c r="BR70" s="711">
        <f t="shared" si="43"/>
        <v>0</v>
      </c>
      <c r="BS70" s="784">
        <f t="shared" si="42"/>
        <v>14896</v>
      </c>
      <c r="BT70" s="1545"/>
    </row>
    <row r="71" ht="16.5" customHeight="1">
      <c r="A71" s="1565"/>
      <c r="B71" s="1786">
        <v>3244.0</v>
      </c>
      <c r="C71" s="1567">
        <v>98.0</v>
      </c>
      <c r="D71" s="1786" t="s">
        <v>70</v>
      </c>
      <c r="E71" s="1821" t="str">
        <f>'Матрица 4 недели'!G15</f>
        <v>Салат ''Крабик'' с рисом</v>
      </c>
      <c r="F71" s="1120">
        <v>8.0</v>
      </c>
      <c r="G71" s="1121"/>
      <c r="H71" s="1120">
        <v>1.0</v>
      </c>
      <c r="I71" s="1121"/>
      <c r="J71" s="1120">
        <v>2.0</v>
      </c>
      <c r="K71" s="1121"/>
      <c r="L71" s="1120">
        <v>4.0</v>
      </c>
      <c r="M71" s="1121"/>
      <c r="N71" s="1120">
        <v>4.0</v>
      </c>
      <c r="O71" s="1121"/>
      <c r="P71" s="1120">
        <v>7.0</v>
      </c>
      <c r="Q71" s="1121"/>
      <c r="R71" s="1120">
        <v>3.0</v>
      </c>
      <c r="S71" s="1121"/>
      <c r="T71" s="1120">
        <v>5.0</v>
      </c>
      <c r="U71" s="1138"/>
      <c r="V71" s="1120">
        <v>4.0</v>
      </c>
      <c r="W71" s="1138"/>
      <c r="X71" s="1120">
        <v>2.0</v>
      </c>
      <c r="Y71" s="1138"/>
      <c r="Z71" s="1120"/>
      <c r="AA71" s="1121"/>
      <c r="AB71" s="1120">
        <v>3.0</v>
      </c>
      <c r="AC71" s="1127"/>
      <c r="AD71" s="1120">
        <v>3.0</v>
      </c>
      <c r="AE71" s="1127"/>
      <c r="AF71" s="1120">
        <v>5.0</v>
      </c>
      <c r="AG71" s="1138"/>
      <c r="AH71" s="1120">
        <v>3.0</v>
      </c>
      <c r="AI71" s="1138"/>
      <c r="AJ71" s="1120">
        <v>6.0</v>
      </c>
      <c r="AK71" s="1127"/>
      <c r="AL71" s="1120">
        <v>6.0</v>
      </c>
      <c r="AM71" s="1127"/>
      <c r="AN71" s="1120">
        <v>2.0</v>
      </c>
      <c r="AO71" s="1131"/>
      <c r="AP71" s="1120">
        <v>9.0</v>
      </c>
      <c r="AQ71" s="1131"/>
      <c r="AR71" s="1120">
        <v>11.0</v>
      </c>
      <c r="AS71" s="1138"/>
      <c r="AT71" s="1126">
        <v>5.0</v>
      </c>
      <c r="AU71" s="1138"/>
      <c r="AV71" s="1126">
        <v>2.0</v>
      </c>
      <c r="AW71" s="1138"/>
      <c r="AX71" s="1126">
        <v>8.0</v>
      </c>
      <c r="AY71" s="1138"/>
      <c r="AZ71" s="1126">
        <v>2.0</v>
      </c>
      <c r="BA71" s="1138"/>
      <c r="BB71" s="1126">
        <v>3.0</v>
      </c>
      <c r="BC71" s="1138"/>
      <c r="BD71" s="1126">
        <v>3.0</v>
      </c>
      <c r="BE71" s="1138"/>
      <c r="BF71" s="1126">
        <v>8.0</v>
      </c>
      <c r="BG71" s="1138"/>
      <c r="BH71" s="1126">
        <v>2.0</v>
      </c>
      <c r="BI71" s="1138"/>
      <c r="BJ71" s="1126">
        <v>6.0</v>
      </c>
      <c r="BK71" s="1138"/>
      <c r="BL71" s="1134">
        <v>43.0</v>
      </c>
      <c r="BM71" s="1138"/>
      <c r="BN71" s="1087"/>
      <c r="BO71" s="1138"/>
      <c r="BP71" s="783">
        <f t="shared" si="40"/>
        <v>171</v>
      </c>
      <c r="BQ71" s="1405">
        <f t="shared" si="41"/>
        <v>0</v>
      </c>
      <c r="BR71" s="711">
        <f t="shared" si="43"/>
        <v>0</v>
      </c>
      <c r="BS71" s="784">
        <f t="shared" si="42"/>
        <v>16758</v>
      </c>
      <c r="BT71" s="1545"/>
    </row>
    <row r="72" ht="16.5" customHeight="1">
      <c r="A72" s="1565"/>
      <c r="B72" s="1786">
        <v>3343.0</v>
      </c>
      <c r="C72" s="1567">
        <v>272.0</v>
      </c>
      <c r="D72" s="1832" t="s">
        <v>537</v>
      </c>
      <c r="E72" s="1821" t="str">
        <f>'Матрица 4 недели'!G16</f>
        <v>Боул с тунцом , бобами эдамаме и овощами</v>
      </c>
      <c r="F72" s="1120">
        <v>4.0</v>
      </c>
      <c r="G72" s="1121"/>
      <c r="H72" s="1120">
        <v>1.0</v>
      </c>
      <c r="I72" s="1121"/>
      <c r="J72" s="1120">
        <v>5.0</v>
      </c>
      <c r="K72" s="1121"/>
      <c r="L72" s="1126">
        <v>3.0</v>
      </c>
      <c r="M72" s="1121"/>
      <c r="N72" s="1120">
        <v>4.0</v>
      </c>
      <c r="O72" s="1121"/>
      <c r="P72" s="1120">
        <v>2.0</v>
      </c>
      <c r="Q72" s="1121"/>
      <c r="R72" s="1120">
        <v>1.0</v>
      </c>
      <c r="S72" s="1121"/>
      <c r="T72" s="1120">
        <v>1.0</v>
      </c>
      <c r="U72" s="1121"/>
      <c r="V72" s="1120">
        <v>2.0</v>
      </c>
      <c r="W72" s="1121"/>
      <c r="X72" s="1120">
        <v>0.0</v>
      </c>
      <c r="Y72" s="1121"/>
      <c r="Z72" s="1137"/>
      <c r="AA72" s="1121"/>
      <c r="AB72" s="1120">
        <v>2.0</v>
      </c>
      <c r="AC72" s="1121"/>
      <c r="AD72" s="1120">
        <v>0.0</v>
      </c>
      <c r="AE72" s="1121"/>
      <c r="AF72" s="1120">
        <v>3.0</v>
      </c>
      <c r="AG72" s="1121"/>
      <c r="AH72" s="1120">
        <v>2.0</v>
      </c>
      <c r="AI72" s="1121"/>
      <c r="AJ72" s="1120">
        <v>1.0</v>
      </c>
      <c r="AK72" s="1121"/>
      <c r="AL72" s="1120">
        <v>0.0</v>
      </c>
      <c r="AM72" s="1121"/>
      <c r="AN72" s="1120">
        <v>2.0</v>
      </c>
      <c r="AO72" s="1138"/>
      <c r="AP72" s="1126">
        <v>2.0</v>
      </c>
      <c r="AQ72" s="1121"/>
      <c r="AR72" s="1126">
        <v>2.0</v>
      </c>
      <c r="AS72" s="1121"/>
      <c r="AT72" s="1126">
        <v>2.0</v>
      </c>
      <c r="AU72" s="1121"/>
      <c r="AV72" s="1126">
        <v>2.0</v>
      </c>
      <c r="AW72" s="1121"/>
      <c r="AX72" s="1126">
        <v>3.0</v>
      </c>
      <c r="AY72" s="1121"/>
      <c r="AZ72" s="1126">
        <v>1.0</v>
      </c>
      <c r="BA72" s="1121"/>
      <c r="BB72" s="1126">
        <v>0.0</v>
      </c>
      <c r="BC72" s="1127"/>
      <c r="BD72" s="1126">
        <v>1.0</v>
      </c>
      <c r="BE72" s="1127"/>
      <c r="BF72" s="1126">
        <v>2.0</v>
      </c>
      <c r="BG72" s="1127"/>
      <c r="BH72" s="1126">
        <v>2.0</v>
      </c>
      <c r="BI72" s="1127"/>
      <c r="BJ72" s="1126">
        <v>5.0</v>
      </c>
      <c r="BK72" s="1121"/>
      <c r="BL72" s="1134"/>
      <c r="BM72" s="1776"/>
      <c r="BN72" s="1654"/>
      <c r="BO72" s="1776"/>
      <c r="BP72" s="783">
        <f t="shared" si="40"/>
        <v>56</v>
      </c>
      <c r="BQ72" s="1405">
        <f t="shared" si="41"/>
        <v>0</v>
      </c>
      <c r="BR72" s="711">
        <f t="shared" si="43"/>
        <v>0</v>
      </c>
      <c r="BS72" s="784">
        <f t="shared" si="42"/>
        <v>15232</v>
      </c>
      <c r="BT72" s="1545"/>
    </row>
    <row r="73" ht="16.5" customHeight="1">
      <c r="A73" s="1565"/>
      <c r="B73" s="1786">
        <v>8.0</v>
      </c>
      <c r="C73" s="1567">
        <v>104.0</v>
      </c>
      <c r="D73" s="1786" t="s">
        <v>74</v>
      </c>
      <c r="E73" s="1821" t="str">
        <f>'Матрица 4 недели'!J13</f>
        <v>Суп гороховый 250 мл</v>
      </c>
      <c r="F73" s="1137"/>
      <c r="G73" s="1138"/>
      <c r="H73" s="1126"/>
      <c r="I73" s="1138"/>
      <c r="J73" s="1126"/>
      <c r="K73" s="1138"/>
      <c r="L73" s="1126"/>
      <c r="M73" s="1138"/>
      <c r="N73" s="1126"/>
      <c r="O73" s="1138"/>
      <c r="P73" s="1126"/>
      <c r="Q73" s="1142"/>
      <c r="R73" s="1126"/>
      <c r="S73" s="1121"/>
      <c r="T73" s="1137"/>
      <c r="U73" s="1121"/>
      <c r="V73" s="1137"/>
      <c r="W73" s="1121"/>
      <c r="X73" s="1137"/>
      <c r="Y73" s="1121"/>
      <c r="Z73" s="1120"/>
      <c r="AA73" s="1121"/>
      <c r="AB73" s="1120"/>
      <c r="AC73" s="1121"/>
      <c r="AD73" s="1120"/>
      <c r="AE73" s="1121"/>
      <c r="AF73" s="1137"/>
      <c r="AG73" s="1121"/>
      <c r="AH73" s="1120"/>
      <c r="AI73" s="1121"/>
      <c r="AJ73" s="1120"/>
      <c r="AK73" s="1121"/>
      <c r="AL73" s="1137"/>
      <c r="AM73" s="1121"/>
      <c r="AN73" s="1137"/>
      <c r="AO73" s="1131"/>
      <c r="AP73" s="1137"/>
      <c r="AQ73" s="1131"/>
      <c r="AR73" s="1137"/>
      <c r="AS73" s="1138"/>
      <c r="AT73" s="1126"/>
      <c r="AU73" s="1138"/>
      <c r="AV73" s="1126"/>
      <c r="AW73" s="1138"/>
      <c r="AX73" s="1126"/>
      <c r="AY73" s="1138"/>
      <c r="AZ73" s="1126"/>
      <c r="BA73" s="1138"/>
      <c r="BB73" s="1126"/>
      <c r="BC73" s="1138"/>
      <c r="BD73" s="1126"/>
      <c r="BE73" s="1138"/>
      <c r="BF73" s="1126"/>
      <c r="BG73" s="1138"/>
      <c r="BH73" s="1126"/>
      <c r="BI73" s="1138"/>
      <c r="BJ73" s="1126"/>
      <c r="BK73" s="1138"/>
      <c r="BL73" s="1139">
        <v>110.0</v>
      </c>
      <c r="BM73" s="1138"/>
      <c r="BN73" s="1087"/>
      <c r="BO73" s="1138"/>
      <c r="BP73" s="783">
        <f t="shared" si="40"/>
        <v>111</v>
      </c>
      <c r="BQ73" s="1774">
        <f t="shared" si="41"/>
        <v>0</v>
      </c>
      <c r="BR73" s="711">
        <f t="shared" si="43"/>
        <v>0</v>
      </c>
      <c r="BS73" s="784">
        <f t="shared" si="42"/>
        <v>11544</v>
      </c>
      <c r="BT73" s="1545"/>
    </row>
    <row r="74" ht="16.5" customHeight="1">
      <c r="A74" s="1565"/>
      <c r="B74" s="1786"/>
      <c r="C74" s="1567"/>
      <c r="D74" s="1786"/>
      <c r="E74" s="1821" t="str">
        <f>'Матрица 4 недели'!J14</f>
        <v/>
      </c>
      <c r="F74" s="1143"/>
      <c r="G74" s="1307"/>
      <c r="H74" s="1141"/>
      <c r="I74" s="1307"/>
      <c r="J74" s="1141"/>
      <c r="K74" s="1307"/>
      <c r="L74" s="1141"/>
      <c r="M74" s="1307"/>
      <c r="N74" s="1141"/>
      <c r="O74" s="1307"/>
      <c r="P74" s="1141"/>
      <c r="Q74" s="1142"/>
      <c r="R74" s="1126"/>
      <c r="S74" s="1121"/>
      <c r="T74" s="1143"/>
      <c r="U74" s="1121"/>
      <c r="V74" s="1143"/>
      <c r="W74" s="1305"/>
      <c r="X74" s="1143"/>
      <c r="Y74" s="1121"/>
      <c r="Z74" s="1302"/>
      <c r="AA74" s="1121"/>
      <c r="AB74" s="1302"/>
      <c r="AC74" s="1121"/>
      <c r="AD74" s="1302"/>
      <c r="AE74" s="1121"/>
      <c r="AF74" s="1143"/>
      <c r="AG74" s="1121"/>
      <c r="AH74" s="1302"/>
      <c r="AI74" s="1121"/>
      <c r="AJ74" s="1302"/>
      <c r="AK74" s="1121"/>
      <c r="AL74" s="1143"/>
      <c r="AM74" s="1121"/>
      <c r="AN74" s="1137"/>
      <c r="AO74" s="1131"/>
      <c r="AP74" s="1137"/>
      <c r="AQ74" s="1131"/>
      <c r="AR74" s="1137"/>
      <c r="AS74" s="1138"/>
      <c r="AT74" s="1126"/>
      <c r="AU74" s="1138"/>
      <c r="AV74" s="1126"/>
      <c r="AW74" s="1138"/>
      <c r="AX74" s="1126"/>
      <c r="AY74" s="1138"/>
      <c r="AZ74" s="1126"/>
      <c r="BA74" s="1138"/>
      <c r="BB74" s="1126"/>
      <c r="BC74" s="1138"/>
      <c r="BD74" s="1126"/>
      <c r="BE74" s="1138"/>
      <c r="BF74" s="1126"/>
      <c r="BG74" s="1138"/>
      <c r="BH74" s="1126"/>
      <c r="BI74" s="1138"/>
      <c r="BJ74" s="1126"/>
      <c r="BK74" s="1138"/>
      <c r="BL74" s="1139"/>
      <c r="BM74" s="1138"/>
      <c r="BN74" s="1087"/>
      <c r="BO74" s="1138"/>
      <c r="BP74" s="783">
        <f t="shared" si="40"/>
        <v>1</v>
      </c>
      <c r="BQ74" s="1774">
        <f t="shared" si="41"/>
        <v>0</v>
      </c>
      <c r="BR74" s="711">
        <f t="shared" si="43"/>
        <v>0</v>
      </c>
      <c r="BS74" s="784">
        <f t="shared" si="42"/>
        <v>0</v>
      </c>
      <c r="BT74" s="1545"/>
    </row>
    <row r="75" ht="16.5" customHeight="1">
      <c r="A75" s="1565"/>
      <c r="B75" s="1786">
        <v>48.0</v>
      </c>
      <c r="C75" s="1567">
        <v>237.0</v>
      </c>
      <c r="D75" s="1786" t="s">
        <v>77</v>
      </c>
      <c r="E75" s="1821" t="str">
        <f>'Матрица 4 недели'!M13</f>
        <v>Голубец с картофельным пюре</v>
      </c>
      <c r="F75" s="1284">
        <v>10.0</v>
      </c>
      <c r="G75" s="1285"/>
      <c r="H75" s="1284">
        <v>2.0</v>
      </c>
      <c r="I75" s="1285"/>
      <c r="J75" s="1284">
        <v>4.0</v>
      </c>
      <c r="K75" s="1285"/>
      <c r="L75" s="1284">
        <v>3.0</v>
      </c>
      <c r="M75" s="1285"/>
      <c r="N75" s="1284">
        <v>8.0</v>
      </c>
      <c r="O75" s="1285"/>
      <c r="P75" s="1284">
        <v>4.0</v>
      </c>
      <c r="Q75" s="1142"/>
      <c r="R75" s="1286">
        <v>1.0</v>
      </c>
      <c r="S75" s="1142"/>
      <c r="T75" s="1284">
        <v>2.0</v>
      </c>
      <c r="U75" s="1142"/>
      <c r="V75" s="1287">
        <v>2.0</v>
      </c>
      <c r="W75" s="1288"/>
      <c r="X75" s="1284">
        <v>3.0</v>
      </c>
      <c r="Y75" s="1834"/>
      <c r="Z75" s="1284"/>
      <c r="AA75" s="1835"/>
      <c r="AB75" s="1284">
        <v>2.0</v>
      </c>
      <c r="AC75" s="1131"/>
      <c r="AD75" s="1284">
        <v>5.0</v>
      </c>
      <c r="AE75" s="1834"/>
      <c r="AF75" s="1284">
        <v>5.0</v>
      </c>
      <c r="AG75" s="1834"/>
      <c r="AH75" s="1284">
        <v>4.0</v>
      </c>
      <c r="AI75" s="1834"/>
      <c r="AJ75" s="1284">
        <v>4.0</v>
      </c>
      <c r="AK75" s="1834"/>
      <c r="AL75" s="1284">
        <v>4.0</v>
      </c>
      <c r="AM75" s="1138"/>
      <c r="AN75" s="1126">
        <v>3.0</v>
      </c>
      <c r="AO75" s="1131"/>
      <c r="AP75" s="1126">
        <v>1.0</v>
      </c>
      <c r="AQ75" s="1131"/>
      <c r="AR75" s="1126">
        <v>9.0</v>
      </c>
      <c r="AS75" s="1138"/>
      <c r="AT75" s="1126">
        <v>6.0</v>
      </c>
      <c r="AU75" s="1138"/>
      <c r="AV75" s="1126">
        <v>3.0</v>
      </c>
      <c r="AW75" s="1138"/>
      <c r="AX75" s="1126">
        <v>3.0</v>
      </c>
      <c r="AY75" s="1138"/>
      <c r="AZ75" s="1126">
        <v>4.0</v>
      </c>
      <c r="BA75" s="1138"/>
      <c r="BB75" s="1126">
        <v>2.0</v>
      </c>
      <c r="BC75" s="1138"/>
      <c r="BD75" s="1126">
        <v>3.0</v>
      </c>
      <c r="BE75" s="1138"/>
      <c r="BF75" s="1126">
        <v>2.0</v>
      </c>
      <c r="BG75" s="1138"/>
      <c r="BH75" s="1137">
        <v>4.0</v>
      </c>
      <c r="BI75" s="1138"/>
      <c r="BJ75" s="1126">
        <v>5.0</v>
      </c>
      <c r="BK75" s="1138"/>
      <c r="BL75" s="1134"/>
      <c r="BM75" s="1138"/>
      <c r="BN75" s="1087">
        <v>10.0</v>
      </c>
      <c r="BO75" s="1138"/>
      <c r="BP75" s="1773">
        <f t="shared" si="40"/>
        <v>109</v>
      </c>
      <c r="BQ75" s="1774">
        <f t="shared" si="41"/>
        <v>0</v>
      </c>
      <c r="BR75" s="711">
        <f t="shared" si="43"/>
        <v>0</v>
      </c>
      <c r="BS75" s="784">
        <f t="shared" si="42"/>
        <v>25833</v>
      </c>
      <c r="BT75" s="1545"/>
    </row>
    <row r="76" ht="16.5" customHeight="1">
      <c r="A76" s="1565"/>
      <c r="B76" s="1786">
        <v>3407.0</v>
      </c>
      <c r="C76" s="1567">
        <v>208.0</v>
      </c>
      <c r="D76" s="1786" t="s">
        <v>77</v>
      </c>
      <c r="E76" s="1410" t="str">
        <f>'Матрица 4 недели'!M14</f>
        <v>Минтай в кляре с булгуром</v>
      </c>
      <c r="F76" s="1120">
        <v>3.0</v>
      </c>
      <c r="G76" s="1121"/>
      <c r="H76" s="1120">
        <v>3.0</v>
      </c>
      <c r="I76" s="1121"/>
      <c r="J76" s="1120">
        <v>4.0</v>
      </c>
      <c r="K76" s="1121"/>
      <c r="L76" s="1126">
        <v>3.0</v>
      </c>
      <c r="M76" s="1121"/>
      <c r="N76" s="1120">
        <v>8.0</v>
      </c>
      <c r="O76" s="1121"/>
      <c r="P76" s="1120">
        <v>7.0</v>
      </c>
      <c r="Q76" s="1121"/>
      <c r="R76" s="1120">
        <v>2.0</v>
      </c>
      <c r="S76" s="1121"/>
      <c r="T76" s="1120">
        <v>3.0</v>
      </c>
      <c r="U76" s="1121"/>
      <c r="V76" s="1120">
        <v>3.0</v>
      </c>
      <c r="W76" s="1121"/>
      <c r="X76" s="1120">
        <v>7.0</v>
      </c>
      <c r="Y76" s="1121"/>
      <c r="Z76" s="1120"/>
      <c r="AA76" s="1121"/>
      <c r="AB76" s="1120">
        <v>4.0</v>
      </c>
      <c r="AC76" s="1121"/>
      <c r="AD76" s="1120">
        <v>4.0</v>
      </c>
      <c r="AE76" s="1121"/>
      <c r="AF76" s="1120">
        <v>6.0</v>
      </c>
      <c r="AG76" s="1121"/>
      <c r="AH76" s="1120">
        <v>2.0</v>
      </c>
      <c r="AI76" s="1121"/>
      <c r="AJ76" s="1120">
        <v>4.0</v>
      </c>
      <c r="AK76" s="1121"/>
      <c r="AL76" s="1120">
        <v>3.0</v>
      </c>
      <c r="AM76" s="1121"/>
      <c r="AN76" s="1120">
        <v>3.0</v>
      </c>
      <c r="AO76" s="1131"/>
      <c r="AP76" s="1120">
        <v>2.0</v>
      </c>
      <c r="AQ76" s="1131"/>
      <c r="AR76" s="1120">
        <v>7.0</v>
      </c>
      <c r="AS76" s="1121"/>
      <c r="AT76" s="1126">
        <v>2.0</v>
      </c>
      <c r="AU76" s="1121"/>
      <c r="AV76" s="1126">
        <v>2.0</v>
      </c>
      <c r="AW76" s="1121"/>
      <c r="AX76" s="1126">
        <v>3.0</v>
      </c>
      <c r="AY76" s="1121"/>
      <c r="AZ76" s="1126">
        <v>3.0</v>
      </c>
      <c r="BA76" s="1121"/>
      <c r="BB76" s="1137">
        <v>3.0</v>
      </c>
      <c r="BC76" s="1121"/>
      <c r="BD76" s="1137">
        <v>4.0</v>
      </c>
      <c r="BE76" s="1121"/>
      <c r="BF76" s="1137">
        <v>5.0</v>
      </c>
      <c r="BG76" s="1121"/>
      <c r="BH76" s="1137">
        <v>2.0</v>
      </c>
      <c r="BI76" s="1121"/>
      <c r="BJ76" s="1126">
        <v>6.0</v>
      </c>
      <c r="BK76" s="1121"/>
      <c r="BL76" s="1134"/>
      <c r="BM76" s="1776"/>
      <c r="BN76" s="1654"/>
      <c r="BO76" s="1776"/>
      <c r="BP76" s="783">
        <f t="shared" si="40"/>
        <v>109</v>
      </c>
      <c r="BQ76" s="1405">
        <f t="shared" si="41"/>
        <v>0</v>
      </c>
      <c r="BR76" s="711">
        <f t="shared" si="43"/>
        <v>0</v>
      </c>
      <c r="BS76" s="784">
        <f t="shared" si="42"/>
        <v>22672</v>
      </c>
      <c r="BT76" s="1545"/>
    </row>
    <row r="77" ht="16.5" customHeight="1">
      <c r="A77" s="1565"/>
      <c r="B77" s="1786">
        <v>4030.0</v>
      </c>
      <c r="C77" s="1567">
        <v>204.0</v>
      </c>
      <c r="D77" s="1786" t="s">
        <v>77</v>
      </c>
      <c r="E77" s="1410" t="str">
        <f>'Матрица 4 недели'!M15</f>
        <v>Курочка с овощной сальсой и спагетти</v>
      </c>
      <c r="F77" s="1120">
        <v>13.0</v>
      </c>
      <c r="G77" s="1121"/>
      <c r="H77" s="1120">
        <v>3.0</v>
      </c>
      <c r="I77" s="1121"/>
      <c r="J77" s="1120">
        <v>4.0</v>
      </c>
      <c r="K77" s="1121"/>
      <c r="L77" s="1126">
        <v>5.0</v>
      </c>
      <c r="M77" s="1121"/>
      <c r="N77" s="1120">
        <v>12.0</v>
      </c>
      <c r="O77" s="1121"/>
      <c r="P77" s="1120">
        <v>10.0</v>
      </c>
      <c r="Q77" s="1121"/>
      <c r="R77" s="1120">
        <v>6.0</v>
      </c>
      <c r="S77" s="1121"/>
      <c r="T77" s="1120">
        <v>7.0</v>
      </c>
      <c r="U77" s="1121"/>
      <c r="V77" s="1120">
        <v>8.0</v>
      </c>
      <c r="W77" s="1121"/>
      <c r="X77" s="1120">
        <v>3.0</v>
      </c>
      <c r="Y77" s="1121"/>
      <c r="Z77" s="1120"/>
      <c r="AA77" s="1121"/>
      <c r="AB77" s="1120">
        <v>4.0</v>
      </c>
      <c r="AC77" s="1121"/>
      <c r="AD77" s="1120">
        <v>4.0</v>
      </c>
      <c r="AE77" s="1127"/>
      <c r="AF77" s="1120">
        <v>6.0</v>
      </c>
      <c r="AG77" s="1127"/>
      <c r="AH77" s="1120">
        <v>3.0</v>
      </c>
      <c r="AI77" s="1127"/>
      <c r="AJ77" s="1120">
        <v>4.0</v>
      </c>
      <c r="AK77" s="1127"/>
      <c r="AL77" s="1120">
        <v>4.0</v>
      </c>
      <c r="AM77" s="1127"/>
      <c r="AN77" s="1120">
        <v>3.0</v>
      </c>
      <c r="AO77" s="1121"/>
      <c r="AP77" s="1120">
        <v>3.0</v>
      </c>
      <c r="AQ77" s="1131"/>
      <c r="AR77" s="1120">
        <v>8.0</v>
      </c>
      <c r="AS77" s="1121"/>
      <c r="AT77" s="1126">
        <v>7.0</v>
      </c>
      <c r="AU77" s="1121"/>
      <c r="AV77" s="1126">
        <v>3.0</v>
      </c>
      <c r="AW77" s="1121"/>
      <c r="AX77" s="1126">
        <v>6.0</v>
      </c>
      <c r="AY77" s="1121"/>
      <c r="AZ77" s="1126">
        <v>3.0</v>
      </c>
      <c r="BA77" s="1121"/>
      <c r="BB77" s="1137">
        <v>3.0</v>
      </c>
      <c r="BC77" s="1121"/>
      <c r="BD77" s="1137">
        <v>3.0</v>
      </c>
      <c r="BE77" s="1121"/>
      <c r="BF77" s="1137">
        <v>8.0</v>
      </c>
      <c r="BG77" s="1121"/>
      <c r="BH77" s="1137">
        <v>4.0</v>
      </c>
      <c r="BI77" s="1121"/>
      <c r="BJ77" s="1126">
        <v>7.0</v>
      </c>
      <c r="BK77" s="1121"/>
      <c r="BL77" s="1134"/>
      <c r="BM77" s="1776"/>
      <c r="BN77" s="1654">
        <v>10.0</v>
      </c>
      <c r="BO77" s="1776"/>
      <c r="BP77" s="783">
        <f t="shared" si="40"/>
        <v>155</v>
      </c>
      <c r="BQ77" s="1405">
        <f t="shared" si="41"/>
        <v>0</v>
      </c>
      <c r="BR77" s="711">
        <f t="shared" si="43"/>
        <v>0</v>
      </c>
      <c r="BS77" s="784">
        <f t="shared" si="42"/>
        <v>31620</v>
      </c>
      <c r="BT77" s="1545"/>
    </row>
    <row r="78" ht="16.5" customHeight="1">
      <c r="A78" s="1565"/>
      <c r="B78" s="1786">
        <v>886.0</v>
      </c>
      <c r="C78" s="1567">
        <v>198.0</v>
      </c>
      <c r="D78" s="1786" t="s">
        <v>77</v>
      </c>
      <c r="E78" s="1821" t="str">
        <f>'Матрица 4 недели'!M16</f>
        <v>Бедро запеченное с гречкой</v>
      </c>
      <c r="F78" s="1137"/>
      <c r="G78" s="1121"/>
      <c r="H78" s="1126"/>
      <c r="I78" s="1121"/>
      <c r="J78" s="1126"/>
      <c r="K78" s="1600"/>
      <c r="L78" s="1161"/>
      <c r="M78" s="1600"/>
      <c r="N78" s="1126"/>
      <c r="O78" s="1121"/>
      <c r="P78" s="1126"/>
      <c r="Q78" s="1121"/>
      <c r="R78" s="1126"/>
      <c r="S78" s="1121"/>
      <c r="T78" s="1126"/>
      <c r="U78" s="1138"/>
      <c r="V78" s="1137"/>
      <c r="W78" s="1138"/>
      <c r="X78" s="1137"/>
      <c r="Y78" s="1138"/>
      <c r="Z78" s="1137"/>
      <c r="AA78" s="1138"/>
      <c r="AB78" s="1137"/>
      <c r="AC78" s="1138"/>
      <c r="AD78" s="1137"/>
      <c r="AE78" s="1138"/>
      <c r="AF78" s="1137"/>
      <c r="AG78" s="1138"/>
      <c r="AH78" s="1137"/>
      <c r="AI78" s="1138"/>
      <c r="AJ78" s="1137"/>
      <c r="AK78" s="1138"/>
      <c r="AL78" s="1120"/>
      <c r="AM78" s="1138"/>
      <c r="AN78" s="1120"/>
      <c r="AO78" s="1131"/>
      <c r="AP78" s="1120"/>
      <c r="AQ78" s="1131"/>
      <c r="AR78" s="1120"/>
      <c r="AS78" s="1305"/>
      <c r="AT78" s="1141"/>
      <c r="AU78" s="1305"/>
      <c r="AV78" s="1141"/>
      <c r="AW78" s="1305"/>
      <c r="AX78" s="1141"/>
      <c r="AY78" s="1305"/>
      <c r="AZ78" s="1141"/>
      <c r="BA78" s="1305"/>
      <c r="BB78" s="1141"/>
      <c r="BC78" s="1305"/>
      <c r="BD78" s="1141"/>
      <c r="BE78" s="1305"/>
      <c r="BF78" s="1141"/>
      <c r="BG78" s="1305"/>
      <c r="BH78" s="1141"/>
      <c r="BI78" s="1305"/>
      <c r="BJ78" s="1141"/>
      <c r="BK78" s="1305"/>
      <c r="BL78" s="1513">
        <v>30.0</v>
      </c>
      <c r="BM78" s="1784"/>
      <c r="BN78" s="1785"/>
      <c r="BO78" s="1784"/>
      <c r="BP78" s="783">
        <f t="shared" si="40"/>
        <v>31</v>
      </c>
      <c r="BQ78" s="1405">
        <f t="shared" si="41"/>
        <v>0</v>
      </c>
      <c r="BR78" s="711">
        <f t="shared" si="43"/>
        <v>0</v>
      </c>
      <c r="BS78" s="784">
        <f t="shared" si="42"/>
        <v>6138</v>
      </c>
      <c r="BT78" s="1545"/>
    </row>
    <row r="79" ht="16.5" customHeight="1">
      <c r="A79" s="1565"/>
      <c r="B79" s="1786">
        <v>958.0</v>
      </c>
      <c r="C79" s="1567">
        <v>193.0</v>
      </c>
      <c r="D79" s="1786" t="s">
        <v>77</v>
      </c>
      <c r="E79" s="1821" t="str">
        <f>'Матрица 4 недели'!M17</f>
        <v>Поджарка из курицы с рисом</v>
      </c>
      <c r="F79" s="1137">
        <v>5.0</v>
      </c>
      <c r="G79" s="1121"/>
      <c r="H79" s="1126">
        <v>3.0</v>
      </c>
      <c r="I79" s="1121"/>
      <c r="J79" s="1126">
        <v>4.0</v>
      </c>
      <c r="K79" s="1600"/>
      <c r="L79" s="1161">
        <v>4.0</v>
      </c>
      <c r="M79" s="1600"/>
      <c r="N79" s="1126">
        <v>6.0</v>
      </c>
      <c r="O79" s="1121"/>
      <c r="P79" s="1126">
        <v>8.0</v>
      </c>
      <c r="Q79" s="1121"/>
      <c r="R79" s="1126">
        <v>2.0</v>
      </c>
      <c r="S79" s="1121"/>
      <c r="T79" s="1126">
        <v>4.0</v>
      </c>
      <c r="U79" s="1138"/>
      <c r="V79" s="1137">
        <v>5.0</v>
      </c>
      <c r="W79" s="1138"/>
      <c r="X79" s="1137">
        <v>6.0</v>
      </c>
      <c r="Y79" s="1138"/>
      <c r="Z79" s="1137"/>
      <c r="AA79" s="1138"/>
      <c r="AB79" s="1137">
        <v>5.0</v>
      </c>
      <c r="AC79" s="1138"/>
      <c r="AD79" s="1137">
        <v>5.0</v>
      </c>
      <c r="AE79" s="1138"/>
      <c r="AF79" s="1137">
        <v>2.0</v>
      </c>
      <c r="AG79" s="1138"/>
      <c r="AH79" s="1137">
        <v>5.0</v>
      </c>
      <c r="AI79" s="1138"/>
      <c r="AJ79" s="1137">
        <v>4.0</v>
      </c>
      <c r="AK79" s="1138"/>
      <c r="AL79" s="1120">
        <v>2.0</v>
      </c>
      <c r="AM79" s="1138"/>
      <c r="AN79" s="1120">
        <v>3.0</v>
      </c>
      <c r="AO79" s="1131"/>
      <c r="AP79" s="1120">
        <v>2.0</v>
      </c>
      <c r="AQ79" s="1131"/>
      <c r="AR79" s="1120">
        <v>5.0</v>
      </c>
      <c r="AS79" s="1305"/>
      <c r="AT79" s="1141">
        <v>8.0</v>
      </c>
      <c r="AU79" s="1305"/>
      <c r="AV79" s="1141">
        <v>3.0</v>
      </c>
      <c r="AW79" s="1305"/>
      <c r="AX79" s="1141">
        <v>5.0</v>
      </c>
      <c r="AY79" s="1305"/>
      <c r="AZ79" s="1141">
        <v>1.0</v>
      </c>
      <c r="BA79" s="1305"/>
      <c r="BB79" s="1141">
        <v>3.0</v>
      </c>
      <c r="BC79" s="1305"/>
      <c r="BD79" s="1141">
        <v>2.0</v>
      </c>
      <c r="BE79" s="1305"/>
      <c r="BF79" s="1141">
        <v>6.0</v>
      </c>
      <c r="BG79" s="1305"/>
      <c r="BH79" s="1141">
        <v>5.0</v>
      </c>
      <c r="BI79" s="1305"/>
      <c r="BJ79" s="1141">
        <v>7.0</v>
      </c>
      <c r="BK79" s="1305"/>
      <c r="BL79" s="1513">
        <v>30.0</v>
      </c>
      <c r="BM79" s="1784"/>
      <c r="BN79" s="1785"/>
      <c r="BO79" s="1784"/>
      <c r="BP79" s="783">
        <f t="shared" si="40"/>
        <v>151</v>
      </c>
      <c r="BQ79" s="1405">
        <f t="shared" si="41"/>
        <v>0</v>
      </c>
      <c r="BR79" s="711">
        <f t="shared" si="43"/>
        <v>0</v>
      </c>
      <c r="BS79" s="784">
        <f t="shared" si="42"/>
        <v>29143</v>
      </c>
      <c r="BT79" s="1545"/>
    </row>
    <row r="80" ht="16.5" customHeight="1">
      <c r="A80" s="1565"/>
      <c r="B80" s="1786">
        <v>4029.0</v>
      </c>
      <c r="C80" s="1567">
        <v>198.0</v>
      </c>
      <c r="D80" s="1832" t="s">
        <v>77</v>
      </c>
      <c r="E80" s="1821" t="str">
        <f>'Матрица 4 недели'!M18</f>
        <v>Жаркое по-домашнему со свининой</v>
      </c>
      <c r="F80" s="1137"/>
      <c r="G80" s="1121"/>
      <c r="H80" s="1126"/>
      <c r="I80" s="1121"/>
      <c r="J80" s="1126"/>
      <c r="K80" s="1600"/>
      <c r="L80" s="1161"/>
      <c r="M80" s="1600"/>
      <c r="N80" s="1126"/>
      <c r="O80" s="1121"/>
      <c r="P80" s="1126"/>
      <c r="Q80" s="1121"/>
      <c r="R80" s="1126"/>
      <c r="S80" s="1121"/>
      <c r="T80" s="1126"/>
      <c r="U80" s="1138"/>
      <c r="V80" s="1137"/>
      <c r="W80" s="1138"/>
      <c r="X80" s="1137"/>
      <c r="Y80" s="1138"/>
      <c r="Z80" s="1137"/>
      <c r="AA80" s="1138"/>
      <c r="AB80" s="1137"/>
      <c r="AC80" s="1138"/>
      <c r="AD80" s="1137"/>
      <c r="AE80" s="1138"/>
      <c r="AF80" s="1137"/>
      <c r="AG80" s="1138"/>
      <c r="AH80" s="1137"/>
      <c r="AI80" s="1138"/>
      <c r="AJ80" s="1137"/>
      <c r="AK80" s="1138"/>
      <c r="AL80" s="1120"/>
      <c r="AM80" s="1138"/>
      <c r="AN80" s="1120"/>
      <c r="AO80" s="1131"/>
      <c r="AP80" s="1120"/>
      <c r="AQ80" s="1131"/>
      <c r="AR80" s="1120"/>
      <c r="AS80" s="1305"/>
      <c r="AT80" s="1141"/>
      <c r="AU80" s="1305"/>
      <c r="AV80" s="1141"/>
      <c r="AW80" s="1305"/>
      <c r="AX80" s="1141"/>
      <c r="AY80" s="1305"/>
      <c r="AZ80" s="1141"/>
      <c r="BA80" s="1305"/>
      <c r="BB80" s="1141"/>
      <c r="BC80" s="1305"/>
      <c r="BD80" s="1141"/>
      <c r="BE80" s="1305"/>
      <c r="BF80" s="1141"/>
      <c r="BG80" s="1305"/>
      <c r="BH80" s="1141"/>
      <c r="BI80" s="1305"/>
      <c r="BJ80" s="1141"/>
      <c r="BK80" s="1305"/>
      <c r="BL80" s="1513">
        <v>70.0</v>
      </c>
      <c r="BM80" s="1784"/>
      <c r="BN80" s="1785">
        <v>10.0</v>
      </c>
      <c r="BO80" s="1784"/>
      <c r="BP80" s="783">
        <f t="shared" si="40"/>
        <v>71</v>
      </c>
      <c r="BQ80" s="1405">
        <f t="shared" si="41"/>
        <v>0</v>
      </c>
      <c r="BR80" s="711">
        <f t="shared" si="43"/>
        <v>0</v>
      </c>
      <c r="BS80" s="784">
        <f t="shared" si="42"/>
        <v>14058</v>
      </c>
      <c r="BT80" s="1545"/>
    </row>
    <row r="81" ht="16.5" customHeight="1">
      <c r="A81" s="1565"/>
      <c r="B81" s="1786">
        <v>4286.0</v>
      </c>
      <c r="C81" s="1567">
        <v>295.0</v>
      </c>
      <c r="D81" s="1836" t="s">
        <v>537</v>
      </c>
      <c r="E81" s="1821" t="str">
        <f>'Матрица 4 недели'!M19</f>
        <v>Фунчоза с овощами и креветками </v>
      </c>
      <c r="F81" s="1137">
        <v>2.0</v>
      </c>
      <c r="G81" s="1121"/>
      <c r="H81" s="1126">
        <v>2.0</v>
      </c>
      <c r="I81" s="1121"/>
      <c r="J81" s="1126">
        <v>3.0</v>
      </c>
      <c r="K81" s="1600"/>
      <c r="L81" s="1161">
        <v>2.0</v>
      </c>
      <c r="M81" s="1600"/>
      <c r="N81" s="1126">
        <v>5.0</v>
      </c>
      <c r="O81" s="1121"/>
      <c r="P81" s="1126">
        <v>4.0</v>
      </c>
      <c r="Q81" s="1121"/>
      <c r="R81" s="1126">
        <v>2.0</v>
      </c>
      <c r="S81" s="1121"/>
      <c r="T81" s="1126">
        <v>3.0</v>
      </c>
      <c r="U81" s="1138"/>
      <c r="V81" s="1137">
        <v>3.0</v>
      </c>
      <c r="W81" s="1138"/>
      <c r="X81" s="1137">
        <v>2.0</v>
      </c>
      <c r="Y81" s="1138"/>
      <c r="Z81" s="1137"/>
      <c r="AA81" s="1138"/>
      <c r="AB81" s="1137">
        <v>2.0</v>
      </c>
      <c r="AC81" s="1138"/>
      <c r="AD81" s="1137">
        <v>1.0</v>
      </c>
      <c r="AE81" s="1138"/>
      <c r="AF81" s="1137">
        <v>4.0</v>
      </c>
      <c r="AG81" s="1138"/>
      <c r="AH81" s="1137">
        <v>5.0</v>
      </c>
      <c r="AI81" s="1138"/>
      <c r="AJ81" s="1137">
        <v>4.0</v>
      </c>
      <c r="AK81" s="1138"/>
      <c r="AL81" s="1120">
        <v>1.0</v>
      </c>
      <c r="AM81" s="1138"/>
      <c r="AN81" s="1120">
        <v>2.0</v>
      </c>
      <c r="AO81" s="1131"/>
      <c r="AP81" s="1120">
        <v>1.0</v>
      </c>
      <c r="AQ81" s="1131"/>
      <c r="AR81" s="1120">
        <v>3.0</v>
      </c>
      <c r="AS81" s="1305"/>
      <c r="AT81" s="1141">
        <v>2.0</v>
      </c>
      <c r="AU81" s="1305"/>
      <c r="AV81" s="1141">
        <v>2.0</v>
      </c>
      <c r="AW81" s="1305"/>
      <c r="AX81" s="1141">
        <v>1.0</v>
      </c>
      <c r="AY81" s="1305"/>
      <c r="AZ81" s="1141">
        <v>2.0</v>
      </c>
      <c r="BA81" s="1305"/>
      <c r="BB81" s="1141">
        <v>2.0</v>
      </c>
      <c r="BC81" s="1305"/>
      <c r="BD81" s="1141">
        <v>0.0</v>
      </c>
      <c r="BE81" s="1305"/>
      <c r="BF81" s="1141">
        <v>1.0</v>
      </c>
      <c r="BG81" s="1305"/>
      <c r="BH81" s="1141">
        <v>3.0</v>
      </c>
      <c r="BI81" s="1305"/>
      <c r="BJ81" s="1141">
        <v>2.0</v>
      </c>
      <c r="BK81" s="1305"/>
      <c r="BL81" s="1513"/>
      <c r="BM81" s="1784"/>
      <c r="BN81" s="1785"/>
      <c r="BO81" s="1784"/>
      <c r="BP81" s="783">
        <f t="shared" si="40"/>
        <v>67</v>
      </c>
      <c r="BQ81" s="1405">
        <f t="shared" si="41"/>
        <v>0</v>
      </c>
      <c r="BR81" s="711">
        <f t="shared" si="43"/>
        <v>0</v>
      </c>
      <c r="BS81" s="784">
        <f t="shared" si="42"/>
        <v>19765</v>
      </c>
      <c r="BT81" s="1545"/>
    </row>
    <row r="82" ht="16.5" customHeight="1">
      <c r="A82" s="1565"/>
      <c r="B82" s="1786"/>
      <c r="C82" s="1567"/>
      <c r="D82" s="1786"/>
      <c r="E82" s="1821" t="str">
        <f>'Матрица 4 недели'!M20</f>
        <v/>
      </c>
      <c r="F82" s="1137"/>
      <c r="G82" s="1121"/>
      <c r="H82" s="1126"/>
      <c r="I82" s="1121"/>
      <c r="J82" s="1126"/>
      <c r="K82" s="1121"/>
      <c r="L82" s="1126"/>
      <c r="M82" s="1121"/>
      <c r="N82" s="1126"/>
      <c r="O82" s="1121"/>
      <c r="P82" s="1126"/>
      <c r="Q82" s="1121"/>
      <c r="R82" s="1126"/>
      <c r="S82" s="1121"/>
      <c r="T82" s="1126"/>
      <c r="U82" s="1138"/>
      <c r="V82" s="1137"/>
      <c r="W82" s="1138"/>
      <c r="X82" s="1137"/>
      <c r="Y82" s="1138"/>
      <c r="Z82" s="1137"/>
      <c r="AA82" s="1138"/>
      <c r="AB82" s="1137"/>
      <c r="AC82" s="1138"/>
      <c r="AD82" s="1137"/>
      <c r="AE82" s="1138"/>
      <c r="AF82" s="1137"/>
      <c r="AG82" s="1138"/>
      <c r="AH82" s="1120"/>
      <c r="AI82" s="1138"/>
      <c r="AJ82" s="1137"/>
      <c r="AK82" s="1138"/>
      <c r="AL82" s="1120"/>
      <c r="AM82" s="1138"/>
      <c r="AN82" s="1120"/>
      <c r="AO82" s="1131"/>
      <c r="AP82" s="1120"/>
      <c r="AQ82" s="1131"/>
      <c r="AR82" s="1120"/>
      <c r="AS82" s="1305"/>
      <c r="AT82" s="1141"/>
      <c r="AU82" s="1305"/>
      <c r="AV82" s="1141"/>
      <c r="AW82" s="1305"/>
      <c r="AX82" s="1141"/>
      <c r="AY82" s="1305"/>
      <c r="AZ82" s="1141"/>
      <c r="BA82" s="1305"/>
      <c r="BB82" s="1141"/>
      <c r="BC82" s="1305"/>
      <c r="BD82" s="1141"/>
      <c r="BE82" s="1305"/>
      <c r="BF82" s="1141"/>
      <c r="BG82" s="1305"/>
      <c r="BH82" s="1141"/>
      <c r="BI82" s="1305"/>
      <c r="BJ82" s="1141"/>
      <c r="BK82" s="1305"/>
      <c r="BL82" s="1513"/>
      <c r="BM82" s="1784"/>
      <c r="BN82" s="1785"/>
      <c r="BO82" s="1784"/>
      <c r="BP82" s="783">
        <f t="shared" si="40"/>
        <v>1</v>
      </c>
      <c r="BQ82" s="1405">
        <f t="shared" si="41"/>
        <v>0</v>
      </c>
      <c r="BR82" s="711">
        <f t="shared" si="43"/>
        <v>0</v>
      </c>
      <c r="BS82" s="784">
        <f t="shared" si="42"/>
        <v>0</v>
      </c>
      <c r="BT82" s="1545"/>
    </row>
    <row r="83" ht="16.5" customHeight="1">
      <c r="A83" s="1565"/>
      <c r="B83" s="1786">
        <v>3330.0</v>
      </c>
      <c r="C83" s="1567">
        <v>172.0</v>
      </c>
      <c r="D83" s="1786" t="s">
        <v>79</v>
      </c>
      <c r="E83" s="1821" t="str">
        <f>'Матрица 4 недели'!S13</f>
        <v>Сэндвич с курицей и соусом Барбекю</v>
      </c>
      <c r="F83" s="1137">
        <v>11.0</v>
      </c>
      <c r="G83" s="1121"/>
      <c r="H83" s="1126">
        <v>5.0</v>
      </c>
      <c r="I83" s="1121"/>
      <c r="J83" s="1126">
        <v>1.0</v>
      </c>
      <c r="K83" s="1121"/>
      <c r="L83" s="1126">
        <v>3.0</v>
      </c>
      <c r="M83" s="1121"/>
      <c r="N83" s="1126">
        <v>2.0</v>
      </c>
      <c r="O83" s="1121"/>
      <c r="P83" s="1126">
        <v>6.0</v>
      </c>
      <c r="Q83" s="1121"/>
      <c r="R83" s="1126">
        <v>3.0</v>
      </c>
      <c r="S83" s="1121"/>
      <c r="T83" s="1126">
        <v>3.0</v>
      </c>
      <c r="U83" s="1138"/>
      <c r="V83" s="1137">
        <v>4.0</v>
      </c>
      <c r="W83" s="1138"/>
      <c r="X83" s="1137">
        <v>3.0</v>
      </c>
      <c r="Y83" s="1138"/>
      <c r="Z83" s="1137"/>
      <c r="AA83" s="1138"/>
      <c r="AB83" s="1137">
        <v>7.0</v>
      </c>
      <c r="AC83" s="1138"/>
      <c r="AD83" s="1137">
        <v>5.0</v>
      </c>
      <c r="AE83" s="1138"/>
      <c r="AF83" s="1137">
        <v>5.0</v>
      </c>
      <c r="AG83" s="1138"/>
      <c r="AH83" s="1120">
        <v>5.0</v>
      </c>
      <c r="AI83" s="1138"/>
      <c r="AJ83" s="1137">
        <v>3.0</v>
      </c>
      <c r="AK83" s="1138"/>
      <c r="AL83" s="1120">
        <v>5.0</v>
      </c>
      <c r="AM83" s="1138"/>
      <c r="AN83" s="1120">
        <v>3.0</v>
      </c>
      <c r="AO83" s="1131"/>
      <c r="AP83" s="1120">
        <v>3.0</v>
      </c>
      <c r="AQ83" s="1131"/>
      <c r="AR83" s="1120">
        <v>3.0</v>
      </c>
      <c r="AS83" s="1305"/>
      <c r="AT83" s="1141">
        <v>4.0</v>
      </c>
      <c r="AU83" s="1305"/>
      <c r="AV83" s="1141">
        <v>2.0</v>
      </c>
      <c r="AW83" s="1305"/>
      <c r="AX83" s="1141">
        <v>5.0</v>
      </c>
      <c r="AY83" s="1305"/>
      <c r="AZ83" s="1141">
        <v>3.0</v>
      </c>
      <c r="BA83" s="1305"/>
      <c r="BB83" s="1141">
        <v>6.0</v>
      </c>
      <c r="BC83" s="1305"/>
      <c r="BD83" s="1141">
        <v>3.0</v>
      </c>
      <c r="BE83" s="1305"/>
      <c r="BF83" s="1141">
        <v>5.0</v>
      </c>
      <c r="BG83" s="1305"/>
      <c r="BH83" s="1141">
        <v>2.0</v>
      </c>
      <c r="BI83" s="1305"/>
      <c r="BJ83" s="1141">
        <v>2.0</v>
      </c>
      <c r="BK83" s="1305"/>
      <c r="BL83" s="1513"/>
      <c r="BM83" s="1784"/>
      <c r="BN83" s="1785"/>
      <c r="BO83" s="1784"/>
      <c r="BP83" s="783">
        <f t="shared" si="40"/>
        <v>113</v>
      </c>
      <c r="BQ83" s="1405">
        <f t="shared" si="41"/>
        <v>0</v>
      </c>
      <c r="BR83" s="711">
        <f t="shared" si="43"/>
        <v>0</v>
      </c>
      <c r="BS83" s="784">
        <f t="shared" si="42"/>
        <v>19436</v>
      </c>
      <c r="BT83" s="1545"/>
    </row>
    <row r="84" ht="16.5" customHeight="1">
      <c r="A84" s="1565"/>
      <c r="B84" s="1786">
        <v>3408.0</v>
      </c>
      <c r="C84" s="1567">
        <v>220.0</v>
      </c>
      <c r="D84" s="1786" t="s">
        <v>79</v>
      </c>
      <c r="E84" s="1821" t="str">
        <f>'Матрица 4 недели'!S14</f>
        <v>Сэндвич ''Крем-чиз с рыбой''</v>
      </c>
      <c r="F84" s="1137">
        <v>8.0</v>
      </c>
      <c r="G84" s="1121"/>
      <c r="H84" s="1126">
        <v>2.0</v>
      </c>
      <c r="I84" s="1121"/>
      <c r="J84" s="1126">
        <v>3.0</v>
      </c>
      <c r="K84" s="1121"/>
      <c r="L84" s="1126">
        <v>3.0</v>
      </c>
      <c r="M84" s="1121"/>
      <c r="N84" s="1126">
        <v>8.0</v>
      </c>
      <c r="O84" s="1121"/>
      <c r="P84" s="1126">
        <v>8.0</v>
      </c>
      <c r="Q84" s="1121"/>
      <c r="R84" s="1126">
        <v>3.0</v>
      </c>
      <c r="S84" s="1121"/>
      <c r="T84" s="1126">
        <v>3.0</v>
      </c>
      <c r="U84" s="1138"/>
      <c r="V84" s="1137">
        <v>5.0</v>
      </c>
      <c r="W84" s="1138"/>
      <c r="X84" s="1137">
        <v>4.0</v>
      </c>
      <c r="Y84" s="1138"/>
      <c r="Z84" s="1137"/>
      <c r="AA84" s="1138"/>
      <c r="AB84" s="1137">
        <v>6.0</v>
      </c>
      <c r="AC84" s="1138"/>
      <c r="AD84" s="1137">
        <v>4.0</v>
      </c>
      <c r="AE84" s="1138"/>
      <c r="AF84" s="1137">
        <v>5.0</v>
      </c>
      <c r="AG84" s="1138"/>
      <c r="AH84" s="1120">
        <v>3.0</v>
      </c>
      <c r="AI84" s="1138"/>
      <c r="AJ84" s="1137">
        <v>3.0</v>
      </c>
      <c r="AK84" s="1138"/>
      <c r="AL84" s="1120">
        <v>2.0</v>
      </c>
      <c r="AM84" s="1138"/>
      <c r="AN84" s="1120">
        <v>3.0</v>
      </c>
      <c r="AO84" s="1131"/>
      <c r="AP84" s="1120">
        <v>4.0</v>
      </c>
      <c r="AQ84" s="1131"/>
      <c r="AR84" s="1120">
        <v>7.0</v>
      </c>
      <c r="AS84" s="1305"/>
      <c r="AT84" s="1141">
        <v>5.0</v>
      </c>
      <c r="AU84" s="1305"/>
      <c r="AV84" s="1141">
        <v>2.0</v>
      </c>
      <c r="AW84" s="1305"/>
      <c r="AX84" s="1141">
        <v>4.0</v>
      </c>
      <c r="AY84" s="1305"/>
      <c r="AZ84" s="1141">
        <v>4.0</v>
      </c>
      <c r="BA84" s="1305"/>
      <c r="BB84" s="1141">
        <v>4.0</v>
      </c>
      <c r="BC84" s="1305"/>
      <c r="BD84" s="1141">
        <v>3.0</v>
      </c>
      <c r="BE84" s="1305"/>
      <c r="BF84" s="1141">
        <v>6.0</v>
      </c>
      <c r="BG84" s="1305"/>
      <c r="BH84" s="1141">
        <v>2.0</v>
      </c>
      <c r="BI84" s="1305"/>
      <c r="BJ84" s="1141">
        <v>6.0</v>
      </c>
      <c r="BK84" s="1305"/>
      <c r="BL84" s="1513"/>
      <c r="BM84" s="1784"/>
      <c r="BN84" s="1785"/>
      <c r="BO84" s="1784"/>
      <c r="BP84" s="783">
        <f t="shared" si="40"/>
        <v>121</v>
      </c>
      <c r="BQ84" s="1405">
        <f t="shared" si="41"/>
        <v>0</v>
      </c>
      <c r="BR84" s="711">
        <f t="shared" si="43"/>
        <v>0</v>
      </c>
      <c r="BS84" s="784">
        <f t="shared" si="42"/>
        <v>26620</v>
      </c>
      <c r="BT84" s="1545"/>
    </row>
    <row r="85" ht="16.5" customHeight="1">
      <c r="A85" s="1565"/>
      <c r="B85" s="1786">
        <v>2929.0</v>
      </c>
      <c r="C85" s="1567">
        <v>143.0</v>
      </c>
      <c r="D85" s="1786" t="s">
        <v>80</v>
      </c>
      <c r="E85" s="1821" t="str">
        <f>'Матрица 4 недели'!V13</f>
        <v>Ролл сэндвич с курицей</v>
      </c>
      <c r="F85" s="1120">
        <v>18.0</v>
      </c>
      <c r="G85" s="1121"/>
      <c r="H85" s="1120">
        <v>5.0</v>
      </c>
      <c r="I85" s="1121"/>
      <c r="J85" s="1120">
        <v>5.0</v>
      </c>
      <c r="K85" s="1138"/>
      <c r="L85" s="1120">
        <v>3.0</v>
      </c>
      <c r="M85" s="1138"/>
      <c r="N85" s="1120">
        <v>6.0</v>
      </c>
      <c r="O85" s="1138"/>
      <c r="P85" s="1120">
        <v>2.0</v>
      </c>
      <c r="Q85" s="1138"/>
      <c r="R85" s="1120">
        <v>2.0</v>
      </c>
      <c r="S85" s="1138"/>
      <c r="T85" s="1120">
        <v>2.0</v>
      </c>
      <c r="U85" s="1138"/>
      <c r="V85" s="1120">
        <v>2.0</v>
      </c>
      <c r="W85" s="1138"/>
      <c r="X85" s="1120">
        <v>2.0</v>
      </c>
      <c r="Y85" s="1138"/>
      <c r="Z85" s="1120"/>
      <c r="AA85" s="1138"/>
      <c r="AB85" s="1120">
        <v>4.0</v>
      </c>
      <c r="AC85" s="1138"/>
      <c r="AD85" s="1120">
        <v>2.0</v>
      </c>
      <c r="AE85" s="1138"/>
      <c r="AF85" s="1120">
        <v>2.0</v>
      </c>
      <c r="AG85" s="1138"/>
      <c r="AH85" s="1120">
        <v>2.0</v>
      </c>
      <c r="AI85" s="1138"/>
      <c r="AJ85" s="1120">
        <v>2.0</v>
      </c>
      <c r="AK85" s="1138"/>
      <c r="AL85" s="1120">
        <v>2.0</v>
      </c>
      <c r="AM85" s="1138"/>
      <c r="AN85" s="1120">
        <v>2.0</v>
      </c>
      <c r="AO85" s="1138"/>
      <c r="AP85" s="1120">
        <v>2.0</v>
      </c>
      <c r="AQ85" s="1138"/>
      <c r="AR85" s="1120"/>
      <c r="AS85" s="1305"/>
      <c r="AT85" s="1141">
        <v>2.0</v>
      </c>
      <c r="AU85" s="1305"/>
      <c r="AV85" s="1141">
        <v>8.0</v>
      </c>
      <c r="AW85" s="1305"/>
      <c r="AX85" s="1141">
        <v>2.0</v>
      </c>
      <c r="AY85" s="1305"/>
      <c r="AZ85" s="1141">
        <v>2.0</v>
      </c>
      <c r="BA85" s="1305"/>
      <c r="BB85" s="1141">
        <v>2.0</v>
      </c>
      <c r="BC85" s="1305"/>
      <c r="BD85" s="1141">
        <v>2.0</v>
      </c>
      <c r="BE85" s="1305"/>
      <c r="BF85" s="1141">
        <v>2.0</v>
      </c>
      <c r="BG85" s="1305"/>
      <c r="BH85" s="1141">
        <v>2.0</v>
      </c>
      <c r="BI85" s="1305"/>
      <c r="BJ85" s="1141">
        <v>4.0</v>
      </c>
      <c r="BK85" s="1305"/>
      <c r="BL85" s="1513"/>
      <c r="BM85" s="1138"/>
      <c r="BN85" s="1087"/>
      <c r="BO85" s="1138"/>
      <c r="BP85" s="783">
        <f t="shared" si="40"/>
        <v>92</v>
      </c>
      <c r="BQ85" s="1405">
        <f t="shared" si="41"/>
        <v>0</v>
      </c>
      <c r="BR85" s="711">
        <f t="shared" si="43"/>
        <v>0</v>
      </c>
      <c r="BS85" s="784">
        <f t="shared" si="42"/>
        <v>13156</v>
      </c>
      <c r="BT85" s="1545"/>
    </row>
    <row r="86" ht="16.5" customHeight="1">
      <c r="A86" s="1565"/>
      <c r="B86" s="1568">
        <v>4173.0</v>
      </c>
      <c r="C86" s="1567">
        <v>98.0</v>
      </c>
      <c r="D86" s="1586" t="s">
        <v>80</v>
      </c>
      <c r="E86" s="1172" t="str">
        <f>'Матрица 4 недели'!V14</f>
        <v>Морс клюквенный 0,5 л</v>
      </c>
      <c r="F86" s="1137">
        <v>14.0</v>
      </c>
      <c r="G86" s="1121"/>
      <c r="H86" s="1126">
        <v>4.0</v>
      </c>
      <c r="I86" s="1121"/>
      <c r="J86" s="1126">
        <v>8.0</v>
      </c>
      <c r="K86" s="1160"/>
      <c r="L86" s="1161">
        <v>5.0</v>
      </c>
      <c r="M86" s="1162"/>
      <c r="N86" s="1126">
        <v>8.0</v>
      </c>
      <c r="O86" s="1121"/>
      <c r="P86" s="1126">
        <v>20.0</v>
      </c>
      <c r="Q86" s="1121"/>
      <c r="R86" s="1126">
        <v>7.0</v>
      </c>
      <c r="S86" s="1121"/>
      <c r="T86" s="1126">
        <v>0.0</v>
      </c>
      <c r="U86" s="1121"/>
      <c r="V86" s="1137">
        <v>0.0</v>
      </c>
      <c r="W86" s="1121"/>
      <c r="X86" s="1137">
        <v>5.0</v>
      </c>
      <c r="Y86" s="1121"/>
      <c r="Z86" s="1137"/>
      <c r="AA86" s="1121"/>
      <c r="AB86" s="1137">
        <v>0.0</v>
      </c>
      <c r="AC86" s="1121"/>
      <c r="AD86" s="1137">
        <v>0.0</v>
      </c>
      <c r="AE86" s="1121"/>
      <c r="AF86" s="1120">
        <v>6.0</v>
      </c>
      <c r="AG86" s="1121"/>
      <c r="AH86" s="1137">
        <v>5.0</v>
      </c>
      <c r="AI86" s="1121"/>
      <c r="AJ86" s="1120">
        <v>0.0</v>
      </c>
      <c r="AK86" s="1121"/>
      <c r="AL86" s="1120">
        <v>0.0</v>
      </c>
      <c r="AM86" s="1121"/>
      <c r="AN86" s="1120">
        <v>6.0</v>
      </c>
      <c r="AO86" s="1138"/>
      <c r="AP86" s="1120">
        <v>0.0</v>
      </c>
      <c r="AQ86" s="1121"/>
      <c r="AR86" s="1120">
        <v>25.0</v>
      </c>
      <c r="AS86" s="1307"/>
      <c r="AT86" s="1141">
        <v>6.0</v>
      </c>
      <c r="AU86" s="1307"/>
      <c r="AV86" s="1141">
        <v>6.0</v>
      </c>
      <c r="AW86" s="1307"/>
      <c r="AX86" s="1141">
        <v>11.0</v>
      </c>
      <c r="AY86" s="1307"/>
      <c r="AZ86" s="1141">
        <v>10.0</v>
      </c>
      <c r="BA86" s="1307"/>
      <c r="BB86" s="1141">
        <v>6.0</v>
      </c>
      <c r="BC86" s="1307"/>
      <c r="BD86" s="1141">
        <v>9.0</v>
      </c>
      <c r="BE86" s="1307"/>
      <c r="BF86" s="1141">
        <v>17.0</v>
      </c>
      <c r="BG86" s="1307"/>
      <c r="BH86" s="1141">
        <v>11.0</v>
      </c>
      <c r="BI86" s="1307"/>
      <c r="BJ86" s="1141">
        <v>11.0</v>
      </c>
      <c r="BK86" s="1307"/>
      <c r="BL86" s="1513"/>
      <c r="BM86" s="1138"/>
      <c r="BN86" s="1087"/>
      <c r="BO86" s="1138"/>
      <c r="BP86" s="783">
        <f t="shared" si="40"/>
        <v>201</v>
      </c>
      <c r="BQ86" s="1405">
        <f t="shared" si="41"/>
        <v>0</v>
      </c>
      <c r="BR86" s="711">
        <f t="shared" si="43"/>
        <v>0</v>
      </c>
      <c r="BS86" s="784">
        <f t="shared" si="42"/>
        <v>19698</v>
      </c>
      <c r="BT86" s="1807"/>
    </row>
    <row r="87" ht="16.5" customHeight="1">
      <c r="A87" s="1565"/>
      <c r="B87" s="1568">
        <v>822.0</v>
      </c>
      <c r="C87" s="1567">
        <v>5.0</v>
      </c>
      <c r="D87" s="1586" t="s">
        <v>78</v>
      </c>
      <c r="E87" s="1172" t="str">
        <f>'Матрица 4 недели'!P6</f>
        <v>Хлеб пшеничный</v>
      </c>
      <c r="F87" s="1120">
        <v>5.0</v>
      </c>
      <c r="G87" s="1121"/>
      <c r="H87" s="1120">
        <v>3.0</v>
      </c>
      <c r="I87" s="1121"/>
      <c r="J87" s="1120">
        <v>0.0</v>
      </c>
      <c r="K87" s="1138"/>
      <c r="L87" s="1126">
        <v>3.0</v>
      </c>
      <c r="M87" s="1138"/>
      <c r="N87" s="1126">
        <v>3.0</v>
      </c>
      <c r="O87" s="1138"/>
      <c r="P87" s="1120">
        <v>4.0</v>
      </c>
      <c r="Q87" s="1138"/>
      <c r="R87" s="1120">
        <v>3.0</v>
      </c>
      <c r="S87" s="1138"/>
      <c r="T87" s="1126">
        <v>3.0</v>
      </c>
      <c r="U87" s="1138"/>
      <c r="V87" s="1126">
        <v>0.0</v>
      </c>
      <c r="W87" s="1138"/>
      <c r="X87" s="1126">
        <v>4.0</v>
      </c>
      <c r="Y87" s="1138"/>
      <c r="Z87" s="1126"/>
      <c r="AA87" s="1138"/>
      <c r="AB87" s="1126">
        <v>0.0</v>
      </c>
      <c r="AC87" s="1138"/>
      <c r="AD87" s="1126">
        <v>4.0</v>
      </c>
      <c r="AE87" s="1138"/>
      <c r="AF87" s="1126">
        <v>3.0</v>
      </c>
      <c r="AG87" s="1138"/>
      <c r="AH87" s="1126">
        <v>3.0</v>
      </c>
      <c r="AI87" s="1138"/>
      <c r="AJ87" s="1126">
        <v>0.0</v>
      </c>
      <c r="AK87" s="1138"/>
      <c r="AL87" s="1126">
        <v>3.0</v>
      </c>
      <c r="AM87" s="1138"/>
      <c r="AN87" s="1126">
        <v>3.0</v>
      </c>
      <c r="AO87" s="1138"/>
      <c r="AP87" s="1126">
        <v>3.0</v>
      </c>
      <c r="AQ87" s="1138"/>
      <c r="AR87" s="1120">
        <v>0.0</v>
      </c>
      <c r="AS87" s="1138"/>
      <c r="AT87" s="1141">
        <v>3.0</v>
      </c>
      <c r="AU87" s="1307"/>
      <c r="AV87" s="1126">
        <v>0.0</v>
      </c>
      <c r="AW87" s="1138"/>
      <c r="AX87" s="1126">
        <v>0.0</v>
      </c>
      <c r="AY87" s="1138"/>
      <c r="AZ87" s="1126">
        <v>15.0</v>
      </c>
      <c r="BA87" s="1138"/>
      <c r="BB87" s="1126">
        <v>3.0</v>
      </c>
      <c r="BC87" s="1138"/>
      <c r="BD87" s="1126">
        <v>0.0</v>
      </c>
      <c r="BE87" s="1138"/>
      <c r="BF87" s="1126">
        <v>6.0</v>
      </c>
      <c r="BG87" s="1138"/>
      <c r="BH87" s="1126">
        <v>7.0</v>
      </c>
      <c r="BI87" s="1138"/>
      <c r="BJ87" s="1126">
        <v>3.0</v>
      </c>
      <c r="BK87" s="1138"/>
      <c r="BL87" s="1139">
        <v>125.0</v>
      </c>
      <c r="BM87" s="1138"/>
      <c r="BN87" s="1087"/>
      <c r="BO87" s="1138"/>
      <c r="BP87" s="783">
        <f t="shared" si="40"/>
        <v>210</v>
      </c>
      <c r="BQ87" s="1405">
        <f t="shared" si="41"/>
        <v>0</v>
      </c>
      <c r="BR87" s="711">
        <f t="shared" si="43"/>
        <v>0</v>
      </c>
      <c r="BS87" s="784">
        <f t="shared" si="42"/>
        <v>1050</v>
      </c>
      <c r="BT87" s="1807"/>
    </row>
    <row r="88" ht="16.5" customHeight="1">
      <c r="A88" s="1565"/>
      <c r="B88" s="1568">
        <v>3435.0</v>
      </c>
      <c r="C88" s="1567">
        <v>51.0</v>
      </c>
      <c r="D88" s="1568" t="s">
        <v>78</v>
      </c>
      <c r="E88" s="1839" t="str">
        <f>'Матрица 4 недели'!P13</f>
        <v>Булочка с повидлом 80 г</v>
      </c>
      <c r="F88" s="1137"/>
      <c r="G88" s="1121"/>
      <c r="H88" s="1126"/>
      <c r="I88" s="1121"/>
      <c r="J88" s="1126"/>
      <c r="K88" s="1121"/>
      <c r="L88" s="1126"/>
      <c r="M88" s="1127"/>
      <c r="N88" s="1126"/>
      <c r="O88" s="1127"/>
      <c r="P88" s="1126"/>
      <c r="Q88" s="1121"/>
      <c r="R88" s="1126"/>
      <c r="S88" s="1291"/>
      <c r="T88" s="1126"/>
      <c r="U88" s="1138"/>
      <c r="V88" s="1137"/>
      <c r="W88" s="1138"/>
      <c r="X88" s="1137"/>
      <c r="Y88" s="1138"/>
      <c r="Z88" s="1137"/>
      <c r="AA88" s="1138"/>
      <c r="AB88" s="1137"/>
      <c r="AC88" s="1138"/>
      <c r="AD88" s="1120"/>
      <c r="AE88" s="1138"/>
      <c r="AF88" s="1120"/>
      <c r="AG88" s="1138"/>
      <c r="AH88" s="1137"/>
      <c r="AI88" s="1138"/>
      <c r="AJ88" s="1137"/>
      <c r="AK88" s="1138"/>
      <c r="AL88" s="1137"/>
      <c r="AM88" s="1138"/>
      <c r="AN88" s="1137"/>
      <c r="AO88" s="1138"/>
      <c r="AP88" s="1137"/>
      <c r="AQ88" s="1131"/>
      <c r="AR88" s="1137"/>
      <c r="AS88" s="1138"/>
      <c r="AT88" s="1126"/>
      <c r="AU88" s="1138"/>
      <c r="AV88" s="1126"/>
      <c r="AW88" s="1138"/>
      <c r="AX88" s="1126"/>
      <c r="AY88" s="1138"/>
      <c r="AZ88" s="1126"/>
      <c r="BA88" s="1138"/>
      <c r="BB88" s="1126"/>
      <c r="BC88" s="1138"/>
      <c r="BD88" s="1126"/>
      <c r="BE88" s="1138"/>
      <c r="BF88" s="1126"/>
      <c r="BG88" s="1138"/>
      <c r="BH88" s="1126"/>
      <c r="BI88" s="1138"/>
      <c r="BJ88" s="1126"/>
      <c r="BK88" s="1138"/>
      <c r="BL88" s="1139">
        <v>10.0</v>
      </c>
      <c r="BM88" s="1138"/>
      <c r="BN88" s="1087"/>
      <c r="BO88" s="1138"/>
      <c r="BP88" s="783">
        <f t="shared" si="40"/>
        <v>11</v>
      </c>
      <c r="BQ88" s="1405">
        <f t="shared" si="41"/>
        <v>0</v>
      </c>
      <c r="BR88" s="711">
        <f t="shared" si="43"/>
        <v>0</v>
      </c>
      <c r="BS88" s="784">
        <f t="shared" si="42"/>
        <v>561</v>
      </c>
      <c r="BT88" s="1807"/>
    </row>
    <row r="89" ht="15.75" customHeight="1">
      <c r="A89" s="1565"/>
      <c r="B89" s="1568">
        <v>3455.0</v>
      </c>
      <c r="C89" s="1567">
        <v>85.0</v>
      </c>
      <c r="D89" s="1568" t="s">
        <v>78</v>
      </c>
      <c r="E89" s="1839" t="str">
        <f>'Матрица 4 недели'!P14</f>
        <v>Слойка с ветчиной и сыром 100г</v>
      </c>
      <c r="F89" s="1137"/>
      <c r="G89" s="1121"/>
      <c r="H89" s="1126"/>
      <c r="I89" s="1121"/>
      <c r="J89" s="1126"/>
      <c r="K89" s="1121"/>
      <c r="L89" s="1126"/>
      <c r="M89" s="1121"/>
      <c r="N89" s="1126"/>
      <c r="O89" s="1127"/>
      <c r="P89" s="1126"/>
      <c r="Q89" s="1121"/>
      <c r="R89" s="1126"/>
      <c r="S89" s="1291"/>
      <c r="T89" s="1126"/>
      <c r="U89" s="1138"/>
      <c r="V89" s="1137"/>
      <c r="W89" s="1138"/>
      <c r="X89" s="1137"/>
      <c r="Y89" s="1138"/>
      <c r="Z89" s="1137"/>
      <c r="AA89" s="1138"/>
      <c r="AB89" s="1137"/>
      <c r="AC89" s="1138"/>
      <c r="AD89" s="1120"/>
      <c r="AE89" s="1138"/>
      <c r="AF89" s="1120"/>
      <c r="AG89" s="1138"/>
      <c r="AH89" s="1137"/>
      <c r="AI89" s="1138"/>
      <c r="AJ89" s="1137"/>
      <c r="AK89" s="1138"/>
      <c r="AL89" s="1137"/>
      <c r="AM89" s="1138"/>
      <c r="AN89" s="1137"/>
      <c r="AO89" s="1138"/>
      <c r="AP89" s="1137"/>
      <c r="AQ89" s="1131"/>
      <c r="AR89" s="1137"/>
      <c r="AS89" s="1138"/>
      <c r="AT89" s="1126"/>
      <c r="AU89" s="1138"/>
      <c r="AV89" s="1126"/>
      <c r="AW89" s="1138"/>
      <c r="AX89" s="1126"/>
      <c r="AY89" s="1138"/>
      <c r="AZ89" s="1126"/>
      <c r="BA89" s="1138"/>
      <c r="BB89" s="1126"/>
      <c r="BC89" s="1138"/>
      <c r="BD89" s="1126"/>
      <c r="BE89" s="1138"/>
      <c r="BF89" s="1126"/>
      <c r="BG89" s="1138"/>
      <c r="BH89" s="1126"/>
      <c r="BI89" s="1138"/>
      <c r="BJ89" s="1126"/>
      <c r="BK89" s="1138"/>
      <c r="BL89" s="1139">
        <v>15.0</v>
      </c>
      <c r="BM89" s="1138"/>
      <c r="BN89" s="1087"/>
      <c r="BO89" s="1138"/>
      <c r="BP89" s="783">
        <f t="shared" si="40"/>
        <v>16</v>
      </c>
      <c r="BQ89" s="1405">
        <f t="shared" si="41"/>
        <v>0</v>
      </c>
      <c r="BR89" s="711">
        <f t="shared" si="43"/>
        <v>0</v>
      </c>
      <c r="BS89" s="784">
        <f t="shared" si="42"/>
        <v>1360</v>
      </c>
      <c r="BT89" s="1807"/>
    </row>
    <row r="90" ht="15.75" customHeight="1">
      <c r="A90" s="1565"/>
      <c r="B90" s="1568"/>
      <c r="C90" s="1567"/>
      <c r="D90" s="1568"/>
      <c r="E90" s="1840" t="str">
        <f>'Матрица 4 недели'!V15</f>
        <v/>
      </c>
      <c r="F90" s="1137"/>
      <c r="G90" s="1138"/>
      <c r="H90" s="1126"/>
      <c r="I90" s="1140"/>
      <c r="J90" s="1126"/>
      <c r="K90" s="1405"/>
      <c r="L90" s="1161"/>
      <c r="M90" s="1405"/>
      <c r="N90" s="1126"/>
      <c r="O90" s="1138"/>
      <c r="P90" s="1120"/>
      <c r="Q90" s="1142"/>
      <c r="R90" s="1126"/>
      <c r="S90" s="1121"/>
      <c r="T90" s="1137"/>
      <c r="U90" s="1121"/>
      <c r="V90" s="1137"/>
      <c r="W90" s="1121"/>
      <c r="X90" s="1137"/>
      <c r="Y90" s="1121"/>
      <c r="Z90" s="1120"/>
      <c r="AA90" s="1121"/>
      <c r="AB90" s="1120"/>
      <c r="AC90" s="1121"/>
      <c r="AD90" s="1120"/>
      <c r="AE90" s="1121"/>
      <c r="AF90" s="1137"/>
      <c r="AG90" s="1121"/>
      <c r="AH90" s="1120"/>
      <c r="AI90" s="1121"/>
      <c r="AJ90" s="1120"/>
      <c r="AK90" s="1121"/>
      <c r="AL90" s="1137"/>
      <c r="AM90" s="1121"/>
      <c r="AN90" s="1126"/>
      <c r="AO90" s="1121"/>
      <c r="AP90" s="1126"/>
      <c r="AQ90" s="1121"/>
      <c r="AR90" s="1126"/>
      <c r="AS90" s="1121"/>
      <c r="AT90" s="1126"/>
      <c r="AU90" s="1121"/>
      <c r="AV90" s="1126"/>
      <c r="AW90" s="1121"/>
      <c r="AX90" s="1126"/>
      <c r="AY90" s="1121"/>
      <c r="AZ90" s="1126"/>
      <c r="BA90" s="1121"/>
      <c r="BB90" s="1126"/>
      <c r="BC90" s="1121"/>
      <c r="BD90" s="1126"/>
      <c r="BE90" s="1121"/>
      <c r="BF90" s="1126"/>
      <c r="BG90" s="1121"/>
      <c r="BH90" s="1126"/>
      <c r="BI90" s="1121"/>
      <c r="BJ90" s="1126"/>
      <c r="BK90" s="1121"/>
      <c r="BL90" s="1134"/>
      <c r="BM90" s="1138"/>
      <c r="BN90" s="1087"/>
      <c r="BO90" s="1138"/>
      <c r="BP90" s="783">
        <f t="shared" si="40"/>
        <v>1</v>
      </c>
      <c r="BQ90" s="1774">
        <f t="shared" si="41"/>
        <v>0</v>
      </c>
      <c r="BR90" s="711">
        <f t="shared" si="43"/>
        <v>0</v>
      </c>
      <c r="BS90" s="784">
        <f t="shared" si="42"/>
        <v>0</v>
      </c>
      <c r="BT90" s="1807"/>
    </row>
    <row r="91" ht="15.75" customHeight="1">
      <c r="A91" s="1565"/>
      <c r="B91" s="1568"/>
      <c r="C91" s="1567"/>
      <c r="D91" s="1568"/>
      <c r="E91" s="1172"/>
      <c r="F91" s="1126"/>
      <c r="G91" s="1138"/>
      <c r="H91" s="1126"/>
      <c r="I91" s="1138"/>
      <c r="J91" s="1126"/>
      <c r="K91" s="1138"/>
      <c r="L91" s="1126"/>
      <c r="M91" s="1138"/>
      <c r="N91" s="1126"/>
      <c r="O91" s="1138"/>
      <c r="P91" s="1126"/>
      <c r="Q91" s="1138"/>
      <c r="R91" s="1120"/>
      <c r="S91" s="1121"/>
      <c r="T91" s="1137"/>
      <c r="U91" s="1121"/>
      <c r="V91" s="1137"/>
      <c r="W91" s="1121"/>
      <c r="X91" s="1137"/>
      <c r="Y91" s="1121"/>
      <c r="Z91" s="1137"/>
      <c r="AA91" s="1138"/>
      <c r="AB91" s="1120"/>
      <c r="AC91" s="1138"/>
      <c r="AD91" s="1120"/>
      <c r="AE91" s="1138"/>
      <c r="AF91" s="1120"/>
      <c r="AG91" s="1138"/>
      <c r="AH91" s="1120"/>
      <c r="AI91" s="1138"/>
      <c r="AJ91" s="1120"/>
      <c r="AK91" s="1138"/>
      <c r="AL91" s="1120"/>
      <c r="AM91" s="1138"/>
      <c r="AN91" s="1120"/>
      <c r="AO91" s="1127"/>
      <c r="AP91" s="1120"/>
      <c r="AQ91" s="1138"/>
      <c r="AR91" s="1120"/>
      <c r="AS91" s="1131"/>
      <c r="AT91" s="1126"/>
      <c r="AU91" s="1131"/>
      <c r="AV91" s="1126"/>
      <c r="AW91" s="1131"/>
      <c r="AX91" s="1126"/>
      <c r="AY91" s="1131"/>
      <c r="AZ91" s="1126"/>
      <c r="BA91" s="1131"/>
      <c r="BB91" s="1126"/>
      <c r="BC91" s="1131"/>
      <c r="BD91" s="1126"/>
      <c r="BE91" s="1131"/>
      <c r="BF91" s="1126"/>
      <c r="BG91" s="1131"/>
      <c r="BH91" s="1126"/>
      <c r="BI91" s="1131"/>
      <c r="BJ91" s="1126"/>
      <c r="BK91" s="1131"/>
      <c r="BL91" s="1134"/>
      <c r="BM91" s="1121"/>
      <c r="BN91" s="1087"/>
      <c r="BO91" s="1121"/>
      <c r="BP91" s="783">
        <f t="shared" si="40"/>
        <v>1</v>
      </c>
      <c r="BQ91" s="1405">
        <f t="shared" si="41"/>
        <v>0</v>
      </c>
      <c r="BR91" s="711">
        <f t="shared" si="43"/>
        <v>0</v>
      </c>
      <c r="BS91" s="784">
        <f t="shared" si="42"/>
        <v>0</v>
      </c>
      <c r="BT91" s="1807"/>
    </row>
    <row r="92" ht="15.75" customHeight="1">
      <c r="A92" s="1565"/>
      <c r="B92" s="1568"/>
      <c r="C92" s="1567"/>
      <c r="D92" s="1568"/>
      <c r="E92" s="1172"/>
      <c r="F92" s="1120"/>
      <c r="G92" s="1121"/>
      <c r="H92" s="1120"/>
      <c r="I92" s="1121"/>
      <c r="J92" s="1120"/>
      <c r="K92" s="1121"/>
      <c r="L92" s="1300"/>
      <c r="M92" s="1121"/>
      <c r="N92" s="1120"/>
      <c r="O92" s="1121"/>
      <c r="P92" s="1120"/>
      <c r="Q92" s="1121"/>
      <c r="R92" s="1120"/>
      <c r="S92" s="1121"/>
      <c r="T92" s="1120"/>
      <c r="U92" s="1121"/>
      <c r="V92" s="1120"/>
      <c r="W92" s="1121"/>
      <c r="X92" s="1120"/>
      <c r="Y92" s="1121"/>
      <c r="Z92" s="1120"/>
      <c r="AA92" s="1121"/>
      <c r="AB92" s="1120"/>
      <c r="AC92" s="1121"/>
      <c r="AD92" s="1120"/>
      <c r="AE92" s="1121"/>
      <c r="AF92" s="1120"/>
      <c r="AG92" s="1121"/>
      <c r="AH92" s="1120"/>
      <c r="AI92" s="1121"/>
      <c r="AJ92" s="1120"/>
      <c r="AK92" s="1121"/>
      <c r="AL92" s="1120"/>
      <c r="AM92" s="1121"/>
      <c r="AN92" s="1120"/>
      <c r="AO92" s="1131"/>
      <c r="AP92" s="1120"/>
      <c r="AQ92" s="1131"/>
      <c r="AR92" s="1120"/>
      <c r="AS92" s="1517"/>
      <c r="AT92" s="1306"/>
      <c r="AU92" s="1517"/>
      <c r="AV92" s="1306"/>
      <c r="AW92" s="1517"/>
      <c r="AX92" s="1306"/>
      <c r="AY92" s="1517"/>
      <c r="AZ92" s="1306"/>
      <c r="BA92" s="1517"/>
      <c r="BB92" s="1306"/>
      <c r="BC92" s="1517"/>
      <c r="BD92" s="1306"/>
      <c r="BE92" s="1517"/>
      <c r="BF92" s="1306"/>
      <c r="BG92" s="1517"/>
      <c r="BH92" s="1306"/>
      <c r="BI92" s="1517"/>
      <c r="BJ92" s="1306"/>
      <c r="BK92" s="1517"/>
      <c r="BL92" s="1134"/>
      <c r="BM92" s="1121"/>
      <c r="BN92" s="1087"/>
      <c r="BO92" s="1121"/>
      <c r="BP92" s="783">
        <f t="shared" si="40"/>
        <v>1</v>
      </c>
      <c r="BQ92" s="1405">
        <f t="shared" si="41"/>
        <v>0</v>
      </c>
      <c r="BR92" s="711">
        <f t="shared" si="43"/>
        <v>0</v>
      </c>
      <c r="BS92" s="784">
        <f t="shared" si="42"/>
        <v>0</v>
      </c>
      <c r="BT92" s="1610" t="s">
        <v>3104</v>
      </c>
    </row>
    <row r="93" ht="15.75" customHeight="1">
      <c r="A93" s="1679"/>
      <c r="B93" s="1841"/>
      <c r="C93" s="1668"/>
      <c r="D93" s="1670"/>
      <c r="E93" s="1671"/>
      <c r="F93" s="1672"/>
      <c r="G93" s="1681"/>
      <c r="H93" s="1681"/>
      <c r="I93" s="1672"/>
      <c r="J93" s="1672"/>
      <c r="K93" s="1672"/>
      <c r="L93" s="1672"/>
      <c r="M93" s="1673"/>
      <c r="N93" s="1672"/>
      <c r="O93" s="1672"/>
      <c r="P93" s="1672"/>
      <c r="Q93" s="1672"/>
      <c r="R93" s="1681"/>
      <c r="S93" s="1672"/>
      <c r="T93" s="1672"/>
      <c r="U93" s="1673"/>
      <c r="V93" s="1672"/>
      <c r="W93" s="1681"/>
      <c r="X93" s="1672"/>
      <c r="Y93" s="1672"/>
      <c r="Z93" s="1672"/>
      <c r="AA93" s="1573"/>
      <c r="AB93" s="1419"/>
      <c r="AC93" s="1573"/>
      <c r="AD93" s="1419"/>
      <c r="AE93" s="1573"/>
      <c r="AF93" s="1419"/>
      <c r="AG93" s="1573"/>
      <c r="AH93" s="1419"/>
      <c r="AI93" s="1573"/>
      <c r="AJ93" s="1419"/>
      <c r="AK93" s="1573"/>
      <c r="AL93" s="1419"/>
      <c r="AM93" s="1573"/>
      <c r="AN93" s="1823"/>
      <c r="AO93" s="1807"/>
      <c r="AP93" s="1823"/>
      <c r="AQ93" s="1807"/>
      <c r="AR93" s="1807"/>
      <c r="AS93" s="1573"/>
      <c r="AT93" s="1573"/>
      <c r="AU93" s="1573"/>
      <c r="AV93" s="1573"/>
      <c r="AW93" s="1573"/>
      <c r="AX93" s="1573"/>
      <c r="AY93" s="1573"/>
      <c r="AZ93" s="1573"/>
      <c r="BA93" s="1573"/>
      <c r="BB93" s="1186"/>
      <c r="BC93" s="1573"/>
      <c r="BD93" s="1186"/>
      <c r="BE93" s="1573"/>
      <c r="BF93" s="1186"/>
      <c r="BG93" s="1573"/>
      <c r="BH93" s="1165"/>
      <c r="BI93" s="1573"/>
      <c r="BJ93" s="1165"/>
      <c r="BK93" s="1573"/>
      <c r="BM93" s="1573"/>
      <c r="BN93" s="1842" t="s">
        <v>1365</v>
      </c>
      <c r="BO93" s="69"/>
      <c r="BP93" s="1675">
        <f t="shared" ref="BP93:BS93" si="44">SUM(BP66:BP92)</f>
        <v>2381</v>
      </c>
      <c r="BQ93" s="1714">
        <f t="shared" si="44"/>
        <v>0</v>
      </c>
      <c r="BR93" s="1843">
        <f t="shared" si="44"/>
        <v>0</v>
      </c>
      <c r="BS93" s="1844">
        <f t="shared" si="44"/>
        <v>346520</v>
      </c>
      <c r="BT93" s="1678">
        <f>BR93-BS93</f>
        <v>-346520</v>
      </c>
    </row>
    <row r="94" ht="15.75" customHeight="1">
      <c r="A94" s="1805" t="s">
        <v>1354</v>
      </c>
      <c r="C94" s="1845">
        <v>46230.0</v>
      </c>
      <c r="E94" s="908" t="s">
        <v>3106</v>
      </c>
      <c r="F94" s="1573"/>
      <c r="G94" s="726" t="s">
        <v>1356</v>
      </c>
      <c r="V94" s="1573"/>
      <c r="W94" s="1573"/>
      <c r="X94" s="1573"/>
      <c r="Y94" s="1573"/>
      <c r="Z94" s="1573"/>
      <c r="AA94" s="1573"/>
      <c r="AB94" s="1573"/>
      <c r="AC94" s="1573"/>
      <c r="AD94" s="1573"/>
      <c r="AE94" s="1573"/>
      <c r="AF94" s="1573"/>
      <c r="AG94" s="1573"/>
      <c r="AH94" s="1573"/>
      <c r="AI94" s="1573"/>
      <c r="AJ94" s="1573"/>
      <c r="AK94" s="1573"/>
      <c r="AL94" s="1573"/>
      <c r="AM94" s="1573"/>
      <c r="AN94" s="1807"/>
      <c r="AO94" s="1807"/>
      <c r="AP94" s="1807"/>
      <c r="AQ94" s="1807"/>
      <c r="AR94" s="1807"/>
      <c r="AS94" s="1573"/>
      <c r="AT94" s="1573"/>
      <c r="AU94" s="1573"/>
      <c r="AV94" s="1573"/>
      <c r="AW94" s="1573"/>
      <c r="AX94" s="1573"/>
      <c r="AY94" s="1573"/>
      <c r="AZ94" s="1573"/>
      <c r="BA94" s="1573"/>
      <c r="BB94" s="1186"/>
      <c r="BC94" s="1573"/>
      <c r="BD94" s="1186"/>
      <c r="BE94" s="1573"/>
      <c r="BF94" s="1186"/>
      <c r="BG94" s="1573"/>
      <c r="BH94" s="1165"/>
      <c r="BI94" s="1573"/>
      <c r="BJ94" s="1165"/>
      <c r="BK94" s="1573"/>
      <c r="BL94" s="1573"/>
      <c r="BM94" s="1573"/>
      <c r="BN94" s="1186"/>
      <c r="BO94" s="1573"/>
      <c r="BP94" s="1573"/>
      <c r="BQ94" s="633"/>
      <c r="BR94" s="541"/>
      <c r="BS94" s="684"/>
      <c r="BT94" s="541"/>
    </row>
    <row r="95" ht="19.5" customHeight="1">
      <c r="A95" s="1693" t="s">
        <v>3069</v>
      </c>
      <c r="B95" s="1694" t="s">
        <v>3097</v>
      </c>
      <c r="C95" s="1693" t="s">
        <v>19</v>
      </c>
      <c r="D95" s="1557" t="s">
        <v>3070</v>
      </c>
      <c r="E95" s="1559" t="str">
        <f t="shared" ref="E95:E121" si="45">E65</f>
        <v>Название блюда</v>
      </c>
      <c r="F95" s="1606" t="s">
        <v>1357</v>
      </c>
      <c r="G95" s="69"/>
      <c r="H95" s="1487" t="s">
        <v>1287</v>
      </c>
      <c r="I95" s="69"/>
      <c r="J95" s="1606" t="s">
        <v>1358</v>
      </c>
      <c r="K95" s="69"/>
      <c r="L95" s="1606" t="s">
        <v>1359</v>
      </c>
      <c r="M95" s="69"/>
      <c r="N95" s="1606" t="s">
        <v>1360</v>
      </c>
      <c r="O95" s="69"/>
      <c r="P95" s="1606" t="s">
        <v>1361</v>
      </c>
      <c r="Q95" s="69"/>
      <c r="R95" s="1487" t="s">
        <v>1362</v>
      </c>
      <c r="S95" s="69"/>
      <c r="T95" s="1487" t="s">
        <v>1299</v>
      </c>
      <c r="U95" s="69"/>
      <c r="V95" s="1487" t="s">
        <v>1301</v>
      </c>
      <c r="W95" s="69"/>
      <c r="X95" s="1487" t="s">
        <v>1363</v>
      </c>
      <c r="Y95" s="69"/>
      <c r="Z95" s="1487" t="s">
        <v>1305</v>
      </c>
      <c r="AA95" s="69"/>
      <c r="AB95" s="1487" t="s">
        <v>1307</v>
      </c>
      <c r="AC95" s="69"/>
      <c r="AD95" s="1487" t="s">
        <v>1309</v>
      </c>
      <c r="AE95" s="69"/>
      <c r="AF95" s="1487" t="s">
        <v>1311</v>
      </c>
      <c r="AG95" s="69"/>
      <c r="AH95" s="1487" t="s">
        <v>1313</v>
      </c>
      <c r="AI95" s="69"/>
      <c r="AJ95" s="1487" t="s">
        <v>1315</v>
      </c>
      <c r="AK95" s="69"/>
      <c r="AL95" s="1487" t="s">
        <v>1317</v>
      </c>
      <c r="AM95" s="69"/>
      <c r="AN95" s="1487" t="s">
        <v>1319</v>
      </c>
      <c r="AO95" s="69"/>
      <c r="AP95" s="1487" t="s">
        <v>1321</v>
      </c>
      <c r="AQ95" s="69"/>
      <c r="AR95" s="1487" t="str">
        <f>AR65</f>
        <v>Т20</v>
      </c>
      <c r="AS95" s="69"/>
      <c r="AT95" s="1487" t="str">
        <f>AT65</f>
        <v>Т21</v>
      </c>
      <c r="AU95" s="69"/>
      <c r="AV95" s="1487" t="str">
        <f>AV65</f>
        <v>Т22</v>
      </c>
      <c r="AW95" s="69"/>
      <c r="AX95" s="1487" t="s">
        <v>3076</v>
      </c>
      <c r="AY95" s="69"/>
      <c r="AZ95" s="1487" t="s">
        <v>3078</v>
      </c>
      <c r="BA95" s="69"/>
      <c r="BB95" s="1485" t="s">
        <v>3080</v>
      </c>
      <c r="BC95" s="69"/>
      <c r="BD95" s="1485" t="s">
        <v>3082</v>
      </c>
      <c r="BE95" s="69"/>
      <c r="BF95" s="1485" t="s">
        <v>3084</v>
      </c>
      <c r="BG95" s="69"/>
      <c r="BH95" s="1485" t="s">
        <v>3086</v>
      </c>
      <c r="BI95" s="69"/>
      <c r="BJ95" s="1485" t="s">
        <v>3088</v>
      </c>
      <c r="BK95" s="69"/>
      <c r="BL95" s="1487" t="s">
        <v>297</v>
      </c>
      <c r="BM95" s="69"/>
      <c r="BN95" s="1487" t="s">
        <v>5</v>
      </c>
      <c r="BO95" s="69"/>
      <c r="BR95" s="1691"/>
      <c r="BT95" s="1691"/>
    </row>
    <row r="96" ht="22.5" customHeight="1">
      <c r="A96" s="1698" t="str">
        <f t="shared" ref="A96:A122" si="46">A66</f>
        <v/>
      </c>
      <c r="B96" s="1259">
        <v>3196.0</v>
      </c>
      <c r="C96" s="1693">
        <v>97.0</v>
      </c>
      <c r="D96" s="1701"/>
      <c r="E96" s="721" t="str">
        <f t="shared" si="45"/>
        <v>Манник ''Маковый''</v>
      </c>
      <c r="F96" s="1703" t="str">
        <f t="shared" ref="F96:F121" si="47">G66</f>
        <v/>
      </c>
      <c r="G96" s="69"/>
      <c r="H96" s="1703" t="str">
        <f t="shared" ref="H96:H121" si="48">I66</f>
        <v/>
      </c>
      <c r="I96" s="69"/>
      <c r="J96" s="1703" t="str">
        <f t="shared" ref="J96:J120" si="49">K66</f>
        <v/>
      </c>
      <c r="K96" s="69"/>
      <c r="L96" s="1703" t="str">
        <f t="shared" ref="L96:L120" si="50">M66</f>
        <v/>
      </c>
      <c r="M96" s="69"/>
      <c r="N96" s="1706" t="str">
        <f t="shared" ref="N96:N120" si="51">O66</f>
        <v/>
      </c>
      <c r="O96" s="69"/>
      <c r="P96" s="1703" t="str">
        <f t="shared" ref="P96:P120" si="52">Q66</f>
        <v/>
      </c>
      <c r="Q96" s="69"/>
      <c r="R96" s="1703" t="str">
        <f t="shared" ref="R96:R120" si="53">S66</f>
        <v/>
      </c>
      <c r="S96" s="69"/>
      <c r="T96" s="1703" t="str">
        <f t="shared" ref="T96:T120" si="54">U66</f>
        <v/>
      </c>
      <c r="U96" s="69"/>
      <c r="V96" s="1703" t="str">
        <f t="shared" ref="V96:V120" si="55">W66</f>
        <v/>
      </c>
      <c r="W96" s="69"/>
      <c r="X96" s="1703" t="str">
        <f t="shared" ref="X96:X120" si="56">Y66</f>
        <v/>
      </c>
      <c r="Y96" s="69"/>
      <c r="Z96" s="1703" t="str">
        <f t="shared" ref="Z96:Z120" si="57">AA66</f>
        <v/>
      </c>
      <c r="AA96" s="69"/>
      <c r="AB96" s="1703" t="str">
        <f t="shared" ref="AB96:AB120" si="58">AC66</f>
        <v/>
      </c>
      <c r="AC96" s="69"/>
      <c r="AD96" s="1706" t="str">
        <f t="shared" ref="AD96:AD120" si="59">AE66</f>
        <v/>
      </c>
      <c r="AE96" s="69"/>
      <c r="AF96" s="1706" t="str">
        <f t="shared" ref="AF96:AF120" si="60">AG66</f>
        <v/>
      </c>
      <c r="AG96" s="69"/>
      <c r="AH96" s="1706" t="str">
        <f t="shared" ref="AH96:AH120" si="61">AI66</f>
        <v/>
      </c>
      <c r="AI96" s="69"/>
      <c r="AJ96" s="1706" t="str">
        <f t="shared" ref="AJ96:AJ120" si="62">AK66</f>
        <v/>
      </c>
      <c r="AK96" s="69"/>
      <c r="AL96" s="1706" t="str">
        <f t="shared" ref="AL96:AL121" si="63">AM66</f>
        <v/>
      </c>
      <c r="AM96" s="69"/>
      <c r="AN96" s="1706" t="str">
        <f t="shared" ref="AN96:AN120" si="64">AO66</f>
        <v/>
      </c>
      <c r="AO96" s="69"/>
      <c r="AP96" s="1706" t="str">
        <f t="shared" ref="AP96:AP120" si="65">AQ66</f>
        <v/>
      </c>
      <c r="AQ96" s="69"/>
      <c r="AR96" s="1706" t="str">
        <f t="shared" ref="AR96:AR120" si="66">AS66</f>
        <v/>
      </c>
      <c r="AS96" s="69"/>
      <c r="AT96" s="1706" t="str">
        <f t="shared" ref="AT96:AT120" si="67">AU66</f>
        <v/>
      </c>
      <c r="AU96" s="69"/>
      <c r="AV96" s="1706" t="str">
        <f t="shared" ref="AV96:AV120" si="68">AW66</f>
        <v/>
      </c>
      <c r="AW96" s="69"/>
      <c r="AX96" s="1706" t="str">
        <f t="shared" ref="AX96:AX120" si="69">AY66</f>
        <v/>
      </c>
      <c r="AY96" s="69"/>
      <c r="AZ96" s="1706" t="str">
        <f t="shared" ref="AZ96:AZ120" si="70">BA66</f>
        <v/>
      </c>
      <c r="BA96" s="69"/>
      <c r="BB96" s="1709" t="str">
        <f t="shared" ref="BB96:BB121" si="71">BC66</f>
        <v/>
      </c>
      <c r="BC96" s="69"/>
      <c r="BD96" s="1709" t="str">
        <f t="shared" ref="BD96:BD121" si="72">BE66</f>
        <v/>
      </c>
      <c r="BE96" s="69"/>
      <c r="BF96" s="1709" t="str">
        <f t="shared" ref="BF96:BF121" si="73">BG66</f>
        <v/>
      </c>
      <c r="BG96" s="69"/>
      <c r="BH96" s="1709" t="str">
        <f t="shared" ref="BH96:BH121" si="74">BI66</f>
        <v/>
      </c>
      <c r="BI96" s="69"/>
      <c r="BJ96" s="1709" t="str">
        <f t="shared" ref="BJ96:BJ121" si="75">BK66</f>
        <v/>
      </c>
      <c r="BK96" s="69"/>
      <c r="BL96" s="1706" t="str">
        <f t="shared" ref="BL96:BL121" si="76">BM66</f>
        <v/>
      </c>
      <c r="BM96" s="69"/>
      <c r="BN96" s="1706">
        <f t="shared" ref="BN96:BN122" si="77">SUM(F96:BM96)</f>
        <v>0</v>
      </c>
      <c r="BO96" s="69"/>
      <c r="BR96" s="541"/>
      <c r="BS96" s="684"/>
      <c r="BT96" s="541"/>
    </row>
    <row r="97" ht="22.5" customHeight="1">
      <c r="A97" s="1698" t="str">
        <f t="shared" si="46"/>
        <v/>
      </c>
      <c r="B97" s="1259">
        <v>4235.0</v>
      </c>
      <c r="C97" s="1693">
        <v>158.0</v>
      </c>
      <c r="D97" s="1701"/>
      <c r="E97" s="721" t="str">
        <f t="shared" si="45"/>
        <v>Киш с курицей</v>
      </c>
      <c r="F97" s="1703" t="str">
        <f t="shared" si="47"/>
        <v/>
      </c>
      <c r="G97" s="69"/>
      <c r="H97" s="1703" t="str">
        <f t="shared" si="48"/>
        <v/>
      </c>
      <c r="I97" s="69"/>
      <c r="J97" s="1703" t="str">
        <f t="shared" si="49"/>
        <v/>
      </c>
      <c r="K97" s="69"/>
      <c r="L97" s="1703" t="str">
        <f t="shared" si="50"/>
        <v/>
      </c>
      <c r="M97" s="69"/>
      <c r="N97" s="1706" t="str">
        <f t="shared" si="51"/>
        <v/>
      </c>
      <c r="O97" s="69"/>
      <c r="P97" s="1703" t="str">
        <f t="shared" si="52"/>
        <v/>
      </c>
      <c r="Q97" s="69"/>
      <c r="R97" s="1703" t="str">
        <f t="shared" si="53"/>
        <v/>
      </c>
      <c r="S97" s="69"/>
      <c r="T97" s="1703" t="str">
        <f t="shared" si="54"/>
        <v/>
      </c>
      <c r="U97" s="69"/>
      <c r="V97" s="1703" t="str">
        <f t="shared" si="55"/>
        <v/>
      </c>
      <c r="W97" s="69"/>
      <c r="X97" s="1703" t="str">
        <f t="shared" si="56"/>
        <v/>
      </c>
      <c r="Y97" s="69"/>
      <c r="Z97" s="1703" t="str">
        <f t="shared" si="57"/>
        <v/>
      </c>
      <c r="AA97" s="69"/>
      <c r="AB97" s="1703" t="str">
        <f t="shared" si="58"/>
        <v/>
      </c>
      <c r="AC97" s="69"/>
      <c r="AD97" s="1706" t="str">
        <f t="shared" si="59"/>
        <v/>
      </c>
      <c r="AE97" s="69"/>
      <c r="AF97" s="1706" t="str">
        <f t="shared" si="60"/>
        <v/>
      </c>
      <c r="AG97" s="69"/>
      <c r="AH97" s="1706" t="str">
        <f t="shared" si="61"/>
        <v/>
      </c>
      <c r="AI97" s="69"/>
      <c r="AJ97" s="1706" t="str">
        <f t="shared" si="62"/>
        <v/>
      </c>
      <c r="AK97" s="69"/>
      <c r="AL97" s="1706" t="str">
        <f t="shared" si="63"/>
        <v/>
      </c>
      <c r="AM97" s="69"/>
      <c r="AN97" s="1706" t="str">
        <f t="shared" si="64"/>
        <v/>
      </c>
      <c r="AO97" s="69"/>
      <c r="AP97" s="1706" t="str">
        <f t="shared" si="65"/>
        <v/>
      </c>
      <c r="AQ97" s="69"/>
      <c r="AR97" s="1706" t="str">
        <f t="shared" si="66"/>
        <v/>
      </c>
      <c r="AS97" s="69"/>
      <c r="AT97" s="1706" t="str">
        <f t="shared" si="67"/>
        <v/>
      </c>
      <c r="AU97" s="69"/>
      <c r="AV97" s="1706" t="str">
        <f t="shared" si="68"/>
        <v/>
      </c>
      <c r="AW97" s="69"/>
      <c r="AX97" s="1706" t="str">
        <f t="shared" si="69"/>
        <v/>
      </c>
      <c r="AY97" s="69"/>
      <c r="AZ97" s="1706" t="str">
        <f t="shared" si="70"/>
        <v/>
      </c>
      <c r="BA97" s="69"/>
      <c r="BB97" s="1709" t="str">
        <f t="shared" si="71"/>
        <v/>
      </c>
      <c r="BC97" s="69"/>
      <c r="BD97" s="1709" t="str">
        <f t="shared" si="72"/>
        <v/>
      </c>
      <c r="BE97" s="69"/>
      <c r="BF97" s="1709" t="str">
        <f t="shared" si="73"/>
        <v/>
      </c>
      <c r="BG97" s="69"/>
      <c r="BH97" s="1709" t="str">
        <f t="shared" si="74"/>
        <v/>
      </c>
      <c r="BI97" s="69"/>
      <c r="BJ97" s="1709" t="str">
        <f t="shared" si="75"/>
        <v/>
      </c>
      <c r="BK97" s="69"/>
      <c r="BL97" s="1706" t="str">
        <f t="shared" si="76"/>
        <v/>
      </c>
      <c r="BM97" s="69"/>
      <c r="BN97" s="1706">
        <f t="shared" si="77"/>
        <v>0</v>
      </c>
      <c r="BO97" s="69"/>
      <c r="BR97" s="541"/>
      <c r="BS97" s="684"/>
      <c r="BT97" s="541"/>
    </row>
    <row r="98" ht="22.5" customHeight="1">
      <c r="A98" s="1698" t="str">
        <f t="shared" si="46"/>
        <v/>
      </c>
      <c r="B98" s="1259">
        <v>4254.0</v>
      </c>
      <c r="C98" s="1693">
        <v>186.0</v>
      </c>
      <c r="D98" s="1701"/>
      <c r="E98" s="721" t="str">
        <f t="shared" si="45"/>
        <v>Творожный чизкейк </v>
      </c>
      <c r="F98" s="1703" t="str">
        <f t="shared" si="47"/>
        <v/>
      </c>
      <c r="G98" s="69"/>
      <c r="H98" s="1703" t="str">
        <f t="shared" si="48"/>
        <v/>
      </c>
      <c r="I98" s="69"/>
      <c r="J98" s="1703" t="str">
        <f t="shared" si="49"/>
        <v/>
      </c>
      <c r="K98" s="69"/>
      <c r="L98" s="1703" t="str">
        <f t="shared" si="50"/>
        <v/>
      </c>
      <c r="M98" s="69"/>
      <c r="N98" s="1706" t="str">
        <f t="shared" si="51"/>
        <v/>
      </c>
      <c r="O98" s="69"/>
      <c r="P98" s="1703" t="str">
        <f t="shared" si="52"/>
        <v/>
      </c>
      <c r="Q98" s="69"/>
      <c r="R98" s="1703" t="str">
        <f t="shared" si="53"/>
        <v/>
      </c>
      <c r="S98" s="69"/>
      <c r="T98" s="1703" t="str">
        <f t="shared" si="54"/>
        <v/>
      </c>
      <c r="U98" s="69"/>
      <c r="V98" s="1703" t="str">
        <f t="shared" si="55"/>
        <v/>
      </c>
      <c r="W98" s="69"/>
      <c r="X98" s="1703" t="str">
        <f t="shared" si="56"/>
        <v/>
      </c>
      <c r="Y98" s="69"/>
      <c r="Z98" s="1703" t="str">
        <f t="shared" si="57"/>
        <v/>
      </c>
      <c r="AA98" s="69"/>
      <c r="AB98" s="1703" t="str">
        <f t="shared" si="58"/>
        <v/>
      </c>
      <c r="AC98" s="69"/>
      <c r="AD98" s="1706" t="str">
        <f t="shared" si="59"/>
        <v/>
      </c>
      <c r="AE98" s="69"/>
      <c r="AF98" s="1706" t="str">
        <f t="shared" si="60"/>
        <v/>
      </c>
      <c r="AG98" s="69"/>
      <c r="AH98" s="1706" t="str">
        <f t="shared" si="61"/>
        <v/>
      </c>
      <c r="AI98" s="69"/>
      <c r="AJ98" s="1706" t="str">
        <f t="shared" si="62"/>
        <v/>
      </c>
      <c r="AK98" s="69"/>
      <c r="AL98" s="1706" t="str">
        <f t="shared" si="63"/>
        <v/>
      </c>
      <c r="AM98" s="69"/>
      <c r="AN98" s="1706" t="str">
        <f t="shared" si="64"/>
        <v/>
      </c>
      <c r="AO98" s="69"/>
      <c r="AP98" s="1706" t="str">
        <f t="shared" si="65"/>
        <v/>
      </c>
      <c r="AQ98" s="69"/>
      <c r="AR98" s="1706" t="str">
        <f t="shared" si="66"/>
        <v/>
      </c>
      <c r="AS98" s="69"/>
      <c r="AT98" s="1706" t="str">
        <f t="shared" si="67"/>
        <v/>
      </c>
      <c r="AU98" s="69"/>
      <c r="AV98" s="1706" t="str">
        <f t="shared" si="68"/>
        <v/>
      </c>
      <c r="AW98" s="69"/>
      <c r="AX98" s="1706" t="str">
        <f t="shared" si="69"/>
        <v/>
      </c>
      <c r="AY98" s="69"/>
      <c r="AZ98" s="1706" t="str">
        <f t="shared" si="70"/>
        <v/>
      </c>
      <c r="BA98" s="69"/>
      <c r="BB98" s="1709" t="str">
        <f t="shared" si="71"/>
        <v/>
      </c>
      <c r="BC98" s="69"/>
      <c r="BD98" s="1709" t="str">
        <f t="shared" si="72"/>
        <v/>
      </c>
      <c r="BE98" s="69"/>
      <c r="BF98" s="1709" t="str">
        <f t="shared" si="73"/>
        <v/>
      </c>
      <c r="BG98" s="69"/>
      <c r="BH98" s="1709" t="str">
        <f t="shared" si="74"/>
        <v/>
      </c>
      <c r="BI98" s="69"/>
      <c r="BJ98" s="1709" t="str">
        <f t="shared" si="75"/>
        <v/>
      </c>
      <c r="BK98" s="69"/>
      <c r="BL98" s="1706" t="str">
        <f t="shared" si="76"/>
        <v/>
      </c>
      <c r="BM98" s="69"/>
      <c r="BN98" s="1706">
        <f t="shared" si="77"/>
        <v>0</v>
      </c>
      <c r="BO98" s="69"/>
      <c r="BR98" s="541"/>
      <c r="BS98" s="684"/>
      <c r="BT98" s="541"/>
    </row>
    <row r="99" ht="22.5" customHeight="1">
      <c r="A99" s="1698" t="str">
        <f t="shared" si="46"/>
        <v/>
      </c>
      <c r="B99" s="1259">
        <v>4024.0</v>
      </c>
      <c r="C99" s="1693">
        <v>98.0</v>
      </c>
      <c r="D99" s="1701"/>
      <c r="E99" s="721" t="str">
        <f t="shared" si="45"/>
        <v>Салат "Чешский" (колбаса п/к)</v>
      </c>
      <c r="F99" s="1703" t="str">
        <f t="shared" si="47"/>
        <v/>
      </c>
      <c r="G99" s="69"/>
      <c r="H99" s="1703" t="str">
        <f t="shared" si="48"/>
        <v/>
      </c>
      <c r="I99" s="69"/>
      <c r="J99" s="1703" t="str">
        <f t="shared" si="49"/>
        <v/>
      </c>
      <c r="K99" s="69"/>
      <c r="L99" s="1703" t="str">
        <f t="shared" si="50"/>
        <v/>
      </c>
      <c r="M99" s="69"/>
      <c r="N99" s="1706" t="str">
        <f t="shared" si="51"/>
        <v/>
      </c>
      <c r="O99" s="69"/>
      <c r="P99" s="1703" t="str">
        <f t="shared" si="52"/>
        <v/>
      </c>
      <c r="Q99" s="69"/>
      <c r="R99" s="1703" t="str">
        <f t="shared" si="53"/>
        <v/>
      </c>
      <c r="S99" s="69"/>
      <c r="T99" s="1703" t="str">
        <f t="shared" si="54"/>
        <v/>
      </c>
      <c r="U99" s="69"/>
      <c r="V99" s="1703" t="str">
        <f t="shared" si="55"/>
        <v/>
      </c>
      <c r="W99" s="69"/>
      <c r="X99" s="1703" t="str">
        <f t="shared" si="56"/>
        <v/>
      </c>
      <c r="Y99" s="69"/>
      <c r="Z99" s="1703" t="str">
        <f t="shared" si="57"/>
        <v/>
      </c>
      <c r="AA99" s="69"/>
      <c r="AB99" s="1703" t="str">
        <f t="shared" si="58"/>
        <v/>
      </c>
      <c r="AC99" s="69"/>
      <c r="AD99" s="1706" t="str">
        <f t="shared" si="59"/>
        <v/>
      </c>
      <c r="AE99" s="69"/>
      <c r="AF99" s="1706" t="str">
        <f t="shared" si="60"/>
        <v/>
      </c>
      <c r="AG99" s="69"/>
      <c r="AH99" s="1706" t="str">
        <f t="shared" si="61"/>
        <v/>
      </c>
      <c r="AI99" s="69"/>
      <c r="AJ99" s="1706" t="str">
        <f t="shared" si="62"/>
        <v/>
      </c>
      <c r="AK99" s="69"/>
      <c r="AL99" s="1706" t="str">
        <f t="shared" si="63"/>
        <v/>
      </c>
      <c r="AM99" s="69"/>
      <c r="AN99" s="1706" t="str">
        <f t="shared" si="64"/>
        <v/>
      </c>
      <c r="AO99" s="69"/>
      <c r="AP99" s="1706" t="str">
        <f t="shared" si="65"/>
        <v/>
      </c>
      <c r="AQ99" s="69"/>
      <c r="AR99" s="1706" t="str">
        <f t="shared" si="66"/>
        <v/>
      </c>
      <c r="AS99" s="69"/>
      <c r="AT99" s="1706" t="str">
        <f t="shared" si="67"/>
        <v/>
      </c>
      <c r="AU99" s="69"/>
      <c r="AV99" s="1706" t="str">
        <f t="shared" si="68"/>
        <v/>
      </c>
      <c r="AW99" s="69"/>
      <c r="AX99" s="1706" t="str">
        <f t="shared" si="69"/>
        <v/>
      </c>
      <c r="AY99" s="69"/>
      <c r="AZ99" s="1706" t="str">
        <f t="shared" si="70"/>
        <v/>
      </c>
      <c r="BA99" s="69"/>
      <c r="BB99" s="1709" t="str">
        <f t="shared" si="71"/>
        <v/>
      </c>
      <c r="BC99" s="69"/>
      <c r="BD99" s="1709" t="str">
        <f t="shared" si="72"/>
        <v/>
      </c>
      <c r="BE99" s="69"/>
      <c r="BF99" s="1709" t="str">
        <f t="shared" si="73"/>
        <v/>
      </c>
      <c r="BG99" s="69"/>
      <c r="BH99" s="1709" t="str">
        <f t="shared" si="74"/>
        <v/>
      </c>
      <c r="BI99" s="69"/>
      <c r="BJ99" s="1709" t="str">
        <f t="shared" si="75"/>
        <v/>
      </c>
      <c r="BK99" s="69"/>
      <c r="BL99" s="1706" t="str">
        <f t="shared" si="76"/>
        <v/>
      </c>
      <c r="BM99" s="69"/>
      <c r="BN99" s="1706">
        <f t="shared" si="77"/>
        <v>0</v>
      </c>
      <c r="BO99" s="69"/>
      <c r="BR99" s="541"/>
      <c r="BS99" s="684"/>
      <c r="BT99" s="541"/>
    </row>
    <row r="100" ht="22.5" customHeight="1">
      <c r="A100" s="1698" t="str">
        <f t="shared" si="46"/>
        <v/>
      </c>
      <c r="B100" s="1259">
        <v>3379.0</v>
      </c>
      <c r="C100" s="1693">
        <v>98.0</v>
      </c>
      <c r="D100" s="1701"/>
      <c r="E100" s="721" t="str">
        <f t="shared" si="45"/>
        <v>Салат ''Зайка'' 120 г</v>
      </c>
      <c r="F100" s="1703" t="str">
        <f t="shared" si="47"/>
        <v/>
      </c>
      <c r="G100" s="69"/>
      <c r="H100" s="1703" t="str">
        <f t="shared" si="48"/>
        <v/>
      </c>
      <c r="I100" s="69"/>
      <c r="J100" s="1703" t="str">
        <f t="shared" si="49"/>
        <v/>
      </c>
      <c r="K100" s="69"/>
      <c r="L100" s="1703" t="str">
        <f t="shared" si="50"/>
        <v/>
      </c>
      <c r="M100" s="69"/>
      <c r="N100" s="1706" t="str">
        <f t="shared" si="51"/>
        <v/>
      </c>
      <c r="O100" s="69"/>
      <c r="P100" s="1703" t="str">
        <f t="shared" si="52"/>
        <v/>
      </c>
      <c r="Q100" s="69"/>
      <c r="R100" s="1703" t="str">
        <f t="shared" si="53"/>
        <v/>
      </c>
      <c r="S100" s="69"/>
      <c r="T100" s="1703" t="str">
        <f t="shared" si="54"/>
        <v/>
      </c>
      <c r="U100" s="69"/>
      <c r="V100" s="1703" t="str">
        <f t="shared" si="55"/>
        <v/>
      </c>
      <c r="W100" s="69"/>
      <c r="X100" s="1703" t="str">
        <f t="shared" si="56"/>
        <v/>
      </c>
      <c r="Y100" s="69"/>
      <c r="Z100" s="1703" t="str">
        <f t="shared" si="57"/>
        <v/>
      </c>
      <c r="AA100" s="69"/>
      <c r="AB100" s="1703" t="str">
        <f t="shared" si="58"/>
        <v/>
      </c>
      <c r="AC100" s="69"/>
      <c r="AD100" s="1706" t="str">
        <f t="shared" si="59"/>
        <v/>
      </c>
      <c r="AE100" s="69"/>
      <c r="AF100" s="1706" t="str">
        <f t="shared" si="60"/>
        <v/>
      </c>
      <c r="AG100" s="69"/>
      <c r="AH100" s="1706" t="str">
        <f t="shared" si="61"/>
        <v/>
      </c>
      <c r="AI100" s="69"/>
      <c r="AJ100" s="1706" t="str">
        <f t="shared" si="62"/>
        <v/>
      </c>
      <c r="AK100" s="69"/>
      <c r="AL100" s="1706" t="str">
        <f t="shared" si="63"/>
        <v/>
      </c>
      <c r="AM100" s="69"/>
      <c r="AN100" s="1706" t="str">
        <f t="shared" si="64"/>
        <v/>
      </c>
      <c r="AO100" s="69"/>
      <c r="AP100" s="1706" t="str">
        <f t="shared" si="65"/>
        <v/>
      </c>
      <c r="AQ100" s="69"/>
      <c r="AR100" s="1706" t="str">
        <f t="shared" si="66"/>
        <v/>
      </c>
      <c r="AS100" s="69"/>
      <c r="AT100" s="1706" t="str">
        <f t="shared" si="67"/>
        <v/>
      </c>
      <c r="AU100" s="69"/>
      <c r="AV100" s="1706" t="str">
        <f t="shared" si="68"/>
        <v/>
      </c>
      <c r="AW100" s="69"/>
      <c r="AX100" s="1706" t="str">
        <f t="shared" si="69"/>
        <v/>
      </c>
      <c r="AY100" s="69"/>
      <c r="AZ100" s="1706" t="str">
        <f t="shared" si="70"/>
        <v/>
      </c>
      <c r="BA100" s="69"/>
      <c r="BB100" s="1709" t="str">
        <f t="shared" si="71"/>
        <v/>
      </c>
      <c r="BC100" s="69"/>
      <c r="BD100" s="1709" t="str">
        <f t="shared" si="72"/>
        <v/>
      </c>
      <c r="BE100" s="69"/>
      <c r="BF100" s="1709" t="str">
        <f t="shared" si="73"/>
        <v/>
      </c>
      <c r="BG100" s="69"/>
      <c r="BH100" s="1709" t="str">
        <f t="shared" si="74"/>
        <v/>
      </c>
      <c r="BI100" s="69"/>
      <c r="BJ100" s="1709" t="str">
        <f t="shared" si="75"/>
        <v/>
      </c>
      <c r="BK100" s="69"/>
      <c r="BL100" s="1706" t="str">
        <f t="shared" si="76"/>
        <v/>
      </c>
      <c r="BM100" s="69"/>
      <c r="BN100" s="1706">
        <f t="shared" si="77"/>
        <v>0</v>
      </c>
      <c r="BO100" s="69"/>
      <c r="BR100" s="541"/>
      <c r="BS100" s="684"/>
      <c r="BT100" s="541"/>
    </row>
    <row r="101" ht="22.5" customHeight="1">
      <c r="A101" s="1698" t="str">
        <f t="shared" si="46"/>
        <v/>
      </c>
      <c r="B101" s="1259">
        <v>3244.0</v>
      </c>
      <c r="C101" s="1693">
        <v>98.0</v>
      </c>
      <c r="D101" s="1701"/>
      <c r="E101" s="721" t="str">
        <f t="shared" si="45"/>
        <v>Салат ''Крабик'' с рисом</v>
      </c>
      <c r="F101" s="1703" t="str">
        <f t="shared" si="47"/>
        <v/>
      </c>
      <c r="G101" s="69"/>
      <c r="H101" s="1703" t="str">
        <f t="shared" si="48"/>
        <v/>
      </c>
      <c r="I101" s="69"/>
      <c r="J101" s="1703" t="str">
        <f t="shared" si="49"/>
        <v/>
      </c>
      <c r="K101" s="69"/>
      <c r="L101" s="1703" t="str">
        <f t="shared" si="50"/>
        <v/>
      </c>
      <c r="M101" s="69"/>
      <c r="N101" s="1706" t="str">
        <f t="shared" si="51"/>
        <v/>
      </c>
      <c r="O101" s="69"/>
      <c r="P101" s="1703" t="str">
        <f t="shared" si="52"/>
        <v/>
      </c>
      <c r="Q101" s="69"/>
      <c r="R101" s="1703" t="str">
        <f t="shared" si="53"/>
        <v/>
      </c>
      <c r="S101" s="69"/>
      <c r="T101" s="1703" t="str">
        <f t="shared" si="54"/>
        <v/>
      </c>
      <c r="U101" s="69"/>
      <c r="V101" s="1703" t="str">
        <f t="shared" si="55"/>
        <v/>
      </c>
      <c r="W101" s="69"/>
      <c r="X101" s="1703" t="str">
        <f t="shared" si="56"/>
        <v/>
      </c>
      <c r="Y101" s="69"/>
      <c r="Z101" s="1703" t="str">
        <f t="shared" si="57"/>
        <v/>
      </c>
      <c r="AA101" s="69"/>
      <c r="AB101" s="1703" t="str">
        <f t="shared" si="58"/>
        <v/>
      </c>
      <c r="AC101" s="69"/>
      <c r="AD101" s="1706" t="str">
        <f t="shared" si="59"/>
        <v/>
      </c>
      <c r="AE101" s="69"/>
      <c r="AF101" s="1706" t="str">
        <f t="shared" si="60"/>
        <v/>
      </c>
      <c r="AG101" s="69"/>
      <c r="AH101" s="1706" t="str">
        <f t="shared" si="61"/>
        <v/>
      </c>
      <c r="AI101" s="69"/>
      <c r="AJ101" s="1706" t="str">
        <f t="shared" si="62"/>
        <v/>
      </c>
      <c r="AK101" s="69"/>
      <c r="AL101" s="1706" t="str">
        <f t="shared" si="63"/>
        <v/>
      </c>
      <c r="AM101" s="69"/>
      <c r="AN101" s="1706" t="str">
        <f t="shared" si="64"/>
        <v/>
      </c>
      <c r="AO101" s="69"/>
      <c r="AP101" s="1706" t="str">
        <f t="shared" si="65"/>
        <v/>
      </c>
      <c r="AQ101" s="69"/>
      <c r="AR101" s="1706" t="str">
        <f t="shared" si="66"/>
        <v/>
      </c>
      <c r="AS101" s="69"/>
      <c r="AT101" s="1706" t="str">
        <f t="shared" si="67"/>
        <v/>
      </c>
      <c r="AU101" s="69"/>
      <c r="AV101" s="1706" t="str">
        <f t="shared" si="68"/>
        <v/>
      </c>
      <c r="AW101" s="69"/>
      <c r="AX101" s="1706" t="str">
        <f t="shared" si="69"/>
        <v/>
      </c>
      <c r="AY101" s="69"/>
      <c r="AZ101" s="1706" t="str">
        <f t="shared" si="70"/>
        <v/>
      </c>
      <c r="BA101" s="69"/>
      <c r="BB101" s="1709" t="str">
        <f t="shared" si="71"/>
        <v/>
      </c>
      <c r="BC101" s="69"/>
      <c r="BD101" s="1709" t="str">
        <f t="shared" si="72"/>
        <v/>
      </c>
      <c r="BE101" s="69"/>
      <c r="BF101" s="1709" t="str">
        <f t="shared" si="73"/>
        <v/>
      </c>
      <c r="BG101" s="69"/>
      <c r="BH101" s="1709" t="str">
        <f t="shared" si="74"/>
        <v/>
      </c>
      <c r="BI101" s="69"/>
      <c r="BJ101" s="1709" t="str">
        <f t="shared" si="75"/>
        <v/>
      </c>
      <c r="BK101" s="69"/>
      <c r="BL101" s="1706" t="str">
        <f t="shared" si="76"/>
        <v/>
      </c>
      <c r="BM101" s="69"/>
      <c r="BN101" s="1706">
        <f t="shared" si="77"/>
        <v>0</v>
      </c>
      <c r="BO101" s="69"/>
      <c r="BR101" s="541"/>
      <c r="BS101" s="684"/>
      <c r="BT101" s="541"/>
    </row>
    <row r="102" ht="22.5" customHeight="1">
      <c r="A102" s="1698" t="str">
        <f t="shared" si="46"/>
        <v/>
      </c>
      <c r="B102" s="1259">
        <v>3343.0</v>
      </c>
      <c r="C102" s="1693">
        <v>272.0</v>
      </c>
      <c r="D102" s="1701"/>
      <c r="E102" s="721" t="str">
        <f t="shared" si="45"/>
        <v>Боул с тунцом , бобами эдамаме и овощами</v>
      </c>
      <c r="F102" s="1703" t="str">
        <f t="shared" si="47"/>
        <v/>
      </c>
      <c r="G102" s="69"/>
      <c r="H102" s="1703" t="str">
        <f t="shared" si="48"/>
        <v/>
      </c>
      <c r="I102" s="69"/>
      <c r="J102" s="1703" t="str">
        <f t="shared" si="49"/>
        <v/>
      </c>
      <c r="K102" s="69"/>
      <c r="L102" s="1703" t="str">
        <f t="shared" si="50"/>
        <v/>
      </c>
      <c r="M102" s="69"/>
      <c r="N102" s="1706" t="str">
        <f t="shared" si="51"/>
        <v/>
      </c>
      <c r="O102" s="69"/>
      <c r="P102" s="1703" t="str">
        <f t="shared" si="52"/>
        <v/>
      </c>
      <c r="Q102" s="69"/>
      <c r="R102" s="1703" t="str">
        <f t="shared" si="53"/>
        <v/>
      </c>
      <c r="S102" s="69"/>
      <c r="T102" s="1703" t="str">
        <f t="shared" si="54"/>
        <v/>
      </c>
      <c r="U102" s="69"/>
      <c r="V102" s="1703" t="str">
        <f t="shared" si="55"/>
        <v/>
      </c>
      <c r="W102" s="69"/>
      <c r="X102" s="1703" t="str">
        <f t="shared" si="56"/>
        <v/>
      </c>
      <c r="Y102" s="69"/>
      <c r="Z102" s="1703" t="str">
        <f t="shared" si="57"/>
        <v/>
      </c>
      <c r="AA102" s="69"/>
      <c r="AB102" s="1703" t="str">
        <f t="shared" si="58"/>
        <v/>
      </c>
      <c r="AC102" s="69"/>
      <c r="AD102" s="1706" t="str">
        <f t="shared" si="59"/>
        <v/>
      </c>
      <c r="AE102" s="69"/>
      <c r="AF102" s="1706" t="str">
        <f t="shared" si="60"/>
        <v/>
      </c>
      <c r="AG102" s="69"/>
      <c r="AH102" s="1706" t="str">
        <f t="shared" si="61"/>
        <v/>
      </c>
      <c r="AI102" s="69"/>
      <c r="AJ102" s="1706" t="str">
        <f t="shared" si="62"/>
        <v/>
      </c>
      <c r="AK102" s="69"/>
      <c r="AL102" s="1706" t="str">
        <f t="shared" si="63"/>
        <v/>
      </c>
      <c r="AM102" s="69"/>
      <c r="AN102" s="1706" t="str">
        <f t="shared" si="64"/>
        <v/>
      </c>
      <c r="AO102" s="69"/>
      <c r="AP102" s="1706" t="str">
        <f t="shared" si="65"/>
        <v/>
      </c>
      <c r="AQ102" s="69"/>
      <c r="AR102" s="1706" t="str">
        <f t="shared" si="66"/>
        <v/>
      </c>
      <c r="AS102" s="69"/>
      <c r="AT102" s="1706" t="str">
        <f t="shared" si="67"/>
        <v/>
      </c>
      <c r="AU102" s="69"/>
      <c r="AV102" s="1706" t="str">
        <f t="shared" si="68"/>
        <v/>
      </c>
      <c r="AW102" s="69"/>
      <c r="AX102" s="1706" t="str">
        <f t="shared" si="69"/>
        <v/>
      </c>
      <c r="AY102" s="69"/>
      <c r="AZ102" s="1706" t="str">
        <f t="shared" si="70"/>
        <v/>
      </c>
      <c r="BA102" s="69"/>
      <c r="BB102" s="1709" t="str">
        <f t="shared" si="71"/>
        <v/>
      </c>
      <c r="BC102" s="69"/>
      <c r="BD102" s="1709" t="str">
        <f t="shared" si="72"/>
        <v/>
      </c>
      <c r="BE102" s="69"/>
      <c r="BF102" s="1709" t="str">
        <f t="shared" si="73"/>
        <v/>
      </c>
      <c r="BG102" s="69"/>
      <c r="BH102" s="1709" t="str">
        <f t="shared" si="74"/>
        <v/>
      </c>
      <c r="BI102" s="69"/>
      <c r="BJ102" s="1709" t="str">
        <f t="shared" si="75"/>
        <v/>
      </c>
      <c r="BK102" s="69"/>
      <c r="BL102" s="1706" t="str">
        <f t="shared" si="76"/>
        <v/>
      </c>
      <c r="BM102" s="69"/>
      <c r="BN102" s="1706">
        <f t="shared" si="77"/>
        <v>0</v>
      </c>
      <c r="BO102" s="69"/>
      <c r="BR102" s="541"/>
      <c r="BS102" s="684"/>
      <c r="BT102" s="541"/>
    </row>
    <row r="103" ht="22.5" customHeight="1">
      <c r="A103" s="1698" t="str">
        <f t="shared" si="46"/>
        <v/>
      </c>
      <c r="B103" s="1259">
        <v>8.0</v>
      </c>
      <c r="C103" s="1693">
        <v>104.0</v>
      </c>
      <c r="D103" s="1701"/>
      <c r="E103" s="721" t="str">
        <f t="shared" si="45"/>
        <v>Суп гороховый 250 мл</v>
      </c>
      <c r="F103" s="1703" t="str">
        <f t="shared" si="47"/>
        <v/>
      </c>
      <c r="G103" s="69"/>
      <c r="H103" s="1703" t="str">
        <f t="shared" si="48"/>
        <v/>
      </c>
      <c r="I103" s="69"/>
      <c r="J103" s="1703" t="str">
        <f t="shared" si="49"/>
        <v/>
      </c>
      <c r="K103" s="69"/>
      <c r="L103" s="1703" t="str">
        <f t="shared" si="50"/>
        <v/>
      </c>
      <c r="M103" s="69"/>
      <c r="N103" s="1706" t="str">
        <f t="shared" si="51"/>
        <v/>
      </c>
      <c r="O103" s="69"/>
      <c r="P103" s="1725" t="str">
        <f t="shared" si="52"/>
        <v/>
      </c>
      <c r="Q103" s="69"/>
      <c r="R103" s="1703" t="str">
        <f t="shared" si="53"/>
        <v/>
      </c>
      <c r="S103" s="69"/>
      <c r="T103" s="1703" t="str">
        <f t="shared" si="54"/>
        <v/>
      </c>
      <c r="U103" s="69"/>
      <c r="V103" s="1703" t="str">
        <f t="shared" si="55"/>
        <v/>
      </c>
      <c r="W103" s="69"/>
      <c r="X103" s="1703" t="str">
        <f t="shared" si="56"/>
        <v/>
      </c>
      <c r="Y103" s="69"/>
      <c r="Z103" s="1703" t="str">
        <f t="shared" si="57"/>
        <v/>
      </c>
      <c r="AA103" s="69"/>
      <c r="AB103" s="1703" t="str">
        <f t="shared" si="58"/>
        <v/>
      </c>
      <c r="AC103" s="69"/>
      <c r="AD103" s="1706" t="str">
        <f t="shared" si="59"/>
        <v/>
      </c>
      <c r="AE103" s="69"/>
      <c r="AF103" s="1706" t="str">
        <f t="shared" si="60"/>
        <v/>
      </c>
      <c r="AG103" s="69"/>
      <c r="AH103" s="1706" t="str">
        <f t="shared" si="61"/>
        <v/>
      </c>
      <c r="AI103" s="69"/>
      <c r="AJ103" s="1706" t="str">
        <f t="shared" si="62"/>
        <v/>
      </c>
      <c r="AK103" s="69"/>
      <c r="AL103" s="1706" t="str">
        <f t="shared" si="63"/>
        <v/>
      </c>
      <c r="AM103" s="69"/>
      <c r="AN103" s="1706" t="str">
        <f t="shared" si="64"/>
        <v/>
      </c>
      <c r="AO103" s="69"/>
      <c r="AP103" s="1706" t="str">
        <f t="shared" si="65"/>
        <v/>
      </c>
      <c r="AQ103" s="69"/>
      <c r="AR103" s="1706" t="str">
        <f t="shared" si="66"/>
        <v/>
      </c>
      <c r="AS103" s="69"/>
      <c r="AT103" s="1706" t="str">
        <f t="shared" si="67"/>
        <v/>
      </c>
      <c r="AU103" s="69"/>
      <c r="AV103" s="1706" t="str">
        <f t="shared" si="68"/>
        <v/>
      </c>
      <c r="AW103" s="69"/>
      <c r="AX103" s="1706" t="str">
        <f t="shared" si="69"/>
        <v/>
      </c>
      <c r="AY103" s="69"/>
      <c r="AZ103" s="1706" t="str">
        <f t="shared" si="70"/>
        <v/>
      </c>
      <c r="BA103" s="69"/>
      <c r="BB103" s="1709" t="str">
        <f t="shared" si="71"/>
        <v/>
      </c>
      <c r="BC103" s="69"/>
      <c r="BD103" s="1709" t="str">
        <f t="shared" si="72"/>
        <v/>
      </c>
      <c r="BE103" s="69"/>
      <c r="BF103" s="1709" t="str">
        <f t="shared" si="73"/>
        <v/>
      </c>
      <c r="BG103" s="69"/>
      <c r="BH103" s="1709" t="str">
        <f t="shared" si="74"/>
        <v/>
      </c>
      <c r="BI103" s="69"/>
      <c r="BJ103" s="1709" t="str">
        <f t="shared" si="75"/>
        <v/>
      </c>
      <c r="BK103" s="69"/>
      <c r="BL103" s="1706" t="str">
        <f t="shared" si="76"/>
        <v/>
      </c>
      <c r="BM103" s="69"/>
      <c r="BN103" s="1706">
        <f t="shared" si="77"/>
        <v>0</v>
      </c>
      <c r="BO103" s="69"/>
      <c r="BR103" s="541"/>
      <c r="BS103" s="684"/>
      <c r="BT103" s="541"/>
    </row>
    <row r="104" ht="22.5" customHeight="1">
      <c r="A104" s="1698" t="str">
        <f t="shared" si="46"/>
        <v/>
      </c>
      <c r="B104" s="1259"/>
      <c r="C104" s="1693"/>
      <c r="D104" s="1701"/>
      <c r="E104" s="721" t="str">
        <f t="shared" si="45"/>
        <v/>
      </c>
      <c r="F104" s="1703" t="str">
        <f t="shared" si="47"/>
        <v/>
      </c>
      <c r="G104" s="69"/>
      <c r="H104" s="1703" t="str">
        <f t="shared" si="48"/>
        <v/>
      </c>
      <c r="I104" s="69"/>
      <c r="J104" s="1703" t="str">
        <f t="shared" si="49"/>
        <v/>
      </c>
      <c r="K104" s="69"/>
      <c r="L104" s="1703" t="str">
        <f t="shared" si="50"/>
        <v/>
      </c>
      <c r="M104" s="69"/>
      <c r="N104" s="1706" t="str">
        <f t="shared" si="51"/>
        <v/>
      </c>
      <c r="O104" s="69"/>
      <c r="P104" s="1725" t="str">
        <f t="shared" si="52"/>
        <v/>
      </c>
      <c r="Q104" s="69"/>
      <c r="R104" s="1703" t="str">
        <f t="shared" si="53"/>
        <v/>
      </c>
      <c r="S104" s="69"/>
      <c r="T104" s="1703" t="str">
        <f t="shared" si="54"/>
        <v/>
      </c>
      <c r="U104" s="69"/>
      <c r="V104" s="1703" t="str">
        <f t="shared" si="55"/>
        <v/>
      </c>
      <c r="W104" s="69"/>
      <c r="X104" s="1703" t="str">
        <f t="shared" si="56"/>
        <v/>
      </c>
      <c r="Y104" s="69"/>
      <c r="Z104" s="1703" t="str">
        <f t="shared" si="57"/>
        <v/>
      </c>
      <c r="AA104" s="69"/>
      <c r="AB104" s="1703" t="str">
        <f t="shared" si="58"/>
        <v/>
      </c>
      <c r="AC104" s="69"/>
      <c r="AD104" s="1706" t="str">
        <f t="shared" si="59"/>
        <v/>
      </c>
      <c r="AE104" s="69"/>
      <c r="AF104" s="1706" t="str">
        <f t="shared" si="60"/>
        <v/>
      </c>
      <c r="AG104" s="69"/>
      <c r="AH104" s="1706" t="str">
        <f t="shared" si="61"/>
        <v/>
      </c>
      <c r="AI104" s="69"/>
      <c r="AJ104" s="1706" t="str">
        <f t="shared" si="62"/>
        <v/>
      </c>
      <c r="AK104" s="69"/>
      <c r="AL104" s="1706" t="str">
        <f t="shared" si="63"/>
        <v/>
      </c>
      <c r="AM104" s="69"/>
      <c r="AN104" s="1706" t="str">
        <f t="shared" si="64"/>
        <v/>
      </c>
      <c r="AO104" s="69"/>
      <c r="AP104" s="1706" t="str">
        <f t="shared" si="65"/>
        <v/>
      </c>
      <c r="AQ104" s="69"/>
      <c r="AR104" s="1706" t="str">
        <f t="shared" si="66"/>
        <v/>
      </c>
      <c r="AS104" s="69"/>
      <c r="AT104" s="1706" t="str">
        <f t="shared" si="67"/>
        <v/>
      </c>
      <c r="AU104" s="69"/>
      <c r="AV104" s="1706" t="str">
        <f t="shared" si="68"/>
        <v/>
      </c>
      <c r="AW104" s="69"/>
      <c r="AX104" s="1706" t="str">
        <f t="shared" si="69"/>
        <v/>
      </c>
      <c r="AY104" s="69"/>
      <c r="AZ104" s="1706" t="str">
        <f t="shared" si="70"/>
        <v/>
      </c>
      <c r="BA104" s="69"/>
      <c r="BB104" s="1709" t="str">
        <f t="shared" si="71"/>
        <v/>
      </c>
      <c r="BC104" s="69"/>
      <c r="BD104" s="1709" t="str">
        <f t="shared" si="72"/>
        <v/>
      </c>
      <c r="BE104" s="69"/>
      <c r="BF104" s="1709" t="str">
        <f t="shared" si="73"/>
        <v/>
      </c>
      <c r="BG104" s="69"/>
      <c r="BH104" s="1709" t="str">
        <f t="shared" si="74"/>
        <v/>
      </c>
      <c r="BI104" s="69"/>
      <c r="BJ104" s="1709" t="str">
        <f t="shared" si="75"/>
        <v/>
      </c>
      <c r="BK104" s="69"/>
      <c r="BL104" s="1706" t="str">
        <f t="shared" si="76"/>
        <v/>
      </c>
      <c r="BM104" s="69"/>
      <c r="BN104" s="1706">
        <f t="shared" si="77"/>
        <v>0</v>
      </c>
      <c r="BO104" s="69"/>
      <c r="BR104" s="541"/>
      <c r="BS104" s="684"/>
      <c r="BT104" s="541"/>
    </row>
    <row r="105" ht="22.5" customHeight="1">
      <c r="A105" s="1698" t="str">
        <f t="shared" si="46"/>
        <v/>
      </c>
      <c r="B105" s="1259">
        <v>48.0</v>
      </c>
      <c r="C105" s="1693">
        <v>237.0</v>
      </c>
      <c r="D105" s="1701"/>
      <c r="E105" s="721" t="str">
        <f t="shared" si="45"/>
        <v>Голубец с картофельным пюре</v>
      </c>
      <c r="F105" s="1725" t="str">
        <f t="shared" si="47"/>
        <v/>
      </c>
      <c r="G105" s="69"/>
      <c r="H105" s="1725" t="str">
        <f t="shared" si="48"/>
        <v/>
      </c>
      <c r="I105" s="69"/>
      <c r="J105" s="1725" t="str">
        <f t="shared" si="49"/>
        <v/>
      </c>
      <c r="K105" s="69"/>
      <c r="L105" s="1725" t="str">
        <f t="shared" si="50"/>
        <v/>
      </c>
      <c r="M105" s="69"/>
      <c r="N105" s="1847" t="str">
        <f t="shared" si="51"/>
        <v/>
      </c>
      <c r="O105" s="69"/>
      <c r="P105" s="1725" t="str">
        <f t="shared" si="52"/>
        <v/>
      </c>
      <c r="Q105" s="69"/>
      <c r="R105" s="1725" t="str">
        <f t="shared" si="53"/>
        <v/>
      </c>
      <c r="S105" s="69"/>
      <c r="T105" s="1725" t="str">
        <f t="shared" si="54"/>
        <v/>
      </c>
      <c r="U105" s="69"/>
      <c r="V105" s="1725" t="str">
        <f t="shared" si="55"/>
        <v/>
      </c>
      <c r="W105" s="69"/>
      <c r="X105" s="1725" t="str">
        <f t="shared" si="56"/>
        <v/>
      </c>
      <c r="Y105" s="69"/>
      <c r="Z105" s="1725" t="str">
        <f t="shared" si="57"/>
        <v/>
      </c>
      <c r="AA105" s="69"/>
      <c r="AB105" s="1703" t="str">
        <f t="shared" si="58"/>
        <v/>
      </c>
      <c r="AC105" s="69"/>
      <c r="AD105" s="1847" t="str">
        <f t="shared" si="59"/>
        <v/>
      </c>
      <c r="AE105" s="69"/>
      <c r="AF105" s="1847" t="str">
        <f t="shared" si="60"/>
        <v/>
      </c>
      <c r="AG105" s="69"/>
      <c r="AH105" s="1847" t="str">
        <f t="shared" si="61"/>
        <v/>
      </c>
      <c r="AI105" s="69"/>
      <c r="AJ105" s="1847" t="str">
        <f t="shared" si="62"/>
        <v/>
      </c>
      <c r="AK105" s="69"/>
      <c r="AL105" s="1706" t="str">
        <f t="shared" si="63"/>
        <v/>
      </c>
      <c r="AM105" s="69"/>
      <c r="AN105" s="1706" t="str">
        <f t="shared" si="64"/>
        <v/>
      </c>
      <c r="AO105" s="69"/>
      <c r="AP105" s="1706" t="str">
        <f t="shared" si="65"/>
        <v/>
      </c>
      <c r="AQ105" s="69"/>
      <c r="AR105" s="1706" t="str">
        <f t="shared" si="66"/>
        <v/>
      </c>
      <c r="AS105" s="69"/>
      <c r="AT105" s="1706" t="str">
        <f t="shared" si="67"/>
        <v/>
      </c>
      <c r="AU105" s="69"/>
      <c r="AV105" s="1706" t="str">
        <f t="shared" si="68"/>
        <v/>
      </c>
      <c r="AW105" s="69"/>
      <c r="AX105" s="1706" t="str">
        <f t="shared" si="69"/>
        <v/>
      </c>
      <c r="AY105" s="69"/>
      <c r="AZ105" s="1706" t="str">
        <f t="shared" si="70"/>
        <v/>
      </c>
      <c r="BA105" s="69"/>
      <c r="BB105" s="1709" t="str">
        <f t="shared" si="71"/>
        <v/>
      </c>
      <c r="BC105" s="69"/>
      <c r="BD105" s="1709" t="str">
        <f t="shared" si="72"/>
        <v/>
      </c>
      <c r="BE105" s="69"/>
      <c r="BF105" s="1709" t="str">
        <f t="shared" si="73"/>
        <v/>
      </c>
      <c r="BG105" s="69"/>
      <c r="BH105" s="1709" t="str">
        <f t="shared" si="74"/>
        <v/>
      </c>
      <c r="BI105" s="69"/>
      <c r="BJ105" s="1709" t="str">
        <f t="shared" si="75"/>
        <v/>
      </c>
      <c r="BK105" s="69"/>
      <c r="BL105" s="1706" t="str">
        <f t="shared" si="76"/>
        <v/>
      </c>
      <c r="BM105" s="69"/>
      <c r="BN105" s="1847">
        <f t="shared" si="77"/>
        <v>0</v>
      </c>
      <c r="BO105" s="69"/>
      <c r="BR105" s="541"/>
      <c r="BS105" s="684"/>
      <c r="BT105" s="541"/>
    </row>
    <row r="106" ht="22.5" customHeight="1">
      <c r="A106" s="1698" t="str">
        <f t="shared" si="46"/>
        <v/>
      </c>
      <c r="B106" s="1259">
        <v>3407.0</v>
      </c>
      <c r="C106" s="1693">
        <v>208.0</v>
      </c>
      <c r="D106" s="1701"/>
      <c r="E106" s="721" t="str">
        <f t="shared" si="45"/>
        <v>Минтай в кляре с булгуром</v>
      </c>
      <c r="F106" s="1703" t="str">
        <f t="shared" si="47"/>
        <v/>
      </c>
      <c r="G106" s="69"/>
      <c r="H106" s="1703" t="str">
        <f t="shared" si="48"/>
        <v/>
      </c>
      <c r="I106" s="69"/>
      <c r="J106" s="1703" t="str">
        <f t="shared" si="49"/>
        <v/>
      </c>
      <c r="K106" s="69"/>
      <c r="L106" s="1703" t="str">
        <f t="shared" si="50"/>
        <v/>
      </c>
      <c r="M106" s="69"/>
      <c r="N106" s="1706" t="str">
        <f t="shared" si="51"/>
        <v/>
      </c>
      <c r="O106" s="69"/>
      <c r="P106" s="1703" t="str">
        <f t="shared" si="52"/>
        <v/>
      </c>
      <c r="Q106" s="69"/>
      <c r="R106" s="1703" t="str">
        <f t="shared" si="53"/>
        <v/>
      </c>
      <c r="S106" s="69"/>
      <c r="T106" s="1703" t="str">
        <f t="shared" si="54"/>
        <v/>
      </c>
      <c r="U106" s="69"/>
      <c r="V106" s="1703" t="str">
        <f t="shared" si="55"/>
        <v/>
      </c>
      <c r="W106" s="69"/>
      <c r="X106" s="1703" t="str">
        <f t="shared" si="56"/>
        <v/>
      </c>
      <c r="Y106" s="69"/>
      <c r="Z106" s="1703" t="str">
        <f t="shared" si="57"/>
        <v/>
      </c>
      <c r="AA106" s="69"/>
      <c r="AB106" s="1703" t="str">
        <f t="shared" si="58"/>
        <v/>
      </c>
      <c r="AC106" s="69"/>
      <c r="AD106" s="1706" t="str">
        <f t="shared" si="59"/>
        <v/>
      </c>
      <c r="AE106" s="69"/>
      <c r="AF106" s="1706" t="str">
        <f t="shared" si="60"/>
        <v/>
      </c>
      <c r="AG106" s="69"/>
      <c r="AH106" s="1706" t="str">
        <f t="shared" si="61"/>
        <v/>
      </c>
      <c r="AI106" s="69"/>
      <c r="AJ106" s="1706" t="str">
        <f t="shared" si="62"/>
        <v/>
      </c>
      <c r="AK106" s="69"/>
      <c r="AL106" s="1706" t="str">
        <f t="shared" si="63"/>
        <v/>
      </c>
      <c r="AM106" s="69"/>
      <c r="AN106" s="1706" t="str">
        <f t="shared" si="64"/>
        <v/>
      </c>
      <c r="AO106" s="69"/>
      <c r="AP106" s="1706" t="str">
        <f t="shared" si="65"/>
        <v/>
      </c>
      <c r="AQ106" s="69"/>
      <c r="AR106" s="1706" t="str">
        <f t="shared" si="66"/>
        <v/>
      </c>
      <c r="AS106" s="69"/>
      <c r="AT106" s="1706" t="str">
        <f t="shared" si="67"/>
        <v/>
      </c>
      <c r="AU106" s="69"/>
      <c r="AV106" s="1706" t="str">
        <f t="shared" si="68"/>
        <v/>
      </c>
      <c r="AW106" s="69"/>
      <c r="AX106" s="1706" t="str">
        <f t="shared" si="69"/>
        <v/>
      </c>
      <c r="AY106" s="69"/>
      <c r="AZ106" s="1706" t="str">
        <f t="shared" si="70"/>
        <v/>
      </c>
      <c r="BA106" s="69"/>
      <c r="BB106" s="1709" t="str">
        <f t="shared" si="71"/>
        <v/>
      </c>
      <c r="BC106" s="69"/>
      <c r="BD106" s="1709" t="str">
        <f t="shared" si="72"/>
        <v/>
      </c>
      <c r="BE106" s="69"/>
      <c r="BF106" s="1709" t="str">
        <f t="shared" si="73"/>
        <v/>
      </c>
      <c r="BG106" s="69"/>
      <c r="BH106" s="1709" t="str">
        <f t="shared" si="74"/>
        <v/>
      </c>
      <c r="BI106" s="69"/>
      <c r="BJ106" s="1709" t="str">
        <f t="shared" si="75"/>
        <v/>
      </c>
      <c r="BK106" s="69"/>
      <c r="BL106" s="1706" t="str">
        <f t="shared" si="76"/>
        <v/>
      </c>
      <c r="BM106" s="69"/>
      <c r="BN106" s="1706">
        <f t="shared" si="77"/>
        <v>0</v>
      </c>
      <c r="BO106" s="69"/>
      <c r="BR106" s="541"/>
      <c r="BS106" s="684"/>
      <c r="BT106" s="541"/>
    </row>
    <row r="107" ht="22.5" customHeight="1">
      <c r="A107" s="1698" t="str">
        <f t="shared" si="46"/>
        <v/>
      </c>
      <c r="B107" s="1259">
        <v>4030.0</v>
      </c>
      <c r="C107" s="1693">
        <v>204.0</v>
      </c>
      <c r="D107" s="1701"/>
      <c r="E107" s="721" t="str">
        <f t="shared" si="45"/>
        <v>Курочка с овощной сальсой и спагетти</v>
      </c>
      <c r="F107" s="1703" t="str">
        <f t="shared" si="47"/>
        <v/>
      </c>
      <c r="G107" s="69"/>
      <c r="H107" s="1703" t="str">
        <f t="shared" si="48"/>
        <v/>
      </c>
      <c r="I107" s="69"/>
      <c r="J107" s="1703" t="str">
        <f t="shared" si="49"/>
        <v/>
      </c>
      <c r="K107" s="69"/>
      <c r="L107" s="1703" t="str">
        <f t="shared" si="50"/>
        <v/>
      </c>
      <c r="M107" s="69"/>
      <c r="N107" s="1706" t="str">
        <f t="shared" si="51"/>
        <v/>
      </c>
      <c r="O107" s="69"/>
      <c r="P107" s="1703" t="str">
        <f t="shared" si="52"/>
        <v/>
      </c>
      <c r="Q107" s="69"/>
      <c r="R107" s="1703" t="str">
        <f t="shared" si="53"/>
        <v/>
      </c>
      <c r="S107" s="69"/>
      <c r="T107" s="1703" t="str">
        <f t="shared" si="54"/>
        <v/>
      </c>
      <c r="U107" s="69"/>
      <c r="V107" s="1703" t="str">
        <f t="shared" si="55"/>
        <v/>
      </c>
      <c r="W107" s="69"/>
      <c r="X107" s="1703" t="str">
        <f t="shared" si="56"/>
        <v/>
      </c>
      <c r="Y107" s="69"/>
      <c r="Z107" s="1703" t="str">
        <f t="shared" si="57"/>
        <v/>
      </c>
      <c r="AA107" s="69"/>
      <c r="AB107" s="1703" t="str">
        <f t="shared" si="58"/>
        <v/>
      </c>
      <c r="AC107" s="69"/>
      <c r="AD107" s="1706" t="str">
        <f t="shared" si="59"/>
        <v/>
      </c>
      <c r="AE107" s="69"/>
      <c r="AF107" s="1706" t="str">
        <f t="shared" si="60"/>
        <v/>
      </c>
      <c r="AG107" s="69"/>
      <c r="AH107" s="1706" t="str">
        <f t="shared" si="61"/>
        <v/>
      </c>
      <c r="AI107" s="69"/>
      <c r="AJ107" s="1706" t="str">
        <f t="shared" si="62"/>
        <v/>
      </c>
      <c r="AK107" s="69"/>
      <c r="AL107" s="1706" t="str">
        <f t="shared" si="63"/>
        <v/>
      </c>
      <c r="AM107" s="69"/>
      <c r="AN107" s="1706" t="str">
        <f t="shared" si="64"/>
        <v/>
      </c>
      <c r="AO107" s="69"/>
      <c r="AP107" s="1706" t="str">
        <f t="shared" si="65"/>
        <v/>
      </c>
      <c r="AQ107" s="69"/>
      <c r="AR107" s="1706" t="str">
        <f t="shared" si="66"/>
        <v/>
      </c>
      <c r="AS107" s="69"/>
      <c r="AT107" s="1706" t="str">
        <f t="shared" si="67"/>
        <v/>
      </c>
      <c r="AU107" s="69"/>
      <c r="AV107" s="1706" t="str">
        <f t="shared" si="68"/>
        <v/>
      </c>
      <c r="AW107" s="69"/>
      <c r="AX107" s="1706" t="str">
        <f t="shared" si="69"/>
        <v/>
      </c>
      <c r="AY107" s="69"/>
      <c r="AZ107" s="1706" t="str">
        <f t="shared" si="70"/>
        <v/>
      </c>
      <c r="BA107" s="69"/>
      <c r="BB107" s="1709" t="str">
        <f t="shared" si="71"/>
        <v/>
      </c>
      <c r="BC107" s="69"/>
      <c r="BD107" s="1709" t="str">
        <f t="shared" si="72"/>
        <v/>
      </c>
      <c r="BE107" s="69"/>
      <c r="BF107" s="1709" t="str">
        <f t="shared" si="73"/>
        <v/>
      </c>
      <c r="BG107" s="69"/>
      <c r="BH107" s="1709" t="str">
        <f t="shared" si="74"/>
        <v/>
      </c>
      <c r="BI107" s="69"/>
      <c r="BJ107" s="1709" t="str">
        <f t="shared" si="75"/>
        <v/>
      </c>
      <c r="BK107" s="69"/>
      <c r="BL107" s="1706" t="str">
        <f t="shared" si="76"/>
        <v/>
      </c>
      <c r="BM107" s="69"/>
      <c r="BN107" s="1706">
        <f t="shared" si="77"/>
        <v>0</v>
      </c>
      <c r="BO107" s="69"/>
      <c r="BR107" s="541"/>
      <c r="BS107" s="684"/>
      <c r="BT107" s="541"/>
    </row>
    <row r="108" ht="22.5" customHeight="1">
      <c r="A108" s="1698" t="str">
        <f t="shared" si="46"/>
        <v/>
      </c>
      <c r="B108" s="1259">
        <v>886.0</v>
      </c>
      <c r="C108" s="1693">
        <v>198.0</v>
      </c>
      <c r="D108" s="1701"/>
      <c r="E108" s="721" t="str">
        <f t="shared" si="45"/>
        <v>Бедро запеченное с гречкой</v>
      </c>
      <c r="F108" s="1703" t="str">
        <f t="shared" si="47"/>
        <v/>
      </c>
      <c r="G108" s="69"/>
      <c r="H108" s="1703" t="str">
        <f t="shared" si="48"/>
        <v/>
      </c>
      <c r="I108" s="69"/>
      <c r="J108" s="1703" t="str">
        <f t="shared" si="49"/>
        <v/>
      </c>
      <c r="K108" s="69"/>
      <c r="L108" s="1703" t="str">
        <f t="shared" si="50"/>
        <v/>
      </c>
      <c r="M108" s="69"/>
      <c r="N108" s="1706" t="str">
        <f t="shared" si="51"/>
        <v/>
      </c>
      <c r="O108" s="69"/>
      <c r="P108" s="1703" t="str">
        <f t="shared" si="52"/>
        <v/>
      </c>
      <c r="Q108" s="69"/>
      <c r="R108" s="1703" t="str">
        <f t="shared" si="53"/>
        <v/>
      </c>
      <c r="S108" s="69"/>
      <c r="T108" s="1703" t="str">
        <f t="shared" si="54"/>
        <v/>
      </c>
      <c r="U108" s="69"/>
      <c r="V108" s="1703" t="str">
        <f t="shared" si="55"/>
        <v/>
      </c>
      <c r="W108" s="69"/>
      <c r="X108" s="1703" t="str">
        <f t="shared" si="56"/>
        <v/>
      </c>
      <c r="Y108" s="69"/>
      <c r="Z108" s="1703" t="str">
        <f t="shared" si="57"/>
        <v/>
      </c>
      <c r="AA108" s="69"/>
      <c r="AB108" s="1703" t="str">
        <f t="shared" si="58"/>
        <v/>
      </c>
      <c r="AC108" s="69"/>
      <c r="AD108" s="1706" t="str">
        <f t="shared" si="59"/>
        <v/>
      </c>
      <c r="AE108" s="69"/>
      <c r="AF108" s="1706" t="str">
        <f t="shared" si="60"/>
        <v/>
      </c>
      <c r="AG108" s="69"/>
      <c r="AH108" s="1706" t="str">
        <f t="shared" si="61"/>
        <v/>
      </c>
      <c r="AI108" s="69"/>
      <c r="AJ108" s="1706" t="str">
        <f t="shared" si="62"/>
        <v/>
      </c>
      <c r="AK108" s="69"/>
      <c r="AL108" s="1706" t="str">
        <f t="shared" si="63"/>
        <v/>
      </c>
      <c r="AM108" s="69"/>
      <c r="AN108" s="1706" t="str">
        <f t="shared" si="64"/>
        <v/>
      </c>
      <c r="AO108" s="69"/>
      <c r="AP108" s="1706" t="str">
        <f t="shared" si="65"/>
        <v/>
      </c>
      <c r="AQ108" s="69"/>
      <c r="AR108" s="1706" t="str">
        <f t="shared" si="66"/>
        <v/>
      </c>
      <c r="AS108" s="69"/>
      <c r="AT108" s="1706" t="str">
        <f t="shared" si="67"/>
        <v/>
      </c>
      <c r="AU108" s="69"/>
      <c r="AV108" s="1706" t="str">
        <f t="shared" si="68"/>
        <v/>
      </c>
      <c r="AW108" s="69"/>
      <c r="AX108" s="1706" t="str">
        <f t="shared" si="69"/>
        <v/>
      </c>
      <c r="AY108" s="69"/>
      <c r="AZ108" s="1706" t="str">
        <f t="shared" si="70"/>
        <v/>
      </c>
      <c r="BA108" s="69"/>
      <c r="BB108" s="1709" t="str">
        <f t="shared" si="71"/>
        <v/>
      </c>
      <c r="BC108" s="69"/>
      <c r="BD108" s="1709" t="str">
        <f t="shared" si="72"/>
        <v/>
      </c>
      <c r="BE108" s="69"/>
      <c r="BF108" s="1709" t="str">
        <f t="shared" si="73"/>
        <v/>
      </c>
      <c r="BG108" s="69"/>
      <c r="BH108" s="1709" t="str">
        <f t="shared" si="74"/>
        <v/>
      </c>
      <c r="BI108" s="69"/>
      <c r="BJ108" s="1709" t="str">
        <f t="shared" si="75"/>
        <v/>
      </c>
      <c r="BK108" s="69"/>
      <c r="BL108" s="1706" t="str">
        <f t="shared" si="76"/>
        <v/>
      </c>
      <c r="BM108" s="69"/>
      <c r="BN108" s="1706">
        <f t="shared" si="77"/>
        <v>0</v>
      </c>
      <c r="BO108" s="69"/>
      <c r="BR108" s="541"/>
      <c r="BS108" s="684"/>
      <c r="BT108" s="541"/>
    </row>
    <row r="109" ht="22.5" customHeight="1">
      <c r="A109" s="1698" t="str">
        <f t="shared" si="46"/>
        <v/>
      </c>
      <c r="B109" s="1259">
        <v>958.0</v>
      </c>
      <c r="C109" s="1693">
        <v>193.0</v>
      </c>
      <c r="D109" s="1701"/>
      <c r="E109" s="721" t="str">
        <f t="shared" si="45"/>
        <v>Поджарка из курицы с рисом</v>
      </c>
      <c r="F109" s="1703" t="str">
        <f t="shared" si="47"/>
        <v/>
      </c>
      <c r="G109" s="69"/>
      <c r="H109" s="1703" t="str">
        <f t="shared" si="48"/>
        <v/>
      </c>
      <c r="I109" s="69"/>
      <c r="J109" s="1703" t="str">
        <f t="shared" si="49"/>
        <v/>
      </c>
      <c r="K109" s="69"/>
      <c r="L109" s="1703" t="str">
        <f t="shared" si="50"/>
        <v/>
      </c>
      <c r="M109" s="69"/>
      <c r="N109" s="1706" t="str">
        <f t="shared" si="51"/>
        <v/>
      </c>
      <c r="O109" s="69"/>
      <c r="P109" s="1703" t="str">
        <f t="shared" si="52"/>
        <v/>
      </c>
      <c r="Q109" s="69"/>
      <c r="R109" s="1703" t="str">
        <f t="shared" si="53"/>
        <v/>
      </c>
      <c r="S109" s="69"/>
      <c r="T109" s="1703" t="str">
        <f t="shared" si="54"/>
        <v/>
      </c>
      <c r="U109" s="69"/>
      <c r="V109" s="1703" t="str">
        <f t="shared" si="55"/>
        <v/>
      </c>
      <c r="W109" s="69"/>
      <c r="X109" s="1703" t="str">
        <f t="shared" si="56"/>
        <v/>
      </c>
      <c r="Y109" s="69"/>
      <c r="Z109" s="1703" t="str">
        <f t="shared" si="57"/>
        <v/>
      </c>
      <c r="AA109" s="69"/>
      <c r="AB109" s="1703" t="str">
        <f t="shared" si="58"/>
        <v/>
      </c>
      <c r="AC109" s="69"/>
      <c r="AD109" s="1706" t="str">
        <f t="shared" si="59"/>
        <v/>
      </c>
      <c r="AE109" s="69"/>
      <c r="AF109" s="1706" t="str">
        <f t="shared" si="60"/>
        <v/>
      </c>
      <c r="AG109" s="69"/>
      <c r="AH109" s="1706" t="str">
        <f t="shared" si="61"/>
        <v/>
      </c>
      <c r="AI109" s="69"/>
      <c r="AJ109" s="1706" t="str">
        <f t="shared" si="62"/>
        <v/>
      </c>
      <c r="AK109" s="69"/>
      <c r="AL109" s="1706" t="str">
        <f t="shared" si="63"/>
        <v/>
      </c>
      <c r="AM109" s="69"/>
      <c r="AN109" s="1706" t="str">
        <f t="shared" si="64"/>
        <v/>
      </c>
      <c r="AO109" s="69"/>
      <c r="AP109" s="1706" t="str">
        <f t="shared" si="65"/>
        <v/>
      </c>
      <c r="AQ109" s="69"/>
      <c r="AR109" s="1706" t="str">
        <f t="shared" si="66"/>
        <v/>
      </c>
      <c r="AS109" s="69"/>
      <c r="AT109" s="1706" t="str">
        <f t="shared" si="67"/>
        <v/>
      </c>
      <c r="AU109" s="69"/>
      <c r="AV109" s="1706" t="str">
        <f t="shared" si="68"/>
        <v/>
      </c>
      <c r="AW109" s="69"/>
      <c r="AX109" s="1706" t="str">
        <f t="shared" si="69"/>
        <v/>
      </c>
      <c r="AY109" s="69"/>
      <c r="AZ109" s="1706" t="str">
        <f t="shared" si="70"/>
        <v/>
      </c>
      <c r="BA109" s="69"/>
      <c r="BB109" s="1709" t="str">
        <f t="shared" si="71"/>
        <v/>
      </c>
      <c r="BC109" s="69"/>
      <c r="BD109" s="1709" t="str">
        <f t="shared" si="72"/>
        <v/>
      </c>
      <c r="BE109" s="69"/>
      <c r="BF109" s="1709" t="str">
        <f t="shared" si="73"/>
        <v/>
      </c>
      <c r="BG109" s="69"/>
      <c r="BH109" s="1709" t="str">
        <f t="shared" si="74"/>
        <v/>
      </c>
      <c r="BI109" s="69"/>
      <c r="BJ109" s="1709" t="str">
        <f t="shared" si="75"/>
        <v/>
      </c>
      <c r="BK109" s="69"/>
      <c r="BL109" s="1706" t="str">
        <f t="shared" si="76"/>
        <v/>
      </c>
      <c r="BM109" s="69"/>
      <c r="BN109" s="1706">
        <f t="shared" si="77"/>
        <v>0</v>
      </c>
      <c r="BO109" s="69"/>
      <c r="BR109" s="684"/>
      <c r="BS109" s="684"/>
      <c r="BT109" s="541"/>
    </row>
    <row r="110" ht="22.5" customHeight="1">
      <c r="A110" s="1698" t="str">
        <f t="shared" si="46"/>
        <v/>
      </c>
      <c r="B110" s="1259">
        <v>4029.0</v>
      </c>
      <c r="C110" s="1693">
        <v>198.0</v>
      </c>
      <c r="D110" s="1701"/>
      <c r="E110" s="721" t="str">
        <f t="shared" si="45"/>
        <v>Жаркое по-домашнему со свининой</v>
      </c>
      <c r="F110" s="1703" t="str">
        <f t="shared" si="47"/>
        <v/>
      </c>
      <c r="G110" s="69"/>
      <c r="H110" s="1703" t="str">
        <f t="shared" si="48"/>
        <v/>
      </c>
      <c r="I110" s="69"/>
      <c r="J110" s="1703" t="str">
        <f t="shared" si="49"/>
        <v/>
      </c>
      <c r="K110" s="69"/>
      <c r="L110" s="1703" t="str">
        <f t="shared" si="50"/>
        <v/>
      </c>
      <c r="M110" s="69"/>
      <c r="N110" s="1706" t="str">
        <f t="shared" si="51"/>
        <v/>
      </c>
      <c r="O110" s="69"/>
      <c r="P110" s="1703" t="str">
        <f t="shared" si="52"/>
        <v/>
      </c>
      <c r="Q110" s="69"/>
      <c r="R110" s="1703" t="str">
        <f t="shared" si="53"/>
        <v/>
      </c>
      <c r="S110" s="69"/>
      <c r="T110" s="1703" t="str">
        <f t="shared" si="54"/>
        <v/>
      </c>
      <c r="U110" s="69"/>
      <c r="V110" s="1703" t="str">
        <f t="shared" si="55"/>
        <v/>
      </c>
      <c r="W110" s="69"/>
      <c r="X110" s="1703" t="str">
        <f t="shared" si="56"/>
        <v/>
      </c>
      <c r="Y110" s="69"/>
      <c r="Z110" s="1703" t="str">
        <f t="shared" si="57"/>
        <v/>
      </c>
      <c r="AA110" s="69"/>
      <c r="AB110" s="1703" t="str">
        <f t="shared" si="58"/>
        <v/>
      </c>
      <c r="AC110" s="69"/>
      <c r="AD110" s="1706" t="str">
        <f t="shared" si="59"/>
        <v/>
      </c>
      <c r="AE110" s="69"/>
      <c r="AF110" s="1706" t="str">
        <f t="shared" si="60"/>
        <v/>
      </c>
      <c r="AG110" s="69"/>
      <c r="AH110" s="1706" t="str">
        <f t="shared" si="61"/>
        <v/>
      </c>
      <c r="AI110" s="69"/>
      <c r="AJ110" s="1706" t="str">
        <f t="shared" si="62"/>
        <v/>
      </c>
      <c r="AK110" s="69"/>
      <c r="AL110" s="1706" t="str">
        <f t="shared" si="63"/>
        <v/>
      </c>
      <c r="AM110" s="69"/>
      <c r="AN110" s="1706" t="str">
        <f t="shared" si="64"/>
        <v/>
      </c>
      <c r="AO110" s="69"/>
      <c r="AP110" s="1706" t="str">
        <f t="shared" si="65"/>
        <v/>
      </c>
      <c r="AQ110" s="69"/>
      <c r="AR110" s="1706" t="str">
        <f t="shared" si="66"/>
        <v/>
      </c>
      <c r="AS110" s="69"/>
      <c r="AT110" s="1706" t="str">
        <f t="shared" si="67"/>
        <v/>
      </c>
      <c r="AU110" s="69"/>
      <c r="AV110" s="1706" t="str">
        <f t="shared" si="68"/>
        <v/>
      </c>
      <c r="AW110" s="69"/>
      <c r="AX110" s="1706" t="str">
        <f t="shared" si="69"/>
        <v/>
      </c>
      <c r="AY110" s="69"/>
      <c r="AZ110" s="1706" t="str">
        <f t="shared" si="70"/>
        <v/>
      </c>
      <c r="BA110" s="69"/>
      <c r="BB110" s="1709" t="str">
        <f t="shared" si="71"/>
        <v/>
      </c>
      <c r="BC110" s="69"/>
      <c r="BD110" s="1709" t="str">
        <f t="shared" si="72"/>
        <v/>
      </c>
      <c r="BE110" s="69"/>
      <c r="BF110" s="1709" t="str">
        <f t="shared" si="73"/>
        <v/>
      </c>
      <c r="BG110" s="69"/>
      <c r="BH110" s="1709" t="str">
        <f t="shared" si="74"/>
        <v/>
      </c>
      <c r="BI110" s="69"/>
      <c r="BJ110" s="1709" t="str">
        <f t="shared" si="75"/>
        <v/>
      </c>
      <c r="BK110" s="69"/>
      <c r="BL110" s="1706" t="str">
        <f t="shared" si="76"/>
        <v/>
      </c>
      <c r="BM110" s="69"/>
      <c r="BN110" s="1706">
        <f t="shared" si="77"/>
        <v>0</v>
      </c>
      <c r="BO110" s="69"/>
      <c r="BR110" s="684"/>
      <c r="BS110" s="684"/>
      <c r="BT110" s="541"/>
    </row>
    <row r="111" ht="22.5" customHeight="1">
      <c r="A111" s="1698" t="str">
        <f t="shared" si="46"/>
        <v/>
      </c>
      <c r="B111" s="1259">
        <v>4286.0</v>
      </c>
      <c r="C111" s="1693">
        <v>295.0</v>
      </c>
      <c r="D111" s="1701"/>
      <c r="E111" s="721" t="str">
        <f t="shared" si="45"/>
        <v>Фунчоза с овощами и креветками </v>
      </c>
      <c r="F111" s="1703" t="str">
        <f t="shared" si="47"/>
        <v/>
      </c>
      <c r="G111" s="69"/>
      <c r="H111" s="1703" t="str">
        <f t="shared" si="48"/>
        <v/>
      </c>
      <c r="I111" s="69"/>
      <c r="J111" s="1703" t="str">
        <f t="shared" si="49"/>
        <v/>
      </c>
      <c r="K111" s="69"/>
      <c r="L111" s="1703" t="str">
        <f t="shared" si="50"/>
        <v/>
      </c>
      <c r="M111" s="69"/>
      <c r="N111" s="1706" t="str">
        <f t="shared" si="51"/>
        <v/>
      </c>
      <c r="O111" s="69"/>
      <c r="P111" s="1703" t="str">
        <f t="shared" si="52"/>
        <v/>
      </c>
      <c r="Q111" s="69"/>
      <c r="R111" s="1703" t="str">
        <f t="shared" si="53"/>
        <v/>
      </c>
      <c r="S111" s="69"/>
      <c r="T111" s="1703" t="str">
        <f t="shared" si="54"/>
        <v/>
      </c>
      <c r="U111" s="69"/>
      <c r="V111" s="1703" t="str">
        <f t="shared" si="55"/>
        <v/>
      </c>
      <c r="W111" s="69"/>
      <c r="X111" s="1703" t="str">
        <f t="shared" si="56"/>
        <v/>
      </c>
      <c r="Y111" s="69"/>
      <c r="Z111" s="1703" t="str">
        <f t="shared" si="57"/>
        <v/>
      </c>
      <c r="AA111" s="69"/>
      <c r="AB111" s="1703" t="str">
        <f t="shared" si="58"/>
        <v/>
      </c>
      <c r="AC111" s="69"/>
      <c r="AD111" s="1706" t="str">
        <f t="shared" si="59"/>
        <v/>
      </c>
      <c r="AE111" s="69"/>
      <c r="AF111" s="1706" t="str">
        <f t="shared" si="60"/>
        <v/>
      </c>
      <c r="AG111" s="69"/>
      <c r="AH111" s="1706" t="str">
        <f t="shared" si="61"/>
        <v/>
      </c>
      <c r="AI111" s="69"/>
      <c r="AJ111" s="1706" t="str">
        <f t="shared" si="62"/>
        <v/>
      </c>
      <c r="AK111" s="69"/>
      <c r="AL111" s="1706" t="str">
        <f t="shared" si="63"/>
        <v/>
      </c>
      <c r="AM111" s="69"/>
      <c r="AN111" s="1706" t="str">
        <f t="shared" si="64"/>
        <v/>
      </c>
      <c r="AO111" s="69"/>
      <c r="AP111" s="1706" t="str">
        <f t="shared" si="65"/>
        <v/>
      </c>
      <c r="AQ111" s="69"/>
      <c r="AR111" s="1706" t="str">
        <f t="shared" si="66"/>
        <v/>
      </c>
      <c r="AS111" s="69"/>
      <c r="AT111" s="1706" t="str">
        <f t="shared" si="67"/>
        <v/>
      </c>
      <c r="AU111" s="69"/>
      <c r="AV111" s="1706" t="str">
        <f t="shared" si="68"/>
        <v/>
      </c>
      <c r="AW111" s="69"/>
      <c r="AX111" s="1706" t="str">
        <f t="shared" si="69"/>
        <v/>
      </c>
      <c r="AY111" s="69"/>
      <c r="AZ111" s="1706" t="str">
        <f t="shared" si="70"/>
        <v/>
      </c>
      <c r="BA111" s="69"/>
      <c r="BB111" s="1709" t="str">
        <f t="shared" si="71"/>
        <v/>
      </c>
      <c r="BC111" s="69"/>
      <c r="BD111" s="1709" t="str">
        <f t="shared" si="72"/>
        <v/>
      </c>
      <c r="BE111" s="69"/>
      <c r="BF111" s="1709" t="str">
        <f t="shared" si="73"/>
        <v/>
      </c>
      <c r="BG111" s="69"/>
      <c r="BH111" s="1709" t="str">
        <f t="shared" si="74"/>
        <v/>
      </c>
      <c r="BI111" s="69"/>
      <c r="BJ111" s="1709" t="str">
        <f t="shared" si="75"/>
        <v/>
      </c>
      <c r="BK111" s="69"/>
      <c r="BL111" s="1706" t="str">
        <f t="shared" si="76"/>
        <v/>
      </c>
      <c r="BM111" s="69"/>
      <c r="BN111" s="1706">
        <f t="shared" si="77"/>
        <v>0</v>
      </c>
      <c r="BO111" s="69"/>
      <c r="BR111" s="684"/>
      <c r="BS111" s="684"/>
      <c r="BT111" s="541"/>
    </row>
    <row r="112" ht="22.5" customHeight="1">
      <c r="A112" s="1698" t="str">
        <f t="shared" si="46"/>
        <v/>
      </c>
      <c r="B112" s="1259"/>
      <c r="C112" s="1849"/>
      <c r="D112" s="1701"/>
      <c r="E112" s="721" t="str">
        <f t="shared" si="45"/>
        <v/>
      </c>
      <c r="F112" s="1703" t="str">
        <f t="shared" si="47"/>
        <v/>
      </c>
      <c r="G112" s="69"/>
      <c r="H112" s="1703" t="str">
        <f t="shared" si="48"/>
        <v/>
      </c>
      <c r="I112" s="69"/>
      <c r="J112" s="1703" t="str">
        <f t="shared" si="49"/>
        <v/>
      </c>
      <c r="K112" s="69"/>
      <c r="L112" s="1703" t="str">
        <f t="shared" si="50"/>
        <v/>
      </c>
      <c r="M112" s="69"/>
      <c r="N112" s="1706" t="str">
        <f t="shared" si="51"/>
        <v/>
      </c>
      <c r="O112" s="69"/>
      <c r="P112" s="1703" t="str">
        <f t="shared" si="52"/>
        <v/>
      </c>
      <c r="Q112" s="69"/>
      <c r="R112" s="1703" t="str">
        <f t="shared" si="53"/>
        <v/>
      </c>
      <c r="S112" s="69"/>
      <c r="T112" s="1703" t="str">
        <f t="shared" si="54"/>
        <v/>
      </c>
      <c r="U112" s="69"/>
      <c r="V112" s="1703" t="str">
        <f t="shared" si="55"/>
        <v/>
      </c>
      <c r="W112" s="69"/>
      <c r="X112" s="1703" t="str">
        <f t="shared" si="56"/>
        <v/>
      </c>
      <c r="Y112" s="69"/>
      <c r="Z112" s="1703" t="str">
        <f t="shared" si="57"/>
        <v/>
      </c>
      <c r="AA112" s="69"/>
      <c r="AB112" s="1703" t="str">
        <f t="shared" si="58"/>
        <v/>
      </c>
      <c r="AC112" s="69"/>
      <c r="AD112" s="1706" t="str">
        <f t="shared" si="59"/>
        <v/>
      </c>
      <c r="AE112" s="69"/>
      <c r="AF112" s="1706" t="str">
        <f t="shared" si="60"/>
        <v/>
      </c>
      <c r="AG112" s="69"/>
      <c r="AH112" s="1706" t="str">
        <f t="shared" si="61"/>
        <v/>
      </c>
      <c r="AI112" s="69"/>
      <c r="AJ112" s="1706" t="str">
        <f t="shared" si="62"/>
        <v/>
      </c>
      <c r="AK112" s="69"/>
      <c r="AL112" s="1706" t="str">
        <f t="shared" si="63"/>
        <v/>
      </c>
      <c r="AM112" s="69"/>
      <c r="AN112" s="1706" t="str">
        <f t="shared" si="64"/>
        <v/>
      </c>
      <c r="AO112" s="69"/>
      <c r="AP112" s="1706" t="str">
        <f t="shared" si="65"/>
        <v/>
      </c>
      <c r="AQ112" s="69"/>
      <c r="AR112" s="1706" t="str">
        <f t="shared" si="66"/>
        <v/>
      </c>
      <c r="AS112" s="69"/>
      <c r="AT112" s="1706" t="str">
        <f t="shared" si="67"/>
        <v/>
      </c>
      <c r="AU112" s="69"/>
      <c r="AV112" s="1706" t="str">
        <f t="shared" si="68"/>
        <v/>
      </c>
      <c r="AW112" s="69"/>
      <c r="AX112" s="1706" t="str">
        <f t="shared" si="69"/>
        <v/>
      </c>
      <c r="AY112" s="69"/>
      <c r="AZ112" s="1706" t="str">
        <f t="shared" si="70"/>
        <v/>
      </c>
      <c r="BA112" s="69"/>
      <c r="BB112" s="1709" t="str">
        <f t="shared" si="71"/>
        <v/>
      </c>
      <c r="BC112" s="69"/>
      <c r="BD112" s="1709" t="str">
        <f t="shared" si="72"/>
        <v/>
      </c>
      <c r="BE112" s="69"/>
      <c r="BF112" s="1709" t="str">
        <f t="shared" si="73"/>
        <v/>
      </c>
      <c r="BG112" s="69"/>
      <c r="BH112" s="1709" t="str">
        <f t="shared" si="74"/>
        <v/>
      </c>
      <c r="BI112" s="69"/>
      <c r="BJ112" s="1709" t="str">
        <f t="shared" si="75"/>
        <v/>
      </c>
      <c r="BK112" s="69"/>
      <c r="BL112" s="1706" t="str">
        <f t="shared" si="76"/>
        <v/>
      </c>
      <c r="BM112" s="69"/>
      <c r="BN112" s="1706">
        <f t="shared" si="77"/>
        <v>0</v>
      </c>
      <c r="BO112" s="69"/>
      <c r="BR112" s="684"/>
      <c r="BS112" s="684"/>
      <c r="BT112" s="541"/>
    </row>
    <row r="113" ht="22.5" customHeight="1">
      <c r="A113" s="1698" t="str">
        <f t="shared" si="46"/>
        <v/>
      </c>
      <c r="B113" s="1259">
        <v>3330.0</v>
      </c>
      <c r="C113" s="1693">
        <v>172.0</v>
      </c>
      <c r="D113" s="1701"/>
      <c r="E113" s="721" t="str">
        <f t="shared" si="45"/>
        <v>Сэндвич с курицей и соусом Барбекю</v>
      </c>
      <c r="F113" s="1703" t="str">
        <f t="shared" si="47"/>
        <v/>
      </c>
      <c r="G113" s="69"/>
      <c r="H113" s="1703" t="str">
        <f t="shared" si="48"/>
        <v/>
      </c>
      <c r="I113" s="69"/>
      <c r="J113" s="1703" t="str">
        <f t="shared" si="49"/>
        <v/>
      </c>
      <c r="K113" s="69"/>
      <c r="L113" s="1703" t="str">
        <f t="shared" si="50"/>
        <v/>
      </c>
      <c r="M113" s="69"/>
      <c r="N113" s="1703" t="str">
        <f t="shared" si="51"/>
        <v/>
      </c>
      <c r="O113" s="69"/>
      <c r="P113" s="1703" t="str">
        <f t="shared" si="52"/>
        <v/>
      </c>
      <c r="Q113" s="69"/>
      <c r="R113" s="1703" t="str">
        <f t="shared" si="53"/>
        <v/>
      </c>
      <c r="S113" s="69"/>
      <c r="T113" s="1703" t="str">
        <f t="shared" si="54"/>
        <v/>
      </c>
      <c r="U113" s="69"/>
      <c r="V113" s="1703" t="str">
        <f t="shared" si="55"/>
        <v/>
      </c>
      <c r="W113" s="69"/>
      <c r="X113" s="1703" t="str">
        <f t="shared" si="56"/>
        <v/>
      </c>
      <c r="Y113" s="69"/>
      <c r="Z113" s="1703" t="str">
        <f t="shared" si="57"/>
        <v/>
      </c>
      <c r="AA113" s="69"/>
      <c r="AB113" s="1703" t="str">
        <f t="shared" si="58"/>
        <v/>
      </c>
      <c r="AC113" s="69"/>
      <c r="AD113" s="1703" t="str">
        <f t="shared" si="59"/>
        <v/>
      </c>
      <c r="AE113" s="69"/>
      <c r="AF113" s="1703" t="str">
        <f t="shared" si="60"/>
        <v/>
      </c>
      <c r="AG113" s="69"/>
      <c r="AH113" s="1703" t="str">
        <f t="shared" si="61"/>
        <v/>
      </c>
      <c r="AI113" s="69"/>
      <c r="AJ113" s="1703" t="str">
        <f t="shared" si="62"/>
        <v/>
      </c>
      <c r="AK113" s="69"/>
      <c r="AL113" s="1706" t="str">
        <f t="shared" si="63"/>
        <v/>
      </c>
      <c r="AM113" s="69"/>
      <c r="AN113" s="1703" t="str">
        <f t="shared" si="64"/>
        <v/>
      </c>
      <c r="AO113" s="69"/>
      <c r="AP113" s="1703" t="str">
        <f t="shared" si="65"/>
        <v/>
      </c>
      <c r="AQ113" s="69"/>
      <c r="AR113" s="1703" t="str">
        <f t="shared" si="66"/>
        <v/>
      </c>
      <c r="AS113" s="69"/>
      <c r="AT113" s="1703" t="str">
        <f t="shared" si="67"/>
        <v/>
      </c>
      <c r="AU113" s="69"/>
      <c r="AV113" s="1703" t="str">
        <f t="shared" si="68"/>
        <v/>
      </c>
      <c r="AW113" s="69"/>
      <c r="AX113" s="1706" t="str">
        <f t="shared" si="69"/>
        <v/>
      </c>
      <c r="AY113" s="69"/>
      <c r="AZ113" s="1706" t="str">
        <f t="shared" si="70"/>
        <v/>
      </c>
      <c r="BA113" s="69"/>
      <c r="BB113" s="1709" t="str">
        <f t="shared" si="71"/>
        <v/>
      </c>
      <c r="BC113" s="69"/>
      <c r="BD113" s="1709" t="str">
        <f t="shared" si="72"/>
        <v/>
      </c>
      <c r="BE113" s="69"/>
      <c r="BF113" s="1709" t="str">
        <f t="shared" si="73"/>
        <v/>
      </c>
      <c r="BG113" s="69"/>
      <c r="BH113" s="1709" t="str">
        <f t="shared" si="74"/>
        <v/>
      </c>
      <c r="BI113" s="69"/>
      <c r="BJ113" s="1709" t="str">
        <f t="shared" si="75"/>
        <v/>
      </c>
      <c r="BK113" s="69"/>
      <c r="BL113" s="1703" t="str">
        <f t="shared" si="76"/>
        <v/>
      </c>
      <c r="BM113" s="69"/>
      <c r="BN113" s="1706">
        <f t="shared" si="77"/>
        <v>0</v>
      </c>
      <c r="BO113" s="69"/>
      <c r="BR113" s="684"/>
      <c r="BS113" s="684"/>
      <c r="BT113" s="541"/>
    </row>
    <row r="114" ht="22.5" customHeight="1">
      <c r="A114" s="1698" t="str">
        <f t="shared" si="46"/>
        <v/>
      </c>
      <c r="B114" s="1259">
        <v>3408.0</v>
      </c>
      <c r="C114" s="1693">
        <v>220.0</v>
      </c>
      <c r="D114" s="1701"/>
      <c r="E114" s="721" t="str">
        <f t="shared" si="45"/>
        <v>Сэндвич ''Крем-чиз с рыбой''</v>
      </c>
      <c r="F114" s="1703" t="str">
        <f t="shared" si="47"/>
        <v/>
      </c>
      <c r="G114" s="69"/>
      <c r="H114" s="1703" t="str">
        <f t="shared" si="48"/>
        <v/>
      </c>
      <c r="I114" s="69"/>
      <c r="J114" s="1703" t="str">
        <f t="shared" si="49"/>
        <v/>
      </c>
      <c r="K114" s="69"/>
      <c r="L114" s="1703" t="str">
        <f t="shared" si="50"/>
        <v/>
      </c>
      <c r="M114" s="69"/>
      <c r="N114" s="1703" t="str">
        <f t="shared" si="51"/>
        <v/>
      </c>
      <c r="O114" s="69"/>
      <c r="P114" s="1703" t="str">
        <f t="shared" si="52"/>
        <v/>
      </c>
      <c r="Q114" s="69"/>
      <c r="R114" s="1703" t="str">
        <f t="shared" si="53"/>
        <v/>
      </c>
      <c r="S114" s="69"/>
      <c r="T114" s="1703" t="str">
        <f t="shared" si="54"/>
        <v/>
      </c>
      <c r="U114" s="69"/>
      <c r="V114" s="1703" t="str">
        <f t="shared" si="55"/>
        <v/>
      </c>
      <c r="W114" s="69"/>
      <c r="X114" s="1703" t="str">
        <f t="shared" si="56"/>
        <v/>
      </c>
      <c r="Y114" s="69"/>
      <c r="Z114" s="1703" t="str">
        <f t="shared" si="57"/>
        <v/>
      </c>
      <c r="AA114" s="69"/>
      <c r="AB114" s="1703" t="str">
        <f t="shared" si="58"/>
        <v/>
      </c>
      <c r="AC114" s="69"/>
      <c r="AD114" s="1703" t="str">
        <f t="shared" si="59"/>
        <v/>
      </c>
      <c r="AE114" s="69"/>
      <c r="AF114" s="1703" t="str">
        <f t="shared" si="60"/>
        <v/>
      </c>
      <c r="AG114" s="69"/>
      <c r="AH114" s="1703" t="str">
        <f t="shared" si="61"/>
        <v/>
      </c>
      <c r="AI114" s="69"/>
      <c r="AJ114" s="1703" t="str">
        <f t="shared" si="62"/>
        <v/>
      </c>
      <c r="AK114" s="69"/>
      <c r="AL114" s="1706" t="str">
        <f t="shared" si="63"/>
        <v/>
      </c>
      <c r="AM114" s="69"/>
      <c r="AN114" s="1703" t="str">
        <f t="shared" si="64"/>
        <v/>
      </c>
      <c r="AO114" s="69"/>
      <c r="AP114" s="1703" t="str">
        <f t="shared" si="65"/>
        <v/>
      </c>
      <c r="AQ114" s="69"/>
      <c r="AR114" s="1703" t="str">
        <f t="shared" si="66"/>
        <v/>
      </c>
      <c r="AS114" s="69"/>
      <c r="AT114" s="1703" t="str">
        <f t="shared" si="67"/>
        <v/>
      </c>
      <c r="AU114" s="69"/>
      <c r="AV114" s="1703" t="str">
        <f t="shared" si="68"/>
        <v/>
      </c>
      <c r="AW114" s="69"/>
      <c r="AX114" s="1706" t="str">
        <f t="shared" si="69"/>
        <v/>
      </c>
      <c r="AY114" s="69"/>
      <c r="AZ114" s="1706" t="str">
        <f t="shared" si="70"/>
        <v/>
      </c>
      <c r="BA114" s="69"/>
      <c r="BB114" s="1709" t="str">
        <f t="shared" si="71"/>
        <v/>
      </c>
      <c r="BC114" s="69"/>
      <c r="BD114" s="1709" t="str">
        <f t="shared" si="72"/>
        <v/>
      </c>
      <c r="BE114" s="69"/>
      <c r="BF114" s="1709" t="str">
        <f t="shared" si="73"/>
        <v/>
      </c>
      <c r="BG114" s="69"/>
      <c r="BH114" s="1709" t="str">
        <f t="shared" si="74"/>
        <v/>
      </c>
      <c r="BI114" s="69"/>
      <c r="BJ114" s="1709" t="str">
        <f t="shared" si="75"/>
        <v/>
      </c>
      <c r="BK114" s="69"/>
      <c r="BL114" s="1703" t="str">
        <f t="shared" si="76"/>
        <v/>
      </c>
      <c r="BM114" s="69"/>
      <c r="BN114" s="1706">
        <f t="shared" si="77"/>
        <v>0</v>
      </c>
      <c r="BO114" s="69"/>
      <c r="BR114" s="684"/>
      <c r="BS114" s="684"/>
      <c r="BT114" s="541"/>
    </row>
    <row r="115" ht="22.5" customHeight="1">
      <c r="A115" s="1698" t="str">
        <f t="shared" si="46"/>
        <v/>
      </c>
      <c r="B115" s="1259">
        <v>2929.0</v>
      </c>
      <c r="C115" s="1693">
        <v>143.0</v>
      </c>
      <c r="D115" s="1701"/>
      <c r="E115" s="721" t="str">
        <f t="shared" si="45"/>
        <v>Ролл сэндвич с курицей</v>
      </c>
      <c r="F115" s="1703" t="str">
        <f t="shared" si="47"/>
        <v/>
      </c>
      <c r="G115" s="69"/>
      <c r="H115" s="1703" t="str">
        <f t="shared" si="48"/>
        <v/>
      </c>
      <c r="I115" s="69"/>
      <c r="J115" s="1703" t="str">
        <f t="shared" si="49"/>
        <v/>
      </c>
      <c r="K115" s="69"/>
      <c r="L115" s="1703" t="str">
        <f t="shared" si="50"/>
        <v/>
      </c>
      <c r="M115" s="69"/>
      <c r="N115" s="1706" t="str">
        <f t="shared" si="51"/>
        <v/>
      </c>
      <c r="O115" s="69"/>
      <c r="P115" s="1703" t="str">
        <f t="shared" si="52"/>
        <v/>
      </c>
      <c r="Q115" s="69"/>
      <c r="R115" s="1703" t="str">
        <f t="shared" si="53"/>
        <v/>
      </c>
      <c r="S115" s="69"/>
      <c r="T115" s="1703" t="str">
        <f t="shared" si="54"/>
        <v/>
      </c>
      <c r="U115" s="69"/>
      <c r="V115" s="1703" t="str">
        <f t="shared" si="55"/>
        <v/>
      </c>
      <c r="W115" s="69"/>
      <c r="X115" s="1703" t="str">
        <f t="shared" si="56"/>
        <v/>
      </c>
      <c r="Y115" s="69"/>
      <c r="Z115" s="1703" t="str">
        <f t="shared" si="57"/>
        <v/>
      </c>
      <c r="AA115" s="69"/>
      <c r="AB115" s="1703" t="str">
        <f t="shared" si="58"/>
        <v/>
      </c>
      <c r="AC115" s="69"/>
      <c r="AD115" s="1706" t="str">
        <f t="shared" si="59"/>
        <v/>
      </c>
      <c r="AE115" s="69"/>
      <c r="AF115" s="1706" t="str">
        <f t="shared" si="60"/>
        <v/>
      </c>
      <c r="AG115" s="69"/>
      <c r="AH115" s="1706" t="str">
        <f t="shared" si="61"/>
        <v/>
      </c>
      <c r="AI115" s="69"/>
      <c r="AJ115" s="1706" t="str">
        <f t="shared" si="62"/>
        <v/>
      </c>
      <c r="AK115" s="69"/>
      <c r="AL115" s="1706" t="str">
        <f t="shared" si="63"/>
        <v/>
      </c>
      <c r="AM115" s="69"/>
      <c r="AN115" s="1706" t="str">
        <f t="shared" si="64"/>
        <v/>
      </c>
      <c r="AO115" s="69"/>
      <c r="AP115" s="1706" t="str">
        <f t="shared" si="65"/>
        <v/>
      </c>
      <c r="AQ115" s="69"/>
      <c r="AR115" s="1706" t="str">
        <f t="shared" si="66"/>
        <v/>
      </c>
      <c r="AS115" s="69"/>
      <c r="AT115" s="1706" t="str">
        <f t="shared" si="67"/>
        <v/>
      </c>
      <c r="AU115" s="69"/>
      <c r="AV115" s="1706" t="str">
        <f t="shared" si="68"/>
        <v/>
      </c>
      <c r="AW115" s="69"/>
      <c r="AX115" s="1706" t="str">
        <f t="shared" si="69"/>
        <v/>
      </c>
      <c r="AY115" s="69"/>
      <c r="AZ115" s="1706" t="str">
        <f t="shared" si="70"/>
        <v/>
      </c>
      <c r="BA115" s="69"/>
      <c r="BB115" s="1709" t="str">
        <f t="shared" si="71"/>
        <v/>
      </c>
      <c r="BC115" s="69"/>
      <c r="BD115" s="1709" t="str">
        <f t="shared" si="72"/>
        <v/>
      </c>
      <c r="BE115" s="69"/>
      <c r="BF115" s="1709" t="str">
        <f t="shared" si="73"/>
        <v/>
      </c>
      <c r="BG115" s="69"/>
      <c r="BH115" s="1709" t="str">
        <f t="shared" si="74"/>
        <v/>
      </c>
      <c r="BI115" s="69"/>
      <c r="BJ115" s="1709" t="str">
        <f t="shared" si="75"/>
        <v/>
      </c>
      <c r="BK115" s="69"/>
      <c r="BL115" s="1706" t="str">
        <f t="shared" si="76"/>
        <v/>
      </c>
      <c r="BM115" s="69"/>
      <c r="BN115" s="1706">
        <f t="shared" si="77"/>
        <v>0</v>
      </c>
      <c r="BO115" s="69"/>
      <c r="BR115" s="684"/>
      <c r="BS115" s="684"/>
      <c r="BT115" s="541"/>
    </row>
    <row r="116" ht="22.5" customHeight="1">
      <c r="A116" s="1698" t="str">
        <f t="shared" si="46"/>
        <v/>
      </c>
      <c r="B116" s="1259">
        <v>4173.0</v>
      </c>
      <c r="C116" s="1693">
        <v>98.0</v>
      </c>
      <c r="D116" s="1701"/>
      <c r="E116" s="721" t="str">
        <f t="shared" si="45"/>
        <v>Морс клюквенный 0,5 л</v>
      </c>
      <c r="F116" s="1703" t="str">
        <f t="shared" si="47"/>
        <v/>
      </c>
      <c r="G116" s="69"/>
      <c r="H116" s="1703" t="str">
        <f t="shared" si="48"/>
        <v/>
      </c>
      <c r="I116" s="69"/>
      <c r="J116" s="1703" t="str">
        <f t="shared" si="49"/>
        <v/>
      </c>
      <c r="K116" s="69"/>
      <c r="L116" s="1703" t="str">
        <f t="shared" si="50"/>
        <v/>
      </c>
      <c r="M116" s="69"/>
      <c r="N116" s="1706" t="str">
        <f t="shared" si="51"/>
        <v/>
      </c>
      <c r="O116" s="69"/>
      <c r="P116" s="1703" t="str">
        <f t="shared" si="52"/>
        <v/>
      </c>
      <c r="Q116" s="69"/>
      <c r="R116" s="1703" t="str">
        <f t="shared" si="53"/>
        <v/>
      </c>
      <c r="S116" s="69"/>
      <c r="T116" s="1703" t="str">
        <f t="shared" si="54"/>
        <v/>
      </c>
      <c r="U116" s="69"/>
      <c r="V116" s="1703" t="str">
        <f t="shared" si="55"/>
        <v/>
      </c>
      <c r="W116" s="69"/>
      <c r="X116" s="1703" t="str">
        <f t="shared" si="56"/>
        <v/>
      </c>
      <c r="Y116" s="69"/>
      <c r="Z116" s="1703" t="str">
        <f t="shared" si="57"/>
        <v/>
      </c>
      <c r="AA116" s="69"/>
      <c r="AB116" s="1703" t="str">
        <f t="shared" si="58"/>
        <v/>
      </c>
      <c r="AC116" s="69"/>
      <c r="AD116" s="1706" t="str">
        <f t="shared" si="59"/>
        <v/>
      </c>
      <c r="AE116" s="69"/>
      <c r="AF116" s="1706" t="str">
        <f t="shared" si="60"/>
        <v/>
      </c>
      <c r="AG116" s="69"/>
      <c r="AH116" s="1706" t="str">
        <f t="shared" si="61"/>
        <v/>
      </c>
      <c r="AI116" s="69"/>
      <c r="AJ116" s="1706" t="str">
        <f t="shared" si="62"/>
        <v/>
      </c>
      <c r="AK116" s="69"/>
      <c r="AL116" s="1706" t="str">
        <f t="shared" si="63"/>
        <v/>
      </c>
      <c r="AM116" s="69"/>
      <c r="AN116" s="1706" t="str">
        <f t="shared" si="64"/>
        <v/>
      </c>
      <c r="AO116" s="69"/>
      <c r="AP116" s="1706" t="str">
        <f t="shared" si="65"/>
        <v/>
      </c>
      <c r="AQ116" s="69"/>
      <c r="AR116" s="1706" t="str">
        <f t="shared" si="66"/>
        <v/>
      </c>
      <c r="AS116" s="69"/>
      <c r="AT116" s="1706" t="str">
        <f t="shared" si="67"/>
        <v/>
      </c>
      <c r="AU116" s="69"/>
      <c r="AV116" s="1706" t="str">
        <f t="shared" si="68"/>
        <v/>
      </c>
      <c r="AW116" s="69"/>
      <c r="AX116" s="1706" t="str">
        <f t="shared" si="69"/>
        <v/>
      </c>
      <c r="AY116" s="69"/>
      <c r="AZ116" s="1706" t="str">
        <f t="shared" si="70"/>
        <v/>
      </c>
      <c r="BA116" s="69"/>
      <c r="BB116" s="1709" t="str">
        <f t="shared" si="71"/>
        <v/>
      </c>
      <c r="BC116" s="69"/>
      <c r="BD116" s="1709" t="str">
        <f t="shared" si="72"/>
        <v/>
      </c>
      <c r="BE116" s="69"/>
      <c r="BF116" s="1709" t="str">
        <f t="shared" si="73"/>
        <v/>
      </c>
      <c r="BG116" s="69"/>
      <c r="BH116" s="1709" t="str">
        <f t="shared" si="74"/>
        <v/>
      </c>
      <c r="BI116" s="69"/>
      <c r="BJ116" s="1709" t="str">
        <f t="shared" si="75"/>
        <v/>
      </c>
      <c r="BK116" s="69"/>
      <c r="BL116" s="1706" t="str">
        <f t="shared" si="76"/>
        <v/>
      </c>
      <c r="BM116" s="69"/>
      <c r="BN116" s="1706">
        <f t="shared" si="77"/>
        <v>0</v>
      </c>
      <c r="BO116" s="69"/>
      <c r="BR116" s="684"/>
      <c r="BS116" s="684"/>
      <c r="BT116" s="541"/>
    </row>
    <row r="117" ht="22.5" customHeight="1">
      <c r="A117" s="1698" t="str">
        <f t="shared" si="46"/>
        <v/>
      </c>
      <c r="B117" s="1259">
        <v>822.0</v>
      </c>
      <c r="C117" s="1693">
        <v>5.0</v>
      </c>
      <c r="D117" s="1701"/>
      <c r="E117" s="721" t="str">
        <f t="shared" si="45"/>
        <v>Хлеб пшеничный</v>
      </c>
      <c r="F117" s="1703" t="str">
        <f t="shared" si="47"/>
        <v/>
      </c>
      <c r="G117" s="69"/>
      <c r="H117" s="1703" t="str">
        <f t="shared" si="48"/>
        <v/>
      </c>
      <c r="I117" s="69"/>
      <c r="J117" s="1703" t="str">
        <f t="shared" si="49"/>
        <v/>
      </c>
      <c r="K117" s="69"/>
      <c r="L117" s="1703" t="str">
        <f t="shared" si="50"/>
        <v/>
      </c>
      <c r="M117" s="69"/>
      <c r="N117" s="1706" t="str">
        <f t="shared" si="51"/>
        <v/>
      </c>
      <c r="O117" s="69"/>
      <c r="P117" s="1703" t="str">
        <f t="shared" si="52"/>
        <v/>
      </c>
      <c r="Q117" s="69"/>
      <c r="R117" s="1703" t="str">
        <f t="shared" si="53"/>
        <v/>
      </c>
      <c r="S117" s="69"/>
      <c r="T117" s="1703" t="str">
        <f t="shared" si="54"/>
        <v/>
      </c>
      <c r="U117" s="69"/>
      <c r="V117" s="1703" t="str">
        <f t="shared" si="55"/>
        <v/>
      </c>
      <c r="W117" s="69"/>
      <c r="X117" s="1703" t="str">
        <f t="shared" si="56"/>
        <v/>
      </c>
      <c r="Y117" s="69"/>
      <c r="Z117" s="1703" t="str">
        <f t="shared" si="57"/>
        <v/>
      </c>
      <c r="AA117" s="69"/>
      <c r="AB117" s="1703" t="str">
        <f t="shared" si="58"/>
        <v/>
      </c>
      <c r="AC117" s="69"/>
      <c r="AD117" s="1706" t="str">
        <f t="shared" si="59"/>
        <v/>
      </c>
      <c r="AE117" s="69"/>
      <c r="AF117" s="1706" t="str">
        <f t="shared" si="60"/>
        <v/>
      </c>
      <c r="AG117" s="69"/>
      <c r="AH117" s="1706" t="str">
        <f t="shared" si="61"/>
        <v/>
      </c>
      <c r="AI117" s="69"/>
      <c r="AJ117" s="1706" t="str">
        <f t="shared" si="62"/>
        <v/>
      </c>
      <c r="AK117" s="69"/>
      <c r="AL117" s="1706" t="str">
        <f t="shared" si="63"/>
        <v/>
      </c>
      <c r="AM117" s="69"/>
      <c r="AN117" s="1706" t="str">
        <f t="shared" si="64"/>
        <v/>
      </c>
      <c r="AO117" s="69"/>
      <c r="AP117" s="1706" t="str">
        <f t="shared" si="65"/>
        <v/>
      </c>
      <c r="AQ117" s="69"/>
      <c r="AR117" s="1706" t="str">
        <f t="shared" si="66"/>
        <v/>
      </c>
      <c r="AS117" s="69"/>
      <c r="AT117" s="1706" t="str">
        <f t="shared" si="67"/>
        <v/>
      </c>
      <c r="AU117" s="69"/>
      <c r="AV117" s="1706" t="str">
        <f t="shared" si="68"/>
        <v/>
      </c>
      <c r="AW117" s="69"/>
      <c r="AX117" s="1706" t="str">
        <f t="shared" si="69"/>
        <v/>
      </c>
      <c r="AY117" s="69"/>
      <c r="AZ117" s="1706" t="str">
        <f t="shared" si="70"/>
        <v/>
      </c>
      <c r="BA117" s="69"/>
      <c r="BB117" s="1709" t="str">
        <f t="shared" si="71"/>
        <v/>
      </c>
      <c r="BC117" s="69"/>
      <c r="BD117" s="1709" t="str">
        <f t="shared" si="72"/>
        <v/>
      </c>
      <c r="BE117" s="69"/>
      <c r="BF117" s="1709" t="str">
        <f t="shared" si="73"/>
        <v/>
      </c>
      <c r="BG117" s="69"/>
      <c r="BH117" s="1709" t="str">
        <f t="shared" si="74"/>
        <v/>
      </c>
      <c r="BI117" s="69"/>
      <c r="BJ117" s="1709" t="str">
        <f t="shared" si="75"/>
        <v/>
      </c>
      <c r="BK117" s="69"/>
      <c r="BL117" s="1706" t="str">
        <f t="shared" si="76"/>
        <v/>
      </c>
      <c r="BM117" s="69"/>
      <c r="BN117" s="1706">
        <f t="shared" si="77"/>
        <v>0</v>
      </c>
      <c r="BO117" s="69"/>
      <c r="BR117" s="684"/>
      <c r="BS117" s="684"/>
      <c r="BT117" s="541"/>
    </row>
    <row r="118" ht="22.5" customHeight="1">
      <c r="A118" s="1698" t="str">
        <f t="shared" si="46"/>
        <v/>
      </c>
      <c r="B118" s="1259">
        <v>3435.0</v>
      </c>
      <c r="C118" s="1693">
        <v>51.0</v>
      </c>
      <c r="D118" s="1701"/>
      <c r="E118" s="721" t="str">
        <f t="shared" si="45"/>
        <v>Булочка с повидлом 80 г</v>
      </c>
      <c r="F118" s="1703" t="str">
        <f t="shared" si="47"/>
        <v/>
      </c>
      <c r="G118" s="69"/>
      <c r="H118" s="1703" t="str">
        <f t="shared" si="48"/>
        <v/>
      </c>
      <c r="I118" s="69"/>
      <c r="J118" s="1703" t="str">
        <f t="shared" si="49"/>
        <v/>
      </c>
      <c r="K118" s="69"/>
      <c r="L118" s="1703" t="str">
        <f t="shared" si="50"/>
        <v/>
      </c>
      <c r="M118" s="69"/>
      <c r="N118" s="1706" t="str">
        <f t="shared" si="51"/>
        <v/>
      </c>
      <c r="O118" s="69"/>
      <c r="P118" s="1703" t="str">
        <f t="shared" si="52"/>
        <v/>
      </c>
      <c r="Q118" s="69"/>
      <c r="R118" s="1703" t="str">
        <f t="shared" si="53"/>
        <v/>
      </c>
      <c r="S118" s="69"/>
      <c r="T118" s="1703" t="str">
        <f t="shared" si="54"/>
        <v/>
      </c>
      <c r="U118" s="69"/>
      <c r="V118" s="1703" t="str">
        <f t="shared" si="55"/>
        <v/>
      </c>
      <c r="W118" s="69"/>
      <c r="X118" s="1703" t="str">
        <f t="shared" si="56"/>
        <v/>
      </c>
      <c r="Y118" s="69"/>
      <c r="Z118" s="1703" t="str">
        <f t="shared" si="57"/>
        <v/>
      </c>
      <c r="AA118" s="69"/>
      <c r="AB118" s="1703" t="str">
        <f t="shared" si="58"/>
        <v/>
      </c>
      <c r="AC118" s="69"/>
      <c r="AD118" s="1706" t="str">
        <f t="shared" si="59"/>
        <v/>
      </c>
      <c r="AE118" s="69"/>
      <c r="AF118" s="1706" t="str">
        <f t="shared" si="60"/>
        <v/>
      </c>
      <c r="AG118" s="69"/>
      <c r="AH118" s="1706" t="str">
        <f t="shared" si="61"/>
        <v/>
      </c>
      <c r="AI118" s="69"/>
      <c r="AJ118" s="1706" t="str">
        <f t="shared" si="62"/>
        <v/>
      </c>
      <c r="AK118" s="69"/>
      <c r="AL118" s="1706" t="str">
        <f t="shared" si="63"/>
        <v/>
      </c>
      <c r="AM118" s="69"/>
      <c r="AN118" s="1706" t="str">
        <f t="shared" si="64"/>
        <v/>
      </c>
      <c r="AO118" s="69"/>
      <c r="AP118" s="1706" t="str">
        <f t="shared" si="65"/>
        <v/>
      </c>
      <c r="AQ118" s="69"/>
      <c r="AR118" s="1706" t="str">
        <f t="shared" si="66"/>
        <v/>
      </c>
      <c r="AS118" s="69"/>
      <c r="AT118" s="1706" t="str">
        <f t="shared" si="67"/>
        <v/>
      </c>
      <c r="AU118" s="69"/>
      <c r="AV118" s="1706" t="str">
        <f t="shared" si="68"/>
        <v/>
      </c>
      <c r="AW118" s="69"/>
      <c r="AX118" s="1706" t="str">
        <f t="shared" si="69"/>
        <v/>
      </c>
      <c r="AY118" s="69"/>
      <c r="AZ118" s="1706" t="str">
        <f t="shared" si="70"/>
        <v/>
      </c>
      <c r="BA118" s="69"/>
      <c r="BB118" s="1709" t="str">
        <f t="shared" si="71"/>
        <v/>
      </c>
      <c r="BC118" s="69"/>
      <c r="BD118" s="1709" t="str">
        <f t="shared" si="72"/>
        <v/>
      </c>
      <c r="BE118" s="69"/>
      <c r="BF118" s="1709" t="str">
        <f t="shared" si="73"/>
        <v/>
      </c>
      <c r="BG118" s="69"/>
      <c r="BH118" s="1709" t="str">
        <f t="shared" si="74"/>
        <v/>
      </c>
      <c r="BI118" s="69"/>
      <c r="BJ118" s="1709" t="str">
        <f t="shared" si="75"/>
        <v/>
      </c>
      <c r="BK118" s="69"/>
      <c r="BL118" s="1706" t="str">
        <f t="shared" si="76"/>
        <v/>
      </c>
      <c r="BM118" s="69"/>
      <c r="BN118" s="1706">
        <f t="shared" si="77"/>
        <v>0</v>
      </c>
      <c r="BO118" s="69"/>
      <c r="BR118" s="684"/>
      <c r="BS118" s="684"/>
      <c r="BT118" s="541"/>
    </row>
    <row r="119" ht="22.5" customHeight="1">
      <c r="A119" s="1698" t="str">
        <f t="shared" si="46"/>
        <v/>
      </c>
      <c r="B119" s="1259">
        <v>3455.0</v>
      </c>
      <c r="C119" s="1693">
        <v>85.0</v>
      </c>
      <c r="D119" s="1701"/>
      <c r="E119" s="721" t="str">
        <f t="shared" si="45"/>
        <v>Слойка с ветчиной и сыром 100г</v>
      </c>
      <c r="F119" s="1703" t="str">
        <f t="shared" si="47"/>
        <v/>
      </c>
      <c r="G119" s="69"/>
      <c r="H119" s="1703" t="str">
        <f t="shared" si="48"/>
        <v/>
      </c>
      <c r="I119" s="69"/>
      <c r="J119" s="1703" t="str">
        <f t="shared" si="49"/>
        <v/>
      </c>
      <c r="K119" s="69"/>
      <c r="L119" s="1703" t="str">
        <f t="shared" si="50"/>
        <v/>
      </c>
      <c r="M119" s="69"/>
      <c r="N119" s="1706" t="str">
        <f t="shared" si="51"/>
        <v/>
      </c>
      <c r="O119" s="69"/>
      <c r="P119" s="1703" t="str">
        <f t="shared" si="52"/>
        <v/>
      </c>
      <c r="Q119" s="69"/>
      <c r="R119" s="1703" t="str">
        <f t="shared" si="53"/>
        <v/>
      </c>
      <c r="S119" s="69"/>
      <c r="T119" s="1703" t="str">
        <f t="shared" si="54"/>
        <v/>
      </c>
      <c r="U119" s="69"/>
      <c r="V119" s="1703" t="str">
        <f t="shared" si="55"/>
        <v/>
      </c>
      <c r="W119" s="69"/>
      <c r="X119" s="1703" t="str">
        <f t="shared" si="56"/>
        <v/>
      </c>
      <c r="Y119" s="69"/>
      <c r="Z119" s="1703" t="str">
        <f t="shared" si="57"/>
        <v/>
      </c>
      <c r="AA119" s="69"/>
      <c r="AB119" s="1703" t="str">
        <f t="shared" si="58"/>
        <v/>
      </c>
      <c r="AC119" s="69"/>
      <c r="AD119" s="1706" t="str">
        <f t="shared" si="59"/>
        <v/>
      </c>
      <c r="AE119" s="69"/>
      <c r="AF119" s="1706" t="str">
        <f t="shared" si="60"/>
        <v/>
      </c>
      <c r="AG119" s="69"/>
      <c r="AH119" s="1706" t="str">
        <f t="shared" si="61"/>
        <v/>
      </c>
      <c r="AI119" s="69"/>
      <c r="AJ119" s="1706" t="str">
        <f t="shared" si="62"/>
        <v/>
      </c>
      <c r="AK119" s="69"/>
      <c r="AL119" s="1706" t="str">
        <f t="shared" si="63"/>
        <v/>
      </c>
      <c r="AM119" s="69"/>
      <c r="AN119" s="1706" t="str">
        <f t="shared" si="64"/>
        <v/>
      </c>
      <c r="AO119" s="69"/>
      <c r="AP119" s="1706" t="str">
        <f t="shared" si="65"/>
        <v/>
      </c>
      <c r="AQ119" s="69"/>
      <c r="AR119" s="1706" t="str">
        <f t="shared" si="66"/>
        <v/>
      </c>
      <c r="AS119" s="69"/>
      <c r="AT119" s="1706" t="str">
        <f t="shared" si="67"/>
        <v/>
      </c>
      <c r="AU119" s="69"/>
      <c r="AV119" s="1706" t="str">
        <f t="shared" si="68"/>
        <v/>
      </c>
      <c r="AW119" s="69"/>
      <c r="AX119" s="1706" t="str">
        <f t="shared" si="69"/>
        <v/>
      </c>
      <c r="AY119" s="69"/>
      <c r="AZ119" s="1706" t="str">
        <f t="shared" si="70"/>
        <v/>
      </c>
      <c r="BA119" s="69"/>
      <c r="BB119" s="1709" t="str">
        <f t="shared" si="71"/>
        <v/>
      </c>
      <c r="BC119" s="69"/>
      <c r="BD119" s="1709" t="str">
        <f t="shared" si="72"/>
        <v/>
      </c>
      <c r="BE119" s="69"/>
      <c r="BF119" s="1709" t="str">
        <f t="shared" si="73"/>
        <v/>
      </c>
      <c r="BG119" s="69"/>
      <c r="BH119" s="1709" t="str">
        <f t="shared" si="74"/>
        <v/>
      </c>
      <c r="BI119" s="69"/>
      <c r="BJ119" s="1709" t="str">
        <f t="shared" si="75"/>
        <v/>
      </c>
      <c r="BK119" s="69"/>
      <c r="BL119" s="1706" t="str">
        <f t="shared" si="76"/>
        <v/>
      </c>
      <c r="BM119" s="69"/>
      <c r="BN119" s="1706">
        <f t="shared" si="77"/>
        <v>0</v>
      </c>
      <c r="BO119" s="69"/>
      <c r="BR119" s="684"/>
      <c r="BS119" s="684"/>
      <c r="BT119" s="541"/>
    </row>
    <row r="120" ht="22.5" customHeight="1">
      <c r="A120" s="1698" t="str">
        <f t="shared" si="46"/>
        <v/>
      </c>
      <c r="B120" s="1259"/>
      <c r="C120" s="1693"/>
      <c r="D120" s="1701"/>
      <c r="E120" s="721" t="str">
        <f t="shared" si="45"/>
        <v/>
      </c>
      <c r="F120" s="1703" t="str">
        <f t="shared" si="47"/>
        <v/>
      </c>
      <c r="G120" s="69"/>
      <c r="H120" s="1725" t="str">
        <f t="shared" si="48"/>
        <v/>
      </c>
      <c r="I120" s="69"/>
      <c r="J120" s="1703" t="str">
        <f t="shared" si="49"/>
        <v/>
      </c>
      <c r="K120" s="69"/>
      <c r="L120" s="1703" t="str">
        <f t="shared" si="50"/>
        <v/>
      </c>
      <c r="M120" s="69"/>
      <c r="N120" s="1706" t="str">
        <f t="shared" si="51"/>
        <v/>
      </c>
      <c r="O120" s="69"/>
      <c r="P120" s="1725" t="str">
        <f t="shared" si="52"/>
        <v/>
      </c>
      <c r="Q120" s="69"/>
      <c r="R120" s="1703" t="str">
        <f t="shared" si="53"/>
        <v/>
      </c>
      <c r="S120" s="69"/>
      <c r="T120" s="1703" t="str">
        <f t="shared" si="54"/>
        <v/>
      </c>
      <c r="U120" s="69"/>
      <c r="V120" s="1703" t="str">
        <f t="shared" si="55"/>
        <v/>
      </c>
      <c r="W120" s="69"/>
      <c r="X120" s="1703" t="str">
        <f t="shared" si="56"/>
        <v/>
      </c>
      <c r="Y120" s="69"/>
      <c r="Z120" s="1703" t="str">
        <f t="shared" si="57"/>
        <v/>
      </c>
      <c r="AA120" s="69"/>
      <c r="AB120" s="1703" t="str">
        <f t="shared" si="58"/>
        <v/>
      </c>
      <c r="AC120" s="69"/>
      <c r="AD120" s="1706" t="str">
        <f t="shared" si="59"/>
        <v/>
      </c>
      <c r="AE120" s="69"/>
      <c r="AF120" s="1706" t="str">
        <f t="shared" si="60"/>
        <v/>
      </c>
      <c r="AG120" s="69"/>
      <c r="AH120" s="1706" t="str">
        <f t="shared" si="61"/>
        <v/>
      </c>
      <c r="AI120" s="69"/>
      <c r="AJ120" s="1706" t="str">
        <f t="shared" si="62"/>
        <v/>
      </c>
      <c r="AK120" s="69"/>
      <c r="AL120" s="1706" t="str">
        <f t="shared" si="63"/>
        <v/>
      </c>
      <c r="AM120" s="69"/>
      <c r="AN120" s="1706" t="str">
        <f t="shared" si="64"/>
        <v/>
      </c>
      <c r="AO120" s="69"/>
      <c r="AP120" s="1706" t="str">
        <f t="shared" si="65"/>
        <v/>
      </c>
      <c r="AQ120" s="69"/>
      <c r="AR120" s="1706" t="str">
        <f t="shared" si="66"/>
        <v/>
      </c>
      <c r="AS120" s="69"/>
      <c r="AT120" s="1706" t="str">
        <f t="shared" si="67"/>
        <v/>
      </c>
      <c r="AU120" s="69"/>
      <c r="AV120" s="1706" t="str">
        <f t="shared" si="68"/>
        <v/>
      </c>
      <c r="AW120" s="69"/>
      <c r="AX120" s="1706" t="str">
        <f t="shared" si="69"/>
        <v/>
      </c>
      <c r="AY120" s="69"/>
      <c r="AZ120" s="1706" t="str">
        <f t="shared" si="70"/>
        <v/>
      </c>
      <c r="BA120" s="69"/>
      <c r="BB120" s="1709" t="str">
        <f t="shared" si="71"/>
        <v/>
      </c>
      <c r="BC120" s="69"/>
      <c r="BD120" s="1709" t="str">
        <f t="shared" si="72"/>
        <v/>
      </c>
      <c r="BE120" s="69"/>
      <c r="BF120" s="1709" t="str">
        <f t="shared" si="73"/>
        <v/>
      </c>
      <c r="BG120" s="69"/>
      <c r="BH120" s="1709" t="str">
        <f t="shared" si="74"/>
        <v/>
      </c>
      <c r="BI120" s="69"/>
      <c r="BJ120" s="1709" t="str">
        <f t="shared" si="75"/>
        <v/>
      </c>
      <c r="BK120" s="69"/>
      <c r="BL120" s="1706" t="str">
        <f t="shared" si="76"/>
        <v/>
      </c>
      <c r="BM120" s="69"/>
      <c r="BN120" s="1706">
        <f t="shared" si="77"/>
        <v>0</v>
      </c>
      <c r="BO120" s="69"/>
      <c r="BR120" s="684"/>
      <c r="BS120" s="684"/>
      <c r="BT120" s="541"/>
    </row>
    <row r="121" ht="22.5" customHeight="1">
      <c r="A121" s="1698" t="str">
        <f t="shared" si="46"/>
        <v/>
      </c>
      <c r="B121" s="1916"/>
      <c r="C121" s="1693"/>
      <c r="D121" s="1701"/>
      <c r="E121" s="721" t="str">
        <f t="shared" si="45"/>
        <v/>
      </c>
      <c r="F121" s="1703" t="str">
        <f t="shared" si="47"/>
        <v/>
      </c>
      <c r="G121" s="69"/>
      <c r="H121" s="1703" t="str">
        <f t="shared" si="48"/>
        <v/>
      </c>
      <c r="I121" s="69"/>
      <c r="J121" s="1703"/>
      <c r="K121" s="69"/>
      <c r="L121" s="1703"/>
      <c r="M121" s="69"/>
      <c r="N121" s="1703"/>
      <c r="O121" s="69"/>
      <c r="P121" s="1703"/>
      <c r="Q121" s="69"/>
      <c r="R121" s="1703"/>
      <c r="S121" s="69"/>
      <c r="T121" s="1703"/>
      <c r="U121" s="69"/>
      <c r="V121" s="1703"/>
      <c r="W121" s="69"/>
      <c r="X121" s="1703"/>
      <c r="Y121" s="69"/>
      <c r="Z121" s="1703"/>
      <c r="AA121" s="69"/>
      <c r="AB121" s="1703"/>
      <c r="AC121" s="69"/>
      <c r="AD121" s="1703"/>
      <c r="AE121" s="69"/>
      <c r="AF121" s="1703"/>
      <c r="AG121" s="69"/>
      <c r="AH121" s="1703"/>
      <c r="AI121" s="69"/>
      <c r="AJ121" s="1703"/>
      <c r="AK121" s="69"/>
      <c r="AL121" s="1706" t="str">
        <f t="shared" si="63"/>
        <v/>
      </c>
      <c r="AM121" s="69"/>
      <c r="AN121" s="1703"/>
      <c r="AO121" s="69"/>
      <c r="AP121" s="1703"/>
      <c r="AQ121" s="69"/>
      <c r="AR121" s="1703"/>
      <c r="AS121" s="69"/>
      <c r="AT121" s="1703"/>
      <c r="AU121" s="69"/>
      <c r="AV121" s="1703"/>
      <c r="AW121" s="69"/>
      <c r="AX121" s="1703"/>
      <c r="AY121" s="69"/>
      <c r="AZ121" s="1703"/>
      <c r="BA121" s="69"/>
      <c r="BB121" s="1709" t="str">
        <f t="shared" si="71"/>
        <v/>
      </c>
      <c r="BC121" s="69"/>
      <c r="BD121" s="1709" t="str">
        <f t="shared" si="72"/>
        <v/>
      </c>
      <c r="BE121" s="69"/>
      <c r="BF121" s="1709" t="str">
        <f t="shared" si="73"/>
        <v/>
      </c>
      <c r="BG121" s="69"/>
      <c r="BH121" s="1709" t="str">
        <f t="shared" si="74"/>
        <v/>
      </c>
      <c r="BI121" s="69"/>
      <c r="BJ121" s="1709" t="str">
        <f t="shared" si="75"/>
        <v/>
      </c>
      <c r="BK121" s="69"/>
      <c r="BL121" s="1706" t="str">
        <f t="shared" si="76"/>
        <v/>
      </c>
      <c r="BM121" s="69"/>
      <c r="BN121" s="1706">
        <f t="shared" si="77"/>
        <v>0</v>
      </c>
      <c r="BO121" s="69"/>
      <c r="BR121" s="684"/>
      <c r="BS121" s="684"/>
      <c r="BT121" s="541"/>
    </row>
    <row r="122" ht="22.5" customHeight="1">
      <c r="A122" s="1698" t="str">
        <f t="shared" si="46"/>
        <v/>
      </c>
      <c r="B122" s="1795"/>
      <c r="C122" s="1849"/>
      <c r="D122" s="1701"/>
      <c r="E122" s="721"/>
      <c r="F122" s="1703"/>
      <c r="G122" s="69"/>
      <c r="H122" s="1703"/>
      <c r="I122" s="69"/>
      <c r="J122" s="1703"/>
      <c r="K122" s="69"/>
      <c r="L122" s="1703"/>
      <c r="M122" s="69"/>
      <c r="N122" s="1703"/>
      <c r="O122" s="69"/>
      <c r="P122" s="1703"/>
      <c r="Q122" s="69"/>
      <c r="R122" s="1703"/>
      <c r="S122" s="69"/>
      <c r="T122" s="1703"/>
      <c r="U122" s="69"/>
      <c r="V122" s="1703"/>
      <c r="W122" s="69"/>
      <c r="X122" s="1703"/>
      <c r="Y122" s="69"/>
      <c r="Z122" s="1703"/>
      <c r="AA122" s="69"/>
      <c r="AB122" s="1703"/>
      <c r="AC122" s="69"/>
      <c r="AD122" s="1703"/>
      <c r="AE122" s="69"/>
      <c r="AF122" s="1703"/>
      <c r="AG122" s="69"/>
      <c r="AH122" s="1703"/>
      <c r="AI122" s="69"/>
      <c r="AJ122" s="1703"/>
      <c r="AK122" s="69"/>
      <c r="AL122" s="1703"/>
      <c r="AM122" s="69"/>
      <c r="AN122" s="1703"/>
      <c r="AO122" s="69"/>
      <c r="AP122" s="1703"/>
      <c r="AQ122" s="69"/>
      <c r="AR122" s="1703"/>
      <c r="AS122" s="69"/>
      <c r="AT122" s="1703"/>
      <c r="AU122" s="69"/>
      <c r="AV122" s="1703"/>
      <c r="AW122" s="69"/>
      <c r="AX122" s="1703"/>
      <c r="AY122" s="69"/>
      <c r="AZ122" s="1703"/>
      <c r="BA122" s="69"/>
      <c r="BB122" s="1703"/>
      <c r="BC122" s="69"/>
      <c r="BD122" s="1703"/>
      <c r="BE122" s="69"/>
      <c r="BF122" s="1703"/>
      <c r="BG122" s="69"/>
      <c r="BH122" s="1703"/>
      <c r="BI122" s="69"/>
      <c r="BJ122" s="1703"/>
      <c r="BK122" s="69"/>
      <c r="BL122" s="1703"/>
      <c r="BM122" s="69"/>
      <c r="BN122" s="1706">
        <f t="shared" si="77"/>
        <v>0</v>
      </c>
      <c r="BO122" s="69"/>
      <c r="BR122" s="684"/>
      <c r="BS122" s="684"/>
      <c r="BT122" s="541"/>
    </row>
    <row r="123" ht="22.5" customHeight="1">
      <c r="A123" s="1863"/>
      <c r="B123" s="1720"/>
      <c r="C123" s="1863"/>
      <c r="D123" s="1701"/>
      <c r="E123" s="1864"/>
      <c r="F123" s="1606" t="str">
        <f>G93</f>
        <v/>
      </c>
      <c r="G123" s="69"/>
      <c r="H123" s="1606" t="str">
        <f>I93</f>
        <v/>
      </c>
      <c r="I123" s="69"/>
      <c r="J123" s="1606"/>
      <c r="K123" s="69"/>
      <c r="L123" s="1606"/>
      <c r="M123" s="69"/>
      <c r="N123" s="1606"/>
      <c r="O123" s="69"/>
      <c r="P123" s="1606"/>
      <c r="Q123" s="69"/>
      <c r="R123" s="1606"/>
      <c r="S123" s="69"/>
      <c r="T123" s="1606"/>
      <c r="U123" s="69"/>
      <c r="V123" s="1606"/>
      <c r="W123" s="69"/>
      <c r="X123" s="1606"/>
      <c r="Y123" s="69"/>
      <c r="Z123" s="1606"/>
      <c r="AA123" s="69"/>
      <c r="AB123" s="1606"/>
      <c r="AC123" s="69"/>
      <c r="AD123" s="1606"/>
      <c r="AE123" s="69"/>
      <c r="AF123" s="1606"/>
      <c r="AG123" s="69"/>
      <c r="AH123" s="1606"/>
      <c r="AI123" s="69"/>
      <c r="AJ123" s="1606"/>
      <c r="AK123" s="69"/>
      <c r="AL123" s="1487" t="str">
        <f>AM93</f>
        <v/>
      </c>
      <c r="AM123" s="69"/>
      <c r="AN123" s="1606"/>
      <c r="AO123" s="69"/>
      <c r="AP123" s="1606"/>
      <c r="AQ123" s="69"/>
      <c r="AR123" s="1606"/>
      <c r="AS123" s="69"/>
      <c r="AT123" s="1606"/>
      <c r="AU123" s="69"/>
      <c r="AV123" s="1606"/>
      <c r="AW123" s="69"/>
      <c r="AX123" s="1487"/>
      <c r="AY123" s="69"/>
      <c r="AZ123" s="1487"/>
      <c r="BA123" s="69"/>
      <c r="BB123" s="1485" t="str">
        <f>BC93</f>
        <v/>
      </c>
      <c r="BC123" s="69"/>
      <c r="BD123" s="1485" t="str">
        <f>BE93</f>
        <v/>
      </c>
      <c r="BE123" s="69"/>
      <c r="BF123" s="1485" t="str">
        <f>BG93</f>
        <v/>
      </c>
      <c r="BG123" s="69"/>
      <c r="BH123" s="1485" t="str">
        <f>BI93</f>
        <v/>
      </c>
      <c r="BI123" s="69"/>
      <c r="BJ123" s="1485" t="str">
        <f>BK93</f>
        <v/>
      </c>
      <c r="BK123" s="69"/>
      <c r="BL123" s="1606" t="s">
        <v>1365</v>
      </c>
      <c r="BM123" s="69"/>
      <c r="BN123" s="1487">
        <f>SUM(BN96:BO122)</f>
        <v>0</v>
      </c>
      <c r="BO123" s="69"/>
      <c r="BR123" s="1866"/>
      <c r="BS123" s="1866"/>
      <c r="BT123" s="541"/>
    </row>
    <row r="124" ht="15.75" customHeight="1">
      <c r="A124" s="1591"/>
      <c r="B124" s="1541"/>
      <c r="C124" s="1591"/>
      <c r="D124" s="1543"/>
      <c r="E124" s="906"/>
      <c r="F124" s="541"/>
      <c r="G124" s="541"/>
      <c r="H124" s="541"/>
      <c r="I124" s="541"/>
      <c r="J124" s="541"/>
      <c r="K124" s="541"/>
      <c r="L124" s="541"/>
      <c r="M124" s="541"/>
      <c r="N124" s="541"/>
      <c r="O124" s="541"/>
      <c r="P124" s="541"/>
      <c r="Q124" s="541"/>
      <c r="R124" s="541"/>
      <c r="S124" s="541"/>
      <c r="T124" s="541"/>
      <c r="U124" s="541"/>
      <c r="V124" s="541"/>
      <c r="W124" s="541"/>
      <c r="X124" s="541"/>
      <c r="Y124" s="541"/>
      <c r="Z124" s="541"/>
      <c r="AA124" s="541"/>
      <c r="AB124" s="541"/>
      <c r="AC124" s="541"/>
      <c r="AD124" s="541"/>
      <c r="AE124" s="541"/>
      <c r="AF124" s="541"/>
      <c r="AG124" s="541"/>
      <c r="AH124" s="541"/>
      <c r="AI124" s="541"/>
      <c r="AJ124" s="541"/>
      <c r="AK124" s="541"/>
      <c r="AL124" s="541"/>
      <c r="AM124" s="541"/>
      <c r="AN124" s="1748"/>
      <c r="AO124" s="1748"/>
      <c r="AP124" s="1748"/>
      <c r="AQ124" s="1748"/>
      <c r="AR124" s="1748"/>
      <c r="AS124" s="541"/>
      <c r="AT124" s="541"/>
      <c r="AU124" s="541"/>
      <c r="AV124" s="541"/>
      <c r="AW124" s="541"/>
      <c r="AX124" s="541"/>
      <c r="AY124" s="541"/>
      <c r="AZ124" s="541"/>
      <c r="BA124" s="541"/>
      <c r="BC124" s="541"/>
      <c r="BE124" s="541"/>
      <c r="BG124" s="541"/>
      <c r="BH124" s="1190"/>
      <c r="BI124" s="541"/>
      <c r="BJ124" s="1190"/>
      <c r="BK124" s="541"/>
      <c r="BL124" s="541"/>
      <c r="BM124" s="541"/>
      <c r="BO124" s="541"/>
      <c r="BP124" s="541"/>
      <c r="BQ124" s="633"/>
      <c r="BR124" s="541"/>
      <c r="BS124" s="541"/>
      <c r="BT124" s="541"/>
    </row>
    <row r="125" ht="15.75" customHeight="1">
      <c r="A125" s="1591"/>
      <c r="B125" s="1541"/>
      <c r="C125" s="1591"/>
      <c r="D125" s="1543"/>
      <c r="E125" s="906"/>
      <c r="F125" s="620"/>
      <c r="G125" s="541"/>
      <c r="H125" s="620"/>
      <c r="I125" s="541"/>
      <c r="J125" s="620"/>
      <c r="K125" s="541"/>
      <c r="L125" s="620"/>
      <c r="M125" s="541"/>
      <c r="N125" s="620"/>
      <c r="O125" s="541"/>
      <c r="P125" s="620"/>
      <c r="Q125" s="541"/>
      <c r="R125" s="620"/>
      <c r="S125" s="541"/>
      <c r="T125" s="620"/>
      <c r="U125" s="541"/>
      <c r="V125" s="620"/>
      <c r="W125" s="541"/>
      <c r="X125" s="620"/>
      <c r="Y125" s="541"/>
      <c r="Z125" s="620"/>
      <c r="AA125" s="541"/>
      <c r="AB125" s="620"/>
      <c r="AC125" s="541"/>
      <c r="AD125" s="620"/>
      <c r="AE125" s="541"/>
      <c r="AF125" s="620"/>
      <c r="AG125" s="541"/>
      <c r="AH125" s="620"/>
      <c r="AI125" s="541"/>
      <c r="AJ125" s="620"/>
      <c r="AK125" s="541"/>
      <c r="AL125" s="620"/>
      <c r="AM125" s="541"/>
      <c r="AN125" s="1748"/>
      <c r="AO125" s="1748"/>
      <c r="AP125" s="1748"/>
      <c r="AQ125" s="1748"/>
      <c r="AR125" s="1748"/>
      <c r="AS125" s="541"/>
      <c r="AT125" s="541"/>
      <c r="AU125" s="541"/>
      <c r="AV125" s="541"/>
      <c r="AW125" s="541"/>
      <c r="AX125" s="541"/>
      <c r="AY125" s="541"/>
      <c r="AZ125" s="541"/>
      <c r="BA125" s="541"/>
      <c r="BC125" s="541"/>
      <c r="BE125" s="541"/>
      <c r="BG125" s="541"/>
      <c r="BH125" s="1190"/>
      <c r="BI125" s="541"/>
      <c r="BJ125" s="1190"/>
      <c r="BK125" s="541"/>
      <c r="BL125" s="541"/>
      <c r="BM125" s="541"/>
      <c r="BO125" s="541"/>
      <c r="BP125" s="541"/>
      <c r="BQ125" s="633"/>
      <c r="BR125" s="541"/>
      <c r="BS125" s="541"/>
      <c r="BT125" s="541"/>
    </row>
    <row r="126" ht="19.5" customHeight="1">
      <c r="A126" s="1929" t="s">
        <v>1279</v>
      </c>
      <c r="B126" s="1930"/>
      <c r="C126" s="1931"/>
      <c r="D126" s="1932">
        <v>46231.0</v>
      </c>
      <c r="E126" s="1933" t="s">
        <v>3122</v>
      </c>
      <c r="F126" s="1596"/>
      <c r="G126" s="1870"/>
      <c r="H126" s="1596"/>
      <c r="I126" s="1596"/>
      <c r="J126" s="1596"/>
      <c r="K126" s="1596"/>
      <c r="L126" s="1596"/>
      <c r="M126" s="1596"/>
      <c r="N126" s="1596"/>
      <c r="O126" s="1596"/>
      <c r="P126" s="1597"/>
      <c r="Q126" s="1596"/>
      <c r="R126" s="1596"/>
      <c r="S126" s="1596"/>
      <c r="T126" s="1596"/>
      <c r="U126" s="1596"/>
      <c r="V126" s="1596"/>
      <c r="W126" s="1596"/>
      <c r="X126" s="1596"/>
      <c r="Y126" s="1596"/>
      <c r="Z126" s="1596"/>
      <c r="AA126" s="1596"/>
      <c r="AB126" s="1596"/>
      <c r="AC126" s="1596"/>
      <c r="AD126" s="1596"/>
      <c r="AE126" s="1596"/>
      <c r="AF126" s="1596"/>
      <c r="AG126" s="1596"/>
      <c r="AH126" s="1596"/>
      <c r="AI126" s="1596"/>
      <c r="AJ126" s="1596"/>
      <c r="AK126" s="1596"/>
      <c r="AL126" s="1596"/>
      <c r="AM126" s="1596"/>
      <c r="AN126" s="1552"/>
      <c r="AO126" s="1552"/>
      <c r="AP126" s="1552"/>
      <c r="AQ126" s="1552"/>
      <c r="AR126" s="1552"/>
      <c r="AS126" s="1596"/>
      <c r="AT126" s="1596"/>
      <c r="AU126" s="1596"/>
      <c r="AV126" s="1596"/>
      <c r="AW126" s="1596"/>
      <c r="AX126" s="1596"/>
      <c r="AY126" s="1596"/>
      <c r="AZ126" s="1596"/>
      <c r="BA126" s="1596"/>
      <c r="BB126" s="1596"/>
      <c r="BC126" s="1596"/>
      <c r="BD126" s="1596"/>
      <c r="BE126" s="1596"/>
      <c r="BF126" s="1596"/>
      <c r="BG126" s="1596"/>
      <c r="BH126" s="1552"/>
      <c r="BI126" s="1596"/>
      <c r="BJ126" s="1552"/>
      <c r="BK126" s="1596"/>
      <c r="BL126" s="1596"/>
      <c r="BM126" s="1596"/>
      <c r="BN126" s="1596"/>
      <c r="BO126" s="1596"/>
      <c r="BP126" s="1871"/>
      <c r="BQ126" s="1872"/>
      <c r="BR126" s="1601"/>
      <c r="BS126" s="1601"/>
      <c r="BT126" s="1596"/>
    </row>
    <row r="127" ht="19.5" customHeight="1">
      <c r="A127" s="1565"/>
      <c r="B127" s="1557" t="s">
        <v>3097</v>
      </c>
      <c r="C127" s="1934" t="s">
        <v>19</v>
      </c>
      <c r="D127" s="1935" t="s">
        <v>3070</v>
      </c>
      <c r="E127" s="1936" t="s">
        <v>471</v>
      </c>
      <c r="F127" s="1075" t="s">
        <v>1357</v>
      </c>
      <c r="G127" s="1409" t="s">
        <v>3071</v>
      </c>
      <c r="H127" s="1075" t="s">
        <v>1287</v>
      </c>
      <c r="I127" s="1409" t="s">
        <v>1288</v>
      </c>
      <c r="J127" s="1075" t="s">
        <v>1358</v>
      </c>
      <c r="K127" s="1409" t="s">
        <v>3072</v>
      </c>
      <c r="L127" s="1075" t="s">
        <v>1359</v>
      </c>
      <c r="M127" s="1409" t="s">
        <v>3073</v>
      </c>
      <c r="N127" s="1075" t="s">
        <v>1360</v>
      </c>
      <c r="O127" s="1409" t="s">
        <v>3074</v>
      </c>
      <c r="P127" s="1075" t="s">
        <v>1361</v>
      </c>
      <c r="Q127" s="1409" t="s">
        <v>3075</v>
      </c>
      <c r="R127" s="1485" t="s">
        <v>1362</v>
      </c>
      <c r="S127" s="1560" t="s">
        <v>1298</v>
      </c>
      <c r="T127" s="1427" t="s">
        <v>1299</v>
      </c>
      <c r="U127" s="1560" t="s">
        <v>1300</v>
      </c>
      <c r="V127" s="1487" t="s">
        <v>1301</v>
      </c>
      <c r="W127" s="1560" t="s">
        <v>1302</v>
      </c>
      <c r="X127" s="1427" t="s">
        <v>1363</v>
      </c>
      <c r="Y127" s="1560" t="s">
        <v>1304</v>
      </c>
      <c r="Z127" s="1487" t="s">
        <v>1305</v>
      </c>
      <c r="AA127" s="1560" t="s">
        <v>1306</v>
      </c>
      <c r="AB127" s="1487" t="s">
        <v>1307</v>
      </c>
      <c r="AC127" s="1560" t="s">
        <v>1308</v>
      </c>
      <c r="AD127" s="1487" t="s">
        <v>1309</v>
      </c>
      <c r="AE127" s="1560" t="s">
        <v>1310</v>
      </c>
      <c r="AF127" s="1427" t="s">
        <v>1311</v>
      </c>
      <c r="AG127" s="1560" t="s">
        <v>1312</v>
      </c>
      <c r="AH127" s="1487" t="s">
        <v>1313</v>
      </c>
      <c r="AI127" s="1560" t="s">
        <v>1314</v>
      </c>
      <c r="AJ127" s="1487" t="s">
        <v>1315</v>
      </c>
      <c r="AK127" s="1560" t="s">
        <v>1316</v>
      </c>
      <c r="AL127" s="1487" t="s">
        <v>1317</v>
      </c>
      <c r="AM127" s="1560" t="s">
        <v>1318</v>
      </c>
      <c r="AN127" s="1487" t="s">
        <v>1319</v>
      </c>
      <c r="AO127" s="1560" t="s">
        <v>1320</v>
      </c>
      <c r="AP127" s="1487" t="s">
        <v>1321</v>
      </c>
      <c r="AQ127" s="1486" t="s">
        <v>1322</v>
      </c>
      <c r="AR127" s="1427" t="s">
        <v>1323</v>
      </c>
      <c r="AS127" s="1486" t="s">
        <v>1324</v>
      </c>
      <c r="AT127" s="1485" t="s">
        <v>1325</v>
      </c>
      <c r="AU127" s="1486" t="s">
        <v>1326</v>
      </c>
      <c r="AV127" s="1485" t="s">
        <v>1327</v>
      </c>
      <c r="AW127" s="1486" t="s">
        <v>1328</v>
      </c>
      <c r="AX127" s="1485" t="s">
        <v>3076</v>
      </c>
      <c r="AY127" s="1486" t="s">
        <v>3077</v>
      </c>
      <c r="AZ127" s="1485" t="s">
        <v>3078</v>
      </c>
      <c r="BA127" s="1486" t="s">
        <v>3079</v>
      </c>
      <c r="BB127" s="1485" t="s">
        <v>3080</v>
      </c>
      <c r="BC127" s="1486" t="s">
        <v>3081</v>
      </c>
      <c r="BD127" s="1485" t="s">
        <v>3082</v>
      </c>
      <c r="BE127" s="1486" t="s">
        <v>3083</v>
      </c>
      <c r="BF127" s="1485" t="s">
        <v>3084</v>
      </c>
      <c r="BG127" s="1486" t="s">
        <v>3085</v>
      </c>
      <c r="BH127" s="1485" t="s">
        <v>3086</v>
      </c>
      <c r="BI127" s="1486" t="s">
        <v>3087</v>
      </c>
      <c r="BJ127" s="1485" t="s">
        <v>3088</v>
      </c>
      <c r="BK127" s="1486" t="s">
        <v>3089</v>
      </c>
      <c r="BL127" s="1120" t="s">
        <v>1425</v>
      </c>
      <c r="BM127" s="1121" t="s">
        <v>3045</v>
      </c>
      <c r="BN127" s="1814" t="s">
        <v>3090</v>
      </c>
      <c r="BO127" s="1815" t="s">
        <v>3091</v>
      </c>
      <c r="BP127" s="1606" t="s">
        <v>1331</v>
      </c>
      <c r="BQ127" s="1168" t="s">
        <v>3092</v>
      </c>
      <c r="BR127" s="1075" t="s">
        <v>3093</v>
      </c>
      <c r="BS127" s="1075" t="s">
        <v>3094</v>
      </c>
      <c r="BT127" s="544"/>
    </row>
    <row r="128" ht="19.5" customHeight="1">
      <c r="A128" s="1565"/>
      <c r="B128" s="1566">
        <v>1404.0</v>
      </c>
      <c r="C128" s="1567">
        <v>128.0</v>
      </c>
      <c r="D128" s="1568" t="s">
        <v>3095</v>
      </c>
      <c r="E128" s="1569" t="str">
        <f>'Матрица 4 недели'!D22</f>
        <v>Драники со сметаной</v>
      </c>
      <c r="F128" s="1120">
        <v>3.0</v>
      </c>
      <c r="G128" s="1121"/>
      <c r="H128" s="1120">
        <v>1.0</v>
      </c>
      <c r="I128" s="1121"/>
      <c r="J128" s="1120">
        <v>3.0</v>
      </c>
      <c r="K128" s="1121"/>
      <c r="L128" s="1126">
        <v>3.0</v>
      </c>
      <c r="M128" s="1121"/>
      <c r="N128" s="1126">
        <v>6.0</v>
      </c>
      <c r="O128" s="1121"/>
      <c r="P128" s="1120">
        <v>2.0</v>
      </c>
      <c r="Q128" s="1121"/>
      <c r="R128" s="1120">
        <v>1.0</v>
      </c>
      <c r="S128" s="1121"/>
      <c r="T128" s="1120">
        <v>4.0</v>
      </c>
      <c r="U128" s="1121"/>
      <c r="V128" s="1120">
        <v>3.0</v>
      </c>
      <c r="W128" s="1121"/>
      <c r="X128" s="1120">
        <v>1.0</v>
      </c>
      <c r="Y128" s="1121"/>
      <c r="Z128" s="1137"/>
      <c r="AA128" s="1121"/>
      <c r="AB128" s="1120">
        <v>4.0</v>
      </c>
      <c r="AC128" s="1121"/>
      <c r="AD128" s="1120">
        <v>1.0</v>
      </c>
      <c r="AE128" s="1121"/>
      <c r="AF128" s="1120">
        <v>10.0</v>
      </c>
      <c r="AG128" s="1121"/>
      <c r="AH128" s="1120">
        <v>4.0</v>
      </c>
      <c r="AI128" s="1121"/>
      <c r="AJ128" s="1120">
        <v>4.0</v>
      </c>
      <c r="AK128" s="1121"/>
      <c r="AL128" s="1126">
        <v>3.0</v>
      </c>
      <c r="AM128" s="1121"/>
      <c r="AN128" s="1120">
        <v>2.0</v>
      </c>
      <c r="AO128" s="1121"/>
      <c r="AP128" s="1126">
        <v>0.0</v>
      </c>
      <c r="AQ128" s="1121"/>
      <c r="AR128" s="1137">
        <v>15.0</v>
      </c>
      <c r="AS128" s="1138"/>
      <c r="AT128" s="1120">
        <v>3.0</v>
      </c>
      <c r="AU128" s="1138"/>
      <c r="AV128" s="1126">
        <v>4.0</v>
      </c>
      <c r="AW128" s="1138"/>
      <c r="AX128" s="1126">
        <v>7.0</v>
      </c>
      <c r="AY128" s="1138"/>
      <c r="AZ128" s="1126">
        <v>2.0</v>
      </c>
      <c r="BA128" s="1138"/>
      <c r="BB128" s="1126">
        <v>4.0</v>
      </c>
      <c r="BC128" s="1138"/>
      <c r="BD128" s="1126">
        <v>3.0</v>
      </c>
      <c r="BE128" s="1138"/>
      <c r="BF128" s="1126">
        <v>3.0</v>
      </c>
      <c r="BG128" s="1138"/>
      <c r="BH128" s="1126">
        <v>9.0</v>
      </c>
      <c r="BI128" s="1138"/>
      <c r="BJ128" s="1126">
        <v>6.0</v>
      </c>
      <c r="BK128" s="1138"/>
      <c r="BL128" s="1152"/>
      <c r="BM128" s="1138"/>
      <c r="BN128" s="1087">
        <v>10.0</v>
      </c>
      <c r="BO128" s="1138"/>
      <c r="BP128" s="783">
        <f t="shared" ref="BP128:BP154" si="78">(F128+H128+J128+L128+N128+P128+R128+T128+V128+X128+Z128+AB128+AD128+AF128+AH128+AJ128+AL128+AR128+BL128+AN128+AP128+AT128+AV128+AX128+AZ128+BB128+BD128+BF128+BH128+BJ128)+1</f>
        <v>112</v>
      </c>
      <c r="BQ128" s="1571">
        <f t="shared" ref="BQ128:BQ154" si="79">G128+I128+K128+M128+O128+Q128+S128+U128+W128+Y128+AA128+BM128+AC128+AE128+AG128+AI128+AK128+AM128+AS128+AO128+AQ128+AU128+AW128+AY128+BA128+BC128+BE128+BG128+BI128+BK128</f>
        <v>0</v>
      </c>
      <c r="BR128" s="1572"/>
      <c r="BS128" s="784">
        <f t="shared" ref="BS128:BS154" si="80">BP128*C128</f>
        <v>14336</v>
      </c>
      <c r="BT128" s="1545"/>
    </row>
    <row r="129" ht="19.5" customHeight="1">
      <c r="A129" s="1565"/>
      <c r="B129" s="1566">
        <v>4036.0</v>
      </c>
      <c r="C129" s="1567">
        <v>114.0</v>
      </c>
      <c r="D129" s="1568" t="s">
        <v>3095</v>
      </c>
      <c r="E129" s="1569" t="str">
        <f>'Матрица 4 недели'!D23</f>
        <v>Каша рисовая с вишней</v>
      </c>
      <c r="F129" s="1120">
        <v>3.0</v>
      </c>
      <c r="G129" s="1138"/>
      <c r="H129" s="1120">
        <v>3.0</v>
      </c>
      <c r="I129" s="1138"/>
      <c r="J129" s="1120">
        <v>4.0</v>
      </c>
      <c r="K129" s="1138"/>
      <c r="L129" s="1126">
        <v>3.0</v>
      </c>
      <c r="M129" s="1138"/>
      <c r="N129" s="1126">
        <v>6.0</v>
      </c>
      <c r="O129" s="1138"/>
      <c r="P129" s="1120">
        <v>3.0</v>
      </c>
      <c r="Q129" s="1138"/>
      <c r="R129" s="1120">
        <v>1.0</v>
      </c>
      <c r="S129" s="1138"/>
      <c r="T129" s="1120">
        <v>3.0</v>
      </c>
      <c r="U129" s="1138"/>
      <c r="V129" s="1120">
        <v>2.0</v>
      </c>
      <c r="W129" s="1138"/>
      <c r="X129" s="1120">
        <v>3.0</v>
      </c>
      <c r="Y129" s="1138"/>
      <c r="Z129" s="1137"/>
      <c r="AA129" s="1138"/>
      <c r="AB129" s="1120">
        <v>0.0</v>
      </c>
      <c r="AC129" s="1138"/>
      <c r="AD129" s="1120">
        <v>1.0</v>
      </c>
      <c r="AE129" s="1138"/>
      <c r="AF129" s="1120">
        <v>5.0</v>
      </c>
      <c r="AG129" s="1138"/>
      <c r="AH129" s="1120">
        <v>2.0</v>
      </c>
      <c r="AI129" s="1138"/>
      <c r="AJ129" s="1120">
        <v>6.0</v>
      </c>
      <c r="AK129" s="1138"/>
      <c r="AL129" s="1126">
        <v>0.0</v>
      </c>
      <c r="AM129" s="1138"/>
      <c r="AN129" s="1126">
        <v>4.0</v>
      </c>
      <c r="AO129" s="1138"/>
      <c r="AP129" s="1126">
        <v>3.0</v>
      </c>
      <c r="AQ129" s="1138"/>
      <c r="AR129" s="1120">
        <v>3.0</v>
      </c>
      <c r="AS129" s="1138"/>
      <c r="AT129" s="1120">
        <v>1.0</v>
      </c>
      <c r="AU129" s="1138"/>
      <c r="AV129" s="1126">
        <v>2.0</v>
      </c>
      <c r="AW129" s="1138"/>
      <c r="AX129" s="1126">
        <v>4.0</v>
      </c>
      <c r="AY129" s="1138"/>
      <c r="AZ129" s="1126">
        <v>0.0</v>
      </c>
      <c r="BA129" s="1138"/>
      <c r="BB129" s="1126">
        <v>3.0</v>
      </c>
      <c r="BC129" s="1138"/>
      <c r="BD129" s="1126">
        <v>0.0</v>
      </c>
      <c r="BE129" s="1138"/>
      <c r="BF129" s="1126">
        <v>3.0</v>
      </c>
      <c r="BG129" s="1138"/>
      <c r="BH129" s="1126">
        <v>0.0</v>
      </c>
      <c r="BI129" s="1138"/>
      <c r="BJ129" s="1126">
        <v>2.0</v>
      </c>
      <c r="BK129" s="1138"/>
      <c r="BL129" s="1152"/>
      <c r="BM129" s="1138"/>
      <c r="BN129" s="1087"/>
      <c r="BO129" s="1138"/>
      <c r="BP129" s="783">
        <f t="shared" si="78"/>
        <v>71</v>
      </c>
      <c r="BQ129" s="1571">
        <f t="shared" si="79"/>
        <v>0</v>
      </c>
      <c r="BR129" s="1572">
        <f t="shared" ref="BR129:BR154" si="81">BQ129*C129</f>
        <v>0</v>
      </c>
      <c r="BS129" s="784">
        <f t="shared" si="80"/>
        <v>8094</v>
      </c>
      <c r="BT129" s="1545"/>
    </row>
    <row r="130" ht="19.5" customHeight="1">
      <c r="A130" s="1565"/>
      <c r="B130" s="1566">
        <v>2762.0</v>
      </c>
      <c r="C130" s="1567">
        <v>174.0</v>
      </c>
      <c r="D130" s="1568" t="s">
        <v>3095</v>
      </c>
      <c r="E130" s="1569" t="str">
        <f>'Матрица 4 недели'!D24</f>
        <v>Запеканка творожная с курагой</v>
      </c>
      <c r="F130" s="1120">
        <v>3.0</v>
      </c>
      <c r="G130" s="1138"/>
      <c r="H130" s="1120">
        <v>2.0</v>
      </c>
      <c r="I130" s="1138"/>
      <c r="J130" s="1120">
        <v>5.0</v>
      </c>
      <c r="K130" s="1138"/>
      <c r="L130" s="1126">
        <v>3.0</v>
      </c>
      <c r="M130" s="1138"/>
      <c r="N130" s="1120">
        <v>8.0</v>
      </c>
      <c r="O130" s="1138"/>
      <c r="P130" s="1120">
        <v>2.0</v>
      </c>
      <c r="Q130" s="1138"/>
      <c r="R130" s="1120">
        <v>3.0</v>
      </c>
      <c r="S130" s="1138"/>
      <c r="T130" s="1120">
        <v>5.0</v>
      </c>
      <c r="U130" s="1138"/>
      <c r="V130" s="1120">
        <v>8.0</v>
      </c>
      <c r="W130" s="1138"/>
      <c r="X130" s="1120">
        <v>5.0</v>
      </c>
      <c r="Y130" s="1138"/>
      <c r="Z130" s="1126"/>
      <c r="AA130" s="1138"/>
      <c r="AB130" s="1120">
        <v>6.0</v>
      </c>
      <c r="AC130" s="1138"/>
      <c r="AD130" s="1120">
        <v>4.0</v>
      </c>
      <c r="AE130" s="1138"/>
      <c r="AF130" s="1120">
        <v>11.0</v>
      </c>
      <c r="AG130" s="1138"/>
      <c r="AH130" s="1120">
        <v>4.0</v>
      </c>
      <c r="AI130" s="1138"/>
      <c r="AJ130" s="1120">
        <v>3.0</v>
      </c>
      <c r="AK130" s="1121"/>
      <c r="AL130" s="1126">
        <v>6.0</v>
      </c>
      <c r="AM130" s="1121"/>
      <c r="AN130" s="1120">
        <v>4.0</v>
      </c>
      <c r="AO130" s="1138"/>
      <c r="AP130" s="1120">
        <v>4.0</v>
      </c>
      <c r="AQ130" s="1138"/>
      <c r="AR130" s="1120">
        <v>15.0</v>
      </c>
      <c r="AS130" s="1121"/>
      <c r="AT130" s="1126">
        <v>7.0</v>
      </c>
      <c r="AU130" s="1121"/>
      <c r="AV130" s="1126">
        <v>4.0</v>
      </c>
      <c r="AW130" s="1121"/>
      <c r="AX130" s="1126">
        <v>7.0</v>
      </c>
      <c r="AY130" s="1121"/>
      <c r="AZ130" s="1126">
        <v>5.0</v>
      </c>
      <c r="BA130" s="1121"/>
      <c r="BB130" s="1126">
        <v>2.0</v>
      </c>
      <c r="BC130" s="1127"/>
      <c r="BD130" s="1126">
        <v>4.0</v>
      </c>
      <c r="BE130" s="1127"/>
      <c r="BF130" s="1126">
        <v>1.0</v>
      </c>
      <c r="BG130" s="1127"/>
      <c r="BH130" s="1126">
        <v>4.0</v>
      </c>
      <c r="BI130" s="1127"/>
      <c r="BJ130" s="1126">
        <v>4.0</v>
      </c>
      <c r="BK130" s="1121"/>
      <c r="BL130" s="1152"/>
      <c r="BM130" s="1138"/>
      <c r="BN130" s="1087"/>
      <c r="BO130" s="1138"/>
      <c r="BP130" s="783">
        <f t="shared" si="78"/>
        <v>140</v>
      </c>
      <c r="BQ130" s="1571">
        <f t="shared" si="79"/>
        <v>0</v>
      </c>
      <c r="BR130" s="1572">
        <f t="shared" si="81"/>
        <v>0</v>
      </c>
      <c r="BS130" s="784">
        <f t="shared" si="80"/>
        <v>24360</v>
      </c>
      <c r="BT130" s="1545"/>
    </row>
    <row r="131" ht="19.5" customHeight="1">
      <c r="A131" s="1565"/>
      <c r="B131" s="1566">
        <v>3230.0</v>
      </c>
      <c r="C131" s="1567">
        <v>98.0</v>
      </c>
      <c r="D131" s="1568" t="s">
        <v>70</v>
      </c>
      <c r="E131" s="1569" t="str">
        <f>'Матрица 4 недели'!G22</f>
        <v>Салат ''Винегрет с капустой'' 120 г</v>
      </c>
      <c r="F131" s="1126">
        <v>1.0</v>
      </c>
      <c r="G131" s="1121"/>
      <c r="H131" s="1120">
        <v>2.0</v>
      </c>
      <c r="I131" s="1121"/>
      <c r="J131" s="1120">
        <v>5.0</v>
      </c>
      <c r="K131" s="1121"/>
      <c r="L131" s="1126">
        <v>4.0</v>
      </c>
      <c r="M131" s="1121"/>
      <c r="N131" s="1126">
        <v>11.0</v>
      </c>
      <c r="O131" s="1121"/>
      <c r="P131" s="1120">
        <v>2.0</v>
      </c>
      <c r="Q131" s="1121"/>
      <c r="R131" s="1126">
        <v>1.0</v>
      </c>
      <c r="S131" s="1121"/>
      <c r="T131" s="1120">
        <v>4.0</v>
      </c>
      <c r="U131" s="1121"/>
      <c r="V131" s="1120">
        <v>2.0</v>
      </c>
      <c r="W131" s="1121"/>
      <c r="X131" s="1126">
        <v>0.0</v>
      </c>
      <c r="Y131" s="1121"/>
      <c r="Z131" s="1137"/>
      <c r="AA131" s="1121"/>
      <c r="AB131" s="1120">
        <v>1.0</v>
      </c>
      <c r="AC131" s="1127"/>
      <c r="AD131" s="1120">
        <v>2.0</v>
      </c>
      <c r="AE131" s="1127"/>
      <c r="AF131" s="1120">
        <v>3.0</v>
      </c>
      <c r="AG131" s="1127"/>
      <c r="AH131" s="1120">
        <v>4.0</v>
      </c>
      <c r="AI131" s="1127"/>
      <c r="AJ131" s="1120">
        <v>2.0</v>
      </c>
      <c r="AK131" s="1127"/>
      <c r="AL131" s="1126">
        <v>0.0</v>
      </c>
      <c r="AM131" s="1127"/>
      <c r="AN131" s="1120">
        <v>0.0</v>
      </c>
      <c r="AO131" s="1121"/>
      <c r="AP131" s="1126">
        <v>2.0</v>
      </c>
      <c r="AQ131" s="1121"/>
      <c r="AR131" s="1137">
        <v>3.0</v>
      </c>
      <c r="AS131" s="1138"/>
      <c r="AT131" s="1120">
        <v>4.0</v>
      </c>
      <c r="AU131" s="1138"/>
      <c r="AV131" s="1126">
        <v>3.0</v>
      </c>
      <c r="AW131" s="1138"/>
      <c r="AX131" s="1126">
        <v>4.0</v>
      </c>
      <c r="AY131" s="1138"/>
      <c r="AZ131" s="1126">
        <v>2.0</v>
      </c>
      <c r="BA131" s="1138"/>
      <c r="BB131" s="1126">
        <v>2.0</v>
      </c>
      <c r="BC131" s="1138"/>
      <c r="BD131" s="1126">
        <v>2.0</v>
      </c>
      <c r="BE131" s="1138"/>
      <c r="BF131" s="1126">
        <v>2.0</v>
      </c>
      <c r="BG131" s="1138"/>
      <c r="BH131" s="1126">
        <v>2.0</v>
      </c>
      <c r="BI131" s="1138"/>
      <c r="BJ131" s="1126">
        <v>3.0</v>
      </c>
      <c r="BK131" s="1138"/>
      <c r="BL131" s="1152">
        <v>44.0</v>
      </c>
      <c r="BM131" s="1138"/>
      <c r="BN131" s="1087"/>
      <c r="BO131" s="1138"/>
      <c r="BP131" s="783">
        <f t="shared" si="78"/>
        <v>118</v>
      </c>
      <c r="BQ131" s="1571">
        <f t="shared" si="79"/>
        <v>0</v>
      </c>
      <c r="BR131" s="1572">
        <f t="shared" si="81"/>
        <v>0</v>
      </c>
      <c r="BS131" s="784">
        <f t="shared" si="80"/>
        <v>11564</v>
      </c>
      <c r="BT131" s="1545"/>
    </row>
    <row r="132" ht="19.5" customHeight="1">
      <c r="A132" s="1565"/>
      <c r="B132" s="1566">
        <v>3301.0</v>
      </c>
      <c r="C132" s="1567">
        <v>98.0</v>
      </c>
      <c r="D132" s="1568" t="s">
        <v>70</v>
      </c>
      <c r="E132" s="1569" t="str">
        <f>'Матрица 4 недели'!G23</f>
        <v>Салат ''Блинный'' (ветчина куриная)</v>
      </c>
      <c r="F132" s="1126">
        <v>8.0</v>
      </c>
      <c r="G132" s="1121"/>
      <c r="H132" s="1120">
        <v>2.0</v>
      </c>
      <c r="I132" s="1121"/>
      <c r="J132" s="1120">
        <v>1.0</v>
      </c>
      <c r="K132" s="1121"/>
      <c r="L132" s="1120">
        <v>4.0</v>
      </c>
      <c r="M132" s="1121"/>
      <c r="N132" s="1126">
        <v>10.0</v>
      </c>
      <c r="O132" s="1121"/>
      <c r="P132" s="1120">
        <v>16.0</v>
      </c>
      <c r="Q132" s="1121"/>
      <c r="R132" s="1126">
        <v>4.0</v>
      </c>
      <c r="S132" s="1121"/>
      <c r="T132" s="1120">
        <v>7.0</v>
      </c>
      <c r="U132" s="1121"/>
      <c r="V132" s="1120">
        <v>4.0</v>
      </c>
      <c r="W132" s="1121"/>
      <c r="X132" s="1126">
        <v>3.0</v>
      </c>
      <c r="Y132" s="1121"/>
      <c r="Z132" s="1137"/>
      <c r="AA132" s="1121"/>
      <c r="AB132" s="1120">
        <v>2.0</v>
      </c>
      <c r="AC132" s="1127"/>
      <c r="AD132" s="1120">
        <v>4.0</v>
      </c>
      <c r="AE132" s="1127"/>
      <c r="AF132" s="1120">
        <v>5.0</v>
      </c>
      <c r="AG132" s="1127"/>
      <c r="AH132" s="1120">
        <v>7.0</v>
      </c>
      <c r="AI132" s="1127"/>
      <c r="AJ132" s="1120">
        <v>4.0</v>
      </c>
      <c r="AK132" s="1127"/>
      <c r="AL132" s="1126">
        <v>2.0</v>
      </c>
      <c r="AM132" s="1127"/>
      <c r="AN132" s="1120">
        <v>0.0</v>
      </c>
      <c r="AO132" s="1121"/>
      <c r="AP132" s="1126">
        <v>4.0</v>
      </c>
      <c r="AQ132" s="1121"/>
      <c r="AR132" s="1137">
        <v>10.0</v>
      </c>
      <c r="AS132" s="1138"/>
      <c r="AT132" s="1120">
        <v>7.0</v>
      </c>
      <c r="AU132" s="1138"/>
      <c r="AV132" s="1126">
        <v>3.0</v>
      </c>
      <c r="AW132" s="1138"/>
      <c r="AX132" s="1126">
        <v>6.0</v>
      </c>
      <c r="AY132" s="1138"/>
      <c r="AZ132" s="1126">
        <v>5.0</v>
      </c>
      <c r="BA132" s="1138"/>
      <c r="BB132" s="1126">
        <v>2.0</v>
      </c>
      <c r="BC132" s="1138"/>
      <c r="BD132" s="1126">
        <v>7.0</v>
      </c>
      <c r="BE132" s="1138"/>
      <c r="BF132" s="1126">
        <v>4.0</v>
      </c>
      <c r="BG132" s="1138"/>
      <c r="BH132" s="1126">
        <v>5.0</v>
      </c>
      <c r="BI132" s="1138"/>
      <c r="BJ132" s="1126">
        <v>6.0</v>
      </c>
      <c r="BK132" s="1138"/>
      <c r="BL132" s="1152">
        <v>43.0</v>
      </c>
      <c r="BM132" s="1138"/>
      <c r="BN132" s="1087"/>
      <c r="BO132" s="1138"/>
      <c r="BP132" s="783">
        <f t="shared" si="78"/>
        <v>186</v>
      </c>
      <c r="BQ132" s="1571">
        <f t="shared" si="79"/>
        <v>0</v>
      </c>
      <c r="BR132" s="1572">
        <f t="shared" si="81"/>
        <v>0</v>
      </c>
      <c r="BS132" s="784">
        <f t="shared" si="80"/>
        <v>18228</v>
      </c>
      <c r="BT132" s="1545"/>
    </row>
    <row r="133" ht="19.5" customHeight="1">
      <c r="A133" s="1565"/>
      <c r="B133" s="1566">
        <v>4038.0</v>
      </c>
      <c r="C133" s="1567">
        <v>98.0</v>
      </c>
      <c r="D133" s="1568" t="s">
        <v>70</v>
      </c>
      <c r="E133" s="1569" t="str">
        <f>'Матрица 4 недели'!G24</f>
        <v>Салат "Гавайский" (курица, ананас)</v>
      </c>
      <c r="F133" s="1126">
        <v>4.0</v>
      </c>
      <c r="G133" s="1138"/>
      <c r="H133" s="1126">
        <v>0.0</v>
      </c>
      <c r="I133" s="1138"/>
      <c r="J133" s="1126">
        <v>2.0</v>
      </c>
      <c r="K133" s="1138"/>
      <c r="L133" s="1126">
        <v>3.0</v>
      </c>
      <c r="M133" s="1138"/>
      <c r="N133" s="1126">
        <v>6.0</v>
      </c>
      <c r="O133" s="1138"/>
      <c r="P133" s="1126">
        <v>5.0</v>
      </c>
      <c r="Q133" s="1121"/>
      <c r="R133" s="1126">
        <v>2.0</v>
      </c>
      <c r="S133" s="1121"/>
      <c r="T133" s="1137">
        <v>4.0</v>
      </c>
      <c r="U133" s="1121"/>
      <c r="V133" s="1137">
        <v>6.0</v>
      </c>
      <c r="W133" s="1121"/>
      <c r="X133" s="1126">
        <v>1.0</v>
      </c>
      <c r="Y133" s="1121"/>
      <c r="Z133" s="1137"/>
      <c r="AA133" s="1121"/>
      <c r="AB133" s="1120">
        <v>2.0</v>
      </c>
      <c r="AC133" s="1121"/>
      <c r="AD133" s="1120">
        <v>0.0</v>
      </c>
      <c r="AE133" s="1121"/>
      <c r="AF133" s="1137">
        <v>4.0</v>
      </c>
      <c r="AG133" s="1121"/>
      <c r="AH133" s="1120">
        <v>3.0</v>
      </c>
      <c r="AI133" s="1121"/>
      <c r="AJ133" s="1120">
        <v>4.0</v>
      </c>
      <c r="AK133" s="1121"/>
      <c r="AL133" s="1126">
        <v>5.0</v>
      </c>
      <c r="AM133" s="1121"/>
      <c r="AN133" s="1137">
        <v>0.0</v>
      </c>
      <c r="AO133" s="1138"/>
      <c r="AP133" s="1137">
        <v>3.0</v>
      </c>
      <c r="AQ133" s="1138"/>
      <c r="AR133" s="1137">
        <v>2.0</v>
      </c>
      <c r="AS133" s="1131"/>
      <c r="AT133" s="1126">
        <v>5.0</v>
      </c>
      <c r="AU133" s="1131"/>
      <c r="AV133" s="1126">
        <v>0.0</v>
      </c>
      <c r="AW133" s="1131"/>
      <c r="AX133" s="1126">
        <v>5.0</v>
      </c>
      <c r="AY133" s="1131"/>
      <c r="AZ133" s="1126">
        <v>2.0</v>
      </c>
      <c r="BA133" s="1131"/>
      <c r="BB133" s="1126">
        <v>2.0</v>
      </c>
      <c r="BC133" s="1131"/>
      <c r="BD133" s="1126">
        <v>3.0</v>
      </c>
      <c r="BE133" s="1131"/>
      <c r="BF133" s="1126">
        <v>1.0</v>
      </c>
      <c r="BG133" s="1131"/>
      <c r="BH133" s="1126">
        <v>2.0</v>
      </c>
      <c r="BI133" s="1131"/>
      <c r="BJ133" s="1126">
        <v>3.0</v>
      </c>
      <c r="BK133" s="1131"/>
      <c r="BL133" s="1152">
        <v>43.0</v>
      </c>
      <c r="BM133" s="1138"/>
      <c r="BN133" s="1087"/>
      <c r="BO133" s="1138"/>
      <c r="BP133" s="783">
        <f t="shared" si="78"/>
        <v>123</v>
      </c>
      <c r="BQ133" s="1571">
        <f t="shared" si="79"/>
        <v>0</v>
      </c>
      <c r="BR133" s="1572">
        <f t="shared" si="81"/>
        <v>0</v>
      </c>
      <c r="BS133" s="784">
        <f t="shared" si="80"/>
        <v>12054</v>
      </c>
      <c r="BT133" s="1545"/>
    </row>
    <row r="134" ht="19.5" customHeight="1">
      <c r="A134" s="1565"/>
      <c r="B134" s="1566">
        <v>4034.0</v>
      </c>
      <c r="C134" s="1567">
        <v>168.0</v>
      </c>
      <c r="D134" s="1580" t="s">
        <v>537</v>
      </c>
      <c r="E134" s="1569" t="str">
        <f>'Матрица 4 недели'!G25</f>
        <v>Гранатовый браслет 220гр </v>
      </c>
      <c r="F134" s="1126">
        <v>3.0</v>
      </c>
      <c r="G134" s="1138"/>
      <c r="H134" s="1126">
        <v>1.0</v>
      </c>
      <c r="I134" s="1138"/>
      <c r="J134" s="1126">
        <v>2.0</v>
      </c>
      <c r="K134" s="1138"/>
      <c r="L134" s="1126">
        <v>3.0</v>
      </c>
      <c r="M134" s="1138"/>
      <c r="N134" s="1126">
        <v>5.0</v>
      </c>
      <c r="O134" s="1138"/>
      <c r="P134" s="1120">
        <v>4.0</v>
      </c>
      <c r="Q134" s="1121"/>
      <c r="R134" s="1126">
        <v>2.0</v>
      </c>
      <c r="S134" s="1121"/>
      <c r="T134" s="1137">
        <v>3.0</v>
      </c>
      <c r="U134" s="1121"/>
      <c r="V134" s="1137">
        <v>4.0</v>
      </c>
      <c r="W134" s="1121"/>
      <c r="X134" s="1126">
        <v>2.0</v>
      </c>
      <c r="Y134" s="1121"/>
      <c r="Z134" s="1137"/>
      <c r="AA134" s="1121"/>
      <c r="AB134" s="1120">
        <v>2.0</v>
      </c>
      <c r="AC134" s="1121"/>
      <c r="AD134" s="1120">
        <v>3.0</v>
      </c>
      <c r="AE134" s="1121"/>
      <c r="AF134" s="1137">
        <v>4.0</v>
      </c>
      <c r="AG134" s="1121"/>
      <c r="AH134" s="1120">
        <v>4.0</v>
      </c>
      <c r="AI134" s="1121"/>
      <c r="AJ134" s="1120">
        <v>3.0</v>
      </c>
      <c r="AK134" s="1121"/>
      <c r="AL134" s="1126">
        <v>2.0</v>
      </c>
      <c r="AM134" s="1121"/>
      <c r="AN134" s="1137">
        <v>2.0</v>
      </c>
      <c r="AO134" s="1138"/>
      <c r="AP134" s="1126">
        <v>4.0</v>
      </c>
      <c r="AQ134" s="1138"/>
      <c r="AR134" s="1126">
        <v>3.0</v>
      </c>
      <c r="AS134" s="1138"/>
      <c r="AT134" s="1126">
        <v>2.0</v>
      </c>
      <c r="AU134" s="1138"/>
      <c r="AV134" s="1126">
        <v>3.0</v>
      </c>
      <c r="AW134" s="1138"/>
      <c r="AX134" s="1126">
        <v>3.0</v>
      </c>
      <c r="AY134" s="1138"/>
      <c r="AZ134" s="1126">
        <v>1.0</v>
      </c>
      <c r="BA134" s="1138"/>
      <c r="BB134" s="1126">
        <v>0.0</v>
      </c>
      <c r="BC134" s="1138"/>
      <c r="BD134" s="1126">
        <v>2.0</v>
      </c>
      <c r="BE134" s="1138"/>
      <c r="BF134" s="1126">
        <v>5.0</v>
      </c>
      <c r="BG134" s="1138"/>
      <c r="BH134" s="1126">
        <v>4.0</v>
      </c>
      <c r="BI134" s="1138"/>
      <c r="BJ134" s="1126">
        <v>7.0</v>
      </c>
      <c r="BK134" s="1138"/>
      <c r="BL134" s="1152"/>
      <c r="BM134" s="1138"/>
      <c r="BN134" s="1087"/>
      <c r="BO134" s="1138"/>
      <c r="BP134" s="783">
        <f t="shared" si="78"/>
        <v>84</v>
      </c>
      <c r="BQ134" s="1571">
        <f t="shared" si="79"/>
        <v>0</v>
      </c>
      <c r="BR134" s="1572">
        <f t="shared" si="81"/>
        <v>0</v>
      </c>
      <c r="BS134" s="784">
        <f t="shared" si="80"/>
        <v>14112</v>
      </c>
      <c r="BT134" s="1545"/>
    </row>
    <row r="135" ht="19.5" customHeight="1">
      <c r="A135" s="1565"/>
      <c r="B135" s="1566">
        <v>386.0</v>
      </c>
      <c r="C135" s="1567">
        <v>88.0</v>
      </c>
      <c r="D135" s="1568" t="s">
        <v>74</v>
      </c>
      <c r="E135" s="1569" t="str">
        <f>'Матрица 4 недели'!J22</f>
        <v>Суп ''Харчо'' с курицей</v>
      </c>
      <c r="F135" s="1126"/>
      <c r="G135" s="1121"/>
      <c r="H135" s="1120"/>
      <c r="I135" s="1121"/>
      <c r="J135" s="1120"/>
      <c r="K135" s="1121"/>
      <c r="L135" s="1126"/>
      <c r="M135" s="1121"/>
      <c r="N135" s="1126"/>
      <c r="O135" s="1121"/>
      <c r="P135" s="1120"/>
      <c r="Q135" s="1121"/>
      <c r="R135" s="1126"/>
      <c r="S135" s="1121"/>
      <c r="T135" s="1120"/>
      <c r="U135" s="1121"/>
      <c r="V135" s="1120"/>
      <c r="W135" s="1121"/>
      <c r="X135" s="1126"/>
      <c r="Y135" s="1121"/>
      <c r="Z135" s="1126"/>
      <c r="AA135" s="1121"/>
      <c r="AB135" s="1120"/>
      <c r="AC135" s="1121"/>
      <c r="AD135" s="1120"/>
      <c r="AE135" s="1121"/>
      <c r="AF135" s="1120"/>
      <c r="AG135" s="1121"/>
      <c r="AH135" s="1120"/>
      <c r="AI135" s="1121"/>
      <c r="AJ135" s="1120"/>
      <c r="AK135" s="1121"/>
      <c r="AL135" s="1126"/>
      <c r="AM135" s="1121"/>
      <c r="AN135" s="1120"/>
      <c r="AO135" s="1121"/>
      <c r="AP135" s="1126"/>
      <c r="AQ135" s="1121"/>
      <c r="AR135" s="1120"/>
      <c r="AS135" s="1121"/>
      <c r="AT135" s="1120"/>
      <c r="AU135" s="1121"/>
      <c r="AV135" s="1126"/>
      <c r="AW135" s="1121"/>
      <c r="AX135" s="1126"/>
      <c r="AY135" s="1121"/>
      <c r="AZ135" s="1126"/>
      <c r="BA135" s="1121"/>
      <c r="BB135" s="1126"/>
      <c r="BC135" s="1121"/>
      <c r="BD135" s="1126"/>
      <c r="BE135" s="1121"/>
      <c r="BF135" s="1126"/>
      <c r="BG135" s="1121"/>
      <c r="BH135" s="1126"/>
      <c r="BI135" s="1121"/>
      <c r="BJ135" s="1126"/>
      <c r="BK135" s="1121"/>
      <c r="BL135" s="1152">
        <v>120.0</v>
      </c>
      <c r="BM135" s="1653"/>
      <c r="BN135" s="1785">
        <v>10.0</v>
      </c>
      <c r="BO135" s="1653"/>
      <c r="BP135" s="783">
        <f t="shared" si="78"/>
        <v>121</v>
      </c>
      <c r="BQ135" s="1571">
        <f t="shared" si="79"/>
        <v>0</v>
      </c>
      <c r="BR135" s="1572">
        <f t="shared" si="81"/>
        <v>0</v>
      </c>
      <c r="BS135" s="784">
        <f t="shared" si="80"/>
        <v>10648</v>
      </c>
      <c r="BT135" s="1545"/>
    </row>
    <row r="136" ht="19.5" customHeight="1">
      <c r="A136" s="1565"/>
      <c r="B136" s="1566">
        <v>4274.0</v>
      </c>
      <c r="C136" s="1567">
        <v>139.0</v>
      </c>
      <c r="D136" s="1568" t="s">
        <v>74</v>
      </c>
      <c r="E136" s="1569" t="str">
        <f>'Матрица 4 недели'!J23</f>
        <v>Крем-суп из брокколи</v>
      </c>
      <c r="F136" s="1151">
        <v>0.0</v>
      </c>
      <c r="G136" s="1173"/>
      <c r="H136" s="1151">
        <v>2.0</v>
      </c>
      <c r="I136" s="1173"/>
      <c r="J136" s="1151">
        <v>3.0</v>
      </c>
      <c r="K136" s="1173"/>
      <c r="L136" s="1151">
        <v>2.0</v>
      </c>
      <c r="M136" s="1173"/>
      <c r="N136" s="1151">
        <v>2.0</v>
      </c>
      <c r="O136" s="1173"/>
      <c r="P136" s="1769">
        <v>0.0</v>
      </c>
      <c r="Q136" s="1173"/>
      <c r="R136" s="1151">
        <v>0.0</v>
      </c>
      <c r="S136" s="1135"/>
      <c r="T136" s="1769">
        <v>2.0</v>
      </c>
      <c r="U136" s="1135"/>
      <c r="V136" s="1769">
        <v>1.0</v>
      </c>
      <c r="W136" s="1135"/>
      <c r="X136" s="1769">
        <v>1.0</v>
      </c>
      <c r="Y136" s="1135"/>
      <c r="Z136" s="1769"/>
      <c r="AA136" s="1135"/>
      <c r="AB136" s="1760">
        <v>2.0</v>
      </c>
      <c r="AC136" s="1135"/>
      <c r="AD136" s="1760">
        <v>2.0</v>
      </c>
      <c r="AE136" s="1135"/>
      <c r="AF136" s="1769">
        <v>3.0</v>
      </c>
      <c r="AG136" s="1135"/>
      <c r="AH136" s="1769">
        <v>1.0</v>
      </c>
      <c r="AI136" s="1135"/>
      <c r="AJ136" s="1769">
        <v>1.0</v>
      </c>
      <c r="AK136" s="1173"/>
      <c r="AL136" s="1151">
        <v>0.0</v>
      </c>
      <c r="AM136" s="1173"/>
      <c r="AN136" s="1760">
        <v>2.0</v>
      </c>
      <c r="AO136" s="1173"/>
      <c r="AP136" s="1151">
        <v>2.0</v>
      </c>
      <c r="AQ136" s="1173"/>
      <c r="AR136" s="1151">
        <v>1.0</v>
      </c>
      <c r="AS136" s="1173"/>
      <c r="AT136" s="1151">
        <v>1.0</v>
      </c>
      <c r="AU136" s="1173"/>
      <c r="AV136" s="1151">
        <v>0.0</v>
      </c>
      <c r="AW136" s="1173"/>
      <c r="AX136" s="1151">
        <v>1.0</v>
      </c>
      <c r="AY136" s="1173"/>
      <c r="AZ136" s="1126">
        <v>1.0</v>
      </c>
      <c r="BA136" s="1173"/>
      <c r="BB136" s="1151">
        <v>1.0</v>
      </c>
      <c r="BC136" s="1173"/>
      <c r="BD136" s="1151">
        <v>1.0</v>
      </c>
      <c r="BE136" s="1173"/>
      <c r="BF136" s="1151">
        <v>1.0</v>
      </c>
      <c r="BG136" s="1173"/>
      <c r="BH136" s="1151">
        <v>1.0</v>
      </c>
      <c r="BI136" s="1173"/>
      <c r="BJ136" s="1126">
        <v>2.0</v>
      </c>
      <c r="BK136" s="1138"/>
      <c r="BL136" s="1951"/>
      <c r="BM136" s="1653"/>
      <c r="BN136" s="1785"/>
      <c r="BO136" s="1653"/>
      <c r="BP136" s="783">
        <f t="shared" si="78"/>
        <v>37</v>
      </c>
      <c r="BQ136" s="1571">
        <f t="shared" si="79"/>
        <v>0</v>
      </c>
      <c r="BR136" s="1572">
        <f t="shared" si="81"/>
        <v>0</v>
      </c>
      <c r="BS136" s="784">
        <f t="shared" si="80"/>
        <v>5143</v>
      </c>
      <c r="BT136" s="1545"/>
    </row>
    <row r="137" ht="19.5" customHeight="1">
      <c r="A137" s="1565"/>
      <c r="B137" s="1566">
        <v>761.0</v>
      </c>
      <c r="C137" s="1567">
        <v>238.0</v>
      </c>
      <c r="D137" s="1568" t="s">
        <v>77</v>
      </c>
      <c r="E137" s="1569" t="str">
        <f>'Матрица 4 недели'!M22</f>
        <v>Бризоль с рисом и овощами</v>
      </c>
      <c r="F137" s="1137">
        <v>7.0</v>
      </c>
      <c r="G137" s="1121"/>
      <c r="H137" s="1126">
        <v>3.0</v>
      </c>
      <c r="I137" s="1121"/>
      <c r="J137" s="1126">
        <v>2.0</v>
      </c>
      <c r="K137" s="1121"/>
      <c r="L137" s="1126">
        <v>4.0</v>
      </c>
      <c r="M137" s="1121"/>
      <c r="N137" s="1126">
        <v>7.0</v>
      </c>
      <c r="O137" s="1121"/>
      <c r="P137" s="1126">
        <v>6.0</v>
      </c>
      <c r="Q137" s="1121"/>
      <c r="R137" s="1126">
        <v>3.0</v>
      </c>
      <c r="S137" s="1121"/>
      <c r="T137" s="1126">
        <v>5.0</v>
      </c>
      <c r="U137" s="1138"/>
      <c r="V137" s="1137">
        <v>9.0</v>
      </c>
      <c r="W137" s="1138"/>
      <c r="X137" s="1137">
        <v>2.0</v>
      </c>
      <c r="Y137" s="1138"/>
      <c r="Z137" s="1126"/>
      <c r="AA137" s="1138"/>
      <c r="AB137" s="1126">
        <v>3.0</v>
      </c>
      <c r="AC137" s="1138"/>
      <c r="AD137" s="1137">
        <v>4.0</v>
      </c>
      <c r="AE137" s="1138"/>
      <c r="AF137" s="1126">
        <v>8.0</v>
      </c>
      <c r="AG137" s="1138"/>
      <c r="AH137" s="1120">
        <v>8.0</v>
      </c>
      <c r="AI137" s="1138"/>
      <c r="AJ137" s="1120">
        <v>8.0</v>
      </c>
      <c r="AK137" s="1138"/>
      <c r="AL137" s="1126">
        <v>2.0</v>
      </c>
      <c r="AM137" s="1138"/>
      <c r="AN137" s="1126">
        <v>0.0</v>
      </c>
      <c r="AO137" s="1138"/>
      <c r="AP137" s="1137">
        <v>0.0</v>
      </c>
      <c r="AQ137" s="1138"/>
      <c r="AR137" s="1137">
        <v>2.0</v>
      </c>
      <c r="AS137" s="1138"/>
      <c r="AT137" s="1126">
        <v>4.0</v>
      </c>
      <c r="AU137" s="1138"/>
      <c r="AV137" s="1126">
        <v>3.0</v>
      </c>
      <c r="AW137" s="1138"/>
      <c r="AX137" s="1126">
        <v>3.0</v>
      </c>
      <c r="AY137" s="1138"/>
      <c r="AZ137" s="1126">
        <v>5.0</v>
      </c>
      <c r="BA137" s="1138"/>
      <c r="BB137" s="1126">
        <v>2.0</v>
      </c>
      <c r="BC137" s="1138"/>
      <c r="BD137" s="1126">
        <v>3.0</v>
      </c>
      <c r="BE137" s="1138"/>
      <c r="BF137" s="1126">
        <v>6.0</v>
      </c>
      <c r="BG137" s="1138"/>
      <c r="BH137" s="1126">
        <v>4.0</v>
      </c>
      <c r="BI137" s="1138"/>
      <c r="BJ137" s="1126">
        <v>3.0</v>
      </c>
      <c r="BK137" s="1138"/>
      <c r="BL137" s="1951"/>
      <c r="BM137" s="1138"/>
      <c r="BN137" s="1087">
        <v>10.0</v>
      </c>
      <c r="BO137" s="1138"/>
      <c r="BP137" s="783">
        <f t="shared" si="78"/>
        <v>117</v>
      </c>
      <c r="BQ137" s="1571">
        <f t="shared" si="79"/>
        <v>0</v>
      </c>
      <c r="BR137" s="1572">
        <f t="shared" si="81"/>
        <v>0</v>
      </c>
      <c r="BS137" s="784">
        <f t="shared" si="80"/>
        <v>27846</v>
      </c>
      <c r="BT137" s="1545"/>
    </row>
    <row r="138" ht="19.5" customHeight="1">
      <c r="A138" s="1565"/>
      <c r="B138" s="1566">
        <v>4172.0</v>
      </c>
      <c r="C138" s="1567">
        <v>210.0</v>
      </c>
      <c r="D138" s="1568" t="s">
        <v>77</v>
      </c>
      <c r="E138" s="1587" t="str">
        <f>'Матрица 4 недели'!M23</f>
        <v>Свинина в соусе тонкацу со спагетти </v>
      </c>
      <c r="F138" s="1120">
        <v>2.0</v>
      </c>
      <c r="G138" s="1121"/>
      <c r="H138" s="1120">
        <v>2.0</v>
      </c>
      <c r="I138" s="1121"/>
      <c r="J138" s="1126">
        <v>4.0</v>
      </c>
      <c r="K138" s="1121"/>
      <c r="L138" s="1126">
        <v>3.0</v>
      </c>
      <c r="M138" s="1121"/>
      <c r="N138" s="1120">
        <v>6.0</v>
      </c>
      <c r="O138" s="1121"/>
      <c r="P138" s="1120">
        <v>3.0</v>
      </c>
      <c r="Q138" s="1121"/>
      <c r="R138" s="1120">
        <v>2.0</v>
      </c>
      <c r="S138" s="1121"/>
      <c r="T138" s="1120">
        <v>4.0</v>
      </c>
      <c r="U138" s="1121"/>
      <c r="V138" s="1120">
        <v>2.0</v>
      </c>
      <c r="W138" s="1121"/>
      <c r="X138" s="1120">
        <v>1.0</v>
      </c>
      <c r="Y138" s="1121"/>
      <c r="Z138" s="1126"/>
      <c r="AA138" s="1121"/>
      <c r="AB138" s="1126">
        <v>1.0</v>
      </c>
      <c r="AC138" s="1121"/>
      <c r="AD138" s="1120">
        <v>2.0</v>
      </c>
      <c r="AE138" s="1121"/>
      <c r="AF138" s="1126">
        <v>1.0</v>
      </c>
      <c r="AG138" s="1121"/>
      <c r="AH138" s="1120">
        <v>2.0</v>
      </c>
      <c r="AI138" s="1121"/>
      <c r="AJ138" s="1120">
        <v>2.0</v>
      </c>
      <c r="AK138" s="1121"/>
      <c r="AL138" s="1126">
        <v>1.0</v>
      </c>
      <c r="AM138" s="1121"/>
      <c r="AN138" s="1126">
        <v>0.0</v>
      </c>
      <c r="AO138" s="1131"/>
      <c r="AP138" s="1120">
        <v>2.0</v>
      </c>
      <c r="AQ138" s="1131"/>
      <c r="AR138" s="1137">
        <v>3.0</v>
      </c>
      <c r="AS138" s="1138"/>
      <c r="AT138" s="1120">
        <v>3.0</v>
      </c>
      <c r="AU138" s="1138"/>
      <c r="AV138" s="1126">
        <v>3.0</v>
      </c>
      <c r="AW138" s="1138"/>
      <c r="AX138" s="1126">
        <v>2.0</v>
      </c>
      <c r="AY138" s="1138"/>
      <c r="AZ138" s="1126">
        <v>0.0</v>
      </c>
      <c r="BA138" s="1138"/>
      <c r="BB138" s="1126">
        <v>2.0</v>
      </c>
      <c r="BC138" s="1138"/>
      <c r="BD138" s="1126">
        <v>2.0</v>
      </c>
      <c r="BE138" s="1138"/>
      <c r="BF138" s="1126">
        <v>2.0</v>
      </c>
      <c r="BG138" s="1138"/>
      <c r="BH138" s="1126">
        <v>1.0</v>
      </c>
      <c r="BI138" s="1138"/>
      <c r="BJ138" s="1126">
        <v>2.0</v>
      </c>
      <c r="BK138" s="1138"/>
      <c r="BL138" s="1951"/>
      <c r="BM138" s="1138"/>
      <c r="BN138" s="1087"/>
      <c r="BO138" s="1138"/>
      <c r="BP138" s="783">
        <f t="shared" si="78"/>
        <v>61</v>
      </c>
      <c r="BQ138" s="1571">
        <f t="shared" si="79"/>
        <v>0</v>
      </c>
      <c r="BR138" s="1572">
        <f t="shared" si="81"/>
        <v>0</v>
      </c>
      <c r="BS138" s="784">
        <f t="shared" si="80"/>
        <v>12810</v>
      </c>
      <c r="BT138" s="1545"/>
    </row>
    <row r="139" ht="19.5" customHeight="1">
      <c r="A139" s="1565"/>
      <c r="B139" s="1566">
        <v>4237.0</v>
      </c>
      <c r="C139" s="1567">
        <v>210.0</v>
      </c>
      <c r="D139" s="1568" t="s">
        <v>77</v>
      </c>
      <c r="E139" s="1587" t="str">
        <f>'Матрица 4 недели'!M24</f>
        <v>Свинина в соусе тонкацу с картофелем </v>
      </c>
      <c r="F139" s="1137"/>
      <c r="G139" s="1138"/>
      <c r="H139" s="1126"/>
      <c r="I139" s="1138"/>
      <c r="J139" s="1126"/>
      <c r="K139" s="1138"/>
      <c r="L139" s="1126"/>
      <c r="M139" s="1138"/>
      <c r="N139" s="1126"/>
      <c r="O139" s="1138"/>
      <c r="P139" s="1126"/>
      <c r="Q139" s="1121"/>
      <c r="R139" s="1120"/>
      <c r="S139" s="1121"/>
      <c r="T139" s="1137"/>
      <c r="U139" s="1121"/>
      <c r="V139" s="1137"/>
      <c r="W139" s="1121"/>
      <c r="X139" s="1137"/>
      <c r="Y139" s="1121"/>
      <c r="Z139" s="1126"/>
      <c r="AA139" s="1121"/>
      <c r="AB139" s="1120"/>
      <c r="AC139" s="1121"/>
      <c r="AD139" s="1120"/>
      <c r="AE139" s="1121"/>
      <c r="AF139" s="1137"/>
      <c r="AG139" s="1121"/>
      <c r="AH139" s="1120"/>
      <c r="AI139" s="1121"/>
      <c r="AJ139" s="1120"/>
      <c r="AK139" s="1121"/>
      <c r="AL139" s="1126"/>
      <c r="AM139" s="1121"/>
      <c r="AN139" s="1137"/>
      <c r="AO139" s="1138"/>
      <c r="AP139" s="1137"/>
      <c r="AQ139" s="1138"/>
      <c r="AR139" s="1137"/>
      <c r="AS139" s="1138"/>
      <c r="AT139" s="1126"/>
      <c r="AU139" s="1138"/>
      <c r="AV139" s="1126"/>
      <c r="AW139" s="1138"/>
      <c r="AX139" s="1126"/>
      <c r="AY139" s="1138"/>
      <c r="AZ139" s="1126"/>
      <c r="BA139" s="1138"/>
      <c r="BB139" s="1126"/>
      <c r="BC139" s="1138"/>
      <c r="BD139" s="1126"/>
      <c r="BE139" s="1138"/>
      <c r="BF139" s="1126"/>
      <c r="BG139" s="1138"/>
      <c r="BH139" s="1126"/>
      <c r="BI139" s="1138"/>
      <c r="BJ139" s="1126"/>
      <c r="BK139" s="1121"/>
      <c r="BL139" s="1152">
        <v>70.0</v>
      </c>
      <c r="BM139" s="1653"/>
      <c r="BN139" s="1785"/>
      <c r="BO139" s="1653"/>
      <c r="BP139" s="783">
        <f t="shared" si="78"/>
        <v>71</v>
      </c>
      <c r="BQ139" s="1571">
        <f t="shared" si="79"/>
        <v>0</v>
      </c>
      <c r="BR139" s="1572">
        <f t="shared" si="81"/>
        <v>0</v>
      </c>
      <c r="BS139" s="784">
        <f t="shared" si="80"/>
        <v>14910</v>
      </c>
      <c r="BT139" s="1545"/>
    </row>
    <row r="140" ht="19.5" customHeight="1">
      <c r="A140" s="1565"/>
      <c r="B140" s="1566">
        <v>3437.0</v>
      </c>
      <c r="C140" s="1567">
        <v>198.0</v>
      </c>
      <c r="D140" s="1568" t="s">
        <v>77</v>
      </c>
      <c r="E140" s="1628" t="str">
        <f>'Матрица 4 недели'!M25</f>
        <v>Макароны по-флотски</v>
      </c>
      <c r="F140" s="1137">
        <v>9.0</v>
      </c>
      <c r="G140" s="1121"/>
      <c r="H140" s="1126">
        <v>2.0</v>
      </c>
      <c r="I140" s="1121"/>
      <c r="J140" s="1126">
        <v>3.0</v>
      </c>
      <c r="K140" s="1600"/>
      <c r="L140" s="1161">
        <v>4.0</v>
      </c>
      <c r="M140" s="1600"/>
      <c r="N140" s="1126">
        <v>4.0</v>
      </c>
      <c r="O140" s="1121"/>
      <c r="P140" s="1126">
        <v>11.0</v>
      </c>
      <c r="Q140" s="1121"/>
      <c r="R140" s="1126">
        <v>0.0</v>
      </c>
      <c r="S140" s="1121"/>
      <c r="T140" s="1126">
        <v>2.0</v>
      </c>
      <c r="U140" s="1138"/>
      <c r="V140" s="1137">
        <v>3.0</v>
      </c>
      <c r="W140" s="1138"/>
      <c r="X140" s="1137">
        <v>2.0</v>
      </c>
      <c r="Y140" s="1138"/>
      <c r="Z140" s="1137"/>
      <c r="AA140" s="1138"/>
      <c r="AB140" s="1126">
        <v>0.0</v>
      </c>
      <c r="AC140" s="1138"/>
      <c r="AD140" s="1137">
        <v>2.0</v>
      </c>
      <c r="AE140" s="1138"/>
      <c r="AF140" s="1126">
        <v>3.0</v>
      </c>
      <c r="AG140" s="1138"/>
      <c r="AH140" s="1137">
        <v>2.0</v>
      </c>
      <c r="AI140" s="1138"/>
      <c r="AJ140" s="1137">
        <v>2.0</v>
      </c>
      <c r="AK140" s="1138"/>
      <c r="AL140" s="1126">
        <v>2.0</v>
      </c>
      <c r="AM140" s="1138"/>
      <c r="AN140" s="1126">
        <v>0.0</v>
      </c>
      <c r="AO140" s="1131"/>
      <c r="AP140" s="1120">
        <v>0.0</v>
      </c>
      <c r="AQ140" s="1131"/>
      <c r="AR140" s="1137">
        <v>5.0</v>
      </c>
      <c r="AS140" s="1138"/>
      <c r="AT140" s="1126">
        <v>5.0</v>
      </c>
      <c r="AU140" s="1138"/>
      <c r="AV140" s="1126">
        <v>2.0</v>
      </c>
      <c r="AW140" s="1138"/>
      <c r="AX140" s="1126">
        <v>1.0</v>
      </c>
      <c r="AY140" s="1138"/>
      <c r="AZ140" s="1126">
        <v>5.0</v>
      </c>
      <c r="BA140" s="1138"/>
      <c r="BB140" s="1126">
        <v>1.0</v>
      </c>
      <c r="BC140" s="1127"/>
      <c r="BD140" s="1126">
        <v>1.0</v>
      </c>
      <c r="BE140" s="1127"/>
      <c r="BF140" s="1126">
        <v>5.0</v>
      </c>
      <c r="BG140" s="1127"/>
      <c r="BH140" s="1126">
        <v>3.0</v>
      </c>
      <c r="BI140" s="1127"/>
      <c r="BJ140" s="1126">
        <v>1.0</v>
      </c>
      <c r="BK140" s="1127"/>
      <c r="BL140" s="1152">
        <v>30.0</v>
      </c>
      <c r="BM140" s="1784"/>
      <c r="BN140" s="1785">
        <v>10.0</v>
      </c>
      <c r="BO140" s="1784"/>
      <c r="BP140" s="783">
        <f t="shared" si="78"/>
        <v>111</v>
      </c>
      <c r="BQ140" s="1571">
        <f t="shared" si="79"/>
        <v>0</v>
      </c>
      <c r="BR140" s="1572">
        <f t="shared" si="81"/>
        <v>0</v>
      </c>
      <c r="BS140" s="784">
        <f t="shared" si="80"/>
        <v>21978</v>
      </c>
      <c r="BT140" s="1545"/>
    </row>
    <row r="141" ht="19.5" customHeight="1">
      <c r="A141" s="1565"/>
      <c r="B141" s="1566">
        <v>763.0</v>
      </c>
      <c r="C141" s="1567">
        <v>208.0</v>
      </c>
      <c r="D141" s="1568" t="s">
        <v>77</v>
      </c>
      <c r="E141" s="1628" t="str">
        <f>'Матрица 4 недели'!M26</f>
        <v>Котлета куриная с картофельным пюре</v>
      </c>
      <c r="F141" s="1137"/>
      <c r="G141" s="1121"/>
      <c r="H141" s="1126"/>
      <c r="I141" s="1121"/>
      <c r="J141" s="1126"/>
      <c r="K141" s="1121"/>
      <c r="L141" s="1126"/>
      <c r="M141" s="1121"/>
      <c r="N141" s="1126"/>
      <c r="O141" s="1121"/>
      <c r="P141" s="1126"/>
      <c r="Q141" s="1121"/>
      <c r="R141" s="1126"/>
      <c r="S141" s="1121"/>
      <c r="T141" s="1126"/>
      <c r="U141" s="1138"/>
      <c r="V141" s="1137"/>
      <c r="W141" s="1138"/>
      <c r="X141" s="1137"/>
      <c r="Y141" s="1138"/>
      <c r="Z141" s="1126"/>
      <c r="AA141" s="1138"/>
      <c r="AB141" s="1126"/>
      <c r="AC141" s="1138"/>
      <c r="AD141" s="1137"/>
      <c r="AE141" s="1138"/>
      <c r="AF141" s="1126"/>
      <c r="AG141" s="1138"/>
      <c r="AH141" s="1120"/>
      <c r="AI141" s="1138"/>
      <c r="AJ141" s="1120"/>
      <c r="AK141" s="1138"/>
      <c r="AL141" s="1126"/>
      <c r="AM141" s="1138"/>
      <c r="AN141" s="1126"/>
      <c r="AO141" s="1138"/>
      <c r="AP141" s="1137"/>
      <c r="AQ141" s="1138"/>
      <c r="AR141" s="1137"/>
      <c r="AS141" s="1138"/>
      <c r="AT141" s="1126"/>
      <c r="AU141" s="1138"/>
      <c r="AV141" s="1126"/>
      <c r="AW141" s="1138"/>
      <c r="AX141" s="1126"/>
      <c r="AY141" s="1138"/>
      <c r="AZ141" s="1126"/>
      <c r="BA141" s="1138"/>
      <c r="BB141" s="1126"/>
      <c r="BC141" s="1138"/>
      <c r="BD141" s="1126"/>
      <c r="BE141" s="1138"/>
      <c r="BF141" s="1126"/>
      <c r="BG141" s="1138"/>
      <c r="BH141" s="1126"/>
      <c r="BI141" s="1138"/>
      <c r="BJ141" s="1126"/>
      <c r="BK141" s="1138"/>
      <c r="BL141" s="1152">
        <v>30.0</v>
      </c>
      <c r="BM141" s="1784"/>
      <c r="BN141" s="1785">
        <v>10.0</v>
      </c>
      <c r="BO141" s="1784"/>
      <c r="BP141" s="783">
        <f t="shared" si="78"/>
        <v>31</v>
      </c>
      <c r="BQ141" s="1571">
        <f t="shared" si="79"/>
        <v>0</v>
      </c>
      <c r="BR141" s="1572">
        <f t="shared" si="81"/>
        <v>0</v>
      </c>
      <c r="BS141" s="784">
        <f t="shared" si="80"/>
        <v>6448</v>
      </c>
      <c r="BT141" s="1545"/>
    </row>
    <row r="142" ht="19.5" customHeight="1">
      <c r="A142" s="1565"/>
      <c r="B142" s="1566">
        <v>18.0</v>
      </c>
      <c r="C142" s="1567">
        <v>252.0</v>
      </c>
      <c r="D142" s="1568" t="s">
        <v>77</v>
      </c>
      <c r="E142" s="1628" t="str">
        <f>'Матрица 4 недели'!M27</f>
        <v>Лазанья из кабачка с курицей</v>
      </c>
      <c r="F142" s="1120">
        <v>10.0</v>
      </c>
      <c r="G142" s="1121"/>
      <c r="H142" s="1120">
        <v>2.0</v>
      </c>
      <c r="I142" s="1121"/>
      <c r="J142" s="1126">
        <v>2.0</v>
      </c>
      <c r="K142" s="1121"/>
      <c r="L142" s="1126">
        <v>4.0</v>
      </c>
      <c r="M142" s="1121"/>
      <c r="N142" s="1120">
        <v>6.0</v>
      </c>
      <c r="O142" s="1121"/>
      <c r="P142" s="1120">
        <v>3.0</v>
      </c>
      <c r="Q142" s="1121"/>
      <c r="R142" s="1120">
        <v>2.0</v>
      </c>
      <c r="S142" s="1121"/>
      <c r="T142" s="1120">
        <v>3.0</v>
      </c>
      <c r="U142" s="1121"/>
      <c r="V142" s="1120">
        <v>5.0</v>
      </c>
      <c r="W142" s="1121"/>
      <c r="X142" s="1120">
        <v>1.0</v>
      </c>
      <c r="Y142" s="1121"/>
      <c r="Z142" s="1126"/>
      <c r="AA142" s="1121"/>
      <c r="AB142" s="1126">
        <v>4.0</v>
      </c>
      <c r="AC142" s="1127"/>
      <c r="AD142" s="1120">
        <v>4.0</v>
      </c>
      <c r="AE142" s="1127"/>
      <c r="AF142" s="1126">
        <v>2.0</v>
      </c>
      <c r="AG142" s="1127"/>
      <c r="AH142" s="1120">
        <v>5.0</v>
      </c>
      <c r="AI142" s="1127"/>
      <c r="AJ142" s="1120">
        <v>4.0</v>
      </c>
      <c r="AK142" s="1127"/>
      <c r="AL142" s="1126">
        <v>1.0</v>
      </c>
      <c r="AM142" s="1121"/>
      <c r="AN142" s="1126">
        <v>0.0</v>
      </c>
      <c r="AO142" s="1131"/>
      <c r="AP142" s="1120">
        <v>3.0</v>
      </c>
      <c r="AQ142" s="1131"/>
      <c r="AR142" s="1120">
        <v>6.0</v>
      </c>
      <c r="AS142" s="1121"/>
      <c r="AT142" s="1120">
        <v>3.0</v>
      </c>
      <c r="AU142" s="1121"/>
      <c r="AV142" s="1126">
        <v>3.0</v>
      </c>
      <c r="AW142" s="1121"/>
      <c r="AX142" s="1126">
        <v>2.0</v>
      </c>
      <c r="AY142" s="1121"/>
      <c r="AZ142" s="1126">
        <v>1.0</v>
      </c>
      <c r="BA142" s="1121"/>
      <c r="BB142" s="1126">
        <v>2.0</v>
      </c>
      <c r="BC142" s="1121"/>
      <c r="BD142" s="1126">
        <v>0.0</v>
      </c>
      <c r="BE142" s="1121"/>
      <c r="BF142" s="1126">
        <v>6.0</v>
      </c>
      <c r="BG142" s="1121"/>
      <c r="BH142" s="1126">
        <v>0.0</v>
      </c>
      <c r="BI142" s="1121"/>
      <c r="BJ142" s="1126">
        <v>2.0</v>
      </c>
      <c r="BK142" s="1621"/>
      <c r="BL142" s="1152"/>
      <c r="BM142" s="1784"/>
      <c r="BN142" s="1785">
        <v>10.0</v>
      </c>
      <c r="BO142" s="1784"/>
      <c r="BP142" s="783">
        <f t="shared" si="78"/>
        <v>87</v>
      </c>
      <c r="BQ142" s="1571">
        <f t="shared" si="79"/>
        <v>0</v>
      </c>
      <c r="BR142" s="1572">
        <f t="shared" si="81"/>
        <v>0</v>
      </c>
      <c r="BS142" s="784">
        <f t="shared" si="80"/>
        <v>21924</v>
      </c>
      <c r="BT142" s="1545"/>
    </row>
    <row r="143" ht="19.5" customHeight="1">
      <c r="A143" s="1565"/>
      <c r="B143" s="1566">
        <v>4017.0</v>
      </c>
      <c r="C143" s="1567">
        <v>248.0</v>
      </c>
      <c r="D143" s="1568" t="s">
        <v>537</v>
      </c>
      <c r="E143" s="1628" t="str">
        <f>'Матрица 4 недели'!M28</f>
        <v>Удон с курицей в азиатском соусе </v>
      </c>
      <c r="F143" s="1137">
        <v>6.0</v>
      </c>
      <c r="G143" s="1138"/>
      <c r="H143" s="1126">
        <v>0.0</v>
      </c>
      <c r="I143" s="1140"/>
      <c r="J143" s="1126">
        <v>5.0</v>
      </c>
      <c r="K143" s="1138"/>
      <c r="L143" s="1126">
        <v>3.0</v>
      </c>
      <c r="M143" s="1138"/>
      <c r="N143" s="1126">
        <v>3.0</v>
      </c>
      <c r="O143" s="1138"/>
      <c r="P143" s="1126">
        <v>6.0</v>
      </c>
      <c r="Q143" s="1142"/>
      <c r="R143" s="1137">
        <v>4.0</v>
      </c>
      <c r="S143" s="1121"/>
      <c r="T143" s="1137">
        <v>3.0</v>
      </c>
      <c r="U143" s="1121"/>
      <c r="V143" s="1137">
        <v>4.0</v>
      </c>
      <c r="W143" s="1121"/>
      <c r="X143" s="1137">
        <v>4.0</v>
      </c>
      <c r="Y143" s="1121"/>
      <c r="Z143" s="1120"/>
      <c r="AA143" s="1121"/>
      <c r="AB143" s="1120">
        <v>3.0</v>
      </c>
      <c r="AC143" s="1121"/>
      <c r="AD143" s="1120">
        <v>1.0</v>
      </c>
      <c r="AE143" s="1121"/>
      <c r="AF143" s="1137">
        <v>4.0</v>
      </c>
      <c r="AG143" s="1121"/>
      <c r="AH143" s="1120">
        <v>6.0</v>
      </c>
      <c r="AI143" s="1121"/>
      <c r="AJ143" s="1120">
        <v>2.0</v>
      </c>
      <c r="AK143" s="1121"/>
      <c r="AL143" s="1120">
        <v>3.0</v>
      </c>
      <c r="AM143" s="1121"/>
      <c r="AN143" s="1137">
        <v>0.0</v>
      </c>
      <c r="AO143" s="1138"/>
      <c r="AP143" s="1126">
        <v>2.0</v>
      </c>
      <c r="AQ143" s="1138"/>
      <c r="AR143" s="1137">
        <v>7.0</v>
      </c>
      <c r="AS143" s="1138"/>
      <c r="AT143" s="1126">
        <v>6.0</v>
      </c>
      <c r="AU143" s="1138"/>
      <c r="AV143" s="1126">
        <v>6.0</v>
      </c>
      <c r="AW143" s="1138"/>
      <c r="AX143" s="1126">
        <v>5.0</v>
      </c>
      <c r="AY143" s="1138"/>
      <c r="AZ143" s="1126">
        <v>1.0</v>
      </c>
      <c r="BA143" s="1138"/>
      <c r="BB143" s="1126">
        <v>2.0</v>
      </c>
      <c r="BC143" s="1138"/>
      <c r="BD143" s="1126">
        <v>0.0</v>
      </c>
      <c r="BE143" s="1138"/>
      <c r="BF143" s="1126">
        <v>6.0</v>
      </c>
      <c r="BG143" s="1138"/>
      <c r="BH143" s="1126">
        <v>2.0</v>
      </c>
      <c r="BI143" s="1138"/>
      <c r="BJ143" s="1126">
        <v>2.0</v>
      </c>
      <c r="BK143" s="1138"/>
      <c r="BL143" s="1152"/>
      <c r="BM143" s="1784"/>
      <c r="BN143" s="1785"/>
      <c r="BO143" s="1784"/>
      <c r="BP143" s="783">
        <f t="shared" si="78"/>
        <v>97</v>
      </c>
      <c r="BQ143" s="1589">
        <f t="shared" si="79"/>
        <v>0</v>
      </c>
      <c r="BR143" s="1572">
        <f t="shared" si="81"/>
        <v>0</v>
      </c>
      <c r="BS143" s="784">
        <f t="shared" si="80"/>
        <v>24056</v>
      </c>
      <c r="BT143" s="1545"/>
    </row>
    <row r="144" ht="19.5" customHeight="1">
      <c r="A144" s="1565"/>
      <c r="B144" s="1566"/>
      <c r="C144" s="1567"/>
      <c r="D144" s="1568"/>
      <c r="E144" s="1954"/>
      <c r="F144" s="1126"/>
      <c r="G144" s="1138"/>
      <c r="H144" s="1126"/>
      <c r="I144" s="1138"/>
      <c r="J144" s="1126"/>
      <c r="K144" s="1138"/>
      <c r="L144" s="1126"/>
      <c r="M144" s="1138"/>
      <c r="N144" s="1126"/>
      <c r="O144" s="1138"/>
      <c r="P144" s="1126"/>
      <c r="Q144" s="1138"/>
      <c r="R144" s="1120"/>
      <c r="S144" s="1138"/>
      <c r="T144" s="1137"/>
      <c r="U144" s="1138"/>
      <c r="V144" s="1137"/>
      <c r="W144" s="1138"/>
      <c r="X144" s="1137"/>
      <c r="Y144" s="1138"/>
      <c r="Z144" s="1126"/>
      <c r="AA144" s="1138"/>
      <c r="AB144" s="1120"/>
      <c r="AC144" s="1138"/>
      <c r="AD144" s="1137"/>
      <c r="AE144" s="1138"/>
      <c r="AF144" s="1137"/>
      <c r="AG144" s="1121"/>
      <c r="AH144" s="1120"/>
      <c r="AI144" s="1121"/>
      <c r="AJ144" s="1120"/>
      <c r="AK144" s="1121"/>
      <c r="AL144" s="1126"/>
      <c r="AM144" s="1121"/>
      <c r="AN144" s="1137"/>
      <c r="AO144" s="1121"/>
      <c r="AP144" s="1137"/>
      <c r="AQ144" s="1121"/>
      <c r="AR144" s="1137"/>
      <c r="AS144" s="1138"/>
      <c r="AT144" s="1126"/>
      <c r="AU144" s="1138"/>
      <c r="AV144" s="1126"/>
      <c r="AW144" s="1138"/>
      <c r="AX144" s="1126"/>
      <c r="AY144" s="1138"/>
      <c r="AZ144" s="1126"/>
      <c r="BA144" s="1138"/>
      <c r="BB144" s="1126"/>
      <c r="BC144" s="1138"/>
      <c r="BD144" s="1126"/>
      <c r="BE144" s="1138"/>
      <c r="BF144" s="1126"/>
      <c r="BG144" s="1138"/>
      <c r="BH144" s="1126"/>
      <c r="BI144" s="1138"/>
      <c r="BJ144" s="1126"/>
      <c r="BK144" s="1138"/>
      <c r="BL144" s="1152">
        <v>10.0</v>
      </c>
      <c r="BM144" s="1087"/>
      <c r="BN144" s="1087"/>
      <c r="BO144" s="1138"/>
      <c r="BP144" s="783">
        <f t="shared" si="78"/>
        <v>11</v>
      </c>
      <c r="BQ144" s="1571">
        <f t="shared" si="79"/>
        <v>0</v>
      </c>
      <c r="BR144" s="1572">
        <f t="shared" si="81"/>
        <v>0</v>
      </c>
      <c r="BS144" s="784">
        <f t="shared" si="80"/>
        <v>0</v>
      </c>
      <c r="BT144" s="1545"/>
    </row>
    <row r="145" ht="19.5" customHeight="1">
      <c r="A145" s="1565"/>
      <c r="B145" s="1566">
        <v>3486.0</v>
      </c>
      <c r="C145" s="1567">
        <v>175.0</v>
      </c>
      <c r="D145" s="1568" t="s">
        <v>79</v>
      </c>
      <c r="E145" s="1628" t="str">
        <f>'Матрица 4 недели'!S22</f>
        <v>Сэндвич с курицей и соусом карри</v>
      </c>
      <c r="F145" s="1126">
        <v>12.0</v>
      </c>
      <c r="G145" s="1138"/>
      <c r="H145" s="1126">
        <v>2.0</v>
      </c>
      <c r="I145" s="1138"/>
      <c r="J145" s="1126">
        <v>2.0</v>
      </c>
      <c r="K145" s="1138"/>
      <c r="L145" s="1126">
        <v>3.0</v>
      </c>
      <c r="M145" s="1138"/>
      <c r="N145" s="1126">
        <v>6.0</v>
      </c>
      <c r="O145" s="1138"/>
      <c r="P145" s="1120">
        <v>8.0</v>
      </c>
      <c r="Q145" s="1138"/>
      <c r="R145" s="1126">
        <v>0.0</v>
      </c>
      <c r="S145" s="1138"/>
      <c r="T145" s="1126">
        <v>4.0</v>
      </c>
      <c r="U145" s="1138"/>
      <c r="V145" s="1126">
        <v>6.0</v>
      </c>
      <c r="W145" s="1138"/>
      <c r="X145" s="1126">
        <v>7.0</v>
      </c>
      <c r="Y145" s="1138"/>
      <c r="Z145" s="1126"/>
      <c r="AA145" s="1138"/>
      <c r="AB145" s="1126">
        <v>5.0</v>
      </c>
      <c r="AC145" s="1138"/>
      <c r="AD145" s="1126">
        <v>3.0</v>
      </c>
      <c r="AE145" s="1138"/>
      <c r="AF145" s="1126">
        <v>3.0</v>
      </c>
      <c r="AG145" s="1138"/>
      <c r="AH145" s="1126">
        <v>4.0</v>
      </c>
      <c r="AI145" s="1138"/>
      <c r="AJ145" s="1126">
        <v>2.0</v>
      </c>
      <c r="AK145" s="1138"/>
      <c r="AL145" s="1126">
        <v>3.0</v>
      </c>
      <c r="AM145" s="1138"/>
      <c r="AN145" s="1126">
        <v>0.0</v>
      </c>
      <c r="AO145" s="1138"/>
      <c r="AP145" s="1126">
        <v>3.0</v>
      </c>
      <c r="AQ145" s="1138"/>
      <c r="AR145" s="1126">
        <v>6.0</v>
      </c>
      <c r="AS145" s="1138"/>
      <c r="AT145" s="1126">
        <v>2.0</v>
      </c>
      <c r="AU145" s="1138"/>
      <c r="AV145" s="1126">
        <v>4.0</v>
      </c>
      <c r="AW145" s="1138"/>
      <c r="AX145" s="1126">
        <v>7.0</v>
      </c>
      <c r="AY145" s="1138"/>
      <c r="AZ145" s="1126">
        <v>2.0</v>
      </c>
      <c r="BA145" s="1138"/>
      <c r="BB145" s="1126">
        <v>6.0</v>
      </c>
      <c r="BC145" s="1138"/>
      <c r="BD145" s="1126">
        <v>4.0</v>
      </c>
      <c r="BE145" s="1138"/>
      <c r="BF145" s="1126">
        <v>6.0</v>
      </c>
      <c r="BG145" s="1138"/>
      <c r="BH145" s="1126">
        <v>2.0</v>
      </c>
      <c r="BI145" s="1138"/>
      <c r="BJ145" s="1126">
        <v>3.0</v>
      </c>
      <c r="BK145" s="1138"/>
      <c r="BL145" s="1152"/>
      <c r="BM145" s="1784"/>
      <c r="BN145" s="1785"/>
      <c r="BO145" s="1784"/>
      <c r="BP145" s="783">
        <f t="shared" si="78"/>
        <v>116</v>
      </c>
      <c r="BQ145" s="1571">
        <f t="shared" si="79"/>
        <v>0</v>
      </c>
      <c r="BR145" s="1572">
        <f t="shared" si="81"/>
        <v>0</v>
      </c>
      <c r="BS145" s="784">
        <f t="shared" si="80"/>
        <v>20300</v>
      </c>
      <c r="BT145" s="1545"/>
    </row>
    <row r="146" ht="19.5" customHeight="1">
      <c r="A146" s="1565"/>
      <c r="B146" s="1566">
        <v>3140.0</v>
      </c>
      <c r="C146" s="1567">
        <v>165.0</v>
      </c>
      <c r="D146" s="1568" t="s">
        <v>79</v>
      </c>
      <c r="E146" s="1955" t="str">
        <f>'Матрица 4 недели'!S23</f>
        <v>Сэндвич ''Снежный краб'' с соусом спайси</v>
      </c>
      <c r="F146" s="1120">
        <v>3.0</v>
      </c>
      <c r="G146" s="1121"/>
      <c r="H146" s="1120">
        <v>4.0</v>
      </c>
      <c r="I146" s="1121"/>
      <c r="J146" s="1120">
        <v>2.0</v>
      </c>
      <c r="K146" s="1121"/>
      <c r="L146" s="1120">
        <v>3.0</v>
      </c>
      <c r="M146" s="1121"/>
      <c r="N146" s="1120">
        <v>6.0</v>
      </c>
      <c r="O146" s="1121"/>
      <c r="P146" s="1120">
        <v>5.0</v>
      </c>
      <c r="Q146" s="1121"/>
      <c r="R146" s="1120">
        <v>2.0</v>
      </c>
      <c r="S146" s="1121"/>
      <c r="T146" s="1120">
        <v>4.0</v>
      </c>
      <c r="U146" s="1121"/>
      <c r="V146" s="1120">
        <v>3.0</v>
      </c>
      <c r="W146" s="1121"/>
      <c r="X146" s="1120">
        <v>5.0</v>
      </c>
      <c r="Y146" s="1121"/>
      <c r="Z146" s="1126"/>
      <c r="AA146" s="1121"/>
      <c r="AB146" s="1120">
        <v>3.0</v>
      </c>
      <c r="AC146" s="1121"/>
      <c r="AD146" s="1120">
        <v>2.0</v>
      </c>
      <c r="AE146" s="1121"/>
      <c r="AF146" s="1120">
        <v>3.0</v>
      </c>
      <c r="AG146" s="1121"/>
      <c r="AH146" s="1120">
        <v>5.0</v>
      </c>
      <c r="AI146" s="1121"/>
      <c r="AJ146" s="1120">
        <v>2.0</v>
      </c>
      <c r="AK146" s="1121"/>
      <c r="AL146" s="1126">
        <v>2.0</v>
      </c>
      <c r="AM146" s="1121"/>
      <c r="AN146" s="1120">
        <v>0.0</v>
      </c>
      <c r="AO146" s="1138"/>
      <c r="AP146" s="1120">
        <v>3.0</v>
      </c>
      <c r="AQ146" s="1138"/>
      <c r="AR146" s="1120">
        <v>6.0</v>
      </c>
      <c r="AS146" s="1121"/>
      <c r="AT146" s="1120">
        <v>2.0</v>
      </c>
      <c r="AU146" s="1121"/>
      <c r="AV146" s="1126">
        <v>6.0</v>
      </c>
      <c r="AW146" s="1121"/>
      <c r="AX146" s="1126">
        <v>5.0</v>
      </c>
      <c r="AY146" s="1121"/>
      <c r="AZ146" s="1126">
        <v>3.0</v>
      </c>
      <c r="BA146" s="1121"/>
      <c r="BB146" s="1126">
        <v>3.0</v>
      </c>
      <c r="BC146" s="1121"/>
      <c r="BD146" s="1126">
        <v>1.0</v>
      </c>
      <c r="BE146" s="1121"/>
      <c r="BF146" s="1126">
        <v>3.0</v>
      </c>
      <c r="BG146" s="1121"/>
      <c r="BH146" s="1126">
        <v>2.0</v>
      </c>
      <c r="BI146" s="1121"/>
      <c r="BJ146" s="1126">
        <v>4.0</v>
      </c>
      <c r="BK146" s="1121"/>
      <c r="BL146" s="1152"/>
      <c r="BM146" s="1653"/>
      <c r="BN146" s="1785"/>
      <c r="BO146" s="1653"/>
      <c r="BP146" s="783">
        <f t="shared" si="78"/>
        <v>93</v>
      </c>
      <c r="BQ146" s="1571">
        <f t="shared" si="79"/>
        <v>0</v>
      </c>
      <c r="BR146" s="1572">
        <f t="shared" si="81"/>
        <v>0</v>
      </c>
      <c r="BS146" s="784">
        <f t="shared" si="80"/>
        <v>15345</v>
      </c>
      <c r="BT146" s="1545"/>
    </row>
    <row r="147" ht="19.5" customHeight="1">
      <c r="A147" s="1565"/>
      <c r="B147" s="1566">
        <v>2943.0</v>
      </c>
      <c r="C147" s="1567">
        <v>152.0</v>
      </c>
      <c r="D147" s="1568" t="s">
        <v>80</v>
      </c>
      <c r="E147" s="1590" t="str">
        <f>'Матрица 4 недели'!V22</f>
        <v>Онигири с куриным филе в соусе спайси</v>
      </c>
      <c r="F147" s="1120">
        <v>15.0</v>
      </c>
      <c r="G147" s="1121"/>
      <c r="H147" s="1120">
        <v>3.0</v>
      </c>
      <c r="I147" s="1121"/>
      <c r="J147" s="1120">
        <v>5.0</v>
      </c>
      <c r="K147" s="1138"/>
      <c r="L147" s="1120">
        <v>3.0</v>
      </c>
      <c r="M147" s="1138"/>
      <c r="N147" s="1120">
        <v>4.0</v>
      </c>
      <c r="O147" s="1138"/>
      <c r="P147" s="1120">
        <v>1.0</v>
      </c>
      <c r="Q147" s="1138"/>
      <c r="R147" s="1120">
        <v>0.0</v>
      </c>
      <c r="S147" s="1138"/>
      <c r="T147" s="1120">
        <v>2.0</v>
      </c>
      <c r="U147" s="1138"/>
      <c r="V147" s="1120">
        <v>2.0</v>
      </c>
      <c r="W147" s="1138"/>
      <c r="X147" s="1120">
        <v>2.0</v>
      </c>
      <c r="Y147" s="1138"/>
      <c r="Z147" s="1126"/>
      <c r="AA147" s="1138"/>
      <c r="AB147" s="1120">
        <v>3.0</v>
      </c>
      <c r="AC147" s="1138"/>
      <c r="AD147" s="1120">
        <v>1.0</v>
      </c>
      <c r="AE147" s="1138"/>
      <c r="AF147" s="1120">
        <v>2.0</v>
      </c>
      <c r="AG147" s="1138"/>
      <c r="AH147" s="1120">
        <v>2.0</v>
      </c>
      <c r="AI147" s="1138"/>
      <c r="AJ147" s="1120">
        <v>2.0</v>
      </c>
      <c r="AK147" s="1138"/>
      <c r="AL147" s="1126">
        <v>0.0</v>
      </c>
      <c r="AM147" s="1138"/>
      <c r="AN147" s="1120">
        <v>3.0</v>
      </c>
      <c r="AO147" s="1138"/>
      <c r="AP147" s="1120">
        <v>1.0</v>
      </c>
      <c r="AQ147" s="1138"/>
      <c r="AR147" s="1120">
        <v>0.0</v>
      </c>
      <c r="AS147" s="1138"/>
      <c r="AT147" s="1120">
        <v>2.0</v>
      </c>
      <c r="AU147" s="1138"/>
      <c r="AV147" s="1126">
        <v>6.0</v>
      </c>
      <c r="AW147" s="1138"/>
      <c r="AX147" s="1126">
        <v>2.0</v>
      </c>
      <c r="AY147" s="1138"/>
      <c r="AZ147" s="1126">
        <v>1.0</v>
      </c>
      <c r="BA147" s="1138"/>
      <c r="BB147" s="1126">
        <v>2.0</v>
      </c>
      <c r="BC147" s="1138"/>
      <c r="BD147" s="1126">
        <v>2.0</v>
      </c>
      <c r="BE147" s="1138"/>
      <c r="BF147" s="1126">
        <v>0.0</v>
      </c>
      <c r="BG147" s="1138"/>
      <c r="BH147" s="1126">
        <v>1.0</v>
      </c>
      <c r="BI147" s="1138"/>
      <c r="BJ147" s="1126">
        <v>4.0</v>
      </c>
      <c r="BK147" s="1138"/>
      <c r="BL147" s="1152"/>
      <c r="BM147" s="1138"/>
      <c r="BN147" s="1087"/>
      <c r="BO147" s="1138"/>
      <c r="BP147" s="783">
        <f t="shared" si="78"/>
        <v>72</v>
      </c>
      <c r="BQ147" s="1571">
        <f t="shared" si="79"/>
        <v>0</v>
      </c>
      <c r="BR147" s="1572">
        <f t="shared" si="81"/>
        <v>0</v>
      </c>
      <c r="BS147" s="784">
        <f t="shared" si="80"/>
        <v>10944</v>
      </c>
      <c r="BT147" s="1545"/>
    </row>
    <row r="148" ht="19.5" customHeight="1">
      <c r="A148" s="1565"/>
      <c r="B148" s="1568">
        <v>4000.0</v>
      </c>
      <c r="C148" s="1567">
        <v>98.0</v>
      </c>
      <c r="D148" s="1568" t="s">
        <v>80</v>
      </c>
      <c r="E148" s="1172" t="str">
        <f>'Матрица 4 недели'!V23</f>
        <v>Компот из сухофруктов 0,5 л</v>
      </c>
      <c r="F148" s="1137"/>
      <c r="G148" s="1138"/>
      <c r="H148" s="1126"/>
      <c r="I148" s="1140"/>
      <c r="J148" s="1126"/>
      <c r="K148" s="1405"/>
      <c r="L148" s="1161"/>
      <c r="M148" s="1405"/>
      <c r="N148" s="1126"/>
      <c r="O148" s="1138"/>
      <c r="P148" s="1126"/>
      <c r="Q148" s="1142"/>
      <c r="R148" s="1126"/>
      <c r="S148" s="1121"/>
      <c r="T148" s="1137"/>
      <c r="U148" s="1121"/>
      <c r="V148" s="1137"/>
      <c r="W148" s="1121"/>
      <c r="X148" s="1137"/>
      <c r="Y148" s="1121"/>
      <c r="Z148" s="1126"/>
      <c r="AA148" s="1121"/>
      <c r="AB148" s="1120"/>
      <c r="AC148" s="1121"/>
      <c r="AD148" s="1120"/>
      <c r="AE148" s="1121"/>
      <c r="AF148" s="1137"/>
      <c r="AG148" s="1121"/>
      <c r="AH148" s="1120"/>
      <c r="AI148" s="1121"/>
      <c r="AJ148" s="1120"/>
      <c r="AK148" s="1121"/>
      <c r="AL148" s="1137"/>
      <c r="AM148" s="1121"/>
      <c r="AN148" s="1137"/>
      <c r="AO148" s="1138"/>
      <c r="AP148" s="1137"/>
      <c r="AQ148" s="1138"/>
      <c r="AR148" s="1137"/>
      <c r="AS148" s="1121"/>
      <c r="AT148" s="1126"/>
      <c r="AU148" s="1121"/>
      <c r="AV148" s="1126"/>
      <c r="AW148" s="1138"/>
      <c r="AX148" s="1126"/>
      <c r="AY148" s="1138"/>
      <c r="AZ148" s="1126"/>
      <c r="BA148" s="1138"/>
      <c r="BB148" s="1126"/>
      <c r="BC148" s="1138"/>
      <c r="BD148" s="1126"/>
      <c r="BE148" s="1138"/>
      <c r="BF148" s="1126"/>
      <c r="BG148" s="1138"/>
      <c r="BH148" s="1126"/>
      <c r="BI148" s="1138"/>
      <c r="BJ148" s="1126"/>
      <c r="BK148" s="1138"/>
      <c r="BL148" s="1152"/>
      <c r="BM148" s="1138"/>
      <c r="BN148" s="1087"/>
      <c r="BO148" s="1138"/>
      <c r="BP148" s="783">
        <f t="shared" si="78"/>
        <v>1</v>
      </c>
      <c r="BQ148" s="1589">
        <f t="shared" si="79"/>
        <v>0</v>
      </c>
      <c r="BR148" s="1572">
        <f t="shared" si="81"/>
        <v>0</v>
      </c>
      <c r="BS148" s="784">
        <f t="shared" si="80"/>
        <v>98</v>
      </c>
      <c r="BT148" s="1807"/>
    </row>
    <row r="149" ht="19.5" customHeight="1">
      <c r="A149" s="1565"/>
      <c r="B149" s="1568">
        <v>822.0</v>
      </c>
      <c r="C149" s="1567">
        <v>5.0</v>
      </c>
      <c r="D149" s="1568" t="s">
        <v>78</v>
      </c>
      <c r="E149" s="1172" t="str">
        <f>'Матрица 4 недели'!P23</f>
        <v>Хлеб пшеничный</v>
      </c>
      <c r="F149" s="1126"/>
      <c r="G149" s="1138"/>
      <c r="H149" s="1126"/>
      <c r="I149" s="1138"/>
      <c r="J149" s="1126"/>
      <c r="K149" s="1138"/>
      <c r="L149" s="1126"/>
      <c r="M149" s="1138"/>
      <c r="N149" s="1126"/>
      <c r="O149" s="1138"/>
      <c r="P149" s="1126"/>
      <c r="Q149" s="1138"/>
      <c r="R149" s="1120"/>
      <c r="S149" s="1138"/>
      <c r="T149" s="1137"/>
      <c r="U149" s="1138"/>
      <c r="V149" s="1126"/>
      <c r="W149" s="1138"/>
      <c r="X149" s="1126"/>
      <c r="Y149" s="1138"/>
      <c r="Z149" s="1126"/>
      <c r="AA149" s="1138"/>
      <c r="AB149" s="1120"/>
      <c r="AC149" s="1138"/>
      <c r="AD149" s="1137"/>
      <c r="AE149" s="1138"/>
      <c r="AF149" s="1137"/>
      <c r="AG149" s="1138"/>
      <c r="AH149" s="1137"/>
      <c r="AI149" s="1138"/>
      <c r="AJ149" s="1137"/>
      <c r="AK149" s="1138"/>
      <c r="AL149" s="1120"/>
      <c r="AM149" s="1138"/>
      <c r="AN149" s="1137"/>
      <c r="AO149" s="1138"/>
      <c r="AP149" s="1126"/>
      <c r="AQ149" s="1121"/>
      <c r="AR149" s="1126"/>
      <c r="AS149" s="1121"/>
      <c r="AT149" s="1126"/>
      <c r="AU149" s="1121"/>
      <c r="AV149" s="1126"/>
      <c r="AW149" s="1121"/>
      <c r="AX149" s="1126"/>
      <c r="AY149" s="1121"/>
      <c r="AZ149" s="1126"/>
      <c r="BA149" s="1121"/>
      <c r="BB149" s="1126"/>
      <c r="BC149" s="1121"/>
      <c r="BD149" s="1126"/>
      <c r="BE149" s="1121"/>
      <c r="BF149" s="1126"/>
      <c r="BG149" s="1121"/>
      <c r="BH149" s="1126"/>
      <c r="BI149" s="1121"/>
      <c r="BJ149" s="1126"/>
      <c r="BK149" s="1121"/>
      <c r="BL149" s="1152">
        <v>120.0</v>
      </c>
      <c r="BM149" s="1653"/>
      <c r="BN149" s="1785"/>
      <c r="BO149" s="1653"/>
      <c r="BP149" s="783">
        <f t="shared" si="78"/>
        <v>121</v>
      </c>
      <c r="BQ149" s="1571">
        <f t="shared" si="79"/>
        <v>0</v>
      </c>
      <c r="BR149" s="1572">
        <f t="shared" si="81"/>
        <v>0</v>
      </c>
      <c r="BS149" s="784">
        <f t="shared" si="80"/>
        <v>605</v>
      </c>
      <c r="BT149" s="1807"/>
    </row>
    <row r="150" ht="19.5" customHeight="1">
      <c r="A150" s="1565"/>
      <c r="B150" s="1568">
        <v>3375.0</v>
      </c>
      <c r="C150" s="1567">
        <v>90.0</v>
      </c>
      <c r="D150" s="1568" t="s">
        <v>78</v>
      </c>
      <c r="E150" s="1172" t="str">
        <f>'Матрица 4 недели'!P22</f>
        <v>Самса с куриной грудкой 150 грамм</v>
      </c>
      <c r="F150" s="1126"/>
      <c r="G150" s="1138"/>
      <c r="H150" s="1126"/>
      <c r="I150" s="1138"/>
      <c r="J150" s="1126"/>
      <c r="K150" s="1138"/>
      <c r="L150" s="1126"/>
      <c r="M150" s="1138"/>
      <c r="N150" s="1126"/>
      <c r="O150" s="1138"/>
      <c r="P150" s="1120"/>
      <c r="Q150" s="1131"/>
      <c r="R150" s="1126"/>
      <c r="S150" s="1138"/>
      <c r="T150" s="1126"/>
      <c r="U150" s="1138"/>
      <c r="V150" s="1126"/>
      <c r="W150" s="1138"/>
      <c r="X150" s="1126"/>
      <c r="Y150" s="1138"/>
      <c r="Z150" s="1126"/>
      <c r="AA150" s="1138"/>
      <c r="AB150" s="1126"/>
      <c r="AC150" s="1138"/>
      <c r="AD150" s="1126"/>
      <c r="AE150" s="1138"/>
      <c r="AF150" s="1126"/>
      <c r="AG150" s="1138"/>
      <c r="AH150" s="1126"/>
      <c r="AI150" s="1138"/>
      <c r="AJ150" s="1126"/>
      <c r="AK150" s="1138"/>
      <c r="AL150" s="1126"/>
      <c r="AM150" s="1138"/>
      <c r="AN150" s="1126"/>
      <c r="AO150" s="1138"/>
      <c r="AP150" s="1126"/>
      <c r="AQ150" s="1138"/>
      <c r="AR150" s="1126"/>
      <c r="AS150" s="1138"/>
      <c r="AT150" s="1126"/>
      <c r="AU150" s="1138"/>
      <c r="AV150" s="1126"/>
      <c r="AW150" s="1138"/>
      <c r="AX150" s="1126"/>
      <c r="AY150" s="1138"/>
      <c r="AZ150" s="1126"/>
      <c r="BA150" s="1138"/>
      <c r="BB150" s="1126"/>
      <c r="BC150" s="1138"/>
      <c r="BD150" s="1126"/>
      <c r="BE150" s="1138"/>
      <c r="BF150" s="1126"/>
      <c r="BG150" s="1138"/>
      <c r="BH150" s="1126"/>
      <c r="BI150" s="1138"/>
      <c r="BJ150" s="1126"/>
      <c r="BK150" s="1138"/>
      <c r="BL150" s="1152"/>
      <c r="BM150" s="1784"/>
      <c r="BN150" s="1785"/>
      <c r="BO150" s="1784"/>
      <c r="BP150" s="783">
        <f t="shared" si="78"/>
        <v>1</v>
      </c>
      <c r="BQ150" s="1571">
        <f t="shared" si="79"/>
        <v>0</v>
      </c>
      <c r="BR150" s="1572">
        <f t="shared" si="81"/>
        <v>0</v>
      </c>
      <c r="BS150" s="784">
        <f t="shared" si="80"/>
        <v>90</v>
      </c>
      <c r="BT150" s="1807"/>
    </row>
    <row r="151" ht="19.5" customHeight="1">
      <c r="A151" s="1565"/>
      <c r="B151" s="1568"/>
      <c r="C151" s="1567"/>
      <c r="D151" s="1568"/>
      <c r="E151" s="1172"/>
      <c r="F151" s="1137"/>
      <c r="G151" s="1138"/>
      <c r="H151" s="1126"/>
      <c r="I151" s="1140"/>
      <c r="J151" s="1126"/>
      <c r="K151" s="1405"/>
      <c r="L151" s="1161"/>
      <c r="M151" s="1405"/>
      <c r="N151" s="1126"/>
      <c r="O151" s="1138"/>
      <c r="P151" s="1120"/>
      <c r="Q151" s="1142"/>
      <c r="R151" s="1126"/>
      <c r="S151" s="1121"/>
      <c r="T151" s="1137"/>
      <c r="U151" s="1121"/>
      <c r="V151" s="1137"/>
      <c r="W151" s="1121"/>
      <c r="X151" s="1137"/>
      <c r="Y151" s="1121"/>
      <c r="Z151" s="1120"/>
      <c r="AA151" s="1121"/>
      <c r="AB151" s="1120"/>
      <c r="AC151" s="1121"/>
      <c r="AD151" s="1120"/>
      <c r="AE151" s="1121"/>
      <c r="AF151" s="1137"/>
      <c r="AG151" s="1121"/>
      <c r="AH151" s="1120"/>
      <c r="AI151" s="1121"/>
      <c r="AJ151" s="1120"/>
      <c r="AK151" s="1121"/>
      <c r="AL151" s="1137"/>
      <c r="AM151" s="1121"/>
      <c r="AN151" s="1126"/>
      <c r="AO151" s="1121"/>
      <c r="AP151" s="1126"/>
      <c r="AQ151" s="1121"/>
      <c r="AR151" s="1126"/>
      <c r="AS151" s="1121"/>
      <c r="AT151" s="1120"/>
      <c r="AU151" s="1121"/>
      <c r="AV151" s="1126"/>
      <c r="AW151" s="1121"/>
      <c r="AX151" s="1126"/>
      <c r="AY151" s="1121"/>
      <c r="AZ151" s="1126"/>
      <c r="BA151" s="1121"/>
      <c r="BB151" s="1126"/>
      <c r="BC151" s="1121"/>
      <c r="BD151" s="1126"/>
      <c r="BE151" s="1121"/>
      <c r="BF151" s="1126"/>
      <c r="BG151" s="1121"/>
      <c r="BH151" s="1126"/>
      <c r="BI151" s="1121"/>
      <c r="BJ151" s="1126"/>
      <c r="BK151" s="1121"/>
      <c r="BL151" s="1152"/>
      <c r="BM151" s="1138"/>
      <c r="BN151" s="1087"/>
      <c r="BO151" s="1138"/>
      <c r="BP151" s="783">
        <f t="shared" si="78"/>
        <v>1</v>
      </c>
      <c r="BQ151" s="1589">
        <f t="shared" si="79"/>
        <v>0</v>
      </c>
      <c r="BR151" s="1572">
        <f t="shared" si="81"/>
        <v>0</v>
      </c>
      <c r="BS151" s="784">
        <f t="shared" si="80"/>
        <v>0</v>
      </c>
      <c r="BT151" s="1807"/>
    </row>
    <row r="152" ht="19.5" customHeight="1">
      <c r="A152" s="1565"/>
      <c r="B152" s="1568"/>
      <c r="C152" s="1567"/>
      <c r="D152" s="1568"/>
      <c r="E152" s="1657"/>
      <c r="F152" s="1126"/>
      <c r="G152" s="1138"/>
      <c r="H152" s="1126"/>
      <c r="I152" s="1138"/>
      <c r="J152" s="1126"/>
      <c r="K152" s="1138"/>
      <c r="L152" s="1319"/>
      <c r="M152" s="1138"/>
      <c r="N152" s="1126"/>
      <c r="O152" s="1138"/>
      <c r="P152" s="1126"/>
      <c r="Q152" s="1138"/>
      <c r="R152" s="1120"/>
      <c r="S152" s="1138"/>
      <c r="T152" s="1137"/>
      <c r="U152" s="1138"/>
      <c r="V152" s="1137"/>
      <c r="W152" s="1138"/>
      <c r="X152" s="1126"/>
      <c r="Y152" s="1138"/>
      <c r="Z152" s="1126"/>
      <c r="AA152" s="1138"/>
      <c r="AB152" s="1120"/>
      <c r="AC152" s="1138"/>
      <c r="AD152" s="1137"/>
      <c r="AE152" s="1138"/>
      <c r="AF152" s="1137"/>
      <c r="AG152" s="1138"/>
      <c r="AH152" s="1137"/>
      <c r="AI152" s="1138"/>
      <c r="AJ152" s="1137"/>
      <c r="AK152" s="1138"/>
      <c r="AL152" s="1120"/>
      <c r="AM152" s="1121"/>
      <c r="AN152" s="1137"/>
      <c r="AO152" s="1138"/>
      <c r="AP152" s="1137"/>
      <c r="AQ152" s="1138"/>
      <c r="AR152" s="1137"/>
      <c r="AS152" s="1121"/>
      <c r="AT152" s="1126"/>
      <c r="AU152" s="1121"/>
      <c r="AV152" s="1126"/>
      <c r="AW152" s="1121"/>
      <c r="AX152" s="1126"/>
      <c r="AY152" s="1121"/>
      <c r="AZ152" s="1126"/>
      <c r="BA152" s="1121"/>
      <c r="BB152" s="1126"/>
      <c r="BC152" s="1121"/>
      <c r="BD152" s="1126"/>
      <c r="BE152" s="1121"/>
      <c r="BF152" s="1126"/>
      <c r="BG152" s="1121"/>
      <c r="BH152" s="1126"/>
      <c r="BI152" s="1121"/>
      <c r="BJ152" s="1126"/>
      <c r="BK152" s="1121"/>
      <c r="BL152" s="1152"/>
      <c r="BM152" s="1121"/>
      <c r="BN152" s="1087"/>
      <c r="BO152" s="1121"/>
      <c r="BP152" s="783">
        <f t="shared" si="78"/>
        <v>1</v>
      </c>
      <c r="BQ152" s="1571">
        <f t="shared" si="79"/>
        <v>0</v>
      </c>
      <c r="BR152" s="1572">
        <f t="shared" si="81"/>
        <v>0</v>
      </c>
      <c r="BS152" s="784">
        <f t="shared" si="80"/>
        <v>0</v>
      </c>
      <c r="BT152" s="1807"/>
    </row>
    <row r="153" ht="19.5" customHeight="1">
      <c r="A153" s="1565"/>
      <c r="B153" s="1568"/>
      <c r="C153" s="1567"/>
      <c r="D153" s="1568"/>
      <c r="E153" s="1655"/>
      <c r="F153" s="1126"/>
      <c r="G153" s="1138"/>
      <c r="H153" s="1126"/>
      <c r="I153" s="1138"/>
      <c r="J153" s="1126"/>
      <c r="K153" s="1138"/>
      <c r="L153" s="1126"/>
      <c r="M153" s="1138"/>
      <c r="N153" s="1126"/>
      <c r="O153" s="1138"/>
      <c r="P153" s="1120"/>
      <c r="Q153" s="1138"/>
      <c r="R153" s="1126"/>
      <c r="S153" s="1138"/>
      <c r="T153" s="1126"/>
      <c r="U153" s="1138"/>
      <c r="V153" s="1126"/>
      <c r="W153" s="1138"/>
      <c r="X153" s="1126"/>
      <c r="Y153" s="1138"/>
      <c r="Z153" s="1126"/>
      <c r="AA153" s="1138"/>
      <c r="AB153" s="1126"/>
      <c r="AC153" s="1138"/>
      <c r="AD153" s="1126"/>
      <c r="AE153" s="1138"/>
      <c r="AF153" s="1126"/>
      <c r="AG153" s="1138"/>
      <c r="AH153" s="1126"/>
      <c r="AI153" s="1138"/>
      <c r="AJ153" s="1126"/>
      <c r="AK153" s="1138"/>
      <c r="AL153" s="1126"/>
      <c r="AM153" s="1138"/>
      <c r="AN153" s="1126"/>
      <c r="AO153" s="1138"/>
      <c r="AP153" s="1126"/>
      <c r="AQ153" s="1138"/>
      <c r="AR153" s="1126"/>
      <c r="AS153" s="1138"/>
      <c r="AT153" s="1126"/>
      <c r="AU153" s="1138"/>
      <c r="AV153" s="1126"/>
      <c r="AW153" s="1138"/>
      <c r="AX153" s="1126"/>
      <c r="AY153" s="1138"/>
      <c r="AZ153" s="1126"/>
      <c r="BA153" s="1138"/>
      <c r="BB153" s="1126"/>
      <c r="BC153" s="1138"/>
      <c r="BD153" s="1126"/>
      <c r="BE153" s="1138"/>
      <c r="BF153" s="1126"/>
      <c r="BG153" s="1138"/>
      <c r="BH153" s="1126"/>
      <c r="BI153" s="1138"/>
      <c r="BJ153" s="1126"/>
      <c r="BK153" s="1138"/>
      <c r="BL153" s="1152"/>
      <c r="BM153" s="1737"/>
      <c r="BN153" s="900"/>
      <c r="BO153" s="1170"/>
      <c r="BP153" s="783">
        <f t="shared" si="78"/>
        <v>1</v>
      </c>
      <c r="BQ153" s="1571">
        <f t="shared" si="79"/>
        <v>0</v>
      </c>
      <c r="BR153" s="1572">
        <f t="shared" si="81"/>
        <v>0</v>
      </c>
      <c r="BS153" s="784">
        <f t="shared" si="80"/>
        <v>0</v>
      </c>
      <c r="BT153" s="1807"/>
    </row>
    <row r="154" ht="19.5" customHeight="1">
      <c r="A154" s="1565"/>
      <c r="B154" s="1568"/>
      <c r="C154" s="1567"/>
      <c r="D154" s="1568"/>
      <c r="E154" s="1655"/>
      <c r="F154" s="1961"/>
      <c r="G154" s="1138"/>
      <c r="H154" s="1961"/>
      <c r="I154" s="1962"/>
      <c r="J154" s="1961"/>
      <c r="K154" s="1962"/>
      <c r="L154" s="1961"/>
      <c r="M154" s="1963"/>
      <c r="N154" s="1961"/>
      <c r="O154" s="1962"/>
      <c r="P154" s="1961"/>
      <c r="Q154" s="1962"/>
      <c r="R154" s="1961"/>
      <c r="S154" s="1962"/>
      <c r="T154" s="1964"/>
      <c r="U154" s="1962"/>
      <c r="V154" s="1961"/>
      <c r="W154" s="1962"/>
      <c r="X154" s="1961"/>
      <c r="Y154" s="1962"/>
      <c r="Z154" s="1961"/>
      <c r="AA154" s="1962"/>
      <c r="AB154" s="1126"/>
      <c r="AC154" s="1138"/>
      <c r="AD154" s="1137"/>
      <c r="AE154" s="1138"/>
      <c r="AF154" s="1137"/>
      <c r="AG154" s="1138"/>
      <c r="AH154" s="1137"/>
      <c r="AI154" s="1138"/>
      <c r="AJ154" s="1137"/>
      <c r="AK154" s="1138"/>
      <c r="AL154" s="1120"/>
      <c r="AM154" s="1138"/>
      <c r="AN154" s="1126"/>
      <c r="AO154" s="1138"/>
      <c r="AP154" s="1126"/>
      <c r="AQ154" s="1138"/>
      <c r="AR154" s="1126"/>
      <c r="AS154" s="1138"/>
      <c r="AT154" s="1126"/>
      <c r="AU154" s="1138"/>
      <c r="AV154" s="1126"/>
      <c r="AW154" s="1138"/>
      <c r="AX154" s="1126"/>
      <c r="AY154" s="1138"/>
      <c r="AZ154" s="1126"/>
      <c r="BA154" s="1138"/>
      <c r="BB154" s="1126"/>
      <c r="BC154" s="1138"/>
      <c r="BD154" s="1126"/>
      <c r="BE154" s="1138"/>
      <c r="BF154" s="1126"/>
      <c r="BG154" s="1138"/>
      <c r="BH154" s="1126"/>
      <c r="BI154" s="1138"/>
      <c r="BJ154" s="1126"/>
      <c r="BK154" s="1138"/>
      <c r="BL154" s="1152"/>
      <c r="BM154" s="1170"/>
      <c r="BN154" s="900"/>
      <c r="BO154" s="1170"/>
      <c r="BP154" s="783">
        <f t="shared" si="78"/>
        <v>1</v>
      </c>
      <c r="BQ154" s="1571">
        <f t="shared" si="79"/>
        <v>0</v>
      </c>
      <c r="BR154" s="1572">
        <f t="shared" si="81"/>
        <v>0</v>
      </c>
      <c r="BS154" s="784">
        <f t="shared" si="80"/>
        <v>0</v>
      </c>
      <c r="BT154" s="1610" t="s">
        <v>3104</v>
      </c>
    </row>
    <row r="155" ht="15.75" customHeight="1">
      <c r="A155" s="1679"/>
      <c r="B155" s="1669"/>
      <c r="C155" s="1668"/>
      <c r="D155" s="1670"/>
      <c r="E155" s="1179"/>
      <c r="F155" s="1907"/>
      <c r="G155" s="977"/>
      <c r="H155" s="1907"/>
      <c r="I155" s="977"/>
      <c r="J155" s="1907"/>
      <c r="K155" s="977"/>
      <c r="L155" s="1907"/>
      <c r="M155" s="977"/>
      <c r="N155" s="1907"/>
      <c r="O155" s="977"/>
      <c r="P155" s="1907"/>
      <c r="Q155" s="977"/>
      <c r="R155" s="1907"/>
      <c r="S155" s="977"/>
      <c r="T155" s="1907"/>
      <c r="U155" s="977"/>
      <c r="V155" s="1907"/>
      <c r="W155" s="977"/>
      <c r="X155" s="1907"/>
      <c r="Y155" s="977"/>
      <c r="Z155" s="1907"/>
      <c r="AA155" s="977"/>
      <c r="AB155" s="1907"/>
      <c r="AC155" s="977"/>
      <c r="AD155" s="1907"/>
      <c r="AE155" s="977"/>
      <c r="AF155" s="1907"/>
      <c r="AG155" s="977"/>
      <c r="AH155" s="1907"/>
      <c r="AI155" s="977"/>
      <c r="AJ155" s="1907"/>
      <c r="AK155" s="977"/>
      <c r="AL155" s="1907"/>
      <c r="AM155" s="977"/>
      <c r="AN155" s="1907"/>
      <c r="AO155" s="977"/>
      <c r="AP155" s="1907"/>
      <c r="AQ155" s="977"/>
      <c r="AR155" s="1910"/>
      <c r="AS155" s="977"/>
      <c r="AT155" s="1907"/>
      <c r="AU155" s="977"/>
      <c r="AV155" s="1907"/>
      <c r="AW155" s="1179"/>
      <c r="AX155" s="1179"/>
      <c r="AY155" s="1179"/>
      <c r="AZ155" s="1179"/>
      <c r="BA155" s="1179"/>
      <c r="BB155" s="1179"/>
      <c r="BC155" s="1179"/>
      <c r="BD155" s="1179"/>
      <c r="BE155" s="1179"/>
      <c r="BF155" s="1179"/>
      <c r="BG155" s="1179"/>
      <c r="BH155" s="1674"/>
      <c r="BI155" s="1179"/>
      <c r="BJ155" s="1674"/>
      <c r="BK155" s="1179"/>
      <c r="BL155" s="678" t="s">
        <v>1365</v>
      </c>
      <c r="BM155" s="977"/>
      <c r="BN155" s="977"/>
      <c r="BO155" s="977"/>
      <c r="BP155" s="1675">
        <f t="shared" ref="BP155:BS155" si="82">SUM(BP128:BP154)</f>
        <v>1986</v>
      </c>
      <c r="BQ155" s="1714">
        <f t="shared" si="82"/>
        <v>0</v>
      </c>
      <c r="BR155" s="1677">
        <f t="shared" si="82"/>
        <v>0</v>
      </c>
      <c r="BS155" s="1677">
        <f t="shared" si="82"/>
        <v>295893</v>
      </c>
      <c r="BT155" s="1678">
        <f>BR155-BS155</f>
        <v>-295893</v>
      </c>
    </row>
    <row r="156" ht="15.75" customHeight="1">
      <c r="A156" s="1679"/>
      <c r="B156" s="1669"/>
      <c r="C156" s="1668"/>
      <c r="D156" s="1670"/>
      <c r="E156" s="1913"/>
      <c r="F156" s="1914"/>
      <c r="G156" s="1914"/>
      <c r="H156" s="1914"/>
      <c r="I156" s="1914"/>
      <c r="J156" s="1914"/>
      <c r="K156" s="1914"/>
      <c r="L156" s="1914"/>
      <c r="M156" s="1914"/>
      <c r="N156" s="1914"/>
      <c r="O156" s="1914"/>
      <c r="P156" s="1914"/>
      <c r="Q156" s="1914"/>
      <c r="R156" s="1914"/>
      <c r="S156" s="1914"/>
      <c r="T156" s="1914"/>
      <c r="U156" s="1914"/>
      <c r="V156" s="1914"/>
      <c r="W156" s="1914"/>
      <c r="X156" s="1914"/>
      <c r="Y156" s="1914"/>
      <c r="Z156" s="1914"/>
      <c r="AA156" s="1914"/>
      <c r="AB156" s="1914"/>
      <c r="AC156" s="1914"/>
      <c r="AD156" s="1914"/>
      <c r="AE156" s="1914"/>
      <c r="AF156" s="1914"/>
      <c r="AG156" s="1914"/>
      <c r="AH156" s="1914"/>
      <c r="AI156" s="1914"/>
      <c r="AJ156" s="1914"/>
      <c r="AK156" s="1914"/>
      <c r="AL156" s="1914"/>
      <c r="AM156" s="1914"/>
      <c r="AN156" s="1914"/>
      <c r="AO156" s="1914"/>
      <c r="AP156" s="1914"/>
      <c r="AQ156" s="1914"/>
      <c r="AR156" s="1914"/>
      <c r="AS156" s="1914"/>
      <c r="AT156" s="1914"/>
      <c r="AU156" s="1915"/>
      <c r="AV156" s="1915"/>
      <c r="AW156" s="1915"/>
      <c r="AX156" s="1915"/>
      <c r="AY156" s="1915"/>
      <c r="AZ156" s="1915"/>
      <c r="BA156" s="1915"/>
      <c r="BB156" s="1914"/>
      <c r="BC156" s="1915"/>
      <c r="BD156" s="1914"/>
      <c r="BE156" s="1915"/>
      <c r="BF156" s="1914"/>
      <c r="BG156" s="1915"/>
      <c r="BH156" s="1918"/>
      <c r="BI156" s="1915"/>
      <c r="BJ156" s="1918"/>
      <c r="BK156" s="1915"/>
      <c r="BL156" s="1915"/>
      <c r="BM156" s="1915"/>
      <c r="BN156" s="1914"/>
      <c r="BO156" s="1915"/>
      <c r="BP156" s="541"/>
      <c r="BQ156" s="633"/>
      <c r="BR156" s="541"/>
      <c r="BS156" s="684"/>
      <c r="BT156" s="541"/>
    </row>
    <row r="157" ht="15.75" customHeight="1">
      <c r="A157" s="1679"/>
      <c r="B157" s="1669"/>
      <c r="C157" s="1668"/>
      <c r="D157" s="1670"/>
      <c r="E157" s="1671"/>
      <c r="F157" s="1915"/>
      <c r="G157" s="1915"/>
      <c r="H157" s="1915"/>
      <c r="I157" s="1915"/>
      <c r="J157" s="1915"/>
      <c r="K157" s="1915"/>
      <c r="L157" s="1915"/>
      <c r="M157" s="1915"/>
      <c r="N157" s="1915"/>
      <c r="O157" s="1915"/>
      <c r="P157" s="1915"/>
      <c r="Q157" s="1915"/>
      <c r="R157" s="1915"/>
      <c r="S157" s="1915"/>
      <c r="T157" s="1915"/>
      <c r="U157" s="1915"/>
      <c r="V157" s="1915"/>
      <c r="W157" s="1915"/>
      <c r="X157" s="1915"/>
      <c r="Y157" s="1915"/>
      <c r="Z157" s="1915"/>
      <c r="AA157" s="1915"/>
      <c r="AB157" s="1915"/>
      <c r="AC157" s="1915"/>
      <c r="AD157" s="1915"/>
      <c r="AE157" s="1915"/>
      <c r="AF157" s="1915"/>
      <c r="AG157" s="1915"/>
      <c r="AH157" s="1915"/>
      <c r="AI157" s="1915"/>
      <c r="AJ157" s="1915"/>
      <c r="AK157" s="1915"/>
      <c r="AL157" s="1915"/>
      <c r="AM157" s="1915"/>
      <c r="AN157" s="1919"/>
      <c r="AO157" s="1919"/>
      <c r="AP157" s="1919"/>
      <c r="AQ157" s="1919"/>
      <c r="AR157" s="1919"/>
      <c r="AS157" s="1915"/>
      <c r="AT157" s="1915"/>
      <c r="AU157" s="1915"/>
      <c r="AV157" s="1915"/>
      <c r="AW157" s="1915"/>
      <c r="AX157" s="1915"/>
      <c r="AY157" s="1915"/>
      <c r="AZ157" s="1915"/>
      <c r="BA157" s="1915"/>
      <c r="BB157" s="1914"/>
      <c r="BC157" s="1915"/>
      <c r="BD157" s="1914"/>
      <c r="BE157" s="1915"/>
      <c r="BF157" s="1914"/>
      <c r="BG157" s="1915"/>
      <c r="BH157" s="1918"/>
      <c r="BI157" s="1915"/>
      <c r="BJ157" s="1918"/>
      <c r="BK157" s="1915"/>
      <c r="BL157" s="1915"/>
      <c r="BM157" s="1915"/>
      <c r="BN157" s="1914"/>
      <c r="BO157" s="1915"/>
      <c r="BP157" s="1684"/>
      <c r="BQ157" s="629"/>
      <c r="BR157" s="541"/>
      <c r="BS157" s="684"/>
      <c r="BT157" s="541"/>
    </row>
    <row r="158" ht="15.75" customHeight="1">
      <c r="A158" s="1805" t="s">
        <v>1354</v>
      </c>
      <c r="C158" s="1966">
        <v>46231.0</v>
      </c>
      <c r="E158" s="908" t="s">
        <v>3106</v>
      </c>
      <c r="F158" s="1921"/>
      <c r="G158" s="1921"/>
      <c r="H158" s="1921"/>
      <c r="I158" s="1921"/>
      <c r="J158" s="1921" t="s">
        <v>1356</v>
      </c>
      <c r="K158" s="1921"/>
      <c r="L158" s="1921"/>
      <c r="M158" s="1921"/>
      <c r="N158" s="1921"/>
      <c r="O158" s="1921"/>
      <c r="P158" s="1921"/>
      <c r="Q158" s="1921"/>
      <c r="R158" s="1921"/>
      <c r="S158" s="1921"/>
      <c r="T158" s="1921"/>
      <c r="U158" s="1921"/>
      <c r="V158" s="1921"/>
      <c r="W158" s="1921"/>
      <c r="X158" s="1921"/>
      <c r="Y158" s="1921"/>
      <c r="Z158" s="1921"/>
      <c r="AA158" s="1921"/>
      <c r="AB158" s="1921"/>
      <c r="AC158" s="1921"/>
      <c r="AD158" s="1921"/>
      <c r="AE158" s="1921"/>
      <c r="AF158" s="1921"/>
      <c r="AG158" s="1921"/>
      <c r="AH158" s="1921"/>
      <c r="AI158" s="1921"/>
      <c r="AJ158" s="1921"/>
      <c r="AK158" s="1921"/>
      <c r="AL158" s="1921"/>
      <c r="AM158" s="1921"/>
      <c r="AN158" s="1921"/>
      <c r="AO158" s="1921"/>
      <c r="AP158" s="1921"/>
      <c r="AQ158" s="1921"/>
      <c r="AR158" s="1921"/>
      <c r="AS158" s="1921"/>
      <c r="AT158" s="1921"/>
      <c r="AU158" s="1921"/>
      <c r="AV158" s="1921"/>
      <c r="AW158" s="1921"/>
      <c r="AX158" s="1921"/>
      <c r="AY158" s="1921"/>
      <c r="AZ158" s="1921"/>
      <c r="BA158" s="1921"/>
      <c r="BB158" s="1923"/>
      <c r="BC158" s="1921"/>
      <c r="BD158" s="1923"/>
      <c r="BE158" s="1921"/>
      <c r="BF158" s="1923"/>
      <c r="BG158" s="1921"/>
      <c r="BH158" s="1923"/>
      <c r="BI158" s="1921"/>
      <c r="BJ158" s="1923"/>
      <c r="BK158" s="1921"/>
      <c r="BL158" s="1921"/>
      <c r="BM158" s="1921"/>
      <c r="BN158" s="1923"/>
      <c r="BO158" s="1921"/>
      <c r="BP158" s="1967"/>
      <c r="BQ158" s="1968"/>
      <c r="BR158" s="1748"/>
      <c r="BS158" s="1545"/>
      <c r="BT158" s="1748"/>
    </row>
    <row r="159" ht="22.5" customHeight="1">
      <c r="A159" s="1693" t="s">
        <v>3069</v>
      </c>
      <c r="B159" s="1694" t="s">
        <v>3097</v>
      </c>
      <c r="C159" s="1693" t="s">
        <v>19</v>
      </c>
      <c r="D159" s="1557" t="s">
        <v>3070</v>
      </c>
      <c r="E159" s="1925" t="s">
        <v>471</v>
      </c>
      <c r="F159" s="1738" t="s">
        <v>1357</v>
      </c>
      <c r="G159" s="69"/>
      <c r="H159" s="1724" t="s">
        <v>1287</v>
      </c>
      <c r="I159" s="69"/>
      <c r="J159" s="1738" t="s">
        <v>1358</v>
      </c>
      <c r="K159" s="69"/>
      <c r="L159" s="1738" t="s">
        <v>1359</v>
      </c>
      <c r="M159" s="69"/>
      <c r="N159" s="1738" t="s">
        <v>1360</v>
      </c>
      <c r="O159" s="69"/>
      <c r="P159" s="1738" t="s">
        <v>1361</v>
      </c>
      <c r="Q159" s="69"/>
      <c r="R159" s="1724" t="s">
        <v>1362</v>
      </c>
      <c r="S159" s="69"/>
      <c r="T159" s="1724" t="s">
        <v>1299</v>
      </c>
      <c r="U159" s="69"/>
      <c r="V159" s="1724" t="s">
        <v>1301</v>
      </c>
      <c r="W159" s="69"/>
      <c r="X159" s="1724" t="s">
        <v>1363</v>
      </c>
      <c r="Y159" s="69"/>
      <c r="Z159" s="1724" t="s">
        <v>1305</v>
      </c>
      <c r="AA159" s="69"/>
      <c r="AB159" s="1724" t="s">
        <v>1307</v>
      </c>
      <c r="AC159" s="69"/>
      <c r="AD159" s="1724" t="s">
        <v>1309</v>
      </c>
      <c r="AE159" s="69"/>
      <c r="AF159" s="1724" t="s">
        <v>1311</v>
      </c>
      <c r="AG159" s="69"/>
      <c r="AH159" s="1724" t="s">
        <v>1313</v>
      </c>
      <c r="AI159" s="69"/>
      <c r="AJ159" s="1724" t="s">
        <v>1315</v>
      </c>
      <c r="AK159" s="69"/>
      <c r="AL159" s="1724" t="s">
        <v>1317</v>
      </c>
      <c r="AM159" s="69"/>
      <c r="AN159" s="1724" t="s">
        <v>1319</v>
      </c>
      <c r="AO159" s="69"/>
      <c r="AP159" s="1724" t="s">
        <v>1321</v>
      </c>
      <c r="AQ159" s="69"/>
      <c r="AR159" s="1724" t="s">
        <v>1323</v>
      </c>
      <c r="AS159" s="69"/>
      <c r="AT159" s="1724" t="s">
        <v>1325</v>
      </c>
      <c r="AU159" s="69"/>
      <c r="AV159" s="1724" t="s">
        <v>1327</v>
      </c>
      <c r="AW159" s="69"/>
      <c r="AX159" s="1204" t="s">
        <v>3076</v>
      </c>
      <c r="AY159" s="69"/>
      <c r="AZ159" s="1204" t="s">
        <v>3078</v>
      </c>
      <c r="BA159" s="69"/>
      <c r="BB159" s="1201" t="s">
        <v>3080</v>
      </c>
      <c r="BC159" s="69"/>
      <c r="BD159" s="1201" t="s">
        <v>3082</v>
      </c>
      <c r="BE159" s="69"/>
      <c r="BF159" s="1201" t="s">
        <v>3084</v>
      </c>
      <c r="BG159" s="69"/>
      <c r="BH159" s="1201" t="s">
        <v>3086</v>
      </c>
      <c r="BI159" s="69"/>
      <c r="BJ159" s="1201" t="s">
        <v>3088</v>
      </c>
      <c r="BK159" s="69"/>
      <c r="BL159" s="1724" t="s">
        <v>297</v>
      </c>
      <c r="BM159" s="69"/>
      <c r="BN159" s="1724" t="s">
        <v>5</v>
      </c>
      <c r="BO159" s="69"/>
      <c r="BR159" s="1927"/>
      <c r="BS159" s="629"/>
      <c r="BT159" s="1927"/>
    </row>
    <row r="160" ht="22.5" customHeight="1">
      <c r="A160" s="1698" t="str">
        <f t="shared" ref="A160:A186" si="83">A128</f>
        <v/>
      </c>
      <c r="B160" s="1831">
        <v>1404.0</v>
      </c>
      <c r="C160" s="1700">
        <v>128.0</v>
      </c>
      <c r="D160" s="1701"/>
      <c r="E160" s="721" t="str">
        <f t="shared" ref="E160:E186" si="84">E128</f>
        <v>Драники со сметаной</v>
      </c>
      <c r="F160" s="1721" t="str">
        <f t="shared" ref="F160:F185" si="85">G128</f>
        <v/>
      </c>
      <c r="G160" s="69"/>
      <c r="H160" s="1721" t="str">
        <f t="shared" ref="H160:H185" si="86">I128</f>
        <v/>
      </c>
      <c r="I160" s="69"/>
      <c r="J160" s="1721" t="str">
        <f t="shared" ref="J160:J185" si="87">K128</f>
        <v/>
      </c>
      <c r="K160" s="69"/>
      <c r="L160" s="1721" t="str">
        <f t="shared" ref="L160:L185" si="88">M128</f>
        <v/>
      </c>
      <c r="M160" s="69"/>
      <c r="N160" s="1721" t="str">
        <f t="shared" ref="N160:N185" si="89">O128</f>
        <v/>
      </c>
      <c r="O160" s="69"/>
      <c r="P160" s="1721" t="str">
        <f t="shared" ref="P160:P185" si="90">Q128</f>
        <v/>
      </c>
      <c r="Q160" s="69"/>
      <c r="R160" s="1721" t="str">
        <f t="shared" ref="R160:R185" si="91">S128</f>
        <v/>
      </c>
      <c r="S160" s="69"/>
      <c r="T160" s="1721" t="str">
        <f t="shared" ref="T160:T185" si="92">U128</f>
        <v/>
      </c>
      <c r="U160" s="69"/>
      <c r="V160" s="1721" t="str">
        <f t="shared" ref="V160:V185" si="93">W128</f>
        <v/>
      </c>
      <c r="W160" s="69"/>
      <c r="X160" s="1721" t="str">
        <f t="shared" ref="X160:X185" si="94">Y128</f>
        <v/>
      </c>
      <c r="Y160" s="69"/>
      <c r="Z160" s="1721" t="str">
        <f t="shared" ref="Z160:Z185" si="95">AA128</f>
        <v/>
      </c>
      <c r="AA160" s="69"/>
      <c r="AB160" s="1721" t="str">
        <f t="shared" ref="AB160:AB185" si="96">AC128</f>
        <v/>
      </c>
      <c r="AC160" s="69"/>
      <c r="AD160" s="1722" t="str">
        <f t="shared" ref="AD160:AD185" si="97">AE128</f>
        <v/>
      </c>
      <c r="AE160" s="69"/>
      <c r="AF160" s="1722" t="str">
        <f t="shared" ref="AF160:AF185" si="98">AG128</f>
        <v/>
      </c>
      <c r="AG160" s="69"/>
      <c r="AH160" s="1722" t="str">
        <f t="shared" ref="AH160:AH185" si="99">AI128</f>
        <v/>
      </c>
      <c r="AI160" s="69"/>
      <c r="AJ160" s="1722" t="str">
        <f t="shared" ref="AJ160:AJ185" si="100">AK128</f>
        <v/>
      </c>
      <c r="AK160" s="69"/>
      <c r="AL160" s="1722" t="str">
        <f t="shared" ref="AL160:AL185" si="101">AM128</f>
        <v/>
      </c>
      <c r="AM160" s="69"/>
      <c r="AN160" s="1722" t="str">
        <f t="shared" ref="AN160:AN185" si="102">AO128</f>
        <v/>
      </c>
      <c r="AO160" s="69"/>
      <c r="AP160" s="1722" t="str">
        <f t="shared" ref="AP160:AP185" si="103">AQ128</f>
        <v/>
      </c>
      <c r="AQ160" s="69"/>
      <c r="AR160" s="1722" t="str">
        <f t="shared" ref="AR160:AR185" si="104">AS128</f>
        <v/>
      </c>
      <c r="AS160" s="69"/>
      <c r="AT160" s="1722" t="str">
        <f t="shared" ref="AT160:AT185" si="105">AU128</f>
        <v/>
      </c>
      <c r="AU160" s="69"/>
      <c r="AV160" s="1722" t="str">
        <f t="shared" ref="AV160:AV185" si="106">AW128</f>
        <v/>
      </c>
      <c r="AW160" s="69"/>
      <c r="AX160" s="1722" t="str">
        <f t="shared" ref="AX160:AX185" si="107">AY128</f>
        <v/>
      </c>
      <c r="AY160" s="69"/>
      <c r="AZ160" s="1722" t="str">
        <f t="shared" ref="AZ160:AZ185" si="108">BA128</f>
        <v/>
      </c>
      <c r="BA160" s="69"/>
      <c r="BB160" s="1201" t="str">
        <f t="shared" ref="BB160:BB185" si="109">BC128</f>
        <v/>
      </c>
      <c r="BC160" s="69"/>
      <c r="BD160" s="1201" t="str">
        <f t="shared" ref="BD160:BD185" si="110">BE128</f>
        <v/>
      </c>
      <c r="BE160" s="69"/>
      <c r="BF160" s="1201" t="str">
        <f t="shared" ref="BF160:BF185" si="111">BG128</f>
        <v/>
      </c>
      <c r="BG160" s="69"/>
      <c r="BH160" s="1201" t="str">
        <f t="shared" ref="BH160:BH185" si="112">BI128</f>
        <v/>
      </c>
      <c r="BI160" s="69"/>
      <c r="BJ160" s="1201" t="str">
        <f t="shared" ref="BJ160:BJ185" si="113">BK128</f>
        <v/>
      </c>
      <c r="BK160" s="69"/>
      <c r="BL160" s="1722" t="str">
        <f t="shared" ref="BL160:BL185" si="114">BM128</f>
        <v/>
      </c>
      <c r="BM160" s="69"/>
      <c r="BN160" s="1722">
        <f t="shared" ref="BN160:BN186" si="115">SUM(F160:BM160)</f>
        <v>0</v>
      </c>
      <c r="BO160" s="69"/>
      <c r="BR160" s="541"/>
      <c r="BS160" s="684"/>
      <c r="BT160" s="541"/>
    </row>
    <row r="161" ht="22.5" customHeight="1">
      <c r="A161" s="1698" t="str">
        <f t="shared" si="83"/>
        <v/>
      </c>
      <c r="B161" s="1831">
        <v>4036.0</v>
      </c>
      <c r="C161" s="1700">
        <v>114.0</v>
      </c>
      <c r="D161" s="1701"/>
      <c r="E161" s="721" t="str">
        <f t="shared" si="84"/>
        <v>Каша рисовая с вишней</v>
      </c>
      <c r="F161" s="1721" t="str">
        <f t="shared" si="85"/>
        <v/>
      </c>
      <c r="G161" s="69"/>
      <c r="H161" s="1721" t="str">
        <f t="shared" si="86"/>
        <v/>
      </c>
      <c r="I161" s="69"/>
      <c r="J161" s="1721" t="str">
        <f t="shared" si="87"/>
        <v/>
      </c>
      <c r="K161" s="69"/>
      <c r="L161" s="1721" t="str">
        <f t="shared" si="88"/>
        <v/>
      </c>
      <c r="M161" s="69"/>
      <c r="N161" s="1721" t="str">
        <f t="shared" si="89"/>
        <v/>
      </c>
      <c r="O161" s="69"/>
      <c r="P161" s="1721" t="str">
        <f t="shared" si="90"/>
        <v/>
      </c>
      <c r="Q161" s="69"/>
      <c r="R161" s="1721" t="str">
        <f t="shared" si="91"/>
        <v/>
      </c>
      <c r="S161" s="69"/>
      <c r="T161" s="1721" t="str">
        <f t="shared" si="92"/>
        <v/>
      </c>
      <c r="U161" s="69"/>
      <c r="V161" s="1721" t="str">
        <f t="shared" si="93"/>
        <v/>
      </c>
      <c r="W161" s="69"/>
      <c r="X161" s="1721" t="str">
        <f t="shared" si="94"/>
        <v/>
      </c>
      <c r="Y161" s="69"/>
      <c r="Z161" s="1721" t="str">
        <f t="shared" si="95"/>
        <v/>
      </c>
      <c r="AA161" s="69"/>
      <c r="AB161" s="1721" t="str">
        <f t="shared" si="96"/>
        <v/>
      </c>
      <c r="AC161" s="69"/>
      <c r="AD161" s="1722" t="str">
        <f t="shared" si="97"/>
        <v/>
      </c>
      <c r="AE161" s="69"/>
      <c r="AF161" s="1722" t="str">
        <f t="shared" si="98"/>
        <v/>
      </c>
      <c r="AG161" s="69"/>
      <c r="AH161" s="1722" t="str">
        <f t="shared" si="99"/>
        <v/>
      </c>
      <c r="AI161" s="69"/>
      <c r="AJ161" s="1722" t="str">
        <f t="shared" si="100"/>
        <v/>
      </c>
      <c r="AK161" s="69"/>
      <c r="AL161" s="1722" t="str">
        <f t="shared" si="101"/>
        <v/>
      </c>
      <c r="AM161" s="69"/>
      <c r="AN161" s="1722" t="str">
        <f t="shared" si="102"/>
        <v/>
      </c>
      <c r="AO161" s="69"/>
      <c r="AP161" s="1722" t="str">
        <f t="shared" si="103"/>
        <v/>
      </c>
      <c r="AQ161" s="69"/>
      <c r="AR161" s="1722" t="str">
        <f t="shared" si="104"/>
        <v/>
      </c>
      <c r="AS161" s="69"/>
      <c r="AT161" s="1722" t="str">
        <f t="shared" si="105"/>
        <v/>
      </c>
      <c r="AU161" s="69"/>
      <c r="AV161" s="1722" t="str">
        <f t="shared" si="106"/>
        <v/>
      </c>
      <c r="AW161" s="69"/>
      <c r="AX161" s="1722" t="str">
        <f t="shared" si="107"/>
        <v/>
      </c>
      <c r="AY161" s="69"/>
      <c r="AZ161" s="1722" t="str">
        <f t="shared" si="108"/>
        <v/>
      </c>
      <c r="BA161" s="69"/>
      <c r="BB161" s="1723" t="str">
        <f t="shared" si="109"/>
        <v/>
      </c>
      <c r="BC161" s="69"/>
      <c r="BD161" s="1723" t="str">
        <f t="shared" si="110"/>
        <v/>
      </c>
      <c r="BE161" s="69"/>
      <c r="BF161" s="1723" t="str">
        <f t="shared" si="111"/>
        <v/>
      </c>
      <c r="BG161" s="69"/>
      <c r="BH161" s="1201" t="str">
        <f t="shared" si="112"/>
        <v/>
      </c>
      <c r="BI161" s="69"/>
      <c r="BJ161" s="1201" t="str">
        <f t="shared" si="113"/>
        <v/>
      </c>
      <c r="BK161" s="69"/>
      <c r="BL161" s="1722" t="str">
        <f t="shared" si="114"/>
        <v/>
      </c>
      <c r="BM161" s="69"/>
      <c r="BN161" s="1722">
        <f t="shared" si="115"/>
        <v>0</v>
      </c>
      <c r="BO161" s="69"/>
      <c r="BR161" s="541"/>
      <c r="BS161" s="684"/>
      <c r="BT161" s="541"/>
    </row>
    <row r="162" ht="22.5" customHeight="1">
      <c r="A162" s="1698" t="str">
        <f t="shared" si="83"/>
        <v/>
      </c>
      <c r="B162" s="1831">
        <v>2762.0</v>
      </c>
      <c r="C162" s="1700">
        <v>174.0</v>
      </c>
      <c r="D162" s="1701"/>
      <c r="E162" s="721" t="str">
        <f t="shared" si="84"/>
        <v>Запеканка творожная с курагой</v>
      </c>
      <c r="F162" s="1721" t="str">
        <f t="shared" si="85"/>
        <v/>
      </c>
      <c r="G162" s="69"/>
      <c r="H162" s="1721" t="str">
        <f t="shared" si="86"/>
        <v/>
      </c>
      <c r="I162" s="69"/>
      <c r="J162" s="1721" t="str">
        <f t="shared" si="87"/>
        <v/>
      </c>
      <c r="K162" s="69"/>
      <c r="L162" s="1721" t="str">
        <f t="shared" si="88"/>
        <v/>
      </c>
      <c r="M162" s="69"/>
      <c r="N162" s="1721" t="str">
        <f t="shared" si="89"/>
        <v/>
      </c>
      <c r="O162" s="69"/>
      <c r="P162" s="1721" t="str">
        <f t="shared" si="90"/>
        <v/>
      </c>
      <c r="Q162" s="69"/>
      <c r="R162" s="1721" t="str">
        <f t="shared" si="91"/>
        <v/>
      </c>
      <c r="S162" s="69"/>
      <c r="T162" s="1721" t="str">
        <f t="shared" si="92"/>
        <v/>
      </c>
      <c r="U162" s="69"/>
      <c r="V162" s="1721" t="str">
        <f t="shared" si="93"/>
        <v/>
      </c>
      <c r="W162" s="69"/>
      <c r="X162" s="1721" t="str">
        <f t="shared" si="94"/>
        <v/>
      </c>
      <c r="Y162" s="69"/>
      <c r="Z162" s="1721" t="str">
        <f t="shared" si="95"/>
        <v/>
      </c>
      <c r="AA162" s="69"/>
      <c r="AB162" s="1721" t="str">
        <f t="shared" si="96"/>
        <v/>
      </c>
      <c r="AC162" s="69"/>
      <c r="AD162" s="1721" t="str">
        <f t="shared" si="97"/>
        <v/>
      </c>
      <c r="AE162" s="69"/>
      <c r="AF162" s="1721" t="str">
        <f t="shared" si="98"/>
        <v/>
      </c>
      <c r="AG162" s="69"/>
      <c r="AH162" s="1721" t="str">
        <f t="shared" si="99"/>
        <v/>
      </c>
      <c r="AI162" s="69"/>
      <c r="AJ162" s="1721" t="str">
        <f t="shared" si="100"/>
        <v/>
      </c>
      <c r="AK162" s="69"/>
      <c r="AL162" s="1721" t="str">
        <f t="shared" si="101"/>
        <v/>
      </c>
      <c r="AM162" s="69"/>
      <c r="AN162" s="1721" t="str">
        <f t="shared" si="102"/>
        <v/>
      </c>
      <c r="AO162" s="69"/>
      <c r="AP162" s="1721" t="str">
        <f t="shared" si="103"/>
        <v/>
      </c>
      <c r="AQ162" s="69"/>
      <c r="AR162" s="1722" t="str">
        <f t="shared" si="104"/>
        <v/>
      </c>
      <c r="AS162" s="69"/>
      <c r="AT162" s="1722" t="str">
        <f t="shared" si="105"/>
        <v/>
      </c>
      <c r="AU162" s="69"/>
      <c r="AV162" s="1722" t="str">
        <f t="shared" si="106"/>
        <v/>
      </c>
      <c r="AW162" s="69"/>
      <c r="AX162" s="1722" t="str">
        <f t="shared" si="107"/>
        <v/>
      </c>
      <c r="AY162" s="69"/>
      <c r="AZ162" s="1722" t="str">
        <f t="shared" si="108"/>
        <v/>
      </c>
      <c r="BA162" s="69"/>
      <c r="BB162" s="1723" t="str">
        <f t="shared" si="109"/>
        <v/>
      </c>
      <c r="BC162" s="69"/>
      <c r="BD162" s="1723" t="str">
        <f t="shared" si="110"/>
        <v/>
      </c>
      <c r="BE162" s="69"/>
      <c r="BF162" s="1723" t="str">
        <f t="shared" si="111"/>
        <v/>
      </c>
      <c r="BG162" s="69"/>
      <c r="BH162" s="1201" t="str">
        <f t="shared" si="112"/>
        <v/>
      </c>
      <c r="BI162" s="69"/>
      <c r="BJ162" s="1201" t="str">
        <f t="shared" si="113"/>
        <v/>
      </c>
      <c r="BK162" s="69"/>
      <c r="BL162" s="1721" t="str">
        <f t="shared" si="114"/>
        <v/>
      </c>
      <c r="BM162" s="69"/>
      <c r="BN162" s="1722">
        <f t="shared" si="115"/>
        <v>0</v>
      </c>
      <c r="BO162" s="69"/>
      <c r="BR162" s="541"/>
      <c r="BS162" s="684"/>
      <c r="BT162" s="541"/>
    </row>
    <row r="163" ht="22.5" customHeight="1">
      <c r="A163" s="1698" t="str">
        <f t="shared" si="83"/>
        <v/>
      </c>
      <c r="B163" s="1831">
        <v>3230.0</v>
      </c>
      <c r="C163" s="1700">
        <v>98.0</v>
      </c>
      <c r="D163" s="1701"/>
      <c r="E163" s="721" t="str">
        <f t="shared" si="84"/>
        <v>Салат ''Винегрет с капустой'' 120 г</v>
      </c>
      <c r="F163" s="1721" t="str">
        <f t="shared" si="85"/>
        <v/>
      </c>
      <c r="G163" s="69"/>
      <c r="H163" s="1721" t="str">
        <f t="shared" si="86"/>
        <v/>
      </c>
      <c r="I163" s="69"/>
      <c r="J163" s="1721" t="str">
        <f t="shared" si="87"/>
        <v/>
      </c>
      <c r="K163" s="69"/>
      <c r="L163" s="1721" t="str">
        <f t="shared" si="88"/>
        <v/>
      </c>
      <c r="M163" s="69"/>
      <c r="N163" s="1721" t="str">
        <f t="shared" si="89"/>
        <v/>
      </c>
      <c r="O163" s="69"/>
      <c r="P163" s="1721" t="str">
        <f t="shared" si="90"/>
        <v/>
      </c>
      <c r="Q163" s="69"/>
      <c r="R163" s="1721" t="str">
        <f t="shared" si="91"/>
        <v/>
      </c>
      <c r="S163" s="69"/>
      <c r="T163" s="1721" t="str">
        <f t="shared" si="92"/>
        <v/>
      </c>
      <c r="U163" s="69"/>
      <c r="V163" s="1721" t="str">
        <f t="shared" si="93"/>
        <v/>
      </c>
      <c r="W163" s="69"/>
      <c r="X163" s="1721" t="str">
        <f t="shared" si="94"/>
        <v/>
      </c>
      <c r="Y163" s="69"/>
      <c r="Z163" s="1721" t="str">
        <f t="shared" si="95"/>
        <v/>
      </c>
      <c r="AA163" s="69"/>
      <c r="AB163" s="1721" t="str">
        <f t="shared" si="96"/>
        <v/>
      </c>
      <c r="AC163" s="69"/>
      <c r="AD163" s="1721" t="str">
        <f t="shared" si="97"/>
        <v/>
      </c>
      <c r="AE163" s="69"/>
      <c r="AF163" s="1721" t="str">
        <f t="shared" si="98"/>
        <v/>
      </c>
      <c r="AG163" s="69"/>
      <c r="AH163" s="1721" t="str">
        <f t="shared" si="99"/>
        <v/>
      </c>
      <c r="AI163" s="69"/>
      <c r="AJ163" s="1721" t="str">
        <f t="shared" si="100"/>
        <v/>
      </c>
      <c r="AK163" s="69"/>
      <c r="AL163" s="1721" t="str">
        <f t="shared" si="101"/>
        <v/>
      </c>
      <c r="AM163" s="69"/>
      <c r="AN163" s="1721" t="str">
        <f t="shared" si="102"/>
        <v/>
      </c>
      <c r="AO163" s="69"/>
      <c r="AP163" s="1721" t="str">
        <f t="shared" si="103"/>
        <v/>
      </c>
      <c r="AQ163" s="69"/>
      <c r="AR163" s="1722" t="str">
        <f t="shared" si="104"/>
        <v/>
      </c>
      <c r="AS163" s="69"/>
      <c r="AT163" s="1722" t="str">
        <f t="shared" si="105"/>
        <v/>
      </c>
      <c r="AU163" s="69"/>
      <c r="AV163" s="1722" t="str">
        <f t="shared" si="106"/>
        <v/>
      </c>
      <c r="AW163" s="69"/>
      <c r="AX163" s="1722" t="str">
        <f t="shared" si="107"/>
        <v/>
      </c>
      <c r="AY163" s="69"/>
      <c r="AZ163" s="1722" t="str">
        <f t="shared" si="108"/>
        <v/>
      </c>
      <c r="BA163" s="69"/>
      <c r="BB163" s="1723" t="str">
        <f t="shared" si="109"/>
        <v/>
      </c>
      <c r="BC163" s="69"/>
      <c r="BD163" s="1723" t="str">
        <f t="shared" si="110"/>
        <v/>
      </c>
      <c r="BE163" s="69"/>
      <c r="BF163" s="1723" t="str">
        <f t="shared" si="111"/>
        <v/>
      </c>
      <c r="BG163" s="69"/>
      <c r="BH163" s="1201" t="str">
        <f t="shared" si="112"/>
        <v/>
      </c>
      <c r="BI163" s="69"/>
      <c r="BJ163" s="1201" t="str">
        <f t="shared" si="113"/>
        <v/>
      </c>
      <c r="BK163" s="69"/>
      <c r="BL163" s="1721" t="str">
        <f t="shared" si="114"/>
        <v/>
      </c>
      <c r="BM163" s="69"/>
      <c r="BN163" s="1722">
        <f t="shared" si="115"/>
        <v>0</v>
      </c>
      <c r="BO163" s="69"/>
      <c r="BR163" s="541"/>
      <c r="BS163" s="684"/>
      <c r="BT163" s="541"/>
    </row>
    <row r="164" ht="22.5" customHeight="1">
      <c r="A164" s="1698" t="str">
        <f t="shared" si="83"/>
        <v/>
      </c>
      <c r="B164" s="1831">
        <v>3301.0</v>
      </c>
      <c r="C164" s="1700">
        <v>98.0</v>
      </c>
      <c r="D164" s="1701"/>
      <c r="E164" s="721" t="str">
        <f t="shared" si="84"/>
        <v>Салат ''Блинный'' (ветчина куриная)</v>
      </c>
      <c r="F164" s="1721" t="str">
        <f t="shared" si="85"/>
        <v/>
      </c>
      <c r="G164" s="69"/>
      <c r="H164" s="1721" t="str">
        <f t="shared" si="86"/>
        <v/>
      </c>
      <c r="I164" s="69"/>
      <c r="J164" s="1721" t="str">
        <f t="shared" si="87"/>
        <v/>
      </c>
      <c r="K164" s="69"/>
      <c r="L164" s="1721" t="str">
        <f t="shared" si="88"/>
        <v/>
      </c>
      <c r="M164" s="69"/>
      <c r="N164" s="1721" t="str">
        <f t="shared" si="89"/>
        <v/>
      </c>
      <c r="O164" s="69"/>
      <c r="P164" s="1721" t="str">
        <f t="shared" si="90"/>
        <v/>
      </c>
      <c r="Q164" s="69"/>
      <c r="R164" s="1721" t="str">
        <f t="shared" si="91"/>
        <v/>
      </c>
      <c r="S164" s="69"/>
      <c r="T164" s="1721" t="str">
        <f t="shared" si="92"/>
        <v/>
      </c>
      <c r="U164" s="69"/>
      <c r="V164" s="1721" t="str">
        <f t="shared" si="93"/>
        <v/>
      </c>
      <c r="W164" s="69"/>
      <c r="X164" s="1721" t="str">
        <f t="shared" si="94"/>
        <v/>
      </c>
      <c r="Y164" s="69"/>
      <c r="Z164" s="1721" t="str">
        <f t="shared" si="95"/>
        <v/>
      </c>
      <c r="AA164" s="69"/>
      <c r="AB164" s="1721" t="str">
        <f t="shared" si="96"/>
        <v/>
      </c>
      <c r="AC164" s="69"/>
      <c r="AD164" s="1721" t="str">
        <f t="shared" si="97"/>
        <v/>
      </c>
      <c r="AE164" s="69"/>
      <c r="AF164" s="1721" t="str">
        <f t="shared" si="98"/>
        <v/>
      </c>
      <c r="AG164" s="69"/>
      <c r="AH164" s="1721" t="str">
        <f t="shared" si="99"/>
        <v/>
      </c>
      <c r="AI164" s="69"/>
      <c r="AJ164" s="1721" t="str">
        <f t="shared" si="100"/>
        <v/>
      </c>
      <c r="AK164" s="69"/>
      <c r="AL164" s="1721" t="str">
        <f t="shared" si="101"/>
        <v/>
      </c>
      <c r="AM164" s="69"/>
      <c r="AN164" s="1721" t="str">
        <f t="shared" si="102"/>
        <v/>
      </c>
      <c r="AO164" s="69"/>
      <c r="AP164" s="1721" t="str">
        <f t="shared" si="103"/>
        <v/>
      </c>
      <c r="AQ164" s="69"/>
      <c r="AR164" s="1722" t="str">
        <f t="shared" si="104"/>
        <v/>
      </c>
      <c r="AS164" s="69"/>
      <c r="AT164" s="1722" t="str">
        <f t="shared" si="105"/>
        <v/>
      </c>
      <c r="AU164" s="69"/>
      <c r="AV164" s="1722" t="str">
        <f t="shared" si="106"/>
        <v/>
      </c>
      <c r="AW164" s="69"/>
      <c r="AX164" s="1722" t="str">
        <f t="shared" si="107"/>
        <v/>
      </c>
      <c r="AY164" s="69"/>
      <c r="AZ164" s="1722" t="str">
        <f t="shared" si="108"/>
        <v/>
      </c>
      <c r="BA164" s="69"/>
      <c r="BB164" s="1723" t="str">
        <f t="shared" si="109"/>
        <v/>
      </c>
      <c r="BC164" s="69"/>
      <c r="BD164" s="1723" t="str">
        <f t="shared" si="110"/>
        <v/>
      </c>
      <c r="BE164" s="69"/>
      <c r="BF164" s="1723" t="str">
        <f t="shared" si="111"/>
        <v/>
      </c>
      <c r="BG164" s="69"/>
      <c r="BH164" s="1201" t="str">
        <f t="shared" si="112"/>
        <v/>
      </c>
      <c r="BI164" s="69"/>
      <c r="BJ164" s="1201" t="str">
        <f t="shared" si="113"/>
        <v/>
      </c>
      <c r="BK164" s="69"/>
      <c r="BL164" s="1721" t="str">
        <f t="shared" si="114"/>
        <v/>
      </c>
      <c r="BM164" s="69"/>
      <c r="BN164" s="1722">
        <f t="shared" si="115"/>
        <v>0</v>
      </c>
      <c r="BO164" s="69"/>
      <c r="BR164" s="541"/>
      <c r="BS164" s="684"/>
      <c r="BT164" s="541"/>
    </row>
    <row r="165" ht="22.5" customHeight="1">
      <c r="A165" s="1698" t="str">
        <f t="shared" si="83"/>
        <v/>
      </c>
      <c r="B165" s="1831">
        <v>4038.0</v>
      </c>
      <c r="C165" s="1700">
        <v>98.0</v>
      </c>
      <c r="D165" s="1701"/>
      <c r="E165" s="721" t="str">
        <f t="shared" si="84"/>
        <v>Салат "Гавайский" (курица, ананас)</v>
      </c>
      <c r="F165" s="1721" t="str">
        <f t="shared" si="85"/>
        <v/>
      </c>
      <c r="G165" s="69"/>
      <c r="H165" s="1721" t="str">
        <f t="shared" si="86"/>
        <v/>
      </c>
      <c r="I165" s="69"/>
      <c r="J165" s="1721" t="str">
        <f t="shared" si="87"/>
        <v/>
      </c>
      <c r="K165" s="69"/>
      <c r="L165" s="1721" t="str">
        <f t="shared" si="88"/>
        <v/>
      </c>
      <c r="M165" s="69"/>
      <c r="N165" s="1721" t="str">
        <f t="shared" si="89"/>
        <v/>
      </c>
      <c r="O165" s="69"/>
      <c r="P165" s="1721" t="str">
        <f t="shared" si="90"/>
        <v/>
      </c>
      <c r="Q165" s="69"/>
      <c r="R165" s="1721" t="str">
        <f t="shared" si="91"/>
        <v/>
      </c>
      <c r="S165" s="69"/>
      <c r="T165" s="1721" t="str">
        <f t="shared" si="92"/>
        <v/>
      </c>
      <c r="U165" s="69"/>
      <c r="V165" s="1721" t="str">
        <f t="shared" si="93"/>
        <v/>
      </c>
      <c r="W165" s="69"/>
      <c r="X165" s="1721" t="str">
        <f t="shared" si="94"/>
        <v/>
      </c>
      <c r="Y165" s="69"/>
      <c r="Z165" s="1721" t="str">
        <f t="shared" si="95"/>
        <v/>
      </c>
      <c r="AA165" s="69"/>
      <c r="AB165" s="1721" t="str">
        <f t="shared" si="96"/>
        <v/>
      </c>
      <c r="AC165" s="69"/>
      <c r="AD165" s="1721" t="str">
        <f t="shared" si="97"/>
        <v/>
      </c>
      <c r="AE165" s="69"/>
      <c r="AF165" s="1721" t="str">
        <f t="shared" si="98"/>
        <v/>
      </c>
      <c r="AG165" s="69"/>
      <c r="AH165" s="1721" t="str">
        <f t="shared" si="99"/>
        <v/>
      </c>
      <c r="AI165" s="69"/>
      <c r="AJ165" s="1721" t="str">
        <f t="shared" si="100"/>
        <v/>
      </c>
      <c r="AK165" s="69"/>
      <c r="AL165" s="1721" t="str">
        <f t="shared" si="101"/>
        <v/>
      </c>
      <c r="AM165" s="69"/>
      <c r="AN165" s="1721" t="str">
        <f t="shared" si="102"/>
        <v/>
      </c>
      <c r="AO165" s="69"/>
      <c r="AP165" s="1721" t="str">
        <f t="shared" si="103"/>
        <v/>
      </c>
      <c r="AQ165" s="69"/>
      <c r="AR165" s="1722" t="str">
        <f t="shared" si="104"/>
        <v/>
      </c>
      <c r="AS165" s="69"/>
      <c r="AT165" s="1722" t="str">
        <f t="shared" si="105"/>
        <v/>
      </c>
      <c r="AU165" s="69"/>
      <c r="AV165" s="1722" t="str">
        <f t="shared" si="106"/>
        <v/>
      </c>
      <c r="AW165" s="69"/>
      <c r="AX165" s="1722" t="str">
        <f t="shared" si="107"/>
        <v/>
      </c>
      <c r="AY165" s="69"/>
      <c r="AZ165" s="1722" t="str">
        <f t="shared" si="108"/>
        <v/>
      </c>
      <c r="BA165" s="69"/>
      <c r="BB165" s="1723" t="str">
        <f t="shared" si="109"/>
        <v/>
      </c>
      <c r="BC165" s="69"/>
      <c r="BD165" s="1723" t="str">
        <f t="shared" si="110"/>
        <v/>
      </c>
      <c r="BE165" s="69"/>
      <c r="BF165" s="1723" t="str">
        <f t="shared" si="111"/>
        <v/>
      </c>
      <c r="BG165" s="69"/>
      <c r="BH165" s="1201" t="str">
        <f t="shared" si="112"/>
        <v/>
      </c>
      <c r="BI165" s="69"/>
      <c r="BJ165" s="1201" t="str">
        <f t="shared" si="113"/>
        <v/>
      </c>
      <c r="BK165" s="69"/>
      <c r="BL165" s="1721" t="str">
        <f t="shared" si="114"/>
        <v/>
      </c>
      <c r="BM165" s="69"/>
      <c r="BN165" s="1722">
        <f t="shared" si="115"/>
        <v>0</v>
      </c>
      <c r="BO165" s="69"/>
      <c r="BR165" s="541"/>
      <c r="BS165" s="684"/>
      <c r="BT165" s="541"/>
    </row>
    <row r="166" ht="22.5" customHeight="1">
      <c r="A166" s="1698" t="str">
        <f t="shared" si="83"/>
        <v/>
      </c>
      <c r="B166" s="1831">
        <v>4034.0</v>
      </c>
      <c r="C166" s="1700">
        <v>168.0</v>
      </c>
      <c r="D166" s="1701"/>
      <c r="E166" s="721" t="str">
        <f t="shared" si="84"/>
        <v>Гранатовый браслет 220гр </v>
      </c>
      <c r="F166" s="1721" t="str">
        <f t="shared" si="85"/>
        <v/>
      </c>
      <c r="G166" s="69"/>
      <c r="H166" s="1721" t="str">
        <f t="shared" si="86"/>
        <v/>
      </c>
      <c r="I166" s="69"/>
      <c r="J166" s="1721" t="str">
        <f t="shared" si="87"/>
        <v/>
      </c>
      <c r="K166" s="69"/>
      <c r="L166" s="1721" t="str">
        <f t="shared" si="88"/>
        <v/>
      </c>
      <c r="M166" s="69"/>
      <c r="N166" s="1721" t="str">
        <f t="shared" si="89"/>
        <v/>
      </c>
      <c r="O166" s="69"/>
      <c r="P166" s="1721" t="str">
        <f t="shared" si="90"/>
        <v/>
      </c>
      <c r="Q166" s="69"/>
      <c r="R166" s="1721" t="str">
        <f t="shared" si="91"/>
        <v/>
      </c>
      <c r="S166" s="69"/>
      <c r="T166" s="1721" t="str">
        <f t="shared" si="92"/>
        <v/>
      </c>
      <c r="U166" s="69"/>
      <c r="V166" s="1721" t="str">
        <f t="shared" si="93"/>
        <v/>
      </c>
      <c r="W166" s="69"/>
      <c r="X166" s="1721" t="str">
        <f t="shared" si="94"/>
        <v/>
      </c>
      <c r="Y166" s="69"/>
      <c r="Z166" s="1721" t="str">
        <f t="shared" si="95"/>
        <v/>
      </c>
      <c r="AA166" s="69"/>
      <c r="AB166" s="1721" t="str">
        <f t="shared" si="96"/>
        <v/>
      </c>
      <c r="AC166" s="69"/>
      <c r="AD166" s="1721" t="str">
        <f t="shared" si="97"/>
        <v/>
      </c>
      <c r="AE166" s="69"/>
      <c r="AF166" s="1721" t="str">
        <f t="shared" si="98"/>
        <v/>
      </c>
      <c r="AG166" s="69"/>
      <c r="AH166" s="1721" t="str">
        <f t="shared" si="99"/>
        <v/>
      </c>
      <c r="AI166" s="69"/>
      <c r="AJ166" s="1721" t="str">
        <f t="shared" si="100"/>
        <v/>
      </c>
      <c r="AK166" s="69"/>
      <c r="AL166" s="1721" t="str">
        <f t="shared" si="101"/>
        <v/>
      </c>
      <c r="AM166" s="69"/>
      <c r="AN166" s="1721" t="str">
        <f t="shared" si="102"/>
        <v/>
      </c>
      <c r="AO166" s="69"/>
      <c r="AP166" s="1721" t="str">
        <f t="shared" si="103"/>
        <v/>
      </c>
      <c r="AQ166" s="69"/>
      <c r="AR166" s="1722" t="str">
        <f t="shared" si="104"/>
        <v/>
      </c>
      <c r="AS166" s="69"/>
      <c r="AT166" s="1722" t="str">
        <f t="shared" si="105"/>
        <v/>
      </c>
      <c r="AU166" s="69"/>
      <c r="AV166" s="1722" t="str">
        <f t="shared" si="106"/>
        <v/>
      </c>
      <c r="AW166" s="69"/>
      <c r="AX166" s="1722" t="str">
        <f t="shared" si="107"/>
        <v/>
      </c>
      <c r="AY166" s="69"/>
      <c r="AZ166" s="1722" t="str">
        <f t="shared" si="108"/>
        <v/>
      </c>
      <c r="BA166" s="69"/>
      <c r="BB166" s="1723" t="str">
        <f t="shared" si="109"/>
        <v/>
      </c>
      <c r="BC166" s="69"/>
      <c r="BD166" s="1723" t="str">
        <f t="shared" si="110"/>
        <v/>
      </c>
      <c r="BE166" s="69"/>
      <c r="BF166" s="1723" t="str">
        <f t="shared" si="111"/>
        <v/>
      </c>
      <c r="BG166" s="69"/>
      <c r="BH166" s="1201" t="str">
        <f t="shared" si="112"/>
        <v/>
      </c>
      <c r="BI166" s="69"/>
      <c r="BJ166" s="1201" t="str">
        <f t="shared" si="113"/>
        <v/>
      </c>
      <c r="BK166" s="69"/>
      <c r="BL166" s="1721" t="str">
        <f t="shared" si="114"/>
        <v/>
      </c>
      <c r="BM166" s="69"/>
      <c r="BN166" s="1722">
        <f t="shared" si="115"/>
        <v>0</v>
      </c>
      <c r="BO166" s="69"/>
      <c r="BR166" s="541"/>
      <c r="BS166" s="684"/>
      <c r="BT166" s="541"/>
    </row>
    <row r="167" ht="22.5" customHeight="1">
      <c r="A167" s="1698" t="str">
        <f t="shared" si="83"/>
        <v/>
      </c>
      <c r="B167" s="1831">
        <v>386.0</v>
      </c>
      <c r="C167" s="1700">
        <v>88.0</v>
      </c>
      <c r="D167" s="1701"/>
      <c r="E167" s="721" t="str">
        <f t="shared" si="84"/>
        <v>Суп ''Харчо'' с курицей</v>
      </c>
      <c r="F167" s="1721" t="str">
        <f t="shared" si="85"/>
        <v/>
      </c>
      <c r="G167" s="69"/>
      <c r="H167" s="1721" t="str">
        <f t="shared" si="86"/>
        <v/>
      </c>
      <c r="I167" s="69"/>
      <c r="J167" s="1721" t="str">
        <f t="shared" si="87"/>
        <v/>
      </c>
      <c r="K167" s="69"/>
      <c r="L167" s="1721" t="str">
        <f t="shared" si="88"/>
        <v/>
      </c>
      <c r="M167" s="69"/>
      <c r="N167" s="1721" t="str">
        <f t="shared" si="89"/>
        <v/>
      </c>
      <c r="O167" s="69"/>
      <c r="P167" s="1721" t="str">
        <f t="shared" si="90"/>
        <v/>
      </c>
      <c r="Q167" s="69"/>
      <c r="R167" s="1721" t="str">
        <f t="shared" si="91"/>
        <v/>
      </c>
      <c r="S167" s="69"/>
      <c r="T167" s="1721" t="str">
        <f t="shared" si="92"/>
        <v/>
      </c>
      <c r="U167" s="69"/>
      <c r="V167" s="1721" t="str">
        <f t="shared" si="93"/>
        <v/>
      </c>
      <c r="W167" s="69"/>
      <c r="X167" s="1721" t="str">
        <f t="shared" si="94"/>
        <v/>
      </c>
      <c r="Y167" s="69"/>
      <c r="Z167" s="1721" t="str">
        <f t="shared" si="95"/>
        <v/>
      </c>
      <c r="AA167" s="69"/>
      <c r="AB167" s="1721" t="str">
        <f t="shared" si="96"/>
        <v/>
      </c>
      <c r="AC167" s="69"/>
      <c r="AD167" s="1721" t="str">
        <f t="shared" si="97"/>
        <v/>
      </c>
      <c r="AE167" s="69"/>
      <c r="AF167" s="1721" t="str">
        <f t="shared" si="98"/>
        <v/>
      </c>
      <c r="AG167" s="69"/>
      <c r="AH167" s="1721" t="str">
        <f t="shared" si="99"/>
        <v/>
      </c>
      <c r="AI167" s="69"/>
      <c r="AJ167" s="1721" t="str">
        <f t="shared" si="100"/>
        <v/>
      </c>
      <c r="AK167" s="69"/>
      <c r="AL167" s="1721" t="str">
        <f t="shared" si="101"/>
        <v/>
      </c>
      <c r="AM167" s="69"/>
      <c r="AN167" s="1721" t="str">
        <f t="shared" si="102"/>
        <v/>
      </c>
      <c r="AO167" s="69"/>
      <c r="AP167" s="1721" t="str">
        <f t="shared" si="103"/>
        <v/>
      </c>
      <c r="AQ167" s="69"/>
      <c r="AR167" s="1722" t="str">
        <f t="shared" si="104"/>
        <v/>
      </c>
      <c r="AS167" s="69"/>
      <c r="AT167" s="1722" t="str">
        <f t="shared" si="105"/>
        <v/>
      </c>
      <c r="AU167" s="69"/>
      <c r="AV167" s="1722" t="str">
        <f t="shared" si="106"/>
        <v/>
      </c>
      <c r="AW167" s="69"/>
      <c r="AX167" s="1722" t="str">
        <f t="shared" si="107"/>
        <v/>
      </c>
      <c r="AY167" s="69"/>
      <c r="AZ167" s="1722" t="str">
        <f t="shared" si="108"/>
        <v/>
      </c>
      <c r="BA167" s="69"/>
      <c r="BB167" s="1723" t="str">
        <f t="shared" si="109"/>
        <v/>
      </c>
      <c r="BC167" s="69"/>
      <c r="BD167" s="1723" t="str">
        <f t="shared" si="110"/>
        <v/>
      </c>
      <c r="BE167" s="69"/>
      <c r="BF167" s="1723" t="str">
        <f t="shared" si="111"/>
        <v/>
      </c>
      <c r="BG167" s="69"/>
      <c r="BH167" s="1201" t="str">
        <f t="shared" si="112"/>
        <v/>
      </c>
      <c r="BI167" s="69"/>
      <c r="BJ167" s="1201" t="str">
        <f t="shared" si="113"/>
        <v/>
      </c>
      <c r="BK167" s="69"/>
      <c r="BL167" s="1721" t="str">
        <f t="shared" si="114"/>
        <v/>
      </c>
      <c r="BM167" s="69"/>
      <c r="BN167" s="1722">
        <f t="shared" si="115"/>
        <v>0</v>
      </c>
      <c r="BO167" s="69"/>
      <c r="BR167" s="541"/>
      <c r="BS167" s="684"/>
      <c r="BT167" s="541"/>
    </row>
    <row r="168" ht="22.5" customHeight="1">
      <c r="A168" s="1698" t="str">
        <f t="shared" si="83"/>
        <v/>
      </c>
      <c r="B168" s="1831">
        <v>4274.0</v>
      </c>
      <c r="C168" s="1700">
        <v>139.0</v>
      </c>
      <c r="D168" s="1701"/>
      <c r="E168" s="721" t="str">
        <f t="shared" si="84"/>
        <v>Крем-суп из брокколи</v>
      </c>
      <c r="F168" s="1721" t="str">
        <f t="shared" si="85"/>
        <v/>
      </c>
      <c r="G168" s="69"/>
      <c r="H168" s="1721" t="str">
        <f t="shared" si="86"/>
        <v/>
      </c>
      <c r="I168" s="69"/>
      <c r="J168" s="1721" t="str">
        <f t="shared" si="87"/>
        <v/>
      </c>
      <c r="K168" s="69"/>
      <c r="L168" s="1721" t="str">
        <f t="shared" si="88"/>
        <v/>
      </c>
      <c r="M168" s="69"/>
      <c r="N168" s="1721" t="str">
        <f t="shared" si="89"/>
        <v/>
      </c>
      <c r="O168" s="69"/>
      <c r="P168" s="1721" t="str">
        <f t="shared" si="90"/>
        <v/>
      </c>
      <c r="Q168" s="69"/>
      <c r="R168" s="1721" t="str">
        <f t="shared" si="91"/>
        <v/>
      </c>
      <c r="S168" s="69"/>
      <c r="T168" s="1721" t="str">
        <f t="shared" si="92"/>
        <v/>
      </c>
      <c r="U168" s="69"/>
      <c r="V168" s="1721" t="str">
        <f t="shared" si="93"/>
        <v/>
      </c>
      <c r="W168" s="69"/>
      <c r="X168" s="1721" t="str">
        <f t="shared" si="94"/>
        <v/>
      </c>
      <c r="Y168" s="69"/>
      <c r="Z168" s="1721" t="str">
        <f t="shared" si="95"/>
        <v/>
      </c>
      <c r="AA168" s="69"/>
      <c r="AB168" s="1721" t="str">
        <f t="shared" si="96"/>
        <v/>
      </c>
      <c r="AC168" s="69"/>
      <c r="AD168" s="1721" t="str">
        <f t="shared" si="97"/>
        <v/>
      </c>
      <c r="AE168" s="69"/>
      <c r="AF168" s="1721" t="str">
        <f t="shared" si="98"/>
        <v/>
      </c>
      <c r="AG168" s="69"/>
      <c r="AH168" s="1721" t="str">
        <f t="shared" si="99"/>
        <v/>
      </c>
      <c r="AI168" s="69"/>
      <c r="AJ168" s="1721" t="str">
        <f t="shared" si="100"/>
        <v/>
      </c>
      <c r="AK168" s="69"/>
      <c r="AL168" s="1721" t="str">
        <f t="shared" si="101"/>
        <v/>
      </c>
      <c r="AM168" s="69"/>
      <c r="AN168" s="1721" t="str">
        <f t="shared" si="102"/>
        <v/>
      </c>
      <c r="AO168" s="69"/>
      <c r="AP168" s="1721" t="str">
        <f t="shared" si="103"/>
        <v/>
      </c>
      <c r="AQ168" s="69"/>
      <c r="AR168" s="1722" t="str">
        <f t="shared" si="104"/>
        <v/>
      </c>
      <c r="AS168" s="69"/>
      <c r="AT168" s="1722" t="str">
        <f t="shared" si="105"/>
        <v/>
      </c>
      <c r="AU168" s="69"/>
      <c r="AV168" s="1722" t="str">
        <f t="shared" si="106"/>
        <v/>
      </c>
      <c r="AW168" s="69"/>
      <c r="AX168" s="1722" t="str">
        <f t="shared" si="107"/>
        <v/>
      </c>
      <c r="AY168" s="69"/>
      <c r="AZ168" s="1722" t="str">
        <f t="shared" si="108"/>
        <v/>
      </c>
      <c r="BA168" s="69"/>
      <c r="BB168" s="1723" t="str">
        <f t="shared" si="109"/>
        <v/>
      </c>
      <c r="BC168" s="69"/>
      <c r="BD168" s="1723" t="str">
        <f t="shared" si="110"/>
        <v/>
      </c>
      <c r="BE168" s="69"/>
      <c r="BF168" s="1723" t="str">
        <f t="shared" si="111"/>
        <v/>
      </c>
      <c r="BG168" s="69"/>
      <c r="BH168" s="1201" t="str">
        <f t="shared" si="112"/>
        <v/>
      </c>
      <c r="BI168" s="69"/>
      <c r="BJ168" s="1201" t="str">
        <f t="shared" si="113"/>
        <v/>
      </c>
      <c r="BK168" s="69"/>
      <c r="BL168" s="1721" t="str">
        <f t="shared" si="114"/>
        <v/>
      </c>
      <c r="BM168" s="69"/>
      <c r="BN168" s="1722">
        <f t="shared" si="115"/>
        <v>0</v>
      </c>
      <c r="BO168" s="69"/>
      <c r="BR168" s="541"/>
      <c r="BS168" s="684"/>
      <c r="BT168" s="541"/>
    </row>
    <row r="169" ht="22.5" customHeight="1">
      <c r="A169" s="1698" t="str">
        <f t="shared" si="83"/>
        <v/>
      </c>
      <c r="B169" s="1831">
        <v>761.0</v>
      </c>
      <c r="C169" s="1700">
        <v>238.0</v>
      </c>
      <c r="D169" s="1701"/>
      <c r="E169" s="721" t="str">
        <f t="shared" si="84"/>
        <v>Бризоль с рисом и овощами</v>
      </c>
      <c r="F169" s="1721" t="str">
        <f t="shared" si="85"/>
        <v/>
      </c>
      <c r="G169" s="69"/>
      <c r="H169" s="1721" t="str">
        <f t="shared" si="86"/>
        <v/>
      </c>
      <c r="I169" s="69"/>
      <c r="J169" s="1721" t="str">
        <f t="shared" si="87"/>
        <v/>
      </c>
      <c r="K169" s="69"/>
      <c r="L169" s="1721" t="str">
        <f t="shared" si="88"/>
        <v/>
      </c>
      <c r="M169" s="69"/>
      <c r="N169" s="1721" t="str">
        <f t="shared" si="89"/>
        <v/>
      </c>
      <c r="O169" s="69"/>
      <c r="P169" s="1721" t="str">
        <f t="shared" si="90"/>
        <v/>
      </c>
      <c r="Q169" s="69"/>
      <c r="R169" s="1721" t="str">
        <f t="shared" si="91"/>
        <v/>
      </c>
      <c r="S169" s="69"/>
      <c r="T169" s="1721" t="str">
        <f t="shared" si="92"/>
        <v/>
      </c>
      <c r="U169" s="69"/>
      <c r="V169" s="1721" t="str">
        <f t="shared" si="93"/>
        <v/>
      </c>
      <c r="W169" s="69"/>
      <c r="X169" s="1721" t="str">
        <f t="shared" si="94"/>
        <v/>
      </c>
      <c r="Y169" s="69"/>
      <c r="Z169" s="1721" t="str">
        <f t="shared" si="95"/>
        <v/>
      </c>
      <c r="AA169" s="69"/>
      <c r="AB169" s="1721" t="str">
        <f t="shared" si="96"/>
        <v/>
      </c>
      <c r="AC169" s="69"/>
      <c r="AD169" s="1721" t="str">
        <f t="shared" si="97"/>
        <v/>
      </c>
      <c r="AE169" s="69"/>
      <c r="AF169" s="1721" t="str">
        <f t="shared" si="98"/>
        <v/>
      </c>
      <c r="AG169" s="69"/>
      <c r="AH169" s="1721" t="str">
        <f t="shared" si="99"/>
        <v/>
      </c>
      <c r="AI169" s="69"/>
      <c r="AJ169" s="1721" t="str">
        <f t="shared" si="100"/>
        <v/>
      </c>
      <c r="AK169" s="69"/>
      <c r="AL169" s="1721" t="str">
        <f t="shared" si="101"/>
        <v/>
      </c>
      <c r="AM169" s="69"/>
      <c r="AN169" s="1721" t="str">
        <f t="shared" si="102"/>
        <v/>
      </c>
      <c r="AO169" s="69"/>
      <c r="AP169" s="1721" t="str">
        <f t="shared" si="103"/>
        <v/>
      </c>
      <c r="AQ169" s="69"/>
      <c r="AR169" s="1722" t="str">
        <f t="shared" si="104"/>
        <v/>
      </c>
      <c r="AS169" s="69"/>
      <c r="AT169" s="1722" t="str">
        <f t="shared" si="105"/>
        <v/>
      </c>
      <c r="AU169" s="69"/>
      <c r="AV169" s="1722" t="str">
        <f t="shared" si="106"/>
        <v/>
      </c>
      <c r="AW169" s="69"/>
      <c r="AX169" s="1722" t="str">
        <f t="shared" si="107"/>
        <v/>
      </c>
      <c r="AY169" s="69"/>
      <c r="AZ169" s="1722" t="str">
        <f t="shared" si="108"/>
        <v/>
      </c>
      <c r="BA169" s="69"/>
      <c r="BB169" s="1723" t="str">
        <f t="shared" si="109"/>
        <v/>
      </c>
      <c r="BC169" s="69"/>
      <c r="BD169" s="1723" t="str">
        <f t="shared" si="110"/>
        <v/>
      </c>
      <c r="BE169" s="69"/>
      <c r="BF169" s="1723" t="str">
        <f t="shared" si="111"/>
        <v/>
      </c>
      <c r="BG169" s="69"/>
      <c r="BH169" s="1201" t="str">
        <f t="shared" si="112"/>
        <v/>
      </c>
      <c r="BI169" s="69"/>
      <c r="BJ169" s="1201" t="str">
        <f t="shared" si="113"/>
        <v/>
      </c>
      <c r="BK169" s="69"/>
      <c r="BL169" s="1721" t="str">
        <f t="shared" si="114"/>
        <v/>
      </c>
      <c r="BM169" s="69"/>
      <c r="BN169" s="1722">
        <f t="shared" si="115"/>
        <v>0</v>
      </c>
      <c r="BO169" s="69"/>
      <c r="BR169" s="541"/>
      <c r="BS169" s="684"/>
      <c r="BT169" s="541"/>
    </row>
    <row r="170" ht="22.5" customHeight="1">
      <c r="A170" s="1698" t="str">
        <f t="shared" si="83"/>
        <v/>
      </c>
      <c r="B170" s="1831">
        <v>4172.0</v>
      </c>
      <c r="C170" s="1700">
        <v>210.0</v>
      </c>
      <c r="D170" s="1701"/>
      <c r="E170" s="721" t="str">
        <f t="shared" si="84"/>
        <v>Свинина в соусе тонкацу со спагетти </v>
      </c>
      <c r="F170" s="1721" t="str">
        <f t="shared" si="85"/>
        <v/>
      </c>
      <c r="G170" s="69"/>
      <c r="H170" s="1721" t="str">
        <f t="shared" si="86"/>
        <v/>
      </c>
      <c r="I170" s="69"/>
      <c r="J170" s="1721" t="str">
        <f t="shared" si="87"/>
        <v/>
      </c>
      <c r="K170" s="69"/>
      <c r="L170" s="1721" t="str">
        <f t="shared" si="88"/>
        <v/>
      </c>
      <c r="M170" s="69"/>
      <c r="N170" s="1721" t="str">
        <f t="shared" si="89"/>
        <v/>
      </c>
      <c r="O170" s="69"/>
      <c r="P170" s="1721" t="str">
        <f t="shared" si="90"/>
        <v/>
      </c>
      <c r="Q170" s="69"/>
      <c r="R170" s="1721" t="str">
        <f t="shared" si="91"/>
        <v/>
      </c>
      <c r="S170" s="69"/>
      <c r="T170" s="1721" t="str">
        <f t="shared" si="92"/>
        <v/>
      </c>
      <c r="U170" s="69"/>
      <c r="V170" s="1721" t="str">
        <f t="shared" si="93"/>
        <v/>
      </c>
      <c r="W170" s="69"/>
      <c r="X170" s="1721" t="str">
        <f t="shared" si="94"/>
        <v/>
      </c>
      <c r="Y170" s="69"/>
      <c r="Z170" s="1721" t="str">
        <f t="shared" si="95"/>
        <v/>
      </c>
      <c r="AA170" s="69"/>
      <c r="AB170" s="1721" t="str">
        <f t="shared" si="96"/>
        <v/>
      </c>
      <c r="AC170" s="69"/>
      <c r="AD170" s="1721" t="str">
        <f t="shared" si="97"/>
        <v/>
      </c>
      <c r="AE170" s="69"/>
      <c r="AF170" s="1721" t="str">
        <f t="shared" si="98"/>
        <v/>
      </c>
      <c r="AG170" s="69"/>
      <c r="AH170" s="1721" t="str">
        <f t="shared" si="99"/>
        <v/>
      </c>
      <c r="AI170" s="69"/>
      <c r="AJ170" s="1721" t="str">
        <f t="shared" si="100"/>
        <v/>
      </c>
      <c r="AK170" s="69"/>
      <c r="AL170" s="1721" t="str">
        <f t="shared" si="101"/>
        <v/>
      </c>
      <c r="AM170" s="69"/>
      <c r="AN170" s="1721" t="str">
        <f t="shared" si="102"/>
        <v/>
      </c>
      <c r="AO170" s="69"/>
      <c r="AP170" s="1721" t="str">
        <f t="shared" si="103"/>
        <v/>
      </c>
      <c r="AQ170" s="69"/>
      <c r="AR170" s="1722" t="str">
        <f t="shared" si="104"/>
        <v/>
      </c>
      <c r="AS170" s="69"/>
      <c r="AT170" s="1722" t="str">
        <f t="shared" si="105"/>
        <v/>
      </c>
      <c r="AU170" s="69"/>
      <c r="AV170" s="1722" t="str">
        <f t="shared" si="106"/>
        <v/>
      </c>
      <c r="AW170" s="69"/>
      <c r="AX170" s="1722" t="str">
        <f t="shared" si="107"/>
        <v/>
      </c>
      <c r="AY170" s="69"/>
      <c r="AZ170" s="1722" t="str">
        <f t="shared" si="108"/>
        <v/>
      </c>
      <c r="BA170" s="69"/>
      <c r="BB170" s="1723" t="str">
        <f t="shared" si="109"/>
        <v/>
      </c>
      <c r="BC170" s="69"/>
      <c r="BD170" s="1723" t="str">
        <f t="shared" si="110"/>
        <v/>
      </c>
      <c r="BE170" s="69"/>
      <c r="BF170" s="1723" t="str">
        <f t="shared" si="111"/>
        <v/>
      </c>
      <c r="BG170" s="69"/>
      <c r="BH170" s="1201" t="str">
        <f t="shared" si="112"/>
        <v/>
      </c>
      <c r="BI170" s="69"/>
      <c r="BJ170" s="1201" t="str">
        <f t="shared" si="113"/>
        <v/>
      </c>
      <c r="BK170" s="69"/>
      <c r="BL170" s="1721" t="str">
        <f t="shared" si="114"/>
        <v/>
      </c>
      <c r="BM170" s="69"/>
      <c r="BN170" s="1722">
        <f t="shared" si="115"/>
        <v>0</v>
      </c>
      <c r="BO170" s="69"/>
      <c r="BR170" s="541"/>
      <c r="BS170" s="684"/>
      <c r="BT170" s="541"/>
    </row>
    <row r="171" ht="22.5" customHeight="1">
      <c r="A171" s="1698" t="str">
        <f t="shared" si="83"/>
        <v/>
      </c>
      <c r="B171" s="1831">
        <v>4237.0</v>
      </c>
      <c r="C171" s="1700">
        <v>210.0</v>
      </c>
      <c r="D171" s="1701"/>
      <c r="E171" s="721" t="str">
        <f t="shared" si="84"/>
        <v>Свинина в соусе тонкацу с картофелем </v>
      </c>
      <c r="F171" s="1721" t="str">
        <f t="shared" si="85"/>
        <v/>
      </c>
      <c r="G171" s="69"/>
      <c r="H171" s="1721" t="str">
        <f t="shared" si="86"/>
        <v/>
      </c>
      <c r="I171" s="69"/>
      <c r="J171" s="1721" t="str">
        <f t="shared" si="87"/>
        <v/>
      </c>
      <c r="K171" s="69"/>
      <c r="L171" s="1721" t="str">
        <f t="shared" si="88"/>
        <v/>
      </c>
      <c r="M171" s="69"/>
      <c r="N171" s="1721" t="str">
        <f t="shared" si="89"/>
        <v/>
      </c>
      <c r="O171" s="69"/>
      <c r="P171" s="1721" t="str">
        <f t="shared" si="90"/>
        <v/>
      </c>
      <c r="Q171" s="69"/>
      <c r="R171" s="1721" t="str">
        <f t="shared" si="91"/>
        <v/>
      </c>
      <c r="S171" s="69"/>
      <c r="T171" s="1721" t="str">
        <f t="shared" si="92"/>
        <v/>
      </c>
      <c r="U171" s="69"/>
      <c r="V171" s="1721" t="str">
        <f t="shared" si="93"/>
        <v/>
      </c>
      <c r="W171" s="69"/>
      <c r="X171" s="1721" t="str">
        <f t="shared" si="94"/>
        <v/>
      </c>
      <c r="Y171" s="69"/>
      <c r="Z171" s="1721" t="str">
        <f t="shared" si="95"/>
        <v/>
      </c>
      <c r="AA171" s="69"/>
      <c r="AB171" s="1721" t="str">
        <f t="shared" si="96"/>
        <v/>
      </c>
      <c r="AC171" s="69"/>
      <c r="AD171" s="1721" t="str">
        <f t="shared" si="97"/>
        <v/>
      </c>
      <c r="AE171" s="69"/>
      <c r="AF171" s="1721" t="str">
        <f t="shared" si="98"/>
        <v/>
      </c>
      <c r="AG171" s="69"/>
      <c r="AH171" s="1721" t="str">
        <f t="shared" si="99"/>
        <v/>
      </c>
      <c r="AI171" s="69"/>
      <c r="AJ171" s="1721" t="str">
        <f t="shared" si="100"/>
        <v/>
      </c>
      <c r="AK171" s="69"/>
      <c r="AL171" s="1721" t="str">
        <f t="shared" si="101"/>
        <v/>
      </c>
      <c r="AM171" s="69"/>
      <c r="AN171" s="1721" t="str">
        <f t="shared" si="102"/>
        <v/>
      </c>
      <c r="AO171" s="69"/>
      <c r="AP171" s="1721" t="str">
        <f t="shared" si="103"/>
        <v/>
      </c>
      <c r="AQ171" s="69"/>
      <c r="AR171" s="1722" t="str">
        <f t="shared" si="104"/>
        <v/>
      </c>
      <c r="AS171" s="69"/>
      <c r="AT171" s="1722" t="str">
        <f t="shared" si="105"/>
        <v/>
      </c>
      <c r="AU171" s="69"/>
      <c r="AV171" s="1722" t="str">
        <f t="shared" si="106"/>
        <v/>
      </c>
      <c r="AW171" s="69"/>
      <c r="AX171" s="1722" t="str">
        <f t="shared" si="107"/>
        <v/>
      </c>
      <c r="AY171" s="69"/>
      <c r="AZ171" s="1722" t="str">
        <f t="shared" si="108"/>
        <v/>
      </c>
      <c r="BA171" s="69"/>
      <c r="BB171" s="1723" t="str">
        <f t="shared" si="109"/>
        <v/>
      </c>
      <c r="BC171" s="69"/>
      <c r="BD171" s="1723" t="str">
        <f t="shared" si="110"/>
        <v/>
      </c>
      <c r="BE171" s="69"/>
      <c r="BF171" s="1723" t="str">
        <f t="shared" si="111"/>
        <v/>
      </c>
      <c r="BG171" s="69"/>
      <c r="BH171" s="1201" t="str">
        <f t="shared" si="112"/>
        <v/>
      </c>
      <c r="BI171" s="69"/>
      <c r="BJ171" s="1201" t="str">
        <f t="shared" si="113"/>
        <v/>
      </c>
      <c r="BK171" s="69"/>
      <c r="BL171" s="1721" t="str">
        <f t="shared" si="114"/>
        <v/>
      </c>
      <c r="BM171" s="69"/>
      <c r="BN171" s="1722">
        <f t="shared" si="115"/>
        <v>0</v>
      </c>
      <c r="BO171" s="69"/>
      <c r="BR171" s="684"/>
      <c r="BS171" s="684"/>
      <c r="BT171" s="541"/>
    </row>
    <row r="172" ht="22.5" customHeight="1">
      <c r="A172" s="1698" t="str">
        <f t="shared" si="83"/>
        <v/>
      </c>
      <c r="B172" s="1831">
        <v>3437.0</v>
      </c>
      <c r="C172" s="1700">
        <v>198.0</v>
      </c>
      <c r="D172" s="1701"/>
      <c r="E172" s="721" t="str">
        <f t="shared" si="84"/>
        <v>Макароны по-флотски</v>
      </c>
      <c r="F172" s="1721" t="str">
        <f t="shared" si="85"/>
        <v/>
      </c>
      <c r="G172" s="69"/>
      <c r="H172" s="1721" t="str">
        <f t="shared" si="86"/>
        <v/>
      </c>
      <c r="I172" s="69"/>
      <c r="J172" s="1721" t="str">
        <f t="shared" si="87"/>
        <v/>
      </c>
      <c r="K172" s="69"/>
      <c r="L172" s="1721" t="str">
        <f t="shared" si="88"/>
        <v/>
      </c>
      <c r="M172" s="69"/>
      <c r="N172" s="1721" t="str">
        <f t="shared" si="89"/>
        <v/>
      </c>
      <c r="O172" s="69"/>
      <c r="P172" s="1721" t="str">
        <f t="shared" si="90"/>
        <v/>
      </c>
      <c r="Q172" s="69"/>
      <c r="R172" s="1721" t="str">
        <f t="shared" si="91"/>
        <v/>
      </c>
      <c r="S172" s="69"/>
      <c r="T172" s="1721" t="str">
        <f t="shared" si="92"/>
        <v/>
      </c>
      <c r="U172" s="69"/>
      <c r="V172" s="1721" t="str">
        <f t="shared" si="93"/>
        <v/>
      </c>
      <c r="W172" s="69"/>
      <c r="X172" s="1721" t="str">
        <f t="shared" si="94"/>
        <v/>
      </c>
      <c r="Y172" s="69"/>
      <c r="Z172" s="1721" t="str">
        <f t="shared" si="95"/>
        <v/>
      </c>
      <c r="AA172" s="69"/>
      <c r="AB172" s="1721" t="str">
        <f t="shared" si="96"/>
        <v/>
      </c>
      <c r="AC172" s="69"/>
      <c r="AD172" s="1721" t="str">
        <f t="shared" si="97"/>
        <v/>
      </c>
      <c r="AE172" s="69"/>
      <c r="AF172" s="1721" t="str">
        <f t="shared" si="98"/>
        <v/>
      </c>
      <c r="AG172" s="69"/>
      <c r="AH172" s="1721" t="str">
        <f t="shared" si="99"/>
        <v/>
      </c>
      <c r="AI172" s="69"/>
      <c r="AJ172" s="1721" t="str">
        <f t="shared" si="100"/>
        <v/>
      </c>
      <c r="AK172" s="69"/>
      <c r="AL172" s="1721" t="str">
        <f t="shared" si="101"/>
        <v/>
      </c>
      <c r="AM172" s="69"/>
      <c r="AN172" s="1721" t="str">
        <f t="shared" si="102"/>
        <v/>
      </c>
      <c r="AO172" s="69"/>
      <c r="AP172" s="1721" t="str">
        <f t="shared" si="103"/>
        <v/>
      </c>
      <c r="AQ172" s="69"/>
      <c r="AR172" s="1722" t="str">
        <f t="shared" si="104"/>
        <v/>
      </c>
      <c r="AS172" s="69"/>
      <c r="AT172" s="1722" t="str">
        <f t="shared" si="105"/>
        <v/>
      </c>
      <c r="AU172" s="69"/>
      <c r="AV172" s="1722" t="str">
        <f t="shared" si="106"/>
        <v/>
      </c>
      <c r="AW172" s="69"/>
      <c r="AX172" s="1722" t="str">
        <f t="shared" si="107"/>
        <v/>
      </c>
      <c r="AY172" s="69"/>
      <c r="AZ172" s="1722" t="str">
        <f t="shared" si="108"/>
        <v/>
      </c>
      <c r="BA172" s="69"/>
      <c r="BB172" s="1723" t="str">
        <f t="shared" si="109"/>
        <v/>
      </c>
      <c r="BC172" s="69"/>
      <c r="BD172" s="1723" t="str">
        <f t="shared" si="110"/>
        <v/>
      </c>
      <c r="BE172" s="69"/>
      <c r="BF172" s="1723" t="str">
        <f t="shared" si="111"/>
        <v/>
      </c>
      <c r="BG172" s="69"/>
      <c r="BH172" s="1201" t="str">
        <f t="shared" si="112"/>
        <v/>
      </c>
      <c r="BI172" s="69"/>
      <c r="BJ172" s="1201" t="str">
        <f t="shared" si="113"/>
        <v/>
      </c>
      <c r="BK172" s="69"/>
      <c r="BL172" s="1721" t="str">
        <f t="shared" si="114"/>
        <v/>
      </c>
      <c r="BM172" s="69"/>
      <c r="BN172" s="1722">
        <f t="shared" si="115"/>
        <v>0</v>
      </c>
      <c r="BO172" s="69"/>
      <c r="BR172" s="684"/>
      <c r="BS172" s="684"/>
      <c r="BT172" s="541"/>
    </row>
    <row r="173" ht="22.5" customHeight="1">
      <c r="A173" s="1698" t="str">
        <f t="shared" si="83"/>
        <v/>
      </c>
      <c r="B173" s="1831">
        <v>763.0</v>
      </c>
      <c r="C173" s="1700">
        <v>208.0</v>
      </c>
      <c r="D173" s="1701"/>
      <c r="E173" s="721" t="str">
        <f t="shared" si="84"/>
        <v>Котлета куриная с картофельным пюре</v>
      </c>
      <c r="F173" s="1721" t="str">
        <f t="shared" si="85"/>
        <v/>
      </c>
      <c r="G173" s="69"/>
      <c r="H173" s="1721" t="str">
        <f t="shared" si="86"/>
        <v/>
      </c>
      <c r="I173" s="69"/>
      <c r="J173" s="1721" t="str">
        <f t="shared" si="87"/>
        <v/>
      </c>
      <c r="K173" s="69"/>
      <c r="L173" s="1721" t="str">
        <f t="shared" si="88"/>
        <v/>
      </c>
      <c r="M173" s="69"/>
      <c r="N173" s="1721" t="str">
        <f t="shared" si="89"/>
        <v/>
      </c>
      <c r="O173" s="69"/>
      <c r="P173" s="1721" t="str">
        <f t="shared" si="90"/>
        <v/>
      </c>
      <c r="Q173" s="69"/>
      <c r="R173" s="1721" t="str">
        <f t="shared" si="91"/>
        <v/>
      </c>
      <c r="S173" s="69"/>
      <c r="T173" s="1721" t="str">
        <f t="shared" si="92"/>
        <v/>
      </c>
      <c r="U173" s="69"/>
      <c r="V173" s="1721" t="str">
        <f t="shared" si="93"/>
        <v/>
      </c>
      <c r="W173" s="69"/>
      <c r="X173" s="1721" t="str">
        <f t="shared" si="94"/>
        <v/>
      </c>
      <c r="Y173" s="69"/>
      <c r="Z173" s="1721" t="str">
        <f t="shared" si="95"/>
        <v/>
      </c>
      <c r="AA173" s="69"/>
      <c r="AB173" s="1721" t="str">
        <f t="shared" si="96"/>
        <v/>
      </c>
      <c r="AC173" s="69"/>
      <c r="AD173" s="1721" t="str">
        <f t="shared" si="97"/>
        <v/>
      </c>
      <c r="AE173" s="69"/>
      <c r="AF173" s="1721" t="str">
        <f t="shared" si="98"/>
        <v/>
      </c>
      <c r="AG173" s="69"/>
      <c r="AH173" s="1721" t="str">
        <f t="shared" si="99"/>
        <v/>
      </c>
      <c r="AI173" s="69"/>
      <c r="AJ173" s="1721" t="str">
        <f t="shared" si="100"/>
        <v/>
      </c>
      <c r="AK173" s="69"/>
      <c r="AL173" s="1721" t="str">
        <f t="shared" si="101"/>
        <v/>
      </c>
      <c r="AM173" s="69"/>
      <c r="AN173" s="1721" t="str">
        <f t="shared" si="102"/>
        <v/>
      </c>
      <c r="AO173" s="69"/>
      <c r="AP173" s="1721" t="str">
        <f t="shared" si="103"/>
        <v/>
      </c>
      <c r="AQ173" s="69"/>
      <c r="AR173" s="1722" t="str">
        <f t="shared" si="104"/>
        <v/>
      </c>
      <c r="AS173" s="69"/>
      <c r="AT173" s="1722" t="str">
        <f t="shared" si="105"/>
        <v/>
      </c>
      <c r="AU173" s="69"/>
      <c r="AV173" s="1722" t="str">
        <f t="shared" si="106"/>
        <v/>
      </c>
      <c r="AW173" s="69"/>
      <c r="AX173" s="1722" t="str">
        <f t="shared" si="107"/>
        <v/>
      </c>
      <c r="AY173" s="69"/>
      <c r="AZ173" s="1722" t="str">
        <f t="shared" si="108"/>
        <v/>
      </c>
      <c r="BA173" s="69"/>
      <c r="BB173" s="1723" t="str">
        <f t="shared" si="109"/>
        <v/>
      </c>
      <c r="BC173" s="69"/>
      <c r="BD173" s="1723" t="str">
        <f t="shared" si="110"/>
        <v/>
      </c>
      <c r="BE173" s="69"/>
      <c r="BF173" s="1723" t="str">
        <f t="shared" si="111"/>
        <v/>
      </c>
      <c r="BG173" s="69"/>
      <c r="BH173" s="1201" t="str">
        <f t="shared" si="112"/>
        <v/>
      </c>
      <c r="BI173" s="69"/>
      <c r="BJ173" s="1201" t="str">
        <f t="shared" si="113"/>
        <v/>
      </c>
      <c r="BK173" s="69"/>
      <c r="BL173" s="1721" t="str">
        <f t="shared" si="114"/>
        <v/>
      </c>
      <c r="BM173" s="69"/>
      <c r="BN173" s="1722">
        <f t="shared" si="115"/>
        <v>0</v>
      </c>
      <c r="BO173" s="69"/>
      <c r="BR173" s="684"/>
      <c r="BS173" s="684"/>
      <c r="BT173" s="541"/>
    </row>
    <row r="174" ht="22.5" customHeight="1">
      <c r="A174" s="1698" t="str">
        <f t="shared" si="83"/>
        <v/>
      </c>
      <c r="B174" s="1831">
        <v>18.0</v>
      </c>
      <c r="C174" s="1700">
        <v>252.0</v>
      </c>
      <c r="D174" s="1701"/>
      <c r="E174" s="721" t="str">
        <f t="shared" si="84"/>
        <v>Лазанья из кабачка с курицей</v>
      </c>
      <c r="F174" s="1721" t="str">
        <f t="shared" si="85"/>
        <v/>
      </c>
      <c r="G174" s="69"/>
      <c r="H174" s="1721" t="str">
        <f t="shared" si="86"/>
        <v/>
      </c>
      <c r="I174" s="69"/>
      <c r="J174" s="1721" t="str">
        <f t="shared" si="87"/>
        <v/>
      </c>
      <c r="K174" s="69"/>
      <c r="L174" s="1721" t="str">
        <f t="shared" si="88"/>
        <v/>
      </c>
      <c r="M174" s="69"/>
      <c r="N174" s="1721" t="str">
        <f t="shared" si="89"/>
        <v/>
      </c>
      <c r="O174" s="69"/>
      <c r="P174" s="1721" t="str">
        <f t="shared" si="90"/>
        <v/>
      </c>
      <c r="Q174" s="69"/>
      <c r="R174" s="1721" t="str">
        <f t="shared" si="91"/>
        <v/>
      </c>
      <c r="S174" s="69"/>
      <c r="T174" s="1721" t="str">
        <f t="shared" si="92"/>
        <v/>
      </c>
      <c r="U174" s="69"/>
      <c r="V174" s="1721" t="str">
        <f t="shared" si="93"/>
        <v/>
      </c>
      <c r="W174" s="69"/>
      <c r="X174" s="1721" t="str">
        <f t="shared" si="94"/>
        <v/>
      </c>
      <c r="Y174" s="69"/>
      <c r="Z174" s="1721" t="str">
        <f t="shared" si="95"/>
        <v/>
      </c>
      <c r="AA174" s="69"/>
      <c r="AB174" s="1721" t="str">
        <f t="shared" si="96"/>
        <v/>
      </c>
      <c r="AC174" s="69"/>
      <c r="AD174" s="1721" t="str">
        <f t="shared" si="97"/>
        <v/>
      </c>
      <c r="AE174" s="69"/>
      <c r="AF174" s="1721" t="str">
        <f t="shared" si="98"/>
        <v/>
      </c>
      <c r="AG174" s="69"/>
      <c r="AH174" s="1721" t="str">
        <f t="shared" si="99"/>
        <v/>
      </c>
      <c r="AI174" s="69"/>
      <c r="AJ174" s="1721" t="str">
        <f t="shared" si="100"/>
        <v/>
      </c>
      <c r="AK174" s="69"/>
      <c r="AL174" s="1721" t="str">
        <f t="shared" si="101"/>
        <v/>
      </c>
      <c r="AM174" s="69"/>
      <c r="AN174" s="1721" t="str">
        <f t="shared" si="102"/>
        <v/>
      </c>
      <c r="AO174" s="69"/>
      <c r="AP174" s="1721" t="str">
        <f t="shared" si="103"/>
        <v/>
      </c>
      <c r="AQ174" s="69"/>
      <c r="AR174" s="1722" t="str">
        <f t="shared" si="104"/>
        <v/>
      </c>
      <c r="AS174" s="69"/>
      <c r="AT174" s="1722" t="str">
        <f t="shared" si="105"/>
        <v/>
      </c>
      <c r="AU174" s="69"/>
      <c r="AV174" s="1722" t="str">
        <f t="shared" si="106"/>
        <v/>
      </c>
      <c r="AW174" s="69"/>
      <c r="AX174" s="1722" t="str">
        <f t="shared" si="107"/>
        <v/>
      </c>
      <c r="AY174" s="69"/>
      <c r="AZ174" s="1722" t="str">
        <f t="shared" si="108"/>
        <v/>
      </c>
      <c r="BA174" s="69"/>
      <c r="BB174" s="1723" t="str">
        <f t="shared" si="109"/>
        <v/>
      </c>
      <c r="BC174" s="69"/>
      <c r="BD174" s="1723" t="str">
        <f t="shared" si="110"/>
        <v/>
      </c>
      <c r="BE174" s="69"/>
      <c r="BF174" s="1723" t="str">
        <f t="shared" si="111"/>
        <v/>
      </c>
      <c r="BG174" s="69"/>
      <c r="BH174" s="1201" t="str">
        <f t="shared" si="112"/>
        <v/>
      </c>
      <c r="BI174" s="69"/>
      <c r="BJ174" s="1201" t="str">
        <f t="shared" si="113"/>
        <v/>
      </c>
      <c r="BK174" s="69"/>
      <c r="BL174" s="1721" t="str">
        <f t="shared" si="114"/>
        <v/>
      </c>
      <c r="BM174" s="69"/>
      <c r="BN174" s="1722">
        <f t="shared" si="115"/>
        <v>0</v>
      </c>
      <c r="BO174" s="69"/>
      <c r="BR174" s="684"/>
      <c r="BS174" s="684"/>
      <c r="BT174" s="541"/>
    </row>
    <row r="175" ht="22.5" customHeight="1">
      <c r="A175" s="1698" t="str">
        <f t="shared" si="83"/>
        <v/>
      </c>
      <c r="B175" s="1831">
        <v>4017.0</v>
      </c>
      <c r="C175" s="1700">
        <v>248.0</v>
      </c>
      <c r="D175" s="1701"/>
      <c r="E175" s="721" t="str">
        <f t="shared" si="84"/>
        <v>Удон с курицей в азиатском соусе </v>
      </c>
      <c r="F175" s="1721" t="str">
        <f t="shared" si="85"/>
        <v/>
      </c>
      <c r="G175" s="69"/>
      <c r="H175" s="1726" t="str">
        <f t="shared" si="86"/>
        <v/>
      </c>
      <c r="I175" s="69"/>
      <c r="J175" s="1721" t="str">
        <f t="shared" si="87"/>
        <v/>
      </c>
      <c r="K175" s="69"/>
      <c r="L175" s="1721" t="str">
        <f t="shared" si="88"/>
        <v/>
      </c>
      <c r="M175" s="69"/>
      <c r="N175" s="1721" t="str">
        <f t="shared" si="89"/>
        <v/>
      </c>
      <c r="O175" s="69"/>
      <c r="P175" s="1726" t="str">
        <f t="shared" si="90"/>
        <v/>
      </c>
      <c r="Q175" s="69"/>
      <c r="R175" s="1721" t="str">
        <f t="shared" si="91"/>
        <v/>
      </c>
      <c r="S175" s="69"/>
      <c r="T175" s="1721" t="str">
        <f t="shared" si="92"/>
        <v/>
      </c>
      <c r="U175" s="69"/>
      <c r="V175" s="1721" t="str">
        <f t="shared" si="93"/>
        <v/>
      </c>
      <c r="W175" s="69"/>
      <c r="X175" s="1721" t="str">
        <f t="shared" si="94"/>
        <v/>
      </c>
      <c r="Y175" s="69"/>
      <c r="Z175" s="1721" t="str">
        <f t="shared" si="95"/>
        <v/>
      </c>
      <c r="AA175" s="69"/>
      <c r="AB175" s="1721" t="str">
        <f t="shared" si="96"/>
        <v/>
      </c>
      <c r="AC175" s="69"/>
      <c r="AD175" s="1721" t="str">
        <f t="shared" si="97"/>
        <v/>
      </c>
      <c r="AE175" s="69"/>
      <c r="AF175" s="1721" t="str">
        <f t="shared" si="98"/>
        <v/>
      </c>
      <c r="AG175" s="69"/>
      <c r="AH175" s="1721" t="str">
        <f t="shared" si="99"/>
        <v/>
      </c>
      <c r="AI175" s="69"/>
      <c r="AJ175" s="1721" t="str">
        <f t="shared" si="100"/>
        <v/>
      </c>
      <c r="AK175" s="69"/>
      <c r="AL175" s="1721" t="str">
        <f t="shared" si="101"/>
        <v/>
      </c>
      <c r="AM175" s="69"/>
      <c r="AN175" s="1721" t="str">
        <f t="shared" si="102"/>
        <v/>
      </c>
      <c r="AO175" s="69"/>
      <c r="AP175" s="1721" t="str">
        <f t="shared" si="103"/>
        <v/>
      </c>
      <c r="AQ175" s="69"/>
      <c r="AR175" s="1722" t="str">
        <f t="shared" si="104"/>
        <v/>
      </c>
      <c r="AS175" s="69"/>
      <c r="AT175" s="1722" t="str">
        <f t="shared" si="105"/>
        <v/>
      </c>
      <c r="AU175" s="69"/>
      <c r="AV175" s="1722" t="str">
        <f t="shared" si="106"/>
        <v/>
      </c>
      <c r="AW175" s="69"/>
      <c r="AX175" s="1722" t="str">
        <f t="shared" si="107"/>
        <v/>
      </c>
      <c r="AY175" s="69"/>
      <c r="AZ175" s="1722" t="str">
        <f t="shared" si="108"/>
        <v/>
      </c>
      <c r="BA175" s="69"/>
      <c r="BB175" s="1723" t="str">
        <f t="shared" si="109"/>
        <v/>
      </c>
      <c r="BC175" s="69"/>
      <c r="BD175" s="1723" t="str">
        <f t="shared" si="110"/>
        <v/>
      </c>
      <c r="BE175" s="69"/>
      <c r="BF175" s="1723" t="str">
        <f t="shared" si="111"/>
        <v/>
      </c>
      <c r="BG175" s="69"/>
      <c r="BH175" s="1201" t="str">
        <f t="shared" si="112"/>
        <v/>
      </c>
      <c r="BI175" s="69"/>
      <c r="BJ175" s="1201" t="str">
        <f t="shared" si="113"/>
        <v/>
      </c>
      <c r="BK175" s="69"/>
      <c r="BL175" s="1721" t="str">
        <f t="shared" si="114"/>
        <v/>
      </c>
      <c r="BM175" s="69"/>
      <c r="BN175" s="1722">
        <f t="shared" si="115"/>
        <v>0</v>
      </c>
      <c r="BO175" s="69"/>
      <c r="BR175" s="684"/>
      <c r="BS175" s="684"/>
      <c r="BT175" s="541"/>
    </row>
    <row r="176" ht="22.5" customHeight="1">
      <c r="A176" s="1698" t="str">
        <f t="shared" si="83"/>
        <v/>
      </c>
      <c r="B176" s="1831"/>
      <c r="C176" s="1700"/>
      <c r="D176" s="1701"/>
      <c r="E176" s="721" t="str">
        <f t="shared" si="84"/>
        <v/>
      </c>
      <c r="F176" s="1721" t="str">
        <f t="shared" si="85"/>
        <v/>
      </c>
      <c r="G176" s="69"/>
      <c r="H176" s="1721" t="str">
        <f t="shared" si="86"/>
        <v/>
      </c>
      <c r="I176" s="69"/>
      <c r="J176" s="1721" t="str">
        <f t="shared" si="87"/>
        <v/>
      </c>
      <c r="K176" s="69"/>
      <c r="L176" s="1721" t="str">
        <f t="shared" si="88"/>
        <v/>
      </c>
      <c r="M176" s="69"/>
      <c r="N176" s="1721" t="str">
        <f t="shared" si="89"/>
        <v/>
      </c>
      <c r="O176" s="69"/>
      <c r="P176" s="1721" t="str">
        <f t="shared" si="90"/>
        <v/>
      </c>
      <c r="Q176" s="69"/>
      <c r="R176" s="1721" t="str">
        <f t="shared" si="91"/>
        <v/>
      </c>
      <c r="S176" s="69"/>
      <c r="T176" s="1721" t="str">
        <f t="shared" si="92"/>
        <v/>
      </c>
      <c r="U176" s="69"/>
      <c r="V176" s="1721" t="str">
        <f t="shared" si="93"/>
        <v/>
      </c>
      <c r="W176" s="69"/>
      <c r="X176" s="1721" t="str">
        <f t="shared" si="94"/>
        <v/>
      </c>
      <c r="Y176" s="69"/>
      <c r="Z176" s="1721" t="str">
        <f t="shared" si="95"/>
        <v/>
      </c>
      <c r="AA176" s="69"/>
      <c r="AB176" s="1721" t="str">
        <f t="shared" si="96"/>
        <v/>
      </c>
      <c r="AC176" s="69"/>
      <c r="AD176" s="1721" t="str">
        <f t="shared" si="97"/>
        <v/>
      </c>
      <c r="AE176" s="69"/>
      <c r="AF176" s="1721" t="str">
        <f t="shared" si="98"/>
        <v/>
      </c>
      <c r="AG176" s="69"/>
      <c r="AH176" s="1721" t="str">
        <f t="shared" si="99"/>
        <v/>
      </c>
      <c r="AI176" s="69"/>
      <c r="AJ176" s="1721" t="str">
        <f t="shared" si="100"/>
        <v/>
      </c>
      <c r="AK176" s="69"/>
      <c r="AL176" s="1721" t="str">
        <f t="shared" si="101"/>
        <v/>
      </c>
      <c r="AM176" s="69"/>
      <c r="AN176" s="1721" t="str">
        <f t="shared" si="102"/>
        <v/>
      </c>
      <c r="AO176" s="69"/>
      <c r="AP176" s="1721" t="str">
        <f t="shared" si="103"/>
        <v/>
      </c>
      <c r="AQ176" s="69"/>
      <c r="AR176" s="1722" t="str">
        <f t="shared" si="104"/>
        <v/>
      </c>
      <c r="AS176" s="69"/>
      <c r="AT176" s="1722" t="str">
        <f t="shared" si="105"/>
        <v/>
      </c>
      <c r="AU176" s="69"/>
      <c r="AV176" s="1722" t="str">
        <f t="shared" si="106"/>
        <v/>
      </c>
      <c r="AW176" s="69"/>
      <c r="AX176" s="1722" t="str">
        <f t="shared" si="107"/>
        <v/>
      </c>
      <c r="AY176" s="69"/>
      <c r="AZ176" s="1722" t="str">
        <f t="shared" si="108"/>
        <v/>
      </c>
      <c r="BA176" s="69"/>
      <c r="BB176" s="1723" t="str">
        <f t="shared" si="109"/>
        <v/>
      </c>
      <c r="BC176" s="69"/>
      <c r="BD176" s="1723" t="str">
        <f t="shared" si="110"/>
        <v/>
      </c>
      <c r="BE176" s="69"/>
      <c r="BF176" s="1723" t="str">
        <f t="shared" si="111"/>
        <v/>
      </c>
      <c r="BG176" s="69"/>
      <c r="BH176" s="1201" t="str">
        <f t="shared" si="112"/>
        <v/>
      </c>
      <c r="BI176" s="69"/>
      <c r="BJ176" s="1201" t="str">
        <f t="shared" si="113"/>
        <v/>
      </c>
      <c r="BK176" s="69"/>
      <c r="BL176" s="1721" t="str">
        <f t="shared" si="114"/>
        <v/>
      </c>
      <c r="BM176" s="69"/>
      <c r="BN176" s="1722">
        <f t="shared" si="115"/>
        <v>0</v>
      </c>
      <c r="BO176" s="69"/>
      <c r="BR176" s="684"/>
      <c r="BS176" s="684"/>
      <c r="BT176" s="541"/>
    </row>
    <row r="177" ht="22.5" customHeight="1">
      <c r="A177" s="1698" t="str">
        <f t="shared" si="83"/>
        <v/>
      </c>
      <c r="B177" s="1831">
        <v>3486.0</v>
      </c>
      <c r="C177" s="1700">
        <v>175.0</v>
      </c>
      <c r="D177" s="1701"/>
      <c r="E177" s="721" t="str">
        <f t="shared" si="84"/>
        <v>Сэндвич с курицей и соусом карри</v>
      </c>
      <c r="F177" s="1721" t="str">
        <f t="shared" si="85"/>
        <v/>
      </c>
      <c r="G177" s="69"/>
      <c r="H177" s="1721" t="str">
        <f t="shared" si="86"/>
        <v/>
      </c>
      <c r="I177" s="69"/>
      <c r="J177" s="1721" t="str">
        <f t="shared" si="87"/>
        <v/>
      </c>
      <c r="K177" s="69"/>
      <c r="L177" s="1721" t="str">
        <f t="shared" si="88"/>
        <v/>
      </c>
      <c r="M177" s="69"/>
      <c r="N177" s="1721" t="str">
        <f t="shared" si="89"/>
        <v/>
      </c>
      <c r="O177" s="69"/>
      <c r="P177" s="1721" t="str">
        <f t="shared" si="90"/>
        <v/>
      </c>
      <c r="Q177" s="69"/>
      <c r="R177" s="1721" t="str">
        <f t="shared" si="91"/>
        <v/>
      </c>
      <c r="S177" s="69"/>
      <c r="T177" s="1721" t="str">
        <f t="shared" si="92"/>
        <v/>
      </c>
      <c r="U177" s="69"/>
      <c r="V177" s="1721" t="str">
        <f t="shared" si="93"/>
        <v/>
      </c>
      <c r="W177" s="69"/>
      <c r="X177" s="1721" t="str">
        <f t="shared" si="94"/>
        <v/>
      </c>
      <c r="Y177" s="69"/>
      <c r="Z177" s="1721" t="str">
        <f t="shared" si="95"/>
        <v/>
      </c>
      <c r="AA177" s="69"/>
      <c r="AB177" s="1721" t="str">
        <f t="shared" si="96"/>
        <v/>
      </c>
      <c r="AC177" s="69"/>
      <c r="AD177" s="1721" t="str">
        <f t="shared" si="97"/>
        <v/>
      </c>
      <c r="AE177" s="69"/>
      <c r="AF177" s="1721" t="str">
        <f t="shared" si="98"/>
        <v/>
      </c>
      <c r="AG177" s="69"/>
      <c r="AH177" s="1721" t="str">
        <f t="shared" si="99"/>
        <v/>
      </c>
      <c r="AI177" s="69"/>
      <c r="AJ177" s="1721" t="str">
        <f t="shared" si="100"/>
        <v/>
      </c>
      <c r="AK177" s="69"/>
      <c r="AL177" s="1721" t="str">
        <f t="shared" si="101"/>
        <v/>
      </c>
      <c r="AM177" s="69"/>
      <c r="AN177" s="1721" t="str">
        <f t="shared" si="102"/>
        <v/>
      </c>
      <c r="AO177" s="69"/>
      <c r="AP177" s="1721" t="str">
        <f t="shared" si="103"/>
        <v/>
      </c>
      <c r="AQ177" s="69"/>
      <c r="AR177" s="1722" t="str">
        <f t="shared" si="104"/>
        <v/>
      </c>
      <c r="AS177" s="69"/>
      <c r="AT177" s="1722" t="str">
        <f t="shared" si="105"/>
        <v/>
      </c>
      <c r="AU177" s="69"/>
      <c r="AV177" s="1722" t="str">
        <f t="shared" si="106"/>
        <v/>
      </c>
      <c r="AW177" s="69"/>
      <c r="AX177" s="1722" t="str">
        <f t="shared" si="107"/>
        <v/>
      </c>
      <c r="AY177" s="69"/>
      <c r="AZ177" s="1722" t="str">
        <f t="shared" si="108"/>
        <v/>
      </c>
      <c r="BA177" s="69"/>
      <c r="BB177" s="1723" t="str">
        <f t="shared" si="109"/>
        <v/>
      </c>
      <c r="BC177" s="69"/>
      <c r="BD177" s="1723" t="str">
        <f t="shared" si="110"/>
        <v/>
      </c>
      <c r="BE177" s="69"/>
      <c r="BF177" s="1723" t="str">
        <f t="shared" si="111"/>
        <v/>
      </c>
      <c r="BG177" s="69"/>
      <c r="BH177" s="1201" t="str">
        <f t="shared" si="112"/>
        <v/>
      </c>
      <c r="BI177" s="69"/>
      <c r="BJ177" s="1201" t="str">
        <f t="shared" si="113"/>
        <v/>
      </c>
      <c r="BK177" s="69"/>
      <c r="BL177" s="1721" t="str">
        <f t="shared" si="114"/>
        <v/>
      </c>
      <c r="BM177" s="69"/>
      <c r="BN177" s="1722">
        <f t="shared" si="115"/>
        <v>0</v>
      </c>
      <c r="BO177" s="69"/>
      <c r="BR177" s="684"/>
      <c r="BS177" s="684"/>
      <c r="BT177" s="541"/>
    </row>
    <row r="178" ht="22.5" customHeight="1">
      <c r="A178" s="1698" t="str">
        <f t="shared" si="83"/>
        <v/>
      </c>
      <c r="B178" s="1831">
        <v>3140.0</v>
      </c>
      <c r="C178" s="1700">
        <v>165.0</v>
      </c>
      <c r="D178" s="1701"/>
      <c r="E178" s="721" t="str">
        <f t="shared" si="84"/>
        <v>Сэндвич ''Снежный краб'' с соусом спайси</v>
      </c>
      <c r="F178" s="1721" t="str">
        <f t="shared" si="85"/>
        <v/>
      </c>
      <c r="G178" s="69"/>
      <c r="H178" s="1721" t="str">
        <f t="shared" si="86"/>
        <v/>
      </c>
      <c r="I178" s="69"/>
      <c r="J178" s="1721" t="str">
        <f t="shared" si="87"/>
        <v/>
      </c>
      <c r="K178" s="69"/>
      <c r="L178" s="1721" t="str">
        <f t="shared" si="88"/>
        <v/>
      </c>
      <c r="M178" s="69"/>
      <c r="N178" s="1721" t="str">
        <f t="shared" si="89"/>
        <v/>
      </c>
      <c r="O178" s="69"/>
      <c r="P178" s="1721" t="str">
        <f t="shared" si="90"/>
        <v/>
      </c>
      <c r="Q178" s="69"/>
      <c r="R178" s="1721" t="str">
        <f t="shared" si="91"/>
        <v/>
      </c>
      <c r="S178" s="69"/>
      <c r="T178" s="1721" t="str">
        <f t="shared" si="92"/>
        <v/>
      </c>
      <c r="U178" s="69"/>
      <c r="V178" s="1721" t="str">
        <f t="shared" si="93"/>
        <v/>
      </c>
      <c r="W178" s="69"/>
      <c r="X178" s="1721" t="str">
        <f t="shared" si="94"/>
        <v/>
      </c>
      <c r="Y178" s="69"/>
      <c r="Z178" s="1721" t="str">
        <f t="shared" si="95"/>
        <v/>
      </c>
      <c r="AA178" s="69"/>
      <c r="AB178" s="1721" t="str">
        <f t="shared" si="96"/>
        <v/>
      </c>
      <c r="AC178" s="69"/>
      <c r="AD178" s="1721" t="str">
        <f t="shared" si="97"/>
        <v/>
      </c>
      <c r="AE178" s="69"/>
      <c r="AF178" s="1721" t="str">
        <f t="shared" si="98"/>
        <v/>
      </c>
      <c r="AG178" s="69"/>
      <c r="AH178" s="1721" t="str">
        <f t="shared" si="99"/>
        <v/>
      </c>
      <c r="AI178" s="69"/>
      <c r="AJ178" s="1721" t="str">
        <f t="shared" si="100"/>
        <v/>
      </c>
      <c r="AK178" s="69"/>
      <c r="AL178" s="1721" t="str">
        <f t="shared" si="101"/>
        <v/>
      </c>
      <c r="AM178" s="69"/>
      <c r="AN178" s="1721" t="str">
        <f t="shared" si="102"/>
        <v/>
      </c>
      <c r="AO178" s="69"/>
      <c r="AP178" s="1721" t="str">
        <f t="shared" si="103"/>
        <v/>
      </c>
      <c r="AQ178" s="69"/>
      <c r="AR178" s="1722" t="str">
        <f t="shared" si="104"/>
        <v/>
      </c>
      <c r="AS178" s="69"/>
      <c r="AT178" s="1722" t="str">
        <f t="shared" si="105"/>
        <v/>
      </c>
      <c r="AU178" s="69"/>
      <c r="AV178" s="1722" t="str">
        <f t="shared" si="106"/>
        <v/>
      </c>
      <c r="AW178" s="69"/>
      <c r="AX178" s="1722" t="str">
        <f t="shared" si="107"/>
        <v/>
      </c>
      <c r="AY178" s="69"/>
      <c r="AZ178" s="1722" t="str">
        <f t="shared" si="108"/>
        <v/>
      </c>
      <c r="BA178" s="69"/>
      <c r="BB178" s="1723" t="str">
        <f t="shared" si="109"/>
        <v/>
      </c>
      <c r="BC178" s="69"/>
      <c r="BD178" s="1723" t="str">
        <f t="shared" si="110"/>
        <v/>
      </c>
      <c r="BE178" s="69"/>
      <c r="BF178" s="1723" t="str">
        <f t="shared" si="111"/>
        <v/>
      </c>
      <c r="BG178" s="69"/>
      <c r="BH178" s="1201" t="str">
        <f t="shared" si="112"/>
        <v/>
      </c>
      <c r="BI178" s="69"/>
      <c r="BJ178" s="1201" t="str">
        <f t="shared" si="113"/>
        <v/>
      </c>
      <c r="BK178" s="69"/>
      <c r="BL178" s="1721" t="str">
        <f t="shared" si="114"/>
        <v/>
      </c>
      <c r="BM178" s="69"/>
      <c r="BN178" s="1722">
        <f t="shared" si="115"/>
        <v>0</v>
      </c>
      <c r="BO178" s="69"/>
      <c r="BR178" s="684"/>
      <c r="BS178" s="684"/>
      <c r="BT178" s="541"/>
    </row>
    <row r="179" ht="22.5" customHeight="1">
      <c r="A179" s="1698" t="str">
        <f t="shared" si="83"/>
        <v/>
      </c>
      <c r="B179" s="1831">
        <v>2943.0</v>
      </c>
      <c r="C179" s="1700">
        <v>152.0</v>
      </c>
      <c r="D179" s="1701"/>
      <c r="E179" s="721" t="str">
        <f t="shared" si="84"/>
        <v>Онигири с куриным филе в соусе спайси</v>
      </c>
      <c r="F179" s="1721" t="str">
        <f t="shared" si="85"/>
        <v/>
      </c>
      <c r="G179" s="69"/>
      <c r="H179" s="1721" t="str">
        <f t="shared" si="86"/>
        <v/>
      </c>
      <c r="I179" s="69"/>
      <c r="J179" s="1721" t="str">
        <f t="shared" si="87"/>
        <v/>
      </c>
      <c r="K179" s="69"/>
      <c r="L179" s="1721" t="str">
        <f t="shared" si="88"/>
        <v/>
      </c>
      <c r="M179" s="69"/>
      <c r="N179" s="1721" t="str">
        <f t="shared" si="89"/>
        <v/>
      </c>
      <c r="O179" s="69"/>
      <c r="P179" s="1721" t="str">
        <f t="shared" si="90"/>
        <v/>
      </c>
      <c r="Q179" s="69"/>
      <c r="R179" s="1721" t="str">
        <f t="shared" si="91"/>
        <v/>
      </c>
      <c r="S179" s="69"/>
      <c r="T179" s="1721" t="str">
        <f t="shared" si="92"/>
        <v/>
      </c>
      <c r="U179" s="69"/>
      <c r="V179" s="1721" t="str">
        <f t="shared" si="93"/>
        <v/>
      </c>
      <c r="W179" s="69"/>
      <c r="X179" s="1721" t="str">
        <f t="shared" si="94"/>
        <v/>
      </c>
      <c r="Y179" s="69"/>
      <c r="Z179" s="1721" t="str">
        <f t="shared" si="95"/>
        <v/>
      </c>
      <c r="AA179" s="69"/>
      <c r="AB179" s="1721" t="str">
        <f t="shared" si="96"/>
        <v/>
      </c>
      <c r="AC179" s="69"/>
      <c r="AD179" s="1721" t="str">
        <f t="shared" si="97"/>
        <v/>
      </c>
      <c r="AE179" s="69"/>
      <c r="AF179" s="1721" t="str">
        <f t="shared" si="98"/>
        <v/>
      </c>
      <c r="AG179" s="69"/>
      <c r="AH179" s="1721" t="str">
        <f t="shared" si="99"/>
        <v/>
      </c>
      <c r="AI179" s="69"/>
      <c r="AJ179" s="1721" t="str">
        <f t="shared" si="100"/>
        <v/>
      </c>
      <c r="AK179" s="69"/>
      <c r="AL179" s="1721" t="str">
        <f t="shared" si="101"/>
        <v/>
      </c>
      <c r="AM179" s="69"/>
      <c r="AN179" s="1721" t="str">
        <f t="shared" si="102"/>
        <v/>
      </c>
      <c r="AO179" s="69"/>
      <c r="AP179" s="1721" t="str">
        <f t="shared" si="103"/>
        <v/>
      </c>
      <c r="AQ179" s="69"/>
      <c r="AR179" s="1722" t="str">
        <f t="shared" si="104"/>
        <v/>
      </c>
      <c r="AS179" s="69"/>
      <c r="AT179" s="1722" t="str">
        <f t="shared" si="105"/>
        <v/>
      </c>
      <c r="AU179" s="69"/>
      <c r="AV179" s="1722" t="str">
        <f t="shared" si="106"/>
        <v/>
      </c>
      <c r="AW179" s="69"/>
      <c r="AX179" s="1722" t="str">
        <f t="shared" si="107"/>
        <v/>
      </c>
      <c r="AY179" s="69"/>
      <c r="AZ179" s="1722" t="str">
        <f t="shared" si="108"/>
        <v/>
      </c>
      <c r="BA179" s="69"/>
      <c r="BB179" s="1201" t="str">
        <f t="shared" si="109"/>
        <v/>
      </c>
      <c r="BC179" s="69"/>
      <c r="BD179" s="1201" t="str">
        <f t="shared" si="110"/>
        <v/>
      </c>
      <c r="BE179" s="69"/>
      <c r="BF179" s="1201" t="str">
        <f t="shared" si="111"/>
        <v/>
      </c>
      <c r="BG179" s="69"/>
      <c r="BH179" s="1201" t="str">
        <f t="shared" si="112"/>
        <v/>
      </c>
      <c r="BI179" s="69"/>
      <c r="BJ179" s="1201" t="str">
        <f t="shared" si="113"/>
        <v/>
      </c>
      <c r="BK179" s="69"/>
      <c r="BL179" s="1722" t="str">
        <f t="shared" si="114"/>
        <v/>
      </c>
      <c r="BM179" s="69"/>
      <c r="BN179" s="1722">
        <f t="shared" si="115"/>
        <v>0</v>
      </c>
      <c r="BO179" s="69"/>
      <c r="BR179" s="684"/>
      <c r="BS179" s="684"/>
      <c r="BT179" s="541"/>
    </row>
    <row r="180" ht="22.5" customHeight="1">
      <c r="A180" s="1698" t="str">
        <f t="shared" si="83"/>
        <v/>
      </c>
      <c r="B180" s="1831">
        <v>4000.0</v>
      </c>
      <c r="C180" s="1700">
        <v>98.0</v>
      </c>
      <c r="D180" s="1701"/>
      <c r="E180" s="721" t="str">
        <f t="shared" si="84"/>
        <v>Компот из сухофруктов 0,5 л</v>
      </c>
      <c r="F180" s="1721" t="str">
        <f t="shared" si="85"/>
        <v/>
      </c>
      <c r="G180" s="69"/>
      <c r="H180" s="1726" t="str">
        <f t="shared" si="86"/>
        <v/>
      </c>
      <c r="I180" s="69"/>
      <c r="J180" s="1721" t="str">
        <f t="shared" si="87"/>
        <v/>
      </c>
      <c r="K180" s="69"/>
      <c r="L180" s="1721" t="str">
        <f t="shared" si="88"/>
        <v/>
      </c>
      <c r="M180" s="69"/>
      <c r="N180" s="1721" t="str">
        <f t="shared" si="89"/>
        <v/>
      </c>
      <c r="O180" s="69"/>
      <c r="P180" s="1726" t="str">
        <f t="shared" si="90"/>
        <v/>
      </c>
      <c r="Q180" s="69"/>
      <c r="R180" s="1721" t="str">
        <f t="shared" si="91"/>
        <v/>
      </c>
      <c r="S180" s="69"/>
      <c r="T180" s="1721" t="str">
        <f t="shared" si="92"/>
        <v/>
      </c>
      <c r="U180" s="69"/>
      <c r="V180" s="1721" t="str">
        <f t="shared" si="93"/>
        <v/>
      </c>
      <c r="W180" s="69"/>
      <c r="X180" s="1721" t="str">
        <f t="shared" si="94"/>
        <v/>
      </c>
      <c r="Y180" s="69"/>
      <c r="Z180" s="1721" t="str">
        <f t="shared" si="95"/>
        <v/>
      </c>
      <c r="AA180" s="69"/>
      <c r="AB180" s="1721" t="str">
        <f t="shared" si="96"/>
        <v/>
      </c>
      <c r="AC180" s="69"/>
      <c r="AD180" s="1721" t="str">
        <f t="shared" si="97"/>
        <v/>
      </c>
      <c r="AE180" s="69"/>
      <c r="AF180" s="1721" t="str">
        <f t="shared" si="98"/>
        <v/>
      </c>
      <c r="AG180" s="69"/>
      <c r="AH180" s="1721" t="str">
        <f t="shared" si="99"/>
        <v/>
      </c>
      <c r="AI180" s="69"/>
      <c r="AJ180" s="1721" t="str">
        <f t="shared" si="100"/>
        <v/>
      </c>
      <c r="AK180" s="69"/>
      <c r="AL180" s="1721" t="str">
        <f t="shared" si="101"/>
        <v/>
      </c>
      <c r="AM180" s="69"/>
      <c r="AN180" s="1721" t="str">
        <f t="shared" si="102"/>
        <v/>
      </c>
      <c r="AO180" s="69"/>
      <c r="AP180" s="1721" t="str">
        <f t="shared" si="103"/>
        <v/>
      </c>
      <c r="AQ180" s="69"/>
      <c r="AR180" s="1722" t="str">
        <f t="shared" si="104"/>
        <v/>
      </c>
      <c r="AS180" s="69"/>
      <c r="AT180" s="1722" t="str">
        <f t="shared" si="105"/>
        <v/>
      </c>
      <c r="AU180" s="69"/>
      <c r="AV180" s="1722" t="str">
        <f t="shared" si="106"/>
        <v/>
      </c>
      <c r="AW180" s="69"/>
      <c r="AX180" s="1722" t="str">
        <f t="shared" si="107"/>
        <v/>
      </c>
      <c r="AY180" s="69"/>
      <c r="AZ180" s="1722" t="str">
        <f t="shared" si="108"/>
        <v/>
      </c>
      <c r="BA180" s="69"/>
      <c r="BB180" s="1201" t="str">
        <f t="shared" si="109"/>
        <v/>
      </c>
      <c r="BC180" s="69"/>
      <c r="BD180" s="1201" t="str">
        <f t="shared" si="110"/>
        <v/>
      </c>
      <c r="BE180" s="69"/>
      <c r="BF180" s="1201" t="str">
        <f t="shared" si="111"/>
        <v/>
      </c>
      <c r="BG180" s="69"/>
      <c r="BH180" s="1201" t="str">
        <f t="shared" si="112"/>
        <v/>
      </c>
      <c r="BI180" s="69"/>
      <c r="BJ180" s="1201" t="str">
        <f t="shared" si="113"/>
        <v/>
      </c>
      <c r="BK180" s="69"/>
      <c r="BL180" s="1721" t="str">
        <f t="shared" si="114"/>
        <v/>
      </c>
      <c r="BM180" s="69"/>
      <c r="BN180" s="1722">
        <f t="shared" si="115"/>
        <v>0</v>
      </c>
      <c r="BO180" s="69"/>
      <c r="BR180" s="684"/>
      <c r="BS180" s="684"/>
      <c r="BT180" s="541"/>
    </row>
    <row r="181" ht="22.5" customHeight="1">
      <c r="A181" s="1698" t="str">
        <f t="shared" si="83"/>
        <v/>
      </c>
      <c r="B181" s="1831">
        <v>822.0</v>
      </c>
      <c r="C181" s="1700">
        <v>5.0</v>
      </c>
      <c r="D181" s="1701"/>
      <c r="E181" s="721" t="str">
        <f t="shared" si="84"/>
        <v>Хлеб пшеничный</v>
      </c>
      <c r="F181" s="1721" t="str">
        <f t="shared" si="85"/>
        <v/>
      </c>
      <c r="G181" s="69"/>
      <c r="H181" s="1721" t="str">
        <f t="shared" si="86"/>
        <v/>
      </c>
      <c r="I181" s="69"/>
      <c r="J181" s="1721" t="str">
        <f t="shared" si="87"/>
        <v/>
      </c>
      <c r="K181" s="69"/>
      <c r="L181" s="1721" t="str">
        <f t="shared" si="88"/>
        <v/>
      </c>
      <c r="M181" s="69"/>
      <c r="N181" s="1721" t="str">
        <f t="shared" si="89"/>
        <v/>
      </c>
      <c r="O181" s="69"/>
      <c r="P181" s="1721" t="str">
        <f t="shared" si="90"/>
        <v/>
      </c>
      <c r="Q181" s="69"/>
      <c r="R181" s="1721" t="str">
        <f t="shared" si="91"/>
        <v/>
      </c>
      <c r="S181" s="69"/>
      <c r="T181" s="1721" t="str">
        <f t="shared" si="92"/>
        <v/>
      </c>
      <c r="U181" s="69"/>
      <c r="V181" s="1721" t="str">
        <f t="shared" si="93"/>
        <v/>
      </c>
      <c r="W181" s="69"/>
      <c r="X181" s="1721" t="str">
        <f t="shared" si="94"/>
        <v/>
      </c>
      <c r="Y181" s="69"/>
      <c r="Z181" s="1721" t="str">
        <f t="shared" si="95"/>
        <v/>
      </c>
      <c r="AA181" s="69"/>
      <c r="AB181" s="1721" t="str">
        <f t="shared" si="96"/>
        <v/>
      </c>
      <c r="AC181" s="69"/>
      <c r="AD181" s="1722" t="str">
        <f t="shared" si="97"/>
        <v/>
      </c>
      <c r="AE181" s="69"/>
      <c r="AF181" s="1722" t="str">
        <f t="shared" si="98"/>
        <v/>
      </c>
      <c r="AG181" s="69"/>
      <c r="AH181" s="1722" t="str">
        <f t="shared" si="99"/>
        <v/>
      </c>
      <c r="AI181" s="69"/>
      <c r="AJ181" s="1722" t="str">
        <f t="shared" si="100"/>
        <v/>
      </c>
      <c r="AK181" s="69"/>
      <c r="AL181" s="1722" t="str">
        <f t="shared" si="101"/>
        <v/>
      </c>
      <c r="AM181" s="69"/>
      <c r="AN181" s="1721" t="str">
        <f t="shared" si="102"/>
        <v/>
      </c>
      <c r="AO181" s="69"/>
      <c r="AP181" s="1721" t="str">
        <f t="shared" si="103"/>
        <v/>
      </c>
      <c r="AQ181" s="69"/>
      <c r="AR181" s="1722" t="str">
        <f t="shared" si="104"/>
        <v/>
      </c>
      <c r="AS181" s="69"/>
      <c r="AT181" s="1722" t="str">
        <f t="shared" si="105"/>
        <v/>
      </c>
      <c r="AU181" s="69"/>
      <c r="AV181" s="1722" t="str">
        <f t="shared" si="106"/>
        <v/>
      </c>
      <c r="AW181" s="69"/>
      <c r="AX181" s="1722" t="str">
        <f t="shared" si="107"/>
        <v/>
      </c>
      <c r="AY181" s="69"/>
      <c r="AZ181" s="1722" t="str">
        <f t="shared" si="108"/>
        <v/>
      </c>
      <c r="BA181" s="69"/>
      <c r="BB181" s="1201" t="str">
        <f t="shared" si="109"/>
        <v/>
      </c>
      <c r="BC181" s="69"/>
      <c r="BD181" s="1201" t="str">
        <f t="shared" si="110"/>
        <v/>
      </c>
      <c r="BE181" s="69"/>
      <c r="BF181" s="1201" t="str">
        <f t="shared" si="111"/>
        <v/>
      </c>
      <c r="BG181" s="69"/>
      <c r="BH181" s="1201" t="str">
        <f t="shared" si="112"/>
        <v/>
      </c>
      <c r="BI181" s="69"/>
      <c r="BJ181" s="1201" t="str">
        <f t="shared" si="113"/>
        <v/>
      </c>
      <c r="BK181" s="69"/>
      <c r="BL181" s="1722" t="str">
        <f t="shared" si="114"/>
        <v/>
      </c>
      <c r="BM181" s="69"/>
      <c r="BN181" s="1722">
        <f t="shared" si="115"/>
        <v>0</v>
      </c>
      <c r="BO181" s="69"/>
      <c r="BR181" s="684"/>
      <c r="BS181" s="684"/>
      <c r="BT181" s="541"/>
    </row>
    <row r="182" ht="22.5" customHeight="1">
      <c r="A182" s="1698" t="str">
        <f t="shared" si="83"/>
        <v/>
      </c>
      <c r="B182" s="1831">
        <v>3375.0</v>
      </c>
      <c r="C182" s="1700">
        <v>90.0</v>
      </c>
      <c r="D182" s="1701"/>
      <c r="E182" s="721" t="str">
        <f t="shared" si="84"/>
        <v>Самса с куриной грудкой 150 грамм</v>
      </c>
      <c r="F182" s="1721" t="str">
        <f t="shared" si="85"/>
        <v/>
      </c>
      <c r="G182" s="69"/>
      <c r="H182" s="1721" t="str">
        <f t="shared" si="86"/>
        <v/>
      </c>
      <c r="I182" s="69"/>
      <c r="J182" s="1721" t="str">
        <f t="shared" si="87"/>
        <v/>
      </c>
      <c r="K182" s="69"/>
      <c r="L182" s="1721" t="str">
        <f t="shared" si="88"/>
        <v/>
      </c>
      <c r="M182" s="69"/>
      <c r="N182" s="1721" t="str">
        <f t="shared" si="89"/>
        <v/>
      </c>
      <c r="O182" s="69"/>
      <c r="P182" s="1721" t="str">
        <f t="shared" si="90"/>
        <v/>
      </c>
      <c r="Q182" s="69"/>
      <c r="R182" s="1721" t="str">
        <f t="shared" si="91"/>
        <v/>
      </c>
      <c r="S182" s="69"/>
      <c r="T182" s="1721" t="str">
        <f t="shared" si="92"/>
        <v/>
      </c>
      <c r="U182" s="69"/>
      <c r="V182" s="1721" t="str">
        <f t="shared" si="93"/>
        <v/>
      </c>
      <c r="W182" s="69"/>
      <c r="X182" s="1721" t="str">
        <f t="shared" si="94"/>
        <v/>
      </c>
      <c r="Y182" s="69"/>
      <c r="Z182" s="1721" t="str">
        <f t="shared" si="95"/>
        <v/>
      </c>
      <c r="AA182" s="69"/>
      <c r="AB182" s="1721" t="str">
        <f t="shared" si="96"/>
        <v/>
      </c>
      <c r="AC182" s="69"/>
      <c r="AD182" s="1721" t="str">
        <f t="shared" si="97"/>
        <v/>
      </c>
      <c r="AE182" s="69"/>
      <c r="AF182" s="1721" t="str">
        <f t="shared" si="98"/>
        <v/>
      </c>
      <c r="AG182" s="69"/>
      <c r="AH182" s="1721" t="str">
        <f t="shared" si="99"/>
        <v/>
      </c>
      <c r="AI182" s="69"/>
      <c r="AJ182" s="1721" t="str">
        <f t="shared" si="100"/>
        <v/>
      </c>
      <c r="AK182" s="69"/>
      <c r="AL182" s="1721" t="str">
        <f t="shared" si="101"/>
        <v/>
      </c>
      <c r="AM182" s="69"/>
      <c r="AN182" s="1721" t="str">
        <f t="shared" si="102"/>
        <v/>
      </c>
      <c r="AO182" s="69"/>
      <c r="AP182" s="1721" t="str">
        <f t="shared" si="103"/>
        <v/>
      </c>
      <c r="AQ182" s="69"/>
      <c r="AR182" s="1721" t="str">
        <f t="shared" si="104"/>
        <v/>
      </c>
      <c r="AS182" s="69"/>
      <c r="AT182" s="1721" t="str">
        <f t="shared" si="105"/>
        <v/>
      </c>
      <c r="AU182" s="69"/>
      <c r="AV182" s="1722" t="str">
        <f t="shared" si="106"/>
        <v/>
      </c>
      <c r="AW182" s="69"/>
      <c r="AX182" s="1722" t="str">
        <f t="shared" si="107"/>
        <v/>
      </c>
      <c r="AY182" s="69"/>
      <c r="AZ182" s="1722" t="str">
        <f t="shared" si="108"/>
        <v/>
      </c>
      <c r="BA182" s="69"/>
      <c r="BB182" s="1201" t="str">
        <f t="shared" si="109"/>
        <v/>
      </c>
      <c r="BC182" s="69"/>
      <c r="BD182" s="1201" t="str">
        <f t="shared" si="110"/>
        <v/>
      </c>
      <c r="BE182" s="69"/>
      <c r="BF182" s="1201" t="str">
        <f t="shared" si="111"/>
        <v/>
      </c>
      <c r="BG182" s="69"/>
      <c r="BH182" s="1201" t="str">
        <f t="shared" si="112"/>
        <v/>
      </c>
      <c r="BI182" s="69"/>
      <c r="BJ182" s="1201" t="str">
        <f t="shared" si="113"/>
        <v/>
      </c>
      <c r="BK182" s="69"/>
      <c r="BL182" s="1721" t="str">
        <f t="shared" si="114"/>
        <v/>
      </c>
      <c r="BM182" s="69"/>
      <c r="BN182" s="1722">
        <f t="shared" si="115"/>
        <v>0</v>
      </c>
      <c r="BO182" s="69"/>
      <c r="BR182" s="684"/>
      <c r="BS182" s="684"/>
      <c r="BT182" s="541"/>
    </row>
    <row r="183" ht="22.5" customHeight="1">
      <c r="A183" s="1698" t="str">
        <f t="shared" si="83"/>
        <v/>
      </c>
      <c r="B183" s="1831"/>
      <c r="C183" s="1700"/>
      <c r="D183" s="1701"/>
      <c r="E183" s="721" t="str">
        <f t="shared" si="84"/>
        <v/>
      </c>
      <c r="F183" s="1721" t="str">
        <f t="shared" si="85"/>
        <v/>
      </c>
      <c r="G183" s="69"/>
      <c r="H183" s="1726" t="str">
        <f t="shared" si="86"/>
        <v/>
      </c>
      <c r="I183" s="69"/>
      <c r="J183" s="1721" t="str">
        <f t="shared" si="87"/>
        <v/>
      </c>
      <c r="K183" s="69"/>
      <c r="L183" s="1721" t="str">
        <f t="shared" si="88"/>
        <v/>
      </c>
      <c r="M183" s="69"/>
      <c r="N183" s="1721" t="str">
        <f t="shared" si="89"/>
        <v/>
      </c>
      <c r="O183" s="69"/>
      <c r="P183" s="1726" t="str">
        <f t="shared" si="90"/>
        <v/>
      </c>
      <c r="Q183" s="69"/>
      <c r="R183" s="1721" t="str">
        <f t="shared" si="91"/>
        <v/>
      </c>
      <c r="S183" s="69"/>
      <c r="T183" s="1721" t="str">
        <f t="shared" si="92"/>
        <v/>
      </c>
      <c r="U183" s="69"/>
      <c r="V183" s="1721" t="str">
        <f t="shared" si="93"/>
        <v/>
      </c>
      <c r="W183" s="69"/>
      <c r="X183" s="1721" t="str">
        <f t="shared" si="94"/>
        <v/>
      </c>
      <c r="Y183" s="69"/>
      <c r="Z183" s="1721" t="str">
        <f t="shared" si="95"/>
        <v/>
      </c>
      <c r="AA183" s="69"/>
      <c r="AB183" s="1721" t="str">
        <f t="shared" si="96"/>
        <v/>
      </c>
      <c r="AC183" s="69"/>
      <c r="AD183" s="1721" t="str">
        <f t="shared" si="97"/>
        <v/>
      </c>
      <c r="AE183" s="69"/>
      <c r="AF183" s="1721" t="str">
        <f t="shared" si="98"/>
        <v/>
      </c>
      <c r="AG183" s="69"/>
      <c r="AH183" s="1721" t="str">
        <f t="shared" si="99"/>
        <v/>
      </c>
      <c r="AI183" s="69"/>
      <c r="AJ183" s="1721" t="str">
        <f t="shared" si="100"/>
        <v/>
      </c>
      <c r="AK183" s="69"/>
      <c r="AL183" s="1721" t="str">
        <f t="shared" si="101"/>
        <v/>
      </c>
      <c r="AM183" s="69"/>
      <c r="AN183" s="1721" t="str">
        <f t="shared" si="102"/>
        <v/>
      </c>
      <c r="AO183" s="69"/>
      <c r="AP183" s="1721" t="str">
        <f t="shared" si="103"/>
        <v/>
      </c>
      <c r="AQ183" s="69"/>
      <c r="AR183" s="1722" t="str">
        <f t="shared" si="104"/>
        <v/>
      </c>
      <c r="AS183" s="69"/>
      <c r="AT183" s="1722" t="str">
        <f t="shared" si="105"/>
        <v/>
      </c>
      <c r="AU183" s="69"/>
      <c r="AV183" s="1722" t="str">
        <f t="shared" si="106"/>
        <v/>
      </c>
      <c r="AW183" s="69"/>
      <c r="AX183" s="1722" t="str">
        <f t="shared" si="107"/>
        <v/>
      </c>
      <c r="AY183" s="69"/>
      <c r="AZ183" s="1722" t="str">
        <f t="shared" si="108"/>
        <v/>
      </c>
      <c r="BA183" s="69"/>
      <c r="BB183" s="1201" t="str">
        <f t="shared" si="109"/>
        <v/>
      </c>
      <c r="BC183" s="69"/>
      <c r="BD183" s="1201" t="str">
        <f t="shared" si="110"/>
        <v/>
      </c>
      <c r="BE183" s="69"/>
      <c r="BF183" s="1201" t="str">
        <f t="shared" si="111"/>
        <v/>
      </c>
      <c r="BG183" s="69"/>
      <c r="BH183" s="1201" t="str">
        <f t="shared" si="112"/>
        <v/>
      </c>
      <c r="BI183" s="69"/>
      <c r="BJ183" s="1201" t="str">
        <f t="shared" si="113"/>
        <v/>
      </c>
      <c r="BK183" s="69"/>
      <c r="BL183" s="1721" t="str">
        <f t="shared" si="114"/>
        <v/>
      </c>
      <c r="BM183" s="69"/>
      <c r="BN183" s="1722">
        <f t="shared" si="115"/>
        <v>0</v>
      </c>
      <c r="BO183" s="69"/>
      <c r="BR183" s="684"/>
      <c r="BS183" s="684"/>
      <c r="BT183" s="541"/>
    </row>
    <row r="184" ht="22.5" customHeight="1">
      <c r="A184" s="1698" t="str">
        <f t="shared" si="83"/>
        <v/>
      </c>
      <c r="B184" s="2068"/>
      <c r="C184" s="1700"/>
      <c r="D184" s="1701"/>
      <c r="E184" s="721" t="str">
        <f t="shared" si="84"/>
        <v/>
      </c>
      <c r="F184" s="1721" t="str">
        <f t="shared" si="85"/>
        <v/>
      </c>
      <c r="G184" s="69"/>
      <c r="H184" s="1721" t="str">
        <f t="shared" si="86"/>
        <v/>
      </c>
      <c r="I184" s="69"/>
      <c r="J184" s="1721" t="str">
        <f t="shared" si="87"/>
        <v/>
      </c>
      <c r="K184" s="69"/>
      <c r="L184" s="1721" t="str">
        <f t="shared" si="88"/>
        <v/>
      </c>
      <c r="M184" s="69"/>
      <c r="N184" s="1721" t="str">
        <f t="shared" si="89"/>
        <v/>
      </c>
      <c r="O184" s="69"/>
      <c r="P184" s="1721" t="str">
        <f t="shared" si="90"/>
        <v/>
      </c>
      <c r="Q184" s="69"/>
      <c r="R184" s="1721" t="str">
        <f t="shared" si="91"/>
        <v/>
      </c>
      <c r="S184" s="69"/>
      <c r="T184" s="1721" t="str">
        <f t="shared" si="92"/>
        <v/>
      </c>
      <c r="U184" s="69"/>
      <c r="V184" s="1721" t="str">
        <f t="shared" si="93"/>
        <v/>
      </c>
      <c r="W184" s="69"/>
      <c r="X184" s="1721" t="str">
        <f t="shared" si="94"/>
        <v/>
      </c>
      <c r="Y184" s="69"/>
      <c r="Z184" s="1721" t="str">
        <f t="shared" si="95"/>
        <v/>
      </c>
      <c r="AA184" s="69"/>
      <c r="AB184" s="1721" t="str">
        <f t="shared" si="96"/>
        <v/>
      </c>
      <c r="AC184" s="69"/>
      <c r="AD184" s="1721" t="str">
        <f t="shared" si="97"/>
        <v/>
      </c>
      <c r="AE184" s="69"/>
      <c r="AF184" s="1721" t="str">
        <f t="shared" si="98"/>
        <v/>
      </c>
      <c r="AG184" s="69"/>
      <c r="AH184" s="1721" t="str">
        <f t="shared" si="99"/>
        <v/>
      </c>
      <c r="AI184" s="69"/>
      <c r="AJ184" s="1721" t="str">
        <f t="shared" si="100"/>
        <v/>
      </c>
      <c r="AK184" s="69"/>
      <c r="AL184" s="1721" t="str">
        <f t="shared" si="101"/>
        <v/>
      </c>
      <c r="AM184" s="69"/>
      <c r="AN184" s="1721" t="str">
        <f t="shared" si="102"/>
        <v/>
      </c>
      <c r="AO184" s="69"/>
      <c r="AP184" s="1721" t="str">
        <f t="shared" si="103"/>
        <v/>
      </c>
      <c r="AQ184" s="69"/>
      <c r="AR184" s="1722" t="str">
        <f t="shared" si="104"/>
        <v/>
      </c>
      <c r="AS184" s="69"/>
      <c r="AT184" s="1722" t="str">
        <f t="shared" si="105"/>
        <v/>
      </c>
      <c r="AU184" s="69"/>
      <c r="AV184" s="1722" t="str">
        <f t="shared" si="106"/>
        <v/>
      </c>
      <c r="AW184" s="69"/>
      <c r="AX184" s="1722" t="str">
        <f t="shared" si="107"/>
        <v/>
      </c>
      <c r="AY184" s="69"/>
      <c r="AZ184" s="1722" t="str">
        <f t="shared" si="108"/>
        <v/>
      </c>
      <c r="BA184" s="69"/>
      <c r="BB184" s="1201" t="str">
        <f t="shared" si="109"/>
        <v/>
      </c>
      <c r="BC184" s="69"/>
      <c r="BD184" s="1201" t="str">
        <f t="shared" si="110"/>
        <v/>
      </c>
      <c r="BE184" s="69"/>
      <c r="BF184" s="1201" t="str">
        <f t="shared" si="111"/>
        <v/>
      </c>
      <c r="BG184" s="69"/>
      <c r="BH184" s="1201" t="str">
        <f t="shared" si="112"/>
        <v/>
      </c>
      <c r="BI184" s="69"/>
      <c r="BJ184" s="1201" t="str">
        <f t="shared" si="113"/>
        <v/>
      </c>
      <c r="BK184" s="69"/>
      <c r="BL184" s="1721" t="str">
        <f t="shared" si="114"/>
        <v/>
      </c>
      <c r="BM184" s="69"/>
      <c r="BN184" s="1722">
        <f t="shared" si="115"/>
        <v>0</v>
      </c>
      <c r="BO184" s="69"/>
      <c r="BR184" s="684"/>
      <c r="BS184" s="684"/>
      <c r="BT184" s="541"/>
    </row>
    <row r="185" ht="22.5" customHeight="1">
      <c r="A185" s="1698" t="str">
        <f t="shared" si="83"/>
        <v/>
      </c>
      <c r="B185" s="1795"/>
      <c r="C185" s="1700"/>
      <c r="D185" s="1701"/>
      <c r="E185" s="721" t="str">
        <f t="shared" si="84"/>
        <v/>
      </c>
      <c r="F185" s="1721" t="str">
        <f t="shared" si="85"/>
        <v/>
      </c>
      <c r="G185" s="69"/>
      <c r="H185" s="1721" t="str">
        <f t="shared" si="86"/>
        <v/>
      </c>
      <c r="I185" s="69"/>
      <c r="J185" s="1721" t="str">
        <f t="shared" si="87"/>
        <v/>
      </c>
      <c r="K185" s="69"/>
      <c r="L185" s="1721" t="str">
        <f t="shared" si="88"/>
        <v/>
      </c>
      <c r="M185" s="69"/>
      <c r="N185" s="1721" t="str">
        <f t="shared" si="89"/>
        <v/>
      </c>
      <c r="O185" s="69"/>
      <c r="P185" s="1721" t="str">
        <f t="shared" si="90"/>
        <v/>
      </c>
      <c r="Q185" s="69"/>
      <c r="R185" s="1721" t="str">
        <f t="shared" si="91"/>
        <v/>
      </c>
      <c r="S185" s="69"/>
      <c r="T185" s="1721" t="str">
        <f t="shared" si="92"/>
        <v/>
      </c>
      <c r="U185" s="69"/>
      <c r="V185" s="1721" t="str">
        <f t="shared" si="93"/>
        <v/>
      </c>
      <c r="W185" s="69"/>
      <c r="X185" s="1721" t="str">
        <f t="shared" si="94"/>
        <v/>
      </c>
      <c r="Y185" s="69"/>
      <c r="Z185" s="1721" t="str">
        <f t="shared" si="95"/>
        <v/>
      </c>
      <c r="AA185" s="69"/>
      <c r="AB185" s="1721" t="str">
        <f t="shared" si="96"/>
        <v/>
      </c>
      <c r="AC185" s="69"/>
      <c r="AD185" s="1721" t="str">
        <f t="shared" si="97"/>
        <v/>
      </c>
      <c r="AE185" s="69"/>
      <c r="AF185" s="1721" t="str">
        <f t="shared" si="98"/>
        <v/>
      </c>
      <c r="AG185" s="69"/>
      <c r="AH185" s="1721" t="str">
        <f t="shared" si="99"/>
        <v/>
      </c>
      <c r="AI185" s="69"/>
      <c r="AJ185" s="1721" t="str">
        <f t="shared" si="100"/>
        <v/>
      </c>
      <c r="AK185" s="69"/>
      <c r="AL185" s="1721" t="str">
        <f t="shared" si="101"/>
        <v/>
      </c>
      <c r="AM185" s="69"/>
      <c r="AN185" s="1721" t="str">
        <f t="shared" si="102"/>
        <v/>
      </c>
      <c r="AO185" s="69"/>
      <c r="AP185" s="1721" t="str">
        <f t="shared" si="103"/>
        <v/>
      </c>
      <c r="AQ185" s="69"/>
      <c r="AR185" s="1721" t="str">
        <f t="shared" si="104"/>
        <v/>
      </c>
      <c r="AS185" s="69"/>
      <c r="AT185" s="1721" t="str">
        <f t="shared" si="105"/>
        <v/>
      </c>
      <c r="AU185" s="69"/>
      <c r="AV185" s="1721" t="str">
        <f t="shared" si="106"/>
        <v/>
      </c>
      <c r="AW185" s="69"/>
      <c r="AX185" s="1721" t="str">
        <f t="shared" si="107"/>
        <v/>
      </c>
      <c r="AY185" s="69"/>
      <c r="AZ185" s="1721" t="str">
        <f t="shared" si="108"/>
        <v/>
      </c>
      <c r="BA185" s="69"/>
      <c r="BB185" s="1721" t="str">
        <f t="shared" si="109"/>
        <v/>
      </c>
      <c r="BC185" s="69"/>
      <c r="BD185" s="1721" t="str">
        <f t="shared" si="110"/>
        <v/>
      </c>
      <c r="BE185" s="69"/>
      <c r="BF185" s="1721" t="str">
        <f t="shared" si="111"/>
        <v/>
      </c>
      <c r="BG185" s="69"/>
      <c r="BH185" s="1721" t="str">
        <f t="shared" si="112"/>
        <v/>
      </c>
      <c r="BI185" s="69"/>
      <c r="BJ185" s="1721" t="str">
        <f t="shared" si="113"/>
        <v/>
      </c>
      <c r="BK185" s="69"/>
      <c r="BL185" s="1721" t="str">
        <f t="shared" si="114"/>
        <v/>
      </c>
      <c r="BM185" s="69"/>
      <c r="BN185" s="1722">
        <f t="shared" si="115"/>
        <v>0</v>
      </c>
      <c r="BO185" s="69"/>
      <c r="BR185" s="684"/>
      <c r="BS185" s="684"/>
      <c r="BT185" s="541"/>
    </row>
    <row r="186" ht="22.5" customHeight="1">
      <c r="A186" s="1698" t="str">
        <f t="shared" si="83"/>
        <v/>
      </c>
      <c r="B186" s="1795"/>
      <c r="C186" s="1863"/>
      <c r="D186" s="1701"/>
      <c r="E186" s="721" t="str">
        <f t="shared" si="84"/>
        <v/>
      </c>
      <c r="F186" s="1721"/>
      <c r="G186" s="69"/>
      <c r="H186" s="1721"/>
      <c r="I186" s="69"/>
      <c r="J186" s="1721"/>
      <c r="K186" s="69"/>
      <c r="L186" s="1721"/>
      <c r="M186" s="69"/>
      <c r="N186" s="1721"/>
      <c r="O186" s="69"/>
      <c r="P186" s="1721"/>
      <c r="Q186" s="69"/>
      <c r="R186" s="1721"/>
      <c r="S186" s="69"/>
      <c r="T186" s="1721"/>
      <c r="U186" s="69"/>
      <c r="V186" s="1721"/>
      <c r="W186" s="69"/>
      <c r="X186" s="1721"/>
      <c r="Y186" s="69"/>
      <c r="Z186" s="1721"/>
      <c r="AA186" s="69"/>
      <c r="AB186" s="1721"/>
      <c r="AC186" s="69"/>
      <c r="AD186" s="1721"/>
      <c r="AE186" s="69"/>
      <c r="AF186" s="1721"/>
      <c r="AG186" s="69"/>
      <c r="AH186" s="1721"/>
      <c r="AI186" s="69"/>
      <c r="AJ186" s="1721"/>
      <c r="AK186" s="69"/>
      <c r="AL186" s="1721"/>
      <c r="AM186" s="69"/>
      <c r="AN186" s="1721"/>
      <c r="AO186" s="69"/>
      <c r="AP186" s="1721"/>
      <c r="AQ186" s="69"/>
      <c r="AR186" s="1721"/>
      <c r="AS186" s="69"/>
      <c r="AT186" s="1721"/>
      <c r="AU186" s="69"/>
      <c r="AV186" s="1721"/>
      <c r="AW186" s="69"/>
      <c r="AX186" s="1721"/>
      <c r="AY186" s="69"/>
      <c r="AZ186" s="1721"/>
      <c r="BA186" s="69"/>
      <c r="BB186" s="1721"/>
      <c r="BC186" s="69"/>
      <c r="BD186" s="1721"/>
      <c r="BE186" s="69"/>
      <c r="BF186" s="1721"/>
      <c r="BG186" s="69"/>
      <c r="BH186" s="1721"/>
      <c r="BI186" s="69"/>
      <c r="BJ186" s="1721"/>
      <c r="BK186" s="69"/>
      <c r="BL186" s="1721"/>
      <c r="BM186" s="69"/>
      <c r="BN186" s="1724">
        <f t="shared" si="115"/>
        <v>0</v>
      </c>
      <c r="BO186" s="69"/>
      <c r="BR186" s="684"/>
      <c r="BS186" s="684"/>
      <c r="BT186" s="541"/>
    </row>
    <row r="187" ht="15.75" customHeight="1">
      <c r="A187" s="1591"/>
      <c r="B187" s="1541"/>
      <c r="C187" s="1591"/>
      <c r="D187" s="1543"/>
      <c r="E187" s="1987"/>
      <c r="F187" s="1989"/>
      <c r="G187" s="1989"/>
      <c r="H187" s="1989"/>
      <c r="I187" s="1989"/>
      <c r="J187" s="1989"/>
      <c r="K187" s="1989"/>
      <c r="L187" s="1989"/>
      <c r="M187" s="1989"/>
      <c r="N187" s="1989"/>
      <c r="O187" s="1989"/>
      <c r="P187" s="1989"/>
      <c r="Q187" s="1989"/>
      <c r="R187" s="1989"/>
      <c r="S187" s="1989"/>
      <c r="T187" s="1989"/>
      <c r="U187" s="1989"/>
      <c r="V187" s="1989"/>
      <c r="W187" s="1989"/>
      <c r="X187" s="1989"/>
      <c r="Y187" s="1989"/>
      <c r="Z187" s="1989"/>
      <c r="AA187" s="1989"/>
      <c r="AB187" s="1989"/>
      <c r="AC187" s="1989"/>
      <c r="AD187" s="1989"/>
      <c r="AE187" s="1989"/>
      <c r="AF187" s="1989"/>
      <c r="AG187" s="1989"/>
      <c r="AH187" s="1989"/>
      <c r="AI187" s="1989"/>
      <c r="AJ187" s="1989"/>
      <c r="AK187" s="1989"/>
      <c r="AL187" s="1989"/>
      <c r="AM187" s="1989"/>
      <c r="AN187" s="1990"/>
      <c r="AO187" s="1990"/>
      <c r="AP187" s="1990"/>
      <c r="AQ187" s="1990"/>
      <c r="AR187" s="1990"/>
      <c r="AS187" s="1989"/>
      <c r="AT187" s="1989"/>
      <c r="AU187" s="1989"/>
      <c r="AV187" s="1989"/>
      <c r="AW187" s="1989"/>
      <c r="AX187" s="1989"/>
      <c r="AY187" s="1989"/>
      <c r="AZ187" s="1989"/>
      <c r="BA187" s="1989"/>
      <c r="BB187" s="844"/>
      <c r="BC187" s="1989"/>
      <c r="BD187" s="844"/>
      <c r="BE187" s="1989"/>
      <c r="BF187" s="844"/>
      <c r="BG187" s="1989"/>
      <c r="BH187" s="2072"/>
      <c r="BI187" s="1989"/>
      <c r="BJ187" s="2072"/>
      <c r="BK187" s="1989"/>
      <c r="BL187" s="2073" t="s">
        <v>1365</v>
      </c>
      <c r="BN187" s="1724">
        <f>SUM(BN160:BO186)</f>
        <v>0</v>
      </c>
      <c r="BO187" s="69"/>
      <c r="BR187" s="541"/>
      <c r="BS187" s="541"/>
      <c r="BT187" s="541"/>
    </row>
    <row r="188" ht="15.75" customHeight="1">
      <c r="A188" s="1591"/>
      <c r="B188" s="1541"/>
      <c r="C188" s="1591"/>
      <c r="D188" s="1543"/>
      <c r="E188" s="906"/>
      <c r="F188" s="701"/>
      <c r="G188" s="701"/>
      <c r="H188" s="701"/>
      <c r="I188" s="701"/>
      <c r="J188" s="701"/>
      <c r="K188" s="701"/>
      <c r="L188" s="701"/>
      <c r="M188" s="701"/>
      <c r="N188" s="701"/>
      <c r="O188" s="701"/>
      <c r="P188" s="701"/>
      <c r="Q188" s="701"/>
      <c r="R188" s="701"/>
      <c r="S188" s="701"/>
      <c r="T188" s="701"/>
      <c r="U188" s="701"/>
      <c r="V188" s="701"/>
      <c r="W188" s="701"/>
      <c r="X188" s="701"/>
      <c r="Y188" s="701"/>
      <c r="Z188" s="701"/>
      <c r="AA188" s="701"/>
      <c r="AB188" s="701"/>
      <c r="AC188" s="701"/>
      <c r="AD188" s="701"/>
      <c r="AE188" s="701"/>
      <c r="AF188" s="701"/>
      <c r="AG188" s="701"/>
      <c r="AH188" s="701"/>
      <c r="AI188" s="701"/>
      <c r="AJ188" s="701"/>
      <c r="AK188" s="701"/>
      <c r="AL188" s="701"/>
      <c r="AM188" s="701"/>
      <c r="AN188" s="1189"/>
      <c r="AO188" s="1189"/>
      <c r="AP188" s="1189"/>
      <c r="AQ188" s="1189"/>
      <c r="AR188" s="1189"/>
      <c r="AS188" s="701"/>
      <c r="AT188" s="701"/>
      <c r="AU188" s="701"/>
      <c r="AV188" s="701"/>
      <c r="AW188" s="701"/>
      <c r="AX188" s="701"/>
      <c r="AY188" s="701"/>
      <c r="AZ188" s="701"/>
      <c r="BA188" s="701"/>
      <c r="BC188" s="701"/>
      <c r="BE188" s="701"/>
      <c r="BG188" s="701"/>
      <c r="BH188" s="1190"/>
      <c r="BI188" s="701"/>
      <c r="BJ188" s="1190"/>
      <c r="BK188" s="701"/>
      <c r="BL188" s="701"/>
      <c r="BM188" s="701"/>
      <c r="BO188" s="701"/>
      <c r="BP188" s="701"/>
      <c r="BQ188" s="633"/>
      <c r="BR188" s="541"/>
      <c r="BS188" s="541"/>
      <c r="BT188" s="541"/>
    </row>
    <row r="189" ht="15.75" customHeight="1">
      <c r="A189" s="1591"/>
      <c r="B189" s="1541"/>
      <c r="C189" s="1591"/>
      <c r="D189" s="1543"/>
      <c r="E189" s="906"/>
      <c r="F189" s="1994"/>
      <c r="G189" s="998"/>
      <c r="H189" s="1994"/>
      <c r="I189" s="998"/>
      <c r="J189" s="1994"/>
      <c r="K189" s="998"/>
      <c r="L189" s="1994"/>
      <c r="M189" s="998"/>
      <c r="N189" s="1994"/>
      <c r="O189" s="998"/>
      <c r="P189" s="1994"/>
      <c r="Q189" s="998"/>
      <c r="R189" s="1994"/>
      <c r="S189" s="998"/>
      <c r="T189" s="1994"/>
      <c r="U189" s="998"/>
      <c r="V189" s="1994"/>
      <c r="W189" s="998"/>
      <c r="X189" s="1994"/>
      <c r="Y189" s="998"/>
      <c r="Z189" s="1994"/>
      <c r="AA189" s="998"/>
      <c r="AB189" s="1994"/>
      <c r="AC189" s="998"/>
      <c r="AD189" s="1994"/>
      <c r="AE189" s="998"/>
      <c r="AF189" s="1994"/>
      <c r="AG189" s="998"/>
      <c r="AH189" s="1994"/>
      <c r="AI189" s="998"/>
      <c r="AJ189" s="1994"/>
      <c r="AK189" s="998"/>
      <c r="AL189" s="1994"/>
      <c r="AM189" s="998"/>
      <c r="AN189" s="1994"/>
      <c r="AO189" s="1994"/>
      <c r="AP189" s="1994"/>
      <c r="AQ189" s="1994"/>
      <c r="AR189" s="1994"/>
      <c r="AS189" s="998"/>
      <c r="AT189" s="998"/>
      <c r="AU189" s="998"/>
      <c r="AV189" s="998"/>
      <c r="AW189" s="998"/>
      <c r="AX189" s="998"/>
      <c r="AY189" s="998"/>
      <c r="AZ189" s="998"/>
      <c r="BA189" s="998"/>
      <c r="BB189" s="1318"/>
      <c r="BC189" s="998"/>
      <c r="BD189" s="1318"/>
      <c r="BE189" s="998"/>
      <c r="BF189" s="1318"/>
      <c r="BG189" s="998"/>
      <c r="BH189" s="1317"/>
      <c r="BI189" s="998"/>
      <c r="BJ189" s="1317"/>
      <c r="BK189" s="998"/>
      <c r="BL189" s="1994"/>
      <c r="BM189" s="1575"/>
      <c r="BN189" s="547"/>
      <c r="BO189" s="1575"/>
      <c r="BP189" s="701"/>
      <c r="BQ189" s="633"/>
      <c r="BR189" s="541"/>
      <c r="BS189" s="541"/>
      <c r="BT189" s="541"/>
    </row>
    <row r="190" ht="18.0" customHeight="1">
      <c r="A190" s="2075" t="s">
        <v>1279</v>
      </c>
      <c r="B190" s="1930"/>
      <c r="C190" s="2076"/>
      <c r="D190" s="2077">
        <v>46232.0</v>
      </c>
      <c r="E190" s="2078" t="s">
        <v>3126</v>
      </c>
      <c r="F190" s="1552"/>
      <c r="G190" s="1997"/>
      <c r="H190" s="1552"/>
      <c r="I190" s="1552"/>
      <c r="J190" s="1552"/>
      <c r="K190" s="1552"/>
      <c r="L190" s="1552"/>
      <c r="M190" s="1552"/>
      <c r="N190" s="1552"/>
      <c r="O190" s="1552"/>
      <c r="P190" s="1552"/>
      <c r="Q190" s="1552"/>
      <c r="R190" s="1552"/>
      <c r="S190" s="1552"/>
      <c r="T190" s="1552"/>
      <c r="U190" s="1552"/>
      <c r="V190" s="1552"/>
      <c r="W190" s="1552"/>
      <c r="X190" s="1552"/>
      <c r="Y190" s="1552"/>
      <c r="Z190" s="1552"/>
      <c r="AA190" s="1552"/>
      <c r="AB190" s="1552"/>
      <c r="AC190" s="1552"/>
      <c r="AD190" s="1552"/>
      <c r="AE190" s="1552"/>
      <c r="AF190" s="1552"/>
      <c r="AG190" s="1552"/>
      <c r="AH190" s="1552"/>
      <c r="AI190" s="1552"/>
      <c r="AJ190" s="1552"/>
      <c r="AK190" s="1552"/>
      <c r="AL190" s="1552"/>
      <c r="AM190" s="1552"/>
      <c r="AN190" s="1552"/>
      <c r="AO190" s="1552"/>
      <c r="AP190" s="1552"/>
      <c r="AQ190" s="1552"/>
      <c r="AR190" s="1552"/>
      <c r="AS190" s="1552"/>
      <c r="AT190" s="1552"/>
      <c r="AU190" s="1552"/>
      <c r="AV190" s="1552"/>
      <c r="AW190" s="1552"/>
      <c r="AX190" s="1552"/>
      <c r="AY190" s="1552"/>
      <c r="AZ190" s="1552"/>
      <c r="BA190" s="1552"/>
      <c r="BB190" s="1552"/>
      <c r="BC190" s="1552"/>
      <c r="BD190" s="1552"/>
      <c r="BE190" s="1552"/>
      <c r="BF190" s="1552"/>
      <c r="BG190" s="1552"/>
      <c r="BH190" s="1552"/>
      <c r="BI190" s="1552"/>
      <c r="BJ190" s="1552"/>
      <c r="BK190" s="1552"/>
      <c r="BL190" s="1552"/>
      <c r="BM190" s="1552"/>
      <c r="BN190" s="1552"/>
      <c r="BO190" s="1552"/>
      <c r="BP190" s="1552"/>
      <c r="BQ190" s="1554"/>
      <c r="BR190" s="2079"/>
      <c r="BS190" s="2079"/>
      <c r="BT190" s="1552"/>
    </row>
    <row r="191" ht="18.0" customHeight="1">
      <c r="A191" s="1734" t="s">
        <v>3069</v>
      </c>
      <c r="B191" s="1557" t="s">
        <v>3097</v>
      </c>
      <c r="C191" s="1934" t="s">
        <v>19</v>
      </c>
      <c r="D191" s="1935" t="s">
        <v>3070</v>
      </c>
      <c r="E191" s="2000" t="s">
        <v>471</v>
      </c>
      <c r="F191" s="1075" t="s">
        <v>1357</v>
      </c>
      <c r="G191" s="1409" t="s">
        <v>3071</v>
      </c>
      <c r="H191" s="1075" t="s">
        <v>1287</v>
      </c>
      <c r="I191" s="1409" t="s">
        <v>1288</v>
      </c>
      <c r="J191" s="1075" t="s">
        <v>1358</v>
      </c>
      <c r="K191" s="1409" t="s">
        <v>3072</v>
      </c>
      <c r="L191" s="1075" t="s">
        <v>1359</v>
      </c>
      <c r="M191" s="1409" t="s">
        <v>3073</v>
      </c>
      <c r="N191" s="1075" t="s">
        <v>1360</v>
      </c>
      <c r="O191" s="1409" t="s">
        <v>3074</v>
      </c>
      <c r="P191" s="1075" t="s">
        <v>1361</v>
      </c>
      <c r="Q191" s="1409" t="s">
        <v>3075</v>
      </c>
      <c r="R191" s="1485" t="s">
        <v>1362</v>
      </c>
      <c r="S191" s="1560" t="s">
        <v>1298</v>
      </c>
      <c r="T191" s="1427" t="s">
        <v>1299</v>
      </c>
      <c r="U191" s="1560" t="s">
        <v>1300</v>
      </c>
      <c r="V191" s="1487" t="s">
        <v>1301</v>
      </c>
      <c r="W191" s="1560" t="s">
        <v>1302</v>
      </c>
      <c r="X191" s="1427" t="s">
        <v>1363</v>
      </c>
      <c r="Y191" s="1560" t="s">
        <v>1304</v>
      </c>
      <c r="Z191" s="1487" t="s">
        <v>1305</v>
      </c>
      <c r="AA191" s="1560" t="s">
        <v>1306</v>
      </c>
      <c r="AB191" s="1487" t="s">
        <v>1307</v>
      </c>
      <c r="AC191" s="1560" t="s">
        <v>1308</v>
      </c>
      <c r="AD191" s="1487" t="s">
        <v>1309</v>
      </c>
      <c r="AE191" s="1560" t="s">
        <v>1310</v>
      </c>
      <c r="AF191" s="1427" t="s">
        <v>1311</v>
      </c>
      <c r="AG191" s="1560" t="s">
        <v>1312</v>
      </c>
      <c r="AH191" s="1487" t="s">
        <v>1313</v>
      </c>
      <c r="AI191" s="1560" t="s">
        <v>1314</v>
      </c>
      <c r="AJ191" s="1487" t="s">
        <v>1315</v>
      </c>
      <c r="AK191" s="1560" t="s">
        <v>1316</v>
      </c>
      <c r="AL191" s="1487" t="s">
        <v>1317</v>
      </c>
      <c r="AM191" s="1560" t="s">
        <v>1318</v>
      </c>
      <c r="AN191" s="1487" t="s">
        <v>1319</v>
      </c>
      <c r="AO191" s="1560" t="s">
        <v>1320</v>
      </c>
      <c r="AP191" s="1487" t="s">
        <v>1321</v>
      </c>
      <c r="AQ191" s="1486" t="s">
        <v>1322</v>
      </c>
      <c r="AR191" s="1427" t="s">
        <v>1323</v>
      </c>
      <c r="AS191" s="1486" t="s">
        <v>1324</v>
      </c>
      <c r="AT191" s="1485" t="s">
        <v>1325</v>
      </c>
      <c r="AU191" s="1486" t="s">
        <v>1326</v>
      </c>
      <c r="AV191" s="1485" t="s">
        <v>1327</v>
      </c>
      <c r="AW191" s="1486" t="s">
        <v>1328</v>
      </c>
      <c r="AX191" s="1485" t="s">
        <v>3076</v>
      </c>
      <c r="AY191" s="1486" t="s">
        <v>3077</v>
      </c>
      <c r="AZ191" s="1485" t="s">
        <v>3078</v>
      </c>
      <c r="BA191" s="1486" t="s">
        <v>3079</v>
      </c>
      <c r="BB191" s="1485" t="s">
        <v>3080</v>
      </c>
      <c r="BC191" s="1486" t="s">
        <v>3081</v>
      </c>
      <c r="BD191" s="1485" t="s">
        <v>3082</v>
      </c>
      <c r="BE191" s="1486" t="s">
        <v>3083</v>
      </c>
      <c r="BF191" s="1485" t="s">
        <v>3084</v>
      </c>
      <c r="BG191" s="1486" t="s">
        <v>3085</v>
      </c>
      <c r="BH191" s="1485" t="s">
        <v>3086</v>
      </c>
      <c r="BI191" s="1486" t="s">
        <v>3087</v>
      </c>
      <c r="BJ191" s="1485" t="s">
        <v>3088</v>
      </c>
      <c r="BK191" s="1486" t="s">
        <v>3089</v>
      </c>
      <c r="BL191" s="1120" t="s">
        <v>1425</v>
      </c>
      <c r="BM191" s="1127" t="s">
        <v>3045</v>
      </c>
      <c r="BN191" s="1562" t="s">
        <v>3090</v>
      </c>
      <c r="BO191" s="1563" t="s">
        <v>3091</v>
      </c>
      <c r="BP191" s="2002" t="s">
        <v>1331</v>
      </c>
      <c r="BQ191" s="1131" t="s">
        <v>3092</v>
      </c>
      <c r="BR191" s="1126" t="s">
        <v>3093</v>
      </c>
      <c r="BS191" s="1075" t="s">
        <v>3094</v>
      </c>
      <c r="BT191" s="544"/>
    </row>
    <row r="192" ht="18.0" customHeight="1">
      <c r="A192" s="1565" t="s">
        <v>145</v>
      </c>
      <c r="B192" s="1566">
        <v>4045.0</v>
      </c>
      <c r="C192" s="1567">
        <v>145.0</v>
      </c>
      <c r="D192" s="1568" t="s">
        <v>3095</v>
      </c>
      <c r="E192" s="1569" t="str">
        <f>'Матрица 4 недели'!D31</f>
        <v>Панкейки шоколадные с вареньем</v>
      </c>
      <c r="F192" s="1120">
        <v>11.0</v>
      </c>
      <c r="G192" s="1138">
        <v>11.0</v>
      </c>
      <c r="H192" s="1120">
        <v>3.0</v>
      </c>
      <c r="I192" s="1138">
        <v>3.0</v>
      </c>
      <c r="J192" s="1120">
        <v>3.0</v>
      </c>
      <c r="K192" s="1138">
        <v>3.0</v>
      </c>
      <c r="L192" s="1126">
        <v>4.0</v>
      </c>
      <c r="M192" s="1138">
        <v>4.0</v>
      </c>
      <c r="N192" s="1120">
        <v>7.0</v>
      </c>
      <c r="O192" s="1138">
        <v>7.0</v>
      </c>
      <c r="P192" s="1120">
        <v>3.0</v>
      </c>
      <c r="Q192" s="1138">
        <v>3.0</v>
      </c>
      <c r="R192" s="1120">
        <v>0.0</v>
      </c>
      <c r="S192" s="1138">
        <v>0.0</v>
      </c>
      <c r="T192" s="1120">
        <v>3.0</v>
      </c>
      <c r="U192" s="1138">
        <v>3.0</v>
      </c>
      <c r="V192" s="1120">
        <v>8.0</v>
      </c>
      <c r="W192" s="1138">
        <v>8.0</v>
      </c>
      <c r="X192" s="1120">
        <v>9.0</v>
      </c>
      <c r="Y192" s="1138">
        <v>9.0</v>
      </c>
      <c r="Z192" s="1126"/>
      <c r="AA192" s="1138"/>
      <c r="AB192" s="1120">
        <v>2.0</v>
      </c>
      <c r="AC192" s="1138">
        <v>2.0</v>
      </c>
      <c r="AD192" s="1120">
        <v>4.0</v>
      </c>
      <c r="AE192" s="1138">
        <v>4.0</v>
      </c>
      <c r="AF192" s="1120">
        <v>2.0</v>
      </c>
      <c r="AG192" s="1138">
        <v>2.0</v>
      </c>
      <c r="AH192" s="1120">
        <v>1.0</v>
      </c>
      <c r="AI192" s="1138">
        <v>1.0</v>
      </c>
      <c r="AJ192" s="1120">
        <v>4.0</v>
      </c>
      <c r="AK192" s="1121">
        <v>4.0</v>
      </c>
      <c r="AL192" s="1126">
        <v>3.0</v>
      </c>
      <c r="AM192" s="1121">
        <v>3.0</v>
      </c>
      <c r="AN192" s="1120">
        <v>2.0</v>
      </c>
      <c r="AO192" s="1138">
        <v>2.0</v>
      </c>
      <c r="AP192" s="1120">
        <v>1.0</v>
      </c>
      <c r="AQ192" s="1138">
        <v>1.0</v>
      </c>
      <c r="AR192" s="1120">
        <v>13.0</v>
      </c>
      <c r="AS192" s="1121">
        <v>13.0</v>
      </c>
      <c r="AT192" s="1126">
        <v>4.0</v>
      </c>
      <c r="AU192" s="1121">
        <v>4.0</v>
      </c>
      <c r="AV192" s="1126">
        <v>2.0</v>
      </c>
      <c r="AW192" s="1121">
        <v>2.0</v>
      </c>
      <c r="AX192" s="1126">
        <v>5.0</v>
      </c>
      <c r="AY192" s="1121">
        <v>5.0</v>
      </c>
      <c r="AZ192" s="1126">
        <v>1.0</v>
      </c>
      <c r="BA192" s="1121">
        <v>1.0</v>
      </c>
      <c r="BB192" s="1126"/>
      <c r="BC192" s="1127"/>
      <c r="BD192" s="1126">
        <v>1.0</v>
      </c>
      <c r="BE192" s="1127">
        <v>1.0</v>
      </c>
      <c r="BF192" s="1126">
        <v>1.0</v>
      </c>
      <c r="BG192" s="1127">
        <v>1.0</v>
      </c>
      <c r="BH192" s="1126">
        <v>2.0</v>
      </c>
      <c r="BI192" s="1127">
        <v>2.0</v>
      </c>
      <c r="BJ192" s="1126">
        <v>5.0</v>
      </c>
      <c r="BK192" s="1121">
        <v>5.0</v>
      </c>
      <c r="BL192" s="1134"/>
      <c r="BM192" s="1305"/>
      <c r="BN192" s="2004"/>
      <c r="BO192" s="1305"/>
      <c r="BP192" s="783">
        <f t="shared" ref="BP192:BP218" si="116">(F192+H192+J192+L192+N192+P192+R192+T192+V192+X192+Z192+AB192+AD192+AF192+AH192+AJ192+AL192+AR192+BL192+AN192+AP192+AT192+AV192+AX192+AZ192+BB192+BD192+BF192+BH192+BJ192)+1</f>
        <v>105</v>
      </c>
      <c r="BQ192" s="1571">
        <f t="shared" ref="BQ192:BQ218" si="117">G192+I192+K192+M192+O192+Q192+S192+U192+W192+Y192+AA192+AC192+AE192+AG192+AI192+AK192+AM192+AS192+BM192+AO192+AQ192+AU192+AW192+AY192+BA192+BC192+BE192+BG192+BI192+BK192</f>
        <v>104</v>
      </c>
      <c r="BR192" s="1572">
        <f t="shared" ref="BR192:BR218" si="118">BQ192*C192</f>
        <v>15080</v>
      </c>
      <c r="BS192" s="784">
        <f t="shared" ref="BS192:BS218" si="119">BP192*C192</f>
        <v>15225</v>
      </c>
      <c r="BT192" s="1545"/>
    </row>
    <row r="193" ht="18.0" customHeight="1">
      <c r="A193" s="1565" t="s">
        <v>145</v>
      </c>
      <c r="B193" s="1568">
        <v>1922.0</v>
      </c>
      <c r="C193" s="1567">
        <v>120.0</v>
      </c>
      <c r="D193" s="1568" t="s">
        <v>3095</v>
      </c>
      <c r="E193" s="1569" t="str">
        <f>'Матрица 4 недели'!D32</f>
        <v>Блины фаршированные сочной курочкой</v>
      </c>
      <c r="F193" s="1120">
        <v>8.0</v>
      </c>
      <c r="G193" s="1138">
        <v>8.0</v>
      </c>
      <c r="H193" s="1120">
        <v>3.0</v>
      </c>
      <c r="I193" s="1138">
        <v>3.0</v>
      </c>
      <c r="J193" s="1120">
        <v>3.0</v>
      </c>
      <c r="K193" s="1138">
        <v>3.0</v>
      </c>
      <c r="L193" s="1120">
        <v>7.0</v>
      </c>
      <c r="M193" s="1138">
        <v>7.0</v>
      </c>
      <c r="N193" s="1120">
        <v>8.0</v>
      </c>
      <c r="O193" s="1138">
        <v>8.0</v>
      </c>
      <c r="P193" s="1120">
        <v>2.0</v>
      </c>
      <c r="Q193" s="1138">
        <v>2.0</v>
      </c>
      <c r="R193" s="1126">
        <v>3.0</v>
      </c>
      <c r="S193" s="1138">
        <v>3.0</v>
      </c>
      <c r="T193" s="1120">
        <v>7.0</v>
      </c>
      <c r="U193" s="1138">
        <v>7.0</v>
      </c>
      <c r="V193" s="1126">
        <v>10.0</v>
      </c>
      <c r="W193" s="1138">
        <v>10.0</v>
      </c>
      <c r="X193" s="1126">
        <v>8.0</v>
      </c>
      <c r="Y193" s="1138">
        <v>8.0</v>
      </c>
      <c r="Z193" s="1120"/>
      <c r="AA193" s="1138"/>
      <c r="AB193" s="1126">
        <v>4.0</v>
      </c>
      <c r="AC193" s="1138">
        <v>4.0</v>
      </c>
      <c r="AD193" s="1126">
        <v>4.0</v>
      </c>
      <c r="AE193" s="1138">
        <v>4.0</v>
      </c>
      <c r="AF193" s="1120">
        <v>12.0</v>
      </c>
      <c r="AG193" s="1138">
        <v>12.0</v>
      </c>
      <c r="AH193" s="1126">
        <v>8.0</v>
      </c>
      <c r="AI193" s="1138">
        <v>8.0</v>
      </c>
      <c r="AJ193" s="1120">
        <v>9.0</v>
      </c>
      <c r="AK193" s="1138">
        <v>9.0</v>
      </c>
      <c r="AL193" s="1120">
        <v>4.0</v>
      </c>
      <c r="AM193" s="1138">
        <v>4.0</v>
      </c>
      <c r="AN193" s="1126">
        <v>6.0</v>
      </c>
      <c r="AO193" s="1138">
        <v>6.0</v>
      </c>
      <c r="AP193" s="1120">
        <v>2.0</v>
      </c>
      <c r="AQ193" s="1138">
        <v>2.0</v>
      </c>
      <c r="AR193" s="1126">
        <v>6.0</v>
      </c>
      <c r="AS193" s="1138">
        <v>6.0</v>
      </c>
      <c r="AT193" s="1126">
        <v>4.0</v>
      </c>
      <c r="AU193" s="1138">
        <v>4.0</v>
      </c>
      <c r="AV193" s="1126">
        <v>1.0</v>
      </c>
      <c r="AW193" s="1138">
        <v>1.0</v>
      </c>
      <c r="AX193" s="1126">
        <v>4.0</v>
      </c>
      <c r="AY193" s="1138">
        <v>4.0</v>
      </c>
      <c r="AZ193" s="1126">
        <v>3.0</v>
      </c>
      <c r="BA193" s="1138">
        <v>3.0</v>
      </c>
      <c r="BB193" s="1126"/>
      <c r="BC193" s="1138"/>
      <c r="BD193" s="1126">
        <v>2.0</v>
      </c>
      <c r="BE193" s="1138">
        <v>2.0</v>
      </c>
      <c r="BF193" s="1126">
        <v>4.0</v>
      </c>
      <c r="BG193" s="1138">
        <v>4.0</v>
      </c>
      <c r="BH193" s="1126">
        <v>4.0</v>
      </c>
      <c r="BI193" s="1138">
        <v>4.0</v>
      </c>
      <c r="BJ193" s="1126">
        <v>5.0</v>
      </c>
      <c r="BK193" s="1138">
        <v>5.0</v>
      </c>
      <c r="BL193" s="1139"/>
      <c r="BM193" s="1138"/>
      <c r="BN193" s="1087">
        <v>10.0</v>
      </c>
      <c r="BO193" s="1138"/>
      <c r="BP193" s="783">
        <f t="shared" si="116"/>
        <v>142</v>
      </c>
      <c r="BQ193" s="1571">
        <f t="shared" si="117"/>
        <v>141</v>
      </c>
      <c r="BR193" s="1572">
        <f t="shared" si="118"/>
        <v>16920</v>
      </c>
      <c r="BS193" s="784">
        <f t="shared" si="119"/>
        <v>17040</v>
      </c>
      <c r="BT193" s="1545"/>
    </row>
    <row r="194" ht="18.0" customHeight="1">
      <c r="A194" s="1565" t="s">
        <v>145</v>
      </c>
      <c r="B194" s="1566">
        <v>385.0</v>
      </c>
      <c r="C194" s="1567">
        <v>83.0</v>
      </c>
      <c r="D194" s="1568" t="s">
        <v>3095</v>
      </c>
      <c r="E194" s="1569" t="str">
        <f>'Матрица 4 недели'!D33</f>
        <v>Омлет воздушный</v>
      </c>
      <c r="F194" s="1120">
        <v>5.0</v>
      </c>
      <c r="G194" s="1121">
        <v>5.0</v>
      </c>
      <c r="H194" s="1120">
        <v>2.0</v>
      </c>
      <c r="I194" s="1121">
        <v>1.0</v>
      </c>
      <c r="J194" s="1120">
        <v>3.0</v>
      </c>
      <c r="K194" s="1121">
        <v>3.0</v>
      </c>
      <c r="L194" s="1137">
        <v>4.0</v>
      </c>
      <c r="M194" s="1121">
        <v>4.0</v>
      </c>
      <c r="N194" s="1137">
        <v>5.0</v>
      </c>
      <c r="O194" s="1121">
        <v>5.0</v>
      </c>
      <c r="P194" s="1126">
        <v>2.0</v>
      </c>
      <c r="Q194" s="1121">
        <v>2.0</v>
      </c>
      <c r="R194" s="1120">
        <v>2.0</v>
      </c>
      <c r="S194" s="1121">
        <v>2.0</v>
      </c>
      <c r="T194" s="1126">
        <v>4.0</v>
      </c>
      <c r="U194" s="1121">
        <v>4.0</v>
      </c>
      <c r="V194" s="1126">
        <v>3.0</v>
      </c>
      <c r="W194" s="1121">
        <v>3.0</v>
      </c>
      <c r="X194" s="1126">
        <v>3.0</v>
      </c>
      <c r="Y194" s="1121">
        <v>3.0</v>
      </c>
      <c r="Z194" s="1126"/>
      <c r="AA194" s="1121"/>
      <c r="AB194" s="1120">
        <v>4.0</v>
      </c>
      <c r="AC194" s="1121">
        <v>4.0</v>
      </c>
      <c r="AD194" s="1126">
        <v>3.0</v>
      </c>
      <c r="AE194" s="1121">
        <v>3.0</v>
      </c>
      <c r="AF194" s="1126">
        <v>7.0</v>
      </c>
      <c r="AG194" s="1121">
        <v>7.0</v>
      </c>
      <c r="AH194" s="1126">
        <v>4.0</v>
      </c>
      <c r="AI194" s="1121">
        <v>4.0</v>
      </c>
      <c r="AJ194" s="1126">
        <v>5.0</v>
      </c>
      <c r="AK194" s="1121">
        <v>5.0</v>
      </c>
      <c r="AL194" s="1120">
        <v>3.0</v>
      </c>
      <c r="AM194" s="1121">
        <v>3.0</v>
      </c>
      <c r="AN194" s="1126">
        <v>3.0</v>
      </c>
      <c r="AO194" s="1121">
        <v>3.0</v>
      </c>
      <c r="AP194" s="1126">
        <v>3.0</v>
      </c>
      <c r="AQ194" s="1138">
        <v>3.0</v>
      </c>
      <c r="AR194" s="1126">
        <v>6.0</v>
      </c>
      <c r="AS194" s="1138">
        <v>6.0</v>
      </c>
      <c r="AT194" s="1126">
        <v>2.0</v>
      </c>
      <c r="AU194" s="1138">
        <v>2.0</v>
      </c>
      <c r="AV194" s="1126">
        <v>2.0</v>
      </c>
      <c r="AW194" s="1138">
        <v>2.0</v>
      </c>
      <c r="AX194" s="1126">
        <v>3.0</v>
      </c>
      <c r="AY194" s="1138">
        <v>3.0</v>
      </c>
      <c r="AZ194" s="1126">
        <v>2.0</v>
      </c>
      <c r="BA194" s="1138">
        <v>2.0</v>
      </c>
      <c r="BB194" s="1126"/>
      <c r="BC194" s="1138"/>
      <c r="BD194" s="1126">
        <v>3.0</v>
      </c>
      <c r="BE194" s="1138">
        <v>3.0</v>
      </c>
      <c r="BF194" s="1126">
        <v>4.0</v>
      </c>
      <c r="BG194" s="1138">
        <v>4.0</v>
      </c>
      <c r="BH194" s="1126">
        <v>3.0</v>
      </c>
      <c r="BI194" s="1138">
        <v>3.0</v>
      </c>
      <c r="BJ194" s="1126">
        <v>4.0</v>
      </c>
      <c r="BK194" s="1138">
        <v>4.0</v>
      </c>
      <c r="BL194" s="1139"/>
      <c r="BM194" s="1784"/>
      <c r="BN194" s="1785"/>
      <c r="BO194" s="1784"/>
      <c r="BP194" s="783">
        <f t="shared" si="116"/>
        <v>95</v>
      </c>
      <c r="BQ194" s="1571">
        <f t="shared" si="117"/>
        <v>93</v>
      </c>
      <c r="BR194" s="1572">
        <f t="shared" si="118"/>
        <v>7719</v>
      </c>
      <c r="BS194" s="784">
        <f t="shared" si="119"/>
        <v>7885</v>
      </c>
      <c r="BT194" s="1545"/>
    </row>
    <row r="195" ht="18.0" customHeight="1">
      <c r="A195" s="1565" t="s">
        <v>145</v>
      </c>
      <c r="B195" s="1566">
        <v>3316.0</v>
      </c>
      <c r="C195" s="1567">
        <v>98.0</v>
      </c>
      <c r="D195" s="1568" t="s">
        <v>70</v>
      </c>
      <c r="E195" s="1569" t="str">
        <f>'Матрица 4 недели'!G31</f>
        <v>Салат ''Витаминный с крабом'' 120 г</v>
      </c>
      <c r="F195" s="1120">
        <v>3.0</v>
      </c>
      <c r="G195" s="1121">
        <v>3.0</v>
      </c>
      <c r="H195" s="1120">
        <v>2.0</v>
      </c>
      <c r="I195" s="1121">
        <v>2.0</v>
      </c>
      <c r="J195" s="1120">
        <v>4.0</v>
      </c>
      <c r="K195" s="1121">
        <v>4.0</v>
      </c>
      <c r="L195" s="1120">
        <v>2.0</v>
      </c>
      <c r="M195" s="1121">
        <v>2.0</v>
      </c>
      <c r="N195" s="1120">
        <v>10.0</v>
      </c>
      <c r="O195" s="1121">
        <v>10.0</v>
      </c>
      <c r="P195" s="1126">
        <v>7.0</v>
      </c>
      <c r="Q195" s="1121">
        <v>7.0</v>
      </c>
      <c r="R195" s="1120">
        <v>5.0</v>
      </c>
      <c r="S195" s="1121">
        <v>5.0</v>
      </c>
      <c r="T195" s="1120">
        <v>2.0</v>
      </c>
      <c r="U195" s="1121">
        <v>2.0</v>
      </c>
      <c r="V195" s="1120">
        <v>6.0</v>
      </c>
      <c r="W195" s="1121">
        <v>6.0</v>
      </c>
      <c r="X195" s="1120">
        <v>9.0</v>
      </c>
      <c r="Y195" s="1121">
        <v>9.0</v>
      </c>
      <c r="Z195" s="1126"/>
      <c r="AA195" s="1121"/>
      <c r="AB195" s="1120">
        <v>3.0</v>
      </c>
      <c r="AC195" s="1121">
        <v>3.0</v>
      </c>
      <c r="AD195" s="1120">
        <v>3.0</v>
      </c>
      <c r="AE195" s="1121">
        <v>3.0</v>
      </c>
      <c r="AF195" s="1120">
        <v>8.0</v>
      </c>
      <c r="AG195" s="1121">
        <v>8.0</v>
      </c>
      <c r="AH195" s="1120">
        <v>2.0</v>
      </c>
      <c r="AI195" s="1121">
        <v>2.0</v>
      </c>
      <c r="AJ195" s="1120">
        <v>5.0</v>
      </c>
      <c r="AK195" s="1121">
        <v>5.0</v>
      </c>
      <c r="AL195" s="1126">
        <v>7.0</v>
      </c>
      <c r="AM195" s="1121">
        <v>7.0</v>
      </c>
      <c r="AN195" s="1120">
        <v>2.0</v>
      </c>
      <c r="AO195" s="1138">
        <v>2.0</v>
      </c>
      <c r="AP195" s="1120">
        <v>8.0</v>
      </c>
      <c r="AQ195" s="1138">
        <v>8.0</v>
      </c>
      <c r="AR195" s="1120">
        <v>5.0</v>
      </c>
      <c r="AS195" s="1121">
        <v>5.0</v>
      </c>
      <c r="AT195" s="1126">
        <v>5.0</v>
      </c>
      <c r="AU195" s="1121">
        <v>5.0</v>
      </c>
      <c r="AV195" s="1126">
        <v>4.0</v>
      </c>
      <c r="AW195" s="1121">
        <v>4.0</v>
      </c>
      <c r="AX195" s="1126">
        <v>4.0</v>
      </c>
      <c r="AY195" s="1121">
        <v>4.0</v>
      </c>
      <c r="AZ195" s="1126">
        <v>4.0</v>
      </c>
      <c r="BA195" s="1121">
        <v>4.0</v>
      </c>
      <c r="BB195" s="1126"/>
      <c r="BC195" s="1121"/>
      <c r="BD195" s="1126">
        <v>2.0</v>
      </c>
      <c r="BE195" s="1121">
        <v>2.0</v>
      </c>
      <c r="BF195" s="1126">
        <v>4.0</v>
      </c>
      <c r="BG195" s="1121">
        <v>4.0</v>
      </c>
      <c r="BH195" s="1126">
        <v>5.0</v>
      </c>
      <c r="BI195" s="1121">
        <v>5.0</v>
      </c>
      <c r="BJ195" s="1126">
        <v>7.0</v>
      </c>
      <c r="BK195" s="1121">
        <v>7.0</v>
      </c>
      <c r="BL195" s="1134">
        <v>40.0</v>
      </c>
      <c r="BM195" s="1653"/>
      <c r="BN195" s="1785">
        <v>8.0</v>
      </c>
      <c r="BO195" s="1653"/>
      <c r="BP195" s="783">
        <f t="shared" si="116"/>
        <v>169</v>
      </c>
      <c r="BQ195" s="1571">
        <f t="shared" si="117"/>
        <v>128</v>
      </c>
      <c r="BR195" s="1572">
        <f t="shared" si="118"/>
        <v>12544</v>
      </c>
      <c r="BS195" s="784">
        <f t="shared" si="119"/>
        <v>16562</v>
      </c>
      <c r="BT195" s="1545"/>
    </row>
    <row r="196" ht="18.0" customHeight="1">
      <c r="A196" s="1565" t="s">
        <v>145</v>
      </c>
      <c r="B196" s="1566">
        <v>31.0</v>
      </c>
      <c r="C196" s="1567">
        <v>98.0</v>
      </c>
      <c r="D196" s="1568" t="s">
        <v>70</v>
      </c>
      <c r="E196" s="2090" t="str">
        <f>'Матрица 4 недели'!G32</f>
        <v>Салат ''Прага'' (ветчина кур.)</v>
      </c>
      <c r="F196" s="1120">
        <v>9.0</v>
      </c>
      <c r="G196" s="1121">
        <v>9.0</v>
      </c>
      <c r="H196" s="1120">
        <v>2.0</v>
      </c>
      <c r="I196" s="1121">
        <v>2.0</v>
      </c>
      <c r="J196" s="1120">
        <v>4.0</v>
      </c>
      <c r="K196" s="1121">
        <v>4.0</v>
      </c>
      <c r="L196" s="1120">
        <v>2.0</v>
      </c>
      <c r="M196" s="1121">
        <v>2.0</v>
      </c>
      <c r="N196" s="1120">
        <v>5.0</v>
      </c>
      <c r="O196" s="1121">
        <v>5.0</v>
      </c>
      <c r="P196" s="1120">
        <v>4.0</v>
      </c>
      <c r="Q196" s="1121">
        <v>4.0</v>
      </c>
      <c r="R196" s="1120">
        <v>2.0</v>
      </c>
      <c r="S196" s="1121">
        <v>2.0</v>
      </c>
      <c r="T196" s="1120">
        <v>1.0</v>
      </c>
      <c r="U196" s="1121">
        <v>1.0</v>
      </c>
      <c r="V196" s="1120">
        <v>6.0</v>
      </c>
      <c r="W196" s="1121">
        <v>6.0</v>
      </c>
      <c r="X196" s="1120">
        <v>2.0</v>
      </c>
      <c r="Y196" s="1121">
        <v>2.0</v>
      </c>
      <c r="Z196" s="1126"/>
      <c r="AA196" s="1121"/>
      <c r="AB196" s="1120">
        <v>0.0</v>
      </c>
      <c r="AC196" s="1121">
        <v>0.0</v>
      </c>
      <c r="AD196" s="1120">
        <v>3.0</v>
      </c>
      <c r="AE196" s="1121">
        <v>3.0</v>
      </c>
      <c r="AF196" s="1120">
        <v>3.0</v>
      </c>
      <c r="AG196" s="1121">
        <v>3.0</v>
      </c>
      <c r="AH196" s="1120">
        <v>4.0</v>
      </c>
      <c r="AI196" s="1121">
        <v>4.0</v>
      </c>
      <c r="AJ196" s="1120">
        <v>1.0</v>
      </c>
      <c r="AK196" s="1121">
        <v>1.0</v>
      </c>
      <c r="AL196" s="1126">
        <v>1.0</v>
      </c>
      <c r="AM196" s="1121">
        <v>1.0</v>
      </c>
      <c r="AN196" s="1120">
        <v>2.0</v>
      </c>
      <c r="AO196" s="1138">
        <v>2.0</v>
      </c>
      <c r="AP196" s="1120">
        <v>3.0</v>
      </c>
      <c r="AQ196" s="1138">
        <v>3.0</v>
      </c>
      <c r="AR196" s="1120">
        <v>10.0</v>
      </c>
      <c r="AS196" s="1121">
        <v>10.0</v>
      </c>
      <c r="AT196" s="1126">
        <v>2.0</v>
      </c>
      <c r="AU196" s="1121">
        <v>2.0</v>
      </c>
      <c r="AV196" s="1126">
        <v>3.0</v>
      </c>
      <c r="AW196" s="1121">
        <v>3.0</v>
      </c>
      <c r="AX196" s="1126">
        <v>2.0</v>
      </c>
      <c r="AY196" s="1121">
        <v>2.0</v>
      </c>
      <c r="AZ196" s="1126">
        <v>3.0</v>
      </c>
      <c r="BA196" s="1121">
        <v>3.0</v>
      </c>
      <c r="BB196" s="1126"/>
      <c r="BC196" s="1121"/>
      <c r="BD196" s="1126">
        <v>2.0</v>
      </c>
      <c r="BE196" s="1121">
        <v>2.0</v>
      </c>
      <c r="BF196" s="1126">
        <v>5.0</v>
      </c>
      <c r="BG196" s="1121">
        <v>5.0</v>
      </c>
      <c r="BH196" s="1126">
        <v>2.0</v>
      </c>
      <c r="BI196" s="1121">
        <v>2.0</v>
      </c>
      <c r="BJ196" s="1126">
        <v>6.0</v>
      </c>
      <c r="BK196" s="1121">
        <v>6.0</v>
      </c>
      <c r="BL196" s="1134">
        <v>45.0</v>
      </c>
      <c r="BM196" s="1653"/>
      <c r="BN196" s="1785">
        <v>8.0</v>
      </c>
      <c r="BO196" s="1653">
        <v>8.0</v>
      </c>
      <c r="BP196" s="783">
        <f t="shared" si="116"/>
        <v>135</v>
      </c>
      <c r="BQ196" s="1571">
        <f t="shared" si="117"/>
        <v>89</v>
      </c>
      <c r="BR196" s="1572">
        <f t="shared" si="118"/>
        <v>8722</v>
      </c>
      <c r="BS196" s="784">
        <f t="shared" si="119"/>
        <v>13230</v>
      </c>
      <c r="BT196" s="1545"/>
    </row>
    <row r="197" ht="18.0" customHeight="1">
      <c r="A197" s="1565" t="s">
        <v>145</v>
      </c>
      <c r="B197" s="1566">
        <v>4055.0</v>
      </c>
      <c r="C197" s="1567">
        <v>98.0</v>
      </c>
      <c r="D197" s="1568" t="s">
        <v>70</v>
      </c>
      <c r="E197" s="2090" t="str">
        <f>'Матрица 4 недели'!G33</f>
        <v>Салат "Чикаго" (кура копченая)</v>
      </c>
      <c r="F197" s="1120">
        <v>9.0</v>
      </c>
      <c r="G197" s="1121">
        <v>9.0</v>
      </c>
      <c r="H197" s="1120">
        <v>2.0</v>
      </c>
      <c r="I197" s="1121">
        <v>2.0</v>
      </c>
      <c r="J197" s="1120">
        <v>4.0</v>
      </c>
      <c r="K197" s="1121">
        <v>4.0</v>
      </c>
      <c r="L197" s="1120">
        <v>3.0</v>
      </c>
      <c r="M197" s="1121">
        <v>3.0</v>
      </c>
      <c r="N197" s="1120">
        <v>5.0</v>
      </c>
      <c r="O197" s="1121">
        <v>5.0</v>
      </c>
      <c r="P197" s="1120">
        <v>5.0</v>
      </c>
      <c r="Q197" s="1121">
        <v>5.0</v>
      </c>
      <c r="R197" s="1120">
        <v>2.0</v>
      </c>
      <c r="S197" s="1121">
        <v>2.0</v>
      </c>
      <c r="T197" s="1120">
        <v>2.0</v>
      </c>
      <c r="U197" s="1121">
        <v>2.0</v>
      </c>
      <c r="V197" s="1120">
        <v>6.0</v>
      </c>
      <c r="W197" s="1121">
        <v>6.0</v>
      </c>
      <c r="X197" s="1120">
        <v>3.0</v>
      </c>
      <c r="Y197" s="1121">
        <v>3.0</v>
      </c>
      <c r="Z197" s="1126"/>
      <c r="AA197" s="1121"/>
      <c r="AB197" s="1120">
        <v>2.0</v>
      </c>
      <c r="AC197" s="1121">
        <v>2.0</v>
      </c>
      <c r="AD197" s="1120">
        <v>3.0</v>
      </c>
      <c r="AE197" s="1121">
        <v>3.0</v>
      </c>
      <c r="AF197" s="1120">
        <v>8.0</v>
      </c>
      <c r="AG197" s="1121">
        <v>8.0</v>
      </c>
      <c r="AH197" s="1120">
        <v>1.0</v>
      </c>
      <c r="AI197" s="1121">
        <v>1.0</v>
      </c>
      <c r="AJ197" s="1120">
        <v>5.0</v>
      </c>
      <c r="AK197" s="1121">
        <v>5.0</v>
      </c>
      <c r="AL197" s="1126">
        <v>2.0</v>
      </c>
      <c r="AM197" s="1121">
        <v>2.0</v>
      </c>
      <c r="AN197" s="1120">
        <v>2.0</v>
      </c>
      <c r="AO197" s="1138">
        <v>2.0</v>
      </c>
      <c r="AP197" s="1120">
        <v>0.0</v>
      </c>
      <c r="AQ197" s="1138">
        <v>0.0</v>
      </c>
      <c r="AR197" s="1120">
        <v>4.0</v>
      </c>
      <c r="AS197" s="1121">
        <v>4.0</v>
      </c>
      <c r="AT197" s="1126">
        <v>4.0</v>
      </c>
      <c r="AU197" s="1121">
        <v>4.0</v>
      </c>
      <c r="AV197" s="1126">
        <v>5.0</v>
      </c>
      <c r="AW197" s="1121">
        <v>5.0</v>
      </c>
      <c r="AX197" s="1126">
        <v>3.0</v>
      </c>
      <c r="AY197" s="1121">
        <v>3.0</v>
      </c>
      <c r="AZ197" s="1126">
        <v>4.0</v>
      </c>
      <c r="BA197" s="1121">
        <v>4.0</v>
      </c>
      <c r="BB197" s="1126"/>
      <c r="BC197" s="1121"/>
      <c r="BD197" s="1126">
        <v>4.0</v>
      </c>
      <c r="BE197" s="1121">
        <v>4.0</v>
      </c>
      <c r="BF197" s="1126">
        <v>4.0</v>
      </c>
      <c r="BG197" s="1121">
        <v>4.0</v>
      </c>
      <c r="BH197" s="1126">
        <v>3.0</v>
      </c>
      <c r="BI197" s="1121">
        <v>3.0</v>
      </c>
      <c r="BJ197" s="1126">
        <v>7.0</v>
      </c>
      <c r="BK197" s="1121">
        <v>7.0</v>
      </c>
      <c r="BL197" s="1134">
        <v>45.0</v>
      </c>
      <c r="BM197" s="1653"/>
      <c r="BN197" s="1785"/>
      <c r="BO197" s="1653"/>
      <c r="BP197" s="783">
        <f t="shared" si="116"/>
        <v>148</v>
      </c>
      <c r="BQ197" s="1571">
        <f t="shared" si="117"/>
        <v>102</v>
      </c>
      <c r="BR197" s="1572">
        <f t="shared" si="118"/>
        <v>9996</v>
      </c>
      <c r="BS197" s="784">
        <f t="shared" si="119"/>
        <v>14504</v>
      </c>
      <c r="BT197" s="1545"/>
    </row>
    <row r="198" ht="18.0" customHeight="1">
      <c r="A198" s="1565" t="s">
        <v>145</v>
      </c>
      <c r="B198" s="1566">
        <v>3306.0</v>
      </c>
      <c r="C198" s="1567">
        <v>237.0</v>
      </c>
      <c r="D198" s="1580" t="s">
        <v>537</v>
      </c>
      <c r="E198" s="1569" t="str">
        <f>'Матрица 4 недели'!G34</f>
        <v>Боул с курицей, бобами эдамаме и овощами</v>
      </c>
      <c r="F198" s="1120">
        <v>6.0</v>
      </c>
      <c r="G198" s="1138">
        <v>4.0</v>
      </c>
      <c r="H198" s="1120"/>
      <c r="I198" s="1138"/>
      <c r="J198" s="1126">
        <v>3.0</v>
      </c>
      <c r="K198" s="1138">
        <v>3.0</v>
      </c>
      <c r="L198" s="1126">
        <v>1.0</v>
      </c>
      <c r="M198" s="1138">
        <v>1.0</v>
      </c>
      <c r="N198" s="1120">
        <v>4.0</v>
      </c>
      <c r="O198" s="1138">
        <v>4.0</v>
      </c>
      <c r="P198" s="1120">
        <v>3.0</v>
      </c>
      <c r="Q198" s="1138">
        <v>3.0</v>
      </c>
      <c r="R198" s="1120">
        <v>0.0</v>
      </c>
      <c r="S198" s="1138">
        <v>0.0</v>
      </c>
      <c r="T198" s="1120">
        <v>5.0</v>
      </c>
      <c r="U198" s="1138">
        <v>5.0</v>
      </c>
      <c r="V198" s="1120">
        <v>4.0</v>
      </c>
      <c r="W198" s="1138">
        <v>4.0</v>
      </c>
      <c r="X198" s="1120">
        <v>3.0</v>
      </c>
      <c r="Y198" s="1138">
        <v>3.0</v>
      </c>
      <c r="Z198" s="1126"/>
      <c r="AA198" s="1138"/>
      <c r="AB198" s="1120">
        <v>2.0</v>
      </c>
      <c r="AC198" s="1138">
        <v>2.0</v>
      </c>
      <c r="AD198" s="1120">
        <v>2.0</v>
      </c>
      <c r="AE198" s="1138">
        <v>2.0</v>
      </c>
      <c r="AF198" s="1120">
        <v>4.0</v>
      </c>
      <c r="AG198" s="1138">
        <v>4.0</v>
      </c>
      <c r="AH198" s="1120">
        <v>3.0</v>
      </c>
      <c r="AI198" s="1138">
        <v>3.0</v>
      </c>
      <c r="AJ198" s="1120"/>
      <c r="AK198" s="1138"/>
      <c r="AL198" s="1126">
        <v>1.0</v>
      </c>
      <c r="AM198" s="1138">
        <v>1.0</v>
      </c>
      <c r="AN198" s="1120"/>
      <c r="AO198" s="1138"/>
      <c r="AP198" s="1120">
        <v>2.0</v>
      </c>
      <c r="AQ198" s="1138">
        <v>2.0</v>
      </c>
      <c r="AR198" s="1120">
        <v>7.0</v>
      </c>
      <c r="AS198" s="1131">
        <v>7.0</v>
      </c>
      <c r="AT198" s="1126">
        <v>1.0</v>
      </c>
      <c r="AU198" s="1131">
        <v>1.0</v>
      </c>
      <c r="AV198" s="1126">
        <v>3.0</v>
      </c>
      <c r="AW198" s="1131">
        <v>3.0</v>
      </c>
      <c r="AX198" s="1126">
        <v>4.0</v>
      </c>
      <c r="AY198" s="1131">
        <v>9.0</v>
      </c>
      <c r="AZ198" s="1126">
        <v>0.0</v>
      </c>
      <c r="BA198" s="1131">
        <v>0.0</v>
      </c>
      <c r="BB198" s="1126"/>
      <c r="BC198" s="1131"/>
      <c r="BD198" s="1126">
        <v>0.0</v>
      </c>
      <c r="BE198" s="1131">
        <v>0.0</v>
      </c>
      <c r="BF198" s="1126">
        <v>8.0</v>
      </c>
      <c r="BG198" s="1131">
        <v>6.0</v>
      </c>
      <c r="BH198" s="1126">
        <v>5.0</v>
      </c>
      <c r="BI198" s="1131">
        <v>5.0</v>
      </c>
      <c r="BJ198" s="1126">
        <v>6.0</v>
      </c>
      <c r="BK198" s="1131">
        <v>5.0</v>
      </c>
      <c r="BL198" s="1134"/>
      <c r="BM198" s="1653"/>
      <c r="BN198" s="1785"/>
      <c r="BO198" s="1653"/>
      <c r="BP198" s="783">
        <f t="shared" si="116"/>
        <v>78</v>
      </c>
      <c r="BQ198" s="1571">
        <f t="shared" si="117"/>
        <v>77</v>
      </c>
      <c r="BR198" s="1572">
        <f t="shared" si="118"/>
        <v>18249</v>
      </c>
      <c r="BS198" s="784">
        <f t="shared" si="119"/>
        <v>18486</v>
      </c>
      <c r="BT198" s="1545"/>
    </row>
    <row r="199" ht="18.0" customHeight="1">
      <c r="A199" s="1565"/>
      <c r="B199" s="1566">
        <v>380.0</v>
      </c>
      <c r="C199" s="2009">
        <v>114.0</v>
      </c>
      <c r="D199" s="1836" t="s">
        <v>74</v>
      </c>
      <c r="E199" s="1569" t="str">
        <f>'Матрица 4 недели'!J31</f>
        <v>Солянка</v>
      </c>
      <c r="F199" s="1120"/>
      <c r="G199" s="1624"/>
      <c r="H199" s="1120"/>
      <c r="I199" s="1121"/>
      <c r="J199" s="1120"/>
      <c r="K199" s="1121"/>
      <c r="L199" s="1120"/>
      <c r="M199" s="1121"/>
      <c r="N199" s="1120"/>
      <c r="O199" s="1121"/>
      <c r="P199" s="1120"/>
      <c r="Q199" s="1121"/>
      <c r="R199" s="1120"/>
      <c r="S199" s="1121"/>
      <c r="T199" s="1120"/>
      <c r="U199" s="1121"/>
      <c r="V199" s="1120"/>
      <c r="W199" s="1121"/>
      <c r="X199" s="1120"/>
      <c r="Y199" s="1121"/>
      <c r="Z199" s="1126"/>
      <c r="AA199" s="1121"/>
      <c r="AB199" s="1120"/>
      <c r="AC199" s="1121"/>
      <c r="AD199" s="1120"/>
      <c r="AE199" s="1121"/>
      <c r="AF199" s="1120"/>
      <c r="AG199" s="1121"/>
      <c r="AH199" s="1120"/>
      <c r="AI199" s="1121"/>
      <c r="AJ199" s="1120"/>
      <c r="AK199" s="1121"/>
      <c r="AL199" s="1126"/>
      <c r="AM199" s="1121"/>
      <c r="AN199" s="1120"/>
      <c r="AO199" s="1138"/>
      <c r="AP199" s="1120"/>
      <c r="AQ199" s="1138"/>
      <c r="AR199" s="1120"/>
      <c r="AS199" s="1121"/>
      <c r="AT199" s="1126"/>
      <c r="AU199" s="1121"/>
      <c r="AV199" s="1126"/>
      <c r="AW199" s="1121"/>
      <c r="AX199" s="1126"/>
      <c r="AY199" s="1121"/>
      <c r="AZ199" s="1126"/>
      <c r="BA199" s="1121"/>
      <c r="BB199" s="1126"/>
      <c r="BC199" s="1121"/>
      <c r="BD199" s="1126"/>
      <c r="BE199" s="1121"/>
      <c r="BF199" s="1126"/>
      <c r="BG199" s="1121"/>
      <c r="BH199" s="1126"/>
      <c r="BI199" s="1121"/>
      <c r="BJ199" s="1126"/>
      <c r="BK199" s="1121"/>
      <c r="BL199" s="1134">
        <v>110.0</v>
      </c>
      <c r="BM199" s="1653"/>
      <c r="BN199" s="1785">
        <v>10.0</v>
      </c>
      <c r="BO199" s="1653"/>
      <c r="BP199" s="783">
        <f t="shared" si="116"/>
        <v>111</v>
      </c>
      <c r="BQ199" s="1571">
        <f t="shared" si="117"/>
        <v>0</v>
      </c>
      <c r="BR199" s="1572">
        <f t="shared" si="118"/>
        <v>0</v>
      </c>
      <c r="BS199" s="784">
        <f t="shared" si="119"/>
        <v>12654</v>
      </c>
      <c r="BT199" s="1545"/>
    </row>
    <row r="200" ht="18.0" customHeight="1">
      <c r="A200" s="1565" t="s">
        <v>145</v>
      </c>
      <c r="B200" s="1566">
        <v>3832.0</v>
      </c>
      <c r="C200" s="2011">
        <v>184.0</v>
      </c>
      <c r="D200" s="1836" t="s">
        <v>74</v>
      </c>
      <c r="E200" s="1818" t="str">
        <f>'Матрица 4 недели'!J32</f>
        <v>Суп Минестроне</v>
      </c>
      <c r="F200" s="1151"/>
      <c r="G200" s="1173"/>
      <c r="H200" s="1151"/>
      <c r="I200" s="1173"/>
      <c r="J200" s="1151">
        <v>3.0</v>
      </c>
      <c r="K200" s="1173">
        <v>3.0</v>
      </c>
      <c r="L200" s="1151"/>
      <c r="M200" s="1173"/>
      <c r="N200" s="1151">
        <v>2.0</v>
      </c>
      <c r="O200" s="1173">
        <v>2.0</v>
      </c>
      <c r="P200" s="1769"/>
      <c r="Q200" s="1173"/>
      <c r="R200" s="1151"/>
      <c r="S200" s="1135"/>
      <c r="T200" s="1769">
        <v>1.0</v>
      </c>
      <c r="U200" s="1135">
        <v>1.0</v>
      </c>
      <c r="V200" s="1769">
        <v>1.0</v>
      </c>
      <c r="W200" s="1135">
        <v>1.0</v>
      </c>
      <c r="X200" s="1769">
        <v>2.0</v>
      </c>
      <c r="Y200" s="1135">
        <v>2.0</v>
      </c>
      <c r="Z200" s="1769"/>
      <c r="AA200" s="1135"/>
      <c r="AB200" s="1760">
        <v>2.0</v>
      </c>
      <c r="AC200" s="1135">
        <v>2.0</v>
      </c>
      <c r="AD200" s="1760">
        <v>1.0</v>
      </c>
      <c r="AE200" s="1135">
        <v>1.0</v>
      </c>
      <c r="AF200" s="1769">
        <v>2.0</v>
      </c>
      <c r="AG200" s="1135">
        <v>2.0</v>
      </c>
      <c r="AH200" s="1769">
        <v>2.0</v>
      </c>
      <c r="AI200" s="1135">
        <v>2.0</v>
      </c>
      <c r="AJ200" s="1769">
        <v>1.0</v>
      </c>
      <c r="AK200" s="1173">
        <v>1.0</v>
      </c>
      <c r="AL200" s="1151"/>
      <c r="AM200" s="1173"/>
      <c r="AN200" s="1760">
        <v>3.0</v>
      </c>
      <c r="AO200" s="1173">
        <v>3.0</v>
      </c>
      <c r="AP200" s="1151">
        <v>2.0</v>
      </c>
      <c r="AQ200" s="1173">
        <v>2.0</v>
      </c>
      <c r="AR200" s="1151">
        <v>2.0</v>
      </c>
      <c r="AS200" s="1173">
        <v>2.0</v>
      </c>
      <c r="AT200" s="1151">
        <v>1.0</v>
      </c>
      <c r="AU200" s="1173">
        <v>1.0</v>
      </c>
      <c r="AV200" s="1151"/>
      <c r="AW200" s="1173"/>
      <c r="AX200" s="1151">
        <v>2.0</v>
      </c>
      <c r="AY200" s="1173">
        <v>2.0</v>
      </c>
      <c r="AZ200" s="1126"/>
      <c r="BA200" s="1173"/>
      <c r="BB200" s="1151"/>
      <c r="BC200" s="1173"/>
      <c r="BD200" s="1151">
        <v>1.0</v>
      </c>
      <c r="BE200" s="1173">
        <v>1.0</v>
      </c>
      <c r="BF200" s="1151">
        <v>2.0</v>
      </c>
      <c r="BG200" s="1173">
        <v>2.0</v>
      </c>
      <c r="BH200" s="1151">
        <v>2.0</v>
      </c>
      <c r="BI200" s="1173">
        <v>2.0</v>
      </c>
      <c r="BJ200" s="1126">
        <v>2.0</v>
      </c>
      <c r="BK200" s="1121">
        <v>2.0</v>
      </c>
      <c r="BL200" s="1134"/>
      <c r="BM200" s="1653"/>
      <c r="BN200" s="1785"/>
      <c r="BO200" s="1653"/>
      <c r="BP200" s="783">
        <f t="shared" si="116"/>
        <v>35</v>
      </c>
      <c r="BQ200" s="1571">
        <f t="shared" si="117"/>
        <v>34</v>
      </c>
      <c r="BR200" s="1572">
        <f t="shared" si="118"/>
        <v>6256</v>
      </c>
      <c r="BS200" s="784">
        <f t="shared" si="119"/>
        <v>6440</v>
      </c>
      <c r="BT200" s="1545"/>
    </row>
    <row r="201" ht="18.0" customHeight="1">
      <c r="A201" s="1565" t="s">
        <v>145</v>
      </c>
      <c r="B201" s="1566">
        <v>4120.0</v>
      </c>
      <c r="C201" s="2011">
        <v>212.0</v>
      </c>
      <c r="D201" s="1836" t="s">
        <v>77</v>
      </c>
      <c r="E201" s="1818" t="str">
        <f>'Матрица 4 недели'!M31</f>
        <v>Курочка в сливочном соусе со спагетти</v>
      </c>
      <c r="F201" s="2113">
        <v>10.0</v>
      </c>
      <c r="G201" s="1142">
        <v>10.0</v>
      </c>
      <c r="H201" s="1284">
        <v>6.0</v>
      </c>
      <c r="I201" s="1285">
        <v>6.0</v>
      </c>
      <c r="J201" s="1284">
        <v>3.0</v>
      </c>
      <c r="K201" s="1285">
        <v>3.0</v>
      </c>
      <c r="L201" s="1284">
        <v>2.0</v>
      </c>
      <c r="M201" s="1285">
        <v>2.0</v>
      </c>
      <c r="N201" s="1284">
        <v>12.0</v>
      </c>
      <c r="O201" s="1285">
        <v>12.0</v>
      </c>
      <c r="P201" s="1284">
        <v>7.0</v>
      </c>
      <c r="Q201" s="1142">
        <v>7.0</v>
      </c>
      <c r="R201" s="1286">
        <v>5.0</v>
      </c>
      <c r="S201" s="1142">
        <v>5.0</v>
      </c>
      <c r="T201" s="1284">
        <v>4.0</v>
      </c>
      <c r="U201" s="1142">
        <v>4.0</v>
      </c>
      <c r="V201" s="1287">
        <v>8.0</v>
      </c>
      <c r="W201" s="1288">
        <v>8.0</v>
      </c>
      <c r="X201" s="1284">
        <v>3.0</v>
      </c>
      <c r="Y201" s="1289">
        <v>3.0</v>
      </c>
      <c r="Z201" s="1284"/>
      <c r="AA201" s="1142"/>
      <c r="AB201" s="1284">
        <v>2.0</v>
      </c>
      <c r="AC201" s="1138">
        <v>2.0</v>
      </c>
      <c r="AD201" s="1284">
        <v>4.0</v>
      </c>
      <c r="AE201" s="1289">
        <v>4.0</v>
      </c>
      <c r="AF201" s="1284">
        <v>4.0</v>
      </c>
      <c r="AG201" s="1289">
        <v>4.0</v>
      </c>
      <c r="AH201" s="1284">
        <v>2.0</v>
      </c>
      <c r="AI201" s="1289">
        <v>2.0</v>
      </c>
      <c r="AJ201" s="1284">
        <v>3.0</v>
      </c>
      <c r="AK201" s="1289">
        <v>3.0</v>
      </c>
      <c r="AL201" s="1284">
        <v>3.0</v>
      </c>
      <c r="AM201" s="1138">
        <v>3.0</v>
      </c>
      <c r="AN201" s="1126">
        <v>3.0</v>
      </c>
      <c r="AO201" s="1138">
        <v>3.0</v>
      </c>
      <c r="AP201" s="1126">
        <v>3.0</v>
      </c>
      <c r="AQ201" s="1138">
        <v>3.0</v>
      </c>
      <c r="AR201" s="1126">
        <v>9.0</v>
      </c>
      <c r="AS201" s="1121">
        <v>9.0</v>
      </c>
      <c r="AT201" s="1284">
        <v>3.0</v>
      </c>
      <c r="AU201" s="1121">
        <v>3.0</v>
      </c>
      <c r="AV201" s="1126">
        <v>4.0</v>
      </c>
      <c r="AW201" s="1121">
        <v>4.0</v>
      </c>
      <c r="AX201" s="1126">
        <v>2.0</v>
      </c>
      <c r="AY201" s="1121">
        <v>2.0</v>
      </c>
      <c r="AZ201" s="1126">
        <v>4.0</v>
      </c>
      <c r="BA201" s="1121">
        <v>4.0</v>
      </c>
      <c r="BB201" s="1126"/>
      <c r="BC201" s="1121"/>
      <c r="BD201" s="1126">
        <v>3.0</v>
      </c>
      <c r="BE201" s="1121">
        <v>3.0</v>
      </c>
      <c r="BF201" s="1126">
        <v>7.0</v>
      </c>
      <c r="BG201" s="1121">
        <v>7.0</v>
      </c>
      <c r="BH201" s="1126">
        <v>4.0</v>
      </c>
      <c r="BI201" s="1121">
        <v>4.0</v>
      </c>
      <c r="BJ201" s="1126">
        <v>4.0</v>
      </c>
      <c r="BK201" s="1121">
        <v>4.0</v>
      </c>
      <c r="BL201" s="1134">
        <v>30.0</v>
      </c>
      <c r="BM201" s="1653"/>
      <c r="BN201" s="1785"/>
      <c r="BO201" s="1653"/>
      <c r="BP201" s="1773">
        <f t="shared" si="116"/>
        <v>155</v>
      </c>
      <c r="BQ201" s="1589">
        <f t="shared" si="117"/>
        <v>124</v>
      </c>
      <c r="BR201" s="1572">
        <f t="shared" si="118"/>
        <v>26288</v>
      </c>
      <c r="BS201" s="784">
        <f t="shared" si="119"/>
        <v>32860</v>
      </c>
      <c r="BT201" s="1545"/>
    </row>
    <row r="202" ht="18.0" customHeight="1">
      <c r="A202" s="1565" t="s">
        <v>145</v>
      </c>
      <c r="B202" s="1566">
        <v>1873.0</v>
      </c>
      <c r="C202" s="1567">
        <v>221.0</v>
      </c>
      <c r="D202" s="2117" t="s">
        <v>77</v>
      </c>
      <c r="E202" s="1818" t="str">
        <f>'Матрица 4 недели'!M32</f>
        <v>Колбаса ''Баварская'' с пюре и тушеной капустой</v>
      </c>
      <c r="F202" s="1126">
        <v>8.0</v>
      </c>
      <c r="G202" s="1121">
        <v>8.0</v>
      </c>
      <c r="H202" s="1120">
        <v>6.0</v>
      </c>
      <c r="I202" s="1121">
        <v>6.0</v>
      </c>
      <c r="J202" s="1120">
        <v>3.0</v>
      </c>
      <c r="K202" s="1121">
        <v>3.0</v>
      </c>
      <c r="L202" s="1120">
        <v>6.0</v>
      </c>
      <c r="M202" s="1121">
        <v>6.0</v>
      </c>
      <c r="N202" s="1126">
        <v>10.0</v>
      </c>
      <c r="O202" s="1121">
        <v>10.0</v>
      </c>
      <c r="P202" s="1126">
        <v>8.0</v>
      </c>
      <c r="Q202" s="1121">
        <v>8.0</v>
      </c>
      <c r="R202" s="1120">
        <v>4.0</v>
      </c>
      <c r="S202" s="1121">
        <v>4.0</v>
      </c>
      <c r="T202" s="1120">
        <v>3.0</v>
      </c>
      <c r="U202" s="1121">
        <v>3.0</v>
      </c>
      <c r="V202" s="1120">
        <v>2.0</v>
      </c>
      <c r="W202" s="1121">
        <v>2.0</v>
      </c>
      <c r="X202" s="1120">
        <v>3.0</v>
      </c>
      <c r="Y202" s="1121">
        <v>3.0</v>
      </c>
      <c r="Z202" s="1126"/>
      <c r="AA202" s="1121"/>
      <c r="AB202" s="1120">
        <v>2.0</v>
      </c>
      <c r="AC202" s="1121">
        <v>2.0</v>
      </c>
      <c r="AD202" s="1120">
        <v>5.0</v>
      </c>
      <c r="AE202" s="1121">
        <v>5.0</v>
      </c>
      <c r="AF202" s="1120">
        <v>3.0</v>
      </c>
      <c r="AG202" s="1121">
        <v>3.0</v>
      </c>
      <c r="AH202" s="1120">
        <v>2.0</v>
      </c>
      <c r="AI202" s="1121">
        <v>2.0</v>
      </c>
      <c r="AJ202" s="1120">
        <v>6.0</v>
      </c>
      <c r="AK202" s="1121">
        <v>6.0</v>
      </c>
      <c r="AL202" s="1126">
        <v>4.0</v>
      </c>
      <c r="AM202" s="1121">
        <v>4.0</v>
      </c>
      <c r="AN202" s="1120">
        <v>3.0</v>
      </c>
      <c r="AO202" s="1138">
        <v>3.0</v>
      </c>
      <c r="AP202" s="1120">
        <v>0.0</v>
      </c>
      <c r="AQ202" s="1138">
        <v>0.0</v>
      </c>
      <c r="AR202" s="1120">
        <v>4.0</v>
      </c>
      <c r="AS202" s="1121">
        <v>4.0</v>
      </c>
      <c r="AT202" s="1120">
        <v>2.0</v>
      </c>
      <c r="AU202" s="1121">
        <v>2.0</v>
      </c>
      <c r="AV202" s="1126">
        <v>4.0</v>
      </c>
      <c r="AW202" s="1121">
        <v>4.0</v>
      </c>
      <c r="AX202" s="1126">
        <v>4.0</v>
      </c>
      <c r="AY202" s="1121">
        <v>4.0</v>
      </c>
      <c r="AZ202" s="1126">
        <v>5.0</v>
      </c>
      <c r="BA202" s="1121">
        <v>5.0</v>
      </c>
      <c r="BB202" s="1126"/>
      <c r="BC202" s="1121"/>
      <c r="BD202" s="1126">
        <v>3.0</v>
      </c>
      <c r="BE202" s="1121">
        <v>3.0</v>
      </c>
      <c r="BF202" s="1126">
        <v>3.0</v>
      </c>
      <c r="BG202" s="1121">
        <v>3.0</v>
      </c>
      <c r="BH202" s="1126">
        <v>5.0</v>
      </c>
      <c r="BI202" s="1121">
        <v>5.0</v>
      </c>
      <c r="BJ202" s="1126">
        <v>5.0</v>
      </c>
      <c r="BK202" s="1121">
        <v>5.0</v>
      </c>
      <c r="BL202" s="1134"/>
      <c r="BM202" s="1653"/>
      <c r="BN202" s="1785">
        <v>10.0</v>
      </c>
      <c r="BO202" s="1653">
        <v>10.0</v>
      </c>
      <c r="BP202" s="783">
        <f t="shared" si="116"/>
        <v>114</v>
      </c>
      <c r="BQ202" s="1571">
        <f t="shared" si="117"/>
        <v>113</v>
      </c>
      <c r="BR202" s="1572">
        <f t="shared" si="118"/>
        <v>24973</v>
      </c>
      <c r="BS202" s="784">
        <f t="shared" si="119"/>
        <v>25194</v>
      </c>
      <c r="BT202" s="1545"/>
    </row>
    <row r="203" ht="18.0" customHeight="1">
      <c r="A203" s="1565" t="s">
        <v>145</v>
      </c>
      <c r="B203" s="1566">
        <v>1151.0</v>
      </c>
      <c r="C203" s="1567">
        <v>198.0</v>
      </c>
      <c r="D203" s="1568" t="s">
        <v>77</v>
      </c>
      <c r="E203" s="1818" t="str">
        <f>'Матрица 4 недели'!M33</f>
        <v>Тефтели куриные с гречкой</v>
      </c>
      <c r="F203" s="1126">
        <v>7.0</v>
      </c>
      <c r="G203" s="1121">
        <v>6.0</v>
      </c>
      <c r="H203" s="1120">
        <v>2.0</v>
      </c>
      <c r="I203" s="1121">
        <v>2.0</v>
      </c>
      <c r="J203" s="1120">
        <v>3.0</v>
      </c>
      <c r="K203" s="1121">
        <v>3.0</v>
      </c>
      <c r="L203" s="1120">
        <v>2.0</v>
      </c>
      <c r="M203" s="1121">
        <v>2.0</v>
      </c>
      <c r="N203" s="1126">
        <v>5.0</v>
      </c>
      <c r="O203" s="1121">
        <v>5.0</v>
      </c>
      <c r="P203" s="1126">
        <v>6.0</v>
      </c>
      <c r="Q203" s="1121">
        <v>6.0</v>
      </c>
      <c r="R203" s="1120">
        <v>3.0</v>
      </c>
      <c r="S203" s="1121">
        <v>3.0</v>
      </c>
      <c r="T203" s="1120">
        <v>1.0</v>
      </c>
      <c r="U203" s="1121">
        <v>1.0</v>
      </c>
      <c r="V203" s="1120">
        <v>2.0</v>
      </c>
      <c r="W203" s="1121">
        <v>2.0</v>
      </c>
      <c r="X203" s="1120">
        <v>4.0</v>
      </c>
      <c r="Y203" s="1121">
        <v>4.0</v>
      </c>
      <c r="Z203" s="1126"/>
      <c r="AA203" s="1121"/>
      <c r="AB203" s="1120">
        <v>0.0</v>
      </c>
      <c r="AC203" s="1121">
        <v>0.0</v>
      </c>
      <c r="AD203" s="1120">
        <v>5.0</v>
      </c>
      <c r="AE203" s="1121">
        <v>5.0</v>
      </c>
      <c r="AF203" s="1120">
        <v>3.0</v>
      </c>
      <c r="AG203" s="1121">
        <v>3.0</v>
      </c>
      <c r="AH203" s="1120">
        <v>2.0</v>
      </c>
      <c r="AI203" s="1121">
        <v>2.0</v>
      </c>
      <c r="AJ203" s="1120">
        <v>2.0</v>
      </c>
      <c r="AK203" s="1121">
        <v>2.0</v>
      </c>
      <c r="AL203" s="1126">
        <v>2.0</v>
      </c>
      <c r="AM203" s="1121">
        <v>2.0</v>
      </c>
      <c r="AN203" s="1120">
        <v>4.0</v>
      </c>
      <c r="AO203" s="1138">
        <v>4.0</v>
      </c>
      <c r="AP203" s="1120">
        <v>3.0</v>
      </c>
      <c r="AQ203" s="1138">
        <v>3.0</v>
      </c>
      <c r="AR203" s="1120">
        <v>2.0</v>
      </c>
      <c r="AS203" s="1121">
        <v>2.0</v>
      </c>
      <c r="AT203" s="1120">
        <v>5.0</v>
      </c>
      <c r="AU203" s="1121">
        <v>5.0</v>
      </c>
      <c r="AV203" s="1126">
        <v>1.0</v>
      </c>
      <c r="AW203" s="1121">
        <v>1.0</v>
      </c>
      <c r="AX203" s="1126">
        <v>0.0</v>
      </c>
      <c r="AY203" s="1121">
        <v>0.0</v>
      </c>
      <c r="AZ203" s="1126">
        <v>4.0</v>
      </c>
      <c r="BA203" s="1121">
        <v>4.0</v>
      </c>
      <c r="BB203" s="1126"/>
      <c r="BC203" s="1121"/>
      <c r="BD203" s="1126">
        <v>2.0</v>
      </c>
      <c r="BE203" s="1121">
        <v>2.0</v>
      </c>
      <c r="BF203" s="1126">
        <v>2.0</v>
      </c>
      <c r="BG203" s="1121">
        <v>2.0</v>
      </c>
      <c r="BH203" s="1126">
        <v>4.0</v>
      </c>
      <c r="BI203" s="1121">
        <v>4.0</v>
      </c>
      <c r="BJ203" s="1126">
        <v>5.0</v>
      </c>
      <c r="BK203" s="1121">
        <v>5.0</v>
      </c>
      <c r="BL203" s="1134">
        <v>30.0</v>
      </c>
      <c r="BM203" s="1653"/>
      <c r="BN203" s="1785">
        <v>10.0</v>
      </c>
      <c r="BO203" s="1653"/>
      <c r="BP203" s="783">
        <f t="shared" si="116"/>
        <v>112</v>
      </c>
      <c r="BQ203" s="1571">
        <f t="shared" si="117"/>
        <v>80</v>
      </c>
      <c r="BR203" s="1572">
        <f t="shared" si="118"/>
        <v>15840</v>
      </c>
      <c r="BS203" s="784">
        <f t="shared" si="119"/>
        <v>22176</v>
      </c>
      <c r="BT203" s="1545"/>
    </row>
    <row r="204" ht="18.0" customHeight="1">
      <c r="A204" s="1565" t="s">
        <v>145</v>
      </c>
      <c r="B204" s="1566">
        <v>4238.0</v>
      </c>
      <c r="C204" s="1567">
        <v>226.0</v>
      </c>
      <c r="D204" s="1568" t="s">
        <v>77</v>
      </c>
      <c r="E204" s="1818" t="str">
        <f>'Матрица 4 недели'!M34</f>
        <v>Тефтели куриные с овощами на пару</v>
      </c>
      <c r="F204" s="1126">
        <v>5.0</v>
      </c>
      <c r="G204" s="1600">
        <v>5.0</v>
      </c>
      <c r="H204" s="1120">
        <v>3.0</v>
      </c>
      <c r="I204" s="1121">
        <v>3.0</v>
      </c>
      <c r="J204" s="1120">
        <v>3.0</v>
      </c>
      <c r="K204" s="1121">
        <v>3.0</v>
      </c>
      <c r="L204" s="1120">
        <v>2.0</v>
      </c>
      <c r="M204" s="1121">
        <v>2.0</v>
      </c>
      <c r="N204" s="1126">
        <v>6.0</v>
      </c>
      <c r="O204" s="1121">
        <v>6.0</v>
      </c>
      <c r="P204" s="1126">
        <v>6.0</v>
      </c>
      <c r="Q204" s="1121">
        <v>6.0</v>
      </c>
      <c r="R204" s="1120">
        <v>3.0</v>
      </c>
      <c r="S204" s="1121">
        <v>3.0</v>
      </c>
      <c r="T204" s="1120">
        <v>3.0</v>
      </c>
      <c r="U204" s="1121">
        <v>3.0</v>
      </c>
      <c r="V204" s="1120">
        <v>6.0</v>
      </c>
      <c r="W204" s="1121">
        <v>6.0</v>
      </c>
      <c r="X204" s="1120">
        <v>4.0</v>
      </c>
      <c r="Y204" s="1121">
        <v>4.0</v>
      </c>
      <c r="Z204" s="1126"/>
      <c r="AA204" s="1121"/>
      <c r="AB204" s="1120">
        <v>2.0</v>
      </c>
      <c r="AC204" s="1121">
        <v>2.0</v>
      </c>
      <c r="AD204" s="1120">
        <v>2.0</v>
      </c>
      <c r="AE204" s="1121">
        <v>2.0</v>
      </c>
      <c r="AF204" s="1120">
        <v>3.0</v>
      </c>
      <c r="AG204" s="1121">
        <v>3.0</v>
      </c>
      <c r="AH204" s="1120">
        <v>2.0</v>
      </c>
      <c r="AI204" s="1121">
        <v>2.0</v>
      </c>
      <c r="AJ204" s="1120">
        <v>3.0</v>
      </c>
      <c r="AK204" s="1121">
        <v>3.0</v>
      </c>
      <c r="AL204" s="1126">
        <v>1.0</v>
      </c>
      <c r="AM204" s="1121">
        <v>1.0</v>
      </c>
      <c r="AN204" s="1120">
        <v>3.0</v>
      </c>
      <c r="AO204" s="1138">
        <v>3.0</v>
      </c>
      <c r="AP204" s="1120">
        <v>4.0</v>
      </c>
      <c r="AQ204" s="1138">
        <v>4.0</v>
      </c>
      <c r="AR204" s="1120">
        <v>5.0</v>
      </c>
      <c r="AS204" s="1121">
        <v>5.0</v>
      </c>
      <c r="AT204" s="1120">
        <v>2.0</v>
      </c>
      <c r="AU204" s="1121">
        <v>2.0</v>
      </c>
      <c r="AV204" s="1126">
        <v>2.0</v>
      </c>
      <c r="AW204" s="1121">
        <v>2.0</v>
      </c>
      <c r="AX204" s="1126">
        <v>2.0</v>
      </c>
      <c r="AY204" s="1121">
        <v>2.0</v>
      </c>
      <c r="AZ204" s="1126">
        <v>2.0</v>
      </c>
      <c r="BA204" s="1121">
        <v>2.0</v>
      </c>
      <c r="BB204" s="1126"/>
      <c r="BC204" s="1121"/>
      <c r="BD204" s="1126">
        <v>2.0</v>
      </c>
      <c r="BE204" s="1121">
        <v>2.0</v>
      </c>
      <c r="BF204" s="1126">
        <v>0.0</v>
      </c>
      <c r="BG204" s="1121">
        <v>0.0</v>
      </c>
      <c r="BH204" s="1126">
        <v>5.0</v>
      </c>
      <c r="BI204" s="1121">
        <v>5.0</v>
      </c>
      <c r="BJ204" s="1126">
        <v>6.0</v>
      </c>
      <c r="BK204" s="1121">
        <v>6.0</v>
      </c>
      <c r="BL204" s="1134"/>
      <c r="BM204" s="1653"/>
      <c r="BN204" s="1785">
        <v>10.0</v>
      </c>
      <c r="BO204" s="1653">
        <v>10.0</v>
      </c>
      <c r="BP204" s="783">
        <f t="shared" si="116"/>
        <v>88</v>
      </c>
      <c r="BQ204" s="1571">
        <f t="shared" si="117"/>
        <v>87</v>
      </c>
      <c r="BR204" s="1572">
        <f t="shared" si="118"/>
        <v>19662</v>
      </c>
      <c r="BS204" s="784">
        <f t="shared" si="119"/>
        <v>19888</v>
      </c>
      <c r="BT204" s="1545"/>
    </row>
    <row r="205" ht="18.0" customHeight="1">
      <c r="A205" s="1565"/>
      <c r="B205" s="1566">
        <v>3515.0</v>
      </c>
      <c r="C205" s="1567">
        <v>248.0</v>
      </c>
      <c r="D205" s="1568" t="s">
        <v>77</v>
      </c>
      <c r="E205" s="1818" t="str">
        <f>'Матрица 4 недели'!M35</f>
        <v>Тилапия в соусе сальса с пюре</v>
      </c>
      <c r="F205" s="1126"/>
      <c r="G205" s="1138"/>
      <c r="H205" s="1126"/>
      <c r="I205" s="1138"/>
      <c r="J205" s="1126"/>
      <c r="K205" s="1138"/>
      <c r="L205" s="1141"/>
      <c r="M205" s="1138"/>
      <c r="N205" s="1141"/>
      <c r="O205" s="1138"/>
      <c r="P205" s="1126"/>
      <c r="Q205" s="1138"/>
      <c r="R205" s="1137"/>
      <c r="S205" s="1138"/>
      <c r="T205" s="1126"/>
      <c r="U205" s="1138">
        <v>3.0</v>
      </c>
      <c r="V205" s="1143"/>
      <c r="W205" s="1138"/>
      <c r="X205" s="1137"/>
      <c r="Y205" s="1138">
        <v>3.0</v>
      </c>
      <c r="Z205" s="1126"/>
      <c r="AA205" s="1121"/>
      <c r="AB205" s="1120"/>
      <c r="AC205" s="1121"/>
      <c r="AD205" s="1120"/>
      <c r="AE205" s="1121"/>
      <c r="AF205" s="1120"/>
      <c r="AG205" s="1121">
        <v>3.0</v>
      </c>
      <c r="AH205" s="1120"/>
      <c r="AI205" s="1121"/>
      <c r="AJ205" s="1120"/>
      <c r="AK205" s="1121"/>
      <c r="AL205" s="1126"/>
      <c r="AM205" s="1121"/>
      <c r="AN205" s="1120"/>
      <c r="AO205" s="1138"/>
      <c r="AP205" s="1120"/>
      <c r="AQ205" s="1138"/>
      <c r="AR205" s="1120"/>
      <c r="AS205" s="1121">
        <v>3.0</v>
      </c>
      <c r="AT205" s="1126"/>
      <c r="AU205" s="1121"/>
      <c r="AV205" s="1126"/>
      <c r="AW205" s="1121"/>
      <c r="AX205" s="1126"/>
      <c r="AY205" s="1121">
        <v>3.0</v>
      </c>
      <c r="AZ205" s="1126"/>
      <c r="BA205" s="1121"/>
      <c r="BB205" s="1126"/>
      <c r="BC205" s="1121"/>
      <c r="BD205" s="1126"/>
      <c r="BE205" s="1121">
        <v>2.0</v>
      </c>
      <c r="BF205" s="1126"/>
      <c r="BG205" s="1121">
        <v>3.0</v>
      </c>
      <c r="BH205" s="1126"/>
      <c r="BI205" s="1121"/>
      <c r="BJ205" s="1126"/>
      <c r="BK205" s="1121">
        <v>2.0</v>
      </c>
      <c r="BL205" s="1134"/>
      <c r="BM205" s="1653"/>
      <c r="BN205" s="1785"/>
      <c r="BO205" s="1653"/>
      <c r="BP205" s="783">
        <f t="shared" si="116"/>
        <v>1</v>
      </c>
      <c r="BQ205" s="1571">
        <f t="shared" si="117"/>
        <v>22</v>
      </c>
      <c r="BR205" s="1572">
        <f t="shared" si="118"/>
        <v>5456</v>
      </c>
      <c r="BS205" s="784">
        <f t="shared" si="119"/>
        <v>248</v>
      </c>
      <c r="BT205" s="1545"/>
    </row>
    <row r="206" ht="18.0" customHeight="1">
      <c r="A206" s="1565" t="s">
        <v>145</v>
      </c>
      <c r="B206" s="1566">
        <v>1051.0</v>
      </c>
      <c r="C206" s="1567">
        <v>188.0</v>
      </c>
      <c r="D206" s="1568" t="s">
        <v>77</v>
      </c>
      <c r="E206" s="1818" t="str">
        <f>'Матрица 4 недели'!M36</f>
        <v>Горбуша жареная с рисом</v>
      </c>
      <c r="F206" s="1137">
        <v>2.0</v>
      </c>
      <c r="G206" s="1121">
        <v>2.0</v>
      </c>
      <c r="H206" s="1126"/>
      <c r="I206" s="1121"/>
      <c r="J206" s="1126">
        <v>3.0</v>
      </c>
      <c r="K206" s="1600">
        <v>3.0</v>
      </c>
      <c r="L206" s="1161">
        <v>0.0</v>
      </c>
      <c r="M206" s="1600">
        <v>0.0</v>
      </c>
      <c r="N206" s="1126">
        <v>4.0</v>
      </c>
      <c r="O206" s="1121">
        <v>4.0</v>
      </c>
      <c r="P206" s="1126">
        <v>0.0</v>
      </c>
      <c r="Q206" s="1121">
        <v>0.0</v>
      </c>
      <c r="R206" s="1126"/>
      <c r="S206" s="1121"/>
      <c r="T206" s="1126">
        <v>3.0</v>
      </c>
      <c r="U206" s="1138">
        <v>3.0</v>
      </c>
      <c r="V206" s="1137">
        <v>0.0</v>
      </c>
      <c r="W206" s="1138">
        <v>0.0</v>
      </c>
      <c r="X206" s="1137">
        <v>4.0</v>
      </c>
      <c r="Y206" s="1138">
        <v>4.0</v>
      </c>
      <c r="Z206" s="1137"/>
      <c r="AA206" s="1138"/>
      <c r="AB206" s="1137"/>
      <c r="AC206" s="1138"/>
      <c r="AD206" s="1137"/>
      <c r="AE206" s="1138"/>
      <c r="AF206" s="1137"/>
      <c r="AG206" s="1138"/>
      <c r="AH206" s="1137">
        <v>2.0</v>
      </c>
      <c r="AI206" s="1138">
        <v>2.0</v>
      </c>
      <c r="AJ206" s="1137">
        <v>3.0</v>
      </c>
      <c r="AK206" s="1138">
        <v>3.0</v>
      </c>
      <c r="AL206" s="1120"/>
      <c r="AM206" s="1138"/>
      <c r="AN206" s="1120"/>
      <c r="AO206" s="1131"/>
      <c r="AP206" s="1120"/>
      <c r="AQ206" s="1138"/>
      <c r="AR206" s="1120">
        <v>4.0</v>
      </c>
      <c r="AS206" s="1305">
        <v>4.0</v>
      </c>
      <c r="AT206" s="1141"/>
      <c r="AU206" s="1305"/>
      <c r="AV206" s="1141"/>
      <c r="AW206" s="1305"/>
      <c r="AX206" s="1141">
        <v>2.0</v>
      </c>
      <c r="AY206" s="1305">
        <v>2.0</v>
      </c>
      <c r="AZ206" s="1141"/>
      <c r="BA206" s="1305"/>
      <c r="BB206" s="1141"/>
      <c r="BC206" s="1305"/>
      <c r="BD206" s="1141">
        <v>0.0</v>
      </c>
      <c r="BE206" s="1305">
        <v>0.0</v>
      </c>
      <c r="BF206" s="1141">
        <v>4.0</v>
      </c>
      <c r="BG206" s="1305">
        <v>4.0</v>
      </c>
      <c r="BH206" s="1141">
        <v>0.0</v>
      </c>
      <c r="BI206" s="1305">
        <v>0.0</v>
      </c>
      <c r="BJ206" s="1141">
        <v>3.0</v>
      </c>
      <c r="BK206" s="1305">
        <v>3.0</v>
      </c>
      <c r="BL206" s="2135">
        <v>70.0</v>
      </c>
      <c r="BM206" s="2136"/>
      <c r="BN206" s="962"/>
      <c r="BO206" s="2136"/>
      <c r="BP206" s="783">
        <f t="shared" si="116"/>
        <v>105</v>
      </c>
      <c r="BQ206" s="1571">
        <f t="shared" si="117"/>
        <v>34</v>
      </c>
      <c r="BR206" s="1572">
        <f t="shared" si="118"/>
        <v>6392</v>
      </c>
      <c r="BS206" s="784">
        <f t="shared" si="119"/>
        <v>19740</v>
      </c>
      <c r="BT206" s="1545"/>
    </row>
    <row r="207" ht="18.0" customHeight="1">
      <c r="A207" s="1565" t="s">
        <v>145</v>
      </c>
      <c r="B207" s="1566">
        <v>4032.0</v>
      </c>
      <c r="C207" s="1567">
        <v>238.0</v>
      </c>
      <c r="D207" s="1580" t="s">
        <v>537</v>
      </c>
      <c r="E207" s="1818" t="str">
        <f>'Матрица 4 недели'!M37</f>
        <v>Печень по-царски со сливочным пюре</v>
      </c>
      <c r="F207" s="1120">
        <v>3.0</v>
      </c>
      <c r="G207" s="1138">
        <v>3.0</v>
      </c>
      <c r="H207" s="1120">
        <v>2.0</v>
      </c>
      <c r="I207" s="1138">
        <v>2.0</v>
      </c>
      <c r="J207" s="1120">
        <v>3.0</v>
      </c>
      <c r="K207" s="1138">
        <v>3.0</v>
      </c>
      <c r="L207" s="1120">
        <v>2.0</v>
      </c>
      <c r="M207" s="1138">
        <v>1.0</v>
      </c>
      <c r="N207" s="1120">
        <v>3.0</v>
      </c>
      <c r="O207" s="1138">
        <v>3.0</v>
      </c>
      <c r="P207" s="1120">
        <v>3.0</v>
      </c>
      <c r="Q207" s="1138">
        <v>3.0</v>
      </c>
      <c r="R207" s="1120">
        <v>2.0</v>
      </c>
      <c r="S207" s="1138">
        <v>2.0</v>
      </c>
      <c r="T207" s="1120">
        <v>3.0</v>
      </c>
      <c r="U207" s="1138">
        <v>3.0</v>
      </c>
      <c r="V207" s="1120">
        <v>2.0</v>
      </c>
      <c r="W207" s="1138">
        <v>2.0</v>
      </c>
      <c r="X207" s="1120">
        <v>4.0</v>
      </c>
      <c r="Y207" s="1138">
        <v>4.0</v>
      </c>
      <c r="Z207" s="1120"/>
      <c r="AA207" s="1138"/>
      <c r="AB207" s="1120">
        <v>2.0</v>
      </c>
      <c r="AC207" s="1138">
        <v>2.0</v>
      </c>
      <c r="AD207" s="1120">
        <v>2.0</v>
      </c>
      <c r="AE207" s="1138">
        <v>2.0</v>
      </c>
      <c r="AF207" s="1120">
        <v>2.0</v>
      </c>
      <c r="AG207" s="1138">
        <v>2.0</v>
      </c>
      <c r="AH207" s="1120">
        <v>2.0</v>
      </c>
      <c r="AI207" s="1138">
        <v>2.0</v>
      </c>
      <c r="AJ207" s="1120">
        <v>2.0</v>
      </c>
      <c r="AK207" s="1138">
        <v>2.0</v>
      </c>
      <c r="AL207" s="1120">
        <v>0.0</v>
      </c>
      <c r="AM207" s="1138">
        <v>0.0</v>
      </c>
      <c r="AN207" s="1120">
        <v>2.0</v>
      </c>
      <c r="AO207" s="1138">
        <v>2.0</v>
      </c>
      <c r="AP207" s="1120">
        <v>2.0</v>
      </c>
      <c r="AQ207" s="1138">
        <v>2.0</v>
      </c>
      <c r="AR207" s="1120">
        <v>4.0</v>
      </c>
      <c r="AS207" s="1138">
        <v>3.0</v>
      </c>
      <c r="AT207" s="1126">
        <v>2.0</v>
      </c>
      <c r="AU207" s="1138">
        <v>2.0</v>
      </c>
      <c r="AV207" s="1126">
        <v>2.0</v>
      </c>
      <c r="AW207" s="1138">
        <v>2.0</v>
      </c>
      <c r="AX207" s="1126">
        <v>2.0</v>
      </c>
      <c r="AY207" s="1138">
        <v>2.0</v>
      </c>
      <c r="AZ207" s="1126">
        <v>2.0</v>
      </c>
      <c r="BA207" s="1138">
        <v>2.0</v>
      </c>
      <c r="BB207" s="1126"/>
      <c r="BC207" s="1138"/>
      <c r="BD207" s="1126">
        <v>3.0</v>
      </c>
      <c r="BE207" s="1138">
        <v>2.0</v>
      </c>
      <c r="BF207" s="1126">
        <v>3.0</v>
      </c>
      <c r="BG207" s="1138">
        <v>3.0</v>
      </c>
      <c r="BH207" s="1126">
        <v>2.0</v>
      </c>
      <c r="BI207" s="1138">
        <v>2.0</v>
      </c>
      <c r="BJ207" s="1126">
        <v>3.0</v>
      </c>
      <c r="BK207" s="1138">
        <v>3.0</v>
      </c>
      <c r="BL207" s="1134"/>
      <c r="BM207" s="1121"/>
      <c r="BN207" s="1087"/>
      <c r="BO207" s="1121"/>
      <c r="BP207" s="783">
        <f t="shared" si="116"/>
        <v>65</v>
      </c>
      <c r="BQ207" s="1571">
        <f t="shared" si="117"/>
        <v>61</v>
      </c>
      <c r="BR207" s="1572">
        <f t="shared" si="118"/>
        <v>14518</v>
      </c>
      <c r="BS207" s="784">
        <f t="shared" si="119"/>
        <v>15470</v>
      </c>
      <c r="BT207" s="1545"/>
    </row>
    <row r="208" ht="18.0" customHeight="1">
      <c r="A208" s="1565"/>
      <c r="B208" s="1566"/>
      <c r="C208" s="1567"/>
      <c r="D208" s="1568"/>
      <c r="E208" s="2141"/>
      <c r="F208" s="1120"/>
      <c r="G208" s="1138"/>
      <c r="H208" s="1120"/>
      <c r="I208" s="1138"/>
      <c r="J208" s="1120"/>
      <c r="K208" s="1138"/>
      <c r="L208" s="1120"/>
      <c r="M208" s="1138"/>
      <c r="N208" s="1120"/>
      <c r="O208" s="1138"/>
      <c r="P208" s="1120"/>
      <c r="Q208" s="1138"/>
      <c r="R208" s="1120"/>
      <c r="S208" s="1138"/>
      <c r="T208" s="1120"/>
      <c r="U208" s="1138"/>
      <c r="V208" s="1120"/>
      <c r="W208" s="1138"/>
      <c r="X208" s="1120"/>
      <c r="Y208" s="1138"/>
      <c r="Z208" s="1120"/>
      <c r="AA208" s="1138"/>
      <c r="AB208" s="1120"/>
      <c r="AC208" s="1138"/>
      <c r="AD208" s="1120"/>
      <c r="AE208" s="1138"/>
      <c r="AF208" s="1120"/>
      <c r="AG208" s="1138"/>
      <c r="AH208" s="1120"/>
      <c r="AI208" s="1138"/>
      <c r="AJ208" s="1120"/>
      <c r="AK208" s="1138"/>
      <c r="AL208" s="1120"/>
      <c r="AM208" s="1138"/>
      <c r="AN208" s="1120"/>
      <c r="AO208" s="1138"/>
      <c r="AP208" s="1120"/>
      <c r="AQ208" s="1138"/>
      <c r="AR208" s="1120"/>
      <c r="AS208" s="1138"/>
      <c r="AT208" s="1126"/>
      <c r="AU208" s="1138"/>
      <c r="AV208" s="1126"/>
      <c r="AW208" s="1138"/>
      <c r="AX208" s="1126"/>
      <c r="AY208" s="1138"/>
      <c r="AZ208" s="1126"/>
      <c r="BA208" s="1138"/>
      <c r="BB208" s="1126"/>
      <c r="BC208" s="1138"/>
      <c r="BD208" s="1126"/>
      <c r="BE208" s="1138"/>
      <c r="BF208" s="1126"/>
      <c r="BG208" s="1138"/>
      <c r="BH208" s="1126"/>
      <c r="BI208" s="1138"/>
      <c r="BJ208" s="1126"/>
      <c r="BK208" s="1138"/>
      <c r="BL208" s="1134">
        <v>10.0</v>
      </c>
      <c r="BM208" s="1138"/>
      <c r="BN208" s="1087"/>
      <c r="BO208" s="1138"/>
      <c r="BP208" s="783">
        <f t="shared" si="116"/>
        <v>11</v>
      </c>
      <c r="BQ208" s="1571">
        <f t="shared" si="117"/>
        <v>0</v>
      </c>
      <c r="BR208" s="1572">
        <f t="shared" si="118"/>
        <v>0</v>
      </c>
      <c r="BS208" s="784">
        <f t="shared" si="119"/>
        <v>0</v>
      </c>
      <c r="BT208" s="1545"/>
    </row>
    <row r="209" ht="18.0" customHeight="1">
      <c r="A209" s="1565" t="s">
        <v>145</v>
      </c>
      <c r="B209" s="1566">
        <v>2904.0</v>
      </c>
      <c r="C209" s="1567">
        <v>190.0</v>
      </c>
      <c r="D209" s="1568" t="s">
        <v>79</v>
      </c>
      <c r="E209" s="1590" t="str">
        <f>'Матрица 4 недели'!S31</f>
        <v>Ассорти сэндвич (пепперони/ветчина)</v>
      </c>
      <c r="F209" s="1137">
        <v>8.0</v>
      </c>
      <c r="G209" s="1121">
        <v>8.0</v>
      </c>
      <c r="H209" s="1126">
        <v>3.0</v>
      </c>
      <c r="I209" s="1121">
        <v>3.0</v>
      </c>
      <c r="J209" s="1126"/>
      <c r="K209" s="1160"/>
      <c r="L209" s="1161">
        <v>3.0</v>
      </c>
      <c r="M209" s="1162">
        <v>3.0</v>
      </c>
      <c r="N209" s="1126"/>
      <c r="O209" s="1121"/>
      <c r="P209" s="1126">
        <v>7.0</v>
      </c>
      <c r="Q209" s="1121">
        <v>7.0</v>
      </c>
      <c r="R209" s="1126">
        <v>4.0</v>
      </c>
      <c r="S209" s="1121">
        <v>4.0</v>
      </c>
      <c r="T209" s="1126">
        <v>3.0</v>
      </c>
      <c r="U209" s="1121">
        <v>3.0</v>
      </c>
      <c r="V209" s="1137">
        <v>4.0</v>
      </c>
      <c r="W209" s="1121">
        <v>4.0</v>
      </c>
      <c r="X209" s="1137">
        <v>8.0</v>
      </c>
      <c r="Y209" s="1121">
        <v>8.0</v>
      </c>
      <c r="Z209" s="1126"/>
      <c r="AA209" s="1121"/>
      <c r="AB209" s="1137"/>
      <c r="AC209" s="1121"/>
      <c r="AD209" s="1137">
        <v>3.0</v>
      </c>
      <c r="AE209" s="1121">
        <v>3.0</v>
      </c>
      <c r="AF209" s="1120">
        <v>4.0</v>
      </c>
      <c r="AG209" s="1121">
        <v>4.0</v>
      </c>
      <c r="AH209" s="1137"/>
      <c r="AI209" s="1121"/>
      <c r="AJ209" s="1120">
        <v>4.0</v>
      </c>
      <c r="AK209" s="1121">
        <v>4.0</v>
      </c>
      <c r="AL209" s="1126">
        <v>4.0</v>
      </c>
      <c r="AM209" s="1121">
        <v>4.0</v>
      </c>
      <c r="AN209" s="1120"/>
      <c r="AO209" s="1138"/>
      <c r="AP209" s="1126"/>
      <c r="AQ209" s="1138"/>
      <c r="AR209" s="1120"/>
      <c r="AS209" s="1121"/>
      <c r="AT209" s="1126">
        <v>3.0</v>
      </c>
      <c r="AU209" s="1121">
        <v>3.0</v>
      </c>
      <c r="AV209" s="1126">
        <v>3.0</v>
      </c>
      <c r="AW209" s="1121">
        <v>3.0</v>
      </c>
      <c r="AX209" s="1126">
        <v>3.0</v>
      </c>
      <c r="AY209" s="1121">
        <v>3.0</v>
      </c>
      <c r="AZ209" s="1141">
        <v>20.0</v>
      </c>
      <c r="BA209" s="1305">
        <v>20.0</v>
      </c>
      <c r="BB209" s="1141"/>
      <c r="BC209" s="1305"/>
      <c r="BD209" s="1141"/>
      <c r="BE209" s="1305"/>
      <c r="BF209" s="1141">
        <v>5.0</v>
      </c>
      <c r="BG209" s="1305">
        <v>5.0</v>
      </c>
      <c r="BH209" s="1141">
        <v>3.0</v>
      </c>
      <c r="BI209" s="1305">
        <v>3.0</v>
      </c>
      <c r="BJ209" s="1141">
        <v>5.0</v>
      </c>
      <c r="BK209" s="1305">
        <v>5.0</v>
      </c>
      <c r="BL209" s="1513">
        <v>120.0</v>
      </c>
      <c r="BM209" s="1138"/>
      <c r="BN209" s="1087"/>
      <c r="BO209" s="1138"/>
      <c r="BP209" s="783">
        <f t="shared" si="116"/>
        <v>218</v>
      </c>
      <c r="BQ209" s="1571">
        <f t="shared" si="117"/>
        <v>97</v>
      </c>
      <c r="BR209" s="1572">
        <f t="shared" si="118"/>
        <v>18430</v>
      </c>
      <c r="BS209" s="784">
        <f t="shared" si="119"/>
        <v>41420</v>
      </c>
      <c r="BT209" s="1545"/>
    </row>
    <row r="210" ht="18.0" customHeight="1">
      <c r="A210" s="1565" t="s">
        <v>145</v>
      </c>
      <c r="B210" s="1566">
        <v>4239.0</v>
      </c>
      <c r="C210" s="1567">
        <v>172.0</v>
      </c>
      <c r="D210" s="1568" t="s">
        <v>79</v>
      </c>
      <c r="E210" s="1590" t="str">
        <f>'Матрица 4 недели'!S32</f>
        <v>Сэндвич с запеченной курочкой и соусом Релиш</v>
      </c>
      <c r="F210" s="1137">
        <v>37.0</v>
      </c>
      <c r="G210" s="1121">
        <v>37.0</v>
      </c>
      <c r="H210" s="1126">
        <v>0.0</v>
      </c>
      <c r="I210" s="1121">
        <v>0.0</v>
      </c>
      <c r="J210" s="1126">
        <v>7.0</v>
      </c>
      <c r="K210" s="1160">
        <v>7.0</v>
      </c>
      <c r="L210" s="1161">
        <v>8.0</v>
      </c>
      <c r="M210" s="1162">
        <v>8.0</v>
      </c>
      <c r="N210" s="1126">
        <v>7.0</v>
      </c>
      <c r="O210" s="1121">
        <v>10.0</v>
      </c>
      <c r="P210" s="1126">
        <v>7.0</v>
      </c>
      <c r="Q210" s="1121">
        <v>7.0</v>
      </c>
      <c r="R210" s="1126">
        <v>3.0</v>
      </c>
      <c r="S210" s="1121">
        <v>3.0</v>
      </c>
      <c r="T210" s="1126">
        <v>7.0</v>
      </c>
      <c r="U210" s="1121">
        <v>7.0</v>
      </c>
      <c r="V210" s="1137">
        <v>15.0</v>
      </c>
      <c r="W210" s="1121">
        <v>15.0</v>
      </c>
      <c r="X210" s="1137">
        <v>6.0</v>
      </c>
      <c r="Y210" s="1121">
        <v>6.0</v>
      </c>
      <c r="Z210" s="1126"/>
      <c r="AA210" s="1121"/>
      <c r="AB210" s="1137">
        <v>9.0</v>
      </c>
      <c r="AC210" s="1121">
        <v>9.0</v>
      </c>
      <c r="AD210" s="1137">
        <v>17.0</v>
      </c>
      <c r="AE210" s="1121">
        <v>17.0</v>
      </c>
      <c r="AF210" s="1120">
        <v>23.0</v>
      </c>
      <c r="AG210" s="1121">
        <v>23.0</v>
      </c>
      <c r="AH210" s="1137">
        <v>8.0</v>
      </c>
      <c r="AI210" s="1121">
        <v>8.0</v>
      </c>
      <c r="AJ210" s="1120">
        <v>9.0</v>
      </c>
      <c r="AK210" s="1121">
        <v>9.0</v>
      </c>
      <c r="AL210" s="1126">
        <v>5.0</v>
      </c>
      <c r="AM210" s="1121">
        <v>5.0</v>
      </c>
      <c r="AN210" s="1120">
        <v>6.0</v>
      </c>
      <c r="AO210" s="1138">
        <v>6.0</v>
      </c>
      <c r="AP210" s="1126">
        <v>20.0</v>
      </c>
      <c r="AQ210" s="1138">
        <v>20.0</v>
      </c>
      <c r="AR210" s="1120">
        <v>5.0</v>
      </c>
      <c r="AS210" s="1121">
        <v>5.0</v>
      </c>
      <c r="AT210" s="1126">
        <v>8.0</v>
      </c>
      <c r="AU210" s="1121">
        <v>8.0</v>
      </c>
      <c r="AV210" s="1126">
        <v>7.0</v>
      </c>
      <c r="AW210" s="1121">
        <v>7.0</v>
      </c>
      <c r="AX210" s="1126">
        <v>9.0</v>
      </c>
      <c r="AY210" s="1121">
        <v>9.0</v>
      </c>
      <c r="AZ210" s="1141">
        <v>14.0</v>
      </c>
      <c r="BA210" s="1305">
        <v>14.0</v>
      </c>
      <c r="BB210" s="1141"/>
      <c r="BC210" s="1305"/>
      <c r="BD210" s="1141">
        <v>3.0</v>
      </c>
      <c r="BE210" s="1305">
        <v>3.0</v>
      </c>
      <c r="BF210" s="1141">
        <v>12.0</v>
      </c>
      <c r="BG210" s="1305">
        <v>12.0</v>
      </c>
      <c r="BH210" s="1126">
        <v>7.0</v>
      </c>
      <c r="BI210" s="1131">
        <v>7.0</v>
      </c>
      <c r="BJ210" s="1126">
        <v>6.0</v>
      </c>
      <c r="BK210" s="1305">
        <v>6.0</v>
      </c>
      <c r="BL210" s="1513"/>
      <c r="BM210" s="1138"/>
      <c r="BN210" s="1087"/>
      <c r="BO210" s="1138"/>
      <c r="BP210" s="783">
        <f t="shared" si="116"/>
        <v>266</v>
      </c>
      <c r="BQ210" s="1571">
        <f t="shared" si="117"/>
        <v>268</v>
      </c>
      <c r="BR210" s="1572">
        <f t="shared" si="118"/>
        <v>46096</v>
      </c>
      <c r="BS210" s="784">
        <f t="shared" si="119"/>
        <v>45752</v>
      </c>
      <c r="BT210" s="1545"/>
    </row>
    <row r="211" ht="18.0" customHeight="1">
      <c r="A211" s="1565" t="s">
        <v>145</v>
      </c>
      <c r="B211" s="1568"/>
      <c r="C211" s="1567"/>
      <c r="D211" s="1568"/>
      <c r="E211" s="1590" t="str">
        <f>'Матрица 4 недели'!V31</f>
        <v/>
      </c>
      <c r="F211" s="1120"/>
      <c r="G211" s="1121"/>
      <c r="H211" s="1120"/>
      <c r="I211" s="1121"/>
      <c r="J211" s="1120"/>
      <c r="K211" s="1138"/>
      <c r="L211" s="1120"/>
      <c r="M211" s="1138"/>
      <c r="N211" s="1120"/>
      <c r="O211" s="1138"/>
      <c r="P211" s="1120"/>
      <c r="Q211" s="1138"/>
      <c r="R211" s="1120"/>
      <c r="S211" s="1138"/>
      <c r="T211" s="1120"/>
      <c r="U211" s="1138"/>
      <c r="V211" s="1120"/>
      <c r="W211" s="1138"/>
      <c r="X211" s="1120"/>
      <c r="Y211" s="1138"/>
      <c r="Z211" s="1126"/>
      <c r="AA211" s="1138"/>
      <c r="AB211" s="1120"/>
      <c r="AC211" s="1138"/>
      <c r="AD211" s="1120"/>
      <c r="AE211" s="1138"/>
      <c r="AF211" s="1120"/>
      <c r="AG211" s="1138"/>
      <c r="AH211" s="1120"/>
      <c r="AI211" s="1138"/>
      <c r="AJ211" s="1120"/>
      <c r="AK211" s="1138"/>
      <c r="AL211" s="1126"/>
      <c r="AM211" s="1138"/>
      <c r="AN211" s="1120"/>
      <c r="AO211" s="1138"/>
      <c r="AP211" s="1120"/>
      <c r="AQ211" s="1138"/>
      <c r="AR211" s="1120"/>
      <c r="AS211" s="1138"/>
      <c r="AT211" s="1120"/>
      <c r="AU211" s="1138"/>
      <c r="AV211" s="1126"/>
      <c r="AW211" s="1138"/>
      <c r="AX211" s="1126"/>
      <c r="AY211" s="1138"/>
      <c r="AZ211" s="1126"/>
      <c r="BA211" s="1138"/>
      <c r="BB211" s="1126"/>
      <c r="BC211" s="1138"/>
      <c r="BD211" s="1126"/>
      <c r="BE211" s="1138"/>
      <c r="BF211" s="1126"/>
      <c r="BG211" s="1138"/>
      <c r="BH211" s="1126"/>
      <c r="BI211" s="1138"/>
      <c r="BJ211" s="1126"/>
      <c r="BK211" s="1138"/>
      <c r="BL211" s="1513">
        <v>15.0</v>
      </c>
      <c r="BM211" s="1138"/>
      <c r="BN211" s="1087"/>
      <c r="BO211" s="1138"/>
      <c r="BP211" s="783">
        <f t="shared" si="116"/>
        <v>16</v>
      </c>
      <c r="BQ211" s="1571">
        <f t="shared" si="117"/>
        <v>0</v>
      </c>
      <c r="BR211" s="1572">
        <f t="shared" si="118"/>
        <v>0</v>
      </c>
      <c r="BS211" s="784">
        <f t="shared" si="119"/>
        <v>0</v>
      </c>
      <c r="BT211" s="1823"/>
    </row>
    <row r="212" ht="18.0" customHeight="1">
      <c r="A212" s="1565" t="s">
        <v>145</v>
      </c>
      <c r="B212" s="1568">
        <v>3194.0</v>
      </c>
      <c r="C212" s="1567">
        <v>85.0</v>
      </c>
      <c r="D212" s="1568" t="s">
        <v>80</v>
      </c>
      <c r="E212" s="1590" t="str">
        <f>'Матрица 4 недели'!V32</f>
        <v>Морс из вишни 0.5</v>
      </c>
      <c r="F212" s="1137">
        <v>11.0</v>
      </c>
      <c r="G212" s="1121">
        <v>11.0</v>
      </c>
      <c r="H212" s="1126">
        <v>3.0</v>
      </c>
      <c r="I212" s="1121">
        <v>3.0</v>
      </c>
      <c r="J212" s="1126">
        <v>2.0</v>
      </c>
      <c r="K212" s="1160">
        <v>2.0</v>
      </c>
      <c r="L212" s="1161">
        <v>2.0</v>
      </c>
      <c r="M212" s="1162">
        <v>2.0</v>
      </c>
      <c r="N212" s="1126">
        <v>4.0</v>
      </c>
      <c r="O212" s="1121">
        <v>4.0</v>
      </c>
      <c r="P212" s="1126">
        <v>7.0</v>
      </c>
      <c r="Q212" s="1121">
        <v>7.0</v>
      </c>
      <c r="R212" s="1126">
        <v>6.0</v>
      </c>
      <c r="S212" s="1121">
        <v>6.0</v>
      </c>
      <c r="T212" s="1126">
        <v>3.0</v>
      </c>
      <c r="U212" s="1121">
        <v>3.0</v>
      </c>
      <c r="V212" s="1137">
        <v>2.0</v>
      </c>
      <c r="W212" s="1121">
        <v>2.0</v>
      </c>
      <c r="X212" s="1137">
        <v>5.0</v>
      </c>
      <c r="Y212" s="1121">
        <v>5.0</v>
      </c>
      <c r="Z212" s="1126"/>
      <c r="AA212" s="1121"/>
      <c r="AB212" s="1137">
        <v>3.0</v>
      </c>
      <c r="AC212" s="1121">
        <v>3.0</v>
      </c>
      <c r="AD212" s="1137">
        <v>5.0</v>
      </c>
      <c r="AE212" s="1121">
        <v>5.0</v>
      </c>
      <c r="AF212" s="1120">
        <v>4.0</v>
      </c>
      <c r="AG212" s="1121">
        <v>4.0</v>
      </c>
      <c r="AH212" s="1137">
        <v>4.0</v>
      </c>
      <c r="AI212" s="1121">
        <v>4.0</v>
      </c>
      <c r="AJ212" s="1120">
        <v>3.0</v>
      </c>
      <c r="AK212" s="1121">
        <v>3.0</v>
      </c>
      <c r="AL212" s="1126">
        <v>3.0</v>
      </c>
      <c r="AM212" s="1121">
        <v>3.0</v>
      </c>
      <c r="AN212" s="1120">
        <v>2.0</v>
      </c>
      <c r="AO212" s="1138">
        <v>2.0</v>
      </c>
      <c r="AP212" s="1126">
        <v>2.0</v>
      </c>
      <c r="AQ212" s="1138">
        <v>2.0</v>
      </c>
      <c r="AR212" s="1120">
        <v>6.0</v>
      </c>
      <c r="AS212" s="1121">
        <v>6.0</v>
      </c>
      <c r="AT212" s="1126">
        <v>2.0</v>
      </c>
      <c r="AU212" s="1121">
        <v>2.0</v>
      </c>
      <c r="AV212" s="1126">
        <v>5.0</v>
      </c>
      <c r="AW212" s="1121">
        <v>5.0</v>
      </c>
      <c r="AX212" s="1126">
        <v>7.0</v>
      </c>
      <c r="AY212" s="1121">
        <v>7.0</v>
      </c>
      <c r="AZ212" s="1126">
        <v>0.0</v>
      </c>
      <c r="BA212" s="1121">
        <v>0.0</v>
      </c>
      <c r="BB212" s="1126"/>
      <c r="BC212" s="1121"/>
      <c r="BD212" s="1126">
        <v>1.0</v>
      </c>
      <c r="BE212" s="1121">
        <v>1.0</v>
      </c>
      <c r="BF212" s="1126">
        <v>5.0</v>
      </c>
      <c r="BG212" s="1121">
        <v>5.0</v>
      </c>
      <c r="BH212" s="1126">
        <v>0.0</v>
      </c>
      <c r="BI212" s="1121">
        <v>0.0</v>
      </c>
      <c r="BJ212" s="1126">
        <v>4.0</v>
      </c>
      <c r="BK212" s="1121">
        <v>4.0</v>
      </c>
      <c r="BL212" s="1169"/>
      <c r="BM212" s="1653"/>
      <c r="BN212" s="1785"/>
      <c r="BO212" s="1653"/>
      <c r="BP212" s="783">
        <f t="shared" si="116"/>
        <v>102</v>
      </c>
      <c r="BQ212" s="1571">
        <f t="shared" si="117"/>
        <v>101</v>
      </c>
      <c r="BR212" s="1572">
        <f t="shared" si="118"/>
        <v>8585</v>
      </c>
      <c r="BS212" s="784">
        <f t="shared" si="119"/>
        <v>8670</v>
      </c>
      <c r="BT212" s="1807"/>
    </row>
    <row r="213" ht="18.0" customHeight="1">
      <c r="A213" s="1565" t="s">
        <v>145</v>
      </c>
      <c r="B213" s="1568">
        <v>822.0</v>
      </c>
      <c r="C213" s="1734">
        <v>5.0</v>
      </c>
      <c r="D213" s="1568" t="s">
        <v>78</v>
      </c>
      <c r="E213" s="1590" t="str">
        <f>'Матрица 4 недели'!P34</f>
        <v>Хлеб пшеничный</v>
      </c>
      <c r="F213" s="1137">
        <v>11.0</v>
      </c>
      <c r="G213" s="1138">
        <v>11.0</v>
      </c>
      <c r="H213" s="1126">
        <v>5.0</v>
      </c>
      <c r="I213" s="1140">
        <v>5.0</v>
      </c>
      <c r="J213" s="1126">
        <v>2.0</v>
      </c>
      <c r="K213" s="1405">
        <v>2.0</v>
      </c>
      <c r="L213" s="1161">
        <v>4.0</v>
      </c>
      <c r="M213" s="1405">
        <v>4.0</v>
      </c>
      <c r="N213" s="1126">
        <v>8.0</v>
      </c>
      <c r="O213" s="1138">
        <v>8.0</v>
      </c>
      <c r="P213" s="1120">
        <v>3.0</v>
      </c>
      <c r="Q213" s="1142">
        <v>3.0</v>
      </c>
      <c r="R213" s="1126">
        <v>3.0</v>
      </c>
      <c r="S213" s="1121">
        <v>3.0</v>
      </c>
      <c r="T213" s="1137">
        <v>4.0</v>
      </c>
      <c r="U213" s="1121">
        <v>4.0</v>
      </c>
      <c r="V213" s="1137">
        <v>4.0</v>
      </c>
      <c r="W213" s="1121">
        <v>4.0</v>
      </c>
      <c r="X213" s="1137">
        <v>5.0</v>
      </c>
      <c r="Y213" s="1121">
        <v>5.0</v>
      </c>
      <c r="Z213" s="1126"/>
      <c r="AA213" s="1121"/>
      <c r="AB213" s="1120">
        <v>4.0</v>
      </c>
      <c r="AC213" s="1121">
        <v>4.0</v>
      </c>
      <c r="AD213" s="1120">
        <v>3.0</v>
      </c>
      <c r="AE213" s="1121">
        <v>3.0</v>
      </c>
      <c r="AF213" s="1137">
        <v>5.0</v>
      </c>
      <c r="AG213" s="1121">
        <v>5.0</v>
      </c>
      <c r="AH213" s="1120">
        <v>5.0</v>
      </c>
      <c r="AI213" s="1121">
        <v>5.0</v>
      </c>
      <c r="AJ213" s="1120">
        <v>4.0</v>
      </c>
      <c r="AK213" s="1121">
        <v>4.0</v>
      </c>
      <c r="AL213" s="1126">
        <v>6.0</v>
      </c>
      <c r="AM213" s="1121">
        <v>6.0</v>
      </c>
      <c r="AN213" s="1126">
        <v>3.0</v>
      </c>
      <c r="AO213" s="1121">
        <v>3.0</v>
      </c>
      <c r="AP213" s="1126">
        <v>6.0</v>
      </c>
      <c r="AQ213" s="1121">
        <v>6.0</v>
      </c>
      <c r="AR213" s="1126">
        <v>10.0</v>
      </c>
      <c r="AS213" s="1138">
        <v>10.0</v>
      </c>
      <c r="AT213" s="1126">
        <v>2.0</v>
      </c>
      <c r="AU213" s="1138">
        <v>2.0</v>
      </c>
      <c r="AV213" s="1126">
        <v>4.0</v>
      </c>
      <c r="AW213" s="1138">
        <v>4.0</v>
      </c>
      <c r="AX213" s="1126">
        <v>6.0</v>
      </c>
      <c r="AY213" s="1138">
        <v>6.0</v>
      </c>
      <c r="AZ213" s="1126">
        <v>4.0</v>
      </c>
      <c r="BA213" s="1138">
        <v>4.0</v>
      </c>
      <c r="BB213" s="1126"/>
      <c r="BC213" s="1138"/>
      <c r="BD213" s="1126">
        <v>1.0</v>
      </c>
      <c r="BE213" s="1138">
        <v>1.0</v>
      </c>
      <c r="BF213" s="1126">
        <v>3.0</v>
      </c>
      <c r="BG213" s="1138">
        <v>3.0</v>
      </c>
      <c r="BH213" s="1126">
        <v>4.0</v>
      </c>
      <c r="BI213" s="1138">
        <v>4.0</v>
      </c>
      <c r="BJ213" s="1126">
        <v>2.0</v>
      </c>
      <c r="BK213" s="1138">
        <v>2.0</v>
      </c>
      <c r="BL213" s="1134"/>
      <c r="BM213" s="1138"/>
      <c r="BN213" s="1087"/>
      <c r="BO213" s="1138"/>
      <c r="BP213" s="783">
        <f t="shared" si="116"/>
        <v>122</v>
      </c>
      <c r="BQ213" s="1589">
        <f t="shared" si="117"/>
        <v>121</v>
      </c>
      <c r="BR213" s="1572">
        <f t="shared" si="118"/>
        <v>605</v>
      </c>
      <c r="BS213" s="784">
        <f t="shared" si="119"/>
        <v>610</v>
      </c>
      <c r="BT213" s="1807"/>
    </row>
    <row r="214" ht="18.0" customHeight="1">
      <c r="A214" s="1565" t="s">
        <v>145</v>
      </c>
      <c r="B214" s="1568">
        <v>3527.0</v>
      </c>
      <c r="C214" s="1567">
        <v>96.0</v>
      </c>
      <c r="D214" s="1568" t="s">
        <v>78</v>
      </c>
      <c r="E214" s="1172" t="str">
        <f>'Матрица 4 недели'!P31</f>
        <v>Хачапури 100 гр</v>
      </c>
      <c r="F214" s="1120">
        <v>2.0</v>
      </c>
      <c r="G214" s="1138">
        <v>2.0</v>
      </c>
      <c r="H214" s="1120"/>
      <c r="I214" s="1138"/>
      <c r="J214" s="1120">
        <v>2.0</v>
      </c>
      <c r="K214" s="1138">
        <v>2.0</v>
      </c>
      <c r="L214" s="1120"/>
      <c r="M214" s="1138"/>
      <c r="N214" s="1120">
        <v>2.0</v>
      </c>
      <c r="O214" s="1138">
        <v>2.0</v>
      </c>
      <c r="P214" s="1120">
        <v>2.0</v>
      </c>
      <c r="Q214" s="1138">
        <v>2.0</v>
      </c>
      <c r="R214" s="1120"/>
      <c r="S214" s="1138"/>
      <c r="T214" s="1120"/>
      <c r="U214" s="1138"/>
      <c r="V214" s="1120"/>
      <c r="W214" s="1138"/>
      <c r="X214" s="1120">
        <v>2.0</v>
      </c>
      <c r="Y214" s="1138">
        <v>2.0</v>
      </c>
      <c r="Z214" s="1120"/>
      <c r="AA214" s="1138"/>
      <c r="AB214" s="1120"/>
      <c r="AC214" s="1138"/>
      <c r="AD214" s="1120">
        <v>2.0</v>
      </c>
      <c r="AE214" s="1138">
        <v>2.0</v>
      </c>
      <c r="AF214" s="1120">
        <v>2.0</v>
      </c>
      <c r="AG214" s="1138">
        <v>2.0</v>
      </c>
      <c r="AH214" s="1120"/>
      <c r="AI214" s="1138"/>
      <c r="AJ214" s="1120"/>
      <c r="AK214" s="1138"/>
      <c r="AL214" s="1120">
        <v>2.0</v>
      </c>
      <c r="AM214" s="1138">
        <v>2.0</v>
      </c>
      <c r="AN214" s="1120"/>
      <c r="AO214" s="1138"/>
      <c r="AP214" s="1120"/>
      <c r="AQ214" s="1138"/>
      <c r="AR214" s="1120"/>
      <c r="AS214" s="1138"/>
      <c r="AT214" s="1126"/>
      <c r="AU214" s="1138"/>
      <c r="AV214" s="1126">
        <v>2.0</v>
      </c>
      <c r="AW214" s="1138">
        <v>2.0</v>
      </c>
      <c r="AX214" s="1126">
        <v>2.0</v>
      </c>
      <c r="AY214" s="1138">
        <v>2.0</v>
      </c>
      <c r="AZ214" s="1126"/>
      <c r="BA214" s="1138"/>
      <c r="BB214" s="1126"/>
      <c r="BC214" s="1138"/>
      <c r="BD214" s="1126"/>
      <c r="BE214" s="1138"/>
      <c r="BF214" s="1126">
        <v>2.0</v>
      </c>
      <c r="BG214" s="1138">
        <v>2.0</v>
      </c>
      <c r="BH214" s="1126"/>
      <c r="BI214" s="1138"/>
      <c r="BJ214" s="1126">
        <v>1.0</v>
      </c>
      <c r="BK214" s="1138">
        <v>1.0</v>
      </c>
      <c r="BL214" s="1134"/>
      <c r="BM214" s="1138"/>
      <c r="BN214" s="1087"/>
      <c r="BO214" s="1138"/>
      <c r="BP214" s="783">
        <f t="shared" si="116"/>
        <v>24</v>
      </c>
      <c r="BQ214" s="1571">
        <f t="shared" si="117"/>
        <v>23</v>
      </c>
      <c r="BR214" s="1572">
        <f t="shared" si="118"/>
        <v>2208</v>
      </c>
      <c r="BS214" s="784">
        <f t="shared" si="119"/>
        <v>2304</v>
      </c>
      <c r="BT214" s="1807"/>
    </row>
    <row r="215" ht="18.0" customHeight="1">
      <c r="A215" s="1565" t="s">
        <v>145</v>
      </c>
      <c r="B215" s="1568">
        <v>3454.0</v>
      </c>
      <c r="C215" s="1734">
        <v>67.0</v>
      </c>
      <c r="D215" s="1568" t="s">
        <v>78</v>
      </c>
      <c r="E215" s="1172" t="str">
        <f>'Матрица 4 недели'!P32</f>
        <v>Рулетик с корицей 100 гр</v>
      </c>
      <c r="F215" s="1120"/>
      <c r="G215" s="1138">
        <v>2.0</v>
      </c>
      <c r="H215" s="1120"/>
      <c r="I215" s="1138"/>
      <c r="J215" s="1120"/>
      <c r="K215" s="1138">
        <v>2.0</v>
      </c>
      <c r="L215" s="1120"/>
      <c r="M215" s="1138"/>
      <c r="N215" s="1120"/>
      <c r="O215" s="1138">
        <v>2.0</v>
      </c>
      <c r="P215" s="1120"/>
      <c r="Q215" s="1138">
        <v>2.0</v>
      </c>
      <c r="R215" s="1120"/>
      <c r="S215" s="1138"/>
      <c r="T215" s="1120"/>
      <c r="U215" s="1138">
        <v>2.0</v>
      </c>
      <c r="V215" s="1120"/>
      <c r="W215" s="1138">
        <v>2.0</v>
      </c>
      <c r="X215" s="1120"/>
      <c r="Y215" s="1138">
        <v>2.0</v>
      </c>
      <c r="Z215" s="1120"/>
      <c r="AA215" s="1138"/>
      <c r="AB215" s="1120"/>
      <c r="AC215" s="1138">
        <v>2.0</v>
      </c>
      <c r="AD215" s="1120"/>
      <c r="AE215" s="1138">
        <v>2.0</v>
      </c>
      <c r="AF215" s="1120"/>
      <c r="AG215" s="1138">
        <v>2.0</v>
      </c>
      <c r="AH215" s="1120"/>
      <c r="AI215" s="1138">
        <v>2.0</v>
      </c>
      <c r="AJ215" s="1120"/>
      <c r="AK215" s="1138">
        <v>2.0</v>
      </c>
      <c r="AL215" s="1120"/>
      <c r="AM215" s="1138"/>
      <c r="AN215" s="1120"/>
      <c r="AO215" s="1138">
        <v>2.0</v>
      </c>
      <c r="AP215" s="1120"/>
      <c r="AQ215" s="1138">
        <v>2.0</v>
      </c>
      <c r="AR215" s="1120"/>
      <c r="AS215" s="1138">
        <v>3.0</v>
      </c>
      <c r="AT215" s="1126"/>
      <c r="AU215" s="1138">
        <v>2.0</v>
      </c>
      <c r="AV215" s="1126"/>
      <c r="AW215" s="1138">
        <v>2.0</v>
      </c>
      <c r="AX215" s="1126"/>
      <c r="AY215" s="1138">
        <v>2.0</v>
      </c>
      <c r="AZ215" s="1126"/>
      <c r="BA215" s="1138">
        <v>2.0</v>
      </c>
      <c r="BB215" s="1126"/>
      <c r="BC215" s="1138"/>
      <c r="BD215" s="1126"/>
      <c r="BE215" s="1138">
        <v>1.0</v>
      </c>
      <c r="BF215" s="1126"/>
      <c r="BG215" s="1138">
        <v>1.0</v>
      </c>
      <c r="BH215" s="1126"/>
      <c r="BI215" s="1138">
        <v>2.0</v>
      </c>
      <c r="BJ215" s="1126"/>
      <c r="BK215" s="1138">
        <v>1.0</v>
      </c>
      <c r="BL215" s="1134"/>
      <c r="BM215" s="1138"/>
      <c r="BN215" s="1087"/>
      <c r="BO215" s="1138"/>
      <c r="BP215" s="783">
        <f t="shared" si="116"/>
        <v>1</v>
      </c>
      <c r="BQ215" s="1571">
        <f t="shared" si="117"/>
        <v>44</v>
      </c>
      <c r="BR215" s="1572">
        <f t="shared" si="118"/>
        <v>2948</v>
      </c>
      <c r="BS215" s="784">
        <f t="shared" si="119"/>
        <v>67</v>
      </c>
      <c r="BT215" s="1807"/>
    </row>
    <row r="216" ht="18.0" customHeight="1">
      <c r="A216" s="1565" t="s">
        <v>145</v>
      </c>
      <c r="B216" s="1568">
        <v>2079.0</v>
      </c>
      <c r="C216" s="1734">
        <v>105.0</v>
      </c>
      <c r="D216" s="1568" t="s">
        <v>78</v>
      </c>
      <c r="E216" s="1172" t="str">
        <f>'Матрица 4 недели'!P33</f>
        <v>Вафельная трубочка с вареной сгущенкой</v>
      </c>
      <c r="F216" s="1137">
        <v>6.0</v>
      </c>
      <c r="G216" s="1138">
        <v>10.0</v>
      </c>
      <c r="H216" s="1126">
        <v>5.0</v>
      </c>
      <c r="I216" s="1140">
        <v>10.0</v>
      </c>
      <c r="J216" s="1126">
        <v>5.0</v>
      </c>
      <c r="K216" s="1405">
        <v>10.0</v>
      </c>
      <c r="L216" s="1161">
        <v>6.0</v>
      </c>
      <c r="M216" s="1405">
        <v>13.0</v>
      </c>
      <c r="N216" s="1126">
        <v>0.0</v>
      </c>
      <c r="O216" s="1138">
        <v>0.0</v>
      </c>
      <c r="P216" s="1120">
        <v>15.0</v>
      </c>
      <c r="Q216" s="1142">
        <v>20.0</v>
      </c>
      <c r="R216" s="1126">
        <v>0.0</v>
      </c>
      <c r="S216" s="1121">
        <v>0.0</v>
      </c>
      <c r="T216" s="1137">
        <v>0.0</v>
      </c>
      <c r="U216" s="1121">
        <v>0.0</v>
      </c>
      <c r="V216" s="1137">
        <v>0.0</v>
      </c>
      <c r="W216" s="1121">
        <v>0.0</v>
      </c>
      <c r="X216" s="1137">
        <v>0.0</v>
      </c>
      <c r="Y216" s="1121">
        <v>0.0</v>
      </c>
      <c r="Z216" s="1120"/>
      <c r="AA216" s="1121"/>
      <c r="AB216" s="1120">
        <v>0.0</v>
      </c>
      <c r="AC216" s="1121">
        <v>0.0</v>
      </c>
      <c r="AD216" s="1120">
        <v>0.0</v>
      </c>
      <c r="AE216" s="1121">
        <v>0.0</v>
      </c>
      <c r="AF216" s="1137">
        <v>4.0</v>
      </c>
      <c r="AG216" s="1121">
        <v>6.0</v>
      </c>
      <c r="AH216" s="1120">
        <v>0.0</v>
      </c>
      <c r="AI216" s="1121">
        <v>0.0</v>
      </c>
      <c r="AJ216" s="1120">
        <v>0.0</v>
      </c>
      <c r="AK216" s="1121">
        <v>10.0</v>
      </c>
      <c r="AL216" s="1137">
        <v>0.0</v>
      </c>
      <c r="AM216" s="1121">
        <v>0.0</v>
      </c>
      <c r="AN216" s="1126">
        <v>6.0</v>
      </c>
      <c r="AO216" s="1121">
        <v>8.0</v>
      </c>
      <c r="AP216" s="1126">
        <v>0.0</v>
      </c>
      <c r="AQ216" s="1121">
        <v>0.0</v>
      </c>
      <c r="AR216" s="1126">
        <v>19.0</v>
      </c>
      <c r="AS216" s="1121">
        <v>23.0</v>
      </c>
      <c r="AT216" s="1120">
        <v>0.0</v>
      </c>
      <c r="AU216" s="1121">
        <v>0.0</v>
      </c>
      <c r="AV216" s="1126">
        <v>10.0</v>
      </c>
      <c r="AW216" s="1121">
        <v>10.0</v>
      </c>
      <c r="AX216" s="1126">
        <v>8.0</v>
      </c>
      <c r="AY216" s="1121">
        <v>12.0</v>
      </c>
      <c r="AZ216" s="1126">
        <v>0.0</v>
      </c>
      <c r="BA216" s="1121">
        <v>0.0</v>
      </c>
      <c r="BB216" s="1126"/>
      <c r="BC216" s="1121"/>
      <c r="BD216" s="1126">
        <v>6.0</v>
      </c>
      <c r="BE216" s="1121">
        <v>10.0</v>
      </c>
      <c r="BF216" s="1126">
        <v>22.0</v>
      </c>
      <c r="BG216" s="1121">
        <v>25.0</v>
      </c>
      <c r="BH216" s="1126">
        <v>15.0</v>
      </c>
      <c r="BI216" s="1121">
        <v>20.0</v>
      </c>
      <c r="BJ216" s="1126">
        <v>19.0</v>
      </c>
      <c r="BK216" s="1121">
        <v>25.0</v>
      </c>
      <c r="BL216" s="1152"/>
      <c r="BM216" s="1138"/>
      <c r="BN216" s="1087">
        <v>15.0</v>
      </c>
      <c r="BO216" s="1138">
        <v>15.0</v>
      </c>
      <c r="BP216" s="783">
        <f t="shared" si="116"/>
        <v>147</v>
      </c>
      <c r="BQ216" s="1589">
        <f t="shared" si="117"/>
        <v>212</v>
      </c>
      <c r="BR216" s="1572">
        <f t="shared" si="118"/>
        <v>22260</v>
      </c>
      <c r="BS216" s="784">
        <f t="shared" si="119"/>
        <v>15435</v>
      </c>
      <c r="BT216" s="1807"/>
    </row>
    <row r="217" ht="18.0" customHeight="1">
      <c r="A217" s="1565" t="s">
        <v>145</v>
      </c>
      <c r="B217" s="2166"/>
      <c r="C217" s="1734"/>
      <c r="D217" s="1568"/>
      <c r="E217" s="2168" t="str">
        <f>'Матрица 4 недели'!V34</f>
        <v/>
      </c>
      <c r="F217" s="2113">
        <v>5.0</v>
      </c>
      <c r="G217" s="1623">
        <v>5.0</v>
      </c>
      <c r="H217" s="1284"/>
      <c r="I217" s="1288"/>
      <c r="J217" s="1284"/>
      <c r="K217" s="1288"/>
      <c r="L217" s="1284">
        <v>7.0</v>
      </c>
      <c r="M217" s="1288">
        <v>7.0</v>
      </c>
      <c r="N217" s="1284"/>
      <c r="O217" s="1288"/>
      <c r="P217" s="1284">
        <v>10.0</v>
      </c>
      <c r="Q217" s="1142">
        <v>10.0</v>
      </c>
      <c r="R217" s="1286"/>
      <c r="S217" s="1142"/>
      <c r="T217" s="1284"/>
      <c r="U217" s="1142"/>
      <c r="V217" s="1287"/>
      <c r="W217" s="1288"/>
      <c r="X217" s="1284"/>
      <c r="Y217" s="1289"/>
      <c r="Z217" s="1284"/>
      <c r="AA217" s="1142"/>
      <c r="AB217" s="1284"/>
      <c r="AC217" s="1138"/>
      <c r="AD217" s="1284"/>
      <c r="AE217" s="1289"/>
      <c r="AF217" s="1284"/>
      <c r="AG217" s="1289"/>
      <c r="AH217" s="1284"/>
      <c r="AI217" s="1289"/>
      <c r="AJ217" s="1284"/>
      <c r="AK217" s="1289"/>
      <c r="AL217" s="1284"/>
      <c r="AM217" s="1138"/>
      <c r="AN217" s="1126">
        <v>6.0</v>
      </c>
      <c r="AO217" s="1138">
        <v>6.0</v>
      </c>
      <c r="AP217" s="1126"/>
      <c r="AQ217" s="1138"/>
      <c r="AR217" s="1126">
        <v>18.0</v>
      </c>
      <c r="AS217" s="1121">
        <v>18.0</v>
      </c>
      <c r="AT217" s="1284"/>
      <c r="AU217" s="1121"/>
      <c r="AV217" s="1126">
        <v>10.0</v>
      </c>
      <c r="AW217" s="1121">
        <v>10.0</v>
      </c>
      <c r="AX217" s="1126"/>
      <c r="AY217" s="1121"/>
      <c r="AZ217" s="1126"/>
      <c r="BA217" s="1138"/>
      <c r="BB217" s="1126"/>
      <c r="BC217" s="1138"/>
      <c r="BD217" s="1126">
        <v>5.0</v>
      </c>
      <c r="BE217" s="1138">
        <v>5.0</v>
      </c>
      <c r="BF217" s="1126">
        <v>3.0</v>
      </c>
      <c r="BG217" s="1138">
        <v>4.0</v>
      </c>
      <c r="BH217" s="1126"/>
      <c r="BI217" s="1138"/>
      <c r="BJ217" s="1126"/>
      <c r="BK217" s="1138"/>
      <c r="BL217" s="1134"/>
      <c r="BM217" s="1138"/>
      <c r="BN217" s="1087"/>
      <c r="BO217" s="1138"/>
      <c r="BP217" s="1773">
        <f t="shared" si="116"/>
        <v>65</v>
      </c>
      <c r="BQ217" s="1589">
        <f t="shared" si="117"/>
        <v>65</v>
      </c>
      <c r="BR217" s="1572">
        <f t="shared" si="118"/>
        <v>0</v>
      </c>
      <c r="BS217" s="784">
        <f t="shared" si="119"/>
        <v>0</v>
      </c>
      <c r="BT217" s="1807"/>
    </row>
    <row r="218" ht="18.0" customHeight="1">
      <c r="A218" s="1565"/>
      <c r="B218" s="2166"/>
      <c r="C218" s="1734"/>
      <c r="D218" s="1568"/>
      <c r="E218" s="1172" t="str">
        <f>'Матрица 4 недели'!V35</f>
        <v/>
      </c>
      <c r="F218" s="1120"/>
      <c r="G218" s="1138">
        <v>2.0</v>
      </c>
      <c r="H218" s="1120"/>
      <c r="I218" s="1138"/>
      <c r="J218" s="1120"/>
      <c r="K218" s="1138">
        <v>2.0</v>
      </c>
      <c r="L218" s="1120"/>
      <c r="M218" s="1138"/>
      <c r="N218" s="1120"/>
      <c r="O218" s="1138">
        <v>2.0</v>
      </c>
      <c r="P218" s="1120"/>
      <c r="Q218" s="1138">
        <v>2.0</v>
      </c>
      <c r="R218" s="1120"/>
      <c r="S218" s="1138"/>
      <c r="T218" s="1120"/>
      <c r="U218" s="1138"/>
      <c r="V218" s="1120"/>
      <c r="W218" s="1138">
        <v>2.0</v>
      </c>
      <c r="X218" s="1120"/>
      <c r="Y218" s="1138"/>
      <c r="Z218" s="1120"/>
      <c r="AA218" s="1138"/>
      <c r="AB218" s="1120"/>
      <c r="AC218" s="1138"/>
      <c r="AD218" s="1120"/>
      <c r="AE218" s="1138"/>
      <c r="AF218" s="1120"/>
      <c r="AG218" s="1138"/>
      <c r="AH218" s="1120"/>
      <c r="AI218" s="1138">
        <v>2.0</v>
      </c>
      <c r="AJ218" s="1120"/>
      <c r="AK218" s="1138"/>
      <c r="AL218" s="1120"/>
      <c r="AM218" s="1138"/>
      <c r="AN218" s="1120"/>
      <c r="AO218" s="1138">
        <v>2.0</v>
      </c>
      <c r="AP218" s="1120"/>
      <c r="AQ218" s="1138"/>
      <c r="AR218" s="1120"/>
      <c r="AS218" s="1138"/>
      <c r="AT218" s="1126"/>
      <c r="AU218" s="1138">
        <v>2.0</v>
      </c>
      <c r="AV218" s="1126"/>
      <c r="AW218" s="1138"/>
      <c r="AX218" s="1126"/>
      <c r="AY218" s="1138"/>
      <c r="AZ218" s="1126"/>
      <c r="BA218" s="1138"/>
      <c r="BB218" s="1126"/>
      <c r="BC218" s="1138"/>
      <c r="BD218" s="1126"/>
      <c r="BE218" s="1138"/>
      <c r="BF218" s="1126"/>
      <c r="BG218" s="1138"/>
      <c r="BH218" s="1126"/>
      <c r="BI218" s="1138">
        <v>2.0</v>
      </c>
      <c r="BJ218" s="1126"/>
      <c r="BK218" s="1138">
        <v>2.0</v>
      </c>
      <c r="BL218" s="1134"/>
      <c r="BM218" s="1138"/>
      <c r="BN218" s="1087"/>
      <c r="BO218" s="1138"/>
      <c r="BP218" s="783">
        <f t="shared" si="116"/>
        <v>1</v>
      </c>
      <c r="BQ218" s="1571">
        <f t="shared" si="117"/>
        <v>20</v>
      </c>
      <c r="BR218" s="1572">
        <f t="shared" si="118"/>
        <v>0</v>
      </c>
      <c r="BS218" s="784">
        <f t="shared" si="119"/>
        <v>0</v>
      </c>
      <c r="BT218" s="1610" t="s">
        <v>3104</v>
      </c>
    </row>
    <row r="219" ht="21.75" customHeight="1">
      <c r="A219" s="1679"/>
      <c r="B219" s="1669"/>
      <c r="C219" s="1668"/>
      <c r="D219" s="1670"/>
      <c r="E219" s="1922"/>
      <c r="F219" s="1318"/>
      <c r="G219" s="1318"/>
      <c r="H219" s="1318"/>
      <c r="I219" s="1318"/>
      <c r="J219" s="1318"/>
      <c r="K219" s="1318"/>
      <c r="L219" s="1318"/>
      <c r="M219" s="1318"/>
      <c r="N219" s="1318"/>
      <c r="O219" s="1318"/>
      <c r="P219" s="1318"/>
      <c r="Q219" s="1318"/>
      <c r="R219" s="1318"/>
      <c r="S219" s="1318"/>
      <c r="T219" s="1318"/>
      <c r="U219" s="1318"/>
      <c r="V219" s="1318"/>
      <c r="W219" s="1318"/>
      <c r="X219" s="1318"/>
      <c r="Y219" s="1318"/>
      <c r="Z219" s="1318"/>
      <c r="AA219" s="1318"/>
      <c r="AB219" s="1318"/>
      <c r="AC219" s="1318"/>
      <c r="AD219" s="1318"/>
      <c r="AE219" s="1318"/>
      <c r="AF219" s="1318"/>
      <c r="AG219" s="1318"/>
      <c r="AH219" s="1318"/>
      <c r="AI219" s="1318"/>
      <c r="AJ219" s="1318"/>
      <c r="AK219" s="1318"/>
      <c r="AL219" s="1318"/>
      <c r="AM219" s="1318"/>
      <c r="AN219" s="1318"/>
      <c r="AO219" s="1318"/>
      <c r="AP219" s="1318"/>
      <c r="AQ219" s="1318"/>
      <c r="AR219" s="1318"/>
      <c r="AS219" s="1318"/>
      <c r="AT219" s="1318"/>
      <c r="AU219" s="1318"/>
      <c r="AV219" s="1318"/>
      <c r="AW219" s="1318"/>
      <c r="AX219" s="1318"/>
      <c r="AY219" s="1318"/>
      <c r="AZ219" s="1318"/>
      <c r="BA219" s="1318"/>
      <c r="BB219" s="1318"/>
      <c r="BC219" s="1318"/>
      <c r="BD219" s="1318"/>
      <c r="BE219" s="1318"/>
      <c r="BF219" s="1318"/>
      <c r="BG219" s="1318"/>
      <c r="BH219" s="1317"/>
      <c r="BI219" s="1318"/>
      <c r="BJ219" s="1317"/>
      <c r="BK219" s="1318"/>
      <c r="BL219" s="2023" t="s">
        <v>3123</v>
      </c>
      <c r="BM219" s="2024"/>
      <c r="BN219" s="1654"/>
      <c r="BO219" s="2024"/>
      <c r="BP219" s="2025">
        <f t="shared" ref="BP219:BS219" si="120">SUM(BP192:BP218)</f>
        <v>2631</v>
      </c>
      <c r="BQ219" s="2026">
        <f t="shared" si="120"/>
        <v>2240</v>
      </c>
      <c r="BR219" s="2027">
        <f t="shared" si="120"/>
        <v>309747</v>
      </c>
      <c r="BS219" s="2028">
        <f t="shared" si="120"/>
        <v>371860</v>
      </c>
      <c r="BT219" s="1678">
        <f>BR219-BS219</f>
        <v>-62113</v>
      </c>
    </row>
    <row r="220" ht="15.75" customHeight="1">
      <c r="A220" s="1679"/>
      <c r="B220" s="1669"/>
      <c r="C220" s="1668"/>
      <c r="D220" s="1670"/>
      <c r="E220" s="2029"/>
      <c r="F220" s="871"/>
      <c r="G220" s="871"/>
      <c r="H220" s="871"/>
      <c r="I220" s="871"/>
      <c r="J220" s="871"/>
      <c r="L220" s="871"/>
      <c r="M220" s="871"/>
      <c r="N220" s="871"/>
      <c r="O220" s="871"/>
      <c r="Q220" s="871"/>
      <c r="R220" s="871"/>
      <c r="S220" s="871"/>
      <c r="T220" s="871"/>
      <c r="U220" s="871"/>
      <c r="W220" s="871"/>
      <c r="X220" s="871"/>
      <c r="Y220" s="871"/>
      <c r="Z220" s="871"/>
      <c r="AA220" s="871"/>
      <c r="AB220" s="871"/>
      <c r="AC220" s="1920"/>
      <c r="AD220" s="871"/>
      <c r="AE220" s="1920"/>
      <c r="AF220" s="871"/>
      <c r="AG220" s="1920"/>
      <c r="AH220" s="871"/>
      <c r="AI220" s="1920"/>
      <c r="AJ220" s="1920"/>
      <c r="AK220" s="1920"/>
      <c r="AL220" s="1920"/>
      <c r="AM220" s="1920"/>
      <c r="AN220" s="1921"/>
      <c r="AO220" s="1921"/>
      <c r="AP220" s="1921"/>
      <c r="AQ220" s="1921"/>
      <c r="AR220" s="1921"/>
      <c r="AS220" s="1920"/>
      <c r="AT220" s="1920"/>
      <c r="AU220" s="1920"/>
      <c r="AV220" s="1920"/>
      <c r="AW220" s="1920"/>
      <c r="AX220" s="1920"/>
      <c r="AY220" s="1920"/>
      <c r="AZ220" s="1920"/>
      <c r="BA220" s="1920"/>
      <c r="BB220" s="1922"/>
      <c r="BC220" s="1920"/>
      <c r="BD220" s="1922"/>
      <c r="BE220" s="1920"/>
      <c r="BF220" s="1922"/>
      <c r="BG220" s="1920"/>
      <c r="BH220" s="1923"/>
      <c r="BI220" s="1920"/>
      <c r="BJ220" s="1923"/>
      <c r="BK220" s="1920"/>
      <c r="BL220" s="1920"/>
      <c r="BM220" s="870"/>
      <c r="BN220" s="803"/>
      <c r="BO220" s="870"/>
      <c r="BP220" s="2030"/>
      <c r="BQ220" s="2031"/>
      <c r="BR220" s="2030"/>
      <c r="BS220" s="870"/>
      <c r="BT220" s="541"/>
    </row>
    <row r="221" ht="15.75" customHeight="1">
      <c r="A221" s="1679"/>
      <c r="B221" s="1669"/>
      <c r="C221" s="1668"/>
      <c r="D221" s="1670"/>
      <c r="E221" s="1671"/>
      <c r="F221" s="1920"/>
      <c r="G221" s="1920"/>
      <c r="H221" s="1920"/>
      <c r="I221" s="1920"/>
      <c r="J221" s="1920"/>
      <c r="K221" s="1920"/>
      <c r="L221" s="1920"/>
      <c r="M221" s="1920"/>
      <c r="N221" s="1920"/>
      <c r="O221" s="1920"/>
      <c r="P221" s="1920"/>
      <c r="Q221" s="1920"/>
      <c r="R221" s="1920"/>
      <c r="S221" s="1920"/>
      <c r="T221" s="1920"/>
      <c r="U221" s="1920"/>
      <c r="V221" s="1920"/>
      <c r="W221" s="1920"/>
      <c r="X221" s="1920"/>
      <c r="Y221" s="1920"/>
      <c r="Z221" s="1920"/>
      <c r="AA221" s="1920"/>
      <c r="AB221" s="1920"/>
      <c r="AC221" s="1920"/>
      <c r="AD221" s="1920"/>
      <c r="AE221" s="1920"/>
      <c r="AF221" s="1920"/>
      <c r="AG221" s="1920"/>
      <c r="AH221" s="1920"/>
      <c r="AI221" s="1920"/>
      <c r="AJ221" s="1920"/>
      <c r="AK221" s="1920"/>
      <c r="AL221" s="1920"/>
      <c r="AM221" s="1920"/>
      <c r="AN221" s="1921"/>
      <c r="AO221" s="1921"/>
      <c r="AP221" s="1921"/>
      <c r="AQ221" s="1921"/>
      <c r="AR221" s="1921"/>
      <c r="AS221" s="1920"/>
      <c r="AT221" s="1920"/>
      <c r="AU221" s="1920"/>
      <c r="AV221" s="1920"/>
      <c r="AW221" s="1920"/>
      <c r="AX221" s="1920"/>
      <c r="AY221" s="1920"/>
      <c r="AZ221" s="1920"/>
      <c r="BA221" s="1920"/>
      <c r="BB221" s="1922"/>
      <c r="BC221" s="1920"/>
      <c r="BD221" s="1922"/>
      <c r="BE221" s="1920"/>
      <c r="BF221" s="1922"/>
      <c r="BG221" s="1920"/>
      <c r="BH221" s="1923"/>
      <c r="BI221" s="1920"/>
      <c r="BJ221" s="1923"/>
      <c r="BK221" s="1920"/>
      <c r="BL221" s="1920"/>
      <c r="BM221" s="726"/>
      <c r="BN221" s="1188"/>
      <c r="BO221" s="726"/>
      <c r="BP221" s="1684"/>
      <c r="BQ221" s="629"/>
      <c r="BR221" s="541"/>
      <c r="BS221" s="684"/>
      <c r="BT221" s="541"/>
    </row>
    <row r="222">
      <c r="A222" s="1805" t="s">
        <v>1354</v>
      </c>
      <c r="B222" s="1609"/>
      <c r="C222" s="1845">
        <v>46232.0</v>
      </c>
      <c r="E222" s="908" t="s">
        <v>3106</v>
      </c>
      <c r="F222" s="1920"/>
      <c r="G222" s="1920"/>
      <c r="H222" s="1920"/>
      <c r="I222" s="1920"/>
      <c r="J222" s="1920" t="s">
        <v>1356</v>
      </c>
      <c r="K222" s="1920"/>
      <c r="L222" s="1920"/>
      <c r="M222" s="1920"/>
      <c r="N222" s="1920"/>
      <c r="O222" s="1920"/>
      <c r="P222" s="1920"/>
      <c r="Q222" s="1920"/>
      <c r="R222" s="1920"/>
      <c r="S222" s="1920"/>
      <c r="T222" s="1920"/>
      <c r="U222" s="1920"/>
      <c r="V222" s="1920"/>
      <c r="W222" s="1920"/>
      <c r="X222" s="1920"/>
      <c r="Y222" s="1920"/>
      <c r="Z222" s="1920"/>
      <c r="AA222" s="1920"/>
      <c r="AB222" s="1920"/>
      <c r="AC222" s="1920"/>
      <c r="AD222" s="1920"/>
      <c r="AE222" s="1920"/>
      <c r="AF222" s="1920"/>
      <c r="AG222" s="1920"/>
      <c r="AH222" s="1920"/>
      <c r="AI222" s="1920"/>
      <c r="AJ222" s="1920"/>
      <c r="AK222" s="1920"/>
      <c r="AL222" s="1920"/>
      <c r="AM222" s="1920"/>
      <c r="AN222" s="1921"/>
      <c r="AO222" s="1921"/>
      <c r="AP222" s="1921"/>
      <c r="AQ222" s="1921"/>
      <c r="AR222" s="1921"/>
      <c r="AS222" s="1920"/>
      <c r="AT222" s="1920"/>
      <c r="AU222" s="1920"/>
      <c r="AV222" s="1920"/>
      <c r="AW222" s="1920"/>
      <c r="AX222" s="1920"/>
      <c r="AY222" s="1920"/>
      <c r="AZ222" s="1920"/>
      <c r="BA222" s="1920"/>
      <c r="BB222" s="1922"/>
      <c r="BC222" s="1920"/>
      <c r="BD222" s="1922"/>
      <c r="BE222" s="1920"/>
      <c r="BF222" s="1922"/>
      <c r="BG222" s="1920"/>
      <c r="BH222" s="1923"/>
      <c r="BI222" s="1920"/>
      <c r="BJ222" s="1923"/>
      <c r="BK222" s="1920"/>
      <c r="BL222" s="1920"/>
      <c r="BM222" s="684"/>
      <c r="BN222" s="677"/>
      <c r="BO222" s="684"/>
      <c r="BP222" s="1193"/>
      <c r="BQ222" s="748"/>
      <c r="BR222" s="1193"/>
      <c r="BS222" s="684"/>
      <c r="BT222" s="1193"/>
    </row>
    <row r="223" ht="17.25" customHeight="1">
      <c r="A223" s="1693" t="s">
        <v>3069</v>
      </c>
      <c r="B223" s="1694" t="s">
        <v>3097</v>
      </c>
      <c r="C223" s="1693" t="s">
        <v>19</v>
      </c>
      <c r="D223" s="1557" t="s">
        <v>3070</v>
      </c>
      <c r="E223" s="1559" t="s">
        <v>471</v>
      </c>
      <c r="F223" s="1842" t="s">
        <v>1357</v>
      </c>
      <c r="G223" s="69"/>
      <c r="H223" s="1842" t="s">
        <v>1287</v>
      </c>
      <c r="I223" s="69"/>
      <c r="J223" s="1842" t="s">
        <v>1358</v>
      </c>
      <c r="K223" s="69"/>
      <c r="L223" s="1842" t="s">
        <v>1359</v>
      </c>
      <c r="M223" s="69"/>
      <c r="N223" s="1842" t="s">
        <v>1360</v>
      </c>
      <c r="O223" s="69"/>
      <c r="P223" s="1842" t="s">
        <v>1361</v>
      </c>
      <c r="Q223" s="69"/>
      <c r="R223" s="1842" t="s">
        <v>1362</v>
      </c>
      <c r="S223" s="69"/>
      <c r="T223" s="1842" t="s">
        <v>1299</v>
      </c>
      <c r="U223" s="69"/>
      <c r="V223" s="1842" t="s">
        <v>1301</v>
      </c>
      <c r="W223" s="69"/>
      <c r="X223" s="1842" t="s">
        <v>1363</v>
      </c>
      <c r="Y223" s="69"/>
      <c r="Z223" s="1842" t="s">
        <v>1305</v>
      </c>
      <c r="AA223" s="69"/>
      <c r="AB223" s="1842" t="s">
        <v>1307</v>
      </c>
      <c r="AC223" s="69"/>
      <c r="AD223" s="1842" t="s">
        <v>1309</v>
      </c>
      <c r="AE223" s="69"/>
      <c r="AF223" s="1842" t="s">
        <v>1311</v>
      </c>
      <c r="AG223" s="69"/>
      <c r="AH223" s="1842" t="s">
        <v>1313</v>
      </c>
      <c r="AI223" s="69"/>
      <c r="AJ223" s="1842" t="s">
        <v>1315</v>
      </c>
      <c r="AK223" s="69"/>
      <c r="AL223" s="1842" t="s">
        <v>1317</v>
      </c>
      <c r="AM223" s="69"/>
      <c r="AN223" s="1842" t="s">
        <v>1319</v>
      </c>
      <c r="AO223" s="69"/>
      <c r="AP223" s="1842" t="s">
        <v>1321</v>
      </c>
      <c r="AQ223" s="69"/>
      <c r="AR223" s="1842" t="s">
        <v>1323</v>
      </c>
      <c r="AS223" s="69"/>
      <c r="AT223" s="1842" t="s">
        <v>1325</v>
      </c>
      <c r="AU223" s="69"/>
      <c r="AV223" s="1842" t="s">
        <v>1327</v>
      </c>
      <c r="AW223" s="69"/>
      <c r="AX223" s="1842" t="s">
        <v>3076</v>
      </c>
      <c r="AY223" s="69"/>
      <c r="AZ223" s="1842" t="s">
        <v>3078</v>
      </c>
      <c r="BA223" s="69"/>
      <c r="BB223" s="2034" t="s">
        <v>3080</v>
      </c>
      <c r="BC223" s="69"/>
      <c r="BD223" s="2034" t="s">
        <v>3082</v>
      </c>
      <c r="BE223" s="69"/>
      <c r="BF223" s="2034" t="s">
        <v>3084</v>
      </c>
      <c r="BG223" s="69"/>
      <c r="BH223" s="2034" t="s">
        <v>3086</v>
      </c>
      <c r="BI223" s="69"/>
      <c r="BJ223" s="2034" t="s">
        <v>3088</v>
      </c>
      <c r="BK223" s="69"/>
      <c r="BL223" s="1842" t="s">
        <v>297</v>
      </c>
      <c r="BM223" s="69"/>
      <c r="BN223" s="1842" t="s">
        <v>5</v>
      </c>
      <c r="BO223" s="69"/>
      <c r="BR223" s="2035"/>
      <c r="BS223" s="2163"/>
      <c r="BT223" s="2035"/>
    </row>
    <row r="224" ht="26.25" customHeight="1">
      <c r="A224" s="1698" t="str">
        <f t="shared" ref="A224:A231" si="121">A192</f>
        <v>Да</v>
      </c>
      <c r="B224" s="1736">
        <v>4045.0</v>
      </c>
      <c r="C224" s="1734">
        <v>145.0</v>
      </c>
      <c r="D224" s="1701"/>
      <c r="E224" s="1702" t="str">
        <f t="shared" ref="E224:E250" si="122">E192</f>
        <v>Панкейки шоколадные с вареньем</v>
      </c>
      <c r="F224" s="2109">
        <f t="shared" ref="F224:F251" si="123">G192</f>
        <v>11</v>
      </c>
      <c r="G224" s="69"/>
      <c r="H224" s="2109">
        <f t="shared" ref="H224:H251" si="124">I192</f>
        <v>3</v>
      </c>
      <c r="I224" s="69"/>
      <c r="J224" s="2109">
        <f t="shared" ref="J224:J251" si="125">K192</f>
        <v>3</v>
      </c>
      <c r="K224" s="69"/>
      <c r="L224" s="2109">
        <f t="shared" ref="L224:L251" si="126">M192</f>
        <v>4</v>
      </c>
      <c r="M224" s="69"/>
      <c r="N224" s="2109">
        <f t="shared" ref="N224:N251" si="127">O192</f>
        <v>7</v>
      </c>
      <c r="O224" s="69"/>
      <c r="P224" s="2109">
        <f t="shared" ref="P224:P251" si="128">Q192</f>
        <v>3</v>
      </c>
      <c r="Q224" s="69"/>
      <c r="R224" s="2109">
        <f t="shared" ref="R224:R251" si="129">S192</f>
        <v>0</v>
      </c>
      <c r="S224" s="69"/>
      <c r="T224" s="2109">
        <f t="shared" ref="T224:T251" si="130">U192</f>
        <v>3</v>
      </c>
      <c r="U224" s="69"/>
      <c r="V224" s="2109">
        <f t="shared" ref="V224:V251" si="131">W192</f>
        <v>8</v>
      </c>
      <c r="W224" s="69"/>
      <c r="X224" s="2109">
        <f t="shared" ref="X224:X251" si="132">Y192</f>
        <v>9</v>
      </c>
      <c r="Y224" s="69"/>
      <c r="Z224" s="2109" t="str">
        <f t="shared" ref="Z224:Z251" si="133">AA192</f>
        <v/>
      </c>
      <c r="AA224" s="69"/>
      <c r="AB224" s="2109">
        <f t="shared" ref="AB224:AB251" si="134">AC192</f>
        <v>2</v>
      </c>
      <c r="AC224" s="69"/>
      <c r="AD224" s="2109">
        <f t="shared" ref="AD224:AD251" si="135">AE192</f>
        <v>4</v>
      </c>
      <c r="AE224" s="69"/>
      <c r="AF224" s="2109">
        <f t="shared" ref="AF224:AF251" si="136">AG192</f>
        <v>2</v>
      </c>
      <c r="AG224" s="69"/>
      <c r="AH224" s="2109">
        <f t="shared" ref="AH224:AH251" si="137">AI192</f>
        <v>1</v>
      </c>
      <c r="AI224" s="69"/>
      <c r="AJ224" s="2109">
        <f t="shared" ref="AJ224:AJ251" si="138">AK192</f>
        <v>4</v>
      </c>
      <c r="AK224" s="69"/>
      <c r="AL224" s="2109">
        <f t="shared" ref="AL224:AL251" si="139">AM192</f>
        <v>3</v>
      </c>
      <c r="AM224" s="69"/>
      <c r="AN224" s="2109">
        <f t="shared" ref="AN224:AN251" si="140">AO192</f>
        <v>2</v>
      </c>
      <c r="AO224" s="69"/>
      <c r="AP224" s="2109">
        <f t="shared" ref="AP224:AP251" si="141">AQ192</f>
        <v>1</v>
      </c>
      <c r="AQ224" s="69"/>
      <c r="AR224" s="2109">
        <f t="shared" ref="AR224:AR251" si="142">AS192</f>
        <v>13</v>
      </c>
      <c r="AS224" s="69"/>
      <c r="AT224" s="2109">
        <f t="shared" ref="AT224:AT251" si="143">AU192</f>
        <v>4</v>
      </c>
      <c r="AU224" s="69"/>
      <c r="AV224" s="2109">
        <f t="shared" ref="AV224:AV251" si="144">AW192</f>
        <v>2</v>
      </c>
      <c r="AW224" s="69"/>
      <c r="AX224" s="2109">
        <f t="shared" ref="AX224:AX251" si="145">AY192</f>
        <v>5</v>
      </c>
      <c r="AY224" s="69"/>
      <c r="AZ224" s="2109">
        <f t="shared" ref="AZ224:AZ251" si="146">BA192</f>
        <v>1</v>
      </c>
      <c r="BA224" s="69"/>
      <c r="BB224" s="2109" t="str">
        <f t="shared" ref="BB224:BB251" si="147">BC192</f>
        <v/>
      </c>
      <c r="BC224" s="69"/>
      <c r="BD224" s="2109">
        <f t="shared" ref="BD224:BD251" si="148">BE192</f>
        <v>1</v>
      </c>
      <c r="BE224" s="69"/>
      <c r="BF224" s="2109">
        <f t="shared" ref="BF224:BF251" si="149">BG192</f>
        <v>1</v>
      </c>
      <c r="BG224" s="69"/>
      <c r="BH224" s="2109">
        <f t="shared" ref="BH224:BH251" si="150">BI192</f>
        <v>2</v>
      </c>
      <c r="BI224" s="69"/>
      <c r="BJ224" s="2109">
        <f t="shared" ref="BJ224:BJ251" si="151">BK192</f>
        <v>5</v>
      </c>
      <c r="BK224" s="69"/>
      <c r="BL224" s="2109" t="str">
        <f t="shared" ref="BL224:BL248" si="152">BM192</f>
        <v/>
      </c>
      <c r="BM224" s="69"/>
      <c r="BN224" s="2192">
        <f t="shared" ref="BN224:BN252" si="153">SUM(F224:BM224)</f>
        <v>104</v>
      </c>
      <c r="BO224" s="69"/>
      <c r="BR224" s="541"/>
      <c r="BS224" s="684"/>
      <c r="BT224" s="541"/>
    </row>
    <row r="225" ht="26.25" customHeight="1">
      <c r="A225" s="1698" t="str">
        <f t="shared" si="121"/>
        <v>Да</v>
      </c>
      <c r="B225" s="1736">
        <v>1922.0</v>
      </c>
      <c r="C225" s="1734">
        <v>120.0</v>
      </c>
      <c r="D225" s="1701"/>
      <c r="E225" s="1702" t="str">
        <f t="shared" si="122"/>
        <v>Блины фаршированные сочной курочкой</v>
      </c>
      <c r="F225" s="2109">
        <f t="shared" si="123"/>
        <v>8</v>
      </c>
      <c r="G225" s="69"/>
      <c r="H225" s="2109">
        <f t="shared" si="124"/>
        <v>3</v>
      </c>
      <c r="I225" s="69"/>
      <c r="J225" s="2109">
        <f t="shared" si="125"/>
        <v>3</v>
      </c>
      <c r="K225" s="69"/>
      <c r="L225" s="2109">
        <f t="shared" si="126"/>
        <v>7</v>
      </c>
      <c r="M225" s="69"/>
      <c r="N225" s="2109">
        <f t="shared" si="127"/>
        <v>8</v>
      </c>
      <c r="O225" s="69"/>
      <c r="P225" s="2109">
        <f t="shared" si="128"/>
        <v>2</v>
      </c>
      <c r="Q225" s="69"/>
      <c r="R225" s="2109">
        <f t="shared" si="129"/>
        <v>3</v>
      </c>
      <c r="S225" s="69"/>
      <c r="T225" s="2109">
        <f t="shared" si="130"/>
        <v>7</v>
      </c>
      <c r="U225" s="69"/>
      <c r="V225" s="2109">
        <f t="shared" si="131"/>
        <v>10</v>
      </c>
      <c r="W225" s="69"/>
      <c r="X225" s="2109">
        <f t="shared" si="132"/>
        <v>8</v>
      </c>
      <c r="Y225" s="69"/>
      <c r="Z225" s="2109" t="str">
        <f t="shared" si="133"/>
        <v/>
      </c>
      <c r="AA225" s="69"/>
      <c r="AB225" s="2109">
        <f t="shared" si="134"/>
        <v>4</v>
      </c>
      <c r="AC225" s="69"/>
      <c r="AD225" s="2109">
        <f t="shared" si="135"/>
        <v>4</v>
      </c>
      <c r="AE225" s="69"/>
      <c r="AF225" s="2109">
        <f t="shared" si="136"/>
        <v>12</v>
      </c>
      <c r="AG225" s="69"/>
      <c r="AH225" s="2109">
        <f t="shared" si="137"/>
        <v>8</v>
      </c>
      <c r="AI225" s="69"/>
      <c r="AJ225" s="2109">
        <f t="shared" si="138"/>
        <v>9</v>
      </c>
      <c r="AK225" s="69"/>
      <c r="AL225" s="2109">
        <f t="shared" si="139"/>
        <v>4</v>
      </c>
      <c r="AM225" s="69"/>
      <c r="AN225" s="2109">
        <f t="shared" si="140"/>
        <v>6</v>
      </c>
      <c r="AO225" s="69"/>
      <c r="AP225" s="2109">
        <f t="shared" si="141"/>
        <v>2</v>
      </c>
      <c r="AQ225" s="69"/>
      <c r="AR225" s="2109">
        <f t="shared" si="142"/>
        <v>6</v>
      </c>
      <c r="AS225" s="69"/>
      <c r="AT225" s="2109">
        <f t="shared" si="143"/>
        <v>4</v>
      </c>
      <c r="AU225" s="69"/>
      <c r="AV225" s="2109">
        <f t="shared" si="144"/>
        <v>1</v>
      </c>
      <c r="AW225" s="69"/>
      <c r="AX225" s="2109">
        <f t="shared" si="145"/>
        <v>4</v>
      </c>
      <c r="AY225" s="69"/>
      <c r="AZ225" s="2109">
        <f t="shared" si="146"/>
        <v>3</v>
      </c>
      <c r="BA225" s="69"/>
      <c r="BB225" s="2109" t="str">
        <f t="shared" si="147"/>
        <v/>
      </c>
      <c r="BC225" s="69"/>
      <c r="BD225" s="2109">
        <f t="shared" si="148"/>
        <v>2</v>
      </c>
      <c r="BE225" s="69"/>
      <c r="BF225" s="2109">
        <f t="shared" si="149"/>
        <v>4</v>
      </c>
      <c r="BG225" s="69"/>
      <c r="BH225" s="2109">
        <f t="shared" si="150"/>
        <v>4</v>
      </c>
      <c r="BI225" s="69"/>
      <c r="BJ225" s="2109">
        <f t="shared" si="151"/>
        <v>5</v>
      </c>
      <c r="BK225" s="69"/>
      <c r="BL225" s="2109" t="str">
        <f t="shared" si="152"/>
        <v/>
      </c>
      <c r="BM225" s="69"/>
      <c r="BN225" s="2192">
        <f t="shared" si="153"/>
        <v>141</v>
      </c>
      <c r="BO225" s="69"/>
      <c r="BR225" s="541"/>
      <c r="BS225" s="684"/>
      <c r="BT225" s="541"/>
    </row>
    <row r="226" ht="26.25" customHeight="1">
      <c r="A226" s="1698" t="str">
        <f t="shared" si="121"/>
        <v>Да</v>
      </c>
      <c r="B226" s="1736">
        <v>385.0</v>
      </c>
      <c r="C226" s="1734">
        <v>83.0</v>
      </c>
      <c r="D226" s="1701"/>
      <c r="E226" s="1702" t="str">
        <f t="shared" si="122"/>
        <v>Омлет воздушный</v>
      </c>
      <c r="F226" s="2109">
        <f t="shared" si="123"/>
        <v>5</v>
      </c>
      <c r="G226" s="69"/>
      <c r="H226" s="2109">
        <f t="shared" si="124"/>
        <v>1</v>
      </c>
      <c r="I226" s="69"/>
      <c r="J226" s="2109">
        <f t="shared" si="125"/>
        <v>3</v>
      </c>
      <c r="K226" s="69"/>
      <c r="L226" s="2109">
        <f t="shared" si="126"/>
        <v>4</v>
      </c>
      <c r="M226" s="69"/>
      <c r="N226" s="2109">
        <f t="shared" si="127"/>
        <v>5</v>
      </c>
      <c r="O226" s="69"/>
      <c r="P226" s="2109">
        <f t="shared" si="128"/>
        <v>2</v>
      </c>
      <c r="Q226" s="69"/>
      <c r="R226" s="2109">
        <f t="shared" si="129"/>
        <v>2</v>
      </c>
      <c r="S226" s="69"/>
      <c r="T226" s="2109">
        <f t="shared" si="130"/>
        <v>4</v>
      </c>
      <c r="U226" s="69"/>
      <c r="V226" s="2109">
        <f t="shared" si="131"/>
        <v>3</v>
      </c>
      <c r="W226" s="69"/>
      <c r="X226" s="2109">
        <f t="shared" si="132"/>
        <v>3</v>
      </c>
      <c r="Y226" s="69"/>
      <c r="Z226" s="2109" t="str">
        <f t="shared" si="133"/>
        <v/>
      </c>
      <c r="AA226" s="69"/>
      <c r="AB226" s="2109">
        <f t="shared" si="134"/>
        <v>4</v>
      </c>
      <c r="AC226" s="69"/>
      <c r="AD226" s="2109">
        <f t="shared" si="135"/>
        <v>3</v>
      </c>
      <c r="AE226" s="69"/>
      <c r="AF226" s="2109">
        <f t="shared" si="136"/>
        <v>7</v>
      </c>
      <c r="AG226" s="69"/>
      <c r="AH226" s="2109">
        <f t="shared" si="137"/>
        <v>4</v>
      </c>
      <c r="AI226" s="69"/>
      <c r="AJ226" s="2109">
        <f t="shared" si="138"/>
        <v>5</v>
      </c>
      <c r="AK226" s="69"/>
      <c r="AL226" s="2109">
        <f t="shared" si="139"/>
        <v>3</v>
      </c>
      <c r="AM226" s="69"/>
      <c r="AN226" s="2109">
        <f t="shared" si="140"/>
        <v>3</v>
      </c>
      <c r="AO226" s="69"/>
      <c r="AP226" s="2109">
        <f t="shared" si="141"/>
        <v>3</v>
      </c>
      <c r="AQ226" s="69"/>
      <c r="AR226" s="2109">
        <f t="shared" si="142"/>
        <v>6</v>
      </c>
      <c r="AS226" s="69"/>
      <c r="AT226" s="2109">
        <f t="shared" si="143"/>
        <v>2</v>
      </c>
      <c r="AU226" s="69"/>
      <c r="AV226" s="2109">
        <f t="shared" si="144"/>
        <v>2</v>
      </c>
      <c r="AW226" s="69"/>
      <c r="AX226" s="2109">
        <f t="shared" si="145"/>
        <v>3</v>
      </c>
      <c r="AY226" s="69"/>
      <c r="AZ226" s="2109">
        <f t="shared" si="146"/>
        <v>2</v>
      </c>
      <c r="BA226" s="69"/>
      <c r="BB226" s="2195" t="str">
        <f t="shared" si="147"/>
        <v/>
      </c>
      <c r="BC226" s="69"/>
      <c r="BD226" s="2195">
        <f t="shared" si="148"/>
        <v>3</v>
      </c>
      <c r="BE226" s="69"/>
      <c r="BF226" s="2195">
        <f t="shared" si="149"/>
        <v>4</v>
      </c>
      <c r="BG226" s="69"/>
      <c r="BH226" s="2195">
        <f t="shared" si="150"/>
        <v>3</v>
      </c>
      <c r="BI226" s="69"/>
      <c r="BJ226" s="2195">
        <f t="shared" si="151"/>
        <v>4</v>
      </c>
      <c r="BK226" s="69"/>
      <c r="BL226" s="2109" t="str">
        <f t="shared" si="152"/>
        <v/>
      </c>
      <c r="BM226" s="69"/>
      <c r="BN226" s="2192">
        <f t="shared" si="153"/>
        <v>93</v>
      </c>
      <c r="BO226" s="69"/>
      <c r="BR226" s="541"/>
      <c r="BS226" s="684"/>
      <c r="BT226" s="541"/>
    </row>
    <row r="227" ht="26.25" customHeight="1">
      <c r="A227" s="1698" t="str">
        <f t="shared" si="121"/>
        <v>Да</v>
      </c>
      <c r="B227" s="1736">
        <v>3316.0</v>
      </c>
      <c r="C227" s="1734">
        <v>98.0</v>
      </c>
      <c r="D227" s="1701"/>
      <c r="E227" s="1702" t="str">
        <f t="shared" si="122"/>
        <v>Салат ''Витаминный с крабом'' 120 г</v>
      </c>
      <c r="F227" s="2109">
        <f t="shared" si="123"/>
        <v>3</v>
      </c>
      <c r="G227" s="69"/>
      <c r="H227" s="2109">
        <f t="shared" si="124"/>
        <v>2</v>
      </c>
      <c r="I227" s="69"/>
      <c r="J227" s="2109">
        <f t="shared" si="125"/>
        <v>4</v>
      </c>
      <c r="K227" s="69"/>
      <c r="L227" s="2109">
        <f t="shared" si="126"/>
        <v>2</v>
      </c>
      <c r="M227" s="69"/>
      <c r="N227" s="2109">
        <f t="shared" si="127"/>
        <v>10</v>
      </c>
      <c r="O227" s="69"/>
      <c r="P227" s="2109">
        <f t="shared" si="128"/>
        <v>7</v>
      </c>
      <c r="Q227" s="69"/>
      <c r="R227" s="2109">
        <f t="shared" si="129"/>
        <v>5</v>
      </c>
      <c r="S227" s="69"/>
      <c r="T227" s="2109">
        <f t="shared" si="130"/>
        <v>2</v>
      </c>
      <c r="U227" s="69"/>
      <c r="V227" s="2109">
        <f t="shared" si="131"/>
        <v>6</v>
      </c>
      <c r="W227" s="69"/>
      <c r="X227" s="2109">
        <f t="shared" si="132"/>
        <v>9</v>
      </c>
      <c r="Y227" s="69"/>
      <c r="Z227" s="2109" t="str">
        <f t="shared" si="133"/>
        <v/>
      </c>
      <c r="AA227" s="69"/>
      <c r="AB227" s="2109">
        <f t="shared" si="134"/>
        <v>3</v>
      </c>
      <c r="AC227" s="69"/>
      <c r="AD227" s="2109">
        <f t="shared" si="135"/>
        <v>3</v>
      </c>
      <c r="AE227" s="69"/>
      <c r="AF227" s="2109">
        <f t="shared" si="136"/>
        <v>8</v>
      </c>
      <c r="AG227" s="69"/>
      <c r="AH227" s="2109">
        <f t="shared" si="137"/>
        <v>2</v>
      </c>
      <c r="AI227" s="69"/>
      <c r="AJ227" s="2109">
        <f t="shared" si="138"/>
        <v>5</v>
      </c>
      <c r="AK227" s="69"/>
      <c r="AL227" s="2109">
        <f t="shared" si="139"/>
        <v>7</v>
      </c>
      <c r="AM227" s="69"/>
      <c r="AN227" s="2109">
        <f t="shared" si="140"/>
        <v>2</v>
      </c>
      <c r="AO227" s="69"/>
      <c r="AP227" s="2109">
        <f t="shared" si="141"/>
        <v>8</v>
      </c>
      <c r="AQ227" s="69"/>
      <c r="AR227" s="2109">
        <f t="shared" si="142"/>
        <v>5</v>
      </c>
      <c r="AS227" s="69"/>
      <c r="AT227" s="2109">
        <f t="shared" si="143"/>
        <v>5</v>
      </c>
      <c r="AU227" s="69"/>
      <c r="AV227" s="2109">
        <f t="shared" si="144"/>
        <v>4</v>
      </c>
      <c r="AW227" s="69"/>
      <c r="AX227" s="2109">
        <f t="shared" si="145"/>
        <v>4</v>
      </c>
      <c r="AY227" s="69"/>
      <c r="AZ227" s="2109">
        <f t="shared" si="146"/>
        <v>4</v>
      </c>
      <c r="BA227" s="69"/>
      <c r="BB227" s="2195" t="str">
        <f t="shared" si="147"/>
        <v/>
      </c>
      <c r="BC227" s="69"/>
      <c r="BD227" s="2195">
        <f t="shared" si="148"/>
        <v>2</v>
      </c>
      <c r="BE227" s="69"/>
      <c r="BF227" s="2195">
        <f t="shared" si="149"/>
        <v>4</v>
      </c>
      <c r="BG227" s="69"/>
      <c r="BH227" s="2195">
        <f t="shared" si="150"/>
        <v>5</v>
      </c>
      <c r="BI227" s="69"/>
      <c r="BJ227" s="2195">
        <f t="shared" si="151"/>
        <v>7</v>
      </c>
      <c r="BK227" s="69"/>
      <c r="BL227" s="2109" t="str">
        <f t="shared" si="152"/>
        <v/>
      </c>
      <c r="BM227" s="69"/>
      <c r="BN227" s="2192">
        <f t="shared" si="153"/>
        <v>128</v>
      </c>
      <c r="BO227" s="69"/>
      <c r="BR227" s="541"/>
      <c r="BS227" s="684"/>
      <c r="BT227" s="541"/>
    </row>
    <row r="228" ht="26.25" customHeight="1">
      <c r="A228" s="1698" t="str">
        <f t="shared" si="121"/>
        <v>Да</v>
      </c>
      <c r="B228" s="1736">
        <v>31.0</v>
      </c>
      <c r="C228" s="1734">
        <v>98.0</v>
      </c>
      <c r="D228" s="1701"/>
      <c r="E228" s="1702" t="str">
        <f t="shared" si="122"/>
        <v>Салат ''Прага'' (ветчина кур.)</v>
      </c>
      <c r="F228" s="2109">
        <f t="shared" si="123"/>
        <v>9</v>
      </c>
      <c r="G228" s="69"/>
      <c r="H228" s="2109">
        <f t="shared" si="124"/>
        <v>2</v>
      </c>
      <c r="I228" s="69"/>
      <c r="J228" s="2109">
        <f t="shared" si="125"/>
        <v>4</v>
      </c>
      <c r="K228" s="69"/>
      <c r="L228" s="2109">
        <f t="shared" si="126"/>
        <v>2</v>
      </c>
      <c r="M228" s="69"/>
      <c r="N228" s="2109">
        <f t="shared" si="127"/>
        <v>5</v>
      </c>
      <c r="O228" s="69"/>
      <c r="P228" s="2109">
        <f t="shared" si="128"/>
        <v>4</v>
      </c>
      <c r="Q228" s="69"/>
      <c r="R228" s="2109">
        <f t="shared" si="129"/>
        <v>2</v>
      </c>
      <c r="S228" s="69"/>
      <c r="T228" s="2109">
        <f t="shared" si="130"/>
        <v>1</v>
      </c>
      <c r="U228" s="69"/>
      <c r="V228" s="2109">
        <f t="shared" si="131"/>
        <v>6</v>
      </c>
      <c r="W228" s="69"/>
      <c r="X228" s="2109">
        <f t="shared" si="132"/>
        <v>2</v>
      </c>
      <c r="Y228" s="69"/>
      <c r="Z228" s="2109" t="str">
        <f t="shared" si="133"/>
        <v/>
      </c>
      <c r="AA228" s="69"/>
      <c r="AB228" s="2109">
        <f t="shared" si="134"/>
        <v>0</v>
      </c>
      <c r="AC228" s="69"/>
      <c r="AD228" s="2109">
        <f t="shared" si="135"/>
        <v>3</v>
      </c>
      <c r="AE228" s="69"/>
      <c r="AF228" s="2109">
        <f t="shared" si="136"/>
        <v>3</v>
      </c>
      <c r="AG228" s="69"/>
      <c r="AH228" s="2109">
        <f t="shared" si="137"/>
        <v>4</v>
      </c>
      <c r="AI228" s="69"/>
      <c r="AJ228" s="2109">
        <f t="shared" si="138"/>
        <v>1</v>
      </c>
      <c r="AK228" s="69"/>
      <c r="AL228" s="2109">
        <f t="shared" si="139"/>
        <v>1</v>
      </c>
      <c r="AM228" s="69"/>
      <c r="AN228" s="2109">
        <f t="shared" si="140"/>
        <v>2</v>
      </c>
      <c r="AO228" s="69"/>
      <c r="AP228" s="2109">
        <f t="shared" si="141"/>
        <v>3</v>
      </c>
      <c r="AQ228" s="69"/>
      <c r="AR228" s="2109">
        <f t="shared" si="142"/>
        <v>10</v>
      </c>
      <c r="AS228" s="69"/>
      <c r="AT228" s="2109">
        <f t="shared" si="143"/>
        <v>2</v>
      </c>
      <c r="AU228" s="69"/>
      <c r="AV228" s="2109">
        <f t="shared" si="144"/>
        <v>3</v>
      </c>
      <c r="AW228" s="69"/>
      <c r="AX228" s="2109">
        <f t="shared" si="145"/>
        <v>2</v>
      </c>
      <c r="AY228" s="69"/>
      <c r="AZ228" s="2109">
        <f t="shared" si="146"/>
        <v>3</v>
      </c>
      <c r="BA228" s="69"/>
      <c r="BB228" s="2195" t="str">
        <f t="shared" si="147"/>
        <v/>
      </c>
      <c r="BC228" s="69"/>
      <c r="BD228" s="2195">
        <f t="shared" si="148"/>
        <v>2</v>
      </c>
      <c r="BE228" s="69"/>
      <c r="BF228" s="2195">
        <f t="shared" si="149"/>
        <v>5</v>
      </c>
      <c r="BG228" s="69"/>
      <c r="BH228" s="2195">
        <f t="shared" si="150"/>
        <v>2</v>
      </c>
      <c r="BI228" s="69"/>
      <c r="BJ228" s="2195">
        <f t="shared" si="151"/>
        <v>6</v>
      </c>
      <c r="BK228" s="69"/>
      <c r="BL228" s="2109" t="str">
        <f t="shared" si="152"/>
        <v/>
      </c>
      <c r="BM228" s="69"/>
      <c r="BN228" s="2192">
        <f t="shared" si="153"/>
        <v>89</v>
      </c>
      <c r="BO228" s="69"/>
      <c r="BR228" s="541"/>
      <c r="BS228" s="684"/>
      <c r="BT228" s="541"/>
    </row>
    <row r="229" ht="26.25" customHeight="1">
      <c r="A229" s="1698" t="str">
        <f t="shared" si="121"/>
        <v>Да</v>
      </c>
      <c r="B229" s="1736">
        <v>4055.0</v>
      </c>
      <c r="C229" s="1734">
        <v>98.0</v>
      </c>
      <c r="D229" s="1701"/>
      <c r="E229" s="1702" t="str">
        <f t="shared" si="122"/>
        <v>Салат "Чикаго" (кура копченая)</v>
      </c>
      <c r="F229" s="2109">
        <f t="shared" si="123"/>
        <v>9</v>
      </c>
      <c r="G229" s="69"/>
      <c r="H229" s="2109">
        <f t="shared" si="124"/>
        <v>2</v>
      </c>
      <c r="I229" s="69"/>
      <c r="J229" s="2109">
        <f t="shared" si="125"/>
        <v>4</v>
      </c>
      <c r="K229" s="69"/>
      <c r="L229" s="2109">
        <f t="shared" si="126"/>
        <v>3</v>
      </c>
      <c r="M229" s="69"/>
      <c r="N229" s="2109">
        <f t="shared" si="127"/>
        <v>5</v>
      </c>
      <c r="O229" s="69"/>
      <c r="P229" s="2109">
        <f t="shared" si="128"/>
        <v>5</v>
      </c>
      <c r="Q229" s="69"/>
      <c r="R229" s="2109">
        <f t="shared" si="129"/>
        <v>2</v>
      </c>
      <c r="S229" s="69"/>
      <c r="T229" s="2109">
        <f t="shared" si="130"/>
        <v>2</v>
      </c>
      <c r="U229" s="69"/>
      <c r="V229" s="2109">
        <f t="shared" si="131"/>
        <v>6</v>
      </c>
      <c r="W229" s="69"/>
      <c r="X229" s="2109">
        <f t="shared" si="132"/>
        <v>3</v>
      </c>
      <c r="Y229" s="69"/>
      <c r="Z229" s="2109" t="str">
        <f t="shared" si="133"/>
        <v/>
      </c>
      <c r="AA229" s="69"/>
      <c r="AB229" s="2109">
        <f t="shared" si="134"/>
        <v>2</v>
      </c>
      <c r="AC229" s="69"/>
      <c r="AD229" s="2109">
        <f t="shared" si="135"/>
        <v>3</v>
      </c>
      <c r="AE229" s="69"/>
      <c r="AF229" s="2109">
        <f t="shared" si="136"/>
        <v>8</v>
      </c>
      <c r="AG229" s="69"/>
      <c r="AH229" s="2109">
        <f t="shared" si="137"/>
        <v>1</v>
      </c>
      <c r="AI229" s="69"/>
      <c r="AJ229" s="2109">
        <f t="shared" si="138"/>
        <v>5</v>
      </c>
      <c r="AK229" s="69"/>
      <c r="AL229" s="2109">
        <f t="shared" si="139"/>
        <v>2</v>
      </c>
      <c r="AM229" s="69"/>
      <c r="AN229" s="2109">
        <f t="shared" si="140"/>
        <v>2</v>
      </c>
      <c r="AO229" s="69"/>
      <c r="AP229" s="2109">
        <f t="shared" si="141"/>
        <v>0</v>
      </c>
      <c r="AQ229" s="69"/>
      <c r="AR229" s="2109">
        <f t="shared" si="142"/>
        <v>4</v>
      </c>
      <c r="AS229" s="69"/>
      <c r="AT229" s="2109">
        <f t="shared" si="143"/>
        <v>4</v>
      </c>
      <c r="AU229" s="69"/>
      <c r="AV229" s="2109">
        <f t="shared" si="144"/>
        <v>5</v>
      </c>
      <c r="AW229" s="69"/>
      <c r="AX229" s="2109">
        <f t="shared" si="145"/>
        <v>3</v>
      </c>
      <c r="AY229" s="69"/>
      <c r="AZ229" s="2109">
        <f t="shared" si="146"/>
        <v>4</v>
      </c>
      <c r="BA229" s="69"/>
      <c r="BB229" s="2195" t="str">
        <f t="shared" si="147"/>
        <v/>
      </c>
      <c r="BC229" s="69"/>
      <c r="BD229" s="2195">
        <f t="shared" si="148"/>
        <v>4</v>
      </c>
      <c r="BE229" s="69"/>
      <c r="BF229" s="2195">
        <f t="shared" si="149"/>
        <v>4</v>
      </c>
      <c r="BG229" s="69"/>
      <c r="BH229" s="2195">
        <f t="shared" si="150"/>
        <v>3</v>
      </c>
      <c r="BI229" s="69"/>
      <c r="BJ229" s="2195">
        <f t="shared" si="151"/>
        <v>7</v>
      </c>
      <c r="BK229" s="69"/>
      <c r="BL229" s="2109" t="str">
        <f t="shared" si="152"/>
        <v/>
      </c>
      <c r="BM229" s="69"/>
      <c r="BN229" s="2192">
        <f t="shared" si="153"/>
        <v>102</v>
      </c>
      <c r="BO229" s="69"/>
      <c r="BR229" s="541"/>
      <c r="BS229" s="684"/>
      <c r="BT229" s="541"/>
    </row>
    <row r="230" ht="26.25" customHeight="1">
      <c r="A230" s="1698" t="str">
        <f t="shared" si="121"/>
        <v>Да</v>
      </c>
      <c r="B230" s="1736">
        <v>3306.0</v>
      </c>
      <c r="C230" s="1734">
        <v>237.0</v>
      </c>
      <c r="D230" s="1701"/>
      <c r="E230" s="1702" t="str">
        <f t="shared" si="122"/>
        <v>Боул с курицей, бобами эдамаме и овощами</v>
      </c>
      <c r="F230" s="2109">
        <f t="shared" si="123"/>
        <v>4</v>
      </c>
      <c r="G230" s="69"/>
      <c r="H230" s="2109" t="str">
        <f t="shared" si="124"/>
        <v/>
      </c>
      <c r="I230" s="69"/>
      <c r="J230" s="2109">
        <f t="shared" si="125"/>
        <v>3</v>
      </c>
      <c r="K230" s="69"/>
      <c r="L230" s="2109">
        <f t="shared" si="126"/>
        <v>1</v>
      </c>
      <c r="M230" s="69"/>
      <c r="N230" s="2109">
        <f t="shared" si="127"/>
        <v>4</v>
      </c>
      <c r="O230" s="69"/>
      <c r="P230" s="2109">
        <f t="shared" si="128"/>
        <v>3</v>
      </c>
      <c r="Q230" s="69"/>
      <c r="R230" s="2109">
        <f t="shared" si="129"/>
        <v>0</v>
      </c>
      <c r="S230" s="69"/>
      <c r="T230" s="2109">
        <f t="shared" si="130"/>
        <v>5</v>
      </c>
      <c r="U230" s="69"/>
      <c r="V230" s="2109">
        <f t="shared" si="131"/>
        <v>4</v>
      </c>
      <c r="W230" s="69"/>
      <c r="X230" s="2109">
        <f t="shared" si="132"/>
        <v>3</v>
      </c>
      <c r="Y230" s="69"/>
      <c r="Z230" s="2109" t="str">
        <f t="shared" si="133"/>
        <v/>
      </c>
      <c r="AA230" s="69"/>
      <c r="AB230" s="2109">
        <f t="shared" si="134"/>
        <v>2</v>
      </c>
      <c r="AC230" s="69"/>
      <c r="AD230" s="2109">
        <f t="shared" si="135"/>
        <v>2</v>
      </c>
      <c r="AE230" s="69"/>
      <c r="AF230" s="2109">
        <f t="shared" si="136"/>
        <v>4</v>
      </c>
      <c r="AG230" s="69"/>
      <c r="AH230" s="2109">
        <f t="shared" si="137"/>
        <v>3</v>
      </c>
      <c r="AI230" s="69"/>
      <c r="AJ230" s="2109" t="str">
        <f t="shared" si="138"/>
        <v/>
      </c>
      <c r="AK230" s="69"/>
      <c r="AL230" s="2109">
        <f t="shared" si="139"/>
        <v>1</v>
      </c>
      <c r="AM230" s="69"/>
      <c r="AN230" s="2109" t="str">
        <f t="shared" si="140"/>
        <v/>
      </c>
      <c r="AO230" s="69"/>
      <c r="AP230" s="2109">
        <f t="shared" si="141"/>
        <v>2</v>
      </c>
      <c r="AQ230" s="69"/>
      <c r="AR230" s="2109">
        <f t="shared" si="142"/>
        <v>7</v>
      </c>
      <c r="AS230" s="69"/>
      <c r="AT230" s="2109">
        <f t="shared" si="143"/>
        <v>1</v>
      </c>
      <c r="AU230" s="69"/>
      <c r="AV230" s="2109">
        <f t="shared" si="144"/>
        <v>3</v>
      </c>
      <c r="AW230" s="69"/>
      <c r="AX230" s="2109">
        <f t="shared" si="145"/>
        <v>9</v>
      </c>
      <c r="AY230" s="69"/>
      <c r="AZ230" s="2109">
        <f t="shared" si="146"/>
        <v>0</v>
      </c>
      <c r="BA230" s="69"/>
      <c r="BB230" s="2195" t="str">
        <f t="shared" si="147"/>
        <v/>
      </c>
      <c r="BC230" s="69"/>
      <c r="BD230" s="2195">
        <f t="shared" si="148"/>
        <v>0</v>
      </c>
      <c r="BE230" s="69"/>
      <c r="BF230" s="2195">
        <f t="shared" si="149"/>
        <v>6</v>
      </c>
      <c r="BG230" s="69"/>
      <c r="BH230" s="2195">
        <f t="shared" si="150"/>
        <v>5</v>
      </c>
      <c r="BI230" s="69"/>
      <c r="BJ230" s="2195">
        <f t="shared" si="151"/>
        <v>5</v>
      </c>
      <c r="BK230" s="69"/>
      <c r="BL230" s="2109" t="str">
        <f t="shared" si="152"/>
        <v/>
      </c>
      <c r="BM230" s="69"/>
      <c r="BN230" s="2192">
        <f t="shared" si="153"/>
        <v>77</v>
      </c>
      <c r="BO230" s="69"/>
      <c r="BR230" s="541"/>
      <c r="BS230" s="684"/>
      <c r="BT230" s="541"/>
    </row>
    <row r="231" ht="26.25" customHeight="1">
      <c r="A231" s="1698" t="str">
        <f t="shared" si="121"/>
        <v/>
      </c>
      <c r="B231" s="1736">
        <v>380.0</v>
      </c>
      <c r="C231" s="1734">
        <v>114.0</v>
      </c>
      <c r="D231" s="1701"/>
      <c r="E231" s="1702" t="str">
        <f t="shared" si="122"/>
        <v>Солянка</v>
      </c>
      <c r="F231" s="2109" t="str">
        <f t="shared" si="123"/>
        <v/>
      </c>
      <c r="G231" s="69"/>
      <c r="H231" s="2109" t="str">
        <f t="shared" si="124"/>
        <v/>
      </c>
      <c r="I231" s="69"/>
      <c r="J231" s="2109" t="str">
        <f t="shared" si="125"/>
        <v/>
      </c>
      <c r="K231" s="69"/>
      <c r="L231" s="2109" t="str">
        <f t="shared" si="126"/>
        <v/>
      </c>
      <c r="M231" s="69"/>
      <c r="N231" s="2109" t="str">
        <f t="shared" si="127"/>
        <v/>
      </c>
      <c r="O231" s="69"/>
      <c r="P231" s="2109" t="str">
        <f t="shared" si="128"/>
        <v/>
      </c>
      <c r="Q231" s="69"/>
      <c r="R231" s="2109" t="str">
        <f t="shared" si="129"/>
        <v/>
      </c>
      <c r="S231" s="69"/>
      <c r="T231" s="2109" t="str">
        <f t="shared" si="130"/>
        <v/>
      </c>
      <c r="U231" s="69"/>
      <c r="V231" s="2109" t="str">
        <f t="shared" si="131"/>
        <v/>
      </c>
      <c r="W231" s="69"/>
      <c r="X231" s="2109" t="str">
        <f t="shared" si="132"/>
        <v/>
      </c>
      <c r="Y231" s="69"/>
      <c r="Z231" s="2109" t="str">
        <f t="shared" si="133"/>
        <v/>
      </c>
      <c r="AA231" s="69"/>
      <c r="AB231" s="2109" t="str">
        <f t="shared" si="134"/>
        <v/>
      </c>
      <c r="AC231" s="69"/>
      <c r="AD231" s="2109" t="str">
        <f t="shared" si="135"/>
        <v/>
      </c>
      <c r="AE231" s="69"/>
      <c r="AF231" s="2109" t="str">
        <f t="shared" si="136"/>
        <v/>
      </c>
      <c r="AG231" s="69"/>
      <c r="AH231" s="2109" t="str">
        <f t="shared" si="137"/>
        <v/>
      </c>
      <c r="AI231" s="69"/>
      <c r="AJ231" s="2109" t="str">
        <f t="shared" si="138"/>
        <v/>
      </c>
      <c r="AK231" s="69"/>
      <c r="AL231" s="2109" t="str">
        <f t="shared" si="139"/>
        <v/>
      </c>
      <c r="AM231" s="69"/>
      <c r="AN231" s="2109" t="str">
        <f t="shared" si="140"/>
        <v/>
      </c>
      <c r="AO231" s="69"/>
      <c r="AP231" s="2109" t="str">
        <f t="shared" si="141"/>
        <v/>
      </c>
      <c r="AQ231" s="69"/>
      <c r="AR231" s="2109" t="str">
        <f t="shared" si="142"/>
        <v/>
      </c>
      <c r="AS231" s="69"/>
      <c r="AT231" s="2109" t="str">
        <f t="shared" si="143"/>
        <v/>
      </c>
      <c r="AU231" s="69"/>
      <c r="AV231" s="2109" t="str">
        <f t="shared" si="144"/>
        <v/>
      </c>
      <c r="AW231" s="69"/>
      <c r="AX231" s="2109" t="str">
        <f t="shared" si="145"/>
        <v/>
      </c>
      <c r="AY231" s="69"/>
      <c r="AZ231" s="2109" t="str">
        <f t="shared" si="146"/>
        <v/>
      </c>
      <c r="BA231" s="69"/>
      <c r="BB231" s="2195" t="str">
        <f t="shared" si="147"/>
        <v/>
      </c>
      <c r="BC231" s="69"/>
      <c r="BD231" s="2195" t="str">
        <f t="shared" si="148"/>
        <v/>
      </c>
      <c r="BE231" s="69"/>
      <c r="BF231" s="2195" t="str">
        <f t="shared" si="149"/>
        <v/>
      </c>
      <c r="BG231" s="69"/>
      <c r="BH231" s="2195" t="str">
        <f t="shared" si="150"/>
        <v/>
      </c>
      <c r="BI231" s="69"/>
      <c r="BJ231" s="2195" t="str">
        <f t="shared" si="151"/>
        <v/>
      </c>
      <c r="BK231" s="69"/>
      <c r="BL231" s="2109" t="str">
        <f t="shared" si="152"/>
        <v/>
      </c>
      <c r="BM231" s="69"/>
      <c r="BN231" s="2192">
        <f t="shared" si="153"/>
        <v>0</v>
      </c>
      <c r="BO231" s="69"/>
      <c r="BR231" s="541"/>
      <c r="BS231" s="684"/>
      <c r="BT231" s="541"/>
    </row>
    <row r="232" ht="26.25" customHeight="1">
      <c r="A232" s="1698" t="str">
        <f t="shared" ref="A232:A239" si="154">A201</f>
        <v>Да</v>
      </c>
      <c r="B232" s="1736">
        <v>3832.0</v>
      </c>
      <c r="C232" s="1734">
        <v>184.0</v>
      </c>
      <c r="D232" s="1701"/>
      <c r="E232" s="1702" t="str">
        <f t="shared" si="122"/>
        <v>Суп Минестроне</v>
      </c>
      <c r="F232" s="2109" t="str">
        <f t="shared" si="123"/>
        <v/>
      </c>
      <c r="G232" s="69"/>
      <c r="H232" s="2109" t="str">
        <f t="shared" si="124"/>
        <v/>
      </c>
      <c r="I232" s="69"/>
      <c r="J232" s="2109">
        <f t="shared" si="125"/>
        <v>3</v>
      </c>
      <c r="K232" s="69"/>
      <c r="L232" s="2109" t="str">
        <f t="shared" si="126"/>
        <v/>
      </c>
      <c r="M232" s="69"/>
      <c r="N232" s="2109">
        <f t="shared" si="127"/>
        <v>2</v>
      </c>
      <c r="O232" s="69"/>
      <c r="P232" s="2109" t="str">
        <f t="shared" si="128"/>
        <v/>
      </c>
      <c r="Q232" s="69"/>
      <c r="R232" s="2109" t="str">
        <f t="shared" si="129"/>
        <v/>
      </c>
      <c r="S232" s="69"/>
      <c r="T232" s="2109">
        <f t="shared" si="130"/>
        <v>1</v>
      </c>
      <c r="U232" s="69"/>
      <c r="V232" s="2109">
        <f t="shared" si="131"/>
        <v>1</v>
      </c>
      <c r="W232" s="69"/>
      <c r="X232" s="2109">
        <f t="shared" si="132"/>
        <v>2</v>
      </c>
      <c r="Y232" s="69"/>
      <c r="Z232" s="2109" t="str">
        <f t="shared" si="133"/>
        <v/>
      </c>
      <c r="AA232" s="69"/>
      <c r="AB232" s="2109">
        <f t="shared" si="134"/>
        <v>2</v>
      </c>
      <c r="AC232" s="69"/>
      <c r="AD232" s="2109">
        <f t="shared" si="135"/>
        <v>1</v>
      </c>
      <c r="AE232" s="69"/>
      <c r="AF232" s="2109">
        <f t="shared" si="136"/>
        <v>2</v>
      </c>
      <c r="AG232" s="69"/>
      <c r="AH232" s="2109">
        <f t="shared" si="137"/>
        <v>2</v>
      </c>
      <c r="AI232" s="69"/>
      <c r="AJ232" s="2109">
        <f t="shared" si="138"/>
        <v>1</v>
      </c>
      <c r="AK232" s="69"/>
      <c r="AL232" s="2109" t="str">
        <f t="shared" si="139"/>
        <v/>
      </c>
      <c r="AM232" s="69"/>
      <c r="AN232" s="2109">
        <f t="shared" si="140"/>
        <v>3</v>
      </c>
      <c r="AO232" s="69"/>
      <c r="AP232" s="2109">
        <f t="shared" si="141"/>
        <v>2</v>
      </c>
      <c r="AQ232" s="69"/>
      <c r="AR232" s="2109">
        <f t="shared" si="142"/>
        <v>2</v>
      </c>
      <c r="AS232" s="69"/>
      <c r="AT232" s="2109">
        <f t="shared" si="143"/>
        <v>1</v>
      </c>
      <c r="AU232" s="69"/>
      <c r="AV232" s="2109" t="str">
        <f t="shared" si="144"/>
        <v/>
      </c>
      <c r="AW232" s="69"/>
      <c r="AX232" s="2109">
        <f t="shared" si="145"/>
        <v>2</v>
      </c>
      <c r="AY232" s="69"/>
      <c r="AZ232" s="2109" t="str">
        <f t="shared" si="146"/>
        <v/>
      </c>
      <c r="BA232" s="69"/>
      <c r="BB232" s="2195" t="str">
        <f t="shared" si="147"/>
        <v/>
      </c>
      <c r="BC232" s="69"/>
      <c r="BD232" s="2195">
        <f t="shared" si="148"/>
        <v>1</v>
      </c>
      <c r="BE232" s="69"/>
      <c r="BF232" s="2195">
        <f t="shared" si="149"/>
        <v>2</v>
      </c>
      <c r="BG232" s="69"/>
      <c r="BH232" s="2195">
        <f t="shared" si="150"/>
        <v>2</v>
      </c>
      <c r="BI232" s="69"/>
      <c r="BJ232" s="2195">
        <f t="shared" si="151"/>
        <v>2</v>
      </c>
      <c r="BK232" s="69"/>
      <c r="BL232" s="2109" t="str">
        <f t="shared" si="152"/>
        <v/>
      </c>
      <c r="BM232" s="69"/>
      <c r="BN232" s="2192">
        <f t="shared" si="153"/>
        <v>34</v>
      </c>
      <c r="BO232" s="69"/>
      <c r="BR232" s="541"/>
      <c r="BS232" s="684"/>
      <c r="BT232" s="541"/>
    </row>
    <row r="233" ht="26.25" customHeight="1">
      <c r="A233" s="1698" t="str">
        <f t="shared" si="154"/>
        <v>Да</v>
      </c>
      <c r="B233" s="1736">
        <v>4120.0</v>
      </c>
      <c r="C233" s="1734">
        <v>212.0</v>
      </c>
      <c r="D233" s="1701"/>
      <c r="E233" s="1702" t="str">
        <f t="shared" si="122"/>
        <v>Курочка в сливочном соусе со спагетти</v>
      </c>
      <c r="F233" s="2210">
        <f t="shared" si="123"/>
        <v>10</v>
      </c>
      <c r="G233" s="69"/>
      <c r="H233" s="2210">
        <f t="shared" si="124"/>
        <v>6</v>
      </c>
      <c r="I233" s="69"/>
      <c r="J233" s="2210">
        <f t="shared" si="125"/>
        <v>3</v>
      </c>
      <c r="K233" s="69"/>
      <c r="L233" s="2210">
        <f t="shared" si="126"/>
        <v>2</v>
      </c>
      <c r="M233" s="69"/>
      <c r="N233" s="2210">
        <f t="shared" si="127"/>
        <v>12</v>
      </c>
      <c r="O233" s="69"/>
      <c r="P233" s="2210">
        <f t="shared" si="128"/>
        <v>7</v>
      </c>
      <c r="Q233" s="69"/>
      <c r="R233" s="2210">
        <f t="shared" si="129"/>
        <v>5</v>
      </c>
      <c r="S233" s="69"/>
      <c r="T233" s="2210">
        <f t="shared" si="130"/>
        <v>4</v>
      </c>
      <c r="U233" s="69"/>
      <c r="V233" s="2210">
        <f t="shared" si="131"/>
        <v>8</v>
      </c>
      <c r="W233" s="69"/>
      <c r="X233" s="2210">
        <f t="shared" si="132"/>
        <v>3</v>
      </c>
      <c r="Y233" s="69"/>
      <c r="Z233" s="2210" t="str">
        <f t="shared" si="133"/>
        <v/>
      </c>
      <c r="AA233" s="69"/>
      <c r="AB233" s="2109">
        <f t="shared" si="134"/>
        <v>2</v>
      </c>
      <c r="AC233" s="69"/>
      <c r="AD233" s="2210">
        <f t="shared" si="135"/>
        <v>4</v>
      </c>
      <c r="AE233" s="69"/>
      <c r="AF233" s="2210">
        <f t="shared" si="136"/>
        <v>4</v>
      </c>
      <c r="AG233" s="69"/>
      <c r="AH233" s="2210">
        <f t="shared" si="137"/>
        <v>2</v>
      </c>
      <c r="AI233" s="69"/>
      <c r="AJ233" s="2210">
        <f t="shared" si="138"/>
        <v>3</v>
      </c>
      <c r="AK233" s="69"/>
      <c r="AL233" s="2109">
        <f t="shared" si="139"/>
        <v>3</v>
      </c>
      <c r="AM233" s="69"/>
      <c r="AN233" s="2109">
        <f t="shared" si="140"/>
        <v>3</v>
      </c>
      <c r="AO233" s="69"/>
      <c r="AP233" s="2109">
        <f t="shared" si="141"/>
        <v>3</v>
      </c>
      <c r="AQ233" s="69"/>
      <c r="AR233" s="2109">
        <f t="shared" si="142"/>
        <v>9</v>
      </c>
      <c r="AS233" s="69"/>
      <c r="AT233" s="2109">
        <f t="shared" si="143"/>
        <v>3</v>
      </c>
      <c r="AU233" s="69"/>
      <c r="AV233" s="2109">
        <f t="shared" si="144"/>
        <v>4</v>
      </c>
      <c r="AW233" s="69"/>
      <c r="AX233" s="2109">
        <f t="shared" si="145"/>
        <v>2</v>
      </c>
      <c r="AY233" s="69"/>
      <c r="AZ233" s="2109">
        <f t="shared" si="146"/>
        <v>4</v>
      </c>
      <c r="BA233" s="69"/>
      <c r="BB233" s="2195" t="str">
        <f t="shared" si="147"/>
        <v/>
      </c>
      <c r="BC233" s="69"/>
      <c r="BD233" s="2195">
        <f t="shared" si="148"/>
        <v>3</v>
      </c>
      <c r="BE233" s="69"/>
      <c r="BF233" s="2195">
        <f t="shared" si="149"/>
        <v>7</v>
      </c>
      <c r="BG233" s="69"/>
      <c r="BH233" s="2195">
        <f t="shared" si="150"/>
        <v>4</v>
      </c>
      <c r="BI233" s="69"/>
      <c r="BJ233" s="2195">
        <f t="shared" si="151"/>
        <v>4</v>
      </c>
      <c r="BK233" s="69"/>
      <c r="BL233" s="2109" t="str">
        <f t="shared" si="152"/>
        <v/>
      </c>
      <c r="BM233" s="69"/>
      <c r="BN233" s="2211">
        <f t="shared" si="153"/>
        <v>124</v>
      </c>
      <c r="BO233" s="69"/>
      <c r="BR233" s="541"/>
      <c r="BS233" s="684"/>
      <c r="BT233" s="541"/>
    </row>
    <row r="234" ht="26.25" customHeight="1">
      <c r="A234" s="1698" t="str">
        <f t="shared" si="154"/>
        <v>Да</v>
      </c>
      <c r="B234" s="1736">
        <v>1873.0</v>
      </c>
      <c r="C234" s="1734">
        <v>221.0</v>
      </c>
      <c r="D234" s="1701"/>
      <c r="E234" s="1702" t="str">
        <f t="shared" si="122"/>
        <v>Колбаса ''Баварская'' с пюре и тушеной капустой</v>
      </c>
      <c r="F234" s="2109">
        <f t="shared" si="123"/>
        <v>8</v>
      </c>
      <c r="G234" s="69"/>
      <c r="H234" s="2109">
        <f t="shared" si="124"/>
        <v>6</v>
      </c>
      <c r="I234" s="69"/>
      <c r="J234" s="2109">
        <f t="shared" si="125"/>
        <v>3</v>
      </c>
      <c r="K234" s="69"/>
      <c r="L234" s="2109">
        <f t="shared" si="126"/>
        <v>6</v>
      </c>
      <c r="M234" s="69"/>
      <c r="N234" s="2109">
        <f t="shared" si="127"/>
        <v>10</v>
      </c>
      <c r="O234" s="69"/>
      <c r="P234" s="2109">
        <f t="shared" si="128"/>
        <v>8</v>
      </c>
      <c r="Q234" s="69"/>
      <c r="R234" s="2109">
        <f t="shared" si="129"/>
        <v>4</v>
      </c>
      <c r="S234" s="69"/>
      <c r="T234" s="2109">
        <f t="shared" si="130"/>
        <v>3</v>
      </c>
      <c r="U234" s="69"/>
      <c r="V234" s="2109">
        <f t="shared" si="131"/>
        <v>2</v>
      </c>
      <c r="W234" s="69"/>
      <c r="X234" s="2109">
        <f t="shared" si="132"/>
        <v>3</v>
      </c>
      <c r="Y234" s="69"/>
      <c r="Z234" s="2109" t="str">
        <f t="shared" si="133"/>
        <v/>
      </c>
      <c r="AA234" s="69"/>
      <c r="AB234" s="2109">
        <f t="shared" si="134"/>
        <v>2</v>
      </c>
      <c r="AC234" s="69"/>
      <c r="AD234" s="2109">
        <f t="shared" si="135"/>
        <v>5</v>
      </c>
      <c r="AE234" s="69"/>
      <c r="AF234" s="2109">
        <f t="shared" si="136"/>
        <v>3</v>
      </c>
      <c r="AG234" s="69"/>
      <c r="AH234" s="2109">
        <f t="shared" si="137"/>
        <v>2</v>
      </c>
      <c r="AI234" s="69"/>
      <c r="AJ234" s="2109">
        <f t="shared" si="138"/>
        <v>6</v>
      </c>
      <c r="AK234" s="69"/>
      <c r="AL234" s="2109">
        <f t="shared" si="139"/>
        <v>4</v>
      </c>
      <c r="AM234" s="69"/>
      <c r="AN234" s="2109">
        <f t="shared" si="140"/>
        <v>3</v>
      </c>
      <c r="AO234" s="69"/>
      <c r="AP234" s="2109">
        <f t="shared" si="141"/>
        <v>0</v>
      </c>
      <c r="AQ234" s="69"/>
      <c r="AR234" s="2109">
        <f t="shared" si="142"/>
        <v>4</v>
      </c>
      <c r="AS234" s="69"/>
      <c r="AT234" s="2109">
        <f t="shared" si="143"/>
        <v>2</v>
      </c>
      <c r="AU234" s="69"/>
      <c r="AV234" s="2109">
        <f t="shared" si="144"/>
        <v>4</v>
      </c>
      <c r="AW234" s="69"/>
      <c r="AX234" s="2109">
        <f t="shared" si="145"/>
        <v>4</v>
      </c>
      <c r="AY234" s="69"/>
      <c r="AZ234" s="2109">
        <f t="shared" si="146"/>
        <v>5</v>
      </c>
      <c r="BA234" s="69"/>
      <c r="BB234" s="2195" t="str">
        <f t="shared" si="147"/>
        <v/>
      </c>
      <c r="BC234" s="69"/>
      <c r="BD234" s="2195">
        <f t="shared" si="148"/>
        <v>3</v>
      </c>
      <c r="BE234" s="69"/>
      <c r="BF234" s="2195">
        <f t="shared" si="149"/>
        <v>3</v>
      </c>
      <c r="BG234" s="69"/>
      <c r="BH234" s="2195">
        <f t="shared" si="150"/>
        <v>5</v>
      </c>
      <c r="BI234" s="69"/>
      <c r="BJ234" s="2195">
        <f t="shared" si="151"/>
        <v>5</v>
      </c>
      <c r="BK234" s="69"/>
      <c r="BL234" s="2109" t="str">
        <f t="shared" si="152"/>
        <v/>
      </c>
      <c r="BM234" s="69"/>
      <c r="BN234" s="2192">
        <f t="shared" si="153"/>
        <v>113</v>
      </c>
      <c r="BO234" s="69"/>
      <c r="BR234" s="541"/>
      <c r="BS234" s="684"/>
      <c r="BT234" s="541"/>
    </row>
    <row r="235" ht="26.25" customHeight="1">
      <c r="A235" s="1698" t="str">
        <f t="shared" si="154"/>
        <v>Да</v>
      </c>
      <c r="B235" s="1736">
        <v>1151.0</v>
      </c>
      <c r="C235" s="1734">
        <v>198.0</v>
      </c>
      <c r="D235" s="1701"/>
      <c r="E235" s="1702" t="str">
        <f t="shared" si="122"/>
        <v>Тефтели куриные с гречкой</v>
      </c>
      <c r="F235" s="2109">
        <f t="shared" si="123"/>
        <v>6</v>
      </c>
      <c r="G235" s="69"/>
      <c r="H235" s="2109">
        <f t="shared" si="124"/>
        <v>2</v>
      </c>
      <c r="I235" s="69"/>
      <c r="J235" s="2109">
        <f t="shared" si="125"/>
        <v>3</v>
      </c>
      <c r="K235" s="69"/>
      <c r="L235" s="2109">
        <f t="shared" si="126"/>
        <v>2</v>
      </c>
      <c r="M235" s="69"/>
      <c r="N235" s="2109">
        <f t="shared" si="127"/>
        <v>5</v>
      </c>
      <c r="O235" s="69"/>
      <c r="P235" s="2109">
        <f t="shared" si="128"/>
        <v>6</v>
      </c>
      <c r="Q235" s="69"/>
      <c r="R235" s="2109">
        <f t="shared" si="129"/>
        <v>3</v>
      </c>
      <c r="S235" s="69"/>
      <c r="T235" s="2109">
        <f t="shared" si="130"/>
        <v>1</v>
      </c>
      <c r="U235" s="69"/>
      <c r="V235" s="2109">
        <f t="shared" si="131"/>
        <v>2</v>
      </c>
      <c r="W235" s="69"/>
      <c r="X235" s="2109">
        <f t="shared" si="132"/>
        <v>4</v>
      </c>
      <c r="Y235" s="69"/>
      <c r="Z235" s="2109" t="str">
        <f t="shared" si="133"/>
        <v/>
      </c>
      <c r="AA235" s="69"/>
      <c r="AB235" s="2109">
        <f t="shared" si="134"/>
        <v>0</v>
      </c>
      <c r="AC235" s="69"/>
      <c r="AD235" s="2109">
        <f t="shared" si="135"/>
        <v>5</v>
      </c>
      <c r="AE235" s="69"/>
      <c r="AF235" s="2109">
        <f t="shared" si="136"/>
        <v>3</v>
      </c>
      <c r="AG235" s="69"/>
      <c r="AH235" s="2109">
        <f t="shared" si="137"/>
        <v>2</v>
      </c>
      <c r="AI235" s="69"/>
      <c r="AJ235" s="2109">
        <f t="shared" si="138"/>
        <v>2</v>
      </c>
      <c r="AK235" s="69"/>
      <c r="AL235" s="2109">
        <f t="shared" si="139"/>
        <v>2</v>
      </c>
      <c r="AM235" s="69"/>
      <c r="AN235" s="2109">
        <f t="shared" si="140"/>
        <v>4</v>
      </c>
      <c r="AO235" s="69"/>
      <c r="AP235" s="2109">
        <f t="shared" si="141"/>
        <v>3</v>
      </c>
      <c r="AQ235" s="69"/>
      <c r="AR235" s="2109">
        <f t="shared" si="142"/>
        <v>2</v>
      </c>
      <c r="AS235" s="69"/>
      <c r="AT235" s="2109">
        <f t="shared" si="143"/>
        <v>5</v>
      </c>
      <c r="AU235" s="69"/>
      <c r="AV235" s="2109">
        <f t="shared" si="144"/>
        <v>1</v>
      </c>
      <c r="AW235" s="69"/>
      <c r="AX235" s="2109">
        <f t="shared" si="145"/>
        <v>0</v>
      </c>
      <c r="AY235" s="69"/>
      <c r="AZ235" s="2109">
        <f t="shared" si="146"/>
        <v>4</v>
      </c>
      <c r="BA235" s="69"/>
      <c r="BB235" s="2195" t="str">
        <f t="shared" si="147"/>
        <v/>
      </c>
      <c r="BC235" s="69"/>
      <c r="BD235" s="2195">
        <f t="shared" si="148"/>
        <v>2</v>
      </c>
      <c r="BE235" s="69"/>
      <c r="BF235" s="2195">
        <f t="shared" si="149"/>
        <v>2</v>
      </c>
      <c r="BG235" s="69"/>
      <c r="BH235" s="2195">
        <f t="shared" si="150"/>
        <v>4</v>
      </c>
      <c r="BI235" s="69"/>
      <c r="BJ235" s="2195">
        <f t="shared" si="151"/>
        <v>5</v>
      </c>
      <c r="BK235" s="69"/>
      <c r="BL235" s="2109" t="str">
        <f t="shared" si="152"/>
        <v/>
      </c>
      <c r="BM235" s="69"/>
      <c r="BN235" s="2192">
        <f t="shared" si="153"/>
        <v>80</v>
      </c>
      <c r="BO235" s="69"/>
      <c r="BR235" s="684"/>
      <c r="BS235" s="684"/>
      <c r="BT235" s="541"/>
    </row>
    <row r="236" ht="26.25" customHeight="1">
      <c r="A236" s="1698" t="str">
        <f t="shared" si="154"/>
        <v/>
      </c>
      <c r="B236" s="1736">
        <v>4238.0</v>
      </c>
      <c r="C236" s="1734">
        <v>226.0</v>
      </c>
      <c r="D236" s="1701"/>
      <c r="E236" s="1702" t="str">
        <f t="shared" si="122"/>
        <v>Тефтели куриные с овощами на пару</v>
      </c>
      <c r="F236" s="2109">
        <f t="shared" si="123"/>
        <v>5</v>
      </c>
      <c r="G236" s="69"/>
      <c r="H236" s="2109">
        <f t="shared" si="124"/>
        <v>3</v>
      </c>
      <c r="I236" s="69"/>
      <c r="J236" s="2109">
        <f t="shared" si="125"/>
        <v>3</v>
      </c>
      <c r="K236" s="69"/>
      <c r="L236" s="2109">
        <f t="shared" si="126"/>
        <v>2</v>
      </c>
      <c r="M236" s="69"/>
      <c r="N236" s="2109">
        <f t="shared" si="127"/>
        <v>6</v>
      </c>
      <c r="O236" s="69"/>
      <c r="P236" s="2109">
        <f t="shared" si="128"/>
        <v>6</v>
      </c>
      <c r="Q236" s="69"/>
      <c r="R236" s="2109">
        <f t="shared" si="129"/>
        <v>3</v>
      </c>
      <c r="S236" s="69"/>
      <c r="T236" s="2109">
        <f t="shared" si="130"/>
        <v>3</v>
      </c>
      <c r="U236" s="69"/>
      <c r="V236" s="2109">
        <f t="shared" si="131"/>
        <v>6</v>
      </c>
      <c r="W236" s="69"/>
      <c r="X236" s="2109">
        <f t="shared" si="132"/>
        <v>4</v>
      </c>
      <c r="Y236" s="69"/>
      <c r="Z236" s="2109" t="str">
        <f t="shared" si="133"/>
        <v/>
      </c>
      <c r="AA236" s="69"/>
      <c r="AB236" s="2109">
        <f t="shared" si="134"/>
        <v>2</v>
      </c>
      <c r="AC236" s="69"/>
      <c r="AD236" s="2109">
        <f t="shared" si="135"/>
        <v>2</v>
      </c>
      <c r="AE236" s="69"/>
      <c r="AF236" s="2109">
        <f t="shared" si="136"/>
        <v>3</v>
      </c>
      <c r="AG236" s="69"/>
      <c r="AH236" s="2109">
        <f t="shared" si="137"/>
        <v>2</v>
      </c>
      <c r="AI236" s="69"/>
      <c r="AJ236" s="2109">
        <f t="shared" si="138"/>
        <v>3</v>
      </c>
      <c r="AK236" s="69"/>
      <c r="AL236" s="2109">
        <f t="shared" si="139"/>
        <v>1</v>
      </c>
      <c r="AM236" s="69"/>
      <c r="AN236" s="2109">
        <f t="shared" si="140"/>
        <v>3</v>
      </c>
      <c r="AO236" s="69"/>
      <c r="AP236" s="2109">
        <f t="shared" si="141"/>
        <v>4</v>
      </c>
      <c r="AQ236" s="69"/>
      <c r="AR236" s="2109">
        <f t="shared" si="142"/>
        <v>5</v>
      </c>
      <c r="AS236" s="69"/>
      <c r="AT236" s="2109">
        <f t="shared" si="143"/>
        <v>2</v>
      </c>
      <c r="AU236" s="69"/>
      <c r="AV236" s="2109">
        <f t="shared" si="144"/>
        <v>2</v>
      </c>
      <c r="AW236" s="69"/>
      <c r="AX236" s="2109">
        <f t="shared" si="145"/>
        <v>2</v>
      </c>
      <c r="AY236" s="69"/>
      <c r="AZ236" s="2109">
        <f t="shared" si="146"/>
        <v>2</v>
      </c>
      <c r="BA236" s="69"/>
      <c r="BB236" s="2195" t="str">
        <f t="shared" si="147"/>
        <v/>
      </c>
      <c r="BC236" s="69"/>
      <c r="BD236" s="2195">
        <f t="shared" si="148"/>
        <v>2</v>
      </c>
      <c r="BE236" s="69"/>
      <c r="BF236" s="2195">
        <f t="shared" si="149"/>
        <v>0</v>
      </c>
      <c r="BG236" s="69"/>
      <c r="BH236" s="2195">
        <f t="shared" si="150"/>
        <v>5</v>
      </c>
      <c r="BI236" s="69"/>
      <c r="BJ236" s="2195">
        <f t="shared" si="151"/>
        <v>6</v>
      </c>
      <c r="BK236" s="69"/>
      <c r="BL236" s="2109" t="str">
        <f t="shared" si="152"/>
        <v/>
      </c>
      <c r="BM236" s="69"/>
      <c r="BN236" s="2192">
        <f t="shared" si="153"/>
        <v>87</v>
      </c>
      <c r="BO236" s="69"/>
      <c r="BR236" s="684"/>
      <c r="BS236" s="684"/>
      <c r="BT236" s="541"/>
    </row>
    <row r="237" ht="26.25" customHeight="1">
      <c r="A237" s="1698" t="str">
        <f t="shared" si="154"/>
        <v>Да</v>
      </c>
      <c r="B237" s="1736">
        <v>3515.0</v>
      </c>
      <c r="C237" s="1734">
        <v>248.0</v>
      </c>
      <c r="D237" s="1701"/>
      <c r="E237" s="1702" t="str">
        <f t="shared" si="122"/>
        <v>Тилапия в соусе сальса с пюре</v>
      </c>
      <c r="F237" s="2109" t="str">
        <f t="shared" si="123"/>
        <v/>
      </c>
      <c r="G237" s="69"/>
      <c r="H237" s="2109" t="str">
        <f t="shared" si="124"/>
        <v/>
      </c>
      <c r="I237" s="69"/>
      <c r="J237" s="2109" t="str">
        <f t="shared" si="125"/>
        <v/>
      </c>
      <c r="K237" s="69"/>
      <c r="L237" s="2109" t="str">
        <f t="shared" si="126"/>
        <v/>
      </c>
      <c r="M237" s="69"/>
      <c r="N237" s="2109" t="str">
        <f t="shared" si="127"/>
        <v/>
      </c>
      <c r="O237" s="69"/>
      <c r="P237" s="2109" t="str">
        <f t="shared" si="128"/>
        <v/>
      </c>
      <c r="Q237" s="69"/>
      <c r="R237" s="2109" t="str">
        <f t="shared" si="129"/>
        <v/>
      </c>
      <c r="S237" s="69"/>
      <c r="T237" s="2109">
        <f t="shared" si="130"/>
        <v>3</v>
      </c>
      <c r="U237" s="69"/>
      <c r="V237" s="2109" t="str">
        <f t="shared" si="131"/>
        <v/>
      </c>
      <c r="W237" s="69"/>
      <c r="X237" s="2109">
        <f t="shared" si="132"/>
        <v>3</v>
      </c>
      <c r="Y237" s="69"/>
      <c r="Z237" s="2109" t="str">
        <f t="shared" si="133"/>
        <v/>
      </c>
      <c r="AA237" s="69"/>
      <c r="AB237" s="2109" t="str">
        <f t="shared" si="134"/>
        <v/>
      </c>
      <c r="AC237" s="69"/>
      <c r="AD237" s="2109" t="str">
        <f t="shared" si="135"/>
        <v/>
      </c>
      <c r="AE237" s="69"/>
      <c r="AF237" s="2109">
        <f t="shared" si="136"/>
        <v>3</v>
      </c>
      <c r="AG237" s="69"/>
      <c r="AH237" s="2109" t="str">
        <f t="shared" si="137"/>
        <v/>
      </c>
      <c r="AI237" s="69"/>
      <c r="AJ237" s="2109" t="str">
        <f t="shared" si="138"/>
        <v/>
      </c>
      <c r="AK237" s="69"/>
      <c r="AL237" s="2109" t="str">
        <f t="shared" si="139"/>
        <v/>
      </c>
      <c r="AM237" s="69"/>
      <c r="AN237" s="2109" t="str">
        <f t="shared" si="140"/>
        <v/>
      </c>
      <c r="AO237" s="69"/>
      <c r="AP237" s="2109" t="str">
        <f t="shared" si="141"/>
        <v/>
      </c>
      <c r="AQ237" s="69"/>
      <c r="AR237" s="2109">
        <f t="shared" si="142"/>
        <v>3</v>
      </c>
      <c r="AS237" s="69"/>
      <c r="AT237" s="2109" t="str">
        <f t="shared" si="143"/>
        <v/>
      </c>
      <c r="AU237" s="69"/>
      <c r="AV237" s="2109" t="str">
        <f t="shared" si="144"/>
        <v/>
      </c>
      <c r="AW237" s="69"/>
      <c r="AX237" s="2109">
        <f t="shared" si="145"/>
        <v>3</v>
      </c>
      <c r="AY237" s="69"/>
      <c r="AZ237" s="2109" t="str">
        <f t="shared" si="146"/>
        <v/>
      </c>
      <c r="BA237" s="69"/>
      <c r="BB237" s="2195" t="str">
        <f t="shared" si="147"/>
        <v/>
      </c>
      <c r="BC237" s="69"/>
      <c r="BD237" s="2195">
        <f t="shared" si="148"/>
        <v>2</v>
      </c>
      <c r="BE237" s="69"/>
      <c r="BF237" s="2195">
        <f t="shared" si="149"/>
        <v>3</v>
      </c>
      <c r="BG237" s="69"/>
      <c r="BH237" s="2195" t="str">
        <f t="shared" si="150"/>
        <v/>
      </c>
      <c r="BI237" s="69"/>
      <c r="BJ237" s="2195">
        <f t="shared" si="151"/>
        <v>2</v>
      </c>
      <c r="BK237" s="69"/>
      <c r="BL237" s="2109" t="str">
        <f t="shared" si="152"/>
        <v/>
      </c>
      <c r="BM237" s="69"/>
      <c r="BN237" s="2192">
        <f t="shared" si="153"/>
        <v>22</v>
      </c>
      <c r="BO237" s="69"/>
      <c r="BR237" s="684"/>
      <c r="BS237" s="684"/>
      <c r="BT237" s="541"/>
    </row>
    <row r="238" ht="26.25" customHeight="1">
      <c r="A238" s="1698" t="str">
        <f t="shared" si="154"/>
        <v>Да</v>
      </c>
      <c r="B238" s="1736">
        <v>1051.0</v>
      </c>
      <c r="C238" s="1734">
        <v>188.0</v>
      </c>
      <c r="D238" s="1701"/>
      <c r="E238" s="1702" t="str">
        <f t="shared" si="122"/>
        <v>Горбуша жареная с рисом</v>
      </c>
      <c r="F238" s="2109">
        <f t="shared" si="123"/>
        <v>2</v>
      </c>
      <c r="G238" s="69"/>
      <c r="H238" s="2109" t="str">
        <f t="shared" si="124"/>
        <v/>
      </c>
      <c r="I238" s="69"/>
      <c r="J238" s="2109">
        <f t="shared" si="125"/>
        <v>3</v>
      </c>
      <c r="K238" s="69"/>
      <c r="L238" s="2109">
        <f t="shared" si="126"/>
        <v>0</v>
      </c>
      <c r="M238" s="69"/>
      <c r="N238" s="2109">
        <f t="shared" si="127"/>
        <v>4</v>
      </c>
      <c r="O238" s="69"/>
      <c r="P238" s="2109">
        <f t="shared" si="128"/>
        <v>0</v>
      </c>
      <c r="Q238" s="69"/>
      <c r="R238" s="2109" t="str">
        <f t="shared" si="129"/>
        <v/>
      </c>
      <c r="S238" s="69"/>
      <c r="T238" s="2109">
        <f t="shared" si="130"/>
        <v>3</v>
      </c>
      <c r="U238" s="69"/>
      <c r="V238" s="2109">
        <f t="shared" si="131"/>
        <v>0</v>
      </c>
      <c r="W238" s="69"/>
      <c r="X238" s="2109">
        <f t="shared" si="132"/>
        <v>4</v>
      </c>
      <c r="Y238" s="69"/>
      <c r="Z238" s="2109" t="str">
        <f t="shared" si="133"/>
        <v/>
      </c>
      <c r="AA238" s="69"/>
      <c r="AB238" s="2109" t="str">
        <f t="shared" si="134"/>
        <v/>
      </c>
      <c r="AC238" s="69"/>
      <c r="AD238" s="2109" t="str">
        <f t="shared" si="135"/>
        <v/>
      </c>
      <c r="AE238" s="69"/>
      <c r="AF238" s="2109" t="str">
        <f t="shared" si="136"/>
        <v/>
      </c>
      <c r="AG238" s="69"/>
      <c r="AH238" s="2109">
        <f t="shared" si="137"/>
        <v>2</v>
      </c>
      <c r="AI238" s="69"/>
      <c r="AJ238" s="2109">
        <f t="shared" si="138"/>
        <v>3</v>
      </c>
      <c r="AK238" s="69"/>
      <c r="AL238" s="2109" t="str">
        <f t="shared" si="139"/>
        <v/>
      </c>
      <c r="AM238" s="69"/>
      <c r="AN238" s="2109" t="str">
        <f t="shared" si="140"/>
        <v/>
      </c>
      <c r="AO238" s="69"/>
      <c r="AP238" s="2109" t="str">
        <f t="shared" si="141"/>
        <v/>
      </c>
      <c r="AQ238" s="69"/>
      <c r="AR238" s="2109">
        <f t="shared" si="142"/>
        <v>4</v>
      </c>
      <c r="AS238" s="69"/>
      <c r="AT238" s="2109" t="str">
        <f t="shared" si="143"/>
        <v/>
      </c>
      <c r="AU238" s="69"/>
      <c r="AV238" s="2109" t="str">
        <f t="shared" si="144"/>
        <v/>
      </c>
      <c r="AW238" s="69"/>
      <c r="AX238" s="2109">
        <f t="shared" si="145"/>
        <v>2</v>
      </c>
      <c r="AY238" s="69"/>
      <c r="AZ238" s="2109" t="str">
        <f t="shared" si="146"/>
        <v/>
      </c>
      <c r="BA238" s="69"/>
      <c r="BB238" s="2195" t="str">
        <f t="shared" si="147"/>
        <v/>
      </c>
      <c r="BC238" s="69"/>
      <c r="BD238" s="2195">
        <f t="shared" si="148"/>
        <v>0</v>
      </c>
      <c r="BE238" s="69"/>
      <c r="BF238" s="2195">
        <f t="shared" si="149"/>
        <v>4</v>
      </c>
      <c r="BG238" s="69"/>
      <c r="BH238" s="2195">
        <f t="shared" si="150"/>
        <v>0</v>
      </c>
      <c r="BI238" s="69"/>
      <c r="BJ238" s="2195">
        <f t="shared" si="151"/>
        <v>3</v>
      </c>
      <c r="BK238" s="69"/>
      <c r="BL238" s="2109" t="str">
        <f t="shared" si="152"/>
        <v/>
      </c>
      <c r="BM238" s="69"/>
      <c r="BN238" s="2192">
        <f t="shared" si="153"/>
        <v>34</v>
      </c>
      <c r="BO238" s="69"/>
      <c r="BR238" s="684"/>
      <c r="BS238" s="684"/>
      <c r="BT238" s="541"/>
    </row>
    <row r="239" ht="26.25" customHeight="1">
      <c r="A239" s="1698" t="str">
        <f t="shared" si="154"/>
        <v/>
      </c>
      <c r="B239" s="1736">
        <v>4032.0</v>
      </c>
      <c r="C239" s="1734">
        <v>238.0</v>
      </c>
      <c r="D239" s="1701"/>
      <c r="E239" s="1702" t="str">
        <f t="shared" si="122"/>
        <v>Печень по-царски со сливочным пюре</v>
      </c>
      <c r="F239" s="2109">
        <f t="shared" si="123"/>
        <v>3</v>
      </c>
      <c r="G239" s="69"/>
      <c r="H239" s="2109">
        <f t="shared" si="124"/>
        <v>2</v>
      </c>
      <c r="I239" s="69"/>
      <c r="J239" s="2109">
        <f t="shared" si="125"/>
        <v>3</v>
      </c>
      <c r="K239" s="69"/>
      <c r="L239" s="2109">
        <f t="shared" si="126"/>
        <v>1</v>
      </c>
      <c r="M239" s="69"/>
      <c r="N239" s="2109">
        <f t="shared" si="127"/>
        <v>3</v>
      </c>
      <c r="O239" s="69"/>
      <c r="P239" s="2109">
        <f t="shared" si="128"/>
        <v>3</v>
      </c>
      <c r="Q239" s="69"/>
      <c r="R239" s="2109">
        <f t="shared" si="129"/>
        <v>2</v>
      </c>
      <c r="S239" s="69"/>
      <c r="T239" s="2109">
        <f t="shared" si="130"/>
        <v>3</v>
      </c>
      <c r="U239" s="69"/>
      <c r="V239" s="2109">
        <f t="shared" si="131"/>
        <v>2</v>
      </c>
      <c r="W239" s="69"/>
      <c r="X239" s="2109">
        <f t="shared" si="132"/>
        <v>4</v>
      </c>
      <c r="Y239" s="69"/>
      <c r="Z239" s="2109" t="str">
        <f t="shared" si="133"/>
        <v/>
      </c>
      <c r="AA239" s="69"/>
      <c r="AB239" s="2109">
        <f t="shared" si="134"/>
        <v>2</v>
      </c>
      <c r="AC239" s="69"/>
      <c r="AD239" s="2109">
        <f t="shared" si="135"/>
        <v>2</v>
      </c>
      <c r="AE239" s="69"/>
      <c r="AF239" s="2109">
        <f t="shared" si="136"/>
        <v>2</v>
      </c>
      <c r="AG239" s="69"/>
      <c r="AH239" s="2109">
        <f t="shared" si="137"/>
        <v>2</v>
      </c>
      <c r="AI239" s="69"/>
      <c r="AJ239" s="2109">
        <f t="shared" si="138"/>
        <v>2</v>
      </c>
      <c r="AK239" s="69"/>
      <c r="AL239" s="2109">
        <f t="shared" si="139"/>
        <v>0</v>
      </c>
      <c r="AM239" s="69"/>
      <c r="AN239" s="2109">
        <f t="shared" si="140"/>
        <v>2</v>
      </c>
      <c r="AO239" s="69"/>
      <c r="AP239" s="2109">
        <f t="shared" si="141"/>
        <v>2</v>
      </c>
      <c r="AQ239" s="69"/>
      <c r="AR239" s="2109">
        <f t="shared" si="142"/>
        <v>3</v>
      </c>
      <c r="AS239" s="69"/>
      <c r="AT239" s="2109">
        <f t="shared" si="143"/>
        <v>2</v>
      </c>
      <c r="AU239" s="69"/>
      <c r="AV239" s="2109">
        <f t="shared" si="144"/>
        <v>2</v>
      </c>
      <c r="AW239" s="69"/>
      <c r="AX239" s="2109">
        <f t="shared" si="145"/>
        <v>2</v>
      </c>
      <c r="AY239" s="69"/>
      <c r="AZ239" s="2109">
        <f t="shared" si="146"/>
        <v>2</v>
      </c>
      <c r="BA239" s="69"/>
      <c r="BB239" s="2195" t="str">
        <f t="shared" si="147"/>
        <v/>
      </c>
      <c r="BC239" s="69"/>
      <c r="BD239" s="2195">
        <f t="shared" si="148"/>
        <v>2</v>
      </c>
      <c r="BE239" s="69"/>
      <c r="BF239" s="2195">
        <f t="shared" si="149"/>
        <v>3</v>
      </c>
      <c r="BG239" s="69"/>
      <c r="BH239" s="2195">
        <f t="shared" si="150"/>
        <v>2</v>
      </c>
      <c r="BI239" s="69"/>
      <c r="BJ239" s="2195">
        <f t="shared" si="151"/>
        <v>3</v>
      </c>
      <c r="BK239" s="69"/>
      <c r="BL239" s="2109" t="str">
        <f t="shared" si="152"/>
        <v/>
      </c>
      <c r="BM239" s="69"/>
      <c r="BN239" s="2192">
        <f t="shared" si="153"/>
        <v>61</v>
      </c>
      <c r="BO239" s="69"/>
      <c r="BR239" s="684"/>
      <c r="BS239" s="684"/>
      <c r="BT239" s="541"/>
    </row>
    <row r="240" ht="26.25" customHeight="1">
      <c r="A240" s="1698" t="str">
        <f t="shared" ref="A240:A249" si="155">A210</f>
        <v>Да</v>
      </c>
      <c r="B240" s="1736"/>
      <c r="C240" s="1734"/>
      <c r="D240" s="1701"/>
      <c r="E240" s="1702" t="str">
        <f t="shared" si="122"/>
        <v/>
      </c>
      <c r="F240" s="2109" t="str">
        <f t="shared" si="123"/>
        <v/>
      </c>
      <c r="G240" s="69"/>
      <c r="H240" s="2109" t="str">
        <f t="shared" si="124"/>
        <v/>
      </c>
      <c r="I240" s="69"/>
      <c r="J240" s="2109" t="str">
        <f t="shared" si="125"/>
        <v/>
      </c>
      <c r="K240" s="69"/>
      <c r="L240" s="2109" t="str">
        <f t="shared" si="126"/>
        <v/>
      </c>
      <c r="M240" s="69"/>
      <c r="N240" s="2109" t="str">
        <f t="shared" si="127"/>
        <v/>
      </c>
      <c r="O240" s="69"/>
      <c r="P240" s="2109" t="str">
        <f t="shared" si="128"/>
        <v/>
      </c>
      <c r="Q240" s="69"/>
      <c r="R240" s="2109" t="str">
        <f t="shared" si="129"/>
        <v/>
      </c>
      <c r="S240" s="69"/>
      <c r="T240" s="2109" t="str">
        <f t="shared" si="130"/>
        <v/>
      </c>
      <c r="U240" s="69"/>
      <c r="V240" s="2109" t="str">
        <f t="shared" si="131"/>
        <v/>
      </c>
      <c r="W240" s="69"/>
      <c r="X240" s="2109" t="str">
        <f t="shared" si="132"/>
        <v/>
      </c>
      <c r="Y240" s="69"/>
      <c r="Z240" s="2109" t="str">
        <f t="shared" si="133"/>
        <v/>
      </c>
      <c r="AA240" s="69"/>
      <c r="AB240" s="2109" t="str">
        <f t="shared" si="134"/>
        <v/>
      </c>
      <c r="AC240" s="69"/>
      <c r="AD240" s="2109" t="str">
        <f t="shared" si="135"/>
        <v/>
      </c>
      <c r="AE240" s="69"/>
      <c r="AF240" s="2109" t="str">
        <f t="shared" si="136"/>
        <v/>
      </c>
      <c r="AG240" s="69"/>
      <c r="AH240" s="2109" t="str">
        <f t="shared" si="137"/>
        <v/>
      </c>
      <c r="AI240" s="69"/>
      <c r="AJ240" s="2109" t="str">
        <f t="shared" si="138"/>
        <v/>
      </c>
      <c r="AK240" s="69"/>
      <c r="AL240" s="2109" t="str">
        <f t="shared" si="139"/>
        <v/>
      </c>
      <c r="AM240" s="69"/>
      <c r="AN240" s="2109" t="str">
        <f t="shared" si="140"/>
        <v/>
      </c>
      <c r="AO240" s="69"/>
      <c r="AP240" s="2109" t="str">
        <f t="shared" si="141"/>
        <v/>
      </c>
      <c r="AQ240" s="69"/>
      <c r="AR240" s="2109" t="str">
        <f t="shared" si="142"/>
        <v/>
      </c>
      <c r="AS240" s="69"/>
      <c r="AT240" s="2109" t="str">
        <f t="shared" si="143"/>
        <v/>
      </c>
      <c r="AU240" s="69"/>
      <c r="AV240" s="2109" t="str">
        <f t="shared" si="144"/>
        <v/>
      </c>
      <c r="AW240" s="69"/>
      <c r="AX240" s="2109" t="str">
        <f t="shared" si="145"/>
        <v/>
      </c>
      <c r="AY240" s="69"/>
      <c r="AZ240" s="2109" t="str">
        <f t="shared" si="146"/>
        <v/>
      </c>
      <c r="BA240" s="69"/>
      <c r="BB240" s="2195" t="str">
        <f t="shared" si="147"/>
        <v/>
      </c>
      <c r="BC240" s="69"/>
      <c r="BD240" s="2195" t="str">
        <f t="shared" si="148"/>
        <v/>
      </c>
      <c r="BE240" s="69"/>
      <c r="BF240" s="2195" t="str">
        <f t="shared" si="149"/>
        <v/>
      </c>
      <c r="BG240" s="69"/>
      <c r="BH240" s="2195" t="str">
        <f t="shared" si="150"/>
        <v/>
      </c>
      <c r="BI240" s="69"/>
      <c r="BJ240" s="2195" t="str">
        <f t="shared" si="151"/>
        <v/>
      </c>
      <c r="BK240" s="69"/>
      <c r="BL240" s="2109" t="str">
        <f t="shared" si="152"/>
        <v/>
      </c>
      <c r="BM240" s="69"/>
      <c r="BN240" s="2192">
        <f t="shared" si="153"/>
        <v>0</v>
      </c>
      <c r="BO240" s="69"/>
      <c r="BR240" s="684"/>
      <c r="BS240" s="684"/>
      <c r="BT240" s="541"/>
    </row>
    <row r="241" ht="26.25" customHeight="1">
      <c r="A241" s="1698" t="str">
        <f t="shared" si="155"/>
        <v>Да</v>
      </c>
      <c r="B241" s="1736">
        <v>2904.0</v>
      </c>
      <c r="C241" s="1734">
        <v>190.0</v>
      </c>
      <c r="D241" s="1701"/>
      <c r="E241" s="1702" t="str">
        <f t="shared" si="122"/>
        <v>Ассорти сэндвич (пепперони/ветчина)</v>
      </c>
      <c r="F241" s="2109">
        <f t="shared" si="123"/>
        <v>8</v>
      </c>
      <c r="G241" s="69"/>
      <c r="H241" s="2109">
        <f t="shared" si="124"/>
        <v>3</v>
      </c>
      <c r="I241" s="69"/>
      <c r="J241" s="2109" t="str">
        <f t="shared" si="125"/>
        <v/>
      </c>
      <c r="K241" s="69"/>
      <c r="L241" s="2109">
        <f t="shared" si="126"/>
        <v>3</v>
      </c>
      <c r="M241" s="69"/>
      <c r="N241" s="2109" t="str">
        <f t="shared" si="127"/>
        <v/>
      </c>
      <c r="O241" s="69"/>
      <c r="P241" s="2109">
        <f t="shared" si="128"/>
        <v>7</v>
      </c>
      <c r="Q241" s="69"/>
      <c r="R241" s="2109">
        <f t="shared" si="129"/>
        <v>4</v>
      </c>
      <c r="S241" s="69"/>
      <c r="T241" s="2109">
        <f t="shared" si="130"/>
        <v>3</v>
      </c>
      <c r="U241" s="69"/>
      <c r="V241" s="2109">
        <f t="shared" si="131"/>
        <v>4</v>
      </c>
      <c r="W241" s="69"/>
      <c r="X241" s="2109">
        <f t="shared" si="132"/>
        <v>8</v>
      </c>
      <c r="Y241" s="69"/>
      <c r="Z241" s="2109" t="str">
        <f t="shared" si="133"/>
        <v/>
      </c>
      <c r="AA241" s="69"/>
      <c r="AB241" s="2109" t="str">
        <f t="shared" si="134"/>
        <v/>
      </c>
      <c r="AC241" s="69"/>
      <c r="AD241" s="2109">
        <f t="shared" si="135"/>
        <v>3</v>
      </c>
      <c r="AE241" s="69"/>
      <c r="AF241" s="2109">
        <f t="shared" si="136"/>
        <v>4</v>
      </c>
      <c r="AG241" s="69"/>
      <c r="AH241" s="2109" t="str">
        <f t="shared" si="137"/>
        <v/>
      </c>
      <c r="AI241" s="69"/>
      <c r="AJ241" s="2109">
        <f t="shared" si="138"/>
        <v>4</v>
      </c>
      <c r="AK241" s="69"/>
      <c r="AL241" s="2109">
        <f t="shared" si="139"/>
        <v>4</v>
      </c>
      <c r="AM241" s="69"/>
      <c r="AN241" s="2109" t="str">
        <f t="shared" si="140"/>
        <v/>
      </c>
      <c r="AO241" s="69"/>
      <c r="AP241" s="2109" t="str">
        <f t="shared" si="141"/>
        <v/>
      </c>
      <c r="AQ241" s="69"/>
      <c r="AR241" s="2109" t="str">
        <f t="shared" si="142"/>
        <v/>
      </c>
      <c r="AS241" s="69"/>
      <c r="AT241" s="2109">
        <f t="shared" si="143"/>
        <v>3</v>
      </c>
      <c r="AU241" s="69"/>
      <c r="AV241" s="2109">
        <f t="shared" si="144"/>
        <v>3</v>
      </c>
      <c r="AW241" s="69"/>
      <c r="AX241" s="2109">
        <f t="shared" si="145"/>
        <v>3</v>
      </c>
      <c r="AY241" s="69"/>
      <c r="AZ241" s="2109">
        <f t="shared" si="146"/>
        <v>20</v>
      </c>
      <c r="BA241" s="69"/>
      <c r="BB241" s="2195" t="str">
        <f t="shared" si="147"/>
        <v/>
      </c>
      <c r="BC241" s="69"/>
      <c r="BD241" s="2195" t="str">
        <f t="shared" si="148"/>
        <v/>
      </c>
      <c r="BE241" s="69"/>
      <c r="BF241" s="2195">
        <f t="shared" si="149"/>
        <v>5</v>
      </c>
      <c r="BG241" s="69"/>
      <c r="BH241" s="2195">
        <f t="shared" si="150"/>
        <v>3</v>
      </c>
      <c r="BI241" s="69"/>
      <c r="BJ241" s="2195">
        <f t="shared" si="151"/>
        <v>5</v>
      </c>
      <c r="BK241" s="69"/>
      <c r="BL241" s="2109" t="str">
        <f t="shared" si="152"/>
        <v/>
      </c>
      <c r="BM241" s="69"/>
      <c r="BN241" s="2192">
        <f t="shared" si="153"/>
        <v>97</v>
      </c>
      <c r="BO241" s="69"/>
      <c r="BR241" s="684"/>
      <c r="BS241" s="684"/>
      <c r="BT241" s="541"/>
    </row>
    <row r="242" ht="26.25" customHeight="1">
      <c r="A242" s="1698" t="str">
        <f t="shared" si="155"/>
        <v>Да</v>
      </c>
      <c r="B242" s="1736">
        <v>4239.0</v>
      </c>
      <c r="C242" s="1734">
        <v>172.0</v>
      </c>
      <c r="D242" s="1701"/>
      <c r="E242" s="1702" t="str">
        <f t="shared" si="122"/>
        <v>Сэндвич с запеченной курочкой и соусом Релиш</v>
      </c>
      <c r="F242" s="2109">
        <f t="shared" si="123"/>
        <v>37</v>
      </c>
      <c r="G242" s="69"/>
      <c r="H242" s="2109">
        <f t="shared" si="124"/>
        <v>0</v>
      </c>
      <c r="I242" s="69"/>
      <c r="J242" s="2109">
        <f t="shared" si="125"/>
        <v>7</v>
      </c>
      <c r="K242" s="69"/>
      <c r="L242" s="2109">
        <f t="shared" si="126"/>
        <v>8</v>
      </c>
      <c r="M242" s="69"/>
      <c r="N242" s="2109">
        <f t="shared" si="127"/>
        <v>10</v>
      </c>
      <c r="O242" s="69"/>
      <c r="P242" s="2109">
        <f t="shared" si="128"/>
        <v>7</v>
      </c>
      <c r="Q242" s="69"/>
      <c r="R242" s="2109">
        <f t="shared" si="129"/>
        <v>3</v>
      </c>
      <c r="S242" s="69"/>
      <c r="T242" s="2109">
        <f t="shared" si="130"/>
        <v>7</v>
      </c>
      <c r="U242" s="69"/>
      <c r="V242" s="2109">
        <f t="shared" si="131"/>
        <v>15</v>
      </c>
      <c r="W242" s="69"/>
      <c r="X242" s="2109">
        <f t="shared" si="132"/>
        <v>6</v>
      </c>
      <c r="Y242" s="69"/>
      <c r="Z242" s="2109" t="str">
        <f t="shared" si="133"/>
        <v/>
      </c>
      <c r="AA242" s="69"/>
      <c r="AB242" s="2109">
        <f t="shared" si="134"/>
        <v>9</v>
      </c>
      <c r="AC242" s="69"/>
      <c r="AD242" s="2109">
        <f t="shared" si="135"/>
        <v>17</v>
      </c>
      <c r="AE242" s="69"/>
      <c r="AF242" s="2109">
        <f t="shared" si="136"/>
        <v>23</v>
      </c>
      <c r="AG242" s="69"/>
      <c r="AH242" s="2109">
        <f t="shared" si="137"/>
        <v>8</v>
      </c>
      <c r="AI242" s="69"/>
      <c r="AJ242" s="2109">
        <f t="shared" si="138"/>
        <v>9</v>
      </c>
      <c r="AK242" s="69"/>
      <c r="AL242" s="2109">
        <f t="shared" si="139"/>
        <v>5</v>
      </c>
      <c r="AM242" s="69"/>
      <c r="AN242" s="2109">
        <f t="shared" si="140"/>
        <v>6</v>
      </c>
      <c r="AO242" s="69"/>
      <c r="AP242" s="2109">
        <f t="shared" si="141"/>
        <v>20</v>
      </c>
      <c r="AQ242" s="69"/>
      <c r="AR242" s="2109">
        <f t="shared" si="142"/>
        <v>5</v>
      </c>
      <c r="AS242" s="69"/>
      <c r="AT242" s="2109">
        <f t="shared" si="143"/>
        <v>8</v>
      </c>
      <c r="AU242" s="69"/>
      <c r="AV242" s="2109">
        <f t="shared" si="144"/>
        <v>7</v>
      </c>
      <c r="AW242" s="69"/>
      <c r="AX242" s="2109">
        <f t="shared" si="145"/>
        <v>9</v>
      </c>
      <c r="AY242" s="69"/>
      <c r="AZ242" s="2109">
        <f t="shared" si="146"/>
        <v>14</v>
      </c>
      <c r="BA242" s="69"/>
      <c r="BB242" s="2195" t="str">
        <f t="shared" si="147"/>
        <v/>
      </c>
      <c r="BC242" s="69"/>
      <c r="BD242" s="2195">
        <f t="shared" si="148"/>
        <v>3</v>
      </c>
      <c r="BE242" s="69"/>
      <c r="BF242" s="2195">
        <f t="shared" si="149"/>
        <v>12</v>
      </c>
      <c r="BG242" s="69"/>
      <c r="BH242" s="2195">
        <f t="shared" si="150"/>
        <v>7</v>
      </c>
      <c r="BI242" s="69"/>
      <c r="BJ242" s="2195">
        <f t="shared" si="151"/>
        <v>6</v>
      </c>
      <c r="BK242" s="69"/>
      <c r="BL242" s="2109" t="str">
        <f t="shared" si="152"/>
        <v/>
      </c>
      <c r="BM242" s="69"/>
      <c r="BN242" s="2192">
        <f t="shared" si="153"/>
        <v>268</v>
      </c>
      <c r="BO242" s="69"/>
      <c r="BR242" s="684"/>
      <c r="BS242" s="684"/>
      <c r="BT242" s="541"/>
    </row>
    <row r="243" ht="26.25" customHeight="1">
      <c r="A243" s="1698" t="str">
        <f t="shared" si="155"/>
        <v>Да</v>
      </c>
      <c r="B243" s="1736"/>
      <c r="C243" s="1734"/>
      <c r="D243" s="1701"/>
      <c r="E243" s="1702" t="str">
        <f t="shared" si="122"/>
        <v/>
      </c>
      <c r="F243" s="2109" t="str">
        <f t="shared" si="123"/>
        <v/>
      </c>
      <c r="G243" s="69"/>
      <c r="H243" s="2109" t="str">
        <f t="shared" si="124"/>
        <v/>
      </c>
      <c r="I243" s="69"/>
      <c r="J243" s="2109" t="str">
        <f t="shared" si="125"/>
        <v/>
      </c>
      <c r="K243" s="69"/>
      <c r="L243" s="2109" t="str">
        <f t="shared" si="126"/>
        <v/>
      </c>
      <c r="M243" s="69"/>
      <c r="N243" s="2109" t="str">
        <f t="shared" si="127"/>
        <v/>
      </c>
      <c r="O243" s="69"/>
      <c r="P243" s="2109" t="str">
        <f t="shared" si="128"/>
        <v/>
      </c>
      <c r="Q243" s="69"/>
      <c r="R243" s="2109" t="str">
        <f t="shared" si="129"/>
        <v/>
      </c>
      <c r="S243" s="69"/>
      <c r="T243" s="2109" t="str">
        <f t="shared" si="130"/>
        <v/>
      </c>
      <c r="U243" s="69"/>
      <c r="V243" s="2109" t="str">
        <f t="shared" si="131"/>
        <v/>
      </c>
      <c r="W243" s="69"/>
      <c r="X243" s="2109" t="str">
        <f t="shared" si="132"/>
        <v/>
      </c>
      <c r="Y243" s="69"/>
      <c r="Z243" s="2109" t="str">
        <f t="shared" si="133"/>
        <v/>
      </c>
      <c r="AA243" s="69"/>
      <c r="AB243" s="2109" t="str">
        <f t="shared" si="134"/>
        <v/>
      </c>
      <c r="AC243" s="69"/>
      <c r="AD243" s="2109" t="str">
        <f t="shared" si="135"/>
        <v/>
      </c>
      <c r="AE243" s="69"/>
      <c r="AF243" s="2109" t="str">
        <f t="shared" si="136"/>
        <v/>
      </c>
      <c r="AG243" s="69"/>
      <c r="AH243" s="2109" t="str">
        <f t="shared" si="137"/>
        <v/>
      </c>
      <c r="AI243" s="69"/>
      <c r="AJ243" s="2109" t="str">
        <f t="shared" si="138"/>
        <v/>
      </c>
      <c r="AK243" s="69"/>
      <c r="AL243" s="2109" t="str">
        <f t="shared" si="139"/>
        <v/>
      </c>
      <c r="AM243" s="69"/>
      <c r="AN243" s="2109" t="str">
        <f t="shared" si="140"/>
        <v/>
      </c>
      <c r="AO243" s="69"/>
      <c r="AP243" s="2109" t="str">
        <f t="shared" si="141"/>
        <v/>
      </c>
      <c r="AQ243" s="69"/>
      <c r="AR243" s="2109" t="str">
        <f t="shared" si="142"/>
        <v/>
      </c>
      <c r="AS243" s="69"/>
      <c r="AT243" s="2109" t="str">
        <f t="shared" si="143"/>
        <v/>
      </c>
      <c r="AU243" s="69"/>
      <c r="AV243" s="2109" t="str">
        <f t="shared" si="144"/>
        <v/>
      </c>
      <c r="AW243" s="69"/>
      <c r="AX243" s="2109" t="str">
        <f t="shared" si="145"/>
        <v/>
      </c>
      <c r="AY243" s="69"/>
      <c r="AZ243" s="2109" t="str">
        <f t="shared" si="146"/>
        <v/>
      </c>
      <c r="BA243" s="69"/>
      <c r="BB243" s="2195" t="str">
        <f t="shared" si="147"/>
        <v/>
      </c>
      <c r="BC243" s="69"/>
      <c r="BD243" s="2195" t="str">
        <f t="shared" si="148"/>
        <v/>
      </c>
      <c r="BE243" s="69"/>
      <c r="BF243" s="2195" t="str">
        <f t="shared" si="149"/>
        <v/>
      </c>
      <c r="BG243" s="69"/>
      <c r="BH243" s="2195" t="str">
        <f t="shared" si="150"/>
        <v/>
      </c>
      <c r="BI243" s="69"/>
      <c r="BJ243" s="2195" t="str">
        <f t="shared" si="151"/>
        <v/>
      </c>
      <c r="BK243" s="69"/>
      <c r="BL243" s="2109" t="str">
        <f t="shared" si="152"/>
        <v/>
      </c>
      <c r="BM243" s="69"/>
      <c r="BN243" s="2192">
        <f t="shared" si="153"/>
        <v>0</v>
      </c>
      <c r="BO243" s="69"/>
      <c r="BR243" s="684"/>
      <c r="BS243" s="684"/>
      <c r="BT243" s="541"/>
    </row>
    <row r="244" ht="26.25" customHeight="1">
      <c r="A244" s="1698" t="str">
        <f t="shared" si="155"/>
        <v>Да</v>
      </c>
      <c r="B244" s="1736">
        <v>3194.0</v>
      </c>
      <c r="C244" s="1734">
        <v>85.0</v>
      </c>
      <c r="D244" s="1701"/>
      <c r="E244" s="1702" t="str">
        <f t="shared" si="122"/>
        <v>Морс из вишни 0.5</v>
      </c>
      <c r="F244" s="2109">
        <f t="shared" si="123"/>
        <v>11</v>
      </c>
      <c r="G244" s="69"/>
      <c r="H244" s="2109">
        <f t="shared" si="124"/>
        <v>3</v>
      </c>
      <c r="I244" s="69"/>
      <c r="J244" s="2109">
        <f t="shared" si="125"/>
        <v>2</v>
      </c>
      <c r="K244" s="69"/>
      <c r="L244" s="2109">
        <f t="shared" si="126"/>
        <v>2</v>
      </c>
      <c r="M244" s="69"/>
      <c r="N244" s="2109">
        <f t="shared" si="127"/>
        <v>4</v>
      </c>
      <c r="O244" s="69"/>
      <c r="P244" s="2109">
        <f t="shared" si="128"/>
        <v>7</v>
      </c>
      <c r="Q244" s="69"/>
      <c r="R244" s="2109">
        <f t="shared" si="129"/>
        <v>6</v>
      </c>
      <c r="S244" s="69"/>
      <c r="T244" s="2109">
        <f t="shared" si="130"/>
        <v>3</v>
      </c>
      <c r="U244" s="69"/>
      <c r="V244" s="2109">
        <f t="shared" si="131"/>
        <v>2</v>
      </c>
      <c r="W244" s="69"/>
      <c r="X244" s="2109">
        <f t="shared" si="132"/>
        <v>5</v>
      </c>
      <c r="Y244" s="69"/>
      <c r="Z244" s="2109" t="str">
        <f t="shared" si="133"/>
        <v/>
      </c>
      <c r="AA244" s="69"/>
      <c r="AB244" s="2109">
        <f t="shared" si="134"/>
        <v>3</v>
      </c>
      <c r="AC244" s="69"/>
      <c r="AD244" s="2109">
        <f t="shared" si="135"/>
        <v>5</v>
      </c>
      <c r="AE244" s="69"/>
      <c r="AF244" s="2109">
        <f t="shared" si="136"/>
        <v>4</v>
      </c>
      <c r="AG244" s="69"/>
      <c r="AH244" s="2109">
        <f t="shared" si="137"/>
        <v>4</v>
      </c>
      <c r="AI244" s="69"/>
      <c r="AJ244" s="2109">
        <f t="shared" si="138"/>
        <v>3</v>
      </c>
      <c r="AK244" s="69"/>
      <c r="AL244" s="2109">
        <f t="shared" si="139"/>
        <v>3</v>
      </c>
      <c r="AM244" s="69"/>
      <c r="AN244" s="2109">
        <f t="shared" si="140"/>
        <v>2</v>
      </c>
      <c r="AO244" s="69"/>
      <c r="AP244" s="2109">
        <f t="shared" si="141"/>
        <v>2</v>
      </c>
      <c r="AQ244" s="69"/>
      <c r="AR244" s="2109">
        <f t="shared" si="142"/>
        <v>6</v>
      </c>
      <c r="AS244" s="69"/>
      <c r="AT244" s="2109">
        <f t="shared" si="143"/>
        <v>2</v>
      </c>
      <c r="AU244" s="69"/>
      <c r="AV244" s="2109">
        <f t="shared" si="144"/>
        <v>5</v>
      </c>
      <c r="AW244" s="69"/>
      <c r="AX244" s="2109">
        <f t="shared" si="145"/>
        <v>7</v>
      </c>
      <c r="AY244" s="69"/>
      <c r="AZ244" s="2109">
        <f t="shared" si="146"/>
        <v>0</v>
      </c>
      <c r="BA244" s="69"/>
      <c r="BB244" s="2195" t="str">
        <f t="shared" si="147"/>
        <v/>
      </c>
      <c r="BC244" s="69"/>
      <c r="BD244" s="2195">
        <f t="shared" si="148"/>
        <v>1</v>
      </c>
      <c r="BE244" s="69"/>
      <c r="BF244" s="2195">
        <f t="shared" si="149"/>
        <v>5</v>
      </c>
      <c r="BG244" s="69"/>
      <c r="BH244" s="2195">
        <f t="shared" si="150"/>
        <v>0</v>
      </c>
      <c r="BI244" s="69"/>
      <c r="BJ244" s="2195">
        <f t="shared" si="151"/>
        <v>4</v>
      </c>
      <c r="BK244" s="69"/>
      <c r="BL244" s="2109" t="str">
        <f t="shared" si="152"/>
        <v/>
      </c>
      <c r="BM244" s="69"/>
      <c r="BN244" s="2192">
        <f t="shared" si="153"/>
        <v>101</v>
      </c>
      <c r="BO244" s="69"/>
      <c r="BR244" s="684"/>
      <c r="BS244" s="684"/>
      <c r="BT244" s="541"/>
    </row>
    <row r="245" ht="26.25" customHeight="1">
      <c r="A245" s="1698" t="str">
        <f t="shared" si="155"/>
        <v>Да</v>
      </c>
      <c r="B245" s="1736">
        <v>822.0</v>
      </c>
      <c r="C245" s="1734">
        <v>5.0</v>
      </c>
      <c r="D245" s="1701"/>
      <c r="E245" s="1702" t="str">
        <f t="shared" si="122"/>
        <v>Хлеб пшеничный</v>
      </c>
      <c r="F245" s="2109">
        <f t="shared" si="123"/>
        <v>11</v>
      </c>
      <c r="G245" s="69"/>
      <c r="H245" s="2210">
        <f t="shared" si="124"/>
        <v>5</v>
      </c>
      <c r="I245" s="69"/>
      <c r="J245" s="2109">
        <f t="shared" si="125"/>
        <v>2</v>
      </c>
      <c r="K245" s="69"/>
      <c r="L245" s="2109">
        <f t="shared" si="126"/>
        <v>4</v>
      </c>
      <c r="M245" s="69"/>
      <c r="N245" s="2109">
        <f t="shared" si="127"/>
        <v>8</v>
      </c>
      <c r="O245" s="69"/>
      <c r="P245" s="2210">
        <f t="shared" si="128"/>
        <v>3</v>
      </c>
      <c r="Q245" s="69"/>
      <c r="R245" s="2109">
        <f t="shared" si="129"/>
        <v>3</v>
      </c>
      <c r="S245" s="69"/>
      <c r="T245" s="2109">
        <f t="shared" si="130"/>
        <v>4</v>
      </c>
      <c r="U245" s="69"/>
      <c r="V245" s="2109">
        <f t="shared" si="131"/>
        <v>4</v>
      </c>
      <c r="W245" s="69"/>
      <c r="X245" s="2109">
        <f t="shared" si="132"/>
        <v>5</v>
      </c>
      <c r="Y245" s="69"/>
      <c r="Z245" s="2109" t="str">
        <f t="shared" si="133"/>
        <v/>
      </c>
      <c r="AA245" s="69"/>
      <c r="AB245" s="2109">
        <f t="shared" si="134"/>
        <v>4</v>
      </c>
      <c r="AC245" s="69"/>
      <c r="AD245" s="2109">
        <f t="shared" si="135"/>
        <v>3</v>
      </c>
      <c r="AE245" s="69"/>
      <c r="AF245" s="2109">
        <f t="shared" si="136"/>
        <v>5</v>
      </c>
      <c r="AG245" s="69"/>
      <c r="AH245" s="2109">
        <f t="shared" si="137"/>
        <v>5</v>
      </c>
      <c r="AI245" s="69"/>
      <c r="AJ245" s="2109">
        <f t="shared" si="138"/>
        <v>4</v>
      </c>
      <c r="AK245" s="69"/>
      <c r="AL245" s="2109">
        <f t="shared" si="139"/>
        <v>6</v>
      </c>
      <c r="AM245" s="69"/>
      <c r="AN245" s="2109">
        <f t="shared" si="140"/>
        <v>3</v>
      </c>
      <c r="AO245" s="69"/>
      <c r="AP245" s="2109">
        <f t="shared" si="141"/>
        <v>6</v>
      </c>
      <c r="AQ245" s="69"/>
      <c r="AR245" s="2109">
        <f t="shared" si="142"/>
        <v>10</v>
      </c>
      <c r="AS245" s="69"/>
      <c r="AT245" s="2109">
        <f t="shared" si="143"/>
        <v>2</v>
      </c>
      <c r="AU245" s="69"/>
      <c r="AV245" s="2109">
        <f t="shared" si="144"/>
        <v>4</v>
      </c>
      <c r="AW245" s="69"/>
      <c r="AX245" s="2109">
        <f t="shared" si="145"/>
        <v>6</v>
      </c>
      <c r="AY245" s="69"/>
      <c r="AZ245" s="2109">
        <f t="shared" si="146"/>
        <v>4</v>
      </c>
      <c r="BA245" s="69"/>
      <c r="BB245" s="2195" t="str">
        <f t="shared" si="147"/>
        <v/>
      </c>
      <c r="BC245" s="69"/>
      <c r="BD245" s="2195">
        <f t="shared" si="148"/>
        <v>1</v>
      </c>
      <c r="BE245" s="69"/>
      <c r="BF245" s="2195">
        <f t="shared" si="149"/>
        <v>3</v>
      </c>
      <c r="BG245" s="69"/>
      <c r="BH245" s="2195">
        <f t="shared" si="150"/>
        <v>4</v>
      </c>
      <c r="BI245" s="69"/>
      <c r="BJ245" s="2195">
        <f t="shared" si="151"/>
        <v>2</v>
      </c>
      <c r="BK245" s="69"/>
      <c r="BL245" s="2109" t="str">
        <f t="shared" si="152"/>
        <v/>
      </c>
      <c r="BM245" s="69"/>
      <c r="BN245" s="2192">
        <f t="shared" si="153"/>
        <v>121</v>
      </c>
      <c r="BO245" s="69"/>
      <c r="BR245" s="684"/>
      <c r="BS245" s="684"/>
      <c r="BT245" s="541"/>
    </row>
    <row r="246" ht="26.25" customHeight="1">
      <c r="A246" s="1698" t="str">
        <f t="shared" si="155"/>
        <v>Да</v>
      </c>
      <c r="B246" s="1736">
        <v>3527.0</v>
      </c>
      <c r="C246" s="1734">
        <v>96.0</v>
      </c>
      <c r="D246" s="1701"/>
      <c r="E246" s="1702" t="str">
        <f t="shared" si="122"/>
        <v>Хачапури 100 гр</v>
      </c>
      <c r="F246" s="2109">
        <f t="shared" si="123"/>
        <v>2</v>
      </c>
      <c r="G246" s="69"/>
      <c r="H246" s="2109" t="str">
        <f t="shared" si="124"/>
        <v/>
      </c>
      <c r="I246" s="69"/>
      <c r="J246" s="2109">
        <f t="shared" si="125"/>
        <v>2</v>
      </c>
      <c r="K246" s="69"/>
      <c r="L246" s="2109" t="str">
        <f t="shared" si="126"/>
        <v/>
      </c>
      <c r="M246" s="69"/>
      <c r="N246" s="2109">
        <f t="shared" si="127"/>
        <v>2</v>
      </c>
      <c r="O246" s="69"/>
      <c r="P246" s="2109">
        <f t="shared" si="128"/>
        <v>2</v>
      </c>
      <c r="Q246" s="69"/>
      <c r="R246" s="2109" t="str">
        <f t="shared" si="129"/>
        <v/>
      </c>
      <c r="S246" s="69"/>
      <c r="T246" s="2109" t="str">
        <f t="shared" si="130"/>
        <v/>
      </c>
      <c r="U246" s="69"/>
      <c r="V246" s="2109" t="str">
        <f t="shared" si="131"/>
        <v/>
      </c>
      <c r="W246" s="69"/>
      <c r="X246" s="2109">
        <f t="shared" si="132"/>
        <v>2</v>
      </c>
      <c r="Y246" s="69"/>
      <c r="Z246" s="2109" t="str">
        <f t="shared" si="133"/>
        <v/>
      </c>
      <c r="AA246" s="69"/>
      <c r="AB246" s="2109" t="str">
        <f t="shared" si="134"/>
        <v/>
      </c>
      <c r="AC246" s="69"/>
      <c r="AD246" s="2109">
        <f t="shared" si="135"/>
        <v>2</v>
      </c>
      <c r="AE246" s="69"/>
      <c r="AF246" s="2109">
        <f t="shared" si="136"/>
        <v>2</v>
      </c>
      <c r="AG246" s="69"/>
      <c r="AH246" s="2109" t="str">
        <f t="shared" si="137"/>
        <v/>
      </c>
      <c r="AI246" s="69"/>
      <c r="AJ246" s="2109" t="str">
        <f t="shared" si="138"/>
        <v/>
      </c>
      <c r="AK246" s="69"/>
      <c r="AL246" s="2109">
        <f t="shared" si="139"/>
        <v>2</v>
      </c>
      <c r="AM246" s="69"/>
      <c r="AN246" s="2109" t="str">
        <f t="shared" si="140"/>
        <v/>
      </c>
      <c r="AO246" s="69"/>
      <c r="AP246" s="2109" t="str">
        <f t="shared" si="141"/>
        <v/>
      </c>
      <c r="AQ246" s="69"/>
      <c r="AR246" s="2109" t="str">
        <f t="shared" si="142"/>
        <v/>
      </c>
      <c r="AS246" s="69"/>
      <c r="AT246" s="2109" t="str">
        <f t="shared" si="143"/>
        <v/>
      </c>
      <c r="AU246" s="69"/>
      <c r="AV246" s="2109">
        <f t="shared" si="144"/>
        <v>2</v>
      </c>
      <c r="AW246" s="69"/>
      <c r="AX246" s="2109">
        <f t="shared" si="145"/>
        <v>2</v>
      </c>
      <c r="AY246" s="69"/>
      <c r="AZ246" s="2109" t="str">
        <f t="shared" si="146"/>
        <v/>
      </c>
      <c r="BA246" s="69"/>
      <c r="BB246" s="2195" t="str">
        <f t="shared" si="147"/>
        <v/>
      </c>
      <c r="BC246" s="69"/>
      <c r="BD246" s="2195" t="str">
        <f t="shared" si="148"/>
        <v/>
      </c>
      <c r="BE246" s="69"/>
      <c r="BF246" s="2195">
        <f t="shared" si="149"/>
        <v>2</v>
      </c>
      <c r="BG246" s="69"/>
      <c r="BH246" s="2195" t="str">
        <f t="shared" si="150"/>
        <v/>
      </c>
      <c r="BI246" s="69"/>
      <c r="BJ246" s="2195">
        <f t="shared" si="151"/>
        <v>1</v>
      </c>
      <c r="BK246" s="69"/>
      <c r="BL246" s="2109" t="str">
        <f t="shared" si="152"/>
        <v/>
      </c>
      <c r="BM246" s="69"/>
      <c r="BN246" s="2192">
        <f t="shared" si="153"/>
        <v>23</v>
      </c>
      <c r="BO246" s="69"/>
      <c r="BR246" s="684"/>
      <c r="BS246" s="684"/>
      <c r="BT246" s="541"/>
    </row>
    <row r="247" ht="26.25" customHeight="1">
      <c r="A247" s="1698" t="str">
        <f t="shared" si="155"/>
        <v>Да</v>
      </c>
      <c r="B247" s="1736">
        <v>3454.0</v>
      </c>
      <c r="C247" s="1734">
        <v>67.0</v>
      </c>
      <c r="D247" s="1701"/>
      <c r="E247" s="1702" t="str">
        <f t="shared" si="122"/>
        <v>Рулетик с корицей 100 гр</v>
      </c>
      <c r="F247" s="2109">
        <f t="shared" si="123"/>
        <v>2</v>
      </c>
      <c r="G247" s="69"/>
      <c r="H247" s="2109" t="str">
        <f t="shared" si="124"/>
        <v/>
      </c>
      <c r="I247" s="69"/>
      <c r="J247" s="2109">
        <f t="shared" si="125"/>
        <v>2</v>
      </c>
      <c r="K247" s="69"/>
      <c r="L247" s="2109" t="str">
        <f t="shared" si="126"/>
        <v/>
      </c>
      <c r="M247" s="69"/>
      <c r="N247" s="2109">
        <f t="shared" si="127"/>
        <v>2</v>
      </c>
      <c r="O247" s="69"/>
      <c r="P247" s="2109">
        <f t="shared" si="128"/>
        <v>2</v>
      </c>
      <c r="Q247" s="69"/>
      <c r="R247" s="2109" t="str">
        <f t="shared" si="129"/>
        <v/>
      </c>
      <c r="S247" s="69"/>
      <c r="T247" s="2109">
        <f t="shared" si="130"/>
        <v>2</v>
      </c>
      <c r="U247" s="69"/>
      <c r="V247" s="2109">
        <f t="shared" si="131"/>
        <v>2</v>
      </c>
      <c r="W247" s="69"/>
      <c r="X247" s="2109">
        <f t="shared" si="132"/>
        <v>2</v>
      </c>
      <c r="Y247" s="69"/>
      <c r="Z247" s="2109" t="str">
        <f t="shared" si="133"/>
        <v/>
      </c>
      <c r="AA247" s="69"/>
      <c r="AB247" s="2109">
        <f t="shared" si="134"/>
        <v>2</v>
      </c>
      <c r="AC247" s="69"/>
      <c r="AD247" s="2109">
        <f t="shared" si="135"/>
        <v>2</v>
      </c>
      <c r="AE247" s="69"/>
      <c r="AF247" s="2109">
        <f t="shared" si="136"/>
        <v>2</v>
      </c>
      <c r="AG247" s="69"/>
      <c r="AH247" s="2109">
        <f t="shared" si="137"/>
        <v>2</v>
      </c>
      <c r="AI247" s="69"/>
      <c r="AJ247" s="2109">
        <f t="shared" si="138"/>
        <v>2</v>
      </c>
      <c r="AK247" s="69"/>
      <c r="AL247" s="2109" t="str">
        <f t="shared" si="139"/>
        <v/>
      </c>
      <c r="AM247" s="69"/>
      <c r="AN247" s="2109">
        <f t="shared" si="140"/>
        <v>2</v>
      </c>
      <c r="AO247" s="69"/>
      <c r="AP247" s="2109">
        <f t="shared" si="141"/>
        <v>2</v>
      </c>
      <c r="AQ247" s="69"/>
      <c r="AR247" s="2109">
        <f t="shared" si="142"/>
        <v>3</v>
      </c>
      <c r="AS247" s="69"/>
      <c r="AT247" s="2109">
        <f t="shared" si="143"/>
        <v>2</v>
      </c>
      <c r="AU247" s="69"/>
      <c r="AV247" s="2109">
        <f t="shared" si="144"/>
        <v>2</v>
      </c>
      <c r="AW247" s="69"/>
      <c r="AX247" s="2109">
        <f t="shared" si="145"/>
        <v>2</v>
      </c>
      <c r="AY247" s="69"/>
      <c r="AZ247" s="2109">
        <f t="shared" si="146"/>
        <v>2</v>
      </c>
      <c r="BA247" s="69"/>
      <c r="BB247" s="2195" t="str">
        <f t="shared" si="147"/>
        <v/>
      </c>
      <c r="BC247" s="69"/>
      <c r="BD247" s="2195">
        <f t="shared" si="148"/>
        <v>1</v>
      </c>
      <c r="BE247" s="69"/>
      <c r="BF247" s="2195">
        <f t="shared" si="149"/>
        <v>1</v>
      </c>
      <c r="BG247" s="69"/>
      <c r="BH247" s="2195">
        <f t="shared" si="150"/>
        <v>2</v>
      </c>
      <c r="BI247" s="69"/>
      <c r="BJ247" s="2195">
        <f t="shared" si="151"/>
        <v>1</v>
      </c>
      <c r="BK247" s="69"/>
      <c r="BL247" s="2109" t="str">
        <f t="shared" si="152"/>
        <v/>
      </c>
      <c r="BM247" s="69"/>
      <c r="BN247" s="2192">
        <f t="shared" si="153"/>
        <v>44</v>
      </c>
      <c r="BO247" s="69"/>
      <c r="BR247" s="684"/>
      <c r="BS247" s="684"/>
      <c r="BT247" s="541"/>
    </row>
    <row r="248" ht="26.25" customHeight="1">
      <c r="A248" s="1698" t="str">
        <f t="shared" si="155"/>
        <v/>
      </c>
      <c r="B248" s="1736">
        <v>2079.0</v>
      </c>
      <c r="C248" s="1734">
        <v>105.0</v>
      </c>
      <c r="D248" s="1701"/>
      <c r="E248" s="1702" t="str">
        <f t="shared" si="122"/>
        <v>Вафельная трубочка с вареной сгущенкой</v>
      </c>
      <c r="F248" s="2109">
        <f t="shared" si="123"/>
        <v>10</v>
      </c>
      <c r="G248" s="69"/>
      <c r="H248" s="2210">
        <f t="shared" si="124"/>
        <v>10</v>
      </c>
      <c r="I248" s="69"/>
      <c r="J248" s="2109">
        <f t="shared" si="125"/>
        <v>10</v>
      </c>
      <c r="K248" s="69"/>
      <c r="L248" s="2109">
        <f t="shared" si="126"/>
        <v>13</v>
      </c>
      <c r="M248" s="69"/>
      <c r="N248" s="2109">
        <f t="shared" si="127"/>
        <v>0</v>
      </c>
      <c r="O248" s="69"/>
      <c r="P248" s="2210">
        <f t="shared" si="128"/>
        <v>20</v>
      </c>
      <c r="Q248" s="69"/>
      <c r="R248" s="2109">
        <f t="shared" si="129"/>
        <v>0</v>
      </c>
      <c r="S248" s="69"/>
      <c r="T248" s="2109">
        <f t="shared" si="130"/>
        <v>0</v>
      </c>
      <c r="U248" s="69"/>
      <c r="V248" s="2109">
        <f t="shared" si="131"/>
        <v>0</v>
      </c>
      <c r="W248" s="69"/>
      <c r="X248" s="2109">
        <f t="shared" si="132"/>
        <v>0</v>
      </c>
      <c r="Y248" s="69"/>
      <c r="Z248" s="2109" t="str">
        <f t="shared" si="133"/>
        <v/>
      </c>
      <c r="AA248" s="69"/>
      <c r="AB248" s="2109">
        <f t="shared" si="134"/>
        <v>0</v>
      </c>
      <c r="AC248" s="69"/>
      <c r="AD248" s="2109">
        <f t="shared" si="135"/>
        <v>0</v>
      </c>
      <c r="AE248" s="69"/>
      <c r="AF248" s="2109">
        <f t="shared" si="136"/>
        <v>6</v>
      </c>
      <c r="AG248" s="69"/>
      <c r="AH248" s="2109">
        <f t="shared" si="137"/>
        <v>0</v>
      </c>
      <c r="AI248" s="69"/>
      <c r="AJ248" s="2109">
        <f t="shared" si="138"/>
        <v>10</v>
      </c>
      <c r="AK248" s="69"/>
      <c r="AL248" s="2109">
        <f t="shared" si="139"/>
        <v>0</v>
      </c>
      <c r="AM248" s="69"/>
      <c r="AN248" s="2109">
        <f t="shared" si="140"/>
        <v>8</v>
      </c>
      <c r="AO248" s="69"/>
      <c r="AP248" s="2109">
        <f t="shared" si="141"/>
        <v>0</v>
      </c>
      <c r="AQ248" s="69"/>
      <c r="AR248" s="2109">
        <f t="shared" si="142"/>
        <v>23</v>
      </c>
      <c r="AS248" s="69"/>
      <c r="AT248" s="2109">
        <f t="shared" si="143"/>
        <v>0</v>
      </c>
      <c r="AU248" s="69"/>
      <c r="AV248" s="2109">
        <f t="shared" si="144"/>
        <v>10</v>
      </c>
      <c r="AW248" s="69"/>
      <c r="AX248" s="2109">
        <f t="shared" si="145"/>
        <v>12</v>
      </c>
      <c r="AY248" s="69"/>
      <c r="AZ248" s="2109">
        <f t="shared" si="146"/>
        <v>0</v>
      </c>
      <c r="BA248" s="69"/>
      <c r="BB248" s="2195" t="str">
        <f t="shared" si="147"/>
        <v/>
      </c>
      <c r="BC248" s="69"/>
      <c r="BD248" s="2195">
        <f t="shared" si="148"/>
        <v>10</v>
      </c>
      <c r="BE248" s="69"/>
      <c r="BF248" s="2195">
        <f t="shared" si="149"/>
        <v>25</v>
      </c>
      <c r="BG248" s="69"/>
      <c r="BH248" s="2195">
        <f t="shared" si="150"/>
        <v>20</v>
      </c>
      <c r="BI248" s="69"/>
      <c r="BJ248" s="2195">
        <f t="shared" si="151"/>
        <v>25</v>
      </c>
      <c r="BK248" s="69"/>
      <c r="BL248" s="2109" t="str">
        <f t="shared" si="152"/>
        <v/>
      </c>
      <c r="BM248" s="69"/>
      <c r="BN248" s="2192">
        <f t="shared" si="153"/>
        <v>212</v>
      </c>
      <c r="BO248" s="69"/>
      <c r="BR248" s="684"/>
      <c r="BS248" s="684"/>
      <c r="BT248" s="541"/>
    </row>
    <row r="249" ht="26.25" customHeight="1">
      <c r="A249" s="1698" t="str">
        <f t="shared" si="155"/>
        <v/>
      </c>
      <c r="B249" s="1795"/>
      <c r="C249" s="1734"/>
      <c r="D249" s="1701"/>
      <c r="E249" s="1702" t="str">
        <f t="shared" si="122"/>
        <v/>
      </c>
      <c r="F249" s="2210">
        <f t="shared" si="123"/>
        <v>5</v>
      </c>
      <c r="G249" s="69"/>
      <c r="H249" s="2210" t="str">
        <f t="shared" si="124"/>
        <v/>
      </c>
      <c r="I249" s="69"/>
      <c r="J249" s="2210" t="str">
        <f t="shared" si="125"/>
        <v/>
      </c>
      <c r="K249" s="69"/>
      <c r="L249" s="2210">
        <f t="shared" si="126"/>
        <v>7</v>
      </c>
      <c r="M249" s="69"/>
      <c r="N249" s="2210" t="str">
        <f t="shared" si="127"/>
        <v/>
      </c>
      <c r="O249" s="69"/>
      <c r="P249" s="2210">
        <f t="shared" si="128"/>
        <v>10</v>
      </c>
      <c r="Q249" s="69"/>
      <c r="R249" s="2210" t="str">
        <f t="shared" si="129"/>
        <v/>
      </c>
      <c r="S249" s="69"/>
      <c r="T249" s="2210" t="str">
        <f t="shared" si="130"/>
        <v/>
      </c>
      <c r="U249" s="69"/>
      <c r="V249" s="2210" t="str">
        <f t="shared" si="131"/>
        <v/>
      </c>
      <c r="W249" s="69"/>
      <c r="X249" s="2210" t="str">
        <f t="shared" si="132"/>
        <v/>
      </c>
      <c r="Y249" s="69"/>
      <c r="Z249" s="2210" t="str">
        <f t="shared" si="133"/>
        <v/>
      </c>
      <c r="AA249" s="69"/>
      <c r="AB249" s="2109" t="str">
        <f t="shared" si="134"/>
        <v/>
      </c>
      <c r="AC249" s="69"/>
      <c r="AD249" s="2210" t="str">
        <f t="shared" si="135"/>
        <v/>
      </c>
      <c r="AE249" s="69"/>
      <c r="AF249" s="2210" t="str">
        <f t="shared" si="136"/>
        <v/>
      </c>
      <c r="AG249" s="69"/>
      <c r="AH249" s="2210" t="str">
        <f t="shared" si="137"/>
        <v/>
      </c>
      <c r="AI249" s="69"/>
      <c r="AJ249" s="2210" t="str">
        <f t="shared" si="138"/>
        <v/>
      </c>
      <c r="AK249" s="69"/>
      <c r="AL249" s="2109" t="str">
        <f t="shared" si="139"/>
        <v/>
      </c>
      <c r="AM249" s="69"/>
      <c r="AN249" s="2109">
        <f t="shared" si="140"/>
        <v>6</v>
      </c>
      <c r="AO249" s="69"/>
      <c r="AP249" s="2109" t="str">
        <f t="shared" si="141"/>
        <v/>
      </c>
      <c r="AQ249" s="69"/>
      <c r="AR249" s="2109">
        <f t="shared" si="142"/>
        <v>18</v>
      </c>
      <c r="AS249" s="69"/>
      <c r="AT249" s="2109" t="str">
        <f t="shared" si="143"/>
        <v/>
      </c>
      <c r="AU249" s="69"/>
      <c r="AV249" s="2109">
        <f t="shared" si="144"/>
        <v>10</v>
      </c>
      <c r="AW249" s="69"/>
      <c r="AX249" s="2109" t="str">
        <f t="shared" si="145"/>
        <v/>
      </c>
      <c r="AY249" s="69"/>
      <c r="AZ249" s="2109" t="str">
        <f t="shared" si="146"/>
        <v/>
      </c>
      <c r="BA249" s="69"/>
      <c r="BB249" s="2109" t="str">
        <f t="shared" si="147"/>
        <v/>
      </c>
      <c r="BC249" s="69"/>
      <c r="BD249" s="2109">
        <f t="shared" si="148"/>
        <v>5</v>
      </c>
      <c r="BE249" s="69"/>
      <c r="BF249" s="2109">
        <f t="shared" si="149"/>
        <v>4</v>
      </c>
      <c r="BG249" s="69"/>
      <c r="BH249" s="2109" t="str">
        <f t="shared" si="150"/>
        <v/>
      </c>
      <c r="BI249" s="69"/>
      <c r="BJ249" s="2109" t="str">
        <f t="shared" si="151"/>
        <v/>
      </c>
      <c r="BK249" s="69"/>
      <c r="BL249" s="2109"/>
      <c r="BM249" s="69"/>
      <c r="BN249" s="2211">
        <f t="shared" si="153"/>
        <v>65</v>
      </c>
      <c r="BO249" s="69"/>
      <c r="BR249" s="684"/>
      <c r="BS249" s="684"/>
      <c r="BT249" s="541"/>
    </row>
    <row r="250" ht="21.0" customHeight="1">
      <c r="A250" s="1739"/>
      <c r="B250" s="1795"/>
      <c r="C250" s="2273"/>
      <c r="D250" s="2274"/>
      <c r="E250" s="1702" t="str">
        <f t="shared" si="122"/>
        <v/>
      </c>
      <c r="F250" s="2109">
        <f t="shared" si="123"/>
        <v>2</v>
      </c>
      <c r="G250" s="69"/>
      <c r="H250" s="2109" t="str">
        <f t="shared" si="124"/>
        <v/>
      </c>
      <c r="I250" s="69"/>
      <c r="J250" s="2109">
        <f t="shared" si="125"/>
        <v>2</v>
      </c>
      <c r="K250" s="69"/>
      <c r="L250" s="2109" t="str">
        <f t="shared" si="126"/>
        <v/>
      </c>
      <c r="M250" s="69"/>
      <c r="N250" s="2109">
        <f t="shared" si="127"/>
        <v>2</v>
      </c>
      <c r="O250" s="69"/>
      <c r="P250" s="2109">
        <f t="shared" si="128"/>
        <v>2</v>
      </c>
      <c r="Q250" s="69"/>
      <c r="R250" s="2109" t="str">
        <f t="shared" si="129"/>
        <v/>
      </c>
      <c r="S250" s="69"/>
      <c r="T250" s="2109" t="str">
        <f t="shared" si="130"/>
        <v/>
      </c>
      <c r="U250" s="69"/>
      <c r="V250" s="2109">
        <f t="shared" si="131"/>
        <v>2</v>
      </c>
      <c r="W250" s="69"/>
      <c r="X250" s="2109" t="str">
        <f t="shared" si="132"/>
        <v/>
      </c>
      <c r="Y250" s="69"/>
      <c r="Z250" s="2109" t="str">
        <f t="shared" si="133"/>
        <v/>
      </c>
      <c r="AA250" s="69"/>
      <c r="AB250" s="2109" t="str">
        <f t="shared" si="134"/>
        <v/>
      </c>
      <c r="AC250" s="69"/>
      <c r="AD250" s="2109" t="str">
        <f t="shared" si="135"/>
        <v/>
      </c>
      <c r="AE250" s="69"/>
      <c r="AF250" s="2109" t="str">
        <f t="shared" si="136"/>
        <v/>
      </c>
      <c r="AG250" s="69"/>
      <c r="AH250" s="2109">
        <f t="shared" si="137"/>
        <v>2</v>
      </c>
      <c r="AI250" s="69"/>
      <c r="AJ250" s="2109" t="str">
        <f t="shared" si="138"/>
        <v/>
      </c>
      <c r="AK250" s="69"/>
      <c r="AL250" s="2109" t="str">
        <f t="shared" si="139"/>
        <v/>
      </c>
      <c r="AM250" s="69"/>
      <c r="AN250" s="2109">
        <f t="shared" si="140"/>
        <v>2</v>
      </c>
      <c r="AO250" s="69"/>
      <c r="AP250" s="2109" t="str">
        <f t="shared" si="141"/>
        <v/>
      </c>
      <c r="AQ250" s="69"/>
      <c r="AR250" s="2109" t="str">
        <f t="shared" si="142"/>
        <v/>
      </c>
      <c r="AS250" s="69"/>
      <c r="AT250" s="2109">
        <f t="shared" si="143"/>
        <v>2</v>
      </c>
      <c r="AU250" s="69"/>
      <c r="AV250" s="2109" t="str">
        <f t="shared" si="144"/>
        <v/>
      </c>
      <c r="AW250" s="69"/>
      <c r="AX250" s="2109" t="str">
        <f t="shared" si="145"/>
        <v/>
      </c>
      <c r="AY250" s="69"/>
      <c r="AZ250" s="2109" t="str">
        <f t="shared" si="146"/>
        <v/>
      </c>
      <c r="BA250" s="69"/>
      <c r="BB250" s="2109" t="str">
        <f t="shared" si="147"/>
        <v/>
      </c>
      <c r="BC250" s="69"/>
      <c r="BD250" s="2109" t="str">
        <f t="shared" si="148"/>
        <v/>
      </c>
      <c r="BE250" s="69"/>
      <c r="BF250" s="2109" t="str">
        <f t="shared" si="149"/>
        <v/>
      </c>
      <c r="BG250" s="69"/>
      <c r="BH250" s="2109">
        <f t="shared" si="150"/>
        <v>2</v>
      </c>
      <c r="BI250" s="69"/>
      <c r="BJ250" s="2109">
        <f t="shared" si="151"/>
        <v>2</v>
      </c>
      <c r="BK250" s="69"/>
      <c r="BL250" s="2109" t="str">
        <f t="shared" ref="BL250:BL251" si="156">BM218</f>
        <v/>
      </c>
      <c r="BM250" s="69"/>
      <c r="BN250" s="2192">
        <f t="shared" si="153"/>
        <v>20</v>
      </c>
      <c r="BO250" s="69"/>
      <c r="BP250" s="541"/>
      <c r="BQ250" s="633"/>
      <c r="BR250" s="541"/>
      <c r="BS250" s="541"/>
      <c r="BT250" s="541"/>
    </row>
    <row r="251" ht="21.0" customHeight="1">
      <c r="A251" s="1739"/>
      <c r="B251" s="1795"/>
      <c r="C251" s="1739"/>
      <c r="D251" s="2274"/>
      <c r="E251" s="1741"/>
      <c r="F251" s="2109" t="str">
        <f t="shared" si="123"/>
        <v/>
      </c>
      <c r="G251" s="69"/>
      <c r="H251" s="2109" t="str">
        <f t="shared" si="124"/>
        <v/>
      </c>
      <c r="I251" s="69"/>
      <c r="J251" s="2109" t="str">
        <f t="shared" si="125"/>
        <v/>
      </c>
      <c r="K251" s="69"/>
      <c r="L251" s="2109" t="str">
        <f t="shared" si="126"/>
        <v/>
      </c>
      <c r="M251" s="69"/>
      <c r="N251" s="2109" t="str">
        <f t="shared" si="127"/>
        <v/>
      </c>
      <c r="O251" s="69"/>
      <c r="P251" s="2109" t="str">
        <f t="shared" si="128"/>
        <v/>
      </c>
      <c r="Q251" s="69"/>
      <c r="R251" s="2109" t="str">
        <f t="shared" si="129"/>
        <v/>
      </c>
      <c r="S251" s="69"/>
      <c r="T251" s="2109" t="str">
        <f t="shared" si="130"/>
        <v/>
      </c>
      <c r="U251" s="69"/>
      <c r="V251" s="2109" t="str">
        <f t="shared" si="131"/>
        <v/>
      </c>
      <c r="W251" s="69"/>
      <c r="X251" s="2109" t="str">
        <f t="shared" si="132"/>
        <v/>
      </c>
      <c r="Y251" s="69"/>
      <c r="Z251" s="2109" t="str">
        <f t="shared" si="133"/>
        <v/>
      </c>
      <c r="AA251" s="69"/>
      <c r="AB251" s="2109" t="str">
        <f t="shared" si="134"/>
        <v/>
      </c>
      <c r="AC251" s="69"/>
      <c r="AD251" s="2109" t="str">
        <f t="shared" si="135"/>
        <v/>
      </c>
      <c r="AE251" s="69"/>
      <c r="AF251" s="2109" t="str">
        <f t="shared" si="136"/>
        <v/>
      </c>
      <c r="AG251" s="69"/>
      <c r="AH251" s="2109" t="str">
        <f t="shared" si="137"/>
        <v/>
      </c>
      <c r="AI251" s="69"/>
      <c r="AJ251" s="2109" t="str">
        <f t="shared" si="138"/>
        <v/>
      </c>
      <c r="AK251" s="69"/>
      <c r="AL251" s="2109" t="str">
        <f t="shared" si="139"/>
        <v/>
      </c>
      <c r="AM251" s="69"/>
      <c r="AN251" s="2109" t="str">
        <f t="shared" si="140"/>
        <v/>
      </c>
      <c r="AO251" s="69"/>
      <c r="AP251" s="2109" t="str">
        <f t="shared" si="141"/>
        <v/>
      </c>
      <c r="AQ251" s="69"/>
      <c r="AR251" s="2109" t="str">
        <f t="shared" si="142"/>
        <v/>
      </c>
      <c r="AS251" s="69"/>
      <c r="AT251" s="2109" t="str">
        <f t="shared" si="143"/>
        <v/>
      </c>
      <c r="AU251" s="69"/>
      <c r="AV251" s="2109" t="str">
        <f t="shared" si="144"/>
        <v/>
      </c>
      <c r="AW251" s="69"/>
      <c r="AX251" s="2109" t="str">
        <f t="shared" si="145"/>
        <v/>
      </c>
      <c r="AY251" s="69"/>
      <c r="AZ251" s="2109" t="str">
        <f t="shared" si="146"/>
        <v/>
      </c>
      <c r="BA251" s="69"/>
      <c r="BB251" s="2109" t="str">
        <f t="shared" si="147"/>
        <v/>
      </c>
      <c r="BC251" s="69"/>
      <c r="BD251" s="2109" t="str">
        <f t="shared" si="148"/>
        <v/>
      </c>
      <c r="BE251" s="69"/>
      <c r="BF251" s="2109" t="str">
        <f t="shared" si="149"/>
        <v/>
      </c>
      <c r="BG251" s="69"/>
      <c r="BH251" s="2109" t="str">
        <f t="shared" si="150"/>
        <v/>
      </c>
      <c r="BI251" s="69"/>
      <c r="BJ251" s="2109" t="str">
        <f t="shared" si="151"/>
        <v/>
      </c>
      <c r="BK251" s="69"/>
      <c r="BL251" s="2109" t="str">
        <f t="shared" si="156"/>
        <v/>
      </c>
      <c r="BM251" s="69"/>
      <c r="BN251" s="2192">
        <f t="shared" si="153"/>
        <v>0</v>
      </c>
      <c r="BO251" s="69"/>
      <c r="BP251" s="541"/>
      <c r="BQ251" s="633"/>
      <c r="BR251" s="541"/>
      <c r="BS251" s="541"/>
      <c r="BT251" s="541"/>
    </row>
    <row r="252" ht="21.0" customHeight="1">
      <c r="A252" s="1739"/>
      <c r="B252" s="1795"/>
      <c r="C252" s="1739"/>
      <c r="D252" s="2274"/>
      <c r="E252" s="1741"/>
      <c r="F252" s="2109">
        <f>SUM(F224:G251)</f>
        <v>171</v>
      </c>
      <c r="G252" s="69"/>
      <c r="H252" s="2109">
        <f>SUM(H224:I251)</f>
        <v>53</v>
      </c>
      <c r="I252" s="69"/>
      <c r="J252" s="2109">
        <f>SUM(J224:K251)</f>
        <v>72</v>
      </c>
      <c r="K252" s="69"/>
      <c r="L252" s="2109">
        <f>SUM(L224:M251)</f>
        <v>73</v>
      </c>
      <c r="M252" s="69"/>
      <c r="N252" s="2109">
        <f>SUM(N224:O251)</f>
        <v>114</v>
      </c>
      <c r="O252" s="69"/>
      <c r="P252" s="2109">
        <f>SUM(P224:Q251)</f>
        <v>116</v>
      </c>
      <c r="Q252" s="69"/>
      <c r="R252" s="2109">
        <f>SUM(R224:S251)</f>
        <v>47</v>
      </c>
      <c r="S252" s="69"/>
      <c r="T252" s="2109">
        <f>SUM(T224:U251)</f>
        <v>64</v>
      </c>
      <c r="U252" s="69"/>
      <c r="V252" s="2109">
        <f>SUM(V224:W251)</f>
        <v>93</v>
      </c>
      <c r="W252" s="69"/>
      <c r="X252" s="2109">
        <f>SUM(X224:Y251)</f>
        <v>92</v>
      </c>
      <c r="Y252" s="69"/>
      <c r="Z252" s="2109">
        <f>SUM(Z224:AA251)</f>
        <v>0</v>
      </c>
      <c r="AA252" s="69"/>
      <c r="AB252" s="2109">
        <f>SUM(AB224:AC251)</f>
        <v>45</v>
      </c>
      <c r="AC252" s="69"/>
      <c r="AD252" s="2109">
        <f>SUM(AD224:AE251)</f>
        <v>73</v>
      </c>
      <c r="AE252" s="69"/>
      <c r="AF252" s="2109">
        <f>SUM(AF224:AG251)</f>
        <v>110</v>
      </c>
      <c r="AG252" s="69"/>
      <c r="AH252" s="2109">
        <f>SUM(AH224:AI251)</f>
        <v>58</v>
      </c>
      <c r="AI252" s="69"/>
      <c r="AJ252" s="2109">
        <f>SUM(AJ224:AK251)</f>
        <v>81</v>
      </c>
      <c r="AK252" s="69"/>
      <c r="AL252" s="2109">
        <f>SUM(AL224:AM251)</f>
        <v>51</v>
      </c>
      <c r="AM252" s="69"/>
      <c r="AN252" s="2109">
        <f>SUM(AN224:AO251)</f>
        <v>64</v>
      </c>
      <c r="AO252" s="69"/>
      <c r="AP252" s="2109">
        <f>SUM(AP224:AQ251)</f>
        <v>63</v>
      </c>
      <c r="AQ252" s="69"/>
      <c r="AR252" s="2109">
        <f>SUM(AR224:AS251)</f>
        <v>148</v>
      </c>
      <c r="AS252" s="69"/>
      <c r="AT252" s="2109">
        <f>SUM(AT224:AU251)</f>
        <v>56</v>
      </c>
      <c r="AU252" s="69"/>
      <c r="AV252" s="2109">
        <f>SUM(AV224:AW251)</f>
        <v>76</v>
      </c>
      <c r="AW252" s="69"/>
      <c r="AX252" s="2109">
        <f>SUM(AX224:AY251)</f>
        <v>88</v>
      </c>
      <c r="AY252" s="69"/>
      <c r="AZ252" s="2109">
        <f>SUM(AZ224:BA251)</f>
        <v>74</v>
      </c>
      <c r="BA252" s="69"/>
      <c r="BB252" s="2109">
        <f>SUM(BB224:BC251)</f>
        <v>0</v>
      </c>
      <c r="BC252" s="69"/>
      <c r="BD252" s="2109">
        <f>SUM(BD224:BE251)</f>
        <v>50</v>
      </c>
      <c r="BE252" s="69"/>
      <c r="BF252" s="2109">
        <f>SUM(BF224:BG251)</f>
        <v>109</v>
      </c>
      <c r="BG252" s="69"/>
      <c r="BH252" s="2109">
        <f>SUM(BH224:BI251)</f>
        <v>84</v>
      </c>
      <c r="BI252" s="69"/>
      <c r="BJ252" s="2109">
        <f>SUM(BJ224:BK251)</f>
        <v>115</v>
      </c>
      <c r="BK252" s="69"/>
      <c r="BL252" s="2109">
        <f>SUM(BL224:BM251)</f>
        <v>0</v>
      </c>
      <c r="BM252" s="69"/>
      <c r="BN252" s="2192">
        <f t="shared" si="153"/>
        <v>2240</v>
      </c>
      <c r="BO252" s="69"/>
      <c r="BP252" s="541"/>
      <c r="BQ252" s="633"/>
      <c r="BR252" s="541"/>
      <c r="BS252" s="541"/>
      <c r="BT252" s="541"/>
    </row>
    <row r="253" ht="15.75" customHeight="1">
      <c r="A253" s="1591"/>
      <c r="B253" s="1541"/>
      <c r="C253" s="1591"/>
      <c r="D253" s="1543"/>
      <c r="E253" s="906"/>
      <c r="F253" s="620"/>
      <c r="G253" s="541"/>
      <c r="H253" s="50"/>
      <c r="J253" s="50"/>
      <c r="L253" s="50"/>
      <c r="N253" s="50"/>
      <c r="P253" s="50"/>
      <c r="R253" s="50"/>
      <c r="T253" s="50"/>
      <c r="V253" s="50"/>
      <c r="AN253" s="1190"/>
      <c r="AO253" s="1190"/>
      <c r="AP253" s="1190"/>
      <c r="AQ253" s="1190"/>
      <c r="AR253" s="1190"/>
      <c r="BH253" s="1190"/>
      <c r="BJ253" s="1190"/>
      <c r="BL253" s="541"/>
      <c r="BM253" s="684"/>
      <c r="BN253" s="677"/>
      <c r="BO253" s="684"/>
      <c r="BP253" s="541"/>
      <c r="BQ253" s="633"/>
      <c r="BR253" s="541"/>
      <c r="BS253" s="541"/>
      <c r="BT253" s="541"/>
    </row>
    <row r="254" ht="21.75" customHeight="1">
      <c r="A254" s="1547" t="s">
        <v>1279</v>
      </c>
      <c r="B254" s="1548"/>
      <c r="C254" s="2276"/>
      <c r="D254" s="2277">
        <v>46233.0</v>
      </c>
      <c r="E254" s="1551" t="s">
        <v>3131</v>
      </c>
      <c r="F254" s="1552"/>
      <c r="G254" s="1552"/>
      <c r="H254" s="1552"/>
      <c r="I254" s="1552"/>
      <c r="J254" s="1552"/>
      <c r="K254" s="1552"/>
      <c r="L254" s="1552"/>
      <c r="M254" s="1552"/>
      <c r="N254" s="1552"/>
      <c r="O254" s="1552"/>
      <c r="P254" s="1552"/>
      <c r="Q254" s="1552"/>
      <c r="R254" s="1552"/>
      <c r="S254" s="1552"/>
      <c r="T254" s="1552"/>
      <c r="U254" s="1552"/>
      <c r="V254" s="1552"/>
      <c r="W254" s="1552"/>
      <c r="X254" s="1552"/>
      <c r="Y254" s="1552"/>
      <c r="Z254" s="1552"/>
      <c r="AA254" s="1552"/>
      <c r="AB254" s="1552"/>
      <c r="AC254" s="1552"/>
      <c r="AD254" s="1552"/>
      <c r="AE254" s="1552"/>
      <c r="AF254" s="1552"/>
      <c r="AG254" s="1552"/>
      <c r="AH254" s="1552"/>
      <c r="AI254" s="1552"/>
      <c r="AJ254" s="1552"/>
      <c r="AK254" s="1552"/>
      <c r="AL254" s="1552"/>
      <c r="AM254" s="1552"/>
      <c r="AN254" s="1552"/>
      <c r="AO254" s="1552"/>
      <c r="AP254" s="1552"/>
      <c r="AQ254" s="1552"/>
      <c r="AR254" s="1552"/>
      <c r="AS254" s="1552"/>
      <c r="AT254" s="1552"/>
      <c r="AU254" s="1552"/>
      <c r="AV254" s="1552"/>
      <c r="AW254" s="1552"/>
      <c r="AX254" s="1552"/>
      <c r="AY254" s="1552"/>
      <c r="AZ254" s="1552"/>
      <c r="BA254" s="1552"/>
      <c r="BB254" s="1552"/>
      <c r="BC254" s="1552"/>
      <c r="BD254" s="1552"/>
      <c r="BE254" s="1552"/>
      <c r="BF254" s="1552"/>
      <c r="BG254" s="1552"/>
      <c r="BH254" s="1552"/>
      <c r="BI254" s="1552"/>
      <c r="BJ254" s="1552"/>
      <c r="BK254" s="1552"/>
      <c r="BL254" s="1552"/>
      <c r="BM254" s="1552"/>
      <c r="BN254" s="1552"/>
      <c r="BO254" s="1552"/>
      <c r="BP254" s="1552"/>
      <c r="BQ254" s="2056"/>
      <c r="BR254" s="1555"/>
      <c r="BS254" s="1555"/>
      <c r="BT254" s="1552"/>
    </row>
    <row r="255" ht="18.0" customHeight="1">
      <c r="A255" s="2278" t="s">
        <v>3069</v>
      </c>
      <c r="B255" s="1557" t="s">
        <v>3097</v>
      </c>
      <c r="C255" s="2278" t="s">
        <v>19</v>
      </c>
      <c r="D255" s="2278" t="s">
        <v>3070</v>
      </c>
      <c r="E255" s="2279" t="s">
        <v>471</v>
      </c>
      <c r="F255" s="1075" t="s">
        <v>1357</v>
      </c>
      <c r="G255" s="1409" t="s">
        <v>3071</v>
      </c>
      <c r="H255" s="1075" t="s">
        <v>1287</v>
      </c>
      <c r="I255" s="1409" t="s">
        <v>1288</v>
      </c>
      <c r="J255" s="1075" t="s">
        <v>1358</v>
      </c>
      <c r="K255" s="1409" t="s">
        <v>3072</v>
      </c>
      <c r="L255" s="1075" t="s">
        <v>1359</v>
      </c>
      <c r="M255" s="1409" t="s">
        <v>3073</v>
      </c>
      <c r="N255" s="1075" t="s">
        <v>1360</v>
      </c>
      <c r="O255" s="1409" t="s">
        <v>3074</v>
      </c>
      <c r="P255" s="1075" t="s">
        <v>1361</v>
      </c>
      <c r="Q255" s="1409" t="s">
        <v>3075</v>
      </c>
      <c r="R255" s="1485" t="s">
        <v>1362</v>
      </c>
      <c r="S255" s="1560" t="s">
        <v>1298</v>
      </c>
      <c r="T255" s="1427" t="s">
        <v>1299</v>
      </c>
      <c r="U255" s="1560" t="s">
        <v>1300</v>
      </c>
      <c r="V255" s="1487" t="s">
        <v>1301</v>
      </c>
      <c r="W255" s="1560" t="s">
        <v>1302</v>
      </c>
      <c r="X255" s="1427" t="s">
        <v>1363</v>
      </c>
      <c r="Y255" s="1560" t="s">
        <v>1304</v>
      </c>
      <c r="Z255" s="1487" t="s">
        <v>1305</v>
      </c>
      <c r="AA255" s="1560" t="s">
        <v>1306</v>
      </c>
      <c r="AB255" s="1487" t="s">
        <v>1307</v>
      </c>
      <c r="AC255" s="1560" t="s">
        <v>1308</v>
      </c>
      <c r="AD255" s="1487" t="s">
        <v>1309</v>
      </c>
      <c r="AE255" s="1560" t="s">
        <v>1310</v>
      </c>
      <c r="AF255" s="1427" t="s">
        <v>1311</v>
      </c>
      <c r="AG255" s="1560" t="s">
        <v>1312</v>
      </c>
      <c r="AH255" s="1487" t="s">
        <v>1313</v>
      </c>
      <c r="AI255" s="1560" t="s">
        <v>1314</v>
      </c>
      <c r="AJ255" s="1487" t="s">
        <v>1315</v>
      </c>
      <c r="AK255" s="1560" t="s">
        <v>1316</v>
      </c>
      <c r="AL255" s="1487" t="s">
        <v>1317</v>
      </c>
      <c r="AM255" s="1560" t="s">
        <v>1318</v>
      </c>
      <c r="AN255" s="1487" t="s">
        <v>1319</v>
      </c>
      <c r="AO255" s="1560" t="s">
        <v>1320</v>
      </c>
      <c r="AP255" s="1487" t="s">
        <v>1321</v>
      </c>
      <c r="AQ255" s="1486" t="s">
        <v>1322</v>
      </c>
      <c r="AR255" s="1427" t="s">
        <v>1323</v>
      </c>
      <c r="AS255" s="1486" t="s">
        <v>1324</v>
      </c>
      <c r="AT255" s="1485" t="s">
        <v>1325</v>
      </c>
      <c r="AU255" s="1486" t="s">
        <v>1326</v>
      </c>
      <c r="AV255" s="1485" t="s">
        <v>1327</v>
      </c>
      <c r="AW255" s="1486" t="s">
        <v>1328</v>
      </c>
      <c r="AX255" s="1485" t="s">
        <v>3076</v>
      </c>
      <c r="AY255" s="1486" t="s">
        <v>3077</v>
      </c>
      <c r="AZ255" s="1485" t="s">
        <v>3078</v>
      </c>
      <c r="BA255" s="1486" t="s">
        <v>3079</v>
      </c>
      <c r="BB255" s="1485" t="s">
        <v>3080</v>
      </c>
      <c r="BC255" s="1486" t="s">
        <v>3081</v>
      </c>
      <c r="BD255" s="1485" t="s">
        <v>3082</v>
      </c>
      <c r="BE255" s="1486" t="s">
        <v>3083</v>
      </c>
      <c r="BF255" s="1485" t="s">
        <v>3084</v>
      </c>
      <c r="BG255" s="1486" t="s">
        <v>3085</v>
      </c>
      <c r="BH255" s="1485" t="s">
        <v>3086</v>
      </c>
      <c r="BI255" s="1486" t="s">
        <v>3087</v>
      </c>
      <c r="BJ255" s="1485" t="s">
        <v>3088</v>
      </c>
      <c r="BK255" s="1486" t="s">
        <v>3089</v>
      </c>
      <c r="BL255" s="2278" t="s">
        <v>1425</v>
      </c>
      <c r="BM255" s="2280" t="s">
        <v>297</v>
      </c>
      <c r="BN255" s="2282" t="s">
        <v>3090</v>
      </c>
      <c r="BO255" s="2283" t="s">
        <v>3091</v>
      </c>
      <c r="BP255" s="2284" t="s">
        <v>1331</v>
      </c>
      <c r="BQ255" s="2285" t="s">
        <v>3092</v>
      </c>
      <c r="BR255" s="2278" t="s">
        <v>3093</v>
      </c>
      <c r="BS255" s="1075" t="s">
        <v>3094</v>
      </c>
      <c r="BT255" s="2163"/>
    </row>
    <row r="256" ht="18.0" customHeight="1">
      <c r="A256" s="2286"/>
      <c r="B256" s="1795">
        <v>3970.0</v>
      </c>
      <c r="C256" s="1700">
        <v>93.0</v>
      </c>
      <c r="D256" s="1568" t="s">
        <v>3095</v>
      </c>
      <c r="E256" s="1569" t="str">
        <f>'Матрица 4 недели'!D40</f>
        <v>Каша овсяная (на молоке)</v>
      </c>
      <c r="F256" s="1287">
        <v>8.0</v>
      </c>
      <c r="G256" s="2126"/>
      <c r="H256" s="1284">
        <v>3.0</v>
      </c>
      <c r="I256" s="2126"/>
      <c r="J256" s="1287">
        <v>5.0</v>
      </c>
      <c r="K256" s="2126"/>
      <c r="L256" s="2127">
        <v>4.0</v>
      </c>
      <c r="M256" s="2126"/>
      <c r="N256" s="1287">
        <v>10.0</v>
      </c>
      <c r="O256" s="2126"/>
      <c r="P256" s="2127">
        <v>6.0</v>
      </c>
      <c r="Q256" s="1140"/>
      <c r="R256" s="1290">
        <v>0.0</v>
      </c>
      <c r="S256" s="1140"/>
      <c r="T256" s="1290">
        <v>2.0</v>
      </c>
      <c r="U256" s="1140"/>
      <c r="V256" s="1287">
        <v>3.0</v>
      </c>
      <c r="W256" s="2129"/>
      <c r="X256" s="1290">
        <v>5.0</v>
      </c>
      <c r="Y256" s="1140"/>
      <c r="Z256" s="1284"/>
      <c r="AA256" s="1140"/>
      <c r="AB256" s="1290">
        <v>0.0</v>
      </c>
      <c r="AC256" s="1140"/>
      <c r="AD256" s="1290">
        <v>2.0</v>
      </c>
      <c r="AE256" s="1140"/>
      <c r="AF256" s="1290">
        <v>7.0</v>
      </c>
      <c r="AG256" s="1140"/>
      <c r="AH256" s="1137">
        <v>3.0</v>
      </c>
      <c r="AI256" s="1140"/>
      <c r="AJ256" s="1290">
        <v>2.0</v>
      </c>
      <c r="AK256" s="1140"/>
      <c r="AL256" s="1143">
        <v>0.0</v>
      </c>
      <c r="AM256" s="1138"/>
      <c r="AN256" s="1137">
        <v>0.0</v>
      </c>
      <c r="AO256" s="1138"/>
      <c r="AP256" s="1137">
        <v>2.0</v>
      </c>
      <c r="AQ256" s="1138"/>
      <c r="AR256" s="1137">
        <v>5.0</v>
      </c>
      <c r="AS256" s="1138"/>
      <c r="AT256" s="1137">
        <v>3.0</v>
      </c>
      <c r="AU256" s="1138"/>
      <c r="AV256" s="1137">
        <v>2.0</v>
      </c>
      <c r="AW256" s="1138"/>
      <c r="AX256" s="1137">
        <v>2.0</v>
      </c>
      <c r="AY256" s="1138"/>
      <c r="AZ256" s="1137">
        <v>3.0</v>
      </c>
      <c r="BA256" s="1138"/>
      <c r="BB256" s="1126"/>
      <c r="BC256" s="1138"/>
      <c r="BD256" s="1137">
        <v>2.0</v>
      </c>
      <c r="BE256" s="1138"/>
      <c r="BF256" s="1137">
        <v>2.0</v>
      </c>
      <c r="BG256" s="1138"/>
      <c r="BH256" s="1137">
        <v>0.0</v>
      </c>
      <c r="BI256" s="1138"/>
      <c r="BJ256" s="1137">
        <v>2.0</v>
      </c>
      <c r="BK256" s="1138"/>
      <c r="BL256" s="1134"/>
      <c r="BM256" s="1289"/>
      <c r="BN256" s="2130"/>
      <c r="BO256" s="1289"/>
      <c r="BP256" s="2069">
        <f t="shared" ref="BP256:BP281" si="157">(F256+H256+J256+L256+N256+P256+R256+T256+V256+X256+Z256+AB256+AD256+AF256+AH256+AJ256+AL256+AR256+BL256+AN256+AP256+AT256+AV256+AX256+AZ256+BB256+BD256+BF256+BH256+BJ256)+1</f>
        <v>84</v>
      </c>
      <c r="BQ256" s="2133">
        <f t="shared" ref="BQ256:BQ281" si="158">G256+I256+K256+M256+O256+Q256+S256+W256+Y256+U256+AA256+BM256+AG256+AI256+AK256+AS256+AC256+AM256+AE256+AO256+AQ256+AU256+AW256+AY256+BA256+BC256+BE256+BG256+BI256+BK256</f>
        <v>0</v>
      </c>
      <c r="BR256" s="1572"/>
      <c r="BS256" s="784">
        <f t="shared" ref="BS256:BS281" si="159">C256*BP256</f>
        <v>7812</v>
      </c>
      <c r="BT256" s="1545"/>
    </row>
    <row r="257" ht="18.0" customHeight="1">
      <c r="A257" s="2286"/>
      <c r="B257" s="1795">
        <v>4037.0</v>
      </c>
      <c r="C257" s="1700">
        <v>117.0</v>
      </c>
      <c r="D257" s="1568" t="s">
        <v>3095</v>
      </c>
      <c r="E257" s="1569" t="str">
        <f>'Матрица 4 недели'!D41</f>
        <v>Шарлотка с яблоком </v>
      </c>
      <c r="F257" s="1126">
        <v>20.0</v>
      </c>
      <c r="G257" s="1138">
        <v>20.0</v>
      </c>
      <c r="H257" s="1120">
        <v>0.0</v>
      </c>
      <c r="I257" s="1138">
        <v>0.0</v>
      </c>
      <c r="J257" s="1120">
        <v>7.0</v>
      </c>
      <c r="K257" s="1138">
        <v>7.0</v>
      </c>
      <c r="L257" s="1126">
        <v>9.0</v>
      </c>
      <c r="M257" s="1138">
        <v>9.0</v>
      </c>
      <c r="N257" s="1126">
        <v>9.0</v>
      </c>
      <c r="O257" s="1138">
        <v>9.0</v>
      </c>
      <c r="P257" s="1126">
        <v>4.0</v>
      </c>
      <c r="Q257" s="1138">
        <v>4.0</v>
      </c>
      <c r="R257" s="1120">
        <v>1.0</v>
      </c>
      <c r="S257" s="1138">
        <v>1.0</v>
      </c>
      <c r="T257" s="1126">
        <v>4.0</v>
      </c>
      <c r="U257" s="1138">
        <v>4.0</v>
      </c>
      <c r="V257" s="1126">
        <v>4.0</v>
      </c>
      <c r="W257" s="1138">
        <v>4.0</v>
      </c>
      <c r="X257" s="1126">
        <v>9.0</v>
      </c>
      <c r="Y257" s="1138">
        <v>9.0</v>
      </c>
      <c r="Z257" s="1126"/>
      <c r="AA257" s="1138"/>
      <c r="AB257" s="1126">
        <v>8.0</v>
      </c>
      <c r="AC257" s="1138">
        <v>8.0</v>
      </c>
      <c r="AD257" s="1126">
        <v>2.0</v>
      </c>
      <c r="AE257" s="1138">
        <v>2.0</v>
      </c>
      <c r="AF257" s="1120">
        <v>7.0</v>
      </c>
      <c r="AG257" s="1138">
        <v>7.0</v>
      </c>
      <c r="AH257" s="1120">
        <v>3.0</v>
      </c>
      <c r="AI257" s="1138">
        <v>3.0</v>
      </c>
      <c r="AJ257" s="1120">
        <v>5.0</v>
      </c>
      <c r="AK257" s="1138">
        <v>5.0</v>
      </c>
      <c r="AL257" s="1126">
        <v>6.0</v>
      </c>
      <c r="AM257" s="1138">
        <v>6.0</v>
      </c>
      <c r="AN257" s="1120">
        <v>4.0</v>
      </c>
      <c r="AO257" s="1138">
        <v>4.0</v>
      </c>
      <c r="AP257" s="1120">
        <v>5.0</v>
      </c>
      <c r="AQ257" s="1138">
        <v>5.0</v>
      </c>
      <c r="AR257" s="1126">
        <v>12.0</v>
      </c>
      <c r="AS257" s="1138">
        <v>12.0</v>
      </c>
      <c r="AT257" s="1126">
        <v>4.0</v>
      </c>
      <c r="AU257" s="1138">
        <v>4.0</v>
      </c>
      <c r="AV257" s="1126">
        <v>8.0</v>
      </c>
      <c r="AW257" s="1138">
        <v>8.0</v>
      </c>
      <c r="AX257" s="1126">
        <v>6.0</v>
      </c>
      <c r="AY257" s="1138">
        <v>6.0</v>
      </c>
      <c r="AZ257" s="1126">
        <v>4.0</v>
      </c>
      <c r="BA257" s="1138">
        <v>4.0</v>
      </c>
      <c r="BB257" s="1126"/>
      <c r="BC257" s="1138"/>
      <c r="BD257" s="1126">
        <v>2.0</v>
      </c>
      <c r="BE257" s="1138">
        <v>2.0</v>
      </c>
      <c r="BF257" s="1126">
        <v>5.0</v>
      </c>
      <c r="BG257" s="1138">
        <v>5.0</v>
      </c>
      <c r="BH257" s="1126">
        <v>3.0</v>
      </c>
      <c r="BI257" s="1138">
        <v>3.0</v>
      </c>
      <c r="BJ257" s="1126">
        <v>6.0</v>
      </c>
      <c r="BK257" s="1138">
        <v>6.0</v>
      </c>
      <c r="BL257" s="1134"/>
      <c r="BM257" s="1140"/>
      <c r="BN257" s="2130"/>
      <c r="BO257" s="1140"/>
      <c r="BP257" s="80">
        <f t="shared" si="157"/>
        <v>158</v>
      </c>
      <c r="BQ257" s="2133">
        <f t="shared" si="158"/>
        <v>157</v>
      </c>
      <c r="BR257" s="1572">
        <f t="shared" ref="BR257:BR281" si="160">BQ257*C257</f>
        <v>18369</v>
      </c>
      <c r="BS257" s="784">
        <f t="shared" si="159"/>
        <v>18486</v>
      </c>
      <c r="BT257" s="1545"/>
    </row>
    <row r="258" ht="18.0" customHeight="1">
      <c r="A258" s="2286"/>
      <c r="B258" s="1795">
        <v>4242.0</v>
      </c>
      <c r="C258" s="1700">
        <v>158.0</v>
      </c>
      <c r="D258" s="1568" t="s">
        <v>3095</v>
      </c>
      <c r="E258" s="1569" t="str">
        <f>'Матрица 4 недели'!D42</f>
        <v>Яичный рулет с овощами</v>
      </c>
      <c r="F258" s="1126">
        <v>20.0</v>
      </c>
      <c r="G258" s="1138">
        <v>20.0</v>
      </c>
      <c r="H258" s="1120">
        <v>3.0</v>
      </c>
      <c r="I258" s="1138">
        <v>3.0</v>
      </c>
      <c r="J258" s="1120">
        <v>7.0</v>
      </c>
      <c r="K258" s="1405">
        <v>7.0</v>
      </c>
      <c r="L258" s="1161">
        <v>8.0</v>
      </c>
      <c r="M258" s="1405">
        <v>8.0</v>
      </c>
      <c r="N258" s="1126">
        <v>9.0</v>
      </c>
      <c r="O258" s="1138">
        <v>9.0</v>
      </c>
      <c r="P258" s="1126">
        <v>6.0</v>
      </c>
      <c r="Q258" s="1138">
        <v>6.0</v>
      </c>
      <c r="R258" s="1120">
        <v>4.0</v>
      </c>
      <c r="S258" s="1138">
        <v>4.0</v>
      </c>
      <c r="T258" s="1126">
        <v>6.0</v>
      </c>
      <c r="U258" s="1138">
        <v>6.0</v>
      </c>
      <c r="V258" s="1126">
        <v>5.0</v>
      </c>
      <c r="W258" s="1138">
        <v>5.0</v>
      </c>
      <c r="X258" s="1126">
        <v>5.0</v>
      </c>
      <c r="Y258" s="1138">
        <v>5.0</v>
      </c>
      <c r="Z258" s="1126"/>
      <c r="AA258" s="1138"/>
      <c r="AB258" s="1126">
        <v>8.0</v>
      </c>
      <c r="AC258" s="1138">
        <v>8.0</v>
      </c>
      <c r="AD258" s="1126">
        <v>3.0</v>
      </c>
      <c r="AE258" s="1138">
        <v>3.0</v>
      </c>
      <c r="AF258" s="1120">
        <v>7.0</v>
      </c>
      <c r="AG258" s="1138">
        <v>7.0</v>
      </c>
      <c r="AH258" s="1120">
        <v>6.0</v>
      </c>
      <c r="AI258" s="1138">
        <v>6.0</v>
      </c>
      <c r="AJ258" s="1120">
        <v>6.0</v>
      </c>
      <c r="AK258" s="1138">
        <v>6.0</v>
      </c>
      <c r="AL258" s="1126">
        <v>4.0</v>
      </c>
      <c r="AM258" s="1138">
        <v>4.0</v>
      </c>
      <c r="AN258" s="1120">
        <v>4.0</v>
      </c>
      <c r="AO258" s="1138">
        <v>4.0</v>
      </c>
      <c r="AP258" s="1120">
        <v>3.0</v>
      </c>
      <c r="AQ258" s="1138">
        <v>3.0</v>
      </c>
      <c r="AR258" s="1126">
        <v>10.0</v>
      </c>
      <c r="AS258" s="1138">
        <v>10.0</v>
      </c>
      <c r="AT258" s="1126">
        <v>4.0</v>
      </c>
      <c r="AU258" s="1138">
        <v>4.0</v>
      </c>
      <c r="AV258" s="1126">
        <v>5.0</v>
      </c>
      <c r="AW258" s="1138">
        <v>5.0</v>
      </c>
      <c r="AX258" s="1126">
        <v>3.0</v>
      </c>
      <c r="AY258" s="1138">
        <v>3.0</v>
      </c>
      <c r="AZ258" s="1126">
        <v>4.0</v>
      </c>
      <c r="BA258" s="1138">
        <v>4.0</v>
      </c>
      <c r="BB258" s="1126"/>
      <c r="BC258" s="1138"/>
      <c r="BD258" s="1126">
        <v>3.0</v>
      </c>
      <c r="BE258" s="1138">
        <v>3.0</v>
      </c>
      <c r="BF258" s="1126">
        <v>10.0</v>
      </c>
      <c r="BG258" s="1138">
        <v>10.0</v>
      </c>
      <c r="BH258" s="1126">
        <v>3.0</v>
      </c>
      <c r="BI258" s="1138">
        <v>3.0</v>
      </c>
      <c r="BJ258" s="1126">
        <v>6.0</v>
      </c>
      <c r="BK258" s="1138">
        <v>6.0</v>
      </c>
      <c r="BL258" s="1134"/>
      <c r="BM258" s="1140"/>
      <c r="BN258" s="2130"/>
      <c r="BO258" s="1140"/>
      <c r="BP258" s="80">
        <f t="shared" si="157"/>
        <v>163</v>
      </c>
      <c r="BQ258" s="2133">
        <f t="shared" si="158"/>
        <v>162</v>
      </c>
      <c r="BR258" s="1572">
        <f t="shared" si="160"/>
        <v>25596</v>
      </c>
      <c r="BS258" s="784">
        <f t="shared" si="159"/>
        <v>25754</v>
      </c>
      <c r="BT258" s="1545"/>
    </row>
    <row r="259" ht="18.0" customHeight="1">
      <c r="A259" s="2286"/>
      <c r="B259" s="1795">
        <v>3323.0</v>
      </c>
      <c r="C259" s="1700">
        <v>98.0</v>
      </c>
      <c r="D259" s="1568" t="s">
        <v>70</v>
      </c>
      <c r="E259" s="1172" t="str">
        <f>'Матрица 4 недели'!G40</f>
        <v>Салат ''Морковь с чесноком'' 120гр</v>
      </c>
      <c r="F259" s="1126">
        <v>15.0</v>
      </c>
      <c r="G259" s="1138">
        <v>15.0</v>
      </c>
      <c r="H259" s="1126">
        <v>1.0</v>
      </c>
      <c r="I259" s="1138">
        <v>1.0</v>
      </c>
      <c r="J259" s="1126">
        <v>7.0</v>
      </c>
      <c r="K259" s="1138">
        <v>7.0</v>
      </c>
      <c r="L259" s="1126">
        <v>5.0</v>
      </c>
      <c r="M259" s="1138">
        <v>5.0</v>
      </c>
      <c r="N259" s="1126">
        <v>8.0</v>
      </c>
      <c r="O259" s="1138">
        <v>8.0</v>
      </c>
      <c r="P259" s="1126">
        <v>10.0</v>
      </c>
      <c r="Q259" s="1138">
        <v>10.0</v>
      </c>
      <c r="R259" s="1126">
        <v>2.0</v>
      </c>
      <c r="S259" s="1138">
        <v>2.0</v>
      </c>
      <c r="T259" s="1126">
        <v>2.0</v>
      </c>
      <c r="U259" s="1138">
        <v>2.0</v>
      </c>
      <c r="V259" s="1137">
        <v>4.0</v>
      </c>
      <c r="W259" s="1138">
        <v>4.0</v>
      </c>
      <c r="X259" s="1137">
        <v>5.0</v>
      </c>
      <c r="Y259" s="1138">
        <v>5.0</v>
      </c>
      <c r="Z259" s="1126"/>
      <c r="AA259" s="1138"/>
      <c r="AB259" s="1137">
        <v>2.0</v>
      </c>
      <c r="AC259" s="1138">
        <v>2.0</v>
      </c>
      <c r="AD259" s="1137">
        <v>0.0</v>
      </c>
      <c r="AE259" s="1138">
        <v>0.0</v>
      </c>
      <c r="AF259" s="1137">
        <v>5.0</v>
      </c>
      <c r="AG259" s="1138">
        <v>5.0</v>
      </c>
      <c r="AH259" s="1137">
        <v>5.0</v>
      </c>
      <c r="AI259" s="1138">
        <v>5.0</v>
      </c>
      <c r="AJ259" s="1120">
        <v>4.0</v>
      </c>
      <c r="AK259" s="1138">
        <v>4.0</v>
      </c>
      <c r="AL259" s="1126">
        <v>3.0</v>
      </c>
      <c r="AM259" s="1138">
        <v>3.0</v>
      </c>
      <c r="AN259" s="1120">
        <v>4.0</v>
      </c>
      <c r="AO259" s="1138">
        <v>4.0</v>
      </c>
      <c r="AP259" s="1120">
        <v>5.0</v>
      </c>
      <c r="AQ259" s="1138">
        <v>5.0</v>
      </c>
      <c r="AR259" s="1120">
        <v>15.0</v>
      </c>
      <c r="AS259" s="1138">
        <v>15.0</v>
      </c>
      <c r="AT259" s="1126">
        <v>2.0</v>
      </c>
      <c r="AU259" s="1138">
        <v>2.0</v>
      </c>
      <c r="AV259" s="1126">
        <v>7.0</v>
      </c>
      <c r="AW259" s="1138">
        <v>7.0</v>
      </c>
      <c r="AX259" s="1126">
        <v>2.0</v>
      </c>
      <c r="AY259" s="1138">
        <v>2.0</v>
      </c>
      <c r="AZ259" s="1126">
        <v>6.0</v>
      </c>
      <c r="BA259" s="1138">
        <v>6.0</v>
      </c>
      <c r="BB259" s="1126"/>
      <c r="BC259" s="1138"/>
      <c r="BD259" s="1126">
        <v>2.0</v>
      </c>
      <c r="BE259" s="1138">
        <v>2.0</v>
      </c>
      <c r="BF259" s="1126">
        <v>10.0</v>
      </c>
      <c r="BG259" s="1138">
        <v>10.0</v>
      </c>
      <c r="BH259" s="1126">
        <v>5.0</v>
      </c>
      <c r="BI259" s="1138">
        <v>5.0</v>
      </c>
      <c r="BJ259" s="1126">
        <v>5.0</v>
      </c>
      <c r="BK259" s="1138">
        <v>5.0</v>
      </c>
      <c r="BL259" s="1134">
        <v>42.0</v>
      </c>
      <c r="BM259" s="1138"/>
      <c r="BN259" s="1087">
        <v>10.0</v>
      </c>
      <c r="BO259" s="1138">
        <v>10.0</v>
      </c>
      <c r="BP259" s="80">
        <f t="shared" si="157"/>
        <v>184</v>
      </c>
      <c r="BQ259" s="2137">
        <f t="shared" si="158"/>
        <v>141</v>
      </c>
      <c r="BR259" s="1572">
        <f t="shared" si="160"/>
        <v>13818</v>
      </c>
      <c r="BS259" s="784">
        <f t="shared" si="159"/>
        <v>18032</v>
      </c>
      <c r="BT259" s="1545"/>
    </row>
    <row r="260" ht="18.0" customHeight="1">
      <c r="A260" s="2286"/>
      <c r="B260" s="1795">
        <v>4058.0</v>
      </c>
      <c r="C260" s="1700">
        <v>98.0</v>
      </c>
      <c r="D260" s="1568" t="s">
        <v>70</v>
      </c>
      <c r="E260" s="1569" t="str">
        <f>'Матрица 4 недели'!G41</f>
        <v>Салат "Городской"(колбаса вареная)</v>
      </c>
      <c r="F260" s="1120">
        <v>28.0</v>
      </c>
      <c r="G260" s="1138">
        <v>29.0</v>
      </c>
      <c r="H260" s="1120">
        <v>3.0</v>
      </c>
      <c r="I260" s="1138">
        <v>3.0</v>
      </c>
      <c r="J260" s="1120">
        <v>7.0</v>
      </c>
      <c r="K260" s="1138">
        <v>7.0</v>
      </c>
      <c r="L260" s="1120">
        <v>3.0</v>
      </c>
      <c r="M260" s="1138">
        <v>4.0</v>
      </c>
      <c r="N260" s="1120">
        <v>7.0</v>
      </c>
      <c r="O260" s="1138">
        <v>7.0</v>
      </c>
      <c r="P260" s="1120">
        <v>3.0</v>
      </c>
      <c r="Q260" s="1138">
        <v>4.0</v>
      </c>
      <c r="R260" s="1120">
        <v>2.0</v>
      </c>
      <c r="S260" s="1138">
        <v>2.0</v>
      </c>
      <c r="T260" s="1120">
        <v>2.0</v>
      </c>
      <c r="U260" s="1138">
        <v>2.0</v>
      </c>
      <c r="V260" s="1120">
        <v>3.0</v>
      </c>
      <c r="W260" s="1138">
        <v>3.0</v>
      </c>
      <c r="X260" s="1120">
        <v>7.0</v>
      </c>
      <c r="Y260" s="1138">
        <v>7.0</v>
      </c>
      <c r="Z260" s="1126"/>
      <c r="AA260" s="1138"/>
      <c r="AB260" s="1120">
        <v>2.0</v>
      </c>
      <c r="AC260" s="1138">
        <v>2.0</v>
      </c>
      <c r="AD260" s="1120">
        <v>3.0</v>
      </c>
      <c r="AE260" s="1138">
        <v>3.0</v>
      </c>
      <c r="AF260" s="1137">
        <v>2.0</v>
      </c>
      <c r="AG260" s="1138">
        <v>2.0</v>
      </c>
      <c r="AH260" s="1120">
        <v>5.0</v>
      </c>
      <c r="AI260" s="1138">
        <v>5.0</v>
      </c>
      <c r="AJ260" s="1120">
        <v>2.0</v>
      </c>
      <c r="AK260" s="1138">
        <v>2.0</v>
      </c>
      <c r="AL260" s="1126">
        <v>3.0</v>
      </c>
      <c r="AM260" s="1138">
        <v>3.0</v>
      </c>
      <c r="AN260" s="1120">
        <v>2.0</v>
      </c>
      <c r="AO260" s="1138">
        <v>2.0</v>
      </c>
      <c r="AP260" s="1120">
        <v>2.0</v>
      </c>
      <c r="AQ260" s="1138">
        <v>2.0</v>
      </c>
      <c r="AR260" s="1120">
        <v>20.0</v>
      </c>
      <c r="AS260" s="1138">
        <v>21.0</v>
      </c>
      <c r="AT260" s="1126">
        <v>2.0</v>
      </c>
      <c r="AU260" s="1138">
        <v>2.0</v>
      </c>
      <c r="AV260" s="1126">
        <v>8.0</v>
      </c>
      <c r="AW260" s="1138">
        <v>8.0</v>
      </c>
      <c r="AX260" s="1126">
        <v>2.0</v>
      </c>
      <c r="AY260" s="1138">
        <v>2.0</v>
      </c>
      <c r="AZ260" s="1126">
        <v>4.0</v>
      </c>
      <c r="BA260" s="1138">
        <v>4.0</v>
      </c>
      <c r="BB260" s="1126"/>
      <c r="BC260" s="1138"/>
      <c r="BD260" s="1126">
        <v>2.0</v>
      </c>
      <c r="BE260" s="1138">
        <v>2.0</v>
      </c>
      <c r="BF260" s="1126">
        <v>11.0</v>
      </c>
      <c r="BG260" s="1138">
        <v>11.0</v>
      </c>
      <c r="BH260" s="1126">
        <v>3.0</v>
      </c>
      <c r="BI260" s="1138">
        <v>3.0</v>
      </c>
      <c r="BJ260" s="1126">
        <v>7.0</v>
      </c>
      <c r="BK260" s="1138">
        <v>7.0</v>
      </c>
      <c r="BL260" s="1134">
        <v>42.0</v>
      </c>
      <c r="BM260" s="1140"/>
      <c r="BN260" s="2130"/>
      <c r="BO260" s="1140"/>
      <c r="BP260" s="80">
        <f t="shared" si="157"/>
        <v>188</v>
      </c>
      <c r="BQ260" s="2133">
        <f t="shared" si="158"/>
        <v>149</v>
      </c>
      <c r="BR260" s="1572">
        <f t="shared" si="160"/>
        <v>14602</v>
      </c>
      <c r="BS260" s="784">
        <f t="shared" si="159"/>
        <v>18424</v>
      </c>
      <c r="BT260" s="1545"/>
    </row>
    <row r="261" ht="18.0" customHeight="1">
      <c r="A261" s="2286"/>
      <c r="B261" s="1795">
        <v>2706.0</v>
      </c>
      <c r="C261" s="1700">
        <v>98.0</v>
      </c>
      <c r="D261" s="1568" t="s">
        <v>70</v>
      </c>
      <c r="E261" s="1569" t="str">
        <f>'Матрица 4 недели'!G42</f>
        <v>Салат ''Фасолька'' с курицей  </v>
      </c>
      <c r="F261" s="1120">
        <v>13.0</v>
      </c>
      <c r="G261" s="1138">
        <v>14.0</v>
      </c>
      <c r="H261" s="1120">
        <v>1.0</v>
      </c>
      <c r="I261" s="1138">
        <v>1.0</v>
      </c>
      <c r="J261" s="1120">
        <v>7.0</v>
      </c>
      <c r="K261" s="1138">
        <v>7.0</v>
      </c>
      <c r="L261" s="1120">
        <v>3.0</v>
      </c>
      <c r="M261" s="1138">
        <v>4.0</v>
      </c>
      <c r="N261" s="1120">
        <v>5.0</v>
      </c>
      <c r="O261" s="1138">
        <v>5.0</v>
      </c>
      <c r="P261" s="1126">
        <v>8.0</v>
      </c>
      <c r="Q261" s="1138">
        <v>9.0</v>
      </c>
      <c r="R261" s="1120">
        <v>0.0</v>
      </c>
      <c r="S261" s="1138">
        <v>0.0</v>
      </c>
      <c r="T261" s="1120">
        <v>5.0</v>
      </c>
      <c r="U261" s="1138">
        <v>5.0</v>
      </c>
      <c r="V261" s="1120">
        <v>2.0</v>
      </c>
      <c r="W261" s="1138">
        <v>2.0</v>
      </c>
      <c r="X261" s="1120">
        <v>7.0</v>
      </c>
      <c r="Y261" s="1138">
        <v>7.0</v>
      </c>
      <c r="Z261" s="1126"/>
      <c r="AA261" s="1138"/>
      <c r="AB261" s="1120">
        <v>2.0</v>
      </c>
      <c r="AC261" s="1138">
        <v>2.0</v>
      </c>
      <c r="AD261" s="1120">
        <v>3.0</v>
      </c>
      <c r="AE261" s="1138">
        <v>3.0</v>
      </c>
      <c r="AF261" s="1137">
        <v>3.0</v>
      </c>
      <c r="AG261" s="1138">
        <v>3.0</v>
      </c>
      <c r="AH261" s="1120">
        <v>3.0</v>
      </c>
      <c r="AI261" s="1138">
        <v>3.0</v>
      </c>
      <c r="AJ261" s="1120">
        <v>4.0</v>
      </c>
      <c r="AK261" s="1138">
        <v>4.0</v>
      </c>
      <c r="AL261" s="1126">
        <v>3.0</v>
      </c>
      <c r="AM261" s="1138">
        <v>3.0</v>
      </c>
      <c r="AN261" s="1120">
        <v>2.0</v>
      </c>
      <c r="AO261" s="1138">
        <v>2.0</v>
      </c>
      <c r="AP261" s="1120">
        <v>4.0</v>
      </c>
      <c r="AQ261" s="1138">
        <v>4.0</v>
      </c>
      <c r="AR261" s="1120">
        <v>18.0</v>
      </c>
      <c r="AS261" s="1138">
        <v>18.0</v>
      </c>
      <c r="AT261" s="1126">
        <v>2.0</v>
      </c>
      <c r="AU261" s="1138">
        <v>2.0</v>
      </c>
      <c r="AV261" s="1126">
        <v>7.0</v>
      </c>
      <c r="AW261" s="1138">
        <v>7.0</v>
      </c>
      <c r="AX261" s="1126">
        <v>7.0</v>
      </c>
      <c r="AY261" s="1138">
        <v>7.0</v>
      </c>
      <c r="AZ261" s="1126">
        <v>1.0</v>
      </c>
      <c r="BA261" s="1138">
        <v>1.0</v>
      </c>
      <c r="BB261" s="1126"/>
      <c r="BC261" s="1138"/>
      <c r="BD261" s="1126">
        <v>2.0</v>
      </c>
      <c r="BE261" s="1138">
        <v>2.0</v>
      </c>
      <c r="BF261" s="1126">
        <v>6.0</v>
      </c>
      <c r="BG261" s="1138">
        <v>6.0</v>
      </c>
      <c r="BH261" s="1126">
        <v>4.0</v>
      </c>
      <c r="BI261" s="1138">
        <v>4.0</v>
      </c>
      <c r="BJ261" s="1126">
        <v>7.0</v>
      </c>
      <c r="BK261" s="1138">
        <v>7.0</v>
      </c>
      <c r="BL261" s="1134">
        <v>41.0</v>
      </c>
      <c r="BM261" s="1140"/>
      <c r="BN261" s="2130"/>
      <c r="BO261" s="1140"/>
      <c r="BP261" s="80">
        <f t="shared" si="157"/>
        <v>171</v>
      </c>
      <c r="BQ261" s="2133">
        <f t="shared" si="158"/>
        <v>132</v>
      </c>
      <c r="BR261" s="1572">
        <f t="shared" si="160"/>
        <v>12936</v>
      </c>
      <c r="BS261" s="784">
        <f t="shared" si="159"/>
        <v>16758</v>
      </c>
      <c r="BT261" s="1545"/>
    </row>
    <row r="262" ht="18.0" customHeight="1">
      <c r="A262" s="2286"/>
      <c r="B262" s="1795">
        <v>3823.0</v>
      </c>
      <c r="C262" s="1700">
        <v>165.0</v>
      </c>
      <c r="D262" s="1580" t="s">
        <v>537</v>
      </c>
      <c r="E262" s="1569" t="str">
        <f>'Матрица 4 недели'!G43</f>
        <v>Салат "Мимоза" с рыбой 220гр</v>
      </c>
      <c r="F262" s="1120">
        <v>13.0</v>
      </c>
      <c r="G262" s="1138">
        <v>13.0</v>
      </c>
      <c r="H262" s="1120">
        <v>4.0</v>
      </c>
      <c r="I262" s="1138">
        <v>4.0</v>
      </c>
      <c r="J262" s="1120">
        <v>5.0</v>
      </c>
      <c r="K262" s="1138">
        <v>5.0</v>
      </c>
      <c r="L262" s="1820">
        <v>2.0</v>
      </c>
      <c r="M262" s="1138">
        <v>2.0</v>
      </c>
      <c r="N262" s="1120">
        <v>8.0</v>
      </c>
      <c r="O262" s="1138">
        <v>8.0</v>
      </c>
      <c r="P262" s="1126">
        <v>5.0</v>
      </c>
      <c r="Q262" s="1138">
        <v>5.0</v>
      </c>
      <c r="R262" s="1120">
        <v>2.0</v>
      </c>
      <c r="S262" s="1138">
        <v>2.0</v>
      </c>
      <c r="T262" s="1120">
        <v>2.0</v>
      </c>
      <c r="U262" s="1138">
        <v>2.0</v>
      </c>
      <c r="V262" s="1120">
        <v>3.0</v>
      </c>
      <c r="W262" s="1138">
        <v>3.0</v>
      </c>
      <c r="X262" s="1120">
        <v>6.0</v>
      </c>
      <c r="Y262" s="1138">
        <v>6.0</v>
      </c>
      <c r="Z262" s="1126"/>
      <c r="AA262" s="1138"/>
      <c r="AB262" s="1120">
        <v>2.0</v>
      </c>
      <c r="AC262" s="1138">
        <v>2.0</v>
      </c>
      <c r="AD262" s="1120">
        <v>2.0</v>
      </c>
      <c r="AE262" s="1138">
        <v>2.0</v>
      </c>
      <c r="AF262" s="1120">
        <v>5.0</v>
      </c>
      <c r="AG262" s="1138">
        <v>5.0</v>
      </c>
      <c r="AH262" s="1120">
        <v>2.0</v>
      </c>
      <c r="AI262" s="1138">
        <v>2.0</v>
      </c>
      <c r="AJ262" s="1120">
        <v>2.0</v>
      </c>
      <c r="AK262" s="1138">
        <v>2.0</v>
      </c>
      <c r="AL262" s="1126">
        <v>4.0</v>
      </c>
      <c r="AM262" s="1138">
        <v>4.0</v>
      </c>
      <c r="AN262" s="1120">
        <v>1.0</v>
      </c>
      <c r="AO262" s="1138">
        <v>1.0</v>
      </c>
      <c r="AP262" s="1120">
        <v>2.0</v>
      </c>
      <c r="AQ262" s="1138">
        <v>2.0</v>
      </c>
      <c r="AR262" s="1120">
        <v>6.0</v>
      </c>
      <c r="AS262" s="1138">
        <v>6.0</v>
      </c>
      <c r="AT262" s="1126">
        <v>2.0</v>
      </c>
      <c r="AU262" s="1138">
        <v>2.0</v>
      </c>
      <c r="AV262" s="1126">
        <v>4.0</v>
      </c>
      <c r="AW262" s="1138">
        <v>4.0</v>
      </c>
      <c r="AX262" s="1126">
        <v>2.0</v>
      </c>
      <c r="AY262" s="1138">
        <v>2.0</v>
      </c>
      <c r="AZ262" s="1126">
        <v>3.0</v>
      </c>
      <c r="BA262" s="1138">
        <v>3.0</v>
      </c>
      <c r="BB262" s="1126"/>
      <c r="BC262" s="1138"/>
      <c r="BD262" s="1126">
        <v>2.0</v>
      </c>
      <c r="BE262" s="1138">
        <v>2.0</v>
      </c>
      <c r="BF262" s="1126">
        <v>6.0</v>
      </c>
      <c r="BG262" s="1138">
        <v>6.0</v>
      </c>
      <c r="BH262" s="1126">
        <v>2.0</v>
      </c>
      <c r="BI262" s="1138">
        <v>2.0</v>
      </c>
      <c r="BJ262" s="1126">
        <v>3.0</v>
      </c>
      <c r="BK262" s="1138">
        <v>3.0</v>
      </c>
      <c r="BL262" s="977"/>
      <c r="BM262" s="1140"/>
      <c r="BN262" s="2130"/>
      <c r="BO262" s="1140"/>
      <c r="BP262" s="80">
        <f t="shared" si="157"/>
        <v>101</v>
      </c>
      <c r="BQ262" s="2133">
        <f t="shared" si="158"/>
        <v>100</v>
      </c>
      <c r="BR262" s="1572">
        <f t="shared" si="160"/>
        <v>16500</v>
      </c>
      <c r="BS262" s="784">
        <f t="shared" si="159"/>
        <v>16665</v>
      </c>
      <c r="BT262" s="1545"/>
    </row>
    <row r="263" ht="18.0" customHeight="1">
      <c r="A263" s="2286"/>
      <c r="B263" s="1795">
        <v>2288.0</v>
      </c>
      <c r="C263" s="1700">
        <v>88.0</v>
      </c>
      <c r="D263" s="1627" t="s">
        <v>74</v>
      </c>
      <c r="E263" s="1569" t="str">
        <f>'Матрица 4 недели'!J40</f>
        <v>Суп картофельный с курицей</v>
      </c>
      <c r="F263" s="1120"/>
      <c r="G263" s="1138"/>
      <c r="H263" s="1120"/>
      <c r="I263" s="1138"/>
      <c r="J263" s="1120"/>
      <c r="K263" s="1138"/>
      <c r="L263" s="1820"/>
      <c r="M263" s="1138"/>
      <c r="N263" s="1120"/>
      <c r="O263" s="1138"/>
      <c r="P263" s="1126"/>
      <c r="Q263" s="1138"/>
      <c r="R263" s="1120"/>
      <c r="S263" s="1138"/>
      <c r="T263" s="1120"/>
      <c r="U263" s="1138"/>
      <c r="V263" s="1120"/>
      <c r="W263" s="1138"/>
      <c r="X263" s="1120"/>
      <c r="Y263" s="1138"/>
      <c r="Z263" s="1126"/>
      <c r="AA263" s="1138"/>
      <c r="AB263" s="1120"/>
      <c r="AC263" s="1138"/>
      <c r="AD263" s="1120"/>
      <c r="AE263" s="1138"/>
      <c r="AF263" s="1120"/>
      <c r="AG263" s="1138"/>
      <c r="AH263" s="1120"/>
      <c r="AI263" s="1138"/>
      <c r="AJ263" s="1120"/>
      <c r="AK263" s="1138"/>
      <c r="AL263" s="1126"/>
      <c r="AM263" s="1138"/>
      <c r="AN263" s="1120"/>
      <c r="AO263" s="1138"/>
      <c r="AP263" s="1120"/>
      <c r="AQ263" s="1138"/>
      <c r="AR263" s="1120"/>
      <c r="AS263" s="1138"/>
      <c r="AT263" s="1126"/>
      <c r="AU263" s="1138"/>
      <c r="AV263" s="1126"/>
      <c r="AW263" s="1138"/>
      <c r="AX263" s="1126"/>
      <c r="AY263" s="1138"/>
      <c r="AZ263" s="1126"/>
      <c r="BA263" s="1138"/>
      <c r="BB263" s="1126"/>
      <c r="BC263" s="1138"/>
      <c r="BD263" s="1126"/>
      <c r="BE263" s="1138"/>
      <c r="BF263" s="1126"/>
      <c r="BG263" s="1138"/>
      <c r="BH263" s="1126"/>
      <c r="BI263" s="1138"/>
      <c r="BJ263" s="1126"/>
      <c r="BK263" s="1138"/>
      <c r="BL263" s="1134">
        <v>120.0</v>
      </c>
      <c r="BM263" s="1140"/>
      <c r="BN263" s="2130">
        <v>10.0</v>
      </c>
      <c r="BO263" s="1140">
        <v>10.0</v>
      </c>
      <c r="BP263" s="80">
        <f t="shared" si="157"/>
        <v>121</v>
      </c>
      <c r="BQ263" s="2133">
        <f t="shared" si="158"/>
        <v>0</v>
      </c>
      <c r="BR263" s="1572">
        <f t="shared" si="160"/>
        <v>0</v>
      </c>
      <c r="BS263" s="784">
        <f t="shared" si="159"/>
        <v>10648</v>
      </c>
      <c r="BT263" s="1545"/>
    </row>
    <row r="264" ht="18.0" customHeight="1">
      <c r="A264" s="2286"/>
      <c r="B264" s="1795"/>
      <c r="C264" s="1700"/>
      <c r="D264" s="1568"/>
      <c r="E264" s="1569" t="str">
        <f>'Матрица 4 недели'!J41</f>
        <v/>
      </c>
      <c r="F264" s="1126">
        <v>15.0</v>
      </c>
      <c r="G264" s="1138">
        <v>10.0</v>
      </c>
      <c r="H264" s="1126">
        <v>4.0</v>
      </c>
      <c r="I264" s="1138">
        <v>8.0</v>
      </c>
      <c r="J264" s="1126">
        <v>6.0</v>
      </c>
      <c r="K264" s="1138">
        <v>6.0</v>
      </c>
      <c r="L264" s="1284">
        <v>5.0</v>
      </c>
      <c r="M264" s="1138">
        <v>5.0</v>
      </c>
      <c r="N264" s="1126">
        <v>4.0</v>
      </c>
      <c r="O264" s="1138">
        <v>5.0</v>
      </c>
      <c r="P264" s="1126">
        <v>6.0</v>
      </c>
      <c r="Q264" s="1138">
        <v>6.0</v>
      </c>
      <c r="R264" s="1120">
        <v>2.0</v>
      </c>
      <c r="S264" s="1138">
        <v>2.0</v>
      </c>
      <c r="T264" s="1126">
        <v>3.0</v>
      </c>
      <c r="U264" s="1138">
        <v>3.0</v>
      </c>
      <c r="V264" s="1126">
        <v>4.0</v>
      </c>
      <c r="W264" s="1138">
        <v>4.0</v>
      </c>
      <c r="X264" s="1126">
        <v>2.0</v>
      </c>
      <c r="Y264" s="1138">
        <v>2.0</v>
      </c>
      <c r="Z264" s="1126"/>
      <c r="AA264" s="1138">
        <v>6.0</v>
      </c>
      <c r="AB264" s="1126">
        <v>2.0</v>
      </c>
      <c r="AC264" s="1138">
        <v>2.0</v>
      </c>
      <c r="AD264" s="1126">
        <v>2.0</v>
      </c>
      <c r="AE264" s="1138">
        <v>2.0</v>
      </c>
      <c r="AF264" s="1126">
        <v>0.0</v>
      </c>
      <c r="AG264" s="1138">
        <v>0.0</v>
      </c>
      <c r="AH264" s="1290">
        <v>8.0</v>
      </c>
      <c r="AI264" s="1138">
        <v>8.0</v>
      </c>
      <c r="AJ264" s="1137">
        <v>4.0</v>
      </c>
      <c r="AK264" s="1289">
        <v>4.0</v>
      </c>
      <c r="AL264" s="1126">
        <v>3.0</v>
      </c>
      <c r="AM264" s="1138">
        <v>3.0</v>
      </c>
      <c r="AN264" s="1126">
        <v>2.0</v>
      </c>
      <c r="AO264" s="1138">
        <v>2.0</v>
      </c>
      <c r="AP264" s="1126">
        <v>2.0</v>
      </c>
      <c r="AQ264" s="1138">
        <v>2.0</v>
      </c>
      <c r="AR264" s="1126">
        <v>5.0</v>
      </c>
      <c r="AS264" s="1138">
        <v>6.0</v>
      </c>
      <c r="AT264" s="1126">
        <v>3.0</v>
      </c>
      <c r="AU264" s="1138">
        <v>3.0</v>
      </c>
      <c r="AV264" s="1126">
        <v>2.0</v>
      </c>
      <c r="AW264" s="1138">
        <v>2.0</v>
      </c>
      <c r="AX264" s="1126">
        <v>2.0</v>
      </c>
      <c r="AY264" s="1138">
        <v>2.0</v>
      </c>
      <c r="AZ264" s="1126">
        <v>2.0</v>
      </c>
      <c r="BA264" s="1138">
        <v>2.0</v>
      </c>
      <c r="BB264" s="1126"/>
      <c r="BC264" s="1138"/>
      <c r="BD264" s="1126">
        <v>2.0</v>
      </c>
      <c r="BE264" s="1138">
        <v>2.0</v>
      </c>
      <c r="BF264" s="1126">
        <v>2.0</v>
      </c>
      <c r="BG264" s="1138">
        <v>2.0</v>
      </c>
      <c r="BH264" s="1126">
        <v>2.0</v>
      </c>
      <c r="BI264" s="1138">
        <v>2.0</v>
      </c>
      <c r="BJ264" s="1126">
        <v>3.0</v>
      </c>
      <c r="BK264" s="1138">
        <v>3.0</v>
      </c>
      <c r="BL264" s="1134"/>
      <c r="BM264" s="1140"/>
      <c r="BN264" s="2130">
        <v>10.0</v>
      </c>
      <c r="BO264" s="1140">
        <v>10.0</v>
      </c>
      <c r="BP264" s="2069">
        <f t="shared" si="157"/>
        <v>98</v>
      </c>
      <c r="BQ264" s="2133">
        <f t="shared" si="158"/>
        <v>104</v>
      </c>
      <c r="BR264" s="1572">
        <f t="shared" si="160"/>
        <v>0</v>
      </c>
      <c r="BS264" s="784">
        <f t="shared" si="159"/>
        <v>0</v>
      </c>
      <c r="BT264" s="1545"/>
    </row>
    <row r="265" ht="18.0" customHeight="1">
      <c r="A265" s="2286"/>
      <c r="B265" s="1795">
        <v>383.0</v>
      </c>
      <c r="C265" s="1700">
        <v>232.0</v>
      </c>
      <c r="D265" s="1568" t="s">
        <v>77</v>
      </c>
      <c r="E265" s="1569" t="str">
        <f>'Матрица 4 недели'!M40</f>
        <v>Перец фаршированный с картофелем</v>
      </c>
      <c r="F265" s="1284"/>
      <c r="G265" s="2153"/>
      <c r="H265" s="1284"/>
      <c r="I265" s="2153"/>
      <c r="J265" s="1284"/>
      <c r="K265" s="2153"/>
      <c r="L265" s="1286"/>
      <c r="M265" s="2153"/>
      <c r="N265" s="1284"/>
      <c r="O265" s="2153"/>
      <c r="P265" s="1284"/>
      <c r="Q265" s="1140"/>
      <c r="R265" s="1286"/>
      <c r="S265" s="1140"/>
      <c r="T265" s="1126"/>
      <c r="U265" s="1140"/>
      <c r="V265" s="1287"/>
      <c r="W265" s="2155"/>
      <c r="X265" s="1126"/>
      <c r="Y265" s="1140"/>
      <c r="Z265" s="1126"/>
      <c r="AA265" s="1140"/>
      <c r="AB265" s="1126"/>
      <c r="AC265" s="1138"/>
      <c r="AD265" s="1126"/>
      <c r="AE265" s="1140"/>
      <c r="AF265" s="1137"/>
      <c r="AG265" s="1140"/>
      <c r="AH265" s="1120"/>
      <c r="AI265" s="1140"/>
      <c r="AJ265" s="1290"/>
      <c r="AK265" s="1140"/>
      <c r="AL265" s="1126"/>
      <c r="AM265" s="1138"/>
      <c r="AN265" s="1126"/>
      <c r="AO265" s="1138"/>
      <c r="AP265" s="1120"/>
      <c r="AQ265" s="1138"/>
      <c r="AR265" s="1126"/>
      <c r="AS265" s="1138"/>
      <c r="AT265" s="1126"/>
      <c r="AU265" s="1138"/>
      <c r="AV265" s="1126"/>
      <c r="AW265" s="1138"/>
      <c r="AX265" s="1126"/>
      <c r="AY265" s="1138"/>
      <c r="AZ265" s="1126"/>
      <c r="BA265" s="1138"/>
      <c r="BB265" s="1126"/>
      <c r="BC265" s="1138"/>
      <c r="BD265" s="1126"/>
      <c r="BE265" s="1138"/>
      <c r="BF265" s="1126"/>
      <c r="BG265" s="1138"/>
      <c r="BH265" s="1126"/>
      <c r="BI265" s="1138"/>
      <c r="BJ265" s="1126"/>
      <c r="BK265" s="1138"/>
      <c r="BL265" s="1134">
        <v>25.0</v>
      </c>
      <c r="BM265" s="1140"/>
      <c r="BN265" s="2130"/>
      <c r="BO265" s="1140"/>
      <c r="BP265" s="2069">
        <f t="shared" si="157"/>
        <v>26</v>
      </c>
      <c r="BQ265" s="2133">
        <f t="shared" si="158"/>
        <v>0</v>
      </c>
      <c r="BR265" s="1572">
        <f t="shared" si="160"/>
        <v>0</v>
      </c>
      <c r="BS265" s="784">
        <f t="shared" si="159"/>
        <v>6032</v>
      </c>
      <c r="BT265" s="1545"/>
    </row>
    <row r="266" ht="18.0" customHeight="1">
      <c r="A266" s="2286"/>
      <c r="B266" s="1795">
        <v>4069.0</v>
      </c>
      <c r="C266" s="1700">
        <v>265.0</v>
      </c>
      <c r="D266" s="1568" t="s">
        <v>77</v>
      </c>
      <c r="E266" s="2287" t="str">
        <f>'Матрица 4 недели'!M41</f>
        <v>Бефстроганов (говядина) с картофелем </v>
      </c>
      <c r="F266" s="1284"/>
      <c r="G266" s="2153"/>
      <c r="H266" s="1284"/>
      <c r="I266" s="2153"/>
      <c r="J266" s="1284"/>
      <c r="K266" s="2153"/>
      <c r="L266" s="1286"/>
      <c r="M266" s="2153"/>
      <c r="N266" s="1284"/>
      <c r="O266" s="2153"/>
      <c r="P266" s="1284"/>
      <c r="Q266" s="1140"/>
      <c r="R266" s="1286"/>
      <c r="S266" s="1140"/>
      <c r="T266" s="1126"/>
      <c r="U266" s="1140"/>
      <c r="V266" s="1287"/>
      <c r="W266" s="2155"/>
      <c r="X266" s="1126"/>
      <c r="Y266" s="1140"/>
      <c r="Z266" s="1126"/>
      <c r="AA266" s="1140"/>
      <c r="AB266" s="1126"/>
      <c r="AC266" s="1138"/>
      <c r="AD266" s="1126"/>
      <c r="AE266" s="1140"/>
      <c r="AF266" s="1137"/>
      <c r="AG266" s="1140"/>
      <c r="AH266" s="1120"/>
      <c r="AI266" s="1140"/>
      <c r="AJ266" s="1290"/>
      <c r="AK266" s="1140"/>
      <c r="AL266" s="1126"/>
      <c r="AM266" s="1138"/>
      <c r="AN266" s="1126"/>
      <c r="AO266" s="1138"/>
      <c r="AP266" s="1120"/>
      <c r="AQ266" s="1138"/>
      <c r="AR266" s="1126"/>
      <c r="AS266" s="1138"/>
      <c r="AT266" s="1126"/>
      <c r="AU266" s="1138"/>
      <c r="AV266" s="1126"/>
      <c r="AW266" s="1138"/>
      <c r="AX266" s="1126"/>
      <c r="AY266" s="1138"/>
      <c r="AZ266" s="1126"/>
      <c r="BA266" s="1138"/>
      <c r="BB266" s="1126"/>
      <c r="BC266" s="1138"/>
      <c r="BD266" s="1126"/>
      <c r="BE266" s="1138"/>
      <c r="BF266" s="1126"/>
      <c r="BG266" s="1138"/>
      <c r="BH266" s="1126"/>
      <c r="BI266" s="1138"/>
      <c r="BJ266" s="1126"/>
      <c r="BK266" s="1138"/>
      <c r="BL266" s="1134">
        <v>25.0</v>
      </c>
      <c r="BM266" s="1140"/>
      <c r="BN266" s="2130"/>
      <c r="BO266" s="1140"/>
      <c r="BP266" s="2069">
        <f t="shared" si="157"/>
        <v>26</v>
      </c>
      <c r="BQ266" s="2133">
        <f t="shared" si="158"/>
        <v>0</v>
      </c>
      <c r="BR266" s="1572">
        <f t="shared" si="160"/>
        <v>0</v>
      </c>
      <c r="BS266" s="784">
        <f t="shared" si="159"/>
        <v>6890</v>
      </c>
      <c r="BT266" s="1545"/>
    </row>
    <row r="267" ht="18.0" customHeight="1">
      <c r="A267" s="2286"/>
      <c r="B267" s="1795">
        <v>4067.0</v>
      </c>
      <c r="C267" s="1700">
        <v>265.0</v>
      </c>
      <c r="D267" s="1568" t="s">
        <v>77</v>
      </c>
      <c r="E267" s="1587" t="str">
        <f>'Матрица 4 недели'!M42</f>
        <v>Бефстроганов (говядина) с рисом </v>
      </c>
      <c r="F267" s="1137"/>
      <c r="G267" s="1138"/>
      <c r="H267" s="1126"/>
      <c r="I267" s="1138"/>
      <c r="J267" s="1126"/>
      <c r="K267" s="1138"/>
      <c r="L267" s="1126"/>
      <c r="M267" s="1138"/>
      <c r="N267" s="1126"/>
      <c r="O267" s="1138"/>
      <c r="P267" s="1126"/>
      <c r="Q267" s="1121"/>
      <c r="R267" s="1126"/>
      <c r="S267" s="1121"/>
      <c r="T267" s="1137"/>
      <c r="U267" s="1121"/>
      <c r="V267" s="1137"/>
      <c r="W267" s="1121"/>
      <c r="X267" s="1137"/>
      <c r="Y267" s="1121"/>
      <c r="Z267" s="1120"/>
      <c r="AA267" s="1121"/>
      <c r="AB267" s="1120"/>
      <c r="AC267" s="1121"/>
      <c r="AD267" s="1120"/>
      <c r="AE267" s="1121"/>
      <c r="AF267" s="1137"/>
      <c r="AG267" s="1121"/>
      <c r="AH267" s="1120"/>
      <c r="AI267" s="1121"/>
      <c r="AJ267" s="1120"/>
      <c r="AK267" s="1121"/>
      <c r="AL267" s="1120"/>
      <c r="AM267" s="1121"/>
      <c r="AN267" s="1137"/>
      <c r="AO267" s="1138"/>
      <c r="AP267" s="1126"/>
      <c r="AQ267" s="1138"/>
      <c r="AR267" s="1137"/>
      <c r="AS267" s="1138"/>
      <c r="AT267" s="1126"/>
      <c r="AU267" s="1138"/>
      <c r="AV267" s="1126"/>
      <c r="AW267" s="1138"/>
      <c r="AX267" s="1126"/>
      <c r="AY267" s="1138"/>
      <c r="AZ267" s="1126"/>
      <c r="BA267" s="1138"/>
      <c r="BB267" s="1126"/>
      <c r="BC267" s="1138"/>
      <c r="BD267" s="1126"/>
      <c r="BE267" s="1138"/>
      <c r="BF267" s="1126"/>
      <c r="BG267" s="1138"/>
      <c r="BH267" s="1126"/>
      <c r="BI267" s="1138"/>
      <c r="BJ267" s="1126"/>
      <c r="BK267" s="1138"/>
      <c r="BL267" s="1134">
        <v>75.0</v>
      </c>
      <c r="BM267" s="1140"/>
      <c r="BN267" s="2130">
        <v>10.0</v>
      </c>
      <c r="BO267" s="2292"/>
      <c r="BP267" s="80">
        <f t="shared" si="157"/>
        <v>76</v>
      </c>
      <c r="BQ267" s="2133">
        <f t="shared" si="158"/>
        <v>0</v>
      </c>
      <c r="BR267" s="1572">
        <f t="shared" si="160"/>
        <v>0</v>
      </c>
      <c r="BS267" s="784">
        <f t="shared" si="159"/>
        <v>20140</v>
      </c>
      <c r="BT267" s="1545"/>
    </row>
    <row r="268" ht="18.0" customHeight="1">
      <c r="A268" s="2286"/>
      <c r="B268" s="2293">
        <v>4068.0</v>
      </c>
      <c r="C268" s="2147">
        <v>265.0</v>
      </c>
      <c r="D268" s="2295" t="s">
        <v>77</v>
      </c>
      <c r="E268" s="2296" t="str">
        <f>'Матрица 4 недели'!M43</f>
        <v>Бефстроганов (говядина) с макаронами</v>
      </c>
      <c r="F268" s="1151">
        <v>17.0</v>
      </c>
      <c r="G268" s="1173">
        <v>10.0</v>
      </c>
      <c r="H268" s="1151">
        <v>4.0</v>
      </c>
      <c r="I268" s="1173">
        <v>4.0</v>
      </c>
      <c r="J268" s="1151">
        <v>6.0</v>
      </c>
      <c r="K268" s="1173">
        <v>6.0</v>
      </c>
      <c r="L268" s="1802">
        <v>3.0</v>
      </c>
      <c r="M268" s="1173">
        <v>3.0</v>
      </c>
      <c r="N268" s="1802">
        <v>5.0</v>
      </c>
      <c r="O268" s="1173">
        <v>5.0</v>
      </c>
      <c r="P268" s="1151">
        <v>6.0</v>
      </c>
      <c r="Q268" s="1173">
        <v>6.0</v>
      </c>
      <c r="R268" s="1769">
        <v>3.0</v>
      </c>
      <c r="S268" s="1173">
        <v>3.0</v>
      </c>
      <c r="T268" s="1151">
        <v>3.0</v>
      </c>
      <c r="U268" s="1173">
        <v>3.0</v>
      </c>
      <c r="V268" s="2149">
        <v>3.0</v>
      </c>
      <c r="W268" s="1173">
        <v>3.0</v>
      </c>
      <c r="X268" s="1151">
        <v>2.0</v>
      </c>
      <c r="Y268" s="1173">
        <v>2.0</v>
      </c>
      <c r="Z268" s="1151"/>
      <c r="AA268" s="1173">
        <v>3.0</v>
      </c>
      <c r="AB268" s="1151">
        <v>2.0</v>
      </c>
      <c r="AC268" s="1173">
        <v>2.0</v>
      </c>
      <c r="AD268" s="1151">
        <v>2.0</v>
      </c>
      <c r="AE268" s="1173">
        <v>2.0</v>
      </c>
      <c r="AF268" s="1769">
        <v>2.0</v>
      </c>
      <c r="AG268" s="1173">
        <v>2.0</v>
      </c>
      <c r="AH268" s="1760">
        <v>5.0</v>
      </c>
      <c r="AI268" s="1173">
        <v>5.0</v>
      </c>
      <c r="AJ268" s="1760">
        <v>4.0</v>
      </c>
      <c r="AK268" s="1173">
        <v>4.0</v>
      </c>
      <c r="AL268" s="1151">
        <v>3.0</v>
      </c>
      <c r="AM268" s="1173">
        <v>3.0</v>
      </c>
      <c r="AN268" s="1151">
        <v>2.0</v>
      </c>
      <c r="AO268" s="1173">
        <v>2.0</v>
      </c>
      <c r="AP268" s="1760">
        <v>0.0</v>
      </c>
      <c r="AQ268" s="1173">
        <v>0.0</v>
      </c>
      <c r="AR268" s="1151">
        <v>7.0</v>
      </c>
      <c r="AS268" s="1173">
        <v>7.0</v>
      </c>
      <c r="AT268" s="1151">
        <v>3.0</v>
      </c>
      <c r="AU268" s="1173">
        <v>3.0</v>
      </c>
      <c r="AV268" s="1151">
        <v>2.0</v>
      </c>
      <c r="AW268" s="1173">
        <v>2.0</v>
      </c>
      <c r="AX268" s="1151">
        <v>3.0</v>
      </c>
      <c r="AY268" s="1173">
        <v>3.0</v>
      </c>
      <c r="AZ268" s="1151">
        <v>1.0</v>
      </c>
      <c r="BA268" s="1173">
        <v>1.0</v>
      </c>
      <c r="BB268" s="1151"/>
      <c r="BC268" s="1173">
        <v>4.0</v>
      </c>
      <c r="BD268" s="1151">
        <v>2.0</v>
      </c>
      <c r="BE268" s="1173">
        <v>2.0</v>
      </c>
      <c r="BF268" s="1151">
        <v>3.0</v>
      </c>
      <c r="BG268" s="1173">
        <v>3.0</v>
      </c>
      <c r="BH268" s="1151">
        <v>2.0</v>
      </c>
      <c r="BI268" s="1173">
        <v>2.0</v>
      </c>
      <c r="BJ268" s="1151">
        <v>4.0</v>
      </c>
      <c r="BK268" s="1173">
        <v>4.0</v>
      </c>
      <c r="BL268" s="1139"/>
      <c r="BM268" s="1782"/>
      <c r="BN268" s="2150"/>
      <c r="BO268" s="1782"/>
      <c r="BP268" s="80">
        <f t="shared" si="157"/>
        <v>100</v>
      </c>
      <c r="BQ268" s="2133">
        <f t="shared" si="158"/>
        <v>99</v>
      </c>
      <c r="BR268" s="1572">
        <f t="shared" si="160"/>
        <v>26235</v>
      </c>
      <c r="BS268" s="784">
        <f t="shared" si="159"/>
        <v>26500</v>
      </c>
      <c r="BT268" s="2151"/>
    </row>
    <row r="269" ht="18.0" customHeight="1">
      <c r="A269" s="2286"/>
      <c r="B269" s="1795">
        <v>1092.0</v>
      </c>
      <c r="C269" s="1700">
        <v>180.0</v>
      </c>
      <c r="D269" s="1568" t="s">
        <v>77</v>
      </c>
      <c r="E269" s="1628" t="str">
        <f>'Матрица 4 недели'!M44</f>
        <v>Шашлык (кура) с картошкой по деревенски</v>
      </c>
      <c r="F269" s="1151">
        <v>7.0</v>
      </c>
      <c r="G269" s="1173">
        <v>7.0</v>
      </c>
      <c r="H269" s="1151">
        <v>5.0</v>
      </c>
      <c r="I269" s="1173">
        <v>5.0</v>
      </c>
      <c r="J269" s="1151">
        <v>6.0</v>
      </c>
      <c r="K269" s="1173">
        <v>6.0</v>
      </c>
      <c r="L269" s="1802">
        <v>3.0</v>
      </c>
      <c r="M269" s="1173">
        <v>3.0</v>
      </c>
      <c r="N269" s="1802">
        <v>5.0</v>
      </c>
      <c r="O269" s="1173">
        <v>5.0</v>
      </c>
      <c r="P269" s="1151">
        <v>6.0</v>
      </c>
      <c r="Q269" s="1173">
        <v>6.0</v>
      </c>
      <c r="R269" s="1769">
        <v>4.0</v>
      </c>
      <c r="S269" s="1173">
        <v>4.0</v>
      </c>
      <c r="T269" s="1151">
        <v>0.0</v>
      </c>
      <c r="U269" s="1173">
        <v>0.0</v>
      </c>
      <c r="V269" s="2149">
        <v>4.0</v>
      </c>
      <c r="W269" s="1173">
        <v>4.0</v>
      </c>
      <c r="X269" s="1151">
        <v>2.0</v>
      </c>
      <c r="Y269" s="1173">
        <v>2.0</v>
      </c>
      <c r="Z269" s="1151">
        <v>7.0</v>
      </c>
      <c r="AA269" s="1173">
        <v>7.0</v>
      </c>
      <c r="AB269" s="1151">
        <v>2.0</v>
      </c>
      <c r="AC269" s="1173">
        <v>2.0</v>
      </c>
      <c r="AD269" s="1151">
        <v>2.0</v>
      </c>
      <c r="AE269" s="1173">
        <v>2.0</v>
      </c>
      <c r="AF269" s="1769">
        <v>2.0</v>
      </c>
      <c r="AG269" s="1173">
        <v>2.0</v>
      </c>
      <c r="AH269" s="1760">
        <v>0.0</v>
      </c>
      <c r="AI269" s="1173">
        <v>0.0</v>
      </c>
      <c r="AJ269" s="1760">
        <v>0.0</v>
      </c>
      <c r="AK269" s="1173">
        <v>0.0</v>
      </c>
      <c r="AL269" s="1151">
        <v>3.0</v>
      </c>
      <c r="AM269" s="1173">
        <v>3.0</v>
      </c>
      <c r="AN269" s="1151">
        <v>2.0</v>
      </c>
      <c r="AO269" s="1173">
        <v>2.0</v>
      </c>
      <c r="AP269" s="1760">
        <v>2.0</v>
      </c>
      <c r="AQ269" s="1173">
        <v>2.0</v>
      </c>
      <c r="AR269" s="1151">
        <v>5.0</v>
      </c>
      <c r="AS269" s="1173">
        <v>5.0</v>
      </c>
      <c r="AT269" s="1151">
        <v>0.0</v>
      </c>
      <c r="AU269" s="1173">
        <v>0.0</v>
      </c>
      <c r="AV269" s="1151">
        <v>2.0</v>
      </c>
      <c r="AW269" s="1173">
        <v>2.0</v>
      </c>
      <c r="AX269" s="1151">
        <v>2.0</v>
      </c>
      <c r="AY269" s="1173">
        <v>2.0</v>
      </c>
      <c r="AZ269" s="1151">
        <v>1.0</v>
      </c>
      <c r="BA269" s="1173">
        <v>1.0</v>
      </c>
      <c r="BB269" s="1151">
        <v>8.0</v>
      </c>
      <c r="BC269" s="1173">
        <v>8.0</v>
      </c>
      <c r="BD269" s="1151">
        <v>2.0</v>
      </c>
      <c r="BE269" s="1173">
        <v>2.0</v>
      </c>
      <c r="BF269" s="1151">
        <v>5.0</v>
      </c>
      <c r="BG269" s="1138">
        <v>5.0</v>
      </c>
      <c r="BH269" s="1126">
        <v>2.0</v>
      </c>
      <c r="BI269" s="1138">
        <v>2.0</v>
      </c>
      <c r="BJ269" s="1126">
        <v>5.0</v>
      </c>
      <c r="BK269" s="1138">
        <v>5.0</v>
      </c>
      <c r="BL269" s="1139"/>
      <c r="BM269" s="1140"/>
      <c r="BN269" s="2130">
        <v>10.0</v>
      </c>
      <c r="BO269" s="1140">
        <v>10.0</v>
      </c>
      <c r="BP269" s="80">
        <f t="shared" si="157"/>
        <v>95</v>
      </c>
      <c r="BQ269" s="2133">
        <f t="shared" si="158"/>
        <v>94</v>
      </c>
      <c r="BR269" s="1572">
        <f t="shared" si="160"/>
        <v>16920</v>
      </c>
      <c r="BS269" s="784">
        <f t="shared" si="159"/>
        <v>17100</v>
      </c>
      <c r="BT269" s="1545"/>
    </row>
    <row r="270" ht="18.0" customHeight="1">
      <c r="A270" s="2286"/>
      <c r="B270" s="1795">
        <v>3051.0</v>
      </c>
      <c r="C270" s="1700">
        <v>260.0</v>
      </c>
      <c r="D270" s="1568" t="s">
        <v>77</v>
      </c>
      <c r="E270" s="1592" t="str">
        <f>'Матрица 4 недели'!M45</f>
        <v>Шашлык куриный с овощным соте</v>
      </c>
      <c r="F270" s="1286">
        <v>27.0</v>
      </c>
      <c r="G270" s="2153">
        <v>7.0</v>
      </c>
      <c r="H270" s="1284">
        <v>3.0</v>
      </c>
      <c r="I270" s="2153">
        <v>3.0</v>
      </c>
      <c r="J270" s="1284">
        <v>6.0</v>
      </c>
      <c r="K270" s="2153">
        <v>6.0</v>
      </c>
      <c r="L270" s="1286">
        <v>5.0</v>
      </c>
      <c r="M270" s="2153">
        <v>5.0</v>
      </c>
      <c r="N270" s="1284">
        <v>2.0</v>
      </c>
      <c r="O270" s="2153">
        <v>2.0</v>
      </c>
      <c r="P270" s="1284">
        <v>5.0</v>
      </c>
      <c r="Q270" s="1140">
        <v>5.0</v>
      </c>
      <c r="R270" s="1286">
        <v>0.0</v>
      </c>
      <c r="S270" s="1140">
        <v>0.0</v>
      </c>
      <c r="T270" s="1286">
        <v>3.0</v>
      </c>
      <c r="U270" s="1140">
        <v>3.0</v>
      </c>
      <c r="V270" s="1290">
        <v>4.0</v>
      </c>
      <c r="W270" s="1140">
        <v>4.0</v>
      </c>
      <c r="X270" s="1284">
        <v>2.0</v>
      </c>
      <c r="Y270" s="2155">
        <v>2.0</v>
      </c>
      <c r="Z270" s="1286"/>
      <c r="AA270" s="1140">
        <v>10.0</v>
      </c>
      <c r="AB270" s="1295">
        <v>2.0</v>
      </c>
      <c r="AC270" s="1140">
        <v>2.0</v>
      </c>
      <c r="AD270" s="1295">
        <v>2.0</v>
      </c>
      <c r="AE270" s="1140">
        <v>2.0</v>
      </c>
      <c r="AF270" s="1290">
        <v>2.0</v>
      </c>
      <c r="AG270" s="1140">
        <v>2.0</v>
      </c>
      <c r="AH270" s="1120">
        <v>6.0</v>
      </c>
      <c r="AI270" s="1140">
        <v>6.0</v>
      </c>
      <c r="AJ270" s="1290">
        <v>4.0</v>
      </c>
      <c r="AK270" s="1140">
        <v>4.0</v>
      </c>
      <c r="AL270" s="1126">
        <v>3.0</v>
      </c>
      <c r="AM270" s="1138">
        <v>3.0</v>
      </c>
      <c r="AN270" s="1120">
        <v>2.0</v>
      </c>
      <c r="AO270" s="1138">
        <v>2.0</v>
      </c>
      <c r="AP270" s="1120">
        <v>2.0</v>
      </c>
      <c r="AQ270" s="1138">
        <v>2.0</v>
      </c>
      <c r="AR270" s="1126">
        <v>6.0</v>
      </c>
      <c r="AS270" s="1138">
        <v>6.0</v>
      </c>
      <c r="AT270" s="1126">
        <v>4.0</v>
      </c>
      <c r="AU270" s="1138">
        <v>4.0</v>
      </c>
      <c r="AV270" s="1126">
        <v>3.0</v>
      </c>
      <c r="AW270" s="1138">
        <v>3.0</v>
      </c>
      <c r="AX270" s="1126">
        <v>3.0</v>
      </c>
      <c r="AY270" s="1138">
        <v>3.0</v>
      </c>
      <c r="AZ270" s="1126">
        <v>2.0</v>
      </c>
      <c r="BA270" s="1138">
        <v>2.0</v>
      </c>
      <c r="BB270" s="1126"/>
      <c r="BC270" s="1138">
        <v>10.0</v>
      </c>
      <c r="BD270" s="1126">
        <v>0.0</v>
      </c>
      <c r="BE270" s="1138">
        <v>0.0</v>
      </c>
      <c r="BF270" s="1126">
        <v>2.0</v>
      </c>
      <c r="BG270" s="1138">
        <v>2.0</v>
      </c>
      <c r="BH270" s="1126">
        <v>3.0</v>
      </c>
      <c r="BI270" s="1138">
        <v>3.0</v>
      </c>
      <c r="BJ270" s="1126">
        <v>5.0</v>
      </c>
      <c r="BK270" s="1138">
        <v>5.0</v>
      </c>
      <c r="BL270" s="1134"/>
      <c r="BM270" s="1140"/>
      <c r="BN270" s="2130">
        <v>15.0</v>
      </c>
      <c r="BO270" s="1140">
        <v>15.0</v>
      </c>
      <c r="BP270" s="2069">
        <f t="shared" si="157"/>
        <v>109</v>
      </c>
      <c r="BQ270" s="2133">
        <f t="shared" si="158"/>
        <v>108</v>
      </c>
      <c r="BR270" s="1572">
        <f t="shared" si="160"/>
        <v>28080</v>
      </c>
      <c r="BS270" s="784">
        <f t="shared" si="159"/>
        <v>28340</v>
      </c>
      <c r="BT270" s="1545"/>
    </row>
    <row r="271" ht="18.0" customHeight="1">
      <c r="A271" s="2286"/>
      <c r="B271" s="1795">
        <v>3008.0</v>
      </c>
      <c r="C271" s="1700">
        <v>212.0</v>
      </c>
      <c r="D271" s="1568" t="s">
        <v>77</v>
      </c>
      <c r="E271" s="1592" t="str">
        <f>'Матрица 4 недели'!M46</f>
        <v>Биточек ''Солнышко'' с гречкой</v>
      </c>
      <c r="F271" s="1120">
        <v>27.0</v>
      </c>
      <c r="G271" s="1138">
        <v>8.0</v>
      </c>
      <c r="H271" s="1120">
        <v>4.0</v>
      </c>
      <c r="I271" s="1138">
        <v>4.0</v>
      </c>
      <c r="J271" s="1120">
        <v>6.0</v>
      </c>
      <c r="K271" s="1138">
        <v>6.0</v>
      </c>
      <c r="L271" s="1120">
        <v>6.0</v>
      </c>
      <c r="M271" s="1138">
        <v>6.0</v>
      </c>
      <c r="N271" s="1120">
        <v>5.0</v>
      </c>
      <c r="O271" s="1138">
        <v>5.0</v>
      </c>
      <c r="P271" s="1120">
        <v>9.0</v>
      </c>
      <c r="Q271" s="1138">
        <v>9.0</v>
      </c>
      <c r="R271" s="1120">
        <v>3.0</v>
      </c>
      <c r="S271" s="1138">
        <v>3.0</v>
      </c>
      <c r="T271" s="1120">
        <v>3.0</v>
      </c>
      <c r="U271" s="1138">
        <v>3.0</v>
      </c>
      <c r="V271" s="1120">
        <v>4.0</v>
      </c>
      <c r="W271" s="1138">
        <v>4.0</v>
      </c>
      <c r="X271" s="1120">
        <v>2.0</v>
      </c>
      <c r="Y271" s="1138">
        <v>2.0</v>
      </c>
      <c r="Z271" s="1126"/>
      <c r="AA271" s="1138">
        <v>9.0</v>
      </c>
      <c r="AB271" s="1120">
        <v>2.0</v>
      </c>
      <c r="AC271" s="1138">
        <v>2.0</v>
      </c>
      <c r="AD271" s="1120">
        <v>2.0</v>
      </c>
      <c r="AE271" s="1138">
        <v>2.0</v>
      </c>
      <c r="AF271" s="1120">
        <v>2.0</v>
      </c>
      <c r="AG271" s="1138">
        <v>2.0</v>
      </c>
      <c r="AH271" s="1120">
        <v>7.0</v>
      </c>
      <c r="AI271" s="1138">
        <v>7.0</v>
      </c>
      <c r="AJ271" s="1120">
        <v>4.0</v>
      </c>
      <c r="AK271" s="1138">
        <v>4.0</v>
      </c>
      <c r="AL271" s="1126">
        <v>3.0</v>
      </c>
      <c r="AM271" s="1138">
        <v>3.0</v>
      </c>
      <c r="AN271" s="1120">
        <v>3.0</v>
      </c>
      <c r="AO271" s="1138">
        <v>3.0</v>
      </c>
      <c r="AP271" s="1120">
        <v>2.0</v>
      </c>
      <c r="AQ271" s="1138">
        <v>2.0</v>
      </c>
      <c r="AR271" s="1120">
        <v>9.0</v>
      </c>
      <c r="AS271" s="1138">
        <v>9.0</v>
      </c>
      <c r="AT271" s="1126">
        <v>4.0</v>
      </c>
      <c r="AU271" s="1138">
        <v>4.0</v>
      </c>
      <c r="AV271" s="1126">
        <v>3.0</v>
      </c>
      <c r="AW271" s="1138">
        <v>3.0</v>
      </c>
      <c r="AX271" s="1126">
        <v>4.0</v>
      </c>
      <c r="AY271" s="1138">
        <v>4.0</v>
      </c>
      <c r="AZ271" s="1126">
        <v>2.0</v>
      </c>
      <c r="BA271" s="1138">
        <v>2.0</v>
      </c>
      <c r="BB271" s="1126"/>
      <c r="BC271" s="1138">
        <v>10.0</v>
      </c>
      <c r="BD271" s="1126">
        <v>3.0</v>
      </c>
      <c r="BE271" s="1138">
        <v>3.0</v>
      </c>
      <c r="BF271" s="1126">
        <v>5.0</v>
      </c>
      <c r="BG271" s="1138">
        <v>5.0</v>
      </c>
      <c r="BH271" s="1126">
        <v>3.0</v>
      </c>
      <c r="BI271" s="1138">
        <v>3.0</v>
      </c>
      <c r="BJ271" s="1126">
        <v>7.0</v>
      </c>
      <c r="BK271" s="1138">
        <v>7.0</v>
      </c>
      <c r="BL271" s="1134"/>
      <c r="BM271" s="1140"/>
      <c r="BN271" s="2130">
        <v>0.0</v>
      </c>
      <c r="BO271" s="1140">
        <v>0.0</v>
      </c>
      <c r="BP271" s="80">
        <f t="shared" si="157"/>
        <v>135</v>
      </c>
      <c r="BQ271" s="2133">
        <f t="shared" si="158"/>
        <v>134</v>
      </c>
      <c r="BR271" s="1572">
        <f t="shared" si="160"/>
        <v>28408</v>
      </c>
      <c r="BS271" s="784">
        <f t="shared" si="159"/>
        <v>28620</v>
      </c>
      <c r="BT271" s="1545"/>
    </row>
    <row r="272" ht="18.0" customHeight="1">
      <c r="A272" s="2286"/>
      <c r="B272" s="1795">
        <v>113.0</v>
      </c>
      <c r="C272" s="1700">
        <v>212.0</v>
      </c>
      <c r="D272" s="1568" t="s">
        <v>77</v>
      </c>
      <c r="E272" s="1172" t="str">
        <f>'Матрица 4 недели'!M47</f>
        <v>Спагетти ''Болоньезе''</v>
      </c>
      <c r="F272" s="1120"/>
      <c r="G272" s="1138"/>
      <c r="H272" s="1120"/>
      <c r="I272" s="1138"/>
      <c r="J272" s="1120"/>
      <c r="K272" s="1138"/>
      <c r="L272" s="1120"/>
      <c r="M272" s="1138"/>
      <c r="N272" s="1120"/>
      <c r="O272" s="1138"/>
      <c r="P272" s="1120"/>
      <c r="Q272" s="1138"/>
      <c r="R272" s="1120"/>
      <c r="S272" s="1138"/>
      <c r="T272" s="1120"/>
      <c r="U272" s="1138"/>
      <c r="V272" s="1120"/>
      <c r="W272" s="1138"/>
      <c r="X272" s="1120"/>
      <c r="Y272" s="1138"/>
      <c r="Z272" s="1126"/>
      <c r="AA272" s="1138"/>
      <c r="AB272" s="1120"/>
      <c r="AC272" s="1138"/>
      <c r="AD272" s="1120"/>
      <c r="AE272" s="1138"/>
      <c r="AF272" s="1120"/>
      <c r="AG272" s="1138"/>
      <c r="AH272" s="1120"/>
      <c r="AI272" s="1138"/>
      <c r="AJ272" s="1120"/>
      <c r="AK272" s="1138"/>
      <c r="AL272" s="1126"/>
      <c r="AM272" s="1138"/>
      <c r="AN272" s="1120"/>
      <c r="AO272" s="1138"/>
      <c r="AP272" s="1120"/>
      <c r="AQ272" s="1138"/>
      <c r="AR272" s="1120"/>
      <c r="AS272" s="1138"/>
      <c r="AT272" s="1126"/>
      <c r="AU272" s="1138"/>
      <c r="AV272" s="1126"/>
      <c r="AW272" s="1138"/>
      <c r="AX272" s="1126"/>
      <c r="AY272" s="1138"/>
      <c r="AZ272" s="1126"/>
      <c r="BA272" s="1138"/>
      <c r="BB272" s="1126"/>
      <c r="BC272" s="1138"/>
      <c r="BD272" s="1126"/>
      <c r="BE272" s="1138"/>
      <c r="BF272" s="1126"/>
      <c r="BG272" s="1138"/>
      <c r="BH272" s="1126"/>
      <c r="BI272" s="1138"/>
      <c r="BJ272" s="1126"/>
      <c r="BK272" s="1138"/>
      <c r="BL272" s="1134">
        <v>10.0</v>
      </c>
      <c r="BM272" s="1138"/>
      <c r="BN272" s="1087"/>
      <c r="BO272" s="1138"/>
      <c r="BP272" s="80">
        <f t="shared" si="157"/>
        <v>11</v>
      </c>
      <c r="BQ272" s="2137">
        <f t="shared" si="158"/>
        <v>0</v>
      </c>
      <c r="BR272" s="1572">
        <f t="shared" si="160"/>
        <v>0</v>
      </c>
      <c r="BS272" s="784">
        <f t="shared" si="159"/>
        <v>2332</v>
      </c>
      <c r="BT272" s="1807"/>
    </row>
    <row r="273" ht="18.0" customHeight="1">
      <c r="A273" s="2286"/>
      <c r="B273" s="1603"/>
      <c r="C273" s="1700"/>
      <c r="D273" s="1568"/>
      <c r="E273" s="1172"/>
      <c r="F273" s="1120">
        <v>30.0</v>
      </c>
      <c r="G273" s="1138">
        <v>8.0</v>
      </c>
      <c r="H273" s="1120">
        <v>2.0</v>
      </c>
      <c r="I273" s="1138">
        <v>2.0</v>
      </c>
      <c r="J273" s="1120">
        <v>4.0</v>
      </c>
      <c r="K273" s="1138">
        <v>3.0</v>
      </c>
      <c r="L273" s="1120">
        <v>7.0</v>
      </c>
      <c r="M273" s="1138">
        <v>1.0</v>
      </c>
      <c r="N273" s="1120">
        <v>5.0</v>
      </c>
      <c r="O273" s="1138">
        <v>1.0</v>
      </c>
      <c r="P273" s="1120">
        <v>7.0</v>
      </c>
      <c r="Q273" s="1138">
        <v>0.0</v>
      </c>
      <c r="R273" s="1120">
        <v>3.0</v>
      </c>
      <c r="S273" s="1138">
        <v>0.0</v>
      </c>
      <c r="T273" s="1120">
        <v>4.0</v>
      </c>
      <c r="U273" s="1138">
        <v>0.0</v>
      </c>
      <c r="V273" s="1120">
        <v>4.0</v>
      </c>
      <c r="W273" s="1138">
        <v>0.0</v>
      </c>
      <c r="X273" s="1120">
        <v>12.0</v>
      </c>
      <c r="Y273" s="1138">
        <v>4.0</v>
      </c>
      <c r="Z273" s="1126"/>
      <c r="AA273" s="1138"/>
      <c r="AB273" s="1120">
        <v>4.0</v>
      </c>
      <c r="AC273" s="1138">
        <v>0.0</v>
      </c>
      <c r="AD273" s="1120">
        <v>4.0</v>
      </c>
      <c r="AE273" s="1138">
        <v>0.0</v>
      </c>
      <c r="AF273" s="1120">
        <v>2.0</v>
      </c>
      <c r="AG273" s="1138">
        <v>0.0</v>
      </c>
      <c r="AH273" s="1120">
        <v>4.0</v>
      </c>
      <c r="AI273" s="1138">
        <v>0.0</v>
      </c>
      <c r="AJ273" s="1120">
        <v>2.0</v>
      </c>
      <c r="AK273" s="1138">
        <v>0.0</v>
      </c>
      <c r="AL273" s="1126">
        <v>3.0</v>
      </c>
      <c r="AM273" s="1138">
        <v>0.0</v>
      </c>
      <c r="AN273" s="1120">
        <v>2.0</v>
      </c>
      <c r="AO273" s="1138">
        <v>0.0</v>
      </c>
      <c r="AP273" s="1120">
        <v>4.0</v>
      </c>
      <c r="AQ273" s="1138">
        <v>0.0</v>
      </c>
      <c r="AR273" s="1120">
        <v>15.0</v>
      </c>
      <c r="AS273" s="1138">
        <v>8.0</v>
      </c>
      <c r="AT273" s="1126">
        <v>2.0</v>
      </c>
      <c r="AU273" s="1138">
        <v>0.0</v>
      </c>
      <c r="AV273" s="1126">
        <v>13.0</v>
      </c>
      <c r="AW273" s="1138">
        <v>0.0</v>
      </c>
      <c r="AX273" s="1126">
        <v>6.0</v>
      </c>
      <c r="AY273" s="1138">
        <v>0.0</v>
      </c>
      <c r="AZ273" s="1126">
        <v>2.0</v>
      </c>
      <c r="BA273" s="1138">
        <v>0.0</v>
      </c>
      <c r="BB273" s="1126"/>
      <c r="BC273" s="1138"/>
      <c r="BD273" s="1126">
        <v>2.0</v>
      </c>
      <c r="BE273" s="1138">
        <v>0.0</v>
      </c>
      <c r="BF273" s="1126">
        <v>9.0</v>
      </c>
      <c r="BG273" s="1138">
        <v>0.0</v>
      </c>
      <c r="BH273" s="1126">
        <v>2.0</v>
      </c>
      <c r="BI273" s="1138">
        <v>0.0</v>
      </c>
      <c r="BJ273" s="1126">
        <v>6.0</v>
      </c>
      <c r="BK273" s="1138">
        <v>0.0</v>
      </c>
      <c r="BL273" s="1134"/>
      <c r="BM273" s="1138"/>
      <c r="BN273" s="1087"/>
      <c r="BO273" s="1138"/>
      <c r="BP273" s="80">
        <f t="shared" si="157"/>
        <v>161</v>
      </c>
      <c r="BQ273" s="2137">
        <f t="shared" si="158"/>
        <v>27</v>
      </c>
      <c r="BR273" s="1572">
        <f t="shared" si="160"/>
        <v>0</v>
      </c>
      <c r="BS273" s="784">
        <f t="shared" si="159"/>
        <v>0</v>
      </c>
      <c r="BT273" s="1807"/>
    </row>
    <row r="274" ht="18.0" customHeight="1">
      <c r="A274" s="2286"/>
      <c r="B274" s="1603">
        <v>3.0</v>
      </c>
      <c r="C274" s="1700">
        <v>172.0</v>
      </c>
      <c r="D274" s="1836" t="s">
        <v>79</v>
      </c>
      <c r="E274" s="1191" t="str">
        <f>'Матрица 4 недели'!S40</f>
        <v>Сэндвич с курочкой и скремблом</v>
      </c>
      <c r="F274" s="1120">
        <v>33.0</v>
      </c>
      <c r="G274" s="1138">
        <v>29.0</v>
      </c>
      <c r="H274" s="1120">
        <v>2.0</v>
      </c>
      <c r="I274" s="1138">
        <v>2.0</v>
      </c>
      <c r="J274" s="1120">
        <v>4.0</v>
      </c>
      <c r="K274" s="1138">
        <v>2.0</v>
      </c>
      <c r="L274" s="1120">
        <v>8.0</v>
      </c>
      <c r="M274" s="1138">
        <v>4.0</v>
      </c>
      <c r="N274" s="1120">
        <v>5.0</v>
      </c>
      <c r="O274" s="1138">
        <v>3.0</v>
      </c>
      <c r="P274" s="1120">
        <v>16.0</v>
      </c>
      <c r="Q274" s="1138">
        <v>13.0</v>
      </c>
      <c r="R274" s="1120">
        <v>5.0</v>
      </c>
      <c r="S274" s="1138">
        <v>3.0</v>
      </c>
      <c r="T274" s="1120">
        <v>4.0</v>
      </c>
      <c r="U274" s="1138">
        <v>2.0</v>
      </c>
      <c r="V274" s="1120">
        <v>8.0</v>
      </c>
      <c r="W274" s="1138">
        <v>4.0</v>
      </c>
      <c r="X274" s="1120">
        <v>18.0</v>
      </c>
      <c r="Y274" s="1138">
        <v>12.0</v>
      </c>
      <c r="Z274" s="1126"/>
      <c r="AA274" s="1138"/>
      <c r="AB274" s="1120">
        <v>5.0</v>
      </c>
      <c r="AC274" s="1138">
        <v>3.0</v>
      </c>
      <c r="AD274" s="1120">
        <v>3.0</v>
      </c>
      <c r="AE274" s="1138">
        <v>3.0</v>
      </c>
      <c r="AF274" s="1120">
        <v>8.0</v>
      </c>
      <c r="AG274" s="1138">
        <v>4.0</v>
      </c>
      <c r="AH274" s="1120">
        <v>8.0</v>
      </c>
      <c r="AI274" s="1138">
        <v>4.0</v>
      </c>
      <c r="AJ274" s="1120">
        <v>4.0</v>
      </c>
      <c r="AK274" s="1138">
        <v>2.0</v>
      </c>
      <c r="AL274" s="1126">
        <v>11.0</v>
      </c>
      <c r="AM274" s="1138">
        <v>8.0</v>
      </c>
      <c r="AN274" s="1120">
        <v>2.0</v>
      </c>
      <c r="AO274" s="1138">
        <v>2.0</v>
      </c>
      <c r="AP274" s="1120">
        <v>4.0</v>
      </c>
      <c r="AQ274" s="1138">
        <v>4.0</v>
      </c>
      <c r="AR274" s="1120">
        <v>15.0</v>
      </c>
      <c r="AS274" s="1138">
        <v>12.0</v>
      </c>
      <c r="AT274" s="1126">
        <v>2.0</v>
      </c>
      <c r="AU274" s="1138">
        <v>2.0</v>
      </c>
      <c r="AV274" s="1126">
        <v>11.0</v>
      </c>
      <c r="AW274" s="1138">
        <v>9.0</v>
      </c>
      <c r="AX274" s="1126">
        <v>7.0</v>
      </c>
      <c r="AY274" s="1138">
        <v>7.0</v>
      </c>
      <c r="AZ274" s="1126">
        <v>3.0</v>
      </c>
      <c r="BA274" s="1138">
        <v>3.0</v>
      </c>
      <c r="BB274" s="1126"/>
      <c r="BC274" s="1138"/>
      <c r="BD274" s="1126">
        <v>2.0</v>
      </c>
      <c r="BE274" s="1138">
        <v>2.0</v>
      </c>
      <c r="BF274" s="1126">
        <v>13.0</v>
      </c>
      <c r="BG274" s="1138">
        <v>11.0</v>
      </c>
      <c r="BH274" s="1126">
        <v>2.0</v>
      </c>
      <c r="BI274" s="1138">
        <v>2.0</v>
      </c>
      <c r="BJ274" s="1126">
        <v>10.0</v>
      </c>
      <c r="BK274" s="1138">
        <v>8.0</v>
      </c>
      <c r="BL274" s="1134"/>
      <c r="BM274" s="1138"/>
      <c r="BN274" s="1087"/>
      <c r="BO274" s="1138"/>
      <c r="BP274" s="80">
        <f t="shared" si="157"/>
        <v>214</v>
      </c>
      <c r="BQ274" s="2137">
        <f t="shared" si="158"/>
        <v>160</v>
      </c>
      <c r="BR274" s="1572">
        <f t="shared" si="160"/>
        <v>27520</v>
      </c>
      <c r="BS274" s="784">
        <f t="shared" si="159"/>
        <v>36808</v>
      </c>
      <c r="BT274" s="1807"/>
    </row>
    <row r="275" ht="18.0" customHeight="1">
      <c r="A275" s="2286"/>
      <c r="B275" s="1603">
        <v>5.0</v>
      </c>
      <c r="C275" s="1700">
        <v>155.0</v>
      </c>
      <c r="D275" s="1557" t="s">
        <v>79</v>
      </c>
      <c r="E275" s="1172" t="str">
        <f>'Матрица 4 недели'!S41</f>
        <v>Сэндвич с ветчиной и сыром</v>
      </c>
      <c r="F275" s="1888">
        <v>3.0</v>
      </c>
      <c r="G275" s="2303">
        <v>3.0</v>
      </c>
      <c r="H275" s="1890"/>
      <c r="I275" s="2304"/>
      <c r="J275" s="1890">
        <v>2.0</v>
      </c>
      <c r="K275" s="2305">
        <v>2.0</v>
      </c>
      <c r="L275" s="2241">
        <v>2.0</v>
      </c>
      <c r="M275" s="2305">
        <v>2.0</v>
      </c>
      <c r="N275" s="1890">
        <v>2.0</v>
      </c>
      <c r="O275" s="2303">
        <v>2.0</v>
      </c>
      <c r="P275" s="1890">
        <v>3.0</v>
      </c>
      <c r="Q275" s="2306">
        <v>3.0</v>
      </c>
      <c r="R275" s="1890">
        <v>2.0</v>
      </c>
      <c r="S275" s="1898">
        <v>2.0</v>
      </c>
      <c r="T275" s="1888">
        <v>2.0</v>
      </c>
      <c r="U275" s="1898">
        <v>2.0</v>
      </c>
      <c r="V275" s="1888">
        <v>3.0</v>
      </c>
      <c r="W275" s="1898">
        <v>3.0</v>
      </c>
      <c r="X275" s="1888">
        <v>4.0</v>
      </c>
      <c r="Y275" s="1898">
        <v>4.0</v>
      </c>
      <c r="Z275" s="1890"/>
      <c r="AA275" s="1898"/>
      <c r="AB275" s="1888">
        <v>2.0</v>
      </c>
      <c r="AC275" s="1898">
        <v>2.0</v>
      </c>
      <c r="AD275" s="1888"/>
      <c r="AE275" s="1898"/>
      <c r="AF275" s="1888">
        <v>3.0</v>
      </c>
      <c r="AG275" s="1898">
        <v>3.0</v>
      </c>
      <c r="AH275" s="1888">
        <v>3.0</v>
      </c>
      <c r="AI275" s="1898">
        <v>3.0</v>
      </c>
      <c r="AJ275" s="1888">
        <v>2.0</v>
      </c>
      <c r="AK275" s="1898">
        <v>2.0</v>
      </c>
      <c r="AL275" s="1888">
        <v>2.0</v>
      </c>
      <c r="AM275" s="1898">
        <v>2.0</v>
      </c>
      <c r="AN275" s="1888"/>
      <c r="AO275" s="2303"/>
      <c r="AP275" s="1888"/>
      <c r="AQ275" s="2303"/>
      <c r="AR275" s="1888"/>
      <c r="AS275" s="2303"/>
      <c r="AT275" s="1890"/>
      <c r="AU275" s="2303"/>
      <c r="AV275" s="1890"/>
      <c r="AW275" s="2303"/>
      <c r="AX275" s="1890"/>
      <c r="AY275" s="2303"/>
      <c r="AZ275" s="1890"/>
      <c r="BA275" s="2303"/>
      <c r="BB275" s="1890"/>
      <c r="BC275" s="1127"/>
      <c r="BD275" s="1126"/>
      <c r="BE275" s="1127"/>
      <c r="BF275" s="1126"/>
      <c r="BG275" s="1127"/>
      <c r="BH275" s="1126"/>
      <c r="BI275" s="1127"/>
      <c r="BJ275" s="1126"/>
      <c r="BK275" s="1127"/>
      <c r="BL275" s="1134"/>
      <c r="BM275" s="1296"/>
      <c r="BN275" s="1286"/>
      <c r="BO275" s="1296"/>
      <c r="BP275" s="80">
        <f t="shared" si="157"/>
        <v>36</v>
      </c>
      <c r="BQ275" s="2133">
        <f t="shared" si="158"/>
        <v>35</v>
      </c>
      <c r="BR275" s="1572">
        <f t="shared" si="160"/>
        <v>5425</v>
      </c>
      <c r="BS275" s="784">
        <f t="shared" si="159"/>
        <v>5580</v>
      </c>
      <c r="BT275" s="1807"/>
    </row>
    <row r="276" ht="18.0" customHeight="1">
      <c r="A276" s="2286"/>
      <c r="B276" s="1603"/>
      <c r="C276" s="1693"/>
      <c r="D276" s="1557"/>
      <c r="E276" s="1172" t="str">
        <f>'Матрица 4 недели'!V40</f>
        <v/>
      </c>
      <c r="F276" s="1888">
        <v>40.0</v>
      </c>
      <c r="G276" s="2303">
        <v>30.0</v>
      </c>
      <c r="H276" s="1890">
        <v>0.0</v>
      </c>
      <c r="I276" s="2304">
        <v>0.0</v>
      </c>
      <c r="J276" s="1890">
        <v>30.0</v>
      </c>
      <c r="K276" s="2305">
        <v>20.0</v>
      </c>
      <c r="L276" s="2241">
        <v>15.0</v>
      </c>
      <c r="M276" s="2305">
        <v>15.0</v>
      </c>
      <c r="N276" s="1890">
        <v>0.0</v>
      </c>
      <c r="O276" s="2303">
        <v>0.0</v>
      </c>
      <c r="P276" s="1890">
        <v>15.0</v>
      </c>
      <c r="Q276" s="2306">
        <v>17.0</v>
      </c>
      <c r="R276" s="1890">
        <v>0.0</v>
      </c>
      <c r="S276" s="1898">
        <v>0.0</v>
      </c>
      <c r="T276" s="1888">
        <v>8.0</v>
      </c>
      <c r="U276" s="1898">
        <v>0.0</v>
      </c>
      <c r="V276" s="1888">
        <v>0.0</v>
      </c>
      <c r="W276" s="1898">
        <v>0.0</v>
      </c>
      <c r="X276" s="1888">
        <v>0.0</v>
      </c>
      <c r="Y276" s="1898">
        <v>0.0</v>
      </c>
      <c r="Z276" s="1890"/>
      <c r="AA276" s="1898"/>
      <c r="AB276" s="1888">
        <v>10.0</v>
      </c>
      <c r="AC276" s="1898">
        <v>0.0</v>
      </c>
      <c r="AD276" s="1888">
        <v>14.0</v>
      </c>
      <c r="AE276" s="1898">
        <v>0.0</v>
      </c>
      <c r="AF276" s="1888">
        <v>15.0</v>
      </c>
      <c r="AG276" s="1898">
        <v>5.0</v>
      </c>
      <c r="AH276" s="1888">
        <v>0.0</v>
      </c>
      <c r="AI276" s="1898">
        <v>0.0</v>
      </c>
      <c r="AJ276" s="1888">
        <v>8.0</v>
      </c>
      <c r="AK276" s="1898">
        <v>0.0</v>
      </c>
      <c r="AL276" s="1888">
        <v>0.0</v>
      </c>
      <c r="AM276" s="1898">
        <v>0.0</v>
      </c>
      <c r="AN276" s="1888">
        <v>10.0</v>
      </c>
      <c r="AO276" s="2303">
        <v>10.0</v>
      </c>
      <c r="AP276" s="1888">
        <v>0.0</v>
      </c>
      <c r="AQ276" s="2303">
        <v>0.0</v>
      </c>
      <c r="AR276" s="1888">
        <v>40.0</v>
      </c>
      <c r="AS276" s="2303">
        <v>40.0</v>
      </c>
      <c r="AT276" s="1890">
        <v>9.0</v>
      </c>
      <c r="AU276" s="2303">
        <v>7.0</v>
      </c>
      <c r="AV276" s="1890">
        <v>13.0</v>
      </c>
      <c r="AW276" s="2303">
        <v>13.0</v>
      </c>
      <c r="AX276" s="1890">
        <v>10.0</v>
      </c>
      <c r="AY276" s="2303">
        <v>10.0</v>
      </c>
      <c r="AZ276" s="1890">
        <v>0.0</v>
      </c>
      <c r="BA276" s="2303">
        <v>0.0</v>
      </c>
      <c r="BB276" s="1890"/>
      <c r="BC276" s="1127"/>
      <c r="BD276" s="1126">
        <v>5.0</v>
      </c>
      <c r="BE276" s="1127">
        <v>5.0</v>
      </c>
      <c r="BF276" s="1126">
        <v>30.0</v>
      </c>
      <c r="BG276" s="1127">
        <v>30.0</v>
      </c>
      <c r="BH276" s="1126">
        <v>8.0</v>
      </c>
      <c r="BI276" s="1127">
        <v>8.0</v>
      </c>
      <c r="BJ276" s="1126">
        <v>10.0</v>
      </c>
      <c r="BK276" s="1138">
        <v>10.0</v>
      </c>
      <c r="BL276" s="1139"/>
      <c r="BM276" s="1138"/>
      <c r="BN276" s="1087">
        <v>15.0</v>
      </c>
      <c r="BO276" s="1138">
        <v>15.0</v>
      </c>
      <c r="BP276" s="80">
        <f t="shared" si="157"/>
        <v>291</v>
      </c>
      <c r="BQ276" s="2133">
        <f t="shared" si="158"/>
        <v>220</v>
      </c>
      <c r="BR276" s="1572">
        <f t="shared" si="160"/>
        <v>0</v>
      </c>
      <c r="BS276" s="784">
        <f t="shared" si="159"/>
        <v>0</v>
      </c>
      <c r="BT276" s="1807"/>
    </row>
    <row r="277" ht="18.0" customHeight="1">
      <c r="A277" s="2286"/>
      <c r="B277" s="1603">
        <v>3998.0</v>
      </c>
      <c r="C277" s="1693">
        <v>98.0</v>
      </c>
      <c r="D277" s="1557" t="s">
        <v>80</v>
      </c>
      <c r="E277" s="1172" t="str">
        <f>'Матрица 4 недели'!V41</f>
        <v>Морс из ч/смородины 0,5 л</v>
      </c>
      <c r="F277" s="1126">
        <v>35.0</v>
      </c>
      <c r="G277" s="1138">
        <v>35.0</v>
      </c>
      <c r="H277" s="1126">
        <v>0.0</v>
      </c>
      <c r="I277" s="1138">
        <v>0.0</v>
      </c>
      <c r="J277" s="1126"/>
      <c r="K277" s="1138"/>
      <c r="L277" s="1126"/>
      <c r="M277" s="1138"/>
      <c r="N277" s="1126">
        <v>3.0</v>
      </c>
      <c r="O277" s="1138">
        <v>3.0</v>
      </c>
      <c r="P277" s="1126">
        <v>3.0</v>
      </c>
      <c r="Q277" s="1138">
        <v>3.0</v>
      </c>
      <c r="R277" s="1120">
        <v>0.0</v>
      </c>
      <c r="S277" s="1138">
        <v>0.0</v>
      </c>
      <c r="T277" s="1137">
        <v>3.0</v>
      </c>
      <c r="U277" s="1138">
        <v>3.0</v>
      </c>
      <c r="V277" s="1137">
        <v>3.0</v>
      </c>
      <c r="W277" s="1138">
        <v>3.0</v>
      </c>
      <c r="X277" s="1137">
        <v>14.0</v>
      </c>
      <c r="Y277" s="1138">
        <v>14.0</v>
      </c>
      <c r="Z277" s="1137"/>
      <c r="AA277" s="1138"/>
      <c r="AB277" s="1120">
        <v>3.0</v>
      </c>
      <c r="AC277" s="1138">
        <v>3.0</v>
      </c>
      <c r="AD277" s="1137">
        <v>3.0</v>
      </c>
      <c r="AE277" s="1138">
        <v>3.0</v>
      </c>
      <c r="AF277" s="1137">
        <v>7.0</v>
      </c>
      <c r="AG277" s="1138">
        <v>7.0</v>
      </c>
      <c r="AH277" s="1120"/>
      <c r="AI277" s="1138"/>
      <c r="AJ277" s="1120">
        <v>3.0</v>
      </c>
      <c r="AK277" s="1138">
        <v>3.0</v>
      </c>
      <c r="AL277" s="1137">
        <v>5.0</v>
      </c>
      <c r="AM277" s="1138">
        <v>5.0</v>
      </c>
      <c r="AN277" s="1137"/>
      <c r="AO277" s="1138"/>
      <c r="AP277" s="1137"/>
      <c r="AQ277" s="1138"/>
      <c r="AR277" s="1137"/>
      <c r="AS277" s="1138"/>
      <c r="AT277" s="1126">
        <v>6.0</v>
      </c>
      <c r="AU277" s="1138">
        <v>6.0</v>
      </c>
      <c r="AV277" s="1126"/>
      <c r="AW277" s="1138"/>
      <c r="AX277" s="1126">
        <v>4.0</v>
      </c>
      <c r="AY277" s="1138">
        <v>4.0</v>
      </c>
      <c r="AZ277" s="1126">
        <v>20.0</v>
      </c>
      <c r="BA277" s="1138">
        <v>20.0</v>
      </c>
      <c r="BB277" s="1126"/>
      <c r="BC277" s="1138"/>
      <c r="BD277" s="1126"/>
      <c r="BE277" s="1138"/>
      <c r="BF277" s="1126">
        <v>10.0</v>
      </c>
      <c r="BG277" s="1138">
        <v>10.0</v>
      </c>
      <c r="BH277" s="1126">
        <v>3.0</v>
      </c>
      <c r="BI277" s="1138">
        <v>3.0</v>
      </c>
      <c r="BJ277" s="1126">
        <v>0.0</v>
      </c>
      <c r="BK277" s="1138">
        <v>0.0</v>
      </c>
      <c r="BL277" s="1139">
        <v>125.0</v>
      </c>
      <c r="BM277" s="1138"/>
      <c r="BN277" s="1087">
        <v>100.0</v>
      </c>
      <c r="BO277" s="1138">
        <v>100.0</v>
      </c>
      <c r="BP277" s="80">
        <f t="shared" si="157"/>
        <v>251</v>
      </c>
      <c r="BQ277" s="2137">
        <f t="shared" si="158"/>
        <v>125</v>
      </c>
      <c r="BR277" s="1572">
        <f t="shared" si="160"/>
        <v>12250</v>
      </c>
      <c r="BS277" s="784">
        <f t="shared" si="159"/>
        <v>24598</v>
      </c>
      <c r="BT277" s="1807"/>
    </row>
    <row r="278" ht="18.0" customHeight="1">
      <c r="A278" s="2286"/>
      <c r="B278" s="1603">
        <v>822.0</v>
      </c>
      <c r="C278" s="1693">
        <v>5.0</v>
      </c>
      <c r="D278" s="1557" t="s">
        <v>78</v>
      </c>
      <c r="E278" s="50" t="str">
        <f>'Матрица 4 недели'!P41</f>
        <v>Хлеб пшеничный</v>
      </c>
      <c r="F278" s="1137">
        <v>10.0</v>
      </c>
      <c r="G278" s="1121">
        <v>10.0</v>
      </c>
      <c r="H278" s="1126"/>
      <c r="I278" s="1121"/>
      <c r="J278" s="1126"/>
      <c r="K278" s="1121"/>
      <c r="L278" s="1126"/>
      <c r="M278" s="1127"/>
      <c r="N278" s="1126"/>
      <c r="O278" s="1127"/>
      <c r="P278" s="1126"/>
      <c r="Q278" s="1121"/>
      <c r="R278" s="1126"/>
      <c r="S278" s="1291"/>
      <c r="T278" s="1126"/>
      <c r="U278" s="1138"/>
      <c r="V278" s="1137"/>
      <c r="W278" s="1138"/>
      <c r="X278" s="1137"/>
      <c r="Y278" s="1138"/>
      <c r="Z278" s="1137"/>
      <c r="AA278" s="1138"/>
      <c r="AB278" s="1137"/>
      <c r="AC278" s="1138"/>
      <c r="AD278" s="1120"/>
      <c r="AE278" s="1138"/>
      <c r="AF278" s="1120"/>
      <c r="AG278" s="1138"/>
      <c r="AH278" s="1137"/>
      <c r="AI278" s="1138"/>
      <c r="AJ278" s="1137"/>
      <c r="AK278" s="1138"/>
      <c r="AL278" s="1137"/>
      <c r="AM278" s="1138"/>
      <c r="AN278" s="1137"/>
      <c r="AO278" s="1138"/>
      <c r="AP278" s="1137"/>
      <c r="AQ278" s="1131"/>
      <c r="AR278" s="1137"/>
      <c r="AS278" s="1138"/>
      <c r="AT278" s="1126"/>
      <c r="AU278" s="1138"/>
      <c r="AV278" s="1126"/>
      <c r="AW278" s="1138"/>
      <c r="AX278" s="1126"/>
      <c r="AY278" s="1138"/>
      <c r="AZ278" s="1126"/>
      <c r="BA278" s="1138"/>
      <c r="BB278" s="1126"/>
      <c r="BC278" s="1138"/>
      <c r="BD278" s="1126"/>
      <c r="BE278" s="1138"/>
      <c r="BF278" s="1126"/>
      <c r="BG278" s="1138"/>
      <c r="BH278" s="1126"/>
      <c r="BI278" s="1138"/>
      <c r="BJ278" s="1126"/>
      <c r="BK278" s="1138"/>
      <c r="BL278" s="1134"/>
      <c r="BM278" s="1138"/>
      <c r="BN278" s="1087"/>
      <c r="BO278" s="1138"/>
      <c r="BP278" s="80">
        <f t="shared" si="157"/>
        <v>11</v>
      </c>
      <c r="BQ278" s="2137">
        <f t="shared" si="158"/>
        <v>10</v>
      </c>
      <c r="BR278" s="1572">
        <f t="shared" si="160"/>
        <v>50</v>
      </c>
      <c r="BS278" s="784">
        <f t="shared" si="159"/>
        <v>55</v>
      </c>
      <c r="BT278" s="1807"/>
    </row>
    <row r="279" ht="18.0" customHeight="1">
      <c r="A279" s="2286"/>
      <c r="B279" s="1603">
        <v>3528.0</v>
      </c>
      <c r="C279" s="1693">
        <v>56.0</v>
      </c>
      <c r="D279" s="1557" t="s">
        <v>78</v>
      </c>
      <c r="E279" s="1172" t="str">
        <f>'Матрица 4 недели'!P40</f>
        <v>Сырная палочка 80 гр</v>
      </c>
      <c r="F279" s="1141">
        <v>5.0</v>
      </c>
      <c r="G279" s="1305">
        <v>5.0</v>
      </c>
      <c r="H279" s="1141"/>
      <c r="I279" s="1305"/>
      <c r="J279" s="1141"/>
      <c r="K279" s="1305"/>
      <c r="L279" s="1141">
        <v>2.0</v>
      </c>
      <c r="M279" s="1305">
        <v>2.0</v>
      </c>
      <c r="N279" s="1141">
        <v>2.0</v>
      </c>
      <c r="O279" s="1305">
        <v>2.0</v>
      </c>
      <c r="P279" s="1141"/>
      <c r="Q279" s="1305"/>
      <c r="R279" s="1141"/>
      <c r="S279" s="1959"/>
      <c r="T279" s="1141"/>
      <c r="U279" s="1307"/>
      <c r="V279" s="1143">
        <v>2.0</v>
      </c>
      <c r="W279" s="1307">
        <v>2.0</v>
      </c>
      <c r="X279" s="1143">
        <v>2.0</v>
      </c>
      <c r="Y279" s="1138">
        <v>2.0</v>
      </c>
      <c r="Z279" s="1120"/>
      <c r="AA279" s="1138"/>
      <c r="AB279" s="1120"/>
      <c r="AC279" s="1138"/>
      <c r="AD279" s="1120"/>
      <c r="AE279" s="1138"/>
      <c r="AF279" s="1120">
        <v>2.0</v>
      </c>
      <c r="AG279" s="1138">
        <v>2.0</v>
      </c>
      <c r="AH279" s="1120">
        <v>2.0</v>
      </c>
      <c r="AI279" s="1138">
        <v>2.0</v>
      </c>
      <c r="AJ279" s="1120"/>
      <c r="AK279" s="1138"/>
      <c r="AL279" s="1120">
        <v>2.0</v>
      </c>
      <c r="AM279" s="1138">
        <v>2.0</v>
      </c>
      <c r="AN279" s="1120"/>
      <c r="AO279" s="1138"/>
      <c r="AP279" s="1126"/>
      <c r="AQ279" s="1138"/>
      <c r="AR279" s="1126">
        <v>3.0</v>
      </c>
      <c r="AS279" s="1138">
        <v>3.0</v>
      </c>
      <c r="AT279" s="1120"/>
      <c r="AU279" s="1138"/>
      <c r="AV279" s="1126">
        <v>2.0</v>
      </c>
      <c r="AW279" s="1138">
        <v>2.0</v>
      </c>
      <c r="AX279" s="1126"/>
      <c r="AY279" s="1138"/>
      <c r="AZ279" s="1126"/>
      <c r="BA279" s="1138"/>
      <c r="BB279" s="1126"/>
      <c r="BC279" s="1138"/>
      <c r="BD279" s="1126"/>
      <c r="BE279" s="1138"/>
      <c r="BF279" s="1126">
        <v>2.0</v>
      </c>
      <c r="BG279" s="1138">
        <v>2.0</v>
      </c>
      <c r="BH279" s="1126"/>
      <c r="BI279" s="1138"/>
      <c r="BJ279" s="1126">
        <v>2.0</v>
      </c>
      <c r="BK279" s="1138">
        <v>2.0</v>
      </c>
      <c r="BL279" s="1134"/>
      <c r="BM279" s="1170"/>
      <c r="BN279" s="900"/>
      <c r="BO279" s="1170"/>
      <c r="BP279" s="80">
        <f t="shared" si="157"/>
        <v>29</v>
      </c>
      <c r="BQ279" s="2137">
        <f t="shared" si="158"/>
        <v>28</v>
      </c>
      <c r="BR279" s="1572">
        <f t="shared" si="160"/>
        <v>1568</v>
      </c>
      <c r="BS279" s="784">
        <f t="shared" si="159"/>
        <v>1624</v>
      </c>
      <c r="BT279" s="1807"/>
    </row>
    <row r="280" ht="18.0" customHeight="1">
      <c r="A280" s="2286"/>
      <c r="B280" s="1603"/>
      <c r="C280" s="1693"/>
      <c r="D280" s="1557"/>
      <c r="E280" s="1172" t="str">
        <f>'Матрица 4 недели'!S44</f>
        <v/>
      </c>
      <c r="F280" s="1141">
        <v>6.0</v>
      </c>
      <c r="G280" s="1303">
        <v>6.0</v>
      </c>
      <c r="H280" s="1141"/>
      <c r="I280" s="1303"/>
      <c r="J280" s="1141"/>
      <c r="K280" s="1303"/>
      <c r="L280" s="1141">
        <v>2.0</v>
      </c>
      <c r="M280" s="1303">
        <v>2.0</v>
      </c>
      <c r="N280" s="1141">
        <v>2.0</v>
      </c>
      <c r="O280" s="1121">
        <v>2.0</v>
      </c>
      <c r="P280" s="2165">
        <v>2.0</v>
      </c>
      <c r="Q280" s="1127">
        <v>2.0</v>
      </c>
      <c r="R280" s="1087"/>
      <c r="S280" s="1127"/>
      <c r="T280" s="2004">
        <v>1.0</v>
      </c>
      <c r="U280" s="1883">
        <v>1.0</v>
      </c>
      <c r="V280" s="2004">
        <v>2.0</v>
      </c>
      <c r="W280" s="1883">
        <v>2.0</v>
      </c>
      <c r="X280" s="1141">
        <v>2.0</v>
      </c>
      <c r="Y280" s="1883">
        <v>2.0</v>
      </c>
      <c r="Z280" s="1087"/>
      <c r="AA280" s="1127"/>
      <c r="AB280" s="1087"/>
      <c r="AC280" s="1138"/>
      <c r="AD280" s="1120"/>
      <c r="AE280" s="1138"/>
      <c r="AF280" s="1120">
        <v>2.0</v>
      </c>
      <c r="AG280" s="1138">
        <v>2.0</v>
      </c>
      <c r="AH280" s="1120"/>
      <c r="AI280" s="1138"/>
      <c r="AJ280" s="1120"/>
      <c r="AK280" s="1138"/>
      <c r="AL280" s="1120">
        <v>2.0</v>
      </c>
      <c r="AM280" s="1138">
        <v>2.0</v>
      </c>
      <c r="AN280" s="1120"/>
      <c r="AO280" s="1138"/>
      <c r="AP280" s="1126"/>
      <c r="AQ280" s="1138"/>
      <c r="AR280" s="1126">
        <v>3.0</v>
      </c>
      <c r="AS280" s="1138">
        <v>3.0</v>
      </c>
      <c r="AT280" s="1120"/>
      <c r="AU280" s="1138"/>
      <c r="AV280" s="1126">
        <v>2.0</v>
      </c>
      <c r="AW280" s="1138">
        <v>2.0</v>
      </c>
      <c r="AX280" s="1126">
        <v>2.0</v>
      </c>
      <c r="AY280" s="1138">
        <v>2.0</v>
      </c>
      <c r="AZ280" s="1126"/>
      <c r="BA280" s="1138"/>
      <c r="BB280" s="1126"/>
      <c r="BC280" s="1138"/>
      <c r="BD280" s="1126"/>
      <c r="BE280" s="1138"/>
      <c r="BF280" s="1126"/>
      <c r="BG280" s="1138"/>
      <c r="BH280" s="1126"/>
      <c r="BI280" s="1138"/>
      <c r="BJ280" s="1126"/>
      <c r="BK280" s="1138"/>
      <c r="BL280" s="1134"/>
      <c r="BM280" s="1170"/>
      <c r="BN280" s="900"/>
      <c r="BO280" s="1170"/>
      <c r="BP280" s="80">
        <f t="shared" si="157"/>
        <v>29</v>
      </c>
      <c r="BQ280" s="2137">
        <f t="shared" si="158"/>
        <v>28</v>
      </c>
      <c r="BR280" s="1572">
        <f t="shared" si="160"/>
        <v>0</v>
      </c>
      <c r="BS280" s="784">
        <f t="shared" si="159"/>
        <v>0</v>
      </c>
      <c r="BT280" s="1807"/>
    </row>
    <row r="281" ht="18.0" customHeight="1">
      <c r="A281" s="1700"/>
      <c r="B281" s="1603"/>
      <c r="C281" s="1693"/>
      <c r="D281" s="1557"/>
      <c r="E281" s="1900"/>
      <c r="F281" s="1126"/>
      <c r="G281" s="1121"/>
      <c r="H281" s="1126"/>
      <c r="I281" s="1121"/>
      <c r="J281" s="1126"/>
      <c r="K281" s="1121"/>
      <c r="L281" s="1126"/>
      <c r="M281" s="1121"/>
      <c r="N281" s="1126"/>
      <c r="O281" s="1121"/>
      <c r="P281" s="1126"/>
      <c r="Q281" s="1121"/>
      <c r="R281" s="1126"/>
      <c r="S281" s="1291"/>
      <c r="T281" s="1126"/>
      <c r="U281" s="1138"/>
      <c r="V281" s="1137"/>
      <c r="W281" s="1138"/>
      <c r="X281" s="1137"/>
      <c r="Y281" s="1138"/>
      <c r="Z281" s="1120"/>
      <c r="AA281" s="1138"/>
      <c r="AB281" s="1120"/>
      <c r="AC281" s="1138"/>
      <c r="AD281" s="1120"/>
      <c r="AE281" s="1138"/>
      <c r="AF281" s="1120"/>
      <c r="AG281" s="1138"/>
      <c r="AH281" s="1120"/>
      <c r="AI281" s="1138"/>
      <c r="AJ281" s="1120"/>
      <c r="AK281" s="1138"/>
      <c r="AL281" s="1120"/>
      <c r="AM281" s="1138"/>
      <c r="AN281" s="1120"/>
      <c r="AO281" s="1138"/>
      <c r="AP281" s="1126"/>
      <c r="AQ281" s="1138"/>
      <c r="AR281" s="1126"/>
      <c r="AS281" s="1138"/>
      <c r="AT281" s="1120"/>
      <c r="AU281" s="1138"/>
      <c r="AV281" s="1126"/>
      <c r="AW281" s="1138"/>
      <c r="AX281" s="1126"/>
      <c r="AY281" s="1138"/>
      <c r="AZ281" s="1126"/>
      <c r="BA281" s="1138"/>
      <c r="BB281" s="1126"/>
      <c r="BC281" s="1138"/>
      <c r="BD281" s="1126"/>
      <c r="BE281" s="1138"/>
      <c r="BF281" s="1126"/>
      <c r="BG281" s="1138"/>
      <c r="BH281" s="1126"/>
      <c r="BI281" s="1138"/>
      <c r="BJ281" s="1126"/>
      <c r="BK281" s="1138"/>
      <c r="BL281" s="1134"/>
      <c r="BM281" s="1170"/>
      <c r="BN281" s="900"/>
      <c r="BO281" s="1170"/>
      <c r="BP281" s="80">
        <f t="shared" si="157"/>
        <v>1</v>
      </c>
      <c r="BQ281" s="2137">
        <f t="shared" si="158"/>
        <v>0</v>
      </c>
      <c r="BR281" s="1572">
        <f t="shared" si="160"/>
        <v>0</v>
      </c>
      <c r="BS281" s="784">
        <f t="shared" si="159"/>
        <v>0</v>
      </c>
      <c r="BT281" s="1610" t="s">
        <v>3104</v>
      </c>
    </row>
    <row r="282" ht="15.75" customHeight="1">
      <c r="A282" s="1668"/>
      <c r="B282" s="1669"/>
      <c r="C282" s="1668"/>
      <c r="D282" s="1670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8"/>
      <c r="P282" s="678"/>
      <c r="Q282" s="678"/>
      <c r="R282" s="678"/>
      <c r="S282" s="678"/>
      <c r="T282" s="678"/>
      <c r="U282" s="678"/>
      <c r="V282" s="678"/>
      <c r="W282" s="678"/>
      <c r="X282" s="678"/>
      <c r="Y282" s="678"/>
      <c r="Z282" s="678"/>
      <c r="AA282" s="678"/>
      <c r="AB282" s="678"/>
      <c r="AC282" s="678"/>
      <c r="AD282" s="678"/>
      <c r="AE282" s="678"/>
      <c r="AF282" s="678"/>
      <c r="AG282" s="678"/>
      <c r="AH282" s="678"/>
      <c r="AI282" s="678"/>
      <c r="AJ282" s="678"/>
      <c r="AK282" s="678"/>
      <c r="AL282" s="678"/>
      <c r="AM282" s="678"/>
      <c r="AN282" s="1798"/>
      <c r="AO282" s="1798"/>
      <c r="AP282" s="1798"/>
      <c r="AQ282" s="1798"/>
      <c r="AR282" s="1798"/>
      <c r="AS282" s="678"/>
      <c r="AT282" s="678"/>
      <c r="AU282" s="678"/>
      <c r="AV282" s="678"/>
      <c r="AW282" s="678"/>
      <c r="AX282" s="678"/>
      <c r="AY282" s="678"/>
      <c r="AZ282" s="678"/>
      <c r="BA282" s="678"/>
      <c r="BB282" s="907"/>
      <c r="BC282" s="678"/>
      <c r="BD282" s="907"/>
      <c r="BE282" s="678"/>
      <c r="BF282" s="907"/>
      <c r="BG282" s="678"/>
      <c r="BH282" s="2169"/>
      <c r="BI282" s="678"/>
      <c r="BJ282" s="2169"/>
      <c r="BK282" s="678"/>
      <c r="BL282" s="2171" t="s">
        <v>1365</v>
      </c>
      <c r="BM282" s="69"/>
      <c r="BN282" s="1172"/>
      <c r="BO282" s="721"/>
      <c r="BP282" s="2322">
        <f t="shared" ref="BP282:BS282" si="161">SUM(BP256:BP281)</f>
        <v>2869</v>
      </c>
      <c r="BQ282" s="2173">
        <f t="shared" si="161"/>
        <v>2013</v>
      </c>
      <c r="BR282" s="2174">
        <f t="shared" si="161"/>
        <v>248277</v>
      </c>
      <c r="BS282" s="2174">
        <f t="shared" si="161"/>
        <v>337198</v>
      </c>
      <c r="BT282" s="1678">
        <f>BR282-BS282</f>
        <v>-88921</v>
      </c>
    </row>
    <row r="283" ht="15.75" customHeight="1">
      <c r="A283" s="1668"/>
      <c r="B283" s="1669"/>
      <c r="C283" s="1668"/>
      <c r="D283" s="1670"/>
      <c r="E283" s="1671"/>
      <c r="F283" s="678"/>
      <c r="G283" s="678"/>
      <c r="H283" s="678"/>
      <c r="I283" s="678"/>
      <c r="J283" s="678"/>
      <c r="K283" s="678"/>
      <c r="L283" s="678"/>
      <c r="M283" s="678"/>
      <c r="N283" s="678"/>
      <c r="O283" s="678"/>
      <c r="P283" s="678"/>
      <c r="Q283" s="678"/>
      <c r="R283" s="678"/>
      <c r="S283" s="678"/>
      <c r="T283" s="678"/>
      <c r="U283" s="678"/>
      <c r="V283" s="678"/>
      <c r="W283" s="678"/>
      <c r="X283" s="678"/>
      <c r="Y283" s="678"/>
      <c r="Z283" s="678"/>
      <c r="AA283" s="678"/>
      <c r="AB283" s="678"/>
      <c r="AC283" s="678"/>
      <c r="AD283" s="678"/>
      <c r="AE283" s="678"/>
      <c r="AF283" s="678"/>
      <c r="AG283" s="678"/>
      <c r="AH283" s="678"/>
      <c r="AI283" s="678"/>
      <c r="AJ283" s="678"/>
      <c r="AK283" s="678"/>
      <c r="AL283" s="678"/>
      <c r="AM283" s="678"/>
      <c r="AN283" s="1798"/>
      <c r="AO283" s="1798"/>
      <c r="AP283" s="1798"/>
      <c r="AQ283" s="1798"/>
      <c r="AR283" s="1798"/>
      <c r="AS283" s="678"/>
      <c r="AT283" s="678"/>
      <c r="AU283" s="678"/>
      <c r="AV283" s="678"/>
      <c r="AW283" s="678"/>
      <c r="AX283" s="678"/>
      <c r="AY283" s="678"/>
      <c r="AZ283" s="678"/>
      <c r="BA283" s="678"/>
      <c r="BB283" s="907"/>
      <c r="BC283" s="678"/>
      <c r="BD283" s="907"/>
      <c r="BE283" s="678"/>
      <c r="BF283" s="907"/>
      <c r="BG283" s="678"/>
      <c r="BH283" s="2169"/>
      <c r="BI283" s="678"/>
      <c r="BJ283" s="2169"/>
      <c r="BK283" s="678"/>
      <c r="BL283" s="678"/>
      <c r="BM283" s="678"/>
      <c r="BN283" s="907"/>
      <c r="BO283" s="678"/>
      <c r="BP283" s="1684"/>
      <c r="BQ283" s="629"/>
      <c r="BR283" s="541"/>
      <c r="BS283" s="684"/>
      <c r="BT283" s="541"/>
    </row>
    <row r="284" ht="15.75" customHeight="1">
      <c r="A284" s="1668"/>
      <c r="B284" s="1669"/>
      <c r="C284" s="1668"/>
      <c r="D284" s="1670"/>
      <c r="E284" s="1671"/>
      <c r="F284" s="678"/>
      <c r="G284" s="678"/>
      <c r="H284" s="678"/>
      <c r="I284" s="678"/>
      <c r="J284" s="678"/>
      <c r="K284" s="678"/>
      <c r="L284" s="678"/>
      <c r="M284" s="678"/>
      <c r="N284" s="678"/>
      <c r="O284" s="678"/>
      <c r="P284" s="678"/>
      <c r="Q284" s="678"/>
      <c r="R284" s="678"/>
      <c r="S284" s="678"/>
      <c r="T284" s="678"/>
      <c r="U284" s="678"/>
      <c r="V284" s="678"/>
      <c r="W284" s="678"/>
      <c r="X284" s="678"/>
      <c r="Y284" s="678"/>
      <c r="Z284" s="678"/>
      <c r="AA284" s="678"/>
      <c r="AB284" s="678"/>
      <c r="AC284" s="678"/>
      <c r="AD284" s="678"/>
      <c r="AE284" s="678"/>
      <c r="AF284" s="678"/>
      <c r="AG284" s="678"/>
      <c r="AH284" s="678"/>
      <c r="AI284" s="678"/>
      <c r="AJ284" s="678"/>
      <c r="AK284" s="678"/>
      <c r="AL284" s="678"/>
      <c r="AM284" s="678"/>
      <c r="AN284" s="1798"/>
      <c r="AO284" s="1798"/>
      <c r="AP284" s="1798"/>
      <c r="AQ284" s="1798"/>
      <c r="AR284" s="1798"/>
      <c r="AS284" s="678"/>
      <c r="AT284" s="678"/>
      <c r="AU284" s="678"/>
      <c r="AV284" s="678"/>
      <c r="AW284" s="678"/>
      <c r="AX284" s="678"/>
      <c r="AY284" s="678"/>
      <c r="AZ284" s="678"/>
      <c r="BA284" s="678"/>
      <c r="BB284" s="907"/>
      <c r="BC284" s="678"/>
      <c r="BD284" s="907"/>
      <c r="BE284" s="678"/>
      <c r="BF284" s="907"/>
      <c r="BG284" s="678"/>
      <c r="BH284" s="2169"/>
      <c r="BI284" s="678"/>
      <c r="BJ284" s="2169"/>
      <c r="BK284" s="678"/>
      <c r="BL284" s="678"/>
      <c r="BM284" s="678"/>
      <c r="BN284" s="907"/>
      <c r="BO284" s="678"/>
      <c r="BP284" s="1684"/>
      <c r="BQ284" s="629"/>
      <c r="BR284" s="541"/>
      <c r="BS284" s="684"/>
      <c r="BT284" s="541"/>
    </row>
    <row r="285" ht="25.5" customHeight="1">
      <c r="A285" s="1805" t="s">
        <v>1354</v>
      </c>
      <c r="C285" s="1845">
        <v>46233.0</v>
      </c>
      <c r="E285" s="908" t="s">
        <v>3106</v>
      </c>
      <c r="F285" s="1798"/>
      <c r="G285" s="1798"/>
      <c r="H285" s="1798"/>
      <c r="I285" s="1798"/>
      <c r="J285" s="1798" t="s">
        <v>1356</v>
      </c>
      <c r="K285" s="1798"/>
      <c r="L285" s="1798"/>
      <c r="M285" s="1798"/>
      <c r="N285" s="1798"/>
      <c r="O285" s="1798"/>
      <c r="P285" s="1798"/>
      <c r="Q285" s="1798"/>
      <c r="R285" s="1798"/>
      <c r="S285" s="1798"/>
      <c r="T285" s="1798"/>
      <c r="U285" s="1798"/>
      <c r="V285" s="1798"/>
      <c r="W285" s="1798"/>
      <c r="X285" s="1798"/>
      <c r="Y285" s="1798"/>
      <c r="Z285" s="1798"/>
      <c r="AA285" s="1798"/>
      <c r="AB285" s="1798"/>
      <c r="AC285" s="1798"/>
      <c r="AD285" s="1798"/>
      <c r="AE285" s="1798"/>
      <c r="AF285" s="1798"/>
      <c r="AG285" s="1798"/>
      <c r="AH285" s="1798"/>
      <c r="AI285" s="1798"/>
      <c r="AJ285" s="1798"/>
      <c r="AK285" s="1798"/>
      <c r="AL285" s="1798"/>
      <c r="AM285" s="1798"/>
      <c r="AN285" s="1798"/>
      <c r="AO285" s="1798"/>
      <c r="AP285" s="1798"/>
      <c r="AQ285" s="1798"/>
      <c r="AR285" s="1798"/>
      <c r="AS285" s="1798"/>
      <c r="AT285" s="1798"/>
      <c r="AU285" s="1798"/>
      <c r="AV285" s="1798"/>
      <c r="AW285" s="1798"/>
      <c r="AX285" s="1798"/>
      <c r="AY285" s="1798"/>
      <c r="AZ285" s="1798"/>
      <c r="BA285" s="1798"/>
      <c r="BB285" s="2169"/>
      <c r="BC285" s="1798"/>
      <c r="BD285" s="2169"/>
      <c r="BE285" s="1798"/>
      <c r="BF285" s="2169"/>
      <c r="BG285" s="1798"/>
      <c r="BH285" s="2169"/>
      <c r="BI285" s="1798"/>
      <c r="BJ285" s="2169"/>
      <c r="BK285" s="1798"/>
      <c r="BL285" s="1798"/>
      <c r="BM285" s="1798"/>
      <c r="BN285" s="2169"/>
      <c r="BO285" s="1798"/>
      <c r="BP285" s="2162"/>
      <c r="BQ285" s="1691"/>
      <c r="BR285" s="541"/>
      <c r="BS285" s="684"/>
      <c r="BT285" s="541"/>
    </row>
    <row r="286" ht="25.5" customHeight="1">
      <c r="A286" s="1693" t="s">
        <v>3069</v>
      </c>
      <c r="B286" s="1694" t="s">
        <v>3097</v>
      </c>
      <c r="C286" s="1693" t="s">
        <v>19</v>
      </c>
      <c r="D286" s="1557" t="s">
        <v>3070</v>
      </c>
      <c r="E286" s="1559" t="s">
        <v>471</v>
      </c>
      <c r="F286" s="1842" t="s">
        <v>1357</v>
      </c>
      <c r="G286" s="69"/>
      <c r="H286" s="1842" t="s">
        <v>1287</v>
      </c>
      <c r="I286" s="69"/>
      <c r="J286" s="1842" t="s">
        <v>1358</v>
      </c>
      <c r="K286" s="69"/>
      <c r="L286" s="1842" t="s">
        <v>1359</v>
      </c>
      <c r="M286" s="69"/>
      <c r="N286" s="1842" t="s">
        <v>1360</v>
      </c>
      <c r="O286" s="69"/>
      <c r="P286" s="1842" t="s">
        <v>1361</v>
      </c>
      <c r="Q286" s="69"/>
      <c r="R286" s="1842" t="s">
        <v>1362</v>
      </c>
      <c r="S286" s="69"/>
      <c r="T286" s="1842" t="s">
        <v>1299</v>
      </c>
      <c r="U286" s="69"/>
      <c r="V286" s="1842" t="s">
        <v>1301</v>
      </c>
      <c r="W286" s="69"/>
      <c r="X286" s="1842" t="s">
        <v>1363</v>
      </c>
      <c r="Y286" s="69"/>
      <c r="Z286" s="1842" t="s">
        <v>1305</v>
      </c>
      <c r="AA286" s="69"/>
      <c r="AB286" s="1842" t="s">
        <v>1307</v>
      </c>
      <c r="AC286" s="69"/>
      <c r="AD286" s="1842" t="s">
        <v>1309</v>
      </c>
      <c r="AE286" s="69"/>
      <c r="AF286" s="1842" t="s">
        <v>1311</v>
      </c>
      <c r="AG286" s="69"/>
      <c r="AH286" s="1842" t="s">
        <v>1313</v>
      </c>
      <c r="AI286" s="69"/>
      <c r="AJ286" s="1842" t="s">
        <v>1315</v>
      </c>
      <c r="AK286" s="69"/>
      <c r="AL286" s="1842" t="s">
        <v>1317</v>
      </c>
      <c r="AM286" s="69"/>
      <c r="AN286" s="1842" t="s">
        <v>1319</v>
      </c>
      <c r="AO286" s="69"/>
      <c r="AP286" s="1842" t="s">
        <v>1321</v>
      </c>
      <c r="AQ286" s="69"/>
      <c r="AR286" s="1842" t="s">
        <v>1323</v>
      </c>
      <c r="AS286" s="69"/>
      <c r="AT286" s="1842" t="s">
        <v>1325</v>
      </c>
      <c r="AU286" s="69"/>
      <c r="AV286" s="1842" t="s">
        <v>1327</v>
      </c>
      <c r="AW286" s="69"/>
      <c r="AX286" s="1842" t="s">
        <v>3076</v>
      </c>
      <c r="AY286" s="69"/>
      <c r="AZ286" s="1842" t="s">
        <v>3078</v>
      </c>
      <c r="BA286" s="69"/>
      <c r="BB286" s="2034" t="s">
        <v>3080</v>
      </c>
      <c r="BC286" s="69"/>
      <c r="BD286" s="2034" t="s">
        <v>3082</v>
      </c>
      <c r="BE286" s="69"/>
      <c r="BF286" s="2034" t="s">
        <v>3084</v>
      </c>
      <c r="BG286" s="69"/>
      <c r="BH286" s="2034" t="s">
        <v>3086</v>
      </c>
      <c r="BI286" s="69"/>
      <c r="BJ286" s="2034" t="s">
        <v>3088</v>
      </c>
      <c r="BK286" s="69"/>
      <c r="BL286" s="1564" t="s">
        <v>297</v>
      </c>
      <c r="BM286" s="69"/>
      <c r="BN286" s="2175" t="s">
        <v>5</v>
      </c>
      <c r="BO286" s="69"/>
      <c r="BR286" s="2177" t="s">
        <v>3129</v>
      </c>
      <c r="BS286" s="544"/>
      <c r="BT286" s="2176"/>
    </row>
    <row r="287" ht="21.0" customHeight="1">
      <c r="A287" s="1718" t="str">
        <f t="shared" ref="A287:A310" si="162">A256</f>
        <v/>
      </c>
      <c r="B287" s="2068">
        <v>3970.0</v>
      </c>
      <c r="C287" s="1567">
        <v>93.0</v>
      </c>
      <c r="D287" s="1701"/>
      <c r="E287" s="1702" t="str">
        <f t="shared" ref="E287:E313" si="163">E256</f>
        <v>Каша овсяная (на молоке)</v>
      </c>
      <c r="F287" s="2342" t="str">
        <f t="shared" ref="F287:F312" si="164">G256</f>
        <v/>
      </c>
      <c r="G287" s="532"/>
      <c r="H287" s="2343" t="str">
        <f t="shared" ref="H287:H312" si="165">I256</f>
        <v/>
      </c>
      <c r="I287" s="532"/>
      <c r="J287" s="2342" t="str">
        <f t="shared" ref="J287:J312" si="166">K256</f>
        <v/>
      </c>
      <c r="K287" s="532"/>
      <c r="L287" s="2342" t="str">
        <f t="shared" ref="L287:L312" si="167">M256</f>
        <v/>
      </c>
      <c r="M287" s="532"/>
      <c r="N287" s="2342" t="str">
        <f t="shared" ref="N287:N312" si="168">O256</f>
        <v/>
      </c>
      <c r="O287" s="532"/>
      <c r="P287" s="2342" t="str">
        <f t="shared" ref="P287:P312" si="169">Q256</f>
        <v/>
      </c>
      <c r="Q287" s="532"/>
      <c r="R287" s="2343" t="str">
        <f t="shared" ref="R287:R312" si="170">S256</f>
        <v/>
      </c>
      <c r="S287" s="532"/>
      <c r="T287" s="2343" t="str">
        <f t="shared" ref="T287:T312" si="171">U256</f>
        <v/>
      </c>
      <c r="U287" s="532"/>
      <c r="V287" s="2343" t="str">
        <f t="shared" ref="V287:V312" si="172">W256</f>
        <v/>
      </c>
      <c r="W287" s="532"/>
      <c r="X287" s="2343" t="str">
        <f t="shared" ref="X287:X312" si="173">Y256</f>
        <v/>
      </c>
      <c r="Y287" s="532"/>
      <c r="Z287" s="2343" t="str">
        <f t="shared" ref="Z287:Z312" si="174">AA256</f>
        <v/>
      </c>
      <c r="AA287" s="532"/>
      <c r="AB287" s="2343" t="str">
        <f t="shared" ref="AB287:AB312" si="175">AC256</f>
        <v/>
      </c>
      <c r="AC287" s="532"/>
      <c r="AD287" s="2343" t="str">
        <f t="shared" ref="AD287:AD312" si="176">AE256</f>
        <v/>
      </c>
      <c r="AE287" s="532"/>
      <c r="AF287" s="2343" t="str">
        <f t="shared" ref="AF287:AF312" si="177">AG256</f>
        <v/>
      </c>
      <c r="AG287" s="532"/>
      <c r="AH287" s="2346" t="str">
        <f t="shared" ref="AH287:AH312" si="178">AI256</f>
        <v/>
      </c>
      <c r="AI287" s="69"/>
      <c r="AJ287" s="2346" t="str">
        <f t="shared" ref="AJ287:AJ312" si="179">AK256</f>
        <v/>
      </c>
      <c r="AK287" s="69"/>
      <c r="AL287" s="2348" t="str">
        <f t="shared" ref="AL287:AL312" si="180">AM256</f>
        <v/>
      </c>
      <c r="AM287" s="532"/>
      <c r="AN287" s="2348" t="str">
        <f t="shared" ref="AN287:AN312" si="181">AO256</f>
        <v/>
      </c>
      <c r="AO287" s="532"/>
      <c r="AP287" s="2348" t="str">
        <f t="shared" ref="AP287:AP312" si="182">AQ256</f>
        <v/>
      </c>
      <c r="AQ287" s="532"/>
      <c r="AR287" s="2348" t="str">
        <f t="shared" ref="AR287:AR312" si="183">AS256</f>
        <v/>
      </c>
      <c r="AS287" s="532"/>
      <c r="AT287" s="2348" t="str">
        <f t="shared" ref="AT287:AT312" si="184">AU256</f>
        <v/>
      </c>
      <c r="AU287" s="532"/>
      <c r="AV287" s="2350" t="str">
        <f t="shared" ref="AV287:AV312" si="185">AW256</f>
        <v/>
      </c>
      <c r="AW287" s="69"/>
      <c r="AX287" s="2350" t="str">
        <f t="shared" ref="AX287:AX312" si="186">AY256</f>
        <v/>
      </c>
      <c r="AY287" s="69"/>
      <c r="AZ287" s="2350" t="str">
        <f t="shared" ref="AZ287:AZ312" si="187">BA256</f>
        <v/>
      </c>
      <c r="BA287" s="69"/>
      <c r="BB287" s="2164" t="str">
        <f t="shared" ref="BB287:BB312" si="188">BC256</f>
        <v/>
      </c>
      <c r="BC287" s="69"/>
      <c r="BD287" s="2164" t="str">
        <f t="shared" ref="BD287:BD312" si="189">BE256</f>
        <v/>
      </c>
      <c r="BE287" s="69"/>
      <c r="BF287" s="2164" t="str">
        <f t="shared" ref="BF287:BF312" si="190">BG256</f>
        <v/>
      </c>
      <c r="BG287" s="69"/>
      <c r="BH287" s="2164" t="str">
        <f t="shared" ref="BH287:BH312" si="191">BI256</f>
        <v/>
      </c>
      <c r="BI287" s="69"/>
      <c r="BJ287" s="2164" t="str">
        <f t="shared" ref="BJ287:BJ312" si="192">BK256</f>
        <v/>
      </c>
      <c r="BK287" s="69"/>
      <c r="BL287" s="2342" t="str">
        <f t="shared" ref="BL287:BL312" si="193">BM256</f>
        <v/>
      </c>
      <c r="BM287" s="532"/>
      <c r="BN287" s="2351">
        <f t="shared" ref="BN287:BN312" si="194">SUM(F287:BM287)</f>
        <v>0</v>
      </c>
      <c r="BO287" s="532"/>
      <c r="BR287" s="2186">
        <f>BT31+BT93+BT155+BT219+BT282</f>
        <v>-1156409</v>
      </c>
      <c r="BT287" s="541"/>
    </row>
    <row r="288" ht="21.0" customHeight="1">
      <c r="A288" s="1718" t="str">
        <f t="shared" si="162"/>
        <v/>
      </c>
      <c r="B288" s="2068">
        <v>4037.0</v>
      </c>
      <c r="C288" s="1567">
        <v>117.0</v>
      </c>
      <c r="D288" s="1701"/>
      <c r="E288" s="1702" t="str">
        <f t="shared" si="163"/>
        <v>Шарлотка с яблоком </v>
      </c>
      <c r="F288" s="2352">
        <f t="shared" si="164"/>
        <v>20</v>
      </c>
      <c r="G288" s="532"/>
      <c r="H288" s="2348">
        <f t="shared" si="165"/>
        <v>0</v>
      </c>
      <c r="I288" s="532"/>
      <c r="J288" s="2352">
        <f t="shared" si="166"/>
        <v>7</v>
      </c>
      <c r="K288" s="532"/>
      <c r="L288" s="2352">
        <f t="shared" si="167"/>
        <v>9</v>
      </c>
      <c r="M288" s="532"/>
      <c r="N288" s="2352">
        <f t="shared" si="168"/>
        <v>9</v>
      </c>
      <c r="O288" s="532"/>
      <c r="P288" s="2352">
        <f t="shared" si="169"/>
        <v>4</v>
      </c>
      <c r="Q288" s="532"/>
      <c r="R288" s="2348">
        <f t="shared" si="170"/>
        <v>1</v>
      </c>
      <c r="S288" s="532"/>
      <c r="T288" s="2348">
        <f t="shared" si="171"/>
        <v>4</v>
      </c>
      <c r="U288" s="532"/>
      <c r="V288" s="2348">
        <f t="shared" si="172"/>
        <v>4</v>
      </c>
      <c r="W288" s="532"/>
      <c r="X288" s="2348">
        <f t="shared" si="173"/>
        <v>9</v>
      </c>
      <c r="Y288" s="532"/>
      <c r="Z288" s="2348" t="str">
        <f t="shared" si="174"/>
        <v/>
      </c>
      <c r="AA288" s="532"/>
      <c r="AB288" s="2348">
        <f t="shared" si="175"/>
        <v>8</v>
      </c>
      <c r="AC288" s="532"/>
      <c r="AD288" s="2348">
        <f t="shared" si="176"/>
        <v>2</v>
      </c>
      <c r="AE288" s="532"/>
      <c r="AF288" s="2348">
        <f t="shared" si="177"/>
        <v>7</v>
      </c>
      <c r="AG288" s="532"/>
      <c r="AH288" s="2350">
        <f t="shared" si="178"/>
        <v>3</v>
      </c>
      <c r="AI288" s="69"/>
      <c r="AJ288" s="2350">
        <f t="shared" si="179"/>
        <v>5</v>
      </c>
      <c r="AK288" s="69"/>
      <c r="AL288" s="2348">
        <f t="shared" si="180"/>
        <v>6</v>
      </c>
      <c r="AM288" s="532"/>
      <c r="AN288" s="2348">
        <f t="shared" si="181"/>
        <v>4</v>
      </c>
      <c r="AO288" s="532"/>
      <c r="AP288" s="2348">
        <f t="shared" si="182"/>
        <v>5</v>
      </c>
      <c r="AQ288" s="532"/>
      <c r="AR288" s="2348">
        <f t="shared" si="183"/>
        <v>12</v>
      </c>
      <c r="AS288" s="532"/>
      <c r="AT288" s="2348">
        <f t="shared" si="184"/>
        <v>4</v>
      </c>
      <c r="AU288" s="532"/>
      <c r="AV288" s="2350">
        <f t="shared" si="185"/>
        <v>8</v>
      </c>
      <c r="AW288" s="69"/>
      <c r="AX288" s="2350">
        <f t="shared" si="186"/>
        <v>6</v>
      </c>
      <c r="AY288" s="69"/>
      <c r="AZ288" s="2350">
        <f t="shared" si="187"/>
        <v>4</v>
      </c>
      <c r="BA288" s="69"/>
      <c r="BB288" s="2164" t="str">
        <f t="shared" si="188"/>
        <v/>
      </c>
      <c r="BC288" s="69"/>
      <c r="BD288" s="2164">
        <f t="shared" si="189"/>
        <v>2</v>
      </c>
      <c r="BE288" s="69"/>
      <c r="BF288" s="2164">
        <f t="shared" si="190"/>
        <v>5</v>
      </c>
      <c r="BG288" s="69"/>
      <c r="BH288" s="2164">
        <f t="shared" si="191"/>
        <v>3</v>
      </c>
      <c r="BI288" s="69"/>
      <c r="BJ288" s="2164">
        <f t="shared" si="192"/>
        <v>6</v>
      </c>
      <c r="BK288" s="69"/>
      <c r="BL288" s="2342" t="str">
        <f t="shared" si="193"/>
        <v/>
      </c>
      <c r="BM288" s="532"/>
      <c r="BN288" s="2354">
        <f t="shared" si="194"/>
        <v>157</v>
      </c>
      <c r="BO288" s="532"/>
      <c r="BR288" s="541"/>
      <c r="BS288" s="684"/>
      <c r="BT288" s="541"/>
    </row>
    <row r="289" ht="21.0" customHeight="1">
      <c r="A289" s="1718" t="str">
        <f t="shared" si="162"/>
        <v/>
      </c>
      <c r="B289" s="2068">
        <v>4242.0</v>
      </c>
      <c r="C289" s="1567">
        <v>158.0</v>
      </c>
      <c r="D289" s="1701"/>
      <c r="E289" s="1702" t="str">
        <f t="shared" si="163"/>
        <v>Яичный рулет с овощами</v>
      </c>
      <c r="F289" s="2352">
        <f t="shared" si="164"/>
        <v>20</v>
      </c>
      <c r="G289" s="532"/>
      <c r="H289" s="2348">
        <f t="shared" si="165"/>
        <v>3</v>
      </c>
      <c r="I289" s="532"/>
      <c r="J289" s="2352">
        <f t="shared" si="166"/>
        <v>7</v>
      </c>
      <c r="K289" s="532"/>
      <c r="L289" s="2352">
        <f t="shared" si="167"/>
        <v>8</v>
      </c>
      <c r="M289" s="532"/>
      <c r="N289" s="2352">
        <f t="shared" si="168"/>
        <v>9</v>
      </c>
      <c r="O289" s="532"/>
      <c r="P289" s="2352">
        <f t="shared" si="169"/>
        <v>6</v>
      </c>
      <c r="Q289" s="532"/>
      <c r="R289" s="2348">
        <f t="shared" si="170"/>
        <v>4</v>
      </c>
      <c r="S289" s="532"/>
      <c r="T289" s="2348">
        <f t="shared" si="171"/>
        <v>6</v>
      </c>
      <c r="U289" s="532"/>
      <c r="V289" s="2348">
        <f t="shared" si="172"/>
        <v>5</v>
      </c>
      <c r="W289" s="532"/>
      <c r="X289" s="2348">
        <f t="shared" si="173"/>
        <v>5</v>
      </c>
      <c r="Y289" s="532"/>
      <c r="Z289" s="2348" t="str">
        <f t="shared" si="174"/>
        <v/>
      </c>
      <c r="AA289" s="532"/>
      <c r="AB289" s="2348">
        <f t="shared" si="175"/>
        <v>8</v>
      </c>
      <c r="AC289" s="532"/>
      <c r="AD289" s="2348">
        <f t="shared" si="176"/>
        <v>3</v>
      </c>
      <c r="AE289" s="532"/>
      <c r="AF289" s="2348">
        <f t="shared" si="177"/>
        <v>7</v>
      </c>
      <c r="AG289" s="532"/>
      <c r="AH289" s="2350">
        <f t="shared" si="178"/>
        <v>6</v>
      </c>
      <c r="AI289" s="69"/>
      <c r="AJ289" s="2350">
        <f t="shared" si="179"/>
        <v>6</v>
      </c>
      <c r="AK289" s="69"/>
      <c r="AL289" s="2348">
        <f t="shared" si="180"/>
        <v>4</v>
      </c>
      <c r="AM289" s="532"/>
      <c r="AN289" s="2348">
        <f t="shared" si="181"/>
        <v>4</v>
      </c>
      <c r="AO289" s="532"/>
      <c r="AP289" s="2348">
        <f t="shared" si="182"/>
        <v>3</v>
      </c>
      <c r="AQ289" s="532"/>
      <c r="AR289" s="2348">
        <f t="shared" si="183"/>
        <v>10</v>
      </c>
      <c r="AS289" s="532"/>
      <c r="AT289" s="2348">
        <f t="shared" si="184"/>
        <v>4</v>
      </c>
      <c r="AU289" s="532"/>
      <c r="AV289" s="2350">
        <f t="shared" si="185"/>
        <v>5</v>
      </c>
      <c r="AW289" s="69"/>
      <c r="AX289" s="2350">
        <f t="shared" si="186"/>
        <v>3</v>
      </c>
      <c r="AY289" s="69"/>
      <c r="AZ289" s="2350">
        <f t="shared" si="187"/>
        <v>4</v>
      </c>
      <c r="BA289" s="69"/>
      <c r="BB289" s="2164" t="str">
        <f t="shared" si="188"/>
        <v/>
      </c>
      <c r="BC289" s="69"/>
      <c r="BD289" s="2164">
        <f t="shared" si="189"/>
        <v>3</v>
      </c>
      <c r="BE289" s="69"/>
      <c r="BF289" s="2164">
        <f t="shared" si="190"/>
        <v>10</v>
      </c>
      <c r="BG289" s="69"/>
      <c r="BH289" s="2164">
        <f t="shared" si="191"/>
        <v>3</v>
      </c>
      <c r="BI289" s="69"/>
      <c r="BJ289" s="2164">
        <f t="shared" si="192"/>
        <v>6</v>
      </c>
      <c r="BK289" s="69"/>
      <c r="BL289" s="2342" t="str">
        <f t="shared" si="193"/>
        <v/>
      </c>
      <c r="BM289" s="532"/>
      <c r="BN289" s="2354">
        <f t="shared" si="194"/>
        <v>162</v>
      </c>
      <c r="BO289" s="532"/>
      <c r="BR289" s="541"/>
      <c r="BS289" s="684"/>
      <c r="BT289" s="541"/>
    </row>
    <row r="290" ht="21.0" customHeight="1">
      <c r="A290" s="1718" t="str">
        <f t="shared" si="162"/>
        <v/>
      </c>
      <c r="B290" s="2068">
        <v>3323.0</v>
      </c>
      <c r="C290" s="1567">
        <v>98.0</v>
      </c>
      <c r="D290" s="1701"/>
      <c r="E290" s="1702" t="str">
        <f t="shared" si="163"/>
        <v>Салат ''Морковь с чесноком'' 120гр</v>
      </c>
      <c r="F290" s="2352">
        <f t="shared" si="164"/>
        <v>15</v>
      </c>
      <c r="G290" s="532"/>
      <c r="H290" s="2348">
        <f t="shared" si="165"/>
        <v>1</v>
      </c>
      <c r="I290" s="532"/>
      <c r="J290" s="2352">
        <f t="shared" si="166"/>
        <v>7</v>
      </c>
      <c r="K290" s="532"/>
      <c r="L290" s="2352">
        <f t="shared" si="167"/>
        <v>5</v>
      </c>
      <c r="M290" s="532"/>
      <c r="N290" s="2352">
        <f t="shared" si="168"/>
        <v>8</v>
      </c>
      <c r="O290" s="532"/>
      <c r="P290" s="2352">
        <f t="shared" si="169"/>
        <v>10</v>
      </c>
      <c r="Q290" s="532"/>
      <c r="R290" s="2348">
        <f t="shared" si="170"/>
        <v>2</v>
      </c>
      <c r="S290" s="532"/>
      <c r="T290" s="2348">
        <f t="shared" si="171"/>
        <v>2</v>
      </c>
      <c r="U290" s="532"/>
      <c r="V290" s="2348">
        <f t="shared" si="172"/>
        <v>4</v>
      </c>
      <c r="W290" s="532"/>
      <c r="X290" s="2348">
        <f t="shared" si="173"/>
        <v>5</v>
      </c>
      <c r="Y290" s="532"/>
      <c r="Z290" s="2348" t="str">
        <f t="shared" si="174"/>
        <v/>
      </c>
      <c r="AA290" s="532"/>
      <c r="AB290" s="2348">
        <f t="shared" si="175"/>
        <v>2</v>
      </c>
      <c r="AC290" s="532"/>
      <c r="AD290" s="2348">
        <f t="shared" si="176"/>
        <v>0</v>
      </c>
      <c r="AE290" s="532"/>
      <c r="AF290" s="2348">
        <f t="shared" si="177"/>
        <v>5</v>
      </c>
      <c r="AG290" s="532"/>
      <c r="AH290" s="2350">
        <f t="shared" si="178"/>
        <v>5</v>
      </c>
      <c r="AI290" s="69"/>
      <c r="AJ290" s="2350">
        <f t="shared" si="179"/>
        <v>4</v>
      </c>
      <c r="AK290" s="69"/>
      <c r="AL290" s="2348">
        <f t="shared" si="180"/>
        <v>3</v>
      </c>
      <c r="AM290" s="532"/>
      <c r="AN290" s="2348">
        <f t="shared" si="181"/>
        <v>4</v>
      </c>
      <c r="AO290" s="532"/>
      <c r="AP290" s="2348">
        <f t="shared" si="182"/>
        <v>5</v>
      </c>
      <c r="AQ290" s="532"/>
      <c r="AR290" s="2348">
        <f t="shared" si="183"/>
        <v>15</v>
      </c>
      <c r="AS290" s="532"/>
      <c r="AT290" s="2348">
        <f t="shared" si="184"/>
        <v>2</v>
      </c>
      <c r="AU290" s="532"/>
      <c r="AV290" s="2350">
        <f t="shared" si="185"/>
        <v>7</v>
      </c>
      <c r="AW290" s="69"/>
      <c r="AX290" s="2350">
        <f t="shared" si="186"/>
        <v>2</v>
      </c>
      <c r="AY290" s="69"/>
      <c r="AZ290" s="2350">
        <f t="shared" si="187"/>
        <v>6</v>
      </c>
      <c r="BA290" s="69"/>
      <c r="BB290" s="2164" t="str">
        <f t="shared" si="188"/>
        <v/>
      </c>
      <c r="BC290" s="69"/>
      <c r="BD290" s="2164">
        <f t="shared" si="189"/>
        <v>2</v>
      </c>
      <c r="BE290" s="69"/>
      <c r="BF290" s="2164">
        <f t="shared" si="190"/>
        <v>10</v>
      </c>
      <c r="BG290" s="69"/>
      <c r="BH290" s="2164">
        <f t="shared" si="191"/>
        <v>5</v>
      </c>
      <c r="BI290" s="69"/>
      <c r="BJ290" s="2164">
        <f t="shared" si="192"/>
        <v>5</v>
      </c>
      <c r="BK290" s="69"/>
      <c r="BL290" s="2352" t="str">
        <f t="shared" si="193"/>
        <v/>
      </c>
      <c r="BM290" s="532"/>
      <c r="BN290" s="2354">
        <f t="shared" si="194"/>
        <v>141</v>
      </c>
      <c r="BO290" s="532"/>
      <c r="BR290" s="541"/>
      <c r="BS290" s="684"/>
      <c r="BT290" s="541"/>
    </row>
    <row r="291" ht="21.0" customHeight="1">
      <c r="A291" s="1718" t="str">
        <f t="shared" si="162"/>
        <v/>
      </c>
      <c r="B291" s="2068">
        <v>4058.0</v>
      </c>
      <c r="C291" s="1567">
        <v>98.0</v>
      </c>
      <c r="D291" s="1701"/>
      <c r="E291" s="1702" t="str">
        <f t="shared" si="163"/>
        <v>Салат "Городской"(колбаса вареная)</v>
      </c>
      <c r="F291" s="2352">
        <f t="shared" si="164"/>
        <v>29</v>
      </c>
      <c r="G291" s="532"/>
      <c r="H291" s="2348">
        <f t="shared" si="165"/>
        <v>3</v>
      </c>
      <c r="I291" s="532"/>
      <c r="J291" s="2352">
        <f t="shared" si="166"/>
        <v>7</v>
      </c>
      <c r="K291" s="532"/>
      <c r="L291" s="2352">
        <f t="shared" si="167"/>
        <v>4</v>
      </c>
      <c r="M291" s="532"/>
      <c r="N291" s="2352">
        <f t="shared" si="168"/>
        <v>7</v>
      </c>
      <c r="O291" s="532"/>
      <c r="P291" s="2352">
        <f t="shared" si="169"/>
        <v>4</v>
      </c>
      <c r="Q291" s="532"/>
      <c r="R291" s="2348">
        <f t="shared" si="170"/>
        <v>2</v>
      </c>
      <c r="S291" s="532"/>
      <c r="T291" s="2348">
        <f t="shared" si="171"/>
        <v>2</v>
      </c>
      <c r="U291" s="532"/>
      <c r="V291" s="2348">
        <f t="shared" si="172"/>
        <v>3</v>
      </c>
      <c r="W291" s="532"/>
      <c r="X291" s="2348">
        <f t="shared" si="173"/>
        <v>7</v>
      </c>
      <c r="Y291" s="532"/>
      <c r="Z291" s="2348" t="str">
        <f t="shared" si="174"/>
        <v/>
      </c>
      <c r="AA291" s="532"/>
      <c r="AB291" s="2348">
        <f t="shared" si="175"/>
        <v>2</v>
      </c>
      <c r="AC291" s="532"/>
      <c r="AD291" s="2348">
        <f t="shared" si="176"/>
        <v>3</v>
      </c>
      <c r="AE291" s="532"/>
      <c r="AF291" s="2348">
        <f t="shared" si="177"/>
        <v>2</v>
      </c>
      <c r="AG291" s="532"/>
      <c r="AH291" s="2350">
        <f t="shared" si="178"/>
        <v>5</v>
      </c>
      <c r="AI291" s="69"/>
      <c r="AJ291" s="2350">
        <f t="shared" si="179"/>
        <v>2</v>
      </c>
      <c r="AK291" s="69"/>
      <c r="AL291" s="2348">
        <f t="shared" si="180"/>
        <v>3</v>
      </c>
      <c r="AM291" s="532"/>
      <c r="AN291" s="2348">
        <f t="shared" si="181"/>
        <v>2</v>
      </c>
      <c r="AO291" s="532"/>
      <c r="AP291" s="2348">
        <f t="shared" si="182"/>
        <v>2</v>
      </c>
      <c r="AQ291" s="532"/>
      <c r="AR291" s="2348">
        <f t="shared" si="183"/>
        <v>21</v>
      </c>
      <c r="AS291" s="532"/>
      <c r="AT291" s="2348">
        <f t="shared" si="184"/>
        <v>2</v>
      </c>
      <c r="AU291" s="532"/>
      <c r="AV291" s="2350">
        <f t="shared" si="185"/>
        <v>8</v>
      </c>
      <c r="AW291" s="69"/>
      <c r="AX291" s="2350">
        <f t="shared" si="186"/>
        <v>2</v>
      </c>
      <c r="AY291" s="69"/>
      <c r="AZ291" s="2350">
        <f t="shared" si="187"/>
        <v>4</v>
      </c>
      <c r="BA291" s="69"/>
      <c r="BB291" s="2164" t="str">
        <f t="shared" si="188"/>
        <v/>
      </c>
      <c r="BC291" s="69"/>
      <c r="BD291" s="2164">
        <f t="shared" si="189"/>
        <v>2</v>
      </c>
      <c r="BE291" s="69"/>
      <c r="BF291" s="2164">
        <f t="shared" si="190"/>
        <v>11</v>
      </c>
      <c r="BG291" s="69"/>
      <c r="BH291" s="2164">
        <f t="shared" si="191"/>
        <v>3</v>
      </c>
      <c r="BI291" s="69"/>
      <c r="BJ291" s="2164">
        <f t="shared" si="192"/>
        <v>7</v>
      </c>
      <c r="BK291" s="69"/>
      <c r="BL291" s="2342" t="str">
        <f t="shared" si="193"/>
        <v/>
      </c>
      <c r="BM291" s="532"/>
      <c r="BN291" s="2354">
        <f t="shared" si="194"/>
        <v>149</v>
      </c>
      <c r="BO291" s="532"/>
      <c r="BR291" s="541"/>
      <c r="BS291" s="684"/>
      <c r="BT291" s="541"/>
    </row>
    <row r="292" ht="21.0" customHeight="1">
      <c r="A292" s="1718" t="str">
        <f t="shared" si="162"/>
        <v/>
      </c>
      <c r="B292" s="2068">
        <v>2706.0</v>
      </c>
      <c r="C292" s="1567">
        <v>98.0</v>
      </c>
      <c r="D292" s="1701"/>
      <c r="E292" s="1702" t="str">
        <f t="shared" si="163"/>
        <v>Салат ''Фасолька'' с курицей  </v>
      </c>
      <c r="F292" s="2352">
        <f t="shared" si="164"/>
        <v>14</v>
      </c>
      <c r="G292" s="532"/>
      <c r="H292" s="2348">
        <f t="shared" si="165"/>
        <v>1</v>
      </c>
      <c r="I292" s="532"/>
      <c r="J292" s="2352">
        <f t="shared" si="166"/>
        <v>7</v>
      </c>
      <c r="K292" s="532"/>
      <c r="L292" s="2352">
        <f t="shared" si="167"/>
        <v>4</v>
      </c>
      <c r="M292" s="532"/>
      <c r="N292" s="2352">
        <f t="shared" si="168"/>
        <v>5</v>
      </c>
      <c r="O292" s="532"/>
      <c r="P292" s="2352">
        <f t="shared" si="169"/>
        <v>9</v>
      </c>
      <c r="Q292" s="532"/>
      <c r="R292" s="2348">
        <f t="shared" si="170"/>
        <v>0</v>
      </c>
      <c r="S292" s="532"/>
      <c r="T292" s="2348">
        <f t="shared" si="171"/>
        <v>5</v>
      </c>
      <c r="U292" s="532"/>
      <c r="V292" s="2348">
        <f t="shared" si="172"/>
        <v>2</v>
      </c>
      <c r="W292" s="532"/>
      <c r="X292" s="2348">
        <f t="shared" si="173"/>
        <v>7</v>
      </c>
      <c r="Y292" s="532"/>
      <c r="Z292" s="2348" t="str">
        <f t="shared" si="174"/>
        <v/>
      </c>
      <c r="AA292" s="532"/>
      <c r="AB292" s="2348">
        <f t="shared" si="175"/>
        <v>2</v>
      </c>
      <c r="AC292" s="532"/>
      <c r="AD292" s="2348">
        <f t="shared" si="176"/>
        <v>3</v>
      </c>
      <c r="AE292" s="532"/>
      <c r="AF292" s="2348">
        <f t="shared" si="177"/>
        <v>3</v>
      </c>
      <c r="AG292" s="532"/>
      <c r="AH292" s="2350">
        <f t="shared" si="178"/>
        <v>3</v>
      </c>
      <c r="AI292" s="69"/>
      <c r="AJ292" s="2350">
        <f t="shared" si="179"/>
        <v>4</v>
      </c>
      <c r="AK292" s="69"/>
      <c r="AL292" s="2348">
        <f t="shared" si="180"/>
        <v>3</v>
      </c>
      <c r="AM292" s="532"/>
      <c r="AN292" s="2348">
        <f t="shared" si="181"/>
        <v>2</v>
      </c>
      <c r="AO292" s="532"/>
      <c r="AP292" s="2348">
        <f t="shared" si="182"/>
        <v>4</v>
      </c>
      <c r="AQ292" s="532"/>
      <c r="AR292" s="2348">
        <f t="shared" si="183"/>
        <v>18</v>
      </c>
      <c r="AS292" s="532"/>
      <c r="AT292" s="2348">
        <f t="shared" si="184"/>
        <v>2</v>
      </c>
      <c r="AU292" s="532"/>
      <c r="AV292" s="2350">
        <f t="shared" si="185"/>
        <v>7</v>
      </c>
      <c r="AW292" s="69"/>
      <c r="AX292" s="2350">
        <f t="shared" si="186"/>
        <v>7</v>
      </c>
      <c r="AY292" s="69"/>
      <c r="AZ292" s="2350">
        <f t="shared" si="187"/>
        <v>1</v>
      </c>
      <c r="BA292" s="69"/>
      <c r="BB292" s="2164" t="str">
        <f t="shared" si="188"/>
        <v/>
      </c>
      <c r="BC292" s="69"/>
      <c r="BD292" s="2164">
        <f t="shared" si="189"/>
        <v>2</v>
      </c>
      <c r="BE292" s="69"/>
      <c r="BF292" s="2164">
        <f t="shared" si="190"/>
        <v>6</v>
      </c>
      <c r="BG292" s="69"/>
      <c r="BH292" s="2164">
        <f t="shared" si="191"/>
        <v>4</v>
      </c>
      <c r="BI292" s="69"/>
      <c r="BJ292" s="2164">
        <f t="shared" si="192"/>
        <v>7</v>
      </c>
      <c r="BK292" s="69"/>
      <c r="BL292" s="2342" t="str">
        <f t="shared" si="193"/>
        <v/>
      </c>
      <c r="BM292" s="532"/>
      <c r="BN292" s="2354">
        <f t="shared" si="194"/>
        <v>132</v>
      </c>
      <c r="BO292" s="532"/>
      <c r="BR292" s="541"/>
      <c r="BS292" s="684"/>
      <c r="BT292" s="541"/>
    </row>
    <row r="293" ht="21.0" customHeight="1">
      <c r="A293" s="1718" t="str">
        <f t="shared" si="162"/>
        <v/>
      </c>
      <c r="B293" s="2068">
        <v>3823.0</v>
      </c>
      <c r="C293" s="1567">
        <v>165.0</v>
      </c>
      <c r="D293" s="1701"/>
      <c r="E293" s="1702" t="str">
        <f t="shared" si="163"/>
        <v>Салат "Мимоза" с рыбой 220гр</v>
      </c>
      <c r="F293" s="2352">
        <f t="shared" si="164"/>
        <v>13</v>
      </c>
      <c r="G293" s="532"/>
      <c r="H293" s="2348">
        <f t="shared" si="165"/>
        <v>4</v>
      </c>
      <c r="I293" s="532"/>
      <c r="J293" s="2352">
        <f t="shared" si="166"/>
        <v>5</v>
      </c>
      <c r="K293" s="532"/>
      <c r="L293" s="2352">
        <f t="shared" si="167"/>
        <v>2</v>
      </c>
      <c r="M293" s="532"/>
      <c r="N293" s="2352">
        <f t="shared" si="168"/>
        <v>8</v>
      </c>
      <c r="O293" s="532"/>
      <c r="P293" s="2352">
        <f t="shared" si="169"/>
        <v>5</v>
      </c>
      <c r="Q293" s="532"/>
      <c r="R293" s="2348">
        <f t="shared" si="170"/>
        <v>2</v>
      </c>
      <c r="S293" s="532"/>
      <c r="T293" s="2348">
        <f t="shared" si="171"/>
        <v>2</v>
      </c>
      <c r="U293" s="532"/>
      <c r="V293" s="2348">
        <f t="shared" si="172"/>
        <v>3</v>
      </c>
      <c r="W293" s="532"/>
      <c r="X293" s="2348">
        <f t="shared" si="173"/>
        <v>6</v>
      </c>
      <c r="Y293" s="532"/>
      <c r="Z293" s="2348" t="str">
        <f t="shared" si="174"/>
        <v/>
      </c>
      <c r="AA293" s="532"/>
      <c r="AB293" s="2348">
        <f t="shared" si="175"/>
        <v>2</v>
      </c>
      <c r="AC293" s="532"/>
      <c r="AD293" s="2348">
        <f t="shared" si="176"/>
        <v>2</v>
      </c>
      <c r="AE293" s="532"/>
      <c r="AF293" s="2348">
        <f t="shared" si="177"/>
        <v>5</v>
      </c>
      <c r="AG293" s="532"/>
      <c r="AH293" s="2350">
        <f t="shared" si="178"/>
        <v>2</v>
      </c>
      <c r="AI293" s="69"/>
      <c r="AJ293" s="2350">
        <f t="shared" si="179"/>
        <v>2</v>
      </c>
      <c r="AK293" s="69"/>
      <c r="AL293" s="2348">
        <f t="shared" si="180"/>
        <v>4</v>
      </c>
      <c r="AM293" s="532"/>
      <c r="AN293" s="2348">
        <f t="shared" si="181"/>
        <v>1</v>
      </c>
      <c r="AO293" s="532"/>
      <c r="AP293" s="2348">
        <f t="shared" si="182"/>
        <v>2</v>
      </c>
      <c r="AQ293" s="532"/>
      <c r="AR293" s="2348">
        <f t="shared" si="183"/>
        <v>6</v>
      </c>
      <c r="AS293" s="532"/>
      <c r="AT293" s="2348">
        <f t="shared" si="184"/>
        <v>2</v>
      </c>
      <c r="AU293" s="532"/>
      <c r="AV293" s="2350">
        <f t="shared" si="185"/>
        <v>4</v>
      </c>
      <c r="AW293" s="69"/>
      <c r="AX293" s="2350">
        <f t="shared" si="186"/>
        <v>2</v>
      </c>
      <c r="AY293" s="69"/>
      <c r="AZ293" s="2350">
        <f t="shared" si="187"/>
        <v>3</v>
      </c>
      <c r="BA293" s="69"/>
      <c r="BB293" s="2164" t="str">
        <f t="shared" si="188"/>
        <v/>
      </c>
      <c r="BC293" s="69"/>
      <c r="BD293" s="2164">
        <f t="shared" si="189"/>
        <v>2</v>
      </c>
      <c r="BE293" s="69"/>
      <c r="BF293" s="2164">
        <f t="shared" si="190"/>
        <v>6</v>
      </c>
      <c r="BG293" s="69"/>
      <c r="BH293" s="2164">
        <f t="shared" si="191"/>
        <v>2</v>
      </c>
      <c r="BI293" s="69"/>
      <c r="BJ293" s="2164">
        <f t="shared" si="192"/>
        <v>3</v>
      </c>
      <c r="BK293" s="69"/>
      <c r="BL293" s="2342" t="str">
        <f t="shared" si="193"/>
        <v/>
      </c>
      <c r="BM293" s="532"/>
      <c r="BN293" s="2354">
        <f t="shared" si="194"/>
        <v>100</v>
      </c>
      <c r="BO293" s="532"/>
      <c r="BR293" s="541"/>
      <c r="BS293" s="684"/>
      <c r="BT293" s="541"/>
    </row>
    <row r="294" ht="21.0" customHeight="1">
      <c r="A294" s="1718" t="str">
        <f t="shared" si="162"/>
        <v/>
      </c>
      <c r="B294" s="2068">
        <v>2288.0</v>
      </c>
      <c r="C294" s="1567">
        <v>88.0</v>
      </c>
      <c r="D294" s="1701"/>
      <c r="E294" s="1702" t="str">
        <f t="shared" si="163"/>
        <v>Суп картофельный с курицей</v>
      </c>
      <c r="F294" s="2352" t="str">
        <f t="shared" si="164"/>
        <v/>
      </c>
      <c r="G294" s="532"/>
      <c r="H294" s="2348" t="str">
        <f t="shared" si="165"/>
        <v/>
      </c>
      <c r="I294" s="532"/>
      <c r="J294" s="2352" t="str">
        <f t="shared" si="166"/>
        <v/>
      </c>
      <c r="K294" s="532"/>
      <c r="L294" s="2352" t="str">
        <f t="shared" si="167"/>
        <v/>
      </c>
      <c r="M294" s="532"/>
      <c r="N294" s="2352" t="str">
        <f t="shared" si="168"/>
        <v/>
      </c>
      <c r="O294" s="532"/>
      <c r="P294" s="2352" t="str">
        <f t="shared" si="169"/>
        <v/>
      </c>
      <c r="Q294" s="532"/>
      <c r="R294" s="2348" t="str">
        <f t="shared" si="170"/>
        <v/>
      </c>
      <c r="S294" s="532"/>
      <c r="T294" s="2348" t="str">
        <f t="shared" si="171"/>
        <v/>
      </c>
      <c r="U294" s="532"/>
      <c r="V294" s="2348" t="str">
        <f t="shared" si="172"/>
        <v/>
      </c>
      <c r="W294" s="532"/>
      <c r="X294" s="2348" t="str">
        <f t="shared" si="173"/>
        <v/>
      </c>
      <c r="Y294" s="532"/>
      <c r="Z294" s="2348" t="str">
        <f t="shared" si="174"/>
        <v/>
      </c>
      <c r="AA294" s="532"/>
      <c r="AB294" s="2348" t="str">
        <f t="shared" si="175"/>
        <v/>
      </c>
      <c r="AC294" s="532"/>
      <c r="AD294" s="2348" t="str">
        <f t="shared" si="176"/>
        <v/>
      </c>
      <c r="AE294" s="532"/>
      <c r="AF294" s="2348" t="str">
        <f t="shared" si="177"/>
        <v/>
      </c>
      <c r="AG294" s="532"/>
      <c r="AH294" s="2350" t="str">
        <f t="shared" si="178"/>
        <v/>
      </c>
      <c r="AI294" s="69"/>
      <c r="AJ294" s="2350" t="str">
        <f t="shared" si="179"/>
        <v/>
      </c>
      <c r="AK294" s="69"/>
      <c r="AL294" s="2348" t="str">
        <f t="shared" si="180"/>
        <v/>
      </c>
      <c r="AM294" s="532"/>
      <c r="AN294" s="2348" t="str">
        <f t="shared" si="181"/>
        <v/>
      </c>
      <c r="AO294" s="532"/>
      <c r="AP294" s="2348" t="str">
        <f t="shared" si="182"/>
        <v/>
      </c>
      <c r="AQ294" s="532"/>
      <c r="AR294" s="2348" t="str">
        <f t="shared" si="183"/>
        <v/>
      </c>
      <c r="AS294" s="532"/>
      <c r="AT294" s="2348" t="str">
        <f t="shared" si="184"/>
        <v/>
      </c>
      <c r="AU294" s="532"/>
      <c r="AV294" s="2350" t="str">
        <f t="shared" si="185"/>
        <v/>
      </c>
      <c r="AW294" s="69"/>
      <c r="AX294" s="2350" t="str">
        <f t="shared" si="186"/>
        <v/>
      </c>
      <c r="AY294" s="69"/>
      <c r="AZ294" s="2350" t="str">
        <f t="shared" si="187"/>
        <v/>
      </c>
      <c r="BA294" s="69"/>
      <c r="BB294" s="2164" t="str">
        <f t="shared" si="188"/>
        <v/>
      </c>
      <c r="BC294" s="69"/>
      <c r="BD294" s="2164" t="str">
        <f t="shared" si="189"/>
        <v/>
      </c>
      <c r="BE294" s="69"/>
      <c r="BF294" s="2164" t="str">
        <f t="shared" si="190"/>
        <v/>
      </c>
      <c r="BG294" s="69"/>
      <c r="BH294" s="2164" t="str">
        <f t="shared" si="191"/>
        <v/>
      </c>
      <c r="BI294" s="69"/>
      <c r="BJ294" s="2164" t="str">
        <f t="shared" si="192"/>
        <v/>
      </c>
      <c r="BK294" s="69"/>
      <c r="BL294" s="2342" t="str">
        <f t="shared" si="193"/>
        <v/>
      </c>
      <c r="BM294" s="532"/>
      <c r="BN294" s="2354">
        <f t="shared" si="194"/>
        <v>0</v>
      </c>
      <c r="BO294" s="532"/>
      <c r="BR294" s="541"/>
      <c r="BS294" s="684"/>
      <c r="BT294" s="541"/>
    </row>
    <row r="295" ht="21.0" customHeight="1">
      <c r="A295" s="1718" t="str">
        <f t="shared" si="162"/>
        <v/>
      </c>
      <c r="B295" s="2068"/>
      <c r="C295" s="1567"/>
      <c r="D295" s="1701"/>
      <c r="E295" s="1702" t="str">
        <f t="shared" si="163"/>
        <v/>
      </c>
      <c r="F295" s="2352">
        <f t="shared" si="164"/>
        <v>10</v>
      </c>
      <c r="G295" s="532"/>
      <c r="H295" s="2348">
        <f t="shared" si="165"/>
        <v>8</v>
      </c>
      <c r="I295" s="532"/>
      <c r="J295" s="2352">
        <f t="shared" si="166"/>
        <v>6</v>
      </c>
      <c r="K295" s="532"/>
      <c r="L295" s="2352">
        <f t="shared" si="167"/>
        <v>5</v>
      </c>
      <c r="M295" s="532"/>
      <c r="N295" s="2352">
        <f t="shared" si="168"/>
        <v>5</v>
      </c>
      <c r="O295" s="532"/>
      <c r="P295" s="2352">
        <f t="shared" si="169"/>
        <v>6</v>
      </c>
      <c r="Q295" s="532"/>
      <c r="R295" s="2348">
        <f t="shared" si="170"/>
        <v>2</v>
      </c>
      <c r="S295" s="532"/>
      <c r="T295" s="2348">
        <f t="shared" si="171"/>
        <v>3</v>
      </c>
      <c r="U295" s="532"/>
      <c r="V295" s="2348">
        <f t="shared" si="172"/>
        <v>4</v>
      </c>
      <c r="W295" s="532"/>
      <c r="X295" s="2348">
        <f t="shared" si="173"/>
        <v>2</v>
      </c>
      <c r="Y295" s="532"/>
      <c r="Z295" s="2348">
        <f t="shared" si="174"/>
        <v>6</v>
      </c>
      <c r="AA295" s="532"/>
      <c r="AB295" s="2348">
        <f t="shared" si="175"/>
        <v>2</v>
      </c>
      <c r="AC295" s="532"/>
      <c r="AD295" s="2348">
        <f t="shared" si="176"/>
        <v>2</v>
      </c>
      <c r="AE295" s="532"/>
      <c r="AF295" s="2348">
        <f t="shared" si="177"/>
        <v>0</v>
      </c>
      <c r="AG295" s="532"/>
      <c r="AH295" s="2350">
        <f t="shared" si="178"/>
        <v>8</v>
      </c>
      <c r="AI295" s="69"/>
      <c r="AJ295" s="2346">
        <f t="shared" si="179"/>
        <v>4</v>
      </c>
      <c r="AK295" s="69"/>
      <c r="AL295" s="2348">
        <f t="shared" si="180"/>
        <v>3</v>
      </c>
      <c r="AM295" s="532"/>
      <c r="AN295" s="2348">
        <f t="shared" si="181"/>
        <v>2</v>
      </c>
      <c r="AO295" s="532"/>
      <c r="AP295" s="2348">
        <f t="shared" si="182"/>
        <v>2</v>
      </c>
      <c r="AQ295" s="532"/>
      <c r="AR295" s="2348">
        <f t="shared" si="183"/>
        <v>6</v>
      </c>
      <c r="AS295" s="532"/>
      <c r="AT295" s="2348">
        <f t="shared" si="184"/>
        <v>3</v>
      </c>
      <c r="AU295" s="532"/>
      <c r="AV295" s="2350">
        <f t="shared" si="185"/>
        <v>2</v>
      </c>
      <c r="AW295" s="69"/>
      <c r="AX295" s="2350">
        <f t="shared" si="186"/>
        <v>2</v>
      </c>
      <c r="AY295" s="69"/>
      <c r="AZ295" s="2350">
        <f t="shared" si="187"/>
        <v>2</v>
      </c>
      <c r="BA295" s="69"/>
      <c r="BB295" s="2164" t="str">
        <f t="shared" si="188"/>
        <v/>
      </c>
      <c r="BC295" s="69"/>
      <c r="BD295" s="2164">
        <f t="shared" si="189"/>
        <v>2</v>
      </c>
      <c r="BE295" s="69"/>
      <c r="BF295" s="2164">
        <f t="shared" si="190"/>
        <v>2</v>
      </c>
      <c r="BG295" s="69"/>
      <c r="BH295" s="2164">
        <f t="shared" si="191"/>
        <v>2</v>
      </c>
      <c r="BI295" s="69"/>
      <c r="BJ295" s="2164">
        <f t="shared" si="192"/>
        <v>3</v>
      </c>
      <c r="BK295" s="69"/>
      <c r="BL295" s="2342" t="str">
        <f t="shared" si="193"/>
        <v/>
      </c>
      <c r="BM295" s="532"/>
      <c r="BN295" s="2354">
        <f t="shared" si="194"/>
        <v>104</v>
      </c>
      <c r="BO295" s="532"/>
      <c r="BR295" s="541"/>
      <c r="BS295" s="684"/>
      <c r="BT295" s="541"/>
    </row>
    <row r="296" ht="21.0" customHeight="1">
      <c r="A296" s="1718" t="str">
        <f t="shared" si="162"/>
        <v/>
      </c>
      <c r="B296" s="2068">
        <v>383.0</v>
      </c>
      <c r="C296" s="1567">
        <v>232.0</v>
      </c>
      <c r="D296" s="1701"/>
      <c r="E296" s="1702" t="str">
        <f t="shared" si="163"/>
        <v>Перец фаршированный с картофелем</v>
      </c>
      <c r="F296" s="2342" t="str">
        <f t="shared" si="164"/>
        <v/>
      </c>
      <c r="G296" s="532"/>
      <c r="H296" s="2343" t="str">
        <f t="shared" si="165"/>
        <v/>
      </c>
      <c r="I296" s="532"/>
      <c r="J296" s="2342" t="str">
        <f t="shared" si="166"/>
        <v/>
      </c>
      <c r="K296" s="532"/>
      <c r="L296" s="2342" t="str">
        <f t="shared" si="167"/>
        <v/>
      </c>
      <c r="M296" s="532"/>
      <c r="N296" s="2342" t="str">
        <f t="shared" si="168"/>
        <v/>
      </c>
      <c r="O296" s="532"/>
      <c r="P296" s="2342" t="str">
        <f t="shared" si="169"/>
        <v/>
      </c>
      <c r="Q296" s="532"/>
      <c r="R296" s="2343" t="str">
        <f t="shared" si="170"/>
        <v/>
      </c>
      <c r="S296" s="532"/>
      <c r="T296" s="2343" t="str">
        <f t="shared" si="171"/>
        <v/>
      </c>
      <c r="U296" s="532"/>
      <c r="V296" s="2343" t="str">
        <f t="shared" si="172"/>
        <v/>
      </c>
      <c r="W296" s="532"/>
      <c r="X296" s="2343" t="str">
        <f t="shared" si="173"/>
        <v/>
      </c>
      <c r="Y296" s="532"/>
      <c r="Z296" s="2343" t="str">
        <f t="shared" si="174"/>
        <v/>
      </c>
      <c r="AA296" s="532"/>
      <c r="AB296" s="2348" t="str">
        <f t="shared" si="175"/>
        <v/>
      </c>
      <c r="AC296" s="532"/>
      <c r="AD296" s="2343" t="str">
        <f t="shared" si="176"/>
        <v/>
      </c>
      <c r="AE296" s="532"/>
      <c r="AF296" s="2343" t="str">
        <f t="shared" si="177"/>
        <v/>
      </c>
      <c r="AG296" s="532"/>
      <c r="AH296" s="2346" t="str">
        <f t="shared" si="178"/>
        <v/>
      </c>
      <c r="AI296" s="69"/>
      <c r="AJ296" s="2346" t="str">
        <f t="shared" si="179"/>
        <v/>
      </c>
      <c r="AK296" s="69"/>
      <c r="AL296" s="2348" t="str">
        <f t="shared" si="180"/>
        <v/>
      </c>
      <c r="AM296" s="532"/>
      <c r="AN296" s="2348" t="str">
        <f t="shared" si="181"/>
        <v/>
      </c>
      <c r="AO296" s="532"/>
      <c r="AP296" s="2348" t="str">
        <f t="shared" si="182"/>
        <v/>
      </c>
      <c r="AQ296" s="532"/>
      <c r="AR296" s="2348" t="str">
        <f t="shared" si="183"/>
        <v/>
      </c>
      <c r="AS296" s="532"/>
      <c r="AT296" s="2348" t="str">
        <f t="shared" si="184"/>
        <v/>
      </c>
      <c r="AU296" s="532"/>
      <c r="AV296" s="2350" t="str">
        <f t="shared" si="185"/>
        <v/>
      </c>
      <c r="AW296" s="69"/>
      <c r="AX296" s="2350" t="str">
        <f t="shared" si="186"/>
        <v/>
      </c>
      <c r="AY296" s="69"/>
      <c r="AZ296" s="2350" t="str">
        <f t="shared" si="187"/>
        <v/>
      </c>
      <c r="BA296" s="69"/>
      <c r="BB296" s="2164" t="str">
        <f t="shared" si="188"/>
        <v/>
      </c>
      <c r="BC296" s="69"/>
      <c r="BD296" s="2164" t="str">
        <f t="shared" si="189"/>
        <v/>
      </c>
      <c r="BE296" s="69"/>
      <c r="BF296" s="2164" t="str">
        <f t="shared" si="190"/>
        <v/>
      </c>
      <c r="BG296" s="69"/>
      <c r="BH296" s="2164" t="str">
        <f t="shared" si="191"/>
        <v/>
      </c>
      <c r="BI296" s="69"/>
      <c r="BJ296" s="2164" t="str">
        <f t="shared" si="192"/>
        <v/>
      </c>
      <c r="BK296" s="69"/>
      <c r="BL296" s="2342" t="str">
        <f t="shared" si="193"/>
        <v/>
      </c>
      <c r="BM296" s="532"/>
      <c r="BN296" s="2351">
        <f t="shared" si="194"/>
        <v>0</v>
      </c>
      <c r="BO296" s="532"/>
      <c r="BR296" s="541"/>
      <c r="BS296" s="684"/>
      <c r="BT296" s="541"/>
    </row>
    <row r="297" ht="21.0" customHeight="1">
      <c r="A297" s="1718" t="str">
        <f t="shared" si="162"/>
        <v/>
      </c>
      <c r="B297" s="2068">
        <v>4069.0</v>
      </c>
      <c r="C297" s="1567">
        <v>265.0</v>
      </c>
      <c r="D297" s="1701"/>
      <c r="E297" s="1702" t="str">
        <f t="shared" si="163"/>
        <v>Бефстроганов (говядина) с картофелем </v>
      </c>
      <c r="F297" s="2342" t="str">
        <f t="shared" si="164"/>
        <v/>
      </c>
      <c r="G297" s="532"/>
      <c r="H297" s="2343" t="str">
        <f t="shared" si="165"/>
        <v/>
      </c>
      <c r="I297" s="532"/>
      <c r="J297" s="2342" t="str">
        <f t="shared" si="166"/>
        <v/>
      </c>
      <c r="K297" s="532"/>
      <c r="L297" s="2342" t="str">
        <f t="shared" si="167"/>
        <v/>
      </c>
      <c r="M297" s="532"/>
      <c r="N297" s="2342" t="str">
        <f t="shared" si="168"/>
        <v/>
      </c>
      <c r="O297" s="532"/>
      <c r="P297" s="2342" t="str">
        <f t="shared" si="169"/>
        <v/>
      </c>
      <c r="Q297" s="532"/>
      <c r="R297" s="2343" t="str">
        <f t="shared" si="170"/>
        <v/>
      </c>
      <c r="S297" s="532"/>
      <c r="T297" s="2343" t="str">
        <f t="shared" si="171"/>
        <v/>
      </c>
      <c r="U297" s="532"/>
      <c r="V297" s="2343" t="str">
        <f t="shared" si="172"/>
        <v/>
      </c>
      <c r="W297" s="532"/>
      <c r="X297" s="2343" t="str">
        <f t="shared" si="173"/>
        <v/>
      </c>
      <c r="Y297" s="532"/>
      <c r="Z297" s="2343" t="str">
        <f t="shared" si="174"/>
        <v/>
      </c>
      <c r="AA297" s="532"/>
      <c r="AB297" s="2348" t="str">
        <f t="shared" si="175"/>
        <v/>
      </c>
      <c r="AC297" s="532"/>
      <c r="AD297" s="2343" t="str">
        <f t="shared" si="176"/>
        <v/>
      </c>
      <c r="AE297" s="532"/>
      <c r="AF297" s="2343" t="str">
        <f t="shared" si="177"/>
        <v/>
      </c>
      <c r="AG297" s="532"/>
      <c r="AH297" s="2346" t="str">
        <f t="shared" si="178"/>
        <v/>
      </c>
      <c r="AI297" s="69"/>
      <c r="AJ297" s="2346" t="str">
        <f t="shared" si="179"/>
        <v/>
      </c>
      <c r="AK297" s="69"/>
      <c r="AL297" s="2348" t="str">
        <f t="shared" si="180"/>
        <v/>
      </c>
      <c r="AM297" s="532"/>
      <c r="AN297" s="2348" t="str">
        <f t="shared" si="181"/>
        <v/>
      </c>
      <c r="AO297" s="532"/>
      <c r="AP297" s="2348" t="str">
        <f t="shared" si="182"/>
        <v/>
      </c>
      <c r="AQ297" s="532"/>
      <c r="AR297" s="2348" t="str">
        <f t="shared" si="183"/>
        <v/>
      </c>
      <c r="AS297" s="532"/>
      <c r="AT297" s="2348" t="str">
        <f t="shared" si="184"/>
        <v/>
      </c>
      <c r="AU297" s="532"/>
      <c r="AV297" s="2350" t="str">
        <f t="shared" si="185"/>
        <v/>
      </c>
      <c r="AW297" s="69"/>
      <c r="AX297" s="2350" t="str">
        <f t="shared" si="186"/>
        <v/>
      </c>
      <c r="AY297" s="69"/>
      <c r="AZ297" s="2350" t="str">
        <f t="shared" si="187"/>
        <v/>
      </c>
      <c r="BA297" s="69"/>
      <c r="BB297" s="2164" t="str">
        <f t="shared" si="188"/>
        <v/>
      </c>
      <c r="BC297" s="69"/>
      <c r="BD297" s="2164" t="str">
        <f t="shared" si="189"/>
        <v/>
      </c>
      <c r="BE297" s="69"/>
      <c r="BF297" s="2164" t="str">
        <f t="shared" si="190"/>
        <v/>
      </c>
      <c r="BG297" s="69"/>
      <c r="BH297" s="2164" t="str">
        <f t="shared" si="191"/>
        <v/>
      </c>
      <c r="BI297" s="69"/>
      <c r="BJ297" s="2164" t="str">
        <f t="shared" si="192"/>
        <v/>
      </c>
      <c r="BK297" s="69"/>
      <c r="BL297" s="2342" t="str">
        <f t="shared" si="193"/>
        <v/>
      </c>
      <c r="BM297" s="532"/>
      <c r="BN297" s="2351">
        <f t="shared" si="194"/>
        <v>0</v>
      </c>
      <c r="BO297" s="532"/>
      <c r="BR297" s="541"/>
      <c r="BS297" s="684"/>
      <c r="BT297" s="541"/>
    </row>
    <row r="298" ht="21.0" customHeight="1">
      <c r="A298" s="1718" t="str">
        <f t="shared" si="162"/>
        <v/>
      </c>
      <c r="B298" s="2068">
        <v>4067.0</v>
      </c>
      <c r="C298" s="1567">
        <v>265.0</v>
      </c>
      <c r="D298" s="1701"/>
      <c r="E298" s="1702" t="str">
        <f t="shared" si="163"/>
        <v>Бефстроганов (говядина) с рисом </v>
      </c>
      <c r="F298" s="2352" t="str">
        <f t="shared" si="164"/>
        <v/>
      </c>
      <c r="G298" s="532"/>
      <c r="H298" s="2348" t="str">
        <f t="shared" si="165"/>
        <v/>
      </c>
      <c r="I298" s="532"/>
      <c r="J298" s="2352" t="str">
        <f t="shared" si="166"/>
        <v/>
      </c>
      <c r="K298" s="532"/>
      <c r="L298" s="2352" t="str">
        <f t="shared" si="167"/>
        <v/>
      </c>
      <c r="M298" s="532"/>
      <c r="N298" s="2352" t="str">
        <f t="shared" si="168"/>
        <v/>
      </c>
      <c r="O298" s="532"/>
      <c r="P298" s="2352" t="str">
        <f t="shared" si="169"/>
        <v/>
      </c>
      <c r="Q298" s="532"/>
      <c r="R298" s="2348" t="str">
        <f t="shared" si="170"/>
        <v/>
      </c>
      <c r="S298" s="532"/>
      <c r="T298" s="2348" t="str">
        <f t="shared" si="171"/>
        <v/>
      </c>
      <c r="U298" s="532"/>
      <c r="V298" s="2348" t="str">
        <f t="shared" si="172"/>
        <v/>
      </c>
      <c r="W298" s="532"/>
      <c r="X298" s="2348" t="str">
        <f t="shared" si="173"/>
        <v/>
      </c>
      <c r="Y298" s="532"/>
      <c r="Z298" s="2348" t="str">
        <f t="shared" si="174"/>
        <v/>
      </c>
      <c r="AA298" s="532"/>
      <c r="AB298" s="2348" t="str">
        <f t="shared" si="175"/>
        <v/>
      </c>
      <c r="AC298" s="532"/>
      <c r="AD298" s="2348" t="str">
        <f t="shared" si="176"/>
        <v/>
      </c>
      <c r="AE298" s="532"/>
      <c r="AF298" s="2348" t="str">
        <f t="shared" si="177"/>
        <v/>
      </c>
      <c r="AG298" s="532"/>
      <c r="AH298" s="2350" t="str">
        <f t="shared" si="178"/>
        <v/>
      </c>
      <c r="AI298" s="69"/>
      <c r="AJ298" s="2350" t="str">
        <f t="shared" si="179"/>
        <v/>
      </c>
      <c r="AK298" s="69"/>
      <c r="AL298" s="2348" t="str">
        <f t="shared" si="180"/>
        <v/>
      </c>
      <c r="AM298" s="532"/>
      <c r="AN298" s="2348" t="str">
        <f t="shared" si="181"/>
        <v/>
      </c>
      <c r="AO298" s="532"/>
      <c r="AP298" s="2348" t="str">
        <f t="shared" si="182"/>
        <v/>
      </c>
      <c r="AQ298" s="532"/>
      <c r="AR298" s="2348" t="str">
        <f t="shared" si="183"/>
        <v/>
      </c>
      <c r="AS298" s="532"/>
      <c r="AT298" s="2348" t="str">
        <f t="shared" si="184"/>
        <v/>
      </c>
      <c r="AU298" s="532"/>
      <c r="AV298" s="2350" t="str">
        <f t="shared" si="185"/>
        <v/>
      </c>
      <c r="AW298" s="69"/>
      <c r="AX298" s="2350" t="str">
        <f t="shared" si="186"/>
        <v/>
      </c>
      <c r="AY298" s="69"/>
      <c r="AZ298" s="2350" t="str">
        <f t="shared" si="187"/>
        <v/>
      </c>
      <c r="BA298" s="69"/>
      <c r="BB298" s="2164" t="str">
        <f t="shared" si="188"/>
        <v/>
      </c>
      <c r="BC298" s="69"/>
      <c r="BD298" s="2164" t="str">
        <f t="shared" si="189"/>
        <v/>
      </c>
      <c r="BE298" s="69"/>
      <c r="BF298" s="2164" t="str">
        <f t="shared" si="190"/>
        <v/>
      </c>
      <c r="BG298" s="69"/>
      <c r="BH298" s="2164" t="str">
        <f t="shared" si="191"/>
        <v/>
      </c>
      <c r="BI298" s="69"/>
      <c r="BJ298" s="2164" t="str">
        <f t="shared" si="192"/>
        <v/>
      </c>
      <c r="BK298" s="69"/>
      <c r="BL298" s="2342" t="str">
        <f t="shared" si="193"/>
        <v/>
      </c>
      <c r="BM298" s="532"/>
      <c r="BN298" s="2354">
        <f t="shared" si="194"/>
        <v>0</v>
      </c>
      <c r="BO298" s="532"/>
      <c r="BR298" s="541"/>
      <c r="BS298" s="684"/>
      <c r="BT298" s="541"/>
    </row>
    <row r="299" ht="21.0" customHeight="1">
      <c r="A299" s="1718" t="str">
        <f t="shared" si="162"/>
        <v/>
      </c>
      <c r="B299" s="2068">
        <v>4068.0</v>
      </c>
      <c r="C299" s="1567">
        <v>265.0</v>
      </c>
      <c r="D299" s="1701"/>
      <c r="E299" s="1702" t="str">
        <f t="shared" si="163"/>
        <v>Бефстроганов (говядина) с макаронами</v>
      </c>
      <c r="F299" s="2352">
        <f t="shared" si="164"/>
        <v>10</v>
      </c>
      <c r="G299" s="532"/>
      <c r="H299" s="2348">
        <f t="shared" si="165"/>
        <v>4</v>
      </c>
      <c r="I299" s="532"/>
      <c r="J299" s="2352">
        <f t="shared" si="166"/>
        <v>6</v>
      </c>
      <c r="K299" s="532"/>
      <c r="L299" s="2352">
        <f t="shared" si="167"/>
        <v>3</v>
      </c>
      <c r="M299" s="532"/>
      <c r="N299" s="2352">
        <f t="shared" si="168"/>
        <v>5</v>
      </c>
      <c r="O299" s="532"/>
      <c r="P299" s="2352">
        <f t="shared" si="169"/>
        <v>6</v>
      </c>
      <c r="Q299" s="532"/>
      <c r="R299" s="2348">
        <f t="shared" si="170"/>
        <v>3</v>
      </c>
      <c r="S299" s="532"/>
      <c r="T299" s="2348">
        <f t="shared" si="171"/>
        <v>3</v>
      </c>
      <c r="U299" s="532"/>
      <c r="V299" s="2348">
        <f t="shared" si="172"/>
        <v>3</v>
      </c>
      <c r="W299" s="532"/>
      <c r="X299" s="2348">
        <f t="shared" si="173"/>
        <v>2</v>
      </c>
      <c r="Y299" s="532"/>
      <c r="Z299" s="2348">
        <f t="shared" si="174"/>
        <v>3</v>
      </c>
      <c r="AA299" s="532"/>
      <c r="AB299" s="2348">
        <f t="shared" si="175"/>
        <v>2</v>
      </c>
      <c r="AC299" s="532"/>
      <c r="AD299" s="2348">
        <f t="shared" si="176"/>
        <v>2</v>
      </c>
      <c r="AE299" s="532"/>
      <c r="AF299" s="2348">
        <f t="shared" si="177"/>
        <v>2</v>
      </c>
      <c r="AG299" s="532"/>
      <c r="AH299" s="2350">
        <f t="shared" si="178"/>
        <v>5</v>
      </c>
      <c r="AI299" s="69"/>
      <c r="AJ299" s="2350">
        <f t="shared" si="179"/>
        <v>4</v>
      </c>
      <c r="AK299" s="69"/>
      <c r="AL299" s="2348">
        <f t="shared" si="180"/>
        <v>3</v>
      </c>
      <c r="AM299" s="532"/>
      <c r="AN299" s="2348">
        <f t="shared" si="181"/>
        <v>2</v>
      </c>
      <c r="AO299" s="532"/>
      <c r="AP299" s="2348">
        <f t="shared" si="182"/>
        <v>0</v>
      </c>
      <c r="AQ299" s="532"/>
      <c r="AR299" s="2348">
        <f t="shared" si="183"/>
        <v>7</v>
      </c>
      <c r="AS299" s="532"/>
      <c r="AT299" s="2348">
        <f t="shared" si="184"/>
        <v>3</v>
      </c>
      <c r="AU299" s="532"/>
      <c r="AV299" s="2350">
        <f t="shared" si="185"/>
        <v>2</v>
      </c>
      <c r="AW299" s="69"/>
      <c r="AX299" s="2350">
        <f t="shared" si="186"/>
        <v>3</v>
      </c>
      <c r="AY299" s="69"/>
      <c r="AZ299" s="2350">
        <f t="shared" si="187"/>
        <v>1</v>
      </c>
      <c r="BA299" s="69"/>
      <c r="BB299" s="2164">
        <f t="shared" si="188"/>
        <v>4</v>
      </c>
      <c r="BC299" s="69"/>
      <c r="BD299" s="2164">
        <f t="shared" si="189"/>
        <v>2</v>
      </c>
      <c r="BE299" s="69"/>
      <c r="BF299" s="2164">
        <f t="shared" si="190"/>
        <v>3</v>
      </c>
      <c r="BG299" s="69"/>
      <c r="BH299" s="2164">
        <f t="shared" si="191"/>
        <v>2</v>
      </c>
      <c r="BI299" s="69"/>
      <c r="BJ299" s="2164">
        <f t="shared" si="192"/>
        <v>4</v>
      </c>
      <c r="BK299" s="69"/>
      <c r="BL299" s="2342" t="str">
        <f t="shared" si="193"/>
        <v/>
      </c>
      <c r="BM299" s="532"/>
      <c r="BN299" s="2354">
        <f t="shared" si="194"/>
        <v>99</v>
      </c>
      <c r="BO299" s="532"/>
      <c r="BR299" s="684"/>
      <c r="BS299" s="684"/>
      <c r="BT299" s="541"/>
    </row>
    <row r="300" ht="21.0" customHeight="1">
      <c r="A300" s="1718" t="str">
        <f t="shared" si="162"/>
        <v/>
      </c>
      <c r="B300" s="2068">
        <v>1092.0</v>
      </c>
      <c r="C300" s="1567">
        <v>180.0</v>
      </c>
      <c r="D300" s="1701"/>
      <c r="E300" s="1702" t="str">
        <f t="shared" si="163"/>
        <v>Шашлык (кура) с картошкой по деревенски</v>
      </c>
      <c r="F300" s="2352">
        <f t="shared" si="164"/>
        <v>7</v>
      </c>
      <c r="G300" s="532"/>
      <c r="H300" s="2348">
        <f t="shared" si="165"/>
        <v>5</v>
      </c>
      <c r="I300" s="532"/>
      <c r="J300" s="2352">
        <f t="shared" si="166"/>
        <v>6</v>
      </c>
      <c r="K300" s="532"/>
      <c r="L300" s="2352">
        <f t="shared" si="167"/>
        <v>3</v>
      </c>
      <c r="M300" s="532"/>
      <c r="N300" s="2352">
        <f t="shared" si="168"/>
        <v>5</v>
      </c>
      <c r="O300" s="532"/>
      <c r="P300" s="2352">
        <f t="shared" si="169"/>
        <v>6</v>
      </c>
      <c r="Q300" s="532"/>
      <c r="R300" s="2348">
        <f t="shared" si="170"/>
        <v>4</v>
      </c>
      <c r="S300" s="532"/>
      <c r="T300" s="2348">
        <f t="shared" si="171"/>
        <v>0</v>
      </c>
      <c r="U300" s="532"/>
      <c r="V300" s="2348">
        <f t="shared" si="172"/>
        <v>4</v>
      </c>
      <c r="W300" s="532"/>
      <c r="X300" s="2348">
        <f t="shared" si="173"/>
        <v>2</v>
      </c>
      <c r="Y300" s="532"/>
      <c r="Z300" s="2348">
        <f t="shared" si="174"/>
        <v>7</v>
      </c>
      <c r="AA300" s="532"/>
      <c r="AB300" s="2348">
        <f t="shared" si="175"/>
        <v>2</v>
      </c>
      <c r="AC300" s="532"/>
      <c r="AD300" s="2348">
        <f t="shared" si="176"/>
        <v>2</v>
      </c>
      <c r="AE300" s="532"/>
      <c r="AF300" s="2348">
        <f t="shared" si="177"/>
        <v>2</v>
      </c>
      <c r="AG300" s="532"/>
      <c r="AH300" s="2350">
        <f t="shared" si="178"/>
        <v>0</v>
      </c>
      <c r="AI300" s="69"/>
      <c r="AJ300" s="2350">
        <f t="shared" si="179"/>
        <v>0</v>
      </c>
      <c r="AK300" s="69"/>
      <c r="AL300" s="2348">
        <f t="shared" si="180"/>
        <v>3</v>
      </c>
      <c r="AM300" s="532"/>
      <c r="AN300" s="2348">
        <f t="shared" si="181"/>
        <v>2</v>
      </c>
      <c r="AO300" s="532"/>
      <c r="AP300" s="2348">
        <f t="shared" si="182"/>
        <v>2</v>
      </c>
      <c r="AQ300" s="532"/>
      <c r="AR300" s="2348">
        <f t="shared" si="183"/>
        <v>5</v>
      </c>
      <c r="AS300" s="532"/>
      <c r="AT300" s="2348">
        <f t="shared" si="184"/>
        <v>0</v>
      </c>
      <c r="AU300" s="532"/>
      <c r="AV300" s="2350">
        <f t="shared" si="185"/>
        <v>2</v>
      </c>
      <c r="AW300" s="69"/>
      <c r="AX300" s="2350">
        <f t="shared" si="186"/>
        <v>2</v>
      </c>
      <c r="AY300" s="69"/>
      <c r="AZ300" s="2350">
        <f t="shared" si="187"/>
        <v>1</v>
      </c>
      <c r="BA300" s="69"/>
      <c r="BB300" s="2164">
        <f t="shared" si="188"/>
        <v>8</v>
      </c>
      <c r="BC300" s="69"/>
      <c r="BD300" s="2164">
        <f t="shared" si="189"/>
        <v>2</v>
      </c>
      <c r="BE300" s="69"/>
      <c r="BF300" s="2164">
        <f t="shared" si="190"/>
        <v>5</v>
      </c>
      <c r="BG300" s="69"/>
      <c r="BH300" s="2164">
        <f t="shared" si="191"/>
        <v>2</v>
      </c>
      <c r="BI300" s="69"/>
      <c r="BJ300" s="2164">
        <f t="shared" si="192"/>
        <v>5</v>
      </c>
      <c r="BK300" s="69"/>
      <c r="BL300" s="2342" t="str">
        <f t="shared" si="193"/>
        <v/>
      </c>
      <c r="BM300" s="532"/>
      <c r="BN300" s="2354">
        <f t="shared" si="194"/>
        <v>94</v>
      </c>
      <c r="BO300" s="532"/>
      <c r="BR300" s="541"/>
      <c r="BS300" s="541"/>
      <c r="BT300" s="541"/>
    </row>
    <row r="301" ht="21.0" customHeight="1">
      <c r="A301" s="1718" t="str">
        <f t="shared" si="162"/>
        <v/>
      </c>
      <c r="B301" s="2068">
        <v>3051.0</v>
      </c>
      <c r="C301" s="1567">
        <v>260.0</v>
      </c>
      <c r="D301" s="1701"/>
      <c r="E301" s="1702" t="str">
        <f t="shared" si="163"/>
        <v>Шашлык куриный с овощным соте</v>
      </c>
      <c r="F301" s="2342">
        <f t="shared" si="164"/>
        <v>7</v>
      </c>
      <c r="G301" s="532"/>
      <c r="H301" s="2343">
        <f t="shared" si="165"/>
        <v>3</v>
      </c>
      <c r="I301" s="532"/>
      <c r="J301" s="2342">
        <f t="shared" si="166"/>
        <v>6</v>
      </c>
      <c r="K301" s="532"/>
      <c r="L301" s="2342">
        <f t="shared" si="167"/>
        <v>5</v>
      </c>
      <c r="M301" s="532"/>
      <c r="N301" s="2342">
        <f t="shared" si="168"/>
        <v>2</v>
      </c>
      <c r="O301" s="532"/>
      <c r="P301" s="2342">
        <f t="shared" si="169"/>
        <v>5</v>
      </c>
      <c r="Q301" s="532"/>
      <c r="R301" s="2343">
        <f t="shared" si="170"/>
        <v>0</v>
      </c>
      <c r="S301" s="532"/>
      <c r="T301" s="2343">
        <f t="shared" si="171"/>
        <v>3</v>
      </c>
      <c r="U301" s="532"/>
      <c r="V301" s="2343">
        <f t="shared" si="172"/>
        <v>4</v>
      </c>
      <c r="W301" s="532"/>
      <c r="X301" s="2343">
        <f t="shared" si="173"/>
        <v>2</v>
      </c>
      <c r="Y301" s="532"/>
      <c r="Z301" s="2343">
        <f t="shared" si="174"/>
        <v>10</v>
      </c>
      <c r="AA301" s="532"/>
      <c r="AB301" s="2343">
        <f t="shared" si="175"/>
        <v>2</v>
      </c>
      <c r="AC301" s="532"/>
      <c r="AD301" s="2343">
        <f t="shared" si="176"/>
        <v>2</v>
      </c>
      <c r="AE301" s="532"/>
      <c r="AF301" s="2343">
        <f t="shared" si="177"/>
        <v>2</v>
      </c>
      <c r="AG301" s="532"/>
      <c r="AH301" s="2346">
        <f t="shared" si="178"/>
        <v>6</v>
      </c>
      <c r="AI301" s="69"/>
      <c r="AJ301" s="2346">
        <f t="shared" si="179"/>
        <v>4</v>
      </c>
      <c r="AK301" s="69"/>
      <c r="AL301" s="2348">
        <f t="shared" si="180"/>
        <v>3</v>
      </c>
      <c r="AM301" s="532"/>
      <c r="AN301" s="2348">
        <f t="shared" si="181"/>
        <v>2</v>
      </c>
      <c r="AO301" s="532"/>
      <c r="AP301" s="2348">
        <f t="shared" si="182"/>
        <v>2</v>
      </c>
      <c r="AQ301" s="532"/>
      <c r="AR301" s="2348">
        <f t="shared" si="183"/>
        <v>6</v>
      </c>
      <c r="AS301" s="532"/>
      <c r="AT301" s="2348">
        <f t="shared" si="184"/>
        <v>4</v>
      </c>
      <c r="AU301" s="532"/>
      <c r="AV301" s="2350">
        <f t="shared" si="185"/>
        <v>3</v>
      </c>
      <c r="AW301" s="69"/>
      <c r="AX301" s="2350">
        <f t="shared" si="186"/>
        <v>3</v>
      </c>
      <c r="AY301" s="69"/>
      <c r="AZ301" s="2350">
        <f t="shared" si="187"/>
        <v>2</v>
      </c>
      <c r="BA301" s="69"/>
      <c r="BB301" s="2164">
        <f t="shared" si="188"/>
        <v>10</v>
      </c>
      <c r="BC301" s="69"/>
      <c r="BD301" s="2164">
        <f t="shared" si="189"/>
        <v>0</v>
      </c>
      <c r="BE301" s="69"/>
      <c r="BF301" s="2164">
        <f t="shared" si="190"/>
        <v>2</v>
      </c>
      <c r="BG301" s="69"/>
      <c r="BH301" s="2164">
        <f t="shared" si="191"/>
        <v>3</v>
      </c>
      <c r="BI301" s="69"/>
      <c r="BJ301" s="2164">
        <f t="shared" si="192"/>
        <v>5</v>
      </c>
      <c r="BK301" s="69"/>
      <c r="BL301" s="2342" t="str">
        <f t="shared" si="193"/>
        <v/>
      </c>
      <c r="BM301" s="532"/>
      <c r="BN301" s="2351">
        <f t="shared" si="194"/>
        <v>108</v>
      </c>
      <c r="BO301" s="532"/>
      <c r="BR301" s="541"/>
      <c r="BS301" s="541"/>
      <c r="BT301" s="541"/>
    </row>
    <row r="302" ht="21.0" customHeight="1">
      <c r="A302" s="1718" t="str">
        <f t="shared" si="162"/>
        <v/>
      </c>
      <c r="B302" s="2068">
        <v>3008.0</v>
      </c>
      <c r="C302" s="1567">
        <v>212.0</v>
      </c>
      <c r="D302" s="1701"/>
      <c r="E302" s="1702" t="str">
        <f t="shared" si="163"/>
        <v>Биточек ''Солнышко'' с гречкой</v>
      </c>
      <c r="F302" s="2352">
        <f t="shared" si="164"/>
        <v>8</v>
      </c>
      <c r="G302" s="532"/>
      <c r="H302" s="2348">
        <f t="shared" si="165"/>
        <v>4</v>
      </c>
      <c r="I302" s="532"/>
      <c r="J302" s="2352">
        <f t="shared" si="166"/>
        <v>6</v>
      </c>
      <c r="K302" s="532"/>
      <c r="L302" s="2352">
        <f t="shared" si="167"/>
        <v>6</v>
      </c>
      <c r="M302" s="532"/>
      <c r="N302" s="2352">
        <f t="shared" si="168"/>
        <v>5</v>
      </c>
      <c r="O302" s="532"/>
      <c r="P302" s="2352">
        <f t="shared" si="169"/>
        <v>9</v>
      </c>
      <c r="Q302" s="532"/>
      <c r="R302" s="2348">
        <f t="shared" si="170"/>
        <v>3</v>
      </c>
      <c r="S302" s="532"/>
      <c r="T302" s="2348">
        <f t="shared" si="171"/>
        <v>3</v>
      </c>
      <c r="U302" s="532"/>
      <c r="V302" s="2348">
        <f t="shared" si="172"/>
        <v>4</v>
      </c>
      <c r="W302" s="532"/>
      <c r="X302" s="2348">
        <f t="shared" si="173"/>
        <v>2</v>
      </c>
      <c r="Y302" s="532"/>
      <c r="Z302" s="2348">
        <f t="shared" si="174"/>
        <v>9</v>
      </c>
      <c r="AA302" s="532"/>
      <c r="AB302" s="2348">
        <f t="shared" si="175"/>
        <v>2</v>
      </c>
      <c r="AC302" s="532"/>
      <c r="AD302" s="2348">
        <f t="shared" si="176"/>
        <v>2</v>
      </c>
      <c r="AE302" s="532"/>
      <c r="AF302" s="2348">
        <f t="shared" si="177"/>
        <v>2</v>
      </c>
      <c r="AG302" s="532"/>
      <c r="AH302" s="2350">
        <f t="shared" si="178"/>
        <v>7</v>
      </c>
      <c r="AI302" s="69"/>
      <c r="AJ302" s="2350">
        <f t="shared" si="179"/>
        <v>4</v>
      </c>
      <c r="AK302" s="69"/>
      <c r="AL302" s="2348">
        <f t="shared" si="180"/>
        <v>3</v>
      </c>
      <c r="AM302" s="532"/>
      <c r="AN302" s="2348">
        <f t="shared" si="181"/>
        <v>3</v>
      </c>
      <c r="AO302" s="532"/>
      <c r="AP302" s="2348">
        <f t="shared" si="182"/>
        <v>2</v>
      </c>
      <c r="AQ302" s="532"/>
      <c r="AR302" s="2348">
        <f t="shared" si="183"/>
        <v>9</v>
      </c>
      <c r="AS302" s="532"/>
      <c r="AT302" s="2348">
        <f t="shared" si="184"/>
        <v>4</v>
      </c>
      <c r="AU302" s="532"/>
      <c r="AV302" s="2350">
        <f t="shared" si="185"/>
        <v>3</v>
      </c>
      <c r="AW302" s="69"/>
      <c r="AX302" s="2350">
        <f t="shared" si="186"/>
        <v>4</v>
      </c>
      <c r="AY302" s="69"/>
      <c r="AZ302" s="2350">
        <f t="shared" si="187"/>
        <v>2</v>
      </c>
      <c r="BA302" s="69"/>
      <c r="BB302" s="2164">
        <f t="shared" si="188"/>
        <v>10</v>
      </c>
      <c r="BC302" s="69"/>
      <c r="BD302" s="2164">
        <f t="shared" si="189"/>
        <v>3</v>
      </c>
      <c r="BE302" s="69"/>
      <c r="BF302" s="2164">
        <f t="shared" si="190"/>
        <v>5</v>
      </c>
      <c r="BG302" s="69"/>
      <c r="BH302" s="2164">
        <f t="shared" si="191"/>
        <v>3</v>
      </c>
      <c r="BI302" s="69"/>
      <c r="BJ302" s="2164">
        <f t="shared" si="192"/>
        <v>7</v>
      </c>
      <c r="BK302" s="69"/>
      <c r="BL302" s="2342" t="str">
        <f t="shared" si="193"/>
        <v/>
      </c>
      <c r="BM302" s="532"/>
      <c r="BN302" s="2354">
        <f t="shared" si="194"/>
        <v>134</v>
      </c>
      <c r="BO302" s="532"/>
      <c r="BR302" s="541"/>
      <c r="BS302" s="541"/>
      <c r="BT302" s="541"/>
    </row>
    <row r="303" ht="21.0" customHeight="1">
      <c r="A303" s="1718" t="str">
        <f t="shared" si="162"/>
        <v/>
      </c>
      <c r="B303" s="2068">
        <v>113.0</v>
      </c>
      <c r="C303" s="1567">
        <v>212.0</v>
      </c>
      <c r="D303" s="1701"/>
      <c r="E303" s="1702" t="str">
        <f t="shared" si="163"/>
        <v>Спагетти ''Болоньезе''</v>
      </c>
      <c r="F303" s="2352" t="str">
        <f t="shared" si="164"/>
        <v/>
      </c>
      <c r="G303" s="532"/>
      <c r="H303" s="2348" t="str">
        <f t="shared" si="165"/>
        <v/>
      </c>
      <c r="I303" s="532"/>
      <c r="J303" s="2352" t="str">
        <f t="shared" si="166"/>
        <v/>
      </c>
      <c r="K303" s="532"/>
      <c r="L303" s="2352" t="str">
        <f t="shared" si="167"/>
        <v/>
      </c>
      <c r="M303" s="532"/>
      <c r="N303" s="2352" t="str">
        <f t="shared" si="168"/>
        <v/>
      </c>
      <c r="O303" s="532"/>
      <c r="P303" s="2352" t="str">
        <f t="shared" si="169"/>
        <v/>
      </c>
      <c r="Q303" s="532"/>
      <c r="R303" s="2348" t="str">
        <f t="shared" si="170"/>
        <v/>
      </c>
      <c r="S303" s="532"/>
      <c r="T303" s="2348" t="str">
        <f t="shared" si="171"/>
        <v/>
      </c>
      <c r="U303" s="532"/>
      <c r="V303" s="2348" t="str">
        <f t="shared" si="172"/>
        <v/>
      </c>
      <c r="W303" s="532"/>
      <c r="X303" s="2348" t="str">
        <f t="shared" si="173"/>
        <v/>
      </c>
      <c r="Y303" s="532"/>
      <c r="Z303" s="2348" t="str">
        <f t="shared" si="174"/>
        <v/>
      </c>
      <c r="AA303" s="532"/>
      <c r="AB303" s="2348" t="str">
        <f t="shared" si="175"/>
        <v/>
      </c>
      <c r="AC303" s="532"/>
      <c r="AD303" s="2348" t="str">
        <f t="shared" si="176"/>
        <v/>
      </c>
      <c r="AE303" s="532"/>
      <c r="AF303" s="2348" t="str">
        <f t="shared" si="177"/>
        <v/>
      </c>
      <c r="AG303" s="532"/>
      <c r="AH303" s="2350" t="str">
        <f t="shared" si="178"/>
        <v/>
      </c>
      <c r="AI303" s="69"/>
      <c r="AJ303" s="2350" t="str">
        <f t="shared" si="179"/>
        <v/>
      </c>
      <c r="AK303" s="69"/>
      <c r="AL303" s="2348" t="str">
        <f t="shared" si="180"/>
        <v/>
      </c>
      <c r="AM303" s="532"/>
      <c r="AN303" s="2348" t="str">
        <f t="shared" si="181"/>
        <v/>
      </c>
      <c r="AO303" s="532"/>
      <c r="AP303" s="2348" t="str">
        <f t="shared" si="182"/>
        <v/>
      </c>
      <c r="AQ303" s="532"/>
      <c r="AR303" s="2348" t="str">
        <f t="shared" si="183"/>
        <v/>
      </c>
      <c r="AS303" s="532"/>
      <c r="AT303" s="2348" t="str">
        <f t="shared" si="184"/>
        <v/>
      </c>
      <c r="AU303" s="532"/>
      <c r="AV303" s="2350" t="str">
        <f t="shared" si="185"/>
        <v/>
      </c>
      <c r="AW303" s="69"/>
      <c r="AX303" s="2350" t="str">
        <f t="shared" si="186"/>
        <v/>
      </c>
      <c r="AY303" s="69"/>
      <c r="AZ303" s="2350" t="str">
        <f t="shared" si="187"/>
        <v/>
      </c>
      <c r="BA303" s="69"/>
      <c r="BB303" s="2164" t="str">
        <f t="shared" si="188"/>
        <v/>
      </c>
      <c r="BC303" s="69"/>
      <c r="BD303" s="2164" t="str">
        <f t="shared" si="189"/>
        <v/>
      </c>
      <c r="BE303" s="69"/>
      <c r="BF303" s="2164" t="str">
        <f t="shared" si="190"/>
        <v/>
      </c>
      <c r="BG303" s="69"/>
      <c r="BH303" s="2164" t="str">
        <f t="shared" si="191"/>
        <v/>
      </c>
      <c r="BI303" s="69"/>
      <c r="BJ303" s="2164" t="str">
        <f t="shared" si="192"/>
        <v/>
      </c>
      <c r="BK303" s="69"/>
      <c r="BL303" s="2352" t="str">
        <f t="shared" si="193"/>
        <v/>
      </c>
      <c r="BM303" s="532"/>
      <c r="BN303" s="2354">
        <f t="shared" si="194"/>
        <v>0</v>
      </c>
      <c r="BO303" s="532"/>
      <c r="BR303" s="541"/>
      <c r="BS303" s="541"/>
      <c r="BT303" s="541"/>
    </row>
    <row r="304" ht="21.0" customHeight="1">
      <c r="A304" s="1718" t="str">
        <f t="shared" si="162"/>
        <v/>
      </c>
      <c r="B304" s="2068"/>
      <c r="C304" s="1567"/>
      <c r="D304" s="1701"/>
      <c r="E304" s="1702" t="str">
        <f t="shared" si="163"/>
        <v/>
      </c>
      <c r="F304" s="2352">
        <f t="shared" si="164"/>
        <v>8</v>
      </c>
      <c r="G304" s="532"/>
      <c r="H304" s="2348">
        <f t="shared" si="165"/>
        <v>2</v>
      </c>
      <c r="I304" s="532"/>
      <c r="J304" s="2352">
        <f t="shared" si="166"/>
        <v>3</v>
      </c>
      <c r="K304" s="532"/>
      <c r="L304" s="2352">
        <f t="shared" si="167"/>
        <v>1</v>
      </c>
      <c r="M304" s="532"/>
      <c r="N304" s="2352">
        <f t="shared" si="168"/>
        <v>1</v>
      </c>
      <c r="O304" s="532"/>
      <c r="P304" s="2352">
        <f t="shared" si="169"/>
        <v>0</v>
      </c>
      <c r="Q304" s="532"/>
      <c r="R304" s="2348">
        <f t="shared" si="170"/>
        <v>0</v>
      </c>
      <c r="S304" s="532"/>
      <c r="T304" s="2348">
        <f t="shared" si="171"/>
        <v>0</v>
      </c>
      <c r="U304" s="532"/>
      <c r="V304" s="2348">
        <f t="shared" si="172"/>
        <v>0</v>
      </c>
      <c r="W304" s="532"/>
      <c r="X304" s="2348">
        <f t="shared" si="173"/>
        <v>4</v>
      </c>
      <c r="Y304" s="532"/>
      <c r="Z304" s="2348" t="str">
        <f t="shared" si="174"/>
        <v/>
      </c>
      <c r="AA304" s="532"/>
      <c r="AB304" s="2348">
        <f t="shared" si="175"/>
        <v>0</v>
      </c>
      <c r="AC304" s="532"/>
      <c r="AD304" s="2348">
        <f t="shared" si="176"/>
        <v>0</v>
      </c>
      <c r="AE304" s="532"/>
      <c r="AF304" s="2348">
        <f t="shared" si="177"/>
        <v>0</v>
      </c>
      <c r="AG304" s="532"/>
      <c r="AH304" s="2350">
        <f t="shared" si="178"/>
        <v>0</v>
      </c>
      <c r="AI304" s="69"/>
      <c r="AJ304" s="2350">
        <f t="shared" si="179"/>
        <v>0</v>
      </c>
      <c r="AK304" s="69"/>
      <c r="AL304" s="2348">
        <f t="shared" si="180"/>
        <v>0</v>
      </c>
      <c r="AM304" s="532"/>
      <c r="AN304" s="2348">
        <f t="shared" si="181"/>
        <v>0</v>
      </c>
      <c r="AO304" s="532"/>
      <c r="AP304" s="2348">
        <f t="shared" si="182"/>
        <v>0</v>
      </c>
      <c r="AQ304" s="532"/>
      <c r="AR304" s="2348">
        <f t="shared" si="183"/>
        <v>8</v>
      </c>
      <c r="AS304" s="532"/>
      <c r="AT304" s="2348">
        <f t="shared" si="184"/>
        <v>0</v>
      </c>
      <c r="AU304" s="532"/>
      <c r="AV304" s="2350">
        <f t="shared" si="185"/>
        <v>0</v>
      </c>
      <c r="AW304" s="69"/>
      <c r="AX304" s="2350">
        <f t="shared" si="186"/>
        <v>0</v>
      </c>
      <c r="AY304" s="69"/>
      <c r="AZ304" s="2350">
        <f t="shared" si="187"/>
        <v>0</v>
      </c>
      <c r="BA304" s="69"/>
      <c r="BB304" s="2164" t="str">
        <f t="shared" si="188"/>
        <v/>
      </c>
      <c r="BC304" s="69"/>
      <c r="BD304" s="2164">
        <f t="shared" si="189"/>
        <v>0</v>
      </c>
      <c r="BE304" s="69"/>
      <c r="BF304" s="2164">
        <f t="shared" si="190"/>
        <v>0</v>
      </c>
      <c r="BG304" s="69"/>
      <c r="BH304" s="2164">
        <f t="shared" si="191"/>
        <v>0</v>
      </c>
      <c r="BI304" s="69"/>
      <c r="BJ304" s="2164">
        <f t="shared" si="192"/>
        <v>0</v>
      </c>
      <c r="BK304" s="69"/>
      <c r="BL304" s="2352" t="str">
        <f t="shared" si="193"/>
        <v/>
      </c>
      <c r="BM304" s="532"/>
      <c r="BN304" s="2354">
        <f t="shared" si="194"/>
        <v>27</v>
      </c>
      <c r="BO304" s="532"/>
      <c r="BR304" s="541"/>
      <c r="BS304" s="541"/>
      <c r="BT304" s="541"/>
    </row>
    <row r="305" ht="21.0" customHeight="1">
      <c r="A305" s="1718" t="str">
        <f t="shared" si="162"/>
        <v/>
      </c>
      <c r="B305" s="2068">
        <v>3.0</v>
      </c>
      <c r="C305" s="1567">
        <v>172.0</v>
      </c>
      <c r="D305" s="1701"/>
      <c r="E305" s="1702" t="str">
        <f t="shared" si="163"/>
        <v>Сэндвич с курочкой и скремблом</v>
      </c>
      <c r="F305" s="2352">
        <f t="shared" si="164"/>
        <v>29</v>
      </c>
      <c r="G305" s="532"/>
      <c r="H305" s="2348">
        <f t="shared" si="165"/>
        <v>2</v>
      </c>
      <c r="I305" s="532"/>
      <c r="J305" s="2352">
        <f t="shared" si="166"/>
        <v>2</v>
      </c>
      <c r="K305" s="532"/>
      <c r="L305" s="2352">
        <f t="shared" si="167"/>
        <v>4</v>
      </c>
      <c r="M305" s="532"/>
      <c r="N305" s="2352">
        <f t="shared" si="168"/>
        <v>3</v>
      </c>
      <c r="O305" s="532"/>
      <c r="P305" s="2352">
        <f t="shared" si="169"/>
        <v>13</v>
      </c>
      <c r="Q305" s="532"/>
      <c r="R305" s="2348">
        <f t="shared" si="170"/>
        <v>3</v>
      </c>
      <c r="S305" s="532"/>
      <c r="T305" s="2348">
        <f t="shared" si="171"/>
        <v>2</v>
      </c>
      <c r="U305" s="532"/>
      <c r="V305" s="2348">
        <f t="shared" si="172"/>
        <v>4</v>
      </c>
      <c r="W305" s="532"/>
      <c r="X305" s="2348">
        <f t="shared" si="173"/>
        <v>12</v>
      </c>
      <c r="Y305" s="532"/>
      <c r="Z305" s="2348" t="str">
        <f t="shared" si="174"/>
        <v/>
      </c>
      <c r="AA305" s="532"/>
      <c r="AB305" s="2348">
        <f t="shared" si="175"/>
        <v>3</v>
      </c>
      <c r="AC305" s="532"/>
      <c r="AD305" s="2348">
        <f t="shared" si="176"/>
        <v>3</v>
      </c>
      <c r="AE305" s="532"/>
      <c r="AF305" s="2348">
        <f t="shared" si="177"/>
        <v>4</v>
      </c>
      <c r="AG305" s="532"/>
      <c r="AH305" s="2350">
        <f t="shared" si="178"/>
        <v>4</v>
      </c>
      <c r="AI305" s="69"/>
      <c r="AJ305" s="2350">
        <f t="shared" si="179"/>
        <v>2</v>
      </c>
      <c r="AK305" s="69"/>
      <c r="AL305" s="2348">
        <f t="shared" si="180"/>
        <v>8</v>
      </c>
      <c r="AM305" s="532"/>
      <c r="AN305" s="2348">
        <f t="shared" si="181"/>
        <v>2</v>
      </c>
      <c r="AO305" s="532"/>
      <c r="AP305" s="2348">
        <f t="shared" si="182"/>
        <v>4</v>
      </c>
      <c r="AQ305" s="532"/>
      <c r="AR305" s="2348">
        <f t="shared" si="183"/>
        <v>12</v>
      </c>
      <c r="AS305" s="532"/>
      <c r="AT305" s="2348">
        <f t="shared" si="184"/>
        <v>2</v>
      </c>
      <c r="AU305" s="532"/>
      <c r="AV305" s="2350">
        <f t="shared" si="185"/>
        <v>9</v>
      </c>
      <c r="AW305" s="69"/>
      <c r="AX305" s="2350">
        <f t="shared" si="186"/>
        <v>7</v>
      </c>
      <c r="AY305" s="69"/>
      <c r="AZ305" s="2350">
        <f t="shared" si="187"/>
        <v>3</v>
      </c>
      <c r="BA305" s="69"/>
      <c r="BB305" s="2164" t="str">
        <f t="shared" si="188"/>
        <v/>
      </c>
      <c r="BC305" s="69"/>
      <c r="BD305" s="2164">
        <f t="shared" si="189"/>
        <v>2</v>
      </c>
      <c r="BE305" s="69"/>
      <c r="BF305" s="2164">
        <f t="shared" si="190"/>
        <v>11</v>
      </c>
      <c r="BG305" s="69"/>
      <c r="BH305" s="2164">
        <f t="shared" si="191"/>
        <v>2</v>
      </c>
      <c r="BI305" s="69"/>
      <c r="BJ305" s="2164">
        <f t="shared" si="192"/>
        <v>8</v>
      </c>
      <c r="BK305" s="69"/>
      <c r="BL305" s="2352" t="str">
        <f t="shared" si="193"/>
        <v/>
      </c>
      <c r="BM305" s="532"/>
      <c r="BN305" s="2354">
        <f t="shared" si="194"/>
        <v>160</v>
      </c>
      <c r="BO305" s="532"/>
      <c r="BR305" s="541"/>
      <c r="BS305" s="541"/>
      <c r="BT305" s="541"/>
    </row>
    <row r="306" ht="21.0" customHeight="1">
      <c r="A306" s="1718" t="str">
        <f t="shared" si="162"/>
        <v/>
      </c>
      <c r="B306" s="2068">
        <v>5.0</v>
      </c>
      <c r="C306" s="1567">
        <v>155.0</v>
      </c>
      <c r="D306" s="1701"/>
      <c r="E306" s="1702" t="str">
        <f t="shared" si="163"/>
        <v>Сэндвич с ветчиной и сыром</v>
      </c>
      <c r="F306" s="2352">
        <f t="shared" si="164"/>
        <v>3</v>
      </c>
      <c r="G306" s="532"/>
      <c r="H306" s="2343" t="str">
        <f t="shared" si="165"/>
        <v/>
      </c>
      <c r="I306" s="532"/>
      <c r="J306" s="2352">
        <f t="shared" si="166"/>
        <v>2</v>
      </c>
      <c r="K306" s="532"/>
      <c r="L306" s="2352">
        <f t="shared" si="167"/>
        <v>2</v>
      </c>
      <c r="M306" s="532"/>
      <c r="N306" s="2352">
        <f t="shared" si="168"/>
        <v>2</v>
      </c>
      <c r="O306" s="532"/>
      <c r="P306" s="2342">
        <f t="shared" si="169"/>
        <v>3</v>
      </c>
      <c r="Q306" s="532"/>
      <c r="R306" s="2348">
        <f t="shared" si="170"/>
        <v>2</v>
      </c>
      <c r="S306" s="532"/>
      <c r="T306" s="2348">
        <f t="shared" si="171"/>
        <v>2</v>
      </c>
      <c r="U306" s="532"/>
      <c r="V306" s="2348">
        <f t="shared" si="172"/>
        <v>3</v>
      </c>
      <c r="W306" s="532"/>
      <c r="X306" s="2348">
        <f t="shared" si="173"/>
        <v>4</v>
      </c>
      <c r="Y306" s="532"/>
      <c r="Z306" s="2348" t="str">
        <f t="shared" si="174"/>
        <v/>
      </c>
      <c r="AA306" s="532"/>
      <c r="AB306" s="2348">
        <f t="shared" si="175"/>
        <v>2</v>
      </c>
      <c r="AC306" s="532"/>
      <c r="AD306" s="2348" t="str">
        <f t="shared" si="176"/>
        <v/>
      </c>
      <c r="AE306" s="532"/>
      <c r="AF306" s="2348">
        <f t="shared" si="177"/>
        <v>3</v>
      </c>
      <c r="AG306" s="532"/>
      <c r="AH306" s="2350">
        <f t="shared" si="178"/>
        <v>3</v>
      </c>
      <c r="AI306" s="69"/>
      <c r="AJ306" s="2350">
        <f t="shared" si="179"/>
        <v>2</v>
      </c>
      <c r="AK306" s="69"/>
      <c r="AL306" s="2348">
        <f t="shared" si="180"/>
        <v>2</v>
      </c>
      <c r="AM306" s="532"/>
      <c r="AN306" s="2348" t="str">
        <f t="shared" si="181"/>
        <v/>
      </c>
      <c r="AO306" s="532"/>
      <c r="AP306" s="2348" t="str">
        <f t="shared" si="182"/>
        <v/>
      </c>
      <c r="AQ306" s="532"/>
      <c r="AR306" s="2348" t="str">
        <f t="shared" si="183"/>
        <v/>
      </c>
      <c r="AS306" s="532"/>
      <c r="AT306" s="2348" t="str">
        <f t="shared" si="184"/>
        <v/>
      </c>
      <c r="AU306" s="532"/>
      <c r="AV306" s="2350" t="str">
        <f t="shared" si="185"/>
        <v/>
      </c>
      <c r="AW306" s="69"/>
      <c r="AX306" s="2350" t="str">
        <f t="shared" si="186"/>
        <v/>
      </c>
      <c r="AY306" s="69"/>
      <c r="AZ306" s="2350" t="str">
        <f t="shared" si="187"/>
        <v/>
      </c>
      <c r="BA306" s="69"/>
      <c r="BB306" s="2164" t="str">
        <f t="shared" si="188"/>
        <v/>
      </c>
      <c r="BC306" s="69"/>
      <c r="BD306" s="2164" t="str">
        <f t="shared" si="189"/>
        <v/>
      </c>
      <c r="BE306" s="69"/>
      <c r="BF306" s="2164" t="str">
        <f t="shared" si="190"/>
        <v/>
      </c>
      <c r="BG306" s="69"/>
      <c r="BH306" s="2164" t="str">
        <f t="shared" si="191"/>
        <v/>
      </c>
      <c r="BI306" s="69"/>
      <c r="BJ306" s="2164" t="str">
        <f t="shared" si="192"/>
        <v/>
      </c>
      <c r="BK306" s="69"/>
      <c r="BL306" s="2342" t="str">
        <f t="shared" si="193"/>
        <v/>
      </c>
      <c r="BM306" s="532"/>
      <c r="BN306" s="2354">
        <f t="shared" si="194"/>
        <v>35</v>
      </c>
      <c r="BO306" s="532"/>
      <c r="BR306" s="541"/>
      <c r="BS306" s="541"/>
      <c r="BT306" s="541"/>
    </row>
    <row r="307" ht="21.0" customHeight="1">
      <c r="A307" s="1718" t="str">
        <f t="shared" si="162"/>
        <v/>
      </c>
      <c r="B307" s="2068"/>
      <c r="C307" s="1567"/>
      <c r="D307" s="1701"/>
      <c r="E307" s="1702" t="str">
        <f t="shared" si="163"/>
        <v/>
      </c>
      <c r="F307" s="2352">
        <f t="shared" si="164"/>
        <v>30</v>
      </c>
      <c r="G307" s="532"/>
      <c r="H307" s="2343">
        <f t="shared" si="165"/>
        <v>0</v>
      </c>
      <c r="I307" s="532"/>
      <c r="J307" s="2352">
        <f t="shared" si="166"/>
        <v>20</v>
      </c>
      <c r="K307" s="532"/>
      <c r="L307" s="2352">
        <f t="shared" si="167"/>
        <v>15</v>
      </c>
      <c r="M307" s="532"/>
      <c r="N307" s="2352">
        <f t="shared" si="168"/>
        <v>0</v>
      </c>
      <c r="O307" s="532"/>
      <c r="P307" s="2342">
        <f t="shared" si="169"/>
        <v>17</v>
      </c>
      <c r="Q307" s="532"/>
      <c r="R307" s="2348">
        <f t="shared" si="170"/>
        <v>0</v>
      </c>
      <c r="S307" s="532"/>
      <c r="T307" s="2348">
        <f t="shared" si="171"/>
        <v>0</v>
      </c>
      <c r="U307" s="532"/>
      <c r="V307" s="2348">
        <f t="shared" si="172"/>
        <v>0</v>
      </c>
      <c r="W307" s="532"/>
      <c r="X307" s="2348">
        <f t="shared" si="173"/>
        <v>0</v>
      </c>
      <c r="Y307" s="532"/>
      <c r="Z307" s="2348" t="str">
        <f t="shared" si="174"/>
        <v/>
      </c>
      <c r="AA307" s="532"/>
      <c r="AB307" s="2348">
        <f t="shared" si="175"/>
        <v>0</v>
      </c>
      <c r="AC307" s="532"/>
      <c r="AD307" s="2348">
        <f t="shared" si="176"/>
        <v>0</v>
      </c>
      <c r="AE307" s="532"/>
      <c r="AF307" s="2348">
        <f t="shared" si="177"/>
        <v>5</v>
      </c>
      <c r="AG307" s="532"/>
      <c r="AH307" s="2350">
        <f t="shared" si="178"/>
        <v>0</v>
      </c>
      <c r="AI307" s="69"/>
      <c r="AJ307" s="2350">
        <f t="shared" si="179"/>
        <v>0</v>
      </c>
      <c r="AK307" s="69"/>
      <c r="AL307" s="2348">
        <f t="shared" si="180"/>
        <v>0</v>
      </c>
      <c r="AM307" s="532"/>
      <c r="AN307" s="2348">
        <f t="shared" si="181"/>
        <v>10</v>
      </c>
      <c r="AO307" s="532"/>
      <c r="AP307" s="2348">
        <f t="shared" si="182"/>
        <v>0</v>
      </c>
      <c r="AQ307" s="532"/>
      <c r="AR307" s="2348">
        <f t="shared" si="183"/>
        <v>40</v>
      </c>
      <c r="AS307" s="532"/>
      <c r="AT307" s="2348">
        <f t="shared" si="184"/>
        <v>7</v>
      </c>
      <c r="AU307" s="532"/>
      <c r="AV307" s="2350">
        <f t="shared" si="185"/>
        <v>13</v>
      </c>
      <c r="AW307" s="69"/>
      <c r="AX307" s="2350">
        <f t="shared" si="186"/>
        <v>10</v>
      </c>
      <c r="AY307" s="69"/>
      <c r="AZ307" s="2350">
        <f t="shared" si="187"/>
        <v>0</v>
      </c>
      <c r="BA307" s="69"/>
      <c r="BB307" s="2164" t="str">
        <f t="shared" si="188"/>
        <v/>
      </c>
      <c r="BC307" s="69"/>
      <c r="BD307" s="2164">
        <f t="shared" si="189"/>
        <v>5</v>
      </c>
      <c r="BE307" s="69"/>
      <c r="BF307" s="2164">
        <f t="shared" si="190"/>
        <v>30</v>
      </c>
      <c r="BG307" s="69"/>
      <c r="BH307" s="2164">
        <f t="shared" si="191"/>
        <v>8</v>
      </c>
      <c r="BI307" s="69"/>
      <c r="BJ307" s="2164">
        <f t="shared" si="192"/>
        <v>10</v>
      </c>
      <c r="BK307" s="69"/>
      <c r="BL307" s="2352" t="str">
        <f t="shared" si="193"/>
        <v/>
      </c>
      <c r="BM307" s="532"/>
      <c r="BN307" s="2354">
        <f t="shared" si="194"/>
        <v>220</v>
      </c>
      <c r="BO307" s="532"/>
      <c r="BR307" s="541"/>
      <c r="BS307" s="541"/>
      <c r="BT307" s="541"/>
    </row>
    <row r="308" ht="21.0" customHeight="1">
      <c r="A308" s="1718" t="str">
        <f t="shared" si="162"/>
        <v/>
      </c>
      <c r="B308" s="2068">
        <v>3998.0</v>
      </c>
      <c r="C308" s="1567">
        <v>98.0</v>
      </c>
      <c r="D308" s="1701"/>
      <c r="E308" s="1702" t="str">
        <f t="shared" si="163"/>
        <v>Морс из ч/смородины 0,5 л</v>
      </c>
      <c r="F308" s="2352">
        <f t="shared" si="164"/>
        <v>35</v>
      </c>
      <c r="G308" s="532"/>
      <c r="H308" s="2348">
        <f t="shared" si="165"/>
        <v>0</v>
      </c>
      <c r="I308" s="532"/>
      <c r="J308" s="2352" t="str">
        <f t="shared" si="166"/>
        <v/>
      </c>
      <c r="K308" s="532"/>
      <c r="L308" s="2352" t="str">
        <f t="shared" si="167"/>
        <v/>
      </c>
      <c r="M308" s="532"/>
      <c r="N308" s="2352">
        <f t="shared" si="168"/>
        <v>3</v>
      </c>
      <c r="O308" s="532"/>
      <c r="P308" s="2352">
        <f t="shared" si="169"/>
        <v>3</v>
      </c>
      <c r="Q308" s="532"/>
      <c r="R308" s="2348">
        <f t="shared" si="170"/>
        <v>0</v>
      </c>
      <c r="S308" s="532"/>
      <c r="T308" s="2348">
        <f t="shared" si="171"/>
        <v>3</v>
      </c>
      <c r="U308" s="532"/>
      <c r="V308" s="2348">
        <f t="shared" si="172"/>
        <v>3</v>
      </c>
      <c r="W308" s="532"/>
      <c r="X308" s="2348">
        <f t="shared" si="173"/>
        <v>14</v>
      </c>
      <c r="Y308" s="532"/>
      <c r="Z308" s="2348" t="str">
        <f t="shared" si="174"/>
        <v/>
      </c>
      <c r="AA308" s="532"/>
      <c r="AB308" s="2348">
        <f t="shared" si="175"/>
        <v>3</v>
      </c>
      <c r="AC308" s="532"/>
      <c r="AD308" s="2348">
        <f t="shared" si="176"/>
        <v>3</v>
      </c>
      <c r="AE308" s="532"/>
      <c r="AF308" s="2348">
        <f t="shared" si="177"/>
        <v>7</v>
      </c>
      <c r="AG308" s="532"/>
      <c r="AH308" s="2350" t="str">
        <f t="shared" si="178"/>
        <v/>
      </c>
      <c r="AI308" s="69"/>
      <c r="AJ308" s="2350">
        <f t="shared" si="179"/>
        <v>3</v>
      </c>
      <c r="AK308" s="69"/>
      <c r="AL308" s="2348">
        <f t="shared" si="180"/>
        <v>5</v>
      </c>
      <c r="AM308" s="532"/>
      <c r="AN308" s="2348" t="str">
        <f t="shared" si="181"/>
        <v/>
      </c>
      <c r="AO308" s="532"/>
      <c r="AP308" s="2348" t="str">
        <f t="shared" si="182"/>
        <v/>
      </c>
      <c r="AQ308" s="532"/>
      <c r="AR308" s="2348" t="str">
        <f t="shared" si="183"/>
        <v/>
      </c>
      <c r="AS308" s="532"/>
      <c r="AT308" s="2348">
        <f t="shared" si="184"/>
        <v>6</v>
      </c>
      <c r="AU308" s="532"/>
      <c r="AV308" s="2350" t="str">
        <f t="shared" si="185"/>
        <v/>
      </c>
      <c r="AW308" s="69"/>
      <c r="AX308" s="2350">
        <f t="shared" si="186"/>
        <v>4</v>
      </c>
      <c r="AY308" s="69"/>
      <c r="AZ308" s="2350">
        <f t="shared" si="187"/>
        <v>20</v>
      </c>
      <c r="BA308" s="69"/>
      <c r="BB308" s="2164" t="str">
        <f t="shared" si="188"/>
        <v/>
      </c>
      <c r="BC308" s="69"/>
      <c r="BD308" s="2164" t="str">
        <f t="shared" si="189"/>
        <v/>
      </c>
      <c r="BE308" s="69"/>
      <c r="BF308" s="2164">
        <f t="shared" si="190"/>
        <v>10</v>
      </c>
      <c r="BG308" s="69"/>
      <c r="BH308" s="2164">
        <f t="shared" si="191"/>
        <v>3</v>
      </c>
      <c r="BI308" s="69"/>
      <c r="BJ308" s="2164">
        <f t="shared" si="192"/>
        <v>0</v>
      </c>
      <c r="BK308" s="69"/>
      <c r="BL308" s="2352" t="str">
        <f t="shared" si="193"/>
        <v/>
      </c>
      <c r="BM308" s="532"/>
      <c r="BN308" s="2354">
        <f t="shared" si="194"/>
        <v>125</v>
      </c>
      <c r="BO308" s="532"/>
      <c r="BR308" s="541"/>
      <c r="BS308" s="541"/>
      <c r="BT308" s="541"/>
    </row>
    <row r="309" ht="21.0" customHeight="1">
      <c r="A309" s="1718" t="str">
        <f t="shared" si="162"/>
        <v/>
      </c>
      <c r="B309" s="2068">
        <v>822.0</v>
      </c>
      <c r="C309" s="1734">
        <v>5.0</v>
      </c>
      <c r="D309" s="1701"/>
      <c r="E309" s="1702" t="str">
        <f t="shared" si="163"/>
        <v>Хлеб пшеничный</v>
      </c>
      <c r="F309" s="2352">
        <f t="shared" si="164"/>
        <v>10</v>
      </c>
      <c r="G309" s="532"/>
      <c r="H309" s="2348" t="str">
        <f t="shared" si="165"/>
        <v/>
      </c>
      <c r="I309" s="532"/>
      <c r="J309" s="2352" t="str">
        <f t="shared" si="166"/>
        <v/>
      </c>
      <c r="K309" s="532"/>
      <c r="L309" s="2352" t="str">
        <f t="shared" si="167"/>
        <v/>
      </c>
      <c r="M309" s="532"/>
      <c r="N309" s="2352" t="str">
        <f t="shared" si="168"/>
        <v/>
      </c>
      <c r="O309" s="532"/>
      <c r="P309" s="2352" t="str">
        <f t="shared" si="169"/>
        <v/>
      </c>
      <c r="Q309" s="532"/>
      <c r="R309" s="2348" t="str">
        <f t="shared" si="170"/>
        <v/>
      </c>
      <c r="S309" s="532"/>
      <c r="T309" s="2348" t="str">
        <f t="shared" si="171"/>
        <v/>
      </c>
      <c r="U309" s="532"/>
      <c r="V309" s="2348" t="str">
        <f t="shared" si="172"/>
        <v/>
      </c>
      <c r="W309" s="532"/>
      <c r="X309" s="2348" t="str">
        <f t="shared" si="173"/>
        <v/>
      </c>
      <c r="Y309" s="532"/>
      <c r="Z309" s="2348" t="str">
        <f t="shared" si="174"/>
        <v/>
      </c>
      <c r="AA309" s="532"/>
      <c r="AB309" s="2348" t="str">
        <f t="shared" si="175"/>
        <v/>
      </c>
      <c r="AC309" s="532"/>
      <c r="AD309" s="2348" t="str">
        <f t="shared" si="176"/>
        <v/>
      </c>
      <c r="AE309" s="532"/>
      <c r="AF309" s="2348" t="str">
        <f t="shared" si="177"/>
        <v/>
      </c>
      <c r="AG309" s="532"/>
      <c r="AH309" s="2350" t="str">
        <f t="shared" si="178"/>
        <v/>
      </c>
      <c r="AI309" s="69"/>
      <c r="AJ309" s="2350" t="str">
        <f t="shared" si="179"/>
        <v/>
      </c>
      <c r="AK309" s="69"/>
      <c r="AL309" s="2348" t="str">
        <f t="shared" si="180"/>
        <v/>
      </c>
      <c r="AM309" s="532"/>
      <c r="AN309" s="2348" t="str">
        <f t="shared" si="181"/>
        <v/>
      </c>
      <c r="AO309" s="532"/>
      <c r="AP309" s="2348" t="str">
        <f t="shared" si="182"/>
        <v/>
      </c>
      <c r="AQ309" s="532"/>
      <c r="AR309" s="2348" t="str">
        <f t="shared" si="183"/>
        <v/>
      </c>
      <c r="AS309" s="532"/>
      <c r="AT309" s="2348" t="str">
        <f t="shared" si="184"/>
        <v/>
      </c>
      <c r="AU309" s="532"/>
      <c r="AV309" s="2350" t="str">
        <f t="shared" si="185"/>
        <v/>
      </c>
      <c r="AW309" s="69"/>
      <c r="AX309" s="2350" t="str">
        <f t="shared" si="186"/>
        <v/>
      </c>
      <c r="AY309" s="69"/>
      <c r="AZ309" s="2350" t="str">
        <f t="shared" si="187"/>
        <v/>
      </c>
      <c r="BA309" s="69"/>
      <c r="BB309" s="2164" t="str">
        <f t="shared" si="188"/>
        <v/>
      </c>
      <c r="BC309" s="69"/>
      <c r="BD309" s="2164" t="str">
        <f t="shared" si="189"/>
        <v/>
      </c>
      <c r="BE309" s="69"/>
      <c r="BF309" s="2164" t="str">
        <f t="shared" si="190"/>
        <v/>
      </c>
      <c r="BG309" s="69"/>
      <c r="BH309" s="2164" t="str">
        <f t="shared" si="191"/>
        <v/>
      </c>
      <c r="BI309" s="69"/>
      <c r="BJ309" s="2164" t="str">
        <f t="shared" si="192"/>
        <v/>
      </c>
      <c r="BK309" s="69"/>
      <c r="BL309" s="2352" t="str">
        <f t="shared" si="193"/>
        <v/>
      </c>
      <c r="BM309" s="532"/>
      <c r="BN309" s="2354">
        <f t="shared" si="194"/>
        <v>10</v>
      </c>
      <c r="BO309" s="532"/>
      <c r="BR309" s="541"/>
      <c r="BS309" s="541"/>
      <c r="BT309" s="541"/>
    </row>
    <row r="310" ht="21.0" customHeight="1">
      <c r="A310" s="1718" t="str">
        <f t="shared" si="162"/>
        <v/>
      </c>
      <c r="B310" s="2068">
        <v>3528.0</v>
      </c>
      <c r="C310" s="1734">
        <v>56.0</v>
      </c>
      <c r="D310" s="1701"/>
      <c r="E310" s="1702" t="str">
        <f t="shared" si="163"/>
        <v>Сырная палочка 80 гр</v>
      </c>
      <c r="F310" s="2352">
        <f t="shared" si="164"/>
        <v>5</v>
      </c>
      <c r="G310" s="532"/>
      <c r="H310" s="2348" t="str">
        <f t="shared" si="165"/>
        <v/>
      </c>
      <c r="I310" s="532"/>
      <c r="J310" s="2352" t="str">
        <f t="shared" si="166"/>
        <v/>
      </c>
      <c r="K310" s="532"/>
      <c r="L310" s="2352">
        <f t="shared" si="167"/>
        <v>2</v>
      </c>
      <c r="M310" s="532"/>
      <c r="N310" s="2352">
        <f t="shared" si="168"/>
        <v>2</v>
      </c>
      <c r="O310" s="532"/>
      <c r="P310" s="2352" t="str">
        <f t="shared" si="169"/>
        <v/>
      </c>
      <c r="Q310" s="532"/>
      <c r="R310" s="2348" t="str">
        <f t="shared" si="170"/>
        <v/>
      </c>
      <c r="S310" s="532"/>
      <c r="T310" s="2348" t="str">
        <f t="shared" si="171"/>
        <v/>
      </c>
      <c r="U310" s="532"/>
      <c r="V310" s="2348">
        <f t="shared" si="172"/>
        <v>2</v>
      </c>
      <c r="W310" s="532"/>
      <c r="X310" s="2348">
        <f t="shared" si="173"/>
        <v>2</v>
      </c>
      <c r="Y310" s="532"/>
      <c r="Z310" s="2348" t="str">
        <f t="shared" si="174"/>
        <v/>
      </c>
      <c r="AA310" s="532"/>
      <c r="AB310" s="2348" t="str">
        <f t="shared" si="175"/>
        <v/>
      </c>
      <c r="AC310" s="532"/>
      <c r="AD310" s="2348" t="str">
        <f t="shared" si="176"/>
        <v/>
      </c>
      <c r="AE310" s="532"/>
      <c r="AF310" s="2348">
        <f t="shared" si="177"/>
        <v>2</v>
      </c>
      <c r="AG310" s="532"/>
      <c r="AH310" s="2350">
        <f t="shared" si="178"/>
        <v>2</v>
      </c>
      <c r="AI310" s="69"/>
      <c r="AJ310" s="2350" t="str">
        <f t="shared" si="179"/>
        <v/>
      </c>
      <c r="AK310" s="69"/>
      <c r="AL310" s="2348">
        <f t="shared" si="180"/>
        <v>2</v>
      </c>
      <c r="AM310" s="532"/>
      <c r="AN310" s="2348" t="str">
        <f t="shared" si="181"/>
        <v/>
      </c>
      <c r="AO310" s="532"/>
      <c r="AP310" s="2348" t="str">
        <f t="shared" si="182"/>
        <v/>
      </c>
      <c r="AQ310" s="532"/>
      <c r="AR310" s="2348">
        <f t="shared" si="183"/>
        <v>3</v>
      </c>
      <c r="AS310" s="532"/>
      <c r="AT310" s="2348" t="str">
        <f t="shared" si="184"/>
        <v/>
      </c>
      <c r="AU310" s="532"/>
      <c r="AV310" s="2350">
        <f t="shared" si="185"/>
        <v>2</v>
      </c>
      <c r="AW310" s="69"/>
      <c r="AX310" s="2350" t="str">
        <f t="shared" si="186"/>
        <v/>
      </c>
      <c r="AY310" s="69"/>
      <c r="AZ310" s="2350" t="str">
        <f t="shared" si="187"/>
        <v/>
      </c>
      <c r="BA310" s="69"/>
      <c r="BB310" s="2164" t="str">
        <f t="shared" si="188"/>
        <v/>
      </c>
      <c r="BC310" s="69"/>
      <c r="BD310" s="2164" t="str">
        <f t="shared" si="189"/>
        <v/>
      </c>
      <c r="BE310" s="69"/>
      <c r="BF310" s="2164">
        <f t="shared" si="190"/>
        <v>2</v>
      </c>
      <c r="BG310" s="69"/>
      <c r="BH310" s="2164" t="str">
        <f t="shared" si="191"/>
        <v/>
      </c>
      <c r="BI310" s="69"/>
      <c r="BJ310" s="2164">
        <f t="shared" si="192"/>
        <v>2</v>
      </c>
      <c r="BK310" s="69"/>
      <c r="BL310" s="2352" t="str">
        <f t="shared" si="193"/>
        <v/>
      </c>
      <c r="BM310" s="532"/>
      <c r="BN310" s="2354">
        <f t="shared" si="194"/>
        <v>28</v>
      </c>
      <c r="BO310" s="532"/>
      <c r="BR310" s="541"/>
      <c r="BS310" s="541"/>
      <c r="BT310" s="541"/>
    </row>
    <row r="311" ht="21.0" customHeight="1">
      <c r="A311" s="1718"/>
      <c r="B311" s="2068"/>
      <c r="C311" s="1734"/>
      <c r="D311" s="1701"/>
      <c r="E311" s="1702" t="str">
        <f t="shared" si="163"/>
        <v/>
      </c>
      <c r="F311" s="2352">
        <f t="shared" si="164"/>
        <v>6</v>
      </c>
      <c r="G311" s="532"/>
      <c r="H311" s="2352" t="str">
        <f t="shared" si="165"/>
        <v/>
      </c>
      <c r="I311" s="532"/>
      <c r="J311" s="2352" t="str">
        <f t="shared" si="166"/>
        <v/>
      </c>
      <c r="K311" s="532"/>
      <c r="L311" s="2352">
        <f t="shared" si="167"/>
        <v>2</v>
      </c>
      <c r="M311" s="532"/>
      <c r="N311" s="2352">
        <f t="shared" si="168"/>
        <v>2</v>
      </c>
      <c r="O311" s="532"/>
      <c r="P311" s="2352">
        <f t="shared" si="169"/>
        <v>2</v>
      </c>
      <c r="Q311" s="532"/>
      <c r="R311" s="2352" t="str">
        <f t="shared" si="170"/>
        <v/>
      </c>
      <c r="S311" s="532"/>
      <c r="T311" s="2352">
        <f t="shared" si="171"/>
        <v>1</v>
      </c>
      <c r="U311" s="532"/>
      <c r="V311" s="2352">
        <f t="shared" si="172"/>
        <v>2</v>
      </c>
      <c r="W311" s="532"/>
      <c r="X311" s="2352">
        <f t="shared" si="173"/>
        <v>2</v>
      </c>
      <c r="Y311" s="532"/>
      <c r="Z311" s="2352" t="str">
        <f t="shared" si="174"/>
        <v/>
      </c>
      <c r="AA311" s="532"/>
      <c r="AB311" s="2352" t="str">
        <f t="shared" si="175"/>
        <v/>
      </c>
      <c r="AC311" s="532"/>
      <c r="AD311" s="2352" t="str">
        <f t="shared" si="176"/>
        <v/>
      </c>
      <c r="AE311" s="532"/>
      <c r="AF311" s="2352">
        <f t="shared" si="177"/>
        <v>2</v>
      </c>
      <c r="AG311" s="532"/>
      <c r="AH311" s="2352" t="str">
        <f t="shared" si="178"/>
        <v/>
      </c>
      <c r="AI311" s="532"/>
      <c r="AJ311" s="2352" t="str">
        <f t="shared" si="179"/>
        <v/>
      </c>
      <c r="AK311" s="532"/>
      <c r="AL311" s="2352">
        <f t="shared" si="180"/>
        <v>2</v>
      </c>
      <c r="AM311" s="532"/>
      <c r="AN311" s="2352" t="str">
        <f t="shared" si="181"/>
        <v/>
      </c>
      <c r="AO311" s="532"/>
      <c r="AP311" s="2352" t="str">
        <f t="shared" si="182"/>
        <v/>
      </c>
      <c r="AQ311" s="532"/>
      <c r="AR311" s="2352">
        <f t="shared" si="183"/>
        <v>3</v>
      </c>
      <c r="AS311" s="532"/>
      <c r="AT311" s="2352" t="str">
        <f t="shared" si="184"/>
        <v/>
      </c>
      <c r="AU311" s="532"/>
      <c r="AV311" s="2352">
        <f t="shared" si="185"/>
        <v>2</v>
      </c>
      <c r="AW311" s="532"/>
      <c r="AX311" s="2352">
        <f t="shared" si="186"/>
        <v>2</v>
      </c>
      <c r="AY311" s="532"/>
      <c r="AZ311" s="2352" t="str">
        <f t="shared" si="187"/>
        <v/>
      </c>
      <c r="BA311" s="532"/>
      <c r="BB311" s="2164" t="str">
        <f t="shared" si="188"/>
        <v/>
      </c>
      <c r="BC311" s="69"/>
      <c r="BD311" s="2164" t="str">
        <f t="shared" si="189"/>
        <v/>
      </c>
      <c r="BE311" s="69"/>
      <c r="BF311" s="2164" t="str">
        <f t="shared" si="190"/>
        <v/>
      </c>
      <c r="BG311" s="69"/>
      <c r="BH311" s="2164" t="str">
        <f t="shared" si="191"/>
        <v/>
      </c>
      <c r="BI311" s="69"/>
      <c r="BJ311" s="2164" t="str">
        <f t="shared" si="192"/>
        <v/>
      </c>
      <c r="BK311" s="69"/>
      <c r="BL311" s="2352" t="str">
        <f t="shared" si="193"/>
        <v/>
      </c>
      <c r="BM311" s="532"/>
      <c r="BN311" s="2354">
        <f t="shared" si="194"/>
        <v>28</v>
      </c>
      <c r="BO311" s="532"/>
      <c r="BR311" s="541"/>
      <c r="BS311" s="541"/>
      <c r="BT311" s="541"/>
    </row>
    <row r="312" ht="21.0" customHeight="1">
      <c r="A312" s="1718" t="str">
        <f>A280</f>
        <v/>
      </c>
      <c r="B312" s="2068"/>
      <c r="C312" s="1734"/>
      <c r="D312" s="1701"/>
      <c r="E312" s="1702" t="str">
        <f t="shared" si="163"/>
        <v/>
      </c>
      <c r="F312" s="2352" t="str">
        <f t="shared" si="164"/>
        <v/>
      </c>
      <c r="G312" s="532"/>
      <c r="H312" s="2352" t="str">
        <f t="shared" si="165"/>
        <v/>
      </c>
      <c r="I312" s="532"/>
      <c r="J312" s="2352" t="str">
        <f t="shared" si="166"/>
        <v/>
      </c>
      <c r="K312" s="532"/>
      <c r="L312" s="2352" t="str">
        <f t="shared" si="167"/>
        <v/>
      </c>
      <c r="M312" s="532"/>
      <c r="N312" s="2352" t="str">
        <f t="shared" si="168"/>
        <v/>
      </c>
      <c r="O312" s="532"/>
      <c r="P312" s="2352" t="str">
        <f t="shared" si="169"/>
        <v/>
      </c>
      <c r="Q312" s="532"/>
      <c r="R312" s="2352" t="str">
        <f t="shared" si="170"/>
        <v/>
      </c>
      <c r="S312" s="532"/>
      <c r="T312" s="2352" t="str">
        <f t="shared" si="171"/>
        <v/>
      </c>
      <c r="U312" s="532"/>
      <c r="V312" s="2352" t="str">
        <f t="shared" si="172"/>
        <v/>
      </c>
      <c r="W312" s="532"/>
      <c r="X312" s="2352" t="str">
        <f t="shared" si="173"/>
        <v/>
      </c>
      <c r="Y312" s="532"/>
      <c r="Z312" s="2352" t="str">
        <f t="shared" si="174"/>
        <v/>
      </c>
      <c r="AA312" s="532"/>
      <c r="AB312" s="2352" t="str">
        <f t="shared" si="175"/>
        <v/>
      </c>
      <c r="AC312" s="532"/>
      <c r="AD312" s="2352" t="str">
        <f t="shared" si="176"/>
        <v/>
      </c>
      <c r="AE312" s="532"/>
      <c r="AF312" s="2352" t="str">
        <f t="shared" si="177"/>
        <v/>
      </c>
      <c r="AG312" s="532"/>
      <c r="AH312" s="2352" t="str">
        <f t="shared" si="178"/>
        <v/>
      </c>
      <c r="AI312" s="532"/>
      <c r="AJ312" s="2352" t="str">
        <f t="shared" si="179"/>
        <v/>
      </c>
      <c r="AK312" s="532"/>
      <c r="AL312" s="2352" t="str">
        <f t="shared" si="180"/>
        <v/>
      </c>
      <c r="AM312" s="532"/>
      <c r="AN312" s="2352" t="str">
        <f t="shared" si="181"/>
        <v/>
      </c>
      <c r="AO312" s="532"/>
      <c r="AP312" s="2352" t="str">
        <f t="shared" si="182"/>
        <v/>
      </c>
      <c r="AQ312" s="532"/>
      <c r="AR312" s="2352" t="str">
        <f t="shared" si="183"/>
        <v/>
      </c>
      <c r="AS312" s="532"/>
      <c r="AT312" s="2352" t="str">
        <f t="shared" si="184"/>
        <v/>
      </c>
      <c r="AU312" s="532"/>
      <c r="AV312" s="2352" t="str">
        <f t="shared" si="185"/>
        <v/>
      </c>
      <c r="AW312" s="532"/>
      <c r="AX312" s="2352" t="str">
        <f t="shared" si="186"/>
        <v/>
      </c>
      <c r="AY312" s="532"/>
      <c r="AZ312" s="2352" t="str">
        <f t="shared" si="187"/>
        <v/>
      </c>
      <c r="BA312" s="532"/>
      <c r="BB312" s="2164" t="str">
        <f t="shared" si="188"/>
        <v/>
      </c>
      <c r="BC312" s="69"/>
      <c r="BD312" s="2164" t="str">
        <f t="shared" si="189"/>
        <v/>
      </c>
      <c r="BE312" s="69"/>
      <c r="BF312" s="2164" t="str">
        <f t="shared" si="190"/>
        <v/>
      </c>
      <c r="BG312" s="69"/>
      <c r="BH312" s="2164" t="str">
        <f t="shared" si="191"/>
        <v/>
      </c>
      <c r="BI312" s="69"/>
      <c r="BJ312" s="2164" t="str">
        <f t="shared" si="192"/>
        <v/>
      </c>
      <c r="BK312" s="69"/>
      <c r="BL312" s="2352" t="str">
        <f t="shared" si="193"/>
        <v/>
      </c>
      <c r="BM312" s="532"/>
      <c r="BN312" s="2354">
        <f t="shared" si="194"/>
        <v>0</v>
      </c>
      <c r="BO312" s="532"/>
      <c r="BR312" s="541"/>
      <c r="BS312" s="541"/>
      <c r="BT312" s="541"/>
    </row>
    <row r="313" ht="21.0" customHeight="1">
      <c r="A313" s="1739"/>
      <c r="B313" s="1740"/>
      <c r="C313" s="1739"/>
      <c r="D313" s="2274"/>
      <c r="E313" s="1702" t="str">
        <f t="shared" si="163"/>
        <v/>
      </c>
      <c r="F313" s="2352"/>
      <c r="G313" s="532"/>
      <c r="H313" s="2352"/>
      <c r="I313" s="532"/>
      <c r="J313" s="2352"/>
      <c r="K313" s="532"/>
      <c r="L313" s="2352"/>
      <c r="M313" s="532"/>
      <c r="N313" s="2352"/>
      <c r="O313" s="532"/>
      <c r="P313" s="2352"/>
      <c r="Q313" s="532"/>
      <c r="R313" s="2352"/>
      <c r="S313" s="532"/>
      <c r="T313" s="2352"/>
      <c r="U313" s="532"/>
      <c r="V313" s="2352"/>
      <c r="W313" s="532"/>
      <c r="X313" s="2352"/>
      <c r="Y313" s="532"/>
      <c r="Z313" s="2352"/>
      <c r="AA313" s="532"/>
      <c r="AB313" s="2352"/>
      <c r="AC313" s="532"/>
      <c r="AD313" s="2352"/>
      <c r="AE313" s="532"/>
      <c r="AF313" s="2352"/>
      <c r="AG313" s="532"/>
      <c r="AH313" s="2352"/>
      <c r="AI313" s="532"/>
      <c r="AJ313" s="2352"/>
      <c r="AK313" s="532"/>
      <c r="AL313" s="2352"/>
      <c r="AM313" s="532"/>
      <c r="AN313" s="2352"/>
      <c r="AO313" s="532"/>
      <c r="AP313" s="2352"/>
      <c r="AQ313" s="532"/>
      <c r="AR313" s="2352"/>
      <c r="AS313" s="532"/>
      <c r="AT313" s="2352"/>
      <c r="AU313" s="532"/>
      <c r="AV313" s="2352"/>
      <c r="AW313" s="532"/>
      <c r="AX313" s="2352"/>
      <c r="AY313" s="532"/>
      <c r="AZ313" s="2352"/>
      <c r="BA313" s="532"/>
      <c r="BB313" s="2352"/>
      <c r="BC313" s="532"/>
      <c r="BD313" s="2352"/>
      <c r="BE313" s="532"/>
      <c r="BF313" s="2352"/>
      <c r="BG313" s="532"/>
      <c r="BH313" s="2352"/>
      <c r="BI313" s="532"/>
      <c r="BJ313" s="2352"/>
      <c r="BK313" s="532"/>
      <c r="BL313" s="2352"/>
      <c r="BM313" s="532"/>
      <c r="BN313" s="2354"/>
      <c r="BO313" s="532"/>
      <c r="BR313" s="541"/>
      <c r="BS313" s="541"/>
      <c r="BT313" s="541"/>
    </row>
    <row r="314" ht="15.75" customHeight="1">
      <c r="A314" s="1591"/>
      <c r="B314" s="1541"/>
      <c r="C314" s="1591"/>
      <c r="D314" s="1543"/>
      <c r="E314" s="906"/>
      <c r="F314" s="2359"/>
      <c r="G314" s="2360"/>
      <c r="H314" s="2359"/>
      <c r="I314" s="2360"/>
      <c r="J314" s="2359"/>
      <c r="K314" s="2360"/>
      <c r="L314" s="2359"/>
      <c r="M314" s="2360"/>
      <c r="N314" s="2359"/>
      <c r="O314" s="2360"/>
      <c r="P314" s="2359"/>
      <c r="Q314" s="2360"/>
      <c r="R314" s="2359"/>
      <c r="S314" s="2360"/>
      <c r="T314" s="2359"/>
      <c r="U314" s="2360"/>
      <c r="V314" s="2359"/>
      <c r="W314" s="2360"/>
      <c r="X314" s="2359"/>
      <c r="Y314" s="2359"/>
      <c r="Z314" s="2359"/>
      <c r="AA314" s="2360"/>
      <c r="AB314" s="2359"/>
      <c r="AC314" s="2360"/>
      <c r="AD314" s="2360"/>
      <c r="AE314" s="2360"/>
      <c r="AF314" s="2360"/>
      <c r="AH314" s="2360"/>
      <c r="AI314" s="2360"/>
      <c r="AJ314" s="2360"/>
      <c r="AK314" s="2360"/>
      <c r="AL314" s="2360"/>
      <c r="AM314" s="2360"/>
      <c r="AN314" s="2359"/>
      <c r="AO314" s="2359"/>
      <c r="AP314" s="2359"/>
      <c r="AQ314" s="2359"/>
      <c r="AR314" s="2359"/>
      <c r="AS314" s="2360"/>
      <c r="AT314" s="2360"/>
      <c r="AU314" s="2360"/>
      <c r="AV314" s="2360"/>
      <c r="AW314" s="2360"/>
      <c r="AX314" s="2360"/>
      <c r="AY314" s="2360"/>
      <c r="AZ314" s="2360"/>
      <c r="BA314" s="2360"/>
      <c r="BB314" s="2361"/>
      <c r="BD314" s="2361"/>
      <c r="BE314" s="2360"/>
      <c r="BF314" s="2361"/>
      <c r="BG314" s="2360"/>
      <c r="BH314" s="2362"/>
      <c r="BI314" s="2360"/>
      <c r="BJ314" s="2362"/>
      <c r="BK314" s="2360"/>
      <c r="BL314" s="2360"/>
      <c r="BM314" s="2360"/>
      <c r="BN314" s="2351">
        <f>SUM(BN287:BO312)</f>
        <v>2013</v>
      </c>
      <c r="BO314" s="532"/>
      <c r="BR314" s="541"/>
      <c r="BS314" s="541"/>
      <c r="BT314" s="541"/>
    </row>
    <row r="315" ht="15.75" customHeight="1">
      <c r="A315" s="1591"/>
      <c r="B315" s="1541"/>
      <c r="C315" s="2217"/>
      <c r="D315" s="1543"/>
      <c r="E315" s="906"/>
      <c r="F315" s="1545"/>
      <c r="G315" s="684"/>
      <c r="H315" s="1545"/>
      <c r="I315" s="684"/>
      <c r="J315" s="1545"/>
      <c r="K315" s="684"/>
      <c r="L315" s="1545"/>
      <c r="M315" s="684"/>
      <c r="N315" s="1545"/>
      <c r="O315" s="684"/>
      <c r="P315" s="1545"/>
      <c r="Q315" s="684"/>
      <c r="R315" s="1545"/>
      <c r="S315" s="684"/>
      <c r="T315" s="1545"/>
      <c r="U315" s="684"/>
      <c r="V315" s="1545"/>
      <c r="W315" s="684"/>
      <c r="X315" s="1545"/>
      <c r="Y315" s="1545"/>
      <c r="Z315" s="1545"/>
      <c r="AA315" s="684"/>
      <c r="AB315" s="1545"/>
      <c r="AC315" s="684"/>
      <c r="AD315" s="684"/>
      <c r="AE315" s="684"/>
      <c r="AF315" s="684"/>
      <c r="AH315" s="684"/>
      <c r="AI315" s="684"/>
      <c r="AJ315" s="684"/>
      <c r="AK315" s="684"/>
      <c r="AL315" s="684"/>
      <c r="AM315" s="684"/>
      <c r="AN315" s="1545"/>
      <c r="AO315" s="1545"/>
      <c r="AP315" s="1545"/>
      <c r="AQ315" s="1545"/>
      <c r="AR315" s="1545"/>
      <c r="AS315" s="684"/>
      <c r="AT315" s="684"/>
      <c r="AU315" s="684"/>
      <c r="AV315" s="684"/>
      <c r="AW315" s="684"/>
      <c r="AX315" s="684"/>
      <c r="AY315" s="684"/>
      <c r="AZ315" s="684"/>
      <c r="BA315" s="684"/>
      <c r="BB315" s="677"/>
      <c r="BD315" s="677"/>
      <c r="BE315" s="684"/>
      <c r="BF315" s="677"/>
      <c r="BG315" s="684"/>
      <c r="BH315" s="13"/>
      <c r="BI315" s="684"/>
      <c r="BJ315" s="13"/>
      <c r="BK315" s="684"/>
      <c r="BL315" s="684"/>
      <c r="BM315" s="684"/>
      <c r="BN315" s="677"/>
      <c r="BO315" s="684"/>
      <c r="BP315" s="541"/>
      <c r="BQ315" s="633"/>
      <c r="BR315" s="541"/>
      <c r="BS315" s="541"/>
      <c r="BT315" s="541"/>
    </row>
    <row r="316" ht="15.75" customHeight="1">
      <c r="A316" s="1591"/>
      <c r="B316" s="1541"/>
      <c r="C316" s="2217"/>
      <c r="D316" s="1543"/>
      <c r="E316" s="906"/>
      <c r="F316" s="1545"/>
      <c r="G316" s="684"/>
      <c r="H316" s="1545"/>
      <c r="I316" s="684"/>
      <c r="J316" s="1545"/>
      <c r="K316" s="684"/>
      <c r="L316" s="1545"/>
      <c r="M316" s="684"/>
      <c r="N316" s="1545"/>
      <c r="O316" s="684"/>
      <c r="P316" s="1545"/>
      <c r="Q316" s="684"/>
      <c r="R316" s="1545"/>
      <c r="S316" s="684"/>
      <c r="T316" s="1545"/>
      <c r="U316" s="684"/>
      <c r="V316" s="1545"/>
      <c r="W316" s="684"/>
      <c r="X316" s="1545"/>
      <c r="Y316" s="1545"/>
      <c r="Z316" s="1545"/>
      <c r="AA316" s="684"/>
      <c r="AB316" s="1545"/>
      <c r="AC316" s="684"/>
      <c r="AD316" s="684"/>
      <c r="AE316" s="684"/>
      <c r="AF316" s="684"/>
      <c r="AH316" s="684"/>
      <c r="AI316" s="684"/>
      <c r="AJ316" s="684"/>
      <c r="AK316" s="684"/>
      <c r="AL316" s="684"/>
      <c r="AM316" s="684"/>
      <c r="AN316" s="1545"/>
      <c r="AO316" s="1545"/>
      <c r="AP316" s="1545"/>
      <c r="AQ316" s="1545"/>
      <c r="AR316" s="1545"/>
      <c r="AS316" s="684"/>
      <c r="AT316" s="684"/>
      <c r="AU316" s="684"/>
      <c r="AV316" s="684"/>
      <c r="AW316" s="684"/>
      <c r="AX316" s="684"/>
      <c r="AY316" s="684"/>
      <c r="AZ316" s="684"/>
      <c r="BA316" s="684"/>
      <c r="BB316" s="677"/>
      <c r="BD316" s="677"/>
      <c r="BE316" s="684"/>
      <c r="BF316" s="677"/>
      <c r="BG316" s="684"/>
      <c r="BH316" s="13"/>
      <c r="BI316" s="684"/>
      <c r="BJ316" s="13"/>
      <c r="BK316" s="684"/>
      <c r="BL316" s="684"/>
      <c r="BM316" s="684"/>
      <c r="BN316" s="677"/>
      <c r="BO316" s="684"/>
      <c r="BP316" s="541"/>
      <c r="BQ316" s="633"/>
      <c r="BR316" s="541"/>
      <c r="BS316" s="541"/>
      <c r="BT316" s="541"/>
    </row>
    <row r="317" ht="15.75" customHeight="1">
      <c r="A317" s="1591"/>
      <c r="B317" s="1541"/>
      <c r="C317" s="2217"/>
      <c r="D317" s="1543"/>
      <c r="E317" s="906"/>
      <c r="F317" s="1544"/>
      <c r="G317" s="684"/>
      <c r="H317" s="1545"/>
      <c r="I317" s="684"/>
      <c r="J317" s="1545"/>
      <c r="K317" s="684"/>
      <c r="L317" s="1545"/>
      <c r="M317" s="684"/>
      <c r="N317" s="1545"/>
      <c r="O317" s="684"/>
      <c r="P317" s="1545"/>
      <c r="Q317" s="684"/>
      <c r="R317" s="1545"/>
      <c r="S317" s="684"/>
      <c r="T317" s="1545"/>
      <c r="U317" s="684"/>
      <c r="V317" s="1545"/>
      <c r="W317" s="684"/>
      <c r="X317" s="1545"/>
      <c r="Y317" s="1545"/>
      <c r="Z317" s="1545"/>
      <c r="AA317" s="684"/>
      <c r="AB317" s="1545"/>
      <c r="AC317" s="684"/>
      <c r="AD317" s="684"/>
      <c r="AE317" s="684"/>
      <c r="AF317" s="684"/>
      <c r="AH317" s="684"/>
      <c r="AI317" s="684"/>
      <c r="AJ317" s="684"/>
      <c r="AK317" s="684"/>
      <c r="AL317" s="684"/>
      <c r="AM317" s="684"/>
      <c r="AN317" s="1545"/>
      <c r="AO317" s="1545"/>
      <c r="AP317" s="1545"/>
      <c r="AQ317" s="1545"/>
      <c r="AR317" s="1545"/>
      <c r="AS317" s="684"/>
      <c r="AT317" s="684"/>
      <c r="AU317" s="684"/>
      <c r="AV317" s="684"/>
      <c r="AW317" s="684"/>
      <c r="AX317" s="684"/>
      <c r="AY317" s="684"/>
      <c r="AZ317" s="684"/>
      <c r="BA317" s="684"/>
      <c r="BB317" s="677"/>
      <c r="BD317" s="677"/>
      <c r="BE317" s="684"/>
      <c r="BF317" s="677"/>
      <c r="BG317" s="684"/>
      <c r="BH317" s="13"/>
      <c r="BI317" s="684"/>
      <c r="BJ317" s="13"/>
      <c r="BK317" s="684"/>
      <c r="BL317" s="684"/>
      <c r="BM317" s="684"/>
      <c r="BN317" s="677"/>
      <c r="BO317" s="684"/>
      <c r="BP317" s="541"/>
      <c r="BQ317" s="633"/>
      <c r="BR317" s="541"/>
      <c r="BS317" s="541"/>
      <c r="BT317" s="541"/>
    </row>
    <row r="318" ht="15.75" customHeight="1">
      <c r="A318" s="1591"/>
      <c r="B318" s="1541"/>
      <c r="C318" s="2217"/>
      <c r="D318" s="1543"/>
      <c r="E318" s="906"/>
      <c r="F318" s="1545"/>
      <c r="G318" s="684"/>
      <c r="H318" s="1545"/>
      <c r="I318" s="684"/>
      <c r="J318" s="1545"/>
      <c r="K318" s="684"/>
      <c r="L318" s="1545"/>
      <c r="M318" s="784"/>
      <c r="N318" s="1545"/>
      <c r="O318" s="684"/>
      <c r="P318" s="1545"/>
      <c r="Q318" s="684"/>
      <c r="R318" s="1545"/>
      <c r="S318" s="684"/>
      <c r="T318" s="1545"/>
      <c r="U318" s="684"/>
      <c r="V318" s="1545"/>
      <c r="W318" s="684"/>
      <c r="X318" s="1545"/>
      <c r="Y318" s="1545"/>
      <c r="Z318" s="1545"/>
      <c r="AA318" s="684"/>
      <c r="AB318" s="1545"/>
      <c r="AC318" s="684"/>
      <c r="AD318" s="684"/>
      <c r="AE318" s="684"/>
      <c r="AF318" s="684"/>
      <c r="AH318" s="684"/>
      <c r="AI318" s="684"/>
      <c r="AJ318" s="684"/>
      <c r="AK318" s="684"/>
      <c r="AL318" s="684"/>
      <c r="AM318" s="684"/>
      <c r="AN318" s="1545"/>
      <c r="AO318" s="1545"/>
      <c r="AP318" s="1545"/>
      <c r="AQ318" s="1545"/>
      <c r="AR318" s="1545"/>
      <c r="AS318" s="684"/>
      <c r="AT318" s="684"/>
      <c r="AU318" s="684"/>
      <c r="AV318" s="684"/>
      <c r="AW318" s="684"/>
      <c r="AX318" s="684"/>
      <c r="AY318" s="684"/>
      <c r="AZ318" s="684"/>
      <c r="BA318" s="684"/>
      <c r="BB318" s="677"/>
      <c r="BD318" s="677"/>
      <c r="BE318" s="684"/>
      <c r="BF318" s="677"/>
      <c r="BG318" s="684"/>
      <c r="BH318" s="13"/>
      <c r="BI318" s="684"/>
      <c r="BJ318" s="13"/>
      <c r="BK318" s="684"/>
      <c r="BL318" s="684"/>
      <c r="BM318" s="684"/>
      <c r="BN318" s="677"/>
      <c r="BO318" s="684"/>
      <c r="BP318" s="541"/>
      <c r="BQ318" s="633"/>
      <c r="BR318" s="541"/>
      <c r="BS318" s="541"/>
      <c r="BT318" s="541"/>
    </row>
    <row r="319" ht="15.75" customHeight="1">
      <c r="A319" s="1591"/>
      <c r="B319" s="1541"/>
      <c r="C319" s="2217"/>
      <c r="D319" s="1543"/>
      <c r="E319" s="906"/>
      <c r="F319" s="1545"/>
      <c r="G319" s="684"/>
      <c r="H319" s="1545"/>
      <c r="I319" s="684"/>
      <c r="J319" s="1545"/>
      <c r="K319" s="684"/>
      <c r="L319" s="1545"/>
      <c r="M319" s="684"/>
      <c r="N319" s="1545"/>
      <c r="O319" s="684"/>
      <c r="P319" s="1545"/>
      <c r="Q319" s="684"/>
      <c r="R319" s="1545"/>
      <c r="S319" s="684"/>
      <c r="T319" s="1545"/>
      <c r="U319" s="684"/>
      <c r="V319" s="1545"/>
      <c r="W319" s="684"/>
      <c r="X319" s="1545"/>
      <c r="Y319" s="1545"/>
      <c r="Z319" s="1545"/>
      <c r="AA319" s="684"/>
      <c r="AB319" s="1545"/>
      <c r="AC319" s="684"/>
      <c r="AD319" s="684"/>
      <c r="AE319" s="684"/>
      <c r="AF319" s="684"/>
      <c r="AH319" s="684"/>
      <c r="AI319" s="684"/>
      <c r="AJ319" s="684"/>
      <c r="AK319" s="684"/>
      <c r="AL319" s="684"/>
      <c r="AM319" s="684"/>
      <c r="AN319" s="1545"/>
      <c r="AO319" s="1545"/>
      <c r="AP319" s="1545"/>
      <c r="AQ319" s="1545"/>
      <c r="AR319" s="1545"/>
      <c r="AS319" s="684"/>
      <c r="AT319" s="684"/>
      <c r="AU319" s="684"/>
      <c r="AV319" s="684"/>
      <c r="AW319" s="684"/>
      <c r="AX319" s="684"/>
      <c r="AY319" s="684"/>
      <c r="AZ319" s="684"/>
      <c r="BA319" s="684"/>
      <c r="BB319" s="677"/>
      <c r="BD319" s="677"/>
      <c r="BE319" s="684"/>
      <c r="BF319" s="677"/>
      <c r="BG319" s="684"/>
      <c r="BH319" s="13"/>
      <c r="BI319" s="684"/>
      <c r="BJ319" s="13"/>
      <c r="BK319" s="684"/>
      <c r="BL319" s="684"/>
      <c r="BM319" s="684"/>
      <c r="BN319" s="677"/>
      <c r="BO319" s="684"/>
      <c r="BP319" s="541"/>
      <c r="BQ319" s="633"/>
      <c r="BR319" s="541"/>
      <c r="BS319" s="541"/>
      <c r="BT319" s="541"/>
    </row>
    <row r="320" ht="15.75" customHeight="1">
      <c r="A320" s="1591"/>
      <c r="B320" s="1541"/>
      <c r="C320" s="2217"/>
      <c r="D320" s="1543"/>
      <c r="E320" s="906"/>
      <c r="F320" s="1545"/>
      <c r="G320" s="684"/>
      <c r="H320" s="1545"/>
      <c r="I320" s="684"/>
      <c r="J320" s="1545"/>
      <c r="K320" s="684"/>
      <c r="L320" s="1545"/>
      <c r="M320" s="684"/>
      <c r="N320" s="1545"/>
      <c r="O320" s="684"/>
      <c r="P320" s="1545"/>
      <c r="Q320" s="684"/>
      <c r="R320" s="1545"/>
      <c r="S320" s="684"/>
      <c r="T320" s="1545"/>
      <c r="U320" s="684"/>
      <c r="V320" s="1545"/>
      <c r="W320" s="684"/>
      <c r="X320" s="1545"/>
      <c r="Y320" s="1545"/>
      <c r="Z320" s="1545"/>
      <c r="AA320" s="684"/>
      <c r="AB320" s="1545"/>
      <c r="AC320" s="684"/>
      <c r="AD320" s="684"/>
      <c r="AE320" s="684"/>
      <c r="AF320" s="684"/>
      <c r="AH320" s="684"/>
      <c r="AI320" s="684"/>
      <c r="AJ320" s="684"/>
      <c r="AK320" s="684"/>
      <c r="AL320" s="684"/>
      <c r="AM320" s="684"/>
      <c r="AN320" s="1545"/>
      <c r="AO320" s="1545"/>
      <c r="AP320" s="1545"/>
      <c r="AQ320" s="1545"/>
      <c r="AR320" s="1545"/>
      <c r="AS320" s="684"/>
      <c r="AT320" s="684"/>
      <c r="AU320" s="684"/>
      <c r="AV320" s="684"/>
      <c r="AW320" s="684"/>
      <c r="AX320" s="684"/>
      <c r="AY320" s="684"/>
      <c r="AZ320" s="684"/>
      <c r="BA320" s="684"/>
      <c r="BB320" s="677"/>
      <c r="BD320" s="677"/>
      <c r="BE320" s="684"/>
      <c r="BF320" s="677"/>
      <c r="BG320" s="684"/>
      <c r="BH320" s="13"/>
      <c r="BI320" s="684"/>
      <c r="BJ320" s="13"/>
      <c r="BK320" s="684"/>
      <c r="BL320" s="684"/>
      <c r="BM320" s="684"/>
      <c r="BN320" s="677"/>
      <c r="BO320" s="684"/>
      <c r="BP320" s="541"/>
      <c r="BQ320" s="633"/>
      <c r="BR320" s="541"/>
      <c r="BS320" s="541"/>
      <c r="BT320" s="541"/>
    </row>
    <row r="321" ht="15.75" customHeight="1">
      <c r="A321" s="1591"/>
      <c r="B321" s="1541"/>
      <c r="C321" s="2217"/>
      <c r="D321" s="1543"/>
      <c r="E321" s="906"/>
      <c r="F321" s="1545"/>
      <c r="G321" s="684"/>
      <c r="H321" s="1545"/>
      <c r="I321" s="684"/>
      <c r="J321" s="1545"/>
      <c r="K321" s="684"/>
      <c r="L321" s="1545"/>
      <c r="M321" s="684"/>
      <c r="N321" s="1545"/>
      <c r="O321" s="684"/>
      <c r="P321" s="1545"/>
      <c r="Q321" s="684"/>
      <c r="R321" s="1545"/>
      <c r="S321" s="684"/>
      <c r="T321" s="1545"/>
      <c r="U321" s="684"/>
      <c r="V321" s="1545"/>
      <c r="W321" s="684"/>
      <c r="X321" s="1545"/>
      <c r="Y321" s="1545"/>
      <c r="Z321" s="1545"/>
      <c r="AA321" s="684"/>
      <c r="AB321" s="1545"/>
      <c r="AC321" s="684"/>
      <c r="AD321" s="684"/>
      <c r="AE321" s="684"/>
      <c r="AF321" s="684"/>
      <c r="AH321" s="684"/>
      <c r="AI321" s="684"/>
      <c r="AJ321" s="684"/>
      <c r="AK321" s="684"/>
      <c r="AL321" s="684"/>
      <c r="AM321" s="684"/>
      <c r="AN321" s="1545"/>
      <c r="AO321" s="1545"/>
      <c r="AP321" s="1545"/>
      <c r="AQ321" s="1545"/>
      <c r="AR321" s="1545"/>
      <c r="AS321" s="684"/>
      <c r="AT321" s="684"/>
      <c r="AU321" s="684"/>
      <c r="AV321" s="684"/>
      <c r="AW321" s="684"/>
      <c r="AX321" s="684"/>
      <c r="AY321" s="684"/>
      <c r="AZ321" s="684"/>
      <c r="BA321" s="684"/>
      <c r="BB321" s="677"/>
      <c r="BD321" s="677"/>
      <c r="BE321" s="684"/>
      <c r="BF321" s="677"/>
      <c r="BG321" s="684"/>
      <c r="BH321" s="13"/>
      <c r="BI321" s="684"/>
      <c r="BJ321" s="13"/>
      <c r="BK321" s="684"/>
      <c r="BL321" s="684"/>
      <c r="BM321" s="684"/>
      <c r="BN321" s="677"/>
      <c r="BO321" s="684"/>
      <c r="BP321" s="541"/>
      <c r="BQ321" s="633"/>
      <c r="BR321" s="541"/>
      <c r="BS321" s="541"/>
      <c r="BT321" s="541"/>
    </row>
    <row r="322" ht="15.75" customHeight="1">
      <c r="A322" s="1591"/>
      <c r="B322" s="1541"/>
      <c r="C322" s="2217"/>
      <c r="D322" s="1543"/>
      <c r="E322" s="906"/>
      <c r="F322" s="1545"/>
      <c r="G322" s="684"/>
      <c r="H322" s="1545"/>
      <c r="I322" s="684"/>
      <c r="J322" s="1545"/>
      <c r="K322" s="684"/>
      <c r="L322" s="1545"/>
      <c r="M322" s="684"/>
      <c r="N322" s="1545"/>
      <c r="O322" s="684"/>
      <c r="P322" s="1545"/>
      <c r="Q322" s="684"/>
      <c r="R322" s="1545"/>
      <c r="S322" s="684"/>
      <c r="T322" s="1545"/>
      <c r="U322" s="684"/>
      <c r="V322" s="1545"/>
      <c r="W322" s="684"/>
      <c r="X322" s="1545"/>
      <c r="Y322" s="1545"/>
      <c r="Z322" s="1545"/>
      <c r="AA322" s="684"/>
      <c r="AB322" s="1545"/>
      <c r="AC322" s="684"/>
      <c r="AD322" s="684"/>
      <c r="AE322" s="684"/>
      <c r="AF322" s="684"/>
      <c r="AH322" s="684"/>
      <c r="AI322" s="684"/>
      <c r="AJ322" s="684"/>
      <c r="AK322" s="684"/>
      <c r="AL322" s="684"/>
      <c r="AM322" s="684"/>
      <c r="AN322" s="1545"/>
      <c r="AO322" s="1545"/>
      <c r="AP322" s="1545"/>
      <c r="AQ322" s="1545"/>
      <c r="AR322" s="1545"/>
      <c r="AS322" s="684"/>
      <c r="AT322" s="684"/>
      <c r="AU322" s="684"/>
      <c r="AV322" s="684"/>
      <c r="AW322" s="684"/>
      <c r="AX322" s="684"/>
      <c r="AY322" s="684"/>
      <c r="AZ322" s="684"/>
      <c r="BA322" s="684"/>
      <c r="BB322" s="677"/>
      <c r="BD322" s="677"/>
      <c r="BE322" s="684"/>
      <c r="BF322" s="677"/>
      <c r="BG322" s="684"/>
      <c r="BH322" s="13"/>
      <c r="BI322" s="684"/>
      <c r="BJ322" s="13"/>
      <c r="BK322" s="684"/>
      <c r="BL322" s="684"/>
      <c r="BM322" s="684"/>
      <c r="BN322" s="677"/>
      <c r="BO322" s="684"/>
      <c r="BP322" s="541"/>
      <c r="BQ322" s="633"/>
      <c r="BR322" s="541"/>
      <c r="BS322" s="541"/>
      <c r="BT322" s="541"/>
    </row>
    <row r="323" ht="15.75" customHeight="1">
      <c r="A323" s="1591"/>
      <c r="B323" s="1541"/>
      <c r="C323" s="2217"/>
      <c r="D323" s="1543"/>
      <c r="E323" s="906"/>
      <c r="F323" s="1545"/>
      <c r="G323" s="684"/>
      <c r="H323" s="1545"/>
      <c r="I323" s="684"/>
      <c r="J323" s="1545"/>
      <c r="K323" s="684"/>
      <c r="L323" s="1545"/>
      <c r="M323" s="684"/>
      <c r="N323" s="1545"/>
      <c r="O323" s="684"/>
      <c r="P323" s="1545"/>
      <c r="Q323" s="684"/>
      <c r="R323" s="1545"/>
      <c r="S323" s="684"/>
      <c r="T323" s="1545"/>
      <c r="U323" s="684"/>
      <c r="V323" s="1545"/>
      <c r="W323" s="684"/>
      <c r="X323" s="1545"/>
      <c r="Y323" s="1545"/>
      <c r="Z323" s="1545"/>
      <c r="AA323" s="684"/>
      <c r="AB323" s="1545"/>
      <c r="AC323" s="684"/>
      <c r="AD323" s="684"/>
      <c r="AE323" s="684"/>
      <c r="AF323" s="684"/>
      <c r="AH323" s="684"/>
      <c r="AI323" s="684"/>
      <c r="AJ323" s="684"/>
      <c r="AK323" s="684"/>
      <c r="AL323" s="684"/>
      <c r="AM323" s="684"/>
      <c r="AN323" s="1545"/>
      <c r="AO323" s="1545"/>
      <c r="AP323" s="1545"/>
      <c r="AQ323" s="1545"/>
      <c r="AR323" s="1545"/>
      <c r="AS323" s="684"/>
      <c r="AT323" s="684"/>
      <c r="AU323" s="684"/>
      <c r="AV323" s="684"/>
      <c r="AW323" s="684"/>
      <c r="AX323" s="684"/>
      <c r="AY323" s="684"/>
      <c r="AZ323" s="684"/>
      <c r="BA323" s="684"/>
      <c r="BB323" s="677"/>
      <c r="BD323" s="677"/>
      <c r="BE323" s="684"/>
      <c r="BF323" s="677"/>
      <c r="BG323" s="684"/>
      <c r="BH323" s="13"/>
      <c r="BI323" s="684"/>
      <c r="BJ323" s="13"/>
      <c r="BK323" s="684"/>
      <c r="BL323" s="684"/>
      <c r="BM323" s="684"/>
      <c r="BN323" s="677"/>
      <c r="BO323" s="684"/>
      <c r="BP323" s="541"/>
      <c r="BQ323" s="633"/>
      <c r="BR323" s="541"/>
      <c r="BS323" s="541"/>
      <c r="BT323" s="541"/>
    </row>
    <row r="324" ht="15.75" customHeight="1">
      <c r="A324" s="1591"/>
      <c r="B324" s="1541"/>
      <c r="C324" s="2217"/>
      <c r="D324" s="1543"/>
      <c r="E324" s="906"/>
      <c r="F324" s="1545"/>
      <c r="G324" s="684"/>
      <c r="H324" s="1545"/>
      <c r="I324" s="684"/>
      <c r="J324" s="1545"/>
      <c r="K324" s="684"/>
      <c r="L324" s="1545"/>
      <c r="M324" s="684"/>
      <c r="N324" s="1545"/>
      <c r="O324" s="684"/>
      <c r="P324" s="1545"/>
      <c r="Q324" s="684"/>
      <c r="R324" s="1545"/>
      <c r="S324" s="684"/>
      <c r="T324" s="1545"/>
      <c r="U324" s="684"/>
      <c r="V324" s="1545"/>
      <c r="W324" s="684"/>
      <c r="X324" s="1545"/>
      <c r="Y324" s="1545"/>
      <c r="Z324" s="1545"/>
      <c r="AA324" s="684"/>
      <c r="AB324" s="1545"/>
      <c r="AC324" s="684"/>
      <c r="AD324" s="684"/>
      <c r="AE324" s="684"/>
      <c r="AF324" s="684"/>
      <c r="AG324" s="684"/>
      <c r="AH324" s="684"/>
      <c r="AI324" s="684"/>
      <c r="AJ324" s="684"/>
      <c r="AK324" s="684"/>
      <c r="AL324" s="684"/>
      <c r="AM324" s="684"/>
      <c r="AN324" s="1545"/>
      <c r="AO324" s="1545"/>
      <c r="AP324" s="1545"/>
      <c r="AQ324" s="1545"/>
      <c r="AR324" s="1545"/>
      <c r="AS324" s="684"/>
      <c r="AT324" s="684"/>
      <c r="AU324" s="684"/>
      <c r="AV324" s="684"/>
      <c r="AW324" s="684"/>
      <c r="AX324" s="684"/>
      <c r="AY324" s="684"/>
      <c r="AZ324" s="684"/>
      <c r="BA324" s="684"/>
      <c r="BB324" s="677"/>
      <c r="BD324" s="677"/>
      <c r="BE324" s="684"/>
      <c r="BF324" s="677"/>
      <c r="BG324" s="684"/>
      <c r="BH324" s="13"/>
      <c r="BI324" s="684"/>
      <c r="BJ324" s="13"/>
      <c r="BK324" s="684"/>
      <c r="BL324" s="684"/>
      <c r="BM324" s="684"/>
      <c r="BN324" s="677"/>
      <c r="BO324" s="684"/>
      <c r="BP324" s="541"/>
      <c r="BQ324" s="633"/>
      <c r="BR324" s="541"/>
      <c r="BS324" s="541"/>
      <c r="BT324" s="541"/>
    </row>
    <row r="325" ht="15.75" customHeight="1">
      <c r="A325" s="1591"/>
      <c r="B325" s="1541"/>
      <c r="C325" s="2217"/>
      <c r="D325" s="1543"/>
      <c r="E325" s="906"/>
      <c r="F325" s="1545"/>
      <c r="G325" s="684"/>
      <c r="H325" s="1545"/>
      <c r="I325" s="684"/>
      <c r="J325" s="1545"/>
      <c r="K325" s="684"/>
      <c r="L325" s="1545"/>
      <c r="M325" s="684"/>
      <c r="N325" s="1545"/>
      <c r="O325" s="684"/>
      <c r="P325" s="1545"/>
      <c r="Q325" s="684"/>
      <c r="R325" s="1545"/>
      <c r="S325" s="684"/>
      <c r="T325" s="1545"/>
      <c r="U325" s="684"/>
      <c r="V325" s="1545"/>
      <c r="W325" s="684"/>
      <c r="X325" s="1545"/>
      <c r="Y325" s="1545"/>
      <c r="Z325" s="1545"/>
      <c r="AA325" s="684"/>
      <c r="AB325" s="1545"/>
      <c r="AC325" s="684"/>
      <c r="AD325" s="684"/>
      <c r="AE325" s="684"/>
      <c r="AF325" s="684"/>
      <c r="AG325" s="684"/>
      <c r="AH325" s="684"/>
      <c r="AI325" s="684"/>
      <c r="AJ325" s="684"/>
      <c r="AK325" s="684"/>
      <c r="AL325" s="684"/>
      <c r="AM325" s="684"/>
      <c r="AN325" s="1545"/>
      <c r="AO325" s="1545"/>
      <c r="AP325" s="1545"/>
      <c r="AQ325" s="1545"/>
      <c r="AR325" s="1545"/>
      <c r="AS325" s="684"/>
      <c r="AT325" s="684"/>
      <c r="AU325" s="684"/>
      <c r="AV325" s="684"/>
      <c r="AW325" s="684"/>
      <c r="AX325" s="684"/>
      <c r="AY325" s="684"/>
      <c r="AZ325" s="684"/>
      <c r="BA325" s="684"/>
      <c r="BB325" s="677"/>
      <c r="BD325" s="677"/>
      <c r="BE325" s="684"/>
      <c r="BF325" s="677"/>
      <c r="BG325" s="684"/>
      <c r="BH325" s="13"/>
      <c r="BI325" s="684"/>
      <c r="BJ325" s="13"/>
      <c r="BK325" s="684"/>
      <c r="BL325" s="684"/>
      <c r="BM325" s="684"/>
      <c r="BN325" s="677"/>
      <c r="BO325" s="684"/>
      <c r="BP325" s="541"/>
      <c r="BQ325" s="633"/>
      <c r="BR325" s="541"/>
      <c r="BS325" s="541"/>
      <c r="BT325" s="541"/>
    </row>
    <row r="326" ht="15.75" customHeight="1">
      <c r="A326" s="1591"/>
      <c r="B326" s="1541"/>
      <c r="C326" s="2217"/>
      <c r="D326" s="1543"/>
      <c r="E326" s="906"/>
      <c r="F326" s="1545"/>
      <c r="G326" s="684"/>
      <c r="H326" s="1545"/>
      <c r="I326" s="684"/>
      <c r="J326" s="1545"/>
      <c r="K326" s="684"/>
      <c r="L326" s="1545"/>
      <c r="M326" s="684"/>
      <c r="N326" s="1545"/>
      <c r="O326" s="684"/>
      <c r="P326" s="1545"/>
      <c r="Q326" s="684"/>
      <c r="R326" s="1545"/>
      <c r="S326" s="684"/>
      <c r="T326" s="1545"/>
      <c r="U326" s="684"/>
      <c r="V326" s="1545"/>
      <c r="W326" s="684"/>
      <c r="X326" s="1545"/>
      <c r="Y326" s="1545"/>
      <c r="Z326" s="1545"/>
      <c r="AA326" s="684"/>
      <c r="AB326" s="1545"/>
      <c r="AC326" s="684"/>
      <c r="AD326" s="684"/>
      <c r="AE326" s="684"/>
      <c r="AF326" s="684"/>
      <c r="AG326" s="684"/>
      <c r="AH326" s="684"/>
      <c r="AI326" s="684"/>
      <c r="AJ326" s="684"/>
      <c r="AK326" s="684"/>
      <c r="AL326" s="684"/>
      <c r="AM326" s="684"/>
      <c r="AN326" s="1545"/>
      <c r="AO326" s="1545"/>
      <c r="AP326" s="1545"/>
      <c r="AQ326" s="1545"/>
      <c r="AR326" s="1545"/>
      <c r="AS326" s="684"/>
      <c r="AT326" s="684"/>
      <c r="AU326" s="684"/>
      <c r="AV326" s="684"/>
      <c r="AW326" s="684"/>
      <c r="AX326" s="684"/>
      <c r="AY326" s="684"/>
      <c r="AZ326" s="684"/>
      <c r="BA326" s="684"/>
      <c r="BB326" s="677"/>
      <c r="BD326" s="677"/>
      <c r="BE326" s="684"/>
      <c r="BF326" s="677"/>
      <c r="BG326" s="684"/>
      <c r="BH326" s="13"/>
      <c r="BI326" s="684"/>
      <c r="BJ326" s="13"/>
      <c r="BK326" s="684"/>
      <c r="BL326" s="684"/>
      <c r="BM326" s="684"/>
      <c r="BN326" s="677"/>
      <c r="BO326" s="684"/>
      <c r="BP326" s="541"/>
      <c r="BQ326" s="633"/>
      <c r="BR326" s="541"/>
      <c r="BS326" s="541"/>
      <c r="BT326" s="541"/>
    </row>
    <row r="327" ht="15.75" customHeight="1">
      <c r="A327" s="1591"/>
      <c r="B327" s="1541"/>
      <c r="C327" s="2217"/>
      <c r="D327" s="1543"/>
      <c r="E327" s="906"/>
      <c r="F327" s="1545"/>
      <c r="G327" s="684"/>
      <c r="H327" s="1545"/>
      <c r="I327" s="684"/>
      <c r="J327" s="1545"/>
      <c r="K327" s="684"/>
      <c r="L327" s="1545"/>
      <c r="M327" s="684"/>
      <c r="N327" s="1545"/>
      <c r="O327" s="684"/>
      <c r="P327" s="1545"/>
      <c r="Q327" s="684"/>
      <c r="R327" s="1545"/>
      <c r="S327" s="684"/>
      <c r="T327" s="1545"/>
      <c r="U327" s="684"/>
      <c r="V327" s="1545"/>
      <c r="W327" s="684"/>
      <c r="X327" s="1545"/>
      <c r="Y327" s="1545"/>
      <c r="Z327" s="1545"/>
      <c r="AA327" s="684"/>
      <c r="AB327" s="1545"/>
      <c r="AC327" s="684"/>
      <c r="AD327" s="684"/>
      <c r="AE327" s="684"/>
      <c r="AF327" s="684"/>
      <c r="AG327" s="684"/>
      <c r="AH327" s="684"/>
      <c r="AI327" s="684"/>
      <c r="AJ327" s="684"/>
      <c r="AK327" s="684"/>
      <c r="AL327" s="684"/>
      <c r="AM327" s="684"/>
      <c r="AN327" s="1545"/>
      <c r="AO327" s="1545"/>
      <c r="AP327" s="1545"/>
      <c r="AQ327" s="1545"/>
      <c r="AR327" s="1545"/>
      <c r="AS327" s="684"/>
      <c r="AT327" s="684"/>
      <c r="AU327" s="684"/>
      <c r="AV327" s="684"/>
      <c r="AW327" s="684"/>
      <c r="AX327" s="684"/>
      <c r="AY327" s="684"/>
      <c r="AZ327" s="684"/>
      <c r="BA327" s="684"/>
      <c r="BB327" s="677"/>
      <c r="BD327" s="677"/>
      <c r="BE327" s="684"/>
      <c r="BF327" s="677"/>
      <c r="BG327" s="684"/>
      <c r="BH327" s="13"/>
      <c r="BI327" s="684"/>
      <c r="BJ327" s="13"/>
      <c r="BK327" s="684"/>
      <c r="BL327" s="684"/>
      <c r="BM327" s="684"/>
      <c r="BN327" s="677"/>
      <c r="BO327" s="684"/>
      <c r="BP327" s="541"/>
      <c r="BQ327" s="633"/>
      <c r="BR327" s="541"/>
      <c r="BS327" s="541"/>
      <c r="BT327" s="541"/>
    </row>
    <row r="328" ht="15.75" customHeight="1">
      <c r="A328" s="1591"/>
      <c r="B328" s="1541"/>
      <c r="C328" s="2217"/>
      <c r="D328" s="1543"/>
      <c r="E328" s="906"/>
      <c r="F328" s="1545"/>
      <c r="G328" s="684"/>
      <c r="H328" s="1545"/>
      <c r="I328" s="684"/>
      <c r="J328" s="1545"/>
      <c r="K328" s="684"/>
      <c r="L328" s="1545"/>
      <c r="M328" s="684"/>
      <c r="N328" s="1545"/>
      <c r="O328" s="684"/>
      <c r="P328" s="1545"/>
      <c r="Q328" s="684"/>
      <c r="R328" s="1545"/>
      <c r="S328" s="684"/>
      <c r="T328" s="1545"/>
      <c r="U328" s="684"/>
      <c r="V328" s="1545"/>
      <c r="W328" s="684"/>
      <c r="X328" s="1545"/>
      <c r="Y328" s="1545"/>
      <c r="Z328" s="1545"/>
      <c r="AA328" s="684"/>
      <c r="AB328" s="1545"/>
      <c r="AC328" s="684"/>
      <c r="AD328" s="684"/>
      <c r="AE328" s="684"/>
      <c r="AF328" s="684"/>
      <c r="AG328" s="684"/>
      <c r="AH328" s="684"/>
      <c r="AI328" s="684"/>
      <c r="AJ328" s="684"/>
      <c r="AK328" s="684"/>
      <c r="AL328" s="684"/>
      <c r="AM328" s="684"/>
      <c r="AN328" s="1545"/>
      <c r="AO328" s="1545"/>
      <c r="AP328" s="1545"/>
      <c r="AQ328" s="1545"/>
      <c r="AR328" s="1545"/>
      <c r="AS328" s="684"/>
      <c r="AT328" s="684"/>
      <c r="AU328" s="684"/>
      <c r="AV328" s="684"/>
      <c r="AW328" s="684"/>
      <c r="AX328" s="684"/>
      <c r="AY328" s="684"/>
      <c r="AZ328" s="684"/>
      <c r="BA328" s="684"/>
      <c r="BB328" s="677"/>
      <c r="BD328" s="677"/>
      <c r="BE328" s="684"/>
      <c r="BF328" s="677"/>
      <c r="BG328" s="684"/>
      <c r="BH328" s="13"/>
      <c r="BI328" s="684"/>
      <c r="BJ328" s="13"/>
      <c r="BK328" s="684"/>
      <c r="BL328" s="684"/>
      <c r="BM328" s="684"/>
      <c r="BN328" s="677"/>
      <c r="BO328" s="684"/>
      <c r="BP328" s="541"/>
      <c r="BQ328" s="633"/>
      <c r="BR328" s="541"/>
      <c r="BS328" s="541"/>
      <c r="BT328" s="541"/>
    </row>
    <row r="329" ht="15.75" customHeight="1">
      <c r="A329" s="1591"/>
      <c r="B329" s="1541"/>
      <c r="C329" s="2217"/>
      <c r="D329" s="1543"/>
      <c r="E329" s="906"/>
      <c r="F329" s="1545"/>
      <c r="G329" s="684"/>
      <c r="H329" s="1545"/>
      <c r="I329" s="684"/>
      <c r="J329" s="1545"/>
      <c r="K329" s="684"/>
      <c r="L329" s="1545"/>
      <c r="M329" s="684"/>
      <c r="N329" s="1545"/>
      <c r="O329" s="684"/>
      <c r="P329" s="1545"/>
      <c r="Q329" s="684"/>
      <c r="R329" s="1545"/>
      <c r="S329" s="684"/>
      <c r="T329" s="1545"/>
      <c r="U329" s="684"/>
      <c r="V329" s="1545"/>
      <c r="W329" s="684"/>
      <c r="X329" s="1545"/>
      <c r="Y329" s="1545"/>
      <c r="Z329" s="1545"/>
      <c r="AA329" s="684"/>
      <c r="AB329" s="1545"/>
      <c r="AC329" s="684"/>
      <c r="AD329" s="684"/>
      <c r="AE329" s="684"/>
      <c r="AF329" s="684"/>
      <c r="AG329" s="684"/>
      <c r="AH329" s="684"/>
      <c r="AI329" s="684"/>
      <c r="AJ329" s="684"/>
      <c r="AK329" s="684"/>
      <c r="AL329" s="684"/>
      <c r="AM329" s="684"/>
      <c r="AN329" s="1545"/>
      <c r="AO329" s="1545"/>
      <c r="AP329" s="1545"/>
      <c r="AQ329" s="1545"/>
      <c r="AR329" s="1545"/>
      <c r="AS329" s="684"/>
      <c r="AT329" s="684"/>
      <c r="AU329" s="684"/>
      <c r="AV329" s="684"/>
      <c r="AW329" s="684"/>
      <c r="AX329" s="684"/>
      <c r="AY329" s="684"/>
      <c r="AZ329" s="684"/>
      <c r="BA329" s="684"/>
      <c r="BB329" s="677"/>
      <c r="BD329" s="677"/>
      <c r="BE329" s="684"/>
      <c r="BF329" s="677"/>
      <c r="BG329" s="684"/>
      <c r="BH329" s="13"/>
      <c r="BI329" s="684"/>
      <c r="BJ329" s="13"/>
      <c r="BK329" s="684"/>
      <c r="BL329" s="684"/>
      <c r="BM329" s="684"/>
      <c r="BN329" s="677"/>
      <c r="BO329" s="684"/>
      <c r="BP329" s="541"/>
      <c r="BQ329" s="633"/>
      <c r="BR329" s="541"/>
      <c r="BS329" s="541"/>
      <c r="BT329" s="541"/>
    </row>
    <row r="330" ht="15.75" customHeight="1">
      <c r="A330" s="1591"/>
      <c r="B330" s="1541"/>
      <c r="C330" s="2217"/>
      <c r="D330" s="1543"/>
      <c r="E330" s="906"/>
      <c r="F330" s="1545"/>
      <c r="G330" s="684"/>
      <c r="H330" s="1545"/>
      <c r="I330" s="684"/>
      <c r="J330" s="1545"/>
      <c r="K330" s="684"/>
      <c r="L330" s="1545"/>
      <c r="M330" s="684"/>
      <c r="N330" s="1545"/>
      <c r="O330" s="684"/>
      <c r="P330" s="1545"/>
      <c r="Q330" s="684"/>
      <c r="R330" s="1545"/>
      <c r="S330" s="684"/>
      <c r="T330" s="1545"/>
      <c r="U330" s="684"/>
      <c r="V330" s="1545"/>
      <c r="W330" s="684"/>
      <c r="X330" s="1545"/>
      <c r="Y330" s="1545"/>
      <c r="Z330" s="1545"/>
      <c r="AA330" s="684"/>
      <c r="AB330" s="1545"/>
      <c r="AC330" s="684"/>
      <c r="AD330" s="684"/>
      <c r="AE330" s="684"/>
      <c r="AF330" s="684"/>
      <c r="AG330" s="684"/>
      <c r="AH330" s="684"/>
      <c r="AI330" s="684"/>
      <c r="AJ330" s="684"/>
      <c r="AK330" s="684"/>
      <c r="AL330" s="684"/>
      <c r="AM330" s="684"/>
      <c r="AN330" s="1545"/>
      <c r="AO330" s="1545"/>
      <c r="AP330" s="1545"/>
      <c r="AQ330" s="1545"/>
      <c r="AR330" s="1545"/>
      <c r="AS330" s="684"/>
      <c r="AT330" s="684"/>
      <c r="AU330" s="684"/>
      <c r="AV330" s="684"/>
      <c r="AW330" s="684"/>
      <c r="AX330" s="684"/>
      <c r="AY330" s="684"/>
      <c r="AZ330" s="684"/>
      <c r="BA330" s="684"/>
      <c r="BB330" s="677"/>
      <c r="BD330" s="677"/>
      <c r="BE330" s="684"/>
      <c r="BF330" s="677"/>
      <c r="BG330" s="684"/>
      <c r="BH330" s="13"/>
      <c r="BI330" s="684"/>
      <c r="BJ330" s="13"/>
      <c r="BK330" s="684"/>
      <c r="BL330" s="684"/>
      <c r="BM330" s="684"/>
      <c r="BN330" s="677"/>
      <c r="BO330" s="684"/>
      <c r="BP330" s="541"/>
      <c r="BQ330" s="633"/>
      <c r="BR330" s="541"/>
      <c r="BS330" s="541"/>
      <c r="BT330" s="541"/>
    </row>
    <row r="331" ht="15.75" customHeight="1">
      <c r="A331" s="1591"/>
      <c r="B331" s="1541"/>
      <c r="C331" s="2217"/>
      <c r="D331" s="1543"/>
      <c r="E331" s="906"/>
      <c r="F331" s="1545"/>
      <c r="G331" s="684"/>
      <c r="H331" s="1545"/>
      <c r="I331" s="684"/>
      <c r="J331" s="1545"/>
      <c r="K331" s="684"/>
      <c r="L331" s="1545"/>
      <c r="M331" s="684"/>
      <c r="N331" s="1545"/>
      <c r="O331" s="684"/>
      <c r="P331" s="1545"/>
      <c r="Q331" s="684"/>
      <c r="R331" s="1545"/>
      <c r="S331" s="684"/>
      <c r="T331" s="1545"/>
      <c r="U331" s="684"/>
      <c r="V331" s="1545"/>
      <c r="W331" s="684"/>
      <c r="X331" s="1545"/>
      <c r="Y331" s="1545"/>
      <c r="Z331" s="1545"/>
      <c r="AA331" s="684"/>
      <c r="AB331" s="1545"/>
      <c r="AC331" s="684"/>
      <c r="AD331" s="684"/>
      <c r="AE331" s="684"/>
      <c r="AF331" s="684"/>
      <c r="AG331" s="684"/>
      <c r="AH331" s="684"/>
      <c r="AI331" s="684"/>
      <c r="AJ331" s="684"/>
      <c r="AK331" s="684"/>
      <c r="AL331" s="684"/>
      <c r="AM331" s="684"/>
      <c r="AN331" s="1545"/>
      <c r="AO331" s="1545"/>
      <c r="AP331" s="1545"/>
      <c r="AQ331" s="1545"/>
      <c r="AR331" s="1545"/>
      <c r="AS331" s="684"/>
      <c r="AT331" s="684"/>
      <c r="AU331" s="684"/>
      <c r="AV331" s="684"/>
      <c r="AW331" s="684"/>
      <c r="AX331" s="684"/>
      <c r="AY331" s="684"/>
      <c r="AZ331" s="684"/>
      <c r="BA331" s="684"/>
      <c r="BB331" s="677"/>
      <c r="BD331" s="677"/>
      <c r="BE331" s="684"/>
      <c r="BF331" s="677"/>
      <c r="BG331" s="684"/>
      <c r="BH331" s="13"/>
      <c r="BI331" s="684"/>
      <c r="BJ331" s="13"/>
      <c r="BK331" s="684"/>
      <c r="BL331" s="684"/>
      <c r="BM331" s="684"/>
      <c r="BN331" s="677"/>
      <c r="BO331" s="684"/>
      <c r="BP331" s="541"/>
      <c r="BQ331" s="633"/>
      <c r="BR331" s="541"/>
      <c r="BS331" s="541"/>
      <c r="BT331" s="541"/>
    </row>
    <row r="332" ht="15.75" customHeight="1">
      <c r="A332" s="1591"/>
      <c r="B332" s="1541"/>
      <c r="C332" s="2217"/>
      <c r="D332" s="1543"/>
      <c r="E332" s="906"/>
      <c r="F332" s="1545"/>
      <c r="G332" s="684"/>
      <c r="H332" s="1545"/>
      <c r="I332" s="684"/>
      <c r="J332" s="1545"/>
      <c r="K332" s="684"/>
      <c r="L332" s="1545"/>
      <c r="M332" s="684"/>
      <c r="N332" s="1545"/>
      <c r="O332" s="684"/>
      <c r="P332" s="1545"/>
      <c r="Q332" s="684"/>
      <c r="R332" s="1545"/>
      <c r="S332" s="684"/>
      <c r="T332" s="1545"/>
      <c r="U332" s="684"/>
      <c r="V332" s="1545"/>
      <c r="W332" s="684"/>
      <c r="X332" s="1545"/>
      <c r="Y332" s="1545"/>
      <c r="Z332" s="1545"/>
      <c r="AA332" s="684"/>
      <c r="AB332" s="1545"/>
      <c r="AC332" s="684"/>
      <c r="AD332" s="684"/>
      <c r="AE332" s="684"/>
      <c r="AF332" s="684"/>
      <c r="AG332" s="684"/>
      <c r="AH332" s="684"/>
      <c r="AI332" s="684"/>
      <c r="AJ332" s="684"/>
      <c r="AK332" s="684"/>
      <c r="AL332" s="684"/>
      <c r="AM332" s="684"/>
      <c r="AN332" s="1545"/>
      <c r="AO332" s="1545"/>
      <c r="AP332" s="1545"/>
      <c r="AQ332" s="1545"/>
      <c r="AR332" s="1545"/>
      <c r="AS332" s="684"/>
      <c r="AT332" s="684"/>
      <c r="AU332" s="684"/>
      <c r="AV332" s="684"/>
      <c r="AW332" s="684"/>
      <c r="AX332" s="684"/>
      <c r="AY332" s="684"/>
      <c r="AZ332" s="684"/>
      <c r="BA332" s="684"/>
      <c r="BB332" s="677"/>
      <c r="BD332" s="677"/>
      <c r="BE332" s="684"/>
      <c r="BF332" s="677"/>
      <c r="BG332" s="684"/>
      <c r="BH332" s="13"/>
      <c r="BI332" s="684"/>
      <c r="BJ332" s="13"/>
      <c r="BK332" s="684"/>
      <c r="BL332" s="684"/>
      <c r="BM332" s="684"/>
      <c r="BN332" s="677"/>
      <c r="BO332" s="684"/>
      <c r="BP332" s="541"/>
      <c r="BQ332" s="633"/>
      <c r="BR332" s="541"/>
      <c r="BS332" s="541"/>
      <c r="BT332" s="541"/>
    </row>
    <row r="333" ht="15.75" customHeight="1">
      <c r="A333" s="1591"/>
      <c r="B333" s="1541"/>
      <c r="C333" s="2217"/>
      <c r="D333" s="1543"/>
      <c r="E333" s="906"/>
      <c r="F333" s="1545"/>
      <c r="G333" s="684"/>
      <c r="H333" s="1545"/>
      <c r="I333" s="684"/>
      <c r="J333" s="1545"/>
      <c r="K333" s="684"/>
      <c r="L333" s="1545"/>
      <c r="M333" s="684"/>
      <c r="N333" s="1545"/>
      <c r="O333" s="684"/>
      <c r="P333" s="1545"/>
      <c r="Q333" s="684"/>
      <c r="R333" s="1545"/>
      <c r="S333" s="684"/>
      <c r="T333" s="1545"/>
      <c r="U333" s="684"/>
      <c r="V333" s="1545"/>
      <c r="W333" s="684"/>
      <c r="X333" s="1545"/>
      <c r="Y333" s="1545"/>
      <c r="Z333" s="1545"/>
      <c r="AA333" s="684"/>
      <c r="AB333" s="1545"/>
      <c r="AC333" s="684"/>
      <c r="AD333" s="684"/>
      <c r="AE333" s="684"/>
      <c r="AF333" s="684"/>
      <c r="AG333" s="684"/>
      <c r="AH333" s="684"/>
      <c r="AI333" s="684"/>
      <c r="AJ333" s="684"/>
      <c r="AK333" s="684"/>
      <c r="AL333" s="684"/>
      <c r="AM333" s="684"/>
      <c r="AN333" s="1545"/>
      <c r="AO333" s="1545"/>
      <c r="AP333" s="1545"/>
      <c r="AQ333" s="1545"/>
      <c r="AR333" s="1545"/>
      <c r="AS333" s="684"/>
      <c r="AT333" s="684"/>
      <c r="AU333" s="684"/>
      <c r="AV333" s="684"/>
      <c r="AW333" s="684"/>
      <c r="AX333" s="684"/>
      <c r="AY333" s="684"/>
      <c r="AZ333" s="684"/>
      <c r="BA333" s="684"/>
      <c r="BB333" s="677"/>
      <c r="BD333" s="677"/>
      <c r="BE333" s="684"/>
      <c r="BF333" s="677"/>
      <c r="BG333" s="684"/>
      <c r="BH333" s="13"/>
      <c r="BI333" s="684"/>
      <c r="BJ333" s="13"/>
      <c r="BK333" s="684"/>
      <c r="BL333" s="684"/>
      <c r="BM333" s="684"/>
      <c r="BN333" s="677"/>
      <c r="BO333" s="684"/>
      <c r="BP333" s="541"/>
      <c r="BQ333" s="633"/>
      <c r="BR333" s="541"/>
      <c r="BS333" s="541"/>
      <c r="BT333" s="541"/>
    </row>
    <row r="334" ht="15.75" customHeight="1">
      <c r="A334" s="1591"/>
      <c r="B334" s="1541"/>
      <c r="C334" s="2217"/>
      <c r="D334" s="1543"/>
      <c r="E334" s="906"/>
      <c r="F334" s="1545"/>
      <c r="G334" s="684"/>
      <c r="H334" s="1545"/>
      <c r="I334" s="684"/>
      <c r="J334" s="1545"/>
      <c r="K334" s="684"/>
      <c r="L334" s="1545"/>
      <c r="M334" s="684"/>
      <c r="N334" s="1545"/>
      <c r="O334" s="684"/>
      <c r="P334" s="1545"/>
      <c r="Q334" s="684"/>
      <c r="R334" s="1545"/>
      <c r="S334" s="684"/>
      <c r="T334" s="1545"/>
      <c r="U334" s="684"/>
      <c r="V334" s="1545"/>
      <c r="W334" s="684"/>
      <c r="X334" s="1545"/>
      <c r="Y334" s="1545"/>
      <c r="Z334" s="1545"/>
      <c r="AA334" s="684"/>
      <c r="AB334" s="1545"/>
      <c r="AC334" s="684"/>
      <c r="AD334" s="684"/>
      <c r="AE334" s="684"/>
      <c r="AF334" s="684"/>
      <c r="AG334" s="684"/>
      <c r="AH334" s="684"/>
      <c r="AI334" s="684"/>
      <c r="AJ334" s="684"/>
      <c r="AK334" s="684"/>
      <c r="AL334" s="684"/>
      <c r="AM334" s="684"/>
      <c r="AN334" s="1545"/>
      <c r="AO334" s="1545"/>
      <c r="AP334" s="1545"/>
      <c r="AQ334" s="1545"/>
      <c r="AR334" s="1545"/>
      <c r="AS334" s="684"/>
      <c r="AT334" s="684"/>
      <c r="AU334" s="684"/>
      <c r="AV334" s="684"/>
      <c r="AW334" s="684"/>
      <c r="AX334" s="684"/>
      <c r="AY334" s="684"/>
      <c r="AZ334" s="684"/>
      <c r="BA334" s="684"/>
      <c r="BB334" s="677"/>
      <c r="BD334" s="677"/>
      <c r="BE334" s="684"/>
      <c r="BF334" s="677"/>
      <c r="BG334" s="684"/>
      <c r="BH334" s="13"/>
      <c r="BI334" s="684"/>
      <c r="BJ334" s="13"/>
      <c r="BK334" s="684"/>
      <c r="BL334" s="684"/>
      <c r="BM334" s="684"/>
      <c r="BN334" s="677"/>
      <c r="BO334" s="684"/>
      <c r="BP334" s="541"/>
      <c r="BQ334" s="633"/>
      <c r="BR334" s="541"/>
      <c r="BS334" s="541"/>
      <c r="BT334" s="541"/>
    </row>
    <row r="335" ht="15.75" customHeight="1">
      <c r="A335" s="1591"/>
      <c r="B335" s="1541"/>
      <c r="C335" s="2217"/>
      <c r="D335" s="1543"/>
      <c r="E335" s="906"/>
      <c r="F335" s="1545"/>
      <c r="G335" s="684"/>
      <c r="H335" s="1545"/>
      <c r="I335" s="684"/>
      <c r="J335" s="1545"/>
      <c r="K335" s="684"/>
      <c r="L335" s="1545"/>
      <c r="M335" s="684"/>
      <c r="N335" s="1545"/>
      <c r="O335" s="684"/>
      <c r="P335" s="1545"/>
      <c r="Q335" s="684"/>
      <c r="R335" s="1545"/>
      <c r="S335" s="684"/>
      <c r="T335" s="1545"/>
      <c r="U335" s="684"/>
      <c r="V335" s="1545"/>
      <c r="W335" s="684"/>
      <c r="X335" s="1545"/>
      <c r="Y335" s="1545"/>
      <c r="Z335" s="1545"/>
      <c r="AA335" s="684"/>
      <c r="AB335" s="1545"/>
      <c r="AC335" s="684"/>
      <c r="AD335" s="684"/>
      <c r="AE335" s="684"/>
      <c r="AF335" s="684"/>
      <c r="AG335" s="684"/>
      <c r="AH335" s="684"/>
      <c r="AI335" s="684"/>
      <c r="AJ335" s="684"/>
      <c r="AK335" s="684"/>
      <c r="AL335" s="684"/>
      <c r="AM335" s="684"/>
      <c r="AN335" s="1545"/>
      <c r="AO335" s="1545"/>
      <c r="AP335" s="1545"/>
      <c r="AQ335" s="1545"/>
      <c r="AR335" s="1545"/>
      <c r="AS335" s="684"/>
      <c r="AT335" s="684"/>
      <c r="AU335" s="684"/>
      <c r="AV335" s="684"/>
      <c r="AW335" s="684"/>
      <c r="AX335" s="684"/>
      <c r="AY335" s="684"/>
      <c r="AZ335" s="684"/>
      <c r="BA335" s="684"/>
      <c r="BB335" s="677"/>
      <c r="BD335" s="677"/>
      <c r="BE335" s="684"/>
      <c r="BF335" s="677"/>
      <c r="BG335" s="684"/>
      <c r="BH335" s="13"/>
      <c r="BI335" s="684"/>
      <c r="BJ335" s="13"/>
      <c r="BK335" s="684"/>
      <c r="BL335" s="684"/>
      <c r="BM335" s="684"/>
      <c r="BN335" s="677"/>
      <c r="BO335" s="684"/>
      <c r="BP335" s="541"/>
      <c r="BQ335" s="633"/>
      <c r="BR335" s="541"/>
      <c r="BS335" s="541"/>
      <c r="BT335" s="541"/>
    </row>
    <row r="336" ht="15.75" customHeight="1">
      <c r="A336" s="1591"/>
      <c r="B336" s="1541"/>
      <c r="C336" s="2217"/>
      <c r="D336" s="1543"/>
      <c r="E336" s="906"/>
      <c r="F336" s="1545"/>
      <c r="G336" s="684"/>
      <c r="H336" s="1545"/>
      <c r="I336" s="684"/>
      <c r="J336" s="1545"/>
      <c r="K336" s="684"/>
      <c r="L336" s="1545"/>
      <c r="M336" s="684"/>
      <c r="N336" s="1545"/>
      <c r="O336" s="684"/>
      <c r="P336" s="1545"/>
      <c r="Q336" s="684"/>
      <c r="R336" s="1545"/>
      <c r="S336" s="684"/>
      <c r="T336" s="1545"/>
      <c r="U336" s="684"/>
      <c r="V336" s="1545"/>
      <c r="W336" s="684"/>
      <c r="X336" s="1545"/>
      <c r="Y336" s="1545"/>
      <c r="Z336" s="1545"/>
      <c r="AA336" s="684"/>
      <c r="AB336" s="1545"/>
      <c r="AC336" s="684"/>
      <c r="AD336" s="684"/>
      <c r="AE336" s="684"/>
      <c r="AF336" s="684"/>
      <c r="AG336" s="684"/>
      <c r="AH336" s="684"/>
      <c r="AI336" s="684"/>
      <c r="AJ336" s="684"/>
      <c r="AK336" s="684"/>
      <c r="AL336" s="684"/>
      <c r="AM336" s="684"/>
      <c r="AN336" s="1545"/>
      <c r="AO336" s="1545"/>
      <c r="AP336" s="1545"/>
      <c r="AQ336" s="1545"/>
      <c r="AR336" s="1545"/>
      <c r="AS336" s="684"/>
      <c r="AT336" s="684"/>
      <c r="AU336" s="684"/>
      <c r="AV336" s="684"/>
      <c r="AW336" s="684"/>
      <c r="AX336" s="684"/>
      <c r="AY336" s="684"/>
      <c r="AZ336" s="684"/>
      <c r="BA336" s="684"/>
      <c r="BB336" s="677"/>
      <c r="BD336" s="677"/>
      <c r="BE336" s="684"/>
      <c r="BF336" s="677"/>
      <c r="BG336" s="684"/>
      <c r="BH336" s="13"/>
      <c r="BI336" s="684"/>
      <c r="BJ336" s="13"/>
      <c r="BK336" s="684"/>
      <c r="BL336" s="684"/>
      <c r="BM336" s="684"/>
      <c r="BN336" s="677"/>
      <c r="BO336" s="684"/>
      <c r="BP336" s="541"/>
      <c r="BQ336" s="633"/>
      <c r="BR336" s="541"/>
      <c r="BS336" s="541"/>
      <c r="BT336" s="541"/>
    </row>
    <row r="337" ht="15.75" customHeight="1">
      <c r="A337" s="1591"/>
      <c r="B337" s="1541"/>
      <c r="C337" s="2217"/>
      <c r="D337" s="1543"/>
      <c r="E337" s="906"/>
      <c r="F337" s="1545"/>
      <c r="G337" s="684"/>
      <c r="H337" s="1545"/>
      <c r="I337" s="684"/>
      <c r="J337" s="1545"/>
      <c r="K337" s="684"/>
      <c r="L337" s="1545"/>
      <c r="M337" s="684"/>
      <c r="N337" s="1545"/>
      <c r="O337" s="684"/>
      <c r="P337" s="1545"/>
      <c r="Q337" s="684"/>
      <c r="R337" s="1545"/>
      <c r="S337" s="684"/>
      <c r="T337" s="1545"/>
      <c r="U337" s="684"/>
      <c r="V337" s="1545"/>
      <c r="W337" s="684"/>
      <c r="X337" s="1545"/>
      <c r="Y337" s="1545"/>
      <c r="Z337" s="1545"/>
      <c r="AA337" s="684"/>
      <c r="AB337" s="1545"/>
      <c r="AC337" s="684"/>
      <c r="AD337" s="684"/>
      <c r="AE337" s="684"/>
      <c r="AF337" s="684"/>
      <c r="AG337" s="684"/>
      <c r="AH337" s="684"/>
      <c r="AI337" s="684"/>
      <c r="AJ337" s="684"/>
      <c r="AK337" s="684"/>
      <c r="AL337" s="684"/>
      <c r="AM337" s="684"/>
      <c r="AN337" s="1545"/>
      <c r="AO337" s="1545"/>
      <c r="AP337" s="1545"/>
      <c r="AQ337" s="1545"/>
      <c r="AR337" s="1545"/>
      <c r="AS337" s="684"/>
      <c r="AT337" s="684"/>
      <c r="AU337" s="684"/>
      <c r="AV337" s="684"/>
      <c r="AW337" s="684"/>
      <c r="AX337" s="684"/>
      <c r="AY337" s="684"/>
      <c r="AZ337" s="684"/>
      <c r="BA337" s="684"/>
      <c r="BB337" s="677"/>
      <c r="BD337" s="677"/>
      <c r="BE337" s="684"/>
      <c r="BF337" s="677"/>
      <c r="BG337" s="684"/>
      <c r="BH337" s="13"/>
      <c r="BI337" s="684"/>
      <c r="BJ337" s="13"/>
      <c r="BK337" s="684"/>
      <c r="BL337" s="684"/>
      <c r="BM337" s="684"/>
      <c r="BN337" s="677"/>
      <c r="BO337" s="684"/>
      <c r="BP337" s="541"/>
      <c r="BQ337" s="633"/>
      <c r="BR337" s="541"/>
      <c r="BS337" s="541"/>
      <c r="BT337" s="541"/>
    </row>
    <row r="338" ht="15.75" customHeight="1">
      <c r="A338" s="1591"/>
      <c r="B338" s="1541"/>
      <c r="C338" s="2217"/>
      <c r="D338" s="1543"/>
      <c r="E338" s="906"/>
      <c r="F338" s="1545"/>
      <c r="G338" s="684"/>
      <c r="H338" s="1545"/>
      <c r="I338" s="684"/>
      <c r="J338" s="1545"/>
      <c r="K338" s="684"/>
      <c r="L338" s="1545"/>
      <c r="M338" s="684"/>
      <c r="N338" s="1545"/>
      <c r="O338" s="684"/>
      <c r="P338" s="1545"/>
      <c r="Q338" s="684"/>
      <c r="R338" s="1545"/>
      <c r="S338" s="684"/>
      <c r="T338" s="1545"/>
      <c r="U338" s="684"/>
      <c r="V338" s="1545"/>
      <c r="W338" s="684"/>
      <c r="X338" s="1545"/>
      <c r="Y338" s="1545"/>
      <c r="Z338" s="1545"/>
      <c r="AA338" s="684"/>
      <c r="AB338" s="1545"/>
      <c r="AC338" s="684"/>
      <c r="AD338" s="684"/>
      <c r="AE338" s="684"/>
      <c r="AF338" s="684"/>
      <c r="AG338" s="684"/>
      <c r="AH338" s="684"/>
      <c r="AI338" s="684"/>
      <c r="AJ338" s="684"/>
      <c r="AK338" s="684"/>
      <c r="AL338" s="684"/>
      <c r="AM338" s="684"/>
      <c r="AN338" s="1545"/>
      <c r="AO338" s="1545"/>
      <c r="AP338" s="1545"/>
      <c r="AQ338" s="1545"/>
      <c r="AR338" s="1545"/>
      <c r="AS338" s="684"/>
      <c r="AT338" s="684"/>
      <c r="AU338" s="684"/>
      <c r="AV338" s="684"/>
      <c r="AW338" s="684"/>
      <c r="AX338" s="684"/>
      <c r="AY338" s="684"/>
      <c r="AZ338" s="684"/>
      <c r="BA338" s="684"/>
      <c r="BB338" s="677"/>
      <c r="BC338" s="684"/>
      <c r="BD338" s="677"/>
      <c r="BE338" s="684"/>
      <c r="BF338" s="677"/>
      <c r="BG338" s="684"/>
      <c r="BH338" s="13"/>
      <c r="BI338" s="684"/>
      <c r="BJ338" s="13"/>
      <c r="BK338" s="684"/>
      <c r="BL338" s="684"/>
      <c r="BM338" s="684"/>
      <c r="BN338" s="677"/>
      <c r="BO338" s="684"/>
      <c r="BP338" s="541"/>
      <c r="BQ338" s="633"/>
      <c r="BR338" s="541"/>
      <c r="BS338" s="541"/>
      <c r="BT338" s="541"/>
    </row>
    <row r="339" ht="15.75" customHeight="1">
      <c r="A339" s="1591"/>
      <c r="B339" s="1541"/>
      <c r="C339" s="2217"/>
      <c r="D339" s="1543"/>
      <c r="E339" s="906"/>
      <c r="F339" s="1545"/>
      <c r="G339" s="684"/>
      <c r="H339" s="1545"/>
      <c r="I339" s="684"/>
      <c r="J339" s="1545"/>
      <c r="K339" s="684"/>
      <c r="L339" s="1545"/>
      <c r="M339" s="684"/>
      <c r="N339" s="1545"/>
      <c r="O339" s="684"/>
      <c r="P339" s="1545"/>
      <c r="Q339" s="684"/>
      <c r="R339" s="1545"/>
      <c r="S339" s="684"/>
      <c r="T339" s="1545"/>
      <c r="U339" s="684"/>
      <c r="V339" s="1545"/>
      <c r="W339" s="684"/>
      <c r="X339" s="1545"/>
      <c r="Y339" s="1545"/>
      <c r="Z339" s="1545"/>
      <c r="AA339" s="684"/>
      <c r="AB339" s="1545"/>
      <c r="AC339" s="684"/>
      <c r="AD339" s="684"/>
      <c r="AE339" s="684"/>
      <c r="AF339" s="684"/>
      <c r="AG339" s="684"/>
      <c r="AH339" s="684"/>
      <c r="AI339" s="684"/>
      <c r="AJ339" s="684"/>
      <c r="AK339" s="684"/>
      <c r="AL339" s="684"/>
      <c r="AM339" s="684"/>
      <c r="AN339" s="1545"/>
      <c r="AO339" s="1545"/>
      <c r="AP339" s="1545"/>
      <c r="AQ339" s="1545"/>
      <c r="AR339" s="1545"/>
      <c r="AS339" s="684"/>
      <c r="AT339" s="684"/>
      <c r="AU339" s="684"/>
      <c r="AV339" s="684"/>
      <c r="AW339" s="684"/>
      <c r="AX339" s="684"/>
      <c r="AY339" s="684"/>
      <c r="AZ339" s="684"/>
      <c r="BA339" s="684"/>
      <c r="BB339" s="677"/>
      <c r="BC339" s="684"/>
      <c r="BD339" s="677"/>
      <c r="BE339" s="684"/>
      <c r="BF339" s="677"/>
      <c r="BG339" s="684"/>
      <c r="BH339" s="13"/>
      <c r="BI339" s="684"/>
      <c r="BJ339" s="13"/>
      <c r="BK339" s="684"/>
      <c r="BL339" s="684"/>
      <c r="BM339" s="684"/>
      <c r="BN339" s="677"/>
      <c r="BO339" s="684"/>
      <c r="BP339" s="541"/>
      <c r="BQ339" s="633"/>
      <c r="BR339" s="541"/>
      <c r="BS339" s="541"/>
      <c r="BT339" s="541"/>
    </row>
    <row r="340" ht="15.75" customHeight="1">
      <c r="A340" s="1591"/>
      <c r="B340" s="1541"/>
      <c r="C340" s="2217"/>
      <c r="D340" s="1543"/>
      <c r="E340" s="906"/>
      <c r="F340" s="1545"/>
      <c r="G340" s="684"/>
      <c r="H340" s="1545"/>
      <c r="I340" s="684"/>
      <c r="J340" s="1545"/>
      <c r="K340" s="684"/>
      <c r="L340" s="1545"/>
      <c r="M340" s="684"/>
      <c r="N340" s="1545"/>
      <c r="O340" s="684"/>
      <c r="P340" s="1545"/>
      <c r="Q340" s="684"/>
      <c r="R340" s="1545"/>
      <c r="S340" s="684"/>
      <c r="T340" s="1545"/>
      <c r="U340" s="684"/>
      <c r="V340" s="1545"/>
      <c r="W340" s="684"/>
      <c r="X340" s="1545"/>
      <c r="Y340" s="1545"/>
      <c r="Z340" s="1545"/>
      <c r="AA340" s="684"/>
      <c r="AB340" s="1545"/>
      <c r="AC340" s="684"/>
      <c r="AD340" s="684"/>
      <c r="AE340" s="684"/>
      <c r="AF340" s="684"/>
      <c r="AG340" s="684"/>
      <c r="AH340" s="684"/>
      <c r="AI340" s="684"/>
      <c r="AJ340" s="684"/>
      <c r="AK340" s="684"/>
      <c r="AL340" s="684"/>
      <c r="AM340" s="684"/>
      <c r="AN340" s="1545"/>
      <c r="AO340" s="1545"/>
      <c r="AP340" s="1545"/>
      <c r="AQ340" s="1545"/>
      <c r="AR340" s="1545"/>
      <c r="AS340" s="684"/>
      <c r="AT340" s="684"/>
      <c r="AU340" s="684"/>
      <c r="AV340" s="684"/>
      <c r="AW340" s="684"/>
      <c r="AX340" s="684"/>
      <c r="AY340" s="684"/>
      <c r="AZ340" s="684"/>
      <c r="BA340" s="684"/>
      <c r="BB340" s="677"/>
      <c r="BC340" s="684"/>
      <c r="BD340" s="677"/>
      <c r="BE340" s="684"/>
      <c r="BF340" s="677"/>
      <c r="BG340" s="684"/>
      <c r="BH340" s="13"/>
      <c r="BI340" s="684"/>
      <c r="BJ340" s="13"/>
      <c r="BK340" s="684"/>
      <c r="BL340" s="684"/>
      <c r="BM340" s="684"/>
      <c r="BN340" s="677"/>
      <c r="BO340" s="684"/>
      <c r="BP340" s="541"/>
      <c r="BQ340" s="633"/>
      <c r="BR340" s="541"/>
      <c r="BS340" s="541"/>
      <c r="BT340" s="541"/>
    </row>
    <row r="341" ht="15.75" customHeight="1">
      <c r="A341" s="1591"/>
      <c r="B341" s="1541"/>
      <c r="C341" s="2217"/>
      <c r="D341" s="1543"/>
      <c r="E341" s="906"/>
      <c r="F341" s="1545"/>
      <c r="G341" s="684"/>
      <c r="H341" s="1545"/>
      <c r="I341" s="684"/>
      <c r="J341" s="1545"/>
      <c r="K341" s="684"/>
      <c r="L341" s="1545"/>
      <c r="M341" s="684"/>
      <c r="N341" s="1545"/>
      <c r="O341" s="684"/>
      <c r="P341" s="1545"/>
      <c r="Q341" s="684"/>
      <c r="R341" s="1545"/>
      <c r="S341" s="684"/>
      <c r="T341" s="1545"/>
      <c r="U341" s="684"/>
      <c r="V341" s="1545"/>
      <c r="W341" s="684"/>
      <c r="X341" s="1545"/>
      <c r="Y341" s="1545"/>
      <c r="Z341" s="1545"/>
      <c r="AA341" s="684"/>
      <c r="AB341" s="1545"/>
      <c r="AC341" s="684"/>
      <c r="AD341" s="684"/>
      <c r="AE341" s="684"/>
      <c r="AF341" s="684"/>
      <c r="AG341" s="684"/>
      <c r="AH341" s="684"/>
      <c r="AI341" s="684"/>
      <c r="AJ341" s="684"/>
      <c r="AK341" s="684"/>
      <c r="AL341" s="684"/>
      <c r="AM341" s="684"/>
      <c r="AN341" s="1545"/>
      <c r="AO341" s="1545"/>
      <c r="AP341" s="1545"/>
      <c r="AQ341" s="1545"/>
      <c r="AR341" s="1545"/>
      <c r="AS341" s="684"/>
      <c r="AT341" s="684"/>
      <c r="AU341" s="684"/>
      <c r="AV341" s="684"/>
      <c r="AW341" s="684"/>
      <c r="AX341" s="684"/>
      <c r="AY341" s="684"/>
      <c r="AZ341" s="684"/>
      <c r="BA341" s="684"/>
      <c r="BB341" s="677"/>
      <c r="BC341" s="684"/>
      <c r="BD341" s="677"/>
      <c r="BE341" s="684"/>
      <c r="BF341" s="677"/>
      <c r="BG341" s="684"/>
      <c r="BH341" s="13"/>
      <c r="BI341" s="684"/>
      <c r="BJ341" s="13"/>
      <c r="BK341" s="684"/>
      <c r="BL341" s="684"/>
      <c r="BM341" s="684"/>
      <c r="BN341" s="677"/>
      <c r="BO341" s="684"/>
      <c r="BP341" s="541"/>
      <c r="BQ341" s="633"/>
      <c r="BR341" s="541"/>
      <c r="BS341" s="541"/>
      <c r="BT341" s="541"/>
    </row>
    <row r="342" ht="15.75" customHeight="1">
      <c r="A342" s="1591"/>
      <c r="B342" s="1541"/>
      <c r="C342" s="2217"/>
      <c r="D342" s="1543"/>
      <c r="E342" s="906"/>
      <c r="F342" s="1545"/>
      <c r="G342" s="684"/>
      <c r="H342" s="1545"/>
      <c r="I342" s="684"/>
      <c r="J342" s="1545"/>
      <c r="K342" s="684"/>
      <c r="L342" s="1545"/>
      <c r="M342" s="684"/>
      <c r="N342" s="1545"/>
      <c r="O342" s="684"/>
      <c r="P342" s="1545"/>
      <c r="Q342" s="684"/>
      <c r="R342" s="1545"/>
      <c r="S342" s="684"/>
      <c r="T342" s="1545"/>
      <c r="U342" s="684"/>
      <c r="V342" s="1545"/>
      <c r="W342" s="684"/>
      <c r="X342" s="1545"/>
      <c r="Y342" s="1545"/>
      <c r="Z342" s="1545"/>
      <c r="AA342" s="684"/>
      <c r="AB342" s="1545"/>
      <c r="AC342" s="684"/>
      <c r="AD342" s="684"/>
      <c r="AE342" s="684"/>
      <c r="AF342" s="684"/>
      <c r="AG342" s="684"/>
      <c r="AH342" s="684"/>
      <c r="AI342" s="684"/>
      <c r="AJ342" s="684"/>
      <c r="AK342" s="684"/>
      <c r="AL342" s="684"/>
      <c r="AM342" s="684"/>
      <c r="AN342" s="1545"/>
      <c r="AO342" s="1545"/>
      <c r="AP342" s="1545"/>
      <c r="AQ342" s="1545"/>
      <c r="AR342" s="1545"/>
      <c r="AS342" s="684"/>
      <c r="AT342" s="684"/>
      <c r="AU342" s="684"/>
      <c r="AV342" s="684"/>
      <c r="AW342" s="684"/>
      <c r="AX342" s="684"/>
      <c r="AY342" s="684"/>
      <c r="AZ342" s="684"/>
      <c r="BA342" s="684"/>
      <c r="BB342" s="677"/>
      <c r="BC342" s="684"/>
      <c r="BD342" s="677"/>
      <c r="BE342" s="684"/>
      <c r="BF342" s="677"/>
      <c r="BG342" s="684"/>
      <c r="BH342" s="13"/>
      <c r="BI342" s="684"/>
      <c r="BJ342" s="13"/>
      <c r="BK342" s="684"/>
      <c r="BL342" s="684"/>
      <c r="BM342" s="684"/>
      <c r="BN342" s="677"/>
      <c r="BO342" s="684"/>
      <c r="BP342" s="541"/>
      <c r="BQ342" s="633"/>
      <c r="BR342" s="541"/>
      <c r="BS342" s="541"/>
      <c r="BT342" s="541"/>
    </row>
    <row r="343" ht="15.75" customHeight="1">
      <c r="A343" s="1591"/>
      <c r="B343" s="1541"/>
      <c r="C343" s="2217"/>
      <c r="D343" s="1543"/>
      <c r="E343" s="906"/>
      <c r="F343" s="1545"/>
      <c r="G343" s="684"/>
      <c r="H343" s="1545"/>
      <c r="I343" s="684"/>
      <c r="J343" s="1545"/>
      <c r="K343" s="684"/>
      <c r="L343" s="1545"/>
      <c r="M343" s="684"/>
      <c r="N343" s="1545"/>
      <c r="O343" s="684"/>
      <c r="P343" s="1545"/>
      <c r="Q343" s="684"/>
      <c r="R343" s="1545"/>
      <c r="S343" s="684"/>
      <c r="T343" s="1545"/>
      <c r="U343" s="684"/>
      <c r="V343" s="1545"/>
      <c r="W343" s="684"/>
      <c r="X343" s="1545"/>
      <c r="Y343" s="1545"/>
      <c r="Z343" s="1545"/>
      <c r="AA343" s="684"/>
      <c r="AB343" s="1545"/>
      <c r="AC343" s="684"/>
      <c r="AD343" s="684"/>
      <c r="AE343" s="684"/>
      <c r="AF343" s="684"/>
      <c r="AG343" s="684"/>
      <c r="AH343" s="684"/>
      <c r="AI343" s="684"/>
      <c r="AJ343" s="684"/>
      <c r="AK343" s="684"/>
      <c r="AL343" s="684"/>
      <c r="AM343" s="684"/>
      <c r="AN343" s="1545"/>
      <c r="AO343" s="1545"/>
      <c r="AP343" s="1545"/>
      <c r="AQ343" s="1545"/>
      <c r="AR343" s="1545"/>
      <c r="AS343" s="684"/>
      <c r="AT343" s="684"/>
      <c r="AU343" s="684"/>
      <c r="AV343" s="684"/>
      <c r="AW343" s="684"/>
      <c r="AX343" s="684"/>
      <c r="AY343" s="684"/>
      <c r="AZ343" s="684"/>
      <c r="BA343" s="684"/>
      <c r="BB343" s="677"/>
      <c r="BC343" s="684"/>
      <c r="BD343" s="677"/>
      <c r="BE343" s="684"/>
      <c r="BF343" s="677"/>
      <c r="BG343" s="684"/>
      <c r="BH343" s="13"/>
      <c r="BI343" s="684"/>
      <c r="BJ343" s="13"/>
      <c r="BK343" s="684"/>
      <c r="BL343" s="684"/>
      <c r="BM343" s="684"/>
      <c r="BN343" s="677"/>
      <c r="BO343" s="684"/>
      <c r="BP343" s="541"/>
      <c r="BQ343" s="633"/>
      <c r="BR343" s="541"/>
      <c r="BS343" s="541"/>
      <c r="BT343" s="541"/>
    </row>
    <row r="344" ht="15.75" customHeight="1">
      <c r="A344" s="1591"/>
      <c r="B344" s="1541"/>
      <c r="C344" s="2217"/>
      <c r="D344" s="1543"/>
      <c r="E344" s="906"/>
      <c r="F344" s="1545"/>
      <c r="G344" s="684"/>
      <c r="H344" s="1545"/>
      <c r="I344" s="684"/>
      <c r="J344" s="1545"/>
      <c r="K344" s="684"/>
      <c r="L344" s="1545"/>
      <c r="M344" s="684"/>
      <c r="N344" s="1545"/>
      <c r="O344" s="684"/>
      <c r="P344" s="1545"/>
      <c r="Q344" s="684"/>
      <c r="R344" s="1545"/>
      <c r="S344" s="684"/>
      <c r="T344" s="1545"/>
      <c r="U344" s="684"/>
      <c r="V344" s="1545"/>
      <c r="W344" s="684"/>
      <c r="X344" s="1545"/>
      <c r="Y344" s="1545"/>
      <c r="Z344" s="1545"/>
      <c r="AA344" s="684"/>
      <c r="AB344" s="1545"/>
      <c r="AC344" s="684"/>
      <c r="AD344" s="684"/>
      <c r="AE344" s="684"/>
      <c r="AF344" s="684"/>
      <c r="AG344" s="684"/>
      <c r="AH344" s="684"/>
      <c r="AI344" s="684"/>
      <c r="AJ344" s="684"/>
      <c r="AK344" s="684"/>
      <c r="AL344" s="684"/>
      <c r="AM344" s="684"/>
      <c r="AN344" s="1545"/>
      <c r="AO344" s="1545"/>
      <c r="AP344" s="1545"/>
      <c r="AQ344" s="1545"/>
      <c r="AR344" s="1545"/>
      <c r="AS344" s="684"/>
      <c r="AT344" s="684"/>
      <c r="AU344" s="684"/>
      <c r="AV344" s="684"/>
      <c r="AW344" s="684"/>
      <c r="AX344" s="684"/>
      <c r="AY344" s="684"/>
      <c r="AZ344" s="684"/>
      <c r="BA344" s="684"/>
      <c r="BB344" s="677"/>
      <c r="BC344" s="684"/>
      <c r="BD344" s="677"/>
      <c r="BE344" s="684"/>
      <c r="BF344" s="677"/>
      <c r="BG344" s="684"/>
      <c r="BH344" s="13"/>
      <c r="BI344" s="684"/>
      <c r="BJ344" s="13"/>
      <c r="BK344" s="684"/>
      <c r="BL344" s="684"/>
      <c r="BM344" s="684"/>
      <c r="BN344" s="677"/>
      <c r="BO344" s="684"/>
      <c r="BP344" s="541"/>
      <c r="BQ344" s="633"/>
      <c r="BR344" s="541"/>
      <c r="BS344" s="541"/>
      <c r="BT344" s="541"/>
    </row>
    <row r="345" ht="15.75" customHeight="1">
      <c r="A345" s="1591"/>
      <c r="B345" s="1541"/>
      <c r="C345" s="2217"/>
      <c r="D345" s="1543"/>
      <c r="E345" s="906"/>
      <c r="F345" s="1545"/>
      <c r="G345" s="684"/>
      <c r="H345" s="1545"/>
      <c r="I345" s="684"/>
      <c r="J345" s="1545"/>
      <c r="K345" s="684"/>
      <c r="L345" s="1545"/>
      <c r="M345" s="684"/>
      <c r="N345" s="1545"/>
      <c r="O345" s="684"/>
      <c r="P345" s="1545"/>
      <c r="Q345" s="684"/>
      <c r="R345" s="1545"/>
      <c r="S345" s="684"/>
      <c r="T345" s="1545"/>
      <c r="U345" s="684"/>
      <c r="V345" s="1545"/>
      <c r="W345" s="684"/>
      <c r="X345" s="1545"/>
      <c r="Y345" s="1545"/>
      <c r="Z345" s="1545"/>
      <c r="AA345" s="684"/>
      <c r="AB345" s="1545"/>
      <c r="AC345" s="684"/>
      <c r="AD345" s="684"/>
      <c r="AE345" s="684"/>
      <c r="AF345" s="684"/>
      <c r="AG345" s="684"/>
      <c r="AH345" s="684"/>
      <c r="AI345" s="684"/>
      <c r="AJ345" s="684"/>
      <c r="AK345" s="684"/>
      <c r="AL345" s="684"/>
      <c r="AM345" s="684"/>
      <c r="AN345" s="1545"/>
      <c r="AO345" s="1545"/>
      <c r="AP345" s="1545"/>
      <c r="AQ345" s="1545"/>
      <c r="AR345" s="1545"/>
      <c r="AS345" s="684"/>
      <c r="AT345" s="684"/>
      <c r="AU345" s="684"/>
      <c r="AV345" s="684"/>
      <c r="AW345" s="684"/>
      <c r="AX345" s="684"/>
      <c r="AY345" s="684"/>
      <c r="AZ345" s="684"/>
      <c r="BA345" s="684"/>
      <c r="BB345" s="677"/>
      <c r="BC345" s="684"/>
      <c r="BD345" s="677"/>
      <c r="BE345" s="684"/>
      <c r="BF345" s="677"/>
      <c r="BG345" s="684"/>
      <c r="BH345" s="13"/>
      <c r="BI345" s="684"/>
      <c r="BJ345" s="13"/>
      <c r="BK345" s="684"/>
      <c r="BL345" s="684"/>
      <c r="BM345" s="684"/>
      <c r="BN345" s="677"/>
      <c r="BO345" s="684"/>
      <c r="BP345" s="541"/>
      <c r="BQ345" s="633"/>
      <c r="BR345" s="541"/>
      <c r="BS345" s="541"/>
      <c r="BT345" s="541"/>
    </row>
    <row r="346" ht="15.75" customHeight="1">
      <c r="A346" s="1591"/>
      <c r="B346" s="1541"/>
      <c r="C346" s="2217"/>
      <c r="D346" s="1543"/>
      <c r="E346" s="906"/>
      <c r="F346" s="1545"/>
      <c r="G346" s="684"/>
      <c r="H346" s="1545"/>
      <c r="I346" s="684"/>
      <c r="J346" s="1545"/>
      <c r="K346" s="684"/>
      <c r="L346" s="1545"/>
      <c r="M346" s="684"/>
      <c r="N346" s="1545"/>
      <c r="O346" s="684"/>
      <c r="P346" s="1545"/>
      <c r="Q346" s="684"/>
      <c r="R346" s="1545"/>
      <c r="S346" s="684"/>
      <c r="T346" s="1545"/>
      <c r="U346" s="684"/>
      <c r="V346" s="1545"/>
      <c r="W346" s="684"/>
      <c r="X346" s="1545"/>
      <c r="Y346" s="1545"/>
      <c r="Z346" s="1545"/>
      <c r="AA346" s="684"/>
      <c r="AB346" s="1545"/>
      <c r="AC346" s="684"/>
      <c r="AD346" s="684"/>
      <c r="AE346" s="684"/>
      <c r="AF346" s="684"/>
      <c r="AG346" s="684"/>
      <c r="AH346" s="684"/>
      <c r="AI346" s="684"/>
      <c r="AJ346" s="684"/>
      <c r="AK346" s="684"/>
      <c r="AL346" s="684"/>
      <c r="AM346" s="684"/>
      <c r="AN346" s="1545"/>
      <c r="AO346" s="1545"/>
      <c r="AP346" s="1545"/>
      <c r="AQ346" s="1545"/>
      <c r="AR346" s="1545"/>
      <c r="AS346" s="684"/>
      <c r="AT346" s="684"/>
      <c r="AU346" s="684"/>
      <c r="AV346" s="684"/>
      <c r="AW346" s="684"/>
      <c r="AX346" s="684"/>
      <c r="AY346" s="684"/>
      <c r="AZ346" s="684"/>
      <c r="BA346" s="684"/>
      <c r="BB346" s="677"/>
      <c r="BC346" s="684"/>
      <c r="BD346" s="677"/>
      <c r="BE346" s="684"/>
      <c r="BF346" s="677"/>
      <c r="BG346" s="684"/>
      <c r="BH346" s="13"/>
      <c r="BI346" s="684"/>
      <c r="BJ346" s="13"/>
      <c r="BK346" s="684"/>
      <c r="BL346" s="684"/>
      <c r="BM346" s="684"/>
      <c r="BN346" s="677"/>
      <c r="BO346" s="684"/>
      <c r="BP346" s="541"/>
      <c r="BQ346" s="633"/>
      <c r="BR346" s="541"/>
      <c r="BS346" s="541"/>
      <c r="BT346" s="541"/>
    </row>
    <row r="347" ht="15.75" customHeight="1">
      <c r="A347" s="1591"/>
      <c r="B347" s="1541"/>
      <c r="C347" s="2217"/>
      <c r="D347" s="1543"/>
      <c r="E347" s="906"/>
      <c r="F347" s="1545"/>
      <c r="G347" s="684"/>
      <c r="H347" s="1545"/>
      <c r="I347" s="684"/>
      <c r="J347" s="1545"/>
      <c r="K347" s="684"/>
      <c r="L347" s="1545"/>
      <c r="M347" s="684"/>
      <c r="N347" s="1545"/>
      <c r="O347" s="684"/>
      <c r="P347" s="1545"/>
      <c r="Q347" s="684"/>
      <c r="R347" s="1545"/>
      <c r="S347" s="684"/>
      <c r="T347" s="1545"/>
      <c r="U347" s="684"/>
      <c r="V347" s="1545"/>
      <c r="W347" s="684"/>
      <c r="X347" s="1545"/>
      <c r="Y347" s="1545"/>
      <c r="Z347" s="1545"/>
      <c r="AA347" s="684"/>
      <c r="AB347" s="1545"/>
      <c r="AC347" s="684"/>
      <c r="AD347" s="684"/>
      <c r="AE347" s="684"/>
      <c r="AF347" s="684"/>
      <c r="AG347" s="684"/>
      <c r="AH347" s="684"/>
      <c r="AI347" s="684"/>
      <c r="AJ347" s="684"/>
      <c r="AK347" s="684"/>
      <c r="AL347" s="684"/>
      <c r="AM347" s="684"/>
      <c r="AN347" s="1545"/>
      <c r="AO347" s="1545"/>
      <c r="AP347" s="1545"/>
      <c r="AQ347" s="1545"/>
      <c r="AR347" s="1545"/>
      <c r="AS347" s="684"/>
      <c r="AT347" s="684"/>
      <c r="AU347" s="684"/>
      <c r="AV347" s="684"/>
      <c r="AW347" s="684"/>
      <c r="AX347" s="684"/>
      <c r="AY347" s="684"/>
      <c r="AZ347" s="684"/>
      <c r="BA347" s="684"/>
      <c r="BB347" s="677"/>
      <c r="BC347" s="684"/>
      <c r="BD347" s="677"/>
      <c r="BE347" s="684"/>
      <c r="BF347" s="677"/>
      <c r="BG347" s="684"/>
      <c r="BH347" s="13"/>
      <c r="BI347" s="684"/>
      <c r="BJ347" s="13"/>
      <c r="BK347" s="684"/>
      <c r="BL347" s="684"/>
      <c r="BM347" s="684"/>
      <c r="BN347" s="677"/>
      <c r="BO347" s="684"/>
      <c r="BP347" s="541"/>
      <c r="BQ347" s="633"/>
      <c r="BR347" s="541"/>
      <c r="BS347" s="541"/>
      <c r="BT347" s="541"/>
    </row>
    <row r="348" ht="15.75" customHeight="1">
      <c r="A348" s="1591"/>
      <c r="B348" s="1541"/>
      <c r="C348" s="2217"/>
      <c r="D348" s="1543"/>
      <c r="E348" s="906"/>
      <c r="F348" s="1545"/>
      <c r="G348" s="684"/>
      <c r="H348" s="1545"/>
      <c r="I348" s="684"/>
      <c r="J348" s="1545"/>
      <c r="K348" s="684"/>
      <c r="L348" s="1545"/>
      <c r="M348" s="684"/>
      <c r="N348" s="1545"/>
      <c r="O348" s="684"/>
      <c r="P348" s="1545"/>
      <c r="Q348" s="684"/>
      <c r="R348" s="1545"/>
      <c r="S348" s="684"/>
      <c r="T348" s="1545"/>
      <c r="U348" s="684"/>
      <c r="V348" s="1545"/>
      <c r="W348" s="684"/>
      <c r="X348" s="1545"/>
      <c r="Y348" s="1545"/>
      <c r="Z348" s="1545"/>
      <c r="AA348" s="684"/>
      <c r="AB348" s="1545"/>
      <c r="AC348" s="684"/>
      <c r="AD348" s="684"/>
      <c r="AE348" s="684"/>
      <c r="AF348" s="684"/>
      <c r="AG348" s="684"/>
      <c r="AH348" s="684"/>
      <c r="AI348" s="684"/>
      <c r="AJ348" s="684"/>
      <c r="AK348" s="684"/>
      <c r="AL348" s="684"/>
      <c r="AM348" s="684"/>
      <c r="AN348" s="1545"/>
      <c r="AO348" s="1545"/>
      <c r="AP348" s="1545"/>
      <c r="AQ348" s="1545"/>
      <c r="AR348" s="1545"/>
      <c r="AS348" s="684"/>
      <c r="AT348" s="684"/>
      <c r="AU348" s="684"/>
      <c r="AV348" s="684"/>
      <c r="AW348" s="684"/>
      <c r="AX348" s="684"/>
      <c r="AY348" s="684"/>
      <c r="AZ348" s="684"/>
      <c r="BA348" s="684"/>
      <c r="BB348" s="677"/>
      <c r="BC348" s="684"/>
      <c r="BD348" s="677"/>
      <c r="BE348" s="684"/>
      <c r="BF348" s="677"/>
      <c r="BG348" s="684"/>
      <c r="BH348" s="13"/>
      <c r="BI348" s="684"/>
      <c r="BJ348" s="13"/>
      <c r="BK348" s="684"/>
      <c r="BL348" s="684"/>
      <c r="BM348" s="684"/>
      <c r="BN348" s="677"/>
      <c r="BO348" s="684"/>
      <c r="BP348" s="541"/>
      <c r="BQ348" s="633"/>
      <c r="BR348" s="541"/>
      <c r="BS348" s="541"/>
      <c r="BT348" s="541"/>
    </row>
    <row r="349" ht="15.75" customHeight="1">
      <c r="A349" s="1591"/>
      <c r="B349" s="1541"/>
      <c r="C349" s="2217"/>
      <c r="D349" s="1543"/>
      <c r="E349" s="906"/>
      <c r="F349" s="1545"/>
      <c r="G349" s="684"/>
      <c r="H349" s="1545"/>
      <c r="I349" s="684"/>
      <c r="J349" s="1545"/>
      <c r="K349" s="684"/>
      <c r="L349" s="1545"/>
      <c r="M349" s="684"/>
      <c r="N349" s="1545"/>
      <c r="O349" s="684"/>
      <c r="P349" s="1545"/>
      <c r="Q349" s="684"/>
      <c r="R349" s="1545"/>
      <c r="S349" s="684"/>
      <c r="T349" s="1545"/>
      <c r="U349" s="684"/>
      <c r="V349" s="1545"/>
      <c r="W349" s="684"/>
      <c r="X349" s="1545"/>
      <c r="Y349" s="1545"/>
      <c r="Z349" s="1545"/>
      <c r="AA349" s="684"/>
      <c r="AB349" s="1545"/>
      <c r="AC349" s="684"/>
      <c r="AD349" s="684"/>
      <c r="AE349" s="684"/>
      <c r="AF349" s="684"/>
      <c r="AG349" s="684"/>
      <c r="AH349" s="684"/>
      <c r="AI349" s="684"/>
      <c r="AJ349" s="684"/>
      <c r="AK349" s="684"/>
      <c r="AL349" s="684"/>
      <c r="AM349" s="684"/>
      <c r="AN349" s="1545"/>
      <c r="AO349" s="1545"/>
      <c r="AP349" s="1545"/>
      <c r="AQ349" s="1545"/>
      <c r="AR349" s="1545"/>
      <c r="AS349" s="684"/>
      <c r="AT349" s="684"/>
      <c r="AU349" s="684"/>
      <c r="AV349" s="684"/>
      <c r="AW349" s="684"/>
      <c r="AX349" s="684"/>
      <c r="AY349" s="684"/>
      <c r="AZ349" s="684"/>
      <c r="BA349" s="684"/>
      <c r="BB349" s="677"/>
      <c r="BC349" s="684"/>
      <c r="BD349" s="677"/>
      <c r="BE349" s="684"/>
      <c r="BF349" s="677"/>
      <c r="BG349" s="684"/>
      <c r="BH349" s="13"/>
      <c r="BI349" s="684"/>
      <c r="BJ349" s="13"/>
      <c r="BK349" s="684"/>
      <c r="BL349" s="684"/>
      <c r="BM349" s="684"/>
      <c r="BN349" s="677"/>
      <c r="BO349" s="684"/>
      <c r="BP349" s="541"/>
      <c r="BQ349" s="633"/>
      <c r="BR349" s="541"/>
      <c r="BS349" s="541"/>
      <c r="BT349" s="541"/>
    </row>
    <row r="350" ht="15.75" customHeight="1">
      <c r="A350" s="1591"/>
      <c r="B350" s="1541"/>
      <c r="C350" s="2217"/>
      <c r="D350" s="1543"/>
      <c r="E350" s="906"/>
      <c r="F350" s="1545"/>
      <c r="G350" s="684"/>
      <c r="H350" s="1545"/>
      <c r="I350" s="684"/>
      <c r="J350" s="1545"/>
      <c r="K350" s="684"/>
      <c r="L350" s="1545"/>
      <c r="M350" s="684"/>
      <c r="N350" s="1545"/>
      <c r="O350" s="684"/>
      <c r="P350" s="1545"/>
      <c r="Q350" s="684"/>
      <c r="R350" s="1545"/>
      <c r="S350" s="684"/>
      <c r="T350" s="1545"/>
      <c r="U350" s="684"/>
      <c r="V350" s="1545"/>
      <c r="W350" s="684"/>
      <c r="X350" s="1545"/>
      <c r="Y350" s="1545"/>
      <c r="Z350" s="1545"/>
      <c r="AA350" s="684"/>
      <c r="AB350" s="1545"/>
      <c r="AC350" s="684"/>
      <c r="AD350" s="684"/>
      <c r="AE350" s="684"/>
      <c r="AF350" s="684"/>
      <c r="AG350" s="684"/>
      <c r="AH350" s="684"/>
      <c r="AI350" s="684"/>
      <c r="AJ350" s="684"/>
      <c r="AK350" s="684"/>
      <c r="AL350" s="684"/>
      <c r="AM350" s="684"/>
      <c r="AN350" s="1545"/>
      <c r="AO350" s="1545"/>
      <c r="AP350" s="1545"/>
      <c r="AQ350" s="1545"/>
      <c r="AR350" s="1545"/>
      <c r="AS350" s="684"/>
      <c r="AT350" s="684"/>
      <c r="AU350" s="684"/>
      <c r="AV350" s="684"/>
      <c r="AW350" s="684"/>
      <c r="AX350" s="684"/>
      <c r="AY350" s="684"/>
      <c r="AZ350" s="684"/>
      <c r="BA350" s="684"/>
      <c r="BB350" s="677"/>
      <c r="BC350" s="684"/>
      <c r="BD350" s="677"/>
      <c r="BE350" s="684"/>
      <c r="BF350" s="677"/>
      <c r="BG350" s="684"/>
      <c r="BH350" s="13"/>
      <c r="BI350" s="684"/>
      <c r="BJ350" s="13"/>
      <c r="BK350" s="684"/>
      <c r="BL350" s="684"/>
      <c r="BM350" s="684"/>
      <c r="BN350" s="677"/>
      <c r="BO350" s="684"/>
      <c r="BP350" s="541"/>
      <c r="BQ350" s="633"/>
      <c r="BR350" s="541"/>
      <c r="BS350" s="541"/>
      <c r="BT350" s="541"/>
    </row>
    <row r="351" ht="15.75" customHeight="1">
      <c r="A351" s="1591"/>
      <c r="B351" s="1541"/>
      <c r="C351" s="2217"/>
      <c r="D351" s="1543"/>
      <c r="E351" s="906"/>
      <c r="F351" s="1545"/>
      <c r="G351" s="684"/>
      <c r="H351" s="1545"/>
      <c r="I351" s="684"/>
      <c r="J351" s="1545"/>
      <c r="K351" s="684"/>
      <c r="L351" s="1545"/>
      <c r="M351" s="684"/>
      <c r="N351" s="1545"/>
      <c r="O351" s="684"/>
      <c r="P351" s="1545"/>
      <c r="Q351" s="684"/>
      <c r="R351" s="1545"/>
      <c r="S351" s="684"/>
      <c r="T351" s="1545"/>
      <c r="U351" s="684"/>
      <c r="V351" s="1545"/>
      <c r="W351" s="684"/>
      <c r="X351" s="1545"/>
      <c r="Y351" s="1545"/>
      <c r="Z351" s="1545"/>
      <c r="AA351" s="684"/>
      <c r="AB351" s="1545"/>
      <c r="AC351" s="684"/>
      <c r="AD351" s="684"/>
      <c r="AE351" s="684"/>
      <c r="AF351" s="684"/>
      <c r="AG351" s="684"/>
      <c r="AH351" s="684"/>
      <c r="AI351" s="684"/>
      <c r="AJ351" s="684"/>
      <c r="AK351" s="684"/>
      <c r="AL351" s="684"/>
      <c r="AM351" s="684"/>
      <c r="AN351" s="1545"/>
      <c r="AO351" s="1545"/>
      <c r="AP351" s="1545"/>
      <c r="AQ351" s="1545"/>
      <c r="AR351" s="1545"/>
      <c r="AS351" s="684"/>
      <c r="AT351" s="684"/>
      <c r="AU351" s="684"/>
      <c r="AV351" s="684"/>
      <c r="AW351" s="684"/>
      <c r="AX351" s="684"/>
      <c r="AY351" s="684"/>
      <c r="AZ351" s="684"/>
      <c r="BA351" s="684"/>
      <c r="BB351" s="677"/>
      <c r="BC351" s="684"/>
      <c r="BD351" s="677"/>
      <c r="BE351" s="684"/>
      <c r="BF351" s="677"/>
      <c r="BG351" s="684"/>
      <c r="BH351" s="13"/>
      <c r="BI351" s="684"/>
      <c r="BJ351" s="13"/>
      <c r="BK351" s="684"/>
      <c r="BL351" s="684"/>
      <c r="BM351" s="684"/>
      <c r="BN351" s="677"/>
      <c r="BO351" s="684"/>
      <c r="BP351" s="541"/>
      <c r="BQ351" s="633"/>
      <c r="BR351" s="541"/>
      <c r="BS351" s="541"/>
      <c r="BT351" s="541"/>
    </row>
    <row r="352" ht="15.75" customHeight="1">
      <c r="A352" s="1591"/>
      <c r="B352" s="1541"/>
      <c r="C352" s="2217"/>
      <c r="D352" s="1543"/>
      <c r="E352" s="906"/>
      <c r="F352" s="1545"/>
      <c r="G352" s="684"/>
      <c r="H352" s="1545"/>
      <c r="I352" s="684"/>
      <c r="J352" s="1545"/>
      <c r="K352" s="684"/>
      <c r="L352" s="1545"/>
      <c r="M352" s="684"/>
      <c r="N352" s="1545"/>
      <c r="O352" s="684"/>
      <c r="P352" s="1545"/>
      <c r="Q352" s="684"/>
      <c r="R352" s="1545"/>
      <c r="S352" s="684"/>
      <c r="T352" s="1545"/>
      <c r="U352" s="684"/>
      <c r="V352" s="1545"/>
      <c r="W352" s="684"/>
      <c r="X352" s="1545"/>
      <c r="Y352" s="1545"/>
      <c r="Z352" s="1545"/>
      <c r="AA352" s="684"/>
      <c r="AB352" s="1545"/>
      <c r="AC352" s="684"/>
      <c r="AD352" s="684"/>
      <c r="AE352" s="684"/>
      <c r="AF352" s="684"/>
      <c r="AG352" s="684"/>
      <c r="AH352" s="684"/>
      <c r="AI352" s="684"/>
      <c r="AJ352" s="684"/>
      <c r="AK352" s="684"/>
      <c r="AL352" s="684"/>
      <c r="AM352" s="684"/>
      <c r="AN352" s="1545"/>
      <c r="AO352" s="1545"/>
      <c r="AP352" s="1545"/>
      <c r="AQ352" s="1545"/>
      <c r="AR352" s="1545"/>
      <c r="AS352" s="684"/>
      <c r="AT352" s="684"/>
      <c r="AU352" s="684"/>
      <c r="AV352" s="684"/>
      <c r="AW352" s="684"/>
      <c r="AX352" s="684"/>
      <c r="AY352" s="684"/>
      <c r="AZ352" s="684"/>
      <c r="BA352" s="684"/>
      <c r="BB352" s="677"/>
      <c r="BC352" s="684"/>
      <c r="BD352" s="677"/>
      <c r="BE352" s="684"/>
      <c r="BF352" s="677"/>
      <c r="BG352" s="684"/>
      <c r="BH352" s="13"/>
      <c r="BI352" s="684"/>
      <c r="BJ352" s="13"/>
      <c r="BK352" s="684"/>
      <c r="BL352" s="684"/>
      <c r="BM352" s="684"/>
      <c r="BN352" s="677"/>
      <c r="BO352" s="684"/>
      <c r="BP352" s="541"/>
      <c r="BQ352" s="633"/>
      <c r="BR352" s="541"/>
      <c r="BS352" s="541"/>
      <c r="BT352" s="541"/>
    </row>
    <row r="353" ht="15.75" customHeight="1">
      <c r="A353" s="1591"/>
      <c r="B353" s="1541"/>
      <c r="C353" s="2217"/>
      <c r="D353" s="1543"/>
      <c r="E353" s="906"/>
      <c r="F353" s="1545"/>
      <c r="G353" s="684"/>
      <c r="H353" s="1545"/>
      <c r="I353" s="684"/>
      <c r="J353" s="1545"/>
      <c r="K353" s="684"/>
      <c r="L353" s="1545"/>
      <c r="M353" s="684"/>
      <c r="N353" s="1545"/>
      <c r="O353" s="684"/>
      <c r="P353" s="1545"/>
      <c r="Q353" s="684"/>
      <c r="R353" s="1545"/>
      <c r="S353" s="684"/>
      <c r="T353" s="1545"/>
      <c r="U353" s="684"/>
      <c r="V353" s="1545"/>
      <c r="W353" s="684"/>
      <c r="X353" s="1545"/>
      <c r="Y353" s="1545"/>
      <c r="Z353" s="1545"/>
      <c r="AA353" s="684"/>
      <c r="AB353" s="1545"/>
      <c r="AC353" s="684"/>
      <c r="AD353" s="684"/>
      <c r="AE353" s="684"/>
      <c r="AF353" s="684"/>
      <c r="AG353" s="684"/>
      <c r="AH353" s="684"/>
      <c r="AI353" s="684"/>
      <c r="AJ353" s="684"/>
      <c r="AK353" s="684"/>
      <c r="AL353" s="684"/>
      <c r="AM353" s="684"/>
      <c r="AN353" s="1545"/>
      <c r="AO353" s="1545"/>
      <c r="AP353" s="1545"/>
      <c r="AQ353" s="1545"/>
      <c r="AR353" s="1545"/>
      <c r="AS353" s="684"/>
      <c r="AT353" s="684"/>
      <c r="AU353" s="684"/>
      <c r="AV353" s="684"/>
      <c r="AW353" s="684"/>
      <c r="AX353" s="684"/>
      <c r="AY353" s="684"/>
      <c r="AZ353" s="684"/>
      <c r="BA353" s="684"/>
      <c r="BB353" s="677"/>
      <c r="BC353" s="684"/>
      <c r="BD353" s="677"/>
      <c r="BE353" s="684"/>
      <c r="BF353" s="677"/>
      <c r="BG353" s="684"/>
      <c r="BH353" s="13"/>
      <c r="BI353" s="684"/>
      <c r="BJ353" s="13"/>
      <c r="BK353" s="684"/>
      <c r="BL353" s="684"/>
      <c r="BM353" s="684"/>
      <c r="BN353" s="677"/>
      <c r="BO353" s="684"/>
      <c r="BP353" s="541"/>
      <c r="BQ353" s="633"/>
      <c r="BR353" s="541"/>
      <c r="BS353" s="541"/>
      <c r="BT353" s="541"/>
    </row>
    <row r="354" ht="15.75" customHeight="1">
      <c r="A354" s="1591"/>
      <c r="B354" s="1541"/>
      <c r="C354" s="2217"/>
      <c r="D354" s="1543"/>
      <c r="E354" s="906"/>
      <c r="F354" s="1545"/>
      <c r="G354" s="684"/>
      <c r="H354" s="1545"/>
      <c r="I354" s="684"/>
      <c r="J354" s="1545"/>
      <c r="K354" s="684"/>
      <c r="L354" s="1545"/>
      <c r="M354" s="684"/>
      <c r="N354" s="1545"/>
      <c r="O354" s="684"/>
      <c r="P354" s="1545"/>
      <c r="Q354" s="684"/>
      <c r="R354" s="1545"/>
      <c r="S354" s="684"/>
      <c r="T354" s="1545"/>
      <c r="U354" s="684"/>
      <c r="V354" s="1545"/>
      <c r="W354" s="684"/>
      <c r="X354" s="1545"/>
      <c r="Y354" s="1545"/>
      <c r="Z354" s="1545"/>
      <c r="AA354" s="684"/>
      <c r="AB354" s="1545"/>
      <c r="AC354" s="684"/>
      <c r="AD354" s="684"/>
      <c r="AE354" s="684"/>
      <c r="AF354" s="684"/>
      <c r="AG354" s="684"/>
      <c r="AH354" s="684"/>
      <c r="AI354" s="684"/>
      <c r="AJ354" s="684"/>
      <c r="AK354" s="684"/>
      <c r="AL354" s="684"/>
      <c r="AM354" s="684"/>
      <c r="AN354" s="1545"/>
      <c r="AO354" s="1545"/>
      <c r="AP354" s="1545"/>
      <c r="AQ354" s="1545"/>
      <c r="AR354" s="1545"/>
      <c r="AS354" s="684"/>
      <c r="AT354" s="684"/>
      <c r="AU354" s="684"/>
      <c r="AV354" s="684"/>
      <c r="AW354" s="684"/>
      <c r="AX354" s="684"/>
      <c r="AY354" s="684"/>
      <c r="AZ354" s="684"/>
      <c r="BA354" s="684"/>
      <c r="BB354" s="677"/>
      <c r="BC354" s="684"/>
      <c r="BD354" s="677"/>
      <c r="BE354" s="684"/>
      <c r="BF354" s="677"/>
      <c r="BG354" s="684"/>
      <c r="BH354" s="13"/>
      <c r="BI354" s="684"/>
      <c r="BJ354" s="13"/>
      <c r="BK354" s="684"/>
      <c r="BL354" s="684"/>
      <c r="BM354" s="684"/>
      <c r="BN354" s="677"/>
      <c r="BO354" s="684"/>
      <c r="BP354" s="541"/>
      <c r="BQ354" s="633"/>
      <c r="BR354" s="541"/>
      <c r="BS354" s="541"/>
      <c r="BT354" s="541"/>
    </row>
    <row r="355" ht="15.75" customHeight="1">
      <c r="A355" s="1591"/>
      <c r="B355" s="1541"/>
      <c r="C355" s="2217"/>
      <c r="D355" s="1543"/>
      <c r="E355" s="906"/>
      <c r="F355" s="1545"/>
      <c r="G355" s="684"/>
      <c r="H355" s="1545"/>
      <c r="I355" s="684"/>
      <c r="J355" s="1545"/>
      <c r="K355" s="684"/>
      <c r="L355" s="1545"/>
      <c r="M355" s="684"/>
      <c r="N355" s="1545"/>
      <c r="O355" s="684"/>
      <c r="P355" s="1545"/>
      <c r="Q355" s="684"/>
      <c r="R355" s="1545"/>
      <c r="S355" s="684"/>
      <c r="T355" s="1545"/>
      <c r="U355" s="684"/>
      <c r="V355" s="1545"/>
      <c r="W355" s="684"/>
      <c r="X355" s="1545"/>
      <c r="Y355" s="1545"/>
      <c r="Z355" s="1545"/>
      <c r="AA355" s="684"/>
      <c r="AB355" s="1545"/>
      <c r="AC355" s="684"/>
      <c r="AD355" s="684"/>
      <c r="AE355" s="684"/>
      <c r="AF355" s="684"/>
      <c r="AG355" s="684"/>
      <c r="AH355" s="684"/>
      <c r="AI355" s="684"/>
      <c r="AJ355" s="684"/>
      <c r="AK355" s="684"/>
      <c r="AL355" s="684"/>
      <c r="AM355" s="684"/>
      <c r="AN355" s="1545"/>
      <c r="AO355" s="1545"/>
      <c r="AP355" s="1545"/>
      <c r="AQ355" s="1545"/>
      <c r="AR355" s="1545"/>
      <c r="AS355" s="684"/>
      <c r="AT355" s="684"/>
      <c r="AU355" s="684"/>
      <c r="AV355" s="684"/>
      <c r="AW355" s="684"/>
      <c r="AX355" s="684"/>
      <c r="AY355" s="684"/>
      <c r="AZ355" s="684"/>
      <c r="BA355" s="684"/>
      <c r="BB355" s="677"/>
      <c r="BC355" s="684"/>
      <c r="BD355" s="677"/>
      <c r="BE355" s="684"/>
      <c r="BF355" s="677"/>
      <c r="BG355" s="684"/>
      <c r="BH355" s="13"/>
      <c r="BI355" s="684"/>
      <c r="BJ355" s="13"/>
      <c r="BK355" s="684"/>
      <c r="BL355" s="684"/>
      <c r="BM355" s="684"/>
      <c r="BN355" s="677"/>
      <c r="BO355" s="684"/>
      <c r="BP355" s="541"/>
      <c r="BQ355" s="633"/>
      <c r="BR355" s="541"/>
      <c r="BS355" s="541"/>
      <c r="BT355" s="541"/>
    </row>
    <row r="356" ht="15.75" customHeight="1">
      <c r="A356" s="1591"/>
      <c r="B356" s="1541"/>
      <c r="C356" s="2217"/>
      <c r="D356" s="1543"/>
      <c r="E356" s="906"/>
      <c r="F356" s="1545"/>
      <c r="G356" s="684"/>
      <c r="H356" s="1545"/>
      <c r="I356" s="684"/>
      <c r="J356" s="1545"/>
      <c r="K356" s="684"/>
      <c r="L356" s="1545"/>
      <c r="M356" s="684"/>
      <c r="N356" s="1545"/>
      <c r="O356" s="684"/>
      <c r="P356" s="1545"/>
      <c r="Q356" s="684"/>
      <c r="R356" s="1545"/>
      <c r="S356" s="684"/>
      <c r="T356" s="1545"/>
      <c r="U356" s="684"/>
      <c r="V356" s="1545"/>
      <c r="W356" s="684"/>
      <c r="X356" s="1545"/>
      <c r="Y356" s="1545"/>
      <c r="Z356" s="1545"/>
      <c r="AA356" s="684"/>
      <c r="AB356" s="1545"/>
      <c r="AC356" s="684"/>
      <c r="AD356" s="684"/>
      <c r="AE356" s="684"/>
      <c r="AF356" s="684"/>
      <c r="AG356" s="684"/>
      <c r="AH356" s="684"/>
      <c r="AI356" s="684"/>
      <c r="AJ356" s="684"/>
      <c r="AK356" s="684"/>
      <c r="AL356" s="684"/>
      <c r="AM356" s="684"/>
      <c r="AN356" s="1545"/>
      <c r="AO356" s="1545"/>
      <c r="AP356" s="1545"/>
      <c r="AQ356" s="1545"/>
      <c r="AR356" s="1545"/>
      <c r="AS356" s="684"/>
      <c r="AT356" s="684"/>
      <c r="AU356" s="684"/>
      <c r="AV356" s="684"/>
      <c r="AW356" s="684"/>
      <c r="AX356" s="684"/>
      <c r="AY356" s="684"/>
      <c r="AZ356" s="684"/>
      <c r="BA356" s="684"/>
      <c r="BB356" s="677"/>
      <c r="BC356" s="684"/>
      <c r="BD356" s="677"/>
      <c r="BE356" s="684"/>
      <c r="BF356" s="677"/>
      <c r="BG356" s="684"/>
      <c r="BH356" s="13"/>
      <c r="BI356" s="684"/>
      <c r="BJ356" s="13"/>
      <c r="BK356" s="684"/>
      <c r="BL356" s="684"/>
      <c r="BM356" s="684"/>
      <c r="BN356" s="677"/>
      <c r="BO356" s="684"/>
      <c r="BP356" s="541"/>
      <c r="BQ356" s="633"/>
      <c r="BR356" s="541"/>
      <c r="BS356" s="541"/>
      <c r="BT356" s="541"/>
    </row>
    <row r="357" ht="15.75" customHeight="1">
      <c r="A357" s="1591"/>
      <c r="B357" s="1541"/>
      <c r="C357" s="2217"/>
      <c r="D357" s="1543"/>
      <c r="E357" s="906"/>
      <c r="F357" s="1545"/>
      <c r="G357" s="684"/>
      <c r="H357" s="1545"/>
      <c r="I357" s="684"/>
      <c r="J357" s="1545"/>
      <c r="K357" s="684"/>
      <c r="L357" s="1545"/>
      <c r="M357" s="684"/>
      <c r="N357" s="1545"/>
      <c r="O357" s="684"/>
      <c r="P357" s="1545"/>
      <c r="Q357" s="684"/>
      <c r="R357" s="1545"/>
      <c r="S357" s="684"/>
      <c r="T357" s="1545"/>
      <c r="U357" s="684"/>
      <c r="V357" s="1545"/>
      <c r="W357" s="684"/>
      <c r="X357" s="1545"/>
      <c r="Y357" s="1545"/>
      <c r="Z357" s="1545"/>
      <c r="AA357" s="684"/>
      <c r="AB357" s="1545"/>
      <c r="AC357" s="684"/>
      <c r="AD357" s="684"/>
      <c r="AE357" s="684"/>
      <c r="AF357" s="684"/>
      <c r="AG357" s="684"/>
      <c r="AH357" s="684"/>
      <c r="AI357" s="684"/>
      <c r="AJ357" s="684"/>
      <c r="AK357" s="684"/>
      <c r="AL357" s="684"/>
      <c r="AM357" s="684"/>
      <c r="AN357" s="1545"/>
      <c r="AO357" s="1545"/>
      <c r="AP357" s="1545"/>
      <c r="AQ357" s="1545"/>
      <c r="AR357" s="1545"/>
      <c r="AS357" s="684"/>
      <c r="AT357" s="684"/>
      <c r="AU357" s="684"/>
      <c r="AV357" s="684"/>
      <c r="AW357" s="684"/>
      <c r="AX357" s="684"/>
      <c r="AY357" s="684"/>
      <c r="AZ357" s="684"/>
      <c r="BA357" s="684"/>
      <c r="BB357" s="677"/>
      <c r="BC357" s="684"/>
      <c r="BD357" s="677"/>
      <c r="BE357" s="684"/>
      <c r="BF357" s="677"/>
      <c r="BG357" s="684"/>
      <c r="BH357" s="13"/>
      <c r="BI357" s="684"/>
      <c r="BJ357" s="13"/>
      <c r="BK357" s="684"/>
      <c r="BL357" s="684"/>
      <c r="BM357" s="684"/>
      <c r="BN357" s="677"/>
      <c r="BO357" s="684"/>
      <c r="BP357" s="541"/>
      <c r="BQ357" s="633"/>
      <c r="BR357" s="541"/>
      <c r="BS357" s="541"/>
      <c r="BT357" s="541"/>
    </row>
    <row r="358" ht="15.75" customHeight="1">
      <c r="A358" s="1591"/>
      <c r="B358" s="1541"/>
      <c r="C358" s="2217"/>
      <c r="D358" s="1543"/>
      <c r="E358" s="906"/>
      <c r="F358" s="1545"/>
      <c r="G358" s="684"/>
      <c r="H358" s="1545"/>
      <c r="I358" s="684"/>
      <c r="J358" s="1545"/>
      <c r="K358" s="684"/>
      <c r="L358" s="1545"/>
      <c r="M358" s="684"/>
      <c r="N358" s="1545"/>
      <c r="O358" s="684"/>
      <c r="P358" s="1545"/>
      <c r="Q358" s="684"/>
      <c r="R358" s="1545"/>
      <c r="S358" s="684"/>
      <c r="T358" s="1545"/>
      <c r="U358" s="684"/>
      <c r="V358" s="1545"/>
      <c r="W358" s="684"/>
      <c r="X358" s="1545"/>
      <c r="Y358" s="1545"/>
      <c r="Z358" s="1545"/>
      <c r="AA358" s="684"/>
      <c r="AB358" s="1545"/>
      <c r="AC358" s="684"/>
      <c r="AD358" s="684"/>
      <c r="AE358" s="684"/>
      <c r="AF358" s="684"/>
      <c r="AG358" s="684"/>
      <c r="AH358" s="684"/>
      <c r="AI358" s="684"/>
      <c r="AJ358" s="684"/>
      <c r="AK358" s="684"/>
      <c r="AL358" s="684"/>
      <c r="AM358" s="684"/>
      <c r="AN358" s="1545"/>
      <c r="AO358" s="1545"/>
      <c r="AP358" s="1545"/>
      <c r="AQ358" s="1545"/>
      <c r="AR358" s="1545"/>
      <c r="AS358" s="684"/>
      <c r="AT358" s="684"/>
      <c r="AU358" s="684"/>
      <c r="AV358" s="684"/>
      <c r="AW358" s="684"/>
      <c r="AX358" s="684"/>
      <c r="AY358" s="684"/>
      <c r="AZ358" s="684"/>
      <c r="BA358" s="684"/>
      <c r="BB358" s="677"/>
      <c r="BC358" s="684"/>
      <c r="BD358" s="677"/>
      <c r="BE358" s="684"/>
      <c r="BF358" s="677"/>
      <c r="BG358" s="684"/>
      <c r="BH358" s="13"/>
      <c r="BI358" s="684"/>
      <c r="BJ358" s="13"/>
      <c r="BK358" s="684"/>
      <c r="BL358" s="684"/>
      <c r="BM358" s="684"/>
      <c r="BN358" s="677"/>
      <c r="BO358" s="684"/>
      <c r="BP358" s="541"/>
      <c r="BQ358" s="633"/>
      <c r="BR358" s="541"/>
      <c r="BS358" s="541"/>
      <c r="BT358" s="541"/>
    </row>
    <row r="359" ht="15.75" customHeight="1">
      <c r="A359" s="1591"/>
      <c r="B359" s="1541"/>
      <c r="C359" s="2217"/>
      <c r="D359" s="1543"/>
      <c r="E359" s="906"/>
      <c r="F359" s="1545"/>
      <c r="G359" s="684"/>
      <c r="H359" s="1545"/>
      <c r="I359" s="684"/>
      <c r="J359" s="1545"/>
      <c r="K359" s="684"/>
      <c r="L359" s="1545"/>
      <c r="M359" s="684"/>
      <c r="N359" s="1545"/>
      <c r="O359" s="684"/>
      <c r="P359" s="1545"/>
      <c r="Q359" s="684"/>
      <c r="R359" s="1545"/>
      <c r="S359" s="684"/>
      <c r="T359" s="1545"/>
      <c r="U359" s="684"/>
      <c r="V359" s="1545"/>
      <c r="W359" s="684"/>
      <c r="X359" s="1545"/>
      <c r="Y359" s="1545"/>
      <c r="Z359" s="1545"/>
      <c r="AA359" s="684"/>
      <c r="AB359" s="1545"/>
      <c r="AC359" s="684"/>
      <c r="AD359" s="684"/>
      <c r="AE359" s="684"/>
      <c r="AF359" s="684"/>
      <c r="AG359" s="684"/>
      <c r="AH359" s="684"/>
      <c r="AI359" s="684"/>
      <c r="AJ359" s="684"/>
      <c r="AK359" s="684"/>
      <c r="AL359" s="684"/>
      <c r="AM359" s="684"/>
      <c r="AN359" s="1545"/>
      <c r="AO359" s="1545"/>
      <c r="AP359" s="1545"/>
      <c r="AQ359" s="1545"/>
      <c r="AR359" s="1545"/>
      <c r="AS359" s="684"/>
      <c r="AT359" s="684"/>
      <c r="AU359" s="684"/>
      <c r="AV359" s="684"/>
      <c r="AW359" s="684"/>
      <c r="AX359" s="684"/>
      <c r="AY359" s="684"/>
      <c r="AZ359" s="684"/>
      <c r="BA359" s="684"/>
      <c r="BB359" s="677"/>
      <c r="BC359" s="684"/>
      <c r="BD359" s="677"/>
      <c r="BE359" s="684"/>
      <c r="BF359" s="677"/>
      <c r="BG359" s="684"/>
      <c r="BH359" s="13"/>
      <c r="BI359" s="684"/>
      <c r="BJ359" s="13"/>
      <c r="BK359" s="684"/>
      <c r="BL359" s="684"/>
      <c r="BM359" s="684"/>
      <c r="BN359" s="677"/>
      <c r="BO359" s="684"/>
      <c r="BP359" s="541"/>
      <c r="BQ359" s="633"/>
      <c r="BR359" s="541"/>
      <c r="BS359" s="541"/>
      <c r="BT359" s="541"/>
    </row>
    <row r="360" ht="15.75" customHeight="1">
      <c r="A360" s="1591"/>
      <c r="B360" s="1541"/>
      <c r="C360" s="2217"/>
      <c r="D360" s="1543"/>
      <c r="E360" s="906"/>
      <c r="F360" s="1545"/>
      <c r="G360" s="684"/>
      <c r="H360" s="1545"/>
      <c r="I360" s="684"/>
      <c r="J360" s="1545"/>
      <c r="K360" s="684"/>
      <c r="L360" s="1545"/>
      <c r="M360" s="684"/>
      <c r="N360" s="1545"/>
      <c r="O360" s="684"/>
      <c r="P360" s="1545"/>
      <c r="Q360" s="684"/>
      <c r="R360" s="1545"/>
      <c r="S360" s="684"/>
      <c r="T360" s="1545"/>
      <c r="U360" s="684"/>
      <c r="V360" s="1545"/>
      <c r="W360" s="684"/>
      <c r="X360" s="1545"/>
      <c r="Y360" s="1545"/>
      <c r="Z360" s="1545"/>
      <c r="AA360" s="684"/>
      <c r="AB360" s="1545"/>
      <c r="AC360" s="684"/>
      <c r="AD360" s="684"/>
      <c r="AE360" s="684"/>
      <c r="AF360" s="684"/>
      <c r="AG360" s="684"/>
      <c r="AH360" s="684"/>
      <c r="AI360" s="684"/>
      <c r="AJ360" s="684"/>
      <c r="AK360" s="684"/>
      <c r="AL360" s="684"/>
      <c r="AM360" s="684"/>
      <c r="AN360" s="1545"/>
      <c r="AO360" s="1545"/>
      <c r="AP360" s="1545"/>
      <c r="AQ360" s="1545"/>
      <c r="AR360" s="1545"/>
      <c r="AS360" s="684"/>
      <c r="AT360" s="684"/>
      <c r="AU360" s="684"/>
      <c r="AV360" s="684"/>
      <c r="AW360" s="684"/>
      <c r="AX360" s="684"/>
      <c r="AY360" s="684"/>
      <c r="AZ360" s="684"/>
      <c r="BA360" s="684"/>
      <c r="BB360" s="677"/>
      <c r="BC360" s="684"/>
      <c r="BD360" s="677"/>
      <c r="BE360" s="684"/>
      <c r="BF360" s="677"/>
      <c r="BG360" s="684"/>
      <c r="BH360" s="13"/>
      <c r="BI360" s="684"/>
      <c r="BJ360" s="13"/>
      <c r="BK360" s="684"/>
      <c r="BL360" s="684"/>
      <c r="BM360" s="684"/>
      <c r="BN360" s="677"/>
      <c r="BO360" s="684"/>
      <c r="BP360" s="541"/>
      <c r="BQ360" s="633"/>
      <c r="BR360" s="541"/>
      <c r="BS360" s="541"/>
      <c r="BT360" s="541"/>
    </row>
    <row r="361" ht="15.75" customHeight="1">
      <c r="A361" s="1591"/>
      <c r="B361" s="1541"/>
      <c r="C361" s="2217"/>
      <c r="D361" s="1543"/>
      <c r="E361" s="906"/>
      <c r="F361" s="1545"/>
      <c r="G361" s="684"/>
      <c r="H361" s="1545"/>
      <c r="I361" s="684"/>
      <c r="J361" s="1545"/>
      <c r="K361" s="684"/>
      <c r="L361" s="1545"/>
      <c r="M361" s="684"/>
      <c r="N361" s="1545"/>
      <c r="O361" s="684"/>
      <c r="P361" s="1545"/>
      <c r="Q361" s="684"/>
      <c r="R361" s="1545"/>
      <c r="S361" s="684"/>
      <c r="T361" s="1545"/>
      <c r="U361" s="684"/>
      <c r="V361" s="1545"/>
      <c r="W361" s="684"/>
      <c r="X361" s="1545"/>
      <c r="Y361" s="1545"/>
      <c r="Z361" s="1545"/>
      <c r="AA361" s="684"/>
      <c r="AB361" s="1545"/>
      <c r="AC361" s="684"/>
      <c r="AD361" s="684"/>
      <c r="AE361" s="684"/>
      <c r="AF361" s="684"/>
      <c r="AG361" s="684"/>
      <c r="AH361" s="684"/>
      <c r="AI361" s="684"/>
      <c r="AJ361" s="684"/>
      <c r="AK361" s="684"/>
      <c r="AL361" s="684"/>
      <c r="AM361" s="684"/>
      <c r="AN361" s="1545"/>
      <c r="AO361" s="1545"/>
      <c r="AP361" s="1545"/>
      <c r="AQ361" s="1545"/>
      <c r="AR361" s="1545"/>
      <c r="AS361" s="684"/>
      <c r="AT361" s="684"/>
      <c r="AU361" s="684"/>
      <c r="AV361" s="684"/>
      <c r="AW361" s="684"/>
      <c r="AX361" s="684"/>
      <c r="AY361" s="684"/>
      <c r="AZ361" s="684"/>
      <c r="BA361" s="684"/>
      <c r="BB361" s="677"/>
      <c r="BC361" s="684"/>
      <c r="BD361" s="677"/>
      <c r="BE361" s="684"/>
      <c r="BF361" s="677"/>
      <c r="BG361" s="684"/>
      <c r="BH361" s="13"/>
      <c r="BI361" s="684"/>
      <c r="BJ361" s="13"/>
      <c r="BK361" s="684"/>
      <c r="BL361" s="684"/>
      <c r="BM361" s="684"/>
      <c r="BN361" s="677"/>
      <c r="BO361" s="684"/>
      <c r="BP361" s="541"/>
      <c r="BQ361" s="633"/>
      <c r="BR361" s="541"/>
      <c r="BS361" s="541"/>
      <c r="BT361" s="541"/>
    </row>
    <row r="362" ht="15.75" customHeight="1">
      <c r="A362" s="1591"/>
      <c r="B362" s="1541"/>
      <c r="C362" s="2217"/>
      <c r="D362" s="1543"/>
      <c r="E362" s="906"/>
      <c r="F362" s="1545"/>
      <c r="G362" s="684"/>
      <c r="H362" s="1545"/>
      <c r="I362" s="684"/>
      <c r="J362" s="1545"/>
      <c r="K362" s="684"/>
      <c r="L362" s="1545"/>
      <c r="M362" s="684"/>
      <c r="N362" s="1545"/>
      <c r="O362" s="684"/>
      <c r="P362" s="1545"/>
      <c r="Q362" s="684"/>
      <c r="R362" s="1545"/>
      <c r="S362" s="684"/>
      <c r="T362" s="1545"/>
      <c r="U362" s="684"/>
      <c r="V362" s="1545"/>
      <c r="W362" s="684"/>
      <c r="X362" s="1545"/>
      <c r="Y362" s="1545"/>
      <c r="Z362" s="1545"/>
      <c r="AA362" s="684"/>
      <c r="AB362" s="1545"/>
      <c r="AC362" s="684"/>
      <c r="AD362" s="684"/>
      <c r="AE362" s="684"/>
      <c r="AF362" s="684"/>
      <c r="AG362" s="684"/>
      <c r="AH362" s="684"/>
      <c r="AI362" s="684"/>
      <c r="AJ362" s="684"/>
      <c r="AK362" s="684"/>
      <c r="AL362" s="684"/>
      <c r="AM362" s="684"/>
      <c r="AN362" s="1545"/>
      <c r="AO362" s="1545"/>
      <c r="AP362" s="1545"/>
      <c r="AQ362" s="1545"/>
      <c r="AR362" s="1545"/>
      <c r="AS362" s="684"/>
      <c r="AT362" s="684"/>
      <c r="AU362" s="684"/>
      <c r="AV362" s="684"/>
      <c r="AW362" s="684"/>
      <c r="AX362" s="684"/>
      <c r="AY362" s="684"/>
      <c r="AZ362" s="684"/>
      <c r="BA362" s="684"/>
      <c r="BB362" s="677"/>
      <c r="BC362" s="684"/>
      <c r="BD362" s="677"/>
      <c r="BE362" s="684"/>
      <c r="BF362" s="677"/>
      <c r="BG362" s="684"/>
      <c r="BH362" s="13"/>
      <c r="BI362" s="684"/>
      <c r="BJ362" s="13"/>
      <c r="BK362" s="684"/>
      <c r="BL362" s="684"/>
      <c r="BM362" s="684"/>
      <c r="BN362" s="677"/>
      <c r="BO362" s="684"/>
      <c r="BP362" s="541"/>
      <c r="BQ362" s="633"/>
      <c r="BR362" s="541"/>
      <c r="BS362" s="541"/>
      <c r="BT362" s="541"/>
    </row>
    <row r="363" ht="15.75" customHeight="1">
      <c r="A363" s="1591"/>
      <c r="B363" s="1541"/>
      <c r="C363" s="2217"/>
      <c r="D363" s="1543"/>
      <c r="E363" s="906"/>
      <c r="F363" s="1545"/>
      <c r="G363" s="684"/>
      <c r="H363" s="1545"/>
      <c r="I363" s="684"/>
      <c r="J363" s="1545"/>
      <c r="K363" s="684"/>
      <c r="L363" s="1545"/>
      <c r="M363" s="684"/>
      <c r="N363" s="1545"/>
      <c r="O363" s="684"/>
      <c r="P363" s="1545"/>
      <c r="Q363" s="684"/>
      <c r="R363" s="1545"/>
      <c r="S363" s="684"/>
      <c r="T363" s="1545"/>
      <c r="U363" s="684"/>
      <c r="V363" s="1545"/>
      <c r="W363" s="684"/>
      <c r="X363" s="1545"/>
      <c r="Y363" s="1545"/>
      <c r="Z363" s="1545"/>
      <c r="AA363" s="684"/>
      <c r="AB363" s="1545"/>
      <c r="AC363" s="684"/>
      <c r="AD363" s="684"/>
      <c r="AE363" s="684"/>
      <c r="AF363" s="684"/>
      <c r="AG363" s="684"/>
      <c r="AH363" s="684"/>
      <c r="AI363" s="684"/>
      <c r="AJ363" s="684"/>
      <c r="AK363" s="684"/>
      <c r="AL363" s="684"/>
      <c r="AM363" s="684"/>
      <c r="AN363" s="1545"/>
      <c r="AO363" s="1545"/>
      <c r="AP363" s="1545"/>
      <c r="AQ363" s="1545"/>
      <c r="AR363" s="1545"/>
      <c r="AS363" s="684"/>
      <c r="AT363" s="684"/>
      <c r="AU363" s="684"/>
      <c r="AV363" s="684"/>
      <c r="AW363" s="684"/>
      <c r="AX363" s="684"/>
      <c r="AY363" s="684"/>
      <c r="AZ363" s="684"/>
      <c r="BA363" s="684"/>
      <c r="BB363" s="677"/>
      <c r="BC363" s="684"/>
      <c r="BD363" s="677"/>
      <c r="BE363" s="684"/>
      <c r="BF363" s="677"/>
      <c r="BG363" s="684"/>
      <c r="BH363" s="13"/>
      <c r="BI363" s="684"/>
      <c r="BJ363" s="13"/>
      <c r="BK363" s="684"/>
      <c r="BL363" s="684"/>
      <c r="BM363" s="684"/>
      <c r="BN363" s="677"/>
      <c r="BO363" s="684"/>
      <c r="BP363" s="541"/>
      <c r="BQ363" s="633"/>
      <c r="BR363" s="541"/>
      <c r="BS363" s="541"/>
      <c r="BT363" s="541"/>
    </row>
    <row r="364" ht="15.75" customHeight="1">
      <c r="A364" s="1591"/>
      <c r="B364" s="1541"/>
      <c r="C364" s="2217"/>
      <c r="D364" s="1543"/>
      <c r="E364" s="906"/>
      <c r="F364" s="1545"/>
      <c r="G364" s="684"/>
      <c r="H364" s="1545"/>
      <c r="I364" s="684"/>
      <c r="J364" s="1545"/>
      <c r="K364" s="684"/>
      <c r="L364" s="1545"/>
      <c r="M364" s="684"/>
      <c r="N364" s="1545"/>
      <c r="O364" s="684"/>
      <c r="P364" s="1545"/>
      <c r="Q364" s="684"/>
      <c r="R364" s="1545"/>
      <c r="S364" s="684"/>
      <c r="T364" s="1545"/>
      <c r="U364" s="684"/>
      <c r="V364" s="1545"/>
      <c r="W364" s="684"/>
      <c r="X364" s="1545"/>
      <c r="Y364" s="1545"/>
      <c r="Z364" s="1545"/>
      <c r="AA364" s="684"/>
      <c r="AB364" s="1545"/>
      <c r="AC364" s="684"/>
      <c r="AD364" s="684"/>
      <c r="AE364" s="684"/>
      <c r="AF364" s="684"/>
      <c r="AG364" s="684"/>
      <c r="AH364" s="684"/>
      <c r="AI364" s="684"/>
      <c r="AJ364" s="684"/>
      <c r="AK364" s="684"/>
      <c r="AL364" s="684"/>
      <c r="AM364" s="684"/>
      <c r="AN364" s="1545"/>
      <c r="AO364" s="1545"/>
      <c r="AP364" s="1545"/>
      <c r="AQ364" s="1545"/>
      <c r="AR364" s="1545"/>
      <c r="AS364" s="684"/>
      <c r="AT364" s="684"/>
      <c r="AU364" s="684"/>
      <c r="AV364" s="684"/>
      <c r="AW364" s="684"/>
      <c r="AX364" s="684"/>
      <c r="AY364" s="684"/>
      <c r="AZ364" s="684"/>
      <c r="BA364" s="684"/>
      <c r="BB364" s="677"/>
      <c r="BC364" s="684"/>
      <c r="BD364" s="677"/>
      <c r="BE364" s="684"/>
      <c r="BF364" s="677"/>
      <c r="BG364" s="684"/>
      <c r="BH364" s="13"/>
      <c r="BI364" s="684"/>
      <c r="BJ364" s="13"/>
      <c r="BK364" s="684"/>
      <c r="BL364" s="684"/>
      <c r="BM364" s="684"/>
      <c r="BN364" s="677"/>
      <c r="BO364" s="684"/>
      <c r="BP364" s="541"/>
      <c r="BQ364" s="633"/>
      <c r="BR364" s="541"/>
      <c r="BS364" s="541"/>
      <c r="BT364" s="541"/>
    </row>
    <row r="365" ht="15.75" customHeight="1">
      <c r="A365" s="1591"/>
      <c r="B365" s="1541"/>
      <c r="C365" s="2217"/>
      <c r="D365" s="1543"/>
      <c r="E365" s="906"/>
      <c r="F365" s="1545"/>
      <c r="G365" s="684"/>
      <c r="H365" s="1545"/>
      <c r="I365" s="684"/>
      <c r="J365" s="1545"/>
      <c r="K365" s="684"/>
      <c r="L365" s="1545"/>
      <c r="M365" s="684"/>
      <c r="N365" s="1545"/>
      <c r="O365" s="684"/>
      <c r="P365" s="1545"/>
      <c r="Q365" s="684"/>
      <c r="R365" s="1545"/>
      <c r="S365" s="684"/>
      <c r="T365" s="1545"/>
      <c r="U365" s="684"/>
      <c r="V365" s="1545"/>
      <c r="W365" s="684"/>
      <c r="X365" s="1545"/>
      <c r="Y365" s="1545"/>
      <c r="Z365" s="1545"/>
      <c r="AA365" s="684"/>
      <c r="AB365" s="1545"/>
      <c r="AC365" s="684"/>
      <c r="AD365" s="684"/>
      <c r="AE365" s="684"/>
      <c r="AF365" s="684"/>
      <c r="AG365" s="684"/>
      <c r="AH365" s="684"/>
      <c r="AI365" s="684"/>
      <c r="AJ365" s="684"/>
      <c r="AK365" s="684"/>
      <c r="AL365" s="684"/>
      <c r="AM365" s="684"/>
      <c r="AN365" s="1545"/>
      <c r="AO365" s="1545"/>
      <c r="AP365" s="1545"/>
      <c r="AQ365" s="1545"/>
      <c r="AR365" s="1545"/>
      <c r="AS365" s="684"/>
      <c r="AT365" s="684"/>
      <c r="AU365" s="684"/>
      <c r="AV365" s="684"/>
      <c r="AW365" s="684"/>
      <c r="AX365" s="684"/>
      <c r="AY365" s="684"/>
      <c r="AZ365" s="684"/>
      <c r="BA365" s="684"/>
      <c r="BB365" s="677"/>
      <c r="BC365" s="684"/>
      <c r="BD365" s="677"/>
      <c r="BE365" s="684"/>
      <c r="BF365" s="677"/>
      <c r="BG365" s="684"/>
      <c r="BH365" s="13"/>
      <c r="BI365" s="684"/>
      <c r="BJ365" s="13"/>
      <c r="BK365" s="684"/>
      <c r="BL365" s="684"/>
      <c r="BM365" s="684"/>
      <c r="BN365" s="677"/>
      <c r="BO365" s="684"/>
      <c r="BP365" s="541"/>
      <c r="BQ365" s="633"/>
      <c r="BR365" s="541"/>
      <c r="BS365" s="541"/>
      <c r="BT365" s="541"/>
    </row>
    <row r="366" ht="15.75" customHeight="1">
      <c r="A366" s="1591"/>
      <c r="B366" s="1541"/>
      <c r="C366" s="2217"/>
      <c r="D366" s="1543"/>
      <c r="E366" s="906"/>
      <c r="F366" s="1545"/>
      <c r="G366" s="684"/>
      <c r="H366" s="1545"/>
      <c r="I366" s="684"/>
      <c r="J366" s="1545"/>
      <c r="K366" s="684"/>
      <c r="L366" s="1545"/>
      <c r="M366" s="684"/>
      <c r="N366" s="1545"/>
      <c r="O366" s="684"/>
      <c r="P366" s="1545"/>
      <c r="Q366" s="684"/>
      <c r="R366" s="1545"/>
      <c r="S366" s="684"/>
      <c r="T366" s="1545"/>
      <c r="U366" s="684"/>
      <c r="V366" s="1545"/>
      <c r="W366" s="684"/>
      <c r="X366" s="1545"/>
      <c r="Y366" s="1545"/>
      <c r="Z366" s="1545"/>
      <c r="AA366" s="684"/>
      <c r="AB366" s="1545"/>
      <c r="AC366" s="684"/>
      <c r="AD366" s="684"/>
      <c r="AE366" s="684"/>
      <c r="AF366" s="684"/>
      <c r="AG366" s="684"/>
      <c r="AH366" s="684"/>
      <c r="AI366" s="684"/>
      <c r="AJ366" s="684"/>
      <c r="AK366" s="684"/>
      <c r="AL366" s="684"/>
      <c r="AM366" s="684"/>
      <c r="AN366" s="1545"/>
      <c r="AO366" s="1545"/>
      <c r="AP366" s="1545"/>
      <c r="AQ366" s="1545"/>
      <c r="AR366" s="1545"/>
      <c r="AS366" s="684"/>
      <c r="AT366" s="684"/>
      <c r="AU366" s="684"/>
      <c r="AV366" s="684"/>
      <c r="AW366" s="684"/>
      <c r="AX366" s="684"/>
      <c r="AY366" s="684"/>
      <c r="AZ366" s="684"/>
      <c r="BA366" s="684"/>
      <c r="BB366" s="677"/>
      <c r="BC366" s="684"/>
      <c r="BD366" s="677"/>
      <c r="BE366" s="684"/>
      <c r="BF366" s="677"/>
      <c r="BG366" s="684"/>
      <c r="BH366" s="13"/>
      <c r="BI366" s="684"/>
      <c r="BJ366" s="13"/>
      <c r="BK366" s="684"/>
      <c r="BL366" s="684"/>
      <c r="BM366" s="684"/>
      <c r="BN366" s="677"/>
      <c r="BO366" s="684"/>
      <c r="BP366" s="541"/>
      <c r="BQ366" s="633"/>
      <c r="BR366" s="541"/>
      <c r="BS366" s="541"/>
      <c r="BT366" s="541"/>
    </row>
    <row r="367" ht="15.75" customHeight="1">
      <c r="A367" s="1591"/>
      <c r="B367" s="1541"/>
      <c r="C367" s="2217"/>
      <c r="D367" s="1543"/>
      <c r="E367" s="906"/>
      <c r="F367" s="1545"/>
      <c r="G367" s="684"/>
      <c r="H367" s="1545"/>
      <c r="I367" s="684"/>
      <c r="J367" s="1545"/>
      <c r="K367" s="684"/>
      <c r="L367" s="1545"/>
      <c r="M367" s="684"/>
      <c r="N367" s="1545"/>
      <c r="O367" s="684"/>
      <c r="P367" s="1545"/>
      <c r="Q367" s="684"/>
      <c r="R367" s="1545"/>
      <c r="S367" s="684"/>
      <c r="T367" s="1545"/>
      <c r="U367" s="684"/>
      <c r="V367" s="1545"/>
      <c r="W367" s="684"/>
      <c r="X367" s="1545"/>
      <c r="Y367" s="1545"/>
      <c r="Z367" s="1545"/>
      <c r="AA367" s="684"/>
      <c r="AB367" s="1545"/>
      <c r="AC367" s="684"/>
      <c r="AD367" s="684"/>
      <c r="AE367" s="684"/>
      <c r="AF367" s="684"/>
      <c r="AG367" s="684"/>
      <c r="AH367" s="684"/>
      <c r="AI367" s="684"/>
      <c r="AJ367" s="684"/>
      <c r="AK367" s="684"/>
      <c r="AL367" s="684"/>
      <c r="AM367" s="684"/>
      <c r="AN367" s="1545"/>
      <c r="AO367" s="1545"/>
      <c r="AP367" s="1545"/>
      <c r="AQ367" s="1545"/>
      <c r="AR367" s="1545"/>
      <c r="AS367" s="684"/>
      <c r="AT367" s="684"/>
      <c r="AU367" s="684"/>
      <c r="AV367" s="684"/>
      <c r="AW367" s="684"/>
      <c r="AX367" s="684"/>
      <c r="AY367" s="684"/>
      <c r="AZ367" s="684"/>
      <c r="BA367" s="684"/>
      <c r="BB367" s="677"/>
      <c r="BC367" s="684"/>
      <c r="BD367" s="677"/>
      <c r="BE367" s="684"/>
      <c r="BF367" s="677"/>
      <c r="BG367" s="684"/>
      <c r="BH367" s="13"/>
      <c r="BI367" s="684"/>
      <c r="BJ367" s="13"/>
      <c r="BK367" s="684"/>
      <c r="BL367" s="684"/>
      <c r="BM367" s="684"/>
      <c r="BN367" s="677"/>
      <c r="BO367" s="684"/>
      <c r="BP367" s="541"/>
      <c r="BQ367" s="633"/>
      <c r="BR367" s="541"/>
      <c r="BS367" s="541"/>
      <c r="BT367" s="541"/>
    </row>
    <row r="368" ht="15.75" customHeight="1">
      <c r="A368" s="1591"/>
      <c r="B368" s="1541"/>
      <c r="C368" s="2217"/>
      <c r="D368" s="1543"/>
      <c r="E368" s="906"/>
      <c r="F368" s="1545"/>
      <c r="G368" s="684"/>
      <c r="H368" s="1545"/>
      <c r="I368" s="684"/>
      <c r="J368" s="1545"/>
      <c r="K368" s="684"/>
      <c r="L368" s="1545"/>
      <c r="M368" s="684"/>
      <c r="N368" s="1545"/>
      <c r="O368" s="684"/>
      <c r="P368" s="1545"/>
      <c r="Q368" s="684"/>
      <c r="R368" s="1545"/>
      <c r="S368" s="684"/>
      <c r="T368" s="1545"/>
      <c r="U368" s="684"/>
      <c r="V368" s="1545"/>
      <c r="W368" s="684"/>
      <c r="X368" s="1545"/>
      <c r="Y368" s="1545"/>
      <c r="Z368" s="1545"/>
      <c r="AA368" s="684"/>
      <c r="AB368" s="1545"/>
      <c r="AC368" s="684"/>
      <c r="AD368" s="684"/>
      <c r="AE368" s="684"/>
      <c r="AF368" s="684"/>
      <c r="AG368" s="684"/>
      <c r="AH368" s="684"/>
      <c r="AI368" s="684"/>
      <c r="AJ368" s="684"/>
      <c r="AK368" s="684"/>
      <c r="AL368" s="684"/>
      <c r="AM368" s="684"/>
      <c r="AN368" s="1545"/>
      <c r="AO368" s="1545"/>
      <c r="AP368" s="1545"/>
      <c r="AQ368" s="1545"/>
      <c r="AR368" s="1545"/>
      <c r="AS368" s="684"/>
      <c r="AT368" s="684"/>
      <c r="AU368" s="684"/>
      <c r="AV368" s="684"/>
      <c r="AW368" s="684"/>
      <c r="AX368" s="684"/>
      <c r="AY368" s="684"/>
      <c r="AZ368" s="684"/>
      <c r="BA368" s="684"/>
      <c r="BB368" s="677"/>
      <c r="BC368" s="684"/>
      <c r="BD368" s="677"/>
      <c r="BE368" s="684"/>
      <c r="BF368" s="677"/>
      <c r="BG368" s="684"/>
      <c r="BH368" s="13"/>
      <c r="BI368" s="684"/>
      <c r="BJ368" s="13"/>
      <c r="BK368" s="684"/>
      <c r="BL368" s="684"/>
      <c r="BM368" s="684"/>
      <c r="BN368" s="677"/>
      <c r="BO368" s="684"/>
      <c r="BP368" s="541"/>
      <c r="BQ368" s="633"/>
      <c r="BR368" s="541"/>
      <c r="BS368" s="541"/>
      <c r="BT368" s="541"/>
    </row>
    <row r="369" ht="15.75" customHeight="1">
      <c r="A369" s="1591"/>
      <c r="B369" s="1541"/>
      <c r="C369" s="2217"/>
      <c r="D369" s="1543"/>
      <c r="E369" s="906"/>
      <c r="F369" s="1545"/>
      <c r="G369" s="684"/>
      <c r="H369" s="1545"/>
      <c r="I369" s="684"/>
      <c r="J369" s="1545"/>
      <c r="K369" s="684"/>
      <c r="L369" s="1545"/>
      <c r="M369" s="684"/>
      <c r="N369" s="1545"/>
      <c r="O369" s="684"/>
      <c r="P369" s="1545"/>
      <c r="Q369" s="684"/>
      <c r="R369" s="1545"/>
      <c r="S369" s="684"/>
      <c r="T369" s="1545"/>
      <c r="U369" s="684"/>
      <c r="V369" s="1545"/>
      <c r="W369" s="684"/>
      <c r="X369" s="1545"/>
      <c r="Y369" s="1545"/>
      <c r="Z369" s="1545"/>
      <c r="AA369" s="684"/>
      <c r="AB369" s="1545"/>
      <c r="AC369" s="684"/>
      <c r="AD369" s="684"/>
      <c r="AE369" s="684"/>
      <c r="AF369" s="684"/>
      <c r="AG369" s="684"/>
      <c r="AH369" s="684"/>
      <c r="AI369" s="684"/>
      <c r="AJ369" s="684"/>
      <c r="AK369" s="684"/>
      <c r="AL369" s="684"/>
      <c r="AM369" s="684"/>
      <c r="AN369" s="1545"/>
      <c r="AO369" s="1545"/>
      <c r="AP369" s="1545"/>
      <c r="AQ369" s="1545"/>
      <c r="AR369" s="1545"/>
      <c r="AS369" s="684"/>
      <c r="AT369" s="684"/>
      <c r="AU369" s="684"/>
      <c r="AV369" s="684"/>
      <c r="AW369" s="684"/>
      <c r="AX369" s="684"/>
      <c r="AY369" s="684"/>
      <c r="AZ369" s="684"/>
      <c r="BA369" s="684"/>
      <c r="BB369" s="677"/>
      <c r="BC369" s="684"/>
      <c r="BD369" s="677"/>
      <c r="BE369" s="684"/>
      <c r="BF369" s="677"/>
      <c r="BG369" s="684"/>
      <c r="BH369" s="13"/>
      <c r="BI369" s="684"/>
      <c r="BJ369" s="13"/>
      <c r="BK369" s="684"/>
      <c r="BL369" s="684"/>
      <c r="BM369" s="684"/>
      <c r="BN369" s="677"/>
      <c r="BO369" s="684"/>
      <c r="BP369" s="541"/>
      <c r="BQ369" s="633"/>
      <c r="BR369" s="541"/>
      <c r="BS369" s="541"/>
      <c r="BT369" s="541"/>
    </row>
    <row r="370" ht="15.75" customHeight="1">
      <c r="A370" s="1591"/>
      <c r="B370" s="1541"/>
      <c r="C370" s="2217"/>
      <c r="D370" s="1543"/>
      <c r="E370" s="906"/>
      <c r="F370" s="1545"/>
      <c r="G370" s="684"/>
      <c r="H370" s="1545"/>
      <c r="I370" s="684"/>
      <c r="J370" s="1545"/>
      <c r="K370" s="684"/>
      <c r="L370" s="1545"/>
      <c r="M370" s="684"/>
      <c r="N370" s="1545"/>
      <c r="O370" s="684"/>
      <c r="P370" s="1545"/>
      <c r="Q370" s="684"/>
      <c r="R370" s="1545"/>
      <c r="S370" s="684"/>
      <c r="T370" s="1545"/>
      <c r="U370" s="684"/>
      <c r="V370" s="1545"/>
      <c r="W370" s="684"/>
      <c r="X370" s="1545"/>
      <c r="Y370" s="1545"/>
      <c r="Z370" s="1545"/>
      <c r="AA370" s="684"/>
      <c r="AB370" s="1545"/>
      <c r="AC370" s="684"/>
      <c r="AD370" s="684"/>
      <c r="AE370" s="684"/>
      <c r="AF370" s="684"/>
      <c r="AG370" s="684"/>
      <c r="AH370" s="684"/>
      <c r="AI370" s="684"/>
      <c r="AJ370" s="684"/>
      <c r="AK370" s="684"/>
      <c r="AL370" s="684"/>
      <c r="AM370" s="684"/>
      <c r="AN370" s="1545"/>
      <c r="AO370" s="1545"/>
      <c r="AP370" s="1545"/>
      <c r="AQ370" s="1545"/>
      <c r="AR370" s="1545"/>
      <c r="AS370" s="684"/>
      <c r="AT370" s="684"/>
      <c r="AU370" s="684"/>
      <c r="AV370" s="684"/>
      <c r="AW370" s="684"/>
      <c r="AX370" s="684"/>
      <c r="AY370" s="684"/>
      <c r="AZ370" s="684"/>
      <c r="BA370" s="684"/>
      <c r="BB370" s="677"/>
      <c r="BC370" s="684"/>
      <c r="BD370" s="677"/>
      <c r="BE370" s="684"/>
      <c r="BF370" s="677"/>
      <c r="BG370" s="684"/>
      <c r="BH370" s="13"/>
      <c r="BI370" s="684"/>
      <c r="BJ370" s="13"/>
      <c r="BK370" s="684"/>
      <c r="BL370" s="684"/>
      <c r="BM370" s="684"/>
      <c r="BN370" s="677"/>
      <c r="BO370" s="684"/>
      <c r="BP370" s="541"/>
      <c r="BQ370" s="633"/>
      <c r="BR370" s="541"/>
      <c r="BS370" s="541"/>
      <c r="BT370" s="541"/>
    </row>
    <row r="371" ht="15.75" customHeight="1">
      <c r="A371" s="1591"/>
      <c r="B371" s="1541"/>
      <c r="C371" s="2217"/>
      <c r="D371" s="1543"/>
      <c r="E371" s="906"/>
      <c r="F371" s="1545"/>
      <c r="G371" s="684"/>
      <c r="H371" s="1545"/>
      <c r="I371" s="684"/>
      <c r="J371" s="1545"/>
      <c r="K371" s="684"/>
      <c r="L371" s="1545"/>
      <c r="M371" s="684"/>
      <c r="N371" s="1545"/>
      <c r="O371" s="684"/>
      <c r="P371" s="1545"/>
      <c r="Q371" s="684"/>
      <c r="R371" s="1545"/>
      <c r="S371" s="684"/>
      <c r="T371" s="1545"/>
      <c r="U371" s="684"/>
      <c r="V371" s="1545"/>
      <c r="W371" s="684"/>
      <c r="X371" s="1545"/>
      <c r="Y371" s="1545"/>
      <c r="Z371" s="1545"/>
      <c r="AA371" s="684"/>
      <c r="AB371" s="1545"/>
      <c r="AC371" s="684"/>
      <c r="AD371" s="684"/>
      <c r="AE371" s="684"/>
      <c r="AF371" s="684"/>
      <c r="AG371" s="684"/>
      <c r="AH371" s="684"/>
      <c r="AI371" s="684"/>
      <c r="AJ371" s="684"/>
      <c r="AK371" s="684"/>
      <c r="AL371" s="684"/>
      <c r="AM371" s="684"/>
      <c r="AN371" s="1545"/>
      <c r="AO371" s="1545"/>
      <c r="AP371" s="1545"/>
      <c r="AQ371" s="1545"/>
      <c r="AR371" s="1545"/>
      <c r="AS371" s="684"/>
      <c r="AT371" s="684"/>
      <c r="AU371" s="684"/>
      <c r="AV371" s="684"/>
      <c r="AW371" s="684"/>
      <c r="AX371" s="684"/>
      <c r="AY371" s="684"/>
      <c r="AZ371" s="684"/>
      <c r="BA371" s="684"/>
      <c r="BB371" s="677"/>
      <c r="BC371" s="684"/>
      <c r="BD371" s="677"/>
      <c r="BE371" s="684"/>
      <c r="BF371" s="677"/>
      <c r="BG371" s="684"/>
      <c r="BH371" s="13"/>
      <c r="BI371" s="684"/>
      <c r="BJ371" s="13"/>
      <c r="BK371" s="684"/>
      <c r="BL371" s="684"/>
      <c r="BM371" s="684"/>
      <c r="BN371" s="677"/>
      <c r="BO371" s="684"/>
      <c r="BP371" s="541"/>
      <c r="BQ371" s="633"/>
      <c r="BR371" s="541"/>
      <c r="BS371" s="541"/>
      <c r="BT371" s="541"/>
    </row>
    <row r="372" ht="15.75" customHeight="1">
      <c r="A372" s="1591"/>
      <c r="B372" s="1541"/>
      <c r="C372" s="2217"/>
      <c r="D372" s="1543"/>
      <c r="E372" s="906"/>
      <c r="F372" s="1545"/>
      <c r="G372" s="684"/>
      <c r="H372" s="1545"/>
      <c r="I372" s="684"/>
      <c r="J372" s="1545"/>
      <c r="K372" s="684"/>
      <c r="L372" s="1545"/>
      <c r="M372" s="684"/>
      <c r="N372" s="1545"/>
      <c r="O372" s="684"/>
      <c r="P372" s="1545"/>
      <c r="Q372" s="684"/>
      <c r="R372" s="1545"/>
      <c r="S372" s="684"/>
      <c r="T372" s="1545"/>
      <c r="U372" s="684"/>
      <c r="V372" s="1545"/>
      <c r="W372" s="684"/>
      <c r="X372" s="1545"/>
      <c r="Y372" s="1545"/>
      <c r="Z372" s="1545"/>
      <c r="AA372" s="684"/>
      <c r="AB372" s="1545"/>
      <c r="AC372" s="684"/>
      <c r="AD372" s="684"/>
      <c r="AE372" s="684"/>
      <c r="AF372" s="684"/>
      <c r="AG372" s="684"/>
      <c r="AH372" s="684"/>
      <c r="AI372" s="684"/>
      <c r="AJ372" s="684"/>
      <c r="AK372" s="684"/>
      <c r="AL372" s="684"/>
      <c r="AM372" s="684"/>
      <c r="AN372" s="1545"/>
      <c r="AO372" s="1545"/>
      <c r="AP372" s="1545"/>
      <c r="AQ372" s="1545"/>
      <c r="AR372" s="1545"/>
      <c r="AS372" s="684"/>
      <c r="AT372" s="684"/>
      <c r="AU372" s="684"/>
      <c r="AV372" s="684"/>
      <c r="AW372" s="684"/>
      <c r="AX372" s="684"/>
      <c r="AY372" s="684"/>
      <c r="AZ372" s="684"/>
      <c r="BA372" s="684"/>
      <c r="BB372" s="677"/>
      <c r="BC372" s="684"/>
      <c r="BD372" s="677"/>
      <c r="BE372" s="684"/>
      <c r="BF372" s="677"/>
      <c r="BG372" s="684"/>
      <c r="BH372" s="13"/>
      <c r="BI372" s="684"/>
      <c r="BJ372" s="13"/>
      <c r="BK372" s="684"/>
      <c r="BL372" s="684"/>
      <c r="BM372" s="684"/>
      <c r="BN372" s="677"/>
      <c r="BO372" s="684"/>
      <c r="BP372" s="541"/>
      <c r="BQ372" s="633"/>
      <c r="BR372" s="541"/>
      <c r="BS372" s="541"/>
      <c r="BT372" s="541"/>
    </row>
    <row r="373" ht="15.75" customHeight="1">
      <c r="A373" s="1591"/>
      <c r="B373" s="1541"/>
      <c r="C373" s="2217"/>
      <c r="D373" s="1543"/>
      <c r="E373" s="906"/>
      <c r="F373" s="1545"/>
      <c r="G373" s="684"/>
      <c r="H373" s="1545"/>
      <c r="I373" s="684"/>
      <c r="J373" s="1545"/>
      <c r="K373" s="684"/>
      <c r="L373" s="1545"/>
      <c r="M373" s="684"/>
      <c r="N373" s="1545"/>
      <c r="O373" s="684"/>
      <c r="P373" s="1545"/>
      <c r="Q373" s="684"/>
      <c r="R373" s="1545"/>
      <c r="S373" s="684"/>
      <c r="T373" s="1545"/>
      <c r="U373" s="684"/>
      <c r="V373" s="1545"/>
      <c r="W373" s="684"/>
      <c r="X373" s="1545"/>
      <c r="Y373" s="1545"/>
      <c r="Z373" s="1545"/>
      <c r="AA373" s="684"/>
      <c r="AB373" s="1545"/>
      <c r="AC373" s="684"/>
      <c r="AD373" s="684"/>
      <c r="AE373" s="684"/>
      <c r="AF373" s="684"/>
      <c r="AG373" s="684"/>
      <c r="AH373" s="684"/>
      <c r="AI373" s="684"/>
      <c r="AJ373" s="684"/>
      <c r="AK373" s="684"/>
      <c r="AL373" s="684"/>
      <c r="AM373" s="684"/>
      <c r="AN373" s="1545"/>
      <c r="AO373" s="1545"/>
      <c r="AP373" s="1545"/>
      <c r="AQ373" s="1545"/>
      <c r="AR373" s="1545"/>
      <c r="AS373" s="684"/>
      <c r="AT373" s="684"/>
      <c r="AU373" s="684"/>
      <c r="AV373" s="684"/>
      <c r="AW373" s="684"/>
      <c r="AX373" s="684"/>
      <c r="AY373" s="684"/>
      <c r="AZ373" s="684"/>
      <c r="BA373" s="684"/>
      <c r="BB373" s="677"/>
      <c r="BC373" s="684"/>
      <c r="BD373" s="677"/>
      <c r="BE373" s="684"/>
      <c r="BF373" s="677"/>
      <c r="BG373" s="684"/>
      <c r="BH373" s="13"/>
      <c r="BI373" s="684"/>
      <c r="BJ373" s="13"/>
      <c r="BK373" s="684"/>
      <c r="BL373" s="684"/>
      <c r="BM373" s="684"/>
      <c r="BN373" s="677"/>
      <c r="BO373" s="684"/>
      <c r="BP373" s="541"/>
      <c r="BQ373" s="633"/>
      <c r="BR373" s="541"/>
      <c r="BS373" s="541"/>
      <c r="BT373" s="541"/>
    </row>
    <row r="374" ht="15.75" customHeight="1">
      <c r="A374" s="1591"/>
      <c r="B374" s="1541"/>
      <c r="C374" s="2217"/>
      <c r="D374" s="1543"/>
      <c r="E374" s="906"/>
      <c r="F374" s="1545"/>
      <c r="G374" s="684"/>
      <c r="H374" s="1545"/>
      <c r="I374" s="684"/>
      <c r="J374" s="1545"/>
      <c r="K374" s="684"/>
      <c r="L374" s="1545"/>
      <c r="M374" s="684"/>
      <c r="N374" s="1545"/>
      <c r="O374" s="684"/>
      <c r="P374" s="1545"/>
      <c r="Q374" s="684"/>
      <c r="R374" s="1545"/>
      <c r="S374" s="684"/>
      <c r="T374" s="1545"/>
      <c r="U374" s="684"/>
      <c r="V374" s="1545"/>
      <c r="W374" s="684"/>
      <c r="X374" s="1545"/>
      <c r="Y374" s="1545"/>
      <c r="Z374" s="1545"/>
      <c r="AA374" s="684"/>
      <c r="AB374" s="1545"/>
      <c r="AC374" s="684"/>
      <c r="AD374" s="684"/>
      <c r="AE374" s="684"/>
      <c r="AF374" s="684"/>
      <c r="AG374" s="684"/>
      <c r="AH374" s="684"/>
      <c r="AI374" s="684"/>
      <c r="AJ374" s="684"/>
      <c r="AK374" s="684"/>
      <c r="AL374" s="684"/>
      <c r="AM374" s="684"/>
      <c r="AN374" s="1545"/>
      <c r="AO374" s="1545"/>
      <c r="AP374" s="1545"/>
      <c r="AQ374" s="1545"/>
      <c r="AR374" s="1545"/>
      <c r="AS374" s="684"/>
      <c r="AT374" s="684"/>
      <c r="AU374" s="684"/>
      <c r="AV374" s="684"/>
      <c r="AW374" s="684"/>
      <c r="AX374" s="684"/>
      <c r="AY374" s="684"/>
      <c r="AZ374" s="684"/>
      <c r="BA374" s="684"/>
      <c r="BB374" s="677"/>
      <c r="BC374" s="684"/>
      <c r="BD374" s="677"/>
      <c r="BE374" s="684"/>
      <c r="BF374" s="677"/>
      <c r="BG374" s="684"/>
      <c r="BH374" s="13"/>
      <c r="BI374" s="684"/>
      <c r="BJ374" s="13"/>
      <c r="BK374" s="684"/>
      <c r="BL374" s="684"/>
      <c r="BM374" s="684"/>
      <c r="BN374" s="677"/>
      <c r="BO374" s="684"/>
      <c r="BP374" s="541"/>
      <c r="BQ374" s="633"/>
      <c r="BR374" s="541"/>
      <c r="BS374" s="541"/>
      <c r="BT374" s="541"/>
    </row>
    <row r="375" ht="15.75" customHeight="1">
      <c r="A375" s="1591"/>
      <c r="B375" s="1541"/>
      <c r="C375" s="2217"/>
      <c r="D375" s="1543"/>
      <c r="E375" s="906"/>
      <c r="F375" s="1545"/>
      <c r="G375" s="684"/>
      <c r="H375" s="1545"/>
      <c r="I375" s="684"/>
      <c r="J375" s="1545"/>
      <c r="K375" s="684"/>
      <c r="L375" s="1545"/>
      <c r="M375" s="684"/>
      <c r="N375" s="1545"/>
      <c r="O375" s="684"/>
      <c r="P375" s="1545"/>
      <c r="Q375" s="684"/>
      <c r="R375" s="1545"/>
      <c r="S375" s="684"/>
      <c r="T375" s="1545"/>
      <c r="U375" s="684"/>
      <c r="V375" s="1545"/>
      <c r="W375" s="684"/>
      <c r="X375" s="1545"/>
      <c r="Y375" s="1545"/>
      <c r="Z375" s="1545"/>
      <c r="AA375" s="684"/>
      <c r="AB375" s="1545"/>
      <c r="AC375" s="684"/>
      <c r="AD375" s="684"/>
      <c r="AE375" s="684"/>
      <c r="AF375" s="684"/>
      <c r="AG375" s="684"/>
      <c r="AH375" s="684"/>
      <c r="AI375" s="684"/>
      <c r="AJ375" s="684"/>
      <c r="AK375" s="684"/>
      <c r="AL375" s="684"/>
      <c r="AM375" s="684"/>
      <c r="AN375" s="1545"/>
      <c r="AO375" s="1545"/>
      <c r="AP375" s="1545"/>
      <c r="AQ375" s="1545"/>
      <c r="AR375" s="1545"/>
      <c r="AS375" s="684"/>
      <c r="AT375" s="684"/>
      <c r="AU375" s="684"/>
      <c r="AV375" s="684"/>
      <c r="AW375" s="684"/>
      <c r="AX375" s="684"/>
      <c r="AY375" s="684"/>
      <c r="AZ375" s="684"/>
      <c r="BA375" s="684"/>
      <c r="BB375" s="677"/>
      <c r="BC375" s="684"/>
      <c r="BD375" s="677"/>
      <c r="BE375" s="684"/>
      <c r="BF375" s="677"/>
      <c r="BG375" s="684"/>
      <c r="BH375" s="13"/>
      <c r="BI375" s="684"/>
      <c r="BJ375" s="13"/>
      <c r="BK375" s="684"/>
      <c r="BL375" s="684"/>
      <c r="BM375" s="684"/>
      <c r="BN375" s="677"/>
      <c r="BO375" s="684"/>
      <c r="BP375" s="541"/>
      <c r="BQ375" s="633"/>
      <c r="BR375" s="541"/>
      <c r="BS375" s="541"/>
      <c r="BT375" s="541"/>
    </row>
    <row r="376" ht="15.75" customHeight="1">
      <c r="A376" s="1591"/>
      <c r="B376" s="1541"/>
      <c r="C376" s="2217"/>
      <c r="D376" s="1543"/>
      <c r="E376" s="906"/>
      <c r="F376" s="1545"/>
      <c r="G376" s="684"/>
      <c r="H376" s="1545"/>
      <c r="I376" s="684"/>
      <c r="J376" s="1545"/>
      <c r="K376" s="684"/>
      <c r="L376" s="1545"/>
      <c r="M376" s="684"/>
      <c r="N376" s="1545"/>
      <c r="O376" s="684"/>
      <c r="P376" s="1545"/>
      <c r="Q376" s="684"/>
      <c r="R376" s="1545"/>
      <c r="S376" s="684"/>
      <c r="T376" s="1545"/>
      <c r="U376" s="684"/>
      <c r="V376" s="1545"/>
      <c r="W376" s="684"/>
      <c r="X376" s="1545"/>
      <c r="Y376" s="1545"/>
      <c r="Z376" s="1545"/>
      <c r="AA376" s="684"/>
      <c r="AB376" s="1545"/>
      <c r="AC376" s="684"/>
      <c r="AD376" s="684"/>
      <c r="AE376" s="684"/>
      <c r="AF376" s="684"/>
      <c r="AG376" s="684"/>
      <c r="AH376" s="684"/>
      <c r="AI376" s="684"/>
      <c r="AJ376" s="684"/>
      <c r="AK376" s="684"/>
      <c r="AL376" s="684"/>
      <c r="AM376" s="684"/>
      <c r="AN376" s="1545"/>
      <c r="AO376" s="1545"/>
      <c r="AP376" s="1545"/>
      <c r="AQ376" s="1545"/>
      <c r="AR376" s="1545"/>
      <c r="AS376" s="684"/>
      <c r="AT376" s="684"/>
      <c r="AU376" s="684"/>
      <c r="AV376" s="684"/>
      <c r="AW376" s="684"/>
      <c r="AX376" s="684"/>
      <c r="AY376" s="684"/>
      <c r="AZ376" s="684"/>
      <c r="BA376" s="684"/>
      <c r="BB376" s="677"/>
      <c r="BC376" s="684"/>
      <c r="BD376" s="677"/>
      <c r="BE376" s="684"/>
      <c r="BF376" s="677"/>
      <c r="BG376" s="684"/>
      <c r="BH376" s="13"/>
      <c r="BI376" s="684"/>
      <c r="BJ376" s="13"/>
      <c r="BK376" s="684"/>
      <c r="BL376" s="684"/>
      <c r="BM376" s="684"/>
      <c r="BN376" s="677"/>
      <c r="BO376" s="684"/>
      <c r="BP376" s="541"/>
      <c r="BQ376" s="633"/>
      <c r="BR376" s="541"/>
      <c r="BS376" s="541"/>
      <c r="BT376" s="541"/>
    </row>
    <row r="377" ht="15.75" customHeight="1">
      <c r="A377" s="1591"/>
      <c r="B377" s="1541"/>
      <c r="C377" s="2217"/>
      <c r="D377" s="1543"/>
      <c r="E377" s="906"/>
      <c r="F377" s="1545"/>
      <c r="G377" s="684"/>
      <c r="H377" s="1545"/>
      <c r="I377" s="684"/>
      <c r="J377" s="1545"/>
      <c r="K377" s="684"/>
      <c r="L377" s="1545"/>
      <c r="M377" s="684"/>
      <c r="N377" s="1545"/>
      <c r="O377" s="684"/>
      <c r="P377" s="1545"/>
      <c r="Q377" s="684"/>
      <c r="R377" s="1545"/>
      <c r="S377" s="684"/>
      <c r="T377" s="1545"/>
      <c r="U377" s="684"/>
      <c r="V377" s="1545"/>
      <c r="W377" s="684"/>
      <c r="X377" s="1545"/>
      <c r="Y377" s="1545"/>
      <c r="Z377" s="1545"/>
      <c r="AA377" s="684"/>
      <c r="AB377" s="1545"/>
      <c r="AC377" s="684"/>
      <c r="AD377" s="684"/>
      <c r="AE377" s="684"/>
      <c r="AF377" s="684"/>
      <c r="AG377" s="684"/>
      <c r="AH377" s="684"/>
      <c r="AI377" s="684"/>
      <c r="AJ377" s="684"/>
      <c r="AK377" s="684"/>
      <c r="AL377" s="684"/>
      <c r="AM377" s="684"/>
      <c r="AN377" s="1545"/>
      <c r="AO377" s="1545"/>
      <c r="AP377" s="1545"/>
      <c r="AQ377" s="1545"/>
      <c r="AR377" s="1545"/>
      <c r="AS377" s="684"/>
      <c r="AT377" s="684"/>
      <c r="AU377" s="684"/>
      <c r="AV377" s="684"/>
      <c r="AW377" s="684"/>
      <c r="AX377" s="684"/>
      <c r="AY377" s="684"/>
      <c r="AZ377" s="684"/>
      <c r="BA377" s="684"/>
      <c r="BB377" s="677"/>
      <c r="BC377" s="684"/>
      <c r="BD377" s="677"/>
      <c r="BE377" s="684"/>
      <c r="BF377" s="677"/>
      <c r="BG377" s="684"/>
      <c r="BH377" s="13"/>
      <c r="BI377" s="684"/>
      <c r="BJ377" s="13"/>
      <c r="BK377" s="684"/>
      <c r="BL377" s="684"/>
      <c r="BM377" s="684"/>
      <c r="BN377" s="677"/>
      <c r="BO377" s="684"/>
      <c r="BP377" s="541"/>
      <c r="BQ377" s="633"/>
      <c r="BR377" s="541"/>
      <c r="BS377" s="541"/>
      <c r="BT377" s="541"/>
    </row>
    <row r="378" ht="15.75" customHeight="1">
      <c r="A378" s="1591"/>
      <c r="B378" s="1541"/>
      <c r="C378" s="2217"/>
      <c r="D378" s="1543"/>
      <c r="E378" s="906"/>
      <c r="F378" s="1545"/>
      <c r="G378" s="684"/>
      <c r="H378" s="1545"/>
      <c r="I378" s="684"/>
      <c r="J378" s="1545"/>
      <c r="K378" s="684"/>
      <c r="L378" s="1545"/>
      <c r="M378" s="684"/>
      <c r="N378" s="1545"/>
      <c r="O378" s="684"/>
      <c r="P378" s="1545"/>
      <c r="Q378" s="684"/>
      <c r="R378" s="1545"/>
      <c r="S378" s="684"/>
      <c r="T378" s="1545"/>
      <c r="U378" s="684"/>
      <c r="V378" s="1545"/>
      <c r="W378" s="684"/>
      <c r="X378" s="1545"/>
      <c r="Y378" s="1545"/>
      <c r="Z378" s="1545"/>
      <c r="AA378" s="684"/>
      <c r="AB378" s="1545"/>
      <c r="AC378" s="684"/>
      <c r="AD378" s="684"/>
      <c r="AE378" s="684"/>
      <c r="AF378" s="684"/>
      <c r="AG378" s="684"/>
      <c r="AH378" s="684"/>
      <c r="AI378" s="684"/>
      <c r="AJ378" s="684"/>
      <c r="AK378" s="684"/>
      <c r="AL378" s="684"/>
      <c r="AM378" s="684"/>
      <c r="AN378" s="1545"/>
      <c r="AO378" s="1545"/>
      <c r="AP378" s="1545"/>
      <c r="AQ378" s="1545"/>
      <c r="AR378" s="1545"/>
      <c r="AS378" s="684"/>
      <c r="AT378" s="684"/>
      <c r="AU378" s="684"/>
      <c r="AV378" s="684"/>
      <c r="AW378" s="684"/>
      <c r="AX378" s="684"/>
      <c r="AY378" s="684"/>
      <c r="AZ378" s="684"/>
      <c r="BA378" s="684"/>
      <c r="BB378" s="677"/>
      <c r="BC378" s="684"/>
      <c r="BD378" s="677"/>
      <c r="BE378" s="684"/>
      <c r="BF378" s="677"/>
      <c r="BG378" s="684"/>
      <c r="BH378" s="13"/>
      <c r="BI378" s="684"/>
      <c r="BJ378" s="13"/>
      <c r="BK378" s="684"/>
      <c r="BL378" s="684"/>
      <c r="BM378" s="684"/>
      <c r="BN378" s="677"/>
      <c r="BO378" s="684"/>
      <c r="BP378" s="541"/>
      <c r="BQ378" s="633"/>
      <c r="BR378" s="541"/>
      <c r="BS378" s="541"/>
      <c r="BT378" s="541"/>
    </row>
    <row r="379" ht="15.75" customHeight="1">
      <c r="A379" s="1591"/>
      <c r="B379" s="1541"/>
      <c r="C379" s="2217"/>
      <c r="D379" s="1543"/>
      <c r="E379" s="906"/>
      <c r="F379" s="1545"/>
      <c r="G379" s="684"/>
      <c r="H379" s="1545"/>
      <c r="I379" s="684"/>
      <c r="J379" s="1545"/>
      <c r="K379" s="684"/>
      <c r="L379" s="1545"/>
      <c r="M379" s="684"/>
      <c r="N379" s="1545"/>
      <c r="O379" s="684"/>
      <c r="P379" s="1545"/>
      <c r="Q379" s="684"/>
      <c r="R379" s="1545"/>
      <c r="S379" s="684"/>
      <c r="T379" s="1545"/>
      <c r="U379" s="684"/>
      <c r="V379" s="1545"/>
      <c r="W379" s="684"/>
      <c r="X379" s="1545"/>
      <c r="Y379" s="1545"/>
      <c r="Z379" s="1545"/>
      <c r="AA379" s="684"/>
      <c r="AB379" s="1545"/>
      <c r="AC379" s="684"/>
      <c r="AD379" s="684"/>
      <c r="AE379" s="684"/>
      <c r="AF379" s="684"/>
      <c r="AG379" s="684"/>
      <c r="AH379" s="684"/>
      <c r="AI379" s="684"/>
      <c r="AJ379" s="684"/>
      <c r="AK379" s="684"/>
      <c r="AL379" s="684"/>
      <c r="AM379" s="684"/>
      <c r="AN379" s="1545"/>
      <c r="AO379" s="1545"/>
      <c r="AP379" s="1545"/>
      <c r="AQ379" s="1545"/>
      <c r="AR379" s="1545"/>
      <c r="AS379" s="684"/>
      <c r="AT379" s="684"/>
      <c r="AU379" s="684"/>
      <c r="AV379" s="684"/>
      <c r="AW379" s="684"/>
      <c r="AX379" s="684"/>
      <c r="AY379" s="684"/>
      <c r="AZ379" s="684"/>
      <c r="BA379" s="684"/>
      <c r="BB379" s="677"/>
      <c r="BC379" s="684"/>
      <c r="BD379" s="677"/>
      <c r="BE379" s="684"/>
      <c r="BF379" s="677"/>
      <c r="BG379" s="684"/>
      <c r="BH379" s="13"/>
      <c r="BI379" s="684"/>
      <c r="BJ379" s="13"/>
      <c r="BK379" s="684"/>
      <c r="BL379" s="684"/>
      <c r="BM379" s="684"/>
      <c r="BN379" s="677"/>
      <c r="BO379" s="684"/>
      <c r="BP379" s="541"/>
      <c r="BQ379" s="633"/>
      <c r="BR379" s="541"/>
      <c r="BS379" s="541"/>
      <c r="BT379" s="541"/>
    </row>
    <row r="380" ht="15.75" customHeight="1">
      <c r="A380" s="1591"/>
      <c r="B380" s="1541"/>
      <c r="C380" s="2217"/>
      <c r="D380" s="1543"/>
      <c r="E380" s="906"/>
      <c r="F380" s="1545"/>
      <c r="G380" s="684"/>
      <c r="H380" s="1545"/>
      <c r="I380" s="684"/>
      <c r="J380" s="1545"/>
      <c r="K380" s="684"/>
      <c r="L380" s="1545"/>
      <c r="M380" s="684"/>
      <c r="N380" s="1545"/>
      <c r="O380" s="684"/>
      <c r="P380" s="1545"/>
      <c r="Q380" s="684"/>
      <c r="R380" s="1545"/>
      <c r="S380" s="684"/>
      <c r="T380" s="1545"/>
      <c r="U380" s="684"/>
      <c r="V380" s="1545"/>
      <c r="W380" s="684"/>
      <c r="X380" s="1545"/>
      <c r="Y380" s="1545"/>
      <c r="Z380" s="1545"/>
      <c r="AA380" s="684"/>
      <c r="AB380" s="1545"/>
      <c r="AC380" s="684"/>
      <c r="AD380" s="684"/>
      <c r="AE380" s="684"/>
      <c r="AF380" s="684"/>
      <c r="AG380" s="684"/>
      <c r="AH380" s="684"/>
      <c r="AI380" s="684"/>
      <c r="AJ380" s="684"/>
      <c r="AK380" s="684"/>
      <c r="AL380" s="684"/>
      <c r="AM380" s="684"/>
      <c r="AN380" s="1545"/>
      <c r="AO380" s="1545"/>
      <c r="AP380" s="1545"/>
      <c r="AQ380" s="1545"/>
      <c r="AR380" s="1545"/>
      <c r="AS380" s="684"/>
      <c r="AT380" s="684"/>
      <c r="AU380" s="684"/>
      <c r="AV380" s="684"/>
      <c r="AW380" s="684"/>
      <c r="AX380" s="684"/>
      <c r="AY380" s="684"/>
      <c r="AZ380" s="684"/>
      <c r="BA380" s="684"/>
      <c r="BB380" s="677"/>
      <c r="BC380" s="684"/>
      <c r="BD380" s="677"/>
      <c r="BE380" s="684"/>
      <c r="BF380" s="677"/>
      <c r="BG380" s="684"/>
      <c r="BH380" s="13"/>
      <c r="BI380" s="684"/>
      <c r="BJ380" s="13"/>
      <c r="BK380" s="684"/>
      <c r="BL380" s="684"/>
      <c r="BM380" s="684"/>
      <c r="BN380" s="677"/>
      <c r="BO380" s="684"/>
      <c r="BP380" s="541"/>
      <c r="BQ380" s="633"/>
      <c r="BR380" s="541"/>
      <c r="BS380" s="541"/>
      <c r="BT380" s="541"/>
    </row>
    <row r="381" ht="15.75" customHeight="1">
      <c r="A381" s="1591"/>
      <c r="B381" s="1541"/>
      <c r="C381" s="2217"/>
      <c r="D381" s="1543"/>
      <c r="E381" s="906"/>
      <c r="F381" s="1545"/>
      <c r="G381" s="684"/>
      <c r="H381" s="1545"/>
      <c r="I381" s="684"/>
      <c r="J381" s="1545"/>
      <c r="K381" s="684"/>
      <c r="L381" s="1545"/>
      <c r="M381" s="684"/>
      <c r="N381" s="1545"/>
      <c r="O381" s="684"/>
      <c r="P381" s="1545"/>
      <c r="Q381" s="684"/>
      <c r="R381" s="1545"/>
      <c r="S381" s="684"/>
      <c r="T381" s="1545"/>
      <c r="U381" s="684"/>
      <c r="V381" s="1545"/>
      <c r="W381" s="684"/>
      <c r="X381" s="1545"/>
      <c r="Y381" s="1545"/>
      <c r="Z381" s="1545"/>
      <c r="AA381" s="684"/>
      <c r="AB381" s="1545"/>
      <c r="AC381" s="684"/>
      <c r="AD381" s="684"/>
      <c r="AE381" s="684"/>
      <c r="AF381" s="684"/>
      <c r="AG381" s="684"/>
      <c r="AH381" s="684"/>
      <c r="AI381" s="684"/>
      <c r="AJ381" s="684"/>
      <c r="AK381" s="684"/>
      <c r="AL381" s="684"/>
      <c r="AM381" s="684"/>
      <c r="AN381" s="1545"/>
      <c r="AO381" s="1545"/>
      <c r="AP381" s="1545"/>
      <c r="AQ381" s="1545"/>
      <c r="AR381" s="1545"/>
      <c r="AS381" s="684"/>
      <c r="AT381" s="684"/>
      <c r="AU381" s="684"/>
      <c r="AV381" s="684"/>
      <c r="AW381" s="684"/>
      <c r="AX381" s="684"/>
      <c r="AY381" s="684"/>
      <c r="AZ381" s="684"/>
      <c r="BA381" s="684"/>
      <c r="BB381" s="677"/>
      <c r="BC381" s="684"/>
      <c r="BD381" s="677"/>
      <c r="BE381" s="684"/>
      <c r="BF381" s="677"/>
      <c r="BG381" s="684"/>
      <c r="BH381" s="13"/>
      <c r="BI381" s="684"/>
      <c r="BJ381" s="13"/>
      <c r="BK381" s="684"/>
      <c r="BL381" s="684"/>
      <c r="BM381" s="684"/>
      <c r="BN381" s="677"/>
      <c r="BO381" s="684"/>
      <c r="BP381" s="541"/>
      <c r="BQ381" s="633"/>
      <c r="BR381" s="541"/>
      <c r="BS381" s="541"/>
      <c r="BT381" s="541"/>
    </row>
    <row r="382" ht="15.75" customHeight="1">
      <c r="A382" s="1591"/>
      <c r="B382" s="1541"/>
      <c r="C382" s="2217"/>
      <c r="D382" s="1543"/>
      <c r="E382" s="906"/>
      <c r="F382" s="1545"/>
      <c r="G382" s="684"/>
      <c r="H382" s="1545"/>
      <c r="I382" s="684"/>
      <c r="J382" s="1545"/>
      <c r="K382" s="684"/>
      <c r="L382" s="1545"/>
      <c r="M382" s="684"/>
      <c r="N382" s="1545"/>
      <c r="O382" s="684"/>
      <c r="P382" s="1545"/>
      <c r="Q382" s="684"/>
      <c r="R382" s="1545"/>
      <c r="S382" s="684"/>
      <c r="T382" s="1545"/>
      <c r="U382" s="684"/>
      <c r="V382" s="1545"/>
      <c r="W382" s="684"/>
      <c r="X382" s="1545"/>
      <c r="Y382" s="1545"/>
      <c r="Z382" s="1545"/>
      <c r="AA382" s="684"/>
      <c r="AB382" s="1545"/>
      <c r="AC382" s="684"/>
      <c r="AD382" s="684"/>
      <c r="AE382" s="684"/>
      <c r="AF382" s="684"/>
      <c r="AG382" s="684"/>
      <c r="AH382" s="684"/>
      <c r="AI382" s="684"/>
      <c r="AJ382" s="684"/>
      <c r="AK382" s="684"/>
      <c r="AL382" s="684"/>
      <c r="AM382" s="684"/>
      <c r="AN382" s="1545"/>
      <c r="AO382" s="1545"/>
      <c r="AP382" s="1545"/>
      <c r="AQ382" s="1545"/>
      <c r="AR382" s="1545"/>
      <c r="AS382" s="684"/>
      <c r="AT382" s="684"/>
      <c r="AU382" s="684"/>
      <c r="AV382" s="684"/>
      <c r="AW382" s="684"/>
      <c r="AX382" s="684"/>
      <c r="AY382" s="684"/>
      <c r="AZ382" s="684"/>
      <c r="BA382" s="684"/>
      <c r="BB382" s="677"/>
      <c r="BC382" s="684"/>
      <c r="BD382" s="677"/>
      <c r="BE382" s="684"/>
      <c r="BF382" s="677"/>
      <c r="BG382" s="684"/>
      <c r="BH382" s="13"/>
      <c r="BI382" s="684"/>
      <c r="BJ382" s="13"/>
      <c r="BK382" s="684"/>
      <c r="BL382" s="684"/>
      <c r="BM382" s="684"/>
      <c r="BN382" s="677"/>
      <c r="BO382" s="684"/>
      <c r="BP382" s="541"/>
      <c r="BQ382" s="633"/>
      <c r="BR382" s="541"/>
      <c r="BS382" s="541"/>
      <c r="BT382" s="541"/>
    </row>
    <row r="383" ht="15.75" customHeight="1">
      <c r="A383" s="1591"/>
      <c r="B383" s="1541"/>
      <c r="C383" s="2217"/>
      <c r="D383" s="1543"/>
      <c r="E383" s="906"/>
      <c r="F383" s="1545"/>
      <c r="G383" s="684"/>
      <c r="H383" s="1545"/>
      <c r="I383" s="684"/>
      <c r="J383" s="1545"/>
      <c r="K383" s="684"/>
      <c r="L383" s="1545"/>
      <c r="M383" s="684"/>
      <c r="N383" s="1545"/>
      <c r="O383" s="684"/>
      <c r="P383" s="1545"/>
      <c r="Q383" s="684"/>
      <c r="R383" s="1545"/>
      <c r="S383" s="684"/>
      <c r="T383" s="1545"/>
      <c r="U383" s="684"/>
      <c r="V383" s="1545"/>
      <c r="W383" s="684"/>
      <c r="X383" s="1545"/>
      <c r="Y383" s="1545"/>
      <c r="Z383" s="1545"/>
      <c r="AA383" s="684"/>
      <c r="AB383" s="1545"/>
      <c r="AC383" s="684"/>
      <c r="AD383" s="684"/>
      <c r="AE383" s="684"/>
      <c r="AF383" s="684"/>
      <c r="AG383" s="684"/>
      <c r="AH383" s="684"/>
      <c r="AI383" s="684"/>
      <c r="AJ383" s="684"/>
      <c r="AK383" s="684"/>
      <c r="AL383" s="684"/>
      <c r="AM383" s="684"/>
      <c r="AN383" s="1545"/>
      <c r="AO383" s="1545"/>
      <c r="AP383" s="1545"/>
      <c r="AQ383" s="1545"/>
      <c r="AR383" s="1545"/>
      <c r="AS383" s="684"/>
      <c r="AT383" s="684"/>
      <c r="AU383" s="684"/>
      <c r="AV383" s="684"/>
      <c r="AW383" s="684"/>
      <c r="AX383" s="684"/>
      <c r="AY383" s="684"/>
      <c r="AZ383" s="684"/>
      <c r="BA383" s="684"/>
      <c r="BB383" s="677"/>
      <c r="BC383" s="684"/>
      <c r="BD383" s="677"/>
      <c r="BE383" s="684"/>
      <c r="BF383" s="677"/>
      <c r="BG383" s="684"/>
      <c r="BH383" s="13"/>
      <c r="BI383" s="684"/>
      <c r="BJ383" s="13"/>
      <c r="BK383" s="684"/>
      <c r="BL383" s="684"/>
      <c r="BM383" s="684"/>
      <c r="BN383" s="677"/>
      <c r="BO383" s="684"/>
      <c r="BP383" s="541"/>
      <c r="BQ383" s="633"/>
      <c r="BR383" s="541"/>
      <c r="BS383" s="541"/>
      <c r="BT383" s="541"/>
    </row>
    <row r="384" ht="15.75" customHeight="1">
      <c r="A384" s="1591"/>
      <c r="B384" s="1541"/>
      <c r="C384" s="2217"/>
      <c r="D384" s="1543"/>
      <c r="E384" s="906"/>
      <c r="F384" s="1545"/>
      <c r="G384" s="684"/>
      <c r="H384" s="1545"/>
      <c r="I384" s="684"/>
      <c r="J384" s="1545"/>
      <c r="K384" s="684"/>
      <c r="L384" s="1545"/>
      <c r="M384" s="684"/>
      <c r="N384" s="1545"/>
      <c r="O384" s="684"/>
      <c r="P384" s="1545"/>
      <c r="Q384" s="684"/>
      <c r="R384" s="1545"/>
      <c r="S384" s="684"/>
      <c r="T384" s="1545"/>
      <c r="U384" s="684"/>
      <c r="V384" s="1545"/>
      <c r="W384" s="684"/>
      <c r="X384" s="1545"/>
      <c r="Y384" s="1545"/>
      <c r="Z384" s="1545"/>
      <c r="AA384" s="684"/>
      <c r="AB384" s="1545"/>
      <c r="AC384" s="684"/>
      <c r="AD384" s="684"/>
      <c r="AE384" s="684"/>
      <c r="AF384" s="684"/>
      <c r="AG384" s="684"/>
      <c r="AH384" s="684"/>
      <c r="AI384" s="684"/>
      <c r="AJ384" s="684"/>
      <c r="AK384" s="684"/>
      <c r="AL384" s="684"/>
      <c r="AM384" s="684"/>
      <c r="AN384" s="1545"/>
      <c r="AO384" s="1545"/>
      <c r="AP384" s="1545"/>
      <c r="AQ384" s="1545"/>
      <c r="AR384" s="1545"/>
      <c r="AS384" s="684"/>
      <c r="AT384" s="684"/>
      <c r="AU384" s="684"/>
      <c r="AV384" s="684"/>
      <c r="AW384" s="684"/>
      <c r="AX384" s="684"/>
      <c r="AY384" s="684"/>
      <c r="AZ384" s="684"/>
      <c r="BA384" s="684"/>
      <c r="BB384" s="677"/>
      <c r="BC384" s="684"/>
      <c r="BD384" s="677"/>
      <c r="BE384" s="684"/>
      <c r="BF384" s="677"/>
      <c r="BG384" s="684"/>
      <c r="BH384" s="13"/>
      <c r="BI384" s="684"/>
      <c r="BJ384" s="13"/>
      <c r="BK384" s="684"/>
      <c r="BL384" s="684"/>
      <c r="BM384" s="684"/>
      <c r="BN384" s="677"/>
      <c r="BO384" s="684"/>
      <c r="BP384" s="541"/>
      <c r="BQ384" s="633"/>
      <c r="BR384" s="541"/>
      <c r="BS384" s="541"/>
      <c r="BT384" s="541"/>
    </row>
    <row r="385" ht="15.75" customHeight="1">
      <c r="A385" s="1591"/>
      <c r="B385" s="1541"/>
      <c r="C385" s="2217"/>
      <c r="D385" s="1543"/>
      <c r="E385" s="906"/>
      <c r="F385" s="1545"/>
      <c r="G385" s="684"/>
      <c r="H385" s="1545"/>
      <c r="I385" s="684"/>
      <c r="J385" s="1545"/>
      <c r="K385" s="684"/>
      <c r="L385" s="1545"/>
      <c r="M385" s="684"/>
      <c r="N385" s="1545"/>
      <c r="O385" s="684"/>
      <c r="P385" s="1545"/>
      <c r="Q385" s="684"/>
      <c r="R385" s="1545"/>
      <c r="S385" s="684"/>
      <c r="T385" s="1545"/>
      <c r="U385" s="684"/>
      <c r="V385" s="1545"/>
      <c r="W385" s="684"/>
      <c r="X385" s="1545"/>
      <c r="Y385" s="1545"/>
      <c r="Z385" s="1545"/>
      <c r="AA385" s="684"/>
      <c r="AB385" s="1545"/>
      <c r="AC385" s="684"/>
      <c r="AD385" s="684"/>
      <c r="AE385" s="684"/>
      <c r="AF385" s="684"/>
      <c r="AG385" s="684"/>
      <c r="AH385" s="684"/>
      <c r="AI385" s="684"/>
      <c r="AJ385" s="684"/>
      <c r="AK385" s="684"/>
      <c r="AL385" s="684"/>
      <c r="AM385" s="684"/>
      <c r="AN385" s="1545"/>
      <c r="AO385" s="1545"/>
      <c r="AP385" s="1545"/>
      <c r="AQ385" s="1545"/>
      <c r="AR385" s="1545"/>
      <c r="AS385" s="684"/>
      <c r="AT385" s="684"/>
      <c r="AU385" s="684"/>
      <c r="AV385" s="684"/>
      <c r="AW385" s="684"/>
      <c r="AX385" s="684"/>
      <c r="AY385" s="684"/>
      <c r="AZ385" s="684"/>
      <c r="BA385" s="684"/>
      <c r="BB385" s="677"/>
      <c r="BC385" s="684"/>
      <c r="BD385" s="677"/>
      <c r="BE385" s="684"/>
      <c r="BF385" s="677"/>
      <c r="BG385" s="684"/>
      <c r="BH385" s="13"/>
      <c r="BI385" s="684"/>
      <c r="BJ385" s="13"/>
      <c r="BK385" s="684"/>
      <c r="BL385" s="684"/>
      <c r="BM385" s="684"/>
      <c r="BN385" s="677"/>
      <c r="BO385" s="684"/>
      <c r="BP385" s="541"/>
      <c r="BQ385" s="633"/>
      <c r="BR385" s="541"/>
      <c r="BS385" s="541"/>
      <c r="BT385" s="541"/>
    </row>
    <row r="386" ht="15.75" customHeight="1">
      <c r="A386" s="1591"/>
      <c r="B386" s="1541"/>
      <c r="C386" s="2217"/>
      <c r="D386" s="1543"/>
      <c r="E386" s="906"/>
      <c r="F386" s="1545"/>
      <c r="G386" s="2250"/>
      <c r="H386" s="1545"/>
      <c r="I386" s="2250"/>
      <c r="J386" s="1545"/>
      <c r="K386" s="2250"/>
      <c r="L386" s="1545"/>
      <c r="M386" s="2250"/>
      <c r="N386" s="1545"/>
      <c r="O386" s="2250"/>
      <c r="P386" s="1545"/>
      <c r="Q386" s="2250"/>
      <c r="R386" s="1545"/>
      <c r="S386" s="684"/>
      <c r="T386" s="1545"/>
      <c r="U386" s="684"/>
      <c r="V386" s="1545"/>
      <c r="W386" s="684"/>
      <c r="X386" s="1545"/>
      <c r="Y386" s="1545"/>
      <c r="Z386" s="1545"/>
      <c r="AA386" s="684"/>
      <c r="AB386" s="1545"/>
      <c r="AC386" s="684"/>
      <c r="AD386" s="684"/>
      <c r="AE386" s="684"/>
      <c r="AF386" s="684"/>
      <c r="AG386" s="684"/>
      <c r="AH386" s="684"/>
      <c r="AI386" s="684"/>
      <c r="AJ386" s="684"/>
      <c r="AK386" s="684"/>
      <c r="AL386" s="684"/>
      <c r="AM386" s="684"/>
      <c r="AN386" s="1545"/>
      <c r="AO386" s="1545"/>
      <c r="AP386" s="1545"/>
      <c r="AQ386" s="1545"/>
      <c r="AR386" s="1545"/>
      <c r="AS386" s="684"/>
      <c r="AT386" s="684"/>
      <c r="AU386" s="684"/>
      <c r="AV386" s="684"/>
      <c r="AW386" s="684"/>
      <c r="AX386" s="684"/>
      <c r="AY386" s="684"/>
      <c r="AZ386" s="684"/>
      <c r="BA386" s="684"/>
      <c r="BB386" s="677"/>
      <c r="BC386" s="684"/>
      <c r="BD386" s="677"/>
      <c r="BE386" s="684"/>
      <c r="BF386" s="677"/>
      <c r="BG386" s="684"/>
      <c r="BH386" s="13"/>
      <c r="BI386" s="684"/>
      <c r="BJ386" s="13"/>
      <c r="BK386" s="684"/>
      <c r="BL386" s="684"/>
      <c r="BM386" s="684"/>
      <c r="BN386" s="677"/>
      <c r="BO386" s="684"/>
      <c r="BP386" s="541"/>
      <c r="BQ386" s="633"/>
      <c r="BR386" s="541"/>
      <c r="BS386" s="541"/>
      <c r="BT386" s="541"/>
    </row>
    <row r="387" ht="15.75" customHeight="1">
      <c r="A387" s="1591"/>
      <c r="B387" s="1541"/>
      <c r="C387" s="2217"/>
      <c r="D387" s="1543"/>
      <c r="E387" s="906"/>
      <c r="F387" s="1545"/>
      <c r="G387" s="2250"/>
      <c r="H387" s="1545"/>
      <c r="I387" s="2250"/>
      <c r="J387" s="1545"/>
      <c r="K387" s="2250"/>
      <c r="L387" s="1545"/>
      <c r="M387" s="2250"/>
      <c r="N387" s="1545"/>
      <c r="O387" s="2250"/>
      <c r="P387" s="1545"/>
      <c r="Q387" s="2250"/>
      <c r="R387" s="1545"/>
      <c r="S387" s="684"/>
      <c r="T387" s="1545"/>
      <c r="U387" s="684"/>
      <c r="V387" s="1545"/>
      <c r="W387" s="684"/>
      <c r="X387" s="1545"/>
      <c r="Y387" s="1545"/>
      <c r="Z387" s="1545"/>
      <c r="AA387" s="684"/>
      <c r="AB387" s="1545"/>
      <c r="AC387" s="684"/>
      <c r="AD387" s="684"/>
      <c r="AE387" s="684"/>
      <c r="AF387" s="684"/>
      <c r="AG387" s="684"/>
      <c r="AH387" s="684"/>
      <c r="AI387" s="684"/>
      <c r="AJ387" s="684"/>
      <c r="AK387" s="684"/>
      <c r="AL387" s="684"/>
      <c r="AM387" s="684"/>
      <c r="AN387" s="1545"/>
      <c r="AO387" s="1545"/>
      <c r="AP387" s="1545"/>
      <c r="AQ387" s="1545"/>
      <c r="AR387" s="1545"/>
      <c r="AS387" s="684"/>
      <c r="AT387" s="684"/>
      <c r="AU387" s="684"/>
      <c r="AV387" s="684"/>
      <c r="AW387" s="684"/>
      <c r="AX387" s="684"/>
      <c r="AY387" s="684"/>
      <c r="AZ387" s="684"/>
      <c r="BA387" s="684"/>
      <c r="BB387" s="677"/>
      <c r="BC387" s="684"/>
      <c r="BD387" s="677"/>
      <c r="BE387" s="684"/>
      <c r="BF387" s="677"/>
      <c r="BG387" s="684"/>
      <c r="BH387" s="13"/>
      <c r="BI387" s="684"/>
      <c r="BJ387" s="13"/>
      <c r="BK387" s="684"/>
      <c r="BL387" s="684"/>
      <c r="BM387" s="684"/>
      <c r="BN387" s="677"/>
      <c r="BO387" s="684"/>
      <c r="BP387" s="541"/>
      <c r="BQ387" s="633"/>
      <c r="BR387" s="541"/>
      <c r="BS387" s="541"/>
      <c r="BT387" s="541"/>
    </row>
    <row r="388" ht="15.75" customHeight="1">
      <c r="A388" s="1591"/>
      <c r="B388" s="1541"/>
      <c r="C388" s="2217"/>
      <c r="D388" s="1543"/>
      <c r="E388" s="906"/>
      <c r="F388" s="1545"/>
      <c r="G388" s="2250"/>
      <c r="H388" s="1545"/>
      <c r="I388" s="2250"/>
      <c r="J388" s="1545"/>
      <c r="K388" s="2250"/>
      <c r="L388" s="1545"/>
      <c r="M388" s="2250"/>
      <c r="N388" s="1545"/>
      <c r="O388" s="2250"/>
      <c r="P388" s="1545"/>
      <c r="Q388" s="2250"/>
      <c r="R388" s="1545"/>
      <c r="S388" s="684"/>
      <c r="T388" s="1545"/>
      <c r="U388" s="684"/>
      <c r="V388" s="1545"/>
      <c r="W388" s="684"/>
      <c r="X388" s="1545"/>
      <c r="Y388" s="1545"/>
      <c r="Z388" s="1545"/>
      <c r="AA388" s="684"/>
      <c r="AB388" s="1545"/>
      <c r="AC388" s="684"/>
      <c r="AD388" s="684"/>
      <c r="AE388" s="684"/>
      <c r="AF388" s="684"/>
      <c r="AG388" s="684"/>
      <c r="AH388" s="684"/>
      <c r="AI388" s="684"/>
      <c r="AJ388" s="684"/>
      <c r="AK388" s="684"/>
      <c r="AL388" s="684"/>
      <c r="AM388" s="684"/>
      <c r="AN388" s="1545"/>
      <c r="AO388" s="1545"/>
      <c r="AP388" s="1545"/>
      <c r="AQ388" s="1545"/>
      <c r="AR388" s="1545"/>
      <c r="AS388" s="684"/>
      <c r="AT388" s="684"/>
      <c r="AU388" s="684"/>
      <c r="AV388" s="684"/>
      <c r="AW388" s="684"/>
      <c r="AX388" s="684"/>
      <c r="AY388" s="684"/>
      <c r="AZ388" s="684"/>
      <c r="BA388" s="684"/>
      <c r="BB388" s="677"/>
      <c r="BC388" s="684"/>
      <c r="BD388" s="677"/>
      <c r="BE388" s="684"/>
      <c r="BF388" s="677"/>
      <c r="BG388" s="684"/>
      <c r="BH388" s="13"/>
      <c r="BI388" s="684"/>
      <c r="BJ388" s="13"/>
      <c r="BK388" s="684"/>
      <c r="BL388" s="684"/>
      <c r="BM388" s="684"/>
      <c r="BN388" s="677"/>
      <c r="BO388" s="684"/>
      <c r="BP388" s="541"/>
      <c r="BQ388" s="633"/>
      <c r="BR388" s="541"/>
      <c r="BS388" s="541"/>
      <c r="BT388" s="541"/>
    </row>
    <row r="389" ht="15.75" customHeight="1">
      <c r="A389" s="1591"/>
      <c r="B389" s="1541"/>
      <c r="C389" s="2217"/>
      <c r="D389" s="1543"/>
      <c r="E389" s="906"/>
      <c r="F389" s="1545"/>
      <c r="G389" s="2250"/>
      <c r="H389" s="1545"/>
      <c r="I389" s="2250"/>
      <c r="J389" s="1545"/>
      <c r="K389" s="2250"/>
      <c r="L389" s="1545"/>
      <c r="M389" s="2250"/>
      <c r="N389" s="1545"/>
      <c r="O389" s="2250"/>
      <c r="P389" s="1545"/>
      <c r="Q389" s="2250"/>
      <c r="R389" s="1545"/>
      <c r="S389" s="684"/>
      <c r="T389" s="1545"/>
      <c r="U389" s="684"/>
      <c r="V389" s="1545"/>
      <c r="W389" s="684"/>
      <c r="X389" s="1545"/>
      <c r="Y389" s="1545"/>
      <c r="Z389" s="1545"/>
      <c r="AA389" s="684"/>
      <c r="AB389" s="1545"/>
      <c r="AC389" s="684"/>
      <c r="AD389" s="684"/>
      <c r="AE389" s="684"/>
      <c r="AF389" s="684"/>
      <c r="AG389" s="684"/>
      <c r="AH389" s="684"/>
      <c r="AI389" s="684"/>
      <c r="AJ389" s="684"/>
      <c r="AK389" s="684"/>
      <c r="AL389" s="684"/>
      <c r="AM389" s="684"/>
      <c r="AN389" s="1545"/>
      <c r="AO389" s="1545"/>
      <c r="AP389" s="1545"/>
      <c r="AQ389" s="1545"/>
      <c r="AR389" s="1545"/>
      <c r="AS389" s="684"/>
      <c r="AT389" s="684"/>
      <c r="AU389" s="684"/>
      <c r="AV389" s="684"/>
      <c r="AW389" s="684"/>
      <c r="AX389" s="684"/>
      <c r="AY389" s="684"/>
      <c r="AZ389" s="684"/>
      <c r="BA389" s="684"/>
      <c r="BB389" s="677"/>
      <c r="BC389" s="684"/>
      <c r="BD389" s="677"/>
      <c r="BE389" s="684"/>
      <c r="BF389" s="677"/>
      <c r="BG389" s="684"/>
      <c r="BH389" s="13"/>
      <c r="BI389" s="684"/>
      <c r="BJ389" s="13"/>
      <c r="BK389" s="684"/>
      <c r="BL389" s="684"/>
      <c r="BM389" s="684"/>
      <c r="BN389" s="677"/>
      <c r="BO389" s="684"/>
      <c r="BP389" s="541"/>
      <c r="BQ389" s="633"/>
      <c r="BR389" s="541"/>
      <c r="BS389" s="541"/>
      <c r="BT389" s="541"/>
    </row>
    <row r="390" ht="15.75" customHeight="1">
      <c r="A390" s="1591"/>
      <c r="B390" s="1541"/>
      <c r="C390" s="2217"/>
      <c r="D390" s="1543"/>
      <c r="E390" s="906"/>
      <c r="F390" s="1545"/>
      <c r="G390" s="2250"/>
      <c r="H390" s="1545"/>
      <c r="I390" s="2250"/>
      <c r="J390" s="1545"/>
      <c r="K390" s="2250"/>
      <c r="L390" s="1545"/>
      <c r="M390" s="2250"/>
      <c r="N390" s="1545"/>
      <c r="O390" s="2250"/>
      <c r="P390" s="1545"/>
      <c r="Q390" s="2250"/>
      <c r="R390" s="1545"/>
      <c r="S390" s="684"/>
      <c r="T390" s="1545"/>
      <c r="U390" s="684"/>
      <c r="V390" s="1545"/>
      <c r="W390" s="684"/>
      <c r="X390" s="1545"/>
      <c r="Y390" s="1545"/>
      <c r="Z390" s="1545"/>
      <c r="AA390" s="684"/>
      <c r="AB390" s="1545"/>
      <c r="AC390" s="684"/>
      <c r="AD390" s="684"/>
      <c r="AE390" s="684"/>
      <c r="AF390" s="684"/>
      <c r="AG390" s="684"/>
      <c r="AH390" s="684"/>
      <c r="AI390" s="684"/>
      <c r="AJ390" s="684"/>
      <c r="AK390" s="684"/>
      <c r="AL390" s="684"/>
      <c r="AM390" s="684"/>
      <c r="AN390" s="1545"/>
      <c r="AO390" s="1545"/>
      <c r="AP390" s="1545"/>
      <c r="AQ390" s="1545"/>
      <c r="AR390" s="1545"/>
      <c r="AS390" s="684"/>
      <c r="AT390" s="684"/>
      <c r="AU390" s="684"/>
      <c r="AV390" s="684"/>
      <c r="AW390" s="684"/>
      <c r="AX390" s="684"/>
      <c r="AY390" s="684"/>
      <c r="AZ390" s="684"/>
      <c r="BA390" s="684"/>
      <c r="BB390" s="677"/>
      <c r="BC390" s="684"/>
      <c r="BD390" s="677"/>
      <c r="BE390" s="684"/>
      <c r="BF390" s="677"/>
      <c r="BG390" s="684"/>
      <c r="BH390" s="13"/>
      <c r="BI390" s="684"/>
      <c r="BJ390" s="13"/>
      <c r="BK390" s="684"/>
      <c r="BL390" s="684"/>
      <c r="BM390" s="684"/>
      <c r="BN390" s="677"/>
      <c r="BO390" s="684"/>
      <c r="BP390" s="541"/>
      <c r="BQ390" s="633"/>
      <c r="BR390" s="541"/>
      <c r="BS390" s="541"/>
      <c r="BT390" s="541"/>
    </row>
    <row r="391" ht="15.75" customHeight="1">
      <c r="A391" s="1591"/>
      <c r="B391" s="1541"/>
      <c r="C391" s="2217"/>
      <c r="D391" s="1543"/>
      <c r="E391" s="906"/>
      <c r="F391" s="1545"/>
      <c r="G391" s="2250"/>
      <c r="H391" s="1545"/>
      <c r="I391" s="2250"/>
      <c r="J391" s="1545"/>
      <c r="K391" s="2250"/>
      <c r="L391" s="1545"/>
      <c r="M391" s="2250"/>
      <c r="N391" s="1545"/>
      <c r="O391" s="2250"/>
      <c r="P391" s="1545"/>
      <c r="Q391" s="2250"/>
      <c r="R391" s="1545"/>
      <c r="S391" s="684"/>
      <c r="T391" s="1545"/>
      <c r="U391" s="684"/>
      <c r="V391" s="1545"/>
      <c r="W391" s="684"/>
      <c r="X391" s="1545"/>
      <c r="Y391" s="1545"/>
      <c r="Z391" s="1545"/>
      <c r="AA391" s="684"/>
      <c r="AB391" s="1545"/>
      <c r="AC391" s="684"/>
      <c r="AD391" s="684"/>
      <c r="AE391" s="684"/>
      <c r="AF391" s="684"/>
      <c r="AG391" s="684"/>
      <c r="AH391" s="684"/>
      <c r="AI391" s="684"/>
      <c r="AJ391" s="684"/>
      <c r="AK391" s="684"/>
      <c r="AL391" s="684"/>
      <c r="AM391" s="684"/>
      <c r="AN391" s="1545"/>
      <c r="AO391" s="1545"/>
      <c r="AP391" s="1545"/>
      <c r="AQ391" s="1545"/>
      <c r="AR391" s="1545"/>
      <c r="AS391" s="684"/>
      <c r="AT391" s="684"/>
      <c r="AU391" s="684"/>
      <c r="AV391" s="684"/>
      <c r="AW391" s="684"/>
      <c r="AX391" s="684"/>
      <c r="AY391" s="684"/>
      <c r="AZ391" s="684"/>
      <c r="BA391" s="684"/>
      <c r="BB391" s="677"/>
      <c r="BC391" s="684"/>
      <c r="BD391" s="677"/>
      <c r="BE391" s="684"/>
      <c r="BF391" s="677"/>
      <c r="BG391" s="684"/>
      <c r="BH391" s="13"/>
      <c r="BI391" s="684"/>
      <c r="BJ391" s="13"/>
      <c r="BK391" s="684"/>
      <c r="BL391" s="684"/>
      <c r="BM391" s="684"/>
      <c r="BN391" s="677"/>
      <c r="BO391" s="684"/>
      <c r="BP391" s="541"/>
      <c r="BQ391" s="633"/>
      <c r="BR391" s="541"/>
      <c r="BS391" s="541"/>
      <c r="BT391" s="541"/>
    </row>
    <row r="392" ht="15.75" customHeight="1">
      <c r="A392" s="1591"/>
      <c r="B392" s="1541"/>
      <c r="C392" s="2217"/>
      <c r="D392" s="1543"/>
      <c r="E392" s="906"/>
      <c r="F392" s="1545"/>
      <c r="G392" s="2250"/>
      <c r="H392" s="1545"/>
      <c r="I392" s="2250"/>
      <c r="J392" s="1545"/>
      <c r="K392" s="2250"/>
      <c r="L392" s="1545"/>
      <c r="M392" s="2250"/>
      <c r="N392" s="1545"/>
      <c r="O392" s="2250"/>
      <c r="P392" s="1545"/>
      <c r="Q392" s="2250"/>
      <c r="R392" s="1545"/>
      <c r="S392" s="684"/>
      <c r="T392" s="1545"/>
      <c r="U392" s="684"/>
      <c r="V392" s="1545"/>
      <c r="W392" s="684"/>
      <c r="X392" s="1545"/>
      <c r="Y392" s="1545"/>
      <c r="Z392" s="1545"/>
      <c r="AA392" s="684"/>
      <c r="AB392" s="1545"/>
      <c r="AC392" s="684"/>
      <c r="AD392" s="684"/>
      <c r="AE392" s="684"/>
      <c r="AF392" s="684"/>
      <c r="AG392" s="684"/>
      <c r="AH392" s="684"/>
      <c r="AI392" s="684"/>
      <c r="AJ392" s="684"/>
      <c r="AK392" s="684"/>
      <c r="AL392" s="684"/>
      <c r="AM392" s="684"/>
      <c r="AN392" s="1545"/>
      <c r="AO392" s="1545"/>
      <c r="AP392" s="1545"/>
      <c r="AQ392" s="1545"/>
      <c r="AR392" s="1545"/>
      <c r="AS392" s="684"/>
      <c r="AT392" s="684"/>
      <c r="AU392" s="684"/>
      <c r="AV392" s="684"/>
      <c r="AW392" s="684"/>
      <c r="AX392" s="684"/>
      <c r="AY392" s="684"/>
      <c r="AZ392" s="684"/>
      <c r="BA392" s="684"/>
      <c r="BB392" s="677"/>
      <c r="BC392" s="684"/>
      <c r="BD392" s="677"/>
      <c r="BE392" s="684"/>
      <c r="BF392" s="677"/>
      <c r="BG392" s="684"/>
      <c r="BH392" s="13"/>
      <c r="BI392" s="684"/>
      <c r="BJ392" s="13"/>
      <c r="BK392" s="684"/>
      <c r="BL392" s="684"/>
      <c r="BM392" s="684"/>
      <c r="BN392" s="677"/>
      <c r="BO392" s="684"/>
      <c r="BP392" s="541"/>
      <c r="BQ392" s="633"/>
      <c r="BR392" s="541"/>
      <c r="BS392" s="541"/>
      <c r="BT392" s="541"/>
    </row>
    <row r="393" ht="15.75" customHeight="1">
      <c r="A393" s="1591"/>
      <c r="B393" s="1541"/>
      <c r="C393" s="2217"/>
      <c r="D393" s="1543"/>
      <c r="E393" s="906"/>
      <c r="F393" s="1545"/>
      <c r="G393" s="2250"/>
      <c r="H393" s="1545"/>
      <c r="I393" s="2250"/>
      <c r="J393" s="1545"/>
      <c r="K393" s="2250"/>
      <c r="L393" s="1545"/>
      <c r="M393" s="2250"/>
      <c r="N393" s="1545"/>
      <c r="O393" s="2250"/>
      <c r="P393" s="1545"/>
      <c r="Q393" s="2250"/>
      <c r="R393" s="1545"/>
      <c r="S393" s="684"/>
      <c r="T393" s="1545"/>
      <c r="U393" s="684"/>
      <c r="V393" s="1545"/>
      <c r="W393" s="684"/>
      <c r="X393" s="1545"/>
      <c r="Y393" s="1545"/>
      <c r="Z393" s="1545"/>
      <c r="AA393" s="684"/>
      <c r="AB393" s="1545"/>
      <c r="AC393" s="684"/>
      <c r="AD393" s="684"/>
      <c r="AE393" s="684"/>
      <c r="AF393" s="684"/>
      <c r="AG393" s="684"/>
      <c r="AH393" s="684"/>
      <c r="AI393" s="684"/>
      <c r="AJ393" s="684"/>
      <c r="AK393" s="684"/>
      <c r="AL393" s="684"/>
      <c r="AM393" s="684"/>
      <c r="AN393" s="1545"/>
      <c r="AO393" s="1545"/>
      <c r="AP393" s="1545"/>
      <c r="AQ393" s="1545"/>
      <c r="AR393" s="1545"/>
      <c r="AS393" s="684"/>
      <c r="AT393" s="684"/>
      <c r="AU393" s="684"/>
      <c r="AV393" s="684"/>
      <c r="AW393" s="684"/>
      <c r="AX393" s="684"/>
      <c r="AY393" s="684"/>
      <c r="AZ393" s="684"/>
      <c r="BA393" s="684"/>
      <c r="BB393" s="677"/>
      <c r="BC393" s="684"/>
      <c r="BD393" s="677"/>
      <c r="BE393" s="684"/>
      <c r="BF393" s="677"/>
      <c r="BG393" s="684"/>
      <c r="BH393" s="13"/>
      <c r="BI393" s="684"/>
      <c r="BJ393" s="13"/>
      <c r="BK393" s="684"/>
      <c r="BL393" s="684"/>
      <c r="BM393" s="684"/>
      <c r="BN393" s="677"/>
      <c r="BO393" s="684"/>
      <c r="BP393" s="541"/>
      <c r="BQ393" s="633"/>
      <c r="BR393" s="541"/>
      <c r="BS393" s="541"/>
      <c r="BT393" s="541"/>
    </row>
    <row r="394" ht="15.75" customHeight="1">
      <c r="A394" s="1591"/>
      <c r="B394" s="1541"/>
      <c r="C394" s="2217"/>
      <c r="D394" s="1543"/>
      <c r="E394" s="906"/>
      <c r="F394" s="1545"/>
      <c r="G394" s="2250"/>
      <c r="H394" s="1545"/>
      <c r="I394" s="2250"/>
      <c r="J394" s="1545"/>
      <c r="K394" s="2250"/>
      <c r="L394" s="1545"/>
      <c r="M394" s="2250"/>
      <c r="N394" s="1545"/>
      <c r="O394" s="2250"/>
      <c r="P394" s="1545"/>
      <c r="Q394" s="2250"/>
      <c r="R394" s="1545"/>
      <c r="S394" s="684"/>
      <c r="T394" s="1545"/>
      <c r="U394" s="684"/>
      <c r="V394" s="1545"/>
      <c r="W394" s="684"/>
      <c r="X394" s="1545"/>
      <c r="Y394" s="1545"/>
      <c r="Z394" s="1545"/>
      <c r="AA394" s="684"/>
      <c r="AB394" s="1545"/>
      <c r="AC394" s="684"/>
      <c r="AD394" s="684"/>
      <c r="AE394" s="684"/>
      <c r="AF394" s="684"/>
      <c r="AG394" s="684"/>
      <c r="AH394" s="684"/>
      <c r="AI394" s="684"/>
      <c r="AJ394" s="684"/>
      <c r="AK394" s="684"/>
      <c r="AL394" s="684"/>
      <c r="AM394" s="684"/>
      <c r="AN394" s="1545"/>
      <c r="AO394" s="1545"/>
      <c r="AP394" s="1545"/>
      <c r="AQ394" s="1545"/>
      <c r="AR394" s="1545"/>
      <c r="AS394" s="684"/>
      <c r="AT394" s="684"/>
      <c r="AU394" s="684"/>
      <c r="AV394" s="684"/>
      <c r="AW394" s="684"/>
      <c r="AX394" s="684"/>
      <c r="AY394" s="684"/>
      <c r="AZ394" s="684"/>
      <c r="BA394" s="684"/>
      <c r="BB394" s="677"/>
      <c r="BC394" s="684"/>
      <c r="BD394" s="677"/>
      <c r="BE394" s="684"/>
      <c r="BF394" s="677"/>
      <c r="BG394" s="684"/>
      <c r="BH394" s="13"/>
      <c r="BI394" s="684"/>
      <c r="BJ394" s="13"/>
      <c r="BK394" s="684"/>
      <c r="BL394" s="684"/>
      <c r="BM394" s="684"/>
      <c r="BN394" s="677"/>
      <c r="BO394" s="684"/>
      <c r="BP394" s="541"/>
      <c r="BQ394" s="633"/>
      <c r="BR394" s="541"/>
      <c r="BS394" s="541"/>
      <c r="BT394" s="541"/>
    </row>
    <row r="395" ht="15.75" customHeight="1">
      <c r="A395" s="1591"/>
      <c r="B395" s="1541"/>
      <c r="C395" s="2217"/>
      <c r="D395" s="1543"/>
      <c r="E395" s="906"/>
      <c r="F395" s="1545"/>
      <c r="G395" s="2250"/>
      <c r="H395" s="1545"/>
      <c r="I395" s="2250"/>
      <c r="J395" s="1545"/>
      <c r="K395" s="2250"/>
      <c r="L395" s="1545"/>
      <c r="M395" s="2250"/>
      <c r="N395" s="1545"/>
      <c r="O395" s="2250"/>
      <c r="P395" s="1545"/>
      <c r="Q395" s="2250"/>
      <c r="R395" s="1545"/>
      <c r="S395" s="684"/>
      <c r="T395" s="1545"/>
      <c r="U395" s="684"/>
      <c r="V395" s="1545"/>
      <c r="W395" s="684"/>
      <c r="X395" s="1545"/>
      <c r="Y395" s="1545"/>
      <c r="Z395" s="1545"/>
      <c r="AA395" s="684"/>
      <c r="AB395" s="1545"/>
      <c r="AC395" s="684"/>
      <c r="AD395" s="684"/>
      <c r="AE395" s="684"/>
      <c r="AF395" s="684"/>
      <c r="AG395" s="684"/>
      <c r="AH395" s="684"/>
      <c r="AI395" s="684"/>
      <c r="AJ395" s="684"/>
      <c r="AK395" s="684"/>
      <c r="AL395" s="684"/>
      <c r="AM395" s="684"/>
      <c r="AN395" s="1545"/>
      <c r="AO395" s="1545"/>
      <c r="AP395" s="1545"/>
      <c r="AQ395" s="1545"/>
      <c r="AR395" s="1545"/>
      <c r="AS395" s="684"/>
      <c r="AT395" s="684"/>
      <c r="AU395" s="684"/>
      <c r="AV395" s="684"/>
      <c r="AW395" s="684"/>
      <c r="AX395" s="684"/>
      <c r="AY395" s="684"/>
      <c r="AZ395" s="684"/>
      <c r="BA395" s="684"/>
      <c r="BB395" s="677"/>
      <c r="BC395" s="684"/>
      <c r="BD395" s="677"/>
      <c r="BE395" s="684"/>
      <c r="BF395" s="677"/>
      <c r="BG395" s="684"/>
      <c r="BH395" s="13"/>
      <c r="BI395" s="684"/>
      <c r="BJ395" s="13"/>
      <c r="BK395" s="684"/>
      <c r="BL395" s="684"/>
      <c r="BM395" s="684"/>
      <c r="BN395" s="677"/>
      <c r="BO395" s="684"/>
      <c r="BP395" s="541"/>
      <c r="BQ395" s="633"/>
      <c r="BR395" s="541"/>
      <c r="BS395" s="541"/>
      <c r="BT395" s="541"/>
    </row>
    <row r="396" ht="15.75" customHeight="1">
      <c r="A396" s="1591"/>
      <c r="B396" s="1541"/>
      <c r="C396" s="2217"/>
      <c r="D396" s="1543"/>
      <c r="E396" s="906"/>
      <c r="F396" s="1545"/>
      <c r="G396" s="2250"/>
      <c r="H396" s="1545"/>
      <c r="I396" s="2250"/>
      <c r="J396" s="1545"/>
      <c r="K396" s="2250"/>
      <c r="L396" s="1545"/>
      <c r="M396" s="2250"/>
      <c r="N396" s="1545"/>
      <c r="O396" s="2250"/>
      <c r="P396" s="1545"/>
      <c r="Q396" s="2250"/>
      <c r="R396" s="1545"/>
      <c r="S396" s="684"/>
      <c r="T396" s="1545"/>
      <c r="U396" s="684"/>
      <c r="V396" s="1545"/>
      <c r="W396" s="684"/>
      <c r="X396" s="1545"/>
      <c r="Y396" s="1545"/>
      <c r="Z396" s="1545"/>
      <c r="AA396" s="684"/>
      <c r="AB396" s="1545"/>
      <c r="AC396" s="684"/>
      <c r="AD396" s="684"/>
      <c r="AE396" s="684"/>
      <c r="AF396" s="684"/>
      <c r="AG396" s="684"/>
      <c r="AH396" s="684"/>
      <c r="AI396" s="684"/>
      <c r="AJ396" s="684"/>
      <c r="AK396" s="684"/>
      <c r="AL396" s="684"/>
      <c r="AM396" s="684"/>
      <c r="AN396" s="1545"/>
      <c r="AO396" s="1545"/>
      <c r="AP396" s="1545"/>
      <c r="AQ396" s="1545"/>
      <c r="AR396" s="1545"/>
      <c r="AS396" s="684"/>
      <c r="AT396" s="684"/>
      <c r="AU396" s="684"/>
      <c r="AV396" s="684"/>
      <c r="AW396" s="684"/>
      <c r="AX396" s="684"/>
      <c r="AY396" s="684"/>
      <c r="AZ396" s="684"/>
      <c r="BA396" s="684"/>
      <c r="BB396" s="677"/>
      <c r="BC396" s="684"/>
      <c r="BD396" s="677"/>
      <c r="BE396" s="684"/>
      <c r="BF396" s="677"/>
      <c r="BG396" s="684"/>
      <c r="BH396" s="13"/>
      <c r="BI396" s="684"/>
      <c r="BJ396" s="13"/>
      <c r="BK396" s="684"/>
      <c r="BL396" s="684"/>
      <c r="BM396" s="684"/>
      <c r="BN396" s="677"/>
      <c r="BO396" s="684"/>
      <c r="BP396" s="541"/>
      <c r="BQ396" s="633"/>
      <c r="BR396" s="541"/>
      <c r="BS396" s="541"/>
      <c r="BT396" s="541"/>
    </row>
    <row r="397" ht="15.75" customHeight="1">
      <c r="A397" s="1591"/>
      <c r="B397" s="1541"/>
      <c r="C397" s="2217"/>
      <c r="D397" s="1543"/>
      <c r="E397" s="906"/>
      <c r="F397" s="1545"/>
      <c r="G397" s="2250"/>
      <c r="H397" s="1545"/>
      <c r="I397" s="2250"/>
      <c r="J397" s="1545"/>
      <c r="K397" s="2250"/>
      <c r="L397" s="1545"/>
      <c r="M397" s="2250"/>
      <c r="N397" s="1545"/>
      <c r="O397" s="2250"/>
      <c r="P397" s="1545"/>
      <c r="Q397" s="2250"/>
      <c r="R397" s="1545"/>
      <c r="S397" s="684"/>
      <c r="T397" s="1545"/>
      <c r="U397" s="684"/>
      <c r="V397" s="1545"/>
      <c r="W397" s="684"/>
      <c r="X397" s="1545"/>
      <c r="Y397" s="1545"/>
      <c r="Z397" s="1545"/>
      <c r="AA397" s="684"/>
      <c r="AB397" s="1545"/>
      <c r="AC397" s="684"/>
      <c r="AD397" s="684"/>
      <c r="AE397" s="684"/>
      <c r="AF397" s="684"/>
      <c r="AG397" s="684"/>
      <c r="AH397" s="684"/>
      <c r="AI397" s="684"/>
      <c r="AJ397" s="684"/>
      <c r="AK397" s="684"/>
      <c r="AL397" s="684"/>
      <c r="AM397" s="684"/>
      <c r="AN397" s="1545"/>
      <c r="AO397" s="1545"/>
      <c r="AP397" s="1545"/>
      <c r="AQ397" s="1545"/>
      <c r="AR397" s="1545"/>
      <c r="AS397" s="684"/>
      <c r="AT397" s="684"/>
      <c r="AU397" s="684"/>
      <c r="AV397" s="684"/>
      <c r="AW397" s="684"/>
      <c r="AX397" s="684"/>
      <c r="AY397" s="684"/>
      <c r="AZ397" s="684"/>
      <c r="BA397" s="684"/>
      <c r="BB397" s="677"/>
      <c r="BC397" s="684"/>
      <c r="BD397" s="677"/>
      <c r="BE397" s="684"/>
      <c r="BF397" s="677"/>
      <c r="BG397" s="684"/>
      <c r="BH397" s="13"/>
      <c r="BI397" s="684"/>
      <c r="BJ397" s="13"/>
      <c r="BK397" s="684"/>
      <c r="BL397" s="684"/>
      <c r="BM397" s="684"/>
      <c r="BN397" s="677"/>
      <c r="BO397" s="684"/>
      <c r="BP397" s="541"/>
      <c r="BQ397" s="633"/>
      <c r="BR397" s="541"/>
      <c r="BS397" s="541"/>
      <c r="BT397" s="541"/>
    </row>
    <row r="398" ht="15.75" customHeight="1">
      <c r="A398" s="1591"/>
      <c r="B398" s="1541"/>
      <c r="C398" s="2217"/>
      <c r="D398" s="1543"/>
      <c r="E398" s="906"/>
      <c r="F398" s="1545"/>
      <c r="G398" s="2250"/>
      <c r="H398" s="1545"/>
      <c r="I398" s="2250"/>
      <c r="J398" s="1545"/>
      <c r="K398" s="2250"/>
      <c r="L398" s="1545"/>
      <c r="M398" s="2250"/>
      <c r="N398" s="1545"/>
      <c r="O398" s="2250"/>
      <c r="P398" s="1545"/>
      <c r="Q398" s="2250"/>
      <c r="R398" s="1545"/>
      <c r="S398" s="684"/>
      <c r="T398" s="1545"/>
      <c r="U398" s="684"/>
      <c r="V398" s="1545"/>
      <c r="W398" s="684"/>
      <c r="X398" s="1545"/>
      <c r="Y398" s="1545"/>
      <c r="Z398" s="1545"/>
      <c r="AA398" s="684"/>
      <c r="AB398" s="1545"/>
      <c r="AC398" s="684"/>
      <c r="AD398" s="684"/>
      <c r="AE398" s="684"/>
      <c r="AF398" s="684"/>
      <c r="AG398" s="684"/>
      <c r="AH398" s="684"/>
      <c r="AI398" s="684"/>
      <c r="AJ398" s="684"/>
      <c r="AK398" s="684"/>
      <c r="AL398" s="684"/>
      <c r="AM398" s="684"/>
      <c r="AN398" s="1545"/>
      <c r="AO398" s="1545"/>
      <c r="AP398" s="1545"/>
      <c r="AQ398" s="1545"/>
      <c r="AR398" s="1545"/>
      <c r="AS398" s="684"/>
      <c r="AT398" s="684"/>
      <c r="AU398" s="684"/>
      <c r="AV398" s="684"/>
      <c r="AW398" s="684"/>
      <c r="AX398" s="684"/>
      <c r="AY398" s="684"/>
      <c r="AZ398" s="684"/>
      <c r="BA398" s="684"/>
      <c r="BB398" s="677"/>
      <c r="BC398" s="684"/>
      <c r="BD398" s="677"/>
      <c r="BE398" s="684"/>
      <c r="BF398" s="677"/>
      <c r="BG398" s="684"/>
      <c r="BH398" s="13"/>
      <c r="BI398" s="684"/>
      <c r="BJ398" s="13"/>
      <c r="BK398" s="684"/>
      <c r="BL398" s="684"/>
      <c r="BM398" s="684"/>
      <c r="BN398" s="677"/>
      <c r="BO398" s="684"/>
      <c r="BP398" s="541"/>
      <c r="BQ398" s="633"/>
      <c r="BR398" s="541"/>
      <c r="BS398" s="541"/>
      <c r="BT398" s="541"/>
    </row>
    <row r="399" ht="15.75" customHeight="1">
      <c r="A399" s="1591"/>
      <c r="B399" s="1541"/>
      <c r="C399" s="2217"/>
      <c r="D399" s="1543"/>
      <c r="E399" s="906"/>
      <c r="F399" s="1545"/>
      <c r="G399" s="2250"/>
      <c r="H399" s="1545"/>
      <c r="I399" s="2250"/>
      <c r="J399" s="1545"/>
      <c r="K399" s="2250"/>
      <c r="L399" s="1545"/>
      <c r="M399" s="2250"/>
      <c r="N399" s="1545"/>
      <c r="O399" s="2250"/>
      <c r="P399" s="1545"/>
      <c r="Q399" s="2250"/>
      <c r="R399" s="1545"/>
      <c r="S399" s="684"/>
      <c r="T399" s="1545"/>
      <c r="U399" s="684"/>
      <c r="V399" s="1545"/>
      <c r="W399" s="684"/>
      <c r="X399" s="1545"/>
      <c r="Y399" s="1545"/>
      <c r="Z399" s="1545"/>
      <c r="AA399" s="684"/>
      <c r="AB399" s="1545"/>
      <c r="AC399" s="684"/>
      <c r="AD399" s="684"/>
      <c r="AE399" s="684"/>
      <c r="AF399" s="684"/>
      <c r="AG399" s="684"/>
      <c r="AH399" s="684"/>
      <c r="AI399" s="684"/>
      <c r="AJ399" s="684"/>
      <c r="AK399" s="684"/>
      <c r="AL399" s="684"/>
      <c r="AM399" s="684"/>
      <c r="AN399" s="1545"/>
      <c r="AO399" s="1545"/>
      <c r="AP399" s="1545"/>
      <c r="AQ399" s="1545"/>
      <c r="AR399" s="1545"/>
      <c r="AS399" s="684"/>
      <c r="AT399" s="684"/>
      <c r="AU399" s="684"/>
      <c r="AV399" s="684"/>
      <c r="AW399" s="684"/>
      <c r="AX399" s="684"/>
      <c r="AY399" s="684"/>
      <c r="AZ399" s="684"/>
      <c r="BA399" s="684"/>
      <c r="BB399" s="677"/>
      <c r="BC399" s="684"/>
      <c r="BD399" s="677"/>
      <c r="BE399" s="684"/>
      <c r="BF399" s="677"/>
      <c r="BG399" s="684"/>
      <c r="BH399" s="13"/>
      <c r="BI399" s="684"/>
      <c r="BJ399" s="13"/>
      <c r="BK399" s="684"/>
      <c r="BL399" s="684"/>
      <c r="BM399" s="684"/>
      <c r="BN399" s="677"/>
      <c r="BO399" s="684"/>
      <c r="BP399" s="541"/>
      <c r="BQ399" s="633"/>
      <c r="BR399" s="541"/>
      <c r="BS399" s="541"/>
      <c r="BT399" s="541"/>
    </row>
    <row r="400" ht="15.75" customHeight="1">
      <c r="A400" s="1591"/>
      <c r="B400" s="1541"/>
      <c r="C400" s="2217"/>
      <c r="D400" s="1543"/>
      <c r="E400" s="906"/>
      <c r="F400" s="1545"/>
      <c r="G400" s="2250"/>
      <c r="H400" s="1545"/>
      <c r="I400" s="2250"/>
      <c r="J400" s="1545"/>
      <c r="K400" s="2250"/>
      <c r="L400" s="1545"/>
      <c r="M400" s="2250"/>
      <c r="N400" s="1545"/>
      <c r="O400" s="2250"/>
      <c r="P400" s="1545"/>
      <c r="Q400" s="2250"/>
      <c r="R400" s="1545"/>
      <c r="S400" s="684"/>
      <c r="T400" s="1545"/>
      <c r="U400" s="684"/>
      <c r="V400" s="1545"/>
      <c r="W400" s="684"/>
      <c r="X400" s="1545"/>
      <c r="Y400" s="1545"/>
      <c r="Z400" s="1545"/>
      <c r="AA400" s="684"/>
      <c r="AB400" s="1545"/>
      <c r="AC400" s="684"/>
      <c r="AD400" s="684"/>
      <c r="AE400" s="684"/>
      <c r="AF400" s="684"/>
      <c r="AG400" s="684"/>
      <c r="AH400" s="684"/>
      <c r="AI400" s="684"/>
      <c r="AJ400" s="684"/>
      <c r="AK400" s="684"/>
      <c r="AL400" s="684"/>
      <c r="AM400" s="684"/>
      <c r="AN400" s="1545"/>
      <c r="AO400" s="1545"/>
      <c r="AP400" s="1545"/>
      <c r="AQ400" s="1545"/>
      <c r="AR400" s="1545"/>
      <c r="AS400" s="684"/>
      <c r="AT400" s="684"/>
      <c r="AU400" s="684"/>
      <c r="AV400" s="684"/>
      <c r="AW400" s="684"/>
      <c r="AX400" s="684"/>
      <c r="AY400" s="684"/>
      <c r="AZ400" s="684"/>
      <c r="BA400" s="684"/>
      <c r="BB400" s="677"/>
      <c r="BC400" s="684"/>
      <c r="BD400" s="677"/>
      <c r="BE400" s="684"/>
      <c r="BF400" s="677"/>
      <c r="BG400" s="684"/>
      <c r="BH400" s="13"/>
      <c r="BI400" s="684"/>
      <c r="BJ400" s="13"/>
      <c r="BK400" s="684"/>
      <c r="BL400" s="684"/>
      <c r="BM400" s="684"/>
      <c r="BN400" s="677"/>
      <c r="BO400" s="684"/>
      <c r="BP400" s="541"/>
      <c r="BQ400" s="633"/>
      <c r="BR400" s="541"/>
      <c r="BS400" s="541"/>
      <c r="BT400" s="541"/>
    </row>
    <row r="401" ht="15.75" customHeight="1">
      <c r="A401" s="1591"/>
      <c r="B401" s="1541"/>
      <c r="C401" s="2217"/>
      <c r="D401" s="1543"/>
      <c r="E401" s="906"/>
      <c r="F401" s="1545"/>
      <c r="G401" s="2250"/>
      <c r="H401" s="1545"/>
      <c r="I401" s="2250"/>
      <c r="J401" s="1545"/>
      <c r="K401" s="2250"/>
      <c r="L401" s="1545"/>
      <c r="M401" s="2250"/>
      <c r="N401" s="1545"/>
      <c r="O401" s="2250"/>
      <c r="P401" s="1545"/>
      <c r="Q401" s="2250"/>
      <c r="R401" s="1545"/>
      <c r="S401" s="684"/>
      <c r="T401" s="1545"/>
      <c r="U401" s="684"/>
      <c r="V401" s="1545"/>
      <c r="W401" s="684"/>
      <c r="X401" s="1545"/>
      <c r="Y401" s="1545"/>
      <c r="Z401" s="1545"/>
      <c r="AA401" s="684"/>
      <c r="AB401" s="1545"/>
      <c r="AC401" s="684"/>
      <c r="AD401" s="684"/>
      <c r="AE401" s="684"/>
      <c r="AF401" s="684"/>
      <c r="AG401" s="684"/>
      <c r="AH401" s="684"/>
      <c r="AI401" s="684"/>
      <c r="AJ401" s="684"/>
      <c r="AK401" s="684"/>
      <c r="AL401" s="684"/>
      <c r="AM401" s="684"/>
      <c r="AN401" s="1545"/>
      <c r="AO401" s="1545"/>
      <c r="AP401" s="1545"/>
      <c r="AQ401" s="1545"/>
      <c r="AR401" s="1545"/>
      <c r="AS401" s="684"/>
      <c r="AT401" s="684"/>
      <c r="AU401" s="684"/>
      <c r="AV401" s="684"/>
      <c r="AW401" s="684"/>
      <c r="AX401" s="684"/>
      <c r="AY401" s="684"/>
      <c r="AZ401" s="684"/>
      <c r="BA401" s="684"/>
      <c r="BB401" s="677"/>
      <c r="BC401" s="684"/>
      <c r="BD401" s="677"/>
      <c r="BE401" s="684"/>
      <c r="BF401" s="677"/>
      <c r="BG401" s="684"/>
      <c r="BH401" s="13"/>
      <c r="BI401" s="684"/>
      <c r="BJ401" s="13"/>
      <c r="BK401" s="684"/>
      <c r="BL401" s="684"/>
      <c r="BM401" s="684"/>
      <c r="BN401" s="677"/>
      <c r="BO401" s="684"/>
      <c r="BP401" s="541"/>
      <c r="BQ401" s="633"/>
      <c r="BR401" s="541"/>
      <c r="BS401" s="541"/>
      <c r="BT401" s="541"/>
    </row>
    <row r="402" ht="15.75" customHeight="1">
      <c r="A402" s="1591"/>
      <c r="B402" s="1541"/>
      <c r="C402" s="2217"/>
      <c r="D402" s="1543"/>
      <c r="E402" s="906"/>
      <c r="F402" s="1545"/>
      <c r="G402" s="2250"/>
      <c r="H402" s="1545"/>
      <c r="I402" s="2250"/>
      <c r="J402" s="1545"/>
      <c r="K402" s="2250"/>
      <c r="L402" s="1545"/>
      <c r="M402" s="2250"/>
      <c r="N402" s="1545"/>
      <c r="O402" s="2250"/>
      <c r="P402" s="1545"/>
      <c r="Q402" s="2250"/>
      <c r="R402" s="1545"/>
      <c r="S402" s="684"/>
      <c r="T402" s="1545"/>
      <c r="U402" s="684"/>
      <c r="V402" s="1545"/>
      <c r="W402" s="684"/>
      <c r="X402" s="1545"/>
      <c r="Y402" s="1545"/>
      <c r="Z402" s="1545"/>
      <c r="AA402" s="684"/>
      <c r="AB402" s="1545"/>
      <c r="AC402" s="684"/>
      <c r="AD402" s="684"/>
      <c r="AE402" s="684"/>
      <c r="AF402" s="684"/>
      <c r="AG402" s="684"/>
      <c r="AH402" s="684"/>
      <c r="AI402" s="684"/>
      <c r="AJ402" s="684"/>
      <c r="AK402" s="684"/>
      <c r="AL402" s="684"/>
      <c r="AM402" s="684"/>
      <c r="AN402" s="1545"/>
      <c r="AO402" s="1545"/>
      <c r="AP402" s="1545"/>
      <c r="AQ402" s="1545"/>
      <c r="AR402" s="1545"/>
      <c r="AS402" s="684"/>
      <c r="AT402" s="684"/>
      <c r="AU402" s="684"/>
      <c r="AV402" s="684"/>
      <c r="AW402" s="684"/>
      <c r="AX402" s="684"/>
      <c r="AY402" s="684"/>
      <c r="AZ402" s="684"/>
      <c r="BA402" s="684"/>
      <c r="BB402" s="677"/>
      <c r="BC402" s="684"/>
      <c r="BD402" s="677"/>
      <c r="BE402" s="684"/>
      <c r="BF402" s="677"/>
      <c r="BG402" s="684"/>
      <c r="BH402" s="13"/>
      <c r="BI402" s="684"/>
      <c r="BJ402" s="13"/>
      <c r="BK402" s="684"/>
      <c r="BL402" s="684"/>
      <c r="BM402" s="684"/>
      <c r="BN402" s="677"/>
      <c r="BO402" s="684"/>
      <c r="BP402" s="541"/>
      <c r="BQ402" s="633"/>
      <c r="BR402" s="541"/>
      <c r="BS402" s="541"/>
      <c r="BT402" s="541"/>
    </row>
    <row r="403" ht="15.75" customHeight="1">
      <c r="A403" s="1591"/>
      <c r="B403" s="1541"/>
      <c r="C403" s="2217"/>
      <c r="D403" s="1543"/>
      <c r="E403" s="906"/>
      <c r="F403" s="1545"/>
      <c r="G403" s="2250"/>
      <c r="H403" s="1545"/>
      <c r="I403" s="2250"/>
      <c r="J403" s="1545"/>
      <c r="K403" s="2250"/>
      <c r="L403" s="1545"/>
      <c r="M403" s="2250"/>
      <c r="N403" s="1545"/>
      <c r="O403" s="2250"/>
      <c r="P403" s="1545"/>
      <c r="Q403" s="2250"/>
      <c r="R403" s="1545"/>
      <c r="S403" s="684"/>
      <c r="T403" s="1545"/>
      <c r="U403" s="684"/>
      <c r="V403" s="1545"/>
      <c r="W403" s="684"/>
      <c r="X403" s="1545"/>
      <c r="Y403" s="1545"/>
      <c r="Z403" s="1545"/>
      <c r="AA403" s="684"/>
      <c r="AB403" s="1545"/>
      <c r="AC403" s="684"/>
      <c r="AD403" s="684"/>
      <c r="AE403" s="684"/>
      <c r="AF403" s="684"/>
      <c r="AG403" s="684"/>
      <c r="AH403" s="684"/>
      <c r="AI403" s="684"/>
      <c r="AJ403" s="684"/>
      <c r="AK403" s="684"/>
      <c r="AL403" s="684"/>
      <c r="AM403" s="684"/>
      <c r="AN403" s="1545"/>
      <c r="AO403" s="1545"/>
      <c r="AP403" s="1545"/>
      <c r="AQ403" s="1545"/>
      <c r="AR403" s="1545"/>
      <c r="AS403" s="684"/>
      <c r="AT403" s="684"/>
      <c r="AU403" s="684"/>
      <c r="AV403" s="684"/>
      <c r="AW403" s="684"/>
      <c r="AX403" s="684"/>
      <c r="AY403" s="684"/>
      <c r="AZ403" s="684"/>
      <c r="BA403" s="684"/>
      <c r="BB403" s="677"/>
      <c r="BC403" s="684"/>
      <c r="BD403" s="677"/>
      <c r="BE403" s="684"/>
      <c r="BF403" s="677"/>
      <c r="BG403" s="684"/>
      <c r="BH403" s="13"/>
      <c r="BI403" s="684"/>
      <c r="BJ403" s="13"/>
      <c r="BK403" s="684"/>
      <c r="BL403" s="684"/>
      <c r="BM403" s="684"/>
      <c r="BN403" s="677"/>
      <c r="BO403" s="684"/>
      <c r="BP403" s="541"/>
      <c r="BQ403" s="633"/>
      <c r="BR403" s="541"/>
      <c r="BS403" s="541"/>
      <c r="BT403" s="541"/>
    </row>
    <row r="404" ht="15.75" customHeight="1">
      <c r="A404" s="1591"/>
      <c r="B404" s="1541"/>
      <c r="C404" s="2217"/>
      <c r="D404" s="1543"/>
      <c r="E404" s="906"/>
      <c r="F404" s="1545"/>
      <c r="G404" s="2250"/>
      <c r="H404" s="1545"/>
      <c r="I404" s="2250"/>
      <c r="J404" s="1545"/>
      <c r="K404" s="2250"/>
      <c r="L404" s="1545"/>
      <c r="M404" s="2250"/>
      <c r="N404" s="1545"/>
      <c r="O404" s="2250"/>
      <c r="P404" s="1545"/>
      <c r="Q404" s="2250"/>
      <c r="R404" s="1545"/>
      <c r="S404" s="684"/>
      <c r="T404" s="1545"/>
      <c r="U404" s="684"/>
      <c r="V404" s="1545"/>
      <c r="W404" s="684"/>
      <c r="X404" s="1545"/>
      <c r="Y404" s="1545"/>
      <c r="Z404" s="1545"/>
      <c r="AA404" s="684"/>
      <c r="AB404" s="1545"/>
      <c r="AC404" s="684"/>
      <c r="AD404" s="684"/>
      <c r="AE404" s="684"/>
      <c r="AF404" s="684"/>
      <c r="AG404" s="684"/>
      <c r="AH404" s="684"/>
      <c r="AI404" s="684"/>
      <c r="AJ404" s="684"/>
      <c r="AK404" s="684"/>
      <c r="AL404" s="684"/>
      <c r="AM404" s="684"/>
      <c r="AN404" s="1545"/>
      <c r="AO404" s="1545"/>
      <c r="AP404" s="1545"/>
      <c r="AQ404" s="1545"/>
      <c r="AR404" s="1545"/>
      <c r="AS404" s="684"/>
      <c r="AT404" s="684"/>
      <c r="AU404" s="684"/>
      <c r="AV404" s="684"/>
      <c r="AW404" s="684"/>
      <c r="AX404" s="684"/>
      <c r="AY404" s="684"/>
      <c r="AZ404" s="684"/>
      <c r="BA404" s="684"/>
      <c r="BB404" s="677"/>
      <c r="BC404" s="684"/>
      <c r="BD404" s="677"/>
      <c r="BE404" s="684"/>
      <c r="BF404" s="677"/>
      <c r="BG404" s="684"/>
      <c r="BH404" s="13"/>
      <c r="BI404" s="684"/>
      <c r="BJ404" s="13"/>
      <c r="BK404" s="684"/>
      <c r="BL404" s="684"/>
      <c r="BM404" s="684"/>
      <c r="BN404" s="677"/>
      <c r="BO404" s="684"/>
      <c r="BP404" s="541"/>
      <c r="BQ404" s="633"/>
      <c r="BR404" s="541"/>
      <c r="BS404" s="541"/>
      <c r="BT404" s="541"/>
    </row>
    <row r="405" ht="15.75" customHeight="1">
      <c r="A405" s="1591"/>
      <c r="B405" s="1541"/>
      <c r="C405" s="2217"/>
      <c r="D405" s="1543"/>
      <c r="E405" s="906"/>
      <c r="F405" s="1545"/>
      <c r="G405" s="2250"/>
      <c r="H405" s="1545"/>
      <c r="I405" s="2250"/>
      <c r="J405" s="1545"/>
      <c r="K405" s="2250"/>
      <c r="L405" s="1545"/>
      <c r="M405" s="2250"/>
      <c r="N405" s="1545"/>
      <c r="O405" s="2250"/>
      <c r="P405" s="1545"/>
      <c r="Q405" s="2250"/>
      <c r="R405" s="1545"/>
      <c r="S405" s="684"/>
      <c r="T405" s="1545"/>
      <c r="U405" s="684"/>
      <c r="V405" s="1545"/>
      <c r="W405" s="684"/>
      <c r="X405" s="1545"/>
      <c r="Y405" s="1545"/>
      <c r="Z405" s="1545"/>
      <c r="AA405" s="684"/>
      <c r="AB405" s="1545"/>
      <c r="AC405" s="684"/>
      <c r="AD405" s="684"/>
      <c r="AE405" s="684"/>
      <c r="AF405" s="684"/>
      <c r="AG405" s="684"/>
      <c r="AH405" s="684"/>
      <c r="AI405" s="684"/>
      <c r="AJ405" s="684"/>
      <c r="AK405" s="684"/>
      <c r="AL405" s="684"/>
      <c r="AM405" s="684"/>
      <c r="AN405" s="1545"/>
      <c r="AO405" s="1545"/>
      <c r="AP405" s="1545"/>
      <c r="AQ405" s="1545"/>
      <c r="AR405" s="1545"/>
      <c r="AS405" s="684"/>
      <c r="AT405" s="684"/>
      <c r="AU405" s="684"/>
      <c r="AV405" s="684"/>
      <c r="AW405" s="684"/>
      <c r="AX405" s="684"/>
      <c r="AY405" s="684"/>
      <c r="AZ405" s="684"/>
      <c r="BA405" s="684"/>
      <c r="BB405" s="677"/>
      <c r="BC405" s="684"/>
      <c r="BD405" s="677"/>
      <c r="BE405" s="684"/>
      <c r="BF405" s="677"/>
      <c r="BG405" s="684"/>
      <c r="BH405" s="13"/>
      <c r="BI405" s="684"/>
      <c r="BJ405" s="13"/>
      <c r="BK405" s="684"/>
      <c r="BL405" s="684"/>
      <c r="BM405" s="684"/>
      <c r="BN405" s="677"/>
      <c r="BO405" s="684"/>
      <c r="BP405" s="541"/>
      <c r="BQ405" s="633"/>
      <c r="BR405" s="541"/>
      <c r="BS405" s="541"/>
      <c r="BT405" s="541"/>
    </row>
    <row r="406" ht="15.75" customHeight="1">
      <c r="A406" s="1591"/>
      <c r="B406" s="1541"/>
      <c r="C406" s="2217"/>
      <c r="D406" s="1543"/>
      <c r="E406" s="906"/>
      <c r="F406" s="1545"/>
      <c r="G406" s="2250"/>
      <c r="H406" s="1545"/>
      <c r="I406" s="2250"/>
      <c r="J406" s="1545"/>
      <c r="K406" s="2250"/>
      <c r="L406" s="1545"/>
      <c r="M406" s="2250"/>
      <c r="N406" s="1545"/>
      <c r="O406" s="2250"/>
      <c r="P406" s="1545"/>
      <c r="Q406" s="2250"/>
      <c r="R406" s="1545"/>
      <c r="S406" s="684"/>
      <c r="T406" s="1545"/>
      <c r="U406" s="684"/>
      <c r="V406" s="1545"/>
      <c r="W406" s="684"/>
      <c r="X406" s="1545"/>
      <c r="Y406" s="1545"/>
      <c r="Z406" s="1545"/>
      <c r="AA406" s="684"/>
      <c r="AB406" s="1545"/>
      <c r="AC406" s="684"/>
      <c r="AD406" s="684"/>
      <c r="AE406" s="684"/>
      <c r="AF406" s="684"/>
      <c r="AG406" s="684"/>
      <c r="AH406" s="684"/>
      <c r="AI406" s="684"/>
      <c r="AJ406" s="684"/>
      <c r="AK406" s="684"/>
      <c r="AL406" s="684"/>
      <c r="AM406" s="684"/>
      <c r="AN406" s="1545"/>
      <c r="AO406" s="1545"/>
      <c r="AP406" s="1545"/>
      <c r="AQ406" s="1545"/>
      <c r="AR406" s="1545"/>
      <c r="AS406" s="684"/>
      <c r="AT406" s="684"/>
      <c r="AU406" s="684"/>
      <c r="AV406" s="684"/>
      <c r="AW406" s="684"/>
      <c r="AX406" s="684"/>
      <c r="AY406" s="684"/>
      <c r="AZ406" s="684"/>
      <c r="BA406" s="684"/>
      <c r="BB406" s="677"/>
      <c r="BC406" s="684"/>
      <c r="BD406" s="677"/>
      <c r="BE406" s="684"/>
      <c r="BF406" s="677"/>
      <c r="BG406" s="684"/>
      <c r="BH406" s="13"/>
      <c r="BI406" s="684"/>
      <c r="BJ406" s="13"/>
      <c r="BK406" s="684"/>
      <c r="BL406" s="684"/>
      <c r="BM406" s="684"/>
      <c r="BN406" s="677"/>
      <c r="BO406" s="684"/>
      <c r="BP406" s="541"/>
      <c r="BQ406" s="633"/>
      <c r="BR406" s="541"/>
      <c r="BS406" s="541"/>
      <c r="BT406" s="541"/>
    </row>
    <row r="407" ht="15.75" customHeight="1">
      <c r="A407" s="1591"/>
      <c r="B407" s="1541"/>
      <c r="C407" s="2217"/>
      <c r="D407" s="1543"/>
      <c r="E407" s="906"/>
      <c r="F407" s="1545"/>
      <c r="G407" s="2250"/>
      <c r="H407" s="1545"/>
      <c r="I407" s="2250"/>
      <c r="J407" s="1545"/>
      <c r="K407" s="2250"/>
      <c r="L407" s="1545"/>
      <c r="M407" s="2250"/>
      <c r="N407" s="1545"/>
      <c r="O407" s="2250"/>
      <c r="P407" s="1545"/>
      <c r="Q407" s="2250"/>
      <c r="R407" s="1545"/>
      <c r="S407" s="684"/>
      <c r="T407" s="1545"/>
      <c r="U407" s="684"/>
      <c r="V407" s="1545"/>
      <c r="W407" s="684"/>
      <c r="X407" s="1545"/>
      <c r="Y407" s="1545"/>
      <c r="Z407" s="1545"/>
      <c r="AA407" s="684"/>
      <c r="AB407" s="1545"/>
      <c r="AC407" s="684"/>
      <c r="AD407" s="684"/>
      <c r="AE407" s="684"/>
      <c r="AF407" s="684"/>
      <c r="AG407" s="684"/>
      <c r="AH407" s="684"/>
      <c r="AI407" s="684"/>
      <c r="AJ407" s="684"/>
      <c r="AK407" s="684"/>
      <c r="AL407" s="684"/>
      <c r="AM407" s="684"/>
      <c r="AN407" s="1545"/>
      <c r="AO407" s="1545"/>
      <c r="AP407" s="1545"/>
      <c r="AQ407" s="1545"/>
      <c r="AR407" s="1545"/>
      <c r="AS407" s="684"/>
      <c r="AT407" s="684"/>
      <c r="AU407" s="684"/>
      <c r="AV407" s="684"/>
      <c r="AW407" s="684"/>
      <c r="AX407" s="684"/>
      <c r="AY407" s="684"/>
      <c r="AZ407" s="684"/>
      <c r="BA407" s="684"/>
      <c r="BB407" s="677"/>
      <c r="BC407" s="684"/>
      <c r="BD407" s="677"/>
      <c r="BE407" s="684"/>
      <c r="BF407" s="677"/>
      <c r="BG407" s="684"/>
      <c r="BH407" s="13"/>
      <c r="BI407" s="684"/>
      <c r="BJ407" s="13"/>
      <c r="BK407" s="684"/>
      <c r="BL407" s="684"/>
      <c r="BM407" s="684"/>
      <c r="BN407" s="677"/>
      <c r="BO407" s="684"/>
      <c r="BP407" s="541"/>
      <c r="BQ407" s="633"/>
      <c r="BR407" s="541"/>
      <c r="BS407" s="541"/>
      <c r="BT407" s="541"/>
    </row>
    <row r="408" ht="15.75" customHeight="1">
      <c r="A408" s="1591"/>
      <c r="B408" s="1541"/>
      <c r="C408" s="2217"/>
      <c r="D408" s="1543"/>
      <c r="E408" s="906"/>
      <c r="F408" s="1545"/>
      <c r="G408" s="2250"/>
      <c r="H408" s="1545"/>
      <c r="I408" s="2250"/>
      <c r="J408" s="1545"/>
      <c r="K408" s="2250"/>
      <c r="L408" s="1545"/>
      <c r="M408" s="2250"/>
      <c r="N408" s="1545"/>
      <c r="O408" s="2250"/>
      <c r="P408" s="1545"/>
      <c r="Q408" s="2250"/>
      <c r="R408" s="1545"/>
      <c r="S408" s="684"/>
      <c r="T408" s="1545"/>
      <c r="U408" s="684"/>
      <c r="V408" s="1545"/>
      <c r="W408" s="684"/>
      <c r="X408" s="1545"/>
      <c r="Y408" s="1545"/>
      <c r="Z408" s="1545"/>
      <c r="AA408" s="684"/>
      <c r="AB408" s="1545"/>
      <c r="AC408" s="684"/>
      <c r="AD408" s="684"/>
      <c r="AE408" s="684"/>
      <c r="AF408" s="684"/>
      <c r="AG408" s="684"/>
      <c r="AH408" s="684"/>
      <c r="AI408" s="684"/>
      <c r="AJ408" s="684"/>
      <c r="AK408" s="684"/>
      <c r="AL408" s="684"/>
      <c r="AM408" s="684"/>
      <c r="AN408" s="1545"/>
      <c r="AO408" s="1545"/>
      <c r="AP408" s="1545"/>
      <c r="AQ408" s="1545"/>
      <c r="AR408" s="1545"/>
      <c r="AS408" s="684"/>
      <c r="AT408" s="684"/>
      <c r="AU408" s="684"/>
      <c r="AV408" s="684"/>
      <c r="AW408" s="684"/>
      <c r="AX408" s="684"/>
      <c r="AY408" s="684"/>
      <c r="AZ408" s="684"/>
      <c r="BA408" s="684"/>
      <c r="BB408" s="677"/>
      <c r="BC408" s="684"/>
      <c r="BD408" s="677"/>
      <c r="BE408" s="684"/>
      <c r="BF408" s="677"/>
      <c r="BG408" s="684"/>
      <c r="BH408" s="13"/>
      <c r="BI408" s="684"/>
      <c r="BJ408" s="13"/>
      <c r="BK408" s="684"/>
      <c r="BL408" s="684"/>
      <c r="BM408" s="684"/>
      <c r="BN408" s="677"/>
      <c r="BO408" s="684"/>
      <c r="BP408" s="541"/>
      <c r="BQ408" s="633"/>
      <c r="BR408" s="541"/>
      <c r="BS408" s="541"/>
      <c r="BT408" s="541"/>
    </row>
    <row r="409" ht="15.75" customHeight="1">
      <c r="A409" s="1591"/>
      <c r="B409" s="1541"/>
      <c r="C409" s="2217"/>
      <c r="D409" s="1543"/>
      <c r="E409" s="906"/>
      <c r="F409" s="1545"/>
      <c r="G409" s="2250"/>
      <c r="H409" s="1545"/>
      <c r="I409" s="2250"/>
      <c r="J409" s="1545"/>
      <c r="K409" s="2250"/>
      <c r="L409" s="1545"/>
      <c r="M409" s="2250"/>
      <c r="N409" s="1545"/>
      <c r="O409" s="2250"/>
      <c r="P409" s="1545"/>
      <c r="Q409" s="2250"/>
      <c r="R409" s="1545"/>
      <c r="S409" s="684"/>
      <c r="T409" s="1545"/>
      <c r="U409" s="684"/>
      <c r="V409" s="1545"/>
      <c r="W409" s="684"/>
      <c r="X409" s="1545"/>
      <c r="Y409" s="1545"/>
      <c r="Z409" s="1545"/>
      <c r="AA409" s="684"/>
      <c r="AB409" s="1545"/>
      <c r="AC409" s="684"/>
      <c r="AD409" s="684"/>
      <c r="AE409" s="684"/>
      <c r="AF409" s="684"/>
      <c r="AG409" s="684"/>
      <c r="AH409" s="684"/>
      <c r="AI409" s="684"/>
      <c r="AJ409" s="684"/>
      <c r="AK409" s="684"/>
      <c r="AL409" s="684"/>
      <c r="AM409" s="684"/>
      <c r="AN409" s="1545"/>
      <c r="AO409" s="1545"/>
      <c r="AP409" s="1545"/>
      <c r="AQ409" s="1545"/>
      <c r="AR409" s="1545"/>
      <c r="AS409" s="684"/>
      <c r="AT409" s="684"/>
      <c r="AU409" s="684"/>
      <c r="AV409" s="684"/>
      <c r="AW409" s="684"/>
      <c r="AX409" s="684"/>
      <c r="AY409" s="684"/>
      <c r="AZ409" s="684"/>
      <c r="BA409" s="684"/>
      <c r="BB409" s="677"/>
      <c r="BC409" s="684"/>
      <c r="BD409" s="677"/>
      <c r="BE409" s="684"/>
      <c r="BF409" s="677"/>
      <c r="BG409" s="684"/>
      <c r="BH409" s="13"/>
      <c r="BI409" s="684"/>
      <c r="BJ409" s="13"/>
      <c r="BK409" s="684"/>
      <c r="BL409" s="684"/>
      <c r="BM409" s="684"/>
      <c r="BN409" s="677"/>
      <c r="BO409" s="684"/>
      <c r="BP409" s="541"/>
      <c r="BQ409" s="633"/>
      <c r="BR409" s="541"/>
      <c r="BS409" s="541"/>
      <c r="BT409" s="541"/>
    </row>
    <row r="410" ht="15.75" customHeight="1">
      <c r="A410" s="1591"/>
      <c r="B410" s="1541"/>
      <c r="C410" s="2217"/>
      <c r="D410" s="1543"/>
      <c r="E410" s="906"/>
      <c r="F410" s="1545"/>
      <c r="G410" s="2250"/>
      <c r="H410" s="1545"/>
      <c r="I410" s="2250"/>
      <c r="J410" s="1545"/>
      <c r="K410" s="2250"/>
      <c r="L410" s="1545"/>
      <c r="M410" s="2250"/>
      <c r="N410" s="1545"/>
      <c r="O410" s="2250"/>
      <c r="P410" s="1545"/>
      <c r="Q410" s="2250"/>
      <c r="R410" s="1545"/>
      <c r="S410" s="684"/>
      <c r="T410" s="1545"/>
      <c r="U410" s="684"/>
      <c r="V410" s="1545"/>
      <c r="W410" s="684"/>
      <c r="X410" s="1545"/>
      <c r="Y410" s="1545"/>
      <c r="Z410" s="1545"/>
      <c r="AA410" s="684"/>
      <c r="AB410" s="1545"/>
      <c r="AC410" s="684"/>
      <c r="AD410" s="684"/>
      <c r="AE410" s="684"/>
      <c r="AF410" s="684"/>
      <c r="AG410" s="684"/>
      <c r="AH410" s="684"/>
      <c r="AI410" s="684"/>
      <c r="AJ410" s="684"/>
      <c r="AK410" s="684"/>
      <c r="AL410" s="684"/>
      <c r="AM410" s="684"/>
      <c r="AN410" s="1545"/>
      <c r="AO410" s="1545"/>
      <c r="AP410" s="1545"/>
      <c r="AQ410" s="1545"/>
      <c r="AR410" s="1545"/>
      <c r="AS410" s="684"/>
      <c r="AT410" s="684"/>
      <c r="AU410" s="684"/>
      <c r="AV410" s="684"/>
      <c r="AW410" s="684"/>
      <c r="AX410" s="684"/>
      <c r="AY410" s="684"/>
      <c r="AZ410" s="684"/>
      <c r="BA410" s="684"/>
      <c r="BB410" s="677"/>
      <c r="BC410" s="684"/>
      <c r="BD410" s="677"/>
      <c r="BE410" s="684"/>
      <c r="BF410" s="677"/>
      <c r="BG410" s="684"/>
      <c r="BH410" s="13"/>
      <c r="BI410" s="684"/>
      <c r="BJ410" s="13"/>
      <c r="BK410" s="684"/>
      <c r="BL410" s="684"/>
      <c r="BM410" s="684"/>
      <c r="BN410" s="677"/>
      <c r="BO410" s="684"/>
      <c r="BP410" s="541"/>
      <c r="BQ410" s="633"/>
      <c r="BR410" s="541"/>
      <c r="BS410" s="541"/>
      <c r="BT410" s="541"/>
    </row>
    <row r="411" ht="15.75" customHeight="1">
      <c r="A411" s="1591"/>
      <c r="B411" s="1541"/>
      <c r="C411" s="2217"/>
      <c r="D411" s="1543"/>
      <c r="E411" s="906"/>
      <c r="F411" s="1545"/>
      <c r="G411" s="2250"/>
      <c r="H411" s="1545"/>
      <c r="I411" s="2250"/>
      <c r="J411" s="1545"/>
      <c r="K411" s="2250"/>
      <c r="L411" s="1545"/>
      <c r="M411" s="2250"/>
      <c r="N411" s="1545"/>
      <c r="O411" s="2250"/>
      <c r="P411" s="1545"/>
      <c r="Q411" s="2250"/>
      <c r="R411" s="1545"/>
      <c r="S411" s="684"/>
      <c r="T411" s="1545"/>
      <c r="U411" s="684"/>
      <c r="V411" s="1545"/>
      <c r="W411" s="684"/>
      <c r="X411" s="1545"/>
      <c r="Y411" s="1545"/>
      <c r="Z411" s="1545"/>
      <c r="AA411" s="684"/>
      <c r="AB411" s="1545"/>
      <c r="AC411" s="684"/>
      <c r="AD411" s="684"/>
      <c r="AE411" s="684"/>
      <c r="AF411" s="684"/>
      <c r="AG411" s="684"/>
      <c r="AH411" s="684"/>
      <c r="AI411" s="684"/>
      <c r="AJ411" s="684"/>
      <c r="AK411" s="684"/>
      <c r="AL411" s="684"/>
      <c r="AM411" s="684"/>
      <c r="AN411" s="1545"/>
      <c r="AO411" s="1545"/>
      <c r="AP411" s="1545"/>
      <c r="AQ411" s="1545"/>
      <c r="AR411" s="1545"/>
      <c r="AS411" s="684"/>
      <c r="AT411" s="684"/>
      <c r="AU411" s="684"/>
      <c r="AV411" s="684"/>
      <c r="AW411" s="684"/>
      <c r="AX411" s="684"/>
      <c r="AY411" s="684"/>
      <c r="AZ411" s="684"/>
      <c r="BA411" s="684"/>
      <c r="BB411" s="677"/>
      <c r="BC411" s="684"/>
      <c r="BD411" s="677"/>
      <c r="BE411" s="684"/>
      <c r="BF411" s="677"/>
      <c r="BG411" s="684"/>
      <c r="BH411" s="13"/>
      <c r="BI411" s="684"/>
      <c r="BJ411" s="13"/>
      <c r="BK411" s="684"/>
      <c r="BL411" s="684"/>
      <c r="BM411" s="684"/>
      <c r="BN411" s="677"/>
      <c r="BO411" s="684"/>
      <c r="BP411" s="541"/>
      <c r="BQ411" s="633"/>
      <c r="BR411" s="541"/>
      <c r="BS411" s="541"/>
      <c r="BT411" s="541"/>
    </row>
    <row r="412" ht="15.75" customHeight="1">
      <c r="A412" s="1591"/>
      <c r="B412" s="1541"/>
      <c r="C412" s="2217"/>
      <c r="D412" s="1543"/>
      <c r="E412" s="906"/>
      <c r="F412" s="1545"/>
      <c r="G412" s="2250"/>
      <c r="H412" s="1545"/>
      <c r="I412" s="2250"/>
      <c r="J412" s="1545"/>
      <c r="K412" s="2250"/>
      <c r="L412" s="1545"/>
      <c r="M412" s="2250"/>
      <c r="N412" s="1545"/>
      <c r="O412" s="2250"/>
      <c r="P412" s="1545"/>
      <c r="Q412" s="2250"/>
      <c r="R412" s="1545"/>
      <c r="S412" s="684"/>
      <c r="T412" s="1545"/>
      <c r="U412" s="684"/>
      <c r="V412" s="1545"/>
      <c r="W412" s="684"/>
      <c r="X412" s="1545"/>
      <c r="Y412" s="1545"/>
      <c r="Z412" s="1545"/>
      <c r="AA412" s="684"/>
      <c r="AB412" s="1545"/>
      <c r="AC412" s="684"/>
      <c r="AD412" s="684"/>
      <c r="AE412" s="684"/>
      <c r="AF412" s="684"/>
      <c r="AG412" s="684"/>
      <c r="AH412" s="684"/>
      <c r="AI412" s="684"/>
      <c r="AJ412" s="684"/>
      <c r="AK412" s="684"/>
      <c r="AL412" s="684"/>
      <c r="AM412" s="684"/>
      <c r="AN412" s="1545"/>
      <c r="AO412" s="1545"/>
      <c r="AP412" s="1545"/>
      <c r="AQ412" s="1545"/>
      <c r="AR412" s="1545"/>
      <c r="AS412" s="684"/>
      <c r="AT412" s="684"/>
      <c r="AU412" s="684"/>
      <c r="AV412" s="684"/>
      <c r="AW412" s="684"/>
      <c r="AX412" s="684"/>
      <c r="AY412" s="684"/>
      <c r="AZ412" s="684"/>
      <c r="BA412" s="684"/>
      <c r="BB412" s="677"/>
      <c r="BC412" s="684"/>
      <c r="BD412" s="677"/>
      <c r="BE412" s="684"/>
      <c r="BF412" s="677"/>
      <c r="BG412" s="684"/>
      <c r="BH412" s="13"/>
      <c r="BI412" s="684"/>
      <c r="BJ412" s="13"/>
      <c r="BK412" s="684"/>
      <c r="BL412" s="684"/>
      <c r="BM412" s="684"/>
      <c r="BN412" s="677"/>
      <c r="BO412" s="684"/>
      <c r="BP412" s="541"/>
      <c r="BQ412" s="633"/>
      <c r="BR412" s="541"/>
      <c r="BS412" s="541"/>
      <c r="BT412" s="541"/>
    </row>
    <row r="413" ht="15.75" customHeight="1">
      <c r="A413" s="1591"/>
      <c r="B413" s="1541"/>
      <c r="C413" s="2217"/>
      <c r="D413" s="1543"/>
      <c r="E413" s="906"/>
      <c r="F413" s="1545"/>
      <c r="G413" s="2250"/>
      <c r="H413" s="1545"/>
      <c r="I413" s="2250"/>
      <c r="J413" s="1545"/>
      <c r="K413" s="2250"/>
      <c r="L413" s="1545"/>
      <c r="M413" s="2250"/>
      <c r="N413" s="1545"/>
      <c r="O413" s="2250"/>
      <c r="P413" s="1545"/>
      <c r="Q413" s="2250"/>
      <c r="R413" s="1545"/>
      <c r="S413" s="684"/>
      <c r="T413" s="1545"/>
      <c r="U413" s="684"/>
      <c r="V413" s="1545"/>
      <c r="W413" s="684"/>
      <c r="X413" s="1545"/>
      <c r="Y413" s="1545"/>
      <c r="Z413" s="1545"/>
      <c r="AA413" s="684"/>
      <c r="AB413" s="1545"/>
      <c r="AC413" s="684"/>
      <c r="AD413" s="684"/>
      <c r="AE413" s="684"/>
      <c r="AF413" s="684"/>
      <c r="AG413" s="684"/>
      <c r="AH413" s="684"/>
      <c r="AI413" s="684"/>
      <c r="AJ413" s="684"/>
      <c r="AK413" s="684"/>
      <c r="AL413" s="684"/>
      <c r="AM413" s="684"/>
      <c r="AN413" s="1545"/>
      <c r="AO413" s="1545"/>
      <c r="AP413" s="1545"/>
      <c r="AQ413" s="1545"/>
      <c r="AR413" s="1545"/>
      <c r="AS413" s="684"/>
      <c r="AT413" s="684"/>
      <c r="AU413" s="684"/>
      <c r="AV413" s="684"/>
      <c r="AW413" s="684"/>
      <c r="AX413" s="684"/>
      <c r="AY413" s="684"/>
      <c r="AZ413" s="684"/>
      <c r="BA413" s="684"/>
      <c r="BB413" s="677"/>
      <c r="BC413" s="684"/>
      <c r="BD413" s="677"/>
      <c r="BE413" s="684"/>
      <c r="BF413" s="677"/>
      <c r="BG413" s="684"/>
      <c r="BH413" s="13"/>
      <c r="BI413" s="684"/>
      <c r="BJ413" s="13"/>
      <c r="BK413" s="684"/>
      <c r="BL413" s="684"/>
      <c r="BM413" s="684"/>
      <c r="BN413" s="677"/>
      <c r="BO413" s="684"/>
      <c r="BP413" s="541"/>
      <c r="BQ413" s="633"/>
      <c r="BR413" s="541"/>
      <c r="BS413" s="541"/>
      <c r="BT413" s="541"/>
    </row>
    <row r="414" ht="15.75" customHeight="1">
      <c r="A414" s="1591"/>
      <c r="B414" s="1541"/>
      <c r="C414" s="2217"/>
      <c r="D414" s="1543"/>
      <c r="E414" s="906"/>
      <c r="F414" s="1545"/>
      <c r="G414" s="2250"/>
      <c r="H414" s="1545"/>
      <c r="I414" s="2250"/>
      <c r="J414" s="1545"/>
      <c r="K414" s="2250"/>
      <c r="L414" s="1545"/>
      <c r="M414" s="2250"/>
      <c r="N414" s="1545"/>
      <c r="O414" s="2250"/>
      <c r="P414" s="1545"/>
      <c r="Q414" s="2250"/>
      <c r="R414" s="1545"/>
      <c r="S414" s="684"/>
      <c r="T414" s="1545"/>
      <c r="U414" s="684"/>
      <c r="V414" s="1545"/>
      <c r="W414" s="684"/>
      <c r="X414" s="1545"/>
      <c r="Y414" s="1545"/>
      <c r="Z414" s="1545"/>
      <c r="AA414" s="684"/>
      <c r="AB414" s="1545"/>
      <c r="AC414" s="684"/>
      <c r="AD414" s="684"/>
      <c r="AE414" s="684"/>
      <c r="AF414" s="684"/>
      <c r="AG414" s="684"/>
      <c r="AH414" s="684"/>
      <c r="AI414" s="684"/>
      <c r="AJ414" s="684"/>
      <c r="AK414" s="684"/>
      <c r="AL414" s="684"/>
      <c r="AM414" s="684"/>
      <c r="AN414" s="1545"/>
      <c r="AO414" s="1545"/>
      <c r="AP414" s="1545"/>
      <c r="AQ414" s="1545"/>
      <c r="AR414" s="1545"/>
      <c r="AS414" s="684"/>
      <c r="AT414" s="684"/>
      <c r="AU414" s="684"/>
      <c r="AV414" s="684"/>
      <c r="AW414" s="684"/>
      <c r="AX414" s="684"/>
      <c r="AY414" s="684"/>
      <c r="AZ414" s="684"/>
      <c r="BA414" s="684"/>
      <c r="BB414" s="677"/>
      <c r="BC414" s="684"/>
      <c r="BD414" s="677"/>
      <c r="BE414" s="684"/>
      <c r="BF414" s="677"/>
      <c r="BG414" s="684"/>
      <c r="BH414" s="13"/>
      <c r="BI414" s="684"/>
      <c r="BJ414" s="13"/>
      <c r="BK414" s="684"/>
      <c r="BL414" s="684"/>
      <c r="BM414" s="684"/>
      <c r="BN414" s="677"/>
      <c r="BO414" s="684"/>
      <c r="BP414" s="541"/>
      <c r="BQ414" s="633"/>
      <c r="BR414" s="541"/>
      <c r="BS414" s="541"/>
      <c r="BT414" s="541"/>
    </row>
    <row r="415" ht="15.75" customHeight="1">
      <c r="A415" s="1591"/>
      <c r="B415" s="1541"/>
      <c r="C415" s="2217"/>
      <c r="D415" s="1543"/>
      <c r="E415" s="906"/>
      <c r="F415" s="1545"/>
      <c r="G415" s="2250"/>
      <c r="H415" s="1545"/>
      <c r="I415" s="2250"/>
      <c r="J415" s="1545"/>
      <c r="K415" s="2250"/>
      <c r="L415" s="1545"/>
      <c r="M415" s="2250"/>
      <c r="N415" s="1545"/>
      <c r="O415" s="2250"/>
      <c r="P415" s="1545"/>
      <c r="Q415" s="2250"/>
      <c r="R415" s="1545"/>
      <c r="S415" s="684"/>
      <c r="T415" s="1545"/>
      <c r="U415" s="684"/>
      <c r="V415" s="1545"/>
      <c r="W415" s="684"/>
      <c r="X415" s="1545"/>
      <c r="Y415" s="1545"/>
      <c r="Z415" s="1545"/>
      <c r="AA415" s="684"/>
      <c r="AB415" s="1545"/>
      <c r="AC415" s="684"/>
      <c r="AD415" s="684"/>
      <c r="AE415" s="684"/>
      <c r="AF415" s="684"/>
      <c r="AG415" s="684"/>
      <c r="AH415" s="684"/>
      <c r="AI415" s="684"/>
      <c r="AJ415" s="684"/>
      <c r="AK415" s="684"/>
      <c r="AL415" s="684"/>
      <c r="AM415" s="684"/>
      <c r="AN415" s="1545"/>
      <c r="AO415" s="1545"/>
      <c r="AP415" s="1545"/>
      <c r="AQ415" s="1545"/>
      <c r="AR415" s="1545"/>
      <c r="AS415" s="684"/>
      <c r="AT415" s="684"/>
      <c r="AU415" s="684"/>
      <c r="AV415" s="684"/>
      <c r="AW415" s="684"/>
      <c r="AX415" s="684"/>
      <c r="AY415" s="684"/>
      <c r="AZ415" s="684"/>
      <c r="BA415" s="684"/>
      <c r="BB415" s="677"/>
      <c r="BC415" s="684"/>
      <c r="BD415" s="677"/>
      <c r="BE415" s="684"/>
      <c r="BF415" s="677"/>
      <c r="BG415" s="684"/>
      <c r="BH415" s="13"/>
      <c r="BI415" s="684"/>
      <c r="BJ415" s="13"/>
      <c r="BK415" s="684"/>
      <c r="BL415" s="684"/>
      <c r="BM415" s="684"/>
      <c r="BN415" s="677"/>
      <c r="BO415" s="684"/>
      <c r="BP415" s="541"/>
      <c r="BQ415" s="633"/>
      <c r="BR415" s="541"/>
      <c r="BS415" s="541"/>
      <c r="BT415" s="541"/>
    </row>
    <row r="416" ht="15.75" customHeight="1">
      <c r="A416" s="1591"/>
      <c r="B416" s="1541"/>
      <c r="C416" s="2217"/>
      <c r="D416" s="1543"/>
      <c r="E416" s="906"/>
      <c r="F416" s="1545"/>
      <c r="G416" s="2250"/>
      <c r="H416" s="1545"/>
      <c r="I416" s="2250"/>
      <c r="J416" s="1545"/>
      <c r="K416" s="2250"/>
      <c r="L416" s="1545"/>
      <c r="M416" s="2250"/>
      <c r="N416" s="1545"/>
      <c r="O416" s="2250"/>
      <c r="P416" s="1545"/>
      <c r="Q416" s="2250"/>
      <c r="R416" s="1545"/>
      <c r="S416" s="684"/>
      <c r="T416" s="1545"/>
      <c r="U416" s="684"/>
      <c r="V416" s="1545"/>
      <c r="W416" s="684"/>
      <c r="X416" s="1545"/>
      <c r="Y416" s="1545"/>
      <c r="Z416" s="1545"/>
      <c r="AA416" s="684"/>
      <c r="AB416" s="1545"/>
      <c r="AC416" s="684"/>
      <c r="AD416" s="684"/>
      <c r="AE416" s="684"/>
      <c r="AF416" s="684"/>
      <c r="AG416" s="684"/>
      <c r="AH416" s="684"/>
      <c r="AI416" s="684"/>
      <c r="AJ416" s="684"/>
      <c r="AK416" s="684"/>
      <c r="AL416" s="684"/>
      <c r="AM416" s="684"/>
      <c r="AN416" s="1545"/>
      <c r="AO416" s="1545"/>
      <c r="AP416" s="1545"/>
      <c r="AQ416" s="1545"/>
      <c r="AR416" s="1545"/>
      <c r="AS416" s="684"/>
      <c r="AT416" s="684"/>
      <c r="AU416" s="684"/>
      <c r="AV416" s="684"/>
      <c r="AW416" s="684"/>
      <c r="AX416" s="684"/>
      <c r="AY416" s="684"/>
      <c r="AZ416" s="684"/>
      <c r="BA416" s="684"/>
      <c r="BB416" s="677"/>
      <c r="BC416" s="684"/>
      <c r="BD416" s="677"/>
      <c r="BE416" s="684"/>
      <c r="BF416" s="677"/>
      <c r="BG416" s="684"/>
      <c r="BH416" s="13"/>
      <c r="BI416" s="684"/>
      <c r="BJ416" s="13"/>
      <c r="BK416" s="684"/>
      <c r="BL416" s="684"/>
      <c r="BM416" s="684"/>
      <c r="BN416" s="677"/>
      <c r="BO416" s="684"/>
      <c r="BP416" s="541"/>
      <c r="BQ416" s="633"/>
      <c r="BR416" s="541"/>
      <c r="BS416" s="541"/>
      <c r="BT416" s="541"/>
    </row>
    <row r="417" ht="15.75" customHeight="1">
      <c r="A417" s="1591"/>
      <c r="B417" s="1541"/>
      <c r="C417" s="2217"/>
      <c r="D417" s="1543"/>
      <c r="E417" s="906"/>
      <c r="F417" s="1545"/>
      <c r="G417" s="2250"/>
      <c r="H417" s="1545"/>
      <c r="I417" s="2250"/>
      <c r="J417" s="1545"/>
      <c r="K417" s="2250"/>
      <c r="L417" s="1545"/>
      <c r="M417" s="2250"/>
      <c r="N417" s="1545"/>
      <c r="O417" s="2250"/>
      <c r="P417" s="1545"/>
      <c r="Q417" s="2250"/>
      <c r="R417" s="1545"/>
      <c r="S417" s="684"/>
      <c r="T417" s="1545"/>
      <c r="U417" s="684"/>
      <c r="V417" s="1545"/>
      <c r="W417" s="684"/>
      <c r="X417" s="1545"/>
      <c r="Y417" s="1545"/>
      <c r="Z417" s="1545"/>
      <c r="AA417" s="684"/>
      <c r="AB417" s="1545"/>
      <c r="AC417" s="684"/>
      <c r="AD417" s="684"/>
      <c r="AE417" s="684"/>
      <c r="AF417" s="684"/>
      <c r="AG417" s="684"/>
      <c r="AH417" s="684"/>
      <c r="AI417" s="684"/>
      <c r="AJ417" s="684"/>
      <c r="AK417" s="684"/>
      <c r="AL417" s="684"/>
      <c r="AM417" s="684"/>
      <c r="AN417" s="1545"/>
      <c r="AO417" s="1545"/>
      <c r="AP417" s="1545"/>
      <c r="AQ417" s="1545"/>
      <c r="AR417" s="1545"/>
      <c r="AS417" s="684"/>
      <c r="AT417" s="684"/>
      <c r="AU417" s="684"/>
      <c r="AV417" s="684"/>
      <c r="AW417" s="684"/>
      <c r="AX417" s="684"/>
      <c r="AY417" s="684"/>
      <c r="AZ417" s="684"/>
      <c r="BA417" s="684"/>
      <c r="BB417" s="677"/>
      <c r="BC417" s="684"/>
      <c r="BD417" s="677"/>
      <c r="BE417" s="684"/>
      <c r="BF417" s="677"/>
      <c r="BG417" s="684"/>
      <c r="BH417" s="13"/>
      <c r="BI417" s="684"/>
      <c r="BJ417" s="13"/>
      <c r="BK417" s="684"/>
      <c r="BL417" s="684"/>
      <c r="BM417" s="684"/>
      <c r="BN417" s="677"/>
      <c r="BO417" s="684"/>
      <c r="BP417" s="541"/>
      <c r="BQ417" s="633"/>
      <c r="BR417" s="541"/>
      <c r="BS417" s="541"/>
      <c r="BT417" s="541"/>
    </row>
    <row r="418" ht="15.75" customHeight="1">
      <c r="A418" s="1591"/>
      <c r="B418" s="1541"/>
      <c r="C418" s="2217"/>
      <c r="D418" s="1543"/>
      <c r="E418" s="906"/>
      <c r="F418" s="1545"/>
      <c r="G418" s="2250"/>
      <c r="H418" s="1545"/>
      <c r="I418" s="2250"/>
      <c r="J418" s="1545"/>
      <c r="K418" s="2250"/>
      <c r="L418" s="1545"/>
      <c r="M418" s="2250"/>
      <c r="N418" s="1545"/>
      <c r="O418" s="2250"/>
      <c r="P418" s="1545"/>
      <c r="Q418" s="2250"/>
      <c r="R418" s="1545"/>
      <c r="S418" s="684"/>
      <c r="T418" s="1545"/>
      <c r="U418" s="684"/>
      <c r="V418" s="1545"/>
      <c r="W418" s="684"/>
      <c r="X418" s="1545"/>
      <c r="Y418" s="1545"/>
      <c r="Z418" s="1545"/>
      <c r="AA418" s="684"/>
      <c r="AB418" s="1545"/>
      <c r="AC418" s="684"/>
      <c r="AD418" s="684"/>
      <c r="AE418" s="684"/>
      <c r="AF418" s="684"/>
      <c r="AG418" s="684"/>
      <c r="AH418" s="684"/>
      <c r="AI418" s="684"/>
      <c r="AJ418" s="684"/>
      <c r="AK418" s="684"/>
      <c r="AL418" s="684"/>
      <c r="AM418" s="684"/>
      <c r="AN418" s="1545"/>
      <c r="AO418" s="1545"/>
      <c r="AP418" s="1545"/>
      <c r="AQ418" s="1545"/>
      <c r="AR418" s="1545"/>
      <c r="AS418" s="684"/>
      <c r="AT418" s="684"/>
      <c r="AU418" s="684"/>
      <c r="AV418" s="684"/>
      <c r="AW418" s="684"/>
      <c r="AX418" s="684"/>
      <c r="AY418" s="684"/>
      <c r="AZ418" s="684"/>
      <c r="BA418" s="684"/>
      <c r="BB418" s="677"/>
      <c r="BC418" s="684"/>
      <c r="BD418" s="677"/>
      <c r="BE418" s="684"/>
      <c r="BF418" s="677"/>
      <c r="BG418" s="684"/>
      <c r="BH418" s="13"/>
      <c r="BI418" s="684"/>
      <c r="BJ418" s="13"/>
      <c r="BK418" s="684"/>
      <c r="BL418" s="684"/>
      <c r="BM418" s="684"/>
      <c r="BN418" s="677"/>
      <c r="BO418" s="684"/>
      <c r="BP418" s="541"/>
      <c r="BQ418" s="633"/>
      <c r="BR418" s="541"/>
      <c r="BS418" s="541"/>
      <c r="BT418" s="541"/>
    </row>
    <row r="419" ht="15.75" customHeight="1">
      <c r="A419" s="1591"/>
      <c r="B419" s="1541"/>
      <c r="C419" s="2217"/>
      <c r="D419" s="1543"/>
      <c r="E419" s="906"/>
      <c r="F419" s="1545"/>
      <c r="G419" s="2250"/>
      <c r="H419" s="1545"/>
      <c r="I419" s="2250"/>
      <c r="J419" s="1545"/>
      <c r="K419" s="2250"/>
      <c r="L419" s="1545"/>
      <c r="M419" s="2250"/>
      <c r="N419" s="1545"/>
      <c r="O419" s="2250"/>
      <c r="P419" s="1545"/>
      <c r="Q419" s="2250"/>
      <c r="R419" s="1545"/>
      <c r="S419" s="684"/>
      <c r="T419" s="1545"/>
      <c r="U419" s="684"/>
      <c r="V419" s="1545"/>
      <c r="W419" s="684"/>
      <c r="X419" s="1545"/>
      <c r="Y419" s="1545"/>
      <c r="Z419" s="1545"/>
      <c r="AA419" s="684"/>
      <c r="AB419" s="1545"/>
      <c r="AC419" s="684"/>
      <c r="AD419" s="684"/>
      <c r="AE419" s="684"/>
      <c r="AF419" s="684"/>
      <c r="AG419" s="684"/>
      <c r="AH419" s="684"/>
      <c r="AI419" s="684"/>
      <c r="AJ419" s="684"/>
      <c r="AK419" s="684"/>
      <c r="AL419" s="684"/>
      <c r="AM419" s="684"/>
      <c r="AN419" s="1545"/>
      <c r="AO419" s="1545"/>
      <c r="AP419" s="1545"/>
      <c r="AQ419" s="1545"/>
      <c r="AR419" s="1545"/>
      <c r="AS419" s="684"/>
      <c r="AT419" s="684"/>
      <c r="AU419" s="684"/>
      <c r="AV419" s="684"/>
      <c r="AW419" s="684"/>
      <c r="AX419" s="684"/>
      <c r="AY419" s="684"/>
      <c r="AZ419" s="684"/>
      <c r="BA419" s="684"/>
      <c r="BB419" s="677"/>
      <c r="BC419" s="684"/>
      <c r="BD419" s="677"/>
      <c r="BE419" s="684"/>
      <c r="BF419" s="677"/>
      <c r="BG419" s="684"/>
      <c r="BH419" s="13"/>
      <c r="BI419" s="684"/>
      <c r="BJ419" s="13"/>
      <c r="BK419" s="684"/>
      <c r="BL419" s="684"/>
      <c r="BM419" s="684"/>
      <c r="BN419" s="677"/>
      <c r="BO419" s="684"/>
      <c r="BP419" s="541"/>
      <c r="BQ419" s="633"/>
      <c r="BR419" s="541"/>
      <c r="BS419" s="541"/>
      <c r="BT419" s="541"/>
    </row>
    <row r="420" ht="15.75" customHeight="1">
      <c r="A420" s="1591"/>
      <c r="B420" s="1541"/>
      <c r="C420" s="2217"/>
      <c r="D420" s="1543"/>
      <c r="E420" s="906"/>
      <c r="F420" s="1545"/>
      <c r="G420" s="2250"/>
      <c r="H420" s="1545"/>
      <c r="I420" s="2250"/>
      <c r="J420" s="1545"/>
      <c r="K420" s="2250"/>
      <c r="L420" s="1545"/>
      <c r="M420" s="2250"/>
      <c r="N420" s="1545"/>
      <c r="O420" s="2250"/>
      <c r="P420" s="1545"/>
      <c r="Q420" s="2250"/>
      <c r="R420" s="1545"/>
      <c r="S420" s="684"/>
      <c r="T420" s="1545"/>
      <c r="U420" s="684"/>
      <c r="V420" s="1545"/>
      <c r="W420" s="684"/>
      <c r="X420" s="1545"/>
      <c r="Y420" s="1545"/>
      <c r="Z420" s="1545"/>
      <c r="AA420" s="684"/>
      <c r="AB420" s="1545"/>
      <c r="AC420" s="684"/>
      <c r="AD420" s="684"/>
      <c r="AE420" s="684"/>
      <c r="AF420" s="684"/>
      <c r="AG420" s="684"/>
      <c r="AH420" s="684"/>
      <c r="AI420" s="684"/>
      <c r="AJ420" s="684"/>
      <c r="AK420" s="684"/>
      <c r="AL420" s="684"/>
      <c r="AM420" s="684"/>
      <c r="AN420" s="1545"/>
      <c r="AO420" s="1545"/>
      <c r="AP420" s="1545"/>
      <c r="AQ420" s="1545"/>
      <c r="AR420" s="1545"/>
      <c r="AS420" s="684"/>
      <c r="AT420" s="684"/>
      <c r="AU420" s="684"/>
      <c r="AV420" s="684"/>
      <c r="AW420" s="684"/>
      <c r="AX420" s="684"/>
      <c r="AY420" s="684"/>
      <c r="AZ420" s="684"/>
      <c r="BA420" s="684"/>
      <c r="BB420" s="677"/>
      <c r="BC420" s="684"/>
      <c r="BD420" s="677"/>
      <c r="BE420" s="684"/>
      <c r="BF420" s="677"/>
      <c r="BG420" s="684"/>
      <c r="BH420" s="13"/>
      <c r="BI420" s="684"/>
      <c r="BJ420" s="13"/>
      <c r="BK420" s="684"/>
      <c r="BL420" s="684"/>
      <c r="BM420" s="684"/>
      <c r="BN420" s="677"/>
      <c r="BO420" s="684"/>
      <c r="BP420" s="541"/>
      <c r="BQ420" s="633"/>
      <c r="BR420" s="541"/>
      <c r="BS420" s="541"/>
      <c r="BT420" s="541"/>
    </row>
    <row r="421" ht="15.75" customHeight="1">
      <c r="A421" s="1591"/>
      <c r="B421" s="1541"/>
      <c r="C421" s="2217"/>
      <c r="D421" s="1543"/>
      <c r="E421" s="906"/>
      <c r="F421" s="1545"/>
      <c r="G421" s="2250"/>
      <c r="H421" s="1545"/>
      <c r="I421" s="2250"/>
      <c r="J421" s="1545"/>
      <c r="K421" s="2250"/>
      <c r="L421" s="1545"/>
      <c r="M421" s="2250"/>
      <c r="N421" s="1545"/>
      <c r="O421" s="2250"/>
      <c r="P421" s="1545"/>
      <c r="Q421" s="2250"/>
      <c r="R421" s="1545"/>
      <c r="S421" s="684"/>
      <c r="T421" s="1545"/>
      <c r="U421" s="684"/>
      <c r="V421" s="1545"/>
      <c r="W421" s="684"/>
      <c r="X421" s="1545"/>
      <c r="Y421" s="1545"/>
      <c r="Z421" s="1545"/>
      <c r="AA421" s="684"/>
      <c r="AB421" s="1545"/>
      <c r="AC421" s="684"/>
      <c r="AD421" s="684"/>
      <c r="AE421" s="684"/>
      <c r="AF421" s="684"/>
      <c r="AG421" s="684"/>
      <c r="AH421" s="684"/>
      <c r="AI421" s="684"/>
      <c r="AJ421" s="684"/>
      <c r="AK421" s="684"/>
      <c r="AL421" s="684"/>
      <c r="AM421" s="684"/>
      <c r="AN421" s="1545"/>
      <c r="AO421" s="1545"/>
      <c r="AP421" s="1545"/>
      <c r="AQ421" s="1545"/>
      <c r="AR421" s="1545"/>
      <c r="AS421" s="684"/>
      <c r="AT421" s="684"/>
      <c r="AU421" s="684"/>
      <c r="AV421" s="684"/>
      <c r="AW421" s="684"/>
      <c r="AX421" s="684"/>
      <c r="AY421" s="684"/>
      <c r="AZ421" s="684"/>
      <c r="BA421" s="684"/>
      <c r="BB421" s="677"/>
      <c r="BC421" s="684"/>
      <c r="BD421" s="677"/>
      <c r="BE421" s="684"/>
      <c r="BF421" s="677"/>
      <c r="BG421" s="684"/>
      <c r="BH421" s="13"/>
      <c r="BI421" s="684"/>
      <c r="BJ421" s="13"/>
      <c r="BK421" s="684"/>
      <c r="BL421" s="684"/>
      <c r="BM421" s="684"/>
      <c r="BN421" s="677"/>
      <c r="BO421" s="684"/>
      <c r="BP421" s="541"/>
      <c r="BQ421" s="633"/>
      <c r="BR421" s="541"/>
      <c r="BS421" s="541"/>
      <c r="BT421" s="541"/>
    </row>
    <row r="422" ht="15.75" customHeight="1">
      <c r="A422" s="1591"/>
      <c r="B422" s="1541"/>
      <c r="C422" s="2217"/>
      <c r="D422" s="1543"/>
      <c r="E422" s="906"/>
      <c r="F422" s="1545"/>
      <c r="G422" s="2250"/>
      <c r="H422" s="1545"/>
      <c r="I422" s="2250"/>
      <c r="J422" s="1545"/>
      <c r="K422" s="2250"/>
      <c r="L422" s="1545"/>
      <c r="M422" s="2250"/>
      <c r="N422" s="1545"/>
      <c r="O422" s="2250"/>
      <c r="P422" s="1545"/>
      <c r="Q422" s="2250"/>
      <c r="R422" s="1545"/>
      <c r="S422" s="684"/>
      <c r="T422" s="1545"/>
      <c r="U422" s="684"/>
      <c r="V422" s="1545"/>
      <c r="W422" s="684"/>
      <c r="X422" s="1545"/>
      <c r="Y422" s="1545"/>
      <c r="Z422" s="1545"/>
      <c r="AA422" s="684"/>
      <c r="AB422" s="1545"/>
      <c r="AC422" s="684"/>
      <c r="AD422" s="684"/>
      <c r="AE422" s="684"/>
      <c r="AF422" s="684"/>
      <c r="AG422" s="684"/>
      <c r="AH422" s="684"/>
      <c r="AI422" s="684"/>
      <c r="AJ422" s="684"/>
      <c r="AK422" s="684"/>
      <c r="AL422" s="684"/>
      <c r="AM422" s="684"/>
      <c r="AN422" s="1545"/>
      <c r="AO422" s="1545"/>
      <c r="AP422" s="1545"/>
      <c r="AQ422" s="1545"/>
      <c r="AR422" s="1545"/>
      <c r="AS422" s="684"/>
      <c r="AT422" s="684"/>
      <c r="AU422" s="684"/>
      <c r="AV422" s="684"/>
      <c r="AW422" s="684"/>
      <c r="AX422" s="684"/>
      <c r="AY422" s="684"/>
      <c r="AZ422" s="684"/>
      <c r="BA422" s="684"/>
      <c r="BB422" s="677"/>
      <c r="BC422" s="684"/>
      <c r="BD422" s="677"/>
      <c r="BE422" s="684"/>
      <c r="BF422" s="677"/>
      <c r="BG422" s="684"/>
      <c r="BH422" s="13"/>
      <c r="BI422" s="684"/>
      <c r="BJ422" s="13"/>
      <c r="BK422" s="684"/>
      <c r="BL422" s="684"/>
      <c r="BM422" s="684"/>
      <c r="BN422" s="677"/>
      <c r="BO422" s="684"/>
      <c r="BP422" s="541"/>
      <c r="BQ422" s="633"/>
      <c r="BR422" s="541"/>
      <c r="BS422" s="541"/>
      <c r="BT422" s="541"/>
    </row>
    <row r="423" ht="15.75" customHeight="1">
      <c r="A423" s="1591"/>
      <c r="B423" s="1541"/>
      <c r="C423" s="2217"/>
      <c r="D423" s="1543"/>
      <c r="E423" s="906"/>
      <c r="F423" s="1545"/>
      <c r="G423" s="2250"/>
      <c r="H423" s="1545"/>
      <c r="I423" s="2250"/>
      <c r="J423" s="1545"/>
      <c r="K423" s="2250"/>
      <c r="L423" s="1545"/>
      <c r="M423" s="2250"/>
      <c r="N423" s="1545"/>
      <c r="O423" s="2250"/>
      <c r="P423" s="1545"/>
      <c r="Q423" s="2250"/>
      <c r="R423" s="1545"/>
      <c r="S423" s="684"/>
      <c r="T423" s="1545"/>
      <c r="U423" s="684"/>
      <c r="V423" s="1545"/>
      <c r="W423" s="684"/>
      <c r="X423" s="1545"/>
      <c r="Y423" s="1545"/>
      <c r="Z423" s="1545"/>
      <c r="AA423" s="684"/>
      <c r="AB423" s="1545"/>
      <c r="AC423" s="684"/>
      <c r="AD423" s="684"/>
      <c r="AE423" s="684"/>
      <c r="AF423" s="684"/>
      <c r="AG423" s="684"/>
      <c r="AH423" s="684"/>
      <c r="AI423" s="684"/>
      <c r="AJ423" s="684"/>
      <c r="AK423" s="684"/>
      <c r="AL423" s="684"/>
      <c r="AM423" s="684"/>
      <c r="AN423" s="1545"/>
      <c r="AO423" s="1545"/>
      <c r="AP423" s="1545"/>
      <c r="AQ423" s="1545"/>
      <c r="AR423" s="1545"/>
      <c r="AS423" s="684"/>
      <c r="AT423" s="684"/>
      <c r="AU423" s="684"/>
      <c r="AV423" s="684"/>
      <c r="AW423" s="684"/>
      <c r="AX423" s="684"/>
      <c r="AY423" s="684"/>
      <c r="AZ423" s="684"/>
      <c r="BA423" s="684"/>
      <c r="BB423" s="677"/>
      <c r="BC423" s="684"/>
      <c r="BD423" s="677"/>
      <c r="BE423" s="684"/>
      <c r="BF423" s="677"/>
      <c r="BG423" s="684"/>
      <c r="BH423" s="13"/>
      <c r="BI423" s="684"/>
      <c r="BJ423" s="13"/>
      <c r="BK423" s="684"/>
      <c r="BL423" s="684"/>
      <c r="BM423" s="684"/>
      <c r="BN423" s="677"/>
      <c r="BO423" s="684"/>
      <c r="BP423" s="541"/>
      <c r="BQ423" s="633"/>
      <c r="BR423" s="541"/>
      <c r="BS423" s="541"/>
      <c r="BT423" s="541"/>
    </row>
    <row r="424" ht="15.75" customHeight="1">
      <c r="A424" s="1591"/>
      <c r="B424" s="1541"/>
      <c r="C424" s="2217"/>
      <c r="D424" s="1543"/>
      <c r="E424" s="906"/>
      <c r="F424" s="1545"/>
      <c r="G424" s="2250"/>
      <c r="H424" s="1545"/>
      <c r="I424" s="2250"/>
      <c r="J424" s="1545"/>
      <c r="K424" s="2250"/>
      <c r="L424" s="1545"/>
      <c r="M424" s="2250"/>
      <c r="N424" s="1545"/>
      <c r="O424" s="2250"/>
      <c r="P424" s="1545"/>
      <c r="Q424" s="2250"/>
      <c r="R424" s="1545"/>
      <c r="S424" s="684"/>
      <c r="T424" s="1545"/>
      <c r="U424" s="684"/>
      <c r="V424" s="1545"/>
      <c r="W424" s="684"/>
      <c r="X424" s="1545"/>
      <c r="Y424" s="1545"/>
      <c r="Z424" s="1545"/>
      <c r="AA424" s="684"/>
      <c r="AB424" s="1545"/>
      <c r="AC424" s="684"/>
      <c r="AD424" s="684"/>
      <c r="AE424" s="684"/>
      <c r="AF424" s="684"/>
      <c r="AG424" s="684"/>
      <c r="AH424" s="684"/>
      <c r="AI424" s="684"/>
      <c r="AJ424" s="684"/>
      <c r="AK424" s="684"/>
      <c r="AL424" s="684"/>
      <c r="AM424" s="684"/>
      <c r="AN424" s="1545"/>
      <c r="AO424" s="1545"/>
      <c r="AP424" s="1545"/>
      <c r="AQ424" s="1545"/>
      <c r="AR424" s="1545"/>
      <c r="AS424" s="684"/>
      <c r="AT424" s="684"/>
      <c r="AU424" s="684"/>
      <c r="AV424" s="684"/>
      <c r="AW424" s="684"/>
      <c r="AX424" s="684"/>
      <c r="AY424" s="684"/>
      <c r="AZ424" s="684"/>
      <c r="BA424" s="684"/>
      <c r="BB424" s="677"/>
      <c r="BC424" s="684"/>
      <c r="BD424" s="677"/>
      <c r="BE424" s="684"/>
      <c r="BF424" s="677"/>
      <c r="BG424" s="684"/>
      <c r="BH424" s="13"/>
      <c r="BI424" s="684"/>
      <c r="BJ424" s="13"/>
      <c r="BK424" s="684"/>
      <c r="BL424" s="684"/>
      <c r="BM424" s="684"/>
      <c r="BN424" s="677"/>
      <c r="BO424" s="684"/>
      <c r="BP424" s="541"/>
      <c r="BQ424" s="633"/>
      <c r="BR424" s="541"/>
      <c r="BS424" s="541"/>
      <c r="BT424" s="541"/>
    </row>
    <row r="425" ht="15.75" customHeight="1">
      <c r="A425" s="1591"/>
      <c r="B425" s="1541"/>
      <c r="C425" s="2217"/>
      <c r="D425" s="1543"/>
      <c r="E425" s="906"/>
      <c r="F425" s="1545"/>
      <c r="G425" s="2250"/>
      <c r="H425" s="1545"/>
      <c r="I425" s="2250"/>
      <c r="J425" s="1545"/>
      <c r="K425" s="2250"/>
      <c r="L425" s="1545"/>
      <c r="M425" s="2250"/>
      <c r="N425" s="1545"/>
      <c r="O425" s="2250"/>
      <c r="P425" s="1545"/>
      <c r="Q425" s="2250"/>
      <c r="R425" s="1545"/>
      <c r="S425" s="684"/>
      <c r="T425" s="1545"/>
      <c r="U425" s="684"/>
      <c r="V425" s="1545"/>
      <c r="W425" s="684"/>
      <c r="X425" s="1545"/>
      <c r="Y425" s="1545"/>
      <c r="Z425" s="1545"/>
      <c r="AA425" s="684"/>
      <c r="AB425" s="1545"/>
      <c r="AC425" s="684"/>
      <c r="AD425" s="684"/>
      <c r="AE425" s="684"/>
      <c r="AF425" s="684"/>
      <c r="AG425" s="684"/>
      <c r="AH425" s="684"/>
      <c r="AI425" s="684"/>
      <c r="AJ425" s="684"/>
      <c r="AK425" s="684"/>
      <c r="AL425" s="684"/>
      <c r="AM425" s="684"/>
      <c r="AN425" s="1545"/>
      <c r="AO425" s="1545"/>
      <c r="AP425" s="1545"/>
      <c r="AQ425" s="1545"/>
      <c r="AR425" s="1545"/>
      <c r="AS425" s="684"/>
      <c r="AT425" s="684"/>
      <c r="AU425" s="684"/>
      <c r="AV425" s="684"/>
      <c r="AW425" s="684"/>
      <c r="AX425" s="684"/>
      <c r="AY425" s="684"/>
      <c r="AZ425" s="684"/>
      <c r="BA425" s="684"/>
      <c r="BB425" s="677"/>
      <c r="BC425" s="684"/>
      <c r="BD425" s="677"/>
      <c r="BE425" s="684"/>
      <c r="BF425" s="677"/>
      <c r="BG425" s="684"/>
      <c r="BH425" s="13"/>
      <c r="BI425" s="684"/>
      <c r="BJ425" s="13"/>
      <c r="BK425" s="684"/>
      <c r="BL425" s="684"/>
      <c r="BM425" s="684"/>
      <c r="BN425" s="677"/>
      <c r="BO425" s="684"/>
      <c r="BP425" s="541"/>
      <c r="BQ425" s="633"/>
      <c r="BR425" s="541"/>
      <c r="BS425" s="541"/>
      <c r="BT425" s="541"/>
    </row>
    <row r="426" ht="15.75" customHeight="1">
      <c r="A426" s="1591"/>
      <c r="B426" s="1541"/>
      <c r="C426" s="2217"/>
      <c r="D426" s="1543"/>
      <c r="E426" s="906"/>
      <c r="F426" s="1545"/>
      <c r="G426" s="2250"/>
      <c r="H426" s="1545"/>
      <c r="I426" s="2250"/>
      <c r="J426" s="1545"/>
      <c r="K426" s="2250"/>
      <c r="L426" s="1545"/>
      <c r="M426" s="2250"/>
      <c r="N426" s="1545"/>
      <c r="O426" s="2250"/>
      <c r="P426" s="1545"/>
      <c r="Q426" s="2250"/>
      <c r="R426" s="1545"/>
      <c r="S426" s="684"/>
      <c r="T426" s="1545"/>
      <c r="U426" s="684"/>
      <c r="V426" s="1545"/>
      <c r="W426" s="684"/>
      <c r="X426" s="1545"/>
      <c r="Y426" s="1545"/>
      <c r="Z426" s="1545"/>
      <c r="AA426" s="684"/>
      <c r="AB426" s="1545"/>
      <c r="AC426" s="684"/>
      <c r="AD426" s="684"/>
      <c r="AE426" s="684"/>
      <c r="AF426" s="684"/>
      <c r="AG426" s="684"/>
      <c r="AH426" s="684"/>
      <c r="AI426" s="684"/>
      <c r="AJ426" s="684"/>
      <c r="AK426" s="684"/>
      <c r="AL426" s="684"/>
      <c r="AM426" s="684"/>
      <c r="AN426" s="1545"/>
      <c r="AO426" s="1545"/>
      <c r="AP426" s="1545"/>
      <c r="AQ426" s="1545"/>
      <c r="AR426" s="1545"/>
      <c r="AS426" s="684"/>
      <c r="AT426" s="684"/>
      <c r="AU426" s="684"/>
      <c r="AV426" s="684"/>
      <c r="AW426" s="684"/>
      <c r="AX426" s="684"/>
      <c r="AY426" s="684"/>
      <c r="AZ426" s="684"/>
      <c r="BA426" s="684"/>
      <c r="BB426" s="677"/>
      <c r="BC426" s="684"/>
      <c r="BD426" s="677"/>
      <c r="BE426" s="684"/>
      <c r="BF426" s="677"/>
      <c r="BG426" s="684"/>
      <c r="BH426" s="13"/>
      <c r="BI426" s="684"/>
      <c r="BJ426" s="13"/>
      <c r="BK426" s="684"/>
      <c r="BL426" s="684"/>
      <c r="BM426" s="684"/>
      <c r="BN426" s="677"/>
      <c r="BO426" s="684"/>
      <c r="BP426" s="541"/>
      <c r="BQ426" s="633"/>
      <c r="BR426" s="541"/>
      <c r="BS426" s="541"/>
      <c r="BT426" s="541"/>
    </row>
    <row r="427" ht="15.75" customHeight="1">
      <c r="A427" s="1591"/>
      <c r="B427" s="1541"/>
      <c r="C427" s="2217"/>
      <c r="D427" s="1543"/>
      <c r="E427" s="906"/>
      <c r="F427" s="1545"/>
      <c r="G427" s="2250"/>
      <c r="H427" s="1545"/>
      <c r="I427" s="2250"/>
      <c r="J427" s="1545"/>
      <c r="K427" s="2250"/>
      <c r="L427" s="1545"/>
      <c r="M427" s="2250"/>
      <c r="N427" s="1545"/>
      <c r="O427" s="2250"/>
      <c r="P427" s="1545"/>
      <c r="Q427" s="2250"/>
      <c r="R427" s="1545"/>
      <c r="S427" s="684"/>
      <c r="T427" s="1545"/>
      <c r="U427" s="684"/>
      <c r="V427" s="1545"/>
      <c r="W427" s="684"/>
      <c r="X427" s="1545"/>
      <c r="Y427" s="1545"/>
      <c r="Z427" s="1545"/>
      <c r="AA427" s="684"/>
      <c r="AB427" s="1545"/>
      <c r="AC427" s="684"/>
      <c r="AD427" s="684"/>
      <c r="AE427" s="684"/>
      <c r="AF427" s="684"/>
      <c r="AG427" s="684"/>
      <c r="AH427" s="684"/>
      <c r="AI427" s="684"/>
      <c r="AJ427" s="684"/>
      <c r="AK427" s="684"/>
      <c r="AL427" s="684"/>
      <c r="AM427" s="684"/>
      <c r="AN427" s="1545"/>
      <c r="AO427" s="1545"/>
      <c r="AP427" s="1545"/>
      <c r="AQ427" s="1545"/>
      <c r="AR427" s="1545"/>
      <c r="AS427" s="684"/>
      <c r="AT427" s="684"/>
      <c r="AU427" s="684"/>
      <c r="AV427" s="684"/>
      <c r="AW427" s="684"/>
      <c r="AX427" s="684"/>
      <c r="AY427" s="684"/>
      <c r="AZ427" s="684"/>
      <c r="BA427" s="684"/>
      <c r="BB427" s="677"/>
      <c r="BC427" s="684"/>
      <c r="BD427" s="677"/>
      <c r="BE427" s="684"/>
      <c r="BF427" s="677"/>
      <c r="BG427" s="684"/>
      <c r="BH427" s="13"/>
      <c r="BI427" s="684"/>
      <c r="BJ427" s="13"/>
      <c r="BK427" s="684"/>
      <c r="BL427" s="684"/>
      <c r="BM427" s="684"/>
      <c r="BN427" s="677"/>
      <c r="BO427" s="684"/>
      <c r="BP427" s="541"/>
      <c r="BQ427" s="633"/>
      <c r="BR427" s="541"/>
      <c r="BS427" s="541"/>
      <c r="BT427" s="541"/>
    </row>
    <row r="428" ht="15.75" customHeight="1">
      <c r="A428" s="1591"/>
      <c r="B428" s="1541"/>
      <c r="C428" s="2217"/>
      <c r="D428" s="1543"/>
      <c r="E428" s="906"/>
      <c r="F428" s="1545"/>
      <c r="G428" s="2250"/>
      <c r="H428" s="1545"/>
      <c r="I428" s="2250"/>
      <c r="J428" s="1545"/>
      <c r="K428" s="2250"/>
      <c r="L428" s="1545"/>
      <c r="M428" s="2250"/>
      <c r="N428" s="1545"/>
      <c r="O428" s="2250"/>
      <c r="P428" s="1545"/>
      <c r="Q428" s="2250"/>
      <c r="R428" s="1545"/>
      <c r="S428" s="684"/>
      <c r="T428" s="1545"/>
      <c r="U428" s="684"/>
      <c r="V428" s="1545"/>
      <c r="W428" s="684"/>
      <c r="X428" s="1545"/>
      <c r="Y428" s="1545"/>
      <c r="Z428" s="1545"/>
      <c r="AA428" s="684"/>
      <c r="AB428" s="1545"/>
      <c r="AC428" s="684"/>
      <c r="AD428" s="684"/>
      <c r="AE428" s="684"/>
      <c r="AF428" s="684"/>
      <c r="AG428" s="684"/>
      <c r="AH428" s="684"/>
      <c r="AI428" s="684"/>
      <c r="AJ428" s="684"/>
      <c r="AK428" s="684"/>
      <c r="AL428" s="684"/>
      <c r="AM428" s="684"/>
      <c r="AN428" s="1545"/>
      <c r="AO428" s="1545"/>
      <c r="AP428" s="1545"/>
      <c r="AQ428" s="1545"/>
      <c r="AR428" s="1545"/>
      <c r="AS428" s="684"/>
      <c r="AT428" s="684"/>
      <c r="AU428" s="684"/>
      <c r="AV428" s="684"/>
      <c r="AW428" s="684"/>
      <c r="AX428" s="684"/>
      <c r="AY428" s="684"/>
      <c r="AZ428" s="684"/>
      <c r="BA428" s="684"/>
      <c r="BB428" s="677"/>
      <c r="BC428" s="684"/>
      <c r="BD428" s="677"/>
      <c r="BE428" s="684"/>
      <c r="BF428" s="677"/>
      <c r="BG428" s="684"/>
      <c r="BH428" s="13"/>
      <c r="BI428" s="684"/>
      <c r="BJ428" s="13"/>
      <c r="BK428" s="684"/>
      <c r="BL428" s="684"/>
      <c r="BM428" s="684"/>
      <c r="BN428" s="677"/>
      <c r="BO428" s="684"/>
      <c r="BP428" s="541"/>
      <c r="BQ428" s="633"/>
      <c r="BR428" s="541"/>
      <c r="BS428" s="541"/>
      <c r="BT428" s="541"/>
    </row>
    <row r="429" ht="15.75" customHeight="1">
      <c r="A429" s="1591"/>
      <c r="B429" s="1541"/>
      <c r="C429" s="2217"/>
      <c r="D429" s="1543"/>
      <c r="E429" s="906"/>
      <c r="F429" s="1545"/>
      <c r="G429" s="2250"/>
      <c r="H429" s="1545"/>
      <c r="I429" s="2250"/>
      <c r="J429" s="1545"/>
      <c r="K429" s="2250"/>
      <c r="L429" s="1545"/>
      <c r="M429" s="2250"/>
      <c r="N429" s="1545"/>
      <c r="O429" s="2250"/>
      <c r="P429" s="1545"/>
      <c r="Q429" s="2250"/>
      <c r="R429" s="1545"/>
      <c r="S429" s="684"/>
      <c r="T429" s="1545"/>
      <c r="U429" s="684"/>
      <c r="V429" s="1545"/>
      <c r="W429" s="684"/>
      <c r="X429" s="1545"/>
      <c r="Y429" s="1545"/>
      <c r="Z429" s="1545"/>
      <c r="AA429" s="684"/>
      <c r="AB429" s="1545"/>
      <c r="AC429" s="684"/>
      <c r="AD429" s="684"/>
      <c r="AE429" s="684"/>
      <c r="AF429" s="684"/>
      <c r="AG429" s="684"/>
      <c r="AH429" s="684"/>
      <c r="AI429" s="684"/>
      <c r="AJ429" s="684"/>
      <c r="AK429" s="684"/>
      <c r="AL429" s="684"/>
      <c r="AM429" s="684"/>
      <c r="AN429" s="1545"/>
      <c r="AO429" s="1545"/>
      <c r="AP429" s="1545"/>
      <c r="AQ429" s="1545"/>
      <c r="AR429" s="1545"/>
      <c r="AS429" s="684"/>
      <c r="AT429" s="684"/>
      <c r="AU429" s="684"/>
      <c r="AV429" s="684"/>
      <c r="AW429" s="684"/>
      <c r="AX429" s="684"/>
      <c r="AY429" s="684"/>
      <c r="AZ429" s="684"/>
      <c r="BA429" s="684"/>
      <c r="BB429" s="677"/>
      <c r="BC429" s="684"/>
      <c r="BD429" s="677"/>
      <c r="BE429" s="684"/>
      <c r="BF429" s="677"/>
      <c r="BG429" s="684"/>
      <c r="BH429" s="13"/>
      <c r="BI429" s="684"/>
      <c r="BJ429" s="13"/>
      <c r="BK429" s="684"/>
      <c r="BL429" s="684"/>
      <c r="BM429" s="684"/>
      <c r="BN429" s="677"/>
      <c r="BO429" s="684"/>
      <c r="BP429" s="541"/>
      <c r="BQ429" s="633"/>
      <c r="BR429" s="541"/>
      <c r="BS429" s="541"/>
      <c r="BT429" s="541"/>
    </row>
    <row r="430" ht="15.75" customHeight="1">
      <c r="A430" s="1591"/>
      <c r="B430" s="1541"/>
      <c r="C430" s="2217"/>
      <c r="D430" s="1543"/>
      <c r="E430" s="906"/>
      <c r="F430" s="1545"/>
      <c r="G430" s="2250"/>
      <c r="H430" s="1545"/>
      <c r="I430" s="2250"/>
      <c r="J430" s="1545"/>
      <c r="K430" s="2250"/>
      <c r="L430" s="1545"/>
      <c r="M430" s="2250"/>
      <c r="N430" s="1545"/>
      <c r="O430" s="2250"/>
      <c r="P430" s="1545"/>
      <c r="Q430" s="2250"/>
      <c r="R430" s="1545"/>
      <c r="S430" s="684"/>
      <c r="T430" s="1545"/>
      <c r="U430" s="684"/>
      <c r="V430" s="1545"/>
      <c r="W430" s="684"/>
      <c r="X430" s="1545"/>
      <c r="Y430" s="1545"/>
      <c r="Z430" s="1545"/>
      <c r="AA430" s="684"/>
      <c r="AB430" s="1545"/>
      <c r="AC430" s="684"/>
      <c r="AD430" s="684"/>
      <c r="AE430" s="684"/>
      <c r="AF430" s="684"/>
      <c r="AG430" s="684"/>
      <c r="AH430" s="684"/>
      <c r="AI430" s="684"/>
      <c r="AJ430" s="684"/>
      <c r="AK430" s="684"/>
      <c r="AL430" s="684"/>
      <c r="AM430" s="684"/>
      <c r="AN430" s="1545"/>
      <c r="AO430" s="1545"/>
      <c r="AP430" s="1545"/>
      <c r="AQ430" s="1545"/>
      <c r="AR430" s="1545"/>
      <c r="AS430" s="684"/>
      <c r="AT430" s="684"/>
      <c r="AU430" s="684"/>
      <c r="AV430" s="684"/>
      <c r="AW430" s="684"/>
      <c r="AX430" s="684"/>
      <c r="AY430" s="684"/>
      <c r="AZ430" s="684"/>
      <c r="BA430" s="684"/>
      <c r="BB430" s="677"/>
      <c r="BC430" s="684"/>
      <c r="BD430" s="677"/>
      <c r="BE430" s="684"/>
      <c r="BF430" s="677"/>
      <c r="BG430" s="684"/>
      <c r="BH430" s="13"/>
      <c r="BI430" s="684"/>
      <c r="BJ430" s="13"/>
      <c r="BK430" s="684"/>
      <c r="BL430" s="684"/>
      <c r="BM430" s="684"/>
      <c r="BN430" s="677"/>
      <c r="BO430" s="684"/>
      <c r="BP430" s="541"/>
      <c r="BQ430" s="633"/>
      <c r="BR430" s="541"/>
      <c r="BS430" s="541"/>
      <c r="BT430" s="541"/>
    </row>
    <row r="431" ht="15.75" customHeight="1">
      <c r="A431" s="1591"/>
      <c r="B431" s="1541"/>
      <c r="C431" s="2217"/>
      <c r="D431" s="1543"/>
      <c r="E431" s="906"/>
      <c r="F431" s="1545"/>
      <c r="G431" s="2250"/>
      <c r="H431" s="1545"/>
      <c r="I431" s="2250"/>
      <c r="J431" s="1545"/>
      <c r="K431" s="2250"/>
      <c r="L431" s="1545"/>
      <c r="M431" s="2250"/>
      <c r="N431" s="1545"/>
      <c r="O431" s="2250"/>
      <c r="P431" s="1545"/>
      <c r="Q431" s="2250"/>
      <c r="R431" s="1545"/>
      <c r="S431" s="684"/>
      <c r="T431" s="1545"/>
      <c r="U431" s="684"/>
      <c r="V431" s="1545"/>
      <c r="W431" s="684"/>
      <c r="X431" s="1545"/>
      <c r="Y431" s="1545"/>
      <c r="Z431" s="1545"/>
      <c r="AA431" s="684"/>
      <c r="AB431" s="1545"/>
      <c r="AC431" s="684"/>
      <c r="AD431" s="684"/>
      <c r="AE431" s="684"/>
      <c r="AF431" s="684"/>
      <c r="AG431" s="684"/>
      <c r="AH431" s="684"/>
      <c r="AI431" s="684"/>
      <c r="AJ431" s="684"/>
      <c r="AK431" s="684"/>
      <c r="AL431" s="684"/>
      <c r="AM431" s="684"/>
      <c r="AN431" s="1545"/>
      <c r="AO431" s="1545"/>
      <c r="AP431" s="1545"/>
      <c r="AQ431" s="1545"/>
      <c r="AR431" s="1545"/>
      <c r="AS431" s="684"/>
      <c r="AT431" s="684"/>
      <c r="AU431" s="684"/>
      <c r="AV431" s="684"/>
      <c r="AW431" s="684"/>
      <c r="AX431" s="684"/>
      <c r="AY431" s="684"/>
      <c r="AZ431" s="684"/>
      <c r="BA431" s="684"/>
      <c r="BB431" s="677"/>
      <c r="BC431" s="684"/>
      <c r="BD431" s="677"/>
      <c r="BE431" s="684"/>
      <c r="BF431" s="677"/>
      <c r="BG431" s="684"/>
      <c r="BH431" s="13"/>
      <c r="BI431" s="684"/>
      <c r="BJ431" s="13"/>
      <c r="BK431" s="684"/>
      <c r="BL431" s="684"/>
      <c r="BM431" s="684"/>
      <c r="BN431" s="677"/>
      <c r="BO431" s="684"/>
      <c r="BP431" s="541"/>
      <c r="BQ431" s="633"/>
      <c r="BR431" s="541"/>
      <c r="BS431" s="541"/>
      <c r="BT431" s="541"/>
    </row>
    <row r="432" ht="15.75" customHeight="1">
      <c r="A432" s="1591"/>
      <c r="B432" s="1541"/>
      <c r="C432" s="2217"/>
      <c r="D432" s="1543"/>
      <c r="E432" s="906"/>
      <c r="F432" s="1545"/>
      <c r="G432" s="2250"/>
      <c r="H432" s="1545"/>
      <c r="I432" s="2250"/>
      <c r="J432" s="1545"/>
      <c r="K432" s="2250"/>
      <c r="L432" s="1545"/>
      <c r="M432" s="2250"/>
      <c r="N432" s="1545"/>
      <c r="O432" s="2250"/>
      <c r="P432" s="1545"/>
      <c r="Q432" s="2250"/>
      <c r="R432" s="1545"/>
      <c r="S432" s="684"/>
      <c r="T432" s="1545"/>
      <c r="U432" s="684"/>
      <c r="V432" s="1545"/>
      <c r="W432" s="684"/>
      <c r="X432" s="1545"/>
      <c r="Y432" s="1545"/>
      <c r="Z432" s="1545"/>
      <c r="AA432" s="684"/>
      <c r="AB432" s="1545"/>
      <c r="AC432" s="684"/>
      <c r="AD432" s="684"/>
      <c r="AE432" s="684"/>
      <c r="AF432" s="684"/>
      <c r="AG432" s="684"/>
      <c r="AH432" s="684"/>
      <c r="AI432" s="684"/>
      <c r="AJ432" s="684"/>
      <c r="AK432" s="684"/>
      <c r="AL432" s="684"/>
      <c r="AM432" s="684"/>
      <c r="AN432" s="1545"/>
      <c r="AO432" s="1545"/>
      <c r="AP432" s="1545"/>
      <c r="AQ432" s="1545"/>
      <c r="AR432" s="1545"/>
      <c r="AS432" s="684"/>
      <c r="AT432" s="684"/>
      <c r="AU432" s="684"/>
      <c r="AV432" s="684"/>
      <c r="AW432" s="684"/>
      <c r="AX432" s="684"/>
      <c r="AY432" s="684"/>
      <c r="AZ432" s="684"/>
      <c r="BA432" s="684"/>
      <c r="BB432" s="677"/>
      <c r="BC432" s="684"/>
      <c r="BD432" s="677"/>
      <c r="BE432" s="684"/>
      <c r="BF432" s="677"/>
      <c r="BG432" s="684"/>
      <c r="BH432" s="13"/>
      <c r="BI432" s="684"/>
      <c r="BJ432" s="13"/>
      <c r="BK432" s="684"/>
      <c r="BL432" s="684"/>
      <c r="BM432" s="684"/>
      <c r="BN432" s="677"/>
      <c r="BO432" s="684"/>
      <c r="BP432" s="541"/>
      <c r="BQ432" s="633"/>
      <c r="BR432" s="541"/>
      <c r="BS432" s="541"/>
      <c r="BT432" s="541"/>
    </row>
    <row r="433" ht="15.75" customHeight="1">
      <c r="A433" s="1591"/>
      <c r="B433" s="1541"/>
      <c r="C433" s="2217"/>
      <c r="D433" s="1543"/>
      <c r="E433" s="906"/>
      <c r="F433" s="1545"/>
      <c r="G433" s="2250"/>
      <c r="H433" s="1545"/>
      <c r="I433" s="2250"/>
      <c r="J433" s="1545"/>
      <c r="K433" s="2250"/>
      <c r="L433" s="1545"/>
      <c r="M433" s="2250"/>
      <c r="N433" s="1545"/>
      <c r="O433" s="2250"/>
      <c r="P433" s="1545"/>
      <c r="Q433" s="2250"/>
      <c r="R433" s="1545"/>
      <c r="S433" s="684"/>
      <c r="T433" s="1545"/>
      <c r="U433" s="684"/>
      <c r="V433" s="1545"/>
      <c r="W433" s="684"/>
      <c r="X433" s="1545"/>
      <c r="Y433" s="1545"/>
      <c r="Z433" s="1545"/>
      <c r="AA433" s="684"/>
      <c r="AB433" s="1545"/>
      <c r="AC433" s="684"/>
      <c r="AD433" s="684"/>
      <c r="AE433" s="684"/>
      <c r="AF433" s="684"/>
      <c r="AG433" s="684"/>
      <c r="AH433" s="684"/>
      <c r="AI433" s="684"/>
      <c r="AJ433" s="684"/>
      <c r="AK433" s="684"/>
      <c r="AL433" s="684"/>
      <c r="AM433" s="684"/>
      <c r="AN433" s="1545"/>
      <c r="AO433" s="1545"/>
      <c r="AP433" s="1545"/>
      <c r="AQ433" s="1545"/>
      <c r="AR433" s="1545"/>
      <c r="AS433" s="684"/>
      <c r="AT433" s="684"/>
      <c r="AU433" s="684"/>
      <c r="AV433" s="684"/>
      <c r="AW433" s="684"/>
      <c r="AX433" s="684"/>
      <c r="AY433" s="684"/>
      <c r="AZ433" s="684"/>
      <c r="BA433" s="684"/>
      <c r="BB433" s="677"/>
      <c r="BC433" s="684"/>
      <c r="BD433" s="677"/>
      <c r="BE433" s="684"/>
      <c r="BF433" s="677"/>
      <c r="BG433" s="684"/>
      <c r="BH433" s="13"/>
      <c r="BI433" s="684"/>
      <c r="BJ433" s="13"/>
      <c r="BK433" s="684"/>
      <c r="BL433" s="684"/>
      <c r="BM433" s="684"/>
      <c r="BN433" s="677"/>
      <c r="BO433" s="684"/>
      <c r="BP433" s="541"/>
      <c r="BQ433" s="633"/>
      <c r="BR433" s="541"/>
      <c r="BS433" s="541"/>
      <c r="BT433" s="541"/>
    </row>
    <row r="434" ht="15.75" customHeight="1">
      <c r="A434" s="1591"/>
      <c r="B434" s="1541"/>
      <c r="C434" s="2217"/>
      <c r="D434" s="1543"/>
      <c r="E434" s="906"/>
      <c r="F434" s="1545"/>
      <c r="G434" s="2250"/>
      <c r="H434" s="1545"/>
      <c r="I434" s="2250"/>
      <c r="J434" s="1545"/>
      <c r="K434" s="2250"/>
      <c r="L434" s="1545"/>
      <c r="M434" s="2250"/>
      <c r="N434" s="1545"/>
      <c r="O434" s="2250"/>
      <c r="P434" s="1545"/>
      <c r="Q434" s="2250"/>
      <c r="R434" s="1545"/>
      <c r="S434" s="684"/>
      <c r="T434" s="1545"/>
      <c r="U434" s="684"/>
      <c r="V434" s="1545"/>
      <c r="W434" s="684"/>
      <c r="X434" s="1545"/>
      <c r="Y434" s="1545"/>
      <c r="Z434" s="1545"/>
      <c r="AA434" s="684"/>
      <c r="AB434" s="1545"/>
      <c r="AC434" s="684"/>
      <c r="AD434" s="684"/>
      <c r="AE434" s="684"/>
      <c r="AF434" s="684"/>
      <c r="AG434" s="684"/>
      <c r="AH434" s="684"/>
      <c r="AI434" s="684"/>
      <c r="AJ434" s="684"/>
      <c r="AK434" s="684"/>
      <c r="AL434" s="684"/>
      <c r="AM434" s="684"/>
      <c r="AN434" s="1545"/>
      <c r="AO434" s="1545"/>
      <c r="AP434" s="1545"/>
      <c r="AQ434" s="1545"/>
      <c r="AR434" s="1545"/>
      <c r="AS434" s="684"/>
      <c r="AT434" s="684"/>
      <c r="AU434" s="684"/>
      <c r="AV434" s="684"/>
      <c r="AW434" s="684"/>
      <c r="AX434" s="684"/>
      <c r="AY434" s="684"/>
      <c r="AZ434" s="684"/>
      <c r="BA434" s="684"/>
      <c r="BB434" s="677"/>
      <c r="BC434" s="684"/>
      <c r="BD434" s="677"/>
      <c r="BE434" s="684"/>
      <c r="BF434" s="677"/>
      <c r="BG434" s="684"/>
      <c r="BH434" s="13"/>
      <c r="BI434" s="684"/>
      <c r="BJ434" s="13"/>
      <c r="BK434" s="684"/>
      <c r="BL434" s="684"/>
      <c r="BM434" s="684"/>
      <c r="BN434" s="677"/>
      <c r="BO434" s="684"/>
      <c r="BP434" s="541"/>
      <c r="BQ434" s="633"/>
      <c r="BR434" s="541"/>
      <c r="BS434" s="541"/>
      <c r="BT434" s="541"/>
    </row>
    <row r="435" ht="15.75" customHeight="1">
      <c r="A435" s="1591"/>
      <c r="B435" s="1541"/>
      <c r="C435" s="2217"/>
      <c r="D435" s="1543"/>
      <c r="E435" s="906"/>
      <c r="F435" s="1545"/>
      <c r="G435" s="2250"/>
      <c r="H435" s="1545"/>
      <c r="I435" s="2250"/>
      <c r="J435" s="1545"/>
      <c r="K435" s="2250"/>
      <c r="L435" s="1545"/>
      <c r="M435" s="2250"/>
      <c r="N435" s="1545"/>
      <c r="O435" s="2250"/>
      <c r="P435" s="1545"/>
      <c r="Q435" s="2250"/>
      <c r="R435" s="1545"/>
      <c r="S435" s="684"/>
      <c r="T435" s="1545"/>
      <c r="U435" s="684"/>
      <c r="V435" s="1545"/>
      <c r="W435" s="684"/>
      <c r="X435" s="1545"/>
      <c r="Y435" s="1545"/>
      <c r="Z435" s="1545"/>
      <c r="AA435" s="684"/>
      <c r="AB435" s="1545"/>
      <c r="AC435" s="684"/>
      <c r="AD435" s="684"/>
      <c r="AE435" s="684"/>
      <c r="AF435" s="684"/>
      <c r="AG435" s="684"/>
      <c r="AH435" s="684"/>
      <c r="AI435" s="684"/>
      <c r="AJ435" s="684"/>
      <c r="AK435" s="684"/>
      <c r="AL435" s="684"/>
      <c r="AM435" s="684"/>
      <c r="AN435" s="1545"/>
      <c r="AO435" s="1545"/>
      <c r="AP435" s="1545"/>
      <c r="AQ435" s="1545"/>
      <c r="AR435" s="1545"/>
      <c r="AS435" s="684"/>
      <c r="AT435" s="684"/>
      <c r="AU435" s="684"/>
      <c r="AV435" s="684"/>
      <c r="AW435" s="684"/>
      <c r="AX435" s="684"/>
      <c r="AY435" s="684"/>
      <c r="AZ435" s="684"/>
      <c r="BA435" s="684"/>
      <c r="BB435" s="677"/>
      <c r="BC435" s="684"/>
      <c r="BD435" s="677"/>
      <c r="BE435" s="684"/>
      <c r="BF435" s="677"/>
      <c r="BG435" s="684"/>
      <c r="BH435" s="13"/>
      <c r="BI435" s="684"/>
      <c r="BJ435" s="13"/>
      <c r="BK435" s="684"/>
      <c r="BL435" s="684"/>
      <c r="BM435" s="684"/>
      <c r="BN435" s="677"/>
      <c r="BO435" s="684"/>
      <c r="BP435" s="541"/>
      <c r="BQ435" s="633"/>
      <c r="BR435" s="541"/>
      <c r="BS435" s="541"/>
      <c r="BT435" s="541"/>
    </row>
    <row r="436" ht="15.75" customHeight="1">
      <c r="A436" s="1591"/>
      <c r="B436" s="1541"/>
      <c r="C436" s="2217"/>
      <c r="D436" s="1543"/>
      <c r="E436" s="906"/>
      <c r="F436" s="1545"/>
      <c r="G436" s="2250"/>
      <c r="H436" s="1545"/>
      <c r="I436" s="2250"/>
      <c r="J436" s="1545"/>
      <c r="K436" s="2250"/>
      <c r="L436" s="1545"/>
      <c r="M436" s="2250"/>
      <c r="N436" s="1545"/>
      <c r="O436" s="2250"/>
      <c r="P436" s="1545"/>
      <c r="Q436" s="2250"/>
      <c r="R436" s="1545"/>
      <c r="S436" s="684"/>
      <c r="T436" s="1545"/>
      <c r="U436" s="684"/>
      <c r="V436" s="1545"/>
      <c r="W436" s="684"/>
      <c r="X436" s="1545"/>
      <c r="Y436" s="1545"/>
      <c r="Z436" s="1545"/>
      <c r="AA436" s="684"/>
      <c r="AB436" s="1545"/>
      <c r="AC436" s="684"/>
      <c r="AD436" s="684"/>
      <c r="AE436" s="684"/>
      <c r="AF436" s="684"/>
      <c r="AG436" s="684"/>
      <c r="AH436" s="684"/>
      <c r="AI436" s="684"/>
      <c r="AJ436" s="684"/>
      <c r="AK436" s="684"/>
      <c r="AL436" s="684"/>
      <c r="AM436" s="684"/>
      <c r="AN436" s="1545"/>
      <c r="AO436" s="1545"/>
      <c r="AP436" s="1545"/>
      <c r="AQ436" s="1545"/>
      <c r="AR436" s="1545"/>
      <c r="AS436" s="684"/>
      <c r="AT436" s="684"/>
      <c r="AU436" s="684"/>
      <c r="AV436" s="684"/>
      <c r="AW436" s="684"/>
      <c r="AX436" s="684"/>
      <c r="AY436" s="684"/>
      <c r="AZ436" s="684"/>
      <c r="BA436" s="684"/>
      <c r="BB436" s="677"/>
      <c r="BC436" s="684"/>
      <c r="BD436" s="677"/>
      <c r="BE436" s="684"/>
      <c r="BF436" s="677"/>
      <c r="BG436" s="684"/>
      <c r="BH436" s="13"/>
      <c r="BI436" s="684"/>
      <c r="BJ436" s="13"/>
      <c r="BK436" s="684"/>
      <c r="BL436" s="684"/>
      <c r="BM436" s="684"/>
      <c r="BN436" s="677"/>
      <c r="BO436" s="684"/>
      <c r="BP436" s="541"/>
      <c r="BQ436" s="633"/>
      <c r="BR436" s="541"/>
      <c r="BS436" s="541"/>
      <c r="BT436" s="541"/>
    </row>
    <row r="437" ht="15.75" customHeight="1">
      <c r="A437" s="1591"/>
      <c r="B437" s="1541"/>
      <c r="C437" s="2217"/>
      <c r="D437" s="1543"/>
      <c r="E437" s="906"/>
      <c r="F437" s="1545"/>
      <c r="G437" s="2250"/>
      <c r="H437" s="1545"/>
      <c r="I437" s="2250"/>
      <c r="J437" s="1545"/>
      <c r="K437" s="2250"/>
      <c r="L437" s="1545"/>
      <c r="M437" s="2250"/>
      <c r="N437" s="1545"/>
      <c r="O437" s="2250"/>
      <c r="P437" s="1545"/>
      <c r="Q437" s="2250"/>
      <c r="R437" s="1545"/>
      <c r="S437" s="684"/>
      <c r="T437" s="1545"/>
      <c r="U437" s="684"/>
      <c r="V437" s="1545"/>
      <c r="W437" s="684"/>
      <c r="X437" s="1545"/>
      <c r="Y437" s="1545"/>
      <c r="Z437" s="1545"/>
      <c r="AA437" s="684"/>
      <c r="AB437" s="1545"/>
      <c r="AC437" s="684"/>
      <c r="AD437" s="684"/>
      <c r="AE437" s="684"/>
      <c r="AF437" s="684"/>
      <c r="AG437" s="684"/>
      <c r="AH437" s="684"/>
      <c r="AI437" s="684"/>
      <c r="AJ437" s="684"/>
      <c r="AK437" s="684"/>
      <c r="AL437" s="684"/>
      <c r="AM437" s="684"/>
      <c r="AN437" s="1545"/>
      <c r="AO437" s="1545"/>
      <c r="AP437" s="1545"/>
      <c r="AQ437" s="1545"/>
      <c r="AR437" s="1545"/>
      <c r="AS437" s="684"/>
      <c r="AT437" s="684"/>
      <c r="AU437" s="684"/>
      <c r="AV437" s="684"/>
      <c r="AW437" s="684"/>
      <c r="AX437" s="684"/>
      <c r="AY437" s="684"/>
      <c r="AZ437" s="684"/>
      <c r="BA437" s="684"/>
      <c r="BB437" s="677"/>
      <c r="BC437" s="684"/>
      <c r="BD437" s="677"/>
      <c r="BE437" s="684"/>
      <c r="BF437" s="677"/>
      <c r="BG437" s="684"/>
      <c r="BH437" s="13"/>
      <c r="BI437" s="684"/>
      <c r="BJ437" s="13"/>
      <c r="BK437" s="684"/>
      <c r="BL437" s="684"/>
      <c r="BM437" s="684"/>
      <c r="BN437" s="677"/>
      <c r="BO437" s="684"/>
      <c r="BP437" s="541"/>
      <c r="BQ437" s="633"/>
      <c r="BR437" s="541"/>
      <c r="BS437" s="541"/>
      <c r="BT437" s="541"/>
    </row>
    <row r="438" ht="15.75" customHeight="1">
      <c r="A438" s="1591"/>
      <c r="B438" s="1541"/>
      <c r="C438" s="2217"/>
      <c r="D438" s="1543"/>
      <c r="E438" s="906"/>
      <c r="F438" s="1545"/>
      <c r="G438" s="2250"/>
      <c r="H438" s="1545"/>
      <c r="I438" s="2250"/>
      <c r="J438" s="1545"/>
      <c r="K438" s="2250"/>
      <c r="L438" s="1545"/>
      <c r="M438" s="2250"/>
      <c r="N438" s="1545"/>
      <c r="O438" s="2250"/>
      <c r="P438" s="1545"/>
      <c r="Q438" s="2250"/>
      <c r="R438" s="1545"/>
      <c r="S438" s="684"/>
      <c r="T438" s="1545"/>
      <c r="U438" s="684"/>
      <c r="V438" s="1545"/>
      <c r="W438" s="684"/>
      <c r="X438" s="1545"/>
      <c r="Y438" s="1545"/>
      <c r="Z438" s="1545"/>
      <c r="AA438" s="684"/>
      <c r="AB438" s="1545"/>
      <c r="AC438" s="684"/>
      <c r="AD438" s="684"/>
      <c r="AE438" s="684"/>
      <c r="AF438" s="684"/>
      <c r="AG438" s="684"/>
      <c r="AH438" s="684"/>
      <c r="AI438" s="684"/>
      <c r="AJ438" s="684"/>
      <c r="AK438" s="684"/>
      <c r="AL438" s="684"/>
      <c r="AM438" s="684"/>
      <c r="AN438" s="1545"/>
      <c r="AO438" s="1545"/>
      <c r="AP438" s="1545"/>
      <c r="AQ438" s="1545"/>
      <c r="AR438" s="1545"/>
      <c r="AS438" s="684"/>
      <c r="AT438" s="684"/>
      <c r="AU438" s="684"/>
      <c r="AV438" s="684"/>
      <c r="AW438" s="684"/>
      <c r="AX438" s="684"/>
      <c r="AY438" s="684"/>
      <c r="AZ438" s="684"/>
      <c r="BA438" s="684"/>
      <c r="BB438" s="677"/>
      <c r="BC438" s="684"/>
      <c r="BD438" s="677"/>
      <c r="BE438" s="684"/>
      <c r="BF438" s="677"/>
      <c r="BG438" s="684"/>
      <c r="BH438" s="13"/>
      <c r="BI438" s="684"/>
      <c r="BJ438" s="13"/>
      <c r="BK438" s="684"/>
      <c r="BL438" s="684"/>
      <c r="BM438" s="684"/>
      <c r="BN438" s="677"/>
      <c r="BO438" s="684"/>
      <c r="BP438" s="541"/>
      <c r="BQ438" s="633"/>
      <c r="BR438" s="541"/>
      <c r="BS438" s="541"/>
      <c r="BT438" s="541"/>
    </row>
    <row r="439" ht="15.75" customHeight="1">
      <c r="A439" s="1591"/>
      <c r="B439" s="1541"/>
      <c r="C439" s="2217"/>
      <c r="D439" s="1543"/>
      <c r="E439" s="906"/>
      <c r="F439" s="1545"/>
      <c r="G439" s="2250"/>
      <c r="H439" s="1545"/>
      <c r="I439" s="2250"/>
      <c r="J439" s="1545"/>
      <c r="K439" s="2250"/>
      <c r="L439" s="1545"/>
      <c r="M439" s="2250"/>
      <c r="N439" s="1545"/>
      <c r="O439" s="2250"/>
      <c r="P439" s="1545"/>
      <c r="Q439" s="2250"/>
      <c r="R439" s="1545"/>
      <c r="S439" s="684"/>
      <c r="T439" s="1545"/>
      <c r="U439" s="684"/>
      <c r="V439" s="1545"/>
      <c r="W439" s="684"/>
      <c r="X439" s="1545"/>
      <c r="Y439" s="1545"/>
      <c r="Z439" s="1545"/>
      <c r="AA439" s="684"/>
      <c r="AB439" s="1545"/>
      <c r="AC439" s="684"/>
      <c r="AD439" s="684"/>
      <c r="AE439" s="684"/>
      <c r="AF439" s="684"/>
      <c r="AG439" s="684"/>
      <c r="AH439" s="684"/>
      <c r="AI439" s="684"/>
      <c r="AJ439" s="684"/>
      <c r="AK439" s="684"/>
      <c r="AL439" s="684"/>
      <c r="AM439" s="684"/>
      <c r="AN439" s="1545"/>
      <c r="AO439" s="1545"/>
      <c r="AP439" s="1545"/>
      <c r="AQ439" s="1545"/>
      <c r="AR439" s="1545"/>
      <c r="AS439" s="684"/>
      <c r="AT439" s="684"/>
      <c r="AU439" s="684"/>
      <c r="AV439" s="684"/>
      <c r="AW439" s="684"/>
      <c r="AX439" s="684"/>
      <c r="AY439" s="684"/>
      <c r="AZ439" s="684"/>
      <c r="BA439" s="684"/>
      <c r="BB439" s="677"/>
      <c r="BC439" s="684"/>
      <c r="BD439" s="677"/>
      <c r="BE439" s="684"/>
      <c r="BF439" s="677"/>
      <c r="BG439" s="684"/>
      <c r="BH439" s="13"/>
      <c r="BI439" s="684"/>
      <c r="BJ439" s="13"/>
      <c r="BK439" s="684"/>
      <c r="BL439" s="684"/>
      <c r="BM439" s="684"/>
      <c r="BN439" s="677"/>
      <c r="BO439" s="684"/>
      <c r="BP439" s="541"/>
      <c r="BQ439" s="633"/>
      <c r="BR439" s="541"/>
      <c r="BS439" s="541"/>
      <c r="BT439" s="541"/>
    </row>
    <row r="440" ht="15.75" customHeight="1">
      <c r="A440" s="1591"/>
      <c r="B440" s="1541"/>
      <c r="C440" s="2217"/>
      <c r="D440" s="1543"/>
      <c r="E440" s="906"/>
      <c r="F440" s="1545"/>
      <c r="G440" s="2250"/>
      <c r="H440" s="1545"/>
      <c r="I440" s="2250"/>
      <c r="J440" s="1545"/>
      <c r="K440" s="2250"/>
      <c r="L440" s="1545"/>
      <c r="M440" s="2250"/>
      <c r="N440" s="1545"/>
      <c r="O440" s="2250"/>
      <c r="P440" s="1545"/>
      <c r="Q440" s="2250"/>
      <c r="R440" s="1545"/>
      <c r="S440" s="684"/>
      <c r="T440" s="1545"/>
      <c r="U440" s="684"/>
      <c r="V440" s="1545"/>
      <c r="W440" s="684"/>
      <c r="X440" s="1545"/>
      <c r="Y440" s="1545"/>
      <c r="Z440" s="1545"/>
      <c r="AA440" s="684"/>
      <c r="AB440" s="1545"/>
      <c r="AC440" s="684"/>
      <c r="AD440" s="684"/>
      <c r="AE440" s="684"/>
      <c r="AF440" s="684"/>
      <c r="AG440" s="684"/>
      <c r="AH440" s="684"/>
      <c r="AI440" s="684"/>
      <c r="AJ440" s="684"/>
      <c r="AK440" s="684"/>
      <c r="AL440" s="684"/>
      <c r="AM440" s="684"/>
      <c r="AN440" s="1545"/>
      <c r="AO440" s="1545"/>
      <c r="AP440" s="1545"/>
      <c r="AQ440" s="1545"/>
      <c r="AR440" s="1545"/>
      <c r="AS440" s="684"/>
      <c r="AT440" s="684"/>
      <c r="AU440" s="684"/>
      <c r="AV440" s="684"/>
      <c r="AW440" s="684"/>
      <c r="AX440" s="684"/>
      <c r="AY440" s="684"/>
      <c r="AZ440" s="684"/>
      <c r="BA440" s="684"/>
      <c r="BB440" s="677"/>
      <c r="BC440" s="684"/>
      <c r="BD440" s="677"/>
      <c r="BE440" s="684"/>
      <c r="BF440" s="677"/>
      <c r="BG440" s="684"/>
      <c r="BH440" s="13"/>
      <c r="BI440" s="684"/>
      <c r="BJ440" s="13"/>
      <c r="BK440" s="684"/>
      <c r="BL440" s="684"/>
      <c r="BM440" s="684"/>
      <c r="BN440" s="677"/>
      <c r="BO440" s="684"/>
      <c r="BP440" s="541"/>
      <c r="BQ440" s="633"/>
      <c r="BR440" s="541"/>
      <c r="BS440" s="541"/>
      <c r="BT440" s="541"/>
    </row>
    <row r="441" ht="15.75" customHeight="1">
      <c r="A441" s="1591"/>
      <c r="B441" s="1541"/>
      <c r="C441" s="2217"/>
      <c r="D441" s="1543"/>
      <c r="E441" s="906"/>
      <c r="F441" s="1545"/>
      <c r="G441" s="2250"/>
      <c r="H441" s="1545"/>
      <c r="I441" s="2250"/>
      <c r="J441" s="1545"/>
      <c r="K441" s="2250"/>
      <c r="L441" s="1545"/>
      <c r="M441" s="2250"/>
      <c r="N441" s="1545"/>
      <c r="O441" s="2250"/>
      <c r="P441" s="1545"/>
      <c r="Q441" s="2250"/>
      <c r="R441" s="1545"/>
      <c r="S441" s="684"/>
      <c r="T441" s="1545"/>
      <c r="U441" s="684"/>
      <c r="V441" s="1545"/>
      <c r="W441" s="684"/>
      <c r="X441" s="1545"/>
      <c r="Y441" s="1545"/>
      <c r="Z441" s="1545"/>
      <c r="AA441" s="684"/>
      <c r="AB441" s="1545"/>
      <c r="AC441" s="684"/>
      <c r="AD441" s="684"/>
      <c r="AE441" s="684"/>
      <c r="AF441" s="684"/>
      <c r="AG441" s="684"/>
      <c r="AH441" s="684"/>
      <c r="AI441" s="684"/>
      <c r="AJ441" s="684"/>
      <c r="AK441" s="684"/>
      <c r="AL441" s="684"/>
      <c r="AM441" s="684"/>
      <c r="AN441" s="1545"/>
      <c r="AO441" s="1545"/>
      <c r="AP441" s="1545"/>
      <c r="AQ441" s="1545"/>
      <c r="AR441" s="1545"/>
      <c r="AS441" s="684"/>
      <c r="AT441" s="684"/>
      <c r="AU441" s="684"/>
      <c r="AV441" s="684"/>
      <c r="AW441" s="684"/>
      <c r="AX441" s="684"/>
      <c r="AY441" s="684"/>
      <c r="AZ441" s="684"/>
      <c r="BA441" s="684"/>
      <c r="BB441" s="677"/>
      <c r="BC441" s="684"/>
      <c r="BD441" s="677"/>
      <c r="BE441" s="684"/>
      <c r="BF441" s="677"/>
      <c r="BG441" s="684"/>
      <c r="BH441" s="13"/>
      <c r="BI441" s="684"/>
      <c r="BJ441" s="13"/>
      <c r="BK441" s="684"/>
      <c r="BL441" s="684"/>
      <c r="BM441" s="684"/>
      <c r="BN441" s="677"/>
      <c r="BO441" s="684"/>
      <c r="BP441" s="541"/>
      <c r="BQ441" s="633"/>
      <c r="BR441" s="541"/>
      <c r="BS441" s="541"/>
      <c r="BT441" s="541"/>
    </row>
    <row r="442" ht="15.75" customHeight="1">
      <c r="A442" s="1591"/>
      <c r="B442" s="1541"/>
      <c r="C442" s="2217"/>
      <c r="D442" s="1543"/>
      <c r="E442" s="906"/>
      <c r="F442" s="1545"/>
      <c r="G442" s="2250"/>
      <c r="H442" s="1545"/>
      <c r="I442" s="2250"/>
      <c r="J442" s="1545"/>
      <c r="K442" s="2250"/>
      <c r="L442" s="1545"/>
      <c r="M442" s="2250"/>
      <c r="N442" s="1545"/>
      <c r="O442" s="2250"/>
      <c r="P442" s="1545"/>
      <c r="Q442" s="2250"/>
      <c r="R442" s="1545"/>
      <c r="S442" s="684"/>
      <c r="T442" s="1545"/>
      <c r="U442" s="684"/>
      <c r="V442" s="1545"/>
      <c r="W442" s="684"/>
      <c r="X442" s="1545"/>
      <c r="Y442" s="1545"/>
      <c r="Z442" s="1545"/>
      <c r="AA442" s="684"/>
      <c r="AB442" s="1545"/>
      <c r="AC442" s="684"/>
      <c r="AD442" s="684"/>
      <c r="AE442" s="684"/>
      <c r="AF442" s="684"/>
      <c r="AG442" s="684"/>
      <c r="AH442" s="684"/>
      <c r="AI442" s="684"/>
      <c r="AJ442" s="684"/>
      <c r="AK442" s="684"/>
      <c r="AL442" s="684"/>
      <c r="AM442" s="684"/>
      <c r="AN442" s="1545"/>
      <c r="AO442" s="1545"/>
      <c r="AP442" s="1545"/>
      <c r="AQ442" s="1545"/>
      <c r="AR442" s="1545"/>
      <c r="AS442" s="684"/>
      <c r="AT442" s="684"/>
      <c r="AU442" s="684"/>
      <c r="AV442" s="684"/>
      <c r="AW442" s="684"/>
      <c r="AX442" s="684"/>
      <c r="AY442" s="684"/>
      <c r="AZ442" s="684"/>
      <c r="BA442" s="684"/>
      <c r="BB442" s="677"/>
      <c r="BC442" s="684"/>
      <c r="BD442" s="677"/>
      <c r="BE442" s="684"/>
      <c r="BF442" s="677"/>
      <c r="BG442" s="684"/>
      <c r="BH442" s="13"/>
      <c r="BI442" s="684"/>
      <c r="BJ442" s="13"/>
      <c r="BK442" s="684"/>
      <c r="BL442" s="684"/>
      <c r="BM442" s="684"/>
      <c r="BN442" s="677"/>
      <c r="BO442" s="684"/>
      <c r="BP442" s="541"/>
      <c r="BQ442" s="633"/>
      <c r="BR442" s="541"/>
      <c r="BS442" s="541"/>
      <c r="BT442" s="541"/>
    </row>
    <row r="443" ht="15.75" customHeight="1">
      <c r="A443" s="1591"/>
      <c r="B443" s="1541"/>
      <c r="C443" s="2217"/>
      <c r="D443" s="1543"/>
      <c r="E443" s="906"/>
      <c r="F443" s="1545"/>
      <c r="G443" s="2250"/>
      <c r="H443" s="1545"/>
      <c r="I443" s="2250"/>
      <c r="J443" s="1545"/>
      <c r="K443" s="2250"/>
      <c r="L443" s="1545"/>
      <c r="M443" s="2250"/>
      <c r="N443" s="1545"/>
      <c r="O443" s="2250"/>
      <c r="P443" s="1545"/>
      <c r="Q443" s="2250"/>
      <c r="R443" s="1545"/>
      <c r="S443" s="684"/>
      <c r="T443" s="1545"/>
      <c r="U443" s="684"/>
      <c r="V443" s="1545"/>
      <c r="W443" s="684"/>
      <c r="X443" s="1545"/>
      <c r="Y443" s="1545"/>
      <c r="Z443" s="1545"/>
      <c r="AA443" s="684"/>
      <c r="AB443" s="1545"/>
      <c r="AC443" s="684"/>
      <c r="AD443" s="684"/>
      <c r="AE443" s="684"/>
      <c r="AF443" s="684"/>
      <c r="AG443" s="684"/>
      <c r="AH443" s="684"/>
      <c r="AI443" s="684"/>
      <c r="AJ443" s="684"/>
      <c r="AK443" s="684"/>
      <c r="AL443" s="684"/>
      <c r="AM443" s="684"/>
      <c r="AN443" s="1545"/>
      <c r="AO443" s="1545"/>
      <c r="AP443" s="1545"/>
      <c r="AQ443" s="1545"/>
      <c r="AR443" s="1545"/>
      <c r="AS443" s="684"/>
      <c r="AT443" s="684"/>
      <c r="AU443" s="684"/>
      <c r="AV443" s="684"/>
      <c r="AW443" s="684"/>
      <c r="AX443" s="684"/>
      <c r="AY443" s="684"/>
      <c r="AZ443" s="684"/>
      <c r="BA443" s="684"/>
      <c r="BB443" s="677"/>
      <c r="BC443" s="684"/>
      <c r="BD443" s="677"/>
      <c r="BE443" s="684"/>
      <c r="BF443" s="677"/>
      <c r="BG443" s="684"/>
      <c r="BH443" s="13"/>
      <c r="BI443" s="684"/>
      <c r="BJ443" s="13"/>
      <c r="BK443" s="684"/>
      <c r="BL443" s="684"/>
      <c r="BM443" s="684"/>
      <c r="BN443" s="677"/>
      <c r="BO443" s="684"/>
      <c r="BP443" s="541"/>
      <c r="BQ443" s="633"/>
      <c r="BR443" s="541"/>
      <c r="BS443" s="541"/>
      <c r="BT443" s="541"/>
    </row>
    <row r="444" ht="15.75" customHeight="1">
      <c r="A444" s="1591"/>
      <c r="B444" s="1541"/>
      <c r="C444" s="2217"/>
      <c r="D444" s="1543"/>
      <c r="E444" s="906"/>
      <c r="F444" s="1545"/>
      <c r="G444" s="2250"/>
      <c r="H444" s="1545"/>
      <c r="I444" s="2250"/>
      <c r="J444" s="1545"/>
      <c r="K444" s="2250"/>
      <c r="L444" s="1545"/>
      <c r="M444" s="2250"/>
      <c r="N444" s="1545"/>
      <c r="O444" s="2250"/>
      <c r="P444" s="1545"/>
      <c r="Q444" s="2250"/>
      <c r="R444" s="1545"/>
      <c r="S444" s="684"/>
      <c r="T444" s="1545"/>
      <c r="U444" s="684"/>
      <c r="V444" s="1545"/>
      <c r="W444" s="684"/>
      <c r="X444" s="1545"/>
      <c r="Y444" s="1545"/>
      <c r="Z444" s="1545"/>
      <c r="AA444" s="684"/>
      <c r="AB444" s="1545"/>
      <c r="AC444" s="684"/>
      <c r="AD444" s="684"/>
      <c r="AE444" s="684"/>
      <c r="AF444" s="684"/>
      <c r="AG444" s="684"/>
      <c r="AH444" s="684"/>
      <c r="AI444" s="684"/>
      <c r="AJ444" s="684"/>
      <c r="AK444" s="684"/>
      <c r="AL444" s="684"/>
      <c r="AM444" s="684"/>
      <c r="AN444" s="1545"/>
      <c r="AO444" s="1545"/>
      <c r="AP444" s="1545"/>
      <c r="AQ444" s="1545"/>
      <c r="AR444" s="1545"/>
      <c r="AS444" s="684"/>
      <c r="AT444" s="684"/>
      <c r="AU444" s="684"/>
      <c r="AV444" s="684"/>
      <c r="AW444" s="684"/>
      <c r="AX444" s="684"/>
      <c r="AY444" s="684"/>
      <c r="AZ444" s="684"/>
      <c r="BA444" s="684"/>
      <c r="BB444" s="677"/>
      <c r="BC444" s="684"/>
      <c r="BD444" s="677"/>
      <c r="BE444" s="684"/>
      <c r="BF444" s="677"/>
      <c r="BG444" s="684"/>
      <c r="BH444" s="13"/>
      <c r="BI444" s="684"/>
      <c r="BJ444" s="13"/>
      <c r="BK444" s="684"/>
      <c r="BL444" s="684"/>
      <c r="BM444" s="684"/>
      <c r="BN444" s="677"/>
      <c r="BO444" s="684"/>
      <c r="BP444" s="541"/>
      <c r="BQ444" s="633"/>
      <c r="BR444" s="541"/>
      <c r="BS444" s="541"/>
      <c r="BT444" s="541"/>
    </row>
    <row r="445" ht="15.75" customHeight="1">
      <c r="A445" s="1591"/>
      <c r="B445" s="1541"/>
      <c r="C445" s="2217"/>
      <c r="D445" s="1543"/>
      <c r="E445" s="906"/>
      <c r="F445" s="1545"/>
      <c r="G445" s="2250"/>
      <c r="H445" s="1545"/>
      <c r="I445" s="2250"/>
      <c r="J445" s="1545"/>
      <c r="K445" s="2250"/>
      <c r="L445" s="1545"/>
      <c r="M445" s="2250"/>
      <c r="N445" s="1545"/>
      <c r="O445" s="2250"/>
      <c r="P445" s="1545"/>
      <c r="Q445" s="2250"/>
      <c r="R445" s="1545"/>
      <c r="S445" s="684"/>
      <c r="T445" s="1545"/>
      <c r="U445" s="684"/>
      <c r="V445" s="1545"/>
      <c r="W445" s="684"/>
      <c r="X445" s="1545"/>
      <c r="Y445" s="1545"/>
      <c r="Z445" s="1545"/>
      <c r="AA445" s="684"/>
      <c r="AB445" s="1545"/>
      <c r="AC445" s="684"/>
      <c r="AD445" s="684"/>
      <c r="AE445" s="684"/>
      <c r="AF445" s="684"/>
      <c r="AG445" s="684"/>
      <c r="AH445" s="684"/>
      <c r="AI445" s="684"/>
      <c r="AJ445" s="684"/>
      <c r="AK445" s="684"/>
      <c r="AL445" s="684"/>
      <c r="AM445" s="684"/>
      <c r="AN445" s="1545"/>
      <c r="AO445" s="1545"/>
      <c r="AP445" s="1545"/>
      <c r="AQ445" s="1545"/>
      <c r="AR445" s="1545"/>
      <c r="AS445" s="684"/>
      <c r="AT445" s="684"/>
      <c r="AU445" s="684"/>
      <c r="AV445" s="684"/>
      <c r="AW445" s="684"/>
      <c r="AX445" s="684"/>
      <c r="AY445" s="684"/>
      <c r="AZ445" s="684"/>
      <c r="BA445" s="684"/>
      <c r="BB445" s="677"/>
      <c r="BC445" s="684"/>
      <c r="BD445" s="677"/>
      <c r="BE445" s="684"/>
      <c r="BF445" s="677"/>
      <c r="BG445" s="684"/>
      <c r="BH445" s="13"/>
      <c r="BI445" s="684"/>
      <c r="BJ445" s="13"/>
      <c r="BK445" s="684"/>
      <c r="BL445" s="684"/>
      <c r="BM445" s="684"/>
      <c r="BN445" s="677"/>
      <c r="BO445" s="684"/>
      <c r="BP445" s="541"/>
      <c r="BQ445" s="633"/>
      <c r="BR445" s="541"/>
      <c r="BS445" s="541"/>
      <c r="BT445" s="541"/>
    </row>
    <row r="446" ht="15.75" customHeight="1">
      <c r="A446" s="1591"/>
      <c r="B446" s="1541"/>
      <c r="C446" s="2217"/>
      <c r="D446" s="1543"/>
      <c r="E446" s="906"/>
      <c r="F446" s="1545"/>
      <c r="G446" s="2250"/>
      <c r="H446" s="1545"/>
      <c r="I446" s="2250"/>
      <c r="J446" s="1545"/>
      <c r="K446" s="2250"/>
      <c r="L446" s="1545"/>
      <c r="M446" s="2250"/>
      <c r="N446" s="1545"/>
      <c r="O446" s="2250"/>
      <c r="P446" s="1545"/>
      <c r="Q446" s="2250"/>
      <c r="R446" s="1545"/>
      <c r="S446" s="684"/>
      <c r="T446" s="1545"/>
      <c r="U446" s="684"/>
      <c r="V446" s="1545"/>
      <c r="W446" s="684"/>
      <c r="X446" s="1545"/>
      <c r="Y446" s="1545"/>
      <c r="Z446" s="1545"/>
      <c r="AA446" s="684"/>
      <c r="AB446" s="1545"/>
      <c r="AC446" s="684"/>
      <c r="AD446" s="684"/>
      <c r="AE446" s="684"/>
      <c r="AF446" s="684"/>
      <c r="AG446" s="684"/>
      <c r="AH446" s="684"/>
      <c r="AI446" s="684"/>
      <c r="AJ446" s="684"/>
      <c r="AK446" s="684"/>
      <c r="AL446" s="684"/>
      <c r="AM446" s="684"/>
      <c r="AN446" s="1545"/>
      <c r="AO446" s="1545"/>
      <c r="AP446" s="1545"/>
      <c r="AQ446" s="1545"/>
      <c r="AR446" s="1545"/>
      <c r="AS446" s="684"/>
      <c r="AT446" s="684"/>
      <c r="AU446" s="684"/>
      <c r="AV446" s="684"/>
      <c r="AW446" s="684"/>
      <c r="AX446" s="684"/>
      <c r="AY446" s="684"/>
      <c r="AZ446" s="684"/>
      <c r="BA446" s="684"/>
      <c r="BB446" s="677"/>
      <c r="BC446" s="684"/>
      <c r="BD446" s="677"/>
      <c r="BE446" s="684"/>
      <c r="BF446" s="677"/>
      <c r="BG446" s="684"/>
      <c r="BH446" s="13"/>
      <c r="BI446" s="684"/>
      <c r="BJ446" s="13"/>
      <c r="BK446" s="684"/>
      <c r="BL446" s="684"/>
      <c r="BM446" s="684"/>
      <c r="BN446" s="677"/>
      <c r="BO446" s="684"/>
      <c r="BP446" s="541"/>
      <c r="BQ446" s="633"/>
      <c r="BR446" s="541"/>
      <c r="BS446" s="541"/>
      <c r="BT446" s="541"/>
    </row>
    <row r="447" ht="15.75" customHeight="1">
      <c r="A447" s="1591"/>
      <c r="B447" s="1541"/>
      <c r="C447" s="2217"/>
      <c r="D447" s="1543"/>
      <c r="E447" s="906"/>
      <c r="F447" s="1545"/>
      <c r="G447" s="2250"/>
      <c r="H447" s="1545"/>
      <c r="I447" s="2250"/>
      <c r="J447" s="1545"/>
      <c r="K447" s="2250"/>
      <c r="L447" s="1545"/>
      <c r="M447" s="2250"/>
      <c r="N447" s="1545"/>
      <c r="O447" s="2250"/>
      <c r="P447" s="1545"/>
      <c r="Q447" s="2250"/>
      <c r="R447" s="1545"/>
      <c r="S447" s="684"/>
      <c r="T447" s="1545"/>
      <c r="U447" s="684"/>
      <c r="V447" s="1545"/>
      <c r="W447" s="684"/>
      <c r="X447" s="1545"/>
      <c r="Y447" s="1545"/>
      <c r="Z447" s="1545"/>
      <c r="AA447" s="684"/>
      <c r="AB447" s="1545"/>
      <c r="AC447" s="684"/>
      <c r="AD447" s="684"/>
      <c r="AE447" s="684"/>
      <c r="AF447" s="684"/>
      <c r="AG447" s="684"/>
      <c r="AH447" s="684"/>
      <c r="AI447" s="684"/>
      <c r="AJ447" s="684"/>
      <c r="AK447" s="684"/>
      <c r="AL447" s="684"/>
      <c r="AM447" s="684"/>
      <c r="AN447" s="1545"/>
      <c r="AO447" s="1545"/>
      <c r="AP447" s="1545"/>
      <c r="AQ447" s="1545"/>
      <c r="AR447" s="1545"/>
      <c r="AS447" s="684"/>
      <c r="AT447" s="684"/>
      <c r="AU447" s="684"/>
      <c r="AV447" s="684"/>
      <c r="AW447" s="684"/>
      <c r="AX447" s="684"/>
      <c r="AY447" s="684"/>
      <c r="AZ447" s="684"/>
      <c r="BA447" s="684"/>
      <c r="BB447" s="677"/>
      <c r="BC447" s="684"/>
      <c r="BD447" s="677"/>
      <c r="BE447" s="684"/>
      <c r="BF447" s="677"/>
      <c r="BG447" s="684"/>
      <c r="BH447" s="13"/>
      <c r="BI447" s="684"/>
      <c r="BJ447" s="13"/>
      <c r="BK447" s="684"/>
      <c r="BL447" s="684"/>
      <c r="BM447" s="684"/>
      <c r="BN447" s="677"/>
      <c r="BO447" s="684"/>
      <c r="BP447" s="541"/>
      <c r="BQ447" s="633"/>
      <c r="BR447" s="541"/>
      <c r="BS447" s="541"/>
      <c r="BT447" s="541"/>
    </row>
    <row r="448" ht="15.75" customHeight="1">
      <c r="A448" s="1591"/>
      <c r="B448" s="1541"/>
      <c r="C448" s="2217"/>
      <c r="D448" s="1543"/>
      <c r="E448" s="906"/>
      <c r="F448" s="1545"/>
      <c r="G448" s="2250"/>
      <c r="H448" s="1545"/>
      <c r="I448" s="2250"/>
      <c r="J448" s="1545"/>
      <c r="K448" s="2250"/>
      <c r="L448" s="1545"/>
      <c r="M448" s="2250"/>
      <c r="N448" s="1545"/>
      <c r="O448" s="2250"/>
      <c r="P448" s="1545"/>
      <c r="Q448" s="2250"/>
      <c r="R448" s="1545"/>
      <c r="S448" s="684"/>
      <c r="T448" s="1545"/>
      <c r="U448" s="684"/>
      <c r="V448" s="1545"/>
      <c r="W448" s="684"/>
      <c r="X448" s="1545"/>
      <c r="Y448" s="1545"/>
      <c r="Z448" s="1545"/>
      <c r="AA448" s="684"/>
      <c r="AB448" s="1545"/>
      <c r="AC448" s="684"/>
      <c r="AD448" s="684"/>
      <c r="AE448" s="684"/>
      <c r="AF448" s="684"/>
      <c r="AG448" s="684"/>
      <c r="AH448" s="684"/>
      <c r="AI448" s="684"/>
      <c r="AJ448" s="684"/>
      <c r="AK448" s="684"/>
      <c r="AL448" s="684"/>
      <c r="AM448" s="684"/>
      <c r="AN448" s="1545"/>
      <c r="AO448" s="1545"/>
      <c r="AP448" s="1545"/>
      <c r="AQ448" s="1545"/>
      <c r="AR448" s="1545"/>
      <c r="AS448" s="684"/>
      <c r="AT448" s="684"/>
      <c r="AU448" s="684"/>
      <c r="AV448" s="684"/>
      <c r="AW448" s="684"/>
      <c r="AX448" s="684"/>
      <c r="AY448" s="684"/>
      <c r="AZ448" s="684"/>
      <c r="BA448" s="684"/>
      <c r="BB448" s="677"/>
      <c r="BC448" s="684"/>
      <c r="BD448" s="677"/>
      <c r="BE448" s="684"/>
      <c r="BF448" s="677"/>
      <c r="BG448" s="684"/>
      <c r="BH448" s="13"/>
      <c r="BI448" s="684"/>
      <c r="BJ448" s="13"/>
      <c r="BK448" s="684"/>
      <c r="BL448" s="684"/>
      <c r="BM448" s="684"/>
      <c r="BN448" s="677"/>
      <c r="BO448" s="684"/>
      <c r="BP448" s="541"/>
      <c r="BQ448" s="633"/>
      <c r="BR448" s="541"/>
      <c r="BS448" s="541"/>
      <c r="BT448" s="541"/>
    </row>
    <row r="449" ht="15.75" customHeight="1">
      <c r="A449" s="1591"/>
      <c r="B449" s="1541"/>
      <c r="C449" s="2217"/>
      <c r="D449" s="1543"/>
      <c r="E449" s="906"/>
      <c r="F449" s="1545"/>
      <c r="G449" s="2250"/>
      <c r="H449" s="1545"/>
      <c r="I449" s="2250"/>
      <c r="J449" s="1545"/>
      <c r="K449" s="2250"/>
      <c r="L449" s="1545"/>
      <c r="M449" s="2250"/>
      <c r="N449" s="1545"/>
      <c r="O449" s="2250"/>
      <c r="P449" s="1545"/>
      <c r="Q449" s="2250"/>
      <c r="R449" s="1545"/>
      <c r="S449" s="684"/>
      <c r="T449" s="1545"/>
      <c r="U449" s="684"/>
      <c r="V449" s="1545"/>
      <c r="W449" s="684"/>
      <c r="X449" s="1545"/>
      <c r="Y449" s="1545"/>
      <c r="Z449" s="1545"/>
      <c r="AA449" s="684"/>
      <c r="AB449" s="1545"/>
      <c r="AC449" s="684"/>
      <c r="AD449" s="684"/>
      <c r="AE449" s="684"/>
      <c r="AF449" s="684"/>
      <c r="AG449" s="684"/>
      <c r="AH449" s="684"/>
      <c r="AI449" s="684"/>
      <c r="AJ449" s="684"/>
      <c r="AK449" s="684"/>
      <c r="AL449" s="684"/>
      <c r="AM449" s="684"/>
      <c r="AN449" s="1545"/>
      <c r="AO449" s="1545"/>
      <c r="AP449" s="1545"/>
      <c r="AQ449" s="1545"/>
      <c r="AR449" s="1545"/>
      <c r="AS449" s="684"/>
      <c r="AT449" s="684"/>
      <c r="AU449" s="684"/>
      <c r="AV449" s="684"/>
      <c r="AW449" s="684"/>
      <c r="AX449" s="684"/>
      <c r="AY449" s="684"/>
      <c r="AZ449" s="684"/>
      <c r="BA449" s="684"/>
      <c r="BB449" s="677"/>
      <c r="BC449" s="684"/>
      <c r="BD449" s="677"/>
      <c r="BE449" s="684"/>
      <c r="BF449" s="677"/>
      <c r="BG449" s="684"/>
      <c r="BH449" s="13"/>
      <c r="BI449" s="684"/>
      <c r="BJ449" s="13"/>
      <c r="BK449" s="684"/>
      <c r="BL449" s="684"/>
      <c r="BM449" s="684"/>
      <c r="BN449" s="677"/>
      <c r="BO449" s="684"/>
      <c r="BP449" s="541"/>
      <c r="BQ449" s="633"/>
      <c r="BR449" s="541"/>
      <c r="BS449" s="541"/>
      <c r="BT449" s="541"/>
    </row>
    <row r="450" ht="15.75" customHeight="1">
      <c r="A450" s="1591"/>
      <c r="B450" s="1541"/>
      <c r="C450" s="2217"/>
      <c r="D450" s="1543"/>
      <c r="E450" s="906"/>
      <c r="F450" s="1545"/>
      <c r="G450" s="2250"/>
      <c r="H450" s="1545"/>
      <c r="I450" s="2250"/>
      <c r="J450" s="1545"/>
      <c r="K450" s="2250"/>
      <c r="L450" s="1545"/>
      <c r="M450" s="2250"/>
      <c r="N450" s="1545"/>
      <c r="O450" s="2250"/>
      <c r="P450" s="1545"/>
      <c r="Q450" s="2250"/>
      <c r="R450" s="1545"/>
      <c r="S450" s="684"/>
      <c r="T450" s="1545"/>
      <c r="U450" s="684"/>
      <c r="V450" s="1545"/>
      <c r="W450" s="684"/>
      <c r="X450" s="1545"/>
      <c r="Y450" s="1545"/>
      <c r="Z450" s="1545"/>
      <c r="AA450" s="684"/>
      <c r="AB450" s="1545"/>
      <c r="AC450" s="684"/>
      <c r="AD450" s="684"/>
      <c r="AE450" s="684"/>
      <c r="AF450" s="684"/>
      <c r="AG450" s="684"/>
      <c r="AH450" s="684"/>
      <c r="AI450" s="684"/>
      <c r="AJ450" s="684"/>
      <c r="AK450" s="684"/>
      <c r="AL450" s="684"/>
      <c r="AM450" s="684"/>
      <c r="AN450" s="1545"/>
      <c r="AO450" s="1545"/>
      <c r="AP450" s="1545"/>
      <c r="AQ450" s="1545"/>
      <c r="AR450" s="1545"/>
      <c r="AS450" s="684"/>
      <c r="AT450" s="684"/>
      <c r="AU450" s="684"/>
      <c r="AV450" s="684"/>
      <c r="AW450" s="684"/>
      <c r="AX450" s="684"/>
      <c r="AY450" s="684"/>
      <c r="AZ450" s="684"/>
      <c r="BA450" s="684"/>
      <c r="BB450" s="677"/>
      <c r="BC450" s="684"/>
      <c r="BD450" s="677"/>
      <c r="BE450" s="684"/>
      <c r="BF450" s="677"/>
      <c r="BG450" s="684"/>
      <c r="BH450" s="13"/>
      <c r="BI450" s="684"/>
      <c r="BJ450" s="13"/>
      <c r="BK450" s="684"/>
      <c r="BL450" s="684"/>
      <c r="BM450" s="684"/>
      <c r="BN450" s="677"/>
      <c r="BO450" s="684"/>
      <c r="BP450" s="541"/>
      <c r="BQ450" s="633"/>
      <c r="BR450" s="541"/>
      <c r="BS450" s="541"/>
      <c r="BT450" s="541"/>
    </row>
    <row r="451" ht="15.75" customHeight="1">
      <c r="A451" s="1591"/>
      <c r="B451" s="1541"/>
      <c r="C451" s="2217"/>
      <c r="D451" s="1543"/>
      <c r="E451" s="906"/>
      <c r="F451" s="1545"/>
      <c r="G451" s="2250"/>
      <c r="H451" s="1545"/>
      <c r="I451" s="2250"/>
      <c r="J451" s="1545"/>
      <c r="K451" s="2250"/>
      <c r="L451" s="1545"/>
      <c r="M451" s="2250"/>
      <c r="N451" s="1545"/>
      <c r="O451" s="2250"/>
      <c r="P451" s="1545"/>
      <c r="Q451" s="2250"/>
      <c r="R451" s="1545"/>
      <c r="S451" s="684"/>
      <c r="T451" s="1545"/>
      <c r="U451" s="684"/>
      <c r="V451" s="1545"/>
      <c r="W451" s="684"/>
      <c r="X451" s="1545"/>
      <c r="Y451" s="1545"/>
      <c r="Z451" s="1545"/>
      <c r="AA451" s="684"/>
      <c r="AB451" s="1545"/>
      <c r="AC451" s="684"/>
      <c r="AD451" s="684"/>
      <c r="AE451" s="684"/>
      <c r="AF451" s="684"/>
      <c r="AG451" s="684"/>
      <c r="AH451" s="684"/>
      <c r="AI451" s="684"/>
      <c r="AJ451" s="684"/>
      <c r="AK451" s="684"/>
      <c r="AL451" s="684"/>
      <c r="AM451" s="684"/>
      <c r="AN451" s="1545"/>
      <c r="AO451" s="1545"/>
      <c r="AP451" s="1545"/>
      <c r="AQ451" s="1545"/>
      <c r="AR451" s="1545"/>
      <c r="AS451" s="684"/>
      <c r="AT451" s="684"/>
      <c r="AU451" s="684"/>
      <c r="AV451" s="684"/>
      <c r="AW451" s="684"/>
      <c r="AX451" s="684"/>
      <c r="AY451" s="684"/>
      <c r="AZ451" s="684"/>
      <c r="BA451" s="684"/>
      <c r="BB451" s="677"/>
      <c r="BC451" s="684"/>
      <c r="BD451" s="677"/>
      <c r="BE451" s="684"/>
      <c r="BF451" s="677"/>
      <c r="BG451" s="684"/>
      <c r="BH451" s="13"/>
      <c r="BI451" s="684"/>
      <c r="BJ451" s="13"/>
      <c r="BK451" s="684"/>
      <c r="BL451" s="684"/>
      <c r="BM451" s="684"/>
      <c r="BN451" s="677"/>
      <c r="BO451" s="684"/>
      <c r="BP451" s="541"/>
      <c r="BQ451" s="633"/>
      <c r="BR451" s="541"/>
      <c r="BS451" s="541"/>
      <c r="BT451" s="541"/>
    </row>
    <row r="452" ht="15.75" customHeight="1">
      <c r="A452" s="1591"/>
      <c r="B452" s="1541"/>
      <c r="C452" s="2217"/>
      <c r="D452" s="1543"/>
      <c r="E452" s="906"/>
      <c r="F452" s="1545"/>
      <c r="G452" s="2250"/>
      <c r="H452" s="1545"/>
      <c r="I452" s="2250"/>
      <c r="J452" s="1545"/>
      <c r="K452" s="2250"/>
      <c r="L452" s="1545"/>
      <c r="M452" s="2250"/>
      <c r="N452" s="1545"/>
      <c r="O452" s="2250"/>
      <c r="P452" s="1545"/>
      <c r="Q452" s="2250"/>
      <c r="R452" s="1545"/>
      <c r="S452" s="684"/>
      <c r="T452" s="1545"/>
      <c r="U452" s="684"/>
      <c r="V452" s="1545"/>
      <c r="W452" s="684"/>
      <c r="X452" s="1545"/>
      <c r="Y452" s="1545"/>
      <c r="Z452" s="1545"/>
      <c r="AA452" s="684"/>
      <c r="AB452" s="1545"/>
      <c r="AC452" s="684"/>
      <c r="AD452" s="684"/>
      <c r="AE452" s="684"/>
      <c r="AF452" s="684"/>
      <c r="AG452" s="684"/>
      <c r="AH452" s="684"/>
      <c r="AI452" s="684"/>
      <c r="AJ452" s="684"/>
      <c r="AK452" s="684"/>
      <c r="AL452" s="684"/>
      <c r="AM452" s="684"/>
      <c r="AN452" s="1545"/>
      <c r="AO452" s="1545"/>
      <c r="AP452" s="1545"/>
      <c r="AQ452" s="1545"/>
      <c r="AR452" s="1545"/>
      <c r="AS452" s="684"/>
      <c r="AT452" s="684"/>
      <c r="AU452" s="684"/>
      <c r="AV452" s="684"/>
      <c r="AW452" s="684"/>
      <c r="AX452" s="684"/>
      <c r="AY452" s="684"/>
      <c r="AZ452" s="684"/>
      <c r="BA452" s="684"/>
      <c r="BB452" s="677"/>
      <c r="BC452" s="684"/>
      <c r="BD452" s="677"/>
      <c r="BE452" s="684"/>
      <c r="BF452" s="677"/>
      <c r="BG452" s="684"/>
      <c r="BH452" s="13"/>
      <c r="BI452" s="684"/>
      <c r="BJ452" s="13"/>
      <c r="BK452" s="684"/>
      <c r="BL452" s="684"/>
      <c r="BM452" s="684"/>
      <c r="BN452" s="677"/>
      <c r="BO452" s="684"/>
      <c r="BP452" s="541"/>
      <c r="BQ452" s="633"/>
      <c r="BR452" s="541"/>
      <c r="BS452" s="541"/>
      <c r="BT452" s="541"/>
    </row>
    <row r="453" ht="15.75" customHeight="1">
      <c r="A453" s="1591"/>
      <c r="B453" s="1541"/>
      <c r="C453" s="2217"/>
      <c r="D453" s="1543"/>
      <c r="E453" s="906"/>
      <c r="F453" s="1545"/>
      <c r="G453" s="2250"/>
      <c r="H453" s="1545"/>
      <c r="I453" s="2250"/>
      <c r="J453" s="1545"/>
      <c r="K453" s="2250"/>
      <c r="L453" s="1545"/>
      <c r="M453" s="2250"/>
      <c r="N453" s="1545"/>
      <c r="O453" s="2250"/>
      <c r="P453" s="1545"/>
      <c r="Q453" s="2250"/>
      <c r="R453" s="1545"/>
      <c r="S453" s="684"/>
      <c r="T453" s="1545"/>
      <c r="U453" s="684"/>
      <c r="V453" s="1545"/>
      <c r="W453" s="684"/>
      <c r="X453" s="1545"/>
      <c r="Y453" s="1545"/>
      <c r="Z453" s="1545"/>
      <c r="AA453" s="684"/>
      <c r="AB453" s="1545"/>
      <c r="AC453" s="684"/>
      <c r="AD453" s="684"/>
      <c r="AE453" s="684"/>
      <c r="AF453" s="684"/>
      <c r="AG453" s="684"/>
      <c r="AH453" s="684"/>
      <c r="AI453" s="684"/>
      <c r="AJ453" s="684"/>
      <c r="AK453" s="684"/>
      <c r="AL453" s="684"/>
      <c r="AM453" s="684"/>
      <c r="AN453" s="1545"/>
      <c r="AO453" s="1545"/>
      <c r="AP453" s="1545"/>
      <c r="AQ453" s="1545"/>
      <c r="AR453" s="1545"/>
      <c r="AS453" s="684"/>
      <c r="AT453" s="684"/>
      <c r="AU453" s="684"/>
      <c r="AV453" s="684"/>
      <c r="AW453" s="684"/>
      <c r="AX453" s="684"/>
      <c r="AY453" s="684"/>
      <c r="AZ453" s="684"/>
      <c r="BA453" s="684"/>
      <c r="BB453" s="677"/>
      <c r="BC453" s="684"/>
      <c r="BD453" s="677"/>
      <c r="BE453" s="684"/>
      <c r="BF453" s="677"/>
      <c r="BG453" s="684"/>
      <c r="BH453" s="13"/>
      <c r="BI453" s="684"/>
      <c r="BJ453" s="13"/>
      <c r="BK453" s="684"/>
      <c r="BL453" s="684"/>
      <c r="BM453" s="684"/>
      <c r="BN453" s="677"/>
      <c r="BO453" s="684"/>
      <c r="BP453" s="541"/>
      <c r="BQ453" s="633"/>
      <c r="BR453" s="541"/>
      <c r="BS453" s="541"/>
      <c r="BT453" s="541"/>
    </row>
    <row r="454" ht="15.75" customHeight="1">
      <c r="A454" s="1591"/>
      <c r="B454" s="1541"/>
      <c r="C454" s="2217"/>
      <c r="D454" s="1543"/>
      <c r="E454" s="906"/>
      <c r="F454" s="1545"/>
      <c r="G454" s="2250"/>
      <c r="H454" s="1545"/>
      <c r="I454" s="2250"/>
      <c r="J454" s="1545"/>
      <c r="K454" s="2250"/>
      <c r="L454" s="1545"/>
      <c r="M454" s="2250"/>
      <c r="N454" s="1545"/>
      <c r="O454" s="2250"/>
      <c r="P454" s="1545"/>
      <c r="Q454" s="2250"/>
      <c r="R454" s="1545"/>
      <c r="S454" s="684"/>
      <c r="T454" s="1545"/>
      <c r="U454" s="684"/>
      <c r="V454" s="1545"/>
      <c r="W454" s="684"/>
      <c r="X454" s="1545"/>
      <c r="Y454" s="1545"/>
      <c r="Z454" s="1545"/>
      <c r="AA454" s="684"/>
      <c r="AB454" s="1545"/>
      <c r="AC454" s="684"/>
      <c r="AD454" s="684"/>
      <c r="AE454" s="684"/>
      <c r="AF454" s="684"/>
      <c r="AG454" s="684"/>
      <c r="AH454" s="684"/>
      <c r="AI454" s="684"/>
      <c r="AJ454" s="684"/>
      <c r="AK454" s="684"/>
      <c r="AL454" s="684"/>
      <c r="AM454" s="684"/>
      <c r="AN454" s="1545"/>
      <c r="AO454" s="1545"/>
      <c r="AP454" s="1545"/>
      <c r="AQ454" s="1545"/>
      <c r="AR454" s="1545"/>
      <c r="AS454" s="684"/>
      <c r="AT454" s="684"/>
      <c r="AU454" s="684"/>
      <c r="AV454" s="684"/>
      <c r="AW454" s="684"/>
      <c r="AX454" s="684"/>
      <c r="AY454" s="684"/>
      <c r="AZ454" s="684"/>
      <c r="BA454" s="684"/>
      <c r="BB454" s="677"/>
      <c r="BC454" s="684"/>
      <c r="BD454" s="677"/>
      <c r="BE454" s="684"/>
      <c r="BF454" s="677"/>
      <c r="BG454" s="684"/>
      <c r="BH454" s="13"/>
      <c r="BI454" s="684"/>
      <c r="BJ454" s="13"/>
      <c r="BK454" s="684"/>
      <c r="BL454" s="684"/>
      <c r="BM454" s="684"/>
      <c r="BN454" s="677"/>
      <c r="BO454" s="684"/>
      <c r="BP454" s="541"/>
      <c r="BQ454" s="633"/>
      <c r="BR454" s="541"/>
      <c r="BS454" s="541"/>
      <c r="BT454" s="541"/>
    </row>
    <row r="455" ht="15.75" customHeight="1">
      <c r="A455" s="1591"/>
      <c r="B455" s="1541"/>
      <c r="C455" s="2217"/>
      <c r="D455" s="1543"/>
      <c r="E455" s="906"/>
      <c r="F455" s="1545"/>
      <c r="G455" s="2250"/>
      <c r="H455" s="1545"/>
      <c r="I455" s="2250"/>
      <c r="J455" s="1545"/>
      <c r="K455" s="2250"/>
      <c r="L455" s="1545"/>
      <c r="M455" s="2250"/>
      <c r="N455" s="1545"/>
      <c r="O455" s="2250"/>
      <c r="P455" s="1545"/>
      <c r="Q455" s="2250"/>
      <c r="R455" s="1545"/>
      <c r="S455" s="684"/>
      <c r="T455" s="1545"/>
      <c r="U455" s="684"/>
      <c r="V455" s="1545"/>
      <c r="W455" s="684"/>
      <c r="X455" s="1545"/>
      <c r="Y455" s="1545"/>
      <c r="Z455" s="1545"/>
      <c r="AA455" s="684"/>
      <c r="AB455" s="1545"/>
      <c r="AC455" s="684"/>
      <c r="AD455" s="684"/>
      <c r="AE455" s="684"/>
      <c r="AF455" s="684"/>
      <c r="AG455" s="684"/>
      <c r="AH455" s="684"/>
      <c r="AI455" s="684"/>
      <c r="AJ455" s="684"/>
      <c r="AK455" s="684"/>
      <c r="AL455" s="684"/>
      <c r="AM455" s="684"/>
      <c r="AN455" s="1545"/>
      <c r="AO455" s="1545"/>
      <c r="AP455" s="1545"/>
      <c r="AQ455" s="1545"/>
      <c r="AR455" s="1545"/>
      <c r="AS455" s="684"/>
      <c r="AT455" s="684"/>
      <c r="AU455" s="684"/>
      <c r="AV455" s="684"/>
      <c r="AW455" s="684"/>
      <c r="AX455" s="684"/>
      <c r="AY455" s="684"/>
      <c r="AZ455" s="684"/>
      <c r="BA455" s="684"/>
      <c r="BB455" s="677"/>
      <c r="BC455" s="684"/>
      <c r="BD455" s="677"/>
      <c r="BE455" s="684"/>
      <c r="BF455" s="677"/>
      <c r="BG455" s="684"/>
      <c r="BH455" s="13"/>
      <c r="BI455" s="684"/>
      <c r="BJ455" s="13"/>
      <c r="BK455" s="684"/>
      <c r="BL455" s="684"/>
      <c r="BM455" s="684"/>
      <c r="BN455" s="677"/>
      <c r="BO455" s="684"/>
      <c r="BP455" s="541"/>
      <c r="BQ455" s="633"/>
      <c r="BR455" s="541"/>
      <c r="BS455" s="541"/>
      <c r="BT455" s="541"/>
    </row>
    <row r="456" ht="15.75" customHeight="1">
      <c r="A456" s="1591"/>
      <c r="B456" s="1541"/>
      <c r="C456" s="2217"/>
      <c r="D456" s="1543"/>
      <c r="E456" s="906"/>
      <c r="F456" s="1545"/>
      <c r="G456" s="2250"/>
      <c r="H456" s="1545"/>
      <c r="I456" s="2250"/>
      <c r="J456" s="1545"/>
      <c r="K456" s="2250"/>
      <c r="L456" s="1545"/>
      <c r="M456" s="2250"/>
      <c r="N456" s="1545"/>
      <c r="O456" s="2250"/>
      <c r="P456" s="1545"/>
      <c r="Q456" s="2250"/>
      <c r="R456" s="1545"/>
      <c r="S456" s="684"/>
      <c r="T456" s="1545"/>
      <c r="U456" s="684"/>
      <c r="V456" s="1545"/>
      <c r="W456" s="684"/>
      <c r="X456" s="1545"/>
      <c r="Y456" s="1545"/>
      <c r="Z456" s="1545"/>
      <c r="AA456" s="684"/>
      <c r="AB456" s="1545"/>
      <c r="AC456" s="684"/>
      <c r="AD456" s="684"/>
      <c r="AE456" s="684"/>
      <c r="AF456" s="684"/>
      <c r="AG456" s="684"/>
      <c r="AH456" s="684"/>
      <c r="AI456" s="684"/>
      <c r="AJ456" s="684"/>
      <c r="AK456" s="684"/>
      <c r="AL456" s="684"/>
      <c r="AM456" s="684"/>
      <c r="AN456" s="1545"/>
      <c r="AO456" s="1545"/>
      <c r="AP456" s="1545"/>
      <c r="AQ456" s="1545"/>
      <c r="AR456" s="1545"/>
      <c r="AS456" s="684"/>
      <c r="AT456" s="684"/>
      <c r="AU456" s="684"/>
      <c r="AV456" s="684"/>
      <c r="AW456" s="684"/>
      <c r="AX456" s="684"/>
      <c r="AY456" s="684"/>
      <c r="AZ456" s="684"/>
      <c r="BA456" s="684"/>
      <c r="BB456" s="677"/>
      <c r="BC456" s="684"/>
      <c r="BD456" s="677"/>
      <c r="BE456" s="684"/>
      <c r="BF456" s="677"/>
      <c r="BG456" s="684"/>
      <c r="BH456" s="13"/>
      <c r="BI456" s="684"/>
      <c r="BJ456" s="13"/>
      <c r="BK456" s="684"/>
      <c r="BL456" s="684"/>
      <c r="BM456" s="684"/>
      <c r="BN456" s="677"/>
      <c r="BO456" s="684"/>
      <c r="BP456" s="541"/>
      <c r="BQ456" s="633"/>
      <c r="BR456" s="541"/>
      <c r="BS456" s="541"/>
      <c r="BT456" s="541"/>
    </row>
    <row r="457" ht="15.75" customHeight="1">
      <c r="A457" s="1591"/>
      <c r="B457" s="1541"/>
      <c r="C457" s="2217"/>
      <c r="D457" s="1543"/>
      <c r="E457" s="906"/>
      <c r="F457" s="1545"/>
      <c r="G457" s="2250"/>
      <c r="H457" s="1545"/>
      <c r="I457" s="2250"/>
      <c r="J457" s="1545"/>
      <c r="K457" s="2250"/>
      <c r="L457" s="1545"/>
      <c r="M457" s="2250"/>
      <c r="N457" s="1545"/>
      <c r="O457" s="2250"/>
      <c r="P457" s="1545"/>
      <c r="Q457" s="2250"/>
      <c r="R457" s="1545"/>
      <c r="S457" s="684"/>
      <c r="T457" s="1545"/>
      <c r="U457" s="684"/>
      <c r="V457" s="1545"/>
      <c r="W457" s="684"/>
      <c r="X457" s="1545"/>
      <c r="Y457" s="1545"/>
      <c r="Z457" s="1545"/>
      <c r="AA457" s="684"/>
      <c r="AB457" s="1545"/>
      <c r="AC457" s="684"/>
      <c r="AD457" s="684"/>
      <c r="AE457" s="684"/>
      <c r="AF457" s="684"/>
      <c r="AG457" s="684"/>
      <c r="AH457" s="684"/>
      <c r="AI457" s="684"/>
      <c r="AJ457" s="684"/>
      <c r="AK457" s="684"/>
      <c r="AL457" s="684"/>
      <c r="AM457" s="684"/>
      <c r="AN457" s="1545"/>
      <c r="AO457" s="1545"/>
      <c r="AP457" s="1545"/>
      <c r="AQ457" s="1545"/>
      <c r="AR457" s="1545"/>
      <c r="AS457" s="684"/>
      <c r="AT457" s="684"/>
      <c r="AU457" s="684"/>
      <c r="AV457" s="684"/>
      <c r="AW457" s="684"/>
      <c r="AX457" s="684"/>
      <c r="AY457" s="684"/>
      <c r="AZ457" s="684"/>
      <c r="BA457" s="684"/>
      <c r="BB457" s="677"/>
      <c r="BC457" s="684"/>
      <c r="BD457" s="677"/>
      <c r="BE457" s="684"/>
      <c r="BF457" s="677"/>
      <c r="BG457" s="684"/>
      <c r="BH457" s="13"/>
      <c r="BI457" s="684"/>
      <c r="BJ457" s="13"/>
      <c r="BK457" s="684"/>
      <c r="BL457" s="684"/>
      <c r="BM457" s="684"/>
      <c r="BN457" s="677"/>
      <c r="BO457" s="684"/>
      <c r="BP457" s="541"/>
      <c r="BQ457" s="633"/>
      <c r="BR457" s="541"/>
      <c r="BS457" s="541"/>
      <c r="BT457" s="541"/>
    </row>
    <row r="458" ht="15.75" customHeight="1">
      <c r="A458" s="1591"/>
      <c r="B458" s="1541"/>
      <c r="C458" s="2217"/>
      <c r="D458" s="1543"/>
      <c r="E458" s="906"/>
      <c r="F458" s="1545"/>
      <c r="G458" s="2250"/>
      <c r="H458" s="1545"/>
      <c r="I458" s="2250"/>
      <c r="J458" s="1545"/>
      <c r="K458" s="2250"/>
      <c r="L458" s="1545"/>
      <c r="M458" s="2250"/>
      <c r="N458" s="1545"/>
      <c r="O458" s="2250"/>
      <c r="P458" s="1545"/>
      <c r="Q458" s="2250"/>
      <c r="R458" s="1545"/>
      <c r="S458" s="684"/>
      <c r="T458" s="1545"/>
      <c r="U458" s="684"/>
      <c r="V458" s="1545"/>
      <c r="W458" s="684"/>
      <c r="X458" s="1545"/>
      <c r="Y458" s="1545"/>
      <c r="Z458" s="1545"/>
      <c r="AA458" s="684"/>
      <c r="AB458" s="1545"/>
      <c r="AC458" s="684"/>
      <c r="AD458" s="684"/>
      <c r="AE458" s="684"/>
      <c r="AF458" s="684"/>
      <c r="AG458" s="684"/>
      <c r="AH458" s="684"/>
      <c r="AI458" s="684"/>
      <c r="AJ458" s="684"/>
      <c r="AK458" s="684"/>
      <c r="AL458" s="684"/>
      <c r="AM458" s="684"/>
      <c r="AN458" s="1545"/>
      <c r="AO458" s="1545"/>
      <c r="AP458" s="1545"/>
      <c r="AQ458" s="1545"/>
      <c r="AR458" s="1545"/>
      <c r="AS458" s="684"/>
      <c r="AT458" s="684"/>
      <c r="AU458" s="684"/>
      <c r="AV458" s="684"/>
      <c r="AW458" s="684"/>
      <c r="AX458" s="684"/>
      <c r="AY458" s="684"/>
      <c r="AZ458" s="684"/>
      <c r="BA458" s="684"/>
      <c r="BB458" s="677"/>
      <c r="BC458" s="684"/>
      <c r="BD458" s="677"/>
      <c r="BE458" s="684"/>
      <c r="BF458" s="677"/>
      <c r="BG458" s="684"/>
      <c r="BH458" s="13"/>
      <c r="BI458" s="684"/>
      <c r="BJ458" s="13"/>
      <c r="BK458" s="684"/>
      <c r="BL458" s="684"/>
      <c r="BM458" s="684"/>
      <c r="BN458" s="677"/>
      <c r="BO458" s="684"/>
      <c r="BP458" s="541"/>
      <c r="BQ458" s="633"/>
      <c r="BR458" s="541"/>
      <c r="BS458" s="541"/>
      <c r="BT458" s="541"/>
    </row>
    <row r="459" ht="15.75" customHeight="1">
      <c r="A459" s="1591"/>
      <c r="B459" s="1541"/>
      <c r="C459" s="2217"/>
      <c r="D459" s="1543"/>
      <c r="E459" s="906"/>
      <c r="F459" s="1545"/>
      <c r="G459" s="2250"/>
      <c r="H459" s="1545"/>
      <c r="I459" s="2250"/>
      <c r="J459" s="1545"/>
      <c r="K459" s="2250"/>
      <c r="L459" s="1545"/>
      <c r="M459" s="2250"/>
      <c r="N459" s="1545"/>
      <c r="O459" s="2250"/>
      <c r="P459" s="1545"/>
      <c r="Q459" s="2250"/>
      <c r="R459" s="1545"/>
      <c r="S459" s="684"/>
      <c r="T459" s="1545"/>
      <c r="U459" s="684"/>
      <c r="V459" s="1545"/>
      <c r="W459" s="684"/>
      <c r="X459" s="1545"/>
      <c r="Y459" s="1545"/>
      <c r="Z459" s="1545"/>
      <c r="AA459" s="684"/>
      <c r="AB459" s="1545"/>
      <c r="AC459" s="684"/>
      <c r="AD459" s="684"/>
      <c r="AE459" s="684"/>
      <c r="AF459" s="684"/>
      <c r="AG459" s="684"/>
      <c r="AH459" s="684"/>
      <c r="AI459" s="684"/>
      <c r="AJ459" s="684"/>
      <c r="AK459" s="684"/>
      <c r="AL459" s="684"/>
      <c r="AM459" s="684"/>
      <c r="AN459" s="1545"/>
      <c r="AO459" s="1545"/>
      <c r="AP459" s="1545"/>
      <c r="AQ459" s="1545"/>
      <c r="AR459" s="1545"/>
      <c r="AS459" s="684"/>
      <c r="AT459" s="684"/>
      <c r="AU459" s="684"/>
      <c r="AV459" s="684"/>
      <c r="AW459" s="684"/>
      <c r="AX459" s="684"/>
      <c r="AY459" s="684"/>
      <c r="AZ459" s="684"/>
      <c r="BA459" s="684"/>
      <c r="BB459" s="677"/>
      <c r="BC459" s="684"/>
      <c r="BD459" s="677"/>
      <c r="BE459" s="684"/>
      <c r="BF459" s="677"/>
      <c r="BG459" s="684"/>
      <c r="BH459" s="13"/>
      <c r="BI459" s="684"/>
      <c r="BJ459" s="13"/>
      <c r="BK459" s="684"/>
      <c r="BL459" s="684"/>
      <c r="BM459" s="684"/>
      <c r="BN459" s="677"/>
      <c r="BO459" s="684"/>
      <c r="BP459" s="541"/>
      <c r="BQ459" s="633"/>
      <c r="BR459" s="541"/>
      <c r="BS459" s="541"/>
      <c r="BT459" s="541"/>
    </row>
    <row r="460" ht="15.75" customHeight="1">
      <c r="A460" s="1591"/>
      <c r="B460" s="1541"/>
      <c r="C460" s="2217"/>
      <c r="D460" s="1543"/>
      <c r="E460" s="906"/>
      <c r="F460" s="1545"/>
      <c r="G460" s="2250"/>
      <c r="H460" s="1545"/>
      <c r="I460" s="2250"/>
      <c r="J460" s="1545"/>
      <c r="K460" s="2250"/>
      <c r="L460" s="1545"/>
      <c r="M460" s="2250"/>
      <c r="N460" s="1545"/>
      <c r="O460" s="2250"/>
      <c r="P460" s="1545"/>
      <c r="Q460" s="2250"/>
      <c r="R460" s="1545"/>
      <c r="S460" s="684"/>
      <c r="T460" s="1545"/>
      <c r="U460" s="684"/>
      <c r="V460" s="1545"/>
      <c r="W460" s="684"/>
      <c r="X460" s="1545"/>
      <c r="Y460" s="1545"/>
      <c r="Z460" s="1545"/>
      <c r="AA460" s="684"/>
      <c r="AB460" s="1545"/>
      <c r="AC460" s="684"/>
      <c r="AD460" s="684"/>
      <c r="AE460" s="684"/>
      <c r="AF460" s="684"/>
      <c r="AG460" s="684"/>
      <c r="AH460" s="684"/>
      <c r="AI460" s="684"/>
      <c r="AJ460" s="684"/>
      <c r="AK460" s="684"/>
      <c r="AL460" s="684"/>
      <c r="AM460" s="684"/>
      <c r="AN460" s="1545"/>
      <c r="AO460" s="1545"/>
      <c r="AP460" s="1545"/>
      <c r="AQ460" s="1545"/>
      <c r="AR460" s="1545"/>
      <c r="AS460" s="684"/>
      <c r="AT460" s="684"/>
      <c r="AU460" s="684"/>
      <c r="AV460" s="684"/>
      <c r="AW460" s="684"/>
      <c r="AX460" s="684"/>
      <c r="AY460" s="684"/>
      <c r="AZ460" s="684"/>
      <c r="BA460" s="684"/>
      <c r="BB460" s="677"/>
      <c r="BC460" s="684"/>
      <c r="BD460" s="677"/>
      <c r="BE460" s="684"/>
      <c r="BF460" s="677"/>
      <c r="BG460" s="684"/>
      <c r="BH460" s="13"/>
      <c r="BI460" s="684"/>
      <c r="BJ460" s="13"/>
      <c r="BK460" s="684"/>
      <c r="BL460" s="684"/>
      <c r="BM460" s="684"/>
      <c r="BN460" s="677"/>
      <c r="BO460" s="684"/>
      <c r="BP460" s="541"/>
      <c r="BQ460" s="633"/>
      <c r="BR460" s="541"/>
      <c r="BS460" s="541"/>
      <c r="BT460" s="541"/>
    </row>
    <row r="461" ht="15.75" customHeight="1">
      <c r="A461" s="1591"/>
      <c r="B461" s="1541"/>
      <c r="C461" s="2217"/>
      <c r="D461" s="1543"/>
      <c r="E461" s="906"/>
      <c r="F461" s="1545"/>
      <c r="G461" s="2250"/>
      <c r="H461" s="1545"/>
      <c r="I461" s="2250"/>
      <c r="J461" s="1545"/>
      <c r="K461" s="2250"/>
      <c r="L461" s="1545"/>
      <c r="M461" s="2250"/>
      <c r="N461" s="1545"/>
      <c r="O461" s="2250"/>
      <c r="P461" s="1545"/>
      <c r="Q461" s="2250"/>
      <c r="R461" s="1545"/>
      <c r="S461" s="684"/>
      <c r="T461" s="1545"/>
      <c r="U461" s="684"/>
      <c r="V461" s="1545"/>
      <c r="W461" s="684"/>
      <c r="X461" s="1545"/>
      <c r="Y461" s="1545"/>
      <c r="Z461" s="1545"/>
      <c r="AA461" s="684"/>
      <c r="AB461" s="1545"/>
      <c r="AC461" s="684"/>
      <c r="AD461" s="684"/>
      <c r="AE461" s="684"/>
      <c r="AF461" s="684"/>
      <c r="AG461" s="684"/>
      <c r="AH461" s="684"/>
      <c r="AI461" s="684"/>
      <c r="AJ461" s="684"/>
      <c r="AK461" s="684"/>
      <c r="AL461" s="684"/>
      <c r="AM461" s="684"/>
      <c r="AN461" s="1545"/>
      <c r="AO461" s="1545"/>
      <c r="AP461" s="1545"/>
      <c r="AQ461" s="1545"/>
      <c r="AR461" s="1545"/>
      <c r="AS461" s="684"/>
      <c r="AT461" s="684"/>
      <c r="AU461" s="684"/>
      <c r="AV461" s="684"/>
      <c r="AW461" s="684"/>
      <c r="AX461" s="684"/>
      <c r="AY461" s="684"/>
      <c r="AZ461" s="684"/>
      <c r="BA461" s="684"/>
      <c r="BB461" s="677"/>
      <c r="BC461" s="684"/>
      <c r="BD461" s="677"/>
      <c r="BE461" s="684"/>
      <c r="BF461" s="677"/>
      <c r="BG461" s="684"/>
      <c r="BH461" s="13"/>
      <c r="BI461" s="684"/>
      <c r="BJ461" s="13"/>
      <c r="BK461" s="684"/>
      <c r="BL461" s="684"/>
      <c r="BM461" s="684"/>
      <c r="BN461" s="677"/>
      <c r="BO461" s="684"/>
      <c r="BP461" s="541"/>
      <c r="BQ461" s="633"/>
      <c r="BR461" s="541"/>
      <c r="BS461" s="541"/>
      <c r="BT461" s="541"/>
    </row>
    <row r="462" ht="15.75" customHeight="1">
      <c r="A462" s="1591"/>
      <c r="B462" s="1541"/>
      <c r="C462" s="2217"/>
      <c r="D462" s="1543"/>
      <c r="E462" s="906"/>
      <c r="F462" s="1545"/>
      <c r="G462" s="2250"/>
      <c r="H462" s="1545"/>
      <c r="I462" s="2250"/>
      <c r="J462" s="1545"/>
      <c r="K462" s="2250"/>
      <c r="L462" s="1545"/>
      <c r="M462" s="2250"/>
      <c r="N462" s="1545"/>
      <c r="O462" s="2250"/>
      <c r="P462" s="1545"/>
      <c r="Q462" s="2250"/>
      <c r="R462" s="1545"/>
      <c r="S462" s="684"/>
      <c r="T462" s="1545"/>
      <c r="U462" s="684"/>
      <c r="V462" s="1545"/>
      <c r="W462" s="684"/>
      <c r="X462" s="1545"/>
      <c r="Y462" s="1545"/>
      <c r="Z462" s="1545"/>
      <c r="AA462" s="684"/>
      <c r="AB462" s="1545"/>
      <c r="AC462" s="684"/>
      <c r="AD462" s="684"/>
      <c r="AE462" s="684"/>
      <c r="AF462" s="684"/>
      <c r="AG462" s="684"/>
      <c r="AH462" s="684"/>
      <c r="AI462" s="684"/>
      <c r="AJ462" s="684"/>
      <c r="AK462" s="684"/>
      <c r="AL462" s="684"/>
      <c r="AM462" s="684"/>
      <c r="AN462" s="1545"/>
      <c r="AO462" s="1545"/>
      <c r="AP462" s="1545"/>
      <c r="AQ462" s="1545"/>
      <c r="AR462" s="1545"/>
      <c r="AS462" s="684"/>
      <c r="AT462" s="684"/>
      <c r="AU462" s="684"/>
      <c r="AV462" s="684"/>
      <c r="AW462" s="684"/>
      <c r="AX462" s="684"/>
      <c r="AY462" s="684"/>
      <c r="AZ462" s="684"/>
      <c r="BA462" s="684"/>
      <c r="BB462" s="677"/>
      <c r="BC462" s="684"/>
      <c r="BD462" s="677"/>
      <c r="BE462" s="684"/>
      <c r="BF462" s="677"/>
      <c r="BG462" s="684"/>
      <c r="BH462" s="13"/>
      <c r="BI462" s="684"/>
      <c r="BJ462" s="13"/>
      <c r="BK462" s="684"/>
      <c r="BL462" s="684"/>
      <c r="BM462" s="684"/>
      <c r="BN462" s="677"/>
      <c r="BO462" s="684"/>
      <c r="BP462" s="541"/>
      <c r="BQ462" s="633"/>
      <c r="BR462" s="541"/>
      <c r="BS462" s="541"/>
      <c r="BT462" s="541"/>
    </row>
    <row r="463" ht="15.75" customHeight="1">
      <c r="A463" s="1591"/>
      <c r="B463" s="1541"/>
      <c r="C463" s="2217"/>
      <c r="D463" s="1543"/>
      <c r="E463" s="906"/>
      <c r="F463" s="1545"/>
      <c r="G463" s="2250"/>
      <c r="H463" s="1545"/>
      <c r="I463" s="2250"/>
      <c r="J463" s="1545"/>
      <c r="K463" s="2250"/>
      <c r="L463" s="1545"/>
      <c r="M463" s="2250"/>
      <c r="N463" s="1545"/>
      <c r="O463" s="2250"/>
      <c r="P463" s="1545"/>
      <c r="Q463" s="2250"/>
      <c r="R463" s="1545"/>
      <c r="S463" s="684"/>
      <c r="T463" s="1545"/>
      <c r="U463" s="684"/>
      <c r="V463" s="1545"/>
      <c r="W463" s="684"/>
      <c r="X463" s="1545"/>
      <c r="Y463" s="1545"/>
      <c r="Z463" s="1545"/>
      <c r="AA463" s="684"/>
      <c r="AB463" s="1545"/>
      <c r="AC463" s="684"/>
      <c r="AD463" s="684"/>
      <c r="AE463" s="684"/>
      <c r="AF463" s="684"/>
      <c r="AG463" s="684"/>
      <c r="AH463" s="684"/>
      <c r="AI463" s="684"/>
      <c r="AJ463" s="684"/>
      <c r="AK463" s="684"/>
      <c r="AL463" s="684"/>
      <c r="AM463" s="684"/>
      <c r="AN463" s="1545"/>
      <c r="AO463" s="1545"/>
      <c r="AP463" s="1545"/>
      <c r="AQ463" s="1545"/>
      <c r="AR463" s="1545"/>
      <c r="AS463" s="684"/>
      <c r="AT463" s="684"/>
      <c r="AU463" s="684"/>
      <c r="AV463" s="684"/>
      <c r="AW463" s="684"/>
      <c r="AX463" s="684"/>
      <c r="AY463" s="684"/>
      <c r="AZ463" s="684"/>
      <c r="BA463" s="684"/>
      <c r="BB463" s="677"/>
      <c r="BC463" s="684"/>
      <c r="BD463" s="677"/>
      <c r="BE463" s="684"/>
      <c r="BF463" s="677"/>
      <c r="BG463" s="684"/>
      <c r="BH463" s="13"/>
      <c r="BI463" s="684"/>
      <c r="BJ463" s="13"/>
      <c r="BK463" s="684"/>
      <c r="BL463" s="684"/>
      <c r="BM463" s="684"/>
      <c r="BN463" s="677"/>
      <c r="BO463" s="684"/>
      <c r="BP463" s="541"/>
      <c r="BQ463" s="633"/>
      <c r="BR463" s="541"/>
      <c r="BS463" s="541"/>
      <c r="BT463" s="541"/>
    </row>
    <row r="464" ht="15.75" customHeight="1">
      <c r="A464" s="1591"/>
      <c r="B464" s="1541"/>
      <c r="C464" s="2217"/>
      <c r="D464" s="1543"/>
      <c r="E464" s="906"/>
      <c r="F464" s="1545"/>
      <c r="G464" s="2250"/>
      <c r="H464" s="1545"/>
      <c r="I464" s="2250"/>
      <c r="J464" s="1545"/>
      <c r="K464" s="2250"/>
      <c r="L464" s="1545"/>
      <c r="M464" s="2250"/>
      <c r="N464" s="1545"/>
      <c r="O464" s="2250"/>
      <c r="P464" s="1545"/>
      <c r="Q464" s="2250"/>
      <c r="R464" s="1545"/>
      <c r="S464" s="684"/>
      <c r="T464" s="1545"/>
      <c r="U464" s="684"/>
      <c r="V464" s="1545"/>
      <c r="W464" s="684"/>
      <c r="X464" s="1545"/>
      <c r="Y464" s="1545"/>
      <c r="Z464" s="1545"/>
      <c r="AA464" s="684"/>
      <c r="AB464" s="1545"/>
      <c r="AC464" s="684"/>
      <c r="AD464" s="684"/>
      <c r="AE464" s="684"/>
      <c r="AF464" s="684"/>
      <c r="AG464" s="684"/>
      <c r="AH464" s="684"/>
      <c r="AI464" s="684"/>
      <c r="AJ464" s="684"/>
      <c r="AK464" s="684"/>
      <c r="AL464" s="684"/>
      <c r="AM464" s="684"/>
      <c r="AN464" s="1545"/>
      <c r="AO464" s="1545"/>
      <c r="AP464" s="1545"/>
      <c r="AQ464" s="1545"/>
      <c r="AR464" s="1545"/>
      <c r="AS464" s="684"/>
      <c r="AT464" s="684"/>
      <c r="AU464" s="684"/>
      <c r="AV464" s="684"/>
      <c r="AW464" s="684"/>
      <c r="AX464" s="684"/>
      <c r="AY464" s="684"/>
      <c r="AZ464" s="684"/>
      <c r="BA464" s="684"/>
      <c r="BB464" s="677"/>
      <c r="BC464" s="684"/>
      <c r="BD464" s="677"/>
      <c r="BE464" s="684"/>
      <c r="BF464" s="677"/>
      <c r="BG464" s="684"/>
      <c r="BH464" s="13"/>
      <c r="BI464" s="684"/>
      <c r="BJ464" s="13"/>
      <c r="BK464" s="684"/>
      <c r="BL464" s="684"/>
      <c r="BM464" s="684"/>
      <c r="BN464" s="677"/>
      <c r="BO464" s="684"/>
      <c r="BP464" s="541"/>
      <c r="BQ464" s="633"/>
      <c r="BR464" s="541"/>
      <c r="BS464" s="541"/>
      <c r="BT464" s="541"/>
    </row>
    <row r="465" ht="15.75" customHeight="1">
      <c r="A465" s="1591"/>
      <c r="B465" s="1541"/>
      <c r="C465" s="2217"/>
      <c r="D465" s="1543"/>
      <c r="E465" s="906"/>
      <c r="F465" s="1545"/>
      <c r="G465" s="2250"/>
      <c r="H465" s="1545"/>
      <c r="I465" s="2250"/>
      <c r="J465" s="1545"/>
      <c r="K465" s="2250"/>
      <c r="L465" s="1545"/>
      <c r="M465" s="2250"/>
      <c r="N465" s="1545"/>
      <c r="O465" s="2250"/>
      <c r="P465" s="1545"/>
      <c r="Q465" s="2250"/>
      <c r="R465" s="1545"/>
      <c r="S465" s="684"/>
      <c r="T465" s="1545"/>
      <c r="U465" s="684"/>
      <c r="V465" s="1545"/>
      <c r="W465" s="684"/>
      <c r="X465" s="1545"/>
      <c r="Y465" s="1545"/>
      <c r="Z465" s="1545"/>
      <c r="AA465" s="684"/>
      <c r="AB465" s="1545"/>
      <c r="AC465" s="684"/>
      <c r="AD465" s="684"/>
      <c r="AE465" s="684"/>
      <c r="AF465" s="684"/>
      <c r="AG465" s="684"/>
      <c r="AH465" s="684"/>
      <c r="AI465" s="684"/>
      <c r="AJ465" s="684"/>
      <c r="AK465" s="684"/>
      <c r="AL465" s="684"/>
      <c r="AM465" s="684"/>
      <c r="AN465" s="1545"/>
      <c r="AO465" s="1545"/>
      <c r="AP465" s="1545"/>
      <c r="AQ465" s="1545"/>
      <c r="AR465" s="1545"/>
      <c r="AS465" s="684"/>
      <c r="AT465" s="684"/>
      <c r="AU465" s="684"/>
      <c r="AV465" s="684"/>
      <c r="AW465" s="684"/>
      <c r="AX465" s="684"/>
      <c r="AY465" s="684"/>
      <c r="AZ465" s="684"/>
      <c r="BA465" s="684"/>
      <c r="BB465" s="677"/>
      <c r="BC465" s="684"/>
      <c r="BD465" s="677"/>
      <c r="BE465" s="684"/>
      <c r="BF465" s="677"/>
      <c r="BG465" s="684"/>
      <c r="BH465" s="13"/>
      <c r="BI465" s="684"/>
      <c r="BJ465" s="13"/>
      <c r="BK465" s="684"/>
      <c r="BL465" s="684"/>
      <c r="BM465" s="684"/>
      <c r="BN465" s="677"/>
      <c r="BO465" s="684"/>
      <c r="BP465" s="541"/>
      <c r="BQ465" s="633"/>
      <c r="BR465" s="541"/>
      <c r="BS465" s="541"/>
      <c r="BT465" s="541"/>
    </row>
    <row r="466" ht="15.75" customHeight="1">
      <c r="A466" s="1591"/>
      <c r="B466" s="1541"/>
      <c r="C466" s="2217"/>
      <c r="D466" s="1543"/>
      <c r="E466" s="906"/>
      <c r="F466" s="1545"/>
      <c r="G466" s="2250"/>
      <c r="H466" s="1545"/>
      <c r="I466" s="2250"/>
      <c r="J466" s="1545"/>
      <c r="K466" s="2250"/>
      <c r="L466" s="1545"/>
      <c r="M466" s="2250"/>
      <c r="N466" s="1545"/>
      <c r="O466" s="2250"/>
      <c r="P466" s="1545"/>
      <c r="Q466" s="2250"/>
      <c r="R466" s="1545"/>
      <c r="S466" s="684"/>
      <c r="T466" s="1545"/>
      <c r="U466" s="684"/>
      <c r="V466" s="1545"/>
      <c r="W466" s="684"/>
      <c r="X466" s="1545"/>
      <c r="Y466" s="1545"/>
      <c r="Z466" s="1545"/>
      <c r="AA466" s="684"/>
      <c r="AB466" s="1545"/>
      <c r="AC466" s="684"/>
      <c r="AD466" s="684"/>
      <c r="AE466" s="684"/>
      <c r="AF466" s="684"/>
      <c r="AG466" s="684"/>
      <c r="AH466" s="684"/>
      <c r="AI466" s="684"/>
      <c r="AJ466" s="684"/>
      <c r="AK466" s="684"/>
      <c r="AL466" s="684"/>
      <c r="AM466" s="684"/>
      <c r="AN466" s="1545"/>
      <c r="AO466" s="1545"/>
      <c r="AP466" s="1545"/>
      <c r="AQ466" s="1545"/>
      <c r="AR466" s="1545"/>
      <c r="AS466" s="684"/>
      <c r="AT466" s="684"/>
      <c r="AU466" s="684"/>
      <c r="AV466" s="684"/>
      <c r="AW466" s="684"/>
      <c r="AX466" s="684"/>
      <c r="AY466" s="684"/>
      <c r="AZ466" s="684"/>
      <c r="BA466" s="684"/>
      <c r="BB466" s="677"/>
      <c r="BC466" s="684"/>
      <c r="BD466" s="677"/>
      <c r="BE466" s="684"/>
      <c r="BF466" s="677"/>
      <c r="BG466" s="684"/>
      <c r="BH466" s="13"/>
      <c r="BI466" s="684"/>
      <c r="BJ466" s="13"/>
      <c r="BK466" s="684"/>
      <c r="BL466" s="684"/>
      <c r="BM466" s="684"/>
      <c r="BN466" s="677"/>
      <c r="BO466" s="684"/>
      <c r="BP466" s="541"/>
      <c r="BQ466" s="633"/>
      <c r="BR466" s="541"/>
      <c r="BS466" s="541"/>
      <c r="BT466" s="541"/>
    </row>
    <row r="467" ht="15.75" customHeight="1">
      <c r="A467" s="1591"/>
      <c r="B467" s="1541"/>
      <c r="C467" s="2217"/>
      <c r="D467" s="1543"/>
      <c r="E467" s="906"/>
      <c r="F467" s="1545"/>
      <c r="G467" s="2250"/>
      <c r="H467" s="1545"/>
      <c r="I467" s="2250"/>
      <c r="J467" s="1545"/>
      <c r="K467" s="2250"/>
      <c r="L467" s="1545"/>
      <c r="M467" s="2250"/>
      <c r="N467" s="1545"/>
      <c r="O467" s="2250"/>
      <c r="P467" s="1545"/>
      <c r="Q467" s="2250"/>
      <c r="R467" s="1545"/>
      <c r="S467" s="684"/>
      <c r="T467" s="1545"/>
      <c r="U467" s="684"/>
      <c r="V467" s="1545"/>
      <c r="W467" s="684"/>
      <c r="X467" s="1545"/>
      <c r="Y467" s="1545"/>
      <c r="Z467" s="1545"/>
      <c r="AA467" s="684"/>
      <c r="AB467" s="1545"/>
      <c r="AC467" s="684"/>
      <c r="AD467" s="684"/>
      <c r="AE467" s="684"/>
      <c r="AF467" s="684"/>
      <c r="AG467" s="684"/>
      <c r="AH467" s="684"/>
      <c r="AI467" s="684"/>
      <c r="AJ467" s="684"/>
      <c r="AK467" s="684"/>
      <c r="AL467" s="684"/>
      <c r="AM467" s="684"/>
      <c r="AN467" s="1545"/>
      <c r="AO467" s="1545"/>
      <c r="AP467" s="1545"/>
      <c r="AQ467" s="1545"/>
      <c r="AR467" s="1545"/>
      <c r="AS467" s="684"/>
      <c r="AT467" s="684"/>
      <c r="AU467" s="684"/>
      <c r="AV467" s="684"/>
      <c r="AW467" s="684"/>
      <c r="AX467" s="684"/>
      <c r="AY467" s="684"/>
      <c r="AZ467" s="684"/>
      <c r="BA467" s="684"/>
      <c r="BB467" s="677"/>
      <c r="BC467" s="684"/>
      <c r="BD467" s="677"/>
      <c r="BE467" s="684"/>
      <c r="BF467" s="677"/>
      <c r="BG467" s="684"/>
      <c r="BH467" s="13"/>
      <c r="BI467" s="684"/>
      <c r="BJ467" s="13"/>
      <c r="BK467" s="684"/>
      <c r="BL467" s="684"/>
      <c r="BM467" s="684"/>
      <c r="BN467" s="677"/>
      <c r="BO467" s="684"/>
      <c r="BP467" s="541"/>
      <c r="BQ467" s="633"/>
      <c r="BR467" s="541"/>
      <c r="BS467" s="541"/>
      <c r="BT467" s="541"/>
    </row>
    <row r="468" ht="15.75" customHeight="1">
      <c r="A468" s="1591"/>
      <c r="B468" s="1541"/>
      <c r="C468" s="2217"/>
      <c r="D468" s="1543"/>
      <c r="E468" s="906"/>
      <c r="F468" s="1545"/>
      <c r="G468" s="2250"/>
      <c r="H468" s="1545"/>
      <c r="I468" s="2250"/>
      <c r="J468" s="1545"/>
      <c r="K468" s="2250"/>
      <c r="L468" s="1545"/>
      <c r="M468" s="2250"/>
      <c r="N468" s="1545"/>
      <c r="O468" s="2250"/>
      <c r="P468" s="1545"/>
      <c r="Q468" s="2250"/>
      <c r="R468" s="1545"/>
      <c r="S468" s="684"/>
      <c r="T468" s="1545"/>
      <c r="U468" s="684"/>
      <c r="V468" s="1545"/>
      <c r="W468" s="684"/>
      <c r="X468" s="1545"/>
      <c r="Y468" s="1545"/>
      <c r="Z468" s="1545"/>
      <c r="AA468" s="684"/>
      <c r="AB468" s="1545"/>
      <c r="AC468" s="684"/>
      <c r="AD468" s="684"/>
      <c r="AE468" s="684"/>
      <c r="AF468" s="684"/>
      <c r="AG468" s="684"/>
      <c r="AH468" s="684"/>
      <c r="AI468" s="684"/>
      <c r="AJ468" s="684"/>
      <c r="AK468" s="684"/>
      <c r="AL468" s="684"/>
      <c r="AM468" s="684"/>
      <c r="AN468" s="1545"/>
      <c r="AO468" s="1545"/>
      <c r="AP468" s="1545"/>
      <c r="AQ468" s="1545"/>
      <c r="AR468" s="1545"/>
      <c r="AS468" s="684"/>
      <c r="AT468" s="684"/>
      <c r="AU468" s="684"/>
      <c r="AV468" s="684"/>
      <c r="AW468" s="684"/>
      <c r="AX468" s="684"/>
      <c r="AY468" s="684"/>
      <c r="AZ468" s="684"/>
      <c r="BA468" s="684"/>
      <c r="BB468" s="677"/>
      <c r="BC468" s="684"/>
      <c r="BD468" s="677"/>
      <c r="BE468" s="684"/>
      <c r="BF468" s="677"/>
      <c r="BG468" s="684"/>
      <c r="BH468" s="13"/>
      <c r="BI468" s="684"/>
      <c r="BJ468" s="13"/>
      <c r="BK468" s="684"/>
      <c r="BL468" s="684"/>
      <c r="BM468" s="684"/>
      <c r="BN468" s="677"/>
      <c r="BO468" s="684"/>
      <c r="BP468" s="541"/>
      <c r="BQ468" s="633"/>
      <c r="BR468" s="541"/>
      <c r="BS468" s="541"/>
      <c r="BT468" s="541"/>
    </row>
    <row r="469" ht="15.75" customHeight="1">
      <c r="A469" s="1591"/>
      <c r="B469" s="1541"/>
      <c r="C469" s="2217"/>
      <c r="D469" s="1543"/>
      <c r="E469" s="906"/>
      <c r="F469" s="1545"/>
      <c r="G469" s="2250"/>
      <c r="H469" s="1545"/>
      <c r="I469" s="2250"/>
      <c r="J469" s="1545"/>
      <c r="K469" s="2250"/>
      <c r="L469" s="1545"/>
      <c r="M469" s="2250"/>
      <c r="N469" s="1545"/>
      <c r="O469" s="2250"/>
      <c r="P469" s="1545"/>
      <c r="Q469" s="2250"/>
      <c r="R469" s="1545"/>
      <c r="S469" s="684"/>
      <c r="T469" s="1545"/>
      <c r="U469" s="684"/>
      <c r="V469" s="1545"/>
      <c r="W469" s="684"/>
      <c r="X469" s="1545"/>
      <c r="Y469" s="1545"/>
      <c r="Z469" s="1545"/>
      <c r="AA469" s="684"/>
      <c r="AB469" s="1545"/>
      <c r="AC469" s="684"/>
      <c r="AD469" s="684"/>
      <c r="AE469" s="684"/>
      <c r="AF469" s="684"/>
      <c r="AG469" s="684"/>
      <c r="AH469" s="684"/>
      <c r="AI469" s="684"/>
      <c r="AJ469" s="684"/>
      <c r="AK469" s="684"/>
      <c r="AL469" s="684"/>
      <c r="AM469" s="684"/>
      <c r="AN469" s="1545"/>
      <c r="AO469" s="1545"/>
      <c r="AP469" s="1545"/>
      <c r="AQ469" s="1545"/>
      <c r="AR469" s="1545"/>
      <c r="AS469" s="684"/>
      <c r="AT469" s="684"/>
      <c r="AU469" s="684"/>
      <c r="AV469" s="684"/>
      <c r="AW469" s="684"/>
      <c r="AX469" s="684"/>
      <c r="AY469" s="684"/>
      <c r="AZ469" s="684"/>
      <c r="BA469" s="684"/>
      <c r="BB469" s="677"/>
      <c r="BC469" s="684"/>
      <c r="BD469" s="677"/>
      <c r="BE469" s="684"/>
      <c r="BF469" s="677"/>
      <c r="BG469" s="684"/>
      <c r="BH469" s="13"/>
      <c r="BI469" s="684"/>
      <c r="BJ469" s="13"/>
      <c r="BK469" s="684"/>
      <c r="BL469" s="684"/>
      <c r="BM469" s="684"/>
      <c r="BN469" s="677"/>
      <c r="BO469" s="684"/>
      <c r="BP469" s="541"/>
      <c r="BQ469" s="633"/>
      <c r="BR469" s="541"/>
      <c r="BS469" s="541"/>
      <c r="BT469" s="541"/>
    </row>
    <row r="470" ht="15.75" customHeight="1">
      <c r="A470" s="1591"/>
      <c r="B470" s="1541"/>
      <c r="C470" s="2217"/>
      <c r="D470" s="1543"/>
      <c r="E470" s="906"/>
      <c r="F470" s="1545"/>
      <c r="G470" s="2250"/>
      <c r="H470" s="1545"/>
      <c r="I470" s="2250"/>
      <c r="J470" s="1545"/>
      <c r="K470" s="2250"/>
      <c r="L470" s="1545"/>
      <c r="M470" s="2250"/>
      <c r="N470" s="1545"/>
      <c r="O470" s="2250"/>
      <c r="P470" s="1545"/>
      <c r="Q470" s="2250"/>
      <c r="R470" s="1545"/>
      <c r="S470" s="684"/>
      <c r="T470" s="1545"/>
      <c r="U470" s="684"/>
      <c r="V470" s="1545"/>
      <c r="W470" s="684"/>
      <c r="X470" s="1545"/>
      <c r="Y470" s="1545"/>
      <c r="Z470" s="1545"/>
      <c r="AA470" s="684"/>
      <c r="AB470" s="1545"/>
      <c r="AC470" s="684"/>
      <c r="AD470" s="684"/>
      <c r="AE470" s="684"/>
      <c r="AF470" s="684"/>
      <c r="AG470" s="684"/>
      <c r="AH470" s="684"/>
      <c r="AI470" s="684"/>
      <c r="AJ470" s="684"/>
      <c r="AK470" s="684"/>
      <c r="AL470" s="684"/>
      <c r="AM470" s="684"/>
      <c r="AN470" s="1545"/>
      <c r="AO470" s="1545"/>
      <c r="AP470" s="1545"/>
      <c r="AQ470" s="1545"/>
      <c r="AR470" s="1545"/>
      <c r="AS470" s="684"/>
      <c r="AT470" s="684"/>
      <c r="AU470" s="684"/>
      <c r="AV470" s="684"/>
      <c r="AW470" s="684"/>
      <c r="AX470" s="684"/>
      <c r="AY470" s="684"/>
      <c r="AZ470" s="684"/>
      <c r="BA470" s="684"/>
      <c r="BB470" s="677"/>
      <c r="BC470" s="684"/>
      <c r="BD470" s="677"/>
      <c r="BE470" s="684"/>
      <c r="BF470" s="677"/>
      <c r="BG470" s="684"/>
      <c r="BH470" s="13"/>
      <c r="BI470" s="684"/>
      <c r="BJ470" s="13"/>
      <c r="BK470" s="684"/>
      <c r="BL470" s="684"/>
      <c r="BM470" s="684"/>
      <c r="BN470" s="677"/>
      <c r="BO470" s="684"/>
      <c r="BP470" s="541"/>
      <c r="BQ470" s="633"/>
      <c r="BR470" s="541"/>
      <c r="BS470" s="541"/>
      <c r="BT470" s="541"/>
    </row>
    <row r="471" ht="15.75" customHeight="1">
      <c r="A471" s="1591"/>
      <c r="B471" s="1541"/>
      <c r="C471" s="2217"/>
      <c r="D471" s="1543"/>
      <c r="E471" s="906"/>
      <c r="F471" s="1545"/>
      <c r="G471" s="2250"/>
      <c r="H471" s="1545"/>
      <c r="I471" s="2250"/>
      <c r="J471" s="1545"/>
      <c r="K471" s="2250"/>
      <c r="L471" s="1545"/>
      <c r="M471" s="2250"/>
      <c r="N471" s="1545"/>
      <c r="O471" s="2250"/>
      <c r="P471" s="1545"/>
      <c r="Q471" s="2250"/>
      <c r="R471" s="1545"/>
      <c r="S471" s="684"/>
      <c r="T471" s="1545"/>
      <c r="U471" s="684"/>
      <c r="V471" s="1545"/>
      <c r="W471" s="684"/>
      <c r="X471" s="1545"/>
      <c r="Y471" s="1545"/>
      <c r="Z471" s="1545"/>
      <c r="AA471" s="684"/>
      <c r="AB471" s="1545"/>
      <c r="AC471" s="684"/>
      <c r="AD471" s="684"/>
      <c r="AE471" s="684"/>
      <c r="AF471" s="684"/>
      <c r="AG471" s="684"/>
      <c r="AH471" s="684"/>
      <c r="AI471" s="684"/>
      <c r="AJ471" s="684"/>
      <c r="AK471" s="684"/>
      <c r="AL471" s="684"/>
      <c r="AM471" s="684"/>
      <c r="AN471" s="1545"/>
      <c r="AO471" s="1545"/>
      <c r="AP471" s="1545"/>
      <c r="AQ471" s="1545"/>
      <c r="AR471" s="1545"/>
      <c r="AS471" s="684"/>
      <c r="AT471" s="684"/>
      <c r="AU471" s="684"/>
      <c r="AV471" s="684"/>
      <c r="AW471" s="684"/>
      <c r="AX471" s="684"/>
      <c r="AY471" s="684"/>
      <c r="AZ471" s="684"/>
      <c r="BA471" s="684"/>
      <c r="BB471" s="677"/>
      <c r="BC471" s="684"/>
      <c r="BD471" s="677"/>
      <c r="BE471" s="684"/>
      <c r="BF471" s="677"/>
      <c r="BG471" s="684"/>
      <c r="BH471" s="13"/>
      <c r="BI471" s="684"/>
      <c r="BJ471" s="13"/>
      <c r="BK471" s="684"/>
      <c r="BL471" s="684"/>
      <c r="BM471" s="684"/>
      <c r="BN471" s="677"/>
      <c r="BO471" s="684"/>
      <c r="BP471" s="541"/>
      <c r="BQ471" s="633"/>
      <c r="BR471" s="541"/>
      <c r="BS471" s="541"/>
      <c r="BT471" s="541"/>
    </row>
    <row r="472" ht="15.75" customHeight="1">
      <c r="A472" s="1591"/>
      <c r="B472" s="1541"/>
      <c r="C472" s="2217"/>
      <c r="D472" s="1543"/>
      <c r="E472" s="906"/>
      <c r="F472" s="1545"/>
      <c r="G472" s="2250"/>
      <c r="H472" s="1545"/>
      <c r="I472" s="2250"/>
      <c r="J472" s="1545"/>
      <c r="K472" s="2250"/>
      <c r="L472" s="1545"/>
      <c r="M472" s="2250"/>
      <c r="N472" s="1545"/>
      <c r="O472" s="2250"/>
      <c r="P472" s="1545"/>
      <c r="Q472" s="2250"/>
      <c r="R472" s="1545"/>
      <c r="S472" s="684"/>
      <c r="T472" s="1545"/>
      <c r="U472" s="684"/>
      <c r="V472" s="1545"/>
      <c r="W472" s="684"/>
      <c r="X472" s="1545"/>
      <c r="Y472" s="1545"/>
      <c r="Z472" s="1545"/>
      <c r="AA472" s="684"/>
      <c r="AB472" s="1545"/>
      <c r="AC472" s="684"/>
      <c r="AD472" s="684"/>
      <c r="AE472" s="684"/>
      <c r="AF472" s="684"/>
      <c r="AG472" s="684"/>
      <c r="AH472" s="684"/>
      <c r="AI472" s="684"/>
      <c r="AJ472" s="684"/>
      <c r="AK472" s="684"/>
      <c r="AL472" s="684"/>
      <c r="AM472" s="684"/>
      <c r="AN472" s="1545"/>
      <c r="AO472" s="1545"/>
      <c r="AP472" s="1545"/>
      <c r="AQ472" s="1545"/>
      <c r="AR472" s="1545"/>
      <c r="AS472" s="684"/>
      <c r="AT472" s="684"/>
      <c r="AU472" s="684"/>
      <c r="AV472" s="684"/>
      <c r="AW472" s="684"/>
      <c r="AX472" s="684"/>
      <c r="AY472" s="684"/>
      <c r="AZ472" s="684"/>
      <c r="BA472" s="684"/>
      <c r="BB472" s="677"/>
      <c r="BC472" s="684"/>
      <c r="BD472" s="677"/>
      <c r="BE472" s="684"/>
      <c r="BF472" s="677"/>
      <c r="BG472" s="684"/>
      <c r="BH472" s="13"/>
      <c r="BI472" s="684"/>
      <c r="BJ472" s="13"/>
      <c r="BK472" s="684"/>
      <c r="BL472" s="684"/>
      <c r="BM472" s="684"/>
      <c r="BN472" s="677"/>
      <c r="BO472" s="684"/>
      <c r="BP472" s="541"/>
      <c r="BQ472" s="633"/>
      <c r="BR472" s="541"/>
      <c r="BS472" s="541"/>
      <c r="BT472" s="541"/>
    </row>
    <row r="473" ht="15.75" customHeight="1">
      <c r="A473" s="1591"/>
      <c r="B473" s="1541"/>
      <c r="C473" s="2217"/>
      <c r="D473" s="1543"/>
      <c r="E473" s="906"/>
      <c r="F473" s="1545"/>
      <c r="G473" s="2250"/>
      <c r="H473" s="1545"/>
      <c r="I473" s="2250"/>
      <c r="J473" s="1545"/>
      <c r="K473" s="2250"/>
      <c r="L473" s="1545"/>
      <c r="M473" s="2250"/>
      <c r="N473" s="1545"/>
      <c r="O473" s="2250"/>
      <c r="P473" s="1545"/>
      <c r="Q473" s="2250"/>
      <c r="R473" s="1545"/>
      <c r="S473" s="684"/>
      <c r="T473" s="1545"/>
      <c r="U473" s="684"/>
      <c r="V473" s="1545"/>
      <c r="W473" s="684"/>
      <c r="X473" s="1545"/>
      <c r="Y473" s="1545"/>
      <c r="Z473" s="1545"/>
      <c r="AA473" s="684"/>
      <c r="AB473" s="1545"/>
      <c r="AC473" s="684"/>
      <c r="AD473" s="684"/>
      <c r="AE473" s="684"/>
      <c r="AF473" s="684"/>
      <c r="AG473" s="684"/>
      <c r="AH473" s="684"/>
      <c r="AI473" s="684"/>
      <c r="AJ473" s="684"/>
      <c r="AK473" s="684"/>
      <c r="AL473" s="684"/>
      <c r="AM473" s="684"/>
      <c r="AN473" s="1545"/>
      <c r="AO473" s="1545"/>
      <c r="AP473" s="1545"/>
      <c r="AQ473" s="1545"/>
      <c r="AR473" s="1545"/>
      <c r="AS473" s="684"/>
      <c r="AT473" s="684"/>
      <c r="AU473" s="684"/>
      <c r="AV473" s="684"/>
      <c r="AW473" s="684"/>
      <c r="AX473" s="684"/>
      <c r="AY473" s="684"/>
      <c r="AZ473" s="684"/>
      <c r="BA473" s="684"/>
      <c r="BB473" s="677"/>
      <c r="BC473" s="684"/>
      <c r="BD473" s="677"/>
      <c r="BE473" s="684"/>
      <c r="BF473" s="677"/>
      <c r="BG473" s="684"/>
      <c r="BH473" s="13"/>
      <c r="BI473" s="684"/>
      <c r="BJ473" s="13"/>
      <c r="BK473" s="684"/>
      <c r="BL473" s="684"/>
      <c r="BM473" s="684"/>
      <c r="BN473" s="677"/>
      <c r="BO473" s="684"/>
      <c r="BP473" s="541"/>
      <c r="BQ473" s="633"/>
      <c r="BR473" s="541"/>
      <c r="BS473" s="541"/>
      <c r="BT473" s="541"/>
    </row>
    <row r="474" ht="15.75" customHeight="1">
      <c r="A474" s="1591"/>
      <c r="B474" s="1541"/>
      <c r="C474" s="2217"/>
      <c r="D474" s="1543"/>
      <c r="E474" s="906"/>
      <c r="F474" s="1545"/>
      <c r="G474" s="2250"/>
      <c r="H474" s="1545"/>
      <c r="I474" s="2250"/>
      <c r="J474" s="1545"/>
      <c r="K474" s="2250"/>
      <c r="L474" s="1545"/>
      <c r="M474" s="2250"/>
      <c r="N474" s="1545"/>
      <c r="O474" s="2250"/>
      <c r="P474" s="1545"/>
      <c r="Q474" s="2250"/>
      <c r="R474" s="1545"/>
      <c r="S474" s="684"/>
      <c r="T474" s="1545"/>
      <c r="U474" s="684"/>
      <c r="V474" s="1545"/>
      <c r="W474" s="684"/>
      <c r="X474" s="1545"/>
      <c r="Y474" s="1545"/>
      <c r="Z474" s="1545"/>
      <c r="AA474" s="684"/>
      <c r="AB474" s="1545"/>
      <c r="AC474" s="684"/>
      <c r="AD474" s="684"/>
      <c r="AE474" s="684"/>
      <c r="AF474" s="684"/>
      <c r="AG474" s="684"/>
      <c r="AH474" s="684"/>
      <c r="AI474" s="684"/>
      <c r="AJ474" s="684"/>
      <c r="AK474" s="684"/>
      <c r="AL474" s="684"/>
      <c r="AM474" s="684"/>
      <c r="AN474" s="1545"/>
      <c r="AO474" s="1545"/>
      <c r="AP474" s="1545"/>
      <c r="AQ474" s="1545"/>
      <c r="AR474" s="1545"/>
      <c r="AS474" s="684"/>
      <c r="AT474" s="684"/>
      <c r="AU474" s="684"/>
      <c r="AV474" s="684"/>
      <c r="AW474" s="684"/>
      <c r="AX474" s="684"/>
      <c r="AY474" s="684"/>
      <c r="AZ474" s="684"/>
      <c r="BA474" s="684"/>
      <c r="BB474" s="677"/>
      <c r="BC474" s="684"/>
      <c r="BD474" s="677"/>
      <c r="BE474" s="684"/>
      <c r="BF474" s="677"/>
      <c r="BG474" s="684"/>
      <c r="BH474" s="13"/>
      <c r="BI474" s="684"/>
      <c r="BJ474" s="13"/>
      <c r="BK474" s="684"/>
      <c r="BL474" s="684"/>
      <c r="BM474" s="684"/>
      <c r="BN474" s="677"/>
      <c r="BO474" s="684"/>
      <c r="BP474" s="541"/>
      <c r="BQ474" s="633"/>
      <c r="BR474" s="541"/>
      <c r="BS474" s="541"/>
      <c r="BT474" s="541"/>
    </row>
    <row r="475" ht="15.75" customHeight="1">
      <c r="A475" s="1591"/>
      <c r="B475" s="1541"/>
      <c r="C475" s="2217"/>
      <c r="D475" s="1543"/>
      <c r="E475" s="906"/>
      <c r="F475" s="1545"/>
      <c r="G475" s="2250"/>
      <c r="H475" s="1545"/>
      <c r="I475" s="2250"/>
      <c r="J475" s="1545"/>
      <c r="K475" s="2250"/>
      <c r="L475" s="1545"/>
      <c r="M475" s="2250"/>
      <c r="N475" s="1545"/>
      <c r="O475" s="2250"/>
      <c r="P475" s="1545"/>
      <c r="Q475" s="2250"/>
      <c r="R475" s="1545"/>
      <c r="S475" s="684"/>
      <c r="T475" s="1545"/>
      <c r="U475" s="684"/>
      <c r="V475" s="1545"/>
      <c r="W475" s="684"/>
      <c r="X475" s="1545"/>
      <c r="Y475" s="1545"/>
      <c r="Z475" s="1545"/>
      <c r="AA475" s="684"/>
      <c r="AB475" s="1545"/>
      <c r="AC475" s="684"/>
      <c r="AD475" s="684"/>
      <c r="AE475" s="684"/>
      <c r="AF475" s="684"/>
      <c r="AG475" s="684"/>
      <c r="AH475" s="684"/>
      <c r="AI475" s="684"/>
      <c r="AJ475" s="684"/>
      <c r="AK475" s="684"/>
      <c r="AL475" s="684"/>
      <c r="AM475" s="684"/>
      <c r="AN475" s="1545"/>
      <c r="AO475" s="1545"/>
      <c r="AP475" s="1545"/>
      <c r="AQ475" s="1545"/>
      <c r="AR475" s="1545"/>
      <c r="AS475" s="684"/>
      <c r="AT475" s="684"/>
      <c r="AU475" s="684"/>
      <c r="AV475" s="684"/>
      <c r="AW475" s="684"/>
      <c r="AX475" s="684"/>
      <c r="AY475" s="684"/>
      <c r="AZ475" s="684"/>
      <c r="BA475" s="684"/>
      <c r="BB475" s="677"/>
      <c r="BC475" s="684"/>
      <c r="BD475" s="677"/>
      <c r="BE475" s="684"/>
      <c r="BF475" s="677"/>
      <c r="BG475" s="684"/>
      <c r="BH475" s="13"/>
      <c r="BI475" s="684"/>
      <c r="BJ475" s="13"/>
      <c r="BK475" s="684"/>
      <c r="BL475" s="684"/>
      <c r="BM475" s="684"/>
      <c r="BN475" s="677"/>
      <c r="BO475" s="684"/>
      <c r="BP475" s="541"/>
      <c r="BQ475" s="633"/>
      <c r="BR475" s="541"/>
      <c r="BS475" s="541"/>
      <c r="BT475" s="541"/>
    </row>
    <row r="476" ht="15.75" customHeight="1">
      <c r="A476" s="1591"/>
      <c r="B476" s="1541"/>
      <c r="C476" s="2217"/>
      <c r="D476" s="1543"/>
      <c r="E476" s="906"/>
      <c r="F476" s="1545"/>
      <c r="G476" s="2250"/>
      <c r="H476" s="1545"/>
      <c r="I476" s="2250"/>
      <c r="J476" s="1545"/>
      <c r="K476" s="2250"/>
      <c r="L476" s="1545"/>
      <c r="M476" s="2250"/>
      <c r="N476" s="1545"/>
      <c r="O476" s="2250"/>
      <c r="P476" s="1545"/>
      <c r="Q476" s="2250"/>
      <c r="R476" s="1545"/>
      <c r="S476" s="684"/>
      <c r="T476" s="1545"/>
      <c r="U476" s="684"/>
      <c r="V476" s="1545"/>
      <c r="W476" s="684"/>
      <c r="X476" s="1545"/>
      <c r="Y476" s="1545"/>
      <c r="Z476" s="1545"/>
      <c r="AA476" s="684"/>
      <c r="AB476" s="1545"/>
      <c r="AC476" s="684"/>
      <c r="AD476" s="684"/>
      <c r="AE476" s="684"/>
      <c r="AF476" s="684"/>
      <c r="AG476" s="684"/>
      <c r="AH476" s="684"/>
      <c r="AI476" s="684"/>
      <c r="AJ476" s="684"/>
      <c r="AK476" s="684"/>
      <c r="AL476" s="684"/>
      <c r="AM476" s="684"/>
      <c r="AN476" s="1545"/>
      <c r="AO476" s="1545"/>
      <c r="AP476" s="1545"/>
      <c r="AQ476" s="1545"/>
      <c r="AR476" s="1545"/>
      <c r="AS476" s="684"/>
      <c r="AT476" s="684"/>
      <c r="AU476" s="684"/>
      <c r="AV476" s="684"/>
      <c r="AW476" s="684"/>
      <c r="AX476" s="684"/>
      <c r="AY476" s="684"/>
      <c r="AZ476" s="684"/>
      <c r="BA476" s="684"/>
      <c r="BB476" s="677"/>
      <c r="BC476" s="684"/>
      <c r="BD476" s="677"/>
      <c r="BE476" s="684"/>
      <c r="BF476" s="677"/>
      <c r="BG476" s="684"/>
      <c r="BH476" s="13"/>
      <c r="BI476" s="684"/>
      <c r="BJ476" s="13"/>
      <c r="BK476" s="684"/>
      <c r="BL476" s="684"/>
      <c r="BM476" s="684"/>
      <c r="BN476" s="677"/>
      <c r="BO476" s="684"/>
      <c r="BP476" s="541"/>
      <c r="BQ476" s="633"/>
      <c r="BR476" s="541"/>
      <c r="BS476" s="541"/>
      <c r="BT476" s="541"/>
    </row>
    <row r="477" ht="15.75" customHeight="1">
      <c r="A477" s="1591"/>
      <c r="B477" s="1541"/>
      <c r="C477" s="2217"/>
      <c r="D477" s="1543"/>
      <c r="E477" s="906"/>
      <c r="F477" s="1545"/>
      <c r="G477" s="2250"/>
      <c r="H477" s="1545"/>
      <c r="I477" s="2250"/>
      <c r="J477" s="1545"/>
      <c r="K477" s="2250"/>
      <c r="L477" s="1545"/>
      <c r="M477" s="2250"/>
      <c r="N477" s="1545"/>
      <c r="O477" s="2250"/>
      <c r="P477" s="1545"/>
      <c r="Q477" s="2250"/>
      <c r="R477" s="1545"/>
      <c r="S477" s="684"/>
      <c r="T477" s="1545"/>
      <c r="U477" s="684"/>
      <c r="V477" s="1545"/>
      <c r="W477" s="684"/>
      <c r="X477" s="1545"/>
      <c r="Y477" s="1545"/>
      <c r="Z477" s="1545"/>
      <c r="AA477" s="684"/>
      <c r="AB477" s="1545"/>
      <c r="AC477" s="684"/>
      <c r="AD477" s="684"/>
      <c r="AE477" s="684"/>
      <c r="AF477" s="684"/>
      <c r="AG477" s="684"/>
      <c r="AH477" s="684"/>
      <c r="AI477" s="684"/>
      <c r="AJ477" s="684"/>
      <c r="AK477" s="684"/>
      <c r="AL477" s="684"/>
      <c r="AM477" s="684"/>
      <c r="AN477" s="1545"/>
      <c r="AO477" s="1545"/>
      <c r="AP477" s="1545"/>
      <c r="AQ477" s="1545"/>
      <c r="AR477" s="1545"/>
      <c r="AS477" s="684"/>
      <c r="AT477" s="684"/>
      <c r="AU477" s="684"/>
      <c r="AV477" s="684"/>
      <c r="AW477" s="684"/>
      <c r="AX477" s="684"/>
      <c r="AY477" s="684"/>
      <c r="AZ477" s="684"/>
      <c r="BA477" s="684"/>
      <c r="BB477" s="677"/>
      <c r="BC477" s="684"/>
      <c r="BD477" s="677"/>
      <c r="BE477" s="684"/>
      <c r="BF477" s="677"/>
      <c r="BG477" s="684"/>
      <c r="BH477" s="13"/>
      <c r="BI477" s="684"/>
      <c r="BJ477" s="13"/>
      <c r="BK477" s="684"/>
      <c r="BL477" s="684"/>
      <c r="BM477" s="684"/>
      <c r="BN477" s="677"/>
      <c r="BO477" s="684"/>
      <c r="BP477" s="541"/>
      <c r="BQ477" s="633"/>
      <c r="BR477" s="541"/>
      <c r="BS477" s="541"/>
      <c r="BT477" s="541"/>
    </row>
    <row r="478" ht="15.75" customHeight="1">
      <c r="A478" s="1591"/>
      <c r="B478" s="1541"/>
      <c r="C478" s="2217"/>
      <c r="D478" s="1543"/>
      <c r="E478" s="906"/>
      <c r="F478" s="1545"/>
      <c r="G478" s="2250"/>
      <c r="H478" s="1545"/>
      <c r="I478" s="2250"/>
      <c r="J478" s="1545"/>
      <c r="K478" s="2250"/>
      <c r="L478" s="1545"/>
      <c r="M478" s="2250"/>
      <c r="N478" s="1545"/>
      <c r="O478" s="2250"/>
      <c r="P478" s="1545"/>
      <c r="Q478" s="2250"/>
      <c r="R478" s="1545"/>
      <c r="S478" s="684"/>
      <c r="T478" s="1545"/>
      <c r="U478" s="684"/>
      <c r="V478" s="1545"/>
      <c r="W478" s="684"/>
      <c r="X478" s="1545"/>
      <c r="Y478" s="1545"/>
      <c r="Z478" s="1545"/>
      <c r="AA478" s="684"/>
      <c r="AB478" s="1545"/>
      <c r="AC478" s="684"/>
      <c r="AD478" s="684"/>
      <c r="AE478" s="684"/>
      <c r="AF478" s="684"/>
      <c r="AG478" s="684"/>
      <c r="AH478" s="684"/>
      <c r="AI478" s="684"/>
      <c r="AJ478" s="684"/>
      <c r="AK478" s="684"/>
      <c r="AL478" s="684"/>
      <c r="AM478" s="684"/>
      <c r="AN478" s="1545"/>
      <c r="AO478" s="1545"/>
      <c r="AP478" s="1545"/>
      <c r="AQ478" s="1545"/>
      <c r="AR478" s="1545"/>
      <c r="AS478" s="684"/>
      <c r="AT478" s="684"/>
      <c r="AU478" s="684"/>
      <c r="AV478" s="684"/>
      <c r="AW478" s="684"/>
      <c r="AX478" s="684"/>
      <c r="AY478" s="684"/>
      <c r="AZ478" s="684"/>
      <c r="BA478" s="684"/>
      <c r="BB478" s="677"/>
      <c r="BC478" s="684"/>
      <c r="BD478" s="677"/>
      <c r="BE478" s="684"/>
      <c r="BF478" s="677"/>
      <c r="BG478" s="684"/>
      <c r="BH478" s="13"/>
      <c r="BI478" s="684"/>
      <c r="BJ478" s="13"/>
      <c r="BK478" s="684"/>
      <c r="BL478" s="684"/>
      <c r="BM478" s="684"/>
      <c r="BN478" s="677"/>
      <c r="BO478" s="684"/>
      <c r="BP478" s="541"/>
      <c r="BQ478" s="633"/>
      <c r="BR478" s="541"/>
      <c r="BS478" s="541"/>
      <c r="BT478" s="541"/>
    </row>
    <row r="479" ht="15.75" customHeight="1">
      <c r="A479" s="1591"/>
      <c r="B479" s="1541"/>
      <c r="C479" s="2217"/>
      <c r="D479" s="1543"/>
      <c r="E479" s="906"/>
      <c r="F479" s="1545"/>
      <c r="G479" s="2250"/>
      <c r="H479" s="1545"/>
      <c r="I479" s="2250"/>
      <c r="J479" s="1545"/>
      <c r="K479" s="2250"/>
      <c r="L479" s="1545"/>
      <c r="M479" s="2250"/>
      <c r="N479" s="1545"/>
      <c r="O479" s="2250"/>
      <c r="P479" s="1545"/>
      <c r="Q479" s="2250"/>
      <c r="R479" s="1545"/>
      <c r="S479" s="684"/>
      <c r="T479" s="1545"/>
      <c r="U479" s="684"/>
      <c r="V479" s="1545"/>
      <c r="W479" s="684"/>
      <c r="X479" s="1545"/>
      <c r="Y479" s="1545"/>
      <c r="Z479" s="1545"/>
      <c r="AA479" s="684"/>
      <c r="AB479" s="1545"/>
      <c r="AC479" s="684"/>
      <c r="AD479" s="684"/>
      <c r="AE479" s="684"/>
      <c r="AF479" s="684"/>
      <c r="AG479" s="684"/>
      <c r="AH479" s="684"/>
      <c r="AI479" s="684"/>
      <c r="AJ479" s="684"/>
      <c r="AK479" s="684"/>
      <c r="AL479" s="684"/>
      <c r="AM479" s="684"/>
      <c r="AN479" s="1545"/>
      <c r="AO479" s="1545"/>
      <c r="AP479" s="1545"/>
      <c r="AQ479" s="1545"/>
      <c r="AR479" s="1545"/>
      <c r="AS479" s="684"/>
      <c r="AT479" s="684"/>
      <c r="AU479" s="684"/>
      <c r="AV479" s="684"/>
      <c r="AW479" s="684"/>
      <c r="AX479" s="684"/>
      <c r="AY479" s="684"/>
      <c r="AZ479" s="684"/>
      <c r="BA479" s="684"/>
      <c r="BB479" s="677"/>
      <c r="BC479" s="684"/>
      <c r="BD479" s="677"/>
      <c r="BE479" s="684"/>
      <c r="BF479" s="677"/>
      <c r="BG479" s="684"/>
      <c r="BH479" s="13"/>
      <c r="BI479" s="684"/>
      <c r="BJ479" s="13"/>
      <c r="BK479" s="684"/>
      <c r="BL479" s="684"/>
      <c r="BM479" s="684"/>
      <c r="BN479" s="677"/>
      <c r="BO479" s="684"/>
      <c r="BP479" s="541"/>
      <c r="BQ479" s="633"/>
      <c r="BR479" s="541"/>
      <c r="BS479" s="541"/>
      <c r="BT479" s="541"/>
    </row>
    <row r="480" ht="15.75" customHeight="1">
      <c r="A480" s="1591"/>
      <c r="B480" s="1541"/>
      <c r="C480" s="2217"/>
      <c r="D480" s="1543"/>
      <c r="E480" s="906"/>
      <c r="F480" s="1545"/>
      <c r="G480" s="2250"/>
      <c r="H480" s="1545"/>
      <c r="I480" s="2250"/>
      <c r="J480" s="1545"/>
      <c r="K480" s="2250"/>
      <c r="L480" s="1545"/>
      <c r="M480" s="2250"/>
      <c r="N480" s="1545"/>
      <c r="O480" s="2250"/>
      <c r="P480" s="1545"/>
      <c r="Q480" s="2250"/>
      <c r="R480" s="1545"/>
      <c r="S480" s="684"/>
      <c r="T480" s="1545"/>
      <c r="U480" s="684"/>
      <c r="V480" s="1545"/>
      <c r="W480" s="684"/>
      <c r="X480" s="1545"/>
      <c r="Y480" s="1545"/>
      <c r="Z480" s="1545"/>
      <c r="AA480" s="684"/>
      <c r="AB480" s="1545"/>
      <c r="AC480" s="684"/>
      <c r="AD480" s="684"/>
      <c r="AE480" s="684"/>
      <c r="AF480" s="684"/>
      <c r="AG480" s="684"/>
      <c r="AH480" s="684"/>
      <c r="AI480" s="684"/>
      <c r="AJ480" s="684"/>
      <c r="AK480" s="684"/>
      <c r="AL480" s="684"/>
      <c r="AM480" s="684"/>
      <c r="AN480" s="1545"/>
      <c r="AO480" s="1545"/>
      <c r="AP480" s="1545"/>
      <c r="AQ480" s="1545"/>
      <c r="AR480" s="1545"/>
      <c r="AS480" s="684"/>
      <c r="AT480" s="684"/>
      <c r="AU480" s="684"/>
      <c r="AV480" s="684"/>
      <c r="AW480" s="684"/>
      <c r="AX480" s="684"/>
      <c r="AY480" s="684"/>
      <c r="AZ480" s="684"/>
      <c r="BA480" s="684"/>
      <c r="BB480" s="677"/>
      <c r="BC480" s="684"/>
      <c r="BD480" s="677"/>
      <c r="BE480" s="684"/>
      <c r="BF480" s="677"/>
      <c r="BG480" s="684"/>
      <c r="BH480" s="13"/>
      <c r="BI480" s="684"/>
      <c r="BJ480" s="13"/>
      <c r="BK480" s="684"/>
      <c r="BL480" s="684"/>
      <c r="BM480" s="684"/>
      <c r="BN480" s="677"/>
      <c r="BO480" s="684"/>
      <c r="BP480" s="541"/>
      <c r="BQ480" s="633"/>
      <c r="BR480" s="541"/>
      <c r="BS480" s="541"/>
      <c r="BT480" s="541"/>
    </row>
    <row r="481" ht="15.75" customHeight="1">
      <c r="A481" s="1591"/>
      <c r="B481" s="1541"/>
      <c r="C481" s="2217"/>
      <c r="D481" s="1543"/>
      <c r="E481" s="906"/>
      <c r="F481" s="1545"/>
      <c r="G481" s="2250"/>
      <c r="H481" s="1545"/>
      <c r="I481" s="2250"/>
      <c r="J481" s="1545"/>
      <c r="K481" s="2250"/>
      <c r="L481" s="1545"/>
      <c r="M481" s="2250"/>
      <c r="N481" s="1545"/>
      <c r="O481" s="2250"/>
      <c r="P481" s="1545"/>
      <c r="Q481" s="2250"/>
      <c r="R481" s="1545"/>
      <c r="S481" s="684"/>
      <c r="T481" s="1545"/>
      <c r="U481" s="684"/>
      <c r="V481" s="1545"/>
      <c r="W481" s="684"/>
      <c r="X481" s="1545"/>
      <c r="Y481" s="1545"/>
      <c r="Z481" s="1545"/>
      <c r="AA481" s="684"/>
      <c r="AB481" s="1545"/>
      <c r="AC481" s="684"/>
      <c r="AD481" s="684"/>
      <c r="AE481" s="684"/>
      <c r="AF481" s="684"/>
      <c r="AG481" s="684"/>
      <c r="AH481" s="684"/>
      <c r="AI481" s="684"/>
      <c r="AJ481" s="684"/>
      <c r="AK481" s="684"/>
      <c r="AL481" s="684"/>
      <c r="AM481" s="684"/>
      <c r="AN481" s="1545"/>
      <c r="AO481" s="1545"/>
      <c r="AP481" s="1545"/>
      <c r="AQ481" s="1545"/>
      <c r="AR481" s="1545"/>
      <c r="AS481" s="684"/>
      <c r="AT481" s="684"/>
      <c r="AU481" s="684"/>
      <c r="AV481" s="684"/>
      <c r="AW481" s="684"/>
      <c r="AX481" s="684"/>
      <c r="AY481" s="684"/>
      <c r="AZ481" s="684"/>
      <c r="BA481" s="684"/>
      <c r="BB481" s="677"/>
      <c r="BC481" s="684"/>
      <c r="BD481" s="677"/>
      <c r="BE481" s="684"/>
      <c r="BF481" s="677"/>
      <c r="BG481" s="684"/>
      <c r="BH481" s="13"/>
      <c r="BI481" s="684"/>
      <c r="BJ481" s="13"/>
      <c r="BK481" s="684"/>
      <c r="BL481" s="684"/>
      <c r="BM481" s="684"/>
      <c r="BN481" s="677"/>
      <c r="BO481" s="684"/>
      <c r="BP481" s="541"/>
      <c r="BQ481" s="633"/>
      <c r="BR481" s="541"/>
      <c r="BS481" s="541"/>
      <c r="BT481" s="541"/>
    </row>
    <row r="482" ht="15.75" customHeight="1">
      <c r="A482" s="1591"/>
      <c r="B482" s="1541"/>
      <c r="C482" s="2217"/>
      <c r="D482" s="1543"/>
      <c r="E482" s="906"/>
      <c r="F482" s="1545"/>
      <c r="G482" s="2250"/>
      <c r="H482" s="1545"/>
      <c r="I482" s="2250"/>
      <c r="J482" s="1545"/>
      <c r="K482" s="2250"/>
      <c r="L482" s="1545"/>
      <c r="M482" s="2250"/>
      <c r="N482" s="1545"/>
      <c r="O482" s="2250"/>
      <c r="P482" s="1545"/>
      <c r="Q482" s="2250"/>
      <c r="R482" s="1545"/>
      <c r="S482" s="684"/>
      <c r="T482" s="1545"/>
      <c r="U482" s="684"/>
      <c r="V482" s="1545"/>
      <c r="W482" s="684"/>
      <c r="X482" s="1545"/>
      <c r="Y482" s="1545"/>
      <c r="Z482" s="1545"/>
      <c r="AA482" s="684"/>
      <c r="AB482" s="1545"/>
      <c r="AC482" s="684"/>
      <c r="AD482" s="684"/>
      <c r="AE482" s="684"/>
      <c r="AF482" s="684"/>
      <c r="AG482" s="684"/>
      <c r="AH482" s="684"/>
      <c r="AI482" s="684"/>
      <c r="AJ482" s="684"/>
      <c r="AK482" s="684"/>
      <c r="AL482" s="684"/>
      <c r="AM482" s="684"/>
      <c r="AN482" s="1545"/>
      <c r="AO482" s="1545"/>
      <c r="AP482" s="1545"/>
      <c r="AQ482" s="1545"/>
      <c r="AR482" s="1545"/>
      <c r="AS482" s="684"/>
      <c r="AT482" s="684"/>
      <c r="AU482" s="684"/>
      <c r="AV482" s="684"/>
      <c r="AW482" s="684"/>
      <c r="AX482" s="684"/>
      <c r="AY482" s="684"/>
      <c r="AZ482" s="684"/>
      <c r="BA482" s="684"/>
      <c r="BB482" s="677"/>
      <c r="BC482" s="684"/>
      <c r="BD482" s="677"/>
      <c r="BE482" s="684"/>
      <c r="BF482" s="677"/>
      <c r="BG482" s="684"/>
      <c r="BH482" s="13"/>
      <c r="BI482" s="684"/>
      <c r="BJ482" s="13"/>
      <c r="BK482" s="684"/>
      <c r="BL482" s="684"/>
      <c r="BM482" s="684"/>
      <c r="BN482" s="677"/>
      <c r="BO482" s="684"/>
      <c r="BP482" s="541"/>
      <c r="BQ482" s="633"/>
      <c r="BR482" s="541"/>
      <c r="BS482" s="541"/>
      <c r="BT482" s="541"/>
    </row>
    <row r="483" ht="15.75" customHeight="1">
      <c r="A483" s="1591"/>
      <c r="B483" s="1541"/>
      <c r="C483" s="2217"/>
      <c r="D483" s="1543"/>
      <c r="E483" s="906"/>
      <c r="F483" s="1545"/>
      <c r="G483" s="2250"/>
      <c r="H483" s="1545"/>
      <c r="I483" s="2250"/>
      <c r="J483" s="1545"/>
      <c r="K483" s="2250"/>
      <c r="L483" s="1545"/>
      <c r="M483" s="2250"/>
      <c r="N483" s="1545"/>
      <c r="O483" s="2250"/>
      <c r="P483" s="1545"/>
      <c r="Q483" s="2250"/>
      <c r="R483" s="1545"/>
      <c r="S483" s="684"/>
      <c r="T483" s="1545"/>
      <c r="U483" s="684"/>
      <c r="V483" s="1545"/>
      <c r="W483" s="684"/>
      <c r="X483" s="1545"/>
      <c r="Y483" s="1545"/>
      <c r="Z483" s="1545"/>
      <c r="AA483" s="684"/>
      <c r="AB483" s="1545"/>
      <c r="AC483" s="684"/>
      <c r="AD483" s="684"/>
      <c r="AE483" s="684"/>
      <c r="AF483" s="684"/>
      <c r="AG483" s="684"/>
      <c r="AH483" s="684"/>
      <c r="AI483" s="684"/>
      <c r="AJ483" s="684"/>
      <c r="AK483" s="684"/>
      <c r="AL483" s="684"/>
      <c r="AM483" s="684"/>
      <c r="AN483" s="1545"/>
      <c r="AO483" s="1545"/>
      <c r="AP483" s="1545"/>
      <c r="AQ483" s="1545"/>
      <c r="AR483" s="1545"/>
      <c r="AS483" s="684"/>
      <c r="AT483" s="684"/>
      <c r="AU483" s="684"/>
      <c r="AV483" s="684"/>
      <c r="AW483" s="684"/>
      <c r="AX483" s="684"/>
      <c r="AY483" s="684"/>
      <c r="AZ483" s="684"/>
      <c r="BA483" s="684"/>
      <c r="BB483" s="677"/>
      <c r="BC483" s="684"/>
      <c r="BD483" s="677"/>
      <c r="BE483" s="684"/>
      <c r="BF483" s="677"/>
      <c r="BG483" s="684"/>
      <c r="BH483" s="13"/>
      <c r="BI483" s="684"/>
      <c r="BJ483" s="13"/>
      <c r="BK483" s="684"/>
      <c r="BL483" s="684"/>
      <c r="BM483" s="684"/>
      <c r="BN483" s="677"/>
      <c r="BO483" s="684"/>
      <c r="BP483" s="541"/>
      <c r="BQ483" s="633"/>
      <c r="BR483" s="541"/>
      <c r="BS483" s="541"/>
      <c r="BT483" s="541"/>
    </row>
    <row r="484" ht="15.75" customHeight="1">
      <c r="A484" s="1591"/>
      <c r="B484" s="1541"/>
      <c r="C484" s="2217"/>
      <c r="D484" s="1543"/>
      <c r="E484" s="906"/>
      <c r="F484" s="1545"/>
      <c r="G484" s="2250"/>
      <c r="H484" s="1545"/>
      <c r="I484" s="2250"/>
      <c r="J484" s="1545"/>
      <c r="K484" s="2250"/>
      <c r="L484" s="1545"/>
      <c r="M484" s="2250"/>
      <c r="N484" s="1545"/>
      <c r="O484" s="2250"/>
      <c r="P484" s="1545"/>
      <c r="Q484" s="2250"/>
      <c r="R484" s="1545"/>
      <c r="S484" s="684"/>
      <c r="T484" s="1545"/>
      <c r="U484" s="684"/>
      <c r="V484" s="1545"/>
      <c r="W484" s="684"/>
      <c r="X484" s="1545"/>
      <c r="Y484" s="1545"/>
      <c r="Z484" s="1545"/>
      <c r="AA484" s="684"/>
      <c r="AB484" s="1545"/>
      <c r="AC484" s="684"/>
      <c r="AD484" s="684"/>
      <c r="AE484" s="684"/>
      <c r="AF484" s="684"/>
      <c r="AG484" s="684"/>
      <c r="AH484" s="684"/>
      <c r="AI484" s="684"/>
      <c r="AJ484" s="684"/>
      <c r="AK484" s="684"/>
      <c r="AL484" s="684"/>
      <c r="AM484" s="684"/>
      <c r="AN484" s="1545"/>
      <c r="AO484" s="1545"/>
      <c r="AP484" s="1545"/>
      <c r="AQ484" s="1545"/>
      <c r="AR484" s="1545"/>
      <c r="AS484" s="684"/>
      <c r="AT484" s="684"/>
      <c r="AU484" s="684"/>
      <c r="AV484" s="684"/>
      <c r="AW484" s="684"/>
      <c r="AX484" s="684"/>
      <c r="AY484" s="684"/>
      <c r="AZ484" s="684"/>
      <c r="BA484" s="684"/>
      <c r="BB484" s="677"/>
      <c r="BC484" s="684"/>
      <c r="BD484" s="677"/>
      <c r="BE484" s="684"/>
      <c r="BF484" s="677"/>
      <c r="BG484" s="684"/>
      <c r="BH484" s="13"/>
      <c r="BI484" s="684"/>
      <c r="BJ484" s="13"/>
      <c r="BK484" s="684"/>
      <c r="BL484" s="684"/>
      <c r="BM484" s="684"/>
      <c r="BN484" s="677"/>
      <c r="BO484" s="684"/>
      <c r="BP484" s="541"/>
      <c r="BQ484" s="633"/>
      <c r="BR484" s="541"/>
      <c r="BS484" s="541"/>
      <c r="BT484" s="541"/>
    </row>
    <row r="485" ht="15.75" customHeight="1">
      <c r="A485" s="1591"/>
      <c r="B485" s="1541"/>
      <c r="C485" s="2217"/>
      <c r="D485" s="1543"/>
      <c r="E485" s="906"/>
      <c r="F485" s="1545"/>
      <c r="G485" s="2250"/>
      <c r="H485" s="1545"/>
      <c r="I485" s="2250"/>
      <c r="J485" s="1545"/>
      <c r="K485" s="2250"/>
      <c r="L485" s="1545"/>
      <c r="M485" s="2250"/>
      <c r="N485" s="1545"/>
      <c r="O485" s="2250"/>
      <c r="P485" s="1545"/>
      <c r="Q485" s="2250"/>
      <c r="R485" s="1545"/>
      <c r="S485" s="684"/>
      <c r="T485" s="1545"/>
      <c r="U485" s="684"/>
      <c r="V485" s="1545"/>
      <c r="W485" s="684"/>
      <c r="X485" s="1545"/>
      <c r="Y485" s="1545"/>
      <c r="Z485" s="1545"/>
      <c r="AA485" s="684"/>
      <c r="AB485" s="1545"/>
      <c r="AC485" s="684"/>
      <c r="AD485" s="684"/>
      <c r="AE485" s="684"/>
      <c r="AF485" s="684"/>
      <c r="AG485" s="684"/>
      <c r="AH485" s="684"/>
      <c r="AI485" s="684"/>
      <c r="AJ485" s="684"/>
      <c r="AK485" s="684"/>
      <c r="AL485" s="684"/>
      <c r="AM485" s="684"/>
      <c r="AN485" s="1545"/>
      <c r="AO485" s="1545"/>
      <c r="AP485" s="1545"/>
      <c r="AQ485" s="1545"/>
      <c r="AR485" s="1545"/>
      <c r="AS485" s="684"/>
      <c r="AT485" s="684"/>
      <c r="AU485" s="684"/>
      <c r="AV485" s="684"/>
      <c r="AW485" s="684"/>
      <c r="AX485" s="684"/>
      <c r="AY485" s="684"/>
      <c r="AZ485" s="684"/>
      <c r="BA485" s="684"/>
      <c r="BB485" s="677"/>
      <c r="BC485" s="684"/>
      <c r="BD485" s="677"/>
      <c r="BE485" s="684"/>
      <c r="BF485" s="677"/>
      <c r="BG485" s="684"/>
      <c r="BH485" s="13"/>
      <c r="BI485" s="684"/>
      <c r="BJ485" s="13"/>
      <c r="BK485" s="684"/>
      <c r="BL485" s="684"/>
      <c r="BM485" s="684"/>
      <c r="BN485" s="677"/>
      <c r="BO485" s="684"/>
      <c r="BP485" s="541"/>
      <c r="BQ485" s="633"/>
      <c r="BR485" s="541"/>
      <c r="BS485" s="541"/>
      <c r="BT485" s="541"/>
    </row>
    <row r="486" ht="15.75" customHeight="1">
      <c r="A486" s="1591"/>
      <c r="B486" s="1541"/>
      <c r="C486" s="2217"/>
      <c r="D486" s="1543"/>
      <c r="E486" s="906"/>
      <c r="F486" s="1545"/>
      <c r="G486" s="2250"/>
      <c r="H486" s="1545"/>
      <c r="I486" s="2250"/>
      <c r="J486" s="1545"/>
      <c r="K486" s="2250"/>
      <c r="L486" s="1545"/>
      <c r="M486" s="2250"/>
      <c r="N486" s="1545"/>
      <c r="O486" s="2250"/>
      <c r="P486" s="1545"/>
      <c r="Q486" s="2250"/>
      <c r="R486" s="1545"/>
      <c r="S486" s="684"/>
      <c r="T486" s="1545"/>
      <c r="U486" s="684"/>
      <c r="V486" s="1545"/>
      <c r="W486" s="684"/>
      <c r="X486" s="1545"/>
      <c r="Y486" s="1545"/>
      <c r="Z486" s="1545"/>
      <c r="AA486" s="684"/>
      <c r="AB486" s="1545"/>
      <c r="AC486" s="684"/>
      <c r="AD486" s="684"/>
      <c r="AE486" s="684"/>
      <c r="AF486" s="684"/>
      <c r="AG486" s="684"/>
      <c r="AH486" s="684"/>
      <c r="AI486" s="684"/>
      <c r="AJ486" s="684"/>
      <c r="AK486" s="684"/>
      <c r="AL486" s="684"/>
      <c r="AM486" s="684"/>
      <c r="AN486" s="1545"/>
      <c r="AO486" s="1545"/>
      <c r="AP486" s="1545"/>
      <c r="AQ486" s="1545"/>
      <c r="AR486" s="1545"/>
      <c r="AS486" s="684"/>
      <c r="AT486" s="684"/>
      <c r="AU486" s="684"/>
      <c r="AV486" s="684"/>
      <c r="AW486" s="684"/>
      <c r="AX486" s="684"/>
      <c r="AY486" s="684"/>
      <c r="AZ486" s="684"/>
      <c r="BA486" s="684"/>
      <c r="BB486" s="677"/>
      <c r="BC486" s="684"/>
      <c r="BD486" s="677"/>
      <c r="BE486" s="684"/>
      <c r="BF486" s="677"/>
      <c r="BG486" s="684"/>
      <c r="BH486" s="13"/>
      <c r="BI486" s="684"/>
      <c r="BJ486" s="13"/>
      <c r="BK486" s="684"/>
      <c r="BL486" s="684"/>
      <c r="BM486" s="684"/>
      <c r="BN486" s="677"/>
      <c r="BO486" s="684"/>
      <c r="BP486" s="541"/>
      <c r="BQ486" s="633"/>
      <c r="BR486" s="541"/>
      <c r="BS486" s="541"/>
      <c r="BT486" s="541"/>
    </row>
    <row r="487" ht="15.75" customHeight="1">
      <c r="A487" s="1591"/>
      <c r="B487" s="1541"/>
      <c r="C487" s="2217"/>
      <c r="D487" s="1543"/>
      <c r="E487" s="906"/>
      <c r="F487" s="1545"/>
      <c r="G487" s="2250"/>
      <c r="H487" s="1545"/>
      <c r="I487" s="2250"/>
      <c r="J487" s="1545"/>
      <c r="K487" s="2250"/>
      <c r="L487" s="1545"/>
      <c r="M487" s="2250"/>
      <c r="N487" s="1545"/>
      <c r="O487" s="2250"/>
      <c r="P487" s="1545"/>
      <c r="Q487" s="2250"/>
      <c r="R487" s="1545"/>
      <c r="S487" s="684"/>
      <c r="T487" s="1545"/>
      <c r="U487" s="684"/>
      <c r="V487" s="1545"/>
      <c r="W487" s="684"/>
      <c r="X487" s="1545"/>
      <c r="Y487" s="1545"/>
      <c r="Z487" s="1545"/>
      <c r="AA487" s="684"/>
      <c r="AB487" s="1545"/>
      <c r="AC487" s="684"/>
      <c r="AD487" s="684"/>
      <c r="AE487" s="684"/>
      <c r="AF487" s="684"/>
      <c r="AG487" s="684"/>
      <c r="AH487" s="684"/>
      <c r="AI487" s="684"/>
      <c r="AJ487" s="684"/>
      <c r="AK487" s="684"/>
      <c r="AL487" s="684"/>
      <c r="AM487" s="684"/>
      <c r="AN487" s="1545"/>
      <c r="AO487" s="1545"/>
      <c r="AP487" s="1545"/>
      <c r="AQ487" s="1545"/>
      <c r="AR487" s="1545"/>
      <c r="AS487" s="684"/>
      <c r="AT487" s="684"/>
      <c r="AU487" s="684"/>
      <c r="AV487" s="684"/>
      <c r="AW487" s="684"/>
      <c r="AX487" s="684"/>
      <c r="AY487" s="684"/>
      <c r="AZ487" s="684"/>
      <c r="BA487" s="684"/>
      <c r="BB487" s="677"/>
      <c r="BC487" s="684"/>
      <c r="BD487" s="677"/>
      <c r="BE487" s="684"/>
      <c r="BF487" s="677"/>
      <c r="BG487" s="684"/>
      <c r="BH487" s="13"/>
      <c r="BI487" s="684"/>
      <c r="BJ487" s="13"/>
      <c r="BK487" s="684"/>
      <c r="BL487" s="684"/>
      <c r="BM487" s="684"/>
      <c r="BN487" s="677"/>
      <c r="BO487" s="684"/>
      <c r="BP487" s="541"/>
      <c r="BQ487" s="633"/>
      <c r="BR487" s="541"/>
      <c r="BS487" s="541"/>
      <c r="BT487" s="541"/>
    </row>
    <row r="488" ht="15.75" customHeight="1">
      <c r="A488" s="1591"/>
      <c r="B488" s="1541"/>
      <c r="C488" s="2217"/>
      <c r="D488" s="1543"/>
      <c r="E488" s="906"/>
      <c r="F488" s="1545"/>
      <c r="G488" s="2250"/>
      <c r="H488" s="1545"/>
      <c r="I488" s="2250"/>
      <c r="J488" s="1545"/>
      <c r="K488" s="2250"/>
      <c r="L488" s="1545"/>
      <c r="M488" s="2250"/>
      <c r="N488" s="1545"/>
      <c r="O488" s="2250"/>
      <c r="P488" s="1545"/>
      <c r="Q488" s="2250"/>
      <c r="R488" s="1545"/>
      <c r="S488" s="684"/>
      <c r="T488" s="1545"/>
      <c r="U488" s="684"/>
      <c r="V488" s="1545"/>
      <c r="W488" s="684"/>
      <c r="X488" s="1545"/>
      <c r="Y488" s="1545"/>
      <c r="Z488" s="1545"/>
      <c r="AA488" s="684"/>
      <c r="AB488" s="1545"/>
      <c r="AC488" s="684"/>
      <c r="AD488" s="684"/>
      <c r="AE488" s="684"/>
      <c r="AF488" s="684"/>
      <c r="AG488" s="684"/>
      <c r="AH488" s="684"/>
      <c r="AI488" s="684"/>
      <c r="AJ488" s="684"/>
      <c r="AK488" s="684"/>
      <c r="AL488" s="684"/>
      <c r="AM488" s="684"/>
      <c r="AN488" s="1545"/>
      <c r="AO488" s="1545"/>
      <c r="AP488" s="1545"/>
      <c r="AQ488" s="1545"/>
      <c r="AR488" s="1545"/>
      <c r="AS488" s="684"/>
      <c r="AT488" s="684"/>
      <c r="AU488" s="684"/>
      <c r="AV488" s="684"/>
      <c r="AW488" s="684"/>
      <c r="AX488" s="684"/>
      <c r="AY488" s="684"/>
      <c r="AZ488" s="684"/>
      <c r="BA488" s="684"/>
      <c r="BB488" s="677"/>
      <c r="BC488" s="684"/>
      <c r="BD488" s="677"/>
      <c r="BE488" s="684"/>
      <c r="BF488" s="677"/>
      <c r="BG488" s="684"/>
      <c r="BH488" s="13"/>
      <c r="BI488" s="684"/>
      <c r="BJ488" s="13"/>
      <c r="BK488" s="684"/>
      <c r="BL488" s="684"/>
      <c r="BM488" s="684"/>
      <c r="BN488" s="677"/>
      <c r="BO488" s="684"/>
      <c r="BP488" s="541"/>
      <c r="BQ488" s="633"/>
      <c r="BR488" s="541"/>
      <c r="BS488" s="541"/>
      <c r="BT488" s="541"/>
    </row>
    <row r="489" ht="15.75" customHeight="1">
      <c r="A489" s="1591"/>
      <c r="B489" s="1541"/>
      <c r="C489" s="2217"/>
      <c r="D489" s="1543"/>
      <c r="E489" s="906"/>
      <c r="F489" s="1545"/>
      <c r="G489" s="2250"/>
      <c r="H489" s="1545"/>
      <c r="I489" s="2250"/>
      <c r="J489" s="1545"/>
      <c r="K489" s="2250"/>
      <c r="L489" s="1545"/>
      <c r="M489" s="2250"/>
      <c r="N489" s="1545"/>
      <c r="O489" s="2250"/>
      <c r="P489" s="1545"/>
      <c r="Q489" s="2250"/>
      <c r="R489" s="1545"/>
      <c r="S489" s="684"/>
      <c r="T489" s="1545"/>
      <c r="U489" s="684"/>
      <c r="V489" s="1545"/>
      <c r="W489" s="684"/>
      <c r="X489" s="1545"/>
      <c r="Y489" s="1545"/>
      <c r="Z489" s="1545"/>
      <c r="AA489" s="684"/>
      <c r="AB489" s="1545"/>
      <c r="AC489" s="684"/>
      <c r="AD489" s="684"/>
      <c r="AE489" s="684"/>
      <c r="AF489" s="684"/>
      <c r="AG489" s="684"/>
      <c r="AH489" s="684"/>
      <c r="AI489" s="684"/>
      <c r="AJ489" s="684"/>
      <c r="AK489" s="684"/>
      <c r="AL489" s="684"/>
      <c r="AM489" s="684"/>
      <c r="AN489" s="1545"/>
      <c r="AO489" s="1545"/>
      <c r="AP489" s="1545"/>
      <c r="AQ489" s="1545"/>
      <c r="AR489" s="1545"/>
      <c r="AS489" s="684"/>
      <c r="AT489" s="684"/>
      <c r="AU489" s="684"/>
      <c r="AV489" s="684"/>
      <c r="AW489" s="684"/>
      <c r="AX489" s="684"/>
      <c r="AY489" s="684"/>
      <c r="AZ489" s="684"/>
      <c r="BA489" s="684"/>
      <c r="BB489" s="677"/>
      <c r="BC489" s="684"/>
      <c r="BD489" s="677"/>
      <c r="BE489" s="684"/>
      <c r="BF489" s="677"/>
      <c r="BG489" s="684"/>
      <c r="BH489" s="13"/>
      <c r="BI489" s="684"/>
      <c r="BJ489" s="13"/>
      <c r="BK489" s="684"/>
      <c r="BL489" s="684"/>
      <c r="BM489" s="684"/>
      <c r="BN489" s="677"/>
      <c r="BO489" s="684"/>
      <c r="BP489" s="541"/>
      <c r="BQ489" s="633"/>
      <c r="BR489" s="541"/>
      <c r="BS489" s="541"/>
      <c r="BT489" s="541"/>
    </row>
    <row r="490" ht="15.75" customHeight="1">
      <c r="A490" s="1591"/>
      <c r="B490" s="1541"/>
      <c r="C490" s="2217"/>
      <c r="D490" s="1543"/>
      <c r="E490" s="906"/>
      <c r="F490" s="1545"/>
      <c r="G490" s="2250"/>
      <c r="H490" s="1545"/>
      <c r="I490" s="2250"/>
      <c r="J490" s="1545"/>
      <c r="K490" s="2250"/>
      <c r="L490" s="1545"/>
      <c r="M490" s="2250"/>
      <c r="N490" s="1545"/>
      <c r="O490" s="2250"/>
      <c r="P490" s="1545"/>
      <c r="Q490" s="2250"/>
      <c r="R490" s="1545"/>
      <c r="S490" s="684"/>
      <c r="T490" s="1545"/>
      <c r="U490" s="684"/>
      <c r="V490" s="1545"/>
      <c r="W490" s="684"/>
      <c r="X490" s="1545"/>
      <c r="Y490" s="1545"/>
      <c r="Z490" s="1545"/>
      <c r="AA490" s="684"/>
      <c r="AB490" s="1545"/>
      <c r="AC490" s="684"/>
      <c r="AD490" s="684"/>
      <c r="AE490" s="684"/>
      <c r="AF490" s="684"/>
      <c r="AG490" s="684"/>
      <c r="AH490" s="684"/>
      <c r="AI490" s="684"/>
      <c r="AJ490" s="684"/>
      <c r="AK490" s="684"/>
      <c r="AL490" s="684"/>
      <c r="AM490" s="684"/>
      <c r="AN490" s="1545"/>
      <c r="AO490" s="1545"/>
      <c r="AP490" s="1545"/>
      <c r="AQ490" s="1545"/>
      <c r="AR490" s="1545"/>
      <c r="AS490" s="684"/>
      <c r="AT490" s="684"/>
      <c r="AU490" s="684"/>
      <c r="AV490" s="684"/>
      <c r="AW490" s="684"/>
      <c r="AX490" s="684"/>
      <c r="AY490" s="684"/>
      <c r="AZ490" s="684"/>
      <c r="BA490" s="684"/>
      <c r="BB490" s="677"/>
      <c r="BC490" s="684"/>
      <c r="BD490" s="677"/>
      <c r="BE490" s="684"/>
      <c r="BF490" s="677"/>
      <c r="BG490" s="684"/>
      <c r="BH490" s="13"/>
      <c r="BI490" s="684"/>
      <c r="BJ490" s="13"/>
      <c r="BK490" s="684"/>
      <c r="BL490" s="684"/>
      <c r="BM490" s="684"/>
      <c r="BN490" s="677"/>
      <c r="BO490" s="684"/>
      <c r="BP490" s="541"/>
      <c r="BQ490" s="633"/>
      <c r="BR490" s="541"/>
      <c r="BS490" s="541"/>
      <c r="BT490" s="541"/>
    </row>
    <row r="491" ht="15.75" customHeight="1">
      <c r="A491" s="1591"/>
      <c r="B491" s="1541"/>
      <c r="C491" s="2217"/>
      <c r="D491" s="1543"/>
      <c r="E491" s="906"/>
      <c r="F491" s="1545"/>
      <c r="G491" s="2250"/>
      <c r="H491" s="1545"/>
      <c r="I491" s="2250"/>
      <c r="J491" s="1545"/>
      <c r="K491" s="2250"/>
      <c r="L491" s="1545"/>
      <c r="M491" s="2250"/>
      <c r="N491" s="1545"/>
      <c r="O491" s="2250"/>
      <c r="P491" s="1545"/>
      <c r="Q491" s="2250"/>
      <c r="R491" s="1545"/>
      <c r="S491" s="684"/>
      <c r="T491" s="1545"/>
      <c r="U491" s="684"/>
      <c r="V491" s="1545"/>
      <c r="W491" s="684"/>
      <c r="X491" s="1545"/>
      <c r="Y491" s="1545"/>
      <c r="Z491" s="1545"/>
      <c r="AA491" s="684"/>
      <c r="AB491" s="1545"/>
      <c r="AC491" s="684"/>
      <c r="AD491" s="684"/>
      <c r="AE491" s="684"/>
      <c r="AF491" s="684"/>
      <c r="AG491" s="684"/>
      <c r="AH491" s="684"/>
      <c r="AI491" s="684"/>
      <c r="AJ491" s="684"/>
      <c r="AK491" s="684"/>
      <c r="AL491" s="684"/>
      <c r="AM491" s="684"/>
      <c r="AN491" s="1545"/>
      <c r="AO491" s="1545"/>
      <c r="AP491" s="1545"/>
      <c r="AQ491" s="1545"/>
      <c r="AR491" s="1545"/>
      <c r="AS491" s="684"/>
      <c r="AT491" s="684"/>
      <c r="AU491" s="684"/>
      <c r="AV491" s="684"/>
      <c r="AW491" s="684"/>
      <c r="AX491" s="684"/>
      <c r="AY491" s="684"/>
      <c r="AZ491" s="684"/>
      <c r="BA491" s="684"/>
      <c r="BB491" s="677"/>
      <c r="BC491" s="684"/>
      <c r="BD491" s="677"/>
      <c r="BE491" s="684"/>
      <c r="BF491" s="677"/>
      <c r="BG491" s="684"/>
      <c r="BH491" s="13"/>
      <c r="BI491" s="684"/>
      <c r="BJ491" s="13"/>
      <c r="BK491" s="684"/>
      <c r="BL491" s="684"/>
      <c r="BM491" s="684"/>
      <c r="BN491" s="677"/>
      <c r="BO491" s="684"/>
      <c r="BP491" s="541"/>
      <c r="BQ491" s="633"/>
      <c r="BR491" s="541"/>
      <c r="BS491" s="541"/>
      <c r="BT491" s="541"/>
    </row>
    <row r="492" ht="15.75" customHeight="1">
      <c r="A492" s="1591"/>
      <c r="B492" s="1541"/>
      <c r="C492" s="2217"/>
      <c r="D492" s="1543"/>
      <c r="E492" s="906"/>
      <c r="F492" s="1545"/>
      <c r="G492" s="2250"/>
      <c r="H492" s="1545"/>
      <c r="I492" s="2250"/>
      <c r="J492" s="1545"/>
      <c r="K492" s="2250"/>
      <c r="L492" s="1545"/>
      <c r="M492" s="2250"/>
      <c r="N492" s="1545"/>
      <c r="O492" s="2250"/>
      <c r="P492" s="1545"/>
      <c r="Q492" s="2250"/>
      <c r="R492" s="1545"/>
      <c r="S492" s="684"/>
      <c r="T492" s="1545"/>
      <c r="U492" s="684"/>
      <c r="V492" s="1545"/>
      <c r="W492" s="684"/>
      <c r="X492" s="1545"/>
      <c r="Y492" s="1545"/>
      <c r="Z492" s="1545"/>
      <c r="AA492" s="684"/>
      <c r="AB492" s="1545"/>
      <c r="AC492" s="684"/>
      <c r="AD492" s="684"/>
      <c r="AE492" s="684"/>
      <c r="AF492" s="684"/>
      <c r="AG492" s="684"/>
      <c r="AH492" s="684"/>
      <c r="AI492" s="684"/>
      <c r="AJ492" s="684"/>
      <c r="AK492" s="684"/>
      <c r="AL492" s="684"/>
      <c r="AM492" s="684"/>
      <c r="AN492" s="1545"/>
      <c r="AO492" s="1545"/>
      <c r="AP492" s="1545"/>
      <c r="AQ492" s="1545"/>
      <c r="AR492" s="1545"/>
      <c r="AS492" s="684"/>
      <c r="AT492" s="684"/>
      <c r="AU492" s="684"/>
      <c r="AV492" s="684"/>
      <c r="AW492" s="684"/>
      <c r="AX492" s="684"/>
      <c r="AY492" s="684"/>
      <c r="AZ492" s="684"/>
      <c r="BA492" s="684"/>
      <c r="BB492" s="677"/>
      <c r="BC492" s="684"/>
      <c r="BD492" s="677"/>
      <c r="BE492" s="684"/>
      <c r="BF492" s="677"/>
      <c r="BG492" s="684"/>
      <c r="BH492" s="13"/>
      <c r="BI492" s="684"/>
      <c r="BJ492" s="13"/>
      <c r="BK492" s="684"/>
      <c r="BL492" s="684"/>
      <c r="BM492" s="684"/>
      <c r="BN492" s="677"/>
      <c r="BO492" s="684"/>
      <c r="BP492" s="541"/>
      <c r="BQ492" s="633"/>
      <c r="BR492" s="541"/>
      <c r="BS492" s="541"/>
      <c r="BT492" s="541"/>
    </row>
    <row r="493" ht="15.75" customHeight="1">
      <c r="A493" s="1591"/>
      <c r="B493" s="1541"/>
      <c r="C493" s="2217"/>
      <c r="D493" s="1543"/>
      <c r="E493" s="906"/>
      <c r="F493" s="1545"/>
      <c r="G493" s="2250"/>
      <c r="H493" s="1545"/>
      <c r="I493" s="2250"/>
      <c r="J493" s="1545"/>
      <c r="K493" s="2250"/>
      <c r="L493" s="1545"/>
      <c r="M493" s="2250"/>
      <c r="N493" s="1545"/>
      <c r="O493" s="2250"/>
      <c r="P493" s="1545"/>
      <c r="Q493" s="2250"/>
      <c r="R493" s="1545"/>
      <c r="S493" s="684"/>
      <c r="T493" s="1545"/>
      <c r="U493" s="684"/>
      <c r="V493" s="1545"/>
      <c r="W493" s="684"/>
      <c r="X493" s="1545"/>
      <c r="Y493" s="1545"/>
      <c r="Z493" s="1545"/>
      <c r="AA493" s="684"/>
      <c r="AB493" s="1545"/>
      <c r="AC493" s="684"/>
      <c r="AD493" s="684"/>
      <c r="AE493" s="684"/>
      <c r="AF493" s="684"/>
      <c r="AG493" s="684"/>
      <c r="AH493" s="684"/>
      <c r="AI493" s="684"/>
      <c r="AJ493" s="684"/>
      <c r="AK493" s="684"/>
      <c r="AL493" s="684"/>
      <c r="AM493" s="684"/>
      <c r="AN493" s="1545"/>
      <c r="AO493" s="1545"/>
      <c r="AP493" s="1545"/>
      <c r="AQ493" s="1545"/>
      <c r="AR493" s="1545"/>
      <c r="AS493" s="684"/>
      <c r="AT493" s="684"/>
      <c r="AU493" s="684"/>
      <c r="AV493" s="684"/>
      <c r="AW493" s="684"/>
      <c r="AX493" s="684"/>
      <c r="AY493" s="684"/>
      <c r="AZ493" s="684"/>
      <c r="BA493" s="684"/>
      <c r="BB493" s="677"/>
      <c r="BC493" s="684"/>
      <c r="BD493" s="677"/>
      <c r="BE493" s="684"/>
      <c r="BF493" s="677"/>
      <c r="BG493" s="684"/>
      <c r="BH493" s="13"/>
      <c r="BI493" s="684"/>
      <c r="BJ493" s="13"/>
      <c r="BK493" s="684"/>
      <c r="BL493" s="684"/>
      <c r="BM493" s="684"/>
      <c r="BN493" s="677"/>
      <c r="BO493" s="684"/>
      <c r="BP493" s="541"/>
      <c r="BQ493" s="633"/>
      <c r="BR493" s="541"/>
      <c r="BS493" s="541"/>
      <c r="BT493" s="541"/>
    </row>
    <row r="494" ht="15.75" customHeight="1">
      <c r="A494" s="1591"/>
      <c r="B494" s="1541"/>
      <c r="C494" s="2217"/>
      <c r="D494" s="1543"/>
      <c r="E494" s="906"/>
      <c r="F494" s="1545"/>
      <c r="G494" s="2250"/>
      <c r="H494" s="1545"/>
      <c r="I494" s="2250"/>
      <c r="J494" s="1545"/>
      <c r="K494" s="2250"/>
      <c r="L494" s="1545"/>
      <c r="M494" s="2250"/>
      <c r="N494" s="1545"/>
      <c r="O494" s="2250"/>
      <c r="P494" s="1545"/>
      <c r="Q494" s="2250"/>
      <c r="R494" s="1545"/>
      <c r="S494" s="684"/>
      <c r="T494" s="1545"/>
      <c r="U494" s="684"/>
      <c r="V494" s="1545"/>
      <c r="W494" s="684"/>
      <c r="X494" s="1545"/>
      <c r="Y494" s="1545"/>
      <c r="Z494" s="1545"/>
      <c r="AA494" s="684"/>
      <c r="AB494" s="1545"/>
      <c r="AC494" s="684"/>
      <c r="AD494" s="684"/>
      <c r="AE494" s="684"/>
      <c r="AF494" s="684"/>
      <c r="AG494" s="684"/>
      <c r="AH494" s="684"/>
      <c r="AI494" s="684"/>
      <c r="AJ494" s="684"/>
      <c r="AK494" s="684"/>
      <c r="AL494" s="684"/>
      <c r="AM494" s="684"/>
      <c r="AN494" s="1545"/>
      <c r="AO494" s="1545"/>
      <c r="AP494" s="1545"/>
      <c r="AQ494" s="1545"/>
      <c r="AR494" s="1545"/>
      <c r="AS494" s="684"/>
      <c r="AT494" s="684"/>
      <c r="AU494" s="684"/>
      <c r="AV494" s="684"/>
      <c r="AW494" s="684"/>
      <c r="AX494" s="684"/>
      <c r="AY494" s="684"/>
      <c r="AZ494" s="684"/>
      <c r="BA494" s="684"/>
      <c r="BB494" s="677"/>
      <c r="BC494" s="684"/>
      <c r="BD494" s="677"/>
      <c r="BE494" s="684"/>
      <c r="BF494" s="677"/>
      <c r="BG494" s="684"/>
      <c r="BH494" s="13"/>
      <c r="BI494" s="684"/>
      <c r="BJ494" s="13"/>
      <c r="BK494" s="684"/>
      <c r="BL494" s="684"/>
      <c r="BM494" s="684"/>
      <c r="BN494" s="677"/>
      <c r="BO494" s="684"/>
      <c r="BP494" s="541"/>
      <c r="BQ494" s="633"/>
      <c r="BR494" s="541"/>
      <c r="BS494" s="541"/>
      <c r="BT494" s="541"/>
    </row>
    <row r="495" ht="15.75" customHeight="1">
      <c r="A495" s="1591"/>
      <c r="B495" s="1541"/>
      <c r="C495" s="2217"/>
      <c r="D495" s="1543"/>
      <c r="E495" s="906"/>
      <c r="F495" s="1545"/>
      <c r="G495" s="2250"/>
      <c r="H495" s="1545"/>
      <c r="I495" s="2250"/>
      <c r="J495" s="1545"/>
      <c r="K495" s="2250"/>
      <c r="L495" s="1545"/>
      <c r="M495" s="2250"/>
      <c r="N495" s="1545"/>
      <c r="O495" s="2250"/>
      <c r="P495" s="1545"/>
      <c r="Q495" s="2250"/>
      <c r="R495" s="1545"/>
      <c r="S495" s="684"/>
      <c r="T495" s="1545"/>
      <c r="U495" s="684"/>
      <c r="V495" s="1545"/>
      <c r="W495" s="684"/>
      <c r="X495" s="1545"/>
      <c r="Y495" s="1545"/>
      <c r="Z495" s="1545"/>
      <c r="AA495" s="684"/>
      <c r="AB495" s="1545"/>
      <c r="AC495" s="684"/>
      <c r="AD495" s="684"/>
      <c r="AE495" s="684"/>
      <c r="AF495" s="684"/>
      <c r="AG495" s="684"/>
      <c r="AH495" s="684"/>
      <c r="AI495" s="684"/>
      <c r="AJ495" s="684"/>
      <c r="AK495" s="684"/>
      <c r="AL495" s="684"/>
      <c r="AM495" s="684"/>
      <c r="AN495" s="1545"/>
      <c r="AO495" s="1545"/>
      <c r="AP495" s="1545"/>
      <c r="AQ495" s="1545"/>
      <c r="AR495" s="1545"/>
      <c r="AS495" s="684"/>
      <c r="AT495" s="684"/>
      <c r="AU495" s="684"/>
      <c r="AV495" s="684"/>
      <c r="AW495" s="684"/>
      <c r="AX495" s="684"/>
      <c r="AY495" s="684"/>
      <c r="AZ495" s="684"/>
      <c r="BA495" s="684"/>
      <c r="BB495" s="677"/>
      <c r="BC495" s="684"/>
      <c r="BD495" s="677"/>
      <c r="BE495" s="684"/>
      <c r="BF495" s="677"/>
      <c r="BG495" s="684"/>
      <c r="BH495" s="13"/>
      <c r="BI495" s="684"/>
      <c r="BJ495" s="13"/>
      <c r="BK495" s="684"/>
      <c r="BL495" s="684"/>
      <c r="BM495" s="684"/>
      <c r="BN495" s="677"/>
      <c r="BO495" s="684"/>
      <c r="BP495" s="541"/>
      <c r="BQ495" s="633"/>
      <c r="BR495" s="541"/>
      <c r="BS495" s="541"/>
      <c r="BT495" s="541"/>
    </row>
    <row r="496" ht="15.75" customHeight="1">
      <c r="A496" s="1591"/>
      <c r="B496" s="1541"/>
      <c r="C496" s="2217"/>
      <c r="D496" s="1543"/>
      <c r="E496" s="906"/>
      <c r="F496" s="1545"/>
      <c r="G496" s="2250"/>
      <c r="H496" s="1545"/>
      <c r="I496" s="2250"/>
      <c r="J496" s="1545"/>
      <c r="K496" s="2250"/>
      <c r="L496" s="1545"/>
      <c r="M496" s="2250"/>
      <c r="N496" s="1545"/>
      <c r="O496" s="2250"/>
      <c r="P496" s="1545"/>
      <c r="Q496" s="2250"/>
      <c r="R496" s="1545"/>
      <c r="S496" s="684"/>
      <c r="T496" s="1545"/>
      <c r="U496" s="684"/>
      <c r="V496" s="1545"/>
      <c r="W496" s="684"/>
      <c r="X496" s="1545"/>
      <c r="Y496" s="1545"/>
      <c r="Z496" s="1545"/>
      <c r="AA496" s="684"/>
      <c r="AB496" s="1545"/>
      <c r="AC496" s="684"/>
      <c r="AD496" s="684"/>
      <c r="AE496" s="684"/>
      <c r="AF496" s="684"/>
      <c r="AG496" s="684"/>
      <c r="AH496" s="684"/>
      <c r="AI496" s="684"/>
      <c r="AJ496" s="684"/>
      <c r="AK496" s="684"/>
      <c r="AL496" s="684"/>
      <c r="AM496" s="684"/>
      <c r="AN496" s="1545"/>
      <c r="AO496" s="1545"/>
      <c r="AP496" s="1545"/>
      <c r="AQ496" s="1545"/>
      <c r="AR496" s="1545"/>
      <c r="AS496" s="684"/>
      <c r="AT496" s="684"/>
      <c r="AU496" s="684"/>
      <c r="AV496" s="684"/>
      <c r="AW496" s="684"/>
      <c r="AX496" s="684"/>
      <c r="AY496" s="684"/>
      <c r="AZ496" s="684"/>
      <c r="BA496" s="684"/>
      <c r="BB496" s="677"/>
      <c r="BC496" s="684"/>
      <c r="BD496" s="677"/>
      <c r="BE496" s="684"/>
      <c r="BF496" s="677"/>
      <c r="BG496" s="684"/>
      <c r="BH496" s="13"/>
      <c r="BI496" s="684"/>
      <c r="BJ496" s="13"/>
      <c r="BK496" s="684"/>
      <c r="BL496" s="684"/>
      <c r="BM496" s="684"/>
      <c r="BN496" s="677"/>
      <c r="BO496" s="684"/>
      <c r="BP496" s="541"/>
      <c r="BQ496" s="633"/>
      <c r="BR496" s="541"/>
      <c r="BS496" s="541"/>
      <c r="BT496" s="541"/>
    </row>
    <row r="497" ht="15.75" customHeight="1">
      <c r="A497" s="1591"/>
      <c r="B497" s="1541"/>
      <c r="C497" s="2217"/>
      <c r="D497" s="1543"/>
      <c r="E497" s="906"/>
      <c r="F497" s="1545"/>
      <c r="G497" s="2250"/>
      <c r="H497" s="1545"/>
      <c r="I497" s="2250"/>
      <c r="J497" s="1545"/>
      <c r="K497" s="2250"/>
      <c r="L497" s="1545"/>
      <c r="M497" s="2250"/>
      <c r="N497" s="1545"/>
      <c r="O497" s="2250"/>
      <c r="P497" s="1545"/>
      <c r="Q497" s="2250"/>
      <c r="R497" s="1545"/>
      <c r="S497" s="684"/>
      <c r="T497" s="1545"/>
      <c r="U497" s="684"/>
      <c r="V497" s="1545"/>
      <c r="W497" s="684"/>
      <c r="X497" s="1545"/>
      <c r="Y497" s="1545"/>
      <c r="Z497" s="1545"/>
      <c r="AA497" s="684"/>
      <c r="AB497" s="1545"/>
      <c r="AC497" s="684"/>
      <c r="AD497" s="684"/>
      <c r="AE497" s="684"/>
      <c r="AF497" s="684"/>
      <c r="AG497" s="684"/>
      <c r="AH497" s="684"/>
      <c r="AI497" s="684"/>
      <c r="AJ497" s="684"/>
      <c r="AK497" s="684"/>
      <c r="AL497" s="684"/>
      <c r="AM497" s="684"/>
      <c r="AN497" s="1545"/>
      <c r="AO497" s="1545"/>
      <c r="AP497" s="1545"/>
      <c r="AQ497" s="1545"/>
      <c r="AR497" s="1545"/>
      <c r="AS497" s="684"/>
      <c r="AT497" s="684"/>
      <c r="AU497" s="684"/>
      <c r="AV497" s="684"/>
      <c r="AW497" s="684"/>
      <c r="AX497" s="684"/>
      <c r="AY497" s="684"/>
      <c r="AZ497" s="684"/>
      <c r="BA497" s="684"/>
      <c r="BB497" s="677"/>
      <c r="BC497" s="684"/>
      <c r="BD497" s="677"/>
      <c r="BE497" s="684"/>
      <c r="BF497" s="677"/>
      <c r="BG497" s="684"/>
      <c r="BH497" s="13"/>
      <c r="BI497" s="684"/>
      <c r="BJ497" s="13"/>
      <c r="BK497" s="684"/>
      <c r="BL497" s="684"/>
      <c r="BM497" s="684"/>
      <c r="BN497" s="677"/>
      <c r="BO497" s="684"/>
      <c r="BP497" s="541"/>
      <c r="BQ497" s="633"/>
      <c r="BR497" s="541"/>
      <c r="BS497" s="541"/>
      <c r="BT497" s="541"/>
    </row>
    <row r="498" ht="15.75" customHeight="1">
      <c r="A498" s="1591"/>
      <c r="B498" s="1541"/>
      <c r="C498" s="2217"/>
      <c r="D498" s="1543"/>
      <c r="E498" s="906"/>
      <c r="F498" s="1545"/>
      <c r="G498" s="2250"/>
      <c r="H498" s="1545"/>
      <c r="I498" s="2250"/>
      <c r="J498" s="1545"/>
      <c r="K498" s="2250"/>
      <c r="L498" s="1545"/>
      <c r="M498" s="2250"/>
      <c r="N498" s="1545"/>
      <c r="O498" s="2250"/>
      <c r="P498" s="1545"/>
      <c r="Q498" s="2250"/>
      <c r="R498" s="1545"/>
      <c r="S498" s="684"/>
      <c r="T498" s="1545"/>
      <c r="U498" s="684"/>
      <c r="V498" s="1545"/>
      <c r="W498" s="684"/>
      <c r="X498" s="1545"/>
      <c r="Y498" s="1545"/>
      <c r="Z498" s="1545"/>
      <c r="AA498" s="684"/>
      <c r="AB498" s="1545"/>
      <c r="AC498" s="684"/>
      <c r="AD498" s="684"/>
      <c r="AE498" s="684"/>
      <c r="AF498" s="684"/>
      <c r="AG498" s="684"/>
      <c r="AH498" s="684"/>
      <c r="AI498" s="684"/>
      <c r="AJ498" s="684"/>
      <c r="AK498" s="684"/>
      <c r="AL498" s="684"/>
      <c r="AM498" s="684"/>
      <c r="AN498" s="1545"/>
      <c r="AO498" s="1545"/>
      <c r="AP498" s="1545"/>
      <c r="AQ498" s="1545"/>
      <c r="AR498" s="1545"/>
      <c r="AS498" s="684"/>
      <c r="AT498" s="684"/>
      <c r="AU498" s="684"/>
      <c r="AV498" s="684"/>
      <c r="AW498" s="684"/>
      <c r="AX498" s="684"/>
      <c r="AY498" s="684"/>
      <c r="AZ498" s="684"/>
      <c r="BA498" s="684"/>
      <c r="BB498" s="677"/>
      <c r="BC498" s="684"/>
      <c r="BD498" s="677"/>
      <c r="BE498" s="684"/>
      <c r="BF498" s="677"/>
      <c r="BG498" s="684"/>
      <c r="BH498" s="13"/>
      <c r="BI498" s="684"/>
      <c r="BJ498" s="13"/>
      <c r="BK498" s="684"/>
      <c r="BL498" s="684"/>
      <c r="BM498" s="684"/>
      <c r="BN498" s="677"/>
      <c r="BO498" s="684"/>
      <c r="BP498" s="541"/>
      <c r="BQ498" s="633"/>
      <c r="BR498" s="541"/>
      <c r="BS498" s="541"/>
      <c r="BT498" s="541"/>
    </row>
    <row r="499" ht="15.75" customHeight="1">
      <c r="A499" s="1591"/>
      <c r="B499" s="1541"/>
      <c r="C499" s="2217"/>
      <c r="D499" s="1543"/>
      <c r="E499" s="906"/>
      <c r="F499" s="1545"/>
      <c r="G499" s="2250"/>
      <c r="H499" s="1545"/>
      <c r="I499" s="2250"/>
      <c r="J499" s="1545"/>
      <c r="K499" s="2250"/>
      <c r="L499" s="1545"/>
      <c r="M499" s="2250"/>
      <c r="N499" s="1545"/>
      <c r="O499" s="2250"/>
      <c r="P499" s="1545"/>
      <c r="Q499" s="2250"/>
      <c r="R499" s="1545"/>
      <c r="S499" s="684"/>
      <c r="T499" s="1545"/>
      <c r="U499" s="684"/>
      <c r="V499" s="1545"/>
      <c r="W499" s="684"/>
      <c r="X499" s="1545"/>
      <c r="Y499" s="1545"/>
      <c r="Z499" s="1545"/>
      <c r="AA499" s="684"/>
      <c r="AB499" s="1545"/>
      <c r="AC499" s="684"/>
      <c r="AD499" s="684"/>
      <c r="AE499" s="684"/>
      <c r="AF499" s="684"/>
      <c r="AG499" s="684"/>
      <c r="AH499" s="684"/>
      <c r="AI499" s="684"/>
      <c r="AJ499" s="684"/>
      <c r="AK499" s="684"/>
      <c r="AL499" s="684"/>
      <c r="AM499" s="684"/>
      <c r="AN499" s="1545"/>
      <c r="AO499" s="1545"/>
      <c r="AP499" s="1545"/>
      <c r="AQ499" s="1545"/>
      <c r="AR499" s="1545"/>
      <c r="AS499" s="684"/>
      <c r="AT499" s="684"/>
      <c r="AU499" s="684"/>
      <c r="AV499" s="684"/>
      <c r="AW499" s="684"/>
      <c r="AX499" s="684"/>
      <c r="AY499" s="684"/>
      <c r="AZ499" s="684"/>
      <c r="BA499" s="684"/>
      <c r="BB499" s="677"/>
      <c r="BC499" s="684"/>
      <c r="BD499" s="677"/>
      <c r="BE499" s="684"/>
      <c r="BF499" s="677"/>
      <c r="BG499" s="684"/>
      <c r="BH499" s="13"/>
      <c r="BI499" s="684"/>
      <c r="BJ499" s="13"/>
      <c r="BK499" s="684"/>
      <c r="BL499" s="684"/>
      <c r="BM499" s="684"/>
      <c r="BN499" s="677"/>
      <c r="BO499" s="684"/>
      <c r="BP499" s="541"/>
      <c r="BQ499" s="633"/>
      <c r="BR499" s="541"/>
      <c r="BS499" s="541"/>
      <c r="BT499" s="541"/>
    </row>
    <row r="500" ht="15.75" customHeight="1">
      <c r="A500" s="1591"/>
      <c r="B500" s="1541"/>
      <c r="C500" s="2217"/>
      <c r="D500" s="1543"/>
      <c r="E500" s="906"/>
      <c r="F500" s="1545"/>
      <c r="G500" s="2250"/>
      <c r="H500" s="1545"/>
      <c r="I500" s="2250"/>
      <c r="J500" s="1545"/>
      <c r="K500" s="2250"/>
      <c r="L500" s="1545"/>
      <c r="M500" s="2250"/>
      <c r="N500" s="1545"/>
      <c r="O500" s="2250"/>
      <c r="P500" s="1545"/>
      <c r="Q500" s="2250"/>
      <c r="R500" s="1545"/>
      <c r="S500" s="684"/>
      <c r="T500" s="1545"/>
      <c r="U500" s="684"/>
      <c r="V500" s="1545"/>
      <c r="W500" s="684"/>
      <c r="X500" s="1545"/>
      <c r="Y500" s="1545"/>
      <c r="Z500" s="1545"/>
      <c r="AA500" s="684"/>
      <c r="AB500" s="1545"/>
      <c r="AC500" s="684"/>
      <c r="AD500" s="684"/>
      <c r="AE500" s="684"/>
      <c r="AF500" s="684"/>
      <c r="AG500" s="684"/>
      <c r="AH500" s="684"/>
      <c r="AI500" s="684"/>
      <c r="AJ500" s="684"/>
      <c r="AK500" s="684"/>
      <c r="AL500" s="684"/>
      <c r="AM500" s="684"/>
      <c r="AN500" s="1545"/>
      <c r="AO500" s="1545"/>
      <c r="AP500" s="1545"/>
      <c r="AQ500" s="1545"/>
      <c r="AR500" s="1545"/>
      <c r="AS500" s="684"/>
      <c r="AT500" s="684"/>
      <c r="AU500" s="684"/>
      <c r="AV500" s="684"/>
      <c r="AW500" s="684"/>
      <c r="AX500" s="684"/>
      <c r="AY500" s="684"/>
      <c r="AZ500" s="684"/>
      <c r="BA500" s="684"/>
      <c r="BB500" s="677"/>
      <c r="BC500" s="684"/>
      <c r="BD500" s="677"/>
      <c r="BE500" s="684"/>
      <c r="BF500" s="677"/>
      <c r="BG500" s="684"/>
      <c r="BH500" s="13"/>
      <c r="BI500" s="684"/>
      <c r="BJ500" s="13"/>
      <c r="BK500" s="684"/>
      <c r="BL500" s="684"/>
      <c r="BM500" s="684"/>
      <c r="BN500" s="677"/>
      <c r="BO500" s="684"/>
      <c r="BP500" s="541"/>
      <c r="BQ500" s="633"/>
      <c r="BR500" s="541"/>
      <c r="BS500" s="541"/>
      <c r="BT500" s="541"/>
    </row>
    <row r="501" ht="15.75" customHeight="1">
      <c r="A501" s="1591"/>
      <c r="B501" s="1541"/>
      <c r="C501" s="2217"/>
      <c r="D501" s="1543"/>
      <c r="E501" s="906"/>
      <c r="F501" s="1545"/>
      <c r="G501" s="2250"/>
      <c r="H501" s="1545"/>
      <c r="I501" s="2250"/>
      <c r="J501" s="1545"/>
      <c r="K501" s="2250"/>
      <c r="L501" s="1545"/>
      <c r="M501" s="2250"/>
      <c r="N501" s="1545"/>
      <c r="O501" s="2250"/>
      <c r="P501" s="1545"/>
      <c r="Q501" s="2250"/>
      <c r="R501" s="1545"/>
      <c r="S501" s="684"/>
      <c r="T501" s="1545"/>
      <c r="U501" s="684"/>
      <c r="V501" s="1545"/>
      <c r="W501" s="684"/>
      <c r="X501" s="1545"/>
      <c r="Y501" s="1545"/>
      <c r="Z501" s="1545"/>
      <c r="AA501" s="684"/>
      <c r="AB501" s="1545"/>
      <c r="AC501" s="684"/>
      <c r="AD501" s="684"/>
      <c r="AE501" s="684"/>
      <c r="AF501" s="684"/>
      <c r="AG501" s="684"/>
      <c r="AH501" s="684"/>
      <c r="AI501" s="684"/>
      <c r="AJ501" s="684"/>
      <c r="AK501" s="684"/>
      <c r="AL501" s="684"/>
      <c r="AM501" s="684"/>
      <c r="AN501" s="1545"/>
      <c r="AO501" s="1545"/>
      <c r="AP501" s="1545"/>
      <c r="AQ501" s="1545"/>
      <c r="AR501" s="1545"/>
      <c r="AS501" s="684"/>
      <c r="AT501" s="684"/>
      <c r="AU501" s="684"/>
      <c r="AV501" s="684"/>
      <c r="AW501" s="684"/>
      <c r="AX501" s="684"/>
      <c r="AY501" s="684"/>
      <c r="AZ501" s="684"/>
      <c r="BA501" s="684"/>
      <c r="BB501" s="677"/>
      <c r="BC501" s="684"/>
      <c r="BD501" s="677"/>
      <c r="BE501" s="684"/>
      <c r="BF501" s="677"/>
      <c r="BG501" s="684"/>
      <c r="BH501" s="13"/>
      <c r="BI501" s="684"/>
      <c r="BJ501" s="13"/>
      <c r="BK501" s="684"/>
      <c r="BL501" s="684"/>
      <c r="BM501" s="684"/>
      <c r="BN501" s="677"/>
      <c r="BO501" s="684"/>
      <c r="BP501" s="541"/>
      <c r="BQ501" s="633"/>
      <c r="BR501" s="541"/>
      <c r="BS501" s="541"/>
      <c r="BT501" s="541"/>
    </row>
    <row r="502" ht="15.75" customHeight="1">
      <c r="A502" s="1591"/>
      <c r="B502" s="1541"/>
      <c r="C502" s="2217"/>
      <c r="D502" s="1543"/>
      <c r="E502" s="906"/>
      <c r="F502" s="1545"/>
      <c r="G502" s="2250"/>
      <c r="H502" s="1545"/>
      <c r="I502" s="2250"/>
      <c r="J502" s="1545"/>
      <c r="K502" s="2250"/>
      <c r="L502" s="1545"/>
      <c r="M502" s="2250"/>
      <c r="N502" s="1545"/>
      <c r="O502" s="2250"/>
      <c r="P502" s="1545"/>
      <c r="Q502" s="2250"/>
      <c r="R502" s="1545"/>
      <c r="S502" s="684"/>
      <c r="T502" s="1545"/>
      <c r="U502" s="684"/>
      <c r="V502" s="1545"/>
      <c r="W502" s="684"/>
      <c r="X502" s="1545"/>
      <c r="Y502" s="1545"/>
      <c r="Z502" s="1545"/>
      <c r="AA502" s="684"/>
      <c r="AB502" s="1545"/>
      <c r="AC502" s="684"/>
      <c r="AD502" s="684"/>
      <c r="AE502" s="684"/>
      <c r="AF502" s="684"/>
      <c r="AG502" s="684"/>
      <c r="AH502" s="684"/>
      <c r="AI502" s="684"/>
      <c r="AJ502" s="684"/>
      <c r="AK502" s="684"/>
      <c r="AL502" s="684"/>
      <c r="AM502" s="684"/>
      <c r="AN502" s="1545"/>
      <c r="AO502" s="1545"/>
      <c r="AP502" s="1545"/>
      <c r="AQ502" s="1545"/>
      <c r="AR502" s="1545"/>
      <c r="AS502" s="684"/>
      <c r="AT502" s="684"/>
      <c r="AU502" s="684"/>
      <c r="AV502" s="684"/>
      <c r="AW502" s="684"/>
      <c r="AX502" s="684"/>
      <c r="AY502" s="684"/>
      <c r="AZ502" s="684"/>
      <c r="BA502" s="684"/>
      <c r="BB502" s="677"/>
      <c r="BC502" s="684"/>
      <c r="BD502" s="677"/>
      <c r="BE502" s="684"/>
      <c r="BF502" s="677"/>
      <c r="BG502" s="684"/>
      <c r="BH502" s="13"/>
      <c r="BI502" s="684"/>
      <c r="BJ502" s="13"/>
      <c r="BK502" s="684"/>
      <c r="BL502" s="684"/>
      <c r="BM502" s="684"/>
      <c r="BN502" s="677"/>
      <c r="BO502" s="684"/>
      <c r="BP502" s="541"/>
      <c r="BQ502" s="633"/>
      <c r="BR502" s="541"/>
      <c r="BS502" s="541"/>
      <c r="BT502" s="541"/>
    </row>
    <row r="503" ht="15.75" customHeight="1">
      <c r="A503" s="1591"/>
      <c r="B503" s="1541"/>
      <c r="C503" s="2217"/>
      <c r="D503" s="1543"/>
      <c r="E503" s="906"/>
      <c r="F503" s="1545"/>
      <c r="G503" s="2250"/>
      <c r="H503" s="1545"/>
      <c r="I503" s="2250"/>
      <c r="J503" s="1545"/>
      <c r="K503" s="2250"/>
      <c r="L503" s="1545"/>
      <c r="M503" s="2250"/>
      <c r="N503" s="1545"/>
      <c r="O503" s="2250"/>
      <c r="P503" s="1545"/>
      <c r="Q503" s="2250"/>
      <c r="R503" s="1545"/>
      <c r="S503" s="684"/>
      <c r="T503" s="1545"/>
      <c r="U503" s="684"/>
      <c r="V503" s="1545"/>
      <c r="W503" s="684"/>
      <c r="X503" s="1545"/>
      <c r="Y503" s="1545"/>
      <c r="Z503" s="1545"/>
      <c r="AA503" s="684"/>
      <c r="AB503" s="1545"/>
      <c r="AC503" s="684"/>
      <c r="AD503" s="684"/>
      <c r="AE503" s="684"/>
      <c r="AF503" s="684"/>
      <c r="AG503" s="684"/>
      <c r="AH503" s="684"/>
      <c r="AI503" s="684"/>
      <c r="AJ503" s="684"/>
      <c r="AK503" s="684"/>
      <c r="AL503" s="684"/>
      <c r="AM503" s="684"/>
      <c r="AN503" s="1545"/>
      <c r="AO503" s="1545"/>
      <c r="AP503" s="1545"/>
      <c r="AQ503" s="1545"/>
      <c r="AR503" s="1545"/>
      <c r="AS503" s="684"/>
      <c r="AT503" s="684"/>
      <c r="AU503" s="684"/>
      <c r="AV503" s="684"/>
      <c r="AW503" s="684"/>
      <c r="AX503" s="684"/>
      <c r="AY503" s="684"/>
      <c r="AZ503" s="684"/>
      <c r="BA503" s="684"/>
      <c r="BB503" s="677"/>
      <c r="BC503" s="684"/>
      <c r="BD503" s="677"/>
      <c r="BE503" s="684"/>
      <c r="BF503" s="677"/>
      <c r="BG503" s="684"/>
      <c r="BH503" s="13"/>
      <c r="BI503" s="684"/>
      <c r="BJ503" s="13"/>
      <c r="BK503" s="684"/>
      <c r="BL503" s="684"/>
      <c r="BM503" s="684"/>
      <c r="BN503" s="677"/>
      <c r="BO503" s="684"/>
      <c r="BP503" s="541"/>
      <c r="BQ503" s="633"/>
      <c r="BR503" s="541"/>
      <c r="BS503" s="541"/>
      <c r="BT503" s="541"/>
    </row>
    <row r="504" ht="15.75" customHeight="1">
      <c r="A504" s="1591"/>
      <c r="B504" s="1541"/>
      <c r="C504" s="2217"/>
      <c r="D504" s="1543"/>
      <c r="E504" s="906"/>
      <c r="F504" s="1545"/>
      <c r="G504" s="2250"/>
      <c r="H504" s="1545"/>
      <c r="I504" s="2250"/>
      <c r="J504" s="1545"/>
      <c r="K504" s="2250"/>
      <c r="L504" s="1545"/>
      <c r="M504" s="2250"/>
      <c r="N504" s="1545"/>
      <c r="O504" s="2250"/>
      <c r="P504" s="1545"/>
      <c r="Q504" s="2250"/>
      <c r="R504" s="1545"/>
      <c r="S504" s="684"/>
      <c r="T504" s="1545"/>
      <c r="U504" s="684"/>
      <c r="V504" s="1545"/>
      <c r="W504" s="684"/>
      <c r="X504" s="1545"/>
      <c r="Y504" s="1545"/>
      <c r="Z504" s="1545"/>
      <c r="AA504" s="684"/>
      <c r="AB504" s="1545"/>
      <c r="AC504" s="684"/>
      <c r="AD504" s="684"/>
      <c r="AE504" s="684"/>
      <c r="AF504" s="684"/>
      <c r="AG504" s="684"/>
      <c r="AH504" s="684"/>
      <c r="AI504" s="684"/>
      <c r="AJ504" s="684"/>
      <c r="AK504" s="684"/>
      <c r="AL504" s="684"/>
      <c r="AM504" s="684"/>
      <c r="AN504" s="1545"/>
      <c r="AO504" s="1545"/>
      <c r="AP504" s="1545"/>
      <c r="AQ504" s="1545"/>
      <c r="AR504" s="1545"/>
      <c r="AS504" s="684"/>
      <c r="AT504" s="684"/>
      <c r="AU504" s="684"/>
      <c r="AV504" s="684"/>
      <c r="AW504" s="684"/>
      <c r="AX504" s="684"/>
      <c r="AY504" s="684"/>
      <c r="AZ504" s="684"/>
      <c r="BA504" s="684"/>
      <c r="BB504" s="677"/>
      <c r="BC504" s="684"/>
      <c r="BD504" s="677"/>
      <c r="BE504" s="684"/>
      <c r="BF504" s="677"/>
      <c r="BG504" s="684"/>
      <c r="BH504" s="13"/>
      <c r="BI504" s="684"/>
      <c r="BJ504" s="13"/>
      <c r="BK504" s="684"/>
      <c r="BL504" s="684"/>
      <c r="BM504" s="684"/>
      <c r="BN504" s="677"/>
      <c r="BO504" s="684"/>
      <c r="BP504" s="541"/>
      <c r="BQ504" s="633"/>
      <c r="BR504" s="541"/>
      <c r="BS504" s="541"/>
      <c r="BT504" s="541"/>
    </row>
    <row r="505" ht="15.75" customHeight="1">
      <c r="A505" s="1591"/>
      <c r="B505" s="1541"/>
      <c r="C505" s="2217"/>
      <c r="D505" s="1543"/>
      <c r="E505" s="906"/>
      <c r="F505" s="1545"/>
      <c r="G505" s="2250"/>
      <c r="H505" s="1545"/>
      <c r="I505" s="2250"/>
      <c r="J505" s="1545"/>
      <c r="K505" s="2250"/>
      <c r="L505" s="1545"/>
      <c r="M505" s="2250"/>
      <c r="N505" s="1545"/>
      <c r="O505" s="2250"/>
      <c r="P505" s="1545"/>
      <c r="Q505" s="2250"/>
      <c r="R505" s="1545"/>
      <c r="S505" s="684"/>
      <c r="T505" s="1545"/>
      <c r="U505" s="684"/>
      <c r="V505" s="1545"/>
      <c r="W505" s="684"/>
      <c r="X505" s="1545"/>
      <c r="Y505" s="1545"/>
      <c r="Z505" s="1545"/>
      <c r="AA505" s="684"/>
      <c r="AB505" s="1545"/>
      <c r="AC505" s="684"/>
      <c r="AD505" s="684"/>
      <c r="AE505" s="684"/>
      <c r="AF505" s="684"/>
      <c r="AG505" s="684"/>
      <c r="AH505" s="684"/>
      <c r="AI505" s="684"/>
      <c r="AJ505" s="684"/>
      <c r="AK505" s="684"/>
      <c r="AL505" s="684"/>
      <c r="AM505" s="684"/>
      <c r="AN505" s="1545"/>
      <c r="AO505" s="1545"/>
      <c r="AP505" s="1545"/>
      <c r="AQ505" s="1545"/>
      <c r="AR505" s="1545"/>
      <c r="AS505" s="684"/>
      <c r="AT505" s="684"/>
      <c r="AU505" s="684"/>
      <c r="AV505" s="684"/>
      <c r="AW505" s="684"/>
      <c r="AX505" s="684"/>
      <c r="AY505" s="684"/>
      <c r="AZ505" s="684"/>
      <c r="BA505" s="684"/>
      <c r="BB505" s="677"/>
      <c r="BC505" s="684"/>
      <c r="BD505" s="677"/>
      <c r="BE505" s="684"/>
      <c r="BF505" s="677"/>
      <c r="BG505" s="684"/>
      <c r="BH505" s="13"/>
      <c r="BI505" s="684"/>
      <c r="BJ505" s="13"/>
      <c r="BK505" s="684"/>
      <c r="BL505" s="684"/>
      <c r="BM505" s="684"/>
      <c r="BN505" s="677"/>
      <c r="BO505" s="684"/>
      <c r="BP505" s="541"/>
      <c r="BQ505" s="633"/>
      <c r="BR505" s="541"/>
      <c r="BS505" s="541"/>
      <c r="BT505" s="541"/>
    </row>
    <row r="506" ht="15.75" customHeight="1">
      <c r="A506" s="1591"/>
      <c r="B506" s="1541"/>
      <c r="C506" s="2217"/>
      <c r="D506" s="1543"/>
      <c r="E506" s="906"/>
      <c r="F506" s="541"/>
      <c r="G506" s="541"/>
      <c r="H506" s="541"/>
      <c r="I506" s="541"/>
      <c r="J506" s="1748"/>
      <c r="K506" s="541"/>
      <c r="L506" s="1748"/>
      <c r="M506" s="541"/>
      <c r="N506" s="1748"/>
      <c r="O506" s="541"/>
      <c r="P506" s="1748"/>
      <c r="Q506" s="541"/>
      <c r="R506" s="1748"/>
      <c r="S506" s="541"/>
      <c r="T506" s="1748"/>
      <c r="U506" s="541"/>
      <c r="V506" s="1748"/>
      <c r="W506" s="541"/>
      <c r="X506" s="1748"/>
      <c r="Y506" s="1748"/>
      <c r="Z506" s="1748"/>
      <c r="AA506" s="541"/>
      <c r="AB506" s="1748"/>
      <c r="AC506" s="541"/>
      <c r="AD506" s="541"/>
      <c r="AE506" s="541"/>
      <c r="AF506" s="541"/>
      <c r="AG506" s="541"/>
      <c r="AH506" s="541"/>
      <c r="AI506" s="541"/>
      <c r="AJ506" s="541"/>
      <c r="AK506" s="541"/>
      <c r="AL506" s="541"/>
      <c r="AM506" s="541"/>
      <c r="AN506" s="1748"/>
      <c r="AO506" s="1748"/>
      <c r="AP506" s="1748"/>
      <c r="AQ506" s="1748"/>
      <c r="AR506" s="1748"/>
      <c r="AS506" s="541"/>
      <c r="AT506" s="541"/>
      <c r="AU506" s="541"/>
      <c r="AV506" s="541"/>
      <c r="AW506" s="541"/>
      <c r="AX506" s="541"/>
      <c r="AY506" s="541"/>
      <c r="AZ506" s="541"/>
      <c r="BA506" s="541"/>
      <c r="BC506" s="541"/>
      <c r="BE506" s="541"/>
      <c r="BG506" s="541"/>
      <c r="BH506" s="1190"/>
      <c r="BI506" s="541"/>
      <c r="BJ506" s="1190"/>
      <c r="BK506" s="541"/>
      <c r="BL506" s="541"/>
      <c r="BM506" s="541"/>
      <c r="BO506" s="541"/>
      <c r="BP506" s="541"/>
      <c r="BQ506" s="633"/>
      <c r="BR506" s="541"/>
      <c r="BS506" s="541"/>
      <c r="BT506" s="541"/>
    </row>
    <row r="507" ht="15.75" customHeight="1">
      <c r="A507" s="1591"/>
      <c r="B507" s="1541"/>
      <c r="C507" s="2217"/>
      <c r="D507" s="1543"/>
      <c r="E507" s="906"/>
      <c r="F507" s="541"/>
      <c r="G507" s="541"/>
      <c r="H507" s="541"/>
      <c r="I507" s="541"/>
      <c r="J507" s="1748"/>
      <c r="K507" s="541"/>
      <c r="L507" s="1748"/>
      <c r="M507" s="541"/>
      <c r="N507" s="1748"/>
      <c r="O507" s="541"/>
      <c r="P507" s="1748"/>
      <c r="Q507" s="541"/>
      <c r="R507" s="1748"/>
      <c r="S507" s="541"/>
      <c r="T507" s="1748"/>
      <c r="U507" s="541"/>
      <c r="V507" s="1748"/>
      <c r="W507" s="541"/>
      <c r="X507" s="1748"/>
      <c r="Y507" s="1748"/>
      <c r="Z507" s="1748"/>
      <c r="AA507" s="541"/>
      <c r="AB507" s="1748"/>
      <c r="AC507" s="541"/>
      <c r="AD507" s="541"/>
      <c r="AE507" s="541"/>
      <c r="AF507" s="541"/>
      <c r="AG507" s="541"/>
      <c r="AH507" s="541"/>
      <c r="AI507" s="541"/>
      <c r="AJ507" s="541"/>
      <c r="AK507" s="541"/>
      <c r="AL507" s="541"/>
      <c r="AM507" s="541"/>
      <c r="AN507" s="1748"/>
      <c r="AO507" s="1748"/>
      <c r="AP507" s="1748"/>
      <c r="AQ507" s="1748"/>
      <c r="AR507" s="1748"/>
      <c r="AS507" s="541"/>
      <c r="AT507" s="541"/>
      <c r="AU507" s="541"/>
      <c r="AV507" s="541"/>
      <c r="AW507" s="541"/>
      <c r="AX507" s="541"/>
      <c r="AY507" s="541"/>
      <c r="AZ507" s="541"/>
      <c r="BA507" s="541"/>
      <c r="BC507" s="541"/>
      <c r="BE507" s="541"/>
      <c r="BG507" s="541"/>
      <c r="BH507" s="1190"/>
      <c r="BI507" s="541"/>
      <c r="BJ507" s="1190"/>
      <c r="BK507" s="541"/>
      <c r="BL507" s="541"/>
      <c r="BM507" s="541"/>
      <c r="BO507" s="541"/>
      <c r="BP507" s="541"/>
      <c r="BQ507" s="633"/>
      <c r="BR507" s="541"/>
      <c r="BS507" s="541"/>
      <c r="BT507" s="541"/>
    </row>
    <row r="508" ht="15.75" customHeight="1">
      <c r="A508" s="1591"/>
      <c r="B508" s="1541"/>
      <c r="C508" s="2217"/>
      <c r="D508" s="1543"/>
      <c r="E508" s="906"/>
      <c r="F508" s="541"/>
      <c r="G508" s="541"/>
      <c r="H508" s="541"/>
      <c r="I508" s="541"/>
      <c r="J508" s="1748"/>
      <c r="K508" s="541"/>
      <c r="L508" s="1748"/>
      <c r="M508" s="541"/>
      <c r="N508" s="1748"/>
      <c r="O508" s="541"/>
      <c r="P508" s="1748"/>
      <c r="Q508" s="541"/>
      <c r="R508" s="1748"/>
      <c r="S508" s="541"/>
      <c r="T508" s="1748"/>
      <c r="U508" s="541"/>
      <c r="V508" s="1748"/>
      <c r="W508" s="541"/>
      <c r="X508" s="1748"/>
      <c r="Y508" s="1748"/>
      <c r="Z508" s="1748"/>
      <c r="AA508" s="541"/>
      <c r="AB508" s="1748"/>
      <c r="AC508" s="541"/>
      <c r="AD508" s="541"/>
      <c r="AE508" s="541"/>
      <c r="AF508" s="541"/>
      <c r="AG508" s="541"/>
      <c r="AH508" s="541"/>
      <c r="AI508" s="541"/>
      <c r="AJ508" s="541"/>
      <c r="AK508" s="541"/>
      <c r="AL508" s="541"/>
      <c r="AM508" s="541"/>
      <c r="AN508" s="1748"/>
      <c r="AO508" s="1748"/>
      <c r="AP508" s="1748"/>
      <c r="AQ508" s="1748"/>
      <c r="AR508" s="1748"/>
      <c r="AS508" s="541"/>
      <c r="AT508" s="541"/>
      <c r="AU508" s="541"/>
      <c r="AV508" s="541"/>
      <c r="AW508" s="541"/>
      <c r="AX508" s="541"/>
      <c r="AY508" s="541"/>
      <c r="AZ508" s="541"/>
      <c r="BA508" s="541"/>
      <c r="BC508" s="541"/>
      <c r="BE508" s="541"/>
      <c r="BG508" s="541"/>
      <c r="BH508" s="1190"/>
      <c r="BI508" s="541"/>
      <c r="BJ508" s="1190"/>
      <c r="BK508" s="541"/>
      <c r="BL508" s="541"/>
      <c r="BM508" s="541"/>
      <c r="BO508" s="541"/>
      <c r="BP508" s="541"/>
      <c r="BQ508" s="633"/>
      <c r="BR508" s="541"/>
      <c r="BS508" s="541"/>
      <c r="BT508" s="541"/>
    </row>
    <row r="509" ht="15.75" customHeight="1">
      <c r="A509" s="1591"/>
      <c r="B509" s="1541"/>
      <c r="C509" s="2217"/>
      <c r="D509" s="1543"/>
      <c r="E509" s="906"/>
      <c r="F509" s="541"/>
      <c r="G509" s="541"/>
      <c r="H509" s="541"/>
      <c r="I509" s="541"/>
      <c r="J509" s="1748"/>
      <c r="K509" s="541"/>
      <c r="L509" s="1748"/>
      <c r="M509" s="541"/>
      <c r="N509" s="1748"/>
      <c r="O509" s="541"/>
      <c r="P509" s="1748"/>
      <c r="Q509" s="541"/>
      <c r="R509" s="1748"/>
      <c r="S509" s="541"/>
      <c r="T509" s="1748"/>
      <c r="U509" s="541"/>
      <c r="V509" s="1748"/>
      <c r="W509" s="541"/>
      <c r="X509" s="1748"/>
      <c r="Y509" s="1748"/>
      <c r="Z509" s="1748"/>
      <c r="AA509" s="541"/>
      <c r="AB509" s="1748"/>
      <c r="AC509" s="541"/>
      <c r="AD509" s="541"/>
      <c r="AE509" s="541"/>
      <c r="AF509" s="541"/>
      <c r="AG509" s="541"/>
      <c r="AH509" s="541"/>
      <c r="AI509" s="541"/>
      <c r="AJ509" s="541"/>
      <c r="AK509" s="541"/>
      <c r="AL509" s="541"/>
      <c r="AM509" s="541"/>
      <c r="AN509" s="1748"/>
      <c r="AO509" s="1748"/>
      <c r="AP509" s="1748"/>
      <c r="AQ509" s="1748"/>
      <c r="AR509" s="1748"/>
      <c r="AS509" s="541"/>
      <c r="AT509" s="541"/>
      <c r="AU509" s="541"/>
      <c r="AV509" s="541"/>
      <c r="AW509" s="541"/>
      <c r="AX509" s="541"/>
      <c r="AY509" s="541"/>
      <c r="AZ509" s="541"/>
      <c r="BA509" s="541"/>
      <c r="BC509" s="541"/>
      <c r="BE509" s="541"/>
      <c r="BG509" s="541"/>
      <c r="BH509" s="1190"/>
      <c r="BI509" s="541"/>
      <c r="BJ509" s="1190"/>
      <c r="BK509" s="541"/>
      <c r="BL509" s="541"/>
      <c r="BM509" s="541"/>
      <c r="BO509" s="541"/>
      <c r="BP509" s="541"/>
      <c r="BQ509" s="633"/>
      <c r="BR509" s="541"/>
      <c r="BS509" s="541"/>
      <c r="BT509" s="541"/>
    </row>
    <row r="510" ht="15.75" customHeight="1">
      <c r="A510" s="1591"/>
      <c r="B510" s="1541"/>
      <c r="C510" s="2217"/>
      <c r="D510" s="1543"/>
      <c r="E510" s="906"/>
      <c r="F510" s="541"/>
      <c r="G510" s="541"/>
      <c r="H510" s="541"/>
      <c r="I510" s="541"/>
      <c r="J510" s="1748"/>
      <c r="K510" s="541"/>
      <c r="L510" s="1748"/>
      <c r="M510" s="541"/>
      <c r="N510" s="1748"/>
      <c r="O510" s="541"/>
      <c r="P510" s="1748"/>
      <c r="Q510" s="541"/>
      <c r="R510" s="1748"/>
      <c r="S510" s="541"/>
      <c r="T510" s="1748"/>
      <c r="U510" s="541"/>
      <c r="V510" s="1748"/>
      <c r="W510" s="541"/>
      <c r="X510" s="1748"/>
      <c r="Y510" s="1748"/>
      <c r="Z510" s="1748"/>
      <c r="AA510" s="541"/>
      <c r="AB510" s="1748"/>
      <c r="AC510" s="541"/>
      <c r="AD510" s="541"/>
      <c r="AE510" s="541"/>
      <c r="AF510" s="541"/>
      <c r="AG510" s="541"/>
      <c r="AH510" s="541"/>
      <c r="AI510" s="541"/>
      <c r="AJ510" s="541"/>
      <c r="AK510" s="541"/>
      <c r="AL510" s="541"/>
      <c r="AM510" s="541"/>
      <c r="AN510" s="1748"/>
      <c r="AO510" s="1748"/>
      <c r="AP510" s="1748"/>
      <c r="AQ510" s="1748"/>
      <c r="AR510" s="1748"/>
      <c r="AS510" s="541"/>
      <c r="AT510" s="541"/>
      <c r="AU510" s="541"/>
      <c r="AV510" s="541"/>
      <c r="AW510" s="541"/>
      <c r="AX510" s="541"/>
      <c r="AY510" s="541"/>
      <c r="AZ510" s="541"/>
      <c r="BA510" s="541"/>
      <c r="BC510" s="541"/>
      <c r="BE510" s="541"/>
      <c r="BG510" s="541"/>
      <c r="BH510" s="1190"/>
      <c r="BI510" s="541"/>
      <c r="BJ510" s="1190"/>
      <c r="BK510" s="541"/>
      <c r="BL510" s="541"/>
      <c r="BM510" s="541"/>
      <c r="BO510" s="541"/>
      <c r="BP510" s="541"/>
      <c r="BQ510" s="633"/>
      <c r="BR510" s="541"/>
      <c r="BS510" s="541"/>
      <c r="BT510" s="541"/>
    </row>
    <row r="511" ht="15.75" customHeight="1">
      <c r="A511" s="1591"/>
      <c r="B511" s="1541"/>
      <c r="C511" s="2217"/>
      <c r="D511" s="1543"/>
      <c r="E511" s="906"/>
      <c r="F511" s="541"/>
      <c r="G511" s="541"/>
      <c r="H511" s="541"/>
      <c r="I511" s="541"/>
      <c r="J511" s="1748"/>
      <c r="K511" s="541"/>
      <c r="L511" s="1748"/>
      <c r="M511" s="541"/>
      <c r="N511" s="1748"/>
      <c r="O511" s="541"/>
      <c r="P511" s="1748"/>
      <c r="Q511" s="541"/>
      <c r="R511" s="1748"/>
      <c r="S511" s="541"/>
      <c r="T511" s="1748"/>
      <c r="U511" s="541"/>
      <c r="V511" s="1748"/>
      <c r="W511" s="541"/>
      <c r="X511" s="1748"/>
      <c r="Y511" s="1748"/>
      <c r="Z511" s="1748"/>
      <c r="AA511" s="541"/>
      <c r="AB511" s="1748"/>
      <c r="AC511" s="541"/>
      <c r="AD511" s="541"/>
      <c r="AE511" s="541"/>
      <c r="AF511" s="541"/>
      <c r="AG511" s="541"/>
      <c r="AH511" s="541"/>
      <c r="AI511" s="541"/>
      <c r="AJ511" s="541"/>
      <c r="AK511" s="541"/>
      <c r="AL511" s="541"/>
      <c r="AM511" s="541"/>
      <c r="AN511" s="1748"/>
      <c r="AO511" s="1748"/>
      <c r="AP511" s="1748"/>
      <c r="AQ511" s="1748"/>
      <c r="AR511" s="1748"/>
      <c r="AS511" s="541"/>
      <c r="AT511" s="541"/>
      <c r="AU511" s="541"/>
      <c r="AV511" s="541"/>
      <c r="AW511" s="541"/>
      <c r="AX511" s="541"/>
      <c r="AY511" s="541"/>
      <c r="AZ511" s="541"/>
      <c r="BA511" s="541"/>
      <c r="BC511" s="541"/>
      <c r="BE511" s="541"/>
      <c r="BG511" s="541"/>
      <c r="BH511" s="1190"/>
      <c r="BI511" s="541"/>
      <c r="BJ511" s="1190"/>
      <c r="BK511" s="541"/>
      <c r="BL511" s="541"/>
      <c r="BM511" s="541"/>
      <c r="BO511" s="541"/>
      <c r="BP511" s="541"/>
      <c r="BQ511" s="633"/>
      <c r="BR511" s="541"/>
      <c r="BS511" s="541"/>
      <c r="BT511" s="541"/>
    </row>
    <row r="512" ht="15.75" customHeight="1">
      <c r="A512" s="1591"/>
      <c r="B512" s="1541"/>
      <c r="C512" s="2217"/>
      <c r="D512" s="1543"/>
      <c r="E512" s="906"/>
      <c r="F512" s="541"/>
      <c r="G512" s="541"/>
      <c r="H512" s="541"/>
      <c r="I512" s="541"/>
      <c r="J512" s="1748"/>
      <c r="K512" s="541"/>
      <c r="L512" s="1748"/>
      <c r="M512" s="541"/>
      <c r="N512" s="1748"/>
      <c r="O512" s="541"/>
      <c r="P512" s="1748"/>
      <c r="Q512" s="541"/>
      <c r="R512" s="1748"/>
      <c r="S512" s="541"/>
      <c r="T512" s="1748"/>
      <c r="U512" s="541"/>
      <c r="V512" s="1748"/>
      <c r="W512" s="541"/>
      <c r="X512" s="1748"/>
      <c r="Y512" s="1748"/>
      <c r="Z512" s="1748"/>
      <c r="AA512" s="541"/>
      <c r="AB512" s="1748"/>
      <c r="AC512" s="541"/>
      <c r="AD512" s="541"/>
      <c r="AE512" s="541"/>
      <c r="AF512" s="541"/>
      <c r="AG512" s="541"/>
      <c r="AH512" s="541"/>
      <c r="AI512" s="541"/>
      <c r="AJ512" s="541"/>
      <c r="AK512" s="541"/>
      <c r="AL512" s="541"/>
      <c r="AM512" s="541"/>
      <c r="AN512" s="1748"/>
      <c r="AO512" s="1748"/>
      <c r="AP512" s="1748"/>
      <c r="AQ512" s="1748"/>
      <c r="AR512" s="1748"/>
      <c r="AS512" s="541"/>
      <c r="AT512" s="541"/>
      <c r="AU512" s="541"/>
      <c r="AV512" s="541"/>
      <c r="AW512" s="541"/>
      <c r="AX512" s="541"/>
      <c r="AY512" s="541"/>
      <c r="AZ512" s="541"/>
      <c r="BA512" s="541"/>
      <c r="BC512" s="541"/>
      <c r="BE512" s="541"/>
      <c r="BG512" s="541"/>
      <c r="BH512" s="1190"/>
      <c r="BI512" s="541"/>
      <c r="BJ512" s="1190"/>
      <c r="BK512" s="541"/>
      <c r="BL512" s="541"/>
      <c r="BM512" s="541"/>
      <c r="BO512" s="541"/>
      <c r="BP512" s="541"/>
      <c r="BQ512" s="633"/>
      <c r="BR512" s="541"/>
      <c r="BS512" s="541"/>
      <c r="BT512" s="541"/>
    </row>
    <row r="513" ht="15.75" customHeight="1">
      <c r="A513" s="1591"/>
      <c r="B513" s="1541"/>
      <c r="C513" s="2217"/>
      <c r="D513" s="1543"/>
      <c r="E513" s="906"/>
      <c r="F513" s="541"/>
      <c r="G513" s="541"/>
      <c r="H513" s="541"/>
      <c r="I513" s="541"/>
      <c r="J513" s="1748"/>
      <c r="K513" s="541"/>
      <c r="L513" s="1748"/>
      <c r="M513" s="541"/>
      <c r="N513" s="1748"/>
      <c r="O513" s="541"/>
      <c r="P513" s="1748"/>
      <c r="Q513" s="541"/>
      <c r="R513" s="1748"/>
      <c r="S513" s="541"/>
      <c r="T513" s="1748"/>
      <c r="U513" s="541"/>
      <c r="V513" s="1748"/>
      <c r="W513" s="541"/>
      <c r="X513" s="1748"/>
      <c r="Y513" s="1748"/>
      <c r="Z513" s="1748"/>
      <c r="AA513" s="541"/>
      <c r="AB513" s="1748"/>
      <c r="AC513" s="541"/>
      <c r="AD513" s="541"/>
      <c r="AE513" s="541"/>
      <c r="AF513" s="541"/>
      <c r="AG513" s="541"/>
      <c r="AH513" s="541"/>
      <c r="AI513" s="541"/>
      <c r="AJ513" s="541"/>
      <c r="AK513" s="541"/>
      <c r="AL513" s="541"/>
      <c r="AM513" s="541"/>
      <c r="AN513" s="1748"/>
      <c r="AO513" s="1748"/>
      <c r="AP513" s="1748"/>
      <c r="AQ513" s="1748"/>
      <c r="AR513" s="1748"/>
      <c r="AS513" s="541"/>
      <c r="AT513" s="541"/>
      <c r="AU513" s="541"/>
      <c r="AV513" s="541"/>
      <c r="AW513" s="541"/>
      <c r="AX513" s="541"/>
      <c r="AY513" s="541"/>
      <c r="AZ513" s="541"/>
      <c r="BA513" s="541"/>
      <c r="BC513" s="541"/>
      <c r="BE513" s="541"/>
      <c r="BG513" s="541"/>
      <c r="BH513" s="1190"/>
      <c r="BI513" s="541"/>
      <c r="BJ513" s="1190"/>
      <c r="BK513" s="541"/>
      <c r="BL513" s="541"/>
      <c r="BM513" s="541"/>
      <c r="BO513" s="541"/>
      <c r="BP513" s="541"/>
      <c r="BQ513" s="633"/>
      <c r="BR513" s="541"/>
      <c r="BS513" s="541"/>
      <c r="BT513" s="541"/>
    </row>
    <row r="514" ht="15.75" customHeight="1">
      <c r="A514" s="1591"/>
      <c r="B514" s="1541"/>
      <c r="C514" s="2217"/>
      <c r="D514" s="1543"/>
      <c r="E514" s="906"/>
      <c r="F514" s="541"/>
      <c r="G514" s="541"/>
      <c r="H514" s="541"/>
      <c r="I514" s="541"/>
      <c r="J514" s="1748"/>
      <c r="K514" s="541"/>
      <c r="L514" s="1748"/>
      <c r="M514" s="541"/>
      <c r="N514" s="1748"/>
      <c r="O514" s="541"/>
      <c r="P514" s="1748"/>
      <c r="Q514" s="541"/>
      <c r="R514" s="1748"/>
      <c r="S514" s="541"/>
      <c r="T514" s="1748"/>
      <c r="U514" s="541"/>
      <c r="V514" s="1748"/>
      <c r="W514" s="541"/>
      <c r="X514" s="1748"/>
      <c r="Y514" s="1748"/>
      <c r="Z514" s="1748"/>
      <c r="AA514" s="541"/>
      <c r="AB514" s="1748"/>
      <c r="AC514" s="541"/>
      <c r="AD514" s="541"/>
      <c r="AE514" s="541"/>
      <c r="AF514" s="541"/>
      <c r="AG514" s="541"/>
      <c r="AH514" s="541"/>
      <c r="AI514" s="541"/>
      <c r="AJ514" s="541"/>
      <c r="AK514" s="541"/>
      <c r="AL514" s="541"/>
      <c r="AM514" s="541"/>
      <c r="AN514" s="1748"/>
      <c r="AO514" s="1748"/>
      <c r="AP514" s="1748"/>
      <c r="AQ514" s="1748"/>
      <c r="AR514" s="1748"/>
      <c r="AS514" s="541"/>
      <c r="AT514" s="541"/>
      <c r="AU514" s="541"/>
      <c r="AV514" s="541"/>
      <c r="AW514" s="541"/>
      <c r="AX514" s="541"/>
      <c r="AY514" s="541"/>
      <c r="AZ514" s="541"/>
      <c r="BA514" s="541"/>
      <c r="BC514" s="541"/>
      <c r="BE514" s="541"/>
      <c r="BG514" s="541"/>
      <c r="BH514" s="1190"/>
      <c r="BI514" s="541"/>
      <c r="BJ514" s="1190"/>
      <c r="BK514" s="541"/>
      <c r="BL514" s="541"/>
      <c r="BM514" s="541"/>
      <c r="BO514" s="541"/>
      <c r="BP514" s="541"/>
      <c r="BQ514" s="633"/>
      <c r="BR514" s="541"/>
      <c r="BS514" s="541"/>
      <c r="BT514" s="541"/>
    </row>
    <row r="515" ht="15.75" customHeight="1">
      <c r="A515" s="1591"/>
      <c r="B515" s="1541"/>
      <c r="C515" s="2217"/>
      <c r="D515" s="1543"/>
      <c r="E515" s="906"/>
      <c r="F515" s="541"/>
      <c r="G515" s="541"/>
      <c r="H515" s="541"/>
      <c r="I515" s="541"/>
      <c r="J515" s="1748"/>
      <c r="K515" s="541"/>
      <c r="L515" s="1748"/>
      <c r="M515" s="541"/>
      <c r="N515" s="1748"/>
      <c r="O515" s="541"/>
      <c r="P515" s="1748"/>
      <c r="Q515" s="541"/>
      <c r="R515" s="1748"/>
      <c r="S515" s="541"/>
      <c r="T515" s="1748"/>
      <c r="U515" s="541"/>
      <c r="V515" s="1748"/>
      <c r="W515" s="541"/>
      <c r="X515" s="1748"/>
      <c r="Y515" s="1748"/>
      <c r="Z515" s="1748"/>
      <c r="AA515" s="541"/>
      <c r="AB515" s="1748"/>
      <c r="AC515" s="541"/>
      <c r="AD515" s="541"/>
      <c r="AE515" s="541"/>
      <c r="AF515" s="541"/>
      <c r="AG515" s="541"/>
      <c r="AH515" s="541"/>
      <c r="AI515" s="541"/>
      <c r="AJ515" s="541"/>
      <c r="AK515" s="541"/>
      <c r="AL515" s="541"/>
      <c r="AM515" s="541"/>
      <c r="AN515" s="1748"/>
      <c r="AO515" s="1748"/>
      <c r="AP515" s="1748"/>
      <c r="AQ515" s="1748"/>
      <c r="AR515" s="1748"/>
      <c r="AS515" s="541"/>
      <c r="AT515" s="541"/>
      <c r="AU515" s="541"/>
      <c r="AV515" s="541"/>
      <c r="AW515" s="541"/>
      <c r="AX515" s="541"/>
      <c r="AY515" s="541"/>
      <c r="AZ515" s="541"/>
      <c r="BA515" s="541"/>
      <c r="BC515" s="541"/>
      <c r="BE515" s="541"/>
      <c r="BG515" s="541"/>
      <c r="BH515" s="1190"/>
      <c r="BI515" s="541"/>
      <c r="BJ515" s="1190"/>
      <c r="BK515" s="541"/>
      <c r="BL515" s="541"/>
      <c r="BM515" s="541"/>
      <c r="BO515" s="541"/>
      <c r="BP515" s="541"/>
      <c r="BQ515" s="633"/>
      <c r="BR515" s="541"/>
      <c r="BS515" s="541"/>
      <c r="BT515" s="541"/>
    </row>
    <row r="516" ht="15.75" customHeight="1">
      <c r="A516" s="1591"/>
      <c r="B516" s="1541"/>
      <c r="C516" s="2217"/>
      <c r="D516" s="1543"/>
      <c r="E516" s="906"/>
      <c r="F516" s="541"/>
      <c r="G516" s="541"/>
      <c r="H516" s="541"/>
      <c r="I516" s="541"/>
      <c r="J516" s="1748"/>
      <c r="K516" s="541"/>
      <c r="L516" s="1748"/>
      <c r="M516" s="541"/>
      <c r="N516" s="1748"/>
      <c r="O516" s="541"/>
      <c r="P516" s="1748"/>
      <c r="Q516" s="541"/>
      <c r="R516" s="1748"/>
      <c r="S516" s="541"/>
      <c r="T516" s="1748"/>
      <c r="U516" s="541"/>
      <c r="V516" s="1748"/>
      <c r="W516" s="541"/>
      <c r="X516" s="1748"/>
      <c r="Y516" s="1748"/>
      <c r="Z516" s="1748"/>
      <c r="AA516" s="541"/>
      <c r="AB516" s="1748"/>
      <c r="AC516" s="541"/>
      <c r="AD516" s="541"/>
      <c r="AE516" s="541"/>
      <c r="AF516" s="541"/>
      <c r="AG516" s="541"/>
      <c r="AH516" s="541"/>
      <c r="AI516" s="541"/>
      <c r="AJ516" s="541"/>
      <c r="AK516" s="541"/>
      <c r="AL516" s="541"/>
      <c r="AM516" s="541"/>
      <c r="AN516" s="1748"/>
      <c r="AO516" s="1748"/>
      <c r="AP516" s="1748"/>
      <c r="AQ516" s="1748"/>
      <c r="AR516" s="1748"/>
      <c r="AS516" s="541"/>
      <c r="AT516" s="541"/>
      <c r="AU516" s="541"/>
      <c r="AV516" s="541"/>
      <c r="AW516" s="541"/>
      <c r="AX516" s="541"/>
      <c r="AY516" s="541"/>
      <c r="AZ516" s="541"/>
      <c r="BA516" s="541"/>
      <c r="BC516" s="541"/>
      <c r="BE516" s="541"/>
      <c r="BG516" s="541"/>
      <c r="BH516" s="1190"/>
      <c r="BI516" s="541"/>
      <c r="BJ516" s="1190"/>
      <c r="BK516" s="541"/>
      <c r="BL516" s="541"/>
      <c r="BM516" s="541"/>
      <c r="BO516" s="541"/>
      <c r="BP516" s="541"/>
      <c r="BQ516" s="633"/>
      <c r="BR516" s="541"/>
      <c r="BS516" s="541"/>
      <c r="BT516" s="541"/>
    </row>
    <row r="517" ht="15.75" customHeight="1">
      <c r="A517" s="1591"/>
      <c r="B517" s="1541"/>
      <c r="C517" s="2217"/>
      <c r="D517" s="1543"/>
      <c r="E517" s="906"/>
      <c r="F517" s="541"/>
      <c r="G517" s="541"/>
      <c r="H517" s="541"/>
      <c r="I517" s="541"/>
      <c r="J517" s="1748"/>
      <c r="K517" s="541"/>
      <c r="L517" s="1748"/>
      <c r="M517" s="541"/>
      <c r="N517" s="1748"/>
      <c r="O517" s="541"/>
      <c r="P517" s="1748"/>
      <c r="Q517" s="541"/>
      <c r="R517" s="1748"/>
      <c r="S517" s="541"/>
      <c r="T517" s="1748"/>
      <c r="U517" s="541"/>
      <c r="V517" s="1748"/>
      <c r="W517" s="541"/>
      <c r="X517" s="1748"/>
      <c r="Y517" s="1748"/>
      <c r="Z517" s="1748"/>
      <c r="AA517" s="541"/>
      <c r="AB517" s="1748"/>
      <c r="AC517" s="541"/>
      <c r="AD517" s="541"/>
      <c r="AE517" s="541"/>
      <c r="AF517" s="541"/>
      <c r="AG517" s="541"/>
      <c r="AH517" s="541"/>
      <c r="AI517" s="541"/>
      <c r="AJ517" s="541"/>
      <c r="AK517" s="541"/>
      <c r="AL517" s="541"/>
      <c r="AM517" s="541"/>
      <c r="AN517" s="1748"/>
      <c r="AO517" s="1748"/>
      <c r="AP517" s="1748"/>
      <c r="AQ517" s="1748"/>
      <c r="AR517" s="1748"/>
      <c r="AS517" s="541"/>
      <c r="AT517" s="541"/>
      <c r="AU517" s="541"/>
      <c r="AV517" s="541"/>
      <c r="AW517" s="541"/>
      <c r="AX517" s="541"/>
      <c r="AY517" s="541"/>
      <c r="AZ517" s="541"/>
      <c r="BA517" s="541"/>
      <c r="BC517" s="541"/>
      <c r="BE517" s="541"/>
      <c r="BG517" s="541"/>
      <c r="BH517" s="1190"/>
      <c r="BI517" s="541"/>
      <c r="BJ517" s="1190"/>
      <c r="BK517" s="541"/>
      <c r="BL517" s="541"/>
      <c r="BM517" s="541"/>
      <c r="BO517" s="541"/>
      <c r="BP517" s="541"/>
      <c r="BQ517" s="633"/>
      <c r="BR517" s="541"/>
      <c r="BS517" s="541"/>
      <c r="BT517" s="541"/>
    </row>
    <row r="518" ht="15.75" customHeight="1">
      <c r="A518" s="1591"/>
      <c r="B518" s="1541"/>
      <c r="C518" s="2217"/>
      <c r="D518" s="1543"/>
      <c r="E518" s="906"/>
      <c r="F518" s="541"/>
      <c r="G518" s="541"/>
      <c r="H518" s="541"/>
      <c r="I518" s="541"/>
      <c r="J518" s="1748"/>
      <c r="K518" s="541"/>
      <c r="L518" s="1748"/>
      <c r="M518" s="541"/>
      <c r="N518" s="1748"/>
      <c r="O518" s="541"/>
      <c r="P518" s="1748"/>
      <c r="Q518" s="541"/>
      <c r="R518" s="1748"/>
      <c r="S518" s="541"/>
      <c r="T518" s="1748"/>
      <c r="U518" s="541"/>
      <c r="V518" s="1748"/>
      <c r="W518" s="541"/>
      <c r="X518" s="1748"/>
      <c r="Y518" s="1748"/>
      <c r="Z518" s="1748"/>
      <c r="AA518" s="541"/>
      <c r="AB518" s="1748"/>
      <c r="AC518" s="541"/>
      <c r="AD518" s="541"/>
      <c r="AE518" s="541"/>
      <c r="AF518" s="541"/>
      <c r="AG518" s="541"/>
      <c r="AH518" s="541"/>
      <c r="AI518" s="541"/>
      <c r="AJ518" s="541"/>
      <c r="AK518" s="541"/>
      <c r="AL518" s="541"/>
      <c r="AM518" s="541"/>
      <c r="AN518" s="1748"/>
      <c r="AO518" s="1748"/>
      <c r="AP518" s="1748"/>
      <c r="AQ518" s="1748"/>
      <c r="AR518" s="1748"/>
      <c r="AS518" s="541"/>
      <c r="AT518" s="541"/>
      <c r="AU518" s="541"/>
      <c r="AV518" s="541"/>
      <c r="AW518" s="541"/>
      <c r="AX518" s="541"/>
      <c r="AY518" s="541"/>
      <c r="AZ518" s="541"/>
      <c r="BA518" s="541"/>
      <c r="BC518" s="541"/>
      <c r="BE518" s="541"/>
      <c r="BG518" s="541"/>
      <c r="BH518" s="1190"/>
      <c r="BI518" s="541"/>
      <c r="BJ518" s="1190"/>
      <c r="BK518" s="541"/>
      <c r="BL518" s="541"/>
      <c r="BM518" s="541"/>
      <c r="BO518" s="541"/>
      <c r="BP518" s="541"/>
      <c r="BQ518" s="633"/>
      <c r="BR518" s="541"/>
      <c r="BS518" s="541"/>
      <c r="BT518" s="541"/>
    </row>
    <row r="519" ht="15.75" customHeight="1">
      <c r="A519" s="1591"/>
      <c r="B519" s="1541"/>
      <c r="C519" s="2217"/>
      <c r="D519" s="1543"/>
      <c r="E519" s="906"/>
      <c r="F519" s="541"/>
      <c r="G519" s="541"/>
      <c r="H519" s="541"/>
      <c r="I519" s="541"/>
      <c r="J519" s="1748"/>
      <c r="K519" s="541"/>
      <c r="L519" s="1748"/>
      <c r="M519" s="541"/>
      <c r="N519" s="1748"/>
      <c r="O519" s="541"/>
      <c r="P519" s="1748"/>
      <c r="Q519" s="541"/>
      <c r="R519" s="1748"/>
      <c r="S519" s="541"/>
      <c r="T519" s="1748"/>
      <c r="U519" s="541"/>
      <c r="V519" s="1748"/>
      <c r="W519" s="541"/>
      <c r="X519" s="1748"/>
      <c r="Y519" s="1748"/>
      <c r="Z519" s="1748"/>
      <c r="AA519" s="541"/>
      <c r="AB519" s="1748"/>
      <c r="AC519" s="541"/>
      <c r="AD519" s="541"/>
      <c r="AE519" s="541"/>
      <c r="AF519" s="541"/>
      <c r="AG519" s="541"/>
      <c r="AH519" s="541"/>
      <c r="AI519" s="541"/>
      <c r="AJ519" s="541"/>
      <c r="AK519" s="541"/>
      <c r="AL519" s="541"/>
      <c r="AM519" s="541"/>
      <c r="AN519" s="1748"/>
      <c r="AO519" s="1748"/>
      <c r="AP519" s="1748"/>
      <c r="AQ519" s="1748"/>
      <c r="AR519" s="1748"/>
      <c r="AS519" s="541"/>
      <c r="AT519" s="541"/>
      <c r="AU519" s="541"/>
      <c r="AV519" s="541"/>
      <c r="AW519" s="541"/>
      <c r="AX519" s="541"/>
      <c r="AY519" s="541"/>
      <c r="AZ519" s="541"/>
      <c r="BA519" s="541"/>
      <c r="BC519" s="541"/>
      <c r="BE519" s="541"/>
      <c r="BG519" s="541"/>
      <c r="BH519" s="1190"/>
      <c r="BI519" s="541"/>
      <c r="BJ519" s="1190"/>
      <c r="BK519" s="541"/>
      <c r="BL519" s="541"/>
      <c r="BM519" s="541"/>
      <c r="BO519" s="541"/>
      <c r="BP519" s="541"/>
      <c r="BQ519" s="633"/>
      <c r="BR519" s="541"/>
      <c r="BS519" s="541"/>
      <c r="BT519" s="541"/>
    </row>
    <row r="520" ht="15.75" customHeight="1">
      <c r="A520" s="1591"/>
      <c r="B520" s="1541"/>
      <c r="C520" s="2217"/>
      <c r="D520" s="1543"/>
      <c r="E520" s="906"/>
      <c r="F520" s="541"/>
      <c r="G520" s="541"/>
      <c r="H520" s="541"/>
      <c r="I520" s="541"/>
      <c r="J520" s="1748"/>
      <c r="K520" s="541"/>
      <c r="L520" s="1748"/>
      <c r="M520" s="541"/>
      <c r="N520" s="1748"/>
      <c r="O520" s="541"/>
      <c r="P520" s="1748"/>
      <c r="Q520" s="541"/>
      <c r="R520" s="1748"/>
      <c r="S520" s="541"/>
      <c r="T520" s="1748"/>
      <c r="U520" s="541"/>
      <c r="V520" s="1748"/>
      <c r="W520" s="541"/>
      <c r="X520" s="1748"/>
      <c r="Y520" s="1748"/>
      <c r="Z520" s="1748"/>
      <c r="AA520" s="541"/>
      <c r="AB520" s="1748"/>
      <c r="AC520" s="541"/>
      <c r="AD520" s="541"/>
      <c r="AE520" s="541"/>
      <c r="AF520" s="541"/>
      <c r="AG520" s="541"/>
      <c r="AH520" s="541"/>
      <c r="AI520" s="541"/>
      <c r="AJ520" s="541"/>
      <c r="AK520" s="541"/>
      <c r="AL520" s="541"/>
      <c r="AM520" s="541"/>
      <c r="AN520" s="1748"/>
      <c r="AO520" s="1748"/>
      <c r="AP520" s="1748"/>
      <c r="AQ520" s="1748"/>
      <c r="AR520" s="1748"/>
      <c r="AS520" s="541"/>
      <c r="AT520" s="541"/>
      <c r="AU520" s="541"/>
      <c r="AV520" s="541"/>
      <c r="AW520" s="541"/>
      <c r="AX520" s="541"/>
      <c r="AY520" s="541"/>
      <c r="AZ520" s="541"/>
      <c r="BA520" s="541"/>
      <c r="BC520" s="541"/>
      <c r="BE520" s="541"/>
      <c r="BG520" s="541"/>
      <c r="BH520" s="1190"/>
      <c r="BI520" s="541"/>
      <c r="BJ520" s="1190"/>
      <c r="BK520" s="541"/>
      <c r="BL520" s="541"/>
      <c r="BM520" s="541"/>
      <c r="BO520" s="541"/>
      <c r="BP520" s="541"/>
      <c r="BQ520" s="633"/>
      <c r="BR520" s="541"/>
      <c r="BS520" s="541"/>
      <c r="BT520" s="541"/>
    </row>
    <row r="521" ht="15.75" customHeight="1">
      <c r="A521" s="1591"/>
      <c r="B521" s="1541"/>
      <c r="C521" s="2217"/>
      <c r="D521" s="1543"/>
      <c r="E521" s="906"/>
      <c r="F521" s="541"/>
      <c r="G521" s="541"/>
      <c r="H521" s="541"/>
      <c r="I521" s="541"/>
      <c r="J521" s="1748"/>
      <c r="K521" s="541"/>
      <c r="L521" s="1748"/>
      <c r="M521" s="541"/>
      <c r="N521" s="1748"/>
      <c r="O521" s="541"/>
      <c r="P521" s="1748"/>
      <c r="Q521" s="541"/>
      <c r="R521" s="1748"/>
      <c r="S521" s="541"/>
      <c r="T521" s="1748"/>
      <c r="U521" s="541"/>
      <c r="V521" s="1748"/>
      <c r="W521" s="541"/>
      <c r="X521" s="1748"/>
      <c r="Y521" s="1748"/>
      <c r="Z521" s="1748"/>
      <c r="AA521" s="541"/>
      <c r="AB521" s="1748"/>
      <c r="AC521" s="541"/>
      <c r="AD521" s="541"/>
      <c r="AE521" s="541"/>
      <c r="AF521" s="541"/>
      <c r="AG521" s="541"/>
      <c r="AH521" s="541"/>
      <c r="AI521" s="541"/>
      <c r="AJ521" s="541"/>
      <c r="AK521" s="541"/>
      <c r="AL521" s="541"/>
      <c r="AM521" s="541"/>
      <c r="AN521" s="1748"/>
      <c r="AO521" s="1748"/>
      <c r="AP521" s="1748"/>
      <c r="AQ521" s="1748"/>
      <c r="AR521" s="1748"/>
      <c r="AS521" s="541"/>
      <c r="AT521" s="541"/>
      <c r="AU521" s="541"/>
      <c r="AV521" s="541"/>
      <c r="AW521" s="541"/>
      <c r="AX521" s="541"/>
      <c r="AY521" s="541"/>
      <c r="AZ521" s="541"/>
      <c r="BA521" s="541"/>
      <c r="BC521" s="541"/>
      <c r="BE521" s="541"/>
      <c r="BG521" s="541"/>
      <c r="BH521" s="1190"/>
      <c r="BI521" s="541"/>
      <c r="BJ521" s="1190"/>
      <c r="BK521" s="541"/>
      <c r="BL521" s="541"/>
      <c r="BM521" s="541"/>
      <c r="BO521" s="541"/>
      <c r="BP521" s="541"/>
      <c r="BQ521" s="633"/>
      <c r="BR521" s="541"/>
      <c r="BS521" s="541"/>
      <c r="BT521" s="541"/>
    </row>
    <row r="522" ht="15.75" customHeight="1">
      <c r="A522" s="1591"/>
      <c r="B522" s="1541"/>
      <c r="C522" s="2217"/>
      <c r="D522" s="1543"/>
      <c r="E522" s="906"/>
      <c r="F522" s="541"/>
      <c r="G522" s="541"/>
      <c r="H522" s="541"/>
      <c r="I522" s="541"/>
      <c r="J522" s="1748"/>
      <c r="K522" s="541"/>
      <c r="L522" s="1748"/>
      <c r="M522" s="541"/>
      <c r="N522" s="1748"/>
      <c r="O522" s="541"/>
      <c r="P522" s="1748"/>
      <c r="Q522" s="541"/>
      <c r="R522" s="1748"/>
      <c r="S522" s="541"/>
      <c r="T522" s="1748"/>
      <c r="U522" s="541"/>
      <c r="V522" s="1748"/>
      <c r="W522" s="541"/>
      <c r="X522" s="1748"/>
      <c r="Y522" s="1748"/>
      <c r="Z522" s="1748"/>
      <c r="AA522" s="541"/>
      <c r="AB522" s="1748"/>
      <c r="AC522" s="541"/>
      <c r="AD522" s="541"/>
      <c r="AE522" s="541"/>
      <c r="AF522" s="541"/>
      <c r="AG522" s="541"/>
      <c r="AH522" s="541"/>
      <c r="AI522" s="541"/>
      <c r="AJ522" s="541"/>
      <c r="AK522" s="541"/>
      <c r="AL522" s="541"/>
      <c r="AM522" s="541"/>
      <c r="AN522" s="1748"/>
      <c r="AO522" s="1748"/>
      <c r="AP522" s="1748"/>
      <c r="AQ522" s="1748"/>
      <c r="AR522" s="1748"/>
      <c r="AS522" s="541"/>
      <c r="AT522" s="541"/>
      <c r="AU522" s="541"/>
      <c r="AV522" s="541"/>
      <c r="AW522" s="541"/>
      <c r="AX522" s="541"/>
      <c r="AY522" s="541"/>
      <c r="AZ522" s="541"/>
      <c r="BA522" s="541"/>
      <c r="BC522" s="541"/>
      <c r="BE522" s="541"/>
      <c r="BG522" s="541"/>
      <c r="BH522" s="1190"/>
      <c r="BI522" s="541"/>
      <c r="BJ522" s="1190"/>
      <c r="BK522" s="541"/>
      <c r="BL522" s="541"/>
      <c r="BM522" s="541"/>
      <c r="BO522" s="541"/>
      <c r="BP522" s="541"/>
      <c r="BQ522" s="633"/>
      <c r="BR522" s="541"/>
      <c r="BS522" s="541"/>
      <c r="BT522" s="541"/>
    </row>
    <row r="523" ht="15.75" customHeight="1">
      <c r="A523" s="1591"/>
      <c r="B523" s="1541"/>
      <c r="C523" s="2217"/>
      <c r="D523" s="1543"/>
      <c r="E523" s="906"/>
      <c r="F523" s="541"/>
      <c r="G523" s="541"/>
      <c r="H523" s="541"/>
      <c r="I523" s="541"/>
      <c r="J523" s="1748"/>
      <c r="K523" s="541"/>
      <c r="L523" s="1748"/>
      <c r="M523" s="541"/>
      <c r="N523" s="1748"/>
      <c r="O523" s="541"/>
      <c r="P523" s="1748"/>
      <c r="Q523" s="541"/>
      <c r="R523" s="1748"/>
      <c r="S523" s="541"/>
      <c r="T523" s="1748"/>
      <c r="U523" s="541"/>
      <c r="V523" s="1748"/>
      <c r="W523" s="541"/>
      <c r="X523" s="1748"/>
      <c r="Y523" s="1748"/>
      <c r="Z523" s="1748"/>
      <c r="AA523" s="541"/>
      <c r="AB523" s="1748"/>
      <c r="AC523" s="541"/>
      <c r="AD523" s="541"/>
      <c r="AE523" s="541"/>
      <c r="AF523" s="541"/>
      <c r="AG523" s="541"/>
      <c r="AH523" s="541"/>
      <c r="AI523" s="541"/>
      <c r="AJ523" s="541"/>
      <c r="AK523" s="541"/>
      <c r="AL523" s="541"/>
      <c r="AM523" s="541"/>
      <c r="AN523" s="1748"/>
      <c r="AO523" s="1748"/>
      <c r="AP523" s="1748"/>
      <c r="AQ523" s="1748"/>
      <c r="AR523" s="1748"/>
      <c r="AS523" s="541"/>
      <c r="AT523" s="541"/>
      <c r="AU523" s="541"/>
      <c r="AV523" s="541"/>
      <c r="AW523" s="541"/>
      <c r="AX523" s="541"/>
      <c r="AY523" s="541"/>
      <c r="AZ523" s="541"/>
      <c r="BA523" s="541"/>
      <c r="BC523" s="541"/>
      <c r="BE523" s="541"/>
      <c r="BG523" s="541"/>
      <c r="BH523" s="1190"/>
      <c r="BI523" s="541"/>
      <c r="BJ523" s="1190"/>
      <c r="BK523" s="541"/>
      <c r="BL523" s="541"/>
      <c r="BM523" s="541"/>
      <c r="BO523" s="541"/>
      <c r="BP523" s="541"/>
      <c r="BQ523" s="633"/>
      <c r="BR523" s="541"/>
      <c r="BS523" s="541"/>
      <c r="BT523" s="541"/>
    </row>
    <row r="524" ht="15.75" customHeight="1">
      <c r="A524" s="1591"/>
      <c r="B524" s="1541"/>
      <c r="C524" s="2217"/>
      <c r="D524" s="1543"/>
      <c r="E524" s="906"/>
      <c r="F524" s="541"/>
      <c r="G524" s="541"/>
      <c r="H524" s="541"/>
      <c r="I524" s="541"/>
      <c r="J524" s="1748"/>
      <c r="K524" s="541"/>
      <c r="L524" s="1748"/>
      <c r="M524" s="541"/>
      <c r="N524" s="1748"/>
      <c r="O524" s="541"/>
      <c r="P524" s="1748"/>
      <c r="Q524" s="541"/>
      <c r="R524" s="1748"/>
      <c r="S524" s="541"/>
      <c r="T524" s="1748"/>
      <c r="U524" s="541"/>
      <c r="V524" s="1748"/>
      <c r="W524" s="541"/>
      <c r="X524" s="1748"/>
      <c r="Y524" s="1748"/>
      <c r="Z524" s="1748"/>
      <c r="AA524" s="541"/>
      <c r="AB524" s="1748"/>
      <c r="AC524" s="541"/>
      <c r="AD524" s="541"/>
      <c r="AE524" s="541"/>
      <c r="AF524" s="541"/>
      <c r="AG524" s="541"/>
      <c r="AH524" s="541"/>
      <c r="AI524" s="541"/>
      <c r="AJ524" s="541"/>
      <c r="AK524" s="541"/>
      <c r="AL524" s="541"/>
      <c r="AM524" s="541"/>
      <c r="AN524" s="1748"/>
      <c r="AO524" s="1748"/>
      <c r="AP524" s="1748"/>
      <c r="AQ524" s="1748"/>
      <c r="AR524" s="1748"/>
      <c r="AS524" s="541"/>
      <c r="AT524" s="541"/>
      <c r="AU524" s="541"/>
      <c r="AV524" s="541"/>
      <c r="AW524" s="541"/>
      <c r="AX524" s="541"/>
      <c r="AY524" s="541"/>
      <c r="AZ524" s="541"/>
      <c r="BA524" s="541"/>
      <c r="BC524" s="541"/>
      <c r="BE524" s="541"/>
      <c r="BG524" s="541"/>
      <c r="BH524" s="1190"/>
      <c r="BI524" s="541"/>
      <c r="BJ524" s="1190"/>
      <c r="BK524" s="541"/>
      <c r="BL524" s="541"/>
      <c r="BM524" s="541"/>
      <c r="BO524" s="541"/>
      <c r="BP524" s="541"/>
      <c r="BQ524" s="633"/>
      <c r="BR524" s="541"/>
      <c r="BS524" s="541"/>
      <c r="BT524" s="541"/>
    </row>
    <row r="525" ht="15.75" customHeight="1">
      <c r="A525" s="1591"/>
      <c r="B525" s="1541"/>
      <c r="C525" s="2217"/>
      <c r="D525" s="1543"/>
      <c r="E525" s="906"/>
      <c r="F525" s="541"/>
      <c r="G525" s="541"/>
      <c r="H525" s="541"/>
      <c r="I525" s="541"/>
      <c r="J525" s="1748"/>
      <c r="K525" s="541"/>
      <c r="L525" s="1748"/>
      <c r="M525" s="541"/>
      <c r="N525" s="1748"/>
      <c r="O525" s="541"/>
      <c r="P525" s="1748"/>
      <c r="Q525" s="541"/>
      <c r="R525" s="1748"/>
      <c r="S525" s="541"/>
      <c r="T525" s="1748"/>
      <c r="U525" s="541"/>
      <c r="V525" s="1748"/>
      <c r="W525" s="541"/>
      <c r="X525" s="1748"/>
      <c r="Y525" s="1748"/>
      <c r="Z525" s="1748"/>
      <c r="AA525" s="541"/>
      <c r="AB525" s="1748"/>
      <c r="AC525" s="541"/>
      <c r="AD525" s="541"/>
      <c r="AE525" s="541"/>
      <c r="AF525" s="541"/>
      <c r="AG525" s="541"/>
      <c r="AH525" s="541"/>
      <c r="AI525" s="541"/>
      <c r="AJ525" s="541"/>
      <c r="AK525" s="541"/>
      <c r="AL525" s="541"/>
      <c r="AM525" s="541"/>
      <c r="AN525" s="1748"/>
      <c r="AO525" s="1748"/>
      <c r="AP525" s="1748"/>
      <c r="AQ525" s="1748"/>
      <c r="AR525" s="1748"/>
      <c r="AS525" s="541"/>
      <c r="AT525" s="541"/>
      <c r="AU525" s="541"/>
      <c r="AV525" s="541"/>
      <c r="AW525" s="541"/>
      <c r="AX525" s="541"/>
      <c r="AY525" s="541"/>
      <c r="AZ525" s="541"/>
      <c r="BA525" s="541"/>
      <c r="BC525" s="541"/>
      <c r="BE525" s="541"/>
      <c r="BG525" s="541"/>
      <c r="BH525" s="1190"/>
      <c r="BI525" s="541"/>
      <c r="BJ525" s="1190"/>
      <c r="BK525" s="541"/>
      <c r="BL525" s="541"/>
      <c r="BM525" s="541"/>
      <c r="BO525" s="541"/>
      <c r="BP525" s="541"/>
      <c r="BQ525" s="633"/>
      <c r="BR525" s="541"/>
      <c r="BS525" s="541"/>
      <c r="BT525" s="541"/>
    </row>
    <row r="526" ht="15.75" customHeight="1">
      <c r="A526" s="1591"/>
      <c r="B526" s="1541"/>
      <c r="C526" s="2217"/>
      <c r="D526" s="1543"/>
      <c r="E526" s="906"/>
      <c r="F526" s="541"/>
      <c r="G526" s="541"/>
      <c r="H526" s="541"/>
      <c r="I526" s="541"/>
      <c r="J526" s="1748"/>
      <c r="K526" s="541"/>
      <c r="L526" s="1748"/>
      <c r="M526" s="541"/>
      <c r="N526" s="1748"/>
      <c r="O526" s="541"/>
      <c r="P526" s="1748"/>
      <c r="Q526" s="541"/>
      <c r="R526" s="1748"/>
      <c r="S526" s="541"/>
      <c r="T526" s="1748"/>
      <c r="U526" s="541"/>
      <c r="V526" s="1748"/>
      <c r="W526" s="541"/>
      <c r="X526" s="1748"/>
      <c r="Y526" s="1748"/>
      <c r="Z526" s="1748"/>
      <c r="AA526" s="541"/>
      <c r="AB526" s="1748"/>
      <c r="AC526" s="541"/>
      <c r="AD526" s="541"/>
      <c r="AE526" s="541"/>
      <c r="AF526" s="541"/>
      <c r="AG526" s="541"/>
      <c r="AH526" s="541"/>
      <c r="AI526" s="541"/>
      <c r="AJ526" s="541"/>
      <c r="AK526" s="541"/>
      <c r="AL526" s="541"/>
      <c r="AM526" s="541"/>
      <c r="AN526" s="1748"/>
      <c r="AO526" s="1748"/>
      <c r="AP526" s="1748"/>
      <c r="AQ526" s="1748"/>
      <c r="AR526" s="1748"/>
      <c r="AS526" s="541"/>
      <c r="AT526" s="541"/>
      <c r="AU526" s="541"/>
      <c r="AV526" s="541"/>
      <c r="AW526" s="541"/>
      <c r="AX526" s="541"/>
      <c r="AY526" s="541"/>
      <c r="AZ526" s="541"/>
      <c r="BA526" s="541"/>
      <c r="BC526" s="541"/>
      <c r="BE526" s="541"/>
      <c r="BG526" s="541"/>
      <c r="BH526" s="1190"/>
      <c r="BI526" s="541"/>
      <c r="BJ526" s="1190"/>
      <c r="BK526" s="541"/>
      <c r="BL526" s="541"/>
      <c r="BM526" s="541"/>
      <c r="BO526" s="541"/>
      <c r="BP526" s="541"/>
      <c r="BQ526" s="633"/>
      <c r="BR526" s="541"/>
      <c r="BS526" s="541"/>
      <c r="BT526" s="541"/>
    </row>
    <row r="527" ht="15.75" customHeight="1">
      <c r="A527" s="1591"/>
      <c r="B527" s="1541"/>
      <c r="C527" s="2217"/>
      <c r="D527" s="1543"/>
      <c r="E527" s="906"/>
      <c r="F527" s="541"/>
      <c r="G527" s="541"/>
      <c r="H527" s="541"/>
      <c r="I527" s="541"/>
      <c r="J527" s="1748"/>
      <c r="K527" s="541"/>
      <c r="L527" s="1748"/>
      <c r="M527" s="541"/>
      <c r="N527" s="1748"/>
      <c r="O527" s="541"/>
      <c r="P527" s="1748"/>
      <c r="Q527" s="541"/>
      <c r="R527" s="1748"/>
      <c r="S527" s="541"/>
      <c r="T527" s="1748"/>
      <c r="U527" s="541"/>
      <c r="V527" s="1748"/>
      <c r="W527" s="541"/>
      <c r="X527" s="1748"/>
      <c r="Y527" s="1748"/>
      <c r="Z527" s="1748"/>
      <c r="AA527" s="541"/>
      <c r="AB527" s="1748"/>
      <c r="AC527" s="541"/>
      <c r="AD527" s="541"/>
      <c r="AE527" s="541"/>
      <c r="AF527" s="541"/>
      <c r="AG527" s="541"/>
      <c r="AH527" s="541"/>
      <c r="AI527" s="541"/>
      <c r="AJ527" s="541"/>
      <c r="AK527" s="541"/>
      <c r="AL527" s="541"/>
      <c r="AM527" s="541"/>
      <c r="AN527" s="1748"/>
      <c r="AO527" s="1748"/>
      <c r="AP527" s="1748"/>
      <c r="AQ527" s="1748"/>
      <c r="AR527" s="1748"/>
      <c r="AS527" s="541"/>
      <c r="AT527" s="541"/>
      <c r="AU527" s="541"/>
      <c r="AV527" s="541"/>
      <c r="AW527" s="541"/>
      <c r="AX527" s="541"/>
      <c r="AY527" s="541"/>
      <c r="AZ527" s="541"/>
      <c r="BA527" s="541"/>
      <c r="BC527" s="541"/>
      <c r="BE527" s="541"/>
      <c r="BG527" s="541"/>
      <c r="BH527" s="1190"/>
      <c r="BI527" s="541"/>
      <c r="BJ527" s="1190"/>
      <c r="BK527" s="541"/>
      <c r="BL527" s="541"/>
      <c r="BM527" s="541"/>
      <c r="BO527" s="541"/>
      <c r="BP527" s="541"/>
      <c r="BQ527" s="633"/>
      <c r="BR527" s="541"/>
      <c r="BS527" s="541"/>
      <c r="BT527" s="541"/>
    </row>
    <row r="528" ht="15.75" customHeight="1">
      <c r="A528" s="1591"/>
      <c r="B528" s="1541"/>
      <c r="C528" s="2217"/>
      <c r="D528" s="1543"/>
      <c r="E528" s="906"/>
      <c r="F528" s="541"/>
      <c r="G528" s="541"/>
      <c r="H528" s="541"/>
      <c r="I528" s="541"/>
      <c r="J528" s="1748"/>
      <c r="K528" s="541"/>
      <c r="L528" s="1748"/>
      <c r="M528" s="541"/>
      <c r="N528" s="1748"/>
      <c r="O528" s="541"/>
      <c r="P528" s="1748"/>
      <c r="Q528" s="541"/>
      <c r="R528" s="1748"/>
      <c r="S528" s="541"/>
      <c r="T528" s="1748"/>
      <c r="U528" s="541"/>
      <c r="V528" s="1748"/>
      <c r="W528" s="541"/>
      <c r="X528" s="1748"/>
      <c r="Y528" s="1748"/>
      <c r="Z528" s="1748"/>
      <c r="AA528" s="541"/>
      <c r="AB528" s="1748"/>
      <c r="AC528" s="541"/>
      <c r="AD528" s="541"/>
      <c r="AE528" s="541"/>
      <c r="AF528" s="541"/>
      <c r="AG528" s="541"/>
      <c r="AH528" s="541"/>
      <c r="AI528" s="541"/>
      <c r="AJ528" s="541"/>
      <c r="AK528" s="541"/>
      <c r="AL528" s="541"/>
      <c r="AM528" s="541"/>
      <c r="AN528" s="1748"/>
      <c r="AO528" s="1748"/>
      <c r="AP528" s="1748"/>
      <c r="AQ528" s="1748"/>
      <c r="AR528" s="1748"/>
      <c r="AS528" s="541"/>
      <c r="AT528" s="541"/>
      <c r="AU528" s="541"/>
      <c r="AV528" s="541"/>
      <c r="AW528" s="541"/>
      <c r="AX528" s="541"/>
      <c r="AY528" s="541"/>
      <c r="AZ528" s="541"/>
      <c r="BA528" s="541"/>
      <c r="BC528" s="541"/>
      <c r="BE528" s="541"/>
      <c r="BG528" s="541"/>
      <c r="BH528" s="1190"/>
      <c r="BI528" s="541"/>
      <c r="BJ528" s="1190"/>
      <c r="BK528" s="541"/>
      <c r="BL528" s="541"/>
      <c r="BM528" s="541"/>
      <c r="BO528" s="541"/>
      <c r="BP528" s="541"/>
      <c r="BQ528" s="633"/>
      <c r="BR528" s="541"/>
      <c r="BS528" s="541"/>
      <c r="BT528" s="541"/>
    </row>
    <row r="529" ht="15.75" customHeight="1">
      <c r="A529" s="1591"/>
      <c r="B529" s="1541"/>
      <c r="C529" s="2217"/>
      <c r="D529" s="1543"/>
      <c r="E529" s="906"/>
      <c r="F529" s="541"/>
      <c r="G529" s="541"/>
      <c r="H529" s="541"/>
      <c r="I529" s="541"/>
      <c r="J529" s="1748"/>
      <c r="K529" s="541"/>
      <c r="L529" s="1748"/>
      <c r="M529" s="541"/>
      <c r="N529" s="1748"/>
      <c r="O529" s="541"/>
      <c r="P529" s="1748"/>
      <c r="Q529" s="541"/>
      <c r="R529" s="1748"/>
      <c r="S529" s="541"/>
      <c r="T529" s="1748"/>
      <c r="U529" s="541"/>
      <c r="V529" s="1748"/>
      <c r="W529" s="541"/>
      <c r="X529" s="1748"/>
      <c r="Y529" s="1748"/>
      <c r="Z529" s="1748"/>
      <c r="AA529" s="541"/>
      <c r="AB529" s="1748"/>
      <c r="AC529" s="541"/>
      <c r="AD529" s="541"/>
      <c r="AE529" s="541"/>
      <c r="AF529" s="541"/>
      <c r="AG529" s="541"/>
      <c r="AH529" s="541"/>
      <c r="AI529" s="541"/>
      <c r="AJ529" s="541"/>
      <c r="AK529" s="541"/>
      <c r="AL529" s="541"/>
      <c r="AM529" s="541"/>
      <c r="AN529" s="1748"/>
      <c r="AO529" s="1748"/>
      <c r="AP529" s="1748"/>
      <c r="AQ529" s="1748"/>
      <c r="AR529" s="1748"/>
      <c r="AS529" s="541"/>
      <c r="AT529" s="541"/>
      <c r="AU529" s="541"/>
      <c r="AV529" s="541"/>
      <c r="AW529" s="541"/>
      <c r="AX529" s="541"/>
      <c r="AY529" s="541"/>
      <c r="AZ529" s="541"/>
      <c r="BA529" s="541"/>
      <c r="BC529" s="541"/>
      <c r="BE529" s="541"/>
      <c r="BG529" s="541"/>
      <c r="BH529" s="1190"/>
      <c r="BI529" s="541"/>
      <c r="BJ529" s="1190"/>
      <c r="BK529" s="541"/>
      <c r="BL529" s="541"/>
      <c r="BM529" s="541"/>
      <c r="BO529" s="541"/>
      <c r="BP529" s="541"/>
      <c r="BQ529" s="633"/>
      <c r="BR529" s="541"/>
      <c r="BS529" s="541"/>
      <c r="BT529" s="541"/>
    </row>
    <row r="530" ht="15.75" customHeight="1">
      <c r="A530" s="1591"/>
      <c r="B530" s="1541"/>
      <c r="C530" s="2217"/>
      <c r="D530" s="1543"/>
      <c r="E530" s="906"/>
      <c r="F530" s="541"/>
      <c r="G530" s="541"/>
      <c r="H530" s="541"/>
      <c r="I530" s="541"/>
      <c r="J530" s="1748"/>
      <c r="K530" s="541"/>
      <c r="L530" s="1748"/>
      <c r="M530" s="541"/>
      <c r="N530" s="1748"/>
      <c r="O530" s="541"/>
      <c r="P530" s="1748"/>
      <c r="Q530" s="541"/>
      <c r="R530" s="1748"/>
      <c r="S530" s="541"/>
      <c r="T530" s="1748"/>
      <c r="U530" s="541"/>
      <c r="V530" s="1748"/>
      <c r="W530" s="541"/>
      <c r="X530" s="1748"/>
      <c r="Y530" s="1748"/>
      <c r="Z530" s="1748"/>
      <c r="AA530" s="541"/>
      <c r="AB530" s="1748"/>
      <c r="AC530" s="541"/>
      <c r="AD530" s="541"/>
      <c r="AE530" s="541"/>
      <c r="AF530" s="541"/>
      <c r="AG530" s="541"/>
      <c r="AH530" s="541"/>
      <c r="AI530" s="541"/>
      <c r="AJ530" s="541"/>
      <c r="AK530" s="541"/>
      <c r="AL530" s="541"/>
      <c r="AM530" s="541"/>
      <c r="AN530" s="1748"/>
      <c r="AO530" s="1748"/>
      <c r="AP530" s="1748"/>
      <c r="AQ530" s="1748"/>
      <c r="AR530" s="1748"/>
      <c r="AS530" s="541"/>
      <c r="AT530" s="541"/>
      <c r="AU530" s="541"/>
      <c r="AV530" s="541"/>
      <c r="AW530" s="541"/>
      <c r="AX530" s="541"/>
      <c r="AY530" s="541"/>
      <c r="AZ530" s="541"/>
      <c r="BA530" s="541"/>
      <c r="BC530" s="541"/>
      <c r="BE530" s="541"/>
      <c r="BG530" s="541"/>
      <c r="BH530" s="1190"/>
      <c r="BI530" s="541"/>
      <c r="BJ530" s="1190"/>
      <c r="BK530" s="541"/>
      <c r="BL530" s="541"/>
      <c r="BM530" s="541"/>
      <c r="BO530" s="541"/>
      <c r="BP530" s="541"/>
      <c r="BQ530" s="633"/>
      <c r="BR530" s="541"/>
      <c r="BS530" s="541"/>
      <c r="BT530" s="541"/>
    </row>
    <row r="531" ht="15.75" customHeight="1">
      <c r="A531" s="1591"/>
      <c r="B531" s="1541"/>
      <c r="C531" s="2217"/>
      <c r="D531" s="1543"/>
      <c r="E531" s="906"/>
      <c r="F531" s="541"/>
      <c r="G531" s="541"/>
      <c r="H531" s="541"/>
      <c r="I531" s="541"/>
      <c r="J531" s="1748"/>
      <c r="K531" s="541"/>
      <c r="L531" s="1748"/>
      <c r="M531" s="541"/>
      <c r="N531" s="1748"/>
      <c r="O531" s="541"/>
      <c r="P531" s="1748"/>
      <c r="Q531" s="541"/>
      <c r="R531" s="1748"/>
      <c r="S531" s="541"/>
      <c r="T531" s="1748"/>
      <c r="U531" s="541"/>
      <c r="V531" s="1748"/>
      <c r="W531" s="541"/>
      <c r="X531" s="1748"/>
      <c r="Y531" s="1748"/>
      <c r="Z531" s="1748"/>
      <c r="AA531" s="541"/>
      <c r="AB531" s="1748"/>
      <c r="AC531" s="541"/>
      <c r="AD531" s="541"/>
      <c r="AE531" s="541"/>
      <c r="AF531" s="541"/>
      <c r="AG531" s="541"/>
      <c r="AH531" s="541"/>
      <c r="AI531" s="541"/>
      <c r="AJ531" s="541"/>
      <c r="AK531" s="541"/>
      <c r="AL531" s="541"/>
      <c r="AM531" s="541"/>
      <c r="AN531" s="1748"/>
      <c r="AO531" s="1748"/>
      <c r="AP531" s="1748"/>
      <c r="AQ531" s="1748"/>
      <c r="AR531" s="1748"/>
      <c r="AS531" s="541"/>
      <c r="AT531" s="541"/>
      <c r="AU531" s="541"/>
      <c r="AV531" s="541"/>
      <c r="AW531" s="541"/>
      <c r="AX531" s="541"/>
      <c r="AY531" s="541"/>
      <c r="AZ531" s="541"/>
      <c r="BA531" s="541"/>
      <c r="BC531" s="541"/>
      <c r="BE531" s="541"/>
      <c r="BG531" s="541"/>
      <c r="BH531" s="1190"/>
      <c r="BI531" s="541"/>
      <c r="BJ531" s="1190"/>
      <c r="BK531" s="541"/>
      <c r="BL531" s="541"/>
      <c r="BM531" s="541"/>
      <c r="BO531" s="541"/>
      <c r="BP531" s="541"/>
      <c r="BQ531" s="633"/>
      <c r="BR531" s="541"/>
      <c r="BS531" s="541"/>
      <c r="BT531" s="541"/>
    </row>
    <row r="532" ht="15.75" customHeight="1">
      <c r="A532" s="1591"/>
      <c r="B532" s="1541"/>
      <c r="C532" s="2217"/>
      <c r="D532" s="1543"/>
      <c r="E532" s="906"/>
      <c r="F532" s="541"/>
      <c r="G532" s="541"/>
      <c r="H532" s="541"/>
      <c r="I532" s="541"/>
      <c r="J532" s="1748"/>
      <c r="K532" s="541"/>
      <c r="L532" s="1748"/>
      <c r="M532" s="541"/>
      <c r="N532" s="1748"/>
      <c r="O532" s="541"/>
      <c r="P532" s="1748"/>
      <c r="Q532" s="541"/>
      <c r="R532" s="1748"/>
      <c r="S532" s="541"/>
      <c r="T532" s="1748"/>
      <c r="U532" s="541"/>
      <c r="V532" s="1748"/>
      <c r="W532" s="541"/>
      <c r="X532" s="1748"/>
      <c r="Y532" s="1748"/>
      <c r="Z532" s="1748"/>
      <c r="AA532" s="541"/>
      <c r="AB532" s="1748"/>
      <c r="AC532" s="541"/>
      <c r="AD532" s="541"/>
      <c r="AE532" s="541"/>
      <c r="AF532" s="541"/>
      <c r="AG532" s="541"/>
      <c r="AH532" s="541"/>
      <c r="AI532" s="541"/>
      <c r="AJ532" s="541"/>
      <c r="AK532" s="541"/>
      <c r="AL532" s="541"/>
      <c r="AM532" s="541"/>
      <c r="AN532" s="1748"/>
      <c r="AO532" s="1748"/>
      <c r="AP532" s="1748"/>
      <c r="AQ532" s="1748"/>
      <c r="AR532" s="1748"/>
      <c r="AS532" s="541"/>
      <c r="AT532" s="541"/>
      <c r="AU532" s="541"/>
      <c r="AV532" s="541"/>
      <c r="AW532" s="541"/>
      <c r="AX532" s="541"/>
      <c r="AY532" s="541"/>
      <c r="AZ532" s="541"/>
      <c r="BA532" s="541"/>
      <c r="BC532" s="541"/>
      <c r="BE532" s="541"/>
      <c r="BG532" s="541"/>
      <c r="BH532" s="1190"/>
      <c r="BI532" s="541"/>
      <c r="BJ532" s="1190"/>
      <c r="BK532" s="541"/>
      <c r="BL532" s="541"/>
      <c r="BM532" s="541"/>
      <c r="BO532" s="541"/>
      <c r="BP532" s="541"/>
      <c r="BQ532" s="633"/>
      <c r="BR532" s="541"/>
      <c r="BS532" s="541"/>
      <c r="BT532" s="541"/>
    </row>
    <row r="533" ht="15.75" customHeight="1">
      <c r="A533" s="1591"/>
      <c r="B533" s="1541"/>
      <c r="C533" s="2217"/>
      <c r="D533" s="1543"/>
      <c r="E533" s="906"/>
      <c r="F533" s="541"/>
      <c r="G533" s="541"/>
      <c r="H533" s="541"/>
      <c r="I533" s="541"/>
      <c r="J533" s="1748"/>
      <c r="K533" s="541"/>
      <c r="L533" s="1748"/>
      <c r="M533" s="541"/>
      <c r="N533" s="1748"/>
      <c r="O533" s="541"/>
      <c r="P533" s="1748"/>
      <c r="Q533" s="541"/>
      <c r="R533" s="1748"/>
      <c r="S533" s="541"/>
      <c r="T533" s="1748"/>
      <c r="U533" s="541"/>
      <c r="V533" s="1748"/>
      <c r="W533" s="541"/>
      <c r="X533" s="1748"/>
      <c r="Y533" s="1748"/>
      <c r="Z533" s="1748"/>
      <c r="AA533" s="541"/>
      <c r="AB533" s="1748"/>
      <c r="AC533" s="541"/>
      <c r="AD533" s="541"/>
      <c r="AE533" s="541"/>
      <c r="AF533" s="541"/>
      <c r="AG533" s="541"/>
      <c r="AH533" s="541"/>
      <c r="AI533" s="541"/>
      <c r="AJ533" s="541"/>
      <c r="AK533" s="541"/>
      <c r="AL533" s="541"/>
      <c r="AM533" s="541"/>
      <c r="AN533" s="1748"/>
      <c r="AO533" s="1748"/>
      <c r="AP533" s="1748"/>
      <c r="AQ533" s="1748"/>
      <c r="AR533" s="1748"/>
      <c r="AS533" s="541"/>
      <c r="AT533" s="541"/>
      <c r="AU533" s="541"/>
      <c r="AV533" s="541"/>
      <c r="AW533" s="541"/>
      <c r="AX533" s="541"/>
      <c r="AY533" s="541"/>
      <c r="AZ533" s="541"/>
      <c r="BA533" s="541"/>
      <c r="BC533" s="541"/>
      <c r="BE533" s="541"/>
      <c r="BG533" s="541"/>
      <c r="BH533" s="1190"/>
      <c r="BI533" s="541"/>
      <c r="BJ533" s="1190"/>
      <c r="BK533" s="541"/>
      <c r="BL533" s="541"/>
      <c r="BM533" s="541"/>
      <c r="BO533" s="541"/>
      <c r="BP533" s="541"/>
      <c r="BQ533" s="633"/>
      <c r="BR533" s="541"/>
      <c r="BS533" s="541"/>
      <c r="BT533" s="541"/>
    </row>
    <row r="534" ht="15.75" customHeight="1">
      <c r="A534" s="1591"/>
      <c r="B534" s="1541"/>
      <c r="C534" s="2217"/>
      <c r="D534" s="1543"/>
      <c r="E534" s="906"/>
      <c r="F534" s="541"/>
      <c r="G534" s="541"/>
      <c r="H534" s="541"/>
      <c r="I534" s="541"/>
      <c r="J534" s="1748"/>
      <c r="K534" s="541"/>
      <c r="L534" s="1748"/>
      <c r="M534" s="541"/>
      <c r="N534" s="1748"/>
      <c r="O534" s="541"/>
      <c r="P534" s="1748"/>
      <c r="Q534" s="541"/>
      <c r="R534" s="1748"/>
      <c r="S534" s="541"/>
      <c r="T534" s="1748"/>
      <c r="U534" s="541"/>
      <c r="V534" s="1748"/>
      <c r="W534" s="541"/>
      <c r="X534" s="1748"/>
      <c r="Y534" s="1748"/>
      <c r="Z534" s="1748"/>
      <c r="AA534" s="541"/>
      <c r="AB534" s="1748"/>
      <c r="AC534" s="541"/>
      <c r="AD534" s="541"/>
      <c r="AE534" s="541"/>
      <c r="AF534" s="541"/>
      <c r="AG534" s="541"/>
      <c r="AH534" s="541"/>
      <c r="AI534" s="541"/>
      <c r="AJ534" s="541"/>
      <c r="AK534" s="541"/>
      <c r="AL534" s="541"/>
      <c r="AM534" s="541"/>
      <c r="AN534" s="1748"/>
      <c r="AO534" s="1748"/>
      <c r="AP534" s="1748"/>
      <c r="AQ534" s="1748"/>
      <c r="AR534" s="1748"/>
      <c r="AS534" s="541"/>
      <c r="AT534" s="541"/>
      <c r="AU534" s="541"/>
      <c r="AV534" s="541"/>
      <c r="AW534" s="541"/>
      <c r="AX534" s="541"/>
      <c r="AY534" s="541"/>
      <c r="AZ534" s="541"/>
      <c r="BA534" s="541"/>
      <c r="BC534" s="541"/>
      <c r="BE534" s="541"/>
      <c r="BG534" s="541"/>
      <c r="BH534" s="1190"/>
      <c r="BI534" s="541"/>
      <c r="BJ534" s="1190"/>
      <c r="BK534" s="541"/>
      <c r="BL534" s="541"/>
      <c r="BM534" s="541"/>
      <c r="BO534" s="541"/>
      <c r="BP534" s="541"/>
      <c r="BQ534" s="633"/>
      <c r="BR534" s="541"/>
      <c r="BS534" s="541"/>
      <c r="BT534" s="541"/>
    </row>
    <row r="535" ht="15.75" customHeight="1">
      <c r="A535" s="1591"/>
      <c r="B535" s="1541"/>
      <c r="C535" s="2217"/>
      <c r="D535" s="1543"/>
      <c r="E535" s="906"/>
      <c r="F535" s="541"/>
      <c r="G535" s="541"/>
      <c r="H535" s="541"/>
      <c r="I535" s="541"/>
      <c r="J535" s="1748"/>
      <c r="K535" s="541"/>
      <c r="L535" s="1748"/>
      <c r="M535" s="541"/>
      <c r="N535" s="1748"/>
      <c r="O535" s="541"/>
      <c r="P535" s="1748"/>
      <c r="Q535" s="541"/>
      <c r="R535" s="1748"/>
      <c r="S535" s="541"/>
      <c r="T535" s="1748"/>
      <c r="U535" s="541"/>
      <c r="V535" s="1748"/>
      <c r="W535" s="541"/>
      <c r="X535" s="1748"/>
      <c r="Y535" s="1748"/>
      <c r="Z535" s="1748"/>
      <c r="AA535" s="541"/>
      <c r="AB535" s="1748"/>
      <c r="AC535" s="541"/>
      <c r="AD535" s="541"/>
      <c r="AE535" s="541"/>
      <c r="AF535" s="541"/>
      <c r="AG535" s="541"/>
      <c r="AH535" s="541"/>
      <c r="AI535" s="541"/>
      <c r="AJ535" s="541"/>
      <c r="AK535" s="541"/>
      <c r="AL535" s="541"/>
      <c r="AM535" s="541"/>
      <c r="AN535" s="1748"/>
      <c r="AO535" s="1748"/>
      <c r="AP535" s="1748"/>
      <c r="AQ535" s="1748"/>
      <c r="AR535" s="1748"/>
      <c r="AS535" s="541"/>
      <c r="AT535" s="541"/>
      <c r="AU535" s="541"/>
      <c r="AV535" s="541"/>
      <c r="AW535" s="541"/>
      <c r="AX535" s="541"/>
      <c r="AY535" s="541"/>
      <c r="AZ535" s="541"/>
      <c r="BA535" s="541"/>
      <c r="BC535" s="541"/>
      <c r="BE535" s="541"/>
      <c r="BG535" s="541"/>
      <c r="BH535" s="1190"/>
      <c r="BI535" s="541"/>
      <c r="BJ535" s="1190"/>
      <c r="BK535" s="541"/>
      <c r="BL535" s="541"/>
      <c r="BM535" s="541"/>
      <c r="BO535" s="541"/>
      <c r="BP535" s="541"/>
      <c r="BQ535" s="633"/>
      <c r="BR535" s="541"/>
      <c r="BS535" s="541"/>
      <c r="BT535" s="541"/>
    </row>
    <row r="536" ht="15.75" customHeight="1">
      <c r="A536" s="1591"/>
      <c r="B536" s="1541"/>
      <c r="C536" s="2217"/>
      <c r="D536" s="1543"/>
      <c r="E536" s="906"/>
      <c r="F536" s="541"/>
      <c r="G536" s="541"/>
      <c r="H536" s="541"/>
      <c r="I536" s="541"/>
      <c r="J536" s="1748"/>
      <c r="K536" s="541"/>
      <c r="L536" s="1748"/>
      <c r="M536" s="541"/>
      <c r="N536" s="1748"/>
      <c r="O536" s="541"/>
      <c r="P536" s="1748"/>
      <c r="Q536" s="541"/>
      <c r="R536" s="1748"/>
      <c r="S536" s="541"/>
      <c r="T536" s="1748"/>
      <c r="U536" s="541"/>
      <c r="V536" s="1748"/>
      <c r="W536" s="541"/>
      <c r="X536" s="1748"/>
      <c r="Y536" s="1748"/>
      <c r="Z536" s="1748"/>
      <c r="AA536" s="541"/>
      <c r="AB536" s="1748"/>
      <c r="AC536" s="541"/>
      <c r="AD536" s="541"/>
      <c r="AE536" s="541"/>
      <c r="AF536" s="541"/>
      <c r="AG536" s="541"/>
      <c r="AH536" s="541"/>
      <c r="AI536" s="541"/>
      <c r="AJ536" s="541"/>
      <c r="AK536" s="541"/>
      <c r="AL536" s="541"/>
      <c r="AM536" s="541"/>
      <c r="AN536" s="1748"/>
      <c r="AO536" s="1748"/>
      <c r="AP536" s="1748"/>
      <c r="AQ536" s="1748"/>
      <c r="AR536" s="1748"/>
      <c r="AS536" s="541"/>
      <c r="AT536" s="541"/>
      <c r="AU536" s="541"/>
      <c r="AV536" s="541"/>
      <c r="AW536" s="541"/>
      <c r="AX536" s="541"/>
      <c r="AY536" s="541"/>
      <c r="AZ536" s="541"/>
      <c r="BA536" s="541"/>
      <c r="BC536" s="541"/>
      <c r="BE536" s="541"/>
      <c r="BG536" s="541"/>
      <c r="BH536" s="1190"/>
      <c r="BI536" s="541"/>
      <c r="BJ536" s="1190"/>
      <c r="BK536" s="541"/>
      <c r="BL536" s="541"/>
      <c r="BM536" s="541"/>
      <c r="BO536" s="541"/>
      <c r="BP536" s="541"/>
      <c r="BQ536" s="633"/>
      <c r="BR536" s="541"/>
      <c r="BS536" s="541"/>
      <c r="BT536" s="541"/>
    </row>
    <row r="537" ht="15.75" customHeight="1">
      <c r="A537" s="1591"/>
      <c r="B537" s="1541"/>
      <c r="C537" s="2217"/>
      <c r="D537" s="1543"/>
      <c r="E537" s="906"/>
      <c r="F537" s="541"/>
      <c r="G537" s="541"/>
      <c r="H537" s="541"/>
      <c r="I537" s="541"/>
      <c r="J537" s="1748"/>
      <c r="K537" s="541"/>
      <c r="L537" s="1748"/>
      <c r="M537" s="541"/>
      <c r="N537" s="1748"/>
      <c r="O537" s="541"/>
      <c r="P537" s="1748"/>
      <c r="Q537" s="541"/>
      <c r="R537" s="1748"/>
      <c r="S537" s="541"/>
      <c r="T537" s="1748"/>
      <c r="U537" s="541"/>
      <c r="V537" s="1748"/>
      <c r="W537" s="541"/>
      <c r="X537" s="1748"/>
      <c r="Y537" s="1748"/>
      <c r="Z537" s="1748"/>
      <c r="AA537" s="541"/>
      <c r="AB537" s="1748"/>
      <c r="AC537" s="541"/>
      <c r="AD537" s="541"/>
      <c r="AE537" s="541"/>
      <c r="AF537" s="541"/>
      <c r="AG537" s="541"/>
      <c r="AH537" s="541"/>
      <c r="AI537" s="541"/>
      <c r="AJ537" s="541"/>
      <c r="AK537" s="541"/>
      <c r="AL537" s="541"/>
      <c r="AM537" s="541"/>
      <c r="AN537" s="1748"/>
      <c r="AO537" s="1748"/>
      <c r="AP537" s="1748"/>
      <c r="AQ537" s="1748"/>
      <c r="AR537" s="1748"/>
      <c r="AS537" s="541"/>
      <c r="AT537" s="541"/>
      <c r="AU537" s="541"/>
      <c r="AV537" s="541"/>
      <c r="AW537" s="541"/>
      <c r="AX537" s="541"/>
      <c r="AY537" s="541"/>
      <c r="AZ537" s="541"/>
      <c r="BA537" s="541"/>
      <c r="BC537" s="541"/>
      <c r="BE537" s="541"/>
      <c r="BG537" s="541"/>
      <c r="BH537" s="1190"/>
      <c r="BI537" s="541"/>
      <c r="BJ537" s="1190"/>
      <c r="BK537" s="541"/>
      <c r="BL537" s="541"/>
      <c r="BM537" s="541"/>
      <c r="BO537" s="541"/>
      <c r="BP537" s="541"/>
      <c r="BQ537" s="633"/>
      <c r="BR537" s="541"/>
      <c r="BS537" s="541"/>
      <c r="BT537" s="541"/>
    </row>
    <row r="538" ht="15.75" customHeight="1">
      <c r="A538" s="1591"/>
      <c r="B538" s="1541"/>
      <c r="C538" s="2217"/>
      <c r="D538" s="1543"/>
      <c r="E538" s="906"/>
      <c r="F538" s="541"/>
      <c r="G538" s="541"/>
      <c r="H538" s="541"/>
      <c r="I538" s="541"/>
      <c r="J538" s="1748"/>
      <c r="K538" s="541"/>
      <c r="L538" s="1748"/>
      <c r="M538" s="541"/>
      <c r="N538" s="1748"/>
      <c r="O538" s="541"/>
      <c r="P538" s="1748"/>
      <c r="Q538" s="541"/>
      <c r="R538" s="1748"/>
      <c r="S538" s="541"/>
      <c r="T538" s="1748"/>
      <c r="U538" s="541"/>
      <c r="V538" s="1748"/>
      <c r="W538" s="541"/>
      <c r="X538" s="1748"/>
      <c r="Y538" s="1748"/>
      <c r="Z538" s="1748"/>
      <c r="AA538" s="541"/>
      <c r="AB538" s="1748"/>
      <c r="AC538" s="541"/>
      <c r="AD538" s="541"/>
      <c r="AE538" s="541"/>
      <c r="AF538" s="541"/>
      <c r="AG538" s="541"/>
      <c r="AH538" s="541"/>
      <c r="AI538" s="541"/>
      <c r="AJ538" s="541"/>
      <c r="AK538" s="541"/>
      <c r="AL538" s="541"/>
      <c r="AM538" s="541"/>
      <c r="AN538" s="1748"/>
      <c r="AO538" s="1748"/>
      <c r="AP538" s="1748"/>
      <c r="AQ538" s="1748"/>
      <c r="AR538" s="1748"/>
      <c r="AS538" s="541"/>
      <c r="AT538" s="541"/>
      <c r="AU538" s="541"/>
      <c r="AV538" s="541"/>
      <c r="AW538" s="541"/>
      <c r="AX538" s="541"/>
      <c r="AY538" s="541"/>
      <c r="AZ538" s="541"/>
      <c r="BA538" s="541"/>
      <c r="BC538" s="541"/>
      <c r="BE538" s="541"/>
      <c r="BG538" s="541"/>
      <c r="BH538" s="1190"/>
      <c r="BI538" s="541"/>
      <c r="BJ538" s="1190"/>
      <c r="BK538" s="541"/>
      <c r="BL538" s="541"/>
      <c r="BM538" s="541"/>
      <c r="BO538" s="541"/>
      <c r="BP538" s="541"/>
      <c r="BQ538" s="633"/>
      <c r="BR538" s="541"/>
      <c r="BS538" s="541"/>
      <c r="BT538" s="541"/>
    </row>
    <row r="539" ht="15.75" customHeight="1">
      <c r="A539" s="1591"/>
      <c r="B539" s="1541"/>
      <c r="C539" s="2217"/>
      <c r="D539" s="1543"/>
      <c r="E539" s="906"/>
      <c r="F539" s="541"/>
      <c r="G539" s="541"/>
      <c r="H539" s="541"/>
      <c r="I539" s="541"/>
      <c r="J539" s="1748"/>
      <c r="K539" s="541"/>
      <c r="L539" s="1748"/>
      <c r="M539" s="541"/>
      <c r="N539" s="1748"/>
      <c r="O539" s="541"/>
      <c r="P539" s="1748"/>
      <c r="Q539" s="541"/>
      <c r="R539" s="1748"/>
      <c r="S539" s="541"/>
      <c r="T539" s="1748"/>
      <c r="U539" s="541"/>
      <c r="V539" s="1748"/>
      <c r="W539" s="541"/>
      <c r="X539" s="1748"/>
      <c r="Y539" s="1748"/>
      <c r="Z539" s="1748"/>
      <c r="AA539" s="541"/>
      <c r="AB539" s="1748"/>
      <c r="AC539" s="541"/>
      <c r="AD539" s="541"/>
      <c r="AE539" s="541"/>
      <c r="AF539" s="541"/>
      <c r="AG539" s="541"/>
      <c r="AH539" s="541"/>
      <c r="AI539" s="541"/>
      <c r="AJ539" s="541"/>
      <c r="AK539" s="541"/>
      <c r="AL539" s="541"/>
      <c r="AM539" s="541"/>
      <c r="AN539" s="1748"/>
      <c r="AO539" s="1748"/>
      <c r="AP539" s="1748"/>
      <c r="AQ539" s="1748"/>
      <c r="AR539" s="1748"/>
      <c r="AS539" s="541"/>
      <c r="AT539" s="541"/>
      <c r="AU539" s="541"/>
      <c r="AV539" s="541"/>
      <c r="AW539" s="541"/>
      <c r="AX539" s="541"/>
      <c r="AY539" s="541"/>
      <c r="AZ539" s="541"/>
      <c r="BA539" s="541"/>
      <c r="BC539" s="541"/>
      <c r="BE539" s="541"/>
      <c r="BG539" s="541"/>
      <c r="BH539" s="1190"/>
      <c r="BI539" s="541"/>
      <c r="BJ539" s="1190"/>
      <c r="BK539" s="541"/>
      <c r="BL539" s="541"/>
      <c r="BM539" s="541"/>
      <c r="BO539" s="541"/>
      <c r="BP539" s="541"/>
      <c r="BQ539" s="633"/>
      <c r="BR539" s="541"/>
      <c r="BS539" s="541"/>
      <c r="BT539" s="541"/>
    </row>
    <row r="540" ht="15.75" customHeight="1">
      <c r="A540" s="1591"/>
      <c r="B540" s="1541"/>
      <c r="C540" s="2217"/>
      <c r="D540" s="1543"/>
      <c r="E540" s="906"/>
      <c r="F540" s="541"/>
      <c r="G540" s="541"/>
      <c r="H540" s="541"/>
      <c r="I540" s="541"/>
      <c r="J540" s="1748"/>
      <c r="K540" s="541"/>
      <c r="L540" s="1748"/>
      <c r="M540" s="541"/>
      <c r="N540" s="1748"/>
      <c r="O540" s="541"/>
      <c r="P540" s="1748"/>
      <c r="Q540" s="541"/>
      <c r="R540" s="1748"/>
      <c r="S540" s="541"/>
      <c r="T540" s="1748"/>
      <c r="U540" s="541"/>
      <c r="V540" s="1748"/>
      <c r="W540" s="541"/>
      <c r="X540" s="1748"/>
      <c r="Y540" s="1748"/>
      <c r="Z540" s="1748"/>
      <c r="AA540" s="541"/>
      <c r="AB540" s="1748"/>
      <c r="AC540" s="541"/>
      <c r="AD540" s="541"/>
      <c r="AE540" s="541"/>
      <c r="AF540" s="541"/>
      <c r="AG540" s="541"/>
      <c r="AH540" s="541"/>
      <c r="AI540" s="541"/>
      <c r="AJ540" s="541"/>
      <c r="AK540" s="541"/>
      <c r="AL540" s="541"/>
      <c r="AM540" s="541"/>
      <c r="AN540" s="1748"/>
      <c r="AO540" s="1748"/>
      <c r="AP540" s="1748"/>
      <c r="AQ540" s="1748"/>
      <c r="AR540" s="1748"/>
      <c r="AS540" s="541"/>
      <c r="AT540" s="541"/>
      <c r="AU540" s="541"/>
      <c r="AV540" s="541"/>
      <c r="AW540" s="541"/>
      <c r="AX540" s="541"/>
      <c r="AY540" s="541"/>
      <c r="AZ540" s="541"/>
      <c r="BA540" s="541"/>
      <c r="BC540" s="541"/>
      <c r="BE540" s="541"/>
      <c r="BG540" s="541"/>
      <c r="BH540" s="1190"/>
      <c r="BI540" s="541"/>
      <c r="BJ540" s="1190"/>
      <c r="BK540" s="541"/>
      <c r="BL540" s="541"/>
      <c r="BM540" s="541"/>
      <c r="BO540" s="541"/>
      <c r="BP540" s="541"/>
      <c r="BQ540" s="633"/>
      <c r="BR540" s="541"/>
      <c r="BS540" s="541"/>
      <c r="BT540" s="541"/>
    </row>
    <row r="541" ht="15.75" customHeight="1">
      <c r="A541" s="1591"/>
      <c r="B541" s="1541"/>
      <c r="C541" s="2217"/>
      <c r="D541" s="1543"/>
      <c r="E541" s="906"/>
      <c r="F541" s="541"/>
      <c r="G541" s="541"/>
      <c r="H541" s="541"/>
      <c r="I541" s="541"/>
      <c r="J541" s="1748"/>
      <c r="K541" s="541"/>
      <c r="L541" s="1748"/>
      <c r="M541" s="541"/>
      <c r="N541" s="1748"/>
      <c r="O541" s="541"/>
      <c r="P541" s="1748"/>
      <c r="Q541" s="541"/>
      <c r="R541" s="1748"/>
      <c r="S541" s="541"/>
      <c r="T541" s="1748"/>
      <c r="U541" s="541"/>
      <c r="V541" s="1748"/>
      <c r="W541" s="541"/>
      <c r="X541" s="1748"/>
      <c r="Y541" s="1748"/>
      <c r="Z541" s="1748"/>
      <c r="AA541" s="541"/>
      <c r="AB541" s="1748"/>
      <c r="AC541" s="541"/>
      <c r="AD541" s="541"/>
      <c r="AE541" s="541"/>
      <c r="AF541" s="541"/>
      <c r="AG541" s="541"/>
      <c r="AH541" s="541"/>
      <c r="AI541" s="541"/>
      <c r="AJ541" s="541"/>
      <c r="AK541" s="541"/>
      <c r="AL541" s="541"/>
      <c r="AM541" s="541"/>
      <c r="AN541" s="1748"/>
      <c r="AO541" s="1748"/>
      <c r="AP541" s="1748"/>
      <c r="AQ541" s="1748"/>
      <c r="AR541" s="1748"/>
      <c r="AS541" s="541"/>
      <c r="AT541" s="541"/>
      <c r="AU541" s="541"/>
      <c r="AV541" s="541"/>
      <c r="AW541" s="541"/>
      <c r="AX541" s="541"/>
      <c r="AY541" s="541"/>
      <c r="AZ541" s="541"/>
      <c r="BA541" s="541"/>
      <c r="BC541" s="541"/>
      <c r="BE541" s="541"/>
      <c r="BG541" s="541"/>
      <c r="BH541" s="1190"/>
      <c r="BI541" s="541"/>
      <c r="BJ541" s="1190"/>
      <c r="BK541" s="541"/>
      <c r="BL541" s="541"/>
      <c r="BM541" s="541"/>
      <c r="BO541" s="541"/>
      <c r="BP541" s="541"/>
      <c r="BQ541" s="633"/>
      <c r="BR541" s="541"/>
      <c r="BS541" s="541"/>
      <c r="BT541" s="541"/>
    </row>
    <row r="542" ht="15.75" customHeight="1">
      <c r="A542" s="1591"/>
      <c r="B542" s="1541"/>
      <c r="C542" s="2217"/>
      <c r="D542" s="1543"/>
      <c r="E542" s="906"/>
      <c r="F542" s="541"/>
      <c r="G542" s="541"/>
      <c r="H542" s="541"/>
      <c r="I542" s="541"/>
      <c r="J542" s="1748"/>
      <c r="K542" s="541"/>
      <c r="L542" s="1748"/>
      <c r="M542" s="541"/>
      <c r="N542" s="1748"/>
      <c r="O542" s="541"/>
      <c r="P542" s="1748"/>
      <c r="Q542" s="541"/>
      <c r="R542" s="1748"/>
      <c r="S542" s="541"/>
      <c r="T542" s="1748"/>
      <c r="U542" s="541"/>
      <c r="V542" s="1748"/>
      <c r="W542" s="541"/>
      <c r="X542" s="1748"/>
      <c r="Y542" s="1748"/>
      <c r="Z542" s="1748"/>
      <c r="AA542" s="541"/>
      <c r="AB542" s="1748"/>
      <c r="AC542" s="541"/>
      <c r="AD542" s="541"/>
      <c r="AE542" s="541"/>
      <c r="AF542" s="541"/>
      <c r="AG542" s="541"/>
      <c r="AH542" s="541"/>
      <c r="AI542" s="541"/>
      <c r="AJ542" s="541"/>
      <c r="AK542" s="541"/>
      <c r="AL542" s="541"/>
      <c r="AM542" s="541"/>
      <c r="AN542" s="1748"/>
      <c r="AO542" s="1748"/>
      <c r="AP542" s="1748"/>
      <c r="AQ542" s="1748"/>
      <c r="AR542" s="1748"/>
      <c r="AS542" s="541"/>
      <c r="AT542" s="541"/>
      <c r="AU542" s="541"/>
      <c r="AV542" s="541"/>
      <c r="AW542" s="541"/>
      <c r="AX542" s="541"/>
      <c r="AY542" s="541"/>
      <c r="AZ542" s="541"/>
      <c r="BA542" s="541"/>
      <c r="BC542" s="541"/>
      <c r="BE542" s="541"/>
      <c r="BG542" s="541"/>
      <c r="BH542" s="1190"/>
      <c r="BI542" s="541"/>
      <c r="BJ542" s="1190"/>
      <c r="BK542" s="541"/>
      <c r="BL542" s="541"/>
      <c r="BM542" s="541"/>
      <c r="BO542" s="541"/>
      <c r="BP542" s="541"/>
      <c r="BQ542" s="633"/>
      <c r="BR542" s="541"/>
      <c r="BS542" s="541"/>
      <c r="BT542" s="541"/>
    </row>
    <row r="543" ht="15.75" customHeight="1">
      <c r="A543" s="1591"/>
      <c r="B543" s="1541"/>
      <c r="C543" s="2217"/>
      <c r="D543" s="1543"/>
      <c r="E543" s="906"/>
      <c r="F543" s="541"/>
      <c r="G543" s="541"/>
      <c r="H543" s="541"/>
      <c r="I543" s="541"/>
      <c r="J543" s="1748"/>
      <c r="K543" s="541"/>
      <c r="L543" s="1748"/>
      <c r="M543" s="541"/>
      <c r="N543" s="1748"/>
      <c r="O543" s="541"/>
      <c r="P543" s="1748"/>
      <c r="Q543" s="541"/>
      <c r="R543" s="1748"/>
      <c r="S543" s="541"/>
      <c r="T543" s="1748"/>
      <c r="U543" s="541"/>
      <c r="V543" s="1748"/>
      <c r="W543" s="541"/>
      <c r="X543" s="1748"/>
      <c r="Y543" s="1748"/>
      <c r="Z543" s="1748"/>
      <c r="AA543" s="541"/>
      <c r="AB543" s="1748"/>
      <c r="AC543" s="541"/>
      <c r="AD543" s="541"/>
      <c r="AE543" s="541"/>
      <c r="AF543" s="541"/>
      <c r="AG543" s="541"/>
      <c r="AH543" s="541"/>
      <c r="AI543" s="541"/>
      <c r="AJ543" s="541"/>
      <c r="AK543" s="541"/>
      <c r="AL543" s="541"/>
      <c r="AM543" s="541"/>
      <c r="AN543" s="1748"/>
      <c r="AO543" s="1748"/>
      <c r="AP543" s="1748"/>
      <c r="AQ543" s="1748"/>
      <c r="AR543" s="1748"/>
      <c r="AS543" s="541"/>
      <c r="AT543" s="541"/>
      <c r="AU543" s="541"/>
      <c r="AV543" s="541"/>
      <c r="AW543" s="541"/>
      <c r="AX543" s="541"/>
      <c r="AY543" s="541"/>
      <c r="AZ543" s="541"/>
      <c r="BA543" s="541"/>
      <c r="BC543" s="541"/>
      <c r="BE543" s="541"/>
      <c r="BG543" s="541"/>
      <c r="BH543" s="1190"/>
      <c r="BI543" s="541"/>
      <c r="BJ543" s="1190"/>
      <c r="BK543" s="541"/>
      <c r="BL543" s="541"/>
      <c r="BM543" s="541"/>
      <c r="BO543" s="541"/>
      <c r="BP543" s="541"/>
      <c r="BQ543" s="633"/>
      <c r="BR543" s="541"/>
      <c r="BS543" s="541"/>
      <c r="BT543" s="541"/>
    </row>
    <row r="544" ht="15.75" customHeight="1">
      <c r="A544" s="1591"/>
      <c r="B544" s="1541"/>
      <c r="C544" s="2217"/>
      <c r="D544" s="1543"/>
      <c r="E544" s="906"/>
      <c r="F544" s="541"/>
      <c r="G544" s="541"/>
      <c r="H544" s="541"/>
      <c r="I544" s="541"/>
      <c r="J544" s="1748"/>
      <c r="K544" s="541"/>
      <c r="L544" s="1748"/>
      <c r="M544" s="541"/>
      <c r="N544" s="1748"/>
      <c r="O544" s="541"/>
      <c r="P544" s="1748"/>
      <c r="Q544" s="541"/>
      <c r="R544" s="1748"/>
      <c r="S544" s="541"/>
      <c r="T544" s="1748"/>
      <c r="U544" s="541"/>
      <c r="V544" s="1748"/>
      <c r="W544" s="541"/>
      <c r="X544" s="1748"/>
      <c r="Y544" s="1748"/>
      <c r="Z544" s="1748"/>
      <c r="AA544" s="541"/>
      <c r="AB544" s="1748"/>
      <c r="AC544" s="541"/>
      <c r="AD544" s="541"/>
      <c r="AE544" s="541"/>
      <c r="AF544" s="541"/>
      <c r="AG544" s="541"/>
      <c r="AH544" s="541"/>
      <c r="AI544" s="541"/>
      <c r="AJ544" s="541"/>
      <c r="AK544" s="541"/>
      <c r="AL544" s="541"/>
      <c r="AM544" s="541"/>
      <c r="AN544" s="1748"/>
      <c r="AO544" s="1748"/>
      <c r="AP544" s="1748"/>
      <c r="AQ544" s="1748"/>
      <c r="AR544" s="1748"/>
      <c r="AS544" s="541"/>
      <c r="AT544" s="541"/>
      <c r="AU544" s="541"/>
      <c r="AV544" s="541"/>
      <c r="AW544" s="541"/>
      <c r="AX544" s="541"/>
      <c r="AY544" s="541"/>
      <c r="AZ544" s="541"/>
      <c r="BA544" s="541"/>
      <c r="BC544" s="541"/>
      <c r="BE544" s="541"/>
      <c r="BG544" s="541"/>
      <c r="BH544" s="1190"/>
      <c r="BI544" s="541"/>
      <c r="BJ544" s="1190"/>
      <c r="BK544" s="541"/>
      <c r="BL544" s="541"/>
      <c r="BM544" s="541"/>
      <c r="BO544" s="541"/>
      <c r="BP544" s="541"/>
      <c r="BQ544" s="633"/>
      <c r="BR544" s="541"/>
      <c r="BS544" s="541"/>
      <c r="BT544" s="541"/>
    </row>
    <row r="545" ht="15.75" customHeight="1">
      <c r="A545" s="1591"/>
      <c r="B545" s="1541"/>
      <c r="C545" s="2217"/>
      <c r="D545" s="1543"/>
      <c r="E545" s="906"/>
      <c r="F545" s="541"/>
      <c r="G545" s="541"/>
      <c r="H545" s="541"/>
      <c r="I545" s="541"/>
      <c r="J545" s="1748"/>
      <c r="K545" s="541"/>
      <c r="L545" s="1748"/>
      <c r="M545" s="541"/>
      <c r="N545" s="1748"/>
      <c r="O545" s="541"/>
      <c r="P545" s="1748"/>
      <c r="Q545" s="541"/>
      <c r="R545" s="1748"/>
      <c r="S545" s="541"/>
      <c r="T545" s="1748"/>
      <c r="U545" s="541"/>
      <c r="V545" s="1748"/>
      <c r="W545" s="541"/>
      <c r="X545" s="1748"/>
      <c r="Y545" s="1748"/>
      <c r="Z545" s="1748"/>
      <c r="AA545" s="541"/>
      <c r="AB545" s="1748"/>
      <c r="AC545" s="541"/>
      <c r="AD545" s="541"/>
      <c r="AE545" s="541"/>
      <c r="AF545" s="541"/>
      <c r="AG545" s="541"/>
      <c r="AH545" s="541"/>
      <c r="AI545" s="541"/>
      <c r="AJ545" s="541"/>
      <c r="AK545" s="541"/>
      <c r="AL545" s="541"/>
      <c r="AM545" s="541"/>
      <c r="AN545" s="1748"/>
      <c r="AO545" s="1748"/>
      <c r="AP545" s="1748"/>
      <c r="AQ545" s="1748"/>
      <c r="AR545" s="1748"/>
      <c r="AS545" s="541"/>
      <c r="AT545" s="541"/>
      <c r="AU545" s="541"/>
      <c r="AV545" s="541"/>
      <c r="AW545" s="541"/>
      <c r="AX545" s="541"/>
      <c r="AY545" s="541"/>
      <c r="AZ545" s="541"/>
      <c r="BA545" s="541"/>
      <c r="BC545" s="541"/>
      <c r="BE545" s="541"/>
      <c r="BG545" s="541"/>
      <c r="BH545" s="1190"/>
      <c r="BI545" s="541"/>
      <c r="BJ545" s="1190"/>
      <c r="BK545" s="541"/>
      <c r="BL545" s="541"/>
      <c r="BM545" s="541"/>
      <c r="BO545" s="541"/>
      <c r="BP545" s="541"/>
      <c r="BQ545" s="633"/>
      <c r="BR545" s="541"/>
      <c r="BS545" s="541"/>
      <c r="BT545" s="541"/>
    </row>
    <row r="546" ht="15.75" customHeight="1">
      <c r="A546" s="1591"/>
      <c r="B546" s="1541"/>
      <c r="C546" s="2217"/>
      <c r="D546" s="1543"/>
      <c r="E546" s="906"/>
      <c r="F546" s="541"/>
      <c r="G546" s="541"/>
      <c r="H546" s="541"/>
      <c r="I546" s="541"/>
      <c r="J546" s="1748"/>
      <c r="K546" s="541"/>
      <c r="L546" s="1748"/>
      <c r="M546" s="541"/>
      <c r="N546" s="1748"/>
      <c r="O546" s="541"/>
      <c r="P546" s="1748"/>
      <c r="Q546" s="541"/>
      <c r="R546" s="1748"/>
      <c r="S546" s="541"/>
      <c r="T546" s="1748"/>
      <c r="U546" s="541"/>
      <c r="V546" s="1748"/>
      <c r="W546" s="541"/>
      <c r="X546" s="1748"/>
      <c r="Y546" s="1748"/>
      <c r="Z546" s="1748"/>
      <c r="AA546" s="541"/>
      <c r="AB546" s="1748"/>
      <c r="AC546" s="541"/>
      <c r="AD546" s="541"/>
      <c r="AE546" s="541"/>
      <c r="AF546" s="541"/>
      <c r="AG546" s="541"/>
      <c r="AH546" s="541"/>
      <c r="AI546" s="541"/>
      <c r="AJ546" s="541"/>
      <c r="AK546" s="541"/>
      <c r="AL546" s="541"/>
      <c r="AM546" s="541"/>
      <c r="AN546" s="1748"/>
      <c r="AO546" s="1748"/>
      <c r="AP546" s="1748"/>
      <c r="AQ546" s="1748"/>
      <c r="AR546" s="1748"/>
      <c r="AS546" s="541"/>
      <c r="AT546" s="541"/>
      <c r="AU546" s="541"/>
      <c r="AV546" s="541"/>
      <c r="AW546" s="541"/>
      <c r="AX546" s="541"/>
      <c r="AY546" s="541"/>
      <c r="AZ546" s="541"/>
      <c r="BA546" s="541"/>
      <c r="BC546" s="541"/>
      <c r="BE546" s="541"/>
      <c r="BG546" s="541"/>
      <c r="BH546" s="1190"/>
      <c r="BI546" s="541"/>
      <c r="BJ546" s="1190"/>
      <c r="BK546" s="541"/>
      <c r="BL546" s="541"/>
      <c r="BM546" s="541"/>
      <c r="BO546" s="541"/>
      <c r="BP546" s="541"/>
      <c r="BQ546" s="633"/>
      <c r="BR546" s="541"/>
      <c r="BS546" s="541"/>
      <c r="BT546" s="541"/>
    </row>
    <row r="547" ht="15.75" customHeight="1">
      <c r="A547" s="1591"/>
      <c r="B547" s="1541"/>
      <c r="C547" s="2217"/>
      <c r="D547" s="1543"/>
      <c r="E547" s="906"/>
      <c r="F547" s="541"/>
      <c r="G547" s="541"/>
      <c r="H547" s="541"/>
      <c r="I547" s="541"/>
      <c r="J547" s="1748"/>
      <c r="K547" s="541"/>
      <c r="L547" s="1748"/>
      <c r="M547" s="541"/>
      <c r="N547" s="1748"/>
      <c r="O547" s="541"/>
      <c r="P547" s="1748"/>
      <c r="Q547" s="541"/>
      <c r="R547" s="1748"/>
      <c r="S547" s="541"/>
      <c r="T547" s="1748"/>
      <c r="U547" s="541"/>
      <c r="V547" s="1748"/>
      <c r="W547" s="541"/>
      <c r="X547" s="1748"/>
      <c r="Y547" s="1748"/>
      <c r="Z547" s="1748"/>
      <c r="AA547" s="541"/>
      <c r="AB547" s="1748"/>
      <c r="AC547" s="541"/>
      <c r="AD547" s="541"/>
      <c r="AE547" s="541"/>
      <c r="AF547" s="541"/>
      <c r="AG547" s="541"/>
      <c r="AH547" s="541"/>
      <c r="AI547" s="541"/>
      <c r="AJ547" s="541"/>
      <c r="AK547" s="541"/>
      <c r="AL547" s="541"/>
      <c r="AM547" s="541"/>
      <c r="AN547" s="1748"/>
      <c r="AO547" s="1748"/>
      <c r="AP547" s="1748"/>
      <c r="AQ547" s="1748"/>
      <c r="AR547" s="1748"/>
      <c r="AS547" s="541"/>
      <c r="AT547" s="541"/>
      <c r="AU547" s="541"/>
      <c r="AV547" s="541"/>
      <c r="AW547" s="541"/>
      <c r="AX547" s="541"/>
      <c r="AY547" s="541"/>
      <c r="AZ547" s="541"/>
      <c r="BA547" s="541"/>
      <c r="BC547" s="541"/>
      <c r="BE547" s="541"/>
      <c r="BG547" s="541"/>
      <c r="BH547" s="1190"/>
      <c r="BI547" s="541"/>
      <c r="BJ547" s="1190"/>
      <c r="BK547" s="541"/>
      <c r="BL547" s="541"/>
      <c r="BM547" s="541"/>
      <c r="BO547" s="541"/>
      <c r="BP547" s="541"/>
      <c r="BQ547" s="633"/>
      <c r="BR547" s="541"/>
      <c r="BS547" s="541"/>
      <c r="BT547" s="541"/>
    </row>
    <row r="548" ht="15.75" customHeight="1">
      <c r="A548" s="1591"/>
      <c r="B548" s="1541"/>
      <c r="C548" s="2217"/>
      <c r="D548" s="1543"/>
      <c r="E548" s="906"/>
      <c r="F548" s="541"/>
      <c r="G548" s="541"/>
      <c r="H548" s="541"/>
      <c r="I548" s="541"/>
      <c r="J548" s="1748"/>
      <c r="K548" s="541"/>
      <c r="L548" s="1748"/>
      <c r="M548" s="541"/>
      <c r="N548" s="1748"/>
      <c r="O548" s="541"/>
      <c r="P548" s="1748"/>
      <c r="Q548" s="541"/>
      <c r="R548" s="1748"/>
      <c r="S548" s="541"/>
      <c r="T548" s="1748"/>
      <c r="U548" s="541"/>
      <c r="V548" s="1748"/>
      <c r="W548" s="541"/>
      <c r="X548" s="1748"/>
      <c r="Y548" s="1748"/>
      <c r="Z548" s="1748"/>
      <c r="AA548" s="541"/>
      <c r="AB548" s="1748"/>
      <c r="AC548" s="541"/>
      <c r="AD548" s="541"/>
      <c r="AE548" s="541"/>
      <c r="AF548" s="541"/>
      <c r="AG548" s="541"/>
      <c r="AH548" s="541"/>
      <c r="AI548" s="541"/>
      <c r="AJ548" s="541"/>
      <c r="AK548" s="541"/>
      <c r="AL548" s="541"/>
      <c r="AM548" s="541"/>
      <c r="AN548" s="1748"/>
      <c r="AO548" s="1748"/>
      <c r="AP548" s="1748"/>
      <c r="AQ548" s="1748"/>
      <c r="AR548" s="1748"/>
      <c r="AS548" s="541"/>
      <c r="AT548" s="541"/>
      <c r="AU548" s="541"/>
      <c r="AV548" s="541"/>
      <c r="AW548" s="541"/>
      <c r="AX548" s="541"/>
      <c r="AY548" s="541"/>
      <c r="AZ548" s="541"/>
      <c r="BA548" s="541"/>
      <c r="BC548" s="541"/>
      <c r="BE548" s="541"/>
      <c r="BG548" s="541"/>
      <c r="BH548" s="1190"/>
      <c r="BI548" s="541"/>
      <c r="BJ548" s="1190"/>
      <c r="BK548" s="541"/>
      <c r="BL548" s="541"/>
      <c r="BM548" s="541"/>
      <c r="BO548" s="541"/>
      <c r="BP548" s="541"/>
      <c r="BQ548" s="633"/>
      <c r="BR548" s="541"/>
      <c r="BS548" s="541"/>
      <c r="BT548" s="541"/>
    </row>
    <row r="549" ht="15.75" customHeight="1">
      <c r="A549" s="1591"/>
      <c r="B549" s="1541"/>
      <c r="C549" s="2217"/>
      <c r="D549" s="1543"/>
      <c r="E549" s="906"/>
      <c r="F549" s="541"/>
      <c r="G549" s="541"/>
      <c r="H549" s="541"/>
      <c r="I549" s="541"/>
      <c r="J549" s="1748"/>
      <c r="K549" s="541"/>
      <c r="L549" s="1748"/>
      <c r="M549" s="541"/>
      <c r="N549" s="1748"/>
      <c r="O549" s="541"/>
      <c r="P549" s="1748"/>
      <c r="Q549" s="541"/>
      <c r="R549" s="1748"/>
      <c r="S549" s="541"/>
      <c r="T549" s="1748"/>
      <c r="U549" s="541"/>
      <c r="V549" s="1748"/>
      <c r="W549" s="541"/>
      <c r="X549" s="1748"/>
      <c r="Y549" s="1748"/>
      <c r="Z549" s="1748"/>
      <c r="AA549" s="541"/>
      <c r="AB549" s="1748"/>
      <c r="AC549" s="541"/>
      <c r="AD549" s="541"/>
      <c r="AE549" s="541"/>
      <c r="AF549" s="541"/>
      <c r="AG549" s="541"/>
      <c r="AH549" s="541"/>
      <c r="AI549" s="541"/>
      <c r="AJ549" s="541"/>
      <c r="AK549" s="541"/>
      <c r="AL549" s="541"/>
      <c r="AM549" s="541"/>
      <c r="AN549" s="1748"/>
      <c r="AO549" s="1748"/>
      <c r="AP549" s="1748"/>
      <c r="AQ549" s="1748"/>
      <c r="AR549" s="1748"/>
      <c r="AS549" s="541"/>
      <c r="AT549" s="541"/>
      <c r="AU549" s="541"/>
      <c r="AV549" s="541"/>
      <c r="AW549" s="541"/>
      <c r="AX549" s="541"/>
      <c r="AY549" s="541"/>
      <c r="AZ549" s="541"/>
      <c r="BA549" s="541"/>
      <c r="BC549" s="541"/>
      <c r="BE549" s="541"/>
      <c r="BG549" s="541"/>
      <c r="BH549" s="1190"/>
      <c r="BI549" s="541"/>
      <c r="BJ549" s="1190"/>
      <c r="BK549" s="541"/>
      <c r="BL549" s="541"/>
      <c r="BM549" s="541"/>
      <c r="BO549" s="541"/>
      <c r="BP549" s="541"/>
      <c r="BQ549" s="633"/>
      <c r="BR549" s="541"/>
      <c r="BS549" s="541"/>
      <c r="BT549" s="541"/>
    </row>
    <row r="550" ht="15.75" customHeight="1">
      <c r="A550" s="1591"/>
      <c r="B550" s="1541"/>
      <c r="C550" s="2217"/>
      <c r="D550" s="1543"/>
      <c r="E550" s="906"/>
      <c r="F550" s="541"/>
      <c r="G550" s="541"/>
      <c r="H550" s="541"/>
      <c r="I550" s="541"/>
      <c r="J550" s="1748"/>
      <c r="K550" s="541"/>
      <c r="L550" s="1748"/>
      <c r="M550" s="541"/>
      <c r="N550" s="1748"/>
      <c r="O550" s="541"/>
      <c r="P550" s="1748"/>
      <c r="Q550" s="541"/>
      <c r="R550" s="1748"/>
      <c r="S550" s="541"/>
      <c r="T550" s="1748"/>
      <c r="U550" s="541"/>
      <c r="V550" s="1748"/>
      <c r="W550" s="541"/>
      <c r="X550" s="1748"/>
      <c r="Y550" s="1748"/>
      <c r="Z550" s="1748"/>
      <c r="AA550" s="541"/>
      <c r="AB550" s="1748"/>
      <c r="AC550" s="541"/>
      <c r="AD550" s="541"/>
      <c r="AE550" s="541"/>
      <c r="AF550" s="541"/>
      <c r="AG550" s="541"/>
      <c r="AH550" s="541"/>
      <c r="AI550" s="541"/>
      <c r="AJ550" s="541"/>
      <c r="AK550" s="541"/>
      <c r="AL550" s="541"/>
      <c r="AM550" s="541"/>
      <c r="AN550" s="1748"/>
      <c r="AO550" s="1748"/>
      <c r="AP550" s="1748"/>
      <c r="AQ550" s="1748"/>
      <c r="AR550" s="1748"/>
      <c r="AS550" s="541"/>
      <c r="AT550" s="541"/>
      <c r="AU550" s="541"/>
      <c r="AV550" s="541"/>
      <c r="AW550" s="541"/>
      <c r="AX550" s="541"/>
      <c r="AY550" s="541"/>
      <c r="AZ550" s="541"/>
      <c r="BA550" s="541"/>
      <c r="BC550" s="541"/>
      <c r="BE550" s="541"/>
      <c r="BG550" s="541"/>
      <c r="BH550" s="1190"/>
      <c r="BI550" s="541"/>
      <c r="BJ550" s="1190"/>
      <c r="BK550" s="541"/>
      <c r="BL550" s="541"/>
      <c r="BM550" s="541"/>
      <c r="BO550" s="541"/>
      <c r="BP550" s="541"/>
      <c r="BQ550" s="633"/>
      <c r="BR550" s="541"/>
      <c r="BS550" s="541"/>
      <c r="BT550" s="541"/>
    </row>
    <row r="551" ht="15.75" customHeight="1">
      <c r="A551" s="1591"/>
      <c r="B551" s="1541"/>
      <c r="C551" s="2217"/>
      <c r="D551" s="1543"/>
      <c r="E551" s="906"/>
      <c r="F551" s="541"/>
      <c r="G551" s="541"/>
      <c r="H551" s="541"/>
      <c r="I551" s="541"/>
      <c r="J551" s="1748"/>
      <c r="K551" s="541"/>
      <c r="L551" s="1748"/>
      <c r="M551" s="541"/>
      <c r="N551" s="1748"/>
      <c r="O551" s="541"/>
      <c r="P551" s="1748"/>
      <c r="Q551" s="541"/>
      <c r="R551" s="1748"/>
      <c r="S551" s="541"/>
      <c r="T551" s="1748"/>
      <c r="U551" s="541"/>
      <c r="V551" s="1748"/>
      <c r="W551" s="541"/>
      <c r="X551" s="1748"/>
      <c r="Y551" s="1748"/>
      <c r="Z551" s="1748"/>
      <c r="AA551" s="541"/>
      <c r="AB551" s="1748"/>
      <c r="AC551" s="541"/>
      <c r="AD551" s="541"/>
      <c r="AE551" s="541"/>
      <c r="AF551" s="541"/>
      <c r="AG551" s="541"/>
      <c r="AH551" s="541"/>
      <c r="AI551" s="541"/>
      <c r="AJ551" s="541"/>
      <c r="AK551" s="541"/>
      <c r="AL551" s="541"/>
      <c r="AM551" s="541"/>
      <c r="AN551" s="1748"/>
      <c r="AO551" s="1748"/>
      <c r="AP551" s="1748"/>
      <c r="AQ551" s="1748"/>
      <c r="AR551" s="1748"/>
      <c r="AS551" s="541"/>
      <c r="AT551" s="541"/>
      <c r="AU551" s="541"/>
      <c r="AV551" s="541"/>
      <c r="AW551" s="541"/>
      <c r="AX551" s="541"/>
      <c r="AY551" s="541"/>
      <c r="AZ551" s="541"/>
      <c r="BA551" s="541"/>
      <c r="BC551" s="541"/>
      <c r="BE551" s="541"/>
      <c r="BG551" s="541"/>
      <c r="BH551" s="1190"/>
      <c r="BI551" s="541"/>
      <c r="BJ551" s="1190"/>
      <c r="BK551" s="541"/>
      <c r="BL551" s="541"/>
      <c r="BM551" s="541"/>
      <c r="BO551" s="541"/>
      <c r="BP551" s="541"/>
      <c r="BQ551" s="633"/>
      <c r="BR551" s="541"/>
      <c r="BS551" s="541"/>
      <c r="BT551" s="541"/>
    </row>
    <row r="552" ht="15.75" customHeight="1">
      <c r="A552" s="1591"/>
      <c r="B552" s="1541"/>
      <c r="C552" s="2217"/>
      <c r="D552" s="1543"/>
      <c r="E552" s="906"/>
      <c r="F552" s="541"/>
      <c r="G552" s="541"/>
      <c r="H552" s="541"/>
      <c r="I552" s="541"/>
      <c r="J552" s="1748"/>
      <c r="K552" s="541"/>
      <c r="L552" s="1748"/>
      <c r="M552" s="541"/>
      <c r="N552" s="1748"/>
      <c r="O552" s="541"/>
      <c r="P552" s="1748"/>
      <c r="Q552" s="541"/>
      <c r="R552" s="1748"/>
      <c r="S552" s="541"/>
      <c r="T552" s="1748"/>
      <c r="U552" s="541"/>
      <c r="V552" s="1748"/>
      <c r="W552" s="541"/>
      <c r="X552" s="1748"/>
      <c r="Y552" s="1748"/>
      <c r="Z552" s="1748"/>
      <c r="AA552" s="541"/>
      <c r="AB552" s="1748"/>
      <c r="AC552" s="541"/>
      <c r="AD552" s="541"/>
      <c r="AE552" s="541"/>
      <c r="AF552" s="541"/>
      <c r="AG552" s="541"/>
      <c r="AH552" s="541"/>
      <c r="AI552" s="541"/>
      <c r="AJ552" s="541"/>
      <c r="AK552" s="541"/>
      <c r="AL552" s="541"/>
      <c r="AM552" s="541"/>
      <c r="AN552" s="1748"/>
      <c r="AO552" s="1748"/>
      <c r="AP552" s="1748"/>
      <c r="AQ552" s="1748"/>
      <c r="AR552" s="1748"/>
      <c r="AS552" s="541"/>
      <c r="AT552" s="541"/>
      <c r="AU552" s="541"/>
      <c r="AV552" s="541"/>
      <c r="AW552" s="541"/>
      <c r="AX552" s="541"/>
      <c r="AY552" s="541"/>
      <c r="AZ552" s="541"/>
      <c r="BA552" s="541"/>
      <c r="BC552" s="541"/>
      <c r="BE552" s="541"/>
      <c r="BG552" s="541"/>
      <c r="BH552" s="1190"/>
      <c r="BI552" s="541"/>
      <c r="BJ552" s="1190"/>
      <c r="BK552" s="541"/>
      <c r="BL552" s="541"/>
      <c r="BM552" s="541"/>
      <c r="BO552" s="541"/>
      <c r="BP552" s="541"/>
      <c r="BQ552" s="633"/>
      <c r="BR552" s="541"/>
      <c r="BS552" s="541"/>
      <c r="BT552" s="541"/>
    </row>
    <row r="553" ht="15.75" customHeight="1">
      <c r="A553" s="1591"/>
      <c r="B553" s="1541"/>
      <c r="C553" s="2217"/>
      <c r="D553" s="1543"/>
      <c r="E553" s="906"/>
      <c r="F553" s="541"/>
      <c r="G553" s="541"/>
      <c r="H553" s="541"/>
      <c r="I553" s="541"/>
      <c r="J553" s="1748"/>
      <c r="K553" s="541"/>
      <c r="L553" s="1748"/>
      <c r="M553" s="541"/>
      <c r="N553" s="1748"/>
      <c r="O553" s="541"/>
      <c r="P553" s="1748"/>
      <c r="Q553" s="541"/>
      <c r="R553" s="1748"/>
      <c r="S553" s="541"/>
      <c r="T553" s="1748"/>
      <c r="U553" s="541"/>
      <c r="V553" s="1748"/>
      <c r="W553" s="541"/>
      <c r="X553" s="1748"/>
      <c r="Y553" s="1748"/>
      <c r="Z553" s="1748"/>
      <c r="AA553" s="541"/>
      <c r="AB553" s="1748"/>
      <c r="AC553" s="541"/>
      <c r="AD553" s="541"/>
      <c r="AE553" s="541"/>
      <c r="AF553" s="541"/>
      <c r="AG553" s="541"/>
      <c r="AH553" s="541"/>
      <c r="AI553" s="541"/>
      <c r="AJ553" s="541"/>
      <c r="AK553" s="541"/>
      <c r="AL553" s="541"/>
      <c r="AM553" s="541"/>
      <c r="AN553" s="1748"/>
      <c r="AO553" s="1748"/>
      <c r="AP553" s="1748"/>
      <c r="AQ553" s="1748"/>
      <c r="AR553" s="1748"/>
      <c r="AS553" s="541"/>
      <c r="AT553" s="541"/>
      <c r="AU553" s="541"/>
      <c r="AV553" s="541"/>
      <c r="AW553" s="541"/>
      <c r="AX553" s="541"/>
      <c r="AY553" s="541"/>
      <c r="AZ553" s="541"/>
      <c r="BA553" s="541"/>
      <c r="BC553" s="541"/>
      <c r="BE553" s="541"/>
      <c r="BG553" s="541"/>
      <c r="BH553" s="1190"/>
      <c r="BI553" s="541"/>
      <c r="BJ553" s="1190"/>
      <c r="BK553" s="541"/>
      <c r="BL553" s="541"/>
      <c r="BM553" s="541"/>
      <c r="BO553" s="541"/>
      <c r="BP553" s="541"/>
      <c r="BQ553" s="633"/>
      <c r="BR553" s="541"/>
      <c r="BS553" s="541"/>
      <c r="BT553" s="541"/>
    </row>
    <row r="554" ht="15.75" customHeight="1">
      <c r="A554" s="1591"/>
      <c r="B554" s="1541"/>
      <c r="C554" s="2217"/>
      <c r="D554" s="1543"/>
      <c r="E554" s="906"/>
      <c r="F554" s="541"/>
      <c r="G554" s="541"/>
      <c r="H554" s="541"/>
      <c r="I554" s="541"/>
      <c r="J554" s="1748"/>
      <c r="K554" s="541"/>
      <c r="L554" s="1748"/>
      <c r="M554" s="541"/>
      <c r="N554" s="1748"/>
      <c r="O554" s="541"/>
      <c r="P554" s="1748"/>
      <c r="Q554" s="541"/>
      <c r="R554" s="1748"/>
      <c r="S554" s="541"/>
      <c r="T554" s="1748"/>
      <c r="U554" s="541"/>
      <c r="V554" s="1748"/>
      <c r="W554" s="541"/>
      <c r="X554" s="1748"/>
      <c r="Y554" s="1748"/>
      <c r="Z554" s="1748"/>
      <c r="AA554" s="541"/>
      <c r="AB554" s="1748"/>
      <c r="AC554" s="541"/>
      <c r="AD554" s="541"/>
      <c r="AE554" s="541"/>
      <c r="AF554" s="541"/>
      <c r="AG554" s="541"/>
      <c r="AH554" s="541"/>
      <c r="AI554" s="541"/>
      <c r="AJ554" s="541"/>
      <c r="AK554" s="541"/>
      <c r="AL554" s="541"/>
      <c r="AM554" s="541"/>
      <c r="AN554" s="1748"/>
      <c r="AO554" s="1748"/>
      <c r="AP554" s="1748"/>
      <c r="AQ554" s="1748"/>
      <c r="AR554" s="1748"/>
      <c r="AS554" s="541"/>
      <c r="AT554" s="541"/>
      <c r="AU554" s="541"/>
      <c r="AV554" s="541"/>
      <c r="AW554" s="541"/>
      <c r="AX554" s="541"/>
      <c r="AY554" s="541"/>
      <c r="AZ554" s="541"/>
      <c r="BA554" s="541"/>
      <c r="BC554" s="541"/>
      <c r="BE554" s="541"/>
      <c r="BG554" s="541"/>
      <c r="BH554" s="1190"/>
      <c r="BI554" s="541"/>
      <c r="BJ554" s="1190"/>
      <c r="BK554" s="541"/>
      <c r="BL554" s="541"/>
      <c r="BM554" s="541"/>
      <c r="BO554" s="541"/>
      <c r="BP554" s="541"/>
      <c r="BQ554" s="633"/>
      <c r="BR554" s="541"/>
      <c r="BS554" s="541"/>
      <c r="BT554" s="541"/>
    </row>
    <row r="555" ht="15.75" customHeight="1">
      <c r="A555" s="1591"/>
      <c r="B555" s="1541"/>
      <c r="C555" s="2217"/>
      <c r="D555" s="1543"/>
      <c r="E555" s="906"/>
      <c r="F555" s="541"/>
      <c r="G555" s="541"/>
      <c r="H555" s="541"/>
      <c r="I555" s="541"/>
      <c r="J555" s="1748"/>
      <c r="K555" s="541"/>
      <c r="L555" s="1748"/>
      <c r="M555" s="541"/>
      <c r="N555" s="1748"/>
      <c r="O555" s="541"/>
      <c r="P555" s="1748"/>
      <c r="Q555" s="541"/>
      <c r="R555" s="1748"/>
      <c r="S555" s="541"/>
      <c r="T555" s="1748"/>
      <c r="U555" s="541"/>
      <c r="V555" s="1748"/>
      <c r="W555" s="541"/>
      <c r="X555" s="1748"/>
      <c r="Y555" s="1748"/>
      <c r="Z555" s="1748"/>
      <c r="AA555" s="541"/>
      <c r="AB555" s="1748"/>
      <c r="AC555" s="541"/>
      <c r="AD555" s="541"/>
      <c r="AE555" s="541"/>
      <c r="AF555" s="541"/>
      <c r="AG555" s="541"/>
      <c r="AH555" s="541"/>
      <c r="AI555" s="541"/>
      <c r="AJ555" s="541"/>
      <c r="AK555" s="541"/>
      <c r="AL555" s="541"/>
      <c r="AM555" s="541"/>
      <c r="AN555" s="1748"/>
      <c r="AO555" s="1748"/>
      <c r="AP555" s="1748"/>
      <c r="AQ555" s="1748"/>
      <c r="AR555" s="1748"/>
      <c r="AS555" s="541"/>
      <c r="AT555" s="541"/>
      <c r="AU555" s="541"/>
      <c r="AV555" s="541"/>
      <c r="AW555" s="541"/>
      <c r="AX555" s="541"/>
      <c r="AY555" s="541"/>
      <c r="AZ555" s="541"/>
      <c r="BA555" s="541"/>
      <c r="BC555" s="541"/>
      <c r="BE555" s="541"/>
      <c r="BG555" s="541"/>
      <c r="BH555" s="1190"/>
      <c r="BI555" s="541"/>
      <c r="BJ555" s="1190"/>
      <c r="BK555" s="541"/>
      <c r="BL555" s="541"/>
      <c r="BM555" s="541"/>
      <c r="BO555" s="541"/>
      <c r="BP555" s="541"/>
      <c r="BQ555" s="633"/>
      <c r="BR555" s="541"/>
      <c r="BS555" s="541"/>
      <c r="BT555" s="541"/>
    </row>
    <row r="556" ht="15.75" customHeight="1">
      <c r="A556" s="1591"/>
      <c r="B556" s="1541"/>
      <c r="C556" s="2217"/>
      <c r="D556" s="1543"/>
      <c r="E556" s="906"/>
      <c r="F556" s="541"/>
      <c r="G556" s="541"/>
      <c r="H556" s="541"/>
      <c r="I556" s="541"/>
      <c r="J556" s="1748"/>
      <c r="K556" s="541"/>
      <c r="L556" s="1748"/>
      <c r="M556" s="541"/>
      <c r="N556" s="1748"/>
      <c r="O556" s="541"/>
      <c r="P556" s="1748"/>
      <c r="Q556" s="541"/>
      <c r="R556" s="1748"/>
      <c r="S556" s="541"/>
      <c r="T556" s="1748"/>
      <c r="U556" s="541"/>
      <c r="V556" s="1748"/>
      <c r="W556" s="541"/>
      <c r="X556" s="1748"/>
      <c r="Y556" s="1748"/>
      <c r="Z556" s="1748"/>
      <c r="AA556" s="541"/>
      <c r="AB556" s="1748"/>
      <c r="AC556" s="541"/>
      <c r="AD556" s="541"/>
      <c r="AE556" s="541"/>
      <c r="AF556" s="541"/>
      <c r="AG556" s="541"/>
      <c r="AH556" s="541"/>
      <c r="AI556" s="541"/>
      <c r="AJ556" s="541"/>
      <c r="AK556" s="541"/>
      <c r="AL556" s="541"/>
      <c r="AM556" s="541"/>
      <c r="AN556" s="1748"/>
      <c r="AO556" s="1748"/>
      <c r="AP556" s="1748"/>
      <c r="AQ556" s="1748"/>
      <c r="AR556" s="1748"/>
      <c r="AS556" s="541"/>
      <c r="AT556" s="541"/>
      <c r="AU556" s="541"/>
      <c r="AV556" s="541"/>
      <c r="AW556" s="541"/>
      <c r="AX556" s="541"/>
      <c r="AY556" s="541"/>
      <c r="AZ556" s="541"/>
      <c r="BA556" s="541"/>
      <c r="BC556" s="541"/>
      <c r="BE556" s="541"/>
      <c r="BG556" s="541"/>
      <c r="BH556" s="1190"/>
      <c r="BI556" s="541"/>
      <c r="BJ556" s="1190"/>
      <c r="BK556" s="541"/>
      <c r="BL556" s="541"/>
      <c r="BM556" s="541"/>
      <c r="BO556" s="541"/>
      <c r="BP556" s="541"/>
      <c r="BQ556" s="633"/>
      <c r="BR556" s="541"/>
      <c r="BS556" s="541"/>
      <c r="BT556" s="541"/>
    </row>
    <row r="557" ht="15.75" customHeight="1">
      <c r="A557" s="1591"/>
      <c r="B557" s="1541"/>
      <c r="C557" s="2217"/>
      <c r="D557" s="1543"/>
      <c r="E557" s="906"/>
      <c r="F557" s="541"/>
      <c r="G557" s="541"/>
      <c r="H557" s="541"/>
      <c r="I557" s="541"/>
      <c r="J557" s="1748"/>
      <c r="K557" s="541"/>
      <c r="L557" s="1748"/>
      <c r="M557" s="541"/>
      <c r="N557" s="1748"/>
      <c r="O557" s="541"/>
      <c r="P557" s="1748"/>
      <c r="Q557" s="541"/>
      <c r="R557" s="1748"/>
      <c r="S557" s="541"/>
      <c r="T557" s="1748"/>
      <c r="U557" s="541"/>
      <c r="V557" s="1748"/>
      <c r="W557" s="541"/>
      <c r="X557" s="1748"/>
      <c r="Y557" s="1748"/>
      <c r="Z557" s="1748"/>
      <c r="AA557" s="541"/>
      <c r="AB557" s="1748"/>
      <c r="AC557" s="541"/>
      <c r="AD557" s="541"/>
      <c r="AE557" s="541"/>
      <c r="AF557" s="541"/>
      <c r="AG557" s="541"/>
      <c r="AH557" s="541"/>
      <c r="AI557" s="541"/>
      <c r="AJ557" s="541"/>
      <c r="AK557" s="541"/>
      <c r="AL557" s="541"/>
      <c r="AM557" s="541"/>
      <c r="AN557" s="1748"/>
      <c r="AO557" s="1748"/>
      <c r="AP557" s="1748"/>
      <c r="AQ557" s="1748"/>
      <c r="AR557" s="1748"/>
      <c r="AS557" s="541"/>
      <c r="AT557" s="541"/>
      <c r="AU557" s="541"/>
      <c r="AV557" s="541"/>
      <c r="AW557" s="541"/>
      <c r="AX557" s="541"/>
      <c r="AY557" s="541"/>
      <c r="AZ557" s="541"/>
      <c r="BA557" s="541"/>
      <c r="BC557" s="541"/>
      <c r="BE557" s="541"/>
      <c r="BG557" s="541"/>
      <c r="BH557" s="1190"/>
      <c r="BI557" s="541"/>
      <c r="BJ557" s="1190"/>
      <c r="BK557" s="541"/>
      <c r="BL557" s="541"/>
      <c r="BM557" s="541"/>
      <c r="BO557" s="541"/>
      <c r="BP557" s="541"/>
      <c r="BQ557" s="633"/>
      <c r="BR557" s="541"/>
      <c r="BS557" s="541"/>
      <c r="BT557" s="541"/>
    </row>
    <row r="558" ht="15.75" customHeight="1">
      <c r="A558" s="1591"/>
      <c r="B558" s="1541"/>
      <c r="C558" s="2217"/>
      <c r="D558" s="1543"/>
      <c r="E558" s="906"/>
      <c r="F558" s="541"/>
      <c r="G558" s="541"/>
      <c r="H558" s="541"/>
      <c r="I558" s="541"/>
      <c r="J558" s="1748"/>
      <c r="K558" s="541"/>
      <c r="L558" s="1748"/>
      <c r="M558" s="541"/>
      <c r="N558" s="1748"/>
      <c r="O558" s="541"/>
      <c r="P558" s="1748"/>
      <c r="Q558" s="541"/>
      <c r="R558" s="1748"/>
      <c r="S558" s="541"/>
      <c r="T558" s="1748"/>
      <c r="U558" s="541"/>
      <c r="V558" s="1748"/>
      <c r="W558" s="541"/>
      <c r="X558" s="1748"/>
      <c r="Y558" s="1748"/>
      <c r="Z558" s="1748"/>
      <c r="AA558" s="541"/>
      <c r="AB558" s="1748"/>
      <c r="AC558" s="541"/>
      <c r="AD558" s="541"/>
      <c r="AE558" s="541"/>
      <c r="AF558" s="541"/>
      <c r="AG558" s="541"/>
      <c r="AH558" s="541"/>
      <c r="AI558" s="541"/>
      <c r="AJ558" s="541"/>
      <c r="AK558" s="541"/>
      <c r="AL558" s="541"/>
      <c r="AM558" s="541"/>
      <c r="AN558" s="1748"/>
      <c r="AO558" s="1748"/>
      <c r="AP558" s="1748"/>
      <c r="AQ558" s="1748"/>
      <c r="AR558" s="1748"/>
      <c r="AS558" s="541"/>
      <c r="AT558" s="541"/>
      <c r="AU558" s="541"/>
      <c r="AV558" s="541"/>
      <c r="AW558" s="541"/>
      <c r="AX558" s="541"/>
      <c r="AY558" s="541"/>
      <c r="AZ558" s="541"/>
      <c r="BA558" s="541"/>
      <c r="BC558" s="541"/>
      <c r="BE558" s="541"/>
      <c r="BG558" s="541"/>
      <c r="BH558" s="1190"/>
      <c r="BI558" s="541"/>
      <c r="BJ558" s="1190"/>
      <c r="BK558" s="541"/>
      <c r="BL558" s="541"/>
      <c r="BM558" s="541"/>
      <c r="BO558" s="541"/>
      <c r="BP558" s="541"/>
      <c r="BQ558" s="633"/>
      <c r="BR558" s="541"/>
      <c r="BS558" s="541"/>
      <c r="BT558" s="541"/>
    </row>
    <row r="559" ht="15.75" customHeight="1">
      <c r="A559" s="1591"/>
      <c r="B559" s="1541"/>
      <c r="C559" s="2217"/>
      <c r="D559" s="1543"/>
      <c r="E559" s="906"/>
      <c r="F559" s="541"/>
      <c r="G559" s="541"/>
      <c r="H559" s="541"/>
      <c r="I559" s="541"/>
      <c r="J559" s="1748"/>
      <c r="K559" s="541"/>
      <c r="L559" s="1748"/>
      <c r="M559" s="541"/>
      <c r="N559" s="1748"/>
      <c r="O559" s="541"/>
      <c r="P559" s="1748"/>
      <c r="Q559" s="541"/>
      <c r="R559" s="1748"/>
      <c r="S559" s="541"/>
      <c r="T559" s="1748"/>
      <c r="U559" s="541"/>
      <c r="V559" s="1748"/>
      <c r="W559" s="541"/>
      <c r="X559" s="1748"/>
      <c r="Y559" s="1748"/>
      <c r="Z559" s="1748"/>
      <c r="AA559" s="541"/>
      <c r="AB559" s="1748"/>
      <c r="AC559" s="541"/>
      <c r="AD559" s="541"/>
      <c r="AE559" s="541"/>
      <c r="AF559" s="541"/>
      <c r="AG559" s="541"/>
      <c r="AH559" s="541"/>
      <c r="AI559" s="541"/>
      <c r="AJ559" s="541"/>
      <c r="AK559" s="541"/>
      <c r="AL559" s="541"/>
      <c r="AM559" s="541"/>
      <c r="AN559" s="1748"/>
      <c r="AO559" s="1748"/>
      <c r="AP559" s="1748"/>
      <c r="AQ559" s="1748"/>
      <c r="AR559" s="1748"/>
      <c r="AS559" s="541"/>
      <c r="AT559" s="541"/>
      <c r="AU559" s="541"/>
      <c r="AV559" s="541"/>
      <c r="AW559" s="541"/>
      <c r="AX559" s="541"/>
      <c r="AY559" s="541"/>
      <c r="AZ559" s="541"/>
      <c r="BA559" s="541"/>
      <c r="BC559" s="541"/>
      <c r="BE559" s="541"/>
      <c r="BG559" s="541"/>
      <c r="BH559" s="1190"/>
      <c r="BI559" s="541"/>
      <c r="BJ559" s="1190"/>
      <c r="BK559" s="541"/>
      <c r="BL559" s="541"/>
      <c r="BM559" s="541"/>
      <c r="BO559" s="541"/>
      <c r="BP559" s="541"/>
      <c r="BQ559" s="633"/>
      <c r="BR559" s="541"/>
      <c r="BS559" s="541"/>
      <c r="BT559" s="541"/>
    </row>
    <row r="560" ht="15.75" customHeight="1">
      <c r="A560" s="1591"/>
      <c r="B560" s="1541"/>
      <c r="C560" s="2217"/>
      <c r="D560" s="1543"/>
      <c r="E560" s="906"/>
      <c r="F560" s="541"/>
      <c r="G560" s="541"/>
      <c r="H560" s="541"/>
      <c r="I560" s="541"/>
      <c r="J560" s="1748"/>
      <c r="K560" s="541"/>
      <c r="L560" s="1748"/>
      <c r="M560" s="541"/>
      <c r="N560" s="1748"/>
      <c r="O560" s="541"/>
      <c r="P560" s="1748"/>
      <c r="Q560" s="541"/>
      <c r="R560" s="1748"/>
      <c r="S560" s="541"/>
      <c r="T560" s="1748"/>
      <c r="U560" s="541"/>
      <c r="V560" s="1748"/>
      <c r="W560" s="541"/>
      <c r="X560" s="1748"/>
      <c r="Y560" s="1748"/>
      <c r="Z560" s="1748"/>
      <c r="AA560" s="541"/>
      <c r="AB560" s="1748"/>
      <c r="AC560" s="541"/>
      <c r="AD560" s="541"/>
      <c r="AE560" s="541"/>
      <c r="AF560" s="541"/>
      <c r="AG560" s="541"/>
      <c r="AH560" s="541"/>
      <c r="AI560" s="541"/>
      <c r="AJ560" s="541"/>
      <c r="AK560" s="541"/>
      <c r="AL560" s="541"/>
      <c r="AM560" s="541"/>
      <c r="AN560" s="1748"/>
      <c r="AO560" s="1748"/>
      <c r="AP560" s="1748"/>
      <c r="AQ560" s="1748"/>
      <c r="AR560" s="1748"/>
      <c r="AS560" s="541"/>
      <c r="AT560" s="541"/>
      <c r="AU560" s="541"/>
      <c r="AV560" s="541"/>
      <c r="AW560" s="541"/>
      <c r="AX560" s="541"/>
      <c r="AY560" s="541"/>
      <c r="AZ560" s="541"/>
      <c r="BA560" s="541"/>
      <c r="BC560" s="541"/>
      <c r="BE560" s="541"/>
      <c r="BG560" s="541"/>
      <c r="BH560" s="1190"/>
      <c r="BI560" s="541"/>
      <c r="BJ560" s="1190"/>
      <c r="BK560" s="541"/>
      <c r="BL560" s="541"/>
      <c r="BM560" s="541"/>
      <c r="BO560" s="541"/>
      <c r="BP560" s="541"/>
      <c r="BQ560" s="633"/>
      <c r="BR560" s="541"/>
      <c r="BS560" s="541"/>
      <c r="BT560" s="541"/>
    </row>
    <row r="561" ht="15.75" customHeight="1">
      <c r="A561" s="1591"/>
      <c r="B561" s="1541"/>
      <c r="C561" s="2217"/>
      <c r="D561" s="1543"/>
      <c r="E561" s="906"/>
      <c r="F561" s="541"/>
      <c r="G561" s="541"/>
      <c r="H561" s="541"/>
      <c r="I561" s="541"/>
      <c r="J561" s="1748"/>
      <c r="K561" s="541"/>
      <c r="L561" s="1748"/>
      <c r="M561" s="541"/>
      <c r="N561" s="1748"/>
      <c r="O561" s="541"/>
      <c r="P561" s="1748"/>
      <c r="Q561" s="541"/>
      <c r="R561" s="1748"/>
      <c r="S561" s="541"/>
      <c r="T561" s="1748"/>
      <c r="U561" s="541"/>
      <c r="V561" s="1748"/>
      <c r="W561" s="541"/>
      <c r="X561" s="1748"/>
      <c r="Y561" s="1748"/>
      <c r="Z561" s="1748"/>
      <c r="AA561" s="541"/>
      <c r="AB561" s="1748"/>
      <c r="AC561" s="541"/>
      <c r="AD561" s="541"/>
      <c r="AE561" s="541"/>
      <c r="AF561" s="541"/>
      <c r="AG561" s="541"/>
      <c r="AH561" s="541"/>
      <c r="AI561" s="541"/>
      <c r="AJ561" s="541"/>
      <c r="AK561" s="541"/>
      <c r="AL561" s="541"/>
      <c r="AM561" s="541"/>
      <c r="AN561" s="1748"/>
      <c r="AO561" s="1748"/>
      <c r="AP561" s="1748"/>
      <c r="AQ561" s="1748"/>
      <c r="AR561" s="1748"/>
      <c r="AS561" s="541"/>
      <c r="AT561" s="541"/>
      <c r="AU561" s="541"/>
      <c r="AV561" s="541"/>
      <c r="AW561" s="541"/>
      <c r="AX561" s="541"/>
      <c r="AY561" s="541"/>
      <c r="AZ561" s="541"/>
      <c r="BA561" s="541"/>
      <c r="BC561" s="541"/>
      <c r="BE561" s="541"/>
      <c r="BG561" s="541"/>
      <c r="BH561" s="1190"/>
      <c r="BI561" s="541"/>
      <c r="BJ561" s="1190"/>
      <c r="BK561" s="541"/>
      <c r="BL561" s="541"/>
      <c r="BM561" s="541"/>
      <c r="BO561" s="541"/>
      <c r="BP561" s="541"/>
      <c r="BQ561" s="633"/>
      <c r="BR561" s="541"/>
      <c r="BS561" s="541"/>
      <c r="BT561" s="541"/>
    </row>
    <row r="562" ht="15.75" customHeight="1">
      <c r="A562" s="1591"/>
      <c r="B562" s="1541"/>
      <c r="C562" s="2217"/>
      <c r="D562" s="1543"/>
      <c r="E562" s="906"/>
      <c r="F562" s="541"/>
      <c r="G562" s="541"/>
      <c r="H562" s="541"/>
      <c r="I562" s="541"/>
      <c r="J562" s="1748"/>
      <c r="K562" s="541"/>
      <c r="L562" s="1748"/>
      <c r="M562" s="541"/>
      <c r="N562" s="1748"/>
      <c r="O562" s="541"/>
      <c r="P562" s="1748"/>
      <c r="Q562" s="541"/>
      <c r="R562" s="1748"/>
      <c r="S562" s="541"/>
      <c r="T562" s="1748"/>
      <c r="U562" s="541"/>
      <c r="V562" s="1748"/>
      <c r="W562" s="541"/>
      <c r="X562" s="1748"/>
      <c r="Y562" s="1748"/>
      <c r="Z562" s="1748"/>
      <c r="AA562" s="541"/>
      <c r="AB562" s="1748"/>
      <c r="AC562" s="541"/>
      <c r="AD562" s="541"/>
      <c r="AE562" s="541"/>
      <c r="AF562" s="541"/>
      <c r="AG562" s="541"/>
      <c r="AH562" s="541"/>
      <c r="AI562" s="541"/>
      <c r="AJ562" s="541"/>
      <c r="AK562" s="541"/>
      <c r="AL562" s="541"/>
      <c r="AM562" s="541"/>
      <c r="AN562" s="1748"/>
      <c r="AO562" s="1748"/>
      <c r="AP562" s="1748"/>
      <c r="AQ562" s="1748"/>
      <c r="AR562" s="1748"/>
      <c r="AS562" s="541"/>
      <c r="AT562" s="541"/>
      <c r="AU562" s="541"/>
      <c r="AV562" s="541"/>
      <c r="AW562" s="541"/>
      <c r="AX562" s="541"/>
      <c r="AY562" s="541"/>
      <c r="AZ562" s="541"/>
      <c r="BA562" s="541"/>
      <c r="BC562" s="541"/>
      <c r="BE562" s="541"/>
      <c r="BG562" s="541"/>
      <c r="BH562" s="1190"/>
      <c r="BI562" s="541"/>
      <c r="BJ562" s="1190"/>
      <c r="BK562" s="541"/>
      <c r="BL562" s="541"/>
      <c r="BM562" s="541"/>
      <c r="BO562" s="541"/>
      <c r="BP562" s="541"/>
      <c r="BQ562" s="633"/>
      <c r="BR562" s="541"/>
      <c r="BS562" s="541"/>
      <c r="BT562" s="541"/>
    </row>
    <row r="563" ht="15.75" customHeight="1">
      <c r="A563" s="1591"/>
      <c r="B563" s="1541"/>
      <c r="C563" s="2217"/>
      <c r="D563" s="1543"/>
      <c r="E563" s="906"/>
      <c r="F563" s="541"/>
      <c r="G563" s="541"/>
      <c r="H563" s="541"/>
      <c r="I563" s="541"/>
      <c r="J563" s="1748"/>
      <c r="K563" s="541"/>
      <c r="L563" s="1748"/>
      <c r="M563" s="541"/>
      <c r="N563" s="1748"/>
      <c r="O563" s="541"/>
      <c r="P563" s="1748"/>
      <c r="Q563" s="541"/>
      <c r="R563" s="1748"/>
      <c r="S563" s="541"/>
      <c r="T563" s="1748"/>
      <c r="U563" s="541"/>
      <c r="V563" s="1748"/>
      <c r="W563" s="541"/>
      <c r="X563" s="1748"/>
      <c r="Y563" s="1748"/>
      <c r="Z563" s="1748"/>
      <c r="AA563" s="541"/>
      <c r="AB563" s="1748"/>
      <c r="AC563" s="541"/>
      <c r="AD563" s="541"/>
      <c r="AE563" s="541"/>
      <c r="AF563" s="541"/>
      <c r="AG563" s="541"/>
      <c r="AH563" s="541"/>
      <c r="AI563" s="541"/>
      <c r="AJ563" s="541"/>
      <c r="AK563" s="541"/>
      <c r="AL563" s="541"/>
      <c r="AM563" s="541"/>
      <c r="AN563" s="1748"/>
      <c r="AO563" s="1748"/>
      <c r="AP563" s="1748"/>
      <c r="AQ563" s="1748"/>
      <c r="AR563" s="1748"/>
      <c r="AS563" s="541"/>
      <c r="AT563" s="541"/>
      <c r="AU563" s="541"/>
      <c r="AV563" s="541"/>
      <c r="AW563" s="541"/>
      <c r="AX563" s="541"/>
      <c r="AY563" s="541"/>
      <c r="AZ563" s="541"/>
      <c r="BA563" s="541"/>
      <c r="BC563" s="541"/>
      <c r="BE563" s="541"/>
      <c r="BG563" s="541"/>
      <c r="BH563" s="1190"/>
      <c r="BI563" s="541"/>
      <c r="BJ563" s="1190"/>
      <c r="BK563" s="541"/>
      <c r="BL563" s="541"/>
      <c r="BM563" s="541"/>
      <c r="BO563" s="541"/>
      <c r="BP563" s="541"/>
      <c r="BQ563" s="633"/>
      <c r="BR563" s="541"/>
      <c r="BS563" s="541"/>
      <c r="BT563" s="541"/>
    </row>
    <row r="564" ht="15.75" customHeight="1">
      <c r="A564" s="1591"/>
      <c r="B564" s="1541"/>
      <c r="C564" s="2217"/>
      <c r="D564" s="1543"/>
      <c r="E564" s="906"/>
      <c r="F564" s="541"/>
      <c r="G564" s="541"/>
      <c r="H564" s="541"/>
      <c r="I564" s="541"/>
      <c r="J564" s="1748"/>
      <c r="K564" s="541"/>
      <c r="L564" s="1748"/>
      <c r="M564" s="541"/>
      <c r="N564" s="1748"/>
      <c r="O564" s="541"/>
      <c r="P564" s="1748"/>
      <c r="Q564" s="541"/>
      <c r="R564" s="1748"/>
      <c r="S564" s="541"/>
      <c r="T564" s="1748"/>
      <c r="U564" s="541"/>
      <c r="V564" s="1748"/>
      <c r="W564" s="541"/>
      <c r="X564" s="1748"/>
      <c r="Y564" s="1748"/>
      <c r="Z564" s="1748"/>
      <c r="AA564" s="541"/>
      <c r="AB564" s="1748"/>
      <c r="AC564" s="541"/>
      <c r="AD564" s="541"/>
      <c r="AE564" s="541"/>
      <c r="AF564" s="541"/>
      <c r="AG564" s="541"/>
      <c r="AH564" s="541"/>
      <c r="AI564" s="541"/>
      <c r="AJ564" s="541"/>
      <c r="AK564" s="541"/>
      <c r="AL564" s="541"/>
      <c r="AM564" s="541"/>
      <c r="AN564" s="1748"/>
      <c r="AO564" s="1748"/>
      <c r="AP564" s="1748"/>
      <c r="AQ564" s="1748"/>
      <c r="AR564" s="1748"/>
      <c r="AS564" s="541"/>
      <c r="AT564" s="541"/>
      <c r="AU564" s="541"/>
      <c r="AV564" s="541"/>
      <c r="AW564" s="541"/>
      <c r="AX564" s="541"/>
      <c r="AY564" s="541"/>
      <c r="AZ564" s="541"/>
      <c r="BA564" s="541"/>
      <c r="BC564" s="541"/>
      <c r="BE564" s="541"/>
      <c r="BG564" s="541"/>
      <c r="BH564" s="1190"/>
      <c r="BI564" s="541"/>
      <c r="BJ564" s="1190"/>
      <c r="BK564" s="541"/>
      <c r="BL564" s="541"/>
      <c r="BM564" s="541"/>
      <c r="BO564" s="541"/>
      <c r="BP564" s="541"/>
      <c r="BQ564" s="633"/>
      <c r="BR564" s="541"/>
      <c r="BS564" s="541"/>
      <c r="BT564" s="541"/>
    </row>
    <row r="565" ht="15.75" customHeight="1">
      <c r="A565" s="1591"/>
      <c r="B565" s="1541"/>
      <c r="C565" s="2217"/>
      <c r="D565" s="1543"/>
      <c r="E565" s="906"/>
      <c r="F565" s="541"/>
      <c r="G565" s="541"/>
      <c r="H565" s="541"/>
      <c r="I565" s="541"/>
      <c r="J565" s="1748"/>
      <c r="K565" s="541"/>
      <c r="L565" s="1748"/>
      <c r="M565" s="541"/>
      <c r="N565" s="1748"/>
      <c r="O565" s="541"/>
      <c r="P565" s="1748"/>
      <c r="Q565" s="541"/>
      <c r="R565" s="1748"/>
      <c r="S565" s="541"/>
      <c r="T565" s="1748"/>
      <c r="U565" s="541"/>
      <c r="V565" s="1748"/>
      <c r="W565" s="541"/>
      <c r="X565" s="1748"/>
      <c r="Y565" s="1748"/>
      <c r="Z565" s="1748"/>
      <c r="AA565" s="541"/>
      <c r="AB565" s="1748"/>
      <c r="AC565" s="541"/>
      <c r="AD565" s="541"/>
      <c r="AE565" s="541"/>
      <c r="AF565" s="541"/>
      <c r="AG565" s="541"/>
      <c r="AH565" s="541"/>
      <c r="AI565" s="541"/>
      <c r="AJ565" s="541"/>
      <c r="AK565" s="541"/>
      <c r="AL565" s="541"/>
      <c r="AM565" s="541"/>
      <c r="AN565" s="1748"/>
      <c r="AO565" s="1748"/>
      <c r="AP565" s="1748"/>
      <c r="AQ565" s="1748"/>
      <c r="AR565" s="1748"/>
      <c r="AS565" s="541"/>
      <c r="AT565" s="541"/>
      <c r="AU565" s="541"/>
      <c r="AV565" s="541"/>
      <c r="AW565" s="541"/>
      <c r="AX565" s="541"/>
      <c r="AY565" s="541"/>
      <c r="AZ565" s="541"/>
      <c r="BA565" s="541"/>
      <c r="BC565" s="541"/>
      <c r="BE565" s="541"/>
      <c r="BG565" s="541"/>
      <c r="BH565" s="1190"/>
      <c r="BI565" s="541"/>
      <c r="BJ565" s="1190"/>
      <c r="BK565" s="541"/>
      <c r="BL565" s="541"/>
      <c r="BM565" s="541"/>
      <c r="BO565" s="541"/>
      <c r="BP565" s="541"/>
      <c r="BQ565" s="633"/>
      <c r="BR565" s="541"/>
      <c r="BS565" s="541"/>
      <c r="BT565" s="541"/>
    </row>
    <row r="566" ht="15.75" customHeight="1">
      <c r="A566" s="1591"/>
      <c r="B566" s="1541"/>
      <c r="C566" s="2217"/>
      <c r="D566" s="1543"/>
      <c r="E566" s="906"/>
      <c r="F566" s="541"/>
      <c r="G566" s="541"/>
      <c r="H566" s="541"/>
      <c r="I566" s="541"/>
      <c r="J566" s="1748"/>
      <c r="K566" s="541"/>
      <c r="L566" s="1748"/>
      <c r="M566" s="541"/>
      <c r="N566" s="1748"/>
      <c r="O566" s="541"/>
      <c r="P566" s="1748"/>
      <c r="Q566" s="541"/>
      <c r="R566" s="1748"/>
      <c r="S566" s="541"/>
      <c r="T566" s="1748"/>
      <c r="U566" s="541"/>
      <c r="V566" s="1748"/>
      <c r="W566" s="541"/>
      <c r="X566" s="1748"/>
      <c r="Y566" s="1748"/>
      <c r="Z566" s="1748"/>
      <c r="AA566" s="541"/>
      <c r="AB566" s="1748"/>
      <c r="AC566" s="541"/>
      <c r="AD566" s="541"/>
      <c r="AE566" s="541"/>
      <c r="AF566" s="541"/>
      <c r="AG566" s="541"/>
      <c r="AH566" s="541"/>
      <c r="AI566" s="541"/>
      <c r="AJ566" s="541"/>
      <c r="AK566" s="541"/>
      <c r="AL566" s="541"/>
      <c r="AM566" s="541"/>
      <c r="AN566" s="1748"/>
      <c r="AO566" s="1748"/>
      <c r="AP566" s="1748"/>
      <c r="AQ566" s="1748"/>
      <c r="AR566" s="1748"/>
      <c r="AS566" s="541"/>
      <c r="AT566" s="541"/>
      <c r="AU566" s="541"/>
      <c r="AV566" s="541"/>
      <c r="AW566" s="541"/>
      <c r="AX566" s="541"/>
      <c r="AY566" s="541"/>
      <c r="AZ566" s="541"/>
      <c r="BA566" s="541"/>
      <c r="BC566" s="541"/>
      <c r="BE566" s="541"/>
      <c r="BG566" s="541"/>
      <c r="BH566" s="1190"/>
      <c r="BI566" s="541"/>
      <c r="BJ566" s="1190"/>
      <c r="BK566" s="541"/>
      <c r="BL566" s="541"/>
      <c r="BM566" s="541"/>
      <c r="BO566" s="541"/>
      <c r="BP566" s="541"/>
      <c r="BQ566" s="633"/>
      <c r="BR566" s="541"/>
      <c r="BS566" s="541"/>
      <c r="BT566" s="541"/>
    </row>
    <row r="567" ht="15.75" customHeight="1">
      <c r="A567" s="1591"/>
      <c r="B567" s="1541"/>
      <c r="C567" s="2217"/>
      <c r="D567" s="1543"/>
      <c r="E567" s="906"/>
      <c r="F567" s="541"/>
      <c r="G567" s="541"/>
      <c r="H567" s="541"/>
      <c r="I567" s="541"/>
      <c r="J567" s="1748"/>
      <c r="K567" s="541"/>
      <c r="L567" s="1748"/>
      <c r="M567" s="541"/>
      <c r="N567" s="1748"/>
      <c r="O567" s="541"/>
      <c r="P567" s="1748"/>
      <c r="Q567" s="541"/>
      <c r="R567" s="1748"/>
      <c r="S567" s="541"/>
      <c r="T567" s="1748"/>
      <c r="U567" s="541"/>
      <c r="V567" s="1748"/>
      <c r="W567" s="541"/>
      <c r="X567" s="1748"/>
      <c r="Y567" s="1748"/>
      <c r="Z567" s="1748"/>
      <c r="AA567" s="541"/>
      <c r="AB567" s="1748"/>
      <c r="AC567" s="541"/>
      <c r="AD567" s="541"/>
      <c r="AE567" s="541"/>
      <c r="AF567" s="541"/>
      <c r="AG567" s="541"/>
      <c r="AH567" s="541"/>
      <c r="AI567" s="541"/>
      <c r="AJ567" s="541"/>
      <c r="AK567" s="541"/>
      <c r="AL567" s="541"/>
      <c r="AM567" s="541"/>
      <c r="AN567" s="1748"/>
      <c r="AO567" s="1748"/>
      <c r="AP567" s="1748"/>
      <c r="AQ567" s="1748"/>
      <c r="AR567" s="1748"/>
      <c r="AS567" s="541"/>
      <c r="AT567" s="541"/>
      <c r="AU567" s="541"/>
      <c r="AV567" s="541"/>
      <c r="AW567" s="541"/>
      <c r="AX567" s="541"/>
      <c r="AY567" s="541"/>
      <c r="AZ567" s="541"/>
      <c r="BA567" s="541"/>
      <c r="BC567" s="541"/>
      <c r="BE567" s="541"/>
      <c r="BG567" s="541"/>
      <c r="BH567" s="1190"/>
      <c r="BI567" s="541"/>
      <c r="BJ567" s="1190"/>
      <c r="BK567" s="541"/>
      <c r="BL567" s="541"/>
      <c r="BM567" s="541"/>
      <c r="BO567" s="541"/>
      <c r="BP567" s="541"/>
      <c r="BQ567" s="633"/>
      <c r="BR567" s="541"/>
      <c r="BS567" s="541"/>
      <c r="BT567" s="541"/>
    </row>
    <row r="568" ht="15.75" customHeight="1">
      <c r="A568" s="1591"/>
      <c r="B568" s="1541"/>
      <c r="C568" s="2217"/>
      <c r="D568" s="1543"/>
      <c r="E568" s="906"/>
      <c r="F568" s="541"/>
      <c r="G568" s="541"/>
      <c r="H568" s="541"/>
      <c r="I568" s="541"/>
      <c r="J568" s="1748"/>
      <c r="K568" s="541"/>
      <c r="L568" s="1748"/>
      <c r="M568" s="541"/>
      <c r="N568" s="1748"/>
      <c r="O568" s="541"/>
      <c r="P568" s="1748"/>
      <c r="Q568" s="541"/>
      <c r="R568" s="1748"/>
      <c r="S568" s="541"/>
      <c r="T568" s="1748"/>
      <c r="U568" s="541"/>
      <c r="V568" s="1748"/>
      <c r="W568" s="541"/>
      <c r="X568" s="1748"/>
      <c r="Y568" s="1748"/>
      <c r="Z568" s="1748"/>
      <c r="AA568" s="541"/>
      <c r="AB568" s="1748"/>
      <c r="AC568" s="541"/>
      <c r="AD568" s="541"/>
      <c r="AE568" s="541"/>
      <c r="AF568" s="541"/>
      <c r="AG568" s="541"/>
      <c r="AH568" s="541"/>
      <c r="AI568" s="541"/>
      <c r="AJ568" s="541"/>
      <c r="AK568" s="541"/>
      <c r="AL568" s="541"/>
      <c r="AM568" s="541"/>
      <c r="AN568" s="1748"/>
      <c r="AO568" s="1748"/>
      <c r="AP568" s="1748"/>
      <c r="AQ568" s="1748"/>
      <c r="AR568" s="1748"/>
      <c r="AS568" s="541"/>
      <c r="AT568" s="541"/>
      <c r="AU568" s="541"/>
      <c r="AV568" s="541"/>
      <c r="AW568" s="541"/>
      <c r="AX568" s="541"/>
      <c r="AY568" s="541"/>
      <c r="AZ568" s="541"/>
      <c r="BA568" s="541"/>
      <c r="BC568" s="541"/>
      <c r="BE568" s="541"/>
      <c r="BG568" s="541"/>
      <c r="BH568" s="1190"/>
      <c r="BI568" s="541"/>
      <c r="BJ568" s="1190"/>
      <c r="BK568" s="541"/>
      <c r="BL568" s="541"/>
      <c r="BM568" s="541"/>
      <c r="BO568" s="541"/>
      <c r="BP568" s="541"/>
      <c r="BQ568" s="633"/>
      <c r="BR568" s="541"/>
      <c r="BS568" s="541"/>
      <c r="BT568" s="541"/>
    </row>
    <row r="569" ht="15.75" customHeight="1">
      <c r="A569" s="1591"/>
      <c r="B569" s="1541"/>
      <c r="C569" s="2217"/>
      <c r="D569" s="1543"/>
      <c r="E569" s="906"/>
      <c r="F569" s="541"/>
      <c r="G569" s="541"/>
      <c r="H569" s="541"/>
      <c r="I569" s="541"/>
      <c r="J569" s="1748"/>
      <c r="K569" s="541"/>
      <c r="L569" s="1748"/>
      <c r="M569" s="541"/>
      <c r="N569" s="1748"/>
      <c r="O569" s="541"/>
      <c r="P569" s="1748"/>
      <c r="Q569" s="541"/>
      <c r="R569" s="1748"/>
      <c r="S569" s="541"/>
      <c r="T569" s="1748"/>
      <c r="U569" s="541"/>
      <c r="V569" s="1748"/>
      <c r="W569" s="541"/>
      <c r="X569" s="1748"/>
      <c r="Y569" s="1748"/>
      <c r="Z569" s="1748"/>
      <c r="AA569" s="541"/>
      <c r="AB569" s="1748"/>
      <c r="AC569" s="541"/>
      <c r="AD569" s="541"/>
      <c r="AE569" s="541"/>
      <c r="AF569" s="541"/>
      <c r="AG569" s="541"/>
      <c r="AH569" s="541"/>
      <c r="AI569" s="541"/>
      <c r="AJ569" s="541"/>
      <c r="AK569" s="541"/>
      <c r="AL569" s="541"/>
      <c r="AM569" s="541"/>
      <c r="AN569" s="1748"/>
      <c r="AO569" s="1748"/>
      <c r="AP569" s="1748"/>
      <c r="AQ569" s="1748"/>
      <c r="AR569" s="1748"/>
      <c r="AS569" s="541"/>
      <c r="AT569" s="541"/>
      <c r="AU569" s="541"/>
      <c r="AV569" s="541"/>
      <c r="AW569" s="541"/>
      <c r="AX569" s="541"/>
      <c r="AY569" s="541"/>
      <c r="AZ569" s="541"/>
      <c r="BA569" s="541"/>
      <c r="BC569" s="541"/>
      <c r="BE569" s="541"/>
      <c r="BG569" s="541"/>
      <c r="BH569" s="1190"/>
      <c r="BI569" s="541"/>
      <c r="BJ569" s="1190"/>
      <c r="BK569" s="541"/>
      <c r="BL569" s="541"/>
      <c r="BM569" s="541"/>
      <c r="BO569" s="541"/>
      <c r="BP569" s="541"/>
      <c r="BQ569" s="633"/>
      <c r="BR569" s="541"/>
      <c r="BS569" s="541"/>
      <c r="BT569" s="541"/>
    </row>
    <row r="570" ht="15.75" customHeight="1">
      <c r="A570" s="1591"/>
      <c r="B570" s="1541"/>
      <c r="C570" s="2217"/>
      <c r="D570" s="1543"/>
      <c r="E570" s="906"/>
      <c r="F570" s="541"/>
      <c r="G570" s="541"/>
      <c r="H570" s="541"/>
      <c r="I570" s="541"/>
      <c r="J570" s="1748"/>
      <c r="K570" s="541"/>
      <c r="L570" s="1748"/>
      <c r="M570" s="541"/>
      <c r="N570" s="1748"/>
      <c r="O570" s="541"/>
      <c r="P570" s="1748"/>
      <c r="Q570" s="541"/>
      <c r="R570" s="1748"/>
      <c r="S570" s="541"/>
      <c r="T570" s="1748"/>
      <c r="U570" s="541"/>
      <c r="V570" s="1748"/>
      <c r="W570" s="541"/>
      <c r="X570" s="1748"/>
      <c r="Y570" s="1748"/>
      <c r="Z570" s="1748"/>
      <c r="AA570" s="541"/>
      <c r="AB570" s="1748"/>
      <c r="AC570" s="541"/>
      <c r="AD570" s="541"/>
      <c r="AE570" s="541"/>
      <c r="AF570" s="541"/>
      <c r="AG570" s="541"/>
      <c r="AH570" s="541"/>
      <c r="AI570" s="541"/>
      <c r="AJ570" s="541"/>
      <c r="AK570" s="541"/>
      <c r="AL570" s="541"/>
      <c r="AM570" s="541"/>
      <c r="AN570" s="1748"/>
      <c r="AO570" s="1748"/>
      <c r="AP570" s="1748"/>
      <c r="AQ570" s="1748"/>
      <c r="AR570" s="1748"/>
      <c r="AS570" s="541"/>
      <c r="AT570" s="541"/>
      <c r="AU570" s="541"/>
      <c r="AV570" s="541"/>
      <c r="AW570" s="541"/>
      <c r="AX570" s="541"/>
      <c r="AY570" s="541"/>
      <c r="AZ570" s="541"/>
      <c r="BA570" s="541"/>
      <c r="BC570" s="541"/>
      <c r="BE570" s="541"/>
      <c r="BG570" s="541"/>
      <c r="BH570" s="1190"/>
      <c r="BI570" s="541"/>
      <c r="BJ570" s="1190"/>
      <c r="BK570" s="541"/>
      <c r="BL570" s="541"/>
      <c r="BM570" s="541"/>
      <c r="BO570" s="541"/>
      <c r="BP570" s="541"/>
      <c r="BQ570" s="633"/>
      <c r="BR570" s="541"/>
      <c r="BS570" s="541"/>
      <c r="BT570" s="541"/>
    </row>
    <row r="571" ht="15.75" customHeight="1">
      <c r="A571" s="1591"/>
      <c r="B571" s="1541"/>
      <c r="C571" s="2217"/>
      <c r="D571" s="1543"/>
      <c r="E571" s="906"/>
      <c r="F571" s="541"/>
      <c r="G571" s="541"/>
      <c r="H571" s="541"/>
      <c r="I571" s="541"/>
      <c r="J571" s="1748"/>
      <c r="K571" s="541"/>
      <c r="L571" s="1748"/>
      <c r="M571" s="541"/>
      <c r="N571" s="1748"/>
      <c r="O571" s="541"/>
      <c r="P571" s="1748"/>
      <c r="Q571" s="541"/>
      <c r="R571" s="1748"/>
      <c r="S571" s="541"/>
      <c r="T571" s="1748"/>
      <c r="U571" s="541"/>
      <c r="V571" s="1748"/>
      <c r="W571" s="541"/>
      <c r="X571" s="1748"/>
      <c r="Y571" s="1748"/>
      <c r="Z571" s="1748"/>
      <c r="AA571" s="541"/>
      <c r="AB571" s="1748"/>
      <c r="AC571" s="541"/>
      <c r="AD571" s="541"/>
      <c r="AE571" s="541"/>
      <c r="AF571" s="541"/>
      <c r="AG571" s="541"/>
      <c r="AH571" s="541"/>
      <c r="AI571" s="541"/>
      <c r="AJ571" s="541"/>
      <c r="AK571" s="541"/>
      <c r="AL571" s="541"/>
      <c r="AM571" s="541"/>
      <c r="AN571" s="1748"/>
      <c r="AO571" s="1748"/>
      <c r="AP571" s="1748"/>
      <c r="AQ571" s="1748"/>
      <c r="AR571" s="1748"/>
      <c r="AS571" s="541"/>
      <c r="AT571" s="541"/>
      <c r="AU571" s="541"/>
      <c r="AV571" s="541"/>
      <c r="AW571" s="541"/>
      <c r="AX571" s="541"/>
      <c r="AY571" s="541"/>
      <c r="AZ571" s="541"/>
      <c r="BA571" s="541"/>
      <c r="BC571" s="541"/>
      <c r="BE571" s="541"/>
      <c r="BG571" s="541"/>
      <c r="BH571" s="1190"/>
      <c r="BI571" s="541"/>
      <c r="BJ571" s="1190"/>
      <c r="BK571" s="541"/>
      <c r="BL571" s="541"/>
      <c r="BM571" s="541"/>
      <c r="BO571" s="541"/>
      <c r="BP571" s="541"/>
      <c r="BQ571" s="633"/>
      <c r="BR571" s="541"/>
      <c r="BS571" s="541"/>
      <c r="BT571" s="541"/>
    </row>
    <row r="572" ht="15.75" customHeight="1">
      <c r="A572" s="1591"/>
      <c r="B572" s="1541"/>
      <c r="C572" s="2217"/>
      <c r="D572" s="1543"/>
      <c r="E572" s="906"/>
      <c r="F572" s="541"/>
      <c r="G572" s="541"/>
      <c r="H572" s="541"/>
      <c r="I572" s="541"/>
      <c r="J572" s="1748"/>
      <c r="K572" s="541"/>
      <c r="L572" s="1748"/>
      <c r="M572" s="541"/>
      <c r="N572" s="1748"/>
      <c r="O572" s="541"/>
      <c r="P572" s="1748"/>
      <c r="Q572" s="541"/>
      <c r="R572" s="1748"/>
      <c r="S572" s="541"/>
      <c r="T572" s="1748"/>
      <c r="U572" s="541"/>
      <c r="V572" s="1748"/>
      <c r="W572" s="541"/>
      <c r="X572" s="1748"/>
      <c r="Y572" s="1748"/>
      <c r="Z572" s="1748"/>
      <c r="AA572" s="541"/>
      <c r="AB572" s="1748"/>
      <c r="AC572" s="541"/>
      <c r="AD572" s="541"/>
      <c r="AE572" s="541"/>
      <c r="AF572" s="541"/>
      <c r="AG572" s="541"/>
      <c r="AH572" s="541"/>
      <c r="AI572" s="541"/>
      <c r="AJ572" s="541"/>
      <c r="AK572" s="541"/>
      <c r="AL572" s="541"/>
      <c r="AM572" s="541"/>
      <c r="AN572" s="1748"/>
      <c r="AO572" s="1748"/>
      <c r="AP572" s="1748"/>
      <c r="AQ572" s="1748"/>
      <c r="AR572" s="1748"/>
      <c r="AS572" s="541"/>
      <c r="AT572" s="541"/>
      <c r="AU572" s="541"/>
      <c r="AV572" s="541"/>
      <c r="AW572" s="541"/>
      <c r="AX572" s="541"/>
      <c r="AY572" s="541"/>
      <c r="AZ572" s="541"/>
      <c r="BA572" s="541"/>
      <c r="BC572" s="541"/>
      <c r="BE572" s="541"/>
      <c r="BG572" s="541"/>
      <c r="BH572" s="1190"/>
      <c r="BI572" s="541"/>
      <c r="BJ572" s="1190"/>
      <c r="BK572" s="541"/>
      <c r="BL572" s="541"/>
      <c r="BM572" s="541"/>
      <c r="BO572" s="541"/>
      <c r="BP572" s="541"/>
      <c r="BQ572" s="633"/>
      <c r="BR572" s="541"/>
      <c r="BS572" s="541"/>
      <c r="BT572" s="541"/>
    </row>
    <row r="573" ht="15.75" customHeight="1">
      <c r="A573" s="1591"/>
      <c r="B573" s="1541"/>
      <c r="C573" s="2217"/>
      <c r="D573" s="1543"/>
      <c r="E573" s="906"/>
      <c r="F573" s="541"/>
      <c r="G573" s="541"/>
      <c r="H573" s="541"/>
      <c r="I573" s="541"/>
      <c r="J573" s="1748"/>
      <c r="K573" s="541"/>
      <c r="L573" s="1748"/>
      <c r="M573" s="541"/>
      <c r="N573" s="1748"/>
      <c r="O573" s="541"/>
      <c r="P573" s="1748"/>
      <c r="Q573" s="541"/>
      <c r="R573" s="1748"/>
      <c r="S573" s="541"/>
      <c r="T573" s="1748"/>
      <c r="U573" s="541"/>
      <c r="V573" s="1748"/>
      <c r="W573" s="541"/>
      <c r="X573" s="1748"/>
      <c r="Y573" s="1748"/>
      <c r="Z573" s="1748"/>
      <c r="AA573" s="541"/>
      <c r="AB573" s="1748"/>
      <c r="AC573" s="541"/>
      <c r="AD573" s="541"/>
      <c r="AE573" s="541"/>
      <c r="AF573" s="541"/>
      <c r="AG573" s="541"/>
      <c r="AH573" s="541"/>
      <c r="AI573" s="541"/>
      <c r="AJ573" s="541"/>
      <c r="AK573" s="541"/>
      <c r="AL573" s="541"/>
      <c r="AM573" s="541"/>
      <c r="AN573" s="1748"/>
      <c r="AO573" s="1748"/>
      <c r="AP573" s="1748"/>
      <c r="AQ573" s="1748"/>
      <c r="AR573" s="1748"/>
      <c r="AS573" s="541"/>
      <c r="AT573" s="541"/>
      <c r="AU573" s="541"/>
      <c r="AV573" s="541"/>
      <c r="AW573" s="541"/>
      <c r="AX573" s="541"/>
      <c r="AY573" s="541"/>
      <c r="AZ573" s="541"/>
      <c r="BA573" s="541"/>
      <c r="BC573" s="541"/>
      <c r="BE573" s="541"/>
      <c r="BG573" s="541"/>
      <c r="BH573" s="1190"/>
      <c r="BI573" s="541"/>
      <c r="BJ573" s="1190"/>
      <c r="BK573" s="541"/>
      <c r="BL573" s="541"/>
      <c r="BM573" s="541"/>
      <c r="BO573" s="541"/>
      <c r="BP573" s="541"/>
      <c r="BQ573" s="633"/>
      <c r="BR573" s="541"/>
      <c r="BS573" s="541"/>
      <c r="BT573" s="541"/>
    </row>
    <row r="574" ht="15.75" customHeight="1">
      <c r="A574" s="1591"/>
      <c r="B574" s="1541"/>
      <c r="C574" s="2217"/>
      <c r="D574" s="1543"/>
      <c r="E574" s="906"/>
      <c r="F574" s="541"/>
      <c r="G574" s="541"/>
      <c r="H574" s="541"/>
      <c r="I574" s="541"/>
      <c r="J574" s="1748"/>
      <c r="K574" s="541"/>
      <c r="L574" s="1748"/>
      <c r="M574" s="541"/>
      <c r="N574" s="1748"/>
      <c r="O574" s="541"/>
      <c r="P574" s="1748"/>
      <c r="Q574" s="541"/>
      <c r="R574" s="1748"/>
      <c r="S574" s="541"/>
      <c r="T574" s="1748"/>
      <c r="U574" s="541"/>
      <c r="V574" s="1748"/>
      <c r="W574" s="541"/>
      <c r="X574" s="1748"/>
      <c r="Y574" s="1748"/>
      <c r="Z574" s="1748"/>
      <c r="AA574" s="541"/>
      <c r="AB574" s="1748"/>
      <c r="AC574" s="541"/>
      <c r="AD574" s="541"/>
      <c r="AE574" s="541"/>
      <c r="AF574" s="541"/>
      <c r="AG574" s="541"/>
      <c r="AH574" s="541"/>
      <c r="AI574" s="541"/>
      <c r="AJ574" s="541"/>
      <c r="AK574" s="541"/>
      <c r="AL574" s="541"/>
      <c r="AM574" s="541"/>
      <c r="AN574" s="1748"/>
      <c r="AO574" s="1748"/>
      <c r="AP574" s="1748"/>
      <c r="AQ574" s="1748"/>
      <c r="AR574" s="1748"/>
      <c r="AS574" s="541"/>
      <c r="AT574" s="541"/>
      <c r="AU574" s="541"/>
      <c r="AV574" s="541"/>
      <c r="AW574" s="541"/>
      <c r="AX574" s="541"/>
      <c r="AY574" s="541"/>
      <c r="AZ574" s="541"/>
      <c r="BA574" s="541"/>
      <c r="BC574" s="541"/>
      <c r="BE574" s="541"/>
      <c r="BG574" s="541"/>
      <c r="BH574" s="1190"/>
      <c r="BI574" s="541"/>
      <c r="BJ574" s="1190"/>
      <c r="BK574" s="541"/>
      <c r="BL574" s="541"/>
      <c r="BM574" s="541"/>
      <c r="BO574" s="541"/>
      <c r="BP574" s="541"/>
      <c r="BQ574" s="633"/>
      <c r="BR574" s="541"/>
      <c r="BS574" s="541"/>
      <c r="BT574" s="541"/>
    </row>
    <row r="575" ht="15.75" customHeight="1">
      <c r="A575" s="1591"/>
      <c r="B575" s="1541"/>
      <c r="C575" s="2217"/>
      <c r="D575" s="1543"/>
      <c r="E575" s="906"/>
      <c r="F575" s="541"/>
      <c r="G575" s="541"/>
      <c r="H575" s="541"/>
      <c r="I575" s="541"/>
      <c r="J575" s="1748"/>
      <c r="K575" s="541"/>
      <c r="L575" s="1748"/>
      <c r="M575" s="541"/>
      <c r="N575" s="1748"/>
      <c r="O575" s="541"/>
      <c r="P575" s="1748"/>
      <c r="Q575" s="541"/>
      <c r="R575" s="1748"/>
      <c r="S575" s="541"/>
      <c r="T575" s="1748"/>
      <c r="U575" s="541"/>
      <c r="V575" s="1748"/>
      <c r="W575" s="541"/>
      <c r="X575" s="1748"/>
      <c r="Y575" s="1748"/>
      <c r="Z575" s="1748"/>
      <c r="AA575" s="541"/>
      <c r="AB575" s="1748"/>
      <c r="AC575" s="541"/>
      <c r="AD575" s="541"/>
      <c r="AE575" s="541"/>
      <c r="AF575" s="541"/>
      <c r="AG575" s="541"/>
      <c r="AH575" s="541"/>
      <c r="AI575" s="541"/>
      <c r="AJ575" s="541"/>
      <c r="AK575" s="541"/>
      <c r="AL575" s="541"/>
      <c r="AM575" s="541"/>
      <c r="AN575" s="1748"/>
      <c r="AO575" s="1748"/>
      <c r="AP575" s="1748"/>
      <c r="AQ575" s="1748"/>
      <c r="AR575" s="1748"/>
      <c r="AS575" s="541"/>
      <c r="AT575" s="541"/>
      <c r="AU575" s="541"/>
      <c r="AV575" s="541"/>
      <c r="AW575" s="541"/>
      <c r="AX575" s="541"/>
      <c r="AY575" s="541"/>
      <c r="AZ575" s="541"/>
      <c r="BA575" s="541"/>
      <c r="BC575" s="541"/>
      <c r="BE575" s="541"/>
      <c r="BG575" s="541"/>
      <c r="BH575" s="1190"/>
      <c r="BI575" s="541"/>
      <c r="BJ575" s="1190"/>
      <c r="BK575" s="541"/>
      <c r="BL575" s="541"/>
      <c r="BM575" s="541"/>
      <c r="BO575" s="541"/>
      <c r="BP575" s="541"/>
      <c r="BQ575" s="633"/>
      <c r="BR575" s="541"/>
      <c r="BS575" s="541"/>
      <c r="BT575" s="541"/>
    </row>
    <row r="576" ht="15.75" customHeight="1">
      <c r="A576" s="1591"/>
      <c r="B576" s="1541"/>
      <c r="C576" s="2217"/>
      <c r="D576" s="1543"/>
      <c r="E576" s="906"/>
      <c r="F576" s="541"/>
      <c r="G576" s="541"/>
      <c r="H576" s="541"/>
      <c r="I576" s="541"/>
      <c r="J576" s="1748"/>
      <c r="K576" s="541"/>
      <c r="L576" s="1748"/>
      <c r="M576" s="541"/>
      <c r="N576" s="1748"/>
      <c r="O576" s="541"/>
      <c r="P576" s="1748"/>
      <c r="Q576" s="541"/>
      <c r="R576" s="1748"/>
      <c r="S576" s="541"/>
      <c r="T576" s="1748"/>
      <c r="U576" s="541"/>
      <c r="V576" s="1748"/>
      <c r="W576" s="541"/>
      <c r="X576" s="1748"/>
      <c r="Y576" s="1748"/>
      <c r="Z576" s="1748"/>
      <c r="AA576" s="541"/>
      <c r="AB576" s="1748"/>
      <c r="AC576" s="541"/>
      <c r="AD576" s="541"/>
      <c r="AE576" s="541"/>
      <c r="AF576" s="541"/>
      <c r="AG576" s="541"/>
      <c r="AH576" s="541"/>
      <c r="AI576" s="541"/>
      <c r="AJ576" s="541"/>
      <c r="AK576" s="541"/>
      <c r="AL576" s="541"/>
      <c r="AM576" s="541"/>
      <c r="AN576" s="1748"/>
      <c r="AO576" s="1748"/>
      <c r="AP576" s="1748"/>
      <c r="AQ576" s="1748"/>
      <c r="AR576" s="1748"/>
      <c r="AS576" s="541"/>
      <c r="AT576" s="541"/>
      <c r="AU576" s="541"/>
      <c r="AV576" s="541"/>
      <c r="AW576" s="541"/>
      <c r="AX576" s="541"/>
      <c r="AY576" s="541"/>
      <c r="AZ576" s="541"/>
      <c r="BA576" s="541"/>
      <c r="BC576" s="541"/>
      <c r="BE576" s="541"/>
      <c r="BG576" s="541"/>
      <c r="BH576" s="1190"/>
      <c r="BI576" s="541"/>
      <c r="BJ576" s="1190"/>
      <c r="BK576" s="541"/>
      <c r="BL576" s="541"/>
      <c r="BM576" s="541"/>
      <c r="BO576" s="541"/>
      <c r="BP576" s="541"/>
      <c r="BQ576" s="633"/>
      <c r="BR576" s="541"/>
      <c r="BS576" s="541"/>
      <c r="BT576" s="541"/>
    </row>
    <row r="577" ht="15.75" customHeight="1">
      <c r="A577" s="1591"/>
      <c r="B577" s="1541"/>
      <c r="C577" s="2217"/>
      <c r="D577" s="1543"/>
      <c r="E577" s="906"/>
      <c r="F577" s="541"/>
      <c r="G577" s="541"/>
      <c r="H577" s="541"/>
      <c r="I577" s="541"/>
      <c r="J577" s="1748"/>
      <c r="K577" s="541"/>
      <c r="L577" s="1748"/>
      <c r="M577" s="541"/>
      <c r="N577" s="1748"/>
      <c r="O577" s="541"/>
      <c r="P577" s="1748"/>
      <c r="Q577" s="541"/>
      <c r="R577" s="1748"/>
      <c r="S577" s="541"/>
      <c r="T577" s="1748"/>
      <c r="U577" s="541"/>
      <c r="V577" s="1748"/>
      <c r="W577" s="541"/>
      <c r="X577" s="1748"/>
      <c r="Y577" s="1748"/>
      <c r="Z577" s="1748"/>
      <c r="AA577" s="541"/>
      <c r="AB577" s="1748"/>
      <c r="AC577" s="541"/>
      <c r="AD577" s="541"/>
      <c r="AE577" s="541"/>
      <c r="AF577" s="541"/>
      <c r="AG577" s="541"/>
      <c r="AH577" s="541"/>
      <c r="AI577" s="541"/>
      <c r="AJ577" s="541"/>
      <c r="AK577" s="541"/>
      <c r="AL577" s="541"/>
      <c r="AM577" s="541"/>
      <c r="AN577" s="1748"/>
      <c r="AO577" s="1748"/>
      <c r="AP577" s="1748"/>
      <c r="AQ577" s="1748"/>
      <c r="AR577" s="1748"/>
      <c r="AS577" s="541"/>
      <c r="AT577" s="541"/>
      <c r="AU577" s="541"/>
      <c r="AV577" s="541"/>
      <c r="AW577" s="541"/>
      <c r="AX577" s="541"/>
      <c r="AY577" s="541"/>
      <c r="AZ577" s="541"/>
      <c r="BA577" s="541"/>
      <c r="BC577" s="541"/>
      <c r="BE577" s="541"/>
      <c r="BG577" s="541"/>
      <c r="BH577" s="1190"/>
      <c r="BI577" s="541"/>
      <c r="BJ577" s="1190"/>
      <c r="BK577" s="541"/>
      <c r="BL577" s="541"/>
      <c r="BM577" s="541"/>
      <c r="BO577" s="541"/>
      <c r="BP577" s="541"/>
      <c r="BQ577" s="633"/>
      <c r="BR577" s="541"/>
      <c r="BS577" s="541"/>
      <c r="BT577" s="541"/>
    </row>
    <row r="578" ht="15.75" customHeight="1">
      <c r="A578" s="1591"/>
      <c r="B578" s="1541"/>
      <c r="C578" s="2217"/>
      <c r="D578" s="1543"/>
      <c r="E578" s="906"/>
      <c r="F578" s="541"/>
      <c r="G578" s="541"/>
      <c r="H578" s="541"/>
      <c r="I578" s="541"/>
      <c r="J578" s="1748"/>
      <c r="K578" s="541"/>
      <c r="L578" s="1748"/>
      <c r="M578" s="541"/>
      <c r="N578" s="1748"/>
      <c r="O578" s="541"/>
      <c r="P578" s="1748"/>
      <c r="Q578" s="541"/>
      <c r="R578" s="1748"/>
      <c r="S578" s="541"/>
      <c r="T578" s="1748"/>
      <c r="U578" s="541"/>
      <c r="V578" s="1748"/>
      <c r="W578" s="541"/>
      <c r="X578" s="1748"/>
      <c r="Y578" s="1748"/>
      <c r="Z578" s="1748"/>
      <c r="AA578" s="541"/>
      <c r="AB578" s="1748"/>
      <c r="AC578" s="541"/>
      <c r="AD578" s="541"/>
      <c r="AE578" s="541"/>
      <c r="AF578" s="541"/>
      <c r="AG578" s="541"/>
      <c r="AH578" s="541"/>
      <c r="AI578" s="541"/>
      <c r="AJ578" s="541"/>
      <c r="AK578" s="541"/>
      <c r="AL578" s="541"/>
      <c r="AM578" s="541"/>
      <c r="AN578" s="1748"/>
      <c r="AO578" s="1748"/>
      <c r="AP578" s="1748"/>
      <c r="AQ578" s="1748"/>
      <c r="AR578" s="1748"/>
      <c r="AS578" s="541"/>
      <c r="AT578" s="541"/>
      <c r="AU578" s="541"/>
      <c r="AV578" s="541"/>
      <c r="AW578" s="541"/>
      <c r="AX578" s="541"/>
      <c r="AY578" s="541"/>
      <c r="AZ578" s="541"/>
      <c r="BA578" s="541"/>
      <c r="BC578" s="541"/>
      <c r="BE578" s="541"/>
      <c r="BG578" s="541"/>
      <c r="BH578" s="1190"/>
      <c r="BI578" s="541"/>
      <c r="BJ578" s="1190"/>
      <c r="BK578" s="541"/>
      <c r="BL578" s="541"/>
      <c r="BM578" s="541"/>
      <c r="BO578" s="541"/>
      <c r="BP578" s="541"/>
      <c r="BQ578" s="633"/>
      <c r="BR578" s="541"/>
      <c r="BS578" s="541"/>
      <c r="BT578" s="541"/>
    </row>
    <row r="579" ht="15.75" customHeight="1">
      <c r="A579" s="1591"/>
      <c r="B579" s="1541"/>
      <c r="C579" s="2217"/>
      <c r="D579" s="1543"/>
      <c r="E579" s="906"/>
      <c r="F579" s="541"/>
      <c r="G579" s="541"/>
      <c r="H579" s="541"/>
      <c r="I579" s="541"/>
      <c r="J579" s="1748"/>
      <c r="K579" s="541"/>
      <c r="L579" s="1748"/>
      <c r="M579" s="541"/>
      <c r="N579" s="1748"/>
      <c r="O579" s="541"/>
      <c r="P579" s="1748"/>
      <c r="Q579" s="541"/>
      <c r="R579" s="1748"/>
      <c r="S579" s="541"/>
      <c r="T579" s="1748"/>
      <c r="U579" s="541"/>
      <c r="V579" s="1748"/>
      <c r="W579" s="541"/>
      <c r="X579" s="1748"/>
      <c r="Y579" s="1748"/>
      <c r="Z579" s="1748"/>
      <c r="AA579" s="541"/>
      <c r="AB579" s="1748"/>
      <c r="AC579" s="541"/>
      <c r="AD579" s="541"/>
      <c r="AE579" s="541"/>
      <c r="AF579" s="541"/>
      <c r="AG579" s="541"/>
      <c r="AH579" s="541"/>
      <c r="AI579" s="541"/>
      <c r="AJ579" s="541"/>
      <c r="AK579" s="541"/>
      <c r="AL579" s="541"/>
      <c r="AM579" s="541"/>
      <c r="AN579" s="1748"/>
      <c r="AO579" s="1748"/>
      <c r="AP579" s="1748"/>
      <c r="AQ579" s="1748"/>
      <c r="AR579" s="1748"/>
      <c r="AS579" s="541"/>
      <c r="AT579" s="541"/>
      <c r="AU579" s="541"/>
      <c r="AV579" s="541"/>
      <c r="AW579" s="541"/>
      <c r="AX579" s="541"/>
      <c r="AY579" s="541"/>
      <c r="AZ579" s="541"/>
      <c r="BA579" s="541"/>
      <c r="BC579" s="541"/>
      <c r="BE579" s="541"/>
      <c r="BG579" s="541"/>
      <c r="BH579" s="1190"/>
      <c r="BI579" s="541"/>
      <c r="BJ579" s="1190"/>
      <c r="BK579" s="541"/>
      <c r="BL579" s="541"/>
      <c r="BM579" s="541"/>
      <c r="BO579" s="541"/>
      <c r="BP579" s="541"/>
      <c r="BQ579" s="633"/>
      <c r="BR579" s="541"/>
      <c r="BS579" s="541"/>
      <c r="BT579" s="541"/>
    </row>
    <row r="580" ht="15.75" customHeight="1">
      <c r="A580" s="1591"/>
      <c r="B580" s="1541"/>
      <c r="C580" s="2217"/>
      <c r="D580" s="1543"/>
      <c r="E580" s="906"/>
      <c r="F580" s="541"/>
      <c r="G580" s="541"/>
      <c r="H580" s="541"/>
      <c r="I580" s="541"/>
      <c r="J580" s="1748"/>
      <c r="K580" s="541"/>
      <c r="L580" s="1748"/>
      <c r="M580" s="541"/>
      <c r="N580" s="1748"/>
      <c r="O580" s="541"/>
      <c r="P580" s="1748"/>
      <c r="Q580" s="541"/>
      <c r="R580" s="1748"/>
      <c r="S580" s="541"/>
      <c r="T580" s="1748"/>
      <c r="U580" s="541"/>
      <c r="V580" s="1748"/>
      <c r="W580" s="541"/>
      <c r="X580" s="1748"/>
      <c r="Y580" s="1748"/>
      <c r="Z580" s="1748"/>
      <c r="AA580" s="541"/>
      <c r="AB580" s="1748"/>
      <c r="AC580" s="541"/>
      <c r="AD580" s="541"/>
      <c r="AE580" s="541"/>
      <c r="AF580" s="541"/>
      <c r="AG580" s="541"/>
      <c r="AH580" s="541"/>
      <c r="AI580" s="541"/>
      <c r="AJ580" s="541"/>
      <c r="AK580" s="541"/>
      <c r="AL580" s="541"/>
      <c r="AM580" s="541"/>
      <c r="AN580" s="1748"/>
      <c r="AO580" s="1748"/>
      <c r="AP580" s="1748"/>
      <c r="AQ580" s="1748"/>
      <c r="AR580" s="1748"/>
      <c r="AS580" s="541"/>
      <c r="AT580" s="541"/>
      <c r="AU580" s="541"/>
      <c r="AV580" s="541"/>
      <c r="AW580" s="541"/>
      <c r="AX580" s="541"/>
      <c r="AY580" s="541"/>
      <c r="AZ580" s="541"/>
      <c r="BA580" s="541"/>
      <c r="BC580" s="541"/>
      <c r="BE580" s="541"/>
      <c r="BG580" s="541"/>
      <c r="BH580" s="1190"/>
      <c r="BI580" s="541"/>
      <c r="BJ580" s="1190"/>
      <c r="BK580" s="541"/>
      <c r="BL580" s="541"/>
      <c r="BM580" s="541"/>
      <c r="BO580" s="541"/>
      <c r="BP580" s="541"/>
      <c r="BQ580" s="633"/>
      <c r="BR580" s="541"/>
      <c r="BS580" s="541"/>
      <c r="BT580" s="541"/>
    </row>
    <row r="581" ht="15.75" customHeight="1">
      <c r="A581" s="1591"/>
      <c r="B581" s="1541"/>
      <c r="C581" s="2217"/>
      <c r="D581" s="1543"/>
      <c r="E581" s="906"/>
      <c r="F581" s="541"/>
      <c r="G581" s="541"/>
      <c r="H581" s="541"/>
      <c r="I581" s="541"/>
      <c r="J581" s="1748"/>
      <c r="K581" s="541"/>
      <c r="L581" s="1748"/>
      <c r="M581" s="541"/>
      <c r="N581" s="1748"/>
      <c r="O581" s="541"/>
      <c r="P581" s="1748"/>
      <c r="Q581" s="541"/>
      <c r="R581" s="1748"/>
      <c r="S581" s="541"/>
      <c r="T581" s="1748"/>
      <c r="U581" s="541"/>
      <c r="V581" s="1748"/>
      <c r="W581" s="541"/>
      <c r="X581" s="1748"/>
      <c r="Y581" s="1748"/>
      <c r="Z581" s="1748"/>
      <c r="AA581" s="541"/>
      <c r="AB581" s="1748"/>
      <c r="AC581" s="541"/>
      <c r="AD581" s="541"/>
      <c r="AE581" s="541"/>
      <c r="AF581" s="541"/>
      <c r="AG581" s="541"/>
      <c r="AH581" s="541"/>
      <c r="AI581" s="541"/>
      <c r="AJ581" s="541"/>
      <c r="AK581" s="541"/>
      <c r="AL581" s="541"/>
      <c r="AM581" s="541"/>
      <c r="AN581" s="1748"/>
      <c r="AO581" s="1748"/>
      <c r="AP581" s="1748"/>
      <c r="AQ581" s="1748"/>
      <c r="AR581" s="1748"/>
      <c r="AS581" s="541"/>
      <c r="AT581" s="541"/>
      <c r="AU581" s="541"/>
      <c r="AV581" s="541"/>
      <c r="AW581" s="541"/>
      <c r="AX581" s="541"/>
      <c r="AY581" s="541"/>
      <c r="AZ581" s="541"/>
      <c r="BA581" s="541"/>
      <c r="BC581" s="541"/>
      <c r="BE581" s="541"/>
      <c r="BG581" s="541"/>
      <c r="BH581" s="1190"/>
      <c r="BI581" s="541"/>
      <c r="BJ581" s="1190"/>
      <c r="BK581" s="541"/>
      <c r="BL581" s="541"/>
      <c r="BM581" s="541"/>
      <c r="BO581" s="541"/>
      <c r="BP581" s="541"/>
      <c r="BQ581" s="633"/>
      <c r="BR581" s="541"/>
      <c r="BS581" s="541"/>
      <c r="BT581" s="541"/>
    </row>
    <row r="582" ht="15.75" customHeight="1">
      <c r="A582" s="1591"/>
      <c r="B582" s="1541"/>
      <c r="C582" s="2217"/>
      <c r="D582" s="1543"/>
      <c r="E582" s="906"/>
      <c r="F582" s="541"/>
      <c r="G582" s="541"/>
      <c r="H582" s="541"/>
      <c r="I582" s="541"/>
      <c r="J582" s="1748"/>
      <c r="K582" s="541"/>
      <c r="L582" s="1748"/>
      <c r="M582" s="541"/>
      <c r="N582" s="1748"/>
      <c r="O582" s="541"/>
      <c r="P582" s="1748"/>
      <c r="Q582" s="541"/>
      <c r="R582" s="1748"/>
      <c r="S582" s="541"/>
      <c r="T582" s="1748"/>
      <c r="U582" s="541"/>
      <c r="V582" s="1748"/>
      <c r="W582" s="541"/>
      <c r="X582" s="1748"/>
      <c r="Y582" s="1748"/>
      <c r="Z582" s="1748"/>
      <c r="AA582" s="541"/>
      <c r="AB582" s="1748"/>
      <c r="AC582" s="541"/>
      <c r="AD582" s="541"/>
      <c r="AE582" s="541"/>
      <c r="AF582" s="541"/>
      <c r="AG582" s="541"/>
      <c r="AH582" s="541"/>
      <c r="AI582" s="541"/>
      <c r="AJ582" s="541"/>
      <c r="AK582" s="541"/>
      <c r="AL582" s="541"/>
      <c r="AM582" s="541"/>
      <c r="AN582" s="1748"/>
      <c r="AO582" s="1748"/>
      <c r="AP582" s="1748"/>
      <c r="AQ582" s="1748"/>
      <c r="AR582" s="1748"/>
      <c r="AS582" s="541"/>
      <c r="AT582" s="541"/>
      <c r="AU582" s="541"/>
      <c r="AV582" s="541"/>
      <c r="AW582" s="541"/>
      <c r="AX582" s="541"/>
      <c r="AY582" s="541"/>
      <c r="AZ582" s="541"/>
      <c r="BA582" s="541"/>
      <c r="BC582" s="541"/>
      <c r="BE582" s="541"/>
      <c r="BG582" s="541"/>
      <c r="BH582" s="1190"/>
      <c r="BI582" s="541"/>
      <c r="BJ582" s="1190"/>
      <c r="BK582" s="541"/>
      <c r="BL582" s="541"/>
      <c r="BM582" s="541"/>
      <c r="BO582" s="541"/>
      <c r="BP582" s="541"/>
      <c r="BQ582" s="633"/>
      <c r="BR582" s="541"/>
      <c r="BS582" s="541"/>
      <c r="BT582" s="541"/>
    </row>
    <row r="583" ht="15.75" customHeight="1">
      <c r="A583" s="1591"/>
      <c r="B583" s="1541"/>
      <c r="C583" s="2217"/>
      <c r="D583" s="1543"/>
      <c r="E583" s="906"/>
      <c r="F583" s="541"/>
      <c r="G583" s="541"/>
      <c r="H583" s="541"/>
      <c r="I583" s="541"/>
      <c r="J583" s="1748"/>
      <c r="K583" s="541"/>
      <c r="L583" s="1748"/>
      <c r="M583" s="541"/>
      <c r="N583" s="1748"/>
      <c r="O583" s="541"/>
      <c r="P583" s="1748"/>
      <c r="Q583" s="541"/>
      <c r="R583" s="1748"/>
      <c r="S583" s="541"/>
      <c r="T583" s="1748"/>
      <c r="U583" s="541"/>
      <c r="V583" s="1748"/>
      <c r="W583" s="541"/>
      <c r="X583" s="1748"/>
      <c r="Y583" s="1748"/>
      <c r="Z583" s="1748"/>
      <c r="AA583" s="541"/>
      <c r="AB583" s="1748"/>
      <c r="AC583" s="541"/>
      <c r="AD583" s="541"/>
      <c r="AE583" s="541"/>
      <c r="AF583" s="541"/>
      <c r="AG583" s="541"/>
      <c r="AH583" s="541"/>
      <c r="AI583" s="541"/>
      <c r="AJ583" s="541"/>
      <c r="AK583" s="541"/>
      <c r="AL583" s="541"/>
      <c r="AM583" s="541"/>
      <c r="AN583" s="1748"/>
      <c r="AO583" s="1748"/>
      <c r="AP583" s="1748"/>
      <c r="AQ583" s="1748"/>
      <c r="AR583" s="1748"/>
      <c r="AS583" s="541"/>
      <c r="AT583" s="541"/>
      <c r="AU583" s="541"/>
      <c r="AV583" s="541"/>
      <c r="AW583" s="541"/>
      <c r="AX583" s="541"/>
      <c r="AY583" s="541"/>
      <c r="AZ583" s="541"/>
      <c r="BA583" s="541"/>
      <c r="BC583" s="541"/>
      <c r="BE583" s="541"/>
      <c r="BG583" s="541"/>
      <c r="BH583" s="1190"/>
      <c r="BI583" s="541"/>
      <c r="BJ583" s="1190"/>
      <c r="BK583" s="541"/>
      <c r="BL583" s="541"/>
      <c r="BM583" s="541"/>
      <c r="BO583" s="541"/>
      <c r="BP583" s="541"/>
      <c r="BQ583" s="633"/>
      <c r="BR583" s="541"/>
      <c r="BS583" s="541"/>
      <c r="BT583" s="541"/>
    </row>
    <row r="584" ht="15.75" customHeight="1">
      <c r="A584" s="1591"/>
      <c r="B584" s="1541"/>
      <c r="C584" s="2217"/>
      <c r="D584" s="1543"/>
      <c r="E584" s="906"/>
      <c r="F584" s="541"/>
      <c r="G584" s="541"/>
      <c r="H584" s="541"/>
      <c r="I584" s="541"/>
      <c r="J584" s="1748"/>
      <c r="K584" s="541"/>
      <c r="L584" s="1748"/>
      <c r="M584" s="541"/>
      <c r="N584" s="1748"/>
      <c r="O584" s="541"/>
      <c r="P584" s="1748"/>
      <c r="Q584" s="541"/>
      <c r="R584" s="1748"/>
      <c r="S584" s="541"/>
      <c r="T584" s="1748"/>
      <c r="U584" s="541"/>
      <c r="V584" s="1748"/>
      <c r="W584" s="541"/>
      <c r="X584" s="1748"/>
      <c r="Y584" s="1748"/>
      <c r="Z584" s="1748"/>
      <c r="AA584" s="541"/>
      <c r="AB584" s="1748"/>
      <c r="AC584" s="541"/>
      <c r="AD584" s="541"/>
      <c r="AE584" s="541"/>
      <c r="AF584" s="541"/>
      <c r="AG584" s="541"/>
      <c r="AH584" s="541"/>
      <c r="AI584" s="541"/>
      <c r="AJ584" s="541"/>
      <c r="AK584" s="541"/>
      <c r="AL584" s="541"/>
      <c r="AM584" s="541"/>
      <c r="AN584" s="1748"/>
      <c r="AO584" s="1748"/>
      <c r="AP584" s="1748"/>
      <c r="AQ584" s="1748"/>
      <c r="AR584" s="1748"/>
      <c r="AS584" s="541"/>
      <c r="AT584" s="541"/>
      <c r="AU584" s="541"/>
      <c r="AV584" s="541"/>
      <c r="AW584" s="541"/>
      <c r="AX584" s="541"/>
      <c r="AY584" s="541"/>
      <c r="AZ584" s="541"/>
      <c r="BA584" s="541"/>
      <c r="BC584" s="541"/>
      <c r="BE584" s="541"/>
      <c r="BG584" s="541"/>
      <c r="BH584" s="1190"/>
      <c r="BI584" s="541"/>
      <c r="BJ584" s="1190"/>
      <c r="BK584" s="541"/>
      <c r="BL584" s="541"/>
      <c r="BM584" s="541"/>
      <c r="BO584" s="541"/>
      <c r="BP584" s="541"/>
      <c r="BQ584" s="633"/>
      <c r="BR584" s="541"/>
      <c r="BS584" s="541"/>
      <c r="BT584" s="541"/>
    </row>
    <row r="585" ht="15.75" customHeight="1">
      <c r="A585" s="1591"/>
      <c r="B585" s="1541"/>
      <c r="C585" s="2217"/>
      <c r="D585" s="1543"/>
      <c r="E585" s="906"/>
      <c r="F585" s="541"/>
      <c r="G585" s="541"/>
      <c r="H585" s="541"/>
      <c r="I585" s="541"/>
      <c r="J585" s="1748"/>
      <c r="K585" s="541"/>
      <c r="L585" s="1748"/>
      <c r="M585" s="541"/>
      <c r="N585" s="1748"/>
      <c r="O585" s="541"/>
      <c r="P585" s="1748"/>
      <c r="Q585" s="541"/>
      <c r="R585" s="1748"/>
      <c r="S585" s="541"/>
      <c r="T585" s="1748"/>
      <c r="U585" s="541"/>
      <c r="V585" s="1748"/>
      <c r="W585" s="541"/>
      <c r="X585" s="1748"/>
      <c r="Y585" s="1748"/>
      <c r="Z585" s="1748"/>
      <c r="AA585" s="541"/>
      <c r="AB585" s="1748"/>
      <c r="AC585" s="541"/>
      <c r="AD585" s="541"/>
      <c r="AE585" s="541"/>
      <c r="AF585" s="541"/>
      <c r="AG585" s="541"/>
      <c r="AH585" s="541"/>
      <c r="AI585" s="541"/>
      <c r="AJ585" s="541"/>
      <c r="AK585" s="541"/>
      <c r="AL585" s="541"/>
      <c r="AM585" s="541"/>
      <c r="AN585" s="1748"/>
      <c r="AO585" s="1748"/>
      <c r="AP585" s="1748"/>
      <c r="AQ585" s="1748"/>
      <c r="AR585" s="1748"/>
      <c r="AS585" s="541"/>
      <c r="AT585" s="541"/>
      <c r="AU585" s="541"/>
      <c r="AV585" s="541"/>
      <c r="AW585" s="541"/>
      <c r="AX585" s="541"/>
      <c r="AY585" s="541"/>
      <c r="AZ585" s="541"/>
      <c r="BA585" s="541"/>
      <c r="BC585" s="541"/>
      <c r="BE585" s="541"/>
      <c r="BG585" s="541"/>
      <c r="BH585" s="1190"/>
      <c r="BI585" s="541"/>
      <c r="BJ585" s="1190"/>
      <c r="BK585" s="541"/>
      <c r="BL585" s="541"/>
      <c r="BM585" s="541"/>
      <c r="BO585" s="541"/>
      <c r="BP585" s="541"/>
      <c r="BQ585" s="633"/>
      <c r="BR585" s="541"/>
      <c r="BS585" s="541"/>
      <c r="BT585" s="541"/>
    </row>
    <row r="586" ht="15.75" customHeight="1">
      <c r="A586" s="1591"/>
      <c r="B586" s="1541"/>
      <c r="C586" s="2217"/>
      <c r="D586" s="1543"/>
      <c r="E586" s="906"/>
      <c r="F586" s="541"/>
      <c r="G586" s="541"/>
      <c r="H586" s="541"/>
      <c r="I586" s="541"/>
      <c r="J586" s="1748"/>
      <c r="K586" s="541"/>
      <c r="L586" s="1748"/>
      <c r="M586" s="541"/>
      <c r="N586" s="1748"/>
      <c r="O586" s="541"/>
      <c r="P586" s="1748"/>
      <c r="Q586" s="541"/>
      <c r="R586" s="1748"/>
      <c r="S586" s="541"/>
      <c r="T586" s="1748"/>
      <c r="U586" s="541"/>
      <c r="V586" s="1748"/>
      <c r="W586" s="541"/>
      <c r="X586" s="1748"/>
      <c r="Y586" s="1748"/>
      <c r="Z586" s="1748"/>
      <c r="AA586" s="541"/>
      <c r="AB586" s="1748"/>
      <c r="AC586" s="541"/>
      <c r="AD586" s="541"/>
      <c r="AE586" s="541"/>
      <c r="AF586" s="541"/>
      <c r="AG586" s="541"/>
      <c r="AH586" s="541"/>
      <c r="AI586" s="541"/>
      <c r="AJ586" s="541"/>
      <c r="AK586" s="541"/>
      <c r="AL586" s="541"/>
      <c r="AM586" s="541"/>
      <c r="AN586" s="1748"/>
      <c r="AO586" s="1748"/>
      <c r="AP586" s="1748"/>
      <c r="AQ586" s="1748"/>
      <c r="AR586" s="1748"/>
      <c r="AS586" s="541"/>
      <c r="AT586" s="541"/>
      <c r="AU586" s="541"/>
      <c r="AV586" s="541"/>
      <c r="AW586" s="541"/>
      <c r="AX586" s="541"/>
      <c r="AY586" s="541"/>
      <c r="AZ586" s="541"/>
      <c r="BA586" s="541"/>
      <c r="BC586" s="541"/>
      <c r="BE586" s="541"/>
      <c r="BG586" s="541"/>
      <c r="BH586" s="1190"/>
      <c r="BI586" s="541"/>
      <c r="BJ586" s="1190"/>
      <c r="BK586" s="541"/>
      <c r="BL586" s="541"/>
      <c r="BM586" s="541"/>
      <c r="BO586" s="541"/>
      <c r="BP586" s="541"/>
      <c r="BQ586" s="633"/>
      <c r="BR586" s="541"/>
      <c r="BS586" s="541"/>
      <c r="BT586" s="541"/>
    </row>
    <row r="587" ht="15.75" customHeight="1">
      <c r="A587" s="1591"/>
      <c r="B587" s="1541"/>
      <c r="C587" s="2217"/>
      <c r="D587" s="1543"/>
      <c r="E587" s="906"/>
      <c r="F587" s="541"/>
      <c r="G587" s="541"/>
      <c r="H587" s="541"/>
      <c r="I587" s="541"/>
      <c r="J587" s="1748"/>
      <c r="K587" s="541"/>
      <c r="L587" s="1748"/>
      <c r="M587" s="541"/>
      <c r="N587" s="1748"/>
      <c r="O587" s="541"/>
      <c r="P587" s="1748"/>
      <c r="Q587" s="541"/>
      <c r="R587" s="1748"/>
      <c r="S587" s="541"/>
      <c r="T587" s="1748"/>
      <c r="U587" s="541"/>
      <c r="V587" s="1748"/>
      <c r="W587" s="541"/>
      <c r="X587" s="1748"/>
      <c r="Y587" s="1748"/>
      <c r="Z587" s="1748"/>
      <c r="AA587" s="541"/>
      <c r="AB587" s="1748"/>
      <c r="AC587" s="541"/>
      <c r="AD587" s="541"/>
      <c r="AE587" s="541"/>
      <c r="AF587" s="541"/>
      <c r="AG587" s="541"/>
      <c r="AH587" s="541"/>
      <c r="AI587" s="541"/>
      <c r="AJ587" s="541"/>
      <c r="AK587" s="541"/>
      <c r="AL587" s="541"/>
      <c r="AM587" s="541"/>
      <c r="AN587" s="1748"/>
      <c r="AO587" s="1748"/>
      <c r="AP587" s="1748"/>
      <c r="AQ587" s="1748"/>
      <c r="AR587" s="1748"/>
      <c r="AS587" s="541"/>
      <c r="AT587" s="541"/>
      <c r="AU587" s="541"/>
      <c r="AV587" s="541"/>
      <c r="AW587" s="541"/>
      <c r="AX587" s="541"/>
      <c r="AY587" s="541"/>
      <c r="AZ587" s="541"/>
      <c r="BA587" s="541"/>
      <c r="BC587" s="541"/>
      <c r="BE587" s="541"/>
      <c r="BG587" s="541"/>
      <c r="BH587" s="1190"/>
      <c r="BI587" s="541"/>
      <c r="BJ587" s="1190"/>
      <c r="BK587" s="541"/>
      <c r="BL587" s="541"/>
      <c r="BM587" s="541"/>
      <c r="BO587" s="541"/>
      <c r="BP587" s="541"/>
      <c r="BQ587" s="633"/>
      <c r="BR587" s="541"/>
      <c r="BS587" s="541"/>
      <c r="BT587" s="541"/>
    </row>
    <row r="588" ht="15.75" customHeight="1">
      <c r="A588" s="1591"/>
      <c r="B588" s="1541"/>
      <c r="C588" s="2217"/>
      <c r="D588" s="1543"/>
      <c r="E588" s="906"/>
      <c r="F588" s="541"/>
      <c r="G588" s="541"/>
      <c r="H588" s="541"/>
      <c r="I588" s="541"/>
      <c r="J588" s="1748"/>
      <c r="K588" s="541"/>
      <c r="L588" s="1748"/>
      <c r="M588" s="541"/>
      <c r="N588" s="1748"/>
      <c r="O588" s="541"/>
      <c r="P588" s="1748"/>
      <c r="Q588" s="541"/>
      <c r="R588" s="1748"/>
      <c r="S588" s="541"/>
      <c r="T588" s="1748"/>
      <c r="U588" s="541"/>
      <c r="V588" s="1748"/>
      <c r="W588" s="541"/>
      <c r="X588" s="1748"/>
      <c r="Y588" s="1748"/>
      <c r="Z588" s="1748"/>
      <c r="AA588" s="541"/>
      <c r="AB588" s="1748"/>
      <c r="AC588" s="541"/>
      <c r="AD588" s="541"/>
      <c r="AE588" s="541"/>
      <c r="AF588" s="541"/>
      <c r="AG588" s="541"/>
      <c r="AH588" s="541"/>
      <c r="AI588" s="541"/>
      <c r="AJ588" s="541"/>
      <c r="AK588" s="541"/>
      <c r="AL588" s="541"/>
      <c r="AM588" s="541"/>
      <c r="AN588" s="1748"/>
      <c r="AO588" s="1748"/>
      <c r="AP588" s="1748"/>
      <c r="AQ588" s="1748"/>
      <c r="AR588" s="1748"/>
      <c r="AS588" s="541"/>
      <c r="AT588" s="541"/>
      <c r="AU588" s="541"/>
      <c r="AV588" s="541"/>
      <c r="AW588" s="541"/>
      <c r="AX588" s="541"/>
      <c r="AY588" s="541"/>
      <c r="AZ588" s="541"/>
      <c r="BA588" s="541"/>
      <c r="BC588" s="541"/>
      <c r="BE588" s="541"/>
      <c r="BG588" s="541"/>
      <c r="BH588" s="1190"/>
      <c r="BI588" s="541"/>
      <c r="BJ588" s="1190"/>
      <c r="BK588" s="541"/>
      <c r="BL588" s="541"/>
      <c r="BM588" s="541"/>
      <c r="BO588" s="541"/>
      <c r="BP588" s="541"/>
      <c r="BQ588" s="633"/>
      <c r="BR588" s="541"/>
      <c r="BS588" s="541"/>
      <c r="BT588" s="541"/>
    </row>
    <row r="589" ht="15.75" customHeight="1">
      <c r="A589" s="1591"/>
      <c r="B589" s="1541"/>
      <c r="C589" s="2217"/>
      <c r="D589" s="1543"/>
      <c r="E589" s="906"/>
      <c r="F589" s="541"/>
      <c r="G589" s="541"/>
      <c r="H589" s="541"/>
      <c r="I589" s="541"/>
      <c r="J589" s="1748"/>
      <c r="K589" s="541"/>
      <c r="L589" s="1748"/>
      <c r="M589" s="541"/>
      <c r="N589" s="1748"/>
      <c r="O589" s="541"/>
      <c r="P589" s="1748"/>
      <c r="Q589" s="541"/>
      <c r="R589" s="1748"/>
      <c r="S589" s="541"/>
      <c r="T589" s="1748"/>
      <c r="U589" s="541"/>
      <c r="V589" s="1748"/>
      <c r="W589" s="541"/>
      <c r="X589" s="1748"/>
      <c r="Y589" s="1748"/>
      <c r="Z589" s="1748"/>
      <c r="AA589" s="541"/>
      <c r="AB589" s="1748"/>
      <c r="AC589" s="541"/>
      <c r="AD589" s="541"/>
      <c r="AE589" s="541"/>
      <c r="AF589" s="541"/>
      <c r="AG589" s="541"/>
      <c r="AH589" s="541"/>
      <c r="AI589" s="541"/>
      <c r="AJ589" s="541"/>
      <c r="AK589" s="541"/>
      <c r="AL589" s="541"/>
      <c r="AM589" s="541"/>
      <c r="AN589" s="1748"/>
      <c r="AO589" s="1748"/>
      <c r="AP589" s="1748"/>
      <c r="AQ589" s="1748"/>
      <c r="AR589" s="1748"/>
      <c r="AS589" s="541"/>
      <c r="AT589" s="541"/>
      <c r="AU589" s="541"/>
      <c r="AV589" s="541"/>
      <c r="AW589" s="541"/>
      <c r="AX589" s="541"/>
      <c r="AY589" s="541"/>
      <c r="AZ589" s="541"/>
      <c r="BA589" s="541"/>
      <c r="BC589" s="541"/>
      <c r="BE589" s="541"/>
      <c r="BG589" s="541"/>
      <c r="BH589" s="1190"/>
      <c r="BI589" s="541"/>
      <c r="BJ589" s="1190"/>
      <c r="BK589" s="541"/>
      <c r="BL589" s="541"/>
      <c r="BM589" s="541"/>
      <c r="BO589" s="541"/>
      <c r="BP589" s="541"/>
      <c r="BQ589" s="633"/>
      <c r="BR589" s="541"/>
      <c r="BS589" s="541"/>
      <c r="BT589" s="541"/>
    </row>
    <row r="590" ht="15.75" customHeight="1">
      <c r="A590" s="1591"/>
      <c r="B590" s="1541"/>
      <c r="C590" s="2217"/>
      <c r="D590" s="1543"/>
      <c r="E590" s="906"/>
      <c r="F590" s="541"/>
      <c r="G590" s="541"/>
      <c r="H590" s="541"/>
      <c r="I590" s="541"/>
      <c r="J590" s="1748"/>
      <c r="K590" s="541"/>
      <c r="L590" s="1748"/>
      <c r="M590" s="541"/>
      <c r="N590" s="1748"/>
      <c r="O590" s="541"/>
      <c r="P590" s="1748"/>
      <c r="Q590" s="541"/>
      <c r="R590" s="1748"/>
      <c r="S590" s="541"/>
      <c r="T590" s="1748"/>
      <c r="U590" s="541"/>
      <c r="V590" s="1748"/>
      <c r="W590" s="541"/>
      <c r="X590" s="1748"/>
      <c r="Y590" s="1748"/>
      <c r="Z590" s="1748"/>
      <c r="AA590" s="541"/>
      <c r="AB590" s="1748"/>
      <c r="AC590" s="541"/>
      <c r="AD590" s="541"/>
      <c r="AE590" s="541"/>
      <c r="AF590" s="541"/>
      <c r="AG590" s="541"/>
      <c r="AH590" s="541"/>
      <c r="AI590" s="541"/>
      <c r="AJ590" s="541"/>
      <c r="AK590" s="541"/>
      <c r="AL590" s="541"/>
      <c r="AM590" s="541"/>
      <c r="AN590" s="1748"/>
      <c r="AO590" s="1748"/>
      <c r="AP590" s="1748"/>
      <c r="AQ590" s="1748"/>
      <c r="AR590" s="1748"/>
      <c r="AS590" s="541"/>
      <c r="AT590" s="541"/>
      <c r="AU590" s="541"/>
      <c r="AV590" s="541"/>
      <c r="AW590" s="541"/>
      <c r="AX590" s="541"/>
      <c r="AY590" s="541"/>
      <c r="AZ590" s="541"/>
      <c r="BA590" s="541"/>
      <c r="BC590" s="541"/>
      <c r="BE590" s="541"/>
      <c r="BG590" s="541"/>
      <c r="BH590" s="1190"/>
      <c r="BI590" s="541"/>
      <c r="BJ590" s="1190"/>
      <c r="BK590" s="541"/>
      <c r="BL590" s="541"/>
      <c r="BM590" s="541"/>
      <c r="BO590" s="541"/>
      <c r="BP590" s="541"/>
      <c r="BQ590" s="633"/>
      <c r="BR590" s="541"/>
      <c r="BS590" s="541"/>
      <c r="BT590" s="541"/>
    </row>
    <row r="591" ht="15.75" customHeight="1">
      <c r="A591" s="1591"/>
      <c r="B591" s="1541"/>
      <c r="C591" s="2217"/>
      <c r="D591" s="1543"/>
      <c r="E591" s="906"/>
      <c r="F591" s="541"/>
      <c r="G591" s="541"/>
      <c r="H591" s="541"/>
      <c r="I591" s="541"/>
      <c r="J591" s="1748"/>
      <c r="K591" s="541"/>
      <c r="L591" s="1748"/>
      <c r="M591" s="541"/>
      <c r="N591" s="1748"/>
      <c r="O591" s="541"/>
      <c r="P591" s="1748"/>
      <c r="Q591" s="541"/>
      <c r="R591" s="1748"/>
      <c r="S591" s="541"/>
      <c r="T591" s="1748"/>
      <c r="U591" s="541"/>
      <c r="V591" s="1748"/>
      <c r="W591" s="541"/>
      <c r="X591" s="1748"/>
      <c r="Y591" s="1748"/>
      <c r="Z591" s="1748"/>
      <c r="AA591" s="541"/>
      <c r="AB591" s="1748"/>
      <c r="AC591" s="541"/>
      <c r="AD591" s="541"/>
      <c r="AE591" s="541"/>
      <c r="AF591" s="541"/>
      <c r="AG591" s="541"/>
      <c r="AH591" s="541"/>
      <c r="AI591" s="541"/>
      <c r="AJ591" s="541"/>
      <c r="AK591" s="541"/>
      <c r="AL591" s="541"/>
      <c r="AM591" s="541"/>
      <c r="AN591" s="1748"/>
      <c r="AO591" s="1748"/>
      <c r="AP591" s="1748"/>
      <c r="AQ591" s="1748"/>
      <c r="AR591" s="1748"/>
      <c r="AS591" s="541"/>
      <c r="AT591" s="541"/>
      <c r="AU591" s="541"/>
      <c r="AV591" s="541"/>
      <c r="AW591" s="541"/>
      <c r="AX591" s="541"/>
      <c r="AY591" s="541"/>
      <c r="AZ591" s="541"/>
      <c r="BA591" s="541"/>
      <c r="BC591" s="541"/>
      <c r="BE591" s="541"/>
      <c r="BG591" s="541"/>
      <c r="BH591" s="1190"/>
      <c r="BI591" s="541"/>
      <c r="BJ591" s="1190"/>
      <c r="BK591" s="541"/>
      <c r="BL591" s="541"/>
      <c r="BM591" s="541"/>
      <c r="BO591" s="541"/>
      <c r="BP591" s="541"/>
      <c r="BQ591" s="633"/>
      <c r="BR591" s="541"/>
      <c r="BS591" s="541"/>
      <c r="BT591" s="541"/>
    </row>
    <row r="592" ht="15.75" customHeight="1">
      <c r="A592" s="1591"/>
      <c r="B592" s="1541"/>
      <c r="C592" s="2217"/>
      <c r="D592" s="1543"/>
      <c r="E592" s="906"/>
      <c r="F592" s="541"/>
      <c r="G592" s="541"/>
      <c r="H592" s="541"/>
      <c r="I592" s="541"/>
      <c r="J592" s="1748"/>
      <c r="K592" s="541"/>
      <c r="L592" s="1748"/>
      <c r="M592" s="541"/>
      <c r="N592" s="1748"/>
      <c r="O592" s="541"/>
      <c r="P592" s="1748"/>
      <c r="Q592" s="541"/>
      <c r="R592" s="1748"/>
      <c r="S592" s="541"/>
      <c r="T592" s="1748"/>
      <c r="U592" s="541"/>
      <c r="V592" s="1748"/>
      <c r="W592" s="541"/>
      <c r="X592" s="1748"/>
      <c r="Y592" s="1748"/>
      <c r="Z592" s="1748"/>
      <c r="AA592" s="541"/>
      <c r="AB592" s="1748"/>
      <c r="AC592" s="541"/>
      <c r="AD592" s="541"/>
      <c r="AE592" s="541"/>
      <c r="AF592" s="541"/>
      <c r="AG592" s="541"/>
      <c r="AH592" s="541"/>
      <c r="AI592" s="541"/>
      <c r="AJ592" s="541"/>
      <c r="AK592" s="541"/>
      <c r="AL592" s="541"/>
      <c r="AM592" s="541"/>
      <c r="AN592" s="1748"/>
      <c r="AO592" s="1748"/>
      <c r="AP592" s="1748"/>
      <c r="AQ592" s="1748"/>
      <c r="AR592" s="1748"/>
      <c r="AS592" s="541"/>
      <c r="AT592" s="541"/>
      <c r="AU592" s="541"/>
      <c r="AV592" s="541"/>
      <c r="AW592" s="541"/>
      <c r="AX592" s="541"/>
      <c r="AY592" s="541"/>
      <c r="AZ592" s="541"/>
      <c r="BA592" s="541"/>
      <c r="BC592" s="541"/>
      <c r="BE592" s="541"/>
      <c r="BG592" s="541"/>
      <c r="BH592" s="1190"/>
      <c r="BI592" s="541"/>
      <c r="BJ592" s="1190"/>
      <c r="BK592" s="541"/>
      <c r="BL592" s="541"/>
      <c r="BM592" s="541"/>
      <c r="BO592" s="541"/>
      <c r="BP592" s="541"/>
      <c r="BQ592" s="633"/>
      <c r="BR592" s="541"/>
      <c r="BS592" s="541"/>
      <c r="BT592" s="541"/>
    </row>
    <row r="593" ht="15.75" customHeight="1">
      <c r="A593" s="1591"/>
      <c r="B593" s="1541"/>
      <c r="C593" s="2217"/>
      <c r="D593" s="1543"/>
      <c r="E593" s="906"/>
      <c r="F593" s="541"/>
      <c r="G593" s="541"/>
      <c r="H593" s="541"/>
      <c r="I593" s="541"/>
      <c r="J593" s="1748"/>
      <c r="K593" s="541"/>
      <c r="L593" s="1748"/>
      <c r="M593" s="541"/>
      <c r="N593" s="1748"/>
      <c r="O593" s="541"/>
      <c r="P593" s="1748"/>
      <c r="Q593" s="541"/>
      <c r="R593" s="1748"/>
      <c r="S593" s="541"/>
      <c r="T593" s="1748"/>
      <c r="U593" s="541"/>
      <c r="V593" s="1748"/>
      <c r="W593" s="541"/>
      <c r="X593" s="1748"/>
      <c r="Y593" s="1748"/>
      <c r="Z593" s="1748"/>
      <c r="AA593" s="541"/>
      <c r="AB593" s="1748"/>
      <c r="AC593" s="541"/>
      <c r="AD593" s="541"/>
      <c r="AE593" s="541"/>
      <c r="AF593" s="541"/>
      <c r="AG593" s="541"/>
      <c r="AH593" s="541"/>
      <c r="AI593" s="541"/>
      <c r="AJ593" s="541"/>
      <c r="AK593" s="541"/>
      <c r="AL593" s="541"/>
      <c r="AM593" s="541"/>
      <c r="AN593" s="1748"/>
      <c r="AO593" s="1748"/>
      <c r="AP593" s="1748"/>
      <c r="AQ593" s="1748"/>
      <c r="AR593" s="1748"/>
      <c r="AS593" s="541"/>
      <c r="AT593" s="541"/>
      <c r="AU593" s="541"/>
      <c r="AV593" s="541"/>
      <c r="AW593" s="541"/>
      <c r="AX593" s="541"/>
      <c r="AY593" s="541"/>
      <c r="AZ593" s="541"/>
      <c r="BA593" s="541"/>
      <c r="BC593" s="541"/>
      <c r="BE593" s="541"/>
      <c r="BG593" s="541"/>
      <c r="BH593" s="1190"/>
      <c r="BI593" s="541"/>
      <c r="BJ593" s="1190"/>
      <c r="BK593" s="541"/>
      <c r="BL593" s="541"/>
      <c r="BM593" s="541"/>
      <c r="BO593" s="541"/>
      <c r="BP593" s="541"/>
      <c r="BQ593" s="633"/>
      <c r="BR593" s="541"/>
      <c r="BS593" s="541"/>
      <c r="BT593" s="541"/>
    </row>
    <row r="594" ht="15.75" customHeight="1">
      <c r="A594" s="1591"/>
      <c r="B594" s="1541"/>
      <c r="C594" s="2217"/>
      <c r="D594" s="1543"/>
      <c r="E594" s="906"/>
      <c r="F594" s="541"/>
      <c r="G594" s="541"/>
      <c r="H594" s="541"/>
      <c r="I594" s="541"/>
      <c r="J594" s="1748"/>
      <c r="K594" s="541"/>
      <c r="L594" s="1748"/>
      <c r="M594" s="541"/>
      <c r="N594" s="1748"/>
      <c r="O594" s="541"/>
      <c r="P594" s="1748"/>
      <c r="Q594" s="541"/>
      <c r="R594" s="1748"/>
      <c r="S594" s="541"/>
      <c r="T594" s="1748"/>
      <c r="U594" s="541"/>
      <c r="V594" s="1748"/>
      <c r="W594" s="541"/>
      <c r="X594" s="1748"/>
      <c r="Y594" s="1748"/>
      <c r="Z594" s="1748"/>
      <c r="AA594" s="541"/>
      <c r="AB594" s="1748"/>
      <c r="AC594" s="541"/>
      <c r="AD594" s="541"/>
      <c r="AE594" s="541"/>
      <c r="AF594" s="541"/>
      <c r="AG594" s="541"/>
      <c r="AH594" s="541"/>
      <c r="AI594" s="541"/>
      <c r="AJ594" s="541"/>
      <c r="AK594" s="541"/>
      <c r="AL594" s="541"/>
      <c r="AM594" s="541"/>
      <c r="AN594" s="1748"/>
      <c r="AO594" s="1748"/>
      <c r="AP594" s="1748"/>
      <c r="AQ594" s="1748"/>
      <c r="AR594" s="1748"/>
      <c r="AS594" s="541"/>
      <c r="AT594" s="541"/>
      <c r="AU594" s="541"/>
      <c r="AV594" s="541"/>
      <c r="AW594" s="541"/>
      <c r="AX594" s="541"/>
      <c r="AY594" s="541"/>
      <c r="AZ594" s="541"/>
      <c r="BA594" s="541"/>
      <c r="BC594" s="541"/>
      <c r="BE594" s="541"/>
      <c r="BG594" s="541"/>
      <c r="BH594" s="1190"/>
      <c r="BI594" s="541"/>
      <c r="BJ594" s="1190"/>
      <c r="BK594" s="541"/>
      <c r="BL594" s="541"/>
      <c r="BM594" s="541"/>
      <c r="BO594" s="541"/>
      <c r="BP594" s="541"/>
      <c r="BQ594" s="633"/>
      <c r="BR594" s="541"/>
      <c r="BS594" s="541"/>
      <c r="BT594" s="541"/>
    </row>
    <row r="595" ht="15.75" customHeight="1">
      <c r="A595" s="1591"/>
      <c r="B595" s="1541"/>
      <c r="C595" s="2217"/>
      <c r="D595" s="1543"/>
      <c r="E595" s="906"/>
      <c r="F595" s="541"/>
      <c r="G595" s="541"/>
      <c r="H595" s="541"/>
      <c r="I595" s="541"/>
      <c r="J595" s="1748"/>
      <c r="K595" s="541"/>
      <c r="L595" s="1748"/>
      <c r="M595" s="541"/>
      <c r="N595" s="1748"/>
      <c r="O595" s="541"/>
      <c r="P595" s="1748"/>
      <c r="Q595" s="541"/>
      <c r="R595" s="1748"/>
      <c r="S595" s="541"/>
      <c r="T595" s="1748"/>
      <c r="U595" s="541"/>
      <c r="V595" s="1748"/>
      <c r="W595" s="541"/>
      <c r="X595" s="1748"/>
      <c r="Y595" s="1748"/>
      <c r="Z595" s="1748"/>
      <c r="AA595" s="541"/>
      <c r="AB595" s="1748"/>
      <c r="AC595" s="541"/>
      <c r="AD595" s="541"/>
      <c r="AE595" s="541"/>
      <c r="AF595" s="541"/>
      <c r="AG595" s="541"/>
      <c r="AH595" s="541"/>
      <c r="AI595" s="541"/>
      <c r="AJ595" s="541"/>
      <c r="AK595" s="541"/>
      <c r="AL595" s="541"/>
      <c r="AM595" s="541"/>
      <c r="AN595" s="1748"/>
      <c r="AO595" s="1748"/>
      <c r="AP595" s="1748"/>
      <c r="AQ595" s="1748"/>
      <c r="AR595" s="1748"/>
      <c r="AS595" s="541"/>
      <c r="AT595" s="541"/>
      <c r="AU595" s="541"/>
      <c r="AV595" s="541"/>
      <c r="AW595" s="541"/>
      <c r="AX595" s="541"/>
      <c r="AY595" s="541"/>
      <c r="AZ595" s="541"/>
      <c r="BA595" s="541"/>
      <c r="BC595" s="541"/>
      <c r="BE595" s="541"/>
      <c r="BG595" s="541"/>
      <c r="BH595" s="1190"/>
      <c r="BI595" s="541"/>
      <c r="BJ595" s="1190"/>
      <c r="BK595" s="541"/>
      <c r="BL595" s="541"/>
      <c r="BM595" s="541"/>
      <c r="BO595" s="541"/>
      <c r="BP595" s="541"/>
      <c r="BQ595" s="633"/>
      <c r="BR595" s="541"/>
      <c r="BS595" s="541"/>
      <c r="BT595" s="541"/>
    </row>
    <row r="596" ht="15.75" customHeight="1">
      <c r="A596" s="1591"/>
      <c r="B596" s="1541"/>
      <c r="C596" s="2217"/>
      <c r="D596" s="1543"/>
      <c r="E596" s="906"/>
      <c r="F596" s="541"/>
      <c r="G596" s="541"/>
      <c r="H596" s="541"/>
      <c r="I596" s="541"/>
      <c r="J596" s="1748"/>
      <c r="K596" s="541"/>
      <c r="L596" s="1748"/>
      <c r="M596" s="541"/>
      <c r="N596" s="1748"/>
      <c r="O596" s="541"/>
      <c r="P596" s="1748"/>
      <c r="Q596" s="541"/>
      <c r="R596" s="1748"/>
      <c r="S596" s="541"/>
      <c r="T596" s="1748"/>
      <c r="U596" s="541"/>
      <c r="V596" s="1748"/>
      <c r="W596" s="541"/>
      <c r="X596" s="1748"/>
      <c r="Y596" s="1748"/>
      <c r="Z596" s="1748"/>
      <c r="AA596" s="541"/>
      <c r="AB596" s="1748"/>
      <c r="AC596" s="541"/>
      <c r="AD596" s="541"/>
      <c r="AE596" s="541"/>
      <c r="AF596" s="541"/>
      <c r="AG596" s="541"/>
      <c r="AH596" s="541"/>
      <c r="AI596" s="541"/>
      <c r="AJ596" s="541"/>
      <c r="AK596" s="541"/>
      <c r="AL596" s="541"/>
      <c r="AM596" s="541"/>
      <c r="AN596" s="1748"/>
      <c r="AO596" s="1748"/>
      <c r="AP596" s="1748"/>
      <c r="AQ596" s="1748"/>
      <c r="AR596" s="1748"/>
      <c r="AS596" s="541"/>
      <c r="AT596" s="541"/>
      <c r="AU596" s="541"/>
      <c r="AV596" s="541"/>
      <c r="AW596" s="541"/>
      <c r="AX596" s="541"/>
      <c r="AY596" s="541"/>
      <c r="AZ596" s="541"/>
      <c r="BA596" s="541"/>
      <c r="BC596" s="541"/>
      <c r="BE596" s="541"/>
      <c r="BG596" s="541"/>
      <c r="BH596" s="1190"/>
      <c r="BI596" s="541"/>
      <c r="BJ596" s="1190"/>
      <c r="BK596" s="541"/>
      <c r="BL596" s="541"/>
      <c r="BM596" s="541"/>
      <c r="BO596" s="541"/>
      <c r="BP596" s="541"/>
      <c r="BQ596" s="633"/>
      <c r="BR596" s="541"/>
      <c r="BS596" s="541"/>
      <c r="BT596" s="541"/>
    </row>
    <row r="597" ht="15.75" customHeight="1">
      <c r="A597" s="1591"/>
      <c r="B597" s="1541"/>
      <c r="C597" s="2217"/>
      <c r="D597" s="1543"/>
      <c r="E597" s="906"/>
      <c r="F597" s="541"/>
      <c r="G597" s="541"/>
      <c r="H597" s="541"/>
      <c r="I597" s="541"/>
      <c r="J597" s="1748"/>
      <c r="K597" s="541"/>
      <c r="L597" s="1748"/>
      <c r="M597" s="541"/>
      <c r="N597" s="1748"/>
      <c r="O597" s="541"/>
      <c r="P597" s="1748"/>
      <c r="Q597" s="541"/>
      <c r="R597" s="1748"/>
      <c r="S597" s="541"/>
      <c r="T597" s="1748"/>
      <c r="U597" s="541"/>
      <c r="V597" s="1748"/>
      <c r="W597" s="541"/>
      <c r="X597" s="1748"/>
      <c r="Y597" s="1748"/>
      <c r="Z597" s="1748"/>
      <c r="AA597" s="541"/>
      <c r="AB597" s="1748"/>
      <c r="AC597" s="541"/>
      <c r="AD597" s="541"/>
      <c r="AE597" s="541"/>
      <c r="AF597" s="541"/>
      <c r="AG597" s="541"/>
      <c r="AH597" s="541"/>
      <c r="AI597" s="541"/>
      <c r="AJ597" s="541"/>
      <c r="AK597" s="541"/>
      <c r="AL597" s="541"/>
      <c r="AM597" s="541"/>
      <c r="AN597" s="1748"/>
      <c r="AO597" s="1748"/>
      <c r="AP597" s="1748"/>
      <c r="AQ597" s="1748"/>
      <c r="AR597" s="1748"/>
      <c r="AS597" s="541"/>
      <c r="AT597" s="541"/>
      <c r="AU597" s="541"/>
      <c r="AV597" s="541"/>
      <c r="AW597" s="541"/>
      <c r="AX597" s="541"/>
      <c r="AY597" s="541"/>
      <c r="AZ597" s="541"/>
      <c r="BA597" s="541"/>
      <c r="BC597" s="541"/>
      <c r="BE597" s="541"/>
      <c r="BG597" s="541"/>
      <c r="BH597" s="1190"/>
      <c r="BI597" s="541"/>
      <c r="BJ597" s="1190"/>
      <c r="BK597" s="541"/>
      <c r="BL597" s="541"/>
      <c r="BM597" s="541"/>
      <c r="BO597" s="541"/>
      <c r="BP597" s="541"/>
      <c r="BQ597" s="633"/>
      <c r="BR597" s="541"/>
      <c r="BS597" s="541"/>
      <c r="BT597" s="541"/>
    </row>
    <row r="598" ht="15.75" customHeight="1">
      <c r="A598" s="1591"/>
      <c r="B598" s="1541"/>
      <c r="C598" s="2217"/>
      <c r="D598" s="1543"/>
      <c r="E598" s="906"/>
      <c r="F598" s="541"/>
      <c r="G598" s="541"/>
      <c r="H598" s="541"/>
      <c r="I598" s="541"/>
      <c r="J598" s="1748"/>
      <c r="K598" s="541"/>
      <c r="L598" s="1748"/>
      <c r="M598" s="541"/>
      <c r="N598" s="1748"/>
      <c r="O598" s="541"/>
      <c r="P598" s="1748"/>
      <c r="Q598" s="541"/>
      <c r="R598" s="1748"/>
      <c r="S598" s="541"/>
      <c r="T598" s="1748"/>
      <c r="U598" s="541"/>
      <c r="V598" s="1748"/>
      <c r="W598" s="541"/>
      <c r="X598" s="1748"/>
      <c r="Y598" s="1748"/>
      <c r="Z598" s="1748"/>
      <c r="AA598" s="541"/>
      <c r="AB598" s="1748"/>
      <c r="AC598" s="541"/>
      <c r="AD598" s="541"/>
      <c r="AE598" s="541"/>
      <c r="AF598" s="541"/>
      <c r="AG598" s="541"/>
      <c r="AH598" s="541"/>
      <c r="AI598" s="541"/>
      <c r="AJ598" s="541"/>
      <c r="AK598" s="541"/>
      <c r="AL598" s="541"/>
      <c r="AM598" s="541"/>
      <c r="AN598" s="1748"/>
      <c r="AO598" s="1748"/>
      <c r="AP598" s="1748"/>
      <c r="AQ598" s="1748"/>
      <c r="AR598" s="1748"/>
      <c r="AS598" s="541"/>
      <c r="AT598" s="541"/>
      <c r="AU598" s="541"/>
      <c r="AV598" s="541"/>
      <c r="AW598" s="541"/>
      <c r="AX598" s="541"/>
      <c r="AY598" s="541"/>
      <c r="AZ598" s="541"/>
      <c r="BA598" s="541"/>
      <c r="BC598" s="541"/>
      <c r="BE598" s="541"/>
      <c r="BG598" s="541"/>
      <c r="BH598" s="1190"/>
      <c r="BI598" s="541"/>
      <c r="BJ598" s="1190"/>
      <c r="BK598" s="541"/>
      <c r="BL598" s="541"/>
      <c r="BM598" s="541"/>
      <c r="BO598" s="541"/>
      <c r="BP598" s="541"/>
      <c r="BQ598" s="633"/>
      <c r="BR598" s="541"/>
      <c r="BS598" s="541"/>
      <c r="BT598" s="541"/>
    </row>
    <row r="599" ht="15.75" customHeight="1">
      <c r="A599" s="1591"/>
      <c r="B599" s="1541"/>
      <c r="C599" s="2217"/>
      <c r="D599" s="1543"/>
      <c r="E599" s="906"/>
      <c r="F599" s="541"/>
      <c r="G599" s="541"/>
      <c r="H599" s="541"/>
      <c r="I599" s="541"/>
      <c r="J599" s="1748"/>
      <c r="K599" s="541"/>
      <c r="L599" s="1748"/>
      <c r="M599" s="541"/>
      <c r="N599" s="1748"/>
      <c r="O599" s="541"/>
      <c r="P599" s="1748"/>
      <c r="Q599" s="541"/>
      <c r="R599" s="1748"/>
      <c r="S599" s="541"/>
      <c r="T599" s="1748"/>
      <c r="U599" s="541"/>
      <c r="V599" s="1748"/>
      <c r="W599" s="541"/>
      <c r="X599" s="1748"/>
      <c r="Y599" s="1748"/>
      <c r="Z599" s="1748"/>
      <c r="AA599" s="541"/>
      <c r="AB599" s="1748"/>
      <c r="AC599" s="541"/>
      <c r="AD599" s="541"/>
      <c r="AE599" s="541"/>
      <c r="AF599" s="541"/>
      <c r="AG599" s="541"/>
      <c r="AH599" s="541"/>
      <c r="AI599" s="541"/>
      <c r="AJ599" s="541"/>
      <c r="AK599" s="541"/>
      <c r="AL599" s="541"/>
      <c r="AM599" s="541"/>
      <c r="AN599" s="1748"/>
      <c r="AO599" s="1748"/>
      <c r="AP599" s="1748"/>
      <c r="AQ599" s="1748"/>
      <c r="AR599" s="1748"/>
      <c r="AS599" s="541"/>
      <c r="AT599" s="541"/>
      <c r="AU599" s="541"/>
      <c r="AV599" s="541"/>
      <c r="AW599" s="541"/>
      <c r="AX599" s="541"/>
      <c r="AY599" s="541"/>
      <c r="AZ599" s="541"/>
      <c r="BA599" s="541"/>
      <c r="BC599" s="541"/>
      <c r="BE599" s="541"/>
      <c r="BG599" s="541"/>
      <c r="BH599" s="1190"/>
      <c r="BI599" s="541"/>
      <c r="BJ599" s="1190"/>
      <c r="BK599" s="541"/>
      <c r="BL599" s="541"/>
      <c r="BM599" s="541"/>
      <c r="BO599" s="541"/>
      <c r="BP599" s="541"/>
      <c r="BQ599" s="633"/>
      <c r="BR599" s="541"/>
      <c r="BS599" s="541"/>
      <c r="BT599" s="541"/>
    </row>
    <row r="600" ht="15.75" customHeight="1">
      <c r="A600" s="1591"/>
      <c r="B600" s="1541"/>
      <c r="C600" s="2217"/>
      <c r="D600" s="1543"/>
      <c r="E600" s="906"/>
      <c r="F600" s="541"/>
      <c r="G600" s="541"/>
      <c r="H600" s="541"/>
      <c r="I600" s="541"/>
      <c r="J600" s="1748"/>
      <c r="K600" s="541"/>
      <c r="L600" s="1748"/>
      <c r="M600" s="541"/>
      <c r="N600" s="1748"/>
      <c r="O600" s="541"/>
      <c r="P600" s="1748"/>
      <c r="Q600" s="541"/>
      <c r="R600" s="1748"/>
      <c r="S600" s="541"/>
      <c r="T600" s="1748"/>
      <c r="U600" s="541"/>
      <c r="V600" s="1748"/>
      <c r="W600" s="541"/>
      <c r="X600" s="1748"/>
      <c r="Y600" s="1748"/>
      <c r="Z600" s="1748"/>
      <c r="AA600" s="541"/>
      <c r="AB600" s="1748"/>
      <c r="AC600" s="541"/>
      <c r="AD600" s="541"/>
      <c r="AE600" s="541"/>
      <c r="AF600" s="541"/>
      <c r="AG600" s="541"/>
      <c r="AH600" s="541"/>
      <c r="AI600" s="541"/>
      <c r="AJ600" s="541"/>
      <c r="AK600" s="541"/>
      <c r="AL600" s="541"/>
      <c r="AM600" s="541"/>
      <c r="AN600" s="1748"/>
      <c r="AO600" s="1748"/>
      <c r="AP600" s="1748"/>
      <c r="AQ600" s="1748"/>
      <c r="AR600" s="1748"/>
      <c r="AS600" s="541"/>
      <c r="AT600" s="541"/>
      <c r="AU600" s="541"/>
      <c r="AV600" s="541"/>
      <c r="AW600" s="541"/>
      <c r="AX600" s="541"/>
      <c r="AY600" s="541"/>
      <c r="AZ600" s="541"/>
      <c r="BA600" s="541"/>
      <c r="BC600" s="541"/>
      <c r="BE600" s="541"/>
      <c r="BG600" s="541"/>
      <c r="BH600" s="1190"/>
      <c r="BI600" s="541"/>
      <c r="BJ600" s="1190"/>
      <c r="BK600" s="541"/>
      <c r="BL600" s="541"/>
      <c r="BM600" s="541"/>
      <c r="BO600" s="541"/>
      <c r="BP600" s="541"/>
      <c r="BQ600" s="633"/>
      <c r="BR600" s="541"/>
      <c r="BS600" s="541"/>
      <c r="BT600" s="541"/>
    </row>
    <row r="601" ht="15.75" customHeight="1">
      <c r="A601" s="1591"/>
      <c r="B601" s="1541"/>
      <c r="C601" s="2217"/>
      <c r="D601" s="1543"/>
      <c r="E601" s="906"/>
      <c r="F601" s="541"/>
      <c r="G601" s="541"/>
      <c r="H601" s="541"/>
      <c r="I601" s="541"/>
      <c r="J601" s="1748"/>
      <c r="K601" s="541"/>
      <c r="L601" s="1748"/>
      <c r="M601" s="541"/>
      <c r="N601" s="1748"/>
      <c r="O601" s="541"/>
      <c r="P601" s="1748"/>
      <c r="Q601" s="541"/>
      <c r="R601" s="1748"/>
      <c r="S601" s="541"/>
      <c r="T601" s="1748"/>
      <c r="U601" s="541"/>
      <c r="V601" s="1748"/>
      <c r="W601" s="541"/>
      <c r="X601" s="1748"/>
      <c r="Y601" s="1748"/>
      <c r="Z601" s="1748"/>
      <c r="AA601" s="541"/>
      <c r="AB601" s="1748"/>
      <c r="AC601" s="541"/>
      <c r="AD601" s="541"/>
      <c r="AE601" s="541"/>
      <c r="AF601" s="541"/>
      <c r="AG601" s="541"/>
      <c r="AH601" s="541"/>
      <c r="AI601" s="541"/>
      <c r="AJ601" s="541"/>
      <c r="AK601" s="541"/>
      <c r="AL601" s="541"/>
      <c r="AM601" s="541"/>
      <c r="AN601" s="1748"/>
      <c r="AO601" s="1748"/>
      <c r="AP601" s="1748"/>
      <c r="AQ601" s="1748"/>
      <c r="AR601" s="1748"/>
      <c r="AS601" s="541"/>
      <c r="AT601" s="541"/>
      <c r="AU601" s="541"/>
      <c r="AV601" s="541"/>
      <c r="AW601" s="541"/>
      <c r="AX601" s="541"/>
      <c r="AY601" s="541"/>
      <c r="AZ601" s="541"/>
      <c r="BA601" s="541"/>
      <c r="BC601" s="541"/>
      <c r="BE601" s="541"/>
      <c r="BG601" s="541"/>
      <c r="BH601" s="1190"/>
      <c r="BI601" s="541"/>
      <c r="BJ601" s="1190"/>
      <c r="BK601" s="541"/>
      <c r="BL601" s="541"/>
      <c r="BM601" s="541"/>
      <c r="BO601" s="541"/>
      <c r="BP601" s="541"/>
      <c r="BQ601" s="633"/>
      <c r="BR601" s="541"/>
      <c r="BS601" s="541"/>
      <c r="BT601" s="541"/>
    </row>
    <row r="602" ht="15.75" customHeight="1">
      <c r="A602" s="1591"/>
      <c r="B602" s="1541"/>
      <c r="C602" s="2217"/>
      <c r="D602" s="1543"/>
      <c r="E602" s="906"/>
      <c r="F602" s="541"/>
      <c r="G602" s="541"/>
      <c r="H602" s="541"/>
      <c r="I602" s="541"/>
      <c r="J602" s="1748"/>
      <c r="K602" s="541"/>
      <c r="L602" s="1748"/>
      <c r="M602" s="541"/>
      <c r="N602" s="1748"/>
      <c r="O602" s="541"/>
      <c r="P602" s="1748"/>
      <c r="Q602" s="541"/>
      <c r="R602" s="1748"/>
      <c r="S602" s="541"/>
      <c r="T602" s="1748"/>
      <c r="U602" s="541"/>
      <c r="V602" s="1748"/>
      <c r="W602" s="541"/>
      <c r="X602" s="1748"/>
      <c r="Y602" s="1748"/>
      <c r="Z602" s="1748"/>
      <c r="AA602" s="541"/>
      <c r="AB602" s="1748"/>
      <c r="AC602" s="541"/>
      <c r="AD602" s="541"/>
      <c r="AE602" s="541"/>
      <c r="AF602" s="541"/>
      <c r="AG602" s="541"/>
      <c r="AH602" s="541"/>
      <c r="AI602" s="541"/>
      <c r="AJ602" s="541"/>
      <c r="AK602" s="541"/>
      <c r="AL602" s="541"/>
      <c r="AM602" s="541"/>
      <c r="AN602" s="1748"/>
      <c r="AO602" s="1748"/>
      <c r="AP602" s="1748"/>
      <c r="AQ602" s="1748"/>
      <c r="AR602" s="1748"/>
      <c r="AS602" s="541"/>
      <c r="AT602" s="541"/>
      <c r="AU602" s="541"/>
      <c r="AV602" s="541"/>
      <c r="AW602" s="541"/>
      <c r="AX602" s="541"/>
      <c r="AY602" s="541"/>
      <c r="AZ602" s="541"/>
      <c r="BA602" s="541"/>
      <c r="BC602" s="541"/>
      <c r="BE602" s="541"/>
      <c r="BG602" s="541"/>
      <c r="BH602" s="1190"/>
      <c r="BI602" s="541"/>
      <c r="BJ602" s="1190"/>
      <c r="BK602" s="541"/>
      <c r="BL602" s="541"/>
      <c r="BM602" s="541"/>
      <c r="BO602" s="541"/>
      <c r="BP602" s="541"/>
      <c r="BQ602" s="633"/>
      <c r="BR602" s="541"/>
      <c r="BS602" s="541"/>
      <c r="BT602" s="541"/>
    </row>
    <row r="603" ht="15.75" customHeight="1">
      <c r="A603" s="1591"/>
      <c r="B603" s="1541"/>
      <c r="C603" s="2217"/>
      <c r="D603" s="1543"/>
      <c r="E603" s="906"/>
      <c r="F603" s="541"/>
      <c r="G603" s="541"/>
      <c r="H603" s="541"/>
      <c r="I603" s="541"/>
      <c r="J603" s="1748"/>
      <c r="K603" s="541"/>
      <c r="L603" s="1748"/>
      <c r="M603" s="541"/>
      <c r="N603" s="1748"/>
      <c r="O603" s="541"/>
      <c r="P603" s="1748"/>
      <c r="Q603" s="541"/>
      <c r="R603" s="1748"/>
      <c r="S603" s="541"/>
      <c r="T603" s="1748"/>
      <c r="U603" s="541"/>
      <c r="V603" s="1748"/>
      <c r="W603" s="541"/>
      <c r="X603" s="1748"/>
      <c r="Y603" s="1748"/>
      <c r="Z603" s="1748"/>
      <c r="AA603" s="541"/>
      <c r="AB603" s="1748"/>
      <c r="AC603" s="541"/>
      <c r="AD603" s="541"/>
      <c r="AE603" s="541"/>
      <c r="AF603" s="541"/>
      <c r="AG603" s="541"/>
      <c r="AH603" s="541"/>
      <c r="AI603" s="541"/>
      <c r="AJ603" s="541"/>
      <c r="AK603" s="541"/>
      <c r="AL603" s="541"/>
      <c r="AM603" s="541"/>
      <c r="AN603" s="1748"/>
      <c r="AO603" s="1748"/>
      <c r="AP603" s="1748"/>
      <c r="AQ603" s="1748"/>
      <c r="AR603" s="1748"/>
      <c r="AS603" s="541"/>
      <c r="AT603" s="541"/>
      <c r="AU603" s="541"/>
      <c r="AV603" s="541"/>
      <c r="AW603" s="541"/>
      <c r="AX603" s="541"/>
      <c r="AY603" s="541"/>
      <c r="AZ603" s="541"/>
      <c r="BA603" s="541"/>
      <c r="BC603" s="541"/>
      <c r="BE603" s="541"/>
      <c r="BG603" s="541"/>
      <c r="BH603" s="1190"/>
      <c r="BI603" s="541"/>
      <c r="BJ603" s="1190"/>
      <c r="BK603" s="541"/>
      <c r="BL603" s="541"/>
      <c r="BM603" s="541"/>
      <c r="BO603" s="541"/>
      <c r="BP603" s="541"/>
      <c r="BQ603" s="633"/>
      <c r="BR603" s="541"/>
      <c r="BS603" s="541"/>
      <c r="BT603" s="541"/>
    </row>
    <row r="604" ht="15.75" customHeight="1">
      <c r="A604" s="1591"/>
      <c r="B604" s="1541"/>
      <c r="C604" s="2217"/>
      <c r="D604" s="1543"/>
      <c r="E604" s="906"/>
      <c r="F604" s="541"/>
      <c r="G604" s="541"/>
      <c r="H604" s="541"/>
      <c r="I604" s="541"/>
      <c r="J604" s="1748"/>
      <c r="K604" s="541"/>
      <c r="L604" s="1748"/>
      <c r="M604" s="541"/>
      <c r="N604" s="1748"/>
      <c r="O604" s="541"/>
      <c r="P604" s="1748"/>
      <c r="Q604" s="541"/>
      <c r="R604" s="1748"/>
      <c r="S604" s="541"/>
      <c r="T604" s="1748"/>
      <c r="U604" s="541"/>
      <c r="V604" s="1748"/>
      <c r="W604" s="541"/>
      <c r="X604" s="1748"/>
      <c r="Y604" s="1748"/>
      <c r="Z604" s="1748"/>
      <c r="AA604" s="541"/>
      <c r="AB604" s="1748"/>
      <c r="AC604" s="541"/>
      <c r="AD604" s="541"/>
      <c r="AE604" s="541"/>
      <c r="AF604" s="541"/>
      <c r="AG604" s="541"/>
      <c r="AH604" s="541"/>
      <c r="AI604" s="541"/>
      <c r="AJ604" s="541"/>
      <c r="AK604" s="541"/>
      <c r="AL604" s="541"/>
      <c r="AM604" s="541"/>
      <c r="AN604" s="1748"/>
      <c r="AO604" s="1748"/>
      <c r="AP604" s="1748"/>
      <c r="AQ604" s="1748"/>
      <c r="AR604" s="1748"/>
      <c r="AS604" s="541"/>
      <c r="AT604" s="541"/>
      <c r="AU604" s="541"/>
      <c r="AV604" s="541"/>
      <c r="AW604" s="541"/>
      <c r="AX604" s="541"/>
      <c r="AY604" s="541"/>
      <c r="AZ604" s="541"/>
      <c r="BA604" s="541"/>
      <c r="BC604" s="541"/>
      <c r="BE604" s="541"/>
      <c r="BG604" s="541"/>
      <c r="BH604" s="1190"/>
      <c r="BI604" s="541"/>
      <c r="BJ604" s="1190"/>
      <c r="BK604" s="541"/>
      <c r="BL604" s="541"/>
      <c r="BM604" s="541"/>
      <c r="BO604" s="541"/>
      <c r="BP604" s="541"/>
      <c r="BQ604" s="633"/>
      <c r="BR604" s="541"/>
      <c r="BS604" s="541"/>
      <c r="BT604" s="541"/>
    </row>
    <row r="605" ht="15.75" customHeight="1">
      <c r="A605" s="1591"/>
      <c r="B605" s="1541"/>
      <c r="C605" s="2217"/>
      <c r="D605" s="1543"/>
      <c r="E605" s="906"/>
      <c r="F605" s="541"/>
      <c r="G605" s="541"/>
      <c r="H605" s="541"/>
      <c r="I605" s="541"/>
      <c r="J605" s="1748"/>
      <c r="K605" s="541"/>
      <c r="L605" s="1748"/>
      <c r="M605" s="541"/>
      <c r="N605" s="1748"/>
      <c r="O605" s="541"/>
      <c r="P605" s="1748"/>
      <c r="Q605" s="541"/>
      <c r="R605" s="1748"/>
      <c r="S605" s="541"/>
      <c r="T605" s="1748"/>
      <c r="U605" s="541"/>
      <c r="V605" s="1748"/>
      <c r="W605" s="541"/>
      <c r="X605" s="1748"/>
      <c r="Y605" s="1748"/>
      <c r="Z605" s="1748"/>
      <c r="AA605" s="541"/>
      <c r="AB605" s="1748"/>
      <c r="AC605" s="541"/>
      <c r="AD605" s="541"/>
      <c r="AE605" s="541"/>
      <c r="AF605" s="541"/>
      <c r="AG605" s="541"/>
      <c r="AH605" s="541"/>
      <c r="AI605" s="541"/>
      <c r="AJ605" s="541"/>
      <c r="AK605" s="541"/>
      <c r="AL605" s="541"/>
      <c r="AM605" s="541"/>
      <c r="AN605" s="1748"/>
      <c r="AO605" s="1748"/>
      <c r="AP605" s="1748"/>
      <c r="AQ605" s="1748"/>
      <c r="AR605" s="1748"/>
      <c r="AS605" s="541"/>
      <c r="AT605" s="541"/>
      <c r="AU605" s="541"/>
      <c r="AV605" s="541"/>
      <c r="AW605" s="541"/>
      <c r="AX605" s="541"/>
      <c r="AY605" s="541"/>
      <c r="AZ605" s="541"/>
      <c r="BA605" s="541"/>
      <c r="BC605" s="541"/>
      <c r="BE605" s="541"/>
      <c r="BG605" s="541"/>
      <c r="BH605" s="1190"/>
      <c r="BI605" s="541"/>
      <c r="BJ605" s="1190"/>
      <c r="BK605" s="541"/>
      <c r="BL605" s="541"/>
      <c r="BM605" s="541"/>
      <c r="BO605" s="541"/>
      <c r="BP605" s="541"/>
      <c r="BQ605" s="633"/>
      <c r="BR605" s="541"/>
      <c r="BS605" s="541"/>
      <c r="BT605" s="541"/>
    </row>
    <row r="606" ht="15.75" customHeight="1">
      <c r="A606" s="1591"/>
      <c r="B606" s="1541"/>
      <c r="C606" s="2217"/>
      <c r="D606" s="1543"/>
      <c r="E606" s="906"/>
      <c r="F606" s="541"/>
      <c r="G606" s="541"/>
      <c r="H606" s="541"/>
      <c r="I606" s="541"/>
      <c r="J606" s="1748"/>
      <c r="K606" s="541"/>
      <c r="L606" s="1748"/>
      <c r="M606" s="541"/>
      <c r="N606" s="1748"/>
      <c r="O606" s="541"/>
      <c r="P606" s="1748"/>
      <c r="Q606" s="541"/>
      <c r="R606" s="1748"/>
      <c r="S606" s="541"/>
      <c r="T606" s="1748"/>
      <c r="U606" s="541"/>
      <c r="V606" s="1748"/>
      <c r="W606" s="541"/>
      <c r="X606" s="1748"/>
      <c r="Y606" s="1748"/>
      <c r="Z606" s="1748"/>
      <c r="AA606" s="541"/>
      <c r="AB606" s="1748"/>
      <c r="AC606" s="541"/>
      <c r="AD606" s="541"/>
      <c r="AE606" s="541"/>
      <c r="AF606" s="541"/>
      <c r="AG606" s="541"/>
      <c r="AH606" s="541"/>
      <c r="AI606" s="541"/>
      <c r="AJ606" s="541"/>
      <c r="AK606" s="541"/>
      <c r="AL606" s="541"/>
      <c r="AM606" s="541"/>
      <c r="AN606" s="1748"/>
      <c r="AO606" s="1748"/>
      <c r="AP606" s="1748"/>
      <c r="AQ606" s="1748"/>
      <c r="AR606" s="1748"/>
      <c r="AS606" s="541"/>
      <c r="AT606" s="541"/>
      <c r="AU606" s="541"/>
      <c r="AV606" s="541"/>
      <c r="AW606" s="541"/>
      <c r="AX606" s="541"/>
      <c r="AY606" s="541"/>
      <c r="AZ606" s="541"/>
      <c r="BA606" s="541"/>
      <c r="BC606" s="541"/>
      <c r="BE606" s="541"/>
      <c r="BG606" s="541"/>
      <c r="BH606" s="1190"/>
      <c r="BI606" s="541"/>
      <c r="BJ606" s="1190"/>
      <c r="BK606" s="541"/>
      <c r="BL606" s="541"/>
      <c r="BM606" s="541"/>
      <c r="BO606" s="541"/>
      <c r="BP606" s="541"/>
      <c r="BQ606" s="633"/>
      <c r="BR606" s="541"/>
      <c r="BS606" s="541"/>
      <c r="BT606" s="541"/>
    </row>
    <row r="607" ht="15.75" customHeight="1">
      <c r="A607" s="1591"/>
      <c r="B607" s="1541"/>
      <c r="C607" s="2217"/>
      <c r="D607" s="1543"/>
      <c r="E607" s="906"/>
      <c r="F607" s="541"/>
      <c r="G607" s="541"/>
      <c r="H607" s="541"/>
      <c r="I607" s="541"/>
      <c r="J607" s="1748"/>
      <c r="K607" s="541"/>
      <c r="L607" s="1748"/>
      <c r="M607" s="541"/>
      <c r="N607" s="1748"/>
      <c r="O607" s="541"/>
      <c r="P607" s="1748"/>
      <c r="Q607" s="541"/>
      <c r="R607" s="1748"/>
      <c r="S607" s="541"/>
      <c r="T607" s="1748"/>
      <c r="U607" s="541"/>
      <c r="V607" s="1748"/>
      <c r="W607" s="541"/>
      <c r="X607" s="1748"/>
      <c r="Y607" s="1748"/>
      <c r="Z607" s="1748"/>
      <c r="AA607" s="541"/>
      <c r="AB607" s="1748"/>
      <c r="AC607" s="541"/>
      <c r="AD607" s="541"/>
      <c r="AE607" s="541"/>
      <c r="AF607" s="541"/>
      <c r="AG607" s="541"/>
      <c r="AH607" s="541"/>
      <c r="AI607" s="541"/>
      <c r="AJ607" s="541"/>
      <c r="AK607" s="541"/>
      <c r="AL607" s="541"/>
      <c r="AM607" s="541"/>
      <c r="AN607" s="1748"/>
      <c r="AO607" s="1748"/>
      <c r="AP607" s="1748"/>
      <c r="AQ607" s="1748"/>
      <c r="AR607" s="1748"/>
      <c r="AS607" s="541"/>
      <c r="AT607" s="541"/>
      <c r="AU607" s="541"/>
      <c r="AV607" s="541"/>
      <c r="AW607" s="541"/>
      <c r="AX607" s="541"/>
      <c r="AY607" s="541"/>
      <c r="AZ607" s="541"/>
      <c r="BA607" s="541"/>
      <c r="BC607" s="541"/>
      <c r="BE607" s="541"/>
      <c r="BG607" s="541"/>
      <c r="BH607" s="1190"/>
      <c r="BI607" s="541"/>
      <c r="BJ607" s="1190"/>
      <c r="BK607" s="541"/>
      <c r="BL607" s="541"/>
      <c r="BM607" s="541"/>
      <c r="BO607" s="541"/>
      <c r="BP607" s="541"/>
      <c r="BQ607" s="633"/>
      <c r="BR607" s="541"/>
      <c r="BS607" s="541"/>
      <c r="BT607" s="541"/>
    </row>
    <row r="608" ht="15.75" customHeight="1">
      <c r="A608" s="1591"/>
      <c r="B608" s="1541"/>
      <c r="C608" s="2217"/>
      <c r="D608" s="1543"/>
      <c r="E608" s="906"/>
      <c r="F608" s="541"/>
      <c r="G608" s="541"/>
      <c r="H608" s="541"/>
      <c r="I608" s="541"/>
      <c r="J608" s="1748"/>
      <c r="K608" s="541"/>
      <c r="L608" s="1748"/>
      <c r="M608" s="541"/>
      <c r="N608" s="1748"/>
      <c r="O608" s="541"/>
      <c r="P608" s="1748"/>
      <c r="Q608" s="541"/>
      <c r="R608" s="1748"/>
      <c r="S608" s="541"/>
      <c r="T608" s="1748"/>
      <c r="U608" s="541"/>
      <c r="V608" s="1748"/>
      <c r="W608" s="541"/>
      <c r="X608" s="1748"/>
      <c r="Y608" s="1748"/>
      <c r="Z608" s="1748"/>
      <c r="AA608" s="541"/>
      <c r="AB608" s="1748"/>
      <c r="AC608" s="541"/>
      <c r="AD608" s="541"/>
      <c r="AE608" s="541"/>
      <c r="AF608" s="541"/>
      <c r="AG608" s="541"/>
      <c r="AH608" s="541"/>
      <c r="AI608" s="541"/>
      <c r="AJ608" s="541"/>
      <c r="AK608" s="541"/>
      <c r="AL608" s="541"/>
      <c r="AM608" s="541"/>
      <c r="AN608" s="1748"/>
      <c r="AO608" s="1748"/>
      <c r="AP608" s="1748"/>
      <c r="AQ608" s="1748"/>
      <c r="AR608" s="1748"/>
      <c r="AS608" s="541"/>
      <c r="AT608" s="541"/>
      <c r="AU608" s="541"/>
      <c r="AV608" s="541"/>
      <c r="AW608" s="541"/>
      <c r="AX608" s="541"/>
      <c r="AY608" s="541"/>
      <c r="AZ608" s="541"/>
      <c r="BA608" s="541"/>
      <c r="BC608" s="541"/>
      <c r="BE608" s="541"/>
      <c r="BG608" s="541"/>
      <c r="BH608" s="1190"/>
      <c r="BI608" s="541"/>
      <c r="BJ608" s="1190"/>
      <c r="BK608" s="541"/>
      <c r="BL608" s="541"/>
      <c r="BM608" s="541"/>
      <c r="BO608" s="541"/>
      <c r="BP608" s="541"/>
      <c r="BQ608" s="633"/>
      <c r="BR608" s="541"/>
      <c r="BS608" s="541"/>
      <c r="BT608" s="541"/>
    </row>
    <row r="609" ht="15.75" customHeight="1">
      <c r="A609" s="1591"/>
      <c r="B609" s="1541"/>
      <c r="C609" s="2217"/>
      <c r="D609" s="1543"/>
      <c r="E609" s="906"/>
      <c r="F609" s="541"/>
      <c r="G609" s="541"/>
      <c r="H609" s="541"/>
      <c r="I609" s="541"/>
      <c r="J609" s="1748"/>
      <c r="K609" s="541"/>
      <c r="L609" s="1748"/>
      <c r="M609" s="541"/>
      <c r="N609" s="1748"/>
      <c r="O609" s="541"/>
      <c r="P609" s="1748"/>
      <c r="Q609" s="541"/>
      <c r="R609" s="1748"/>
      <c r="S609" s="541"/>
      <c r="T609" s="1748"/>
      <c r="U609" s="541"/>
      <c r="V609" s="1748"/>
      <c r="W609" s="541"/>
      <c r="X609" s="1748"/>
      <c r="Y609" s="1748"/>
      <c r="Z609" s="1748"/>
      <c r="AA609" s="541"/>
      <c r="AB609" s="1748"/>
      <c r="AC609" s="541"/>
      <c r="AD609" s="541"/>
      <c r="AE609" s="541"/>
      <c r="AF609" s="541"/>
      <c r="AG609" s="541"/>
      <c r="AH609" s="541"/>
      <c r="AI609" s="541"/>
      <c r="AJ609" s="541"/>
      <c r="AK609" s="541"/>
      <c r="AL609" s="541"/>
      <c r="AM609" s="541"/>
      <c r="AN609" s="1748"/>
      <c r="AO609" s="1748"/>
      <c r="AP609" s="1748"/>
      <c r="AQ609" s="1748"/>
      <c r="AR609" s="1748"/>
      <c r="AS609" s="541"/>
      <c r="AT609" s="541"/>
      <c r="AU609" s="541"/>
      <c r="AV609" s="541"/>
      <c r="AW609" s="541"/>
      <c r="AX609" s="541"/>
      <c r="AY609" s="541"/>
      <c r="AZ609" s="541"/>
      <c r="BA609" s="541"/>
      <c r="BC609" s="541"/>
      <c r="BE609" s="541"/>
      <c r="BG609" s="541"/>
      <c r="BH609" s="1190"/>
      <c r="BI609" s="541"/>
      <c r="BJ609" s="1190"/>
      <c r="BK609" s="541"/>
      <c r="BL609" s="541"/>
      <c r="BM609" s="541"/>
      <c r="BO609" s="541"/>
      <c r="BP609" s="541"/>
      <c r="BQ609" s="633"/>
      <c r="BR609" s="541"/>
      <c r="BS609" s="541"/>
      <c r="BT609" s="541"/>
    </row>
    <row r="610" ht="15.75" customHeight="1">
      <c r="A610" s="1591"/>
      <c r="B610" s="1541"/>
      <c r="C610" s="2217"/>
      <c r="D610" s="1543"/>
      <c r="E610" s="906"/>
      <c r="F610" s="541"/>
      <c r="G610" s="541"/>
      <c r="H610" s="541"/>
      <c r="I610" s="541"/>
      <c r="J610" s="1748"/>
      <c r="K610" s="541"/>
      <c r="L610" s="1748"/>
      <c r="M610" s="541"/>
      <c r="N610" s="1748"/>
      <c r="O610" s="541"/>
      <c r="P610" s="1748"/>
      <c r="Q610" s="541"/>
      <c r="R610" s="1748"/>
      <c r="S610" s="541"/>
      <c r="T610" s="1748"/>
      <c r="U610" s="541"/>
      <c r="V610" s="1748"/>
      <c r="W610" s="541"/>
      <c r="X610" s="1748"/>
      <c r="Y610" s="1748"/>
      <c r="Z610" s="1748"/>
      <c r="AA610" s="541"/>
      <c r="AB610" s="1748"/>
      <c r="AC610" s="541"/>
      <c r="AD610" s="541"/>
      <c r="AE610" s="541"/>
      <c r="AF610" s="541"/>
      <c r="AG610" s="541"/>
      <c r="AH610" s="541"/>
      <c r="AI610" s="541"/>
      <c r="AJ610" s="541"/>
      <c r="AK610" s="541"/>
      <c r="AL610" s="541"/>
      <c r="AM610" s="541"/>
      <c r="AN610" s="1748"/>
      <c r="AO610" s="1748"/>
      <c r="AP610" s="1748"/>
      <c r="AQ610" s="1748"/>
      <c r="AR610" s="1748"/>
      <c r="AS610" s="541"/>
      <c r="AT610" s="541"/>
      <c r="AU610" s="541"/>
      <c r="AV610" s="541"/>
      <c r="AW610" s="541"/>
      <c r="AX610" s="541"/>
      <c r="AY610" s="541"/>
      <c r="AZ610" s="541"/>
      <c r="BA610" s="541"/>
      <c r="BC610" s="541"/>
      <c r="BE610" s="541"/>
      <c r="BG610" s="541"/>
      <c r="BH610" s="1190"/>
      <c r="BI610" s="541"/>
      <c r="BJ610" s="1190"/>
      <c r="BK610" s="541"/>
      <c r="BL610" s="541"/>
      <c r="BM610" s="541"/>
      <c r="BO610" s="541"/>
      <c r="BP610" s="541"/>
      <c r="BQ610" s="633"/>
      <c r="BR610" s="541"/>
      <c r="BS610" s="541"/>
      <c r="BT610" s="541"/>
    </row>
    <row r="611" ht="15.75" customHeight="1">
      <c r="A611" s="1591"/>
      <c r="B611" s="1541"/>
      <c r="C611" s="2217"/>
      <c r="D611" s="1543"/>
      <c r="E611" s="906"/>
      <c r="F611" s="541"/>
      <c r="G611" s="541"/>
      <c r="H611" s="541"/>
      <c r="I611" s="541"/>
      <c r="J611" s="1748"/>
      <c r="K611" s="541"/>
      <c r="L611" s="1748"/>
      <c r="M611" s="541"/>
      <c r="N611" s="1748"/>
      <c r="O611" s="541"/>
      <c r="P611" s="1748"/>
      <c r="Q611" s="541"/>
      <c r="R611" s="1748"/>
      <c r="S611" s="541"/>
      <c r="T611" s="1748"/>
      <c r="U611" s="541"/>
      <c r="V611" s="1748"/>
      <c r="W611" s="541"/>
      <c r="X611" s="1748"/>
      <c r="Y611" s="1748"/>
      <c r="Z611" s="1748"/>
      <c r="AA611" s="541"/>
      <c r="AB611" s="1748"/>
      <c r="AC611" s="541"/>
      <c r="AD611" s="541"/>
      <c r="AE611" s="541"/>
      <c r="AF611" s="541"/>
      <c r="AG611" s="541"/>
      <c r="AH611" s="541"/>
      <c r="AI611" s="541"/>
      <c r="AJ611" s="541"/>
      <c r="AK611" s="541"/>
      <c r="AL611" s="541"/>
      <c r="AM611" s="541"/>
      <c r="AN611" s="1748"/>
      <c r="AO611" s="1748"/>
      <c r="AP611" s="1748"/>
      <c r="AQ611" s="1748"/>
      <c r="AR611" s="1748"/>
      <c r="AS611" s="541"/>
      <c r="AT611" s="541"/>
      <c r="AU611" s="541"/>
      <c r="AV611" s="541"/>
      <c r="AW611" s="541"/>
      <c r="AX611" s="541"/>
      <c r="AY611" s="541"/>
      <c r="AZ611" s="541"/>
      <c r="BA611" s="541"/>
      <c r="BC611" s="541"/>
      <c r="BE611" s="541"/>
      <c r="BG611" s="541"/>
      <c r="BH611" s="1190"/>
      <c r="BI611" s="541"/>
      <c r="BJ611" s="1190"/>
      <c r="BK611" s="541"/>
      <c r="BL611" s="541"/>
      <c r="BM611" s="541"/>
      <c r="BO611" s="541"/>
      <c r="BP611" s="541"/>
      <c r="BQ611" s="633"/>
      <c r="BR611" s="541"/>
      <c r="BS611" s="541"/>
      <c r="BT611" s="541"/>
    </row>
    <row r="612" ht="15.75" customHeight="1">
      <c r="A612" s="1591"/>
      <c r="B612" s="1541"/>
      <c r="C612" s="2217"/>
      <c r="D612" s="1543"/>
      <c r="E612" s="906"/>
      <c r="F612" s="541"/>
      <c r="G612" s="541"/>
      <c r="H612" s="541"/>
      <c r="I612" s="541"/>
      <c r="J612" s="1748"/>
      <c r="K612" s="541"/>
      <c r="L612" s="1748"/>
      <c r="M612" s="541"/>
      <c r="N612" s="1748"/>
      <c r="O612" s="541"/>
      <c r="P612" s="1748"/>
      <c r="Q612" s="541"/>
      <c r="R612" s="1748"/>
      <c r="S612" s="541"/>
      <c r="T612" s="1748"/>
      <c r="U612" s="541"/>
      <c r="V612" s="1748"/>
      <c r="W612" s="541"/>
      <c r="X612" s="1748"/>
      <c r="Y612" s="1748"/>
      <c r="Z612" s="1748"/>
      <c r="AA612" s="541"/>
      <c r="AB612" s="1748"/>
      <c r="AC612" s="541"/>
      <c r="AD612" s="541"/>
      <c r="AE612" s="541"/>
      <c r="AF612" s="541"/>
      <c r="AG612" s="541"/>
      <c r="AH612" s="541"/>
      <c r="AI612" s="541"/>
      <c r="AJ612" s="541"/>
      <c r="AK612" s="541"/>
      <c r="AL612" s="541"/>
      <c r="AM612" s="541"/>
      <c r="AN612" s="1748"/>
      <c r="AO612" s="1748"/>
      <c r="AP612" s="1748"/>
      <c r="AQ612" s="1748"/>
      <c r="AR612" s="1748"/>
      <c r="AS612" s="541"/>
      <c r="AT612" s="541"/>
      <c r="AU612" s="541"/>
      <c r="AV612" s="541"/>
      <c r="AW612" s="541"/>
      <c r="AX612" s="541"/>
      <c r="AY612" s="541"/>
      <c r="AZ612" s="541"/>
      <c r="BA612" s="541"/>
      <c r="BC612" s="541"/>
      <c r="BE612" s="541"/>
      <c r="BG612" s="541"/>
      <c r="BH612" s="1190"/>
      <c r="BI612" s="541"/>
      <c r="BJ612" s="1190"/>
      <c r="BK612" s="541"/>
      <c r="BL612" s="541"/>
      <c r="BM612" s="541"/>
      <c r="BO612" s="541"/>
      <c r="BP612" s="541"/>
      <c r="BQ612" s="633"/>
      <c r="BR612" s="541"/>
      <c r="BS612" s="541"/>
      <c r="BT612" s="541"/>
    </row>
    <row r="613" ht="15.75" customHeight="1">
      <c r="A613" s="1591"/>
      <c r="B613" s="1541"/>
      <c r="C613" s="2217"/>
      <c r="D613" s="1543"/>
      <c r="E613" s="906"/>
      <c r="F613" s="541"/>
      <c r="G613" s="541"/>
      <c r="H613" s="541"/>
      <c r="I613" s="541"/>
      <c r="J613" s="1748"/>
      <c r="K613" s="541"/>
      <c r="L613" s="1748"/>
      <c r="M613" s="541"/>
      <c r="N613" s="1748"/>
      <c r="O613" s="541"/>
      <c r="P613" s="1748"/>
      <c r="Q613" s="541"/>
      <c r="R613" s="1748"/>
      <c r="S613" s="541"/>
      <c r="T613" s="1748"/>
      <c r="U613" s="541"/>
      <c r="V613" s="1748"/>
      <c r="W613" s="541"/>
      <c r="X613" s="1748"/>
      <c r="Y613" s="1748"/>
      <c r="Z613" s="1748"/>
      <c r="AA613" s="541"/>
      <c r="AB613" s="1748"/>
      <c r="AC613" s="541"/>
      <c r="AD613" s="541"/>
      <c r="AE613" s="541"/>
      <c r="AF613" s="541"/>
      <c r="AG613" s="541"/>
      <c r="AH613" s="541"/>
      <c r="AI613" s="541"/>
      <c r="AJ613" s="541"/>
      <c r="AK613" s="541"/>
      <c r="AL613" s="541"/>
      <c r="AM613" s="541"/>
      <c r="AN613" s="1748"/>
      <c r="AO613" s="1748"/>
      <c r="AP613" s="1748"/>
      <c r="AQ613" s="1748"/>
      <c r="AR613" s="1748"/>
      <c r="AS613" s="541"/>
      <c r="AT613" s="541"/>
      <c r="AU613" s="541"/>
      <c r="AV613" s="541"/>
      <c r="AW613" s="541"/>
      <c r="AX613" s="541"/>
      <c r="AY613" s="541"/>
      <c r="AZ613" s="541"/>
      <c r="BA613" s="541"/>
      <c r="BC613" s="541"/>
      <c r="BE613" s="541"/>
      <c r="BG613" s="541"/>
      <c r="BH613" s="1190"/>
      <c r="BI613" s="541"/>
      <c r="BJ613" s="1190"/>
      <c r="BK613" s="541"/>
      <c r="BL613" s="541"/>
      <c r="BM613" s="541"/>
      <c r="BO613" s="541"/>
      <c r="BP613" s="541"/>
      <c r="BQ613" s="633"/>
      <c r="BR613" s="541"/>
      <c r="BS613" s="541"/>
      <c r="BT613" s="541"/>
    </row>
    <row r="614" ht="15.75" customHeight="1">
      <c r="A614" s="1591"/>
      <c r="B614" s="1541"/>
      <c r="C614" s="2217"/>
      <c r="D614" s="1543"/>
      <c r="E614" s="906"/>
      <c r="F614" s="541"/>
      <c r="G614" s="541"/>
      <c r="H614" s="541"/>
      <c r="I614" s="541"/>
      <c r="J614" s="1748"/>
      <c r="K614" s="541"/>
      <c r="L614" s="1748"/>
      <c r="M614" s="541"/>
      <c r="N614" s="1748"/>
      <c r="O614" s="541"/>
      <c r="P614" s="1748"/>
      <c r="Q614" s="541"/>
      <c r="R614" s="1748"/>
      <c r="S614" s="541"/>
      <c r="T614" s="1748"/>
      <c r="U614" s="541"/>
      <c r="V614" s="1748"/>
      <c r="W614" s="541"/>
      <c r="X614" s="1748"/>
      <c r="Y614" s="1748"/>
      <c r="Z614" s="1748"/>
      <c r="AA614" s="541"/>
      <c r="AB614" s="1748"/>
      <c r="AC614" s="541"/>
      <c r="AD614" s="541"/>
      <c r="AE614" s="541"/>
      <c r="AF614" s="541"/>
      <c r="AG614" s="541"/>
      <c r="AH614" s="541"/>
      <c r="AI614" s="541"/>
      <c r="AJ614" s="541"/>
      <c r="AK614" s="541"/>
      <c r="AL614" s="541"/>
      <c r="AM614" s="541"/>
      <c r="AN614" s="1748"/>
      <c r="AO614" s="1748"/>
      <c r="AP614" s="1748"/>
      <c r="AQ614" s="1748"/>
      <c r="AR614" s="1748"/>
      <c r="AS614" s="541"/>
      <c r="AT614" s="541"/>
      <c r="AU614" s="541"/>
      <c r="AV614" s="541"/>
      <c r="AW614" s="541"/>
      <c r="AX614" s="541"/>
      <c r="AY614" s="541"/>
      <c r="AZ614" s="541"/>
      <c r="BA614" s="541"/>
      <c r="BC614" s="541"/>
      <c r="BE614" s="541"/>
      <c r="BG614" s="541"/>
      <c r="BH614" s="1190"/>
      <c r="BI614" s="541"/>
      <c r="BJ614" s="1190"/>
      <c r="BK614" s="541"/>
      <c r="BL614" s="541"/>
      <c r="BM614" s="541"/>
      <c r="BO614" s="541"/>
      <c r="BP614" s="541"/>
      <c r="BQ614" s="633"/>
      <c r="BR614" s="541"/>
      <c r="BS614" s="541"/>
      <c r="BT614" s="541"/>
    </row>
    <row r="615" ht="15.75" customHeight="1">
      <c r="A615" s="1591"/>
      <c r="B615" s="1541"/>
      <c r="C615" s="2217"/>
      <c r="D615" s="1543"/>
      <c r="E615" s="906"/>
      <c r="F615" s="541"/>
      <c r="G615" s="541"/>
      <c r="H615" s="541"/>
      <c r="I615" s="541"/>
      <c r="J615" s="1748"/>
      <c r="K615" s="541"/>
      <c r="L615" s="1748"/>
      <c r="M615" s="541"/>
      <c r="N615" s="1748"/>
      <c r="O615" s="541"/>
      <c r="P615" s="1748"/>
      <c r="Q615" s="541"/>
      <c r="R615" s="1748"/>
      <c r="S615" s="541"/>
      <c r="T615" s="1748"/>
      <c r="U615" s="541"/>
      <c r="V615" s="1748"/>
      <c r="W615" s="541"/>
      <c r="X615" s="1748"/>
      <c r="Y615" s="1748"/>
      <c r="Z615" s="1748"/>
      <c r="AA615" s="541"/>
      <c r="AB615" s="1748"/>
      <c r="AC615" s="541"/>
      <c r="AD615" s="541"/>
      <c r="AE615" s="541"/>
      <c r="AF615" s="541"/>
      <c r="AG615" s="541"/>
      <c r="AH615" s="541"/>
      <c r="AI615" s="541"/>
      <c r="AJ615" s="541"/>
      <c r="AK615" s="541"/>
      <c r="AL615" s="541"/>
      <c r="AM615" s="541"/>
      <c r="AN615" s="1748"/>
      <c r="AO615" s="1748"/>
      <c r="AP615" s="1748"/>
      <c r="AQ615" s="1748"/>
      <c r="AR615" s="1748"/>
      <c r="AS615" s="541"/>
      <c r="AT615" s="541"/>
      <c r="AU615" s="541"/>
      <c r="AV615" s="541"/>
      <c r="AW615" s="541"/>
      <c r="AX615" s="541"/>
      <c r="AY615" s="541"/>
      <c r="AZ615" s="541"/>
      <c r="BA615" s="541"/>
      <c r="BC615" s="541"/>
      <c r="BE615" s="541"/>
      <c r="BG615" s="541"/>
      <c r="BH615" s="1190"/>
      <c r="BI615" s="541"/>
      <c r="BJ615" s="1190"/>
      <c r="BK615" s="541"/>
      <c r="BL615" s="541"/>
      <c r="BM615" s="541"/>
      <c r="BO615" s="541"/>
      <c r="BP615" s="541"/>
      <c r="BQ615" s="633"/>
      <c r="BR615" s="541"/>
      <c r="BS615" s="541"/>
      <c r="BT615" s="541"/>
    </row>
    <row r="616" ht="15.75" customHeight="1">
      <c r="A616" s="1591"/>
      <c r="B616" s="1541"/>
      <c r="C616" s="2217"/>
      <c r="D616" s="1543"/>
      <c r="E616" s="906"/>
      <c r="F616" s="541"/>
      <c r="G616" s="541"/>
      <c r="H616" s="541"/>
      <c r="I616" s="541"/>
      <c r="J616" s="1748"/>
      <c r="K616" s="541"/>
      <c r="L616" s="1748"/>
      <c r="M616" s="541"/>
      <c r="N616" s="1748"/>
      <c r="O616" s="541"/>
      <c r="P616" s="1748"/>
      <c r="Q616" s="541"/>
      <c r="R616" s="1748"/>
      <c r="S616" s="541"/>
      <c r="T616" s="1748"/>
      <c r="U616" s="541"/>
      <c r="V616" s="1748"/>
      <c r="W616" s="541"/>
      <c r="X616" s="1748"/>
      <c r="Y616" s="1748"/>
      <c r="Z616" s="1748"/>
      <c r="AA616" s="541"/>
      <c r="AB616" s="1748"/>
      <c r="AC616" s="541"/>
      <c r="AD616" s="541"/>
      <c r="AE616" s="541"/>
      <c r="AF616" s="541"/>
      <c r="AG616" s="541"/>
      <c r="AH616" s="541"/>
      <c r="AI616" s="541"/>
      <c r="AJ616" s="541"/>
      <c r="AK616" s="541"/>
      <c r="AL616" s="541"/>
      <c r="AM616" s="541"/>
      <c r="AN616" s="1748"/>
      <c r="AO616" s="1748"/>
      <c r="AP616" s="1748"/>
      <c r="AQ616" s="1748"/>
      <c r="AR616" s="1748"/>
      <c r="AS616" s="541"/>
      <c r="AT616" s="541"/>
      <c r="AU616" s="541"/>
      <c r="AV616" s="541"/>
      <c r="AW616" s="541"/>
      <c r="AX616" s="541"/>
      <c r="AY616" s="541"/>
      <c r="AZ616" s="541"/>
      <c r="BA616" s="541"/>
      <c r="BC616" s="541"/>
      <c r="BE616" s="541"/>
      <c r="BG616" s="541"/>
      <c r="BH616" s="1190"/>
      <c r="BI616" s="541"/>
      <c r="BJ616" s="1190"/>
      <c r="BK616" s="541"/>
      <c r="BL616" s="541"/>
      <c r="BM616" s="541"/>
      <c r="BO616" s="541"/>
      <c r="BP616" s="541"/>
      <c r="BQ616" s="633"/>
      <c r="BR616" s="541"/>
      <c r="BS616" s="541"/>
      <c r="BT616" s="541"/>
    </row>
    <row r="617" ht="15.75" customHeight="1">
      <c r="A617" s="1591"/>
      <c r="B617" s="1541"/>
      <c r="C617" s="2217"/>
      <c r="D617" s="1543"/>
      <c r="E617" s="906"/>
      <c r="F617" s="541"/>
      <c r="G617" s="541"/>
      <c r="H617" s="541"/>
      <c r="I617" s="541"/>
      <c r="J617" s="1748"/>
      <c r="K617" s="541"/>
      <c r="L617" s="1748"/>
      <c r="M617" s="541"/>
      <c r="N617" s="1748"/>
      <c r="O617" s="541"/>
      <c r="P617" s="1748"/>
      <c r="Q617" s="541"/>
      <c r="R617" s="1748"/>
      <c r="S617" s="541"/>
      <c r="T617" s="1748"/>
      <c r="U617" s="541"/>
      <c r="V617" s="1748"/>
      <c r="W617" s="541"/>
      <c r="X617" s="1748"/>
      <c r="Y617" s="1748"/>
      <c r="Z617" s="1748"/>
      <c r="AA617" s="541"/>
      <c r="AB617" s="1748"/>
      <c r="AC617" s="541"/>
      <c r="AD617" s="541"/>
      <c r="AE617" s="541"/>
      <c r="AF617" s="541"/>
      <c r="AG617" s="541"/>
      <c r="AH617" s="541"/>
      <c r="AI617" s="541"/>
      <c r="AJ617" s="541"/>
      <c r="AK617" s="541"/>
      <c r="AL617" s="541"/>
      <c r="AM617" s="541"/>
      <c r="AN617" s="1748"/>
      <c r="AO617" s="1748"/>
      <c r="AP617" s="1748"/>
      <c r="AQ617" s="1748"/>
      <c r="AR617" s="1748"/>
      <c r="AS617" s="541"/>
      <c r="AT617" s="541"/>
      <c r="AU617" s="541"/>
      <c r="AV617" s="541"/>
      <c r="AW617" s="541"/>
      <c r="AX617" s="541"/>
      <c r="AY617" s="541"/>
      <c r="AZ617" s="541"/>
      <c r="BA617" s="541"/>
      <c r="BC617" s="541"/>
      <c r="BE617" s="541"/>
      <c r="BG617" s="541"/>
      <c r="BH617" s="1190"/>
      <c r="BI617" s="541"/>
      <c r="BJ617" s="1190"/>
      <c r="BK617" s="541"/>
      <c r="BL617" s="541"/>
      <c r="BM617" s="541"/>
      <c r="BO617" s="541"/>
      <c r="BP617" s="541"/>
      <c r="BQ617" s="633"/>
      <c r="BR617" s="541"/>
      <c r="BS617" s="541"/>
      <c r="BT617" s="541"/>
    </row>
    <row r="618" ht="15.75" customHeight="1">
      <c r="A618" s="1591"/>
      <c r="B618" s="1541"/>
      <c r="C618" s="2217"/>
      <c r="D618" s="1543"/>
      <c r="E618" s="906"/>
      <c r="F618" s="541"/>
      <c r="G618" s="541"/>
      <c r="H618" s="541"/>
      <c r="I618" s="541"/>
      <c r="J618" s="1748"/>
      <c r="K618" s="541"/>
      <c r="L618" s="1748"/>
      <c r="M618" s="541"/>
      <c r="N618" s="1748"/>
      <c r="O618" s="541"/>
      <c r="P618" s="1748"/>
      <c r="Q618" s="541"/>
      <c r="R618" s="1748"/>
      <c r="S618" s="541"/>
      <c r="T618" s="1748"/>
      <c r="U618" s="541"/>
      <c r="V618" s="1748"/>
      <c r="W618" s="541"/>
      <c r="X618" s="1748"/>
      <c r="Y618" s="1748"/>
      <c r="Z618" s="1748"/>
      <c r="AA618" s="541"/>
      <c r="AB618" s="1748"/>
      <c r="AC618" s="541"/>
      <c r="AD618" s="541"/>
      <c r="AE618" s="541"/>
      <c r="AF618" s="541"/>
      <c r="AG618" s="541"/>
      <c r="AH618" s="541"/>
      <c r="AI618" s="541"/>
      <c r="AJ618" s="541"/>
      <c r="AK618" s="541"/>
      <c r="AL618" s="541"/>
      <c r="AM618" s="541"/>
      <c r="AN618" s="1748"/>
      <c r="AO618" s="1748"/>
      <c r="AP618" s="1748"/>
      <c r="AQ618" s="1748"/>
      <c r="AR618" s="1748"/>
      <c r="AS618" s="541"/>
      <c r="AT618" s="541"/>
      <c r="AU618" s="541"/>
      <c r="AV618" s="541"/>
      <c r="AW618" s="541"/>
      <c r="AX618" s="541"/>
      <c r="AY618" s="541"/>
      <c r="AZ618" s="541"/>
      <c r="BA618" s="541"/>
      <c r="BC618" s="541"/>
      <c r="BE618" s="541"/>
      <c r="BG618" s="541"/>
      <c r="BH618" s="1190"/>
      <c r="BI618" s="541"/>
      <c r="BJ618" s="1190"/>
      <c r="BK618" s="541"/>
      <c r="BL618" s="541"/>
      <c r="BM618" s="541"/>
      <c r="BO618" s="541"/>
      <c r="BP618" s="541"/>
      <c r="BQ618" s="633"/>
      <c r="BR618" s="541"/>
      <c r="BS618" s="541"/>
      <c r="BT618" s="541"/>
    </row>
    <row r="619" ht="15.75" customHeight="1">
      <c r="A619" s="1591"/>
      <c r="B619" s="1541"/>
      <c r="C619" s="2217"/>
      <c r="D619" s="1543"/>
      <c r="E619" s="906"/>
      <c r="F619" s="541"/>
      <c r="G619" s="541"/>
      <c r="H619" s="541"/>
      <c r="I619" s="541"/>
      <c r="J619" s="1748"/>
      <c r="K619" s="541"/>
      <c r="L619" s="1748"/>
      <c r="M619" s="541"/>
      <c r="N619" s="1748"/>
      <c r="O619" s="541"/>
      <c r="P619" s="1748"/>
      <c r="Q619" s="541"/>
      <c r="R619" s="1748"/>
      <c r="S619" s="541"/>
      <c r="T619" s="1748"/>
      <c r="U619" s="541"/>
      <c r="V619" s="1748"/>
      <c r="W619" s="541"/>
      <c r="X619" s="1748"/>
      <c r="Y619" s="1748"/>
      <c r="Z619" s="1748"/>
      <c r="AA619" s="541"/>
      <c r="AB619" s="1748"/>
      <c r="AC619" s="541"/>
      <c r="AD619" s="541"/>
      <c r="AE619" s="541"/>
      <c r="AF619" s="541"/>
      <c r="AG619" s="541"/>
      <c r="AH619" s="541"/>
      <c r="AI619" s="541"/>
      <c r="AJ619" s="541"/>
      <c r="AK619" s="541"/>
      <c r="AL619" s="541"/>
      <c r="AM619" s="541"/>
      <c r="AN619" s="1748"/>
      <c r="AO619" s="1748"/>
      <c r="AP619" s="1748"/>
      <c r="AQ619" s="1748"/>
      <c r="AR619" s="1748"/>
      <c r="AS619" s="541"/>
      <c r="AT619" s="541"/>
      <c r="AU619" s="541"/>
      <c r="AV619" s="541"/>
      <c r="AW619" s="541"/>
      <c r="AX619" s="541"/>
      <c r="AY619" s="541"/>
      <c r="AZ619" s="541"/>
      <c r="BA619" s="541"/>
      <c r="BC619" s="541"/>
      <c r="BE619" s="541"/>
      <c r="BG619" s="541"/>
      <c r="BH619" s="1190"/>
      <c r="BI619" s="541"/>
      <c r="BJ619" s="1190"/>
      <c r="BK619" s="541"/>
      <c r="BL619" s="541"/>
      <c r="BM619" s="541"/>
      <c r="BO619" s="541"/>
      <c r="BP619" s="541"/>
      <c r="BQ619" s="633"/>
      <c r="BR619" s="541"/>
      <c r="BS619" s="541"/>
      <c r="BT619" s="541"/>
    </row>
    <row r="620" ht="15.75" customHeight="1">
      <c r="A620" s="1591"/>
      <c r="B620" s="1541"/>
      <c r="C620" s="2217"/>
      <c r="D620" s="1543"/>
      <c r="E620" s="906"/>
      <c r="F620" s="541"/>
      <c r="G620" s="541"/>
      <c r="H620" s="541"/>
      <c r="I620" s="541"/>
      <c r="J620" s="1748"/>
      <c r="K620" s="541"/>
      <c r="L620" s="1748"/>
      <c r="M620" s="541"/>
      <c r="N620" s="1748"/>
      <c r="O620" s="541"/>
      <c r="P620" s="1748"/>
      <c r="Q620" s="541"/>
      <c r="R620" s="1748"/>
      <c r="S620" s="541"/>
      <c r="T620" s="1748"/>
      <c r="U620" s="541"/>
      <c r="V620" s="1748"/>
      <c r="W620" s="541"/>
      <c r="X620" s="1748"/>
      <c r="Y620" s="1748"/>
      <c r="Z620" s="1748"/>
      <c r="AA620" s="541"/>
      <c r="AB620" s="1748"/>
      <c r="AC620" s="541"/>
      <c r="AD620" s="541"/>
      <c r="AE620" s="541"/>
      <c r="AF620" s="541"/>
      <c r="AG620" s="541"/>
      <c r="AH620" s="541"/>
      <c r="AI620" s="541"/>
      <c r="AJ620" s="541"/>
      <c r="AK620" s="541"/>
      <c r="AL620" s="541"/>
      <c r="AM620" s="541"/>
      <c r="AN620" s="1748"/>
      <c r="AO620" s="1748"/>
      <c r="AP620" s="1748"/>
      <c r="AQ620" s="1748"/>
      <c r="AR620" s="1748"/>
      <c r="AS620" s="541"/>
      <c r="AT620" s="541"/>
      <c r="AU620" s="541"/>
      <c r="AV620" s="541"/>
      <c r="AW620" s="541"/>
      <c r="AX620" s="541"/>
      <c r="AY620" s="541"/>
      <c r="AZ620" s="541"/>
      <c r="BA620" s="541"/>
      <c r="BC620" s="541"/>
      <c r="BE620" s="541"/>
      <c r="BG620" s="541"/>
      <c r="BH620" s="1190"/>
      <c r="BI620" s="541"/>
      <c r="BJ620" s="1190"/>
      <c r="BK620" s="541"/>
      <c r="BL620" s="541"/>
      <c r="BM620" s="541"/>
      <c r="BO620" s="541"/>
      <c r="BP620" s="541"/>
      <c r="BQ620" s="633"/>
      <c r="BR620" s="541"/>
      <c r="BS620" s="541"/>
      <c r="BT620" s="541"/>
    </row>
    <row r="621" ht="15.75" customHeight="1">
      <c r="A621" s="1591"/>
      <c r="B621" s="1541"/>
      <c r="C621" s="2217"/>
      <c r="D621" s="1543"/>
      <c r="E621" s="906"/>
      <c r="F621" s="541"/>
      <c r="G621" s="541"/>
      <c r="H621" s="541"/>
      <c r="I621" s="541"/>
      <c r="J621" s="1748"/>
      <c r="K621" s="541"/>
      <c r="L621" s="1748"/>
      <c r="M621" s="541"/>
      <c r="N621" s="1748"/>
      <c r="O621" s="541"/>
      <c r="P621" s="1748"/>
      <c r="Q621" s="541"/>
      <c r="R621" s="1748"/>
      <c r="S621" s="541"/>
      <c r="T621" s="1748"/>
      <c r="U621" s="541"/>
      <c r="V621" s="1748"/>
      <c r="W621" s="541"/>
      <c r="X621" s="1748"/>
      <c r="Y621" s="1748"/>
      <c r="Z621" s="1748"/>
      <c r="AA621" s="541"/>
      <c r="AB621" s="1748"/>
      <c r="AC621" s="541"/>
      <c r="AD621" s="541"/>
      <c r="AE621" s="541"/>
      <c r="AF621" s="541"/>
      <c r="AG621" s="541"/>
      <c r="AH621" s="541"/>
      <c r="AI621" s="541"/>
      <c r="AJ621" s="541"/>
      <c r="AK621" s="541"/>
      <c r="AL621" s="541"/>
      <c r="AM621" s="541"/>
      <c r="AN621" s="1748"/>
      <c r="AO621" s="1748"/>
      <c r="AP621" s="1748"/>
      <c r="AQ621" s="1748"/>
      <c r="AR621" s="1748"/>
      <c r="AS621" s="541"/>
      <c r="AT621" s="541"/>
      <c r="AU621" s="541"/>
      <c r="AV621" s="541"/>
      <c r="AW621" s="541"/>
      <c r="AX621" s="541"/>
      <c r="AY621" s="541"/>
      <c r="AZ621" s="541"/>
      <c r="BA621" s="541"/>
      <c r="BC621" s="541"/>
      <c r="BE621" s="541"/>
      <c r="BG621" s="541"/>
      <c r="BH621" s="1190"/>
      <c r="BI621" s="541"/>
      <c r="BJ621" s="1190"/>
      <c r="BK621" s="541"/>
      <c r="BL621" s="541"/>
      <c r="BM621" s="541"/>
      <c r="BO621" s="541"/>
      <c r="BP621" s="541"/>
      <c r="BQ621" s="633"/>
      <c r="BR621" s="541"/>
      <c r="BS621" s="541"/>
      <c r="BT621" s="541"/>
    </row>
    <row r="622" ht="15.75" customHeight="1">
      <c r="A622" s="1591"/>
      <c r="B622" s="1541"/>
      <c r="C622" s="2217"/>
      <c r="D622" s="1543"/>
      <c r="E622" s="906"/>
      <c r="F622" s="541"/>
      <c r="G622" s="541"/>
      <c r="H622" s="541"/>
      <c r="I622" s="541"/>
      <c r="J622" s="1748"/>
      <c r="K622" s="541"/>
      <c r="L622" s="1748"/>
      <c r="M622" s="541"/>
      <c r="N622" s="1748"/>
      <c r="O622" s="541"/>
      <c r="P622" s="1748"/>
      <c r="Q622" s="541"/>
      <c r="R622" s="1748"/>
      <c r="S622" s="541"/>
      <c r="T622" s="1748"/>
      <c r="U622" s="541"/>
      <c r="V622" s="1748"/>
      <c r="W622" s="541"/>
      <c r="X622" s="1748"/>
      <c r="Y622" s="1748"/>
      <c r="Z622" s="1748"/>
      <c r="AA622" s="541"/>
      <c r="AB622" s="1748"/>
      <c r="AC622" s="541"/>
      <c r="AD622" s="541"/>
      <c r="AE622" s="541"/>
      <c r="AF622" s="541"/>
      <c r="AG622" s="541"/>
      <c r="AH622" s="541"/>
      <c r="AI622" s="541"/>
      <c r="AJ622" s="541"/>
      <c r="AK622" s="541"/>
      <c r="AL622" s="541"/>
      <c r="AM622" s="541"/>
      <c r="AN622" s="1748"/>
      <c r="AO622" s="1748"/>
      <c r="AP622" s="1748"/>
      <c r="AQ622" s="1748"/>
      <c r="AR622" s="1748"/>
      <c r="AS622" s="541"/>
      <c r="AT622" s="541"/>
      <c r="AU622" s="541"/>
      <c r="AV622" s="541"/>
      <c r="AW622" s="541"/>
      <c r="AX622" s="541"/>
      <c r="AY622" s="541"/>
      <c r="AZ622" s="541"/>
      <c r="BA622" s="541"/>
      <c r="BC622" s="541"/>
      <c r="BE622" s="541"/>
      <c r="BG622" s="541"/>
      <c r="BH622" s="1190"/>
      <c r="BI622" s="541"/>
      <c r="BJ622" s="1190"/>
      <c r="BK622" s="541"/>
      <c r="BL622" s="541"/>
      <c r="BM622" s="541"/>
      <c r="BO622" s="541"/>
      <c r="BP622" s="541"/>
      <c r="BQ622" s="633"/>
      <c r="BR622" s="541"/>
      <c r="BS622" s="541"/>
      <c r="BT622" s="541"/>
    </row>
    <row r="623" ht="15.75" customHeight="1">
      <c r="A623" s="1591"/>
      <c r="B623" s="1541"/>
      <c r="C623" s="2217"/>
      <c r="D623" s="1543"/>
      <c r="E623" s="906"/>
      <c r="F623" s="541"/>
      <c r="G623" s="541"/>
      <c r="H623" s="541"/>
      <c r="I623" s="541"/>
      <c r="J623" s="1748"/>
      <c r="K623" s="541"/>
      <c r="L623" s="1748"/>
      <c r="M623" s="541"/>
      <c r="N623" s="1748"/>
      <c r="O623" s="541"/>
      <c r="P623" s="1748"/>
      <c r="Q623" s="541"/>
      <c r="R623" s="1748"/>
      <c r="S623" s="541"/>
      <c r="T623" s="1748"/>
      <c r="U623" s="541"/>
      <c r="V623" s="1748"/>
      <c r="W623" s="541"/>
      <c r="X623" s="1748"/>
      <c r="Y623" s="1748"/>
      <c r="Z623" s="1748"/>
      <c r="AA623" s="541"/>
      <c r="AB623" s="1748"/>
      <c r="AC623" s="541"/>
      <c r="AD623" s="541"/>
      <c r="AE623" s="541"/>
      <c r="AF623" s="541"/>
      <c r="AG623" s="541"/>
      <c r="AH623" s="541"/>
      <c r="AI623" s="541"/>
      <c r="AJ623" s="541"/>
      <c r="AK623" s="541"/>
      <c r="AL623" s="541"/>
      <c r="AM623" s="541"/>
      <c r="AN623" s="1748"/>
      <c r="AO623" s="1748"/>
      <c r="AP623" s="1748"/>
      <c r="AQ623" s="1748"/>
      <c r="AR623" s="1748"/>
      <c r="AS623" s="541"/>
      <c r="AT623" s="541"/>
      <c r="AU623" s="541"/>
      <c r="AV623" s="541"/>
      <c r="AW623" s="541"/>
      <c r="AX623" s="541"/>
      <c r="AY623" s="541"/>
      <c r="AZ623" s="541"/>
      <c r="BA623" s="541"/>
      <c r="BC623" s="541"/>
      <c r="BE623" s="541"/>
      <c r="BG623" s="541"/>
      <c r="BH623" s="1190"/>
      <c r="BI623" s="541"/>
      <c r="BJ623" s="1190"/>
      <c r="BK623" s="541"/>
      <c r="BL623" s="541"/>
      <c r="BM623" s="541"/>
      <c r="BO623" s="541"/>
      <c r="BP623" s="541"/>
      <c r="BQ623" s="633"/>
      <c r="BR623" s="541"/>
      <c r="BS623" s="541"/>
      <c r="BT623" s="541"/>
    </row>
    <row r="624" ht="15.75" customHeight="1">
      <c r="A624" s="1591"/>
      <c r="B624" s="1541"/>
      <c r="C624" s="2217"/>
      <c r="D624" s="1543"/>
      <c r="E624" s="906"/>
      <c r="F624" s="541"/>
      <c r="G624" s="541"/>
      <c r="H624" s="541"/>
      <c r="I624" s="541"/>
      <c r="J624" s="1748"/>
      <c r="K624" s="541"/>
      <c r="L624" s="1748"/>
      <c r="M624" s="541"/>
      <c r="N624" s="1748"/>
      <c r="O624" s="541"/>
      <c r="P624" s="1748"/>
      <c r="Q624" s="541"/>
      <c r="R624" s="1748"/>
      <c r="S624" s="541"/>
      <c r="T624" s="1748"/>
      <c r="U624" s="541"/>
      <c r="V624" s="1748"/>
      <c r="W624" s="541"/>
      <c r="X624" s="1748"/>
      <c r="Y624" s="1748"/>
      <c r="Z624" s="1748"/>
      <c r="AA624" s="541"/>
      <c r="AB624" s="1748"/>
      <c r="AC624" s="541"/>
      <c r="AD624" s="541"/>
      <c r="AE624" s="541"/>
      <c r="AF624" s="541"/>
      <c r="AG624" s="541"/>
      <c r="AH624" s="541"/>
      <c r="AI624" s="541"/>
      <c r="AJ624" s="541"/>
      <c r="AK624" s="541"/>
      <c r="AL624" s="541"/>
      <c r="AM624" s="541"/>
      <c r="AN624" s="1748"/>
      <c r="AO624" s="1748"/>
      <c r="AP624" s="1748"/>
      <c r="AQ624" s="1748"/>
      <c r="AR624" s="1748"/>
      <c r="AS624" s="541"/>
      <c r="AT624" s="541"/>
      <c r="AU624" s="541"/>
      <c r="AV624" s="541"/>
      <c r="AW624" s="541"/>
      <c r="AX624" s="541"/>
      <c r="AY624" s="541"/>
      <c r="AZ624" s="541"/>
      <c r="BA624" s="541"/>
      <c r="BC624" s="541"/>
      <c r="BE624" s="541"/>
      <c r="BG624" s="541"/>
      <c r="BH624" s="1190"/>
      <c r="BI624" s="541"/>
      <c r="BJ624" s="1190"/>
      <c r="BK624" s="541"/>
      <c r="BL624" s="541"/>
      <c r="BM624" s="541"/>
      <c r="BO624" s="541"/>
      <c r="BP624" s="541"/>
      <c r="BQ624" s="633"/>
      <c r="BR624" s="541"/>
      <c r="BS624" s="541"/>
      <c r="BT624" s="541"/>
    </row>
    <row r="625" ht="15.75" customHeight="1">
      <c r="A625" s="1591"/>
      <c r="B625" s="1541"/>
      <c r="C625" s="2217"/>
      <c r="D625" s="1543"/>
      <c r="E625" s="906"/>
      <c r="F625" s="541"/>
      <c r="G625" s="541"/>
      <c r="H625" s="541"/>
      <c r="I625" s="541"/>
      <c r="J625" s="1748"/>
      <c r="K625" s="541"/>
      <c r="L625" s="1748"/>
      <c r="M625" s="541"/>
      <c r="N625" s="1748"/>
      <c r="O625" s="541"/>
      <c r="P625" s="1748"/>
      <c r="Q625" s="541"/>
      <c r="R625" s="1748"/>
      <c r="S625" s="541"/>
      <c r="T625" s="1748"/>
      <c r="U625" s="541"/>
      <c r="V625" s="1748"/>
      <c r="W625" s="541"/>
      <c r="X625" s="1748"/>
      <c r="Y625" s="1748"/>
      <c r="Z625" s="1748"/>
      <c r="AA625" s="541"/>
      <c r="AB625" s="1748"/>
      <c r="AC625" s="541"/>
      <c r="AD625" s="541"/>
      <c r="AE625" s="541"/>
      <c r="AF625" s="541"/>
      <c r="AG625" s="541"/>
      <c r="AH625" s="541"/>
      <c r="AI625" s="541"/>
      <c r="AJ625" s="541"/>
      <c r="AK625" s="541"/>
      <c r="AL625" s="541"/>
      <c r="AM625" s="541"/>
      <c r="AN625" s="1748"/>
      <c r="AO625" s="1748"/>
      <c r="AP625" s="1748"/>
      <c r="AQ625" s="1748"/>
      <c r="AR625" s="1748"/>
      <c r="AS625" s="541"/>
      <c r="AT625" s="541"/>
      <c r="AU625" s="541"/>
      <c r="AV625" s="541"/>
      <c r="AW625" s="541"/>
      <c r="AX625" s="541"/>
      <c r="AY625" s="541"/>
      <c r="AZ625" s="541"/>
      <c r="BA625" s="541"/>
      <c r="BC625" s="541"/>
      <c r="BE625" s="541"/>
      <c r="BG625" s="541"/>
      <c r="BH625" s="1190"/>
      <c r="BI625" s="541"/>
      <c r="BJ625" s="1190"/>
      <c r="BK625" s="541"/>
      <c r="BL625" s="541"/>
      <c r="BM625" s="541"/>
      <c r="BO625" s="541"/>
      <c r="BP625" s="541"/>
      <c r="BQ625" s="633"/>
      <c r="BR625" s="541"/>
      <c r="BS625" s="541"/>
      <c r="BT625" s="541"/>
    </row>
    <row r="626" ht="15.75" customHeight="1">
      <c r="A626" s="1591"/>
      <c r="B626" s="1541"/>
      <c r="C626" s="2217"/>
      <c r="D626" s="1543"/>
      <c r="E626" s="906"/>
      <c r="F626" s="541"/>
      <c r="G626" s="541"/>
      <c r="H626" s="541"/>
      <c r="I626" s="541"/>
      <c r="J626" s="1748"/>
      <c r="K626" s="541"/>
      <c r="L626" s="1748"/>
      <c r="M626" s="541"/>
      <c r="N626" s="1748"/>
      <c r="O626" s="541"/>
      <c r="P626" s="1748"/>
      <c r="Q626" s="541"/>
      <c r="R626" s="1748"/>
      <c r="S626" s="541"/>
      <c r="T626" s="1748"/>
      <c r="U626" s="541"/>
      <c r="V626" s="1748"/>
      <c r="W626" s="541"/>
      <c r="X626" s="1748"/>
      <c r="Y626" s="1748"/>
      <c r="Z626" s="1748"/>
      <c r="AA626" s="541"/>
      <c r="AB626" s="1748"/>
      <c r="AC626" s="541"/>
      <c r="AD626" s="541"/>
      <c r="AE626" s="541"/>
      <c r="AF626" s="541"/>
      <c r="AG626" s="541"/>
      <c r="AH626" s="541"/>
      <c r="AI626" s="541"/>
      <c r="AJ626" s="541"/>
      <c r="AK626" s="541"/>
      <c r="AL626" s="541"/>
      <c r="AM626" s="541"/>
      <c r="AN626" s="1748"/>
      <c r="AO626" s="1748"/>
      <c r="AP626" s="1748"/>
      <c r="AQ626" s="1748"/>
      <c r="AR626" s="1748"/>
      <c r="AS626" s="541"/>
      <c r="AT626" s="541"/>
      <c r="AU626" s="541"/>
      <c r="AV626" s="541"/>
      <c r="AW626" s="541"/>
      <c r="AX626" s="541"/>
      <c r="AY626" s="541"/>
      <c r="AZ626" s="541"/>
      <c r="BA626" s="541"/>
      <c r="BC626" s="541"/>
      <c r="BE626" s="541"/>
      <c r="BG626" s="541"/>
      <c r="BH626" s="1190"/>
      <c r="BI626" s="541"/>
      <c r="BJ626" s="1190"/>
      <c r="BK626" s="541"/>
      <c r="BL626" s="541"/>
      <c r="BM626" s="541"/>
      <c r="BO626" s="541"/>
      <c r="BP626" s="541"/>
      <c r="BQ626" s="633"/>
      <c r="BR626" s="541"/>
      <c r="BS626" s="541"/>
      <c r="BT626" s="541"/>
    </row>
    <row r="627" ht="15.75" customHeight="1">
      <c r="A627" s="1591"/>
      <c r="B627" s="1541"/>
      <c r="C627" s="2217"/>
      <c r="D627" s="1543"/>
      <c r="E627" s="906"/>
      <c r="F627" s="541"/>
      <c r="G627" s="541"/>
      <c r="H627" s="541"/>
      <c r="I627" s="541"/>
      <c r="J627" s="1748"/>
      <c r="K627" s="541"/>
      <c r="L627" s="1748"/>
      <c r="M627" s="541"/>
      <c r="N627" s="1748"/>
      <c r="O627" s="541"/>
      <c r="P627" s="1748"/>
      <c r="Q627" s="541"/>
      <c r="R627" s="1748"/>
      <c r="S627" s="541"/>
      <c r="T627" s="1748"/>
      <c r="U627" s="541"/>
      <c r="V627" s="1748"/>
      <c r="W627" s="541"/>
      <c r="X627" s="1748"/>
      <c r="Y627" s="1748"/>
      <c r="Z627" s="1748"/>
      <c r="AA627" s="541"/>
      <c r="AB627" s="1748"/>
      <c r="AC627" s="541"/>
      <c r="AD627" s="541"/>
      <c r="AE627" s="541"/>
      <c r="AF627" s="541"/>
      <c r="AG627" s="541"/>
      <c r="AH627" s="541"/>
      <c r="AI627" s="541"/>
      <c r="AJ627" s="541"/>
      <c r="AK627" s="541"/>
      <c r="AL627" s="541"/>
      <c r="AM627" s="541"/>
      <c r="AN627" s="1748"/>
      <c r="AO627" s="1748"/>
      <c r="AP627" s="1748"/>
      <c r="AQ627" s="1748"/>
      <c r="AR627" s="1748"/>
      <c r="AS627" s="541"/>
      <c r="AT627" s="541"/>
      <c r="AU627" s="541"/>
      <c r="AV627" s="541"/>
      <c r="AW627" s="541"/>
      <c r="AX627" s="541"/>
      <c r="AY627" s="541"/>
      <c r="AZ627" s="541"/>
      <c r="BA627" s="541"/>
      <c r="BC627" s="541"/>
      <c r="BE627" s="541"/>
      <c r="BG627" s="541"/>
      <c r="BH627" s="1190"/>
      <c r="BI627" s="541"/>
      <c r="BJ627" s="1190"/>
      <c r="BK627" s="541"/>
      <c r="BL627" s="541"/>
      <c r="BM627" s="541"/>
      <c r="BO627" s="541"/>
      <c r="BP627" s="541"/>
      <c r="BQ627" s="633"/>
      <c r="BR627" s="541"/>
      <c r="BS627" s="541"/>
      <c r="BT627" s="541"/>
    </row>
    <row r="628" ht="15.75" customHeight="1">
      <c r="A628" s="1591"/>
      <c r="B628" s="1541"/>
      <c r="C628" s="2217"/>
      <c r="D628" s="1543"/>
      <c r="E628" s="906"/>
      <c r="F628" s="541"/>
      <c r="G628" s="541"/>
      <c r="H628" s="541"/>
      <c r="I628" s="541"/>
      <c r="J628" s="1748"/>
      <c r="K628" s="541"/>
      <c r="L628" s="1748"/>
      <c r="M628" s="541"/>
      <c r="N628" s="1748"/>
      <c r="O628" s="541"/>
      <c r="P628" s="1748"/>
      <c r="Q628" s="541"/>
      <c r="R628" s="1748"/>
      <c r="S628" s="541"/>
      <c r="T628" s="1748"/>
      <c r="U628" s="541"/>
      <c r="V628" s="1748"/>
      <c r="W628" s="541"/>
      <c r="X628" s="1748"/>
      <c r="Y628" s="1748"/>
      <c r="Z628" s="1748"/>
      <c r="AA628" s="541"/>
      <c r="AB628" s="1748"/>
      <c r="AC628" s="541"/>
      <c r="AD628" s="541"/>
      <c r="AE628" s="541"/>
      <c r="AF628" s="541"/>
      <c r="AG628" s="541"/>
      <c r="AH628" s="541"/>
      <c r="AI628" s="541"/>
      <c r="AJ628" s="541"/>
      <c r="AK628" s="541"/>
      <c r="AL628" s="541"/>
      <c r="AM628" s="541"/>
      <c r="AN628" s="1748"/>
      <c r="AO628" s="1748"/>
      <c r="AP628" s="1748"/>
      <c r="AQ628" s="1748"/>
      <c r="AR628" s="1748"/>
      <c r="AS628" s="541"/>
      <c r="AT628" s="541"/>
      <c r="AU628" s="541"/>
      <c r="AV628" s="541"/>
      <c r="AW628" s="541"/>
      <c r="AX628" s="541"/>
      <c r="AY628" s="541"/>
      <c r="AZ628" s="541"/>
      <c r="BA628" s="541"/>
      <c r="BC628" s="541"/>
      <c r="BE628" s="541"/>
      <c r="BG628" s="541"/>
      <c r="BH628" s="1190"/>
      <c r="BI628" s="541"/>
      <c r="BJ628" s="1190"/>
      <c r="BK628" s="541"/>
      <c r="BL628" s="541"/>
      <c r="BM628" s="541"/>
      <c r="BO628" s="541"/>
      <c r="BP628" s="541"/>
      <c r="BQ628" s="633"/>
      <c r="BR628" s="541"/>
      <c r="BS628" s="541"/>
      <c r="BT628" s="541"/>
    </row>
    <row r="629" ht="15.75" customHeight="1">
      <c r="A629" s="1591"/>
      <c r="B629" s="1541"/>
      <c r="C629" s="2217"/>
      <c r="D629" s="1543"/>
      <c r="E629" s="906"/>
      <c r="F629" s="541"/>
      <c r="G629" s="541"/>
      <c r="H629" s="541"/>
      <c r="I629" s="541"/>
      <c r="J629" s="1748"/>
      <c r="K629" s="541"/>
      <c r="L629" s="1748"/>
      <c r="M629" s="541"/>
      <c r="N629" s="1748"/>
      <c r="O629" s="541"/>
      <c r="P629" s="1748"/>
      <c r="Q629" s="541"/>
      <c r="R629" s="1748"/>
      <c r="S629" s="541"/>
      <c r="T629" s="1748"/>
      <c r="U629" s="541"/>
      <c r="V629" s="1748"/>
      <c r="W629" s="541"/>
      <c r="X629" s="1748"/>
      <c r="Y629" s="1748"/>
      <c r="Z629" s="1748"/>
      <c r="AA629" s="541"/>
      <c r="AB629" s="1748"/>
      <c r="AC629" s="541"/>
      <c r="AD629" s="541"/>
      <c r="AE629" s="541"/>
      <c r="AF629" s="541"/>
      <c r="AG629" s="541"/>
      <c r="AH629" s="541"/>
      <c r="AI629" s="541"/>
      <c r="AJ629" s="541"/>
      <c r="AK629" s="541"/>
      <c r="AL629" s="541"/>
      <c r="AM629" s="541"/>
      <c r="AN629" s="1748"/>
      <c r="AO629" s="1748"/>
      <c r="AP629" s="1748"/>
      <c r="AQ629" s="1748"/>
      <c r="AR629" s="1748"/>
      <c r="AS629" s="541"/>
      <c r="AT629" s="541"/>
      <c r="AU629" s="541"/>
      <c r="AV629" s="541"/>
      <c r="AW629" s="541"/>
      <c r="AX629" s="541"/>
      <c r="AY629" s="541"/>
      <c r="AZ629" s="541"/>
      <c r="BA629" s="541"/>
      <c r="BC629" s="541"/>
      <c r="BE629" s="541"/>
      <c r="BG629" s="541"/>
      <c r="BH629" s="1190"/>
      <c r="BI629" s="541"/>
      <c r="BJ629" s="1190"/>
      <c r="BK629" s="541"/>
      <c r="BL629" s="541"/>
      <c r="BM629" s="541"/>
      <c r="BO629" s="541"/>
      <c r="BP629" s="541"/>
      <c r="BQ629" s="633"/>
      <c r="BR629" s="541"/>
      <c r="BS629" s="541"/>
      <c r="BT629" s="541"/>
    </row>
    <row r="630" ht="15.75" customHeight="1">
      <c r="A630" s="1591"/>
      <c r="B630" s="1541"/>
      <c r="C630" s="2217"/>
      <c r="D630" s="1543"/>
      <c r="E630" s="906"/>
      <c r="F630" s="541"/>
      <c r="G630" s="541"/>
      <c r="H630" s="541"/>
      <c r="I630" s="541"/>
      <c r="J630" s="1748"/>
      <c r="K630" s="541"/>
      <c r="L630" s="1748"/>
      <c r="M630" s="541"/>
      <c r="N630" s="1748"/>
      <c r="O630" s="541"/>
      <c r="P630" s="1748"/>
      <c r="Q630" s="541"/>
      <c r="R630" s="1748"/>
      <c r="S630" s="541"/>
      <c r="T630" s="1748"/>
      <c r="U630" s="541"/>
      <c r="V630" s="1748"/>
      <c r="W630" s="541"/>
      <c r="X630" s="1748"/>
      <c r="Y630" s="1748"/>
      <c r="Z630" s="1748"/>
      <c r="AA630" s="541"/>
      <c r="AB630" s="1748"/>
      <c r="AC630" s="541"/>
      <c r="AD630" s="541"/>
      <c r="AE630" s="541"/>
      <c r="AF630" s="541"/>
      <c r="AG630" s="541"/>
      <c r="AH630" s="541"/>
      <c r="AI630" s="541"/>
      <c r="AJ630" s="541"/>
      <c r="AK630" s="541"/>
      <c r="AL630" s="541"/>
      <c r="AM630" s="541"/>
      <c r="AN630" s="1748"/>
      <c r="AO630" s="1748"/>
      <c r="AP630" s="1748"/>
      <c r="AQ630" s="1748"/>
      <c r="AR630" s="1748"/>
      <c r="AS630" s="541"/>
      <c r="AT630" s="541"/>
      <c r="AU630" s="541"/>
      <c r="AV630" s="541"/>
      <c r="AW630" s="541"/>
      <c r="AX630" s="541"/>
      <c r="AY630" s="541"/>
      <c r="AZ630" s="541"/>
      <c r="BA630" s="541"/>
      <c r="BC630" s="541"/>
      <c r="BE630" s="541"/>
      <c r="BG630" s="541"/>
      <c r="BH630" s="1190"/>
      <c r="BI630" s="541"/>
      <c r="BJ630" s="1190"/>
      <c r="BK630" s="541"/>
      <c r="BL630" s="541"/>
      <c r="BM630" s="541"/>
      <c r="BO630" s="541"/>
      <c r="BP630" s="541"/>
      <c r="BQ630" s="633"/>
      <c r="BR630" s="541"/>
      <c r="BS630" s="541"/>
      <c r="BT630" s="541"/>
    </row>
    <row r="631" ht="15.75" customHeight="1">
      <c r="A631" s="1591"/>
      <c r="B631" s="1541"/>
      <c r="C631" s="2217"/>
      <c r="D631" s="1543"/>
      <c r="E631" s="906"/>
      <c r="F631" s="541"/>
      <c r="G631" s="541"/>
      <c r="H631" s="541"/>
      <c r="I631" s="541"/>
      <c r="J631" s="1748"/>
      <c r="K631" s="541"/>
      <c r="L631" s="1748"/>
      <c r="M631" s="541"/>
      <c r="N631" s="1748"/>
      <c r="O631" s="541"/>
      <c r="P631" s="1748"/>
      <c r="Q631" s="541"/>
      <c r="R631" s="1748"/>
      <c r="S631" s="541"/>
      <c r="T631" s="1748"/>
      <c r="U631" s="541"/>
      <c r="V631" s="1748"/>
      <c r="W631" s="541"/>
      <c r="X631" s="1748"/>
      <c r="Y631" s="1748"/>
      <c r="Z631" s="1748"/>
      <c r="AA631" s="541"/>
      <c r="AB631" s="1748"/>
      <c r="AC631" s="541"/>
      <c r="AD631" s="541"/>
      <c r="AE631" s="541"/>
      <c r="AF631" s="541"/>
      <c r="AG631" s="541"/>
      <c r="AH631" s="541"/>
      <c r="AI631" s="541"/>
      <c r="AJ631" s="541"/>
      <c r="AK631" s="541"/>
      <c r="AL631" s="541"/>
      <c r="AM631" s="541"/>
      <c r="AN631" s="1748"/>
      <c r="AO631" s="1748"/>
      <c r="AP631" s="1748"/>
      <c r="AQ631" s="1748"/>
      <c r="AR631" s="1748"/>
      <c r="AS631" s="541"/>
      <c r="AT631" s="541"/>
      <c r="AU631" s="541"/>
      <c r="AV631" s="541"/>
      <c r="AW631" s="541"/>
      <c r="AX631" s="541"/>
      <c r="AY631" s="541"/>
      <c r="AZ631" s="541"/>
      <c r="BA631" s="541"/>
      <c r="BC631" s="541"/>
      <c r="BE631" s="541"/>
      <c r="BG631" s="541"/>
      <c r="BH631" s="1190"/>
      <c r="BI631" s="541"/>
      <c r="BJ631" s="1190"/>
      <c r="BK631" s="541"/>
      <c r="BL631" s="541"/>
      <c r="BM631" s="541"/>
      <c r="BO631" s="541"/>
      <c r="BP631" s="541"/>
      <c r="BQ631" s="633"/>
      <c r="BR631" s="541"/>
      <c r="BS631" s="541"/>
      <c r="BT631" s="541"/>
    </row>
    <row r="632" ht="15.75" customHeight="1">
      <c r="A632" s="1591"/>
      <c r="B632" s="1541"/>
      <c r="C632" s="2217"/>
      <c r="D632" s="1543"/>
      <c r="E632" s="906"/>
      <c r="F632" s="541"/>
      <c r="G632" s="541"/>
      <c r="H632" s="541"/>
      <c r="I632" s="541"/>
      <c r="J632" s="1748"/>
      <c r="K632" s="541"/>
      <c r="L632" s="1748"/>
      <c r="M632" s="541"/>
      <c r="N632" s="1748"/>
      <c r="O632" s="541"/>
      <c r="P632" s="1748"/>
      <c r="Q632" s="541"/>
      <c r="R632" s="1748"/>
      <c r="S632" s="541"/>
      <c r="T632" s="1748"/>
      <c r="U632" s="541"/>
      <c r="V632" s="1748"/>
      <c r="W632" s="541"/>
      <c r="X632" s="1748"/>
      <c r="Y632" s="1748"/>
      <c r="Z632" s="1748"/>
      <c r="AA632" s="541"/>
      <c r="AB632" s="1748"/>
      <c r="AC632" s="541"/>
      <c r="AD632" s="541"/>
      <c r="AE632" s="541"/>
      <c r="AF632" s="541"/>
      <c r="AG632" s="541"/>
      <c r="AH632" s="541"/>
      <c r="AI632" s="541"/>
      <c r="AJ632" s="541"/>
      <c r="AK632" s="541"/>
      <c r="AL632" s="541"/>
      <c r="AM632" s="541"/>
      <c r="AN632" s="1748"/>
      <c r="AO632" s="1748"/>
      <c r="AP632" s="1748"/>
      <c r="AQ632" s="1748"/>
      <c r="AR632" s="1748"/>
      <c r="AS632" s="541"/>
      <c r="AT632" s="541"/>
      <c r="AU632" s="541"/>
      <c r="AV632" s="541"/>
      <c r="AW632" s="541"/>
      <c r="AX632" s="541"/>
      <c r="AY632" s="541"/>
      <c r="AZ632" s="541"/>
      <c r="BA632" s="541"/>
      <c r="BC632" s="541"/>
      <c r="BE632" s="541"/>
      <c r="BG632" s="541"/>
      <c r="BH632" s="1190"/>
      <c r="BI632" s="541"/>
      <c r="BJ632" s="1190"/>
      <c r="BK632" s="541"/>
      <c r="BL632" s="541"/>
      <c r="BM632" s="541"/>
      <c r="BO632" s="541"/>
      <c r="BP632" s="541"/>
      <c r="BQ632" s="633"/>
      <c r="BR632" s="541"/>
      <c r="BS632" s="541"/>
      <c r="BT632" s="541"/>
    </row>
    <row r="633" ht="15.75" customHeight="1">
      <c r="A633" s="1591"/>
      <c r="B633" s="1541"/>
      <c r="C633" s="2217"/>
      <c r="D633" s="1543"/>
      <c r="E633" s="906"/>
      <c r="F633" s="541"/>
      <c r="G633" s="541"/>
      <c r="H633" s="541"/>
      <c r="I633" s="541"/>
      <c r="J633" s="1748"/>
      <c r="K633" s="541"/>
      <c r="L633" s="1748"/>
      <c r="M633" s="541"/>
      <c r="N633" s="1748"/>
      <c r="O633" s="541"/>
      <c r="P633" s="1748"/>
      <c r="Q633" s="541"/>
      <c r="R633" s="1748"/>
      <c r="S633" s="541"/>
      <c r="T633" s="1748"/>
      <c r="U633" s="541"/>
      <c r="V633" s="1748"/>
      <c r="W633" s="541"/>
      <c r="X633" s="1748"/>
      <c r="Y633" s="1748"/>
      <c r="Z633" s="1748"/>
      <c r="AA633" s="541"/>
      <c r="AB633" s="1748"/>
      <c r="AC633" s="541"/>
      <c r="AD633" s="541"/>
      <c r="AE633" s="541"/>
      <c r="AF633" s="541"/>
      <c r="AG633" s="541"/>
      <c r="AH633" s="541"/>
      <c r="AI633" s="541"/>
      <c r="AJ633" s="541"/>
      <c r="AK633" s="541"/>
      <c r="AL633" s="541"/>
      <c r="AM633" s="541"/>
      <c r="AN633" s="1748"/>
      <c r="AO633" s="1748"/>
      <c r="AP633" s="1748"/>
      <c r="AQ633" s="1748"/>
      <c r="AR633" s="1748"/>
      <c r="AS633" s="541"/>
      <c r="AT633" s="541"/>
      <c r="AU633" s="541"/>
      <c r="AV633" s="541"/>
      <c r="AW633" s="541"/>
      <c r="AX633" s="541"/>
      <c r="AY633" s="541"/>
      <c r="AZ633" s="541"/>
      <c r="BA633" s="541"/>
      <c r="BC633" s="541"/>
      <c r="BE633" s="541"/>
      <c r="BG633" s="541"/>
      <c r="BH633" s="1190"/>
      <c r="BI633" s="541"/>
      <c r="BJ633" s="1190"/>
      <c r="BK633" s="541"/>
      <c r="BL633" s="541"/>
      <c r="BM633" s="541"/>
      <c r="BO633" s="541"/>
      <c r="BP633" s="541"/>
      <c r="BQ633" s="633"/>
      <c r="BR633" s="541"/>
      <c r="BS633" s="541"/>
      <c r="BT633" s="541"/>
    </row>
    <row r="634" ht="15.75" customHeight="1">
      <c r="A634" s="1591"/>
      <c r="B634" s="1541"/>
      <c r="C634" s="2217"/>
      <c r="D634" s="1543"/>
      <c r="E634" s="906"/>
      <c r="F634" s="541"/>
      <c r="G634" s="541"/>
      <c r="H634" s="541"/>
      <c r="I634" s="541"/>
      <c r="J634" s="1748"/>
      <c r="K634" s="541"/>
      <c r="L634" s="1748"/>
      <c r="M634" s="541"/>
      <c r="N634" s="1748"/>
      <c r="O634" s="541"/>
      <c r="P634" s="1748"/>
      <c r="Q634" s="541"/>
      <c r="R634" s="1748"/>
      <c r="S634" s="541"/>
      <c r="T634" s="1748"/>
      <c r="U634" s="541"/>
      <c r="V634" s="1748"/>
      <c r="W634" s="541"/>
      <c r="X634" s="1748"/>
      <c r="Y634" s="1748"/>
      <c r="Z634" s="1748"/>
      <c r="AA634" s="541"/>
      <c r="AB634" s="1748"/>
      <c r="AC634" s="541"/>
      <c r="AD634" s="541"/>
      <c r="AE634" s="541"/>
      <c r="AF634" s="541"/>
      <c r="AG634" s="541"/>
      <c r="AH634" s="541"/>
      <c r="AI634" s="541"/>
      <c r="AJ634" s="541"/>
      <c r="AK634" s="541"/>
      <c r="AL634" s="541"/>
      <c r="AM634" s="541"/>
      <c r="AN634" s="1748"/>
      <c r="AO634" s="1748"/>
      <c r="AP634" s="1748"/>
      <c r="AQ634" s="1748"/>
      <c r="AR634" s="1748"/>
      <c r="AS634" s="541"/>
      <c r="AT634" s="541"/>
      <c r="AU634" s="541"/>
      <c r="AV634" s="541"/>
      <c r="AW634" s="541"/>
      <c r="AX634" s="541"/>
      <c r="AY634" s="541"/>
      <c r="AZ634" s="541"/>
      <c r="BA634" s="541"/>
      <c r="BC634" s="541"/>
      <c r="BE634" s="541"/>
      <c r="BG634" s="541"/>
      <c r="BH634" s="1190"/>
      <c r="BI634" s="541"/>
      <c r="BJ634" s="1190"/>
      <c r="BK634" s="541"/>
      <c r="BL634" s="541"/>
      <c r="BM634" s="541"/>
      <c r="BO634" s="541"/>
      <c r="BP634" s="541"/>
      <c r="BQ634" s="633"/>
      <c r="BR634" s="541"/>
      <c r="BS634" s="541"/>
      <c r="BT634" s="541"/>
    </row>
    <row r="635" ht="15.75" customHeight="1">
      <c r="A635" s="1591"/>
      <c r="B635" s="1541"/>
      <c r="C635" s="2217"/>
      <c r="D635" s="1543"/>
      <c r="E635" s="906"/>
      <c r="F635" s="541"/>
      <c r="G635" s="541"/>
      <c r="H635" s="541"/>
      <c r="I635" s="541"/>
      <c r="J635" s="1748"/>
      <c r="K635" s="541"/>
      <c r="L635" s="1748"/>
      <c r="M635" s="541"/>
      <c r="N635" s="1748"/>
      <c r="O635" s="541"/>
      <c r="P635" s="1748"/>
      <c r="Q635" s="541"/>
      <c r="R635" s="1748"/>
      <c r="S635" s="541"/>
      <c r="T635" s="1748"/>
      <c r="U635" s="541"/>
      <c r="V635" s="1748"/>
      <c r="W635" s="541"/>
      <c r="X635" s="1748"/>
      <c r="Y635" s="1748"/>
      <c r="Z635" s="1748"/>
      <c r="AA635" s="541"/>
      <c r="AB635" s="1748"/>
      <c r="AC635" s="541"/>
      <c r="AD635" s="541"/>
      <c r="AE635" s="541"/>
      <c r="AF635" s="541"/>
      <c r="AG635" s="541"/>
      <c r="AH635" s="541"/>
      <c r="AI635" s="541"/>
      <c r="AJ635" s="541"/>
      <c r="AK635" s="541"/>
      <c r="AL635" s="541"/>
      <c r="AM635" s="541"/>
      <c r="AN635" s="1748"/>
      <c r="AO635" s="1748"/>
      <c r="AP635" s="1748"/>
      <c r="AQ635" s="1748"/>
      <c r="AR635" s="1748"/>
      <c r="AS635" s="541"/>
      <c r="AT635" s="541"/>
      <c r="AU635" s="541"/>
      <c r="AV635" s="541"/>
      <c r="AW635" s="541"/>
      <c r="AX635" s="541"/>
      <c r="AY635" s="541"/>
      <c r="AZ635" s="541"/>
      <c r="BA635" s="541"/>
      <c r="BC635" s="541"/>
      <c r="BE635" s="541"/>
      <c r="BG635" s="541"/>
      <c r="BH635" s="1190"/>
      <c r="BI635" s="541"/>
      <c r="BJ635" s="1190"/>
      <c r="BK635" s="541"/>
      <c r="BL635" s="541"/>
      <c r="BM635" s="541"/>
      <c r="BO635" s="541"/>
      <c r="BP635" s="541"/>
      <c r="BQ635" s="633"/>
      <c r="BR635" s="541"/>
      <c r="BS635" s="541"/>
      <c r="BT635" s="541"/>
    </row>
    <row r="636" ht="15.75" customHeight="1">
      <c r="A636" s="1591"/>
      <c r="B636" s="1541"/>
      <c r="C636" s="2217"/>
      <c r="D636" s="1543"/>
      <c r="E636" s="906"/>
      <c r="F636" s="541"/>
      <c r="G636" s="541"/>
      <c r="H636" s="541"/>
      <c r="I636" s="541"/>
      <c r="J636" s="1748"/>
      <c r="K636" s="541"/>
      <c r="L636" s="1748"/>
      <c r="M636" s="541"/>
      <c r="N636" s="1748"/>
      <c r="O636" s="541"/>
      <c r="P636" s="1748"/>
      <c r="Q636" s="541"/>
      <c r="R636" s="1748"/>
      <c r="S636" s="541"/>
      <c r="T636" s="1748"/>
      <c r="U636" s="541"/>
      <c r="V636" s="1748"/>
      <c r="W636" s="541"/>
      <c r="X636" s="1748"/>
      <c r="Y636" s="1748"/>
      <c r="Z636" s="1748"/>
      <c r="AA636" s="541"/>
      <c r="AB636" s="1748"/>
      <c r="AC636" s="541"/>
      <c r="AD636" s="541"/>
      <c r="AE636" s="541"/>
      <c r="AF636" s="541"/>
      <c r="AG636" s="541"/>
      <c r="AH636" s="541"/>
      <c r="AI636" s="541"/>
      <c r="AJ636" s="541"/>
      <c r="AK636" s="541"/>
      <c r="AL636" s="541"/>
      <c r="AM636" s="541"/>
      <c r="AN636" s="1748"/>
      <c r="AO636" s="1748"/>
      <c r="AP636" s="1748"/>
      <c r="AQ636" s="1748"/>
      <c r="AR636" s="1748"/>
      <c r="AS636" s="541"/>
      <c r="AT636" s="541"/>
      <c r="AU636" s="541"/>
      <c r="AV636" s="541"/>
      <c r="AW636" s="541"/>
      <c r="AX636" s="541"/>
      <c r="AY636" s="541"/>
      <c r="AZ636" s="541"/>
      <c r="BA636" s="541"/>
      <c r="BC636" s="541"/>
      <c r="BE636" s="541"/>
      <c r="BG636" s="541"/>
      <c r="BH636" s="1190"/>
      <c r="BI636" s="541"/>
      <c r="BJ636" s="1190"/>
      <c r="BK636" s="541"/>
      <c r="BL636" s="541"/>
      <c r="BM636" s="541"/>
      <c r="BO636" s="541"/>
      <c r="BP636" s="541"/>
      <c r="BQ636" s="633"/>
      <c r="BR636" s="541"/>
      <c r="BS636" s="541"/>
      <c r="BT636" s="541"/>
    </row>
    <row r="637" ht="15.75" customHeight="1">
      <c r="A637" s="1591"/>
      <c r="B637" s="1541"/>
      <c r="C637" s="2217"/>
      <c r="D637" s="1543"/>
      <c r="E637" s="906"/>
      <c r="F637" s="541"/>
      <c r="G637" s="541"/>
      <c r="H637" s="541"/>
      <c r="I637" s="541"/>
      <c r="J637" s="1748"/>
      <c r="K637" s="541"/>
      <c r="L637" s="1748"/>
      <c r="M637" s="541"/>
      <c r="N637" s="1748"/>
      <c r="O637" s="541"/>
      <c r="P637" s="1748"/>
      <c r="Q637" s="541"/>
      <c r="R637" s="1748"/>
      <c r="S637" s="541"/>
      <c r="T637" s="1748"/>
      <c r="U637" s="541"/>
      <c r="V637" s="1748"/>
      <c r="W637" s="541"/>
      <c r="X637" s="1748"/>
      <c r="Y637" s="1748"/>
      <c r="Z637" s="1748"/>
      <c r="AA637" s="541"/>
      <c r="AB637" s="1748"/>
      <c r="AC637" s="541"/>
      <c r="AD637" s="541"/>
      <c r="AE637" s="541"/>
      <c r="AF637" s="541"/>
      <c r="AG637" s="541"/>
      <c r="AH637" s="541"/>
      <c r="AI637" s="541"/>
      <c r="AJ637" s="541"/>
      <c r="AK637" s="541"/>
      <c r="AL637" s="541"/>
      <c r="AM637" s="541"/>
      <c r="AN637" s="1748"/>
      <c r="AO637" s="1748"/>
      <c r="AP637" s="1748"/>
      <c r="AQ637" s="1748"/>
      <c r="AR637" s="1748"/>
      <c r="AS637" s="541"/>
      <c r="AT637" s="541"/>
      <c r="AU637" s="541"/>
      <c r="AV637" s="541"/>
      <c r="AW637" s="541"/>
      <c r="AX637" s="541"/>
      <c r="AY637" s="541"/>
      <c r="AZ637" s="541"/>
      <c r="BA637" s="541"/>
      <c r="BC637" s="541"/>
      <c r="BE637" s="541"/>
      <c r="BG637" s="541"/>
      <c r="BH637" s="1190"/>
      <c r="BI637" s="541"/>
      <c r="BJ637" s="1190"/>
      <c r="BK637" s="541"/>
      <c r="BL637" s="541"/>
      <c r="BM637" s="541"/>
      <c r="BO637" s="541"/>
      <c r="BP637" s="541"/>
      <c r="BQ637" s="633"/>
      <c r="BR637" s="541"/>
      <c r="BS637" s="541"/>
      <c r="BT637" s="541"/>
    </row>
    <row r="638" ht="15.75" customHeight="1">
      <c r="A638" s="1591"/>
      <c r="B638" s="1541"/>
      <c r="C638" s="2217"/>
      <c r="D638" s="1543"/>
      <c r="E638" s="906"/>
      <c r="F638" s="541"/>
      <c r="G638" s="541"/>
      <c r="H638" s="541"/>
      <c r="I638" s="541"/>
      <c r="J638" s="1748"/>
      <c r="K638" s="541"/>
      <c r="L638" s="1748"/>
      <c r="M638" s="541"/>
      <c r="N638" s="1748"/>
      <c r="O638" s="541"/>
      <c r="P638" s="1748"/>
      <c r="Q638" s="541"/>
      <c r="R638" s="1748"/>
      <c r="S638" s="541"/>
      <c r="T638" s="1748"/>
      <c r="U638" s="541"/>
      <c r="V638" s="1748"/>
      <c r="W638" s="541"/>
      <c r="X638" s="1748"/>
      <c r="Y638" s="1748"/>
      <c r="Z638" s="1748"/>
      <c r="AA638" s="541"/>
      <c r="AB638" s="1748"/>
      <c r="AC638" s="541"/>
      <c r="AD638" s="541"/>
      <c r="AE638" s="541"/>
      <c r="AF638" s="541"/>
      <c r="AG638" s="541"/>
      <c r="AH638" s="541"/>
      <c r="AI638" s="541"/>
      <c r="AJ638" s="541"/>
      <c r="AK638" s="541"/>
      <c r="AL638" s="541"/>
      <c r="AM638" s="541"/>
      <c r="AN638" s="1748"/>
      <c r="AO638" s="1748"/>
      <c r="AP638" s="1748"/>
      <c r="AQ638" s="1748"/>
      <c r="AR638" s="1748"/>
      <c r="AS638" s="541"/>
      <c r="AT638" s="541"/>
      <c r="AU638" s="541"/>
      <c r="AV638" s="541"/>
      <c r="AW638" s="541"/>
      <c r="AX638" s="541"/>
      <c r="AY638" s="541"/>
      <c r="AZ638" s="541"/>
      <c r="BA638" s="541"/>
      <c r="BC638" s="541"/>
      <c r="BE638" s="541"/>
      <c r="BG638" s="541"/>
      <c r="BH638" s="1190"/>
      <c r="BI638" s="541"/>
      <c r="BJ638" s="1190"/>
      <c r="BK638" s="541"/>
      <c r="BL638" s="541"/>
      <c r="BM638" s="541"/>
      <c r="BO638" s="541"/>
      <c r="BP638" s="541"/>
      <c r="BQ638" s="633"/>
      <c r="BR638" s="541"/>
      <c r="BS638" s="541"/>
      <c r="BT638" s="541"/>
    </row>
    <row r="639" ht="15.75" customHeight="1">
      <c r="A639" s="1591"/>
      <c r="B639" s="1541"/>
      <c r="C639" s="2217"/>
      <c r="D639" s="1543"/>
      <c r="E639" s="906"/>
      <c r="F639" s="541"/>
      <c r="G639" s="541"/>
      <c r="H639" s="541"/>
      <c r="I639" s="541"/>
      <c r="J639" s="1748"/>
      <c r="K639" s="541"/>
      <c r="L639" s="1748"/>
      <c r="M639" s="541"/>
      <c r="N639" s="1748"/>
      <c r="O639" s="541"/>
      <c r="P639" s="1748"/>
      <c r="Q639" s="541"/>
      <c r="R639" s="1748"/>
      <c r="S639" s="541"/>
      <c r="T639" s="1748"/>
      <c r="U639" s="541"/>
      <c r="V639" s="1748"/>
      <c r="W639" s="541"/>
      <c r="X639" s="1748"/>
      <c r="Y639" s="1748"/>
      <c r="Z639" s="1748"/>
      <c r="AA639" s="541"/>
      <c r="AB639" s="1748"/>
      <c r="AC639" s="541"/>
      <c r="AD639" s="541"/>
      <c r="AE639" s="541"/>
      <c r="AF639" s="541"/>
      <c r="AG639" s="541"/>
      <c r="AH639" s="541"/>
      <c r="AI639" s="541"/>
      <c r="AJ639" s="541"/>
      <c r="AK639" s="541"/>
      <c r="AL639" s="541"/>
      <c r="AM639" s="541"/>
      <c r="AN639" s="1748"/>
      <c r="AO639" s="1748"/>
      <c r="AP639" s="1748"/>
      <c r="AQ639" s="1748"/>
      <c r="AR639" s="1748"/>
      <c r="AS639" s="541"/>
      <c r="AT639" s="541"/>
      <c r="AU639" s="541"/>
      <c r="AV639" s="541"/>
      <c r="AW639" s="541"/>
      <c r="AX639" s="541"/>
      <c r="AY639" s="541"/>
      <c r="AZ639" s="541"/>
      <c r="BA639" s="541"/>
      <c r="BC639" s="541"/>
      <c r="BE639" s="541"/>
      <c r="BG639" s="541"/>
      <c r="BH639" s="1190"/>
      <c r="BI639" s="541"/>
      <c r="BJ639" s="1190"/>
      <c r="BK639" s="541"/>
      <c r="BL639" s="541"/>
      <c r="BM639" s="541"/>
      <c r="BO639" s="541"/>
      <c r="BP639" s="541"/>
      <c r="BQ639" s="633"/>
      <c r="BR639" s="541"/>
      <c r="BS639" s="541"/>
      <c r="BT639" s="541"/>
    </row>
    <row r="640" ht="15.75" customHeight="1">
      <c r="A640" s="1591"/>
      <c r="B640" s="1541"/>
      <c r="C640" s="2217"/>
      <c r="D640" s="1543"/>
      <c r="E640" s="906"/>
      <c r="F640" s="541"/>
      <c r="G640" s="541"/>
      <c r="H640" s="541"/>
      <c r="I640" s="541"/>
      <c r="J640" s="1748"/>
      <c r="K640" s="541"/>
      <c r="L640" s="1748"/>
      <c r="M640" s="541"/>
      <c r="N640" s="1748"/>
      <c r="O640" s="541"/>
      <c r="P640" s="1748"/>
      <c r="Q640" s="541"/>
      <c r="R640" s="1748"/>
      <c r="S640" s="541"/>
      <c r="T640" s="1748"/>
      <c r="U640" s="541"/>
      <c r="V640" s="1748"/>
      <c r="W640" s="541"/>
      <c r="X640" s="1748"/>
      <c r="Y640" s="1748"/>
      <c r="Z640" s="1748"/>
      <c r="AA640" s="541"/>
      <c r="AB640" s="1748"/>
      <c r="AC640" s="541"/>
      <c r="AD640" s="541"/>
      <c r="AE640" s="541"/>
      <c r="AF640" s="541"/>
      <c r="AG640" s="541"/>
      <c r="AH640" s="541"/>
      <c r="AI640" s="541"/>
      <c r="AJ640" s="541"/>
      <c r="AK640" s="541"/>
      <c r="AL640" s="541"/>
      <c r="AM640" s="541"/>
      <c r="AN640" s="1748"/>
      <c r="AO640" s="1748"/>
      <c r="AP640" s="1748"/>
      <c r="AQ640" s="1748"/>
      <c r="AR640" s="1748"/>
      <c r="AS640" s="541"/>
      <c r="AT640" s="541"/>
      <c r="AU640" s="541"/>
      <c r="AV640" s="541"/>
      <c r="AW640" s="541"/>
      <c r="AX640" s="541"/>
      <c r="AY640" s="541"/>
      <c r="AZ640" s="541"/>
      <c r="BA640" s="541"/>
      <c r="BC640" s="541"/>
      <c r="BE640" s="541"/>
      <c r="BG640" s="541"/>
      <c r="BH640" s="1190"/>
      <c r="BI640" s="541"/>
      <c r="BJ640" s="1190"/>
      <c r="BK640" s="541"/>
      <c r="BL640" s="541"/>
      <c r="BM640" s="541"/>
      <c r="BO640" s="541"/>
      <c r="BP640" s="541"/>
      <c r="BQ640" s="633"/>
      <c r="BR640" s="541"/>
      <c r="BS640" s="541"/>
      <c r="BT640" s="541"/>
    </row>
    <row r="641" ht="15.75" customHeight="1">
      <c r="A641" s="1591"/>
      <c r="B641" s="1541"/>
      <c r="C641" s="2217"/>
      <c r="D641" s="1543"/>
      <c r="E641" s="906"/>
      <c r="F641" s="541"/>
      <c r="G641" s="541"/>
      <c r="H641" s="541"/>
      <c r="I641" s="541"/>
      <c r="J641" s="1748"/>
      <c r="K641" s="541"/>
      <c r="L641" s="1748"/>
      <c r="M641" s="541"/>
      <c r="N641" s="1748"/>
      <c r="O641" s="541"/>
      <c r="P641" s="1748"/>
      <c r="Q641" s="541"/>
      <c r="R641" s="1748"/>
      <c r="S641" s="541"/>
      <c r="T641" s="1748"/>
      <c r="U641" s="541"/>
      <c r="V641" s="1748"/>
      <c r="W641" s="541"/>
      <c r="X641" s="1748"/>
      <c r="Y641" s="1748"/>
      <c r="Z641" s="1748"/>
      <c r="AA641" s="541"/>
      <c r="AB641" s="1748"/>
      <c r="AC641" s="541"/>
      <c r="AD641" s="541"/>
      <c r="AE641" s="541"/>
      <c r="AF641" s="541"/>
      <c r="AG641" s="541"/>
      <c r="AH641" s="541"/>
      <c r="AI641" s="541"/>
      <c r="AJ641" s="541"/>
      <c r="AK641" s="541"/>
      <c r="AL641" s="541"/>
      <c r="AM641" s="541"/>
      <c r="AN641" s="1748"/>
      <c r="AO641" s="1748"/>
      <c r="AP641" s="1748"/>
      <c r="AQ641" s="1748"/>
      <c r="AR641" s="1748"/>
      <c r="AS641" s="541"/>
      <c r="AT641" s="541"/>
      <c r="AU641" s="541"/>
      <c r="AV641" s="541"/>
      <c r="AW641" s="541"/>
      <c r="AX641" s="541"/>
      <c r="AY641" s="541"/>
      <c r="AZ641" s="541"/>
      <c r="BA641" s="541"/>
      <c r="BC641" s="541"/>
      <c r="BE641" s="541"/>
      <c r="BG641" s="541"/>
      <c r="BH641" s="1190"/>
      <c r="BI641" s="541"/>
      <c r="BJ641" s="1190"/>
      <c r="BK641" s="541"/>
      <c r="BL641" s="541"/>
      <c r="BM641" s="541"/>
      <c r="BO641" s="541"/>
      <c r="BP641" s="541"/>
      <c r="BQ641" s="633"/>
      <c r="BR641" s="541"/>
      <c r="BS641" s="541"/>
      <c r="BT641" s="541"/>
    </row>
    <row r="642" ht="15.75" customHeight="1">
      <c r="A642" s="1591"/>
      <c r="B642" s="1541"/>
      <c r="C642" s="2217"/>
      <c r="D642" s="1543"/>
      <c r="E642" s="906"/>
      <c r="F642" s="541"/>
      <c r="G642" s="541"/>
      <c r="H642" s="541"/>
      <c r="I642" s="541"/>
      <c r="J642" s="1748"/>
      <c r="K642" s="541"/>
      <c r="L642" s="1748"/>
      <c r="M642" s="541"/>
      <c r="N642" s="1748"/>
      <c r="O642" s="541"/>
      <c r="P642" s="1748"/>
      <c r="Q642" s="541"/>
      <c r="R642" s="1748"/>
      <c r="S642" s="541"/>
      <c r="T642" s="1748"/>
      <c r="U642" s="541"/>
      <c r="V642" s="1748"/>
      <c r="W642" s="541"/>
      <c r="X642" s="1748"/>
      <c r="Y642" s="1748"/>
      <c r="Z642" s="1748"/>
      <c r="AA642" s="541"/>
      <c r="AB642" s="1748"/>
      <c r="AC642" s="541"/>
      <c r="AD642" s="541"/>
      <c r="AE642" s="541"/>
      <c r="AF642" s="541"/>
      <c r="AG642" s="541"/>
      <c r="AH642" s="541"/>
      <c r="AI642" s="541"/>
      <c r="AJ642" s="541"/>
      <c r="AK642" s="541"/>
      <c r="AL642" s="541"/>
      <c r="AM642" s="541"/>
      <c r="AN642" s="1748"/>
      <c r="AO642" s="1748"/>
      <c r="AP642" s="1748"/>
      <c r="AQ642" s="1748"/>
      <c r="AR642" s="1748"/>
      <c r="AS642" s="541"/>
      <c r="AT642" s="541"/>
      <c r="AU642" s="541"/>
      <c r="AV642" s="541"/>
      <c r="AW642" s="541"/>
      <c r="AX642" s="541"/>
      <c r="AY642" s="541"/>
      <c r="AZ642" s="541"/>
      <c r="BA642" s="541"/>
      <c r="BC642" s="541"/>
      <c r="BE642" s="541"/>
      <c r="BG642" s="541"/>
      <c r="BH642" s="1190"/>
      <c r="BI642" s="541"/>
      <c r="BJ642" s="1190"/>
      <c r="BK642" s="541"/>
      <c r="BL642" s="541"/>
      <c r="BM642" s="541"/>
      <c r="BO642" s="541"/>
      <c r="BP642" s="541"/>
      <c r="BQ642" s="633"/>
      <c r="BR642" s="541"/>
      <c r="BS642" s="541"/>
      <c r="BT642" s="541"/>
    </row>
    <row r="643" ht="15.75" customHeight="1">
      <c r="A643" s="1591"/>
      <c r="B643" s="1541"/>
      <c r="C643" s="2217"/>
      <c r="D643" s="1543"/>
      <c r="E643" s="906"/>
      <c r="F643" s="541"/>
      <c r="G643" s="541"/>
      <c r="H643" s="541"/>
      <c r="I643" s="541"/>
      <c r="J643" s="1748"/>
      <c r="K643" s="541"/>
      <c r="L643" s="1748"/>
      <c r="M643" s="541"/>
      <c r="N643" s="1748"/>
      <c r="O643" s="541"/>
      <c r="P643" s="1748"/>
      <c r="Q643" s="541"/>
      <c r="R643" s="1748"/>
      <c r="S643" s="541"/>
      <c r="T643" s="1748"/>
      <c r="U643" s="541"/>
      <c r="V643" s="1748"/>
      <c r="W643" s="541"/>
      <c r="X643" s="1748"/>
      <c r="Y643" s="1748"/>
      <c r="Z643" s="1748"/>
      <c r="AA643" s="541"/>
      <c r="AB643" s="1748"/>
      <c r="AC643" s="541"/>
      <c r="AD643" s="541"/>
      <c r="AE643" s="541"/>
      <c r="AF643" s="541"/>
      <c r="AG643" s="541"/>
      <c r="AH643" s="541"/>
      <c r="AI643" s="541"/>
      <c r="AJ643" s="541"/>
      <c r="AK643" s="541"/>
      <c r="AL643" s="541"/>
      <c r="AM643" s="541"/>
      <c r="AN643" s="1748"/>
      <c r="AO643" s="1748"/>
      <c r="AP643" s="1748"/>
      <c r="AQ643" s="1748"/>
      <c r="AR643" s="1748"/>
      <c r="AS643" s="541"/>
      <c r="AT643" s="541"/>
      <c r="AU643" s="541"/>
      <c r="AV643" s="541"/>
      <c r="AW643" s="541"/>
      <c r="AX643" s="541"/>
      <c r="AY643" s="541"/>
      <c r="AZ643" s="541"/>
      <c r="BA643" s="541"/>
      <c r="BC643" s="541"/>
      <c r="BE643" s="541"/>
      <c r="BG643" s="541"/>
      <c r="BH643" s="1190"/>
      <c r="BI643" s="541"/>
      <c r="BJ643" s="1190"/>
      <c r="BK643" s="541"/>
      <c r="BL643" s="541"/>
      <c r="BM643" s="541"/>
      <c r="BO643" s="541"/>
      <c r="BP643" s="541"/>
      <c r="BQ643" s="633"/>
      <c r="BR643" s="541"/>
      <c r="BS643" s="541"/>
      <c r="BT643" s="541"/>
    </row>
    <row r="644" ht="15.75" customHeight="1">
      <c r="A644" s="1591"/>
      <c r="B644" s="1541"/>
      <c r="C644" s="2217"/>
      <c r="D644" s="1543"/>
      <c r="E644" s="906"/>
      <c r="F644" s="541"/>
      <c r="G644" s="541"/>
      <c r="H644" s="541"/>
      <c r="I644" s="541"/>
      <c r="J644" s="1748"/>
      <c r="K644" s="541"/>
      <c r="L644" s="1748"/>
      <c r="M644" s="541"/>
      <c r="N644" s="1748"/>
      <c r="O644" s="541"/>
      <c r="P644" s="1748"/>
      <c r="Q644" s="541"/>
      <c r="R644" s="1748"/>
      <c r="S644" s="541"/>
      <c r="T644" s="1748"/>
      <c r="U644" s="541"/>
      <c r="V644" s="1748"/>
      <c r="W644" s="541"/>
      <c r="X644" s="1748"/>
      <c r="Y644" s="1748"/>
      <c r="Z644" s="1748"/>
      <c r="AA644" s="541"/>
      <c r="AB644" s="1748"/>
      <c r="AC644" s="541"/>
      <c r="AD644" s="541"/>
      <c r="AE644" s="541"/>
      <c r="AF644" s="541"/>
      <c r="AG644" s="541"/>
      <c r="AH644" s="541"/>
      <c r="AI644" s="541"/>
      <c r="AJ644" s="541"/>
      <c r="AK644" s="541"/>
      <c r="AL644" s="541"/>
      <c r="AM644" s="541"/>
      <c r="AN644" s="1748"/>
      <c r="AO644" s="1748"/>
      <c r="AP644" s="1748"/>
      <c r="AQ644" s="1748"/>
      <c r="AR644" s="1748"/>
      <c r="AS644" s="541"/>
      <c r="AT644" s="541"/>
      <c r="AU644" s="541"/>
      <c r="AV644" s="541"/>
      <c r="AW644" s="541"/>
      <c r="AX644" s="541"/>
      <c r="AY644" s="541"/>
      <c r="AZ644" s="541"/>
      <c r="BA644" s="541"/>
      <c r="BC644" s="541"/>
      <c r="BE644" s="541"/>
      <c r="BG644" s="541"/>
      <c r="BH644" s="1190"/>
      <c r="BI644" s="541"/>
      <c r="BJ644" s="1190"/>
      <c r="BK644" s="541"/>
      <c r="BL644" s="541"/>
      <c r="BM644" s="541"/>
      <c r="BO644" s="541"/>
      <c r="BP644" s="541"/>
      <c r="BQ644" s="633"/>
      <c r="BR644" s="541"/>
      <c r="BS644" s="541"/>
      <c r="BT644" s="541"/>
    </row>
    <row r="645" ht="15.75" customHeight="1">
      <c r="A645" s="1591"/>
      <c r="B645" s="1541"/>
      <c r="C645" s="2217"/>
      <c r="D645" s="1543"/>
      <c r="E645" s="906"/>
      <c r="F645" s="541"/>
      <c r="G645" s="541"/>
      <c r="H645" s="541"/>
      <c r="I645" s="541"/>
      <c r="J645" s="1748"/>
      <c r="K645" s="541"/>
      <c r="L645" s="1748"/>
      <c r="M645" s="541"/>
      <c r="N645" s="1748"/>
      <c r="O645" s="541"/>
      <c r="P645" s="1748"/>
      <c r="Q645" s="541"/>
      <c r="R645" s="1748"/>
      <c r="S645" s="541"/>
      <c r="T645" s="1748"/>
      <c r="U645" s="541"/>
      <c r="V645" s="1748"/>
      <c r="W645" s="541"/>
      <c r="X645" s="1748"/>
      <c r="Y645" s="1748"/>
      <c r="Z645" s="1748"/>
      <c r="AA645" s="541"/>
      <c r="AB645" s="1748"/>
      <c r="AC645" s="541"/>
      <c r="AD645" s="541"/>
      <c r="AE645" s="541"/>
      <c r="AF645" s="541"/>
      <c r="AG645" s="541"/>
      <c r="AH645" s="541"/>
      <c r="AI645" s="541"/>
      <c r="AJ645" s="541"/>
      <c r="AK645" s="541"/>
      <c r="AL645" s="541"/>
      <c r="AM645" s="541"/>
      <c r="AN645" s="1748"/>
      <c r="AO645" s="1748"/>
      <c r="AP645" s="1748"/>
      <c r="AQ645" s="1748"/>
      <c r="AR645" s="1748"/>
      <c r="AS645" s="541"/>
      <c r="AT645" s="541"/>
      <c r="AU645" s="541"/>
      <c r="AV645" s="541"/>
      <c r="AW645" s="541"/>
      <c r="AX645" s="541"/>
      <c r="AY645" s="541"/>
      <c r="AZ645" s="541"/>
      <c r="BA645" s="541"/>
      <c r="BC645" s="541"/>
      <c r="BE645" s="541"/>
      <c r="BG645" s="541"/>
      <c r="BH645" s="1190"/>
      <c r="BI645" s="541"/>
      <c r="BJ645" s="1190"/>
      <c r="BK645" s="541"/>
      <c r="BL645" s="541"/>
      <c r="BM645" s="541"/>
      <c r="BO645" s="541"/>
      <c r="BP645" s="541"/>
      <c r="BQ645" s="633"/>
      <c r="BR645" s="541"/>
      <c r="BS645" s="541"/>
      <c r="BT645" s="541"/>
    </row>
    <row r="646" ht="15.75" customHeight="1">
      <c r="A646" s="1591"/>
      <c r="B646" s="1541"/>
      <c r="C646" s="2217"/>
      <c r="D646" s="1543"/>
      <c r="E646" s="906"/>
      <c r="F646" s="541"/>
      <c r="G646" s="541"/>
      <c r="H646" s="541"/>
      <c r="I646" s="541"/>
      <c r="J646" s="1748"/>
      <c r="K646" s="541"/>
      <c r="L646" s="1748"/>
      <c r="M646" s="541"/>
      <c r="N646" s="1748"/>
      <c r="O646" s="541"/>
      <c r="P646" s="1748"/>
      <c r="Q646" s="541"/>
      <c r="R646" s="1748"/>
      <c r="S646" s="541"/>
      <c r="T646" s="1748"/>
      <c r="U646" s="541"/>
      <c r="V646" s="1748"/>
      <c r="W646" s="541"/>
      <c r="X646" s="1748"/>
      <c r="Y646" s="1748"/>
      <c r="Z646" s="1748"/>
      <c r="AA646" s="541"/>
      <c r="AB646" s="1748"/>
      <c r="AC646" s="541"/>
      <c r="AD646" s="541"/>
      <c r="AE646" s="541"/>
      <c r="AF646" s="541"/>
      <c r="AG646" s="541"/>
      <c r="AH646" s="541"/>
      <c r="AI646" s="541"/>
      <c r="AJ646" s="541"/>
      <c r="AK646" s="541"/>
      <c r="AL646" s="541"/>
      <c r="AM646" s="541"/>
      <c r="AN646" s="1748"/>
      <c r="AO646" s="1748"/>
      <c r="AP646" s="1748"/>
      <c r="AQ646" s="1748"/>
      <c r="AR646" s="1748"/>
      <c r="AS646" s="541"/>
      <c r="AT646" s="541"/>
      <c r="AU646" s="541"/>
      <c r="AV646" s="541"/>
      <c r="AW646" s="541"/>
      <c r="AX646" s="541"/>
      <c r="AY646" s="541"/>
      <c r="AZ646" s="541"/>
      <c r="BA646" s="541"/>
      <c r="BC646" s="541"/>
      <c r="BE646" s="541"/>
      <c r="BG646" s="541"/>
      <c r="BH646" s="1190"/>
      <c r="BI646" s="541"/>
      <c r="BJ646" s="1190"/>
      <c r="BK646" s="541"/>
      <c r="BL646" s="541"/>
      <c r="BM646" s="541"/>
      <c r="BO646" s="541"/>
      <c r="BP646" s="541"/>
      <c r="BQ646" s="633"/>
      <c r="BR646" s="541"/>
      <c r="BS646" s="541"/>
      <c r="BT646" s="541"/>
    </row>
    <row r="647" ht="15.75" customHeight="1">
      <c r="A647" s="1591"/>
      <c r="B647" s="1541"/>
      <c r="C647" s="2217"/>
      <c r="D647" s="1543"/>
      <c r="E647" s="906"/>
      <c r="F647" s="541"/>
      <c r="G647" s="541"/>
      <c r="H647" s="541"/>
      <c r="I647" s="541"/>
      <c r="J647" s="1748"/>
      <c r="K647" s="541"/>
      <c r="L647" s="1748"/>
      <c r="M647" s="541"/>
      <c r="N647" s="1748"/>
      <c r="O647" s="541"/>
      <c r="P647" s="1748"/>
      <c r="Q647" s="541"/>
      <c r="R647" s="1748"/>
      <c r="S647" s="541"/>
      <c r="T647" s="1748"/>
      <c r="U647" s="541"/>
      <c r="V647" s="1748"/>
      <c r="W647" s="541"/>
      <c r="X647" s="1748"/>
      <c r="Y647" s="1748"/>
      <c r="Z647" s="1748"/>
      <c r="AA647" s="541"/>
      <c r="AB647" s="1748"/>
      <c r="AC647" s="541"/>
      <c r="AD647" s="541"/>
      <c r="AE647" s="541"/>
      <c r="AF647" s="541"/>
      <c r="AG647" s="541"/>
      <c r="AH647" s="541"/>
      <c r="AI647" s="541"/>
      <c r="AJ647" s="541"/>
      <c r="AK647" s="541"/>
      <c r="AL647" s="541"/>
      <c r="AM647" s="541"/>
      <c r="AN647" s="1748"/>
      <c r="AO647" s="1748"/>
      <c r="AP647" s="1748"/>
      <c r="AQ647" s="1748"/>
      <c r="AR647" s="1748"/>
      <c r="AS647" s="541"/>
      <c r="AT647" s="541"/>
      <c r="AU647" s="541"/>
      <c r="AV647" s="541"/>
      <c r="AW647" s="541"/>
      <c r="AX647" s="541"/>
      <c r="AY647" s="541"/>
      <c r="AZ647" s="541"/>
      <c r="BA647" s="541"/>
      <c r="BC647" s="541"/>
      <c r="BE647" s="541"/>
      <c r="BG647" s="541"/>
      <c r="BH647" s="1190"/>
      <c r="BI647" s="541"/>
      <c r="BJ647" s="1190"/>
      <c r="BK647" s="541"/>
      <c r="BL647" s="541"/>
      <c r="BM647" s="541"/>
      <c r="BO647" s="541"/>
      <c r="BP647" s="541"/>
      <c r="BQ647" s="633"/>
      <c r="BR647" s="541"/>
      <c r="BS647" s="541"/>
      <c r="BT647" s="541"/>
    </row>
    <row r="648" ht="15.75" customHeight="1">
      <c r="A648" s="1591"/>
      <c r="B648" s="1541"/>
      <c r="C648" s="2217"/>
      <c r="D648" s="1543"/>
      <c r="E648" s="906"/>
      <c r="F648" s="541"/>
      <c r="G648" s="541"/>
      <c r="H648" s="541"/>
      <c r="I648" s="541"/>
      <c r="J648" s="1748"/>
      <c r="K648" s="541"/>
      <c r="L648" s="1748"/>
      <c r="M648" s="541"/>
      <c r="N648" s="1748"/>
      <c r="O648" s="541"/>
      <c r="P648" s="1748"/>
      <c r="Q648" s="541"/>
      <c r="R648" s="1748"/>
      <c r="S648" s="541"/>
      <c r="T648" s="1748"/>
      <c r="U648" s="541"/>
      <c r="V648" s="1748"/>
      <c r="W648" s="541"/>
      <c r="X648" s="1748"/>
      <c r="Y648" s="1748"/>
      <c r="Z648" s="1748"/>
      <c r="AA648" s="541"/>
      <c r="AB648" s="1748"/>
      <c r="AC648" s="541"/>
      <c r="AD648" s="541"/>
      <c r="AE648" s="541"/>
      <c r="AF648" s="541"/>
      <c r="AG648" s="541"/>
      <c r="AH648" s="541"/>
      <c r="AI648" s="541"/>
      <c r="AJ648" s="541"/>
      <c r="AK648" s="541"/>
      <c r="AL648" s="541"/>
      <c r="AM648" s="541"/>
      <c r="AN648" s="1748"/>
      <c r="AO648" s="1748"/>
      <c r="AP648" s="1748"/>
      <c r="AQ648" s="1748"/>
      <c r="AR648" s="1748"/>
      <c r="AS648" s="541"/>
      <c r="AT648" s="541"/>
      <c r="AU648" s="541"/>
      <c r="AV648" s="541"/>
      <c r="AW648" s="541"/>
      <c r="AX648" s="541"/>
      <c r="AY648" s="541"/>
      <c r="AZ648" s="541"/>
      <c r="BA648" s="541"/>
      <c r="BC648" s="541"/>
      <c r="BE648" s="541"/>
      <c r="BG648" s="541"/>
      <c r="BH648" s="1190"/>
      <c r="BI648" s="541"/>
      <c r="BJ648" s="1190"/>
      <c r="BK648" s="541"/>
      <c r="BL648" s="541"/>
      <c r="BM648" s="541"/>
      <c r="BO648" s="541"/>
      <c r="BP648" s="541"/>
      <c r="BQ648" s="633"/>
      <c r="BR648" s="541"/>
      <c r="BS648" s="541"/>
      <c r="BT648" s="541"/>
    </row>
    <row r="649" ht="15.75" customHeight="1">
      <c r="A649" s="1591"/>
      <c r="B649" s="1541"/>
      <c r="C649" s="2217"/>
      <c r="D649" s="1543"/>
      <c r="E649" s="906"/>
      <c r="F649" s="541"/>
      <c r="G649" s="541"/>
      <c r="H649" s="541"/>
      <c r="I649" s="541"/>
      <c r="J649" s="1748"/>
      <c r="K649" s="541"/>
      <c r="L649" s="1748"/>
      <c r="M649" s="541"/>
      <c r="N649" s="1748"/>
      <c r="O649" s="541"/>
      <c r="P649" s="1748"/>
      <c r="Q649" s="541"/>
      <c r="R649" s="1748"/>
      <c r="S649" s="541"/>
      <c r="T649" s="1748"/>
      <c r="U649" s="541"/>
      <c r="V649" s="1748"/>
      <c r="W649" s="541"/>
      <c r="X649" s="1748"/>
      <c r="Y649" s="1748"/>
      <c r="Z649" s="1748"/>
      <c r="AA649" s="541"/>
      <c r="AB649" s="1748"/>
      <c r="AC649" s="541"/>
      <c r="AD649" s="541"/>
      <c r="AE649" s="541"/>
      <c r="AF649" s="541"/>
      <c r="AG649" s="541"/>
      <c r="AH649" s="541"/>
      <c r="AI649" s="541"/>
      <c r="AJ649" s="541"/>
      <c r="AK649" s="541"/>
      <c r="AL649" s="541"/>
      <c r="AM649" s="541"/>
      <c r="AN649" s="1748"/>
      <c r="AO649" s="1748"/>
      <c r="AP649" s="1748"/>
      <c r="AQ649" s="1748"/>
      <c r="AR649" s="1748"/>
      <c r="AS649" s="541"/>
      <c r="AT649" s="541"/>
      <c r="AU649" s="541"/>
      <c r="AV649" s="541"/>
      <c r="AW649" s="541"/>
      <c r="AX649" s="541"/>
      <c r="AY649" s="541"/>
      <c r="AZ649" s="541"/>
      <c r="BA649" s="541"/>
      <c r="BC649" s="541"/>
      <c r="BE649" s="541"/>
      <c r="BG649" s="541"/>
      <c r="BH649" s="1190"/>
      <c r="BI649" s="541"/>
      <c r="BJ649" s="1190"/>
      <c r="BK649" s="541"/>
      <c r="BL649" s="541"/>
      <c r="BM649" s="541"/>
      <c r="BO649" s="541"/>
      <c r="BP649" s="541"/>
      <c r="BQ649" s="633"/>
      <c r="BR649" s="541"/>
      <c r="BS649" s="541"/>
      <c r="BT649" s="541"/>
    </row>
    <row r="650" ht="15.75" customHeight="1">
      <c r="A650" s="1591"/>
      <c r="B650" s="1541"/>
      <c r="C650" s="2217"/>
      <c r="D650" s="1543"/>
      <c r="E650" s="906"/>
      <c r="F650" s="541"/>
      <c r="G650" s="541"/>
      <c r="H650" s="541"/>
      <c r="I650" s="541"/>
      <c r="J650" s="1748"/>
      <c r="K650" s="541"/>
      <c r="L650" s="1748"/>
      <c r="M650" s="541"/>
      <c r="N650" s="1748"/>
      <c r="O650" s="541"/>
      <c r="P650" s="1748"/>
      <c r="Q650" s="541"/>
      <c r="R650" s="1748"/>
      <c r="S650" s="541"/>
      <c r="T650" s="1748"/>
      <c r="U650" s="541"/>
      <c r="V650" s="1748"/>
      <c r="W650" s="541"/>
      <c r="X650" s="1748"/>
      <c r="Y650" s="1748"/>
      <c r="Z650" s="1748"/>
      <c r="AA650" s="541"/>
      <c r="AB650" s="1748"/>
      <c r="AC650" s="541"/>
      <c r="AD650" s="541"/>
      <c r="AE650" s="541"/>
      <c r="AF650" s="541"/>
      <c r="AG650" s="541"/>
      <c r="AH650" s="541"/>
      <c r="AI650" s="541"/>
      <c r="AJ650" s="541"/>
      <c r="AK650" s="541"/>
      <c r="AL650" s="541"/>
      <c r="AM650" s="541"/>
      <c r="AN650" s="1748"/>
      <c r="AO650" s="1748"/>
      <c r="AP650" s="1748"/>
      <c r="AQ650" s="1748"/>
      <c r="AR650" s="1748"/>
      <c r="AS650" s="541"/>
      <c r="AT650" s="541"/>
      <c r="AU650" s="541"/>
      <c r="AV650" s="541"/>
      <c r="AW650" s="541"/>
      <c r="AX650" s="541"/>
      <c r="AY650" s="541"/>
      <c r="AZ650" s="541"/>
      <c r="BA650" s="541"/>
      <c r="BC650" s="541"/>
      <c r="BE650" s="541"/>
      <c r="BG650" s="541"/>
      <c r="BH650" s="1190"/>
      <c r="BI650" s="541"/>
      <c r="BJ650" s="1190"/>
      <c r="BK650" s="541"/>
      <c r="BL650" s="541"/>
      <c r="BM650" s="541"/>
      <c r="BO650" s="541"/>
      <c r="BP650" s="541"/>
      <c r="BQ650" s="633"/>
      <c r="BR650" s="541"/>
      <c r="BS650" s="541"/>
      <c r="BT650" s="541"/>
    </row>
    <row r="651" ht="15.75" customHeight="1">
      <c r="A651" s="1591"/>
      <c r="B651" s="1541"/>
      <c r="C651" s="2217"/>
      <c r="D651" s="1543"/>
      <c r="E651" s="906"/>
      <c r="F651" s="541"/>
      <c r="G651" s="541"/>
      <c r="H651" s="541"/>
      <c r="I651" s="541"/>
      <c r="J651" s="1748"/>
      <c r="K651" s="541"/>
      <c r="L651" s="1748"/>
      <c r="M651" s="541"/>
      <c r="N651" s="1748"/>
      <c r="O651" s="541"/>
      <c r="P651" s="1748"/>
      <c r="Q651" s="541"/>
      <c r="R651" s="1748"/>
      <c r="S651" s="541"/>
      <c r="T651" s="1748"/>
      <c r="U651" s="541"/>
      <c r="V651" s="1748"/>
      <c r="W651" s="541"/>
      <c r="X651" s="1748"/>
      <c r="Y651" s="1748"/>
      <c r="Z651" s="1748"/>
      <c r="AA651" s="541"/>
      <c r="AB651" s="1748"/>
      <c r="AC651" s="541"/>
      <c r="AD651" s="541"/>
      <c r="AE651" s="541"/>
      <c r="AF651" s="541"/>
      <c r="AG651" s="541"/>
      <c r="AH651" s="541"/>
      <c r="AI651" s="541"/>
      <c r="AJ651" s="541"/>
      <c r="AK651" s="541"/>
      <c r="AL651" s="541"/>
      <c r="AM651" s="541"/>
      <c r="AN651" s="1748"/>
      <c r="AO651" s="1748"/>
      <c r="AP651" s="1748"/>
      <c r="AQ651" s="1748"/>
      <c r="AR651" s="1748"/>
      <c r="AS651" s="541"/>
      <c r="AT651" s="541"/>
      <c r="AU651" s="541"/>
      <c r="AV651" s="541"/>
      <c r="AW651" s="541"/>
      <c r="AX651" s="541"/>
      <c r="AY651" s="541"/>
      <c r="AZ651" s="541"/>
      <c r="BA651" s="541"/>
      <c r="BC651" s="541"/>
      <c r="BE651" s="541"/>
      <c r="BG651" s="541"/>
      <c r="BH651" s="1190"/>
      <c r="BI651" s="541"/>
      <c r="BJ651" s="1190"/>
      <c r="BK651" s="541"/>
      <c r="BL651" s="541"/>
      <c r="BM651" s="541"/>
      <c r="BO651" s="541"/>
      <c r="BP651" s="541"/>
      <c r="BQ651" s="633"/>
      <c r="BR651" s="541"/>
      <c r="BS651" s="541"/>
      <c r="BT651" s="541"/>
    </row>
    <row r="652" ht="15.75" customHeight="1">
      <c r="A652" s="1591"/>
      <c r="B652" s="1541"/>
      <c r="C652" s="2217"/>
      <c r="D652" s="1543"/>
      <c r="E652" s="906"/>
      <c r="F652" s="541"/>
      <c r="G652" s="541"/>
      <c r="H652" s="541"/>
      <c r="I652" s="541"/>
      <c r="J652" s="1748"/>
      <c r="K652" s="541"/>
      <c r="L652" s="1748"/>
      <c r="M652" s="541"/>
      <c r="N652" s="1748"/>
      <c r="O652" s="541"/>
      <c r="P652" s="1748"/>
      <c r="Q652" s="541"/>
      <c r="R652" s="1748"/>
      <c r="S652" s="541"/>
      <c r="T652" s="1748"/>
      <c r="U652" s="541"/>
      <c r="V652" s="1748"/>
      <c r="W652" s="541"/>
      <c r="X652" s="1748"/>
      <c r="Y652" s="1748"/>
      <c r="Z652" s="1748"/>
      <c r="AA652" s="541"/>
      <c r="AB652" s="1748"/>
      <c r="AC652" s="541"/>
      <c r="AD652" s="541"/>
      <c r="AE652" s="541"/>
      <c r="AF652" s="541"/>
      <c r="AG652" s="541"/>
      <c r="AH652" s="541"/>
      <c r="AI652" s="541"/>
      <c r="AJ652" s="541"/>
      <c r="AK652" s="541"/>
      <c r="AL652" s="541"/>
      <c r="AM652" s="541"/>
      <c r="AN652" s="1748"/>
      <c r="AO652" s="1748"/>
      <c r="AP652" s="1748"/>
      <c r="AQ652" s="1748"/>
      <c r="AR652" s="1748"/>
      <c r="AS652" s="541"/>
      <c r="AT652" s="541"/>
      <c r="AU652" s="541"/>
      <c r="AV652" s="541"/>
      <c r="AW652" s="541"/>
      <c r="AX652" s="541"/>
      <c r="AY652" s="541"/>
      <c r="AZ652" s="541"/>
      <c r="BA652" s="541"/>
      <c r="BC652" s="541"/>
      <c r="BE652" s="541"/>
      <c r="BG652" s="541"/>
      <c r="BH652" s="1190"/>
      <c r="BI652" s="541"/>
      <c r="BJ652" s="1190"/>
      <c r="BK652" s="541"/>
      <c r="BL652" s="541"/>
      <c r="BM652" s="541"/>
      <c r="BO652" s="541"/>
      <c r="BP652" s="541"/>
      <c r="BQ652" s="633"/>
      <c r="BR652" s="541"/>
      <c r="BS652" s="541"/>
      <c r="BT652" s="541"/>
    </row>
    <row r="653" ht="15.75" customHeight="1">
      <c r="A653" s="1591"/>
      <c r="B653" s="1541"/>
      <c r="C653" s="2217"/>
      <c r="D653" s="1543"/>
      <c r="E653" s="906"/>
      <c r="F653" s="541"/>
      <c r="G653" s="541"/>
      <c r="H653" s="541"/>
      <c r="I653" s="541"/>
      <c r="J653" s="1748"/>
      <c r="K653" s="541"/>
      <c r="L653" s="1748"/>
      <c r="M653" s="541"/>
      <c r="N653" s="1748"/>
      <c r="O653" s="541"/>
      <c r="P653" s="1748"/>
      <c r="Q653" s="541"/>
      <c r="R653" s="1748"/>
      <c r="S653" s="541"/>
      <c r="T653" s="1748"/>
      <c r="U653" s="541"/>
      <c r="V653" s="1748"/>
      <c r="W653" s="541"/>
      <c r="X653" s="1748"/>
      <c r="Y653" s="1748"/>
      <c r="Z653" s="1748"/>
      <c r="AA653" s="541"/>
      <c r="AB653" s="1748"/>
      <c r="AC653" s="541"/>
      <c r="AD653" s="541"/>
      <c r="AE653" s="541"/>
      <c r="AF653" s="541"/>
      <c r="AG653" s="541"/>
      <c r="AH653" s="541"/>
      <c r="AI653" s="541"/>
      <c r="AJ653" s="541"/>
      <c r="AK653" s="541"/>
      <c r="AL653" s="541"/>
      <c r="AM653" s="541"/>
      <c r="AN653" s="1748"/>
      <c r="AO653" s="1748"/>
      <c r="AP653" s="1748"/>
      <c r="AQ653" s="1748"/>
      <c r="AR653" s="1748"/>
      <c r="AS653" s="541"/>
      <c r="AT653" s="541"/>
      <c r="AU653" s="541"/>
      <c r="AV653" s="541"/>
      <c r="AW653" s="541"/>
      <c r="AX653" s="541"/>
      <c r="AY653" s="541"/>
      <c r="AZ653" s="541"/>
      <c r="BA653" s="541"/>
      <c r="BC653" s="541"/>
      <c r="BE653" s="541"/>
      <c r="BG653" s="541"/>
      <c r="BH653" s="1190"/>
      <c r="BI653" s="541"/>
      <c r="BJ653" s="1190"/>
      <c r="BK653" s="541"/>
      <c r="BL653" s="541"/>
      <c r="BM653" s="541"/>
      <c r="BO653" s="541"/>
      <c r="BP653" s="541"/>
      <c r="BQ653" s="633"/>
      <c r="BR653" s="541"/>
      <c r="BS653" s="541"/>
      <c r="BT653" s="541"/>
    </row>
    <row r="654" ht="15.75" customHeight="1">
      <c r="A654" s="1591"/>
      <c r="B654" s="1541"/>
      <c r="C654" s="2217"/>
      <c r="D654" s="1543"/>
      <c r="E654" s="906"/>
      <c r="F654" s="541"/>
      <c r="G654" s="541"/>
      <c r="H654" s="541"/>
      <c r="I654" s="541"/>
      <c r="J654" s="1748"/>
      <c r="K654" s="541"/>
      <c r="L654" s="1748"/>
      <c r="M654" s="541"/>
      <c r="N654" s="1748"/>
      <c r="O654" s="541"/>
      <c r="P654" s="1748"/>
      <c r="Q654" s="541"/>
      <c r="R654" s="1748"/>
      <c r="S654" s="541"/>
      <c r="T654" s="1748"/>
      <c r="U654" s="541"/>
      <c r="V654" s="1748"/>
      <c r="W654" s="541"/>
      <c r="X654" s="1748"/>
      <c r="Y654" s="1748"/>
      <c r="Z654" s="1748"/>
      <c r="AA654" s="541"/>
      <c r="AB654" s="1748"/>
      <c r="AC654" s="541"/>
      <c r="AD654" s="541"/>
      <c r="AE654" s="541"/>
      <c r="AF654" s="541"/>
      <c r="AG654" s="541"/>
      <c r="AH654" s="541"/>
      <c r="AI654" s="541"/>
      <c r="AJ654" s="541"/>
      <c r="AK654" s="541"/>
      <c r="AL654" s="541"/>
      <c r="AM654" s="541"/>
      <c r="AN654" s="1748"/>
      <c r="AO654" s="1748"/>
      <c r="AP654" s="1748"/>
      <c r="AQ654" s="1748"/>
      <c r="AR654" s="1748"/>
      <c r="AS654" s="541"/>
      <c r="AT654" s="541"/>
      <c r="AU654" s="541"/>
      <c r="AV654" s="541"/>
      <c r="AW654" s="541"/>
      <c r="AX654" s="541"/>
      <c r="AY654" s="541"/>
      <c r="AZ654" s="541"/>
      <c r="BA654" s="541"/>
      <c r="BC654" s="541"/>
      <c r="BE654" s="541"/>
      <c r="BG654" s="541"/>
      <c r="BH654" s="1190"/>
      <c r="BI654" s="541"/>
      <c r="BJ654" s="1190"/>
      <c r="BK654" s="541"/>
      <c r="BL654" s="541"/>
      <c r="BM654" s="541"/>
      <c r="BO654" s="541"/>
      <c r="BP654" s="541"/>
      <c r="BQ654" s="633"/>
      <c r="BR654" s="541"/>
      <c r="BS654" s="541"/>
      <c r="BT654" s="541"/>
    </row>
    <row r="655" ht="15.75" customHeight="1">
      <c r="A655" s="1591"/>
      <c r="B655" s="1541"/>
      <c r="C655" s="2217"/>
      <c r="D655" s="1543"/>
      <c r="E655" s="906"/>
      <c r="F655" s="541"/>
      <c r="G655" s="541"/>
      <c r="H655" s="541"/>
      <c r="I655" s="541"/>
      <c r="J655" s="1748"/>
      <c r="K655" s="541"/>
      <c r="L655" s="1748"/>
      <c r="M655" s="541"/>
      <c r="N655" s="1748"/>
      <c r="O655" s="541"/>
      <c r="P655" s="1748"/>
      <c r="Q655" s="541"/>
      <c r="R655" s="1748"/>
      <c r="S655" s="541"/>
      <c r="T655" s="1748"/>
      <c r="U655" s="541"/>
      <c r="V655" s="1748"/>
      <c r="W655" s="541"/>
      <c r="X655" s="1748"/>
      <c r="Y655" s="1748"/>
      <c r="Z655" s="1748"/>
      <c r="AA655" s="541"/>
      <c r="AB655" s="1748"/>
      <c r="AC655" s="541"/>
      <c r="AD655" s="541"/>
      <c r="AE655" s="541"/>
      <c r="AF655" s="541"/>
      <c r="AG655" s="541"/>
      <c r="AH655" s="541"/>
      <c r="AI655" s="541"/>
      <c r="AJ655" s="541"/>
      <c r="AK655" s="541"/>
      <c r="AL655" s="541"/>
      <c r="AM655" s="541"/>
      <c r="AN655" s="1748"/>
      <c r="AO655" s="1748"/>
      <c r="AP655" s="1748"/>
      <c r="AQ655" s="1748"/>
      <c r="AR655" s="1748"/>
      <c r="AS655" s="541"/>
      <c r="AT655" s="541"/>
      <c r="AU655" s="541"/>
      <c r="AV655" s="541"/>
      <c r="AW655" s="541"/>
      <c r="AX655" s="541"/>
      <c r="AY655" s="541"/>
      <c r="AZ655" s="541"/>
      <c r="BA655" s="541"/>
      <c r="BC655" s="541"/>
      <c r="BE655" s="541"/>
      <c r="BG655" s="541"/>
      <c r="BH655" s="1190"/>
      <c r="BI655" s="541"/>
      <c r="BJ655" s="1190"/>
      <c r="BK655" s="541"/>
      <c r="BL655" s="541"/>
      <c r="BM655" s="541"/>
      <c r="BO655" s="541"/>
      <c r="BP655" s="541"/>
      <c r="BQ655" s="633"/>
      <c r="BR655" s="541"/>
      <c r="BS655" s="541"/>
      <c r="BT655" s="541"/>
    </row>
    <row r="656" ht="15.75" customHeight="1">
      <c r="A656" s="1591"/>
      <c r="B656" s="1541"/>
      <c r="C656" s="2217"/>
      <c r="D656" s="1543"/>
      <c r="E656" s="906"/>
      <c r="F656" s="541"/>
      <c r="G656" s="541"/>
      <c r="H656" s="541"/>
      <c r="I656" s="541"/>
      <c r="J656" s="1748"/>
      <c r="K656" s="541"/>
      <c r="L656" s="1748"/>
      <c r="M656" s="541"/>
      <c r="N656" s="1748"/>
      <c r="O656" s="541"/>
      <c r="P656" s="1748"/>
      <c r="Q656" s="541"/>
      <c r="R656" s="1748"/>
      <c r="S656" s="541"/>
      <c r="T656" s="1748"/>
      <c r="U656" s="541"/>
      <c r="V656" s="1748"/>
      <c r="W656" s="541"/>
      <c r="X656" s="1748"/>
      <c r="Y656" s="1748"/>
      <c r="Z656" s="1748"/>
      <c r="AA656" s="541"/>
      <c r="AB656" s="1748"/>
      <c r="AC656" s="541"/>
      <c r="AD656" s="541"/>
      <c r="AE656" s="541"/>
      <c r="AF656" s="541"/>
      <c r="AG656" s="541"/>
      <c r="AH656" s="541"/>
      <c r="AI656" s="541"/>
      <c r="AJ656" s="541"/>
      <c r="AK656" s="541"/>
      <c r="AL656" s="541"/>
      <c r="AM656" s="541"/>
      <c r="AN656" s="1748"/>
      <c r="AO656" s="1748"/>
      <c r="AP656" s="1748"/>
      <c r="AQ656" s="1748"/>
      <c r="AR656" s="1748"/>
      <c r="AS656" s="541"/>
      <c r="AT656" s="541"/>
      <c r="AU656" s="541"/>
      <c r="AV656" s="541"/>
      <c r="AW656" s="541"/>
      <c r="AX656" s="541"/>
      <c r="AY656" s="541"/>
      <c r="AZ656" s="541"/>
      <c r="BA656" s="541"/>
      <c r="BC656" s="541"/>
      <c r="BE656" s="541"/>
      <c r="BG656" s="541"/>
      <c r="BH656" s="1190"/>
      <c r="BI656" s="541"/>
      <c r="BJ656" s="1190"/>
      <c r="BK656" s="541"/>
      <c r="BL656" s="541"/>
      <c r="BM656" s="541"/>
      <c r="BO656" s="541"/>
      <c r="BP656" s="541"/>
      <c r="BQ656" s="633"/>
      <c r="BR656" s="541"/>
      <c r="BS656" s="541"/>
      <c r="BT656" s="541"/>
    </row>
    <row r="657" ht="15.75" customHeight="1">
      <c r="A657" s="1591"/>
      <c r="B657" s="1541"/>
      <c r="C657" s="2217"/>
      <c r="D657" s="1543"/>
      <c r="E657" s="906"/>
      <c r="F657" s="541"/>
      <c r="G657" s="541"/>
      <c r="H657" s="541"/>
      <c r="I657" s="541"/>
      <c r="J657" s="1748"/>
      <c r="K657" s="541"/>
      <c r="L657" s="1748"/>
      <c r="M657" s="541"/>
      <c r="N657" s="1748"/>
      <c r="O657" s="541"/>
      <c r="P657" s="1748"/>
      <c r="Q657" s="541"/>
      <c r="R657" s="1748"/>
      <c r="S657" s="541"/>
      <c r="T657" s="1748"/>
      <c r="U657" s="541"/>
      <c r="V657" s="1748"/>
      <c r="W657" s="541"/>
      <c r="X657" s="1748"/>
      <c r="Y657" s="1748"/>
      <c r="Z657" s="1748"/>
      <c r="AA657" s="541"/>
      <c r="AB657" s="1748"/>
      <c r="AC657" s="541"/>
      <c r="AD657" s="541"/>
      <c r="AE657" s="541"/>
      <c r="AF657" s="541"/>
      <c r="AG657" s="541"/>
      <c r="AH657" s="541"/>
      <c r="AI657" s="541"/>
      <c r="AJ657" s="541"/>
      <c r="AK657" s="541"/>
      <c r="AL657" s="541"/>
      <c r="AM657" s="541"/>
      <c r="AN657" s="1748"/>
      <c r="AO657" s="1748"/>
      <c r="AP657" s="1748"/>
      <c r="AQ657" s="1748"/>
      <c r="AR657" s="1748"/>
      <c r="AS657" s="541"/>
      <c r="AT657" s="541"/>
      <c r="AU657" s="541"/>
      <c r="AV657" s="541"/>
      <c r="AW657" s="541"/>
      <c r="AX657" s="541"/>
      <c r="AY657" s="541"/>
      <c r="AZ657" s="541"/>
      <c r="BA657" s="541"/>
      <c r="BC657" s="541"/>
      <c r="BE657" s="541"/>
      <c r="BG657" s="541"/>
      <c r="BH657" s="1190"/>
      <c r="BI657" s="541"/>
      <c r="BJ657" s="1190"/>
      <c r="BK657" s="541"/>
      <c r="BL657" s="541"/>
      <c r="BM657" s="541"/>
      <c r="BO657" s="541"/>
      <c r="BP657" s="541"/>
      <c r="BQ657" s="633"/>
      <c r="BR657" s="541"/>
      <c r="BS657" s="541"/>
      <c r="BT657" s="541"/>
    </row>
    <row r="658" ht="15.75" customHeight="1">
      <c r="A658" s="1591"/>
      <c r="B658" s="1541"/>
      <c r="C658" s="2217"/>
      <c r="D658" s="1543"/>
      <c r="E658" s="906"/>
      <c r="F658" s="541"/>
      <c r="G658" s="541"/>
      <c r="H658" s="541"/>
      <c r="I658" s="541"/>
      <c r="J658" s="1748"/>
      <c r="K658" s="541"/>
      <c r="L658" s="1748"/>
      <c r="M658" s="541"/>
      <c r="N658" s="1748"/>
      <c r="O658" s="541"/>
      <c r="P658" s="1748"/>
      <c r="Q658" s="541"/>
      <c r="R658" s="1748"/>
      <c r="S658" s="541"/>
      <c r="T658" s="1748"/>
      <c r="U658" s="541"/>
      <c r="V658" s="1748"/>
      <c r="W658" s="541"/>
      <c r="X658" s="1748"/>
      <c r="Y658" s="1748"/>
      <c r="Z658" s="1748"/>
      <c r="AA658" s="541"/>
      <c r="AB658" s="1748"/>
      <c r="AC658" s="541"/>
      <c r="AD658" s="541"/>
      <c r="AE658" s="541"/>
      <c r="AF658" s="541"/>
      <c r="AG658" s="541"/>
      <c r="AH658" s="541"/>
      <c r="AI658" s="541"/>
      <c r="AJ658" s="541"/>
      <c r="AK658" s="541"/>
      <c r="AL658" s="541"/>
      <c r="AM658" s="541"/>
      <c r="AN658" s="1748"/>
      <c r="AO658" s="1748"/>
      <c r="AP658" s="1748"/>
      <c r="AQ658" s="1748"/>
      <c r="AR658" s="1748"/>
      <c r="AS658" s="541"/>
      <c r="AT658" s="541"/>
      <c r="AU658" s="541"/>
      <c r="AV658" s="541"/>
      <c r="AW658" s="541"/>
      <c r="AX658" s="541"/>
      <c r="AY658" s="541"/>
      <c r="AZ658" s="541"/>
      <c r="BA658" s="541"/>
      <c r="BC658" s="541"/>
      <c r="BE658" s="541"/>
      <c r="BG658" s="541"/>
      <c r="BH658" s="1190"/>
      <c r="BI658" s="541"/>
      <c r="BJ658" s="1190"/>
      <c r="BK658" s="541"/>
      <c r="BL658" s="541"/>
      <c r="BM658" s="541"/>
      <c r="BO658" s="541"/>
      <c r="BP658" s="541"/>
      <c r="BQ658" s="633"/>
      <c r="BR658" s="541"/>
      <c r="BS658" s="541"/>
      <c r="BT658" s="541"/>
    </row>
    <row r="659" ht="15.75" customHeight="1">
      <c r="A659" s="1591"/>
      <c r="B659" s="1541"/>
      <c r="C659" s="2217"/>
      <c r="D659" s="1543"/>
      <c r="E659" s="906"/>
      <c r="F659" s="541"/>
      <c r="G659" s="541"/>
      <c r="H659" s="541"/>
      <c r="I659" s="541"/>
      <c r="J659" s="1748"/>
      <c r="K659" s="541"/>
      <c r="L659" s="1748"/>
      <c r="M659" s="541"/>
      <c r="N659" s="1748"/>
      <c r="O659" s="541"/>
      <c r="P659" s="1748"/>
      <c r="Q659" s="541"/>
      <c r="R659" s="1748"/>
      <c r="S659" s="541"/>
      <c r="T659" s="1748"/>
      <c r="U659" s="541"/>
      <c r="V659" s="1748"/>
      <c r="W659" s="541"/>
      <c r="X659" s="1748"/>
      <c r="Y659" s="1748"/>
      <c r="Z659" s="1748"/>
      <c r="AA659" s="541"/>
      <c r="AB659" s="1748"/>
      <c r="AC659" s="541"/>
      <c r="AD659" s="541"/>
      <c r="AE659" s="541"/>
      <c r="AF659" s="541"/>
      <c r="AG659" s="541"/>
      <c r="AH659" s="541"/>
      <c r="AI659" s="541"/>
      <c r="AJ659" s="541"/>
      <c r="AK659" s="541"/>
      <c r="AL659" s="541"/>
      <c r="AM659" s="541"/>
      <c r="AN659" s="1748"/>
      <c r="AO659" s="1748"/>
      <c r="AP659" s="1748"/>
      <c r="AQ659" s="1748"/>
      <c r="AR659" s="1748"/>
      <c r="AS659" s="541"/>
      <c r="AT659" s="541"/>
      <c r="AU659" s="541"/>
      <c r="AV659" s="541"/>
      <c r="AW659" s="541"/>
      <c r="AX659" s="541"/>
      <c r="AY659" s="541"/>
      <c r="AZ659" s="541"/>
      <c r="BA659" s="541"/>
      <c r="BC659" s="541"/>
      <c r="BE659" s="541"/>
      <c r="BG659" s="541"/>
      <c r="BH659" s="1190"/>
      <c r="BI659" s="541"/>
      <c r="BJ659" s="1190"/>
      <c r="BK659" s="541"/>
      <c r="BL659" s="541"/>
      <c r="BM659" s="541"/>
      <c r="BO659" s="541"/>
      <c r="BP659" s="541"/>
      <c r="BQ659" s="633"/>
      <c r="BR659" s="541"/>
      <c r="BS659" s="541"/>
      <c r="BT659" s="541"/>
    </row>
    <row r="660" ht="15.75" customHeight="1">
      <c r="A660" s="1591"/>
      <c r="B660" s="1541"/>
      <c r="C660" s="2217"/>
      <c r="D660" s="1543"/>
      <c r="E660" s="906"/>
      <c r="F660" s="541"/>
      <c r="G660" s="541"/>
      <c r="H660" s="541"/>
      <c r="I660" s="541"/>
      <c r="J660" s="1748"/>
      <c r="K660" s="541"/>
      <c r="L660" s="1748"/>
      <c r="M660" s="541"/>
      <c r="N660" s="1748"/>
      <c r="O660" s="541"/>
      <c r="P660" s="1748"/>
      <c r="Q660" s="541"/>
      <c r="R660" s="1748"/>
      <c r="S660" s="541"/>
      <c r="T660" s="1748"/>
      <c r="U660" s="541"/>
      <c r="V660" s="1748"/>
      <c r="W660" s="541"/>
      <c r="X660" s="1748"/>
      <c r="Y660" s="1748"/>
      <c r="Z660" s="1748"/>
      <c r="AA660" s="541"/>
      <c r="AB660" s="1748"/>
      <c r="AC660" s="541"/>
      <c r="AD660" s="541"/>
      <c r="AE660" s="541"/>
      <c r="AF660" s="541"/>
      <c r="AG660" s="541"/>
      <c r="AH660" s="541"/>
      <c r="AI660" s="541"/>
      <c r="AJ660" s="541"/>
      <c r="AK660" s="541"/>
      <c r="AL660" s="541"/>
      <c r="AM660" s="541"/>
      <c r="AN660" s="1748"/>
      <c r="AO660" s="1748"/>
      <c r="AP660" s="1748"/>
      <c r="AQ660" s="1748"/>
      <c r="AR660" s="1748"/>
      <c r="AS660" s="541"/>
      <c r="AT660" s="541"/>
      <c r="AU660" s="541"/>
      <c r="AV660" s="541"/>
      <c r="AW660" s="541"/>
      <c r="AX660" s="541"/>
      <c r="AY660" s="541"/>
      <c r="AZ660" s="541"/>
      <c r="BA660" s="541"/>
      <c r="BC660" s="541"/>
      <c r="BE660" s="541"/>
      <c r="BG660" s="541"/>
      <c r="BH660" s="1190"/>
      <c r="BI660" s="541"/>
      <c r="BJ660" s="1190"/>
      <c r="BK660" s="541"/>
      <c r="BL660" s="541"/>
      <c r="BM660" s="541"/>
      <c r="BO660" s="541"/>
      <c r="BP660" s="541"/>
      <c r="BQ660" s="633"/>
      <c r="BR660" s="541"/>
      <c r="BS660" s="541"/>
      <c r="BT660" s="541"/>
    </row>
    <row r="661" ht="15.75" customHeight="1">
      <c r="A661" s="1591"/>
      <c r="B661" s="1541"/>
      <c r="C661" s="2217"/>
      <c r="D661" s="1543"/>
      <c r="E661" s="906"/>
      <c r="F661" s="541"/>
      <c r="G661" s="541"/>
      <c r="H661" s="541"/>
      <c r="I661" s="541"/>
      <c r="J661" s="1748"/>
      <c r="K661" s="541"/>
      <c r="L661" s="1748"/>
      <c r="M661" s="541"/>
      <c r="N661" s="1748"/>
      <c r="O661" s="541"/>
      <c r="P661" s="1748"/>
      <c r="Q661" s="541"/>
      <c r="R661" s="1748"/>
      <c r="S661" s="541"/>
      <c r="T661" s="1748"/>
      <c r="U661" s="541"/>
      <c r="V661" s="1748"/>
      <c r="W661" s="541"/>
      <c r="X661" s="1748"/>
      <c r="Y661" s="1748"/>
      <c r="Z661" s="1748"/>
      <c r="AA661" s="541"/>
      <c r="AB661" s="1748"/>
      <c r="AC661" s="541"/>
      <c r="AD661" s="541"/>
      <c r="AE661" s="541"/>
      <c r="AF661" s="541"/>
      <c r="AG661" s="541"/>
      <c r="AH661" s="541"/>
      <c r="AI661" s="541"/>
      <c r="AJ661" s="541"/>
      <c r="AK661" s="541"/>
      <c r="AL661" s="541"/>
      <c r="AM661" s="541"/>
      <c r="AN661" s="1748"/>
      <c r="AO661" s="1748"/>
      <c r="AP661" s="1748"/>
      <c r="AQ661" s="1748"/>
      <c r="AR661" s="1748"/>
      <c r="AS661" s="541"/>
      <c r="AT661" s="541"/>
      <c r="AU661" s="541"/>
      <c r="AV661" s="541"/>
      <c r="AW661" s="541"/>
      <c r="AX661" s="541"/>
      <c r="AY661" s="541"/>
      <c r="AZ661" s="541"/>
      <c r="BA661" s="541"/>
      <c r="BC661" s="541"/>
      <c r="BE661" s="541"/>
      <c r="BG661" s="541"/>
      <c r="BH661" s="1190"/>
      <c r="BI661" s="541"/>
      <c r="BJ661" s="1190"/>
      <c r="BK661" s="541"/>
      <c r="BL661" s="541"/>
      <c r="BM661" s="541"/>
      <c r="BO661" s="541"/>
      <c r="BP661" s="541"/>
      <c r="BQ661" s="633"/>
      <c r="BR661" s="541"/>
      <c r="BS661" s="541"/>
      <c r="BT661" s="541"/>
    </row>
    <row r="662" ht="15.75" customHeight="1">
      <c r="A662" s="1591"/>
      <c r="B662" s="1541"/>
      <c r="C662" s="2217"/>
      <c r="D662" s="1543"/>
      <c r="E662" s="906"/>
      <c r="F662" s="541"/>
      <c r="G662" s="541"/>
      <c r="H662" s="541"/>
      <c r="I662" s="541"/>
      <c r="J662" s="1748"/>
      <c r="K662" s="541"/>
      <c r="L662" s="1748"/>
      <c r="M662" s="541"/>
      <c r="N662" s="1748"/>
      <c r="O662" s="541"/>
      <c r="P662" s="1748"/>
      <c r="Q662" s="541"/>
      <c r="R662" s="1748"/>
      <c r="S662" s="541"/>
      <c r="T662" s="1748"/>
      <c r="U662" s="541"/>
      <c r="V662" s="1748"/>
      <c r="W662" s="541"/>
      <c r="X662" s="1748"/>
      <c r="Y662" s="1748"/>
      <c r="Z662" s="1748"/>
      <c r="AA662" s="541"/>
      <c r="AB662" s="1748"/>
      <c r="AC662" s="541"/>
      <c r="AD662" s="541"/>
      <c r="AE662" s="541"/>
      <c r="AF662" s="541"/>
      <c r="AG662" s="541"/>
      <c r="AH662" s="541"/>
      <c r="AI662" s="541"/>
      <c r="AJ662" s="541"/>
      <c r="AK662" s="541"/>
      <c r="AL662" s="541"/>
      <c r="AM662" s="541"/>
      <c r="AN662" s="1748"/>
      <c r="AO662" s="1748"/>
      <c r="AP662" s="1748"/>
      <c r="AQ662" s="1748"/>
      <c r="AR662" s="1748"/>
      <c r="AS662" s="541"/>
      <c r="AT662" s="541"/>
      <c r="AU662" s="541"/>
      <c r="AV662" s="541"/>
      <c r="AW662" s="541"/>
      <c r="AX662" s="541"/>
      <c r="AY662" s="541"/>
      <c r="AZ662" s="541"/>
      <c r="BA662" s="541"/>
      <c r="BC662" s="541"/>
      <c r="BE662" s="541"/>
      <c r="BG662" s="541"/>
      <c r="BH662" s="1190"/>
      <c r="BI662" s="541"/>
      <c r="BJ662" s="1190"/>
      <c r="BK662" s="541"/>
      <c r="BL662" s="541"/>
      <c r="BM662" s="541"/>
      <c r="BO662" s="541"/>
      <c r="BP662" s="541"/>
      <c r="BQ662" s="633"/>
      <c r="BR662" s="541"/>
      <c r="BS662" s="541"/>
      <c r="BT662" s="541"/>
    </row>
    <row r="663" ht="15.75" customHeight="1">
      <c r="A663" s="1591"/>
      <c r="B663" s="1541"/>
      <c r="C663" s="2217"/>
      <c r="D663" s="1543"/>
      <c r="E663" s="906"/>
      <c r="F663" s="541"/>
      <c r="G663" s="541"/>
      <c r="H663" s="541"/>
      <c r="I663" s="541"/>
      <c r="J663" s="1748"/>
      <c r="K663" s="541"/>
      <c r="L663" s="1748"/>
      <c r="M663" s="541"/>
      <c r="N663" s="1748"/>
      <c r="O663" s="541"/>
      <c r="P663" s="1748"/>
      <c r="Q663" s="541"/>
      <c r="R663" s="1748"/>
      <c r="S663" s="541"/>
      <c r="T663" s="1748"/>
      <c r="U663" s="541"/>
      <c r="V663" s="1748"/>
      <c r="W663" s="541"/>
      <c r="X663" s="1748"/>
      <c r="Y663" s="1748"/>
      <c r="Z663" s="1748"/>
      <c r="AA663" s="541"/>
      <c r="AB663" s="1748"/>
      <c r="AC663" s="541"/>
      <c r="AD663" s="541"/>
      <c r="AE663" s="541"/>
      <c r="AF663" s="541"/>
      <c r="AG663" s="541"/>
      <c r="AH663" s="541"/>
      <c r="AI663" s="541"/>
      <c r="AJ663" s="541"/>
      <c r="AK663" s="541"/>
      <c r="AL663" s="541"/>
      <c r="AM663" s="541"/>
      <c r="AN663" s="1748"/>
      <c r="AO663" s="1748"/>
      <c r="AP663" s="1748"/>
      <c r="AQ663" s="1748"/>
      <c r="AR663" s="1748"/>
      <c r="AS663" s="541"/>
      <c r="AT663" s="541"/>
      <c r="AU663" s="541"/>
      <c r="AV663" s="541"/>
      <c r="AW663" s="541"/>
      <c r="AX663" s="541"/>
      <c r="AY663" s="541"/>
      <c r="AZ663" s="541"/>
      <c r="BA663" s="541"/>
      <c r="BC663" s="541"/>
      <c r="BE663" s="541"/>
      <c r="BG663" s="541"/>
      <c r="BH663" s="1190"/>
      <c r="BI663" s="541"/>
      <c r="BJ663" s="1190"/>
      <c r="BK663" s="541"/>
      <c r="BL663" s="541"/>
      <c r="BM663" s="541"/>
      <c r="BO663" s="541"/>
      <c r="BP663" s="541"/>
      <c r="BQ663" s="633"/>
      <c r="BR663" s="541"/>
      <c r="BS663" s="541"/>
      <c r="BT663" s="541"/>
    </row>
    <row r="664" ht="15.75" customHeight="1">
      <c r="A664" s="1591"/>
      <c r="B664" s="1541"/>
      <c r="C664" s="2217"/>
      <c r="D664" s="1543"/>
      <c r="E664" s="906"/>
      <c r="F664" s="541"/>
      <c r="G664" s="541"/>
      <c r="H664" s="541"/>
      <c r="I664" s="541"/>
      <c r="J664" s="1748"/>
      <c r="K664" s="541"/>
      <c r="L664" s="1748"/>
      <c r="M664" s="541"/>
      <c r="N664" s="1748"/>
      <c r="O664" s="541"/>
      <c r="P664" s="1748"/>
      <c r="Q664" s="541"/>
      <c r="R664" s="1748"/>
      <c r="S664" s="541"/>
      <c r="T664" s="1748"/>
      <c r="U664" s="541"/>
      <c r="V664" s="1748"/>
      <c r="W664" s="541"/>
      <c r="X664" s="1748"/>
      <c r="Y664" s="1748"/>
      <c r="Z664" s="1748"/>
      <c r="AA664" s="541"/>
      <c r="AB664" s="1748"/>
      <c r="AC664" s="541"/>
      <c r="AD664" s="541"/>
      <c r="AE664" s="541"/>
      <c r="AF664" s="541"/>
      <c r="AG664" s="541"/>
      <c r="AH664" s="541"/>
      <c r="AI664" s="541"/>
      <c r="AJ664" s="541"/>
      <c r="AK664" s="541"/>
      <c r="AL664" s="541"/>
      <c r="AM664" s="541"/>
      <c r="AN664" s="1748"/>
      <c r="AO664" s="1748"/>
      <c r="AP664" s="1748"/>
      <c r="AQ664" s="1748"/>
      <c r="AR664" s="1748"/>
      <c r="AS664" s="541"/>
      <c r="AT664" s="541"/>
      <c r="AU664" s="541"/>
      <c r="AV664" s="541"/>
      <c r="AW664" s="541"/>
      <c r="AX664" s="541"/>
      <c r="AY664" s="541"/>
      <c r="AZ664" s="541"/>
      <c r="BA664" s="541"/>
      <c r="BC664" s="541"/>
      <c r="BE664" s="541"/>
      <c r="BG664" s="541"/>
      <c r="BH664" s="1190"/>
      <c r="BI664" s="541"/>
      <c r="BJ664" s="1190"/>
      <c r="BK664" s="541"/>
      <c r="BL664" s="541"/>
      <c r="BM664" s="541"/>
      <c r="BO664" s="541"/>
      <c r="BP664" s="541"/>
      <c r="BQ664" s="633"/>
      <c r="BR664" s="541"/>
      <c r="BS664" s="541"/>
      <c r="BT664" s="541"/>
    </row>
    <row r="665" ht="15.75" customHeight="1">
      <c r="A665" s="1591"/>
      <c r="B665" s="1541"/>
      <c r="C665" s="2217"/>
      <c r="D665" s="1543"/>
      <c r="E665" s="906"/>
      <c r="F665" s="541"/>
      <c r="G665" s="541"/>
      <c r="H665" s="541"/>
      <c r="I665" s="541"/>
      <c r="J665" s="1748"/>
      <c r="K665" s="541"/>
      <c r="L665" s="1748"/>
      <c r="M665" s="541"/>
      <c r="N665" s="1748"/>
      <c r="O665" s="541"/>
      <c r="P665" s="1748"/>
      <c r="Q665" s="541"/>
      <c r="R665" s="1748"/>
      <c r="S665" s="541"/>
      <c r="T665" s="1748"/>
      <c r="U665" s="541"/>
      <c r="V665" s="1748"/>
      <c r="W665" s="541"/>
      <c r="X665" s="1748"/>
      <c r="Y665" s="1748"/>
      <c r="Z665" s="1748"/>
      <c r="AA665" s="541"/>
      <c r="AB665" s="1748"/>
      <c r="AC665" s="541"/>
      <c r="AD665" s="541"/>
      <c r="AE665" s="541"/>
      <c r="AF665" s="541"/>
      <c r="AG665" s="541"/>
      <c r="AH665" s="541"/>
      <c r="AI665" s="541"/>
      <c r="AJ665" s="541"/>
      <c r="AK665" s="541"/>
      <c r="AL665" s="541"/>
      <c r="AM665" s="541"/>
      <c r="AN665" s="1748"/>
      <c r="AO665" s="1748"/>
      <c r="AP665" s="1748"/>
      <c r="AQ665" s="1748"/>
      <c r="AR665" s="1748"/>
      <c r="AS665" s="541"/>
      <c r="AT665" s="541"/>
      <c r="AU665" s="541"/>
      <c r="AV665" s="541"/>
      <c r="AW665" s="541"/>
      <c r="AX665" s="541"/>
      <c r="AY665" s="541"/>
      <c r="AZ665" s="541"/>
      <c r="BA665" s="541"/>
      <c r="BC665" s="541"/>
      <c r="BE665" s="541"/>
      <c r="BG665" s="541"/>
      <c r="BH665" s="1190"/>
      <c r="BI665" s="541"/>
      <c r="BJ665" s="1190"/>
      <c r="BK665" s="541"/>
      <c r="BL665" s="541"/>
      <c r="BM665" s="541"/>
      <c r="BO665" s="541"/>
      <c r="BP665" s="541"/>
      <c r="BQ665" s="633"/>
      <c r="BR665" s="541"/>
      <c r="BS665" s="541"/>
      <c r="BT665" s="541"/>
    </row>
    <row r="666" ht="15.75" customHeight="1">
      <c r="A666" s="1591"/>
      <c r="B666" s="1541"/>
      <c r="C666" s="2217"/>
      <c r="D666" s="1543"/>
      <c r="E666" s="906"/>
      <c r="F666" s="541"/>
      <c r="G666" s="541"/>
      <c r="H666" s="541"/>
      <c r="I666" s="541"/>
      <c r="J666" s="1748"/>
      <c r="K666" s="541"/>
      <c r="L666" s="1748"/>
      <c r="M666" s="541"/>
      <c r="N666" s="1748"/>
      <c r="O666" s="541"/>
      <c r="P666" s="1748"/>
      <c r="Q666" s="541"/>
      <c r="R666" s="1748"/>
      <c r="S666" s="541"/>
      <c r="T666" s="1748"/>
      <c r="U666" s="541"/>
      <c r="V666" s="1748"/>
      <c r="W666" s="541"/>
      <c r="X666" s="1748"/>
      <c r="Y666" s="1748"/>
      <c r="Z666" s="1748"/>
      <c r="AA666" s="541"/>
      <c r="AB666" s="1748"/>
      <c r="AC666" s="541"/>
      <c r="AD666" s="541"/>
      <c r="AE666" s="541"/>
      <c r="AF666" s="541"/>
      <c r="AG666" s="541"/>
      <c r="AH666" s="541"/>
      <c r="AI666" s="541"/>
      <c r="AJ666" s="541"/>
      <c r="AK666" s="541"/>
      <c r="AL666" s="541"/>
      <c r="AM666" s="541"/>
      <c r="AN666" s="1748"/>
      <c r="AO666" s="1748"/>
      <c r="AP666" s="1748"/>
      <c r="AQ666" s="1748"/>
      <c r="AR666" s="1748"/>
      <c r="AS666" s="541"/>
      <c r="AT666" s="541"/>
      <c r="AU666" s="541"/>
      <c r="AV666" s="541"/>
      <c r="AW666" s="541"/>
      <c r="AX666" s="541"/>
      <c r="AY666" s="541"/>
      <c r="AZ666" s="541"/>
      <c r="BA666" s="541"/>
      <c r="BC666" s="541"/>
      <c r="BE666" s="541"/>
      <c r="BG666" s="541"/>
      <c r="BH666" s="1190"/>
      <c r="BI666" s="541"/>
      <c r="BJ666" s="1190"/>
      <c r="BK666" s="541"/>
      <c r="BL666" s="541"/>
      <c r="BM666" s="541"/>
      <c r="BO666" s="541"/>
      <c r="BP666" s="541"/>
      <c r="BQ666" s="633"/>
      <c r="BR666" s="541"/>
      <c r="BS666" s="541"/>
      <c r="BT666" s="541"/>
    </row>
    <row r="667" ht="15.75" customHeight="1">
      <c r="A667" s="1591"/>
      <c r="B667" s="1541"/>
      <c r="C667" s="2217"/>
      <c r="D667" s="1543"/>
      <c r="E667" s="906"/>
      <c r="F667" s="541"/>
      <c r="G667" s="541"/>
      <c r="H667" s="541"/>
      <c r="I667" s="541"/>
      <c r="J667" s="1748"/>
      <c r="K667" s="541"/>
      <c r="L667" s="1748"/>
      <c r="M667" s="541"/>
      <c r="N667" s="1748"/>
      <c r="O667" s="541"/>
      <c r="P667" s="1748"/>
      <c r="Q667" s="541"/>
      <c r="R667" s="1748"/>
      <c r="S667" s="541"/>
      <c r="T667" s="1748"/>
      <c r="U667" s="541"/>
      <c r="V667" s="1748"/>
      <c r="W667" s="541"/>
      <c r="X667" s="1748"/>
      <c r="Y667" s="1748"/>
      <c r="Z667" s="1748"/>
      <c r="AA667" s="541"/>
      <c r="AB667" s="1748"/>
      <c r="AC667" s="541"/>
      <c r="AD667" s="541"/>
      <c r="AE667" s="541"/>
      <c r="AF667" s="541"/>
      <c r="AG667" s="541"/>
      <c r="AH667" s="541"/>
      <c r="AI667" s="541"/>
      <c r="AJ667" s="541"/>
      <c r="AK667" s="541"/>
      <c r="AL667" s="541"/>
      <c r="AM667" s="541"/>
      <c r="AN667" s="1748"/>
      <c r="AO667" s="1748"/>
      <c r="AP667" s="1748"/>
      <c r="AQ667" s="1748"/>
      <c r="AR667" s="1748"/>
      <c r="AS667" s="541"/>
      <c r="AT667" s="541"/>
      <c r="AU667" s="541"/>
      <c r="AV667" s="541"/>
      <c r="AW667" s="541"/>
      <c r="AX667" s="541"/>
      <c r="AY667" s="541"/>
      <c r="AZ667" s="541"/>
      <c r="BA667" s="541"/>
      <c r="BC667" s="541"/>
      <c r="BE667" s="541"/>
      <c r="BG667" s="541"/>
      <c r="BH667" s="1190"/>
      <c r="BI667" s="541"/>
      <c r="BJ667" s="1190"/>
      <c r="BK667" s="541"/>
      <c r="BL667" s="541"/>
      <c r="BM667" s="541"/>
      <c r="BO667" s="541"/>
      <c r="BP667" s="541"/>
      <c r="BQ667" s="633"/>
      <c r="BR667" s="541"/>
      <c r="BS667" s="541"/>
      <c r="BT667" s="541"/>
    </row>
    <row r="668" ht="15.75" customHeight="1">
      <c r="A668" s="1591"/>
      <c r="B668" s="1541"/>
      <c r="C668" s="2217"/>
      <c r="D668" s="1543"/>
      <c r="E668" s="906"/>
      <c r="F668" s="541"/>
      <c r="G668" s="541"/>
      <c r="H668" s="541"/>
      <c r="I668" s="541"/>
      <c r="J668" s="1748"/>
      <c r="K668" s="541"/>
      <c r="L668" s="1748"/>
      <c r="M668" s="541"/>
      <c r="N668" s="1748"/>
      <c r="O668" s="541"/>
      <c r="P668" s="1748"/>
      <c r="Q668" s="541"/>
      <c r="R668" s="1748"/>
      <c r="S668" s="541"/>
      <c r="T668" s="1748"/>
      <c r="U668" s="541"/>
      <c r="V668" s="1748"/>
      <c r="W668" s="541"/>
      <c r="X668" s="1748"/>
      <c r="Y668" s="1748"/>
      <c r="Z668" s="1748"/>
      <c r="AA668" s="541"/>
      <c r="AB668" s="1748"/>
      <c r="AC668" s="541"/>
      <c r="AD668" s="541"/>
      <c r="AE668" s="541"/>
      <c r="AF668" s="541"/>
      <c r="AG668" s="541"/>
      <c r="AH668" s="541"/>
      <c r="AI668" s="541"/>
      <c r="AJ668" s="541"/>
      <c r="AK668" s="541"/>
      <c r="AL668" s="541"/>
      <c r="AM668" s="541"/>
      <c r="AN668" s="1748"/>
      <c r="AO668" s="1748"/>
      <c r="AP668" s="1748"/>
      <c r="AQ668" s="1748"/>
      <c r="AR668" s="1748"/>
      <c r="AS668" s="541"/>
      <c r="AT668" s="541"/>
      <c r="AU668" s="541"/>
      <c r="AV668" s="541"/>
      <c r="AW668" s="541"/>
      <c r="AX668" s="541"/>
      <c r="AY668" s="541"/>
      <c r="AZ668" s="541"/>
      <c r="BA668" s="541"/>
      <c r="BC668" s="541"/>
      <c r="BE668" s="541"/>
      <c r="BG668" s="541"/>
      <c r="BH668" s="1190"/>
      <c r="BI668" s="541"/>
      <c r="BJ668" s="1190"/>
      <c r="BK668" s="541"/>
      <c r="BL668" s="541"/>
      <c r="BM668" s="541"/>
      <c r="BO668" s="541"/>
      <c r="BP668" s="541"/>
      <c r="BQ668" s="633"/>
      <c r="BR668" s="541"/>
      <c r="BS668" s="541"/>
      <c r="BT668" s="541"/>
    </row>
    <row r="669" ht="15.75" customHeight="1">
      <c r="A669" s="1591"/>
      <c r="B669" s="1541"/>
      <c r="C669" s="2217"/>
      <c r="D669" s="1543"/>
      <c r="E669" s="906"/>
      <c r="F669" s="541"/>
      <c r="G669" s="541"/>
      <c r="H669" s="541"/>
      <c r="I669" s="541"/>
      <c r="J669" s="1748"/>
      <c r="K669" s="541"/>
      <c r="L669" s="1748"/>
      <c r="M669" s="541"/>
      <c r="N669" s="1748"/>
      <c r="O669" s="541"/>
      <c r="P669" s="1748"/>
      <c r="Q669" s="541"/>
      <c r="R669" s="1748"/>
      <c r="S669" s="541"/>
      <c r="T669" s="1748"/>
      <c r="U669" s="541"/>
      <c r="V669" s="1748"/>
      <c r="W669" s="541"/>
      <c r="X669" s="1748"/>
      <c r="Y669" s="1748"/>
      <c r="Z669" s="1748"/>
      <c r="AA669" s="541"/>
      <c r="AB669" s="1748"/>
      <c r="AC669" s="541"/>
      <c r="AD669" s="541"/>
      <c r="AE669" s="541"/>
      <c r="AF669" s="541"/>
      <c r="AG669" s="541"/>
      <c r="AH669" s="541"/>
      <c r="AI669" s="541"/>
      <c r="AJ669" s="541"/>
      <c r="AK669" s="541"/>
      <c r="AL669" s="541"/>
      <c r="AM669" s="541"/>
      <c r="AN669" s="1748"/>
      <c r="AO669" s="1748"/>
      <c r="AP669" s="1748"/>
      <c r="AQ669" s="1748"/>
      <c r="AR669" s="1748"/>
      <c r="AS669" s="541"/>
      <c r="AT669" s="541"/>
      <c r="AU669" s="541"/>
      <c r="AV669" s="541"/>
      <c r="AW669" s="541"/>
      <c r="AX669" s="541"/>
      <c r="AY669" s="541"/>
      <c r="AZ669" s="541"/>
      <c r="BA669" s="541"/>
      <c r="BC669" s="541"/>
      <c r="BE669" s="541"/>
      <c r="BG669" s="541"/>
      <c r="BH669" s="1190"/>
      <c r="BI669" s="541"/>
      <c r="BJ669" s="1190"/>
      <c r="BK669" s="541"/>
      <c r="BL669" s="541"/>
      <c r="BM669" s="541"/>
      <c r="BO669" s="541"/>
      <c r="BP669" s="541"/>
      <c r="BQ669" s="633"/>
      <c r="BR669" s="541"/>
      <c r="BS669" s="541"/>
      <c r="BT669" s="541"/>
    </row>
    <row r="670" ht="15.75" customHeight="1">
      <c r="A670" s="1591"/>
      <c r="B670" s="1541"/>
      <c r="C670" s="2217"/>
      <c r="D670" s="1543"/>
      <c r="E670" s="906"/>
      <c r="F670" s="541"/>
      <c r="G670" s="541"/>
      <c r="H670" s="541"/>
      <c r="I670" s="541"/>
      <c r="J670" s="1748"/>
      <c r="K670" s="541"/>
      <c r="L670" s="1748"/>
      <c r="M670" s="541"/>
      <c r="N670" s="1748"/>
      <c r="O670" s="541"/>
      <c r="P670" s="1748"/>
      <c r="Q670" s="541"/>
      <c r="R670" s="1748"/>
      <c r="S670" s="541"/>
      <c r="T670" s="1748"/>
      <c r="U670" s="541"/>
      <c r="V670" s="1748"/>
      <c r="W670" s="541"/>
      <c r="X670" s="1748"/>
      <c r="Y670" s="1748"/>
      <c r="Z670" s="1748"/>
      <c r="AA670" s="541"/>
      <c r="AB670" s="1748"/>
      <c r="AC670" s="541"/>
      <c r="AD670" s="541"/>
      <c r="AE670" s="541"/>
      <c r="AF670" s="541"/>
      <c r="AG670" s="541"/>
      <c r="AH670" s="541"/>
      <c r="AI670" s="541"/>
      <c r="AJ670" s="541"/>
      <c r="AK670" s="541"/>
      <c r="AL670" s="541"/>
      <c r="AM670" s="541"/>
      <c r="AN670" s="1748"/>
      <c r="AO670" s="1748"/>
      <c r="AP670" s="1748"/>
      <c r="AQ670" s="1748"/>
      <c r="AR670" s="1748"/>
      <c r="AS670" s="541"/>
      <c r="AT670" s="541"/>
      <c r="AU670" s="541"/>
      <c r="AV670" s="541"/>
      <c r="AW670" s="541"/>
      <c r="AX670" s="541"/>
      <c r="AY670" s="541"/>
      <c r="AZ670" s="541"/>
      <c r="BA670" s="541"/>
      <c r="BC670" s="541"/>
      <c r="BE670" s="541"/>
      <c r="BG670" s="541"/>
      <c r="BH670" s="1190"/>
      <c r="BI670" s="541"/>
      <c r="BJ670" s="1190"/>
      <c r="BK670" s="541"/>
      <c r="BL670" s="541"/>
      <c r="BM670" s="541"/>
      <c r="BO670" s="541"/>
      <c r="BP670" s="541"/>
      <c r="BQ670" s="633"/>
      <c r="BR670" s="541"/>
      <c r="BS670" s="541"/>
      <c r="BT670" s="541"/>
    </row>
    <row r="671" ht="15.75" customHeight="1">
      <c r="A671" s="1591"/>
      <c r="B671" s="1541"/>
      <c r="C671" s="2217"/>
      <c r="D671" s="1543"/>
      <c r="E671" s="906"/>
      <c r="F671" s="541"/>
      <c r="G671" s="541"/>
      <c r="H671" s="541"/>
      <c r="I671" s="541"/>
      <c r="J671" s="1748"/>
      <c r="K671" s="541"/>
      <c r="L671" s="1748"/>
      <c r="M671" s="541"/>
      <c r="N671" s="1748"/>
      <c r="O671" s="541"/>
      <c r="P671" s="1748"/>
      <c r="Q671" s="541"/>
      <c r="R671" s="1748"/>
      <c r="S671" s="541"/>
      <c r="T671" s="1748"/>
      <c r="U671" s="541"/>
      <c r="V671" s="1748"/>
      <c r="W671" s="541"/>
      <c r="X671" s="1748"/>
      <c r="Y671" s="1748"/>
      <c r="Z671" s="1748"/>
      <c r="AA671" s="541"/>
      <c r="AB671" s="1748"/>
      <c r="AC671" s="541"/>
      <c r="AD671" s="541"/>
      <c r="AE671" s="541"/>
      <c r="AF671" s="541"/>
      <c r="AG671" s="541"/>
      <c r="AH671" s="541"/>
      <c r="AI671" s="541"/>
      <c r="AJ671" s="541"/>
      <c r="AK671" s="541"/>
      <c r="AL671" s="541"/>
      <c r="AM671" s="541"/>
      <c r="AN671" s="1748"/>
      <c r="AO671" s="1748"/>
      <c r="AP671" s="1748"/>
      <c r="AQ671" s="1748"/>
      <c r="AR671" s="1748"/>
      <c r="AS671" s="541"/>
      <c r="AT671" s="541"/>
      <c r="AU671" s="541"/>
      <c r="AV671" s="541"/>
      <c r="AW671" s="541"/>
      <c r="AX671" s="541"/>
      <c r="AY671" s="541"/>
      <c r="AZ671" s="541"/>
      <c r="BA671" s="541"/>
      <c r="BC671" s="541"/>
      <c r="BE671" s="541"/>
      <c r="BG671" s="541"/>
      <c r="BH671" s="1190"/>
      <c r="BI671" s="541"/>
      <c r="BJ671" s="1190"/>
      <c r="BK671" s="541"/>
      <c r="BL671" s="541"/>
      <c r="BM671" s="541"/>
      <c r="BO671" s="541"/>
      <c r="BP671" s="541"/>
      <c r="BQ671" s="633"/>
      <c r="BR671" s="541"/>
      <c r="BS671" s="541"/>
      <c r="BT671" s="541"/>
    </row>
    <row r="672" ht="15.75" customHeight="1">
      <c r="A672" s="1591"/>
      <c r="B672" s="1541"/>
      <c r="C672" s="2217"/>
      <c r="D672" s="1543"/>
      <c r="E672" s="906"/>
      <c r="F672" s="541"/>
      <c r="G672" s="541"/>
      <c r="H672" s="541"/>
      <c r="I672" s="541"/>
      <c r="J672" s="1748"/>
      <c r="K672" s="541"/>
      <c r="L672" s="1748"/>
      <c r="M672" s="541"/>
      <c r="N672" s="1748"/>
      <c r="O672" s="541"/>
      <c r="P672" s="1748"/>
      <c r="Q672" s="541"/>
      <c r="R672" s="1748"/>
      <c r="S672" s="541"/>
      <c r="T672" s="1748"/>
      <c r="U672" s="541"/>
      <c r="V672" s="1748"/>
      <c r="W672" s="541"/>
      <c r="X672" s="1748"/>
      <c r="Y672" s="1748"/>
      <c r="Z672" s="1748"/>
      <c r="AA672" s="541"/>
      <c r="AB672" s="1748"/>
      <c r="AC672" s="541"/>
      <c r="AD672" s="541"/>
      <c r="AE672" s="541"/>
      <c r="AF672" s="541"/>
      <c r="AG672" s="541"/>
      <c r="AH672" s="541"/>
      <c r="AI672" s="541"/>
      <c r="AJ672" s="541"/>
      <c r="AK672" s="541"/>
      <c r="AL672" s="541"/>
      <c r="AM672" s="541"/>
      <c r="AN672" s="1748"/>
      <c r="AO672" s="1748"/>
      <c r="AP672" s="1748"/>
      <c r="AQ672" s="1748"/>
      <c r="AR672" s="1748"/>
      <c r="AS672" s="541"/>
      <c r="AT672" s="541"/>
      <c r="AU672" s="541"/>
      <c r="AV672" s="541"/>
      <c r="AW672" s="541"/>
      <c r="AX672" s="541"/>
      <c r="AY672" s="541"/>
      <c r="AZ672" s="541"/>
      <c r="BA672" s="541"/>
      <c r="BC672" s="541"/>
      <c r="BE672" s="541"/>
      <c r="BG672" s="541"/>
      <c r="BH672" s="1190"/>
      <c r="BI672" s="541"/>
      <c r="BJ672" s="1190"/>
      <c r="BK672" s="541"/>
      <c r="BL672" s="541"/>
      <c r="BM672" s="541"/>
      <c r="BO672" s="541"/>
      <c r="BP672" s="541"/>
      <c r="BQ672" s="633"/>
      <c r="BR672" s="541"/>
      <c r="BS672" s="541"/>
      <c r="BT672" s="541"/>
    </row>
    <row r="673" ht="15.75" customHeight="1">
      <c r="A673" s="1591"/>
      <c r="B673" s="1541"/>
      <c r="C673" s="2217"/>
      <c r="D673" s="1543"/>
      <c r="E673" s="906"/>
      <c r="F673" s="541"/>
      <c r="G673" s="541"/>
      <c r="H673" s="541"/>
      <c r="I673" s="541"/>
      <c r="J673" s="1748"/>
      <c r="K673" s="541"/>
      <c r="L673" s="1748"/>
      <c r="M673" s="541"/>
      <c r="N673" s="1748"/>
      <c r="O673" s="541"/>
      <c r="P673" s="1748"/>
      <c r="Q673" s="541"/>
      <c r="R673" s="1748"/>
      <c r="S673" s="541"/>
      <c r="T673" s="1748"/>
      <c r="U673" s="541"/>
      <c r="V673" s="1748"/>
      <c r="W673" s="541"/>
      <c r="X673" s="1748"/>
      <c r="Y673" s="1748"/>
      <c r="Z673" s="1748"/>
      <c r="AA673" s="541"/>
      <c r="AB673" s="1748"/>
      <c r="AC673" s="541"/>
      <c r="AD673" s="541"/>
      <c r="AE673" s="541"/>
      <c r="AF673" s="541"/>
      <c r="AG673" s="541"/>
      <c r="AH673" s="541"/>
      <c r="AI673" s="541"/>
      <c r="AJ673" s="541"/>
      <c r="AK673" s="541"/>
      <c r="AL673" s="541"/>
      <c r="AM673" s="541"/>
      <c r="AN673" s="1748"/>
      <c r="AO673" s="1748"/>
      <c r="AP673" s="1748"/>
      <c r="AQ673" s="1748"/>
      <c r="AR673" s="1748"/>
      <c r="AS673" s="541"/>
      <c r="AT673" s="541"/>
      <c r="AU673" s="541"/>
      <c r="AV673" s="541"/>
      <c r="AW673" s="541"/>
      <c r="AX673" s="541"/>
      <c r="AY673" s="541"/>
      <c r="AZ673" s="541"/>
      <c r="BA673" s="541"/>
      <c r="BC673" s="541"/>
      <c r="BE673" s="541"/>
      <c r="BG673" s="541"/>
      <c r="BH673" s="1190"/>
      <c r="BI673" s="541"/>
      <c r="BJ673" s="1190"/>
      <c r="BK673" s="541"/>
      <c r="BL673" s="541"/>
      <c r="BM673" s="541"/>
      <c r="BO673" s="541"/>
      <c r="BP673" s="541"/>
      <c r="BQ673" s="633"/>
      <c r="BR673" s="541"/>
      <c r="BS673" s="541"/>
      <c r="BT673" s="541"/>
    </row>
    <row r="674" ht="15.75" customHeight="1">
      <c r="A674" s="1591"/>
      <c r="B674" s="1541"/>
      <c r="C674" s="2217"/>
      <c r="D674" s="1543"/>
      <c r="E674" s="906"/>
      <c r="F674" s="541"/>
      <c r="G674" s="541"/>
      <c r="H674" s="541"/>
      <c r="I674" s="541"/>
      <c r="J674" s="1748"/>
      <c r="K674" s="541"/>
      <c r="L674" s="1748"/>
      <c r="M674" s="541"/>
      <c r="N674" s="1748"/>
      <c r="O674" s="541"/>
      <c r="P674" s="1748"/>
      <c r="Q674" s="541"/>
      <c r="R674" s="1748"/>
      <c r="S674" s="541"/>
      <c r="T674" s="1748"/>
      <c r="U674" s="541"/>
      <c r="V674" s="1748"/>
      <c r="W674" s="541"/>
      <c r="X674" s="1748"/>
      <c r="Y674" s="1748"/>
      <c r="Z674" s="1748"/>
      <c r="AA674" s="541"/>
      <c r="AB674" s="1748"/>
      <c r="AC674" s="541"/>
      <c r="AD674" s="541"/>
      <c r="AE674" s="541"/>
      <c r="AF674" s="541"/>
      <c r="AG674" s="541"/>
      <c r="AH674" s="541"/>
      <c r="AI674" s="541"/>
      <c r="AJ674" s="541"/>
      <c r="AK674" s="541"/>
      <c r="AL674" s="541"/>
      <c r="AM674" s="541"/>
      <c r="AN674" s="1748"/>
      <c r="AO674" s="1748"/>
      <c r="AP674" s="1748"/>
      <c r="AQ674" s="1748"/>
      <c r="AR674" s="1748"/>
      <c r="AS674" s="541"/>
      <c r="AT674" s="541"/>
      <c r="AU674" s="541"/>
      <c r="AV674" s="541"/>
      <c r="AW674" s="541"/>
      <c r="AX674" s="541"/>
      <c r="AY674" s="541"/>
      <c r="AZ674" s="541"/>
      <c r="BA674" s="541"/>
      <c r="BC674" s="541"/>
      <c r="BE674" s="541"/>
      <c r="BG674" s="541"/>
      <c r="BH674" s="1190"/>
      <c r="BI674" s="541"/>
      <c r="BJ674" s="1190"/>
      <c r="BK674" s="541"/>
      <c r="BL674" s="541"/>
      <c r="BM674" s="541"/>
      <c r="BO674" s="541"/>
      <c r="BP674" s="541"/>
      <c r="BQ674" s="633"/>
      <c r="BR674" s="541"/>
      <c r="BS674" s="541"/>
      <c r="BT674" s="541"/>
    </row>
    <row r="675" ht="15.75" customHeight="1">
      <c r="A675" s="1591"/>
      <c r="B675" s="1541"/>
      <c r="C675" s="2217"/>
      <c r="D675" s="1543"/>
      <c r="E675" s="906"/>
      <c r="F675" s="541"/>
      <c r="G675" s="541"/>
      <c r="H675" s="541"/>
      <c r="I675" s="541"/>
      <c r="J675" s="1748"/>
      <c r="K675" s="541"/>
      <c r="L675" s="1748"/>
      <c r="M675" s="541"/>
      <c r="N675" s="1748"/>
      <c r="O675" s="541"/>
      <c r="P675" s="1748"/>
      <c r="Q675" s="541"/>
      <c r="R675" s="1748"/>
      <c r="S675" s="541"/>
      <c r="T675" s="1748"/>
      <c r="U675" s="541"/>
      <c r="V675" s="1748"/>
      <c r="W675" s="541"/>
      <c r="X675" s="1748"/>
      <c r="Y675" s="1748"/>
      <c r="Z675" s="1748"/>
      <c r="AA675" s="541"/>
      <c r="AB675" s="1748"/>
      <c r="AC675" s="541"/>
      <c r="AD675" s="541"/>
      <c r="AE675" s="541"/>
      <c r="AF675" s="541"/>
      <c r="AG675" s="541"/>
      <c r="AH675" s="541"/>
      <c r="AI675" s="541"/>
      <c r="AJ675" s="541"/>
      <c r="AK675" s="541"/>
      <c r="AL675" s="541"/>
      <c r="AM675" s="541"/>
      <c r="AN675" s="1748"/>
      <c r="AO675" s="1748"/>
      <c r="AP675" s="1748"/>
      <c r="AQ675" s="1748"/>
      <c r="AR675" s="1748"/>
      <c r="AS675" s="541"/>
      <c r="AT675" s="541"/>
      <c r="AU675" s="541"/>
      <c r="AV675" s="541"/>
      <c r="AW675" s="541"/>
      <c r="AX675" s="541"/>
      <c r="AY675" s="541"/>
      <c r="AZ675" s="541"/>
      <c r="BA675" s="541"/>
      <c r="BC675" s="541"/>
      <c r="BE675" s="541"/>
      <c r="BG675" s="541"/>
      <c r="BH675" s="1190"/>
      <c r="BI675" s="541"/>
      <c r="BJ675" s="1190"/>
      <c r="BK675" s="541"/>
      <c r="BL675" s="541"/>
      <c r="BM675" s="541"/>
      <c r="BO675" s="541"/>
      <c r="BP675" s="541"/>
      <c r="BQ675" s="633"/>
      <c r="BR675" s="541"/>
      <c r="BS675" s="541"/>
      <c r="BT675" s="541"/>
    </row>
    <row r="676" ht="15.75" customHeight="1">
      <c r="A676" s="1591"/>
      <c r="B676" s="1541"/>
      <c r="C676" s="2217"/>
      <c r="D676" s="1543"/>
      <c r="E676" s="906"/>
      <c r="F676" s="541"/>
      <c r="G676" s="541"/>
      <c r="H676" s="541"/>
      <c r="I676" s="541"/>
      <c r="J676" s="1748"/>
      <c r="K676" s="541"/>
      <c r="L676" s="1748"/>
      <c r="M676" s="541"/>
      <c r="N676" s="1748"/>
      <c r="O676" s="541"/>
      <c r="P676" s="1748"/>
      <c r="Q676" s="541"/>
      <c r="R676" s="1748"/>
      <c r="S676" s="541"/>
      <c r="T676" s="1748"/>
      <c r="U676" s="541"/>
      <c r="V676" s="1748"/>
      <c r="W676" s="541"/>
      <c r="X676" s="1748"/>
      <c r="Y676" s="1748"/>
      <c r="Z676" s="1748"/>
      <c r="AA676" s="541"/>
      <c r="AB676" s="1748"/>
      <c r="AC676" s="541"/>
      <c r="AD676" s="541"/>
      <c r="AE676" s="541"/>
      <c r="AF676" s="541"/>
      <c r="AG676" s="541"/>
      <c r="AH676" s="541"/>
      <c r="AI676" s="541"/>
      <c r="AJ676" s="541"/>
      <c r="AK676" s="541"/>
      <c r="AL676" s="541"/>
      <c r="AM676" s="541"/>
      <c r="AN676" s="1748"/>
      <c r="AO676" s="1748"/>
      <c r="AP676" s="1748"/>
      <c r="AQ676" s="1748"/>
      <c r="AR676" s="1748"/>
      <c r="AS676" s="541"/>
      <c r="AT676" s="541"/>
      <c r="AU676" s="541"/>
      <c r="AV676" s="541"/>
      <c r="AW676" s="541"/>
      <c r="AX676" s="541"/>
      <c r="AY676" s="541"/>
      <c r="AZ676" s="541"/>
      <c r="BA676" s="541"/>
      <c r="BC676" s="541"/>
      <c r="BE676" s="541"/>
      <c r="BG676" s="541"/>
      <c r="BH676" s="1190"/>
      <c r="BI676" s="541"/>
      <c r="BJ676" s="1190"/>
      <c r="BK676" s="541"/>
      <c r="BL676" s="541"/>
      <c r="BM676" s="541"/>
      <c r="BO676" s="541"/>
      <c r="BP676" s="541"/>
      <c r="BQ676" s="633"/>
      <c r="BR676" s="541"/>
      <c r="BS676" s="541"/>
      <c r="BT676" s="541"/>
    </row>
    <row r="677" ht="15.75" customHeight="1">
      <c r="A677" s="1591"/>
      <c r="B677" s="1541"/>
      <c r="C677" s="2217"/>
      <c r="D677" s="1543"/>
      <c r="E677" s="906"/>
      <c r="F677" s="541"/>
      <c r="G677" s="541"/>
      <c r="H677" s="541"/>
      <c r="I677" s="541"/>
      <c r="J677" s="1748"/>
      <c r="K677" s="541"/>
      <c r="L677" s="1748"/>
      <c r="M677" s="541"/>
      <c r="N677" s="1748"/>
      <c r="O677" s="541"/>
      <c r="P677" s="1748"/>
      <c r="Q677" s="541"/>
      <c r="R677" s="1748"/>
      <c r="S677" s="541"/>
      <c r="T677" s="1748"/>
      <c r="U677" s="541"/>
      <c r="V677" s="1748"/>
      <c r="W677" s="541"/>
      <c r="X677" s="1748"/>
      <c r="Y677" s="1748"/>
      <c r="Z677" s="1748"/>
      <c r="AA677" s="541"/>
      <c r="AB677" s="1748"/>
      <c r="AC677" s="541"/>
      <c r="AD677" s="541"/>
      <c r="AE677" s="541"/>
      <c r="AF677" s="541"/>
      <c r="AG677" s="541"/>
      <c r="AH677" s="541"/>
      <c r="AI677" s="541"/>
      <c r="AJ677" s="541"/>
      <c r="AK677" s="541"/>
      <c r="AL677" s="541"/>
      <c r="AM677" s="541"/>
      <c r="AN677" s="1748"/>
      <c r="AO677" s="1748"/>
      <c r="AP677" s="1748"/>
      <c r="AQ677" s="1748"/>
      <c r="AR677" s="1748"/>
      <c r="AS677" s="541"/>
      <c r="AT677" s="541"/>
      <c r="AU677" s="541"/>
      <c r="AV677" s="541"/>
      <c r="AW677" s="541"/>
      <c r="AX677" s="541"/>
      <c r="AY677" s="541"/>
      <c r="AZ677" s="541"/>
      <c r="BA677" s="541"/>
      <c r="BC677" s="541"/>
      <c r="BE677" s="541"/>
      <c r="BG677" s="541"/>
      <c r="BH677" s="1190"/>
      <c r="BI677" s="541"/>
      <c r="BJ677" s="1190"/>
      <c r="BK677" s="541"/>
      <c r="BL677" s="541"/>
      <c r="BM677" s="541"/>
      <c r="BO677" s="541"/>
      <c r="BP677" s="541"/>
      <c r="BQ677" s="633"/>
      <c r="BR677" s="541"/>
      <c r="BS677" s="541"/>
      <c r="BT677" s="541"/>
    </row>
    <row r="678" ht="15.75" customHeight="1">
      <c r="A678" s="1591"/>
      <c r="B678" s="1541"/>
      <c r="C678" s="2217"/>
      <c r="D678" s="1543"/>
      <c r="E678" s="906"/>
      <c r="F678" s="541"/>
      <c r="G678" s="541"/>
      <c r="H678" s="541"/>
      <c r="I678" s="541"/>
      <c r="J678" s="1748"/>
      <c r="K678" s="541"/>
      <c r="L678" s="1748"/>
      <c r="M678" s="541"/>
      <c r="N678" s="1748"/>
      <c r="O678" s="541"/>
      <c r="P678" s="1748"/>
      <c r="Q678" s="541"/>
      <c r="R678" s="1748"/>
      <c r="S678" s="541"/>
      <c r="T678" s="1748"/>
      <c r="U678" s="541"/>
      <c r="V678" s="1748"/>
      <c r="W678" s="541"/>
      <c r="X678" s="1748"/>
      <c r="Y678" s="1748"/>
      <c r="Z678" s="1748"/>
      <c r="AA678" s="541"/>
      <c r="AB678" s="1748"/>
      <c r="AC678" s="541"/>
      <c r="AD678" s="541"/>
      <c r="AE678" s="541"/>
      <c r="AF678" s="541"/>
      <c r="AG678" s="541"/>
      <c r="AH678" s="541"/>
      <c r="AI678" s="541"/>
      <c r="AJ678" s="541"/>
      <c r="AK678" s="541"/>
      <c r="AL678" s="541"/>
      <c r="AM678" s="541"/>
      <c r="AN678" s="1748"/>
      <c r="AO678" s="1748"/>
      <c r="AP678" s="1748"/>
      <c r="AQ678" s="1748"/>
      <c r="AR678" s="1748"/>
      <c r="AS678" s="541"/>
      <c r="AT678" s="541"/>
      <c r="AU678" s="541"/>
      <c r="AV678" s="541"/>
      <c r="AW678" s="541"/>
      <c r="AX678" s="541"/>
      <c r="AY678" s="541"/>
      <c r="AZ678" s="541"/>
      <c r="BA678" s="541"/>
      <c r="BC678" s="541"/>
      <c r="BE678" s="541"/>
      <c r="BG678" s="541"/>
      <c r="BH678" s="1190"/>
      <c r="BI678" s="541"/>
      <c r="BJ678" s="1190"/>
      <c r="BK678" s="541"/>
      <c r="BL678" s="541"/>
      <c r="BM678" s="541"/>
      <c r="BO678" s="541"/>
      <c r="BP678" s="541"/>
      <c r="BQ678" s="633"/>
      <c r="BR678" s="541"/>
      <c r="BS678" s="541"/>
      <c r="BT678" s="541"/>
    </row>
    <row r="679" ht="15.75" customHeight="1">
      <c r="A679" s="1591"/>
      <c r="B679" s="1541"/>
      <c r="C679" s="2217"/>
      <c r="D679" s="1543"/>
      <c r="E679" s="906"/>
      <c r="F679" s="541"/>
      <c r="G679" s="541"/>
      <c r="H679" s="541"/>
      <c r="I679" s="541"/>
      <c r="J679" s="1748"/>
      <c r="K679" s="541"/>
      <c r="L679" s="1748"/>
      <c r="M679" s="541"/>
      <c r="N679" s="1748"/>
      <c r="O679" s="541"/>
      <c r="P679" s="1748"/>
      <c r="Q679" s="541"/>
      <c r="R679" s="1748"/>
      <c r="S679" s="541"/>
      <c r="T679" s="1748"/>
      <c r="U679" s="541"/>
      <c r="V679" s="1748"/>
      <c r="W679" s="541"/>
      <c r="X679" s="1748"/>
      <c r="Y679" s="1748"/>
      <c r="Z679" s="1748"/>
      <c r="AA679" s="541"/>
      <c r="AB679" s="1748"/>
      <c r="AC679" s="541"/>
      <c r="AD679" s="541"/>
      <c r="AE679" s="541"/>
      <c r="AF679" s="541"/>
      <c r="AG679" s="541"/>
      <c r="AH679" s="541"/>
      <c r="AI679" s="541"/>
      <c r="AJ679" s="541"/>
      <c r="AK679" s="541"/>
      <c r="AL679" s="541"/>
      <c r="AM679" s="541"/>
      <c r="AN679" s="1748"/>
      <c r="AO679" s="1748"/>
      <c r="AP679" s="1748"/>
      <c r="AQ679" s="1748"/>
      <c r="AR679" s="1748"/>
      <c r="AS679" s="541"/>
      <c r="AT679" s="541"/>
      <c r="AU679" s="541"/>
      <c r="AV679" s="541"/>
      <c r="AW679" s="541"/>
      <c r="AX679" s="541"/>
      <c r="AY679" s="541"/>
      <c r="AZ679" s="541"/>
      <c r="BA679" s="541"/>
      <c r="BC679" s="541"/>
      <c r="BE679" s="541"/>
      <c r="BG679" s="541"/>
      <c r="BH679" s="1190"/>
      <c r="BI679" s="541"/>
      <c r="BJ679" s="1190"/>
      <c r="BK679" s="541"/>
      <c r="BL679" s="541"/>
      <c r="BM679" s="541"/>
      <c r="BO679" s="541"/>
      <c r="BP679" s="541"/>
      <c r="BQ679" s="633"/>
      <c r="BR679" s="541"/>
      <c r="BS679" s="541"/>
      <c r="BT679" s="541"/>
    </row>
    <row r="680" ht="15.75" customHeight="1">
      <c r="A680" s="1591"/>
      <c r="B680" s="1541"/>
      <c r="C680" s="2217"/>
      <c r="D680" s="1543"/>
      <c r="E680" s="906"/>
      <c r="F680" s="541"/>
      <c r="G680" s="541"/>
      <c r="H680" s="541"/>
      <c r="I680" s="541"/>
      <c r="J680" s="1748"/>
      <c r="K680" s="541"/>
      <c r="L680" s="1748"/>
      <c r="M680" s="541"/>
      <c r="N680" s="1748"/>
      <c r="O680" s="541"/>
      <c r="P680" s="1748"/>
      <c r="Q680" s="541"/>
      <c r="R680" s="1748"/>
      <c r="S680" s="541"/>
      <c r="T680" s="1748"/>
      <c r="U680" s="541"/>
      <c r="V680" s="1748"/>
      <c r="W680" s="541"/>
      <c r="X680" s="1748"/>
      <c r="Y680" s="1748"/>
      <c r="Z680" s="1748"/>
      <c r="AA680" s="541"/>
      <c r="AB680" s="1748"/>
      <c r="AC680" s="541"/>
      <c r="AD680" s="541"/>
      <c r="AE680" s="541"/>
      <c r="AF680" s="541"/>
      <c r="AG680" s="541"/>
      <c r="AH680" s="541"/>
      <c r="AI680" s="541"/>
      <c r="AJ680" s="541"/>
      <c r="AK680" s="541"/>
      <c r="AL680" s="541"/>
      <c r="AM680" s="541"/>
      <c r="AN680" s="1748"/>
      <c r="AO680" s="1748"/>
      <c r="AP680" s="1748"/>
      <c r="AQ680" s="1748"/>
      <c r="AR680" s="1748"/>
      <c r="AS680" s="541"/>
      <c r="AT680" s="541"/>
      <c r="AU680" s="541"/>
      <c r="AV680" s="541"/>
      <c r="AW680" s="541"/>
      <c r="AX680" s="541"/>
      <c r="AY680" s="541"/>
      <c r="AZ680" s="541"/>
      <c r="BA680" s="541"/>
      <c r="BC680" s="541"/>
      <c r="BE680" s="541"/>
      <c r="BG680" s="541"/>
      <c r="BH680" s="1190"/>
      <c r="BI680" s="541"/>
      <c r="BJ680" s="1190"/>
      <c r="BK680" s="541"/>
      <c r="BL680" s="541"/>
      <c r="BM680" s="541"/>
      <c r="BO680" s="541"/>
      <c r="BP680" s="541"/>
      <c r="BQ680" s="633"/>
      <c r="BR680" s="541"/>
      <c r="BS680" s="541"/>
      <c r="BT680" s="541"/>
    </row>
    <row r="681" ht="15.75" customHeight="1">
      <c r="A681" s="1591"/>
      <c r="B681" s="1541"/>
      <c r="C681" s="2217"/>
      <c r="D681" s="1543"/>
      <c r="E681" s="906"/>
      <c r="F681" s="541"/>
      <c r="G681" s="541"/>
      <c r="H681" s="541"/>
      <c r="I681" s="541"/>
      <c r="J681" s="1748"/>
      <c r="K681" s="541"/>
      <c r="L681" s="1748"/>
      <c r="M681" s="541"/>
      <c r="N681" s="1748"/>
      <c r="O681" s="541"/>
      <c r="P681" s="1748"/>
      <c r="Q681" s="541"/>
      <c r="R681" s="1748"/>
      <c r="S681" s="541"/>
      <c r="T681" s="1748"/>
      <c r="U681" s="541"/>
      <c r="V681" s="1748"/>
      <c r="W681" s="541"/>
      <c r="X681" s="1748"/>
      <c r="Y681" s="1748"/>
      <c r="Z681" s="1748"/>
      <c r="AA681" s="541"/>
      <c r="AB681" s="1748"/>
      <c r="AC681" s="541"/>
      <c r="AD681" s="541"/>
      <c r="AE681" s="541"/>
      <c r="AF681" s="541"/>
      <c r="AG681" s="541"/>
      <c r="AH681" s="541"/>
      <c r="AI681" s="541"/>
      <c r="AJ681" s="541"/>
      <c r="AK681" s="541"/>
      <c r="AL681" s="541"/>
      <c r="AM681" s="541"/>
      <c r="AN681" s="1748"/>
      <c r="AO681" s="1748"/>
      <c r="AP681" s="1748"/>
      <c r="AQ681" s="1748"/>
      <c r="AR681" s="1748"/>
      <c r="AS681" s="541"/>
      <c r="AT681" s="541"/>
      <c r="AU681" s="541"/>
      <c r="AV681" s="541"/>
      <c r="AW681" s="541"/>
      <c r="AX681" s="541"/>
      <c r="AY681" s="541"/>
      <c r="AZ681" s="541"/>
      <c r="BA681" s="541"/>
      <c r="BC681" s="541"/>
      <c r="BE681" s="541"/>
      <c r="BG681" s="541"/>
      <c r="BH681" s="1190"/>
      <c r="BI681" s="541"/>
      <c r="BJ681" s="1190"/>
      <c r="BK681" s="541"/>
      <c r="BL681" s="541"/>
      <c r="BM681" s="541"/>
      <c r="BO681" s="541"/>
      <c r="BP681" s="541"/>
      <c r="BQ681" s="633"/>
      <c r="BR681" s="541"/>
      <c r="BS681" s="541"/>
      <c r="BT681" s="541"/>
    </row>
    <row r="682" ht="15.75" customHeight="1">
      <c r="A682" s="1591"/>
      <c r="B682" s="1541"/>
      <c r="C682" s="2217"/>
      <c r="D682" s="1543"/>
      <c r="E682" s="906"/>
      <c r="F682" s="541"/>
      <c r="G682" s="541"/>
      <c r="H682" s="541"/>
      <c r="I682" s="541"/>
      <c r="J682" s="1748"/>
      <c r="K682" s="541"/>
      <c r="L682" s="1748"/>
      <c r="M682" s="541"/>
      <c r="N682" s="1748"/>
      <c r="O682" s="541"/>
      <c r="P682" s="1748"/>
      <c r="Q682" s="541"/>
      <c r="R682" s="1748"/>
      <c r="S682" s="541"/>
      <c r="T682" s="1748"/>
      <c r="U682" s="541"/>
      <c r="V682" s="1748"/>
      <c r="W682" s="541"/>
      <c r="X682" s="1748"/>
      <c r="Y682" s="1748"/>
      <c r="Z682" s="1748"/>
      <c r="AA682" s="541"/>
      <c r="AB682" s="1748"/>
      <c r="AC682" s="541"/>
      <c r="AD682" s="541"/>
      <c r="AE682" s="541"/>
      <c r="AF682" s="541"/>
      <c r="AG682" s="541"/>
      <c r="AH682" s="541"/>
      <c r="AI682" s="541"/>
      <c r="AJ682" s="541"/>
      <c r="AK682" s="541"/>
      <c r="AL682" s="541"/>
      <c r="AM682" s="541"/>
      <c r="AN682" s="1748"/>
      <c r="AO682" s="1748"/>
      <c r="AP682" s="1748"/>
      <c r="AQ682" s="1748"/>
      <c r="AR682" s="1748"/>
      <c r="AS682" s="541"/>
      <c r="AT682" s="541"/>
      <c r="AU682" s="541"/>
      <c r="AV682" s="541"/>
      <c r="AW682" s="541"/>
      <c r="AX682" s="541"/>
      <c r="AY682" s="541"/>
      <c r="AZ682" s="541"/>
      <c r="BA682" s="541"/>
      <c r="BC682" s="541"/>
      <c r="BE682" s="541"/>
      <c r="BG682" s="541"/>
      <c r="BH682" s="1190"/>
      <c r="BI682" s="541"/>
      <c r="BJ682" s="1190"/>
      <c r="BK682" s="541"/>
      <c r="BL682" s="541"/>
      <c r="BM682" s="541"/>
      <c r="BO682" s="541"/>
      <c r="BP682" s="541"/>
      <c r="BQ682" s="633"/>
      <c r="BR682" s="541"/>
      <c r="BS682" s="541"/>
      <c r="BT682" s="541"/>
    </row>
    <row r="683" ht="15.75" customHeight="1">
      <c r="A683" s="1591"/>
      <c r="B683" s="1541"/>
      <c r="C683" s="2217"/>
      <c r="D683" s="1543"/>
      <c r="E683" s="906"/>
      <c r="F683" s="541"/>
      <c r="G683" s="541"/>
      <c r="H683" s="541"/>
      <c r="I683" s="541"/>
      <c r="J683" s="1748"/>
      <c r="K683" s="541"/>
      <c r="L683" s="1748"/>
      <c r="M683" s="541"/>
      <c r="N683" s="1748"/>
      <c r="O683" s="541"/>
      <c r="P683" s="1748"/>
      <c r="Q683" s="541"/>
      <c r="R683" s="1748"/>
      <c r="S683" s="541"/>
      <c r="T683" s="1748"/>
      <c r="U683" s="541"/>
      <c r="V683" s="1748"/>
      <c r="W683" s="541"/>
      <c r="X683" s="1748"/>
      <c r="Y683" s="1748"/>
      <c r="Z683" s="1748"/>
      <c r="AA683" s="541"/>
      <c r="AB683" s="1748"/>
      <c r="AC683" s="541"/>
      <c r="AD683" s="541"/>
      <c r="AE683" s="541"/>
      <c r="AF683" s="541"/>
      <c r="AG683" s="541"/>
      <c r="AH683" s="541"/>
      <c r="AI683" s="541"/>
      <c r="AJ683" s="541"/>
      <c r="AK683" s="541"/>
      <c r="AL683" s="541"/>
      <c r="AM683" s="541"/>
      <c r="AN683" s="1748"/>
      <c r="AO683" s="1748"/>
      <c r="AP683" s="1748"/>
      <c r="AQ683" s="1748"/>
      <c r="AR683" s="1748"/>
      <c r="AS683" s="541"/>
      <c r="AT683" s="541"/>
      <c r="AU683" s="541"/>
      <c r="AV683" s="541"/>
      <c r="AW683" s="541"/>
      <c r="AX683" s="541"/>
      <c r="AY683" s="541"/>
      <c r="AZ683" s="541"/>
      <c r="BA683" s="541"/>
      <c r="BC683" s="541"/>
      <c r="BE683" s="541"/>
      <c r="BG683" s="541"/>
      <c r="BH683" s="1190"/>
      <c r="BI683" s="541"/>
      <c r="BJ683" s="1190"/>
      <c r="BK683" s="541"/>
      <c r="BL683" s="541"/>
      <c r="BM683" s="541"/>
      <c r="BO683" s="541"/>
      <c r="BP683" s="541"/>
      <c r="BQ683" s="633"/>
      <c r="BR683" s="541"/>
      <c r="BS683" s="541"/>
      <c r="BT683" s="541"/>
    </row>
    <row r="684" ht="15.75" customHeight="1">
      <c r="A684" s="1591"/>
      <c r="B684" s="1541"/>
      <c r="C684" s="2217"/>
      <c r="D684" s="1543"/>
      <c r="E684" s="906"/>
      <c r="F684" s="541"/>
      <c r="G684" s="541"/>
      <c r="H684" s="541"/>
      <c r="I684" s="541"/>
      <c r="J684" s="1748"/>
      <c r="K684" s="541"/>
      <c r="L684" s="1748"/>
      <c r="M684" s="541"/>
      <c r="N684" s="1748"/>
      <c r="O684" s="541"/>
      <c r="P684" s="1748"/>
      <c r="Q684" s="541"/>
      <c r="R684" s="1748"/>
      <c r="S684" s="541"/>
      <c r="T684" s="1748"/>
      <c r="U684" s="541"/>
      <c r="V684" s="1748"/>
      <c r="W684" s="541"/>
      <c r="X684" s="1748"/>
      <c r="Y684" s="1748"/>
      <c r="Z684" s="1748"/>
      <c r="AA684" s="541"/>
      <c r="AB684" s="1748"/>
      <c r="AC684" s="541"/>
      <c r="AD684" s="541"/>
      <c r="AE684" s="541"/>
      <c r="AF684" s="541"/>
      <c r="AG684" s="541"/>
      <c r="AH684" s="541"/>
      <c r="AI684" s="541"/>
      <c r="AJ684" s="541"/>
      <c r="AK684" s="541"/>
      <c r="AL684" s="541"/>
      <c r="AM684" s="541"/>
      <c r="AN684" s="1748"/>
      <c r="AO684" s="1748"/>
      <c r="AP684" s="1748"/>
      <c r="AQ684" s="1748"/>
      <c r="AR684" s="1748"/>
      <c r="AS684" s="541"/>
      <c r="AT684" s="541"/>
      <c r="AU684" s="541"/>
      <c r="AV684" s="541"/>
      <c r="AW684" s="541"/>
      <c r="AX684" s="541"/>
      <c r="AY684" s="541"/>
      <c r="AZ684" s="541"/>
      <c r="BA684" s="541"/>
      <c r="BC684" s="541"/>
      <c r="BE684" s="541"/>
      <c r="BG684" s="541"/>
      <c r="BH684" s="1190"/>
      <c r="BI684" s="541"/>
      <c r="BJ684" s="1190"/>
      <c r="BK684" s="541"/>
      <c r="BL684" s="541"/>
      <c r="BM684" s="541"/>
      <c r="BO684" s="541"/>
      <c r="BP684" s="541"/>
      <c r="BQ684" s="633"/>
      <c r="BR684" s="541"/>
      <c r="BS684" s="541"/>
      <c r="BT684" s="541"/>
    </row>
    <row r="685" ht="15.75" customHeight="1">
      <c r="A685" s="1591"/>
      <c r="B685" s="1541"/>
      <c r="C685" s="2217"/>
      <c r="D685" s="1543"/>
      <c r="E685" s="906"/>
      <c r="F685" s="541"/>
      <c r="G685" s="541"/>
      <c r="H685" s="541"/>
      <c r="I685" s="541"/>
      <c r="J685" s="1748"/>
      <c r="K685" s="541"/>
      <c r="L685" s="1748"/>
      <c r="M685" s="541"/>
      <c r="N685" s="1748"/>
      <c r="O685" s="541"/>
      <c r="P685" s="1748"/>
      <c r="Q685" s="541"/>
      <c r="R685" s="1748"/>
      <c r="S685" s="541"/>
      <c r="T685" s="1748"/>
      <c r="U685" s="541"/>
      <c r="V685" s="1748"/>
      <c r="W685" s="541"/>
      <c r="X685" s="1748"/>
      <c r="Y685" s="1748"/>
      <c r="Z685" s="1748"/>
      <c r="AA685" s="541"/>
      <c r="AB685" s="1748"/>
      <c r="AC685" s="541"/>
      <c r="AD685" s="541"/>
      <c r="AE685" s="541"/>
      <c r="AF685" s="541"/>
      <c r="AG685" s="541"/>
      <c r="AH685" s="541"/>
      <c r="AI685" s="541"/>
      <c r="AJ685" s="541"/>
      <c r="AK685" s="541"/>
      <c r="AL685" s="541"/>
      <c r="AM685" s="541"/>
      <c r="AN685" s="1748"/>
      <c r="AO685" s="1748"/>
      <c r="AP685" s="1748"/>
      <c r="AQ685" s="1748"/>
      <c r="AR685" s="1748"/>
      <c r="AS685" s="541"/>
      <c r="AT685" s="541"/>
      <c r="AU685" s="541"/>
      <c r="AV685" s="541"/>
      <c r="AW685" s="541"/>
      <c r="AX685" s="541"/>
      <c r="AY685" s="541"/>
      <c r="AZ685" s="541"/>
      <c r="BA685" s="541"/>
      <c r="BC685" s="541"/>
      <c r="BE685" s="541"/>
      <c r="BG685" s="541"/>
      <c r="BH685" s="1190"/>
      <c r="BI685" s="541"/>
      <c r="BJ685" s="1190"/>
      <c r="BK685" s="541"/>
      <c r="BL685" s="541"/>
      <c r="BM685" s="541"/>
      <c r="BO685" s="541"/>
      <c r="BP685" s="541"/>
      <c r="BQ685" s="633"/>
      <c r="BR685" s="541"/>
      <c r="BS685" s="541"/>
      <c r="BT685" s="541"/>
    </row>
    <row r="686" ht="15.75" customHeight="1">
      <c r="A686" s="1591"/>
      <c r="B686" s="1541"/>
      <c r="C686" s="2217"/>
      <c r="D686" s="1543"/>
      <c r="E686" s="906"/>
      <c r="F686" s="541"/>
      <c r="G686" s="541"/>
      <c r="H686" s="541"/>
      <c r="I686" s="541"/>
      <c r="J686" s="1748"/>
      <c r="K686" s="541"/>
      <c r="L686" s="1748"/>
      <c r="M686" s="541"/>
      <c r="N686" s="1748"/>
      <c r="O686" s="541"/>
      <c r="P686" s="1748"/>
      <c r="Q686" s="541"/>
      <c r="R686" s="1748"/>
      <c r="S686" s="541"/>
      <c r="T686" s="1748"/>
      <c r="U686" s="541"/>
      <c r="V686" s="1748"/>
      <c r="W686" s="541"/>
      <c r="X686" s="1748"/>
      <c r="Y686" s="1748"/>
      <c r="Z686" s="1748"/>
      <c r="AA686" s="541"/>
      <c r="AB686" s="1748"/>
      <c r="AC686" s="541"/>
      <c r="AD686" s="541"/>
      <c r="AE686" s="541"/>
      <c r="AF686" s="541"/>
      <c r="AG686" s="541"/>
      <c r="AH686" s="541"/>
      <c r="AI686" s="541"/>
      <c r="AJ686" s="541"/>
      <c r="AK686" s="541"/>
      <c r="AL686" s="541"/>
      <c r="AM686" s="541"/>
      <c r="AN686" s="1748"/>
      <c r="AO686" s="1748"/>
      <c r="AP686" s="1748"/>
      <c r="AQ686" s="1748"/>
      <c r="AR686" s="1748"/>
      <c r="AS686" s="541"/>
      <c r="AT686" s="541"/>
      <c r="AU686" s="541"/>
      <c r="AV686" s="541"/>
      <c r="AW686" s="541"/>
      <c r="AX686" s="541"/>
      <c r="AY686" s="541"/>
      <c r="AZ686" s="541"/>
      <c r="BA686" s="541"/>
      <c r="BC686" s="541"/>
      <c r="BE686" s="541"/>
      <c r="BG686" s="541"/>
      <c r="BH686" s="1190"/>
      <c r="BI686" s="541"/>
      <c r="BJ686" s="1190"/>
      <c r="BK686" s="541"/>
      <c r="BL686" s="541"/>
      <c r="BM686" s="541"/>
      <c r="BO686" s="541"/>
      <c r="BP686" s="541"/>
      <c r="BQ686" s="633"/>
      <c r="BR686" s="541"/>
      <c r="BS686" s="541"/>
      <c r="BT686" s="541"/>
    </row>
    <row r="687" ht="15.75" customHeight="1">
      <c r="A687" s="1591"/>
      <c r="B687" s="1541"/>
      <c r="C687" s="2217"/>
      <c r="D687" s="1543"/>
      <c r="E687" s="906"/>
      <c r="F687" s="541"/>
      <c r="G687" s="541"/>
      <c r="H687" s="541"/>
      <c r="I687" s="541"/>
      <c r="J687" s="1748"/>
      <c r="K687" s="541"/>
      <c r="L687" s="1748"/>
      <c r="M687" s="541"/>
      <c r="N687" s="1748"/>
      <c r="O687" s="541"/>
      <c r="P687" s="1748"/>
      <c r="Q687" s="541"/>
      <c r="R687" s="1748"/>
      <c r="S687" s="541"/>
      <c r="T687" s="1748"/>
      <c r="U687" s="541"/>
      <c r="V687" s="1748"/>
      <c r="W687" s="541"/>
      <c r="X687" s="1748"/>
      <c r="Y687" s="1748"/>
      <c r="Z687" s="1748"/>
      <c r="AA687" s="541"/>
      <c r="AB687" s="1748"/>
      <c r="AC687" s="541"/>
      <c r="AD687" s="541"/>
      <c r="AE687" s="541"/>
      <c r="AF687" s="541"/>
      <c r="AG687" s="541"/>
      <c r="AH687" s="541"/>
      <c r="AI687" s="541"/>
      <c r="AJ687" s="541"/>
      <c r="AK687" s="541"/>
      <c r="AL687" s="541"/>
      <c r="AM687" s="541"/>
      <c r="AN687" s="1748"/>
      <c r="AO687" s="1748"/>
      <c r="AP687" s="1748"/>
      <c r="AQ687" s="1748"/>
      <c r="AR687" s="1748"/>
      <c r="AS687" s="541"/>
      <c r="AT687" s="541"/>
      <c r="AU687" s="541"/>
      <c r="AV687" s="541"/>
      <c r="AW687" s="541"/>
      <c r="AX687" s="541"/>
      <c r="AY687" s="541"/>
      <c r="AZ687" s="541"/>
      <c r="BA687" s="541"/>
      <c r="BC687" s="541"/>
      <c r="BE687" s="541"/>
      <c r="BG687" s="541"/>
      <c r="BH687" s="1190"/>
      <c r="BI687" s="541"/>
      <c r="BJ687" s="1190"/>
      <c r="BK687" s="541"/>
      <c r="BL687" s="541"/>
      <c r="BM687" s="541"/>
      <c r="BO687" s="541"/>
      <c r="BP687" s="541"/>
      <c r="BQ687" s="633"/>
      <c r="BR687" s="541"/>
      <c r="BS687" s="541"/>
      <c r="BT687" s="541"/>
    </row>
    <row r="688" ht="15.75" customHeight="1">
      <c r="A688" s="1591"/>
      <c r="B688" s="1541"/>
      <c r="C688" s="2217"/>
      <c r="D688" s="1543"/>
      <c r="E688" s="906"/>
      <c r="F688" s="541"/>
      <c r="G688" s="541"/>
      <c r="H688" s="541"/>
      <c r="I688" s="541"/>
      <c r="J688" s="1748"/>
      <c r="K688" s="541"/>
      <c r="L688" s="1748"/>
      <c r="M688" s="541"/>
      <c r="N688" s="1748"/>
      <c r="O688" s="541"/>
      <c r="P688" s="1748"/>
      <c r="Q688" s="541"/>
      <c r="R688" s="1748"/>
      <c r="S688" s="541"/>
      <c r="T688" s="1748"/>
      <c r="U688" s="541"/>
      <c r="V688" s="1748"/>
      <c r="W688" s="541"/>
      <c r="X688" s="1748"/>
      <c r="Y688" s="1748"/>
      <c r="Z688" s="1748"/>
      <c r="AA688" s="541"/>
      <c r="AB688" s="1748"/>
      <c r="AC688" s="541"/>
      <c r="AD688" s="541"/>
      <c r="AE688" s="541"/>
      <c r="AF688" s="541"/>
      <c r="AG688" s="541"/>
      <c r="AH688" s="541"/>
      <c r="AI688" s="541"/>
      <c r="AJ688" s="541"/>
      <c r="AK688" s="541"/>
      <c r="AL688" s="541"/>
      <c r="AM688" s="541"/>
      <c r="AN688" s="1748"/>
      <c r="AO688" s="1748"/>
      <c r="AP688" s="1748"/>
      <c r="AQ688" s="1748"/>
      <c r="AR688" s="1748"/>
      <c r="AS688" s="541"/>
      <c r="AT688" s="541"/>
      <c r="AU688" s="541"/>
      <c r="AV688" s="541"/>
      <c r="AW688" s="541"/>
      <c r="AX688" s="541"/>
      <c r="AY688" s="541"/>
      <c r="AZ688" s="541"/>
      <c r="BA688" s="541"/>
      <c r="BC688" s="541"/>
      <c r="BE688" s="541"/>
      <c r="BG688" s="541"/>
      <c r="BH688" s="1190"/>
      <c r="BI688" s="541"/>
      <c r="BJ688" s="1190"/>
      <c r="BK688" s="541"/>
      <c r="BL688" s="541"/>
      <c r="BM688" s="541"/>
      <c r="BO688" s="541"/>
      <c r="BP688" s="541"/>
      <c r="BQ688" s="633"/>
      <c r="BR688" s="541"/>
      <c r="BS688" s="541"/>
      <c r="BT688" s="541"/>
    </row>
    <row r="689" ht="15.75" customHeight="1">
      <c r="A689" s="1591"/>
      <c r="B689" s="1541"/>
      <c r="C689" s="2217"/>
      <c r="D689" s="1543"/>
      <c r="E689" s="906"/>
      <c r="F689" s="541"/>
      <c r="G689" s="541"/>
      <c r="H689" s="541"/>
      <c r="I689" s="541"/>
      <c r="J689" s="1748"/>
      <c r="K689" s="541"/>
      <c r="L689" s="1748"/>
      <c r="M689" s="541"/>
      <c r="N689" s="1748"/>
      <c r="O689" s="541"/>
      <c r="P689" s="1748"/>
      <c r="Q689" s="541"/>
      <c r="R689" s="1748"/>
      <c r="S689" s="541"/>
      <c r="T689" s="1748"/>
      <c r="U689" s="541"/>
      <c r="V689" s="1748"/>
      <c r="W689" s="541"/>
      <c r="X689" s="1748"/>
      <c r="Y689" s="1748"/>
      <c r="Z689" s="1748"/>
      <c r="AA689" s="541"/>
      <c r="AB689" s="1748"/>
      <c r="AC689" s="541"/>
      <c r="AD689" s="541"/>
      <c r="AE689" s="541"/>
      <c r="AF689" s="541"/>
      <c r="AG689" s="541"/>
      <c r="AH689" s="541"/>
      <c r="AI689" s="541"/>
      <c r="AJ689" s="541"/>
      <c r="AK689" s="541"/>
      <c r="AL689" s="541"/>
      <c r="AM689" s="541"/>
      <c r="AN689" s="1748"/>
      <c r="AO689" s="1748"/>
      <c r="AP689" s="1748"/>
      <c r="AQ689" s="1748"/>
      <c r="AR689" s="1748"/>
      <c r="AS689" s="541"/>
      <c r="AT689" s="541"/>
      <c r="AU689" s="541"/>
      <c r="AV689" s="541"/>
      <c r="AW689" s="541"/>
      <c r="AX689" s="541"/>
      <c r="AY689" s="541"/>
      <c r="AZ689" s="541"/>
      <c r="BA689" s="541"/>
      <c r="BC689" s="541"/>
      <c r="BE689" s="541"/>
      <c r="BG689" s="541"/>
      <c r="BH689" s="1190"/>
      <c r="BI689" s="541"/>
      <c r="BJ689" s="1190"/>
      <c r="BK689" s="541"/>
      <c r="BL689" s="541"/>
      <c r="BM689" s="541"/>
      <c r="BO689" s="541"/>
      <c r="BP689" s="541"/>
      <c r="BQ689" s="633"/>
      <c r="BR689" s="541"/>
      <c r="BS689" s="541"/>
      <c r="BT689" s="541"/>
    </row>
    <row r="690" ht="15.75" customHeight="1">
      <c r="A690" s="1591"/>
      <c r="B690" s="1541"/>
      <c r="C690" s="2217"/>
      <c r="D690" s="1543"/>
      <c r="E690" s="906"/>
      <c r="F690" s="541"/>
      <c r="G690" s="541"/>
      <c r="H690" s="541"/>
      <c r="I690" s="541"/>
      <c r="J690" s="1748"/>
      <c r="K690" s="541"/>
      <c r="L690" s="1748"/>
      <c r="M690" s="541"/>
      <c r="N690" s="1748"/>
      <c r="O690" s="541"/>
      <c r="P690" s="1748"/>
      <c r="Q690" s="541"/>
      <c r="R690" s="1748"/>
      <c r="S690" s="541"/>
      <c r="T690" s="1748"/>
      <c r="U690" s="541"/>
      <c r="V690" s="1748"/>
      <c r="W690" s="541"/>
      <c r="X690" s="1748"/>
      <c r="Y690" s="1748"/>
      <c r="Z690" s="1748"/>
      <c r="AA690" s="541"/>
      <c r="AB690" s="1748"/>
      <c r="AC690" s="541"/>
      <c r="AD690" s="541"/>
      <c r="AE690" s="541"/>
      <c r="AF690" s="541"/>
      <c r="AG690" s="541"/>
      <c r="AH690" s="541"/>
      <c r="AI690" s="541"/>
      <c r="AJ690" s="541"/>
      <c r="AK690" s="541"/>
      <c r="AL690" s="541"/>
      <c r="AM690" s="541"/>
      <c r="AN690" s="1748"/>
      <c r="AO690" s="1748"/>
      <c r="AP690" s="1748"/>
      <c r="AQ690" s="1748"/>
      <c r="AR690" s="1748"/>
      <c r="AS690" s="541"/>
      <c r="AT690" s="541"/>
      <c r="AU690" s="541"/>
      <c r="AV690" s="541"/>
      <c r="AW690" s="541"/>
      <c r="AX690" s="541"/>
      <c r="AY690" s="541"/>
      <c r="AZ690" s="541"/>
      <c r="BA690" s="541"/>
      <c r="BC690" s="541"/>
      <c r="BE690" s="541"/>
      <c r="BG690" s="541"/>
      <c r="BH690" s="1190"/>
      <c r="BI690" s="541"/>
      <c r="BJ690" s="1190"/>
      <c r="BK690" s="541"/>
      <c r="BL690" s="541"/>
      <c r="BM690" s="541"/>
      <c r="BO690" s="541"/>
      <c r="BP690" s="541"/>
      <c r="BQ690" s="633"/>
      <c r="BR690" s="541"/>
      <c r="BS690" s="541"/>
      <c r="BT690" s="541"/>
    </row>
    <row r="691" ht="15.75" customHeight="1">
      <c r="A691" s="1591"/>
      <c r="B691" s="1541"/>
      <c r="C691" s="2217"/>
      <c r="D691" s="1543"/>
      <c r="E691" s="906"/>
      <c r="F691" s="541"/>
      <c r="G691" s="541"/>
      <c r="H691" s="541"/>
      <c r="I691" s="541"/>
      <c r="J691" s="1748"/>
      <c r="K691" s="541"/>
      <c r="L691" s="1748"/>
      <c r="M691" s="541"/>
      <c r="N691" s="1748"/>
      <c r="O691" s="541"/>
      <c r="P691" s="1748"/>
      <c r="Q691" s="541"/>
      <c r="R691" s="1748"/>
      <c r="S691" s="541"/>
      <c r="T691" s="1748"/>
      <c r="U691" s="541"/>
      <c r="V691" s="1748"/>
      <c r="W691" s="541"/>
      <c r="X691" s="1748"/>
      <c r="Y691" s="1748"/>
      <c r="Z691" s="1748"/>
      <c r="AA691" s="541"/>
      <c r="AB691" s="1748"/>
      <c r="AC691" s="541"/>
      <c r="AD691" s="541"/>
      <c r="AE691" s="541"/>
      <c r="AF691" s="541"/>
      <c r="AG691" s="541"/>
      <c r="AH691" s="541"/>
      <c r="AI691" s="541"/>
      <c r="AJ691" s="541"/>
      <c r="AK691" s="541"/>
      <c r="AL691" s="541"/>
      <c r="AM691" s="541"/>
      <c r="AN691" s="1748"/>
      <c r="AO691" s="1748"/>
      <c r="AP691" s="1748"/>
      <c r="AQ691" s="1748"/>
      <c r="AR691" s="1748"/>
      <c r="AS691" s="541"/>
      <c r="AT691" s="541"/>
      <c r="AU691" s="541"/>
      <c r="AV691" s="541"/>
      <c r="AW691" s="541"/>
      <c r="AX691" s="541"/>
      <c r="AY691" s="541"/>
      <c r="AZ691" s="541"/>
      <c r="BA691" s="541"/>
      <c r="BC691" s="541"/>
      <c r="BE691" s="541"/>
      <c r="BG691" s="541"/>
      <c r="BH691" s="1190"/>
      <c r="BI691" s="541"/>
      <c r="BJ691" s="1190"/>
      <c r="BK691" s="541"/>
      <c r="BL691" s="541"/>
      <c r="BM691" s="541"/>
      <c r="BO691" s="541"/>
      <c r="BP691" s="541"/>
      <c r="BQ691" s="633"/>
      <c r="BR691" s="541"/>
      <c r="BS691" s="541"/>
      <c r="BT691" s="541"/>
    </row>
    <row r="692" ht="15.75" customHeight="1">
      <c r="A692" s="1591"/>
      <c r="B692" s="1541"/>
      <c r="C692" s="2217"/>
      <c r="D692" s="1543"/>
      <c r="E692" s="906"/>
      <c r="F692" s="541"/>
      <c r="G692" s="541"/>
      <c r="H692" s="541"/>
      <c r="I692" s="541"/>
      <c r="J692" s="1748"/>
      <c r="K692" s="541"/>
      <c r="L692" s="1748"/>
      <c r="M692" s="541"/>
      <c r="N692" s="1748"/>
      <c r="O692" s="541"/>
      <c r="P692" s="1748"/>
      <c r="Q692" s="541"/>
      <c r="R692" s="1748"/>
      <c r="S692" s="541"/>
      <c r="T692" s="1748"/>
      <c r="U692" s="541"/>
      <c r="V692" s="1748"/>
      <c r="W692" s="541"/>
      <c r="X692" s="1748"/>
      <c r="Y692" s="1748"/>
      <c r="Z692" s="1748"/>
      <c r="AA692" s="541"/>
      <c r="AB692" s="1748"/>
      <c r="AC692" s="541"/>
      <c r="AD692" s="541"/>
      <c r="AE692" s="541"/>
      <c r="AF692" s="541"/>
      <c r="AG692" s="541"/>
      <c r="AH692" s="541"/>
      <c r="AI692" s="541"/>
      <c r="AJ692" s="541"/>
      <c r="AK692" s="541"/>
      <c r="AL692" s="541"/>
      <c r="AM692" s="541"/>
      <c r="AN692" s="1748"/>
      <c r="AO692" s="1748"/>
      <c r="AP692" s="1748"/>
      <c r="AQ692" s="1748"/>
      <c r="AR692" s="1748"/>
      <c r="AS692" s="541"/>
      <c r="AT692" s="541"/>
      <c r="AU692" s="541"/>
      <c r="AV692" s="541"/>
      <c r="AW692" s="541"/>
      <c r="AX692" s="541"/>
      <c r="AY692" s="541"/>
      <c r="AZ692" s="541"/>
      <c r="BA692" s="541"/>
      <c r="BC692" s="541"/>
      <c r="BE692" s="541"/>
      <c r="BG692" s="541"/>
      <c r="BH692" s="1190"/>
      <c r="BI692" s="541"/>
      <c r="BJ692" s="1190"/>
      <c r="BK692" s="541"/>
      <c r="BL692" s="541"/>
      <c r="BM692" s="541"/>
      <c r="BO692" s="541"/>
      <c r="BP692" s="541"/>
      <c r="BQ692" s="633"/>
      <c r="BR692" s="541"/>
      <c r="BS692" s="541"/>
      <c r="BT692" s="541"/>
    </row>
    <row r="693" ht="15.75" customHeight="1">
      <c r="A693" s="1591"/>
      <c r="B693" s="1541"/>
      <c r="C693" s="2217"/>
      <c r="D693" s="1543"/>
      <c r="E693" s="906"/>
      <c r="F693" s="541"/>
      <c r="G693" s="541"/>
      <c r="H693" s="541"/>
      <c r="I693" s="541"/>
      <c r="J693" s="1748"/>
      <c r="K693" s="541"/>
      <c r="L693" s="1748"/>
      <c r="M693" s="541"/>
      <c r="N693" s="1748"/>
      <c r="O693" s="541"/>
      <c r="P693" s="1748"/>
      <c r="Q693" s="541"/>
      <c r="R693" s="1748"/>
      <c r="S693" s="541"/>
      <c r="T693" s="1748"/>
      <c r="U693" s="541"/>
      <c r="V693" s="1748"/>
      <c r="W693" s="541"/>
      <c r="X693" s="1748"/>
      <c r="Y693" s="1748"/>
      <c r="Z693" s="1748"/>
      <c r="AA693" s="541"/>
      <c r="AB693" s="1748"/>
      <c r="AC693" s="541"/>
      <c r="AD693" s="541"/>
      <c r="AE693" s="541"/>
      <c r="AF693" s="541"/>
      <c r="AG693" s="541"/>
      <c r="AH693" s="541"/>
      <c r="AI693" s="541"/>
      <c r="AJ693" s="541"/>
      <c r="AK693" s="541"/>
      <c r="AL693" s="541"/>
      <c r="AM693" s="541"/>
      <c r="AN693" s="1748"/>
      <c r="AO693" s="1748"/>
      <c r="AP693" s="1748"/>
      <c r="AQ693" s="1748"/>
      <c r="AR693" s="1748"/>
      <c r="AS693" s="541"/>
      <c r="AT693" s="541"/>
      <c r="AU693" s="541"/>
      <c r="AV693" s="541"/>
      <c r="AW693" s="541"/>
      <c r="AX693" s="541"/>
      <c r="AY693" s="541"/>
      <c r="AZ693" s="541"/>
      <c r="BA693" s="541"/>
      <c r="BC693" s="541"/>
      <c r="BE693" s="541"/>
      <c r="BG693" s="541"/>
      <c r="BH693" s="1190"/>
      <c r="BI693" s="541"/>
      <c r="BJ693" s="1190"/>
      <c r="BK693" s="541"/>
      <c r="BL693" s="541"/>
      <c r="BM693" s="541"/>
      <c r="BO693" s="541"/>
      <c r="BP693" s="541"/>
      <c r="BQ693" s="633"/>
      <c r="BR693" s="541"/>
      <c r="BS693" s="541"/>
      <c r="BT693" s="541"/>
    </row>
    <row r="694" ht="15.75" customHeight="1">
      <c r="A694" s="1591"/>
      <c r="B694" s="1541"/>
      <c r="C694" s="2217"/>
      <c r="D694" s="1543"/>
      <c r="E694" s="906"/>
      <c r="F694" s="541"/>
      <c r="G694" s="541"/>
      <c r="H694" s="541"/>
      <c r="I694" s="541"/>
      <c r="J694" s="1748"/>
      <c r="K694" s="541"/>
      <c r="L694" s="1748"/>
      <c r="M694" s="541"/>
      <c r="N694" s="1748"/>
      <c r="O694" s="541"/>
      <c r="P694" s="1748"/>
      <c r="Q694" s="541"/>
      <c r="R694" s="1748"/>
      <c r="S694" s="541"/>
      <c r="T694" s="1748"/>
      <c r="U694" s="541"/>
      <c r="V694" s="1748"/>
      <c r="W694" s="541"/>
      <c r="X694" s="1748"/>
      <c r="Y694" s="1748"/>
      <c r="Z694" s="1748"/>
      <c r="AA694" s="541"/>
      <c r="AB694" s="1748"/>
      <c r="AC694" s="541"/>
      <c r="AD694" s="541"/>
      <c r="AE694" s="541"/>
      <c r="AF694" s="541"/>
      <c r="AG694" s="541"/>
      <c r="AH694" s="541"/>
      <c r="AI694" s="541"/>
      <c r="AJ694" s="541"/>
      <c r="AK694" s="541"/>
      <c r="AL694" s="541"/>
      <c r="AM694" s="541"/>
      <c r="AN694" s="1748"/>
      <c r="AO694" s="1748"/>
      <c r="AP694" s="1748"/>
      <c r="AQ694" s="1748"/>
      <c r="AR694" s="1748"/>
      <c r="AS694" s="541"/>
      <c r="AT694" s="541"/>
      <c r="AU694" s="541"/>
      <c r="AV694" s="541"/>
      <c r="AW694" s="541"/>
      <c r="AX694" s="541"/>
      <c r="AY694" s="541"/>
      <c r="AZ694" s="541"/>
      <c r="BA694" s="541"/>
      <c r="BC694" s="541"/>
      <c r="BE694" s="541"/>
      <c r="BG694" s="541"/>
      <c r="BH694" s="1190"/>
      <c r="BI694" s="541"/>
      <c r="BJ694" s="1190"/>
      <c r="BK694" s="541"/>
      <c r="BL694" s="541"/>
      <c r="BM694" s="541"/>
      <c r="BO694" s="541"/>
      <c r="BP694" s="541"/>
      <c r="BQ694" s="633"/>
      <c r="BR694" s="541"/>
      <c r="BS694" s="541"/>
      <c r="BT694" s="541"/>
    </row>
    <row r="695" ht="15.75" customHeight="1">
      <c r="A695" s="1591"/>
      <c r="B695" s="1541"/>
      <c r="C695" s="2217"/>
      <c r="D695" s="1543"/>
      <c r="E695" s="906"/>
      <c r="F695" s="541"/>
      <c r="G695" s="541"/>
      <c r="H695" s="541"/>
      <c r="I695" s="541"/>
      <c r="J695" s="1748"/>
      <c r="K695" s="541"/>
      <c r="L695" s="1748"/>
      <c r="M695" s="541"/>
      <c r="N695" s="1748"/>
      <c r="O695" s="541"/>
      <c r="P695" s="1748"/>
      <c r="Q695" s="541"/>
      <c r="R695" s="1748"/>
      <c r="S695" s="541"/>
      <c r="T695" s="1748"/>
      <c r="U695" s="541"/>
      <c r="V695" s="1748"/>
      <c r="W695" s="541"/>
      <c r="X695" s="1748"/>
      <c r="Y695" s="1748"/>
      <c r="Z695" s="1748"/>
      <c r="AA695" s="541"/>
      <c r="AB695" s="1748"/>
      <c r="AC695" s="541"/>
      <c r="AD695" s="541"/>
      <c r="AE695" s="541"/>
      <c r="AF695" s="541"/>
      <c r="AG695" s="541"/>
      <c r="AH695" s="541"/>
      <c r="AI695" s="541"/>
      <c r="AJ695" s="541"/>
      <c r="AK695" s="541"/>
      <c r="AL695" s="541"/>
      <c r="AM695" s="541"/>
      <c r="AN695" s="1748"/>
      <c r="AO695" s="1748"/>
      <c r="AP695" s="1748"/>
      <c r="AQ695" s="1748"/>
      <c r="AR695" s="1748"/>
      <c r="AS695" s="541"/>
      <c r="AT695" s="541"/>
      <c r="AU695" s="541"/>
      <c r="AV695" s="541"/>
      <c r="AW695" s="541"/>
      <c r="AX695" s="541"/>
      <c r="AY695" s="541"/>
      <c r="AZ695" s="541"/>
      <c r="BA695" s="541"/>
      <c r="BC695" s="541"/>
      <c r="BE695" s="541"/>
      <c r="BG695" s="541"/>
      <c r="BH695" s="1190"/>
      <c r="BI695" s="541"/>
      <c r="BJ695" s="1190"/>
      <c r="BK695" s="541"/>
      <c r="BL695" s="541"/>
      <c r="BM695" s="541"/>
      <c r="BO695" s="541"/>
      <c r="BP695" s="541"/>
      <c r="BQ695" s="633"/>
      <c r="BR695" s="541"/>
      <c r="BS695" s="541"/>
      <c r="BT695" s="541"/>
    </row>
    <row r="696" ht="15.75" customHeight="1">
      <c r="A696" s="1591"/>
      <c r="B696" s="1541"/>
      <c r="C696" s="2217"/>
      <c r="D696" s="1543"/>
      <c r="E696" s="906"/>
      <c r="F696" s="541"/>
      <c r="G696" s="541"/>
      <c r="H696" s="541"/>
      <c r="I696" s="541"/>
      <c r="J696" s="1748"/>
      <c r="K696" s="541"/>
      <c r="L696" s="1748"/>
      <c r="M696" s="541"/>
      <c r="N696" s="1748"/>
      <c r="O696" s="541"/>
      <c r="P696" s="1748"/>
      <c r="Q696" s="541"/>
      <c r="R696" s="1748"/>
      <c r="S696" s="541"/>
      <c r="T696" s="1748"/>
      <c r="U696" s="541"/>
      <c r="V696" s="1748"/>
      <c r="W696" s="541"/>
      <c r="X696" s="1748"/>
      <c r="Y696" s="1748"/>
      <c r="Z696" s="1748"/>
      <c r="AA696" s="541"/>
      <c r="AB696" s="1748"/>
      <c r="AC696" s="541"/>
      <c r="AD696" s="541"/>
      <c r="AE696" s="541"/>
      <c r="AF696" s="541"/>
      <c r="AG696" s="541"/>
      <c r="AH696" s="541"/>
      <c r="AI696" s="541"/>
      <c r="AJ696" s="541"/>
      <c r="AK696" s="541"/>
      <c r="AL696" s="541"/>
      <c r="AM696" s="541"/>
      <c r="AN696" s="1748"/>
      <c r="AO696" s="1748"/>
      <c r="AP696" s="1748"/>
      <c r="AQ696" s="1748"/>
      <c r="AR696" s="1748"/>
      <c r="AS696" s="541"/>
      <c r="AT696" s="541"/>
      <c r="AU696" s="541"/>
      <c r="AV696" s="541"/>
      <c r="AW696" s="541"/>
      <c r="AX696" s="541"/>
      <c r="AY696" s="541"/>
      <c r="AZ696" s="541"/>
      <c r="BA696" s="541"/>
      <c r="BC696" s="541"/>
      <c r="BE696" s="541"/>
      <c r="BG696" s="541"/>
      <c r="BH696" s="1190"/>
      <c r="BI696" s="541"/>
      <c r="BJ696" s="1190"/>
      <c r="BK696" s="541"/>
      <c r="BL696" s="541"/>
      <c r="BM696" s="541"/>
      <c r="BO696" s="541"/>
      <c r="BP696" s="541"/>
      <c r="BQ696" s="633"/>
      <c r="BR696" s="541"/>
      <c r="BS696" s="541"/>
      <c r="BT696" s="541"/>
    </row>
    <row r="697" ht="15.75" customHeight="1">
      <c r="A697" s="1591"/>
      <c r="B697" s="1541"/>
      <c r="C697" s="2217"/>
      <c r="D697" s="1543"/>
      <c r="E697" s="906"/>
      <c r="F697" s="541"/>
      <c r="G697" s="541"/>
      <c r="H697" s="541"/>
      <c r="I697" s="541"/>
      <c r="J697" s="1748"/>
      <c r="K697" s="541"/>
      <c r="L697" s="1748"/>
      <c r="M697" s="541"/>
      <c r="N697" s="1748"/>
      <c r="O697" s="541"/>
      <c r="P697" s="1748"/>
      <c r="Q697" s="541"/>
      <c r="R697" s="1748"/>
      <c r="S697" s="541"/>
      <c r="T697" s="1748"/>
      <c r="U697" s="541"/>
      <c r="V697" s="1748"/>
      <c r="W697" s="541"/>
      <c r="X697" s="1748"/>
      <c r="Y697" s="1748"/>
      <c r="Z697" s="1748"/>
      <c r="AA697" s="541"/>
      <c r="AB697" s="1748"/>
      <c r="AC697" s="541"/>
      <c r="AD697" s="541"/>
      <c r="AE697" s="541"/>
      <c r="AF697" s="541"/>
      <c r="AG697" s="541"/>
      <c r="AH697" s="541"/>
      <c r="AI697" s="541"/>
      <c r="AJ697" s="541"/>
      <c r="AK697" s="541"/>
      <c r="AL697" s="541"/>
      <c r="AM697" s="541"/>
      <c r="AN697" s="1748"/>
      <c r="AO697" s="1748"/>
      <c r="AP697" s="1748"/>
      <c r="AQ697" s="1748"/>
      <c r="AR697" s="1748"/>
      <c r="AS697" s="541"/>
      <c r="AT697" s="541"/>
      <c r="AU697" s="541"/>
      <c r="AV697" s="541"/>
      <c r="AW697" s="541"/>
      <c r="AX697" s="541"/>
      <c r="AY697" s="541"/>
      <c r="AZ697" s="541"/>
      <c r="BA697" s="541"/>
      <c r="BC697" s="541"/>
      <c r="BE697" s="541"/>
      <c r="BG697" s="541"/>
      <c r="BH697" s="1190"/>
      <c r="BI697" s="541"/>
      <c r="BJ697" s="1190"/>
      <c r="BK697" s="541"/>
      <c r="BL697" s="541"/>
      <c r="BM697" s="541"/>
      <c r="BO697" s="541"/>
      <c r="BP697" s="541"/>
      <c r="BQ697" s="633"/>
      <c r="BR697" s="541"/>
      <c r="BS697" s="541"/>
      <c r="BT697" s="541"/>
    </row>
    <row r="698" ht="15.75" customHeight="1">
      <c r="A698" s="1591"/>
      <c r="B698" s="1541"/>
      <c r="C698" s="2217"/>
      <c r="D698" s="1543"/>
      <c r="E698" s="906"/>
      <c r="F698" s="541"/>
      <c r="G698" s="541"/>
      <c r="H698" s="541"/>
      <c r="I698" s="541"/>
      <c r="J698" s="1748"/>
      <c r="K698" s="541"/>
      <c r="L698" s="1748"/>
      <c r="M698" s="541"/>
      <c r="N698" s="1748"/>
      <c r="O698" s="541"/>
      <c r="P698" s="1748"/>
      <c r="Q698" s="541"/>
      <c r="R698" s="1748"/>
      <c r="S698" s="541"/>
      <c r="T698" s="1748"/>
      <c r="U698" s="541"/>
      <c r="V698" s="1748"/>
      <c r="W698" s="541"/>
      <c r="X698" s="1748"/>
      <c r="Y698" s="1748"/>
      <c r="Z698" s="1748"/>
      <c r="AA698" s="541"/>
      <c r="AB698" s="1748"/>
      <c r="AC698" s="541"/>
      <c r="AD698" s="541"/>
      <c r="AE698" s="541"/>
      <c r="AF698" s="541"/>
      <c r="AG698" s="541"/>
      <c r="AH698" s="541"/>
      <c r="AI698" s="541"/>
      <c r="AJ698" s="541"/>
      <c r="AK698" s="541"/>
      <c r="AL698" s="541"/>
      <c r="AM698" s="541"/>
      <c r="AN698" s="1748"/>
      <c r="AO698" s="1748"/>
      <c r="AP698" s="1748"/>
      <c r="AQ698" s="1748"/>
      <c r="AR698" s="1748"/>
      <c r="AS698" s="541"/>
      <c r="AT698" s="541"/>
      <c r="AU698" s="541"/>
      <c r="AV698" s="541"/>
      <c r="AW698" s="541"/>
      <c r="AX698" s="541"/>
      <c r="AY698" s="541"/>
      <c r="AZ698" s="541"/>
      <c r="BA698" s="541"/>
      <c r="BC698" s="541"/>
      <c r="BE698" s="541"/>
      <c r="BG698" s="541"/>
      <c r="BH698" s="1190"/>
      <c r="BI698" s="541"/>
      <c r="BJ698" s="1190"/>
      <c r="BK698" s="541"/>
      <c r="BL698" s="541"/>
      <c r="BM698" s="541"/>
      <c r="BO698" s="541"/>
      <c r="BP698" s="541"/>
      <c r="BQ698" s="633"/>
      <c r="BR698" s="541"/>
      <c r="BS698" s="541"/>
      <c r="BT698" s="541"/>
    </row>
    <row r="699" ht="15.75" customHeight="1">
      <c r="A699" s="1591"/>
      <c r="B699" s="1541"/>
      <c r="C699" s="2217"/>
      <c r="D699" s="1543"/>
      <c r="E699" s="906"/>
      <c r="F699" s="541"/>
      <c r="G699" s="541"/>
      <c r="H699" s="541"/>
      <c r="I699" s="541"/>
      <c r="J699" s="1748"/>
      <c r="K699" s="541"/>
      <c r="L699" s="1748"/>
      <c r="M699" s="541"/>
      <c r="N699" s="1748"/>
      <c r="O699" s="541"/>
      <c r="P699" s="1748"/>
      <c r="Q699" s="541"/>
      <c r="R699" s="1748"/>
      <c r="S699" s="541"/>
      <c r="T699" s="1748"/>
      <c r="U699" s="541"/>
      <c r="V699" s="1748"/>
      <c r="W699" s="541"/>
      <c r="X699" s="1748"/>
      <c r="Y699" s="1748"/>
      <c r="Z699" s="1748"/>
      <c r="AA699" s="541"/>
      <c r="AB699" s="1748"/>
      <c r="AC699" s="541"/>
      <c r="AD699" s="541"/>
      <c r="AE699" s="541"/>
      <c r="AF699" s="541"/>
      <c r="AG699" s="541"/>
      <c r="AH699" s="541"/>
      <c r="AI699" s="541"/>
      <c r="AJ699" s="541"/>
      <c r="AK699" s="541"/>
      <c r="AL699" s="541"/>
      <c r="AM699" s="541"/>
      <c r="AN699" s="1748"/>
      <c r="AO699" s="1748"/>
      <c r="AP699" s="1748"/>
      <c r="AQ699" s="1748"/>
      <c r="AR699" s="1748"/>
      <c r="AS699" s="541"/>
      <c r="AT699" s="541"/>
      <c r="AU699" s="541"/>
      <c r="AV699" s="541"/>
      <c r="AW699" s="541"/>
      <c r="AX699" s="541"/>
      <c r="AY699" s="541"/>
      <c r="AZ699" s="541"/>
      <c r="BA699" s="541"/>
      <c r="BC699" s="541"/>
      <c r="BE699" s="541"/>
      <c r="BG699" s="541"/>
      <c r="BH699" s="1190"/>
      <c r="BI699" s="541"/>
      <c r="BJ699" s="1190"/>
      <c r="BK699" s="541"/>
      <c r="BL699" s="541"/>
      <c r="BM699" s="541"/>
      <c r="BO699" s="541"/>
      <c r="BP699" s="541"/>
      <c r="BQ699" s="633"/>
      <c r="BR699" s="541"/>
      <c r="BS699" s="541"/>
      <c r="BT699" s="541"/>
    </row>
    <row r="700" ht="15.75" customHeight="1">
      <c r="A700" s="1591"/>
      <c r="B700" s="1541"/>
      <c r="C700" s="2217"/>
      <c r="D700" s="1543"/>
      <c r="E700" s="906"/>
      <c r="F700" s="541"/>
      <c r="G700" s="541"/>
      <c r="H700" s="541"/>
      <c r="I700" s="541"/>
      <c r="J700" s="1748"/>
      <c r="K700" s="541"/>
      <c r="L700" s="1748"/>
      <c r="M700" s="541"/>
      <c r="N700" s="1748"/>
      <c r="O700" s="541"/>
      <c r="P700" s="1748"/>
      <c r="Q700" s="541"/>
      <c r="R700" s="1748"/>
      <c r="S700" s="541"/>
      <c r="T700" s="1748"/>
      <c r="U700" s="541"/>
      <c r="V700" s="1748"/>
      <c r="W700" s="541"/>
      <c r="X700" s="1748"/>
      <c r="Y700" s="1748"/>
      <c r="Z700" s="1748"/>
      <c r="AA700" s="541"/>
      <c r="AB700" s="1748"/>
      <c r="AC700" s="541"/>
      <c r="AD700" s="541"/>
      <c r="AE700" s="541"/>
      <c r="AF700" s="541"/>
      <c r="AG700" s="541"/>
      <c r="AH700" s="541"/>
      <c r="AI700" s="541"/>
      <c r="AJ700" s="541"/>
      <c r="AK700" s="541"/>
      <c r="AL700" s="541"/>
      <c r="AM700" s="541"/>
      <c r="AN700" s="1748"/>
      <c r="AO700" s="1748"/>
      <c r="AP700" s="1748"/>
      <c r="AQ700" s="1748"/>
      <c r="AR700" s="1748"/>
      <c r="AS700" s="541"/>
      <c r="AT700" s="541"/>
      <c r="AU700" s="541"/>
      <c r="AV700" s="541"/>
      <c r="AW700" s="541"/>
      <c r="AX700" s="541"/>
      <c r="AY700" s="541"/>
      <c r="AZ700" s="541"/>
      <c r="BA700" s="541"/>
      <c r="BC700" s="541"/>
      <c r="BE700" s="541"/>
      <c r="BG700" s="541"/>
      <c r="BH700" s="1190"/>
      <c r="BI700" s="541"/>
      <c r="BJ700" s="1190"/>
      <c r="BK700" s="541"/>
      <c r="BL700" s="541"/>
      <c r="BM700" s="541"/>
      <c r="BO700" s="541"/>
      <c r="BP700" s="541"/>
      <c r="BQ700" s="633"/>
      <c r="BR700" s="541"/>
      <c r="BS700" s="541"/>
      <c r="BT700" s="541"/>
    </row>
    <row r="701" ht="15.75" customHeight="1">
      <c r="A701" s="1591"/>
      <c r="B701" s="1541"/>
      <c r="C701" s="2217"/>
      <c r="D701" s="1543"/>
      <c r="E701" s="906"/>
      <c r="F701" s="541"/>
      <c r="G701" s="541"/>
      <c r="H701" s="541"/>
      <c r="I701" s="541"/>
      <c r="J701" s="1748"/>
      <c r="K701" s="541"/>
      <c r="L701" s="1748"/>
      <c r="M701" s="541"/>
      <c r="N701" s="1748"/>
      <c r="O701" s="541"/>
      <c r="P701" s="1748"/>
      <c r="Q701" s="541"/>
      <c r="R701" s="1748"/>
      <c r="S701" s="541"/>
      <c r="T701" s="1748"/>
      <c r="U701" s="541"/>
      <c r="V701" s="1748"/>
      <c r="W701" s="541"/>
      <c r="X701" s="1748"/>
      <c r="Y701" s="1748"/>
      <c r="Z701" s="1748"/>
      <c r="AA701" s="541"/>
      <c r="AB701" s="1748"/>
      <c r="AC701" s="541"/>
      <c r="AD701" s="541"/>
      <c r="AE701" s="541"/>
      <c r="AF701" s="541"/>
      <c r="AG701" s="541"/>
      <c r="AH701" s="541"/>
      <c r="AI701" s="541"/>
      <c r="AJ701" s="541"/>
      <c r="AK701" s="541"/>
      <c r="AL701" s="541"/>
      <c r="AM701" s="541"/>
      <c r="AN701" s="1748"/>
      <c r="AO701" s="1748"/>
      <c r="AP701" s="1748"/>
      <c r="AQ701" s="1748"/>
      <c r="AR701" s="1748"/>
      <c r="AS701" s="541"/>
      <c r="AT701" s="541"/>
      <c r="AU701" s="541"/>
      <c r="AV701" s="541"/>
      <c r="AW701" s="541"/>
      <c r="AX701" s="541"/>
      <c r="AY701" s="541"/>
      <c r="AZ701" s="541"/>
      <c r="BA701" s="541"/>
      <c r="BC701" s="541"/>
      <c r="BE701" s="541"/>
      <c r="BG701" s="541"/>
      <c r="BH701" s="1190"/>
      <c r="BI701" s="541"/>
      <c r="BJ701" s="1190"/>
      <c r="BK701" s="541"/>
      <c r="BL701" s="541"/>
      <c r="BM701" s="541"/>
      <c r="BO701" s="541"/>
      <c r="BP701" s="541"/>
      <c r="BQ701" s="633"/>
      <c r="BR701" s="541"/>
      <c r="BS701" s="541"/>
      <c r="BT701" s="541"/>
    </row>
    <row r="702" ht="15.75" customHeight="1">
      <c r="A702" s="1591"/>
      <c r="B702" s="1541"/>
      <c r="C702" s="2217"/>
      <c r="D702" s="1543"/>
      <c r="E702" s="906"/>
      <c r="F702" s="541"/>
      <c r="G702" s="541"/>
      <c r="H702" s="541"/>
      <c r="I702" s="541"/>
      <c r="J702" s="1748"/>
      <c r="K702" s="541"/>
      <c r="L702" s="1748"/>
      <c r="M702" s="541"/>
      <c r="N702" s="1748"/>
      <c r="O702" s="541"/>
      <c r="P702" s="1748"/>
      <c r="Q702" s="541"/>
      <c r="R702" s="1748"/>
      <c r="S702" s="541"/>
      <c r="T702" s="1748"/>
      <c r="U702" s="541"/>
      <c r="V702" s="1748"/>
      <c r="W702" s="541"/>
      <c r="X702" s="1748"/>
      <c r="Y702" s="1748"/>
      <c r="Z702" s="1748"/>
      <c r="AA702" s="541"/>
      <c r="AB702" s="1748"/>
      <c r="AC702" s="541"/>
      <c r="AD702" s="541"/>
      <c r="AE702" s="541"/>
      <c r="AF702" s="541"/>
      <c r="AG702" s="541"/>
      <c r="AH702" s="541"/>
      <c r="AI702" s="541"/>
      <c r="AJ702" s="541"/>
      <c r="AK702" s="541"/>
      <c r="AL702" s="541"/>
      <c r="AM702" s="541"/>
      <c r="AN702" s="1748"/>
      <c r="AO702" s="1748"/>
      <c r="AP702" s="1748"/>
      <c r="AQ702" s="1748"/>
      <c r="AR702" s="1748"/>
      <c r="AS702" s="541"/>
      <c r="AT702" s="541"/>
      <c r="AU702" s="541"/>
      <c r="AV702" s="541"/>
      <c r="AW702" s="541"/>
      <c r="AX702" s="541"/>
      <c r="AY702" s="541"/>
      <c r="AZ702" s="541"/>
      <c r="BA702" s="541"/>
      <c r="BC702" s="541"/>
      <c r="BE702" s="541"/>
      <c r="BG702" s="541"/>
      <c r="BH702" s="1190"/>
      <c r="BI702" s="541"/>
      <c r="BJ702" s="1190"/>
      <c r="BK702" s="541"/>
      <c r="BL702" s="541"/>
      <c r="BM702" s="541"/>
      <c r="BO702" s="541"/>
      <c r="BP702" s="541"/>
      <c r="BQ702" s="633"/>
      <c r="BR702" s="541"/>
      <c r="BS702" s="541"/>
      <c r="BT702" s="541"/>
    </row>
    <row r="703" ht="15.75" customHeight="1">
      <c r="A703" s="1591"/>
      <c r="B703" s="1541"/>
      <c r="C703" s="2217"/>
      <c r="D703" s="1543"/>
      <c r="E703" s="906"/>
      <c r="F703" s="541"/>
      <c r="G703" s="541"/>
      <c r="H703" s="541"/>
      <c r="I703" s="541"/>
      <c r="J703" s="1748"/>
      <c r="K703" s="541"/>
      <c r="L703" s="1748"/>
      <c r="M703" s="541"/>
      <c r="N703" s="1748"/>
      <c r="O703" s="541"/>
      <c r="P703" s="1748"/>
      <c r="Q703" s="541"/>
      <c r="R703" s="1748"/>
      <c r="S703" s="541"/>
      <c r="T703" s="1748"/>
      <c r="U703" s="541"/>
      <c r="V703" s="1748"/>
      <c r="W703" s="541"/>
      <c r="X703" s="1748"/>
      <c r="Y703" s="1748"/>
      <c r="Z703" s="1748"/>
      <c r="AA703" s="541"/>
      <c r="AB703" s="1748"/>
      <c r="AC703" s="541"/>
      <c r="AD703" s="541"/>
      <c r="AE703" s="541"/>
      <c r="AF703" s="541"/>
      <c r="AG703" s="541"/>
      <c r="AH703" s="541"/>
      <c r="AI703" s="541"/>
      <c r="AJ703" s="541"/>
      <c r="AK703" s="541"/>
      <c r="AL703" s="541"/>
      <c r="AM703" s="541"/>
      <c r="AN703" s="1748"/>
      <c r="AO703" s="1748"/>
      <c r="AP703" s="1748"/>
      <c r="AQ703" s="1748"/>
      <c r="AR703" s="1748"/>
      <c r="AS703" s="541"/>
      <c r="AT703" s="541"/>
      <c r="AU703" s="541"/>
      <c r="AV703" s="541"/>
      <c r="AW703" s="541"/>
      <c r="AX703" s="541"/>
      <c r="AY703" s="541"/>
      <c r="AZ703" s="541"/>
      <c r="BA703" s="541"/>
      <c r="BC703" s="541"/>
      <c r="BE703" s="541"/>
      <c r="BG703" s="541"/>
      <c r="BH703" s="1190"/>
      <c r="BI703" s="541"/>
      <c r="BJ703" s="1190"/>
      <c r="BK703" s="541"/>
      <c r="BL703" s="541"/>
      <c r="BM703" s="541"/>
      <c r="BO703" s="541"/>
      <c r="BP703" s="541"/>
      <c r="BQ703" s="633"/>
      <c r="BR703" s="541"/>
      <c r="BS703" s="541"/>
      <c r="BT703" s="541"/>
    </row>
    <row r="704" ht="15.75" customHeight="1">
      <c r="A704" s="1591"/>
      <c r="B704" s="1541"/>
      <c r="C704" s="2217"/>
      <c r="D704" s="1543"/>
      <c r="E704" s="906"/>
      <c r="F704" s="541"/>
      <c r="G704" s="541"/>
      <c r="H704" s="541"/>
      <c r="I704" s="541"/>
      <c r="J704" s="1748"/>
      <c r="K704" s="541"/>
      <c r="L704" s="1748"/>
      <c r="M704" s="541"/>
      <c r="N704" s="1748"/>
      <c r="O704" s="541"/>
      <c r="P704" s="1748"/>
      <c r="Q704" s="541"/>
      <c r="R704" s="1748"/>
      <c r="S704" s="541"/>
      <c r="T704" s="1748"/>
      <c r="U704" s="541"/>
      <c r="V704" s="1748"/>
      <c r="W704" s="541"/>
      <c r="X704" s="1748"/>
      <c r="Y704" s="1748"/>
      <c r="Z704" s="1748"/>
      <c r="AA704" s="541"/>
      <c r="AB704" s="1748"/>
      <c r="AC704" s="541"/>
      <c r="AD704" s="541"/>
      <c r="AE704" s="541"/>
      <c r="AF704" s="541"/>
      <c r="AG704" s="541"/>
      <c r="AH704" s="541"/>
      <c r="AI704" s="541"/>
      <c r="AJ704" s="541"/>
      <c r="AK704" s="541"/>
      <c r="AL704" s="541"/>
      <c r="AM704" s="541"/>
      <c r="AN704" s="1748"/>
      <c r="AO704" s="1748"/>
      <c r="AP704" s="1748"/>
      <c r="AQ704" s="1748"/>
      <c r="AR704" s="1748"/>
      <c r="AS704" s="541"/>
      <c r="AT704" s="541"/>
      <c r="AU704" s="541"/>
      <c r="AV704" s="541"/>
      <c r="AW704" s="541"/>
      <c r="AX704" s="541"/>
      <c r="AY704" s="541"/>
      <c r="AZ704" s="541"/>
      <c r="BA704" s="541"/>
      <c r="BC704" s="541"/>
      <c r="BE704" s="541"/>
      <c r="BG704" s="541"/>
      <c r="BH704" s="1190"/>
      <c r="BI704" s="541"/>
      <c r="BJ704" s="1190"/>
      <c r="BK704" s="541"/>
      <c r="BL704" s="541"/>
      <c r="BM704" s="541"/>
      <c r="BO704" s="541"/>
      <c r="BP704" s="541"/>
      <c r="BQ704" s="633"/>
      <c r="BR704" s="541"/>
      <c r="BS704" s="541"/>
      <c r="BT704" s="541"/>
    </row>
    <row r="705" ht="15.75" customHeight="1">
      <c r="A705" s="1591"/>
      <c r="B705" s="1541"/>
      <c r="C705" s="2217"/>
      <c r="D705" s="1543"/>
      <c r="E705" s="906"/>
      <c r="F705" s="541"/>
      <c r="G705" s="541"/>
      <c r="H705" s="541"/>
      <c r="I705" s="541"/>
      <c r="J705" s="1748"/>
      <c r="K705" s="541"/>
      <c r="L705" s="1748"/>
      <c r="M705" s="541"/>
      <c r="N705" s="1748"/>
      <c r="O705" s="541"/>
      <c r="P705" s="1748"/>
      <c r="Q705" s="541"/>
      <c r="R705" s="1748"/>
      <c r="S705" s="541"/>
      <c r="T705" s="1748"/>
      <c r="U705" s="541"/>
      <c r="V705" s="1748"/>
      <c r="W705" s="541"/>
      <c r="X705" s="1748"/>
      <c r="Y705" s="1748"/>
      <c r="Z705" s="1748"/>
      <c r="AA705" s="541"/>
      <c r="AB705" s="1748"/>
      <c r="AC705" s="541"/>
      <c r="AD705" s="541"/>
      <c r="AE705" s="541"/>
      <c r="AF705" s="541"/>
      <c r="AG705" s="541"/>
      <c r="AH705" s="541"/>
      <c r="AI705" s="541"/>
      <c r="AJ705" s="541"/>
      <c r="AK705" s="541"/>
      <c r="AL705" s="541"/>
      <c r="AM705" s="541"/>
      <c r="AN705" s="1748"/>
      <c r="AO705" s="1748"/>
      <c r="AP705" s="1748"/>
      <c r="AQ705" s="1748"/>
      <c r="AR705" s="1748"/>
      <c r="AS705" s="541"/>
      <c r="AT705" s="541"/>
      <c r="AU705" s="541"/>
      <c r="AV705" s="541"/>
      <c r="AW705" s="541"/>
      <c r="AX705" s="541"/>
      <c r="AY705" s="541"/>
      <c r="AZ705" s="541"/>
      <c r="BA705" s="541"/>
      <c r="BC705" s="541"/>
      <c r="BE705" s="541"/>
      <c r="BG705" s="541"/>
      <c r="BH705" s="1190"/>
      <c r="BI705" s="541"/>
      <c r="BJ705" s="1190"/>
      <c r="BK705" s="541"/>
      <c r="BL705" s="541"/>
      <c r="BM705" s="541"/>
      <c r="BO705" s="541"/>
      <c r="BP705" s="541"/>
      <c r="BQ705" s="633"/>
      <c r="BR705" s="541"/>
      <c r="BS705" s="541"/>
      <c r="BT705" s="541"/>
    </row>
    <row r="706" ht="15.75" customHeight="1">
      <c r="A706" s="1591"/>
      <c r="B706" s="1541"/>
      <c r="C706" s="2217"/>
      <c r="D706" s="1543"/>
      <c r="E706" s="906"/>
      <c r="F706" s="541"/>
      <c r="G706" s="541"/>
      <c r="H706" s="541"/>
      <c r="I706" s="541"/>
      <c r="J706" s="1748"/>
      <c r="K706" s="541"/>
      <c r="L706" s="1748"/>
      <c r="M706" s="541"/>
      <c r="N706" s="1748"/>
      <c r="O706" s="541"/>
      <c r="P706" s="1748"/>
      <c r="Q706" s="541"/>
      <c r="R706" s="1748"/>
      <c r="S706" s="541"/>
      <c r="T706" s="1748"/>
      <c r="U706" s="541"/>
      <c r="V706" s="1748"/>
      <c r="W706" s="541"/>
      <c r="X706" s="1748"/>
      <c r="Y706" s="1748"/>
      <c r="Z706" s="1748"/>
      <c r="AA706" s="541"/>
      <c r="AB706" s="1748"/>
      <c r="AC706" s="541"/>
      <c r="AD706" s="541"/>
      <c r="AE706" s="541"/>
      <c r="AF706" s="541"/>
      <c r="AG706" s="541"/>
      <c r="AH706" s="541"/>
      <c r="AI706" s="541"/>
      <c r="AJ706" s="541"/>
      <c r="AK706" s="541"/>
      <c r="AL706" s="541"/>
      <c r="AM706" s="541"/>
      <c r="AN706" s="1748"/>
      <c r="AO706" s="1748"/>
      <c r="AP706" s="1748"/>
      <c r="AQ706" s="1748"/>
      <c r="AR706" s="1748"/>
      <c r="AS706" s="541"/>
      <c r="AT706" s="541"/>
      <c r="AU706" s="541"/>
      <c r="AV706" s="541"/>
      <c r="AW706" s="541"/>
      <c r="AX706" s="541"/>
      <c r="AY706" s="541"/>
      <c r="AZ706" s="541"/>
      <c r="BA706" s="541"/>
      <c r="BC706" s="541"/>
      <c r="BE706" s="541"/>
      <c r="BG706" s="541"/>
      <c r="BH706" s="1190"/>
      <c r="BI706" s="541"/>
      <c r="BJ706" s="1190"/>
      <c r="BK706" s="541"/>
      <c r="BL706" s="541"/>
      <c r="BM706" s="541"/>
      <c r="BO706" s="541"/>
      <c r="BP706" s="541"/>
      <c r="BQ706" s="633"/>
      <c r="BR706" s="541"/>
      <c r="BS706" s="541"/>
      <c r="BT706" s="541"/>
    </row>
    <row r="707" ht="15.75" customHeight="1">
      <c r="A707" s="1591"/>
      <c r="B707" s="1541"/>
      <c r="C707" s="2217"/>
      <c r="D707" s="1543"/>
      <c r="E707" s="906"/>
      <c r="F707" s="541"/>
      <c r="G707" s="541"/>
      <c r="H707" s="541"/>
      <c r="I707" s="541"/>
      <c r="J707" s="1748"/>
      <c r="K707" s="541"/>
      <c r="L707" s="1748"/>
      <c r="M707" s="541"/>
      <c r="N707" s="1748"/>
      <c r="O707" s="541"/>
      <c r="P707" s="1748"/>
      <c r="Q707" s="541"/>
      <c r="R707" s="1748"/>
      <c r="S707" s="541"/>
      <c r="T707" s="1748"/>
      <c r="U707" s="541"/>
      <c r="V707" s="1748"/>
      <c r="W707" s="541"/>
      <c r="X707" s="1748"/>
      <c r="Y707" s="1748"/>
      <c r="Z707" s="1748"/>
      <c r="AA707" s="541"/>
      <c r="AB707" s="1748"/>
      <c r="AC707" s="541"/>
      <c r="AD707" s="541"/>
      <c r="AE707" s="541"/>
      <c r="AF707" s="541"/>
      <c r="AG707" s="541"/>
      <c r="AH707" s="541"/>
      <c r="AI707" s="541"/>
      <c r="AJ707" s="541"/>
      <c r="AK707" s="541"/>
      <c r="AL707" s="541"/>
      <c r="AM707" s="541"/>
      <c r="AN707" s="1748"/>
      <c r="AO707" s="1748"/>
      <c r="AP707" s="1748"/>
      <c r="AQ707" s="1748"/>
      <c r="AR707" s="1748"/>
      <c r="AS707" s="541"/>
      <c r="AT707" s="541"/>
      <c r="AU707" s="541"/>
      <c r="AV707" s="541"/>
      <c r="AW707" s="541"/>
      <c r="AX707" s="541"/>
      <c r="AY707" s="541"/>
      <c r="AZ707" s="541"/>
      <c r="BA707" s="541"/>
      <c r="BC707" s="541"/>
      <c r="BE707" s="541"/>
      <c r="BG707" s="541"/>
      <c r="BH707" s="1190"/>
      <c r="BI707" s="541"/>
      <c r="BJ707" s="1190"/>
      <c r="BK707" s="541"/>
      <c r="BL707" s="541"/>
      <c r="BM707" s="541"/>
      <c r="BO707" s="541"/>
      <c r="BP707" s="541"/>
      <c r="BQ707" s="633"/>
      <c r="BR707" s="541"/>
      <c r="BS707" s="541"/>
      <c r="BT707" s="541"/>
    </row>
    <row r="708" ht="15.75" customHeight="1">
      <c r="A708" s="1591"/>
      <c r="B708" s="1541"/>
      <c r="C708" s="2217"/>
      <c r="D708" s="1543"/>
      <c r="E708" s="906"/>
      <c r="F708" s="541"/>
      <c r="G708" s="541"/>
      <c r="H708" s="541"/>
      <c r="I708" s="541"/>
      <c r="J708" s="1748"/>
      <c r="K708" s="541"/>
      <c r="L708" s="1748"/>
      <c r="M708" s="541"/>
      <c r="N708" s="1748"/>
      <c r="O708" s="541"/>
      <c r="P708" s="1748"/>
      <c r="Q708" s="541"/>
      <c r="R708" s="1748"/>
      <c r="S708" s="541"/>
      <c r="T708" s="1748"/>
      <c r="U708" s="541"/>
      <c r="V708" s="1748"/>
      <c r="W708" s="541"/>
      <c r="X708" s="1748"/>
      <c r="Y708" s="1748"/>
      <c r="Z708" s="1748"/>
      <c r="AA708" s="541"/>
      <c r="AB708" s="1748"/>
      <c r="AC708" s="541"/>
      <c r="AD708" s="541"/>
      <c r="AE708" s="541"/>
      <c r="AF708" s="541"/>
      <c r="AG708" s="541"/>
      <c r="AH708" s="541"/>
      <c r="AI708" s="541"/>
      <c r="AJ708" s="541"/>
      <c r="AK708" s="541"/>
      <c r="AL708" s="541"/>
      <c r="AM708" s="541"/>
      <c r="AN708" s="1748"/>
      <c r="AO708" s="1748"/>
      <c r="AP708" s="1748"/>
      <c r="AQ708" s="1748"/>
      <c r="AR708" s="1748"/>
      <c r="AS708" s="541"/>
      <c r="AT708" s="541"/>
      <c r="AU708" s="541"/>
      <c r="AV708" s="541"/>
      <c r="AW708" s="541"/>
      <c r="AX708" s="541"/>
      <c r="AY708" s="541"/>
      <c r="AZ708" s="541"/>
      <c r="BA708" s="541"/>
      <c r="BC708" s="541"/>
      <c r="BE708" s="541"/>
      <c r="BG708" s="541"/>
      <c r="BH708" s="1190"/>
      <c r="BI708" s="541"/>
      <c r="BJ708" s="1190"/>
      <c r="BK708" s="541"/>
      <c r="BL708" s="541"/>
      <c r="BM708" s="541"/>
      <c r="BO708" s="541"/>
      <c r="BP708" s="541"/>
      <c r="BQ708" s="633"/>
      <c r="BR708" s="541"/>
      <c r="BS708" s="541"/>
      <c r="BT708" s="541"/>
    </row>
    <row r="709" ht="15.75" customHeight="1">
      <c r="A709" s="1591"/>
      <c r="B709" s="1541"/>
      <c r="C709" s="2217"/>
      <c r="D709" s="1543"/>
      <c r="E709" s="906"/>
      <c r="F709" s="541"/>
      <c r="G709" s="541"/>
      <c r="H709" s="541"/>
      <c r="I709" s="541"/>
      <c r="J709" s="1748"/>
      <c r="K709" s="541"/>
      <c r="L709" s="1748"/>
      <c r="M709" s="541"/>
      <c r="N709" s="1748"/>
      <c r="O709" s="541"/>
      <c r="P709" s="1748"/>
      <c r="Q709" s="541"/>
      <c r="R709" s="1748"/>
      <c r="S709" s="541"/>
      <c r="T709" s="1748"/>
      <c r="U709" s="541"/>
      <c r="V709" s="1748"/>
      <c r="W709" s="541"/>
      <c r="X709" s="1748"/>
      <c r="Y709" s="1748"/>
      <c r="Z709" s="1748"/>
      <c r="AA709" s="541"/>
      <c r="AB709" s="1748"/>
      <c r="AC709" s="541"/>
      <c r="AD709" s="541"/>
      <c r="AE709" s="541"/>
      <c r="AF709" s="541"/>
      <c r="AG709" s="541"/>
      <c r="AH709" s="541"/>
      <c r="AI709" s="541"/>
      <c r="AJ709" s="541"/>
      <c r="AK709" s="541"/>
      <c r="AL709" s="541"/>
      <c r="AM709" s="541"/>
      <c r="AN709" s="1748"/>
      <c r="AO709" s="1748"/>
      <c r="AP709" s="1748"/>
      <c r="AQ709" s="1748"/>
      <c r="AR709" s="1748"/>
      <c r="AS709" s="541"/>
      <c r="AT709" s="541"/>
      <c r="AU709" s="541"/>
      <c r="AV709" s="541"/>
      <c r="AW709" s="541"/>
      <c r="AX709" s="541"/>
      <c r="AY709" s="541"/>
      <c r="AZ709" s="541"/>
      <c r="BA709" s="541"/>
      <c r="BC709" s="541"/>
      <c r="BE709" s="541"/>
      <c r="BG709" s="541"/>
      <c r="BH709" s="1190"/>
      <c r="BI709" s="541"/>
      <c r="BJ709" s="1190"/>
      <c r="BK709" s="541"/>
      <c r="BL709" s="541"/>
      <c r="BM709" s="541"/>
      <c r="BO709" s="541"/>
      <c r="BP709" s="541"/>
      <c r="BQ709" s="633"/>
      <c r="BR709" s="541"/>
      <c r="BS709" s="541"/>
      <c r="BT709" s="541"/>
    </row>
    <row r="710" ht="15.75" customHeight="1">
      <c r="A710" s="1591"/>
      <c r="B710" s="1541"/>
      <c r="C710" s="2217"/>
      <c r="D710" s="1543"/>
      <c r="E710" s="906"/>
      <c r="F710" s="541"/>
      <c r="G710" s="541"/>
      <c r="H710" s="541"/>
      <c r="I710" s="541"/>
      <c r="J710" s="1748"/>
      <c r="K710" s="541"/>
      <c r="L710" s="1748"/>
      <c r="M710" s="541"/>
      <c r="N710" s="1748"/>
      <c r="O710" s="541"/>
      <c r="P710" s="1748"/>
      <c r="Q710" s="541"/>
      <c r="R710" s="1748"/>
      <c r="S710" s="541"/>
      <c r="T710" s="1748"/>
      <c r="U710" s="541"/>
      <c r="V710" s="1748"/>
      <c r="W710" s="541"/>
      <c r="X710" s="1748"/>
      <c r="Y710" s="1748"/>
      <c r="Z710" s="1748"/>
      <c r="AA710" s="541"/>
      <c r="AB710" s="1748"/>
      <c r="AC710" s="541"/>
      <c r="AD710" s="541"/>
      <c r="AE710" s="541"/>
      <c r="AF710" s="541"/>
      <c r="AG710" s="541"/>
      <c r="AH710" s="541"/>
      <c r="AI710" s="541"/>
      <c r="AJ710" s="541"/>
      <c r="AK710" s="541"/>
      <c r="AL710" s="541"/>
      <c r="AM710" s="541"/>
      <c r="AN710" s="1748"/>
      <c r="AO710" s="1748"/>
      <c r="AP710" s="1748"/>
      <c r="AQ710" s="1748"/>
      <c r="AR710" s="1748"/>
      <c r="AS710" s="541"/>
      <c r="AT710" s="541"/>
      <c r="AU710" s="541"/>
      <c r="AV710" s="541"/>
      <c r="AW710" s="541"/>
      <c r="AX710" s="541"/>
      <c r="AY710" s="541"/>
      <c r="AZ710" s="541"/>
      <c r="BA710" s="541"/>
      <c r="BC710" s="541"/>
      <c r="BE710" s="541"/>
      <c r="BG710" s="541"/>
      <c r="BH710" s="1190"/>
      <c r="BI710" s="541"/>
      <c r="BJ710" s="1190"/>
      <c r="BK710" s="541"/>
      <c r="BL710" s="541"/>
      <c r="BM710" s="541"/>
      <c r="BO710" s="541"/>
      <c r="BP710" s="541"/>
      <c r="BQ710" s="633"/>
      <c r="BR710" s="541"/>
      <c r="BS710" s="541"/>
      <c r="BT710" s="541"/>
    </row>
    <row r="711" ht="15.75" customHeight="1">
      <c r="A711" s="1591"/>
      <c r="B711" s="1541"/>
      <c r="C711" s="2217"/>
      <c r="D711" s="1543"/>
      <c r="E711" s="906"/>
      <c r="F711" s="541"/>
      <c r="G711" s="541"/>
      <c r="H711" s="541"/>
      <c r="I711" s="541"/>
      <c r="J711" s="1748"/>
      <c r="K711" s="541"/>
      <c r="L711" s="1748"/>
      <c r="M711" s="541"/>
      <c r="N711" s="1748"/>
      <c r="O711" s="541"/>
      <c r="P711" s="1748"/>
      <c r="Q711" s="541"/>
      <c r="R711" s="1748"/>
      <c r="S711" s="541"/>
      <c r="T711" s="1748"/>
      <c r="U711" s="541"/>
      <c r="V711" s="1748"/>
      <c r="W711" s="541"/>
      <c r="X711" s="1748"/>
      <c r="Y711" s="1748"/>
      <c r="Z711" s="1748"/>
      <c r="AA711" s="541"/>
      <c r="AB711" s="1748"/>
      <c r="AC711" s="541"/>
      <c r="AD711" s="541"/>
      <c r="AE711" s="541"/>
      <c r="AF711" s="541"/>
      <c r="AG711" s="541"/>
      <c r="AH711" s="541"/>
      <c r="AI711" s="541"/>
      <c r="AJ711" s="541"/>
      <c r="AK711" s="541"/>
      <c r="AL711" s="541"/>
      <c r="AM711" s="541"/>
      <c r="AN711" s="1748"/>
      <c r="AO711" s="1748"/>
      <c r="AP711" s="1748"/>
      <c r="AQ711" s="1748"/>
      <c r="AR711" s="1748"/>
      <c r="AS711" s="541"/>
      <c r="AT711" s="541"/>
      <c r="AU711" s="541"/>
      <c r="AV711" s="541"/>
      <c r="AW711" s="541"/>
      <c r="AX711" s="541"/>
      <c r="AY711" s="541"/>
      <c r="AZ711" s="541"/>
      <c r="BA711" s="541"/>
      <c r="BC711" s="541"/>
      <c r="BE711" s="541"/>
      <c r="BG711" s="541"/>
      <c r="BH711" s="1190"/>
      <c r="BI711" s="541"/>
      <c r="BJ711" s="1190"/>
      <c r="BK711" s="541"/>
      <c r="BL711" s="541"/>
      <c r="BM711" s="541"/>
      <c r="BO711" s="541"/>
      <c r="BP711" s="541"/>
      <c r="BQ711" s="633"/>
      <c r="BR711" s="541"/>
      <c r="BS711" s="541"/>
      <c r="BT711" s="541"/>
    </row>
    <row r="712" ht="15.75" customHeight="1">
      <c r="A712" s="1591"/>
      <c r="B712" s="1541"/>
      <c r="C712" s="2217"/>
      <c r="D712" s="1543"/>
      <c r="E712" s="906"/>
      <c r="F712" s="541"/>
      <c r="G712" s="541"/>
      <c r="H712" s="541"/>
      <c r="I712" s="541"/>
      <c r="J712" s="1748"/>
      <c r="K712" s="541"/>
      <c r="L712" s="1748"/>
      <c r="M712" s="541"/>
      <c r="N712" s="1748"/>
      <c r="O712" s="541"/>
      <c r="P712" s="1748"/>
      <c r="Q712" s="541"/>
      <c r="R712" s="1748"/>
      <c r="S712" s="541"/>
      <c r="T712" s="1748"/>
      <c r="U712" s="541"/>
      <c r="V712" s="1748"/>
      <c r="W712" s="541"/>
      <c r="X712" s="1748"/>
      <c r="Y712" s="1748"/>
      <c r="Z712" s="1748"/>
      <c r="AA712" s="541"/>
      <c r="AB712" s="1748"/>
      <c r="AC712" s="541"/>
      <c r="AD712" s="541"/>
      <c r="AE712" s="541"/>
      <c r="AF712" s="541"/>
      <c r="AG712" s="541"/>
      <c r="AH712" s="541"/>
      <c r="AI712" s="541"/>
      <c r="AJ712" s="541"/>
      <c r="AK712" s="541"/>
      <c r="AL712" s="541"/>
      <c r="AM712" s="541"/>
      <c r="AN712" s="1748"/>
      <c r="AO712" s="1748"/>
      <c r="AP712" s="1748"/>
      <c r="AQ712" s="1748"/>
      <c r="AR712" s="1748"/>
      <c r="AS712" s="541"/>
      <c r="AT712" s="541"/>
      <c r="AU712" s="541"/>
      <c r="AV712" s="541"/>
      <c r="AW712" s="541"/>
      <c r="AX712" s="541"/>
      <c r="AY712" s="541"/>
      <c r="AZ712" s="541"/>
      <c r="BA712" s="541"/>
      <c r="BC712" s="541"/>
      <c r="BE712" s="541"/>
      <c r="BG712" s="541"/>
      <c r="BH712" s="1190"/>
      <c r="BI712" s="541"/>
      <c r="BJ712" s="1190"/>
      <c r="BK712" s="541"/>
      <c r="BL712" s="541"/>
      <c r="BM712" s="541"/>
      <c r="BO712" s="541"/>
      <c r="BP712" s="541"/>
      <c r="BQ712" s="633"/>
      <c r="BR712" s="541"/>
      <c r="BS712" s="541"/>
      <c r="BT712" s="541"/>
    </row>
    <row r="713" ht="15.75" customHeight="1">
      <c r="A713" s="1591"/>
      <c r="B713" s="1541"/>
      <c r="C713" s="2217"/>
      <c r="D713" s="1543"/>
      <c r="E713" s="906"/>
      <c r="F713" s="541"/>
      <c r="G713" s="541"/>
      <c r="H713" s="541"/>
      <c r="I713" s="541"/>
      <c r="J713" s="1748"/>
      <c r="K713" s="541"/>
      <c r="L713" s="1748"/>
      <c r="M713" s="541"/>
      <c r="N713" s="1748"/>
      <c r="O713" s="541"/>
      <c r="P713" s="1748"/>
      <c r="Q713" s="541"/>
      <c r="R713" s="1748"/>
      <c r="S713" s="541"/>
      <c r="T713" s="1748"/>
      <c r="U713" s="541"/>
      <c r="V713" s="1748"/>
      <c r="W713" s="541"/>
      <c r="X713" s="1748"/>
      <c r="Y713" s="1748"/>
      <c r="Z713" s="1748"/>
      <c r="AA713" s="541"/>
      <c r="AB713" s="1748"/>
      <c r="AC713" s="541"/>
      <c r="AD713" s="541"/>
      <c r="AE713" s="541"/>
      <c r="AF713" s="541"/>
      <c r="AG713" s="541"/>
      <c r="AH713" s="541"/>
      <c r="AI713" s="541"/>
      <c r="AJ713" s="541"/>
      <c r="AK713" s="541"/>
      <c r="AL713" s="541"/>
      <c r="AM713" s="541"/>
      <c r="AN713" s="1748"/>
      <c r="AO713" s="1748"/>
      <c r="AP713" s="1748"/>
      <c r="AQ713" s="1748"/>
      <c r="AR713" s="1748"/>
      <c r="AS713" s="541"/>
      <c r="AT713" s="541"/>
      <c r="AU713" s="541"/>
      <c r="AV713" s="541"/>
      <c r="AW713" s="541"/>
      <c r="AX713" s="541"/>
      <c r="AY713" s="541"/>
      <c r="AZ713" s="541"/>
      <c r="BA713" s="541"/>
      <c r="BC713" s="541"/>
      <c r="BE713" s="541"/>
      <c r="BG713" s="541"/>
      <c r="BH713" s="1190"/>
      <c r="BI713" s="541"/>
      <c r="BJ713" s="1190"/>
      <c r="BK713" s="541"/>
      <c r="BL713" s="541"/>
      <c r="BM713" s="541"/>
      <c r="BO713" s="541"/>
      <c r="BP713" s="541"/>
      <c r="BQ713" s="633"/>
      <c r="BR713" s="541"/>
      <c r="BS713" s="541"/>
      <c r="BT713" s="541"/>
    </row>
    <row r="714" ht="15.75" customHeight="1">
      <c r="A714" s="1591"/>
      <c r="B714" s="1541"/>
      <c r="C714" s="2217"/>
      <c r="D714" s="1543"/>
      <c r="E714" s="906"/>
      <c r="F714" s="541"/>
      <c r="G714" s="541"/>
      <c r="H714" s="541"/>
      <c r="I714" s="541"/>
      <c r="J714" s="1748"/>
      <c r="K714" s="541"/>
      <c r="L714" s="1748"/>
      <c r="M714" s="541"/>
      <c r="N714" s="1748"/>
      <c r="O714" s="541"/>
      <c r="P714" s="1748"/>
      <c r="Q714" s="541"/>
      <c r="R714" s="1748"/>
      <c r="S714" s="541"/>
      <c r="T714" s="1748"/>
      <c r="U714" s="541"/>
      <c r="V714" s="1748"/>
      <c r="W714" s="541"/>
      <c r="X714" s="1748"/>
      <c r="Y714" s="1748"/>
      <c r="Z714" s="1748"/>
      <c r="AA714" s="541"/>
      <c r="AB714" s="1748"/>
      <c r="AC714" s="541"/>
      <c r="AD714" s="541"/>
      <c r="AE714" s="541"/>
      <c r="AF714" s="541"/>
      <c r="AG714" s="541"/>
      <c r="AH714" s="541"/>
      <c r="AI714" s="541"/>
      <c r="AJ714" s="541"/>
      <c r="AK714" s="541"/>
      <c r="AL714" s="541"/>
      <c r="AM714" s="541"/>
      <c r="AN714" s="1748"/>
      <c r="AO714" s="1748"/>
      <c r="AP714" s="1748"/>
      <c r="AQ714" s="1748"/>
      <c r="AR714" s="1748"/>
      <c r="AS714" s="541"/>
      <c r="AT714" s="541"/>
      <c r="AU714" s="541"/>
      <c r="AV714" s="541"/>
      <c r="AW714" s="541"/>
      <c r="AX714" s="541"/>
      <c r="AY714" s="541"/>
      <c r="AZ714" s="541"/>
      <c r="BA714" s="541"/>
      <c r="BC714" s="541"/>
      <c r="BE714" s="541"/>
      <c r="BG714" s="541"/>
      <c r="BH714" s="1190"/>
      <c r="BI714" s="541"/>
      <c r="BJ714" s="1190"/>
      <c r="BK714" s="541"/>
      <c r="BL714" s="541"/>
      <c r="BM714" s="541"/>
      <c r="BO714" s="541"/>
      <c r="BP714" s="541"/>
      <c r="BQ714" s="633"/>
      <c r="BR714" s="541"/>
      <c r="BS714" s="541"/>
      <c r="BT714" s="541"/>
    </row>
    <row r="715" ht="15.75" customHeight="1">
      <c r="A715" s="1591"/>
      <c r="B715" s="1541"/>
      <c r="C715" s="2217"/>
      <c r="D715" s="1543"/>
      <c r="E715" s="906"/>
      <c r="F715" s="541"/>
      <c r="G715" s="541"/>
      <c r="H715" s="541"/>
      <c r="I715" s="541"/>
      <c r="J715" s="1748"/>
      <c r="K715" s="541"/>
      <c r="L715" s="1748"/>
      <c r="M715" s="541"/>
      <c r="N715" s="1748"/>
      <c r="O715" s="541"/>
      <c r="P715" s="1748"/>
      <c r="Q715" s="541"/>
      <c r="R715" s="1748"/>
      <c r="S715" s="541"/>
      <c r="T715" s="1748"/>
      <c r="U715" s="541"/>
      <c r="V715" s="1748"/>
      <c r="W715" s="541"/>
      <c r="X715" s="1748"/>
      <c r="Y715" s="1748"/>
      <c r="Z715" s="1748"/>
      <c r="AA715" s="541"/>
      <c r="AB715" s="1748"/>
      <c r="AC715" s="541"/>
      <c r="AD715" s="541"/>
      <c r="AE715" s="541"/>
      <c r="AF715" s="541"/>
      <c r="AG715" s="541"/>
      <c r="AH715" s="541"/>
      <c r="AI715" s="541"/>
      <c r="AJ715" s="541"/>
      <c r="AK715" s="541"/>
      <c r="AL715" s="541"/>
      <c r="AM715" s="541"/>
      <c r="AN715" s="1748"/>
      <c r="AO715" s="1748"/>
      <c r="AP715" s="1748"/>
      <c r="AQ715" s="1748"/>
      <c r="AR715" s="1748"/>
      <c r="AS715" s="541"/>
      <c r="AT715" s="541"/>
      <c r="AU715" s="541"/>
      <c r="AV715" s="541"/>
      <c r="AW715" s="541"/>
      <c r="AX715" s="541"/>
      <c r="AY715" s="541"/>
      <c r="AZ715" s="541"/>
      <c r="BA715" s="541"/>
      <c r="BC715" s="541"/>
      <c r="BE715" s="541"/>
      <c r="BG715" s="541"/>
      <c r="BH715" s="1190"/>
      <c r="BI715" s="541"/>
      <c r="BJ715" s="1190"/>
      <c r="BK715" s="541"/>
      <c r="BL715" s="541"/>
      <c r="BM715" s="541"/>
      <c r="BO715" s="541"/>
      <c r="BP715" s="541"/>
      <c r="BQ715" s="633"/>
      <c r="BR715" s="541"/>
      <c r="BS715" s="541"/>
      <c r="BT715" s="541"/>
    </row>
    <row r="716" ht="15.75" customHeight="1">
      <c r="A716" s="1591"/>
      <c r="B716" s="1541"/>
      <c r="C716" s="2217"/>
      <c r="D716" s="1543"/>
      <c r="E716" s="906"/>
      <c r="F716" s="541"/>
      <c r="G716" s="541"/>
      <c r="H716" s="541"/>
      <c r="I716" s="541"/>
      <c r="J716" s="1748"/>
      <c r="K716" s="541"/>
      <c r="L716" s="1748"/>
      <c r="M716" s="541"/>
      <c r="N716" s="1748"/>
      <c r="O716" s="541"/>
      <c r="P716" s="1748"/>
      <c r="Q716" s="541"/>
      <c r="R716" s="1748"/>
      <c r="S716" s="541"/>
      <c r="T716" s="1748"/>
      <c r="U716" s="541"/>
      <c r="V716" s="1748"/>
      <c r="W716" s="541"/>
      <c r="X716" s="1748"/>
      <c r="Y716" s="1748"/>
      <c r="Z716" s="1748"/>
      <c r="AA716" s="541"/>
      <c r="AB716" s="1748"/>
      <c r="AC716" s="541"/>
      <c r="AD716" s="541"/>
      <c r="AE716" s="541"/>
      <c r="AF716" s="541"/>
      <c r="AG716" s="541"/>
      <c r="AH716" s="541"/>
      <c r="AI716" s="541"/>
      <c r="AJ716" s="541"/>
      <c r="AK716" s="541"/>
      <c r="AL716" s="541"/>
      <c r="AM716" s="541"/>
      <c r="AN716" s="1748"/>
      <c r="AO716" s="1748"/>
      <c r="AP716" s="1748"/>
      <c r="AQ716" s="1748"/>
      <c r="AR716" s="1748"/>
      <c r="AS716" s="541"/>
      <c r="AT716" s="541"/>
      <c r="AU716" s="541"/>
      <c r="AV716" s="541"/>
      <c r="AW716" s="541"/>
      <c r="AX716" s="541"/>
      <c r="AY716" s="541"/>
      <c r="AZ716" s="541"/>
      <c r="BA716" s="541"/>
      <c r="BC716" s="541"/>
      <c r="BE716" s="541"/>
      <c r="BG716" s="541"/>
      <c r="BH716" s="1190"/>
      <c r="BI716" s="541"/>
      <c r="BJ716" s="1190"/>
      <c r="BK716" s="541"/>
      <c r="BL716" s="541"/>
      <c r="BM716" s="541"/>
      <c r="BO716" s="541"/>
      <c r="BP716" s="541"/>
      <c r="BQ716" s="633"/>
      <c r="BR716" s="541"/>
      <c r="BS716" s="541"/>
      <c r="BT716" s="541"/>
    </row>
    <row r="717" ht="15.75" customHeight="1">
      <c r="A717" s="1591"/>
      <c r="B717" s="1541"/>
      <c r="C717" s="2217"/>
      <c r="D717" s="1543"/>
      <c r="E717" s="906"/>
      <c r="F717" s="541"/>
      <c r="G717" s="541"/>
      <c r="H717" s="541"/>
      <c r="I717" s="541"/>
      <c r="J717" s="1748"/>
      <c r="K717" s="541"/>
      <c r="L717" s="1748"/>
      <c r="M717" s="541"/>
      <c r="N717" s="1748"/>
      <c r="O717" s="541"/>
      <c r="P717" s="1748"/>
      <c r="Q717" s="541"/>
      <c r="R717" s="1748"/>
      <c r="S717" s="541"/>
      <c r="T717" s="1748"/>
      <c r="U717" s="541"/>
      <c r="V717" s="1748"/>
      <c r="W717" s="541"/>
      <c r="X717" s="1748"/>
      <c r="Y717" s="1748"/>
      <c r="Z717" s="1748"/>
      <c r="AA717" s="541"/>
      <c r="AB717" s="1748"/>
      <c r="AC717" s="541"/>
      <c r="AD717" s="541"/>
      <c r="AE717" s="541"/>
      <c r="AF717" s="541"/>
      <c r="AG717" s="541"/>
      <c r="AH717" s="541"/>
      <c r="AI717" s="541"/>
      <c r="AJ717" s="541"/>
      <c r="AK717" s="541"/>
      <c r="AL717" s="541"/>
      <c r="AM717" s="541"/>
      <c r="AN717" s="1748"/>
      <c r="AO717" s="1748"/>
      <c r="AP717" s="1748"/>
      <c r="AQ717" s="1748"/>
      <c r="AR717" s="1748"/>
      <c r="AS717" s="541"/>
      <c r="AT717" s="541"/>
      <c r="AU717" s="541"/>
      <c r="AV717" s="541"/>
      <c r="AW717" s="541"/>
      <c r="AX717" s="541"/>
      <c r="AY717" s="541"/>
      <c r="AZ717" s="541"/>
      <c r="BA717" s="541"/>
      <c r="BC717" s="541"/>
      <c r="BE717" s="541"/>
      <c r="BG717" s="541"/>
      <c r="BH717" s="1190"/>
      <c r="BI717" s="541"/>
      <c r="BJ717" s="1190"/>
      <c r="BK717" s="541"/>
      <c r="BL717" s="541"/>
      <c r="BM717" s="541"/>
      <c r="BO717" s="541"/>
      <c r="BP717" s="541"/>
      <c r="BQ717" s="633"/>
      <c r="BR717" s="541"/>
      <c r="BS717" s="541"/>
      <c r="BT717" s="541"/>
    </row>
    <row r="718" ht="15.75" customHeight="1">
      <c r="A718" s="1591"/>
      <c r="B718" s="1541"/>
      <c r="C718" s="2217"/>
      <c r="D718" s="1543"/>
      <c r="E718" s="906"/>
      <c r="F718" s="541"/>
      <c r="G718" s="541"/>
      <c r="H718" s="541"/>
      <c r="I718" s="541"/>
      <c r="J718" s="1748"/>
      <c r="K718" s="541"/>
      <c r="L718" s="1748"/>
      <c r="M718" s="541"/>
      <c r="N718" s="1748"/>
      <c r="O718" s="541"/>
      <c r="P718" s="1748"/>
      <c r="Q718" s="541"/>
      <c r="R718" s="1748"/>
      <c r="S718" s="541"/>
      <c r="T718" s="1748"/>
      <c r="U718" s="541"/>
      <c r="V718" s="1748"/>
      <c r="W718" s="541"/>
      <c r="X718" s="1748"/>
      <c r="Y718" s="1748"/>
      <c r="Z718" s="1748"/>
      <c r="AA718" s="541"/>
      <c r="AB718" s="1748"/>
      <c r="AC718" s="541"/>
      <c r="AD718" s="541"/>
      <c r="AE718" s="541"/>
      <c r="AF718" s="541"/>
      <c r="AG718" s="541"/>
      <c r="AH718" s="541"/>
      <c r="AI718" s="541"/>
      <c r="AJ718" s="541"/>
      <c r="AK718" s="541"/>
      <c r="AL718" s="541"/>
      <c r="AM718" s="541"/>
      <c r="AN718" s="1748"/>
      <c r="AO718" s="1748"/>
      <c r="AP718" s="1748"/>
      <c r="AQ718" s="1748"/>
      <c r="AR718" s="1748"/>
      <c r="AS718" s="541"/>
      <c r="AT718" s="541"/>
      <c r="AU718" s="541"/>
      <c r="AV718" s="541"/>
      <c r="AW718" s="541"/>
      <c r="AX718" s="541"/>
      <c r="AY718" s="541"/>
      <c r="AZ718" s="541"/>
      <c r="BA718" s="541"/>
      <c r="BC718" s="541"/>
      <c r="BE718" s="541"/>
      <c r="BG718" s="541"/>
      <c r="BH718" s="1190"/>
      <c r="BI718" s="541"/>
      <c r="BJ718" s="1190"/>
      <c r="BK718" s="541"/>
      <c r="BL718" s="541"/>
      <c r="BM718" s="541"/>
      <c r="BO718" s="541"/>
      <c r="BP718" s="541"/>
      <c r="BQ718" s="633"/>
      <c r="BR718" s="541"/>
      <c r="BS718" s="541"/>
      <c r="BT718" s="541"/>
    </row>
    <row r="719" ht="15.75" customHeight="1">
      <c r="A719" s="1591"/>
      <c r="B719" s="1541"/>
      <c r="C719" s="2217"/>
      <c r="D719" s="1543"/>
      <c r="E719" s="906"/>
      <c r="F719" s="541"/>
      <c r="G719" s="541"/>
      <c r="H719" s="541"/>
      <c r="I719" s="541"/>
      <c r="J719" s="1748"/>
      <c r="K719" s="541"/>
      <c r="L719" s="1748"/>
      <c r="M719" s="541"/>
      <c r="N719" s="1748"/>
      <c r="O719" s="541"/>
      <c r="P719" s="1748"/>
      <c r="Q719" s="541"/>
      <c r="R719" s="1748"/>
      <c r="S719" s="541"/>
      <c r="T719" s="1748"/>
      <c r="U719" s="541"/>
      <c r="V719" s="1748"/>
      <c r="W719" s="541"/>
      <c r="X719" s="1748"/>
      <c r="Y719" s="1748"/>
      <c r="Z719" s="1748"/>
      <c r="AA719" s="541"/>
      <c r="AB719" s="1748"/>
      <c r="AC719" s="541"/>
      <c r="AD719" s="541"/>
      <c r="AE719" s="541"/>
      <c r="AF719" s="541"/>
      <c r="AG719" s="541"/>
      <c r="AH719" s="541"/>
      <c r="AI719" s="541"/>
      <c r="AJ719" s="541"/>
      <c r="AK719" s="541"/>
      <c r="AL719" s="541"/>
      <c r="AM719" s="541"/>
      <c r="AN719" s="1748"/>
      <c r="AO719" s="1748"/>
      <c r="AP719" s="1748"/>
      <c r="AQ719" s="1748"/>
      <c r="AR719" s="1748"/>
      <c r="AS719" s="541"/>
      <c r="AT719" s="541"/>
      <c r="AU719" s="541"/>
      <c r="AV719" s="541"/>
      <c r="AW719" s="541"/>
      <c r="AX719" s="541"/>
      <c r="AY719" s="541"/>
      <c r="AZ719" s="541"/>
      <c r="BA719" s="541"/>
      <c r="BC719" s="541"/>
      <c r="BE719" s="541"/>
      <c r="BG719" s="541"/>
      <c r="BH719" s="1190"/>
      <c r="BI719" s="541"/>
      <c r="BJ719" s="1190"/>
      <c r="BK719" s="541"/>
      <c r="BL719" s="541"/>
      <c r="BM719" s="541"/>
      <c r="BO719" s="541"/>
      <c r="BP719" s="541"/>
      <c r="BQ719" s="633"/>
      <c r="BR719" s="541"/>
      <c r="BS719" s="541"/>
      <c r="BT719" s="541"/>
    </row>
    <row r="720" ht="15.75" customHeight="1">
      <c r="A720" s="1591"/>
      <c r="B720" s="1541"/>
      <c r="C720" s="2217"/>
      <c r="D720" s="1543"/>
      <c r="E720" s="906"/>
      <c r="F720" s="541"/>
      <c r="G720" s="541"/>
      <c r="H720" s="541"/>
      <c r="I720" s="541"/>
      <c r="J720" s="1748"/>
      <c r="K720" s="541"/>
      <c r="L720" s="1748"/>
      <c r="M720" s="541"/>
      <c r="N720" s="1748"/>
      <c r="O720" s="541"/>
      <c r="P720" s="1748"/>
      <c r="Q720" s="541"/>
      <c r="R720" s="1748"/>
      <c r="S720" s="541"/>
      <c r="T720" s="1748"/>
      <c r="U720" s="541"/>
      <c r="V720" s="1748"/>
      <c r="W720" s="541"/>
      <c r="X720" s="1748"/>
      <c r="Y720" s="1748"/>
      <c r="Z720" s="1748"/>
      <c r="AA720" s="541"/>
      <c r="AB720" s="1748"/>
      <c r="AC720" s="541"/>
      <c r="AD720" s="541"/>
      <c r="AE720" s="541"/>
      <c r="AF720" s="541"/>
      <c r="AG720" s="541"/>
      <c r="AH720" s="541"/>
      <c r="AI720" s="541"/>
      <c r="AJ720" s="541"/>
      <c r="AK720" s="541"/>
      <c r="AL720" s="541"/>
      <c r="AM720" s="541"/>
      <c r="AN720" s="1748"/>
      <c r="AO720" s="1748"/>
      <c r="AP720" s="1748"/>
      <c r="AQ720" s="1748"/>
      <c r="AR720" s="1748"/>
      <c r="AS720" s="541"/>
      <c r="AT720" s="541"/>
      <c r="AU720" s="541"/>
      <c r="AV720" s="541"/>
      <c r="AW720" s="541"/>
      <c r="AX720" s="541"/>
      <c r="AY720" s="541"/>
      <c r="AZ720" s="541"/>
      <c r="BA720" s="541"/>
      <c r="BC720" s="541"/>
      <c r="BE720" s="541"/>
      <c r="BG720" s="541"/>
      <c r="BH720" s="1190"/>
      <c r="BI720" s="541"/>
      <c r="BJ720" s="1190"/>
      <c r="BK720" s="541"/>
      <c r="BL720" s="541"/>
      <c r="BM720" s="541"/>
      <c r="BO720" s="541"/>
      <c r="BP720" s="541"/>
      <c r="BQ720" s="633"/>
      <c r="BR720" s="541"/>
      <c r="BS720" s="541"/>
      <c r="BT720" s="541"/>
    </row>
    <row r="721" ht="15.75" customHeight="1">
      <c r="A721" s="1591"/>
      <c r="B721" s="1541"/>
      <c r="C721" s="2217"/>
      <c r="D721" s="1543"/>
      <c r="E721" s="906"/>
      <c r="F721" s="541"/>
      <c r="G721" s="541"/>
      <c r="H721" s="541"/>
      <c r="I721" s="541"/>
      <c r="J721" s="1748"/>
      <c r="K721" s="541"/>
      <c r="L721" s="1748"/>
      <c r="M721" s="541"/>
      <c r="N721" s="1748"/>
      <c r="O721" s="541"/>
      <c r="P721" s="1748"/>
      <c r="Q721" s="541"/>
      <c r="R721" s="1748"/>
      <c r="S721" s="541"/>
      <c r="T721" s="1748"/>
      <c r="U721" s="541"/>
      <c r="V721" s="1748"/>
      <c r="W721" s="541"/>
      <c r="X721" s="1748"/>
      <c r="Y721" s="1748"/>
      <c r="Z721" s="1748"/>
      <c r="AA721" s="541"/>
      <c r="AB721" s="1748"/>
      <c r="AC721" s="541"/>
      <c r="AD721" s="541"/>
      <c r="AE721" s="541"/>
      <c r="AF721" s="541"/>
      <c r="AG721" s="541"/>
      <c r="AH721" s="541"/>
      <c r="AI721" s="541"/>
      <c r="AJ721" s="541"/>
      <c r="AK721" s="541"/>
      <c r="AL721" s="541"/>
      <c r="AM721" s="541"/>
      <c r="AN721" s="1748"/>
      <c r="AO721" s="1748"/>
      <c r="AP721" s="1748"/>
      <c r="AQ721" s="1748"/>
      <c r="AR721" s="1748"/>
      <c r="AS721" s="541"/>
      <c r="AT721" s="541"/>
      <c r="AU721" s="541"/>
      <c r="AV721" s="541"/>
      <c r="AW721" s="541"/>
      <c r="AX721" s="541"/>
      <c r="AY721" s="541"/>
      <c r="AZ721" s="541"/>
      <c r="BA721" s="541"/>
      <c r="BC721" s="541"/>
      <c r="BE721" s="541"/>
      <c r="BG721" s="541"/>
      <c r="BH721" s="1190"/>
      <c r="BI721" s="541"/>
      <c r="BJ721" s="1190"/>
      <c r="BK721" s="541"/>
      <c r="BL721" s="541"/>
      <c r="BM721" s="541"/>
      <c r="BO721" s="541"/>
      <c r="BP721" s="541"/>
      <c r="BQ721" s="633"/>
      <c r="BR721" s="541"/>
      <c r="BS721" s="541"/>
      <c r="BT721" s="541"/>
    </row>
    <row r="722" ht="15.75" customHeight="1">
      <c r="A722" s="1591"/>
      <c r="B722" s="1541"/>
      <c r="C722" s="2217"/>
      <c r="D722" s="1543"/>
      <c r="E722" s="906"/>
      <c r="F722" s="541"/>
      <c r="G722" s="541"/>
      <c r="H722" s="541"/>
      <c r="I722" s="541"/>
      <c r="J722" s="1748"/>
      <c r="K722" s="541"/>
      <c r="L722" s="1748"/>
      <c r="M722" s="541"/>
      <c r="N722" s="1748"/>
      <c r="O722" s="541"/>
      <c r="P722" s="1748"/>
      <c r="Q722" s="541"/>
      <c r="R722" s="1748"/>
      <c r="S722" s="541"/>
      <c r="T722" s="1748"/>
      <c r="U722" s="541"/>
      <c r="V722" s="1748"/>
      <c r="W722" s="541"/>
      <c r="X722" s="1748"/>
      <c r="Y722" s="1748"/>
      <c r="Z722" s="1748"/>
      <c r="AA722" s="541"/>
      <c r="AB722" s="1748"/>
      <c r="AC722" s="541"/>
      <c r="AD722" s="541"/>
      <c r="AE722" s="541"/>
      <c r="AF722" s="541"/>
      <c r="AG722" s="541"/>
      <c r="AH722" s="541"/>
      <c r="AI722" s="541"/>
      <c r="AJ722" s="541"/>
      <c r="AK722" s="541"/>
      <c r="AL722" s="541"/>
      <c r="AM722" s="541"/>
      <c r="AN722" s="1748"/>
      <c r="AO722" s="1748"/>
      <c r="AP722" s="1748"/>
      <c r="AQ722" s="1748"/>
      <c r="AR722" s="1748"/>
      <c r="AS722" s="541"/>
      <c r="AT722" s="541"/>
      <c r="AU722" s="541"/>
      <c r="AV722" s="541"/>
      <c r="AW722" s="541"/>
      <c r="AX722" s="541"/>
      <c r="AY722" s="541"/>
      <c r="AZ722" s="541"/>
      <c r="BA722" s="541"/>
      <c r="BC722" s="541"/>
      <c r="BE722" s="541"/>
      <c r="BG722" s="541"/>
      <c r="BH722" s="1190"/>
      <c r="BI722" s="541"/>
      <c r="BJ722" s="1190"/>
      <c r="BK722" s="541"/>
      <c r="BL722" s="541"/>
      <c r="BM722" s="541"/>
      <c r="BO722" s="541"/>
      <c r="BP722" s="541"/>
      <c r="BQ722" s="633"/>
      <c r="BR722" s="541"/>
      <c r="BS722" s="541"/>
      <c r="BT722" s="541"/>
    </row>
    <row r="723" ht="15.75" customHeight="1">
      <c r="A723" s="1591"/>
      <c r="B723" s="1541"/>
      <c r="C723" s="2217"/>
      <c r="D723" s="1543"/>
      <c r="E723" s="906"/>
      <c r="F723" s="541"/>
      <c r="G723" s="541"/>
      <c r="H723" s="541"/>
      <c r="I723" s="541"/>
      <c r="J723" s="1748"/>
      <c r="K723" s="541"/>
      <c r="L723" s="1748"/>
      <c r="M723" s="541"/>
      <c r="N723" s="1748"/>
      <c r="O723" s="541"/>
      <c r="P723" s="1748"/>
      <c r="Q723" s="541"/>
      <c r="R723" s="1748"/>
      <c r="S723" s="541"/>
      <c r="T723" s="1748"/>
      <c r="U723" s="541"/>
      <c r="V723" s="1748"/>
      <c r="W723" s="541"/>
      <c r="X723" s="1748"/>
      <c r="Y723" s="1748"/>
      <c r="Z723" s="1748"/>
      <c r="AA723" s="541"/>
      <c r="AB723" s="1748"/>
      <c r="AC723" s="541"/>
      <c r="AD723" s="541"/>
      <c r="AE723" s="541"/>
      <c r="AF723" s="541"/>
      <c r="AG723" s="541"/>
      <c r="AH723" s="541"/>
      <c r="AI723" s="541"/>
      <c r="AJ723" s="541"/>
      <c r="AK723" s="541"/>
      <c r="AL723" s="541"/>
      <c r="AM723" s="541"/>
      <c r="AN723" s="1748"/>
      <c r="AO723" s="1748"/>
      <c r="AP723" s="1748"/>
      <c r="AQ723" s="1748"/>
      <c r="AR723" s="1748"/>
      <c r="AS723" s="541"/>
      <c r="AT723" s="541"/>
      <c r="AU723" s="541"/>
      <c r="AV723" s="541"/>
      <c r="AW723" s="541"/>
      <c r="AX723" s="541"/>
      <c r="AY723" s="541"/>
      <c r="AZ723" s="541"/>
      <c r="BA723" s="541"/>
      <c r="BC723" s="541"/>
      <c r="BE723" s="541"/>
      <c r="BG723" s="541"/>
      <c r="BH723" s="1190"/>
      <c r="BI723" s="541"/>
      <c r="BJ723" s="1190"/>
      <c r="BK723" s="541"/>
      <c r="BL723" s="541"/>
      <c r="BM723" s="541"/>
      <c r="BO723" s="541"/>
      <c r="BP723" s="541"/>
      <c r="BQ723" s="633"/>
      <c r="BR723" s="541"/>
      <c r="BS723" s="541"/>
      <c r="BT723" s="541"/>
    </row>
    <row r="724" ht="15.75" customHeight="1">
      <c r="A724" s="1591"/>
      <c r="B724" s="1541"/>
      <c r="C724" s="2217"/>
      <c r="D724" s="1543"/>
      <c r="E724" s="906"/>
      <c r="F724" s="541"/>
      <c r="G724" s="541"/>
      <c r="H724" s="541"/>
      <c r="I724" s="541"/>
      <c r="J724" s="1748"/>
      <c r="K724" s="541"/>
      <c r="L724" s="1748"/>
      <c r="M724" s="541"/>
      <c r="N724" s="1748"/>
      <c r="O724" s="541"/>
      <c r="P724" s="1748"/>
      <c r="Q724" s="541"/>
      <c r="R724" s="1748"/>
      <c r="S724" s="541"/>
      <c r="T724" s="1748"/>
      <c r="U724" s="541"/>
      <c r="V724" s="1748"/>
      <c r="W724" s="541"/>
      <c r="X724" s="1748"/>
      <c r="Y724" s="1748"/>
      <c r="Z724" s="1748"/>
      <c r="AA724" s="541"/>
      <c r="AB724" s="1748"/>
      <c r="AC724" s="541"/>
      <c r="AD724" s="541"/>
      <c r="AE724" s="541"/>
      <c r="AF724" s="541"/>
      <c r="AG724" s="541"/>
      <c r="AH724" s="541"/>
      <c r="AI724" s="541"/>
      <c r="AJ724" s="541"/>
      <c r="AK724" s="541"/>
      <c r="AL724" s="541"/>
      <c r="AM724" s="541"/>
      <c r="AN724" s="1748"/>
      <c r="AO724" s="1748"/>
      <c r="AP724" s="1748"/>
      <c r="AQ724" s="1748"/>
      <c r="AR724" s="1748"/>
      <c r="AS724" s="541"/>
      <c r="AT724" s="541"/>
      <c r="AU724" s="541"/>
      <c r="AV724" s="541"/>
      <c r="AW724" s="541"/>
      <c r="AX724" s="541"/>
      <c r="AY724" s="541"/>
      <c r="AZ724" s="541"/>
      <c r="BA724" s="541"/>
      <c r="BC724" s="541"/>
      <c r="BE724" s="541"/>
      <c r="BG724" s="541"/>
      <c r="BH724" s="1190"/>
      <c r="BI724" s="541"/>
      <c r="BJ724" s="1190"/>
      <c r="BK724" s="541"/>
      <c r="BL724" s="541"/>
      <c r="BM724" s="541"/>
      <c r="BO724" s="541"/>
      <c r="BP724" s="541"/>
      <c r="BQ724" s="633"/>
      <c r="BR724" s="541"/>
      <c r="BS724" s="541"/>
      <c r="BT724" s="541"/>
    </row>
    <row r="725" ht="15.75" customHeight="1">
      <c r="A725" s="1591"/>
      <c r="B725" s="1541"/>
      <c r="C725" s="2217"/>
      <c r="D725" s="1543"/>
      <c r="E725" s="906"/>
      <c r="F725" s="541"/>
      <c r="G725" s="541"/>
      <c r="H725" s="541"/>
      <c r="I725" s="541"/>
      <c r="J725" s="1748"/>
      <c r="K725" s="541"/>
      <c r="L725" s="1748"/>
      <c r="M725" s="541"/>
      <c r="N725" s="1748"/>
      <c r="O725" s="541"/>
      <c r="P725" s="1748"/>
      <c r="Q725" s="541"/>
      <c r="R725" s="1748"/>
      <c r="S725" s="541"/>
      <c r="T725" s="1748"/>
      <c r="U725" s="541"/>
      <c r="V725" s="1748"/>
      <c r="W725" s="541"/>
      <c r="X725" s="1748"/>
      <c r="Y725" s="1748"/>
      <c r="Z725" s="1748"/>
      <c r="AA725" s="541"/>
      <c r="AB725" s="1748"/>
      <c r="AC725" s="541"/>
      <c r="AD725" s="541"/>
      <c r="AE725" s="541"/>
      <c r="AF725" s="541"/>
      <c r="AG725" s="541"/>
      <c r="AH725" s="541"/>
      <c r="AI725" s="541"/>
      <c r="AJ725" s="541"/>
      <c r="AK725" s="541"/>
      <c r="AL725" s="541"/>
      <c r="AM725" s="541"/>
      <c r="AN725" s="1748"/>
      <c r="AO725" s="1748"/>
      <c r="AP725" s="1748"/>
      <c r="AQ725" s="1748"/>
      <c r="AR725" s="1748"/>
      <c r="AS725" s="541"/>
      <c r="AT725" s="541"/>
      <c r="AU725" s="541"/>
      <c r="AV725" s="541"/>
      <c r="AW725" s="541"/>
      <c r="AX725" s="541"/>
      <c r="AY725" s="541"/>
      <c r="AZ725" s="541"/>
      <c r="BA725" s="541"/>
      <c r="BC725" s="541"/>
      <c r="BE725" s="541"/>
      <c r="BG725" s="541"/>
      <c r="BH725" s="1190"/>
      <c r="BI725" s="541"/>
      <c r="BJ725" s="1190"/>
      <c r="BK725" s="541"/>
      <c r="BL725" s="541"/>
      <c r="BM725" s="541"/>
      <c r="BO725" s="541"/>
      <c r="BP725" s="541"/>
      <c r="BQ725" s="633"/>
      <c r="BR725" s="541"/>
      <c r="BS725" s="541"/>
      <c r="BT725" s="541"/>
    </row>
    <row r="726" ht="15.75" customHeight="1">
      <c r="A726" s="1591"/>
      <c r="B726" s="1541"/>
      <c r="C726" s="2217"/>
      <c r="D726" s="1543"/>
      <c r="E726" s="906"/>
      <c r="F726" s="541"/>
      <c r="G726" s="541"/>
      <c r="H726" s="541"/>
      <c r="I726" s="541"/>
      <c r="J726" s="1748"/>
      <c r="K726" s="541"/>
      <c r="L726" s="1748"/>
      <c r="M726" s="541"/>
      <c r="N726" s="1748"/>
      <c r="O726" s="541"/>
      <c r="P726" s="1748"/>
      <c r="Q726" s="541"/>
      <c r="R726" s="1748"/>
      <c r="S726" s="541"/>
      <c r="T726" s="1748"/>
      <c r="U726" s="541"/>
      <c r="V726" s="1748"/>
      <c r="W726" s="541"/>
      <c r="X726" s="1748"/>
      <c r="Y726" s="1748"/>
      <c r="Z726" s="1748"/>
      <c r="AA726" s="541"/>
      <c r="AB726" s="1748"/>
      <c r="AC726" s="541"/>
      <c r="AD726" s="541"/>
      <c r="AE726" s="541"/>
      <c r="AF726" s="541"/>
      <c r="AG726" s="541"/>
      <c r="AH726" s="541"/>
      <c r="AI726" s="541"/>
      <c r="AJ726" s="541"/>
      <c r="AK726" s="541"/>
      <c r="AL726" s="541"/>
      <c r="AM726" s="541"/>
      <c r="AN726" s="1748"/>
      <c r="AO726" s="1748"/>
      <c r="AP726" s="1748"/>
      <c r="AQ726" s="1748"/>
      <c r="AR726" s="1748"/>
      <c r="AS726" s="541"/>
      <c r="AT726" s="541"/>
      <c r="AU726" s="541"/>
      <c r="AV726" s="541"/>
      <c r="AW726" s="541"/>
      <c r="AX726" s="541"/>
      <c r="AY726" s="541"/>
      <c r="AZ726" s="541"/>
      <c r="BA726" s="541"/>
      <c r="BC726" s="541"/>
      <c r="BE726" s="541"/>
      <c r="BG726" s="541"/>
      <c r="BH726" s="1190"/>
      <c r="BI726" s="541"/>
      <c r="BJ726" s="1190"/>
      <c r="BK726" s="541"/>
      <c r="BL726" s="541"/>
      <c r="BM726" s="541"/>
      <c r="BO726" s="541"/>
      <c r="BP726" s="541"/>
      <c r="BQ726" s="633"/>
      <c r="BR726" s="541"/>
      <c r="BS726" s="541"/>
      <c r="BT726" s="541"/>
    </row>
    <row r="727" ht="15.75" customHeight="1">
      <c r="A727" s="1591"/>
      <c r="B727" s="1541"/>
      <c r="C727" s="2217"/>
      <c r="D727" s="1543"/>
      <c r="E727" s="906"/>
      <c r="F727" s="541"/>
      <c r="G727" s="541"/>
      <c r="H727" s="541"/>
      <c r="I727" s="541"/>
      <c r="J727" s="1748"/>
      <c r="K727" s="541"/>
      <c r="L727" s="1748"/>
      <c r="M727" s="541"/>
      <c r="N727" s="1748"/>
      <c r="O727" s="541"/>
      <c r="P727" s="1748"/>
      <c r="Q727" s="541"/>
      <c r="R727" s="1748"/>
      <c r="S727" s="541"/>
      <c r="T727" s="1748"/>
      <c r="U727" s="541"/>
      <c r="V727" s="1748"/>
      <c r="W727" s="541"/>
      <c r="X727" s="1748"/>
      <c r="Y727" s="1748"/>
      <c r="Z727" s="1748"/>
      <c r="AA727" s="541"/>
      <c r="AB727" s="1748"/>
      <c r="AC727" s="541"/>
      <c r="AD727" s="541"/>
      <c r="AE727" s="541"/>
      <c r="AF727" s="541"/>
      <c r="AG727" s="541"/>
      <c r="AH727" s="541"/>
      <c r="AI727" s="541"/>
      <c r="AJ727" s="541"/>
      <c r="AK727" s="541"/>
      <c r="AL727" s="541"/>
      <c r="AM727" s="541"/>
      <c r="AN727" s="1748"/>
      <c r="AO727" s="1748"/>
      <c r="AP727" s="1748"/>
      <c r="AQ727" s="1748"/>
      <c r="AR727" s="1748"/>
      <c r="AS727" s="541"/>
      <c r="AT727" s="541"/>
      <c r="AU727" s="541"/>
      <c r="AV727" s="541"/>
      <c r="AW727" s="541"/>
      <c r="AX727" s="541"/>
      <c r="AY727" s="541"/>
      <c r="AZ727" s="541"/>
      <c r="BA727" s="541"/>
      <c r="BC727" s="541"/>
      <c r="BE727" s="541"/>
      <c r="BG727" s="541"/>
      <c r="BH727" s="1190"/>
      <c r="BI727" s="541"/>
      <c r="BJ727" s="1190"/>
      <c r="BK727" s="541"/>
      <c r="BL727" s="541"/>
      <c r="BM727" s="541"/>
      <c r="BO727" s="541"/>
      <c r="BP727" s="541"/>
      <c r="BQ727" s="633"/>
      <c r="BR727" s="541"/>
      <c r="BS727" s="541"/>
      <c r="BT727" s="541"/>
    </row>
    <row r="728" ht="15.75" customHeight="1">
      <c r="A728" s="1591"/>
      <c r="B728" s="1541"/>
      <c r="C728" s="2217"/>
      <c r="D728" s="1543"/>
      <c r="E728" s="906"/>
      <c r="F728" s="541"/>
      <c r="G728" s="541"/>
      <c r="H728" s="541"/>
      <c r="I728" s="541"/>
      <c r="J728" s="1748"/>
      <c r="K728" s="541"/>
      <c r="L728" s="1748"/>
      <c r="M728" s="541"/>
      <c r="N728" s="1748"/>
      <c r="O728" s="541"/>
      <c r="P728" s="1748"/>
      <c r="Q728" s="541"/>
      <c r="R728" s="1748"/>
      <c r="S728" s="541"/>
      <c r="T728" s="1748"/>
      <c r="U728" s="541"/>
      <c r="V728" s="1748"/>
      <c r="W728" s="541"/>
      <c r="X728" s="1748"/>
      <c r="Y728" s="1748"/>
      <c r="Z728" s="1748"/>
      <c r="AA728" s="541"/>
      <c r="AB728" s="1748"/>
      <c r="AC728" s="541"/>
      <c r="AD728" s="541"/>
      <c r="AE728" s="541"/>
      <c r="AF728" s="541"/>
      <c r="AG728" s="541"/>
      <c r="AH728" s="541"/>
      <c r="AI728" s="541"/>
      <c r="AJ728" s="541"/>
      <c r="AK728" s="541"/>
      <c r="AL728" s="541"/>
      <c r="AM728" s="541"/>
      <c r="AN728" s="1748"/>
      <c r="AO728" s="1748"/>
      <c r="AP728" s="1748"/>
      <c r="AQ728" s="1748"/>
      <c r="AR728" s="1748"/>
      <c r="AS728" s="541"/>
      <c r="AT728" s="541"/>
      <c r="AU728" s="541"/>
      <c r="AV728" s="541"/>
      <c r="AW728" s="541"/>
      <c r="AX728" s="541"/>
      <c r="AY728" s="541"/>
      <c r="AZ728" s="541"/>
      <c r="BA728" s="541"/>
      <c r="BC728" s="541"/>
      <c r="BE728" s="541"/>
      <c r="BG728" s="541"/>
      <c r="BH728" s="1190"/>
      <c r="BI728" s="541"/>
      <c r="BJ728" s="1190"/>
      <c r="BK728" s="541"/>
      <c r="BL728" s="541"/>
      <c r="BM728" s="541"/>
      <c r="BO728" s="541"/>
      <c r="BP728" s="541"/>
      <c r="BQ728" s="633"/>
      <c r="BR728" s="541"/>
      <c r="BS728" s="541"/>
      <c r="BT728" s="541"/>
    </row>
    <row r="729" ht="15.75" customHeight="1">
      <c r="A729" s="1591"/>
      <c r="B729" s="1541"/>
      <c r="C729" s="2217"/>
      <c r="D729" s="1543"/>
      <c r="E729" s="906"/>
      <c r="F729" s="541"/>
      <c r="G729" s="541"/>
      <c r="H729" s="541"/>
      <c r="I729" s="541"/>
      <c r="J729" s="1748"/>
      <c r="K729" s="541"/>
      <c r="L729" s="1748"/>
      <c r="M729" s="541"/>
      <c r="N729" s="1748"/>
      <c r="O729" s="541"/>
      <c r="P729" s="1748"/>
      <c r="Q729" s="541"/>
      <c r="R729" s="1748"/>
      <c r="S729" s="541"/>
      <c r="T729" s="1748"/>
      <c r="U729" s="541"/>
      <c r="V729" s="1748"/>
      <c r="W729" s="541"/>
      <c r="X729" s="1748"/>
      <c r="Y729" s="1748"/>
      <c r="Z729" s="1748"/>
      <c r="AA729" s="541"/>
      <c r="AB729" s="1748"/>
      <c r="AC729" s="541"/>
      <c r="AD729" s="541"/>
      <c r="AE729" s="541"/>
      <c r="AF729" s="541"/>
      <c r="AG729" s="541"/>
      <c r="AH729" s="541"/>
      <c r="AI729" s="541"/>
      <c r="AJ729" s="541"/>
      <c r="AK729" s="541"/>
      <c r="AL729" s="541"/>
      <c r="AM729" s="541"/>
      <c r="AN729" s="1748"/>
      <c r="AO729" s="1748"/>
      <c r="AP729" s="1748"/>
      <c r="AQ729" s="1748"/>
      <c r="AR729" s="1748"/>
      <c r="AS729" s="541"/>
      <c r="AT729" s="541"/>
      <c r="AU729" s="541"/>
      <c r="AV729" s="541"/>
      <c r="AW729" s="541"/>
      <c r="AX729" s="541"/>
      <c r="AY729" s="541"/>
      <c r="AZ729" s="541"/>
      <c r="BA729" s="541"/>
      <c r="BC729" s="541"/>
      <c r="BE729" s="541"/>
      <c r="BG729" s="541"/>
      <c r="BH729" s="1190"/>
      <c r="BI729" s="541"/>
      <c r="BJ729" s="1190"/>
      <c r="BK729" s="541"/>
      <c r="BL729" s="541"/>
      <c r="BM729" s="541"/>
      <c r="BO729" s="541"/>
      <c r="BP729" s="541"/>
      <c r="BQ729" s="633"/>
      <c r="BR729" s="541"/>
      <c r="BS729" s="541"/>
      <c r="BT729" s="541"/>
    </row>
    <row r="730" ht="15.75" customHeight="1">
      <c r="A730" s="1591"/>
      <c r="B730" s="1541"/>
      <c r="C730" s="2217"/>
      <c r="D730" s="1543"/>
      <c r="E730" s="906"/>
      <c r="F730" s="541"/>
      <c r="G730" s="541"/>
      <c r="H730" s="541"/>
      <c r="I730" s="541"/>
      <c r="J730" s="1748"/>
      <c r="K730" s="541"/>
      <c r="L730" s="1748"/>
      <c r="M730" s="541"/>
      <c r="N730" s="1748"/>
      <c r="O730" s="541"/>
      <c r="P730" s="1748"/>
      <c r="Q730" s="541"/>
      <c r="R730" s="1748"/>
      <c r="S730" s="541"/>
      <c r="T730" s="1748"/>
      <c r="U730" s="541"/>
      <c r="V730" s="1748"/>
      <c r="W730" s="541"/>
      <c r="X730" s="1748"/>
      <c r="Y730" s="1748"/>
      <c r="Z730" s="1748"/>
      <c r="AA730" s="541"/>
      <c r="AB730" s="1748"/>
      <c r="AC730" s="541"/>
      <c r="AD730" s="541"/>
      <c r="AE730" s="541"/>
      <c r="AF730" s="541"/>
      <c r="AG730" s="541"/>
      <c r="AH730" s="541"/>
      <c r="AI730" s="541"/>
      <c r="AJ730" s="541"/>
      <c r="AK730" s="541"/>
      <c r="AL730" s="541"/>
      <c r="AM730" s="541"/>
      <c r="AN730" s="1748"/>
      <c r="AO730" s="1748"/>
      <c r="AP730" s="1748"/>
      <c r="AQ730" s="1748"/>
      <c r="AR730" s="1748"/>
      <c r="AS730" s="541"/>
      <c r="AT730" s="541"/>
      <c r="AU730" s="541"/>
      <c r="AV730" s="541"/>
      <c r="AW730" s="541"/>
      <c r="AX730" s="541"/>
      <c r="AY730" s="541"/>
      <c r="AZ730" s="541"/>
      <c r="BA730" s="541"/>
      <c r="BC730" s="541"/>
      <c r="BE730" s="541"/>
      <c r="BG730" s="541"/>
      <c r="BH730" s="1190"/>
      <c r="BI730" s="541"/>
      <c r="BJ730" s="1190"/>
      <c r="BK730" s="541"/>
      <c r="BL730" s="541"/>
      <c r="BM730" s="541"/>
      <c r="BO730" s="541"/>
      <c r="BP730" s="541"/>
      <c r="BQ730" s="633"/>
      <c r="BR730" s="541"/>
      <c r="BS730" s="541"/>
      <c r="BT730" s="541"/>
    </row>
    <row r="731" ht="15.75" customHeight="1">
      <c r="A731" s="1591"/>
      <c r="B731" s="1541"/>
      <c r="C731" s="2217"/>
      <c r="D731" s="1543"/>
      <c r="E731" s="906"/>
      <c r="F731" s="541"/>
      <c r="G731" s="541"/>
      <c r="H731" s="541"/>
      <c r="I731" s="541"/>
      <c r="J731" s="1748"/>
      <c r="K731" s="541"/>
      <c r="L731" s="1748"/>
      <c r="M731" s="541"/>
      <c r="N731" s="1748"/>
      <c r="O731" s="541"/>
      <c r="P731" s="1748"/>
      <c r="Q731" s="541"/>
      <c r="R731" s="1748"/>
      <c r="S731" s="541"/>
      <c r="T731" s="1748"/>
      <c r="U731" s="541"/>
      <c r="V731" s="1748"/>
      <c r="W731" s="541"/>
      <c r="X731" s="1748"/>
      <c r="Y731" s="1748"/>
      <c r="Z731" s="1748"/>
      <c r="AA731" s="541"/>
      <c r="AB731" s="1748"/>
      <c r="AC731" s="541"/>
      <c r="AD731" s="541"/>
      <c r="AE731" s="541"/>
      <c r="AF731" s="541"/>
      <c r="AG731" s="541"/>
      <c r="AH731" s="541"/>
      <c r="AI731" s="541"/>
      <c r="AJ731" s="541"/>
      <c r="AK731" s="541"/>
      <c r="AL731" s="541"/>
      <c r="AM731" s="541"/>
      <c r="AN731" s="1748"/>
      <c r="AO731" s="1748"/>
      <c r="AP731" s="1748"/>
      <c r="AQ731" s="1748"/>
      <c r="AR731" s="1748"/>
      <c r="AS731" s="541"/>
      <c r="AT731" s="541"/>
      <c r="AU731" s="541"/>
      <c r="AV731" s="541"/>
      <c r="AW731" s="541"/>
      <c r="AX731" s="541"/>
      <c r="AY731" s="541"/>
      <c r="AZ731" s="541"/>
      <c r="BA731" s="541"/>
      <c r="BC731" s="541"/>
      <c r="BE731" s="541"/>
      <c r="BG731" s="541"/>
      <c r="BH731" s="1190"/>
      <c r="BI731" s="541"/>
      <c r="BJ731" s="1190"/>
      <c r="BK731" s="541"/>
      <c r="BL731" s="541"/>
      <c r="BM731" s="541"/>
      <c r="BO731" s="541"/>
      <c r="BP731" s="541"/>
      <c r="BQ731" s="633"/>
      <c r="BR731" s="541"/>
      <c r="BS731" s="541"/>
      <c r="BT731" s="541"/>
    </row>
    <row r="732" ht="15.75" customHeight="1">
      <c r="A732" s="1591"/>
      <c r="B732" s="1541"/>
      <c r="C732" s="2217"/>
      <c r="D732" s="1543"/>
      <c r="E732" s="906"/>
      <c r="F732" s="541"/>
      <c r="G732" s="541"/>
      <c r="H732" s="541"/>
      <c r="I732" s="541"/>
      <c r="J732" s="1748"/>
      <c r="K732" s="541"/>
      <c r="L732" s="1748"/>
      <c r="M732" s="541"/>
      <c r="N732" s="1748"/>
      <c r="O732" s="541"/>
      <c r="P732" s="1748"/>
      <c r="Q732" s="541"/>
      <c r="R732" s="1748"/>
      <c r="S732" s="541"/>
      <c r="T732" s="1748"/>
      <c r="U732" s="541"/>
      <c r="V732" s="1748"/>
      <c r="W732" s="541"/>
      <c r="X732" s="1748"/>
      <c r="Y732" s="1748"/>
      <c r="Z732" s="1748"/>
      <c r="AA732" s="541"/>
      <c r="AB732" s="1748"/>
      <c r="AC732" s="541"/>
      <c r="AD732" s="541"/>
      <c r="AE732" s="541"/>
      <c r="AF732" s="541"/>
      <c r="AG732" s="541"/>
      <c r="AH732" s="541"/>
      <c r="AI732" s="541"/>
      <c r="AJ732" s="541"/>
      <c r="AK732" s="541"/>
      <c r="AL732" s="541"/>
      <c r="AM732" s="541"/>
      <c r="AN732" s="1748"/>
      <c r="AO732" s="1748"/>
      <c r="AP732" s="1748"/>
      <c r="AQ732" s="1748"/>
      <c r="AR732" s="1748"/>
      <c r="AS732" s="541"/>
      <c r="AT732" s="541"/>
      <c r="AU732" s="541"/>
      <c r="AV732" s="541"/>
      <c r="AW732" s="541"/>
      <c r="AX732" s="541"/>
      <c r="AY732" s="541"/>
      <c r="AZ732" s="541"/>
      <c r="BA732" s="541"/>
      <c r="BC732" s="541"/>
      <c r="BE732" s="541"/>
      <c r="BG732" s="541"/>
      <c r="BH732" s="1190"/>
      <c r="BI732" s="541"/>
      <c r="BJ732" s="1190"/>
      <c r="BK732" s="541"/>
      <c r="BL732" s="541"/>
      <c r="BM732" s="541"/>
      <c r="BO732" s="541"/>
      <c r="BP732" s="541"/>
      <c r="BQ732" s="633"/>
      <c r="BR732" s="541"/>
      <c r="BS732" s="541"/>
      <c r="BT732" s="541"/>
    </row>
    <row r="733" ht="15.75" customHeight="1">
      <c r="A733" s="1591"/>
      <c r="B733" s="1541"/>
      <c r="C733" s="2217"/>
      <c r="D733" s="1543"/>
      <c r="E733" s="906"/>
      <c r="F733" s="541"/>
      <c r="G733" s="541"/>
      <c r="H733" s="541"/>
      <c r="I733" s="541"/>
      <c r="J733" s="1748"/>
      <c r="K733" s="541"/>
      <c r="L733" s="1748"/>
      <c r="M733" s="541"/>
      <c r="N733" s="1748"/>
      <c r="O733" s="541"/>
      <c r="P733" s="1748"/>
      <c r="Q733" s="541"/>
      <c r="R733" s="1748"/>
      <c r="S733" s="541"/>
      <c r="T733" s="1748"/>
      <c r="U733" s="541"/>
      <c r="V733" s="1748"/>
      <c r="W733" s="541"/>
      <c r="X733" s="1748"/>
      <c r="Y733" s="1748"/>
      <c r="Z733" s="1748"/>
      <c r="AA733" s="541"/>
      <c r="AB733" s="1748"/>
      <c r="AC733" s="541"/>
      <c r="AD733" s="541"/>
      <c r="AE733" s="541"/>
      <c r="AF733" s="541"/>
      <c r="AG733" s="541"/>
      <c r="AH733" s="541"/>
      <c r="AI733" s="541"/>
      <c r="AJ733" s="541"/>
      <c r="AK733" s="541"/>
      <c r="AL733" s="541"/>
      <c r="AM733" s="541"/>
      <c r="AN733" s="1748"/>
      <c r="AO733" s="1748"/>
      <c r="AP733" s="1748"/>
      <c r="AQ733" s="1748"/>
      <c r="AR733" s="1748"/>
      <c r="AS733" s="541"/>
      <c r="AT733" s="541"/>
      <c r="AU733" s="541"/>
      <c r="AV733" s="541"/>
      <c r="AW733" s="541"/>
      <c r="AX733" s="541"/>
      <c r="AY733" s="541"/>
      <c r="AZ733" s="541"/>
      <c r="BA733" s="541"/>
      <c r="BC733" s="541"/>
      <c r="BE733" s="541"/>
      <c r="BG733" s="541"/>
      <c r="BH733" s="1190"/>
      <c r="BI733" s="541"/>
      <c r="BJ733" s="1190"/>
      <c r="BK733" s="541"/>
      <c r="BL733" s="541"/>
      <c r="BM733" s="541"/>
      <c r="BO733" s="541"/>
      <c r="BP733" s="541"/>
      <c r="BQ733" s="633"/>
      <c r="BR733" s="541"/>
      <c r="BS733" s="541"/>
      <c r="BT733" s="541"/>
    </row>
    <row r="734" ht="15.75" customHeight="1">
      <c r="A734" s="1591"/>
      <c r="B734" s="1541"/>
      <c r="C734" s="2217"/>
      <c r="D734" s="1543"/>
      <c r="E734" s="906"/>
      <c r="F734" s="541"/>
      <c r="G734" s="541"/>
      <c r="H734" s="541"/>
      <c r="I734" s="541"/>
      <c r="J734" s="1748"/>
      <c r="K734" s="541"/>
      <c r="L734" s="1748"/>
      <c r="M734" s="541"/>
      <c r="N734" s="1748"/>
      <c r="O734" s="541"/>
      <c r="P734" s="1748"/>
      <c r="Q734" s="541"/>
      <c r="R734" s="1748"/>
      <c r="S734" s="541"/>
      <c r="T734" s="1748"/>
      <c r="U734" s="541"/>
      <c r="V734" s="1748"/>
      <c r="W734" s="541"/>
      <c r="X734" s="1748"/>
      <c r="Y734" s="1748"/>
      <c r="Z734" s="1748"/>
      <c r="AA734" s="541"/>
      <c r="AB734" s="1748"/>
      <c r="AC734" s="541"/>
      <c r="AD734" s="541"/>
      <c r="AE734" s="541"/>
      <c r="AF734" s="541"/>
      <c r="AG734" s="541"/>
      <c r="AH734" s="541"/>
      <c r="AI734" s="541"/>
      <c r="AJ734" s="541"/>
      <c r="AK734" s="541"/>
      <c r="AL734" s="541"/>
      <c r="AM734" s="541"/>
      <c r="AN734" s="1748"/>
      <c r="AO734" s="1748"/>
      <c r="AP734" s="1748"/>
      <c r="AQ734" s="1748"/>
      <c r="AR734" s="1748"/>
      <c r="AS734" s="541"/>
      <c r="AT734" s="541"/>
      <c r="AU734" s="541"/>
      <c r="AV734" s="541"/>
      <c r="AW734" s="541"/>
      <c r="AX734" s="541"/>
      <c r="AY734" s="541"/>
      <c r="AZ734" s="541"/>
      <c r="BA734" s="541"/>
      <c r="BC734" s="541"/>
      <c r="BE734" s="541"/>
      <c r="BG734" s="541"/>
      <c r="BH734" s="1190"/>
      <c r="BI734" s="541"/>
      <c r="BJ734" s="1190"/>
      <c r="BK734" s="541"/>
      <c r="BL734" s="541"/>
      <c r="BM734" s="541"/>
      <c r="BO734" s="541"/>
      <c r="BP734" s="541"/>
      <c r="BQ734" s="633"/>
      <c r="BR734" s="541"/>
      <c r="BS734" s="541"/>
      <c r="BT734" s="541"/>
    </row>
    <row r="735" ht="15.75" customHeight="1">
      <c r="A735" s="1591"/>
      <c r="B735" s="1541"/>
      <c r="C735" s="2217"/>
      <c r="D735" s="1543"/>
      <c r="E735" s="906"/>
      <c r="F735" s="541"/>
      <c r="G735" s="541"/>
      <c r="H735" s="541"/>
      <c r="I735" s="541"/>
      <c r="J735" s="1748"/>
      <c r="K735" s="541"/>
      <c r="L735" s="1748"/>
      <c r="M735" s="541"/>
      <c r="N735" s="1748"/>
      <c r="O735" s="541"/>
      <c r="P735" s="1748"/>
      <c r="Q735" s="541"/>
      <c r="R735" s="1748"/>
      <c r="S735" s="541"/>
      <c r="T735" s="1748"/>
      <c r="U735" s="541"/>
      <c r="V735" s="1748"/>
      <c r="W735" s="541"/>
      <c r="X735" s="1748"/>
      <c r="Y735" s="1748"/>
      <c r="Z735" s="1748"/>
      <c r="AA735" s="541"/>
      <c r="AB735" s="1748"/>
      <c r="AC735" s="541"/>
      <c r="AD735" s="541"/>
      <c r="AE735" s="541"/>
      <c r="AF735" s="541"/>
      <c r="AG735" s="541"/>
      <c r="AH735" s="541"/>
      <c r="AI735" s="541"/>
      <c r="AJ735" s="541"/>
      <c r="AK735" s="541"/>
      <c r="AL735" s="541"/>
      <c r="AM735" s="541"/>
      <c r="AN735" s="1748"/>
      <c r="AO735" s="1748"/>
      <c r="AP735" s="1748"/>
      <c r="AQ735" s="1748"/>
      <c r="AR735" s="1748"/>
      <c r="AS735" s="541"/>
      <c r="AT735" s="541"/>
      <c r="AU735" s="541"/>
      <c r="AV735" s="541"/>
      <c r="AW735" s="541"/>
      <c r="AX735" s="541"/>
      <c r="AY735" s="541"/>
      <c r="AZ735" s="541"/>
      <c r="BA735" s="541"/>
      <c r="BC735" s="541"/>
      <c r="BE735" s="541"/>
      <c r="BG735" s="541"/>
      <c r="BH735" s="1190"/>
      <c r="BI735" s="541"/>
      <c r="BJ735" s="1190"/>
      <c r="BK735" s="541"/>
      <c r="BL735" s="541"/>
      <c r="BM735" s="541"/>
      <c r="BO735" s="541"/>
      <c r="BP735" s="541"/>
      <c r="BQ735" s="633"/>
      <c r="BR735" s="541"/>
      <c r="BS735" s="541"/>
      <c r="BT735" s="541"/>
    </row>
    <row r="736" ht="15.75" customHeight="1">
      <c r="A736" s="1591"/>
      <c r="B736" s="1541"/>
      <c r="C736" s="2217"/>
      <c r="D736" s="1543"/>
      <c r="E736" s="906"/>
      <c r="F736" s="541"/>
      <c r="G736" s="541"/>
      <c r="H736" s="541"/>
      <c r="I736" s="541"/>
      <c r="J736" s="1748"/>
      <c r="K736" s="541"/>
      <c r="L736" s="1748"/>
      <c r="M736" s="541"/>
      <c r="N736" s="1748"/>
      <c r="O736" s="541"/>
      <c r="P736" s="1748"/>
      <c r="Q736" s="541"/>
      <c r="R736" s="1748"/>
      <c r="S736" s="541"/>
      <c r="T736" s="1748"/>
      <c r="U736" s="541"/>
      <c r="V736" s="1748"/>
      <c r="W736" s="541"/>
      <c r="X736" s="1748"/>
      <c r="Y736" s="1748"/>
      <c r="Z736" s="1748"/>
      <c r="AA736" s="541"/>
      <c r="AB736" s="1748"/>
      <c r="AC736" s="541"/>
      <c r="AD736" s="541"/>
      <c r="AE736" s="541"/>
      <c r="AF736" s="541"/>
      <c r="AG736" s="541"/>
      <c r="AH736" s="541"/>
      <c r="AI736" s="541"/>
      <c r="AJ736" s="541"/>
      <c r="AK736" s="541"/>
      <c r="AL736" s="541"/>
      <c r="AM736" s="541"/>
      <c r="AN736" s="1748"/>
      <c r="AO736" s="1748"/>
      <c r="AP736" s="1748"/>
      <c r="AQ736" s="1748"/>
      <c r="AR736" s="1748"/>
      <c r="AS736" s="541"/>
      <c r="AT736" s="541"/>
      <c r="AU736" s="541"/>
      <c r="AV736" s="541"/>
      <c r="AW736" s="541"/>
      <c r="AX736" s="541"/>
      <c r="AY736" s="541"/>
      <c r="AZ736" s="541"/>
      <c r="BA736" s="541"/>
      <c r="BC736" s="541"/>
      <c r="BE736" s="541"/>
      <c r="BG736" s="541"/>
      <c r="BH736" s="1190"/>
      <c r="BI736" s="541"/>
      <c r="BJ736" s="1190"/>
      <c r="BK736" s="541"/>
      <c r="BL736" s="541"/>
      <c r="BM736" s="541"/>
      <c r="BO736" s="541"/>
      <c r="BP736" s="541"/>
      <c r="BQ736" s="633"/>
      <c r="BR736" s="541"/>
      <c r="BS736" s="541"/>
      <c r="BT736" s="541"/>
    </row>
    <row r="737" ht="15.75" customHeight="1">
      <c r="A737" s="1591"/>
      <c r="B737" s="1541"/>
      <c r="C737" s="2217"/>
      <c r="D737" s="1543"/>
      <c r="E737" s="906"/>
      <c r="F737" s="541"/>
      <c r="G737" s="541"/>
      <c r="H737" s="541"/>
      <c r="I737" s="541"/>
      <c r="J737" s="1748"/>
      <c r="K737" s="541"/>
      <c r="L737" s="1748"/>
      <c r="M737" s="541"/>
      <c r="N737" s="1748"/>
      <c r="O737" s="541"/>
      <c r="P737" s="1748"/>
      <c r="Q737" s="541"/>
      <c r="R737" s="1748"/>
      <c r="S737" s="541"/>
      <c r="T737" s="1748"/>
      <c r="U737" s="541"/>
      <c r="V737" s="1748"/>
      <c r="W737" s="541"/>
      <c r="X737" s="1748"/>
      <c r="Y737" s="1748"/>
      <c r="Z737" s="1748"/>
      <c r="AA737" s="541"/>
      <c r="AB737" s="1748"/>
      <c r="AC737" s="541"/>
      <c r="AD737" s="541"/>
      <c r="AE737" s="541"/>
      <c r="AF737" s="541"/>
      <c r="AG737" s="541"/>
      <c r="AH737" s="541"/>
      <c r="AI737" s="541"/>
      <c r="AJ737" s="541"/>
      <c r="AK737" s="541"/>
      <c r="AL737" s="541"/>
      <c r="AM737" s="541"/>
      <c r="AN737" s="1748"/>
      <c r="AO737" s="1748"/>
      <c r="AP737" s="1748"/>
      <c r="AQ737" s="1748"/>
      <c r="AR737" s="1748"/>
      <c r="AS737" s="541"/>
      <c r="AT737" s="541"/>
      <c r="AU737" s="541"/>
      <c r="AV737" s="541"/>
      <c r="AW737" s="541"/>
      <c r="AX737" s="541"/>
      <c r="AY737" s="541"/>
      <c r="AZ737" s="541"/>
      <c r="BA737" s="541"/>
      <c r="BC737" s="541"/>
      <c r="BE737" s="541"/>
      <c r="BG737" s="541"/>
      <c r="BH737" s="1190"/>
      <c r="BI737" s="541"/>
      <c r="BJ737" s="1190"/>
      <c r="BK737" s="541"/>
      <c r="BL737" s="541"/>
      <c r="BM737" s="541"/>
      <c r="BO737" s="541"/>
      <c r="BP737" s="541"/>
      <c r="BQ737" s="633"/>
      <c r="BR737" s="541"/>
      <c r="BS737" s="541"/>
      <c r="BT737" s="541"/>
    </row>
    <row r="738" ht="15.75" customHeight="1">
      <c r="A738" s="1591"/>
      <c r="B738" s="1541"/>
      <c r="C738" s="2217"/>
      <c r="D738" s="1543"/>
      <c r="E738" s="906"/>
      <c r="F738" s="541"/>
      <c r="G738" s="541"/>
      <c r="H738" s="541"/>
      <c r="I738" s="541"/>
      <c r="J738" s="1748"/>
      <c r="K738" s="541"/>
      <c r="L738" s="1748"/>
      <c r="M738" s="541"/>
      <c r="N738" s="1748"/>
      <c r="O738" s="541"/>
      <c r="P738" s="1748"/>
      <c r="Q738" s="541"/>
      <c r="R738" s="1748"/>
      <c r="S738" s="541"/>
      <c r="T738" s="1748"/>
      <c r="U738" s="541"/>
      <c r="V738" s="1748"/>
      <c r="W738" s="541"/>
      <c r="X738" s="1748"/>
      <c r="Y738" s="1748"/>
      <c r="Z738" s="1748"/>
      <c r="AA738" s="541"/>
      <c r="AB738" s="1748"/>
      <c r="AC738" s="541"/>
      <c r="AD738" s="541"/>
      <c r="AE738" s="541"/>
      <c r="AF738" s="541"/>
      <c r="AG738" s="541"/>
      <c r="AH738" s="541"/>
      <c r="AI738" s="541"/>
      <c r="AJ738" s="541"/>
      <c r="AK738" s="541"/>
      <c r="AL738" s="541"/>
      <c r="AM738" s="541"/>
      <c r="AN738" s="1748"/>
      <c r="AO738" s="1748"/>
      <c r="AP738" s="1748"/>
      <c r="AQ738" s="1748"/>
      <c r="AR738" s="1748"/>
      <c r="AS738" s="541"/>
      <c r="AT738" s="541"/>
      <c r="AU738" s="541"/>
      <c r="AV738" s="541"/>
      <c r="AW738" s="541"/>
      <c r="AX738" s="541"/>
      <c r="AY738" s="541"/>
      <c r="AZ738" s="541"/>
      <c r="BA738" s="541"/>
      <c r="BC738" s="541"/>
      <c r="BE738" s="541"/>
      <c r="BG738" s="541"/>
      <c r="BH738" s="1190"/>
      <c r="BI738" s="541"/>
      <c r="BJ738" s="1190"/>
      <c r="BK738" s="541"/>
      <c r="BL738" s="541"/>
      <c r="BM738" s="541"/>
      <c r="BO738" s="541"/>
      <c r="BP738" s="541"/>
      <c r="BQ738" s="633"/>
      <c r="BR738" s="541"/>
      <c r="BS738" s="541"/>
      <c r="BT738" s="541"/>
    </row>
    <row r="739" ht="15.75" customHeight="1">
      <c r="A739" s="1591"/>
      <c r="B739" s="1541"/>
      <c r="C739" s="2217"/>
      <c r="D739" s="1543"/>
      <c r="E739" s="906"/>
      <c r="F739" s="541"/>
      <c r="G739" s="541"/>
      <c r="H739" s="541"/>
      <c r="I739" s="541"/>
      <c r="J739" s="1748"/>
      <c r="K739" s="541"/>
      <c r="L739" s="1748"/>
      <c r="M739" s="541"/>
      <c r="N739" s="1748"/>
      <c r="O739" s="541"/>
      <c r="P739" s="1748"/>
      <c r="Q739" s="541"/>
      <c r="R739" s="1748"/>
      <c r="S739" s="541"/>
      <c r="T739" s="1748"/>
      <c r="U739" s="541"/>
      <c r="V739" s="1748"/>
      <c r="W739" s="541"/>
      <c r="X739" s="1748"/>
      <c r="Y739" s="1748"/>
      <c r="Z739" s="1748"/>
      <c r="AA739" s="541"/>
      <c r="AB739" s="1748"/>
      <c r="AC739" s="541"/>
      <c r="AD739" s="541"/>
      <c r="AE739" s="541"/>
      <c r="AF739" s="541"/>
      <c r="AG739" s="541"/>
      <c r="AH739" s="541"/>
      <c r="AI739" s="541"/>
      <c r="AJ739" s="541"/>
      <c r="AK739" s="541"/>
      <c r="AL739" s="541"/>
      <c r="AM739" s="541"/>
      <c r="AN739" s="1748"/>
      <c r="AO739" s="1748"/>
      <c r="AP739" s="1748"/>
      <c r="AQ739" s="1748"/>
      <c r="AR739" s="1748"/>
      <c r="AS739" s="541"/>
      <c r="AT739" s="541"/>
      <c r="AU739" s="541"/>
      <c r="AV739" s="541"/>
      <c r="AW739" s="541"/>
      <c r="AX739" s="541"/>
      <c r="AY739" s="541"/>
      <c r="AZ739" s="541"/>
      <c r="BA739" s="541"/>
      <c r="BC739" s="541"/>
      <c r="BE739" s="541"/>
      <c r="BG739" s="541"/>
      <c r="BH739" s="1190"/>
      <c r="BI739" s="541"/>
      <c r="BJ739" s="1190"/>
      <c r="BK739" s="541"/>
      <c r="BL739" s="541"/>
      <c r="BM739" s="541"/>
      <c r="BO739" s="541"/>
      <c r="BP739" s="541"/>
      <c r="BQ739" s="633"/>
      <c r="BR739" s="541"/>
      <c r="BS739" s="541"/>
      <c r="BT739" s="541"/>
    </row>
    <row r="740" ht="15.75" customHeight="1">
      <c r="A740" s="1591"/>
      <c r="B740" s="1541"/>
      <c r="C740" s="2217"/>
      <c r="D740" s="1543"/>
      <c r="E740" s="906"/>
      <c r="F740" s="541"/>
      <c r="G740" s="541"/>
      <c r="H740" s="541"/>
      <c r="I740" s="541"/>
      <c r="J740" s="1748"/>
      <c r="K740" s="541"/>
      <c r="L740" s="1748"/>
      <c r="M740" s="541"/>
      <c r="N740" s="1748"/>
      <c r="O740" s="541"/>
      <c r="P740" s="1748"/>
      <c r="Q740" s="541"/>
      <c r="R740" s="1748"/>
      <c r="S740" s="541"/>
      <c r="T740" s="1748"/>
      <c r="U740" s="541"/>
      <c r="V740" s="1748"/>
      <c r="W740" s="541"/>
      <c r="X740" s="1748"/>
      <c r="Y740" s="1748"/>
      <c r="Z740" s="1748"/>
      <c r="AA740" s="541"/>
      <c r="AB740" s="1748"/>
      <c r="AC740" s="541"/>
      <c r="AD740" s="541"/>
      <c r="AE740" s="541"/>
      <c r="AF740" s="541"/>
      <c r="AG740" s="541"/>
      <c r="AH740" s="541"/>
      <c r="AI740" s="541"/>
      <c r="AJ740" s="541"/>
      <c r="AK740" s="541"/>
      <c r="AL740" s="541"/>
      <c r="AM740" s="541"/>
      <c r="AN740" s="1748"/>
      <c r="AO740" s="1748"/>
      <c r="AP740" s="1748"/>
      <c r="AQ740" s="1748"/>
      <c r="AR740" s="1748"/>
      <c r="AS740" s="541"/>
      <c r="AT740" s="541"/>
      <c r="AU740" s="541"/>
      <c r="AV740" s="541"/>
      <c r="AW740" s="541"/>
      <c r="AX740" s="541"/>
      <c r="AY740" s="541"/>
      <c r="AZ740" s="541"/>
      <c r="BA740" s="541"/>
      <c r="BC740" s="541"/>
      <c r="BE740" s="541"/>
      <c r="BG740" s="541"/>
      <c r="BH740" s="1190"/>
      <c r="BI740" s="541"/>
      <c r="BJ740" s="1190"/>
      <c r="BK740" s="541"/>
      <c r="BL740" s="541"/>
      <c r="BM740" s="541"/>
      <c r="BO740" s="541"/>
      <c r="BP740" s="541"/>
      <c r="BQ740" s="633"/>
      <c r="BR740" s="541"/>
      <c r="BS740" s="541"/>
      <c r="BT740" s="541"/>
    </row>
    <row r="741" ht="15.75" customHeight="1">
      <c r="A741" s="1591"/>
      <c r="B741" s="1541"/>
      <c r="C741" s="2217"/>
      <c r="D741" s="1543"/>
      <c r="E741" s="906"/>
      <c r="F741" s="541"/>
      <c r="G741" s="541"/>
      <c r="H741" s="541"/>
      <c r="I741" s="541"/>
      <c r="J741" s="1748"/>
      <c r="K741" s="541"/>
      <c r="L741" s="1748"/>
      <c r="M741" s="541"/>
      <c r="N741" s="1748"/>
      <c r="O741" s="541"/>
      <c r="P741" s="1748"/>
      <c r="Q741" s="541"/>
      <c r="R741" s="1748"/>
      <c r="S741" s="541"/>
      <c r="T741" s="1748"/>
      <c r="U741" s="541"/>
      <c r="V741" s="1748"/>
      <c r="W741" s="541"/>
      <c r="X741" s="1748"/>
      <c r="Y741" s="1748"/>
      <c r="Z741" s="1748"/>
      <c r="AA741" s="541"/>
      <c r="AB741" s="1748"/>
      <c r="AC741" s="541"/>
      <c r="AD741" s="541"/>
      <c r="AE741" s="541"/>
      <c r="AF741" s="541"/>
      <c r="AG741" s="541"/>
      <c r="AH741" s="541"/>
      <c r="AI741" s="541"/>
      <c r="AJ741" s="541"/>
      <c r="AK741" s="541"/>
      <c r="AL741" s="541"/>
      <c r="AM741" s="541"/>
      <c r="AN741" s="1748"/>
      <c r="AO741" s="1748"/>
      <c r="AP741" s="1748"/>
      <c r="AQ741" s="1748"/>
      <c r="AR741" s="1748"/>
      <c r="AS741" s="541"/>
      <c r="AT741" s="541"/>
      <c r="AU741" s="541"/>
      <c r="AV741" s="541"/>
      <c r="AW741" s="541"/>
      <c r="AX741" s="541"/>
      <c r="AY741" s="541"/>
      <c r="AZ741" s="541"/>
      <c r="BA741" s="541"/>
      <c r="BC741" s="541"/>
      <c r="BE741" s="541"/>
      <c r="BG741" s="541"/>
      <c r="BH741" s="1190"/>
      <c r="BI741" s="541"/>
      <c r="BJ741" s="1190"/>
      <c r="BK741" s="541"/>
      <c r="BL741" s="541"/>
      <c r="BM741" s="541"/>
      <c r="BO741" s="541"/>
      <c r="BP741" s="541"/>
      <c r="BQ741" s="633"/>
      <c r="BR741" s="541"/>
      <c r="BS741" s="541"/>
      <c r="BT741" s="541"/>
    </row>
    <row r="742" ht="15.75" customHeight="1">
      <c r="A742" s="1591"/>
      <c r="B742" s="1541"/>
      <c r="C742" s="2217"/>
      <c r="D742" s="1543"/>
      <c r="E742" s="906"/>
      <c r="F742" s="541"/>
      <c r="G742" s="541"/>
      <c r="H742" s="541"/>
      <c r="I742" s="541"/>
      <c r="J742" s="1748"/>
      <c r="K742" s="541"/>
      <c r="L742" s="1748"/>
      <c r="M742" s="541"/>
      <c r="N742" s="1748"/>
      <c r="O742" s="541"/>
      <c r="P742" s="1748"/>
      <c r="Q742" s="541"/>
      <c r="R742" s="1748"/>
      <c r="S742" s="541"/>
      <c r="T742" s="1748"/>
      <c r="U742" s="541"/>
      <c r="V742" s="1748"/>
      <c r="W742" s="541"/>
      <c r="X742" s="1748"/>
      <c r="Y742" s="1748"/>
      <c r="Z742" s="1748"/>
      <c r="AA742" s="541"/>
      <c r="AB742" s="1748"/>
      <c r="AC742" s="541"/>
      <c r="AD742" s="541"/>
      <c r="AE742" s="541"/>
      <c r="AF742" s="541"/>
      <c r="AG742" s="541"/>
      <c r="AH742" s="541"/>
      <c r="AI742" s="541"/>
      <c r="AJ742" s="541"/>
      <c r="AK742" s="541"/>
      <c r="AL742" s="541"/>
      <c r="AM742" s="541"/>
      <c r="AN742" s="1748"/>
      <c r="AO742" s="1748"/>
      <c r="AP742" s="1748"/>
      <c r="AQ742" s="1748"/>
      <c r="AR742" s="1748"/>
      <c r="AS742" s="541"/>
      <c r="AT742" s="541"/>
      <c r="AU742" s="541"/>
      <c r="AV742" s="541"/>
      <c r="AW742" s="541"/>
      <c r="AX742" s="541"/>
      <c r="AY742" s="541"/>
      <c r="AZ742" s="541"/>
      <c r="BA742" s="541"/>
      <c r="BC742" s="541"/>
      <c r="BE742" s="541"/>
      <c r="BG742" s="541"/>
      <c r="BH742" s="1190"/>
      <c r="BI742" s="541"/>
      <c r="BJ742" s="1190"/>
      <c r="BK742" s="541"/>
      <c r="BL742" s="541"/>
      <c r="BM742" s="541"/>
      <c r="BO742" s="541"/>
      <c r="BP742" s="541"/>
      <c r="BQ742" s="633"/>
      <c r="BR742" s="541"/>
      <c r="BS742" s="541"/>
      <c r="BT742" s="541"/>
    </row>
    <row r="743" ht="15.75" customHeight="1">
      <c r="A743" s="1591"/>
      <c r="B743" s="1541"/>
      <c r="C743" s="2217"/>
      <c r="D743" s="1543"/>
      <c r="E743" s="906"/>
      <c r="F743" s="541"/>
      <c r="G743" s="541"/>
      <c r="H743" s="541"/>
      <c r="I743" s="541"/>
      <c r="J743" s="1748"/>
      <c r="K743" s="541"/>
      <c r="L743" s="1748"/>
      <c r="M743" s="541"/>
      <c r="N743" s="1748"/>
      <c r="O743" s="541"/>
      <c r="P743" s="1748"/>
      <c r="Q743" s="541"/>
      <c r="R743" s="1748"/>
      <c r="S743" s="541"/>
      <c r="T743" s="1748"/>
      <c r="U743" s="541"/>
      <c r="V743" s="1748"/>
      <c r="W743" s="541"/>
      <c r="X743" s="1748"/>
      <c r="Y743" s="1748"/>
      <c r="Z743" s="1748"/>
      <c r="AA743" s="541"/>
      <c r="AB743" s="1748"/>
      <c r="AC743" s="541"/>
      <c r="AD743" s="541"/>
      <c r="AE743" s="541"/>
      <c r="AF743" s="541"/>
      <c r="AG743" s="541"/>
      <c r="AH743" s="541"/>
      <c r="AI743" s="541"/>
      <c r="AJ743" s="541"/>
      <c r="AK743" s="541"/>
      <c r="AL743" s="541"/>
      <c r="AM743" s="541"/>
      <c r="AN743" s="1748"/>
      <c r="AO743" s="1748"/>
      <c r="AP743" s="1748"/>
      <c r="AQ743" s="1748"/>
      <c r="AR743" s="1748"/>
      <c r="AS743" s="541"/>
      <c r="AT743" s="541"/>
      <c r="AU743" s="541"/>
      <c r="AV743" s="541"/>
      <c r="AW743" s="541"/>
      <c r="AX743" s="541"/>
      <c r="AY743" s="541"/>
      <c r="AZ743" s="541"/>
      <c r="BA743" s="541"/>
      <c r="BC743" s="541"/>
      <c r="BE743" s="541"/>
      <c r="BG743" s="541"/>
      <c r="BH743" s="1190"/>
      <c r="BI743" s="541"/>
      <c r="BJ743" s="1190"/>
      <c r="BK743" s="541"/>
      <c r="BL743" s="541"/>
      <c r="BM743" s="541"/>
      <c r="BO743" s="541"/>
      <c r="BP743" s="541"/>
      <c r="BQ743" s="633"/>
      <c r="BR743" s="541"/>
      <c r="BS743" s="541"/>
      <c r="BT743" s="541"/>
    </row>
    <row r="744" ht="15.75" customHeight="1">
      <c r="A744" s="1591"/>
      <c r="B744" s="1541"/>
      <c r="C744" s="2217"/>
      <c r="D744" s="1543"/>
      <c r="E744" s="906"/>
      <c r="F744" s="541"/>
      <c r="G744" s="541"/>
      <c r="H744" s="541"/>
      <c r="I744" s="541"/>
      <c r="J744" s="1748"/>
      <c r="K744" s="541"/>
      <c r="L744" s="1748"/>
      <c r="M744" s="541"/>
      <c r="N744" s="1748"/>
      <c r="O744" s="541"/>
      <c r="P744" s="1748"/>
      <c r="Q744" s="541"/>
      <c r="R744" s="1748"/>
      <c r="S744" s="541"/>
      <c r="T744" s="1748"/>
      <c r="U744" s="541"/>
      <c r="V744" s="1748"/>
      <c r="W744" s="541"/>
      <c r="X744" s="1748"/>
      <c r="Y744" s="1748"/>
      <c r="Z744" s="1748"/>
      <c r="AA744" s="541"/>
      <c r="AB744" s="1748"/>
      <c r="AC744" s="541"/>
      <c r="AD744" s="541"/>
      <c r="AE744" s="541"/>
      <c r="AF744" s="541"/>
      <c r="AG744" s="541"/>
      <c r="AH744" s="541"/>
      <c r="AI744" s="541"/>
      <c r="AJ744" s="541"/>
      <c r="AK744" s="541"/>
      <c r="AL744" s="541"/>
      <c r="AM744" s="541"/>
      <c r="AN744" s="1748"/>
      <c r="AO744" s="1748"/>
      <c r="AP744" s="1748"/>
      <c r="AQ744" s="1748"/>
      <c r="AR744" s="1748"/>
      <c r="AS744" s="541"/>
      <c r="AT744" s="541"/>
      <c r="AU744" s="541"/>
      <c r="AV744" s="541"/>
      <c r="AW744" s="541"/>
      <c r="AX744" s="541"/>
      <c r="AY744" s="541"/>
      <c r="AZ744" s="541"/>
      <c r="BA744" s="541"/>
      <c r="BC744" s="541"/>
      <c r="BE744" s="541"/>
      <c r="BG744" s="541"/>
      <c r="BH744" s="1190"/>
      <c r="BI744" s="541"/>
      <c r="BJ744" s="1190"/>
      <c r="BK744" s="541"/>
      <c r="BL744" s="541"/>
      <c r="BM744" s="541"/>
      <c r="BO744" s="541"/>
      <c r="BP744" s="541"/>
      <c r="BQ744" s="633"/>
      <c r="BR744" s="541"/>
      <c r="BS744" s="541"/>
      <c r="BT744" s="541"/>
    </row>
    <row r="745" ht="15.75" customHeight="1">
      <c r="A745" s="1591"/>
      <c r="B745" s="1541"/>
      <c r="C745" s="2217"/>
      <c r="D745" s="1543"/>
      <c r="E745" s="906"/>
      <c r="F745" s="541"/>
      <c r="G745" s="541"/>
      <c r="H745" s="541"/>
      <c r="I745" s="541"/>
      <c r="J745" s="1748"/>
      <c r="K745" s="541"/>
      <c r="L745" s="1748"/>
      <c r="M745" s="541"/>
      <c r="N745" s="1748"/>
      <c r="O745" s="541"/>
      <c r="P745" s="1748"/>
      <c r="Q745" s="541"/>
      <c r="R745" s="1748"/>
      <c r="S745" s="541"/>
      <c r="T745" s="1748"/>
      <c r="U745" s="541"/>
      <c r="V745" s="1748"/>
      <c r="W745" s="541"/>
      <c r="X745" s="1748"/>
      <c r="Y745" s="1748"/>
      <c r="Z745" s="1748"/>
      <c r="AA745" s="541"/>
      <c r="AB745" s="1748"/>
      <c r="AC745" s="541"/>
      <c r="AD745" s="541"/>
      <c r="AE745" s="541"/>
      <c r="AF745" s="541"/>
      <c r="AG745" s="541"/>
      <c r="AH745" s="541"/>
      <c r="AI745" s="541"/>
      <c r="AJ745" s="541"/>
      <c r="AK745" s="541"/>
      <c r="AL745" s="541"/>
      <c r="AM745" s="541"/>
      <c r="AN745" s="1748"/>
      <c r="AO745" s="1748"/>
      <c r="AP745" s="1748"/>
      <c r="AQ745" s="1748"/>
      <c r="AR745" s="1748"/>
      <c r="AS745" s="541"/>
      <c r="AT745" s="541"/>
      <c r="AU745" s="541"/>
      <c r="AV745" s="541"/>
      <c r="AW745" s="541"/>
      <c r="AX745" s="541"/>
      <c r="AY745" s="541"/>
      <c r="AZ745" s="541"/>
      <c r="BA745" s="541"/>
      <c r="BC745" s="541"/>
      <c r="BE745" s="541"/>
      <c r="BG745" s="541"/>
      <c r="BH745" s="1190"/>
      <c r="BI745" s="541"/>
      <c r="BJ745" s="1190"/>
      <c r="BK745" s="541"/>
      <c r="BL745" s="541"/>
      <c r="BM745" s="541"/>
      <c r="BO745" s="541"/>
      <c r="BP745" s="541"/>
      <c r="BQ745" s="633"/>
      <c r="BR745" s="541"/>
      <c r="BS745" s="541"/>
      <c r="BT745" s="541"/>
    </row>
    <row r="746" ht="15.75" customHeight="1">
      <c r="A746" s="1591"/>
      <c r="B746" s="1541"/>
      <c r="C746" s="2217"/>
      <c r="D746" s="1543"/>
      <c r="E746" s="906"/>
      <c r="F746" s="541"/>
      <c r="G746" s="541"/>
      <c r="H746" s="541"/>
      <c r="I746" s="541"/>
      <c r="J746" s="1748"/>
      <c r="K746" s="541"/>
      <c r="L746" s="1748"/>
      <c r="M746" s="541"/>
      <c r="N746" s="1748"/>
      <c r="O746" s="541"/>
      <c r="P746" s="1748"/>
      <c r="Q746" s="541"/>
      <c r="R746" s="1748"/>
      <c r="S746" s="541"/>
      <c r="T746" s="1748"/>
      <c r="U746" s="541"/>
      <c r="V746" s="1748"/>
      <c r="W746" s="541"/>
      <c r="X746" s="1748"/>
      <c r="Y746" s="1748"/>
      <c r="Z746" s="1748"/>
      <c r="AA746" s="541"/>
      <c r="AB746" s="1748"/>
      <c r="AC746" s="541"/>
      <c r="AD746" s="541"/>
      <c r="AE746" s="541"/>
      <c r="AF746" s="541"/>
      <c r="AG746" s="541"/>
      <c r="AH746" s="541"/>
      <c r="AI746" s="541"/>
      <c r="AJ746" s="541"/>
      <c r="AK746" s="541"/>
      <c r="AL746" s="541"/>
      <c r="AM746" s="541"/>
      <c r="AN746" s="1748"/>
      <c r="AO746" s="1748"/>
      <c r="AP746" s="1748"/>
      <c r="AQ746" s="1748"/>
      <c r="AR746" s="1748"/>
      <c r="AS746" s="541"/>
      <c r="AT746" s="541"/>
      <c r="AU746" s="541"/>
      <c r="AV746" s="541"/>
      <c r="AW746" s="541"/>
      <c r="AX746" s="541"/>
      <c r="AY746" s="541"/>
      <c r="AZ746" s="541"/>
      <c r="BA746" s="541"/>
      <c r="BC746" s="541"/>
      <c r="BE746" s="541"/>
      <c r="BG746" s="541"/>
      <c r="BH746" s="1190"/>
      <c r="BI746" s="541"/>
      <c r="BJ746" s="1190"/>
      <c r="BK746" s="541"/>
      <c r="BL746" s="541"/>
      <c r="BM746" s="541"/>
      <c r="BO746" s="541"/>
      <c r="BP746" s="541"/>
      <c r="BQ746" s="633"/>
      <c r="BR746" s="541"/>
      <c r="BS746" s="541"/>
      <c r="BT746" s="541"/>
    </row>
    <row r="747" ht="15.75" customHeight="1">
      <c r="A747" s="1591"/>
      <c r="B747" s="1541"/>
      <c r="C747" s="2217"/>
      <c r="D747" s="1543"/>
      <c r="E747" s="906"/>
      <c r="F747" s="541"/>
      <c r="G747" s="541"/>
      <c r="H747" s="541"/>
      <c r="I747" s="541"/>
      <c r="J747" s="1748"/>
      <c r="K747" s="541"/>
      <c r="L747" s="1748"/>
      <c r="M747" s="541"/>
      <c r="N747" s="1748"/>
      <c r="O747" s="541"/>
      <c r="P747" s="1748"/>
      <c r="Q747" s="541"/>
      <c r="R747" s="1748"/>
      <c r="S747" s="541"/>
      <c r="T747" s="1748"/>
      <c r="U747" s="541"/>
      <c r="V747" s="1748"/>
      <c r="W747" s="541"/>
      <c r="X747" s="1748"/>
      <c r="Y747" s="1748"/>
      <c r="Z747" s="1748"/>
      <c r="AA747" s="541"/>
      <c r="AB747" s="1748"/>
      <c r="AC747" s="541"/>
      <c r="AD747" s="541"/>
      <c r="AE747" s="541"/>
      <c r="AF747" s="541"/>
      <c r="AG747" s="541"/>
      <c r="AH747" s="541"/>
      <c r="AI747" s="541"/>
      <c r="AJ747" s="541"/>
      <c r="AK747" s="541"/>
      <c r="AL747" s="541"/>
      <c r="AM747" s="541"/>
      <c r="AN747" s="1748"/>
      <c r="AO747" s="1748"/>
      <c r="AP747" s="1748"/>
      <c r="AQ747" s="1748"/>
      <c r="AR747" s="1748"/>
      <c r="AS747" s="541"/>
      <c r="AT747" s="541"/>
      <c r="AU747" s="541"/>
      <c r="AV747" s="541"/>
      <c r="AW747" s="541"/>
      <c r="AX747" s="541"/>
      <c r="AY747" s="541"/>
      <c r="AZ747" s="541"/>
      <c r="BA747" s="541"/>
      <c r="BC747" s="541"/>
      <c r="BE747" s="541"/>
      <c r="BG747" s="541"/>
      <c r="BH747" s="1190"/>
      <c r="BI747" s="541"/>
      <c r="BJ747" s="1190"/>
      <c r="BK747" s="541"/>
      <c r="BL747" s="541"/>
      <c r="BM747" s="541"/>
      <c r="BO747" s="541"/>
      <c r="BP747" s="541"/>
      <c r="BQ747" s="633"/>
      <c r="BR747" s="541"/>
      <c r="BS747" s="541"/>
      <c r="BT747" s="541"/>
    </row>
    <row r="748" ht="15.75" customHeight="1">
      <c r="A748" s="1591"/>
      <c r="B748" s="1541"/>
      <c r="C748" s="2217"/>
      <c r="D748" s="1543"/>
      <c r="E748" s="906"/>
      <c r="F748" s="541"/>
      <c r="G748" s="541"/>
      <c r="H748" s="541"/>
      <c r="I748" s="541"/>
      <c r="J748" s="1748"/>
      <c r="K748" s="541"/>
      <c r="L748" s="1748"/>
      <c r="M748" s="541"/>
      <c r="N748" s="1748"/>
      <c r="O748" s="541"/>
      <c r="P748" s="1748"/>
      <c r="Q748" s="541"/>
      <c r="R748" s="1748"/>
      <c r="S748" s="541"/>
      <c r="T748" s="1748"/>
      <c r="U748" s="541"/>
      <c r="V748" s="1748"/>
      <c r="W748" s="541"/>
      <c r="X748" s="1748"/>
      <c r="Y748" s="1748"/>
      <c r="Z748" s="1748"/>
      <c r="AA748" s="541"/>
      <c r="AB748" s="1748"/>
      <c r="AC748" s="541"/>
      <c r="AD748" s="541"/>
      <c r="AE748" s="541"/>
      <c r="AF748" s="541"/>
      <c r="AG748" s="541"/>
      <c r="AH748" s="541"/>
      <c r="AI748" s="541"/>
      <c r="AJ748" s="541"/>
      <c r="AK748" s="541"/>
      <c r="AL748" s="541"/>
      <c r="AM748" s="541"/>
      <c r="AN748" s="1748"/>
      <c r="AO748" s="1748"/>
      <c r="AP748" s="1748"/>
      <c r="AQ748" s="1748"/>
      <c r="AR748" s="1748"/>
      <c r="AS748" s="541"/>
      <c r="AT748" s="541"/>
      <c r="AU748" s="541"/>
      <c r="AV748" s="541"/>
      <c r="AW748" s="541"/>
      <c r="AX748" s="541"/>
      <c r="AY748" s="541"/>
      <c r="AZ748" s="541"/>
      <c r="BA748" s="541"/>
      <c r="BC748" s="541"/>
      <c r="BE748" s="541"/>
      <c r="BG748" s="541"/>
      <c r="BH748" s="1190"/>
      <c r="BI748" s="541"/>
      <c r="BJ748" s="1190"/>
      <c r="BK748" s="541"/>
      <c r="BL748" s="541"/>
      <c r="BM748" s="541"/>
      <c r="BO748" s="541"/>
      <c r="BP748" s="541"/>
      <c r="BQ748" s="633"/>
      <c r="BR748" s="541"/>
      <c r="BS748" s="541"/>
      <c r="BT748" s="541"/>
    </row>
    <row r="749" ht="15.75" customHeight="1">
      <c r="A749" s="1591"/>
      <c r="B749" s="1541"/>
      <c r="C749" s="2217"/>
      <c r="D749" s="1543"/>
      <c r="E749" s="906"/>
      <c r="F749" s="541"/>
      <c r="G749" s="541"/>
      <c r="H749" s="541"/>
      <c r="I749" s="541"/>
      <c r="J749" s="1748"/>
      <c r="K749" s="541"/>
      <c r="L749" s="1748"/>
      <c r="M749" s="541"/>
      <c r="N749" s="1748"/>
      <c r="O749" s="541"/>
      <c r="P749" s="1748"/>
      <c r="Q749" s="541"/>
      <c r="R749" s="1748"/>
      <c r="S749" s="541"/>
      <c r="T749" s="1748"/>
      <c r="U749" s="541"/>
      <c r="V749" s="1748"/>
      <c r="W749" s="541"/>
      <c r="X749" s="1748"/>
      <c r="Y749" s="1748"/>
      <c r="Z749" s="1748"/>
      <c r="AA749" s="541"/>
      <c r="AB749" s="1748"/>
      <c r="AC749" s="541"/>
      <c r="AD749" s="541"/>
      <c r="AE749" s="541"/>
      <c r="AF749" s="541"/>
      <c r="AG749" s="541"/>
      <c r="AH749" s="541"/>
      <c r="AI749" s="541"/>
      <c r="AJ749" s="541"/>
      <c r="AK749" s="541"/>
      <c r="AL749" s="541"/>
      <c r="AM749" s="541"/>
      <c r="AN749" s="1748"/>
      <c r="AO749" s="1748"/>
      <c r="AP749" s="1748"/>
      <c r="AQ749" s="1748"/>
      <c r="AR749" s="1748"/>
      <c r="AS749" s="541"/>
      <c r="AT749" s="541"/>
      <c r="AU749" s="541"/>
      <c r="AV749" s="541"/>
      <c r="AW749" s="541"/>
      <c r="AX749" s="541"/>
      <c r="AY749" s="541"/>
      <c r="AZ749" s="541"/>
      <c r="BA749" s="541"/>
      <c r="BC749" s="541"/>
      <c r="BE749" s="541"/>
      <c r="BG749" s="541"/>
      <c r="BH749" s="1190"/>
      <c r="BI749" s="541"/>
      <c r="BJ749" s="1190"/>
      <c r="BK749" s="541"/>
      <c r="BL749" s="541"/>
      <c r="BM749" s="541"/>
      <c r="BO749" s="541"/>
      <c r="BP749" s="541"/>
      <c r="BQ749" s="633"/>
      <c r="BR749" s="541"/>
      <c r="BS749" s="541"/>
      <c r="BT749" s="541"/>
    </row>
    <row r="750" ht="15.75" customHeight="1">
      <c r="A750" s="1591"/>
      <c r="B750" s="1541"/>
      <c r="C750" s="2217"/>
      <c r="D750" s="1543"/>
      <c r="E750" s="906"/>
      <c r="F750" s="541"/>
      <c r="G750" s="541"/>
      <c r="H750" s="541"/>
      <c r="I750" s="541"/>
      <c r="J750" s="1748"/>
      <c r="K750" s="541"/>
      <c r="L750" s="1748"/>
      <c r="M750" s="541"/>
      <c r="N750" s="1748"/>
      <c r="O750" s="541"/>
      <c r="P750" s="1748"/>
      <c r="Q750" s="541"/>
      <c r="R750" s="1748"/>
      <c r="S750" s="541"/>
      <c r="T750" s="1748"/>
      <c r="U750" s="541"/>
      <c r="V750" s="1748"/>
      <c r="W750" s="541"/>
      <c r="X750" s="1748"/>
      <c r="Y750" s="1748"/>
      <c r="Z750" s="1748"/>
      <c r="AA750" s="541"/>
      <c r="AB750" s="1748"/>
      <c r="AC750" s="541"/>
      <c r="AD750" s="541"/>
      <c r="AE750" s="541"/>
      <c r="AF750" s="541"/>
      <c r="AG750" s="541"/>
      <c r="AH750" s="541"/>
      <c r="AI750" s="541"/>
      <c r="AJ750" s="541"/>
      <c r="AK750" s="541"/>
      <c r="AL750" s="541"/>
      <c r="AM750" s="541"/>
      <c r="AN750" s="1748"/>
      <c r="AO750" s="1748"/>
      <c r="AP750" s="1748"/>
      <c r="AQ750" s="1748"/>
      <c r="AR750" s="1748"/>
      <c r="AS750" s="541"/>
      <c r="AT750" s="541"/>
      <c r="AU750" s="541"/>
      <c r="AV750" s="541"/>
      <c r="AW750" s="541"/>
      <c r="AX750" s="541"/>
      <c r="AY750" s="541"/>
      <c r="AZ750" s="541"/>
      <c r="BA750" s="541"/>
      <c r="BC750" s="541"/>
      <c r="BE750" s="541"/>
      <c r="BG750" s="541"/>
      <c r="BH750" s="1190"/>
      <c r="BI750" s="541"/>
      <c r="BJ750" s="1190"/>
      <c r="BK750" s="541"/>
      <c r="BL750" s="541"/>
      <c r="BM750" s="541"/>
      <c r="BO750" s="541"/>
      <c r="BP750" s="541"/>
      <c r="BQ750" s="633"/>
      <c r="BR750" s="541"/>
      <c r="BS750" s="541"/>
      <c r="BT750" s="541"/>
    </row>
    <row r="751" ht="15.75" customHeight="1">
      <c r="A751" s="1591"/>
      <c r="B751" s="1541"/>
      <c r="C751" s="2217"/>
      <c r="D751" s="1543"/>
      <c r="E751" s="906"/>
      <c r="F751" s="541"/>
      <c r="G751" s="541"/>
      <c r="H751" s="541"/>
      <c r="I751" s="541"/>
      <c r="J751" s="1748"/>
      <c r="K751" s="541"/>
      <c r="L751" s="1748"/>
      <c r="M751" s="541"/>
      <c r="N751" s="1748"/>
      <c r="O751" s="541"/>
      <c r="P751" s="1748"/>
      <c r="Q751" s="541"/>
      <c r="R751" s="1748"/>
      <c r="S751" s="541"/>
      <c r="T751" s="1748"/>
      <c r="U751" s="541"/>
      <c r="V751" s="1748"/>
      <c r="W751" s="541"/>
      <c r="X751" s="1748"/>
      <c r="Y751" s="1748"/>
      <c r="Z751" s="1748"/>
      <c r="AA751" s="541"/>
      <c r="AB751" s="1748"/>
      <c r="AC751" s="541"/>
      <c r="AD751" s="541"/>
      <c r="AE751" s="541"/>
      <c r="AF751" s="541"/>
      <c r="AG751" s="541"/>
      <c r="AH751" s="541"/>
      <c r="AI751" s="541"/>
      <c r="AJ751" s="541"/>
      <c r="AK751" s="541"/>
      <c r="AL751" s="541"/>
      <c r="AM751" s="541"/>
      <c r="AN751" s="1748"/>
      <c r="AO751" s="1748"/>
      <c r="AP751" s="1748"/>
      <c r="AQ751" s="1748"/>
      <c r="AR751" s="1748"/>
      <c r="AS751" s="541"/>
      <c r="AT751" s="541"/>
      <c r="AU751" s="541"/>
      <c r="AV751" s="541"/>
      <c r="AW751" s="541"/>
      <c r="AX751" s="541"/>
      <c r="AY751" s="541"/>
      <c r="AZ751" s="541"/>
      <c r="BA751" s="541"/>
      <c r="BC751" s="541"/>
      <c r="BE751" s="541"/>
      <c r="BG751" s="541"/>
      <c r="BH751" s="1190"/>
      <c r="BI751" s="541"/>
      <c r="BJ751" s="1190"/>
      <c r="BK751" s="541"/>
      <c r="BL751" s="541"/>
      <c r="BM751" s="541"/>
      <c r="BO751" s="541"/>
      <c r="BP751" s="541"/>
      <c r="BQ751" s="633"/>
      <c r="BR751" s="541"/>
      <c r="BS751" s="541"/>
      <c r="BT751" s="541"/>
    </row>
    <row r="752" ht="15.75" customHeight="1">
      <c r="A752" s="1591"/>
      <c r="B752" s="1541"/>
      <c r="C752" s="2217"/>
      <c r="D752" s="1543"/>
      <c r="E752" s="906"/>
      <c r="F752" s="541"/>
      <c r="G752" s="541"/>
      <c r="H752" s="541"/>
      <c r="I752" s="541"/>
      <c r="J752" s="1748"/>
      <c r="K752" s="541"/>
      <c r="L752" s="1748"/>
      <c r="M752" s="541"/>
      <c r="N752" s="1748"/>
      <c r="O752" s="541"/>
      <c r="P752" s="1748"/>
      <c r="Q752" s="541"/>
      <c r="R752" s="1748"/>
      <c r="S752" s="541"/>
      <c r="T752" s="1748"/>
      <c r="U752" s="541"/>
      <c r="V752" s="1748"/>
      <c r="W752" s="541"/>
      <c r="X752" s="1748"/>
      <c r="Y752" s="1748"/>
      <c r="Z752" s="1748"/>
      <c r="AA752" s="541"/>
      <c r="AB752" s="1748"/>
      <c r="AC752" s="541"/>
      <c r="AD752" s="541"/>
      <c r="AE752" s="541"/>
      <c r="AF752" s="541"/>
      <c r="AG752" s="541"/>
      <c r="AH752" s="541"/>
      <c r="AI752" s="541"/>
      <c r="AJ752" s="541"/>
      <c r="AK752" s="541"/>
      <c r="AL752" s="541"/>
      <c r="AM752" s="541"/>
      <c r="AN752" s="1748"/>
      <c r="AO752" s="1748"/>
      <c r="AP752" s="1748"/>
      <c r="AQ752" s="1748"/>
      <c r="AR752" s="1748"/>
      <c r="AS752" s="541"/>
      <c r="AT752" s="541"/>
      <c r="AU752" s="541"/>
      <c r="AV752" s="541"/>
      <c r="AW752" s="541"/>
      <c r="AX752" s="541"/>
      <c r="AY752" s="541"/>
      <c r="AZ752" s="541"/>
      <c r="BA752" s="541"/>
      <c r="BC752" s="541"/>
      <c r="BE752" s="541"/>
      <c r="BG752" s="541"/>
      <c r="BH752" s="1190"/>
      <c r="BI752" s="541"/>
      <c r="BJ752" s="1190"/>
      <c r="BK752" s="541"/>
      <c r="BL752" s="541"/>
      <c r="BM752" s="541"/>
      <c r="BO752" s="541"/>
      <c r="BP752" s="541"/>
      <c r="BQ752" s="633"/>
      <c r="BR752" s="541"/>
      <c r="BS752" s="541"/>
      <c r="BT752" s="541"/>
    </row>
    <row r="753" ht="15.75" customHeight="1">
      <c r="A753" s="1591"/>
      <c r="B753" s="1541"/>
      <c r="C753" s="2217"/>
      <c r="D753" s="1543"/>
      <c r="E753" s="906"/>
      <c r="F753" s="541"/>
      <c r="G753" s="541"/>
      <c r="H753" s="541"/>
      <c r="I753" s="541"/>
      <c r="J753" s="1748"/>
      <c r="K753" s="541"/>
      <c r="L753" s="1748"/>
      <c r="M753" s="541"/>
      <c r="N753" s="1748"/>
      <c r="O753" s="541"/>
      <c r="P753" s="1748"/>
      <c r="Q753" s="541"/>
      <c r="R753" s="1748"/>
      <c r="S753" s="541"/>
      <c r="T753" s="1748"/>
      <c r="U753" s="541"/>
      <c r="V753" s="1748"/>
      <c r="W753" s="541"/>
      <c r="X753" s="1748"/>
      <c r="Y753" s="1748"/>
      <c r="Z753" s="1748"/>
      <c r="AA753" s="541"/>
      <c r="AB753" s="1748"/>
      <c r="AC753" s="541"/>
      <c r="AD753" s="541"/>
      <c r="AE753" s="541"/>
      <c r="AF753" s="541"/>
      <c r="AG753" s="541"/>
      <c r="AH753" s="541"/>
      <c r="AI753" s="541"/>
      <c r="AJ753" s="541"/>
      <c r="AK753" s="541"/>
      <c r="AL753" s="541"/>
      <c r="AM753" s="541"/>
      <c r="AN753" s="1748"/>
      <c r="AO753" s="1748"/>
      <c r="AP753" s="1748"/>
      <c r="AQ753" s="1748"/>
      <c r="AR753" s="1748"/>
      <c r="AS753" s="541"/>
      <c r="AT753" s="541"/>
      <c r="AU753" s="541"/>
      <c r="AV753" s="541"/>
      <c r="AW753" s="541"/>
      <c r="AX753" s="541"/>
      <c r="AY753" s="541"/>
      <c r="AZ753" s="541"/>
      <c r="BA753" s="541"/>
      <c r="BC753" s="541"/>
      <c r="BE753" s="541"/>
      <c r="BG753" s="541"/>
      <c r="BH753" s="1190"/>
      <c r="BI753" s="541"/>
      <c r="BJ753" s="1190"/>
      <c r="BK753" s="541"/>
      <c r="BL753" s="541"/>
      <c r="BM753" s="541"/>
      <c r="BO753" s="541"/>
      <c r="BP753" s="541"/>
      <c r="BQ753" s="633"/>
      <c r="BR753" s="541"/>
      <c r="BS753" s="541"/>
      <c r="BT753" s="541"/>
    </row>
    <row r="754" ht="15.75" customHeight="1">
      <c r="A754" s="1591"/>
      <c r="B754" s="1541"/>
      <c r="C754" s="2217"/>
      <c r="D754" s="1543"/>
      <c r="E754" s="906"/>
      <c r="F754" s="541"/>
      <c r="G754" s="541"/>
      <c r="H754" s="541"/>
      <c r="I754" s="541"/>
      <c r="J754" s="1748"/>
      <c r="K754" s="541"/>
      <c r="L754" s="1748"/>
      <c r="M754" s="541"/>
      <c r="N754" s="1748"/>
      <c r="O754" s="541"/>
      <c r="P754" s="1748"/>
      <c r="Q754" s="541"/>
      <c r="R754" s="1748"/>
      <c r="S754" s="541"/>
      <c r="T754" s="1748"/>
      <c r="U754" s="541"/>
      <c r="V754" s="1748"/>
      <c r="W754" s="541"/>
      <c r="X754" s="1748"/>
      <c r="Y754" s="1748"/>
      <c r="Z754" s="1748"/>
      <c r="AA754" s="541"/>
      <c r="AB754" s="1748"/>
      <c r="AC754" s="541"/>
      <c r="AD754" s="541"/>
      <c r="AE754" s="541"/>
      <c r="AF754" s="541"/>
      <c r="AG754" s="541"/>
      <c r="AH754" s="541"/>
      <c r="AI754" s="541"/>
      <c r="AJ754" s="541"/>
      <c r="AK754" s="541"/>
      <c r="AL754" s="541"/>
      <c r="AM754" s="541"/>
      <c r="AN754" s="1748"/>
      <c r="AO754" s="1748"/>
      <c r="AP754" s="1748"/>
      <c r="AQ754" s="1748"/>
      <c r="AR754" s="1748"/>
      <c r="AS754" s="541"/>
      <c r="AT754" s="541"/>
      <c r="AU754" s="541"/>
      <c r="AV754" s="541"/>
      <c r="AW754" s="541"/>
      <c r="AX754" s="541"/>
      <c r="AY754" s="541"/>
      <c r="AZ754" s="541"/>
      <c r="BA754" s="541"/>
      <c r="BC754" s="541"/>
      <c r="BE754" s="541"/>
      <c r="BG754" s="541"/>
      <c r="BH754" s="1190"/>
      <c r="BI754" s="541"/>
      <c r="BJ754" s="1190"/>
      <c r="BK754" s="541"/>
      <c r="BL754" s="541"/>
      <c r="BM754" s="541"/>
      <c r="BO754" s="541"/>
      <c r="BP754" s="541"/>
      <c r="BQ754" s="633"/>
      <c r="BR754" s="541"/>
      <c r="BS754" s="541"/>
      <c r="BT754" s="541"/>
    </row>
    <row r="755" ht="15.75" customHeight="1">
      <c r="A755" s="1591"/>
      <c r="B755" s="1541"/>
      <c r="C755" s="2217"/>
      <c r="D755" s="1543"/>
      <c r="E755" s="906"/>
      <c r="F755" s="541"/>
      <c r="G755" s="541"/>
      <c r="H755" s="541"/>
      <c r="I755" s="541"/>
      <c r="J755" s="1748"/>
      <c r="K755" s="541"/>
      <c r="L755" s="1748"/>
      <c r="M755" s="541"/>
      <c r="N755" s="1748"/>
      <c r="O755" s="541"/>
      <c r="P755" s="1748"/>
      <c r="Q755" s="541"/>
      <c r="R755" s="1748"/>
      <c r="S755" s="541"/>
      <c r="T755" s="1748"/>
      <c r="U755" s="541"/>
      <c r="V755" s="1748"/>
      <c r="W755" s="541"/>
      <c r="X755" s="1748"/>
      <c r="Y755" s="1748"/>
      <c r="Z755" s="1748"/>
      <c r="AA755" s="541"/>
      <c r="AB755" s="1748"/>
      <c r="AC755" s="541"/>
      <c r="AD755" s="541"/>
      <c r="AE755" s="541"/>
      <c r="AF755" s="541"/>
      <c r="AG755" s="541"/>
      <c r="AH755" s="541"/>
      <c r="AI755" s="541"/>
      <c r="AJ755" s="541"/>
      <c r="AK755" s="541"/>
      <c r="AL755" s="541"/>
      <c r="AM755" s="541"/>
      <c r="AN755" s="1748"/>
      <c r="AO755" s="1748"/>
      <c r="AP755" s="1748"/>
      <c r="AQ755" s="1748"/>
      <c r="AR755" s="1748"/>
      <c r="AS755" s="541"/>
      <c r="AT755" s="541"/>
      <c r="AU755" s="541"/>
      <c r="AV755" s="541"/>
      <c r="AW755" s="541"/>
      <c r="AX755" s="541"/>
      <c r="AY755" s="541"/>
      <c r="AZ755" s="541"/>
      <c r="BA755" s="541"/>
      <c r="BC755" s="541"/>
      <c r="BE755" s="541"/>
      <c r="BG755" s="541"/>
      <c r="BH755" s="1190"/>
      <c r="BI755" s="541"/>
      <c r="BJ755" s="1190"/>
      <c r="BK755" s="541"/>
      <c r="BL755" s="541"/>
      <c r="BM755" s="541"/>
      <c r="BO755" s="541"/>
      <c r="BP755" s="541"/>
      <c r="BQ755" s="633"/>
      <c r="BR755" s="541"/>
      <c r="BS755" s="541"/>
      <c r="BT755" s="541"/>
    </row>
    <row r="756" ht="15.75" customHeight="1">
      <c r="A756" s="1591"/>
      <c r="B756" s="1541"/>
      <c r="C756" s="2217"/>
      <c r="D756" s="1543"/>
      <c r="E756" s="906"/>
      <c r="F756" s="541"/>
      <c r="G756" s="541"/>
      <c r="H756" s="541"/>
      <c r="I756" s="541"/>
      <c r="J756" s="1748"/>
      <c r="K756" s="541"/>
      <c r="L756" s="1748"/>
      <c r="M756" s="541"/>
      <c r="N756" s="1748"/>
      <c r="O756" s="541"/>
      <c r="P756" s="1748"/>
      <c r="Q756" s="541"/>
      <c r="R756" s="1748"/>
      <c r="S756" s="541"/>
      <c r="T756" s="1748"/>
      <c r="U756" s="541"/>
      <c r="V756" s="1748"/>
      <c r="W756" s="541"/>
      <c r="X756" s="1748"/>
      <c r="Y756" s="1748"/>
      <c r="Z756" s="1748"/>
      <c r="AA756" s="541"/>
      <c r="AB756" s="1748"/>
      <c r="AC756" s="541"/>
      <c r="AD756" s="541"/>
      <c r="AE756" s="541"/>
      <c r="AF756" s="541"/>
      <c r="AG756" s="541"/>
      <c r="AH756" s="541"/>
      <c r="AI756" s="541"/>
      <c r="AJ756" s="541"/>
      <c r="AK756" s="541"/>
      <c r="AL756" s="541"/>
      <c r="AM756" s="541"/>
      <c r="AN756" s="1748"/>
      <c r="AO756" s="1748"/>
      <c r="AP756" s="1748"/>
      <c r="AQ756" s="1748"/>
      <c r="AR756" s="1748"/>
      <c r="AS756" s="541"/>
      <c r="AT756" s="541"/>
      <c r="AU756" s="541"/>
      <c r="AV756" s="541"/>
      <c r="AW756" s="541"/>
      <c r="AX756" s="541"/>
      <c r="AY756" s="541"/>
      <c r="AZ756" s="541"/>
      <c r="BA756" s="541"/>
      <c r="BC756" s="541"/>
      <c r="BE756" s="541"/>
      <c r="BG756" s="541"/>
      <c r="BH756" s="1190"/>
      <c r="BI756" s="541"/>
      <c r="BJ756" s="1190"/>
      <c r="BK756" s="541"/>
      <c r="BL756" s="541"/>
      <c r="BM756" s="541"/>
      <c r="BO756" s="541"/>
      <c r="BP756" s="541"/>
      <c r="BQ756" s="633"/>
      <c r="BR756" s="541"/>
      <c r="BS756" s="541"/>
      <c r="BT756" s="541"/>
    </row>
    <row r="757" ht="15.75" customHeight="1">
      <c r="A757" s="1591"/>
      <c r="B757" s="1541"/>
      <c r="C757" s="2217"/>
      <c r="D757" s="1543"/>
      <c r="E757" s="906"/>
      <c r="F757" s="541"/>
      <c r="G757" s="541"/>
      <c r="H757" s="541"/>
      <c r="I757" s="541"/>
      <c r="J757" s="1748"/>
      <c r="K757" s="541"/>
      <c r="L757" s="1748"/>
      <c r="M757" s="541"/>
      <c r="N757" s="1748"/>
      <c r="O757" s="541"/>
      <c r="P757" s="1748"/>
      <c r="Q757" s="541"/>
      <c r="R757" s="1748"/>
      <c r="S757" s="541"/>
      <c r="T757" s="1748"/>
      <c r="U757" s="541"/>
      <c r="V757" s="1748"/>
      <c r="W757" s="541"/>
      <c r="X757" s="1748"/>
      <c r="Y757" s="1748"/>
      <c r="Z757" s="1748"/>
      <c r="AA757" s="541"/>
      <c r="AB757" s="1748"/>
      <c r="AC757" s="541"/>
      <c r="AD757" s="541"/>
      <c r="AE757" s="541"/>
      <c r="AF757" s="541"/>
      <c r="AG757" s="541"/>
      <c r="AH757" s="541"/>
      <c r="AI757" s="541"/>
      <c r="AJ757" s="541"/>
      <c r="AK757" s="541"/>
      <c r="AL757" s="541"/>
      <c r="AM757" s="541"/>
      <c r="AN757" s="1748"/>
      <c r="AO757" s="1748"/>
      <c r="AP757" s="1748"/>
      <c r="AQ757" s="1748"/>
      <c r="AR757" s="1748"/>
      <c r="AS757" s="541"/>
      <c r="AT757" s="541"/>
      <c r="AU757" s="541"/>
      <c r="AV757" s="541"/>
      <c r="AW757" s="541"/>
      <c r="AX757" s="541"/>
      <c r="AY757" s="541"/>
      <c r="AZ757" s="541"/>
      <c r="BA757" s="541"/>
      <c r="BC757" s="541"/>
      <c r="BE757" s="541"/>
      <c r="BG757" s="541"/>
      <c r="BH757" s="1190"/>
      <c r="BI757" s="541"/>
      <c r="BJ757" s="1190"/>
      <c r="BK757" s="541"/>
      <c r="BL757" s="541"/>
      <c r="BM757" s="541"/>
      <c r="BO757" s="541"/>
      <c r="BP757" s="541"/>
      <c r="BQ757" s="633"/>
      <c r="BR757" s="541"/>
      <c r="BS757" s="541"/>
      <c r="BT757" s="541"/>
    </row>
    <row r="758" ht="15.75" customHeight="1">
      <c r="A758" s="1591"/>
      <c r="B758" s="1541"/>
      <c r="C758" s="2217"/>
      <c r="D758" s="1543"/>
      <c r="E758" s="906"/>
      <c r="F758" s="541"/>
      <c r="G758" s="541"/>
      <c r="H758" s="541"/>
      <c r="I758" s="541"/>
      <c r="J758" s="1748"/>
      <c r="K758" s="541"/>
      <c r="L758" s="1748"/>
      <c r="M758" s="541"/>
      <c r="N758" s="1748"/>
      <c r="O758" s="541"/>
      <c r="P758" s="1748"/>
      <c r="Q758" s="541"/>
      <c r="R758" s="1748"/>
      <c r="S758" s="541"/>
      <c r="T758" s="1748"/>
      <c r="U758" s="541"/>
      <c r="V758" s="1748"/>
      <c r="W758" s="541"/>
      <c r="X758" s="1748"/>
      <c r="Y758" s="1748"/>
      <c r="Z758" s="1748"/>
      <c r="AA758" s="541"/>
      <c r="AB758" s="1748"/>
      <c r="AC758" s="541"/>
      <c r="AD758" s="541"/>
      <c r="AE758" s="541"/>
      <c r="AF758" s="541"/>
      <c r="AG758" s="541"/>
      <c r="AH758" s="541"/>
      <c r="AI758" s="541"/>
      <c r="AJ758" s="541"/>
      <c r="AK758" s="541"/>
      <c r="AL758" s="541"/>
      <c r="AM758" s="541"/>
      <c r="AN758" s="1748"/>
      <c r="AO758" s="1748"/>
      <c r="AP758" s="1748"/>
      <c r="AQ758" s="1748"/>
      <c r="AR758" s="1748"/>
      <c r="AS758" s="541"/>
      <c r="AT758" s="541"/>
      <c r="AU758" s="541"/>
      <c r="AV758" s="541"/>
      <c r="AW758" s="541"/>
      <c r="AX758" s="541"/>
      <c r="AY758" s="541"/>
      <c r="AZ758" s="541"/>
      <c r="BA758" s="541"/>
      <c r="BC758" s="541"/>
      <c r="BE758" s="541"/>
      <c r="BG758" s="541"/>
      <c r="BH758" s="1190"/>
      <c r="BI758" s="541"/>
      <c r="BJ758" s="1190"/>
      <c r="BK758" s="541"/>
      <c r="BL758" s="541"/>
      <c r="BM758" s="541"/>
      <c r="BO758" s="541"/>
      <c r="BP758" s="541"/>
      <c r="BQ758" s="633"/>
      <c r="BR758" s="541"/>
      <c r="BS758" s="541"/>
      <c r="BT758" s="541"/>
    </row>
    <row r="759" ht="15.75" customHeight="1">
      <c r="A759" s="1591"/>
      <c r="B759" s="1541"/>
      <c r="C759" s="2217"/>
      <c r="D759" s="1543"/>
      <c r="E759" s="906"/>
      <c r="F759" s="541"/>
      <c r="G759" s="541"/>
      <c r="H759" s="541"/>
      <c r="I759" s="541"/>
      <c r="J759" s="1748"/>
      <c r="K759" s="541"/>
      <c r="L759" s="1748"/>
      <c r="M759" s="541"/>
      <c r="N759" s="1748"/>
      <c r="O759" s="541"/>
      <c r="P759" s="1748"/>
      <c r="Q759" s="541"/>
      <c r="R759" s="1748"/>
      <c r="S759" s="541"/>
      <c r="T759" s="1748"/>
      <c r="U759" s="541"/>
      <c r="V759" s="1748"/>
      <c r="W759" s="541"/>
      <c r="X759" s="1748"/>
      <c r="Y759" s="1748"/>
      <c r="Z759" s="1748"/>
      <c r="AA759" s="541"/>
      <c r="AB759" s="1748"/>
      <c r="AC759" s="541"/>
      <c r="AD759" s="541"/>
      <c r="AE759" s="541"/>
      <c r="AF759" s="541"/>
      <c r="AG759" s="541"/>
      <c r="AH759" s="541"/>
      <c r="AI759" s="541"/>
      <c r="AJ759" s="541"/>
      <c r="AK759" s="541"/>
      <c r="AL759" s="541"/>
      <c r="AM759" s="541"/>
      <c r="AN759" s="1748"/>
      <c r="AO759" s="1748"/>
      <c r="AP759" s="1748"/>
      <c r="AQ759" s="1748"/>
      <c r="AR759" s="1748"/>
      <c r="AS759" s="541"/>
      <c r="AT759" s="541"/>
      <c r="AU759" s="541"/>
      <c r="AV759" s="541"/>
      <c r="AW759" s="541"/>
      <c r="AX759" s="541"/>
      <c r="AY759" s="541"/>
      <c r="AZ759" s="541"/>
      <c r="BA759" s="541"/>
      <c r="BC759" s="541"/>
      <c r="BE759" s="541"/>
      <c r="BG759" s="541"/>
      <c r="BH759" s="1190"/>
      <c r="BI759" s="541"/>
      <c r="BJ759" s="1190"/>
      <c r="BK759" s="541"/>
      <c r="BL759" s="541"/>
      <c r="BM759" s="541"/>
      <c r="BO759" s="541"/>
      <c r="BP759" s="541"/>
      <c r="BQ759" s="633"/>
      <c r="BR759" s="541"/>
      <c r="BS759" s="541"/>
      <c r="BT759" s="541"/>
    </row>
    <row r="760" ht="15.75" customHeight="1">
      <c r="A760" s="1591"/>
      <c r="B760" s="1541"/>
      <c r="C760" s="2217"/>
      <c r="D760" s="1543"/>
      <c r="E760" s="906"/>
      <c r="F760" s="541"/>
      <c r="G760" s="541"/>
      <c r="H760" s="541"/>
      <c r="I760" s="541"/>
      <c r="J760" s="1748"/>
      <c r="K760" s="541"/>
      <c r="L760" s="1748"/>
      <c r="M760" s="541"/>
      <c r="N760" s="1748"/>
      <c r="O760" s="541"/>
      <c r="P760" s="1748"/>
      <c r="Q760" s="541"/>
      <c r="R760" s="1748"/>
      <c r="S760" s="541"/>
      <c r="T760" s="1748"/>
      <c r="U760" s="541"/>
      <c r="V760" s="1748"/>
      <c r="W760" s="541"/>
      <c r="X760" s="1748"/>
      <c r="Y760" s="1748"/>
      <c r="Z760" s="1748"/>
      <c r="AA760" s="541"/>
      <c r="AB760" s="1748"/>
      <c r="AC760" s="541"/>
      <c r="AD760" s="541"/>
      <c r="AE760" s="541"/>
      <c r="AF760" s="541"/>
      <c r="AG760" s="541"/>
      <c r="AH760" s="541"/>
      <c r="AI760" s="541"/>
      <c r="AJ760" s="541"/>
      <c r="AK760" s="541"/>
      <c r="AL760" s="541"/>
      <c r="AM760" s="541"/>
      <c r="AN760" s="1748"/>
      <c r="AO760" s="1748"/>
      <c r="AP760" s="1748"/>
      <c r="AQ760" s="1748"/>
      <c r="AR760" s="1748"/>
      <c r="AS760" s="541"/>
      <c r="AT760" s="541"/>
      <c r="AU760" s="541"/>
      <c r="AV760" s="541"/>
      <c r="AW760" s="541"/>
      <c r="AX760" s="541"/>
      <c r="AY760" s="541"/>
      <c r="AZ760" s="541"/>
      <c r="BA760" s="541"/>
      <c r="BC760" s="541"/>
      <c r="BE760" s="541"/>
      <c r="BG760" s="541"/>
      <c r="BH760" s="1190"/>
      <c r="BI760" s="541"/>
      <c r="BJ760" s="1190"/>
      <c r="BK760" s="541"/>
      <c r="BL760" s="541"/>
      <c r="BM760" s="541"/>
      <c r="BO760" s="541"/>
      <c r="BP760" s="541"/>
      <c r="BQ760" s="633"/>
      <c r="BR760" s="541"/>
      <c r="BS760" s="541"/>
      <c r="BT760" s="541"/>
    </row>
    <row r="761" ht="15.75" customHeight="1">
      <c r="A761" s="1591"/>
      <c r="B761" s="1541"/>
      <c r="C761" s="2217"/>
      <c r="D761" s="1543"/>
      <c r="E761" s="906"/>
      <c r="F761" s="541"/>
      <c r="G761" s="541"/>
      <c r="H761" s="541"/>
      <c r="I761" s="541"/>
      <c r="J761" s="1748"/>
      <c r="K761" s="541"/>
      <c r="L761" s="1748"/>
      <c r="M761" s="541"/>
      <c r="N761" s="1748"/>
      <c r="O761" s="541"/>
      <c r="P761" s="1748"/>
      <c r="Q761" s="541"/>
      <c r="R761" s="1748"/>
      <c r="S761" s="541"/>
      <c r="T761" s="1748"/>
      <c r="U761" s="541"/>
      <c r="V761" s="1748"/>
      <c r="W761" s="541"/>
      <c r="X761" s="1748"/>
      <c r="Y761" s="1748"/>
      <c r="Z761" s="1748"/>
      <c r="AA761" s="541"/>
      <c r="AB761" s="1748"/>
      <c r="AC761" s="541"/>
      <c r="AD761" s="541"/>
      <c r="AE761" s="541"/>
      <c r="AF761" s="541"/>
      <c r="AG761" s="541"/>
      <c r="AH761" s="541"/>
      <c r="AI761" s="541"/>
      <c r="AJ761" s="541"/>
      <c r="AK761" s="541"/>
      <c r="AL761" s="541"/>
      <c r="AM761" s="541"/>
      <c r="AN761" s="1748"/>
      <c r="AO761" s="1748"/>
      <c r="AP761" s="1748"/>
      <c r="AQ761" s="1748"/>
      <c r="AR761" s="1748"/>
      <c r="AS761" s="541"/>
      <c r="AT761" s="541"/>
      <c r="AU761" s="541"/>
      <c r="AV761" s="541"/>
      <c r="AW761" s="541"/>
      <c r="AX761" s="541"/>
      <c r="AY761" s="541"/>
      <c r="AZ761" s="541"/>
      <c r="BA761" s="541"/>
      <c r="BC761" s="541"/>
      <c r="BE761" s="541"/>
      <c r="BG761" s="541"/>
      <c r="BH761" s="1190"/>
      <c r="BI761" s="541"/>
      <c r="BJ761" s="1190"/>
      <c r="BK761" s="541"/>
      <c r="BL761" s="541"/>
      <c r="BM761" s="541"/>
      <c r="BO761" s="541"/>
      <c r="BP761" s="541"/>
      <c r="BQ761" s="633"/>
      <c r="BR761" s="541"/>
      <c r="BS761" s="541"/>
      <c r="BT761" s="541"/>
    </row>
    <row r="762" ht="15.75" customHeight="1">
      <c r="A762" s="1591"/>
      <c r="B762" s="1541"/>
      <c r="C762" s="2217"/>
      <c r="D762" s="1543"/>
      <c r="E762" s="906"/>
      <c r="F762" s="541"/>
      <c r="G762" s="541"/>
      <c r="H762" s="541"/>
      <c r="I762" s="541"/>
      <c r="J762" s="1748"/>
      <c r="K762" s="541"/>
      <c r="L762" s="1748"/>
      <c r="M762" s="541"/>
      <c r="N762" s="1748"/>
      <c r="O762" s="541"/>
      <c r="P762" s="1748"/>
      <c r="Q762" s="541"/>
      <c r="R762" s="1748"/>
      <c r="S762" s="541"/>
      <c r="T762" s="1748"/>
      <c r="U762" s="541"/>
      <c r="V762" s="1748"/>
      <c r="W762" s="541"/>
      <c r="X762" s="1748"/>
      <c r="Y762" s="1748"/>
      <c r="Z762" s="1748"/>
      <c r="AA762" s="541"/>
      <c r="AB762" s="1748"/>
      <c r="AC762" s="541"/>
      <c r="AD762" s="541"/>
      <c r="AE762" s="541"/>
      <c r="AF762" s="541"/>
      <c r="AG762" s="541"/>
      <c r="AH762" s="541"/>
      <c r="AI762" s="541"/>
      <c r="AJ762" s="541"/>
      <c r="AK762" s="541"/>
      <c r="AL762" s="541"/>
      <c r="AM762" s="541"/>
      <c r="AN762" s="1748"/>
      <c r="AO762" s="1748"/>
      <c r="AP762" s="1748"/>
      <c r="AQ762" s="1748"/>
      <c r="AR762" s="1748"/>
      <c r="AS762" s="541"/>
      <c r="AT762" s="541"/>
      <c r="AU762" s="541"/>
      <c r="AV762" s="541"/>
      <c r="AW762" s="541"/>
      <c r="AX762" s="541"/>
      <c r="AY762" s="541"/>
      <c r="AZ762" s="541"/>
      <c r="BA762" s="541"/>
      <c r="BC762" s="541"/>
      <c r="BE762" s="541"/>
      <c r="BG762" s="541"/>
      <c r="BH762" s="1190"/>
      <c r="BI762" s="541"/>
      <c r="BJ762" s="1190"/>
      <c r="BK762" s="541"/>
      <c r="BL762" s="541"/>
      <c r="BM762" s="541"/>
      <c r="BO762" s="541"/>
      <c r="BP762" s="541"/>
      <c r="BQ762" s="633"/>
      <c r="BR762" s="541"/>
      <c r="BS762" s="541"/>
      <c r="BT762" s="541"/>
    </row>
    <row r="763" ht="15.75" customHeight="1">
      <c r="A763" s="1591"/>
      <c r="B763" s="1541"/>
      <c r="C763" s="2217"/>
      <c r="D763" s="1543"/>
      <c r="E763" s="906"/>
      <c r="F763" s="541"/>
      <c r="G763" s="541"/>
      <c r="H763" s="541"/>
      <c r="I763" s="541"/>
      <c r="J763" s="1748"/>
      <c r="K763" s="541"/>
      <c r="L763" s="1748"/>
      <c r="M763" s="541"/>
      <c r="N763" s="1748"/>
      <c r="O763" s="541"/>
      <c r="P763" s="1748"/>
      <c r="Q763" s="541"/>
      <c r="R763" s="1748"/>
      <c r="S763" s="541"/>
      <c r="T763" s="1748"/>
      <c r="U763" s="541"/>
      <c r="V763" s="1748"/>
      <c r="W763" s="541"/>
      <c r="X763" s="1748"/>
      <c r="Y763" s="1748"/>
      <c r="Z763" s="1748"/>
      <c r="AA763" s="541"/>
      <c r="AB763" s="1748"/>
      <c r="AC763" s="541"/>
      <c r="AD763" s="541"/>
      <c r="AE763" s="541"/>
      <c r="AF763" s="541"/>
      <c r="AG763" s="541"/>
      <c r="AH763" s="541"/>
      <c r="AI763" s="541"/>
      <c r="AJ763" s="541"/>
      <c r="AK763" s="541"/>
      <c r="AL763" s="541"/>
      <c r="AM763" s="541"/>
      <c r="AN763" s="1748"/>
      <c r="AO763" s="1748"/>
      <c r="AP763" s="1748"/>
      <c r="AQ763" s="1748"/>
      <c r="AR763" s="1748"/>
      <c r="AS763" s="541"/>
      <c r="AT763" s="541"/>
      <c r="AU763" s="541"/>
      <c r="AV763" s="541"/>
      <c r="AW763" s="541"/>
      <c r="AX763" s="541"/>
      <c r="AY763" s="541"/>
      <c r="AZ763" s="541"/>
      <c r="BA763" s="541"/>
      <c r="BC763" s="541"/>
      <c r="BE763" s="541"/>
      <c r="BG763" s="541"/>
      <c r="BH763" s="1190"/>
      <c r="BI763" s="541"/>
      <c r="BJ763" s="1190"/>
      <c r="BK763" s="541"/>
      <c r="BL763" s="541"/>
      <c r="BM763" s="541"/>
      <c r="BO763" s="541"/>
      <c r="BP763" s="541"/>
      <c r="BQ763" s="633"/>
      <c r="BR763" s="541"/>
      <c r="BS763" s="541"/>
      <c r="BT763" s="541"/>
    </row>
    <row r="764" ht="15.75" customHeight="1">
      <c r="A764" s="1591"/>
      <c r="B764" s="1541"/>
      <c r="C764" s="2217"/>
      <c r="D764" s="1543"/>
      <c r="E764" s="906"/>
      <c r="F764" s="541"/>
      <c r="G764" s="541"/>
      <c r="H764" s="541"/>
      <c r="I764" s="541"/>
      <c r="J764" s="1748"/>
      <c r="K764" s="541"/>
      <c r="L764" s="1748"/>
      <c r="M764" s="541"/>
      <c r="N764" s="1748"/>
      <c r="O764" s="541"/>
      <c r="P764" s="1748"/>
      <c r="Q764" s="541"/>
      <c r="R764" s="1748"/>
      <c r="S764" s="541"/>
      <c r="T764" s="1748"/>
      <c r="U764" s="541"/>
      <c r="V764" s="1748"/>
      <c r="W764" s="541"/>
      <c r="X764" s="1748"/>
      <c r="Y764" s="1748"/>
      <c r="Z764" s="1748"/>
      <c r="AA764" s="541"/>
      <c r="AB764" s="1748"/>
      <c r="AC764" s="541"/>
      <c r="AD764" s="541"/>
      <c r="AE764" s="541"/>
      <c r="AF764" s="541"/>
      <c r="AG764" s="541"/>
      <c r="AH764" s="541"/>
      <c r="AI764" s="541"/>
      <c r="AJ764" s="541"/>
      <c r="AK764" s="541"/>
      <c r="AL764" s="541"/>
      <c r="AM764" s="541"/>
      <c r="AN764" s="1748"/>
      <c r="AO764" s="1748"/>
      <c r="AP764" s="1748"/>
      <c r="AQ764" s="1748"/>
      <c r="AR764" s="1748"/>
      <c r="AS764" s="541"/>
      <c r="AT764" s="541"/>
      <c r="AU764" s="541"/>
      <c r="AV764" s="541"/>
      <c r="AW764" s="541"/>
      <c r="AX764" s="541"/>
      <c r="AY764" s="541"/>
      <c r="AZ764" s="541"/>
      <c r="BA764" s="541"/>
      <c r="BC764" s="541"/>
      <c r="BE764" s="541"/>
      <c r="BG764" s="541"/>
      <c r="BH764" s="1190"/>
      <c r="BI764" s="541"/>
      <c r="BJ764" s="1190"/>
      <c r="BK764" s="541"/>
      <c r="BL764" s="541"/>
      <c r="BM764" s="541"/>
      <c r="BO764" s="541"/>
      <c r="BP764" s="541"/>
      <c r="BQ764" s="633"/>
      <c r="BR764" s="541"/>
      <c r="BS764" s="541"/>
      <c r="BT764" s="541"/>
    </row>
    <row r="765" ht="15.75" customHeight="1">
      <c r="A765" s="1591"/>
      <c r="B765" s="1541"/>
      <c r="C765" s="2217"/>
      <c r="D765" s="1543"/>
      <c r="E765" s="906"/>
      <c r="F765" s="541"/>
      <c r="G765" s="541"/>
      <c r="H765" s="541"/>
      <c r="I765" s="541"/>
      <c r="J765" s="1748"/>
      <c r="K765" s="541"/>
      <c r="L765" s="1748"/>
      <c r="M765" s="541"/>
      <c r="N765" s="1748"/>
      <c r="O765" s="541"/>
      <c r="P765" s="1748"/>
      <c r="Q765" s="541"/>
      <c r="R765" s="1748"/>
      <c r="S765" s="541"/>
      <c r="T765" s="1748"/>
      <c r="U765" s="541"/>
      <c r="V765" s="1748"/>
      <c r="W765" s="541"/>
      <c r="X765" s="1748"/>
      <c r="Y765" s="1748"/>
      <c r="Z765" s="1748"/>
      <c r="AA765" s="541"/>
      <c r="AB765" s="1748"/>
      <c r="AC765" s="541"/>
      <c r="AD765" s="541"/>
      <c r="AE765" s="541"/>
      <c r="AF765" s="541"/>
      <c r="AG765" s="541"/>
      <c r="AH765" s="541"/>
      <c r="AI765" s="541"/>
      <c r="AJ765" s="541"/>
      <c r="AK765" s="541"/>
      <c r="AL765" s="541"/>
      <c r="AM765" s="541"/>
      <c r="AN765" s="1748"/>
      <c r="AO765" s="1748"/>
      <c r="AP765" s="1748"/>
      <c r="AQ765" s="1748"/>
      <c r="AR765" s="1748"/>
      <c r="AS765" s="541"/>
      <c r="AT765" s="541"/>
      <c r="AU765" s="541"/>
      <c r="AV765" s="541"/>
      <c r="AW765" s="541"/>
      <c r="AX765" s="541"/>
      <c r="AY765" s="541"/>
      <c r="AZ765" s="541"/>
      <c r="BA765" s="541"/>
      <c r="BC765" s="541"/>
      <c r="BE765" s="541"/>
      <c r="BG765" s="541"/>
      <c r="BH765" s="1190"/>
      <c r="BI765" s="541"/>
      <c r="BJ765" s="1190"/>
      <c r="BK765" s="541"/>
      <c r="BL765" s="541"/>
      <c r="BM765" s="541"/>
      <c r="BO765" s="541"/>
      <c r="BP765" s="541"/>
      <c r="BQ765" s="633"/>
      <c r="BR765" s="541"/>
      <c r="BS765" s="541"/>
      <c r="BT765" s="541"/>
    </row>
    <row r="766" ht="15.75" customHeight="1">
      <c r="A766" s="1591"/>
      <c r="B766" s="1541"/>
      <c r="C766" s="2217"/>
      <c r="D766" s="1543"/>
      <c r="E766" s="906"/>
      <c r="F766" s="541"/>
      <c r="G766" s="541"/>
      <c r="H766" s="541"/>
      <c r="I766" s="541"/>
      <c r="J766" s="1748"/>
      <c r="K766" s="541"/>
      <c r="L766" s="1748"/>
      <c r="M766" s="541"/>
      <c r="N766" s="1748"/>
      <c r="O766" s="541"/>
      <c r="P766" s="1748"/>
      <c r="Q766" s="541"/>
      <c r="R766" s="1748"/>
      <c r="S766" s="541"/>
      <c r="T766" s="1748"/>
      <c r="U766" s="541"/>
      <c r="V766" s="1748"/>
      <c r="W766" s="541"/>
      <c r="X766" s="1748"/>
      <c r="Y766" s="1748"/>
      <c r="Z766" s="1748"/>
      <c r="AA766" s="541"/>
      <c r="AB766" s="1748"/>
      <c r="AC766" s="541"/>
      <c r="AD766" s="541"/>
      <c r="AE766" s="541"/>
      <c r="AF766" s="541"/>
      <c r="AG766" s="541"/>
      <c r="AH766" s="541"/>
      <c r="AI766" s="541"/>
      <c r="AJ766" s="541"/>
      <c r="AK766" s="541"/>
      <c r="AL766" s="541"/>
      <c r="AM766" s="541"/>
      <c r="AN766" s="1748"/>
      <c r="AO766" s="1748"/>
      <c r="AP766" s="1748"/>
      <c r="AQ766" s="1748"/>
      <c r="AR766" s="1748"/>
      <c r="AS766" s="541"/>
      <c r="AT766" s="541"/>
      <c r="AU766" s="541"/>
      <c r="AV766" s="541"/>
      <c r="AW766" s="541"/>
      <c r="AX766" s="541"/>
      <c r="AY766" s="541"/>
      <c r="AZ766" s="541"/>
      <c r="BA766" s="541"/>
      <c r="BC766" s="541"/>
      <c r="BE766" s="541"/>
      <c r="BG766" s="541"/>
      <c r="BH766" s="1190"/>
      <c r="BI766" s="541"/>
      <c r="BJ766" s="1190"/>
      <c r="BK766" s="541"/>
      <c r="BL766" s="541"/>
      <c r="BM766" s="541"/>
      <c r="BO766" s="541"/>
      <c r="BP766" s="541"/>
      <c r="BQ766" s="633"/>
      <c r="BR766" s="541"/>
      <c r="BS766" s="541"/>
      <c r="BT766" s="541"/>
    </row>
    <row r="767" ht="15.75" customHeight="1">
      <c r="A767" s="1591"/>
      <c r="B767" s="1541"/>
      <c r="C767" s="2217"/>
      <c r="D767" s="1543"/>
      <c r="E767" s="906"/>
      <c r="F767" s="541"/>
      <c r="G767" s="541"/>
      <c r="H767" s="541"/>
      <c r="I767" s="541"/>
      <c r="J767" s="1748"/>
      <c r="K767" s="541"/>
      <c r="L767" s="1748"/>
      <c r="M767" s="541"/>
      <c r="N767" s="1748"/>
      <c r="O767" s="541"/>
      <c r="P767" s="1748"/>
      <c r="Q767" s="541"/>
      <c r="R767" s="1748"/>
      <c r="S767" s="541"/>
      <c r="T767" s="1748"/>
      <c r="U767" s="541"/>
      <c r="V767" s="1748"/>
      <c r="W767" s="541"/>
      <c r="X767" s="1748"/>
      <c r="Y767" s="1748"/>
      <c r="Z767" s="1748"/>
      <c r="AA767" s="541"/>
      <c r="AB767" s="1748"/>
      <c r="AC767" s="541"/>
      <c r="AD767" s="541"/>
      <c r="AE767" s="541"/>
      <c r="AF767" s="541"/>
      <c r="AG767" s="541"/>
      <c r="AH767" s="541"/>
      <c r="AI767" s="541"/>
      <c r="AJ767" s="541"/>
      <c r="AK767" s="541"/>
      <c r="AL767" s="541"/>
      <c r="AM767" s="541"/>
      <c r="AN767" s="1748"/>
      <c r="AO767" s="1748"/>
      <c r="AP767" s="1748"/>
      <c r="AQ767" s="1748"/>
      <c r="AR767" s="1748"/>
      <c r="AS767" s="541"/>
      <c r="AT767" s="541"/>
      <c r="AU767" s="541"/>
      <c r="AV767" s="541"/>
      <c r="AW767" s="541"/>
      <c r="AX767" s="541"/>
      <c r="AY767" s="541"/>
      <c r="AZ767" s="541"/>
      <c r="BA767" s="541"/>
      <c r="BC767" s="541"/>
      <c r="BE767" s="541"/>
      <c r="BG767" s="541"/>
      <c r="BH767" s="1190"/>
      <c r="BI767" s="541"/>
      <c r="BJ767" s="1190"/>
      <c r="BK767" s="541"/>
      <c r="BL767" s="541"/>
      <c r="BM767" s="541"/>
      <c r="BO767" s="541"/>
      <c r="BP767" s="541"/>
      <c r="BQ767" s="633"/>
      <c r="BR767" s="541"/>
      <c r="BS767" s="541"/>
      <c r="BT767" s="541"/>
    </row>
    <row r="768" ht="15.75" customHeight="1">
      <c r="A768" s="1591"/>
      <c r="B768" s="1541"/>
      <c r="C768" s="2217"/>
      <c r="D768" s="1543"/>
      <c r="E768" s="906"/>
      <c r="F768" s="541"/>
      <c r="G768" s="541"/>
      <c r="H768" s="541"/>
      <c r="I768" s="541"/>
      <c r="J768" s="1748"/>
      <c r="K768" s="541"/>
      <c r="L768" s="1748"/>
      <c r="M768" s="541"/>
      <c r="N768" s="1748"/>
      <c r="O768" s="541"/>
      <c r="P768" s="1748"/>
      <c r="Q768" s="541"/>
      <c r="R768" s="1748"/>
      <c r="S768" s="541"/>
      <c r="T768" s="1748"/>
      <c r="U768" s="541"/>
      <c r="V768" s="1748"/>
      <c r="W768" s="541"/>
      <c r="X768" s="1748"/>
      <c r="Y768" s="1748"/>
      <c r="Z768" s="1748"/>
      <c r="AA768" s="541"/>
      <c r="AB768" s="1748"/>
      <c r="AC768" s="541"/>
      <c r="AD768" s="541"/>
      <c r="AE768" s="541"/>
      <c r="AF768" s="541"/>
      <c r="AG768" s="541"/>
      <c r="AH768" s="541"/>
      <c r="AI768" s="541"/>
      <c r="AJ768" s="541"/>
      <c r="AK768" s="541"/>
      <c r="AL768" s="541"/>
      <c r="AM768" s="541"/>
      <c r="AN768" s="1748"/>
      <c r="AO768" s="1748"/>
      <c r="AP768" s="1748"/>
      <c r="AQ768" s="1748"/>
      <c r="AR768" s="1748"/>
      <c r="AS768" s="541"/>
      <c r="AT768" s="541"/>
      <c r="AU768" s="541"/>
      <c r="AV768" s="541"/>
      <c r="AW768" s="541"/>
      <c r="AX768" s="541"/>
      <c r="AY768" s="541"/>
      <c r="AZ768" s="541"/>
      <c r="BA768" s="541"/>
      <c r="BC768" s="541"/>
      <c r="BE768" s="541"/>
      <c r="BG768" s="541"/>
      <c r="BH768" s="1190"/>
      <c r="BI768" s="541"/>
      <c r="BJ768" s="1190"/>
      <c r="BK768" s="541"/>
      <c r="BL768" s="541"/>
      <c r="BM768" s="541"/>
      <c r="BO768" s="541"/>
      <c r="BP768" s="541"/>
      <c r="BQ768" s="633"/>
      <c r="BR768" s="541"/>
      <c r="BS768" s="541"/>
      <c r="BT768" s="541"/>
    </row>
    <row r="769" ht="15.75" customHeight="1">
      <c r="A769" s="1591"/>
      <c r="B769" s="1541"/>
      <c r="C769" s="2217"/>
      <c r="D769" s="1543"/>
      <c r="E769" s="906"/>
      <c r="F769" s="541"/>
      <c r="G769" s="541"/>
      <c r="H769" s="541"/>
      <c r="I769" s="541"/>
      <c r="J769" s="1748"/>
      <c r="K769" s="541"/>
      <c r="L769" s="1748"/>
      <c r="M769" s="541"/>
      <c r="N769" s="1748"/>
      <c r="O769" s="541"/>
      <c r="P769" s="1748"/>
      <c r="Q769" s="541"/>
      <c r="R769" s="1748"/>
      <c r="S769" s="541"/>
      <c r="T769" s="1748"/>
      <c r="U769" s="541"/>
      <c r="V769" s="1748"/>
      <c r="W769" s="541"/>
      <c r="X769" s="1748"/>
      <c r="Y769" s="1748"/>
      <c r="Z769" s="1748"/>
      <c r="AA769" s="541"/>
      <c r="AB769" s="1748"/>
      <c r="AC769" s="541"/>
      <c r="AD769" s="541"/>
      <c r="AE769" s="541"/>
      <c r="AF769" s="541"/>
      <c r="AG769" s="541"/>
      <c r="AH769" s="541"/>
      <c r="AI769" s="541"/>
      <c r="AJ769" s="541"/>
      <c r="AK769" s="541"/>
      <c r="AL769" s="541"/>
      <c r="AM769" s="541"/>
      <c r="AN769" s="1748"/>
      <c r="AO769" s="1748"/>
      <c r="AP769" s="1748"/>
      <c r="AQ769" s="1748"/>
      <c r="AR769" s="1748"/>
      <c r="AS769" s="541"/>
      <c r="AT769" s="541"/>
      <c r="AU769" s="541"/>
      <c r="AV769" s="541"/>
      <c r="AW769" s="541"/>
      <c r="AX769" s="541"/>
      <c r="AY769" s="541"/>
      <c r="AZ769" s="541"/>
      <c r="BA769" s="541"/>
      <c r="BC769" s="541"/>
      <c r="BE769" s="541"/>
      <c r="BG769" s="541"/>
      <c r="BH769" s="1190"/>
      <c r="BI769" s="541"/>
      <c r="BJ769" s="1190"/>
      <c r="BK769" s="541"/>
      <c r="BL769" s="541"/>
      <c r="BM769" s="541"/>
      <c r="BO769" s="541"/>
      <c r="BP769" s="541"/>
      <c r="BQ769" s="633"/>
      <c r="BR769" s="541"/>
      <c r="BS769" s="541"/>
      <c r="BT769" s="541"/>
    </row>
    <row r="770" ht="15.75" customHeight="1">
      <c r="A770" s="1591"/>
      <c r="B770" s="1541"/>
      <c r="C770" s="2217"/>
      <c r="D770" s="1543"/>
      <c r="E770" s="906"/>
      <c r="F770" s="541"/>
      <c r="G770" s="541"/>
      <c r="H770" s="541"/>
      <c r="I770" s="541"/>
      <c r="J770" s="1748"/>
      <c r="K770" s="541"/>
      <c r="L770" s="1748"/>
      <c r="M770" s="541"/>
      <c r="N770" s="1748"/>
      <c r="O770" s="541"/>
      <c r="P770" s="1748"/>
      <c r="Q770" s="541"/>
      <c r="R770" s="1748"/>
      <c r="S770" s="541"/>
      <c r="T770" s="1748"/>
      <c r="U770" s="541"/>
      <c r="V770" s="1748"/>
      <c r="W770" s="541"/>
      <c r="X770" s="1748"/>
      <c r="Y770" s="1748"/>
      <c r="Z770" s="1748"/>
      <c r="AA770" s="541"/>
      <c r="AB770" s="1748"/>
      <c r="AC770" s="541"/>
      <c r="AD770" s="541"/>
      <c r="AE770" s="541"/>
      <c r="AF770" s="541"/>
      <c r="AG770" s="541"/>
      <c r="AH770" s="541"/>
      <c r="AI770" s="541"/>
      <c r="AJ770" s="541"/>
      <c r="AK770" s="541"/>
      <c r="AL770" s="541"/>
      <c r="AM770" s="541"/>
      <c r="AN770" s="1748"/>
      <c r="AO770" s="1748"/>
      <c r="AP770" s="1748"/>
      <c r="AQ770" s="1748"/>
      <c r="AR770" s="1748"/>
      <c r="AS770" s="541"/>
      <c r="AT770" s="541"/>
      <c r="AU770" s="541"/>
      <c r="AV770" s="541"/>
      <c r="AW770" s="541"/>
      <c r="AX770" s="541"/>
      <c r="AY770" s="541"/>
      <c r="AZ770" s="541"/>
      <c r="BA770" s="541"/>
      <c r="BC770" s="541"/>
      <c r="BE770" s="541"/>
      <c r="BG770" s="541"/>
      <c r="BH770" s="1190"/>
      <c r="BI770" s="541"/>
      <c r="BJ770" s="1190"/>
      <c r="BK770" s="541"/>
      <c r="BL770" s="541"/>
      <c r="BM770" s="541"/>
      <c r="BO770" s="541"/>
      <c r="BP770" s="541"/>
      <c r="BQ770" s="633"/>
      <c r="BR770" s="541"/>
      <c r="BS770" s="541"/>
      <c r="BT770" s="541"/>
    </row>
    <row r="771" ht="15.75" customHeight="1">
      <c r="A771" s="1591"/>
      <c r="B771" s="1541"/>
      <c r="C771" s="2217"/>
      <c r="D771" s="1543"/>
      <c r="E771" s="906"/>
      <c r="F771" s="541"/>
      <c r="G771" s="541"/>
      <c r="H771" s="541"/>
      <c r="I771" s="541"/>
      <c r="J771" s="1748"/>
      <c r="K771" s="541"/>
      <c r="L771" s="1748"/>
      <c r="M771" s="541"/>
      <c r="N771" s="1748"/>
      <c r="O771" s="541"/>
      <c r="P771" s="1748"/>
      <c r="Q771" s="541"/>
      <c r="R771" s="1748"/>
      <c r="S771" s="541"/>
      <c r="T771" s="1748"/>
      <c r="U771" s="541"/>
      <c r="V771" s="1748"/>
      <c r="W771" s="541"/>
      <c r="X771" s="1748"/>
      <c r="Y771" s="1748"/>
      <c r="Z771" s="1748"/>
      <c r="AA771" s="541"/>
      <c r="AB771" s="1748"/>
      <c r="AC771" s="541"/>
      <c r="AD771" s="541"/>
      <c r="AE771" s="541"/>
      <c r="AF771" s="541"/>
      <c r="AG771" s="541"/>
      <c r="AH771" s="541"/>
      <c r="AI771" s="541"/>
      <c r="AJ771" s="541"/>
      <c r="AK771" s="541"/>
      <c r="AL771" s="541"/>
      <c r="AM771" s="541"/>
      <c r="AN771" s="1748"/>
      <c r="AO771" s="1748"/>
      <c r="AP771" s="1748"/>
      <c r="AQ771" s="1748"/>
      <c r="AR771" s="1748"/>
      <c r="AS771" s="541"/>
      <c r="AT771" s="541"/>
      <c r="AU771" s="541"/>
      <c r="AV771" s="541"/>
      <c r="AW771" s="541"/>
      <c r="AX771" s="541"/>
      <c r="AY771" s="541"/>
      <c r="AZ771" s="541"/>
      <c r="BA771" s="541"/>
      <c r="BC771" s="541"/>
      <c r="BE771" s="541"/>
      <c r="BG771" s="541"/>
      <c r="BH771" s="1190"/>
      <c r="BI771" s="541"/>
      <c r="BJ771" s="1190"/>
      <c r="BK771" s="541"/>
      <c r="BL771" s="541"/>
      <c r="BM771" s="541"/>
      <c r="BO771" s="541"/>
      <c r="BP771" s="541"/>
      <c r="BQ771" s="633"/>
      <c r="BR771" s="541"/>
      <c r="BS771" s="541"/>
      <c r="BT771" s="541"/>
    </row>
    <row r="772" ht="15.75" customHeight="1">
      <c r="A772" s="1591"/>
      <c r="B772" s="1541"/>
      <c r="C772" s="2217"/>
      <c r="D772" s="1543"/>
      <c r="E772" s="906"/>
      <c r="F772" s="541"/>
      <c r="G772" s="541"/>
      <c r="H772" s="541"/>
      <c r="I772" s="541"/>
      <c r="J772" s="1748"/>
      <c r="K772" s="541"/>
      <c r="L772" s="1748"/>
      <c r="M772" s="541"/>
      <c r="N772" s="1748"/>
      <c r="O772" s="541"/>
      <c r="P772" s="1748"/>
      <c r="Q772" s="541"/>
      <c r="R772" s="1748"/>
      <c r="S772" s="541"/>
      <c r="T772" s="1748"/>
      <c r="U772" s="541"/>
      <c r="V772" s="1748"/>
      <c r="W772" s="541"/>
      <c r="X772" s="1748"/>
      <c r="Y772" s="1748"/>
      <c r="Z772" s="1748"/>
      <c r="AA772" s="541"/>
      <c r="AB772" s="1748"/>
      <c r="AC772" s="541"/>
      <c r="AD772" s="541"/>
      <c r="AE772" s="541"/>
      <c r="AF772" s="541"/>
      <c r="AG772" s="541"/>
      <c r="AH772" s="541"/>
      <c r="AI772" s="541"/>
      <c r="AJ772" s="541"/>
      <c r="AK772" s="541"/>
      <c r="AL772" s="541"/>
      <c r="AM772" s="541"/>
      <c r="AN772" s="1748"/>
      <c r="AO772" s="1748"/>
      <c r="AP772" s="1748"/>
      <c r="AQ772" s="1748"/>
      <c r="AR772" s="1748"/>
      <c r="AS772" s="541"/>
      <c r="AT772" s="541"/>
      <c r="AU772" s="541"/>
      <c r="AV772" s="541"/>
      <c r="AW772" s="541"/>
      <c r="AX772" s="541"/>
      <c r="AY772" s="541"/>
      <c r="AZ772" s="541"/>
      <c r="BA772" s="541"/>
      <c r="BC772" s="541"/>
      <c r="BE772" s="541"/>
      <c r="BG772" s="541"/>
      <c r="BH772" s="1190"/>
      <c r="BI772" s="541"/>
      <c r="BJ772" s="1190"/>
      <c r="BK772" s="541"/>
      <c r="BL772" s="541"/>
      <c r="BM772" s="541"/>
      <c r="BO772" s="541"/>
      <c r="BP772" s="541"/>
      <c r="BQ772" s="633"/>
      <c r="BR772" s="541"/>
      <c r="BS772" s="541"/>
      <c r="BT772" s="541"/>
    </row>
    <row r="773" ht="15.75" customHeight="1">
      <c r="A773" s="1591"/>
      <c r="B773" s="1541"/>
      <c r="C773" s="2217"/>
      <c r="D773" s="1543"/>
      <c r="E773" s="906"/>
      <c r="F773" s="541"/>
      <c r="G773" s="541"/>
      <c r="H773" s="541"/>
      <c r="I773" s="541"/>
      <c r="J773" s="1748"/>
      <c r="K773" s="541"/>
      <c r="L773" s="1748"/>
      <c r="M773" s="541"/>
      <c r="N773" s="1748"/>
      <c r="O773" s="541"/>
      <c r="P773" s="1748"/>
      <c r="Q773" s="541"/>
      <c r="R773" s="1748"/>
      <c r="S773" s="541"/>
      <c r="T773" s="1748"/>
      <c r="U773" s="541"/>
      <c r="V773" s="1748"/>
      <c r="W773" s="541"/>
      <c r="X773" s="1748"/>
      <c r="Y773" s="1748"/>
      <c r="Z773" s="1748"/>
      <c r="AA773" s="541"/>
      <c r="AB773" s="1748"/>
      <c r="AC773" s="541"/>
      <c r="AD773" s="541"/>
      <c r="AE773" s="541"/>
      <c r="AF773" s="541"/>
      <c r="AG773" s="541"/>
      <c r="AH773" s="541"/>
      <c r="AI773" s="541"/>
      <c r="AJ773" s="541"/>
      <c r="AK773" s="541"/>
      <c r="AL773" s="541"/>
      <c r="AM773" s="541"/>
      <c r="AN773" s="1748"/>
      <c r="AO773" s="1748"/>
      <c r="AP773" s="1748"/>
      <c r="AQ773" s="1748"/>
      <c r="AR773" s="1748"/>
      <c r="AS773" s="541"/>
      <c r="AT773" s="541"/>
      <c r="AU773" s="541"/>
      <c r="AV773" s="541"/>
      <c r="AW773" s="541"/>
      <c r="AX773" s="541"/>
      <c r="AY773" s="541"/>
      <c r="AZ773" s="541"/>
      <c r="BA773" s="541"/>
      <c r="BC773" s="541"/>
      <c r="BE773" s="541"/>
      <c r="BG773" s="541"/>
      <c r="BH773" s="1190"/>
      <c r="BI773" s="541"/>
      <c r="BJ773" s="1190"/>
      <c r="BK773" s="541"/>
      <c r="BL773" s="541"/>
      <c r="BM773" s="541"/>
      <c r="BO773" s="541"/>
      <c r="BP773" s="541"/>
      <c r="BQ773" s="633"/>
      <c r="BR773" s="541"/>
      <c r="BS773" s="541"/>
      <c r="BT773" s="541"/>
    </row>
    <row r="774" ht="15.75" customHeight="1">
      <c r="A774" s="1591"/>
      <c r="B774" s="1541"/>
      <c r="C774" s="2217"/>
      <c r="D774" s="1543"/>
      <c r="E774" s="906"/>
      <c r="F774" s="541"/>
      <c r="G774" s="541"/>
      <c r="H774" s="541"/>
      <c r="I774" s="541"/>
      <c r="J774" s="1748"/>
      <c r="K774" s="541"/>
      <c r="L774" s="1748"/>
      <c r="M774" s="541"/>
      <c r="N774" s="1748"/>
      <c r="O774" s="541"/>
      <c r="P774" s="1748"/>
      <c r="Q774" s="541"/>
      <c r="R774" s="1748"/>
      <c r="S774" s="541"/>
      <c r="T774" s="1748"/>
      <c r="U774" s="541"/>
      <c r="V774" s="1748"/>
      <c r="W774" s="541"/>
      <c r="X774" s="1748"/>
      <c r="Y774" s="1748"/>
      <c r="Z774" s="1748"/>
      <c r="AA774" s="541"/>
      <c r="AB774" s="1748"/>
      <c r="AC774" s="541"/>
      <c r="AD774" s="541"/>
      <c r="AE774" s="541"/>
      <c r="AF774" s="541"/>
      <c r="AG774" s="541"/>
      <c r="AH774" s="541"/>
      <c r="AI774" s="541"/>
      <c r="AJ774" s="541"/>
      <c r="AK774" s="541"/>
      <c r="AL774" s="541"/>
      <c r="AM774" s="541"/>
      <c r="AN774" s="1748"/>
      <c r="AO774" s="1748"/>
      <c r="AP774" s="1748"/>
      <c r="AQ774" s="1748"/>
      <c r="AR774" s="1748"/>
      <c r="AS774" s="541"/>
      <c r="AT774" s="541"/>
      <c r="AU774" s="541"/>
      <c r="AV774" s="541"/>
      <c r="AW774" s="541"/>
      <c r="AX774" s="541"/>
      <c r="AY774" s="541"/>
      <c r="AZ774" s="541"/>
      <c r="BA774" s="541"/>
      <c r="BC774" s="541"/>
      <c r="BE774" s="541"/>
      <c r="BG774" s="541"/>
      <c r="BH774" s="1190"/>
      <c r="BI774" s="541"/>
      <c r="BJ774" s="1190"/>
      <c r="BK774" s="541"/>
      <c r="BL774" s="541"/>
      <c r="BM774" s="541"/>
      <c r="BO774" s="541"/>
      <c r="BP774" s="541"/>
      <c r="BQ774" s="633"/>
      <c r="BR774" s="541"/>
      <c r="BS774" s="541"/>
      <c r="BT774" s="541"/>
    </row>
    <row r="775" ht="15.75" customHeight="1">
      <c r="A775" s="1591"/>
      <c r="B775" s="1541"/>
      <c r="C775" s="2217"/>
      <c r="D775" s="1543"/>
      <c r="E775" s="906"/>
      <c r="F775" s="541"/>
      <c r="G775" s="541"/>
      <c r="H775" s="541"/>
      <c r="I775" s="541"/>
      <c r="J775" s="1748"/>
      <c r="K775" s="541"/>
      <c r="L775" s="1748"/>
      <c r="M775" s="541"/>
      <c r="N775" s="1748"/>
      <c r="O775" s="541"/>
      <c r="P775" s="1748"/>
      <c r="Q775" s="541"/>
      <c r="R775" s="1748"/>
      <c r="S775" s="541"/>
      <c r="T775" s="1748"/>
      <c r="U775" s="541"/>
      <c r="V775" s="1748"/>
      <c r="W775" s="541"/>
      <c r="X775" s="1748"/>
      <c r="Y775" s="1748"/>
      <c r="Z775" s="1748"/>
      <c r="AA775" s="541"/>
      <c r="AB775" s="1748"/>
      <c r="AC775" s="541"/>
      <c r="AD775" s="541"/>
      <c r="AE775" s="541"/>
      <c r="AF775" s="541"/>
      <c r="AG775" s="541"/>
      <c r="AH775" s="541"/>
      <c r="AI775" s="541"/>
      <c r="AJ775" s="541"/>
      <c r="AK775" s="541"/>
      <c r="AL775" s="541"/>
      <c r="AM775" s="541"/>
      <c r="AN775" s="1748"/>
      <c r="AO775" s="1748"/>
      <c r="AP775" s="1748"/>
      <c r="AQ775" s="1748"/>
      <c r="AR775" s="1748"/>
      <c r="AS775" s="541"/>
      <c r="AT775" s="541"/>
      <c r="AU775" s="541"/>
      <c r="AV775" s="541"/>
      <c r="AW775" s="541"/>
      <c r="AX775" s="541"/>
      <c r="AY775" s="541"/>
      <c r="AZ775" s="541"/>
      <c r="BA775" s="541"/>
      <c r="BC775" s="541"/>
      <c r="BE775" s="541"/>
      <c r="BG775" s="541"/>
      <c r="BH775" s="1190"/>
      <c r="BI775" s="541"/>
      <c r="BJ775" s="1190"/>
      <c r="BK775" s="541"/>
      <c r="BL775" s="541"/>
      <c r="BM775" s="541"/>
      <c r="BO775" s="541"/>
      <c r="BP775" s="541"/>
      <c r="BQ775" s="633"/>
      <c r="BR775" s="541"/>
      <c r="BS775" s="541"/>
      <c r="BT775" s="541"/>
    </row>
    <row r="776" ht="15.75" customHeight="1">
      <c r="A776" s="1591"/>
      <c r="B776" s="1541"/>
      <c r="C776" s="2217"/>
      <c r="D776" s="1543"/>
      <c r="E776" s="906"/>
      <c r="F776" s="541"/>
      <c r="G776" s="541"/>
      <c r="H776" s="541"/>
      <c r="I776" s="541"/>
      <c r="J776" s="1748"/>
      <c r="K776" s="541"/>
      <c r="L776" s="1748"/>
      <c r="M776" s="541"/>
      <c r="N776" s="1748"/>
      <c r="O776" s="541"/>
      <c r="P776" s="1748"/>
      <c r="Q776" s="541"/>
      <c r="R776" s="1748"/>
      <c r="S776" s="541"/>
      <c r="T776" s="1748"/>
      <c r="U776" s="541"/>
      <c r="V776" s="1748"/>
      <c r="W776" s="541"/>
      <c r="X776" s="1748"/>
      <c r="Y776" s="1748"/>
      <c r="Z776" s="1748"/>
      <c r="AA776" s="541"/>
      <c r="AB776" s="1748"/>
      <c r="AC776" s="541"/>
      <c r="AD776" s="541"/>
      <c r="AE776" s="541"/>
      <c r="AF776" s="541"/>
      <c r="AG776" s="541"/>
      <c r="AH776" s="541"/>
      <c r="AI776" s="541"/>
      <c r="AJ776" s="541"/>
      <c r="AK776" s="541"/>
      <c r="AL776" s="541"/>
      <c r="AM776" s="541"/>
      <c r="AN776" s="1748"/>
      <c r="AO776" s="1748"/>
      <c r="AP776" s="1748"/>
      <c r="AQ776" s="1748"/>
      <c r="AR776" s="1748"/>
      <c r="AS776" s="541"/>
      <c r="AT776" s="541"/>
      <c r="AU776" s="541"/>
      <c r="AV776" s="541"/>
      <c r="AW776" s="541"/>
      <c r="AX776" s="541"/>
      <c r="AY776" s="541"/>
      <c r="AZ776" s="541"/>
      <c r="BA776" s="541"/>
      <c r="BC776" s="541"/>
      <c r="BE776" s="541"/>
      <c r="BG776" s="541"/>
      <c r="BH776" s="1190"/>
      <c r="BI776" s="541"/>
      <c r="BJ776" s="1190"/>
      <c r="BK776" s="541"/>
      <c r="BL776" s="541"/>
      <c r="BM776" s="541"/>
      <c r="BO776" s="541"/>
      <c r="BP776" s="541"/>
      <c r="BQ776" s="633"/>
      <c r="BR776" s="541"/>
      <c r="BS776" s="541"/>
      <c r="BT776" s="541"/>
    </row>
    <row r="777" ht="15.75" customHeight="1">
      <c r="A777" s="1591"/>
      <c r="B777" s="1541"/>
      <c r="C777" s="2217"/>
      <c r="D777" s="1543"/>
      <c r="E777" s="906"/>
      <c r="F777" s="541"/>
      <c r="G777" s="541"/>
      <c r="H777" s="541"/>
      <c r="I777" s="541"/>
      <c r="J777" s="1748"/>
      <c r="K777" s="541"/>
      <c r="L777" s="1748"/>
      <c r="M777" s="541"/>
      <c r="N777" s="1748"/>
      <c r="O777" s="541"/>
      <c r="P777" s="1748"/>
      <c r="Q777" s="541"/>
      <c r="R777" s="1748"/>
      <c r="S777" s="541"/>
      <c r="T777" s="1748"/>
      <c r="U777" s="541"/>
      <c r="V777" s="1748"/>
      <c r="W777" s="541"/>
      <c r="X777" s="1748"/>
      <c r="Y777" s="1748"/>
      <c r="Z777" s="1748"/>
      <c r="AA777" s="541"/>
      <c r="AB777" s="1748"/>
      <c r="AC777" s="541"/>
      <c r="AD777" s="541"/>
      <c r="AE777" s="541"/>
      <c r="AF777" s="541"/>
      <c r="AG777" s="541"/>
      <c r="AH777" s="541"/>
      <c r="AI777" s="541"/>
      <c r="AJ777" s="541"/>
      <c r="AK777" s="541"/>
      <c r="AL777" s="541"/>
      <c r="AM777" s="541"/>
      <c r="AN777" s="1748"/>
      <c r="AO777" s="1748"/>
      <c r="AP777" s="1748"/>
      <c r="AQ777" s="1748"/>
      <c r="AR777" s="1748"/>
      <c r="AS777" s="541"/>
      <c r="AT777" s="541"/>
      <c r="AU777" s="541"/>
      <c r="AV777" s="541"/>
      <c r="AW777" s="541"/>
      <c r="AX777" s="541"/>
      <c r="AY777" s="541"/>
      <c r="AZ777" s="541"/>
      <c r="BA777" s="541"/>
      <c r="BC777" s="541"/>
      <c r="BE777" s="541"/>
      <c r="BG777" s="541"/>
      <c r="BH777" s="1190"/>
      <c r="BI777" s="541"/>
      <c r="BJ777" s="1190"/>
      <c r="BK777" s="541"/>
      <c r="BL777" s="541"/>
      <c r="BM777" s="541"/>
      <c r="BO777" s="541"/>
      <c r="BP777" s="541"/>
      <c r="BQ777" s="633"/>
      <c r="BR777" s="541"/>
      <c r="BS777" s="541"/>
      <c r="BT777" s="541"/>
    </row>
    <row r="778" ht="15.75" customHeight="1">
      <c r="A778" s="1591"/>
      <c r="B778" s="1541"/>
      <c r="C778" s="2217"/>
      <c r="D778" s="1543"/>
      <c r="E778" s="906"/>
      <c r="F778" s="541"/>
      <c r="G778" s="541"/>
      <c r="H778" s="541"/>
      <c r="I778" s="541"/>
      <c r="J778" s="1748"/>
      <c r="K778" s="541"/>
      <c r="L778" s="1748"/>
      <c r="M778" s="541"/>
      <c r="N778" s="1748"/>
      <c r="O778" s="541"/>
      <c r="P778" s="1748"/>
      <c r="Q778" s="541"/>
      <c r="R778" s="1748"/>
      <c r="S778" s="541"/>
      <c r="T778" s="1748"/>
      <c r="U778" s="541"/>
      <c r="V778" s="1748"/>
      <c r="W778" s="541"/>
      <c r="X778" s="1748"/>
      <c r="Y778" s="1748"/>
      <c r="Z778" s="1748"/>
      <c r="AA778" s="541"/>
      <c r="AB778" s="1748"/>
      <c r="AC778" s="541"/>
      <c r="AD778" s="541"/>
      <c r="AE778" s="541"/>
      <c r="AF778" s="541"/>
      <c r="AG778" s="541"/>
      <c r="AH778" s="541"/>
      <c r="AI778" s="541"/>
      <c r="AJ778" s="541"/>
      <c r="AK778" s="541"/>
      <c r="AL778" s="541"/>
      <c r="AM778" s="541"/>
      <c r="AN778" s="1748"/>
      <c r="AO778" s="1748"/>
      <c r="AP778" s="1748"/>
      <c r="AQ778" s="1748"/>
      <c r="AR778" s="1748"/>
      <c r="AS778" s="541"/>
      <c r="AT778" s="541"/>
      <c r="AU778" s="541"/>
      <c r="AV778" s="541"/>
      <c r="AW778" s="541"/>
      <c r="AX778" s="541"/>
      <c r="AY778" s="541"/>
      <c r="AZ778" s="541"/>
      <c r="BA778" s="541"/>
      <c r="BC778" s="541"/>
      <c r="BE778" s="541"/>
      <c r="BG778" s="541"/>
      <c r="BH778" s="1190"/>
      <c r="BI778" s="541"/>
      <c r="BJ778" s="1190"/>
      <c r="BK778" s="541"/>
      <c r="BL778" s="541"/>
      <c r="BM778" s="541"/>
      <c r="BO778" s="541"/>
      <c r="BP778" s="541"/>
      <c r="BQ778" s="633"/>
      <c r="BR778" s="541"/>
      <c r="BS778" s="541"/>
      <c r="BT778" s="541"/>
    </row>
    <row r="779" ht="15.75" customHeight="1">
      <c r="A779" s="1591"/>
      <c r="B779" s="1541"/>
      <c r="C779" s="2217"/>
      <c r="D779" s="1543"/>
      <c r="E779" s="906"/>
      <c r="F779" s="541"/>
      <c r="G779" s="541"/>
      <c r="H779" s="541"/>
      <c r="I779" s="541"/>
      <c r="J779" s="1748"/>
      <c r="K779" s="541"/>
      <c r="L779" s="1748"/>
      <c r="M779" s="541"/>
      <c r="N779" s="1748"/>
      <c r="O779" s="541"/>
      <c r="P779" s="1748"/>
      <c r="Q779" s="541"/>
      <c r="R779" s="1748"/>
      <c r="S779" s="541"/>
      <c r="T779" s="1748"/>
      <c r="U779" s="541"/>
      <c r="V779" s="1748"/>
      <c r="W779" s="541"/>
      <c r="X779" s="1748"/>
      <c r="Y779" s="1748"/>
      <c r="Z779" s="1748"/>
      <c r="AA779" s="541"/>
      <c r="AB779" s="1748"/>
      <c r="AC779" s="541"/>
      <c r="AD779" s="541"/>
      <c r="AE779" s="541"/>
      <c r="AF779" s="541"/>
      <c r="AG779" s="541"/>
      <c r="AH779" s="541"/>
      <c r="AI779" s="541"/>
      <c r="AJ779" s="541"/>
      <c r="AK779" s="541"/>
      <c r="AL779" s="541"/>
      <c r="AM779" s="541"/>
      <c r="AN779" s="1748"/>
      <c r="AO779" s="1748"/>
      <c r="AP779" s="1748"/>
      <c r="AQ779" s="1748"/>
      <c r="AR779" s="1748"/>
      <c r="AS779" s="541"/>
      <c r="AT779" s="541"/>
      <c r="AU779" s="541"/>
      <c r="AV779" s="541"/>
      <c r="AW779" s="541"/>
      <c r="AX779" s="541"/>
      <c r="AY779" s="541"/>
      <c r="AZ779" s="541"/>
      <c r="BA779" s="541"/>
      <c r="BC779" s="541"/>
      <c r="BE779" s="541"/>
      <c r="BG779" s="541"/>
      <c r="BH779" s="1190"/>
      <c r="BI779" s="541"/>
      <c r="BJ779" s="1190"/>
      <c r="BK779" s="541"/>
      <c r="BL779" s="541"/>
      <c r="BM779" s="541"/>
      <c r="BO779" s="541"/>
      <c r="BP779" s="541"/>
      <c r="BQ779" s="633"/>
      <c r="BR779" s="541"/>
      <c r="BS779" s="541"/>
      <c r="BT779" s="541"/>
    </row>
    <row r="780" ht="15.75" customHeight="1">
      <c r="A780" s="1591"/>
      <c r="B780" s="1541"/>
      <c r="C780" s="2217"/>
      <c r="D780" s="1543"/>
      <c r="E780" s="906"/>
      <c r="F780" s="541"/>
      <c r="G780" s="541"/>
      <c r="H780" s="541"/>
      <c r="I780" s="541"/>
      <c r="J780" s="1748"/>
      <c r="K780" s="541"/>
      <c r="L780" s="1748"/>
      <c r="M780" s="541"/>
      <c r="N780" s="1748"/>
      <c r="O780" s="541"/>
      <c r="P780" s="1748"/>
      <c r="Q780" s="541"/>
      <c r="R780" s="1748"/>
      <c r="S780" s="541"/>
      <c r="T780" s="1748"/>
      <c r="U780" s="541"/>
      <c r="V780" s="1748"/>
      <c r="W780" s="541"/>
      <c r="X780" s="1748"/>
      <c r="Y780" s="1748"/>
      <c r="Z780" s="1748"/>
      <c r="AA780" s="541"/>
      <c r="AB780" s="1748"/>
      <c r="AC780" s="541"/>
      <c r="AD780" s="541"/>
      <c r="AE780" s="541"/>
      <c r="AF780" s="541"/>
      <c r="AG780" s="541"/>
      <c r="AH780" s="541"/>
      <c r="AI780" s="541"/>
      <c r="AJ780" s="541"/>
      <c r="AK780" s="541"/>
      <c r="AL780" s="541"/>
      <c r="AM780" s="541"/>
      <c r="AN780" s="1748"/>
      <c r="AO780" s="1748"/>
      <c r="AP780" s="1748"/>
      <c r="AQ780" s="1748"/>
      <c r="AR780" s="1748"/>
      <c r="AS780" s="541"/>
      <c r="AT780" s="541"/>
      <c r="AU780" s="541"/>
      <c r="AV780" s="541"/>
      <c r="AW780" s="541"/>
      <c r="AX780" s="541"/>
      <c r="AY780" s="541"/>
      <c r="AZ780" s="541"/>
      <c r="BA780" s="541"/>
      <c r="BC780" s="541"/>
      <c r="BE780" s="541"/>
      <c r="BG780" s="541"/>
      <c r="BH780" s="1190"/>
      <c r="BI780" s="541"/>
      <c r="BJ780" s="1190"/>
      <c r="BK780" s="541"/>
      <c r="BL780" s="541"/>
      <c r="BM780" s="541"/>
      <c r="BO780" s="541"/>
      <c r="BP780" s="541"/>
      <c r="BQ780" s="633"/>
      <c r="BR780" s="541"/>
      <c r="BS780" s="541"/>
      <c r="BT780" s="541"/>
    </row>
    <row r="781" ht="15.75" customHeight="1">
      <c r="A781" s="1591"/>
      <c r="B781" s="1541"/>
      <c r="C781" s="2217"/>
      <c r="D781" s="1543"/>
      <c r="E781" s="906"/>
      <c r="F781" s="541"/>
      <c r="G781" s="541"/>
      <c r="H781" s="541"/>
      <c r="I781" s="541"/>
      <c r="J781" s="1748"/>
      <c r="K781" s="541"/>
      <c r="L781" s="1748"/>
      <c r="M781" s="541"/>
      <c r="N781" s="1748"/>
      <c r="O781" s="541"/>
      <c r="P781" s="1748"/>
      <c r="Q781" s="541"/>
      <c r="R781" s="1748"/>
      <c r="S781" s="541"/>
      <c r="T781" s="1748"/>
      <c r="U781" s="541"/>
      <c r="V781" s="1748"/>
      <c r="W781" s="541"/>
      <c r="X781" s="1748"/>
      <c r="Y781" s="1748"/>
      <c r="Z781" s="1748"/>
      <c r="AA781" s="541"/>
      <c r="AB781" s="1748"/>
      <c r="AC781" s="541"/>
      <c r="AD781" s="541"/>
      <c r="AE781" s="541"/>
      <c r="AF781" s="541"/>
      <c r="AG781" s="541"/>
      <c r="AH781" s="541"/>
      <c r="AI781" s="541"/>
      <c r="AJ781" s="541"/>
      <c r="AK781" s="541"/>
      <c r="AL781" s="541"/>
      <c r="AM781" s="541"/>
      <c r="AN781" s="1748"/>
      <c r="AO781" s="1748"/>
      <c r="AP781" s="1748"/>
      <c r="AQ781" s="1748"/>
      <c r="AR781" s="1748"/>
      <c r="AS781" s="541"/>
      <c r="AT781" s="541"/>
      <c r="AU781" s="541"/>
      <c r="AV781" s="541"/>
      <c r="AW781" s="541"/>
      <c r="AX781" s="541"/>
      <c r="AY781" s="541"/>
      <c r="AZ781" s="541"/>
      <c r="BA781" s="541"/>
      <c r="BC781" s="541"/>
      <c r="BE781" s="541"/>
      <c r="BG781" s="541"/>
      <c r="BH781" s="1190"/>
      <c r="BI781" s="541"/>
      <c r="BJ781" s="1190"/>
      <c r="BK781" s="541"/>
      <c r="BL781" s="541"/>
      <c r="BM781" s="541"/>
      <c r="BO781" s="541"/>
      <c r="BP781" s="541"/>
      <c r="BQ781" s="633"/>
      <c r="BR781" s="541"/>
      <c r="BS781" s="541"/>
      <c r="BT781" s="541"/>
    </row>
    <row r="782" ht="15.75" customHeight="1">
      <c r="A782" s="1591"/>
      <c r="B782" s="1541"/>
      <c r="C782" s="2217"/>
      <c r="D782" s="1543"/>
      <c r="E782" s="906"/>
      <c r="F782" s="541"/>
      <c r="G782" s="541"/>
      <c r="H782" s="541"/>
      <c r="I782" s="541"/>
      <c r="J782" s="1748"/>
      <c r="K782" s="541"/>
      <c r="L782" s="1748"/>
      <c r="M782" s="541"/>
      <c r="N782" s="1748"/>
      <c r="O782" s="541"/>
      <c r="P782" s="1748"/>
      <c r="Q782" s="541"/>
      <c r="R782" s="1748"/>
      <c r="S782" s="541"/>
      <c r="T782" s="1748"/>
      <c r="U782" s="541"/>
      <c r="V782" s="1748"/>
      <c r="W782" s="541"/>
      <c r="X782" s="1748"/>
      <c r="Y782" s="1748"/>
      <c r="Z782" s="1748"/>
      <c r="AA782" s="541"/>
      <c r="AB782" s="1748"/>
      <c r="AC782" s="541"/>
      <c r="AD782" s="541"/>
      <c r="AE782" s="541"/>
      <c r="AF782" s="541"/>
      <c r="AG782" s="541"/>
      <c r="AH782" s="541"/>
      <c r="AI782" s="541"/>
      <c r="AJ782" s="541"/>
      <c r="AK782" s="541"/>
      <c r="AL782" s="541"/>
      <c r="AM782" s="541"/>
      <c r="AN782" s="1748"/>
      <c r="AO782" s="1748"/>
      <c r="AP782" s="1748"/>
      <c r="AQ782" s="1748"/>
      <c r="AR782" s="1748"/>
      <c r="AS782" s="541"/>
      <c r="AT782" s="541"/>
      <c r="AU782" s="541"/>
      <c r="AV782" s="541"/>
      <c r="AW782" s="541"/>
      <c r="AX782" s="541"/>
      <c r="AY782" s="541"/>
      <c r="AZ782" s="541"/>
      <c r="BA782" s="541"/>
      <c r="BC782" s="541"/>
      <c r="BE782" s="541"/>
      <c r="BG782" s="541"/>
      <c r="BH782" s="1190"/>
      <c r="BI782" s="541"/>
      <c r="BJ782" s="1190"/>
      <c r="BK782" s="541"/>
      <c r="BL782" s="541"/>
      <c r="BM782" s="541"/>
      <c r="BO782" s="541"/>
      <c r="BP782" s="541"/>
      <c r="BQ782" s="633"/>
      <c r="BR782" s="541"/>
      <c r="BS782" s="541"/>
      <c r="BT782" s="541"/>
    </row>
    <row r="783" ht="15.75" customHeight="1">
      <c r="A783" s="1591"/>
      <c r="B783" s="1541"/>
      <c r="C783" s="2217"/>
      <c r="D783" s="1543"/>
      <c r="E783" s="906"/>
      <c r="F783" s="541"/>
      <c r="G783" s="541"/>
      <c r="H783" s="541"/>
      <c r="I783" s="541"/>
      <c r="J783" s="1748"/>
      <c r="K783" s="541"/>
      <c r="L783" s="1748"/>
      <c r="M783" s="541"/>
      <c r="N783" s="1748"/>
      <c r="O783" s="541"/>
      <c r="P783" s="1748"/>
      <c r="Q783" s="541"/>
      <c r="R783" s="1748"/>
      <c r="S783" s="541"/>
      <c r="T783" s="1748"/>
      <c r="U783" s="541"/>
      <c r="V783" s="1748"/>
      <c r="W783" s="541"/>
      <c r="X783" s="1748"/>
      <c r="Y783" s="1748"/>
      <c r="Z783" s="1748"/>
      <c r="AA783" s="541"/>
      <c r="AB783" s="1748"/>
      <c r="AC783" s="541"/>
      <c r="AD783" s="541"/>
      <c r="AE783" s="541"/>
      <c r="AF783" s="541"/>
      <c r="AG783" s="541"/>
      <c r="AH783" s="541"/>
      <c r="AI783" s="541"/>
      <c r="AJ783" s="541"/>
      <c r="AK783" s="541"/>
      <c r="AL783" s="541"/>
      <c r="AM783" s="541"/>
      <c r="AN783" s="1748"/>
      <c r="AO783" s="1748"/>
      <c r="AP783" s="1748"/>
      <c r="AQ783" s="1748"/>
      <c r="AR783" s="1748"/>
      <c r="AS783" s="541"/>
      <c r="AT783" s="541"/>
      <c r="AU783" s="541"/>
      <c r="AV783" s="541"/>
      <c r="AW783" s="541"/>
      <c r="AX783" s="541"/>
      <c r="AY783" s="541"/>
      <c r="AZ783" s="541"/>
      <c r="BA783" s="541"/>
      <c r="BC783" s="541"/>
      <c r="BE783" s="541"/>
      <c r="BG783" s="541"/>
      <c r="BH783" s="1190"/>
      <c r="BI783" s="541"/>
      <c r="BJ783" s="1190"/>
      <c r="BK783" s="541"/>
      <c r="BL783" s="541"/>
      <c r="BM783" s="541"/>
      <c r="BO783" s="541"/>
      <c r="BP783" s="541"/>
      <c r="BQ783" s="633"/>
      <c r="BR783" s="541"/>
      <c r="BS783" s="541"/>
      <c r="BT783" s="541"/>
    </row>
    <row r="784" ht="15.75" customHeight="1">
      <c r="A784" s="1591"/>
      <c r="B784" s="1541"/>
      <c r="C784" s="2217"/>
      <c r="D784" s="1543"/>
      <c r="E784" s="906"/>
      <c r="F784" s="541"/>
      <c r="G784" s="541"/>
      <c r="H784" s="541"/>
      <c r="I784" s="541"/>
      <c r="J784" s="1748"/>
      <c r="K784" s="541"/>
      <c r="L784" s="1748"/>
      <c r="M784" s="541"/>
      <c r="N784" s="1748"/>
      <c r="O784" s="541"/>
      <c r="P784" s="1748"/>
      <c r="Q784" s="541"/>
      <c r="R784" s="1748"/>
      <c r="S784" s="541"/>
      <c r="T784" s="1748"/>
      <c r="U784" s="541"/>
      <c r="V784" s="1748"/>
      <c r="W784" s="541"/>
      <c r="X784" s="1748"/>
      <c r="Y784" s="1748"/>
      <c r="Z784" s="1748"/>
      <c r="AA784" s="541"/>
      <c r="AB784" s="1748"/>
      <c r="AC784" s="541"/>
      <c r="AD784" s="541"/>
      <c r="AE784" s="541"/>
      <c r="AF784" s="541"/>
      <c r="AG784" s="541"/>
      <c r="AH784" s="541"/>
      <c r="AI784" s="541"/>
      <c r="AJ784" s="541"/>
      <c r="AK784" s="541"/>
      <c r="AL784" s="541"/>
      <c r="AM784" s="541"/>
      <c r="AN784" s="1748"/>
      <c r="AO784" s="1748"/>
      <c r="AP784" s="1748"/>
      <c r="AQ784" s="1748"/>
      <c r="AR784" s="1748"/>
      <c r="AS784" s="541"/>
      <c r="AT784" s="541"/>
      <c r="AU784" s="541"/>
      <c r="AV784" s="541"/>
      <c r="AW784" s="541"/>
      <c r="AX784" s="541"/>
      <c r="AY784" s="541"/>
      <c r="AZ784" s="541"/>
      <c r="BA784" s="541"/>
      <c r="BC784" s="541"/>
      <c r="BE784" s="541"/>
      <c r="BG784" s="541"/>
      <c r="BH784" s="1190"/>
      <c r="BI784" s="541"/>
      <c r="BJ784" s="1190"/>
      <c r="BK784" s="541"/>
      <c r="BL784" s="541"/>
      <c r="BM784" s="541"/>
      <c r="BO784" s="541"/>
      <c r="BP784" s="541"/>
      <c r="BQ784" s="633"/>
      <c r="BR784" s="541"/>
      <c r="BS784" s="541"/>
      <c r="BT784" s="541"/>
    </row>
    <row r="785" ht="15.75" customHeight="1">
      <c r="A785" s="1591"/>
      <c r="B785" s="1541"/>
      <c r="C785" s="2217"/>
      <c r="D785" s="1543"/>
      <c r="E785" s="906"/>
      <c r="F785" s="541"/>
      <c r="G785" s="541"/>
      <c r="H785" s="541"/>
      <c r="I785" s="541"/>
      <c r="J785" s="1748"/>
      <c r="K785" s="541"/>
      <c r="L785" s="1748"/>
      <c r="M785" s="541"/>
      <c r="N785" s="1748"/>
      <c r="O785" s="541"/>
      <c r="P785" s="1748"/>
      <c r="Q785" s="541"/>
      <c r="R785" s="1748"/>
      <c r="S785" s="541"/>
      <c r="T785" s="1748"/>
      <c r="U785" s="541"/>
      <c r="V785" s="1748"/>
      <c r="W785" s="541"/>
      <c r="X785" s="1748"/>
      <c r="Y785" s="1748"/>
      <c r="Z785" s="1748"/>
      <c r="AA785" s="541"/>
      <c r="AB785" s="1748"/>
      <c r="AC785" s="541"/>
      <c r="AD785" s="541"/>
      <c r="AE785" s="541"/>
      <c r="AF785" s="541"/>
      <c r="AG785" s="541"/>
      <c r="AH785" s="541"/>
      <c r="AI785" s="541"/>
      <c r="AJ785" s="541"/>
      <c r="AK785" s="541"/>
      <c r="AL785" s="541"/>
      <c r="AM785" s="541"/>
      <c r="AN785" s="1748"/>
      <c r="AO785" s="1748"/>
      <c r="AP785" s="1748"/>
      <c r="AQ785" s="1748"/>
      <c r="AR785" s="1748"/>
      <c r="AS785" s="541"/>
      <c r="AT785" s="541"/>
      <c r="AU785" s="541"/>
      <c r="AV785" s="541"/>
      <c r="AW785" s="541"/>
      <c r="AX785" s="541"/>
      <c r="AY785" s="541"/>
      <c r="AZ785" s="541"/>
      <c r="BA785" s="541"/>
      <c r="BC785" s="541"/>
      <c r="BE785" s="541"/>
      <c r="BG785" s="541"/>
      <c r="BH785" s="1190"/>
      <c r="BI785" s="541"/>
      <c r="BJ785" s="1190"/>
      <c r="BK785" s="541"/>
      <c r="BL785" s="541"/>
      <c r="BM785" s="541"/>
      <c r="BO785" s="541"/>
      <c r="BP785" s="541"/>
      <c r="BQ785" s="633"/>
      <c r="BR785" s="541"/>
      <c r="BS785" s="541"/>
      <c r="BT785" s="541"/>
    </row>
    <row r="786" ht="15.75" customHeight="1">
      <c r="A786" s="1591"/>
      <c r="B786" s="1541"/>
      <c r="C786" s="2217"/>
      <c r="D786" s="1543"/>
      <c r="E786" s="906"/>
      <c r="F786" s="541"/>
      <c r="G786" s="541"/>
      <c r="H786" s="541"/>
      <c r="I786" s="541"/>
      <c r="J786" s="1748"/>
      <c r="K786" s="541"/>
      <c r="L786" s="1748"/>
      <c r="M786" s="541"/>
      <c r="N786" s="1748"/>
      <c r="O786" s="541"/>
      <c r="P786" s="1748"/>
      <c r="Q786" s="541"/>
      <c r="R786" s="1748"/>
      <c r="S786" s="541"/>
      <c r="T786" s="1748"/>
      <c r="U786" s="541"/>
      <c r="V786" s="1748"/>
      <c r="W786" s="541"/>
      <c r="X786" s="1748"/>
      <c r="Y786" s="1748"/>
      <c r="Z786" s="1748"/>
      <c r="AA786" s="541"/>
      <c r="AB786" s="1748"/>
      <c r="AC786" s="541"/>
      <c r="AD786" s="541"/>
      <c r="AE786" s="541"/>
      <c r="AF786" s="541"/>
      <c r="AG786" s="541"/>
      <c r="AH786" s="541"/>
      <c r="AI786" s="541"/>
      <c r="AJ786" s="541"/>
      <c r="AK786" s="541"/>
      <c r="AL786" s="541"/>
      <c r="AM786" s="541"/>
      <c r="AN786" s="1748"/>
      <c r="AO786" s="1748"/>
      <c r="AP786" s="1748"/>
      <c r="AQ786" s="1748"/>
      <c r="AR786" s="1748"/>
      <c r="AS786" s="541"/>
      <c r="AT786" s="541"/>
      <c r="AU786" s="541"/>
      <c r="AV786" s="541"/>
      <c r="AW786" s="541"/>
      <c r="AX786" s="541"/>
      <c r="AY786" s="541"/>
      <c r="AZ786" s="541"/>
      <c r="BA786" s="541"/>
      <c r="BC786" s="541"/>
      <c r="BE786" s="541"/>
      <c r="BG786" s="541"/>
      <c r="BH786" s="1190"/>
      <c r="BI786" s="541"/>
      <c r="BJ786" s="1190"/>
      <c r="BK786" s="541"/>
      <c r="BL786" s="541"/>
      <c r="BM786" s="541"/>
      <c r="BO786" s="541"/>
      <c r="BP786" s="541"/>
      <c r="BQ786" s="633"/>
      <c r="BR786" s="541"/>
      <c r="BS786" s="541"/>
      <c r="BT786" s="541"/>
    </row>
    <row r="787" ht="15.75" customHeight="1">
      <c r="A787" s="1591"/>
      <c r="B787" s="1541"/>
      <c r="C787" s="2217"/>
      <c r="D787" s="1543"/>
      <c r="E787" s="906"/>
      <c r="F787" s="541"/>
      <c r="G787" s="541"/>
      <c r="H787" s="541"/>
      <c r="I787" s="541"/>
      <c r="J787" s="1748"/>
      <c r="K787" s="541"/>
      <c r="L787" s="1748"/>
      <c r="M787" s="541"/>
      <c r="N787" s="1748"/>
      <c r="O787" s="541"/>
      <c r="P787" s="1748"/>
      <c r="Q787" s="541"/>
      <c r="R787" s="1748"/>
      <c r="S787" s="541"/>
      <c r="T787" s="1748"/>
      <c r="U787" s="541"/>
      <c r="V787" s="1748"/>
      <c r="W787" s="541"/>
      <c r="X787" s="1748"/>
      <c r="Y787" s="1748"/>
      <c r="Z787" s="1748"/>
      <c r="AA787" s="541"/>
      <c r="AB787" s="1748"/>
      <c r="AC787" s="541"/>
      <c r="AD787" s="541"/>
      <c r="AE787" s="541"/>
      <c r="AF787" s="541"/>
      <c r="AG787" s="541"/>
      <c r="AH787" s="541"/>
      <c r="AI787" s="541"/>
      <c r="AJ787" s="541"/>
      <c r="AK787" s="541"/>
      <c r="AL787" s="541"/>
      <c r="AM787" s="541"/>
      <c r="AN787" s="1748"/>
      <c r="AO787" s="1748"/>
      <c r="AP787" s="1748"/>
      <c r="AQ787" s="1748"/>
      <c r="AR787" s="1748"/>
      <c r="AS787" s="541"/>
      <c r="AT787" s="541"/>
      <c r="AU787" s="541"/>
      <c r="AV787" s="541"/>
      <c r="AW787" s="541"/>
      <c r="AX787" s="541"/>
      <c r="AY787" s="541"/>
      <c r="AZ787" s="541"/>
      <c r="BA787" s="541"/>
      <c r="BC787" s="541"/>
      <c r="BE787" s="541"/>
      <c r="BG787" s="541"/>
      <c r="BH787" s="1190"/>
      <c r="BI787" s="541"/>
      <c r="BJ787" s="1190"/>
      <c r="BK787" s="541"/>
      <c r="BL787" s="541"/>
      <c r="BM787" s="541"/>
      <c r="BO787" s="541"/>
      <c r="BP787" s="541"/>
      <c r="BQ787" s="633"/>
      <c r="BR787" s="541"/>
      <c r="BS787" s="541"/>
      <c r="BT787" s="541"/>
    </row>
    <row r="788" ht="15.75" customHeight="1">
      <c r="A788" s="1591"/>
      <c r="B788" s="1541"/>
      <c r="C788" s="2217"/>
      <c r="D788" s="1543"/>
      <c r="E788" s="906"/>
      <c r="F788" s="541"/>
      <c r="G788" s="541"/>
      <c r="H788" s="541"/>
      <c r="I788" s="541"/>
      <c r="J788" s="1748"/>
      <c r="K788" s="541"/>
      <c r="L788" s="1748"/>
      <c r="M788" s="541"/>
      <c r="N788" s="1748"/>
      <c r="O788" s="541"/>
      <c r="P788" s="1748"/>
      <c r="Q788" s="541"/>
      <c r="R788" s="1748"/>
      <c r="S788" s="541"/>
      <c r="T788" s="1748"/>
      <c r="U788" s="541"/>
      <c r="V788" s="1748"/>
      <c r="W788" s="541"/>
      <c r="X788" s="1748"/>
      <c r="Y788" s="1748"/>
      <c r="Z788" s="1748"/>
      <c r="AA788" s="541"/>
      <c r="AB788" s="1748"/>
      <c r="AC788" s="541"/>
      <c r="AD788" s="541"/>
      <c r="AE788" s="541"/>
      <c r="AF788" s="541"/>
      <c r="AG788" s="541"/>
      <c r="AH788" s="541"/>
      <c r="AI788" s="541"/>
      <c r="AJ788" s="541"/>
      <c r="AK788" s="541"/>
      <c r="AL788" s="541"/>
      <c r="AM788" s="541"/>
      <c r="AN788" s="1748"/>
      <c r="AO788" s="1748"/>
      <c r="AP788" s="1748"/>
      <c r="AQ788" s="1748"/>
      <c r="AR788" s="1748"/>
      <c r="AS788" s="541"/>
      <c r="AT788" s="541"/>
      <c r="AU788" s="541"/>
      <c r="AV788" s="541"/>
      <c r="AW788" s="541"/>
      <c r="AX788" s="541"/>
      <c r="AY788" s="541"/>
      <c r="AZ788" s="541"/>
      <c r="BA788" s="541"/>
      <c r="BC788" s="541"/>
      <c r="BE788" s="541"/>
      <c r="BG788" s="541"/>
      <c r="BH788" s="1190"/>
      <c r="BI788" s="541"/>
      <c r="BJ788" s="1190"/>
      <c r="BK788" s="541"/>
      <c r="BL788" s="541"/>
      <c r="BM788" s="541"/>
      <c r="BO788" s="541"/>
      <c r="BP788" s="541"/>
      <c r="BQ788" s="633"/>
      <c r="BR788" s="541"/>
      <c r="BS788" s="541"/>
      <c r="BT788" s="541"/>
    </row>
    <row r="789" ht="15.75" customHeight="1">
      <c r="A789" s="1591"/>
      <c r="B789" s="1541"/>
      <c r="C789" s="2217"/>
      <c r="D789" s="1543"/>
      <c r="E789" s="906"/>
      <c r="F789" s="541"/>
      <c r="G789" s="541"/>
      <c r="H789" s="541"/>
      <c r="I789" s="541"/>
      <c r="J789" s="1748"/>
      <c r="K789" s="541"/>
      <c r="L789" s="1748"/>
      <c r="M789" s="541"/>
      <c r="N789" s="1748"/>
      <c r="O789" s="541"/>
      <c r="P789" s="1748"/>
      <c r="Q789" s="541"/>
      <c r="R789" s="1748"/>
      <c r="S789" s="541"/>
      <c r="T789" s="1748"/>
      <c r="U789" s="541"/>
      <c r="V789" s="1748"/>
      <c r="W789" s="541"/>
      <c r="X789" s="1748"/>
      <c r="Y789" s="1748"/>
      <c r="Z789" s="1748"/>
      <c r="AA789" s="541"/>
      <c r="AB789" s="1748"/>
      <c r="AC789" s="541"/>
      <c r="AD789" s="541"/>
      <c r="AE789" s="541"/>
      <c r="AF789" s="541"/>
      <c r="AG789" s="541"/>
      <c r="AH789" s="541"/>
      <c r="AI789" s="541"/>
      <c r="AJ789" s="541"/>
      <c r="AK789" s="541"/>
      <c r="AL789" s="541"/>
      <c r="AM789" s="541"/>
      <c r="AN789" s="1748"/>
      <c r="AO789" s="1748"/>
      <c r="AP789" s="1748"/>
      <c r="AQ789" s="1748"/>
      <c r="AR789" s="1748"/>
      <c r="AS789" s="541"/>
      <c r="AT789" s="541"/>
      <c r="AU789" s="541"/>
      <c r="AV789" s="541"/>
      <c r="AW789" s="541"/>
      <c r="AX789" s="541"/>
      <c r="AY789" s="541"/>
      <c r="AZ789" s="541"/>
      <c r="BA789" s="541"/>
      <c r="BC789" s="541"/>
      <c r="BE789" s="541"/>
      <c r="BG789" s="541"/>
      <c r="BH789" s="1190"/>
      <c r="BI789" s="541"/>
      <c r="BJ789" s="1190"/>
      <c r="BK789" s="541"/>
      <c r="BL789" s="541"/>
      <c r="BM789" s="541"/>
      <c r="BO789" s="541"/>
      <c r="BP789" s="541"/>
      <c r="BQ789" s="633"/>
      <c r="BR789" s="541"/>
      <c r="BS789" s="541"/>
      <c r="BT789" s="541"/>
    </row>
    <row r="790" ht="15.75" customHeight="1">
      <c r="A790" s="1591"/>
      <c r="B790" s="1541"/>
      <c r="C790" s="2217"/>
      <c r="D790" s="1543"/>
      <c r="E790" s="906"/>
      <c r="F790" s="541"/>
      <c r="G790" s="541"/>
      <c r="H790" s="541"/>
      <c r="I790" s="541"/>
      <c r="J790" s="1748"/>
      <c r="K790" s="541"/>
      <c r="L790" s="1748"/>
      <c r="M790" s="541"/>
      <c r="N790" s="1748"/>
      <c r="O790" s="541"/>
      <c r="P790" s="1748"/>
      <c r="Q790" s="541"/>
      <c r="R790" s="1748"/>
      <c r="S790" s="541"/>
      <c r="T790" s="1748"/>
      <c r="U790" s="541"/>
      <c r="V790" s="1748"/>
      <c r="W790" s="541"/>
      <c r="X790" s="1748"/>
      <c r="Y790" s="1748"/>
      <c r="Z790" s="1748"/>
      <c r="AA790" s="541"/>
      <c r="AB790" s="1748"/>
      <c r="AC790" s="541"/>
      <c r="AD790" s="541"/>
      <c r="AE790" s="541"/>
      <c r="AF790" s="541"/>
      <c r="AG790" s="541"/>
      <c r="AH790" s="541"/>
      <c r="AI790" s="541"/>
      <c r="AJ790" s="541"/>
      <c r="AK790" s="541"/>
      <c r="AL790" s="541"/>
      <c r="AM790" s="541"/>
      <c r="AN790" s="1748"/>
      <c r="AO790" s="1748"/>
      <c r="AP790" s="1748"/>
      <c r="AQ790" s="1748"/>
      <c r="AR790" s="1748"/>
      <c r="AS790" s="541"/>
      <c r="AT790" s="541"/>
      <c r="AU790" s="541"/>
      <c r="AV790" s="541"/>
      <c r="AW790" s="541"/>
      <c r="AX790" s="541"/>
      <c r="AY790" s="541"/>
      <c r="AZ790" s="541"/>
      <c r="BA790" s="541"/>
      <c r="BC790" s="541"/>
      <c r="BE790" s="541"/>
      <c r="BG790" s="541"/>
      <c r="BH790" s="1190"/>
      <c r="BI790" s="541"/>
      <c r="BJ790" s="1190"/>
      <c r="BK790" s="541"/>
      <c r="BL790" s="541"/>
      <c r="BM790" s="541"/>
      <c r="BO790" s="541"/>
      <c r="BP790" s="541"/>
      <c r="BQ790" s="633"/>
      <c r="BR790" s="541"/>
      <c r="BS790" s="541"/>
      <c r="BT790" s="541"/>
    </row>
    <row r="791" ht="15.75" customHeight="1">
      <c r="A791" s="1591"/>
      <c r="B791" s="1541"/>
      <c r="C791" s="2217"/>
      <c r="D791" s="1543"/>
      <c r="E791" s="906"/>
      <c r="F791" s="541"/>
      <c r="G791" s="541"/>
      <c r="H791" s="541"/>
      <c r="I791" s="541"/>
      <c r="J791" s="1748"/>
      <c r="K791" s="541"/>
      <c r="L791" s="1748"/>
      <c r="M791" s="541"/>
      <c r="N791" s="1748"/>
      <c r="O791" s="541"/>
      <c r="P791" s="1748"/>
      <c r="Q791" s="541"/>
      <c r="R791" s="1748"/>
      <c r="S791" s="541"/>
      <c r="T791" s="1748"/>
      <c r="U791" s="541"/>
      <c r="V791" s="1748"/>
      <c r="W791" s="541"/>
      <c r="X791" s="1748"/>
      <c r="Y791" s="1748"/>
      <c r="Z791" s="1748"/>
      <c r="AA791" s="541"/>
      <c r="AB791" s="1748"/>
      <c r="AC791" s="541"/>
      <c r="AD791" s="541"/>
      <c r="AE791" s="541"/>
      <c r="AF791" s="541"/>
      <c r="AG791" s="541"/>
      <c r="AH791" s="541"/>
      <c r="AI791" s="541"/>
      <c r="AJ791" s="541"/>
      <c r="AK791" s="541"/>
      <c r="AL791" s="541"/>
      <c r="AM791" s="541"/>
      <c r="AN791" s="1748"/>
      <c r="AO791" s="1748"/>
      <c r="AP791" s="1748"/>
      <c r="AQ791" s="1748"/>
      <c r="AR791" s="1748"/>
      <c r="AS791" s="541"/>
      <c r="AT791" s="541"/>
      <c r="AU791" s="541"/>
      <c r="AV791" s="541"/>
      <c r="AW791" s="541"/>
      <c r="AX791" s="541"/>
      <c r="AY791" s="541"/>
      <c r="AZ791" s="541"/>
      <c r="BA791" s="541"/>
      <c r="BC791" s="541"/>
      <c r="BE791" s="541"/>
      <c r="BG791" s="541"/>
      <c r="BH791" s="1190"/>
      <c r="BI791" s="541"/>
      <c r="BJ791" s="1190"/>
      <c r="BK791" s="541"/>
      <c r="BL791" s="541"/>
      <c r="BM791" s="541"/>
      <c r="BO791" s="541"/>
      <c r="BP791" s="541"/>
      <c r="BQ791" s="633"/>
      <c r="BR791" s="541"/>
      <c r="BS791" s="541"/>
      <c r="BT791" s="541"/>
    </row>
    <row r="792" ht="15.75" customHeight="1">
      <c r="A792" s="1591"/>
      <c r="B792" s="1541"/>
      <c r="C792" s="2217"/>
      <c r="D792" s="1543"/>
      <c r="E792" s="906"/>
      <c r="F792" s="541"/>
      <c r="G792" s="541"/>
      <c r="H792" s="541"/>
      <c r="I792" s="541"/>
      <c r="J792" s="1748"/>
      <c r="K792" s="541"/>
      <c r="L792" s="1748"/>
      <c r="M792" s="541"/>
      <c r="N792" s="1748"/>
      <c r="O792" s="541"/>
      <c r="P792" s="1748"/>
      <c r="Q792" s="541"/>
      <c r="R792" s="1748"/>
      <c r="S792" s="541"/>
      <c r="T792" s="1748"/>
      <c r="U792" s="541"/>
      <c r="V792" s="1748"/>
      <c r="W792" s="541"/>
      <c r="X792" s="1748"/>
      <c r="Y792" s="1748"/>
      <c r="Z792" s="1748"/>
      <c r="AA792" s="541"/>
      <c r="AB792" s="1748"/>
      <c r="AC792" s="541"/>
      <c r="AD792" s="541"/>
      <c r="AE792" s="541"/>
      <c r="AF792" s="541"/>
      <c r="AG792" s="541"/>
      <c r="AH792" s="541"/>
      <c r="AI792" s="541"/>
      <c r="AJ792" s="541"/>
      <c r="AK792" s="541"/>
      <c r="AL792" s="541"/>
      <c r="AM792" s="541"/>
      <c r="AN792" s="1748"/>
      <c r="AO792" s="1748"/>
      <c r="AP792" s="1748"/>
      <c r="AQ792" s="1748"/>
      <c r="AR792" s="1748"/>
      <c r="AS792" s="541"/>
      <c r="AT792" s="541"/>
      <c r="AU792" s="541"/>
      <c r="AV792" s="541"/>
      <c r="AW792" s="541"/>
      <c r="AX792" s="541"/>
      <c r="AY792" s="541"/>
      <c r="AZ792" s="541"/>
      <c r="BA792" s="541"/>
      <c r="BC792" s="541"/>
      <c r="BE792" s="541"/>
      <c r="BG792" s="541"/>
      <c r="BH792" s="1190"/>
      <c r="BI792" s="541"/>
      <c r="BJ792" s="1190"/>
      <c r="BK792" s="541"/>
      <c r="BL792" s="541"/>
      <c r="BM792" s="541"/>
      <c r="BO792" s="541"/>
      <c r="BP792" s="541"/>
      <c r="BQ792" s="633"/>
      <c r="BR792" s="541"/>
      <c r="BS792" s="541"/>
      <c r="BT792" s="541"/>
    </row>
    <row r="793" ht="15.75" customHeight="1">
      <c r="A793" s="1591"/>
      <c r="B793" s="1541"/>
      <c r="C793" s="2217"/>
      <c r="D793" s="1543"/>
      <c r="E793" s="906"/>
      <c r="F793" s="541"/>
      <c r="G793" s="541"/>
      <c r="H793" s="541"/>
      <c r="I793" s="541"/>
      <c r="J793" s="1748"/>
      <c r="K793" s="541"/>
      <c r="L793" s="1748"/>
      <c r="M793" s="541"/>
      <c r="N793" s="1748"/>
      <c r="O793" s="541"/>
      <c r="P793" s="1748"/>
      <c r="Q793" s="541"/>
      <c r="R793" s="1748"/>
      <c r="S793" s="541"/>
      <c r="T793" s="1748"/>
      <c r="U793" s="541"/>
      <c r="V793" s="1748"/>
      <c r="W793" s="541"/>
      <c r="X793" s="1748"/>
      <c r="Y793" s="1748"/>
      <c r="Z793" s="1748"/>
      <c r="AA793" s="541"/>
      <c r="AB793" s="1748"/>
      <c r="AC793" s="541"/>
      <c r="AD793" s="541"/>
      <c r="AE793" s="541"/>
      <c r="AF793" s="541"/>
      <c r="AG793" s="541"/>
      <c r="AH793" s="541"/>
      <c r="AI793" s="541"/>
      <c r="AJ793" s="541"/>
      <c r="AK793" s="541"/>
      <c r="AL793" s="541"/>
      <c r="AM793" s="541"/>
      <c r="AN793" s="1748"/>
      <c r="AO793" s="1748"/>
      <c r="AP793" s="1748"/>
      <c r="AQ793" s="1748"/>
      <c r="AR793" s="1748"/>
      <c r="AS793" s="541"/>
      <c r="AT793" s="541"/>
      <c r="AU793" s="541"/>
      <c r="AV793" s="541"/>
      <c r="AW793" s="541"/>
      <c r="AX793" s="541"/>
      <c r="AY793" s="541"/>
      <c r="AZ793" s="541"/>
      <c r="BA793" s="541"/>
      <c r="BC793" s="541"/>
      <c r="BE793" s="541"/>
      <c r="BG793" s="541"/>
      <c r="BH793" s="1190"/>
      <c r="BI793" s="541"/>
      <c r="BJ793" s="1190"/>
      <c r="BK793" s="541"/>
      <c r="BL793" s="541"/>
      <c r="BM793" s="541"/>
      <c r="BO793" s="541"/>
      <c r="BP793" s="541"/>
      <c r="BQ793" s="633"/>
      <c r="BR793" s="541"/>
      <c r="BS793" s="541"/>
      <c r="BT793" s="541"/>
    </row>
    <row r="794" ht="15.75" customHeight="1">
      <c r="A794" s="1591"/>
      <c r="B794" s="1541"/>
      <c r="C794" s="2217"/>
      <c r="D794" s="1543"/>
      <c r="E794" s="906"/>
      <c r="F794" s="541"/>
      <c r="G794" s="541"/>
      <c r="H794" s="541"/>
      <c r="I794" s="541"/>
      <c r="J794" s="1748"/>
      <c r="K794" s="541"/>
      <c r="L794" s="1748"/>
      <c r="M794" s="541"/>
      <c r="N794" s="1748"/>
      <c r="O794" s="541"/>
      <c r="P794" s="1748"/>
      <c r="Q794" s="541"/>
      <c r="R794" s="1748"/>
      <c r="S794" s="541"/>
      <c r="T794" s="1748"/>
      <c r="U794" s="541"/>
      <c r="V794" s="1748"/>
      <c r="W794" s="541"/>
      <c r="X794" s="1748"/>
      <c r="Y794" s="1748"/>
      <c r="Z794" s="1748"/>
      <c r="AA794" s="541"/>
      <c r="AB794" s="1748"/>
      <c r="AC794" s="541"/>
      <c r="AD794" s="541"/>
      <c r="AE794" s="541"/>
      <c r="AF794" s="541"/>
      <c r="AG794" s="541"/>
      <c r="AH794" s="541"/>
      <c r="AI794" s="541"/>
      <c r="AJ794" s="541"/>
      <c r="AK794" s="541"/>
      <c r="AL794" s="541"/>
      <c r="AM794" s="541"/>
      <c r="AN794" s="1748"/>
      <c r="AO794" s="1748"/>
      <c r="AP794" s="1748"/>
      <c r="AQ794" s="1748"/>
      <c r="AR794" s="1748"/>
      <c r="AS794" s="541"/>
      <c r="AT794" s="541"/>
      <c r="AU794" s="541"/>
      <c r="AV794" s="541"/>
      <c r="AW794" s="541"/>
      <c r="AX794" s="541"/>
      <c r="AY794" s="541"/>
      <c r="AZ794" s="541"/>
      <c r="BA794" s="541"/>
      <c r="BC794" s="541"/>
      <c r="BE794" s="541"/>
      <c r="BG794" s="541"/>
      <c r="BH794" s="1190"/>
      <c r="BI794" s="541"/>
      <c r="BJ794" s="1190"/>
      <c r="BK794" s="541"/>
      <c r="BL794" s="541"/>
      <c r="BM794" s="541"/>
      <c r="BO794" s="541"/>
      <c r="BP794" s="541"/>
      <c r="BQ794" s="633"/>
      <c r="BR794" s="541"/>
      <c r="BS794" s="541"/>
      <c r="BT794" s="541"/>
    </row>
    <row r="795" ht="15.75" customHeight="1">
      <c r="A795" s="1591"/>
      <c r="B795" s="1541"/>
      <c r="C795" s="2217"/>
      <c r="D795" s="1543"/>
      <c r="E795" s="906"/>
      <c r="F795" s="541"/>
      <c r="G795" s="541"/>
      <c r="H795" s="541"/>
      <c r="I795" s="541"/>
      <c r="J795" s="1748"/>
      <c r="K795" s="541"/>
      <c r="L795" s="1748"/>
      <c r="M795" s="541"/>
      <c r="N795" s="1748"/>
      <c r="O795" s="541"/>
      <c r="P795" s="1748"/>
      <c r="Q795" s="541"/>
      <c r="R795" s="1748"/>
      <c r="S795" s="541"/>
      <c r="T795" s="1748"/>
      <c r="U795" s="541"/>
      <c r="V795" s="1748"/>
      <c r="W795" s="541"/>
      <c r="X795" s="1748"/>
      <c r="Y795" s="1748"/>
      <c r="Z795" s="1748"/>
      <c r="AA795" s="541"/>
      <c r="AB795" s="1748"/>
      <c r="AC795" s="541"/>
      <c r="AD795" s="541"/>
      <c r="AE795" s="541"/>
      <c r="AF795" s="541"/>
      <c r="AG795" s="541"/>
      <c r="AH795" s="541"/>
      <c r="AI795" s="541"/>
      <c r="AJ795" s="541"/>
      <c r="AK795" s="541"/>
      <c r="AL795" s="541"/>
      <c r="AM795" s="541"/>
      <c r="AN795" s="1748"/>
      <c r="AO795" s="1748"/>
      <c r="AP795" s="1748"/>
      <c r="AQ795" s="1748"/>
      <c r="AR795" s="1748"/>
      <c r="AS795" s="541"/>
      <c r="AT795" s="541"/>
      <c r="AU795" s="541"/>
      <c r="AV795" s="541"/>
      <c r="AW795" s="541"/>
      <c r="AX795" s="541"/>
      <c r="AY795" s="541"/>
      <c r="AZ795" s="541"/>
      <c r="BA795" s="541"/>
      <c r="BC795" s="541"/>
      <c r="BE795" s="541"/>
      <c r="BG795" s="541"/>
      <c r="BH795" s="1190"/>
      <c r="BI795" s="541"/>
      <c r="BJ795" s="1190"/>
      <c r="BK795" s="541"/>
      <c r="BL795" s="541"/>
      <c r="BM795" s="541"/>
      <c r="BO795" s="541"/>
      <c r="BP795" s="541"/>
      <c r="BQ795" s="633"/>
      <c r="BR795" s="541"/>
      <c r="BS795" s="541"/>
      <c r="BT795" s="541"/>
    </row>
    <row r="796" ht="15.75" customHeight="1">
      <c r="A796" s="1591"/>
      <c r="B796" s="1541"/>
      <c r="C796" s="2217"/>
      <c r="D796" s="1543"/>
      <c r="E796" s="906"/>
      <c r="F796" s="541"/>
      <c r="G796" s="541"/>
      <c r="H796" s="541"/>
      <c r="I796" s="541"/>
      <c r="J796" s="1748"/>
      <c r="K796" s="541"/>
      <c r="L796" s="1748"/>
      <c r="M796" s="541"/>
      <c r="N796" s="1748"/>
      <c r="O796" s="541"/>
      <c r="P796" s="1748"/>
      <c r="Q796" s="541"/>
      <c r="R796" s="1748"/>
      <c r="S796" s="541"/>
      <c r="T796" s="1748"/>
      <c r="U796" s="541"/>
      <c r="V796" s="1748"/>
      <c r="W796" s="541"/>
      <c r="X796" s="1748"/>
      <c r="Y796" s="1748"/>
      <c r="Z796" s="1748"/>
      <c r="AA796" s="541"/>
      <c r="AB796" s="1748"/>
      <c r="AC796" s="541"/>
      <c r="AD796" s="541"/>
      <c r="AE796" s="541"/>
      <c r="AF796" s="541"/>
      <c r="AG796" s="541"/>
      <c r="AH796" s="541"/>
      <c r="AI796" s="541"/>
      <c r="AJ796" s="541"/>
      <c r="AK796" s="541"/>
      <c r="AL796" s="541"/>
      <c r="AM796" s="541"/>
      <c r="AN796" s="1748"/>
      <c r="AO796" s="1748"/>
      <c r="AP796" s="1748"/>
      <c r="AQ796" s="1748"/>
      <c r="AR796" s="1748"/>
      <c r="AS796" s="541"/>
      <c r="AT796" s="541"/>
      <c r="AU796" s="541"/>
      <c r="AV796" s="541"/>
      <c r="AW796" s="541"/>
      <c r="AX796" s="541"/>
      <c r="AY796" s="541"/>
      <c r="AZ796" s="541"/>
      <c r="BA796" s="541"/>
      <c r="BC796" s="541"/>
      <c r="BE796" s="541"/>
      <c r="BG796" s="541"/>
      <c r="BH796" s="1190"/>
      <c r="BI796" s="541"/>
      <c r="BJ796" s="1190"/>
      <c r="BK796" s="541"/>
      <c r="BL796" s="541"/>
      <c r="BM796" s="541"/>
      <c r="BO796" s="541"/>
      <c r="BP796" s="541"/>
      <c r="BQ796" s="633"/>
      <c r="BR796" s="541"/>
      <c r="BS796" s="541"/>
      <c r="BT796" s="541"/>
    </row>
    <row r="797" ht="15.75" customHeight="1">
      <c r="A797" s="1591"/>
      <c r="B797" s="1541"/>
      <c r="C797" s="2217"/>
      <c r="D797" s="1543"/>
      <c r="E797" s="906"/>
      <c r="F797" s="541"/>
      <c r="G797" s="541"/>
      <c r="H797" s="541"/>
      <c r="I797" s="541"/>
      <c r="J797" s="1748"/>
      <c r="K797" s="541"/>
      <c r="L797" s="1748"/>
      <c r="M797" s="541"/>
      <c r="N797" s="1748"/>
      <c r="O797" s="541"/>
      <c r="P797" s="1748"/>
      <c r="Q797" s="541"/>
      <c r="R797" s="1748"/>
      <c r="S797" s="541"/>
      <c r="T797" s="1748"/>
      <c r="U797" s="541"/>
      <c r="V797" s="1748"/>
      <c r="W797" s="541"/>
      <c r="X797" s="1748"/>
      <c r="Y797" s="1748"/>
      <c r="Z797" s="1748"/>
      <c r="AA797" s="541"/>
      <c r="AB797" s="1748"/>
      <c r="AC797" s="541"/>
      <c r="AD797" s="541"/>
      <c r="AE797" s="541"/>
      <c r="AF797" s="541"/>
      <c r="AG797" s="541"/>
      <c r="AH797" s="541"/>
      <c r="AI797" s="541"/>
      <c r="AJ797" s="541"/>
      <c r="AK797" s="541"/>
      <c r="AL797" s="541"/>
      <c r="AM797" s="541"/>
      <c r="AN797" s="1748"/>
      <c r="AO797" s="1748"/>
      <c r="AP797" s="1748"/>
      <c r="AQ797" s="1748"/>
      <c r="AR797" s="1748"/>
      <c r="AS797" s="541"/>
      <c r="AT797" s="541"/>
      <c r="AU797" s="541"/>
      <c r="AV797" s="541"/>
      <c r="AW797" s="541"/>
      <c r="AX797" s="541"/>
      <c r="AY797" s="541"/>
      <c r="AZ797" s="541"/>
      <c r="BA797" s="541"/>
      <c r="BC797" s="541"/>
      <c r="BE797" s="541"/>
      <c r="BG797" s="541"/>
      <c r="BH797" s="1190"/>
      <c r="BI797" s="541"/>
      <c r="BJ797" s="1190"/>
      <c r="BK797" s="541"/>
      <c r="BL797" s="541"/>
      <c r="BM797" s="541"/>
      <c r="BO797" s="541"/>
      <c r="BP797" s="541"/>
      <c r="BQ797" s="633"/>
      <c r="BR797" s="541"/>
      <c r="BS797" s="541"/>
      <c r="BT797" s="541"/>
    </row>
    <row r="798" ht="15.75" customHeight="1">
      <c r="A798" s="1591"/>
      <c r="B798" s="1541"/>
      <c r="C798" s="2217"/>
      <c r="D798" s="1543"/>
      <c r="E798" s="906"/>
      <c r="F798" s="541"/>
      <c r="G798" s="541"/>
      <c r="H798" s="541"/>
      <c r="I798" s="541"/>
      <c r="J798" s="1748"/>
      <c r="K798" s="541"/>
      <c r="L798" s="1748"/>
      <c r="M798" s="541"/>
      <c r="N798" s="1748"/>
      <c r="O798" s="541"/>
      <c r="P798" s="1748"/>
      <c r="Q798" s="541"/>
      <c r="R798" s="1748"/>
      <c r="S798" s="541"/>
      <c r="T798" s="1748"/>
      <c r="U798" s="541"/>
      <c r="V798" s="1748"/>
      <c r="W798" s="541"/>
      <c r="X798" s="1748"/>
      <c r="Y798" s="1748"/>
      <c r="Z798" s="1748"/>
      <c r="AA798" s="541"/>
      <c r="AB798" s="1748"/>
      <c r="AC798" s="541"/>
      <c r="AD798" s="541"/>
      <c r="AE798" s="541"/>
      <c r="AF798" s="541"/>
      <c r="AG798" s="541"/>
      <c r="AH798" s="541"/>
      <c r="AI798" s="541"/>
      <c r="AJ798" s="541"/>
      <c r="AK798" s="541"/>
      <c r="AL798" s="541"/>
      <c r="AM798" s="541"/>
      <c r="AN798" s="1748"/>
      <c r="AO798" s="1748"/>
      <c r="AP798" s="1748"/>
      <c r="AQ798" s="1748"/>
      <c r="AR798" s="1748"/>
      <c r="AS798" s="541"/>
      <c r="AT798" s="541"/>
      <c r="AU798" s="541"/>
      <c r="AV798" s="541"/>
      <c r="AW798" s="541"/>
      <c r="AX798" s="541"/>
      <c r="AY798" s="541"/>
      <c r="AZ798" s="541"/>
      <c r="BA798" s="541"/>
      <c r="BC798" s="541"/>
      <c r="BE798" s="541"/>
      <c r="BG798" s="541"/>
      <c r="BH798" s="1190"/>
      <c r="BI798" s="541"/>
      <c r="BJ798" s="1190"/>
      <c r="BK798" s="541"/>
      <c r="BL798" s="541"/>
      <c r="BM798" s="541"/>
      <c r="BO798" s="541"/>
      <c r="BP798" s="541"/>
      <c r="BQ798" s="633"/>
      <c r="BR798" s="541"/>
      <c r="BS798" s="541"/>
      <c r="BT798" s="541"/>
    </row>
    <row r="799" ht="15.75" customHeight="1">
      <c r="A799" s="1591"/>
      <c r="B799" s="1541"/>
      <c r="C799" s="2217"/>
      <c r="D799" s="1543"/>
      <c r="E799" s="906"/>
      <c r="F799" s="541"/>
      <c r="G799" s="541"/>
      <c r="H799" s="541"/>
      <c r="I799" s="541"/>
      <c r="J799" s="1748"/>
      <c r="K799" s="541"/>
      <c r="L799" s="1748"/>
      <c r="M799" s="541"/>
      <c r="N799" s="1748"/>
      <c r="O799" s="541"/>
      <c r="P799" s="1748"/>
      <c r="Q799" s="541"/>
      <c r="R799" s="1748"/>
      <c r="S799" s="541"/>
      <c r="T799" s="1748"/>
      <c r="U799" s="541"/>
      <c r="V799" s="1748"/>
      <c r="W799" s="541"/>
      <c r="X799" s="1748"/>
      <c r="Y799" s="1748"/>
      <c r="Z799" s="1748"/>
      <c r="AA799" s="541"/>
      <c r="AB799" s="1748"/>
      <c r="AC799" s="541"/>
      <c r="AD799" s="541"/>
      <c r="AE799" s="541"/>
      <c r="AF799" s="541"/>
      <c r="AG799" s="541"/>
      <c r="AH799" s="541"/>
      <c r="AI799" s="541"/>
      <c r="AJ799" s="541"/>
      <c r="AK799" s="541"/>
      <c r="AL799" s="541"/>
      <c r="AM799" s="541"/>
      <c r="AN799" s="1748"/>
      <c r="AO799" s="1748"/>
      <c r="AP799" s="1748"/>
      <c r="AQ799" s="1748"/>
      <c r="AR799" s="1748"/>
      <c r="AS799" s="541"/>
      <c r="AT799" s="541"/>
      <c r="AU799" s="541"/>
      <c r="AV799" s="541"/>
      <c r="AW799" s="541"/>
      <c r="AX799" s="541"/>
      <c r="AY799" s="541"/>
      <c r="AZ799" s="541"/>
      <c r="BA799" s="541"/>
      <c r="BC799" s="541"/>
      <c r="BE799" s="541"/>
      <c r="BG799" s="541"/>
      <c r="BH799" s="1190"/>
      <c r="BI799" s="541"/>
      <c r="BJ799" s="1190"/>
      <c r="BK799" s="541"/>
      <c r="BL799" s="541"/>
      <c r="BM799" s="541"/>
      <c r="BO799" s="541"/>
      <c r="BP799" s="541"/>
      <c r="BQ799" s="633"/>
      <c r="BR799" s="541"/>
      <c r="BS799" s="541"/>
      <c r="BT799" s="541"/>
    </row>
    <row r="800" ht="15.75" customHeight="1">
      <c r="A800" s="1591"/>
      <c r="B800" s="1541"/>
      <c r="C800" s="2217"/>
      <c r="D800" s="1543"/>
      <c r="E800" s="906"/>
      <c r="F800" s="541"/>
      <c r="G800" s="541"/>
      <c r="H800" s="541"/>
      <c r="I800" s="541"/>
      <c r="J800" s="1748"/>
      <c r="K800" s="541"/>
      <c r="L800" s="1748"/>
      <c r="M800" s="541"/>
      <c r="N800" s="1748"/>
      <c r="O800" s="541"/>
      <c r="P800" s="1748"/>
      <c r="Q800" s="541"/>
      <c r="R800" s="1748"/>
      <c r="S800" s="541"/>
      <c r="T800" s="1748"/>
      <c r="U800" s="541"/>
      <c r="V800" s="1748"/>
      <c r="W800" s="541"/>
      <c r="X800" s="1748"/>
      <c r="Y800" s="1748"/>
      <c r="Z800" s="1748"/>
      <c r="AA800" s="541"/>
      <c r="AB800" s="1748"/>
      <c r="AC800" s="541"/>
      <c r="AD800" s="541"/>
      <c r="AE800" s="541"/>
      <c r="AF800" s="541"/>
      <c r="AG800" s="541"/>
      <c r="AH800" s="541"/>
      <c r="AI800" s="541"/>
      <c r="AJ800" s="541"/>
      <c r="AK800" s="541"/>
      <c r="AL800" s="541"/>
      <c r="AM800" s="541"/>
      <c r="AN800" s="1748"/>
      <c r="AO800" s="1748"/>
      <c r="AP800" s="1748"/>
      <c r="AQ800" s="1748"/>
      <c r="AR800" s="1748"/>
      <c r="AS800" s="541"/>
      <c r="AT800" s="541"/>
      <c r="AU800" s="541"/>
      <c r="AV800" s="541"/>
      <c r="AW800" s="541"/>
      <c r="AX800" s="541"/>
      <c r="AY800" s="541"/>
      <c r="AZ800" s="541"/>
      <c r="BA800" s="541"/>
      <c r="BC800" s="541"/>
      <c r="BE800" s="541"/>
      <c r="BG800" s="541"/>
      <c r="BH800" s="1190"/>
      <c r="BI800" s="541"/>
      <c r="BJ800" s="1190"/>
      <c r="BK800" s="541"/>
      <c r="BL800" s="541"/>
      <c r="BM800" s="541"/>
      <c r="BO800" s="541"/>
      <c r="BP800" s="541"/>
      <c r="BQ800" s="633"/>
      <c r="BR800" s="541"/>
      <c r="BS800" s="541"/>
      <c r="BT800" s="541"/>
    </row>
    <row r="801" ht="15.75" customHeight="1">
      <c r="A801" s="1591"/>
      <c r="B801" s="1541"/>
      <c r="C801" s="2217"/>
      <c r="D801" s="1543"/>
      <c r="E801" s="906"/>
      <c r="F801" s="541"/>
      <c r="G801" s="541"/>
      <c r="H801" s="541"/>
      <c r="I801" s="541"/>
      <c r="J801" s="1748"/>
      <c r="K801" s="541"/>
      <c r="L801" s="1748"/>
      <c r="M801" s="541"/>
      <c r="N801" s="1748"/>
      <c r="O801" s="541"/>
      <c r="P801" s="1748"/>
      <c r="Q801" s="541"/>
      <c r="R801" s="1748"/>
      <c r="S801" s="541"/>
      <c r="T801" s="1748"/>
      <c r="U801" s="541"/>
      <c r="V801" s="1748"/>
      <c r="W801" s="541"/>
      <c r="X801" s="1748"/>
      <c r="Y801" s="1748"/>
      <c r="Z801" s="1748"/>
      <c r="AA801" s="541"/>
      <c r="AB801" s="1748"/>
      <c r="AC801" s="541"/>
      <c r="AD801" s="541"/>
      <c r="AE801" s="541"/>
      <c r="AF801" s="541"/>
      <c r="AG801" s="541"/>
      <c r="AH801" s="541"/>
      <c r="AI801" s="541"/>
      <c r="AJ801" s="541"/>
      <c r="AK801" s="541"/>
      <c r="AL801" s="541"/>
      <c r="AM801" s="541"/>
      <c r="AN801" s="1748"/>
      <c r="AO801" s="1748"/>
      <c r="AP801" s="1748"/>
      <c r="AQ801" s="1748"/>
      <c r="AR801" s="1748"/>
      <c r="AS801" s="541"/>
      <c r="AT801" s="541"/>
      <c r="AU801" s="541"/>
      <c r="AV801" s="541"/>
      <c r="AW801" s="541"/>
      <c r="AX801" s="541"/>
      <c r="AY801" s="541"/>
      <c r="AZ801" s="541"/>
      <c r="BA801" s="541"/>
      <c r="BC801" s="541"/>
      <c r="BE801" s="541"/>
      <c r="BG801" s="541"/>
      <c r="BH801" s="1190"/>
      <c r="BI801" s="541"/>
      <c r="BJ801" s="1190"/>
      <c r="BK801" s="541"/>
      <c r="BL801" s="541"/>
      <c r="BM801" s="541"/>
      <c r="BO801" s="541"/>
      <c r="BP801" s="541"/>
      <c r="BQ801" s="633"/>
      <c r="BR801" s="541"/>
      <c r="BS801" s="541"/>
      <c r="BT801" s="541"/>
    </row>
    <row r="802" ht="15.75" customHeight="1">
      <c r="A802" s="1591"/>
      <c r="B802" s="1541"/>
      <c r="C802" s="2217"/>
      <c r="D802" s="1543"/>
      <c r="E802" s="906"/>
      <c r="F802" s="541"/>
      <c r="G802" s="541"/>
      <c r="H802" s="541"/>
      <c r="I802" s="541"/>
      <c r="J802" s="1748"/>
      <c r="K802" s="541"/>
      <c r="L802" s="1748"/>
      <c r="M802" s="541"/>
      <c r="N802" s="1748"/>
      <c r="O802" s="541"/>
      <c r="P802" s="1748"/>
      <c r="Q802" s="541"/>
      <c r="R802" s="1748"/>
      <c r="S802" s="541"/>
      <c r="T802" s="1748"/>
      <c r="U802" s="541"/>
      <c r="V802" s="1748"/>
      <c r="W802" s="541"/>
      <c r="X802" s="1748"/>
      <c r="Y802" s="1748"/>
      <c r="Z802" s="1748"/>
      <c r="AA802" s="541"/>
      <c r="AB802" s="1748"/>
      <c r="AC802" s="541"/>
      <c r="AD802" s="541"/>
      <c r="AE802" s="541"/>
      <c r="AF802" s="541"/>
      <c r="AG802" s="541"/>
      <c r="AH802" s="541"/>
      <c r="AI802" s="541"/>
      <c r="AJ802" s="541"/>
      <c r="AK802" s="541"/>
      <c r="AL802" s="541"/>
      <c r="AM802" s="541"/>
      <c r="AN802" s="1748"/>
      <c r="AO802" s="1748"/>
      <c r="AP802" s="1748"/>
      <c r="AQ802" s="1748"/>
      <c r="AR802" s="1748"/>
      <c r="AS802" s="541"/>
      <c r="AT802" s="541"/>
      <c r="AU802" s="541"/>
      <c r="AV802" s="541"/>
      <c r="AW802" s="541"/>
      <c r="AX802" s="541"/>
      <c r="AY802" s="541"/>
      <c r="AZ802" s="541"/>
      <c r="BA802" s="541"/>
      <c r="BC802" s="541"/>
      <c r="BE802" s="541"/>
      <c r="BG802" s="541"/>
      <c r="BH802" s="1190"/>
      <c r="BI802" s="541"/>
      <c r="BJ802" s="1190"/>
      <c r="BK802" s="541"/>
      <c r="BL802" s="541"/>
      <c r="BM802" s="541"/>
      <c r="BO802" s="541"/>
      <c r="BP802" s="541"/>
      <c r="BQ802" s="633"/>
      <c r="BR802" s="541"/>
      <c r="BS802" s="541"/>
      <c r="BT802" s="541"/>
    </row>
    <row r="803" ht="15.75" customHeight="1">
      <c r="A803" s="1591"/>
      <c r="B803" s="1541"/>
      <c r="C803" s="2217"/>
      <c r="D803" s="1543"/>
      <c r="E803" s="906"/>
      <c r="F803" s="541"/>
      <c r="G803" s="541"/>
      <c r="H803" s="541"/>
      <c r="I803" s="541"/>
      <c r="J803" s="1748"/>
      <c r="K803" s="541"/>
      <c r="L803" s="1748"/>
      <c r="M803" s="541"/>
      <c r="N803" s="1748"/>
      <c r="O803" s="541"/>
      <c r="P803" s="1748"/>
      <c r="Q803" s="541"/>
      <c r="R803" s="1748"/>
      <c r="S803" s="541"/>
      <c r="T803" s="1748"/>
      <c r="U803" s="541"/>
      <c r="V803" s="1748"/>
      <c r="W803" s="541"/>
      <c r="X803" s="1748"/>
      <c r="Y803" s="1748"/>
      <c r="Z803" s="1748"/>
      <c r="AA803" s="541"/>
      <c r="AB803" s="1748"/>
      <c r="AC803" s="541"/>
      <c r="AD803" s="541"/>
      <c r="AE803" s="541"/>
      <c r="AF803" s="541"/>
      <c r="AG803" s="541"/>
      <c r="AH803" s="541"/>
      <c r="AI803" s="541"/>
      <c r="AJ803" s="541"/>
      <c r="AK803" s="541"/>
      <c r="AL803" s="541"/>
      <c r="AM803" s="541"/>
      <c r="AN803" s="1748"/>
      <c r="AO803" s="1748"/>
      <c r="AP803" s="1748"/>
      <c r="AQ803" s="1748"/>
      <c r="AR803" s="1748"/>
      <c r="AS803" s="541"/>
      <c r="AT803" s="541"/>
      <c r="AU803" s="541"/>
      <c r="AV803" s="541"/>
      <c r="AW803" s="541"/>
      <c r="AX803" s="541"/>
      <c r="AY803" s="541"/>
      <c r="AZ803" s="541"/>
      <c r="BA803" s="541"/>
      <c r="BC803" s="541"/>
      <c r="BE803" s="541"/>
      <c r="BG803" s="541"/>
      <c r="BH803" s="1190"/>
      <c r="BI803" s="541"/>
      <c r="BJ803" s="1190"/>
      <c r="BK803" s="541"/>
      <c r="BL803" s="541"/>
      <c r="BM803" s="541"/>
      <c r="BO803" s="541"/>
      <c r="BP803" s="541"/>
      <c r="BQ803" s="633"/>
      <c r="BR803" s="541"/>
      <c r="BS803" s="541"/>
      <c r="BT803" s="541"/>
    </row>
    <row r="804" ht="15.75" customHeight="1">
      <c r="A804" s="1591"/>
      <c r="B804" s="1541"/>
      <c r="C804" s="2217"/>
      <c r="D804" s="1543"/>
      <c r="E804" s="906"/>
      <c r="F804" s="541"/>
      <c r="G804" s="541"/>
      <c r="H804" s="541"/>
      <c r="I804" s="541"/>
      <c r="J804" s="1748"/>
      <c r="K804" s="541"/>
      <c r="L804" s="1748"/>
      <c r="M804" s="541"/>
      <c r="N804" s="1748"/>
      <c r="O804" s="541"/>
      <c r="P804" s="1748"/>
      <c r="Q804" s="541"/>
      <c r="R804" s="1748"/>
      <c r="S804" s="541"/>
      <c r="T804" s="1748"/>
      <c r="U804" s="541"/>
      <c r="V804" s="1748"/>
      <c r="W804" s="541"/>
      <c r="X804" s="1748"/>
      <c r="Y804" s="1748"/>
      <c r="Z804" s="1748"/>
      <c r="AA804" s="541"/>
      <c r="AB804" s="1748"/>
      <c r="AC804" s="541"/>
      <c r="AD804" s="541"/>
      <c r="AE804" s="541"/>
      <c r="AF804" s="541"/>
      <c r="AG804" s="541"/>
      <c r="AH804" s="541"/>
      <c r="AI804" s="541"/>
      <c r="AJ804" s="541"/>
      <c r="AK804" s="541"/>
      <c r="AL804" s="541"/>
      <c r="AM804" s="541"/>
      <c r="AN804" s="1748"/>
      <c r="AO804" s="1748"/>
      <c r="AP804" s="1748"/>
      <c r="AQ804" s="1748"/>
      <c r="AR804" s="1748"/>
      <c r="AS804" s="541"/>
      <c r="AT804" s="541"/>
      <c r="AU804" s="541"/>
      <c r="AV804" s="541"/>
      <c r="AW804" s="541"/>
      <c r="AX804" s="541"/>
      <c r="AY804" s="541"/>
      <c r="AZ804" s="541"/>
      <c r="BA804" s="541"/>
      <c r="BC804" s="541"/>
      <c r="BE804" s="541"/>
      <c r="BG804" s="541"/>
      <c r="BH804" s="1190"/>
      <c r="BI804" s="541"/>
      <c r="BJ804" s="1190"/>
      <c r="BK804" s="541"/>
      <c r="BL804" s="541"/>
      <c r="BM804" s="541"/>
      <c r="BO804" s="541"/>
      <c r="BP804" s="541"/>
      <c r="BQ804" s="633"/>
      <c r="BR804" s="541"/>
      <c r="BS804" s="541"/>
      <c r="BT804" s="541"/>
    </row>
    <row r="805" ht="15.75" customHeight="1">
      <c r="A805" s="1591"/>
      <c r="B805" s="1541"/>
      <c r="C805" s="2217"/>
      <c r="D805" s="1543"/>
      <c r="E805" s="906"/>
      <c r="F805" s="541"/>
      <c r="G805" s="541"/>
      <c r="H805" s="541"/>
      <c r="I805" s="541"/>
      <c r="J805" s="1748"/>
      <c r="K805" s="541"/>
      <c r="L805" s="1748"/>
      <c r="M805" s="541"/>
      <c r="N805" s="1748"/>
      <c r="O805" s="541"/>
      <c r="P805" s="1748"/>
      <c r="Q805" s="541"/>
      <c r="R805" s="1748"/>
      <c r="S805" s="541"/>
      <c r="T805" s="1748"/>
      <c r="U805" s="541"/>
      <c r="V805" s="1748"/>
      <c r="W805" s="541"/>
      <c r="X805" s="1748"/>
      <c r="Y805" s="1748"/>
      <c r="Z805" s="1748"/>
      <c r="AA805" s="541"/>
      <c r="AB805" s="1748"/>
      <c r="AC805" s="541"/>
      <c r="AD805" s="541"/>
      <c r="AE805" s="541"/>
      <c r="AF805" s="541"/>
      <c r="AG805" s="541"/>
      <c r="AH805" s="541"/>
      <c r="AI805" s="541"/>
      <c r="AJ805" s="541"/>
      <c r="AK805" s="541"/>
      <c r="AL805" s="541"/>
      <c r="AM805" s="541"/>
      <c r="AN805" s="1748"/>
      <c r="AO805" s="1748"/>
      <c r="AP805" s="1748"/>
      <c r="AQ805" s="1748"/>
      <c r="AR805" s="1748"/>
      <c r="AS805" s="541"/>
      <c r="AT805" s="541"/>
      <c r="AU805" s="541"/>
      <c r="AV805" s="541"/>
      <c r="AW805" s="541"/>
      <c r="AX805" s="541"/>
      <c r="AY805" s="541"/>
      <c r="AZ805" s="541"/>
      <c r="BA805" s="541"/>
      <c r="BC805" s="541"/>
      <c r="BE805" s="541"/>
      <c r="BG805" s="541"/>
      <c r="BH805" s="1190"/>
      <c r="BI805" s="541"/>
      <c r="BJ805" s="1190"/>
      <c r="BK805" s="541"/>
      <c r="BL805" s="541"/>
      <c r="BM805" s="541"/>
      <c r="BO805" s="541"/>
      <c r="BP805" s="541"/>
      <c r="BQ805" s="633"/>
      <c r="BR805" s="541"/>
      <c r="BS805" s="541"/>
      <c r="BT805" s="541"/>
    </row>
    <row r="806" ht="15.75" customHeight="1">
      <c r="A806" s="1591"/>
      <c r="B806" s="1541"/>
      <c r="C806" s="2217"/>
      <c r="D806" s="1543"/>
      <c r="E806" s="906"/>
      <c r="F806" s="541"/>
      <c r="G806" s="541"/>
      <c r="H806" s="541"/>
      <c r="I806" s="541"/>
      <c r="J806" s="1748"/>
      <c r="K806" s="541"/>
      <c r="L806" s="1748"/>
      <c r="M806" s="541"/>
      <c r="N806" s="1748"/>
      <c r="O806" s="541"/>
      <c r="P806" s="1748"/>
      <c r="Q806" s="541"/>
      <c r="R806" s="1748"/>
      <c r="S806" s="541"/>
      <c r="T806" s="1748"/>
      <c r="U806" s="541"/>
      <c r="V806" s="1748"/>
      <c r="W806" s="541"/>
      <c r="X806" s="1748"/>
      <c r="Y806" s="1748"/>
      <c r="Z806" s="1748"/>
      <c r="AA806" s="541"/>
      <c r="AB806" s="1748"/>
      <c r="AC806" s="541"/>
      <c r="AD806" s="541"/>
      <c r="AE806" s="541"/>
      <c r="AF806" s="541"/>
      <c r="AG806" s="541"/>
      <c r="AH806" s="541"/>
      <c r="AI806" s="541"/>
      <c r="AJ806" s="541"/>
      <c r="AK806" s="541"/>
      <c r="AL806" s="541"/>
      <c r="AM806" s="541"/>
      <c r="AN806" s="1748"/>
      <c r="AO806" s="1748"/>
      <c r="AP806" s="1748"/>
      <c r="AQ806" s="1748"/>
      <c r="AR806" s="1748"/>
      <c r="AS806" s="541"/>
      <c r="AT806" s="541"/>
      <c r="AU806" s="541"/>
      <c r="AV806" s="541"/>
      <c r="AW806" s="541"/>
      <c r="AX806" s="541"/>
      <c r="AY806" s="541"/>
      <c r="AZ806" s="541"/>
      <c r="BA806" s="541"/>
      <c r="BC806" s="541"/>
      <c r="BE806" s="541"/>
      <c r="BG806" s="541"/>
      <c r="BH806" s="1190"/>
      <c r="BI806" s="541"/>
      <c r="BJ806" s="1190"/>
      <c r="BK806" s="541"/>
      <c r="BL806" s="541"/>
      <c r="BM806" s="541"/>
      <c r="BO806" s="541"/>
      <c r="BP806" s="541"/>
      <c r="BQ806" s="633"/>
      <c r="BR806" s="541"/>
      <c r="BS806" s="541"/>
      <c r="BT806" s="541"/>
    </row>
    <row r="807" ht="15.75" customHeight="1">
      <c r="A807" s="1591"/>
      <c r="B807" s="1541"/>
      <c r="C807" s="2217"/>
      <c r="D807" s="1543"/>
      <c r="E807" s="906"/>
      <c r="F807" s="541"/>
      <c r="G807" s="541"/>
      <c r="H807" s="541"/>
      <c r="I807" s="541"/>
      <c r="J807" s="1748"/>
      <c r="K807" s="541"/>
      <c r="L807" s="1748"/>
      <c r="M807" s="541"/>
      <c r="N807" s="1748"/>
      <c r="O807" s="541"/>
      <c r="P807" s="1748"/>
      <c r="Q807" s="541"/>
      <c r="R807" s="1748"/>
      <c r="S807" s="541"/>
      <c r="T807" s="1748"/>
      <c r="U807" s="541"/>
      <c r="V807" s="1748"/>
      <c r="W807" s="541"/>
      <c r="X807" s="1748"/>
      <c r="Y807" s="1748"/>
      <c r="Z807" s="1748"/>
      <c r="AA807" s="541"/>
      <c r="AB807" s="1748"/>
      <c r="AC807" s="541"/>
      <c r="AD807" s="541"/>
      <c r="AE807" s="541"/>
      <c r="AF807" s="541"/>
      <c r="AG807" s="541"/>
      <c r="AH807" s="541"/>
      <c r="AI807" s="541"/>
      <c r="AJ807" s="541"/>
      <c r="AK807" s="541"/>
      <c r="AL807" s="541"/>
      <c r="AM807" s="541"/>
      <c r="AN807" s="1748"/>
      <c r="AO807" s="1748"/>
      <c r="AP807" s="1748"/>
      <c r="AQ807" s="1748"/>
      <c r="AR807" s="1748"/>
      <c r="AS807" s="541"/>
      <c r="AT807" s="541"/>
      <c r="AU807" s="541"/>
      <c r="AV807" s="541"/>
      <c r="AW807" s="541"/>
      <c r="AX807" s="541"/>
      <c r="AY807" s="541"/>
      <c r="AZ807" s="541"/>
      <c r="BA807" s="541"/>
      <c r="BC807" s="541"/>
      <c r="BE807" s="541"/>
      <c r="BG807" s="541"/>
      <c r="BH807" s="1190"/>
      <c r="BI807" s="541"/>
      <c r="BJ807" s="1190"/>
      <c r="BK807" s="541"/>
      <c r="BL807" s="541"/>
      <c r="BM807" s="541"/>
      <c r="BO807" s="541"/>
      <c r="BP807" s="541"/>
      <c r="BQ807" s="633"/>
      <c r="BR807" s="541"/>
      <c r="BS807" s="541"/>
      <c r="BT807" s="541"/>
    </row>
    <row r="808" ht="15.75" customHeight="1">
      <c r="A808" s="1591"/>
      <c r="B808" s="1541"/>
      <c r="C808" s="2217"/>
      <c r="D808" s="1543"/>
      <c r="E808" s="906"/>
      <c r="F808" s="541"/>
      <c r="G808" s="541"/>
      <c r="H808" s="541"/>
      <c r="I808" s="541"/>
      <c r="J808" s="1748"/>
      <c r="K808" s="541"/>
      <c r="L808" s="1748"/>
      <c r="M808" s="541"/>
      <c r="N808" s="1748"/>
      <c r="O808" s="541"/>
      <c r="P808" s="1748"/>
      <c r="Q808" s="541"/>
      <c r="R808" s="1748"/>
      <c r="S808" s="541"/>
      <c r="T808" s="1748"/>
      <c r="U808" s="541"/>
      <c r="V808" s="1748"/>
      <c r="W808" s="541"/>
      <c r="X808" s="1748"/>
      <c r="Y808" s="1748"/>
      <c r="Z808" s="1748"/>
      <c r="AA808" s="541"/>
      <c r="AB808" s="1748"/>
      <c r="AC808" s="541"/>
      <c r="AD808" s="541"/>
      <c r="AE808" s="541"/>
      <c r="AF808" s="541"/>
      <c r="AG808" s="541"/>
      <c r="AH808" s="541"/>
      <c r="AI808" s="541"/>
      <c r="AJ808" s="541"/>
      <c r="AK808" s="541"/>
      <c r="AL808" s="541"/>
      <c r="AM808" s="541"/>
      <c r="AN808" s="1748"/>
      <c r="AO808" s="1748"/>
      <c r="AP808" s="1748"/>
      <c r="AQ808" s="1748"/>
      <c r="AR808" s="1748"/>
      <c r="AS808" s="541"/>
      <c r="AT808" s="541"/>
      <c r="AU808" s="541"/>
      <c r="AV808" s="541"/>
      <c r="AW808" s="541"/>
      <c r="AX808" s="541"/>
      <c r="AY808" s="541"/>
      <c r="AZ808" s="541"/>
      <c r="BA808" s="541"/>
      <c r="BC808" s="541"/>
      <c r="BE808" s="541"/>
      <c r="BG808" s="541"/>
      <c r="BH808" s="1190"/>
      <c r="BI808" s="541"/>
      <c r="BJ808" s="1190"/>
      <c r="BK808" s="541"/>
      <c r="BL808" s="541"/>
      <c r="BM808" s="541"/>
      <c r="BO808" s="541"/>
      <c r="BP808" s="541"/>
      <c r="BQ808" s="633"/>
      <c r="BR808" s="541"/>
      <c r="BS808" s="541"/>
      <c r="BT808" s="541"/>
    </row>
    <row r="809" ht="15.75" customHeight="1">
      <c r="A809" s="1591"/>
      <c r="B809" s="1541"/>
      <c r="C809" s="2217"/>
      <c r="D809" s="1543"/>
      <c r="E809" s="906"/>
      <c r="F809" s="541"/>
      <c r="G809" s="541"/>
      <c r="H809" s="541"/>
      <c r="I809" s="541"/>
      <c r="J809" s="1748"/>
      <c r="K809" s="541"/>
      <c r="L809" s="1748"/>
      <c r="M809" s="541"/>
      <c r="N809" s="1748"/>
      <c r="O809" s="541"/>
      <c r="P809" s="1748"/>
      <c r="Q809" s="541"/>
      <c r="R809" s="1748"/>
      <c r="S809" s="541"/>
      <c r="T809" s="1748"/>
      <c r="U809" s="541"/>
      <c r="V809" s="1748"/>
      <c r="W809" s="541"/>
      <c r="X809" s="1748"/>
      <c r="Y809" s="1748"/>
      <c r="Z809" s="1748"/>
      <c r="AA809" s="541"/>
      <c r="AB809" s="1748"/>
      <c r="AC809" s="541"/>
      <c r="AD809" s="541"/>
      <c r="AE809" s="541"/>
      <c r="AF809" s="541"/>
      <c r="AG809" s="541"/>
      <c r="AH809" s="541"/>
      <c r="AI809" s="541"/>
      <c r="AJ809" s="541"/>
      <c r="AK809" s="541"/>
      <c r="AL809" s="541"/>
      <c r="AM809" s="541"/>
      <c r="AN809" s="1748"/>
      <c r="AO809" s="1748"/>
      <c r="AP809" s="1748"/>
      <c r="AQ809" s="1748"/>
      <c r="AR809" s="1748"/>
      <c r="AS809" s="541"/>
      <c r="AT809" s="541"/>
      <c r="AU809" s="541"/>
      <c r="AV809" s="541"/>
      <c r="AW809" s="541"/>
      <c r="AX809" s="541"/>
      <c r="AY809" s="541"/>
      <c r="AZ809" s="541"/>
      <c r="BA809" s="541"/>
      <c r="BC809" s="541"/>
      <c r="BE809" s="541"/>
      <c r="BG809" s="541"/>
      <c r="BH809" s="1190"/>
      <c r="BI809" s="541"/>
      <c r="BJ809" s="1190"/>
      <c r="BK809" s="541"/>
      <c r="BL809" s="541"/>
      <c r="BM809" s="541"/>
      <c r="BO809" s="541"/>
      <c r="BP809" s="541"/>
      <c r="BQ809" s="633"/>
      <c r="BR809" s="541"/>
      <c r="BS809" s="541"/>
      <c r="BT809" s="541"/>
    </row>
    <row r="810" ht="15.75" customHeight="1">
      <c r="A810" s="1591"/>
      <c r="B810" s="1541"/>
      <c r="C810" s="2217"/>
      <c r="D810" s="1543"/>
      <c r="E810" s="906"/>
      <c r="F810" s="541"/>
      <c r="G810" s="541"/>
      <c r="H810" s="541"/>
      <c r="I810" s="541"/>
      <c r="J810" s="1748"/>
      <c r="K810" s="541"/>
      <c r="L810" s="1748"/>
      <c r="M810" s="541"/>
      <c r="N810" s="1748"/>
      <c r="O810" s="541"/>
      <c r="P810" s="1748"/>
      <c r="Q810" s="541"/>
      <c r="R810" s="1748"/>
      <c r="S810" s="541"/>
      <c r="T810" s="1748"/>
      <c r="U810" s="541"/>
      <c r="V810" s="1748"/>
      <c r="W810" s="541"/>
      <c r="X810" s="1748"/>
      <c r="Y810" s="1748"/>
      <c r="Z810" s="1748"/>
      <c r="AA810" s="541"/>
      <c r="AB810" s="1748"/>
      <c r="AC810" s="541"/>
      <c r="AD810" s="541"/>
      <c r="AE810" s="541"/>
      <c r="AF810" s="541"/>
      <c r="AG810" s="541"/>
      <c r="AH810" s="541"/>
      <c r="AI810" s="541"/>
      <c r="AJ810" s="541"/>
      <c r="AK810" s="541"/>
      <c r="AL810" s="541"/>
      <c r="AM810" s="541"/>
      <c r="AN810" s="1748"/>
      <c r="AO810" s="1748"/>
      <c r="AP810" s="1748"/>
      <c r="AQ810" s="1748"/>
      <c r="AR810" s="1748"/>
      <c r="AS810" s="541"/>
      <c r="AT810" s="541"/>
      <c r="AU810" s="541"/>
      <c r="AV810" s="541"/>
      <c r="AW810" s="541"/>
      <c r="AX810" s="541"/>
      <c r="AY810" s="541"/>
      <c r="AZ810" s="541"/>
      <c r="BA810" s="541"/>
      <c r="BC810" s="541"/>
      <c r="BE810" s="541"/>
      <c r="BG810" s="541"/>
      <c r="BH810" s="1190"/>
      <c r="BI810" s="541"/>
      <c r="BJ810" s="1190"/>
      <c r="BK810" s="541"/>
      <c r="BL810" s="541"/>
      <c r="BM810" s="541"/>
      <c r="BO810" s="541"/>
      <c r="BP810" s="541"/>
      <c r="BQ810" s="633"/>
      <c r="BR810" s="541"/>
      <c r="BS810" s="541"/>
      <c r="BT810" s="541"/>
    </row>
    <row r="811" ht="15.75" customHeight="1">
      <c r="A811" s="1591"/>
      <c r="B811" s="1541"/>
      <c r="C811" s="2217"/>
      <c r="D811" s="1543"/>
      <c r="E811" s="906"/>
      <c r="F811" s="541"/>
      <c r="G811" s="541"/>
      <c r="H811" s="541"/>
      <c r="I811" s="541"/>
      <c r="J811" s="1748"/>
      <c r="K811" s="541"/>
      <c r="L811" s="1748"/>
      <c r="M811" s="541"/>
      <c r="N811" s="1748"/>
      <c r="O811" s="541"/>
      <c r="P811" s="1748"/>
      <c r="Q811" s="541"/>
      <c r="R811" s="1748"/>
      <c r="S811" s="541"/>
      <c r="T811" s="1748"/>
      <c r="U811" s="541"/>
      <c r="V811" s="1748"/>
      <c r="W811" s="541"/>
      <c r="X811" s="1748"/>
      <c r="Y811" s="1748"/>
      <c r="Z811" s="1748"/>
      <c r="AA811" s="541"/>
      <c r="AB811" s="1748"/>
      <c r="AC811" s="541"/>
      <c r="AD811" s="541"/>
      <c r="AE811" s="541"/>
      <c r="AF811" s="541"/>
      <c r="AG811" s="541"/>
      <c r="AH811" s="541"/>
      <c r="AI811" s="541"/>
      <c r="AJ811" s="541"/>
      <c r="AK811" s="541"/>
      <c r="AL811" s="541"/>
      <c r="AM811" s="541"/>
      <c r="AN811" s="1748"/>
      <c r="AO811" s="1748"/>
      <c r="AP811" s="1748"/>
      <c r="AQ811" s="1748"/>
      <c r="AR811" s="1748"/>
      <c r="AS811" s="541"/>
      <c r="AT811" s="541"/>
      <c r="AU811" s="541"/>
      <c r="AV811" s="541"/>
      <c r="AW811" s="541"/>
      <c r="AX811" s="541"/>
      <c r="AY811" s="541"/>
      <c r="AZ811" s="541"/>
      <c r="BA811" s="541"/>
      <c r="BC811" s="541"/>
      <c r="BE811" s="541"/>
      <c r="BG811" s="541"/>
      <c r="BH811" s="1190"/>
      <c r="BI811" s="541"/>
      <c r="BJ811" s="1190"/>
      <c r="BK811" s="541"/>
      <c r="BL811" s="541"/>
      <c r="BM811" s="541"/>
      <c r="BO811" s="541"/>
      <c r="BP811" s="541"/>
      <c r="BQ811" s="633"/>
      <c r="BR811" s="541"/>
      <c r="BS811" s="541"/>
      <c r="BT811" s="541"/>
    </row>
    <row r="812" ht="15.75" customHeight="1">
      <c r="A812" s="1591"/>
      <c r="B812" s="1541"/>
      <c r="C812" s="2217"/>
      <c r="D812" s="1543"/>
      <c r="E812" s="906"/>
      <c r="F812" s="541"/>
      <c r="G812" s="541"/>
      <c r="H812" s="541"/>
      <c r="I812" s="541"/>
      <c r="J812" s="1748"/>
      <c r="K812" s="541"/>
      <c r="L812" s="1748"/>
      <c r="M812" s="541"/>
      <c r="N812" s="1748"/>
      <c r="O812" s="541"/>
      <c r="P812" s="1748"/>
      <c r="Q812" s="541"/>
      <c r="R812" s="1748"/>
      <c r="S812" s="541"/>
      <c r="T812" s="1748"/>
      <c r="U812" s="541"/>
      <c r="V812" s="1748"/>
      <c r="W812" s="541"/>
      <c r="X812" s="1748"/>
      <c r="Y812" s="1748"/>
      <c r="Z812" s="1748"/>
      <c r="AA812" s="541"/>
      <c r="AB812" s="1748"/>
      <c r="AC812" s="541"/>
      <c r="AD812" s="541"/>
      <c r="AE812" s="541"/>
      <c r="AF812" s="541"/>
      <c r="AG812" s="541"/>
      <c r="AH812" s="541"/>
      <c r="AI812" s="541"/>
      <c r="AJ812" s="541"/>
      <c r="AK812" s="541"/>
      <c r="AL812" s="541"/>
      <c r="AM812" s="541"/>
      <c r="AN812" s="1748"/>
      <c r="AO812" s="1748"/>
      <c r="AP812" s="1748"/>
      <c r="AQ812" s="1748"/>
      <c r="AR812" s="1748"/>
      <c r="AS812" s="541"/>
      <c r="AT812" s="541"/>
      <c r="AU812" s="541"/>
      <c r="AV812" s="541"/>
      <c r="AW812" s="541"/>
      <c r="AX812" s="541"/>
      <c r="AY812" s="541"/>
      <c r="AZ812" s="541"/>
      <c r="BA812" s="541"/>
      <c r="BC812" s="541"/>
      <c r="BE812" s="541"/>
      <c r="BG812" s="541"/>
      <c r="BH812" s="1190"/>
      <c r="BI812" s="541"/>
      <c r="BJ812" s="1190"/>
      <c r="BK812" s="541"/>
      <c r="BL812" s="541"/>
      <c r="BM812" s="541"/>
      <c r="BO812" s="541"/>
      <c r="BP812" s="541"/>
      <c r="BQ812" s="633"/>
      <c r="BR812" s="541"/>
      <c r="BS812" s="541"/>
      <c r="BT812" s="541"/>
    </row>
    <row r="813" ht="15.75" customHeight="1">
      <c r="A813" s="1591"/>
      <c r="B813" s="1541"/>
      <c r="C813" s="2217"/>
      <c r="D813" s="1543"/>
      <c r="E813" s="906"/>
      <c r="F813" s="541"/>
      <c r="G813" s="541"/>
      <c r="H813" s="541"/>
      <c r="I813" s="541"/>
      <c r="J813" s="1748"/>
      <c r="K813" s="541"/>
      <c r="L813" s="1748"/>
      <c r="M813" s="541"/>
      <c r="N813" s="1748"/>
      <c r="O813" s="541"/>
      <c r="P813" s="1748"/>
      <c r="Q813" s="541"/>
      <c r="R813" s="1748"/>
      <c r="S813" s="541"/>
      <c r="T813" s="1748"/>
      <c r="U813" s="541"/>
      <c r="V813" s="1748"/>
      <c r="W813" s="541"/>
      <c r="X813" s="1748"/>
      <c r="Y813" s="1748"/>
      <c r="Z813" s="1748"/>
      <c r="AA813" s="541"/>
      <c r="AB813" s="1748"/>
      <c r="AC813" s="541"/>
      <c r="AD813" s="541"/>
      <c r="AE813" s="541"/>
      <c r="AF813" s="541"/>
      <c r="AG813" s="541"/>
      <c r="AH813" s="541"/>
      <c r="AI813" s="541"/>
      <c r="AJ813" s="541"/>
      <c r="AK813" s="541"/>
      <c r="AL813" s="541"/>
      <c r="AM813" s="541"/>
      <c r="AN813" s="1748"/>
      <c r="AO813" s="1748"/>
      <c r="AP813" s="1748"/>
      <c r="AQ813" s="1748"/>
      <c r="AR813" s="1748"/>
      <c r="AS813" s="541"/>
      <c r="AT813" s="541"/>
      <c r="AU813" s="541"/>
      <c r="AV813" s="541"/>
      <c r="AW813" s="541"/>
      <c r="AX813" s="541"/>
      <c r="AY813" s="541"/>
      <c r="AZ813" s="541"/>
      <c r="BA813" s="541"/>
      <c r="BC813" s="541"/>
      <c r="BE813" s="541"/>
      <c r="BG813" s="541"/>
      <c r="BH813" s="1190"/>
      <c r="BI813" s="541"/>
      <c r="BJ813" s="1190"/>
      <c r="BK813" s="541"/>
      <c r="BL813" s="541"/>
      <c r="BM813" s="541"/>
      <c r="BO813" s="541"/>
      <c r="BP813" s="541"/>
      <c r="BQ813" s="633"/>
      <c r="BR813" s="541"/>
      <c r="BS813" s="541"/>
      <c r="BT813" s="541"/>
    </row>
    <row r="814" ht="15.75" customHeight="1">
      <c r="A814" s="1591"/>
      <c r="B814" s="1541"/>
      <c r="C814" s="2217"/>
      <c r="D814" s="1543"/>
      <c r="E814" s="906"/>
      <c r="F814" s="541"/>
      <c r="G814" s="541"/>
      <c r="H814" s="541"/>
      <c r="I814" s="541"/>
      <c r="J814" s="1748"/>
      <c r="K814" s="541"/>
      <c r="L814" s="1748"/>
      <c r="M814" s="541"/>
      <c r="N814" s="1748"/>
      <c r="O814" s="541"/>
      <c r="P814" s="1748"/>
      <c r="Q814" s="541"/>
      <c r="R814" s="1748"/>
      <c r="S814" s="541"/>
      <c r="T814" s="1748"/>
      <c r="U814" s="541"/>
      <c r="V814" s="1748"/>
      <c r="W814" s="541"/>
      <c r="X814" s="1748"/>
      <c r="Y814" s="1748"/>
      <c r="Z814" s="1748"/>
      <c r="AA814" s="541"/>
      <c r="AB814" s="1748"/>
      <c r="AC814" s="541"/>
      <c r="AD814" s="541"/>
      <c r="AE814" s="541"/>
      <c r="AF814" s="541"/>
      <c r="AG814" s="541"/>
      <c r="AH814" s="541"/>
      <c r="AI814" s="541"/>
      <c r="AJ814" s="541"/>
      <c r="AK814" s="541"/>
      <c r="AL814" s="541"/>
      <c r="AM814" s="541"/>
      <c r="AN814" s="1748"/>
      <c r="AO814" s="1748"/>
      <c r="AP814" s="1748"/>
      <c r="AQ814" s="1748"/>
      <c r="AR814" s="1748"/>
      <c r="AS814" s="541"/>
      <c r="AT814" s="541"/>
      <c r="AU814" s="541"/>
      <c r="AV814" s="541"/>
      <c r="AW814" s="541"/>
      <c r="AX814" s="541"/>
      <c r="AY814" s="541"/>
      <c r="AZ814" s="541"/>
      <c r="BA814" s="541"/>
      <c r="BC814" s="541"/>
      <c r="BE814" s="541"/>
      <c r="BG814" s="541"/>
      <c r="BH814" s="1190"/>
      <c r="BI814" s="541"/>
      <c r="BJ814" s="1190"/>
      <c r="BK814" s="541"/>
      <c r="BL814" s="541"/>
      <c r="BM814" s="541"/>
      <c r="BO814" s="541"/>
      <c r="BP814" s="541"/>
      <c r="BQ814" s="633"/>
      <c r="BR814" s="541"/>
      <c r="BS814" s="541"/>
      <c r="BT814" s="541"/>
    </row>
    <row r="815" ht="15.75" customHeight="1">
      <c r="A815" s="1591"/>
      <c r="B815" s="1541"/>
      <c r="C815" s="2217"/>
      <c r="D815" s="1543"/>
      <c r="E815" s="906"/>
      <c r="F815" s="541"/>
      <c r="G815" s="541"/>
      <c r="H815" s="541"/>
      <c r="I815" s="541"/>
      <c r="J815" s="1748"/>
      <c r="K815" s="541"/>
      <c r="L815" s="1748"/>
      <c r="M815" s="541"/>
      <c r="N815" s="1748"/>
      <c r="O815" s="541"/>
      <c r="P815" s="1748"/>
      <c r="Q815" s="541"/>
      <c r="R815" s="1748"/>
      <c r="S815" s="541"/>
      <c r="T815" s="1748"/>
      <c r="U815" s="541"/>
      <c r="V815" s="1748"/>
      <c r="W815" s="541"/>
      <c r="X815" s="1748"/>
      <c r="Y815" s="1748"/>
      <c r="Z815" s="1748"/>
      <c r="AA815" s="541"/>
      <c r="AB815" s="1748"/>
      <c r="AC815" s="541"/>
      <c r="AD815" s="541"/>
      <c r="AE815" s="541"/>
      <c r="AF815" s="541"/>
      <c r="AG815" s="541"/>
      <c r="AH815" s="541"/>
      <c r="AI815" s="541"/>
      <c r="AJ815" s="541"/>
      <c r="AK815" s="541"/>
      <c r="AL815" s="541"/>
      <c r="AM815" s="541"/>
      <c r="AN815" s="1748"/>
      <c r="AO815" s="1748"/>
      <c r="AP815" s="1748"/>
      <c r="AQ815" s="1748"/>
      <c r="AR815" s="1748"/>
      <c r="AS815" s="541"/>
      <c r="AT815" s="541"/>
      <c r="AU815" s="541"/>
      <c r="AV815" s="541"/>
      <c r="AW815" s="541"/>
      <c r="AX815" s="541"/>
      <c r="AY815" s="541"/>
      <c r="AZ815" s="541"/>
      <c r="BA815" s="541"/>
      <c r="BC815" s="541"/>
      <c r="BE815" s="541"/>
      <c r="BG815" s="541"/>
      <c r="BH815" s="1190"/>
      <c r="BI815" s="541"/>
      <c r="BJ815" s="1190"/>
      <c r="BK815" s="541"/>
      <c r="BL815" s="541"/>
      <c r="BM815" s="541"/>
      <c r="BO815" s="541"/>
      <c r="BP815" s="541"/>
      <c r="BQ815" s="633"/>
      <c r="BR815" s="541"/>
      <c r="BS815" s="541"/>
      <c r="BT815" s="541"/>
    </row>
    <row r="816" ht="15.75" customHeight="1">
      <c r="A816" s="1591"/>
      <c r="B816" s="1541"/>
      <c r="C816" s="2217"/>
      <c r="D816" s="1543"/>
      <c r="E816" s="906"/>
      <c r="F816" s="541"/>
      <c r="G816" s="541"/>
      <c r="H816" s="541"/>
      <c r="I816" s="541"/>
      <c r="J816" s="1748"/>
      <c r="K816" s="541"/>
      <c r="L816" s="1748"/>
      <c r="M816" s="541"/>
      <c r="N816" s="1748"/>
      <c r="O816" s="541"/>
      <c r="P816" s="1748"/>
      <c r="Q816" s="541"/>
      <c r="R816" s="1748"/>
      <c r="S816" s="541"/>
      <c r="T816" s="1748"/>
      <c r="U816" s="541"/>
      <c r="V816" s="1748"/>
      <c r="W816" s="541"/>
      <c r="X816" s="1748"/>
      <c r="Y816" s="1748"/>
      <c r="Z816" s="1748"/>
      <c r="AA816" s="541"/>
      <c r="AB816" s="1748"/>
      <c r="AC816" s="541"/>
      <c r="AD816" s="541"/>
      <c r="AE816" s="541"/>
      <c r="AF816" s="541"/>
      <c r="AG816" s="541"/>
      <c r="AH816" s="541"/>
      <c r="AI816" s="541"/>
      <c r="AJ816" s="541"/>
      <c r="AK816" s="541"/>
      <c r="AL816" s="541"/>
      <c r="AM816" s="541"/>
      <c r="AN816" s="1748"/>
      <c r="AO816" s="1748"/>
      <c r="AP816" s="1748"/>
      <c r="AQ816" s="1748"/>
      <c r="AR816" s="1748"/>
      <c r="AS816" s="541"/>
      <c r="AT816" s="541"/>
      <c r="AU816" s="541"/>
      <c r="AV816" s="541"/>
      <c r="AW816" s="541"/>
      <c r="AX816" s="541"/>
      <c r="AY816" s="541"/>
      <c r="AZ816" s="541"/>
      <c r="BA816" s="541"/>
      <c r="BC816" s="541"/>
      <c r="BE816" s="541"/>
      <c r="BG816" s="541"/>
      <c r="BH816" s="1190"/>
      <c r="BI816" s="541"/>
      <c r="BJ816" s="1190"/>
      <c r="BK816" s="541"/>
      <c r="BL816" s="541"/>
      <c r="BM816" s="541"/>
      <c r="BO816" s="541"/>
      <c r="BP816" s="541"/>
      <c r="BQ816" s="633"/>
      <c r="BR816" s="541"/>
      <c r="BS816" s="541"/>
      <c r="BT816" s="541"/>
    </row>
    <row r="817" ht="15.75" customHeight="1">
      <c r="A817" s="1591"/>
      <c r="B817" s="1541"/>
      <c r="C817" s="2217"/>
      <c r="D817" s="1543"/>
      <c r="E817" s="906"/>
      <c r="F817" s="541"/>
      <c r="G817" s="541"/>
      <c r="H817" s="541"/>
      <c r="I817" s="541"/>
      <c r="J817" s="1748"/>
      <c r="K817" s="541"/>
      <c r="L817" s="1748"/>
      <c r="M817" s="541"/>
      <c r="N817" s="1748"/>
      <c r="O817" s="541"/>
      <c r="P817" s="1748"/>
      <c r="Q817" s="541"/>
      <c r="R817" s="1748"/>
      <c r="S817" s="541"/>
      <c r="T817" s="1748"/>
      <c r="U817" s="541"/>
      <c r="V817" s="1748"/>
      <c r="W817" s="541"/>
      <c r="X817" s="1748"/>
      <c r="Y817" s="1748"/>
      <c r="Z817" s="1748"/>
      <c r="AA817" s="541"/>
      <c r="AB817" s="1748"/>
      <c r="AC817" s="541"/>
      <c r="AD817" s="541"/>
      <c r="AE817" s="541"/>
      <c r="AF817" s="541"/>
      <c r="AG817" s="541"/>
      <c r="AH817" s="541"/>
      <c r="AI817" s="541"/>
      <c r="AJ817" s="541"/>
      <c r="AK817" s="541"/>
      <c r="AL817" s="541"/>
      <c r="AM817" s="541"/>
      <c r="AN817" s="1748"/>
      <c r="AO817" s="1748"/>
      <c r="AP817" s="1748"/>
      <c r="AQ817" s="1748"/>
      <c r="AR817" s="1748"/>
      <c r="AS817" s="541"/>
      <c r="AT817" s="541"/>
      <c r="AU817" s="541"/>
      <c r="AV817" s="541"/>
      <c r="AW817" s="541"/>
      <c r="AX817" s="541"/>
      <c r="AY817" s="541"/>
      <c r="AZ817" s="541"/>
      <c r="BA817" s="541"/>
      <c r="BC817" s="541"/>
      <c r="BE817" s="541"/>
      <c r="BG817" s="541"/>
      <c r="BH817" s="1190"/>
      <c r="BI817" s="541"/>
      <c r="BJ817" s="1190"/>
      <c r="BK817" s="541"/>
      <c r="BL817" s="541"/>
      <c r="BM817" s="541"/>
      <c r="BO817" s="541"/>
      <c r="BP817" s="541"/>
      <c r="BQ817" s="633"/>
      <c r="BR817" s="541"/>
      <c r="BS817" s="541"/>
      <c r="BT817" s="541"/>
    </row>
    <row r="818" ht="15.75" customHeight="1">
      <c r="A818" s="1591"/>
      <c r="B818" s="1541"/>
      <c r="C818" s="2217"/>
      <c r="D818" s="1543"/>
      <c r="E818" s="906"/>
      <c r="F818" s="541"/>
      <c r="G818" s="541"/>
      <c r="H818" s="541"/>
      <c r="I818" s="541"/>
      <c r="J818" s="1748"/>
      <c r="K818" s="541"/>
      <c r="L818" s="1748"/>
      <c r="M818" s="541"/>
      <c r="N818" s="1748"/>
      <c r="O818" s="541"/>
      <c r="P818" s="1748"/>
      <c r="Q818" s="541"/>
      <c r="R818" s="1748"/>
      <c r="S818" s="541"/>
      <c r="T818" s="1748"/>
      <c r="U818" s="541"/>
      <c r="V818" s="1748"/>
      <c r="W818" s="541"/>
      <c r="X818" s="1748"/>
      <c r="Y818" s="1748"/>
      <c r="Z818" s="1748"/>
      <c r="AA818" s="541"/>
      <c r="AB818" s="1748"/>
      <c r="AC818" s="541"/>
      <c r="AD818" s="541"/>
      <c r="AE818" s="541"/>
      <c r="AF818" s="541"/>
      <c r="AG818" s="541"/>
      <c r="AH818" s="541"/>
      <c r="AI818" s="541"/>
      <c r="AJ818" s="541"/>
      <c r="AK818" s="541"/>
      <c r="AL818" s="541"/>
      <c r="AM818" s="541"/>
      <c r="AN818" s="1748"/>
      <c r="AO818" s="1748"/>
      <c r="AP818" s="1748"/>
      <c r="AQ818" s="1748"/>
      <c r="AR818" s="1748"/>
      <c r="AS818" s="541"/>
      <c r="AT818" s="541"/>
      <c r="AU818" s="541"/>
      <c r="AV818" s="541"/>
      <c r="AW818" s="541"/>
      <c r="AX818" s="541"/>
      <c r="AY818" s="541"/>
      <c r="AZ818" s="541"/>
      <c r="BA818" s="541"/>
      <c r="BC818" s="541"/>
      <c r="BE818" s="541"/>
      <c r="BG818" s="541"/>
      <c r="BH818" s="1190"/>
      <c r="BI818" s="541"/>
      <c r="BJ818" s="1190"/>
      <c r="BK818" s="541"/>
      <c r="BL818" s="541"/>
      <c r="BM818" s="541"/>
      <c r="BO818" s="541"/>
      <c r="BP818" s="541"/>
      <c r="BQ818" s="633"/>
      <c r="BR818" s="541"/>
      <c r="BS818" s="541"/>
      <c r="BT818" s="541"/>
    </row>
    <row r="819" ht="15.75" customHeight="1">
      <c r="A819" s="1591"/>
      <c r="B819" s="1541"/>
      <c r="C819" s="2217"/>
      <c r="D819" s="1543"/>
      <c r="E819" s="906"/>
      <c r="F819" s="541"/>
      <c r="G819" s="541"/>
      <c r="H819" s="541"/>
      <c r="I819" s="541"/>
      <c r="J819" s="1748"/>
      <c r="K819" s="541"/>
      <c r="L819" s="1748"/>
      <c r="M819" s="541"/>
      <c r="N819" s="1748"/>
      <c r="O819" s="541"/>
      <c r="P819" s="1748"/>
      <c r="Q819" s="541"/>
      <c r="R819" s="1748"/>
      <c r="S819" s="541"/>
      <c r="T819" s="1748"/>
      <c r="U819" s="541"/>
      <c r="V819" s="1748"/>
      <c r="W819" s="541"/>
      <c r="X819" s="1748"/>
      <c r="Y819" s="1748"/>
      <c r="Z819" s="1748"/>
      <c r="AA819" s="541"/>
      <c r="AB819" s="1748"/>
      <c r="AC819" s="541"/>
      <c r="AD819" s="541"/>
      <c r="AE819" s="541"/>
      <c r="AF819" s="541"/>
      <c r="AG819" s="541"/>
      <c r="AH819" s="541"/>
      <c r="AI819" s="541"/>
      <c r="AJ819" s="541"/>
      <c r="AK819" s="541"/>
      <c r="AL819" s="541"/>
      <c r="AM819" s="541"/>
      <c r="AN819" s="1748"/>
      <c r="AO819" s="1748"/>
      <c r="AP819" s="1748"/>
      <c r="AQ819" s="1748"/>
      <c r="AR819" s="1748"/>
      <c r="AS819" s="541"/>
      <c r="AT819" s="541"/>
      <c r="AU819" s="541"/>
      <c r="AV819" s="541"/>
      <c r="AW819" s="541"/>
      <c r="AX819" s="541"/>
      <c r="AY819" s="541"/>
      <c r="AZ819" s="541"/>
      <c r="BA819" s="541"/>
      <c r="BC819" s="541"/>
      <c r="BE819" s="541"/>
      <c r="BG819" s="541"/>
      <c r="BH819" s="1190"/>
      <c r="BI819" s="541"/>
      <c r="BJ819" s="1190"/>
      <c r="BK819" s="541"/>
      <c r="BL819" s="541"/>
      <c r="BM819" s="541"/>
      <c r="BO819" s="541"/>
      <c r="BP819" s="541"/>
      <c r="BQ819" s="633"/>
      <c r="BR819" s="541"/>
      <c r="BS819" s="541"/>
      <c r="BT819" s="541"/>
    </row>
    <row r="820" ht="15.75" customHeight="1">
      <c r="A820" s="1591"/>
      <c r="B820" s="1541"/>
      <c r="C820" s="2217"/>
      <c r="D820" s="1543"/>
      <c r="E820" s="906"/>
      <c r="F820" s="541"/>
      <c r="G820" s="541"/>
      <c r="H820" s="541"/>
      <c r="I820" s="541"/>
      <c r="J820" s="1748"/>
      <c r="K820" s="541"/>
      <c r="L820" s="1748"/>
      <c r="M820" s="541"/>
      <c r="N820" s="1748"/>
      <c r="O820" s="541"/>
      <c r="P820" s="1748"/>
      <c r="Q820" s="541"/>
      <c r="R820" s="1748"/>
      <c r="S820" s="541"/>
      <c r="T820" s="1748"/>
      <c r="U820" s="541"/>
      <c r="V820" s="1748"/>
      <c r="W820" s="541"/>
      <c r="X820" s="1748"/>
      <c r="Y820" s="1748"/>
      <c r="Z820" s="1748"/>
      <c r="AA820" s="541"/>
      <c r="AB820" s="1748"/>
      <c r="AC820" s="541"/>
      <c r="AD820" s="541"/>
      <c r="AE820" s="541"/>
      <c r="AF820" s="541"/>
      <c r="AG820" s="541"/>
      <c r="AH820" s="541"/>
      <c r="AI820" s="541"/>
      <c r="AJ820" s="541"/>
      <c r="AK820" s="541"/>
      <c r="AL820" s="541"/>
      <c r="AM820" s="541"/>
      <c r="AN820" s="1748"/>
      <c r="AO820" s="1748"/>
      <c r="AP820" s="1748"/>
      <c r="AQ820" s="1748"/>
      <c r="AR820" s="1748"/>
      <c r="AS820" s="541"/>
      <c r="AT820" s="541"/>
      <c r="AU820" s="541"/>
      <c r="AV820" s="541"/>
      <c r="AW820" s="541"/>
      <c r="AX820" s="541"/>
      <c r="AY820" s="541"/>
      <c r="AZ820" s="541"/>
      <c r="BA820" s="541"/>
      <c r="BC820" s="541"/>
      <c r="BE820" s="541"/>
      <c r="BG820" s="541"/>
      <c r="BH820" s="1190"/>
      <c r="BI820" s="541"/>
      <c r="BJ820" s="1190"/>
      <c r="BK820" s="541"/>
      <c r="BL820" s="541"/>
      <c r="BM820" s="541"/>
      <c r="BO820" s="541"/>
      <c r="BP820" s="541"/>
      <c r="BQ820" s="633"/>
      <c r="BR820" s="541"/>
      <c r="BS820" s="541"/>
      <c r="BT820" s="541"/>
    </row>
    <row r="821" ht="15.75" customHeight="1">
      <c r="A821" s="1591"/>
      <c r="B821" s="1541"/>
      <c r="C821" s="2217"/>
      <c r="D821" s="1543"/>
      <c r="E821" s="906"/>
      <c r="F821" s="541"/>
      <c r="G821" s="541"/>
      <c r="H821" s="541"/>
      <c r="I821" s="541"/>
      <c r="J821" s="1748"/>
      <c r="K821" s="541"/>
      <c r="L821" s="1748"/>
      <c r="M821" s="541"/>
      <c r="N821" s="1748"/>
      <c r="O821" s="541"/>
      <c r="P821" s="1748"/>
      <c r="Q821" s="541"/>
      <c r="R821" s="1748"/>
      <c r="S821" s="541"/>
      <c r="T821" s="1748"/>
      <c r="U821" s="541"/>
      <c r="V821" s="1748"/>
      <c r="W821" s="541"/>
      <c r="X821" s="1748"/>
      <c r="Y821" s="1748"/>
      <c r="Z821" s="1748"/>
      <c r="AA821" s="541"/>
      <c r="AB821" s="1748"/>
      <c r="AC821" s="541"/>
      <c r="AD821" s="541"/>
      <c r="AE821" s="541"/>
      <c r="AF821" s="541"/>
      <c r="AG821" s="541"/>
      <c r="AH821" s="541"/>
      <c r="AI821" s="541"/>
      <c r="AJ821" s="541"/>
      <c r="AK821" s="541"/>
      <c r="AL821" s="541"/>
      <c r="AM821" s="541"/>
      <c r="AN821" s="1748"/>
      <c r="AO821" s="1748"/>
      <c r="AP821" s="1748"/>
      <c r="AQ821" s="1748"/>
      <c r="AR821" s="1748"/>
      <c r="AS821" s="541"/>
      <c r="AT821" s="541"/>
      <c r="AU821" s="541"/>
      <c r="AV821" s="541"/>
      <c r="AW821" s="541"/>
      <c r="AX821" s="541"/>
      <c r="AY821" s="541"/>
      <c r="AZ821" s="541"/>
      <c r="BA821" s="541"/>
      <c r="BC821" s="541"/>
      <c r="BE821" s="541"/>
      <c r="BG821" s="541"/>
      <c r="BH821" s="1190"/>
      <c r="BI821" s="541"/>
      <c r="BJ821" s="1190"/>
      <c r="BK821" s="541"/>
      <c r="BL821" s="541"/>
      <c r="BM821" s="541"/>
      <c r="BO821" s="541"/>
      <c r="BP821" s="541"/>
      <c r="BQ821" s="633"/>
      <c r="BR821" s="541"/>
      <c r="BS821" s="541"/>
      <c r="BT821" s="541"/>
    </row>
    <row r="822" ht="15.75" customHeight="1">
      <c r="A822" s="1591"/>
      <c r="B822" s="1541"/>
      <c r="C822" s="2217"/>
      <c r="D822" s="1543"/>
      <c r="E822" s="906"/>
      <c r="F822" s="541"/>
      <c r="G822" s="541"/>
      <c r="H822" s="541"/>
      <c r="I822" s="541"/>
      <c r="J822" s="1748"/>
      <c r="K822" s="541"/>
      <c r="L822" s="1748"/>
      <c r="M822" s="541"/>
      <c r="N822" s="1748"/>
      <c r="O822" s="541"/>
      <c r="P822" s="1748"/>
      <c r="Q822" s="541"/>
      <c r="R822" s="1748"/>
      <c r="S822" s="541"/>
      <c r="T822" s="1748"/>
      <c r="U822" s="541"/>
      <c r="V822" s="1748"/>
      <c r="W822" s="541"/>
      <c r="X822" s="1748"/>
      <c r="Y822" s="1748"/>
      <c r="Z822" s="1748"/>
      <c r="AA822" s="541"/>
      <c r="AB822" s="1748"/>
      <c r="AC822" s="541"/>
      <c r="AD822" s="541"/>
      <c r="AE822" s="541"/>
      <c r="AF822" s="541"/>
      <c r="AG822" s="541"/>
      <c r="AH822" s="541"/>
      <c r="AI822" s="541"/>
      <c r="AJ822" s="541"/>
      <c r="AK822" s="541"/>
      <c r="AL822" s="541"/>
      <c r="AM822" s="541"/>
      <c r="AN822" s="1748"/>
      <c r="AO822" s="1748"/>
      <c r="AP822" s="1748"/>
      <c r="AQ822" s="1748"/>
      <c r="AR822" s="1748"/>
      <c r="AS822" s="541"/>
      <c r="AT822" s="541"/>
      <c r="AU822" s="541"/>
      <c r="AV822" s="541"/>
      <c r="AW822" s="541"/>
      <c r="AX822" s="541"/>
      <c r="AY822" s="541"/>
      <c r="AZ822" s="541"/>
      <c r="BA822" s="541"/>
      <c r="BC822" s="541"/>
      <c r="BE822" s="541"/>
      <c r="BG822" s="541"/>
      <c r="BH822" s="1190"/>
      <c r="BI822" s="541"/>
      <c r="BJ822" s="1190"/>
      <c r="BK822" s="541"/>
      <c r="BL822" s="541"/>
      <c r="BM822" s="541"/>
      <c r="BO822" s="541"/>
      <c r="BP822" s="541"/>
      <c r="BQ822" s="633"/>
      <c r="BR822" s="541"/>
      <c r="BS822" s="541"/>
      <c r="BT822" s="541"/>
    </row>
    <row r="823" ht="15.75" customHeight="1">
      <c r="A823" s="1591"/>
      <c r="B823" s="1541"/>
      <c r="C823" s="2217"/>
      <c r="D823" s="1543"/>
      <c r="E823" s="906"/>
      <c r="F823" s="541"/>
      <c r="G823" s="541"/>
      <c r="H823" s="541"/>
      <c r="I823" s="541"/>
      <c r="J823" s="1748"/>
      <c r="K823" s="541"/>
      <c r="L823" s="1748"/>
      <c r="M823" s="541"/>
      <c r="N823" s="1748"/>
      <c r="O823" s="541"/>
      <c r="P823" s="1748"/>
      <c r="Q823" s="541"/>
      <c r="R823" s="1748"/>
      <c r="S823" s="541"/>
      <c r="T823" s="1748"/>
      <c r="U823" s="541"/>
      <c r="V823" s="1748"/>
      <c r="W823" s="541"/>
      <c r="X823" s="1748"/>
      <c r="Y823" s="1748"/>
      <c r="Z823" s="1748"/>
      <c r="AA823" s="541"/>
      <c r="AB823" s="1748"/>
      <c r="AC823" s="541"/>
      <c r="AD823" s="541"/>
      <c r="AE823" s="541"/>
      <c r="AF823" s="541"/>
      <c r="AG823" s="541"/>
      <c r="AH823" s="541"/>
      <c r="AI823" s="541"/>
      <c r="AJ823" s="541"/>
      <c r="AK823" s="541"/>
      <c r="AL823" s="541"/>
      <c r="AM823" s="541"/>
      <c r="AN823" s="1748"/>
      <c r="AO823" s="1748"/>
      <c r="AP823" s="1748"/>
      <c r="AQ823" s="1748"/>
      <c r="AR823" s="1748"/>
      <c r="AS823" s="541"/>
      <c r="AT823" s="541"/>
      <c r="AU823" s="541"/>
      <c r="AV823" s="541"/>
      <c r="AW823" s="541"/>
      <c r="AX823" s="541"/>
      <c r="AY823" s="541"/>
      <c r="AZ823" s="541"/>
      <c r="BA823" s="541"/>
      <c r="BC823" s="541"/>
      <c r="BE823" s="541"/>
      <c r="BG823" s="541"/>
      <c r="BH823" s="1190"/>
      <c r="BI823" s="541"/>
      <c r="BJ823" s="1190"/>
      <c r="BK823" s="541"/>
      <c r="BL823" s="541"/>
      <c r="BM823" s="541"/>
      <c r="BO823" s="541"/>
      <c r="BP823" s="541"/>
      <c r="BQ823" s="633"/>
      <c r="BR823" s="541"/>
      <c r="BS823" s="541"/>
      <c r="BT823" s="541"/>
    </row>
    <row r="824" ht="15.75" customHeight="1">
      <c r="A824" s="1591"/>
      <c r="B824" s="1541"/>
      <c r="C824" s="2217"/>
      <c r="D824" s="1543"/>
      <c r="E824" s="906"/>
      <c r="F824" s="541"/>
      <c r="G824" s="541"/>
      <c r="H824" s="541"/>
      <c r="I824" s="541"/>
      <c r="J824" s="1748"/>
      <c r="K824" s="541"/>
      <c r="L824" s="1748"/>
      <c r="M824" s="541"/>
      <c r="N824" s="1748"/>
      <c r="O824" s="541"/>
      <c r="P824" s="1748"/>
      <c r="Q824" s="541"/>
      <c r="R824" s="1748"/>
      <c r="S824" s="541"/>
      <c r="T824" s="1748"/>
      <c r="U824" s="541"/>
      <c r="V824" s="1748"/>
      <c r="W824" s="541"/>
      <c r="X824" s="1748"/>
      <c r="Y824" s="1748"/>
      <c r="Z824" s="1748"/>
      <c r="AA824" s="541"/>
      <c r="AB824" s="1748"/>
      <c r="AC824" s="541"/>
      <c r="AD824" s="541"/>
      <c r="AE824" s="541"/>
      <c r="AF824" s="541"/>
      <c r="AG824" s="541"/>
      <c r="AH824" s="541"/>
      <c r="AI824" s="541"/>
      <c r="AJ824" s="541"/>
      <c r="AK824" s="541"/>
      <c r="AL824" s="541"/>
      <c r="AM824" s="541"/>
      <c r="AN824" s="1748"/>
      <c r="AO824" s="1748"/>
      <c r="AP824" s="1748"/>
      <c r="AQ824" s="1748"/>
      <c r="AR824" s="1748"/>
      <c r="AS824" s="541"/>
      <c r="AT824" s="541"/>
      <c r="AU824" s="541"/>
      <c r="AV824" s="541"/>
      <c r="AW824" s="541"/>
      <c r="AX824" s="541"/>
      <c r="AY824" s="541"/>
      <c r="AZ824" s="541"/>
      <c r="BA824" s="541"/>
      <c r="BC824" s="541"/>
      <c r="BE824" s="541"/>
      <c r="BG824" s="541"/>
      <c r="BH824" s="1190"/>
      <c r="BI824" s="541"/>
      <c r="BJ824" s="1190"/>
      <c r="BK824" s="541"/>
      <c r="BL824" s="541"/>
      <c r="BM824" s="541"/>
      <c r="BO824" s="541"/>
      <c r="BP824" s="541"/>
      <c r="BQ824" s="633"/>
      <c r="BR824" s="541"/>
      <c r="BS824" s="541"/>
      <c r="BT824" s="541"/>
    </row>
    <row r="825" ht="15.75" customHeight="1">
      <c r="A825" s="1591"/>
      <c r="B825" s="1541"/>
      <c r="C825" s="2217"/>
      <c r="D825" s="1543"/>
      <c r="E825" s="906"/>
      <c r="F825" s="541"/>
      <c r="G825" s="541"/>
      <c r="H825" s="541"/>
      <c r="I825" s="541"/>
      <c r="J825" s="1748"/>
      <c r="K825" s="541"/>
      <c r="L825" s="1748"/>
      <c r="M825" s="541"/>
      <c r="N825" s="1748"/>
      <c r="O825" s="541"/>
      <c r="P825" s="1748"/>
      <c r="Q825" s="541"/>
      <c r="R825" s="1748"/>
      <c r="S825" s="541"/>
      <c r="T825" s="1748"/>
      <c r="U825" s="541"/>
      <c r="V825" s="1748"/>
      <c r="W825" s="541"/>
      <c r="X825" s="1748"/>
      <c r="Y825" s="1748"/>
      <c r="Z825" s="1748"/>
      <c r="AA825" s="541"/>
      <c r="AB825" s="1748"/>
      <c r="AC825" s="541"/>
      <c r="AD825" s="541"/>
      <c r="AE825" s="541"/>
      <c r="AF825" s="541"/>
      <c r="AG825" s="541"/>
      <c r="AH825" s="541"/>
      <c r="AI825" s="541"/>
      <c r="AJ825" s="541"/>
      <c r="AK825" s="541"/>
      <c r="AL825" s="541"/>
      <c r="AM825" s="541"/>
      <c r="AN825" s="1748"/>
      <c r="AO825" s="1748"/>
      <c r="AP825" s="1748"/>
      <c r="AQ825" s="1748"/>
      <c r="AR825" s="1748"/>
      <c r="AS825" s="541"/>
      <c r="AT825" s="541"/>
      <c r="AU825" s="541"/>
      <c r="AV825" s="541"/>
      <c r="AW825" s="541"/>
      <c r="AX825" s="541"/>
      <c r="AY825" s="541"/>
      <c r="AZ825" s="541"/>
      <c r="BA825" s="541"/>
      <c r="BC825" s="541"/>
      <c r="BE825" s="541"/>
      <c r="BG825" s="541"/>
      <c r="BH825" s="1190"/>
      <c r="BI825" s="541"/>
      <c r="BJ825" s="1190"/>
      <c r="BK825" s="541"/>
      <c r="BL825" s="541"/>
      <c r="BM825" s="541"/>
      <c r="BO825" s="541"/>
      <c r="BP825" s="541"/>
      <c r="BQ825" s="633"/>
      <c r="BR825" s="541"/>
      <c r="BS825" s="541"/>
      <c r="BT825" s="541"/>
    </row>
    <row r="826" ht="15.75" customHeight="1">
      <c r="A826" s="1591"/>
      <c r="B826" s="1541"/>
      <c r="C826" s="2217"/>
      <c r="D826" s="1543"/>
      <c r="E826" s="906"/>
      <c r="F826" s="541"/>
      <c r="G826" s="541"/>
      <c r="H826" s="541"/>
      <c r="I826" s="541"/>
      <c r="J826" s="1748"/>
      <c r="K826" s="541"/>
      <c r="L826" s="1748"/>
      <c r="M826" s="541"/>
      <c r="N826" s="1748"/>
      <c r="O826" s="541"/>
      <c r="P826" s="1748"/>
      <c r="Q826" s="541"/>
      <c r="R826" s="1748"/>
      <c r="S826" s="541"/>
      <c r="T826" s="1748"/>
      <c r="U826" s="541"/>
      <c r="V826" s="1748"/>
      <c r="W826" s="541"/>
      <c r="X826" s="1748"/>
      <c r="Y826" s="1748"/>
      <c r="Z826" s="1748"/>
      <c r="AA826" s="541"/>
      <c r="AB826" s="1748"/>
      <c r="AC826" s="541"/>
      <c r="AD826" s="541"/>
      <c r="AE826" s="541"/>
      <c r="AF826" s="541"/>
      <c r="AG826" s="541"/>
      <c r="AH826" s="541"/>
      <c r="AI826" s="541"/>
      <c r="AJ826" s="541"/>
      <c r="AK826" s="541"/>
      <c r="AL826" s="541"/>
      <c r="AM826" s="541"/>
      <c r="AN826" s="1748"/>
      <c r="AO826" s="1748"/>
      <c r="AP826" s="1748"/>
      <c r="AQ826" s="1748"/>
      <c r="AR826" s="1748"/>
      <c r="AS826" s="541"/>
      <c r="AT826" s="541"/>
      <c r="AU826" s="541"/>
      <c r="AV826" s="541"/>
      <c r="AW826" s="541"/>
      <c r="AX826" s="541"/>
      <c r="AY826" s="541"/>
      <c r="AZ826" s="541"/>
      <c r="BA826" s="541"/>
      <c r="BC826" s="541"/>
      <c r="BE826" s="541"/>
      <c r="BG826" s="541"/>
      <c r="BH826" s="1190"/>
      <c r="BI826" s="541"/>
      <c r="BJ826" s="1190"/>
      <c r="BK826" s="541"/>
      <c r="BL826" s="541"/>
      <c r="BM826" s="541"/>
      <c r="BO826" s="541"/>
      <c r="BP826" s="541"/>
      <c r="BQ826" s="633"/>
      <c r="BR826" s="541"/>
      <c r="BS826" s="541"/>
      <c r="BT826" s="541"/>
    </row>
    <row r="827" ht="15.75" customHeight="1">
      <c r="A827" s="1591"/>
      <c r="B827" s="1541"/>
      <c r="C827" s="2217"/>
      <c r="D827" s="1543"/>
      <c r="E827" s="906"/>
      <c r="F827" s="541"/>
      <c r="G827" s="541"/>
      <c r="H827" s="541"/>
      <c r="I827" s="541"/>
      <c r="J827" s="1748"/>
      <c r="K827" s="541"/>
      <c r="L827" s="1748"/>
      <c r="M827" s="541"/>
      <c r="N827" s="1748"/>
      <c r="O827" s="541"/>
      <c r="P827" s="1748"/>
      <c r="Q827" s="541"/>
      <c r="R827" s="1748"/>
      <c r="S827" s="541"/>
      <c r="T827" s="1748"/>
      <c r="U827" s="541"/>
      <c r="V827" s="1748"/>
      <c r="W827" s="541"/>
      <c r="X827" s="1748"/>
      <c r="Y827" s="1748"/>
      <c r="Z827" s="1748"/>
      <c r="AA827" s="541"/>
      <c r="AB827" s="1748"/>
      <c r="AC827" s="541"/>
      <c r="AD827" s="541"/>
      <c r="AE827" s="541"/>
      <c r="AF827" s="541"/>
      <c r="AG827" s="541"/>
      <c r="AH827" s="541"/>
      <c r="AI827" s="541"/>
      <c r="AJ827" s="541"/>
      <c r="AK827" s="541"/>
      <c r="AL827" s="541"/>
      <c r="AM827" s="541"/>
      <c r="AN827" s="1748"/>
      <c r="AO827" s="1748"/>
      <c r="AP827" s="1748"/>
      <c r="AQ827" s="1748"/>
      <c r="AR827" s="1748"/>
      <c r="AS827" s="541"/>
      <c r="AT827" s="541"/>
      <c r="AU827" s="541"/>
      <c r="AV827" s="541"/>
      <c r="AW827" s="541"/>
      <c r="AX827" s="541"/>
      <c r="AY827" s="541"/>
      <c r="AZ827" s="541"/>
      <c r="BA827" s="541"/>
      <c r="BC827" s="541"/>
      <c r="BE827" s="541"/>
      <c r="BG827" s="541"/>
      <c r="BH827" s="1190"/>
      <c r="BI827" s="541"/>
      <c r="BJ827" s="1190"/>
      <c r="BK827" s="541"/>
      <c r="BL827" s="541"/>
      <c r="BM827" s="541"/>
      <c r="BO827" s="541"/>
      <c r="BP827" s="541"/>
      <c r="BQ827" s="633"/>
      <c r="BR827" s="541"/>
      <c r="BS827" s="541"/>
      <c r="BT827" s="541"/>
    </row>
    <row r="828" ht="15.75" customHeight="1">
      <c r="A828" s="1591"/>
      <c r="B828" s="1541"/>
      <c r="C828" s="2217"/>
      <c r="D828" s="1543"/>
      <c r="E828" s="906"/>
      <c r="F828" s="541"/>
      <c r="G828" s="541"/>
      <c r="H828" s="541"/>
      <c r="I828" s="541"/>
      <c r="J828" s="1748"/>
      <c r="K828" s="541"/>
      <c r="L828" s="1748"/>
      <c r="M828" s="541"/>
      <c r="N828" s="1748"/>
      <c r="O828" s="541"/>
      <c r="P828" s="1748"/>
      <c r="Q828" s="541"/>
      <c r="R828" s="1748"/>
      <c r="S828" s="541"/>
      <c r="T828" s="1748"/>
      <c r="U828" s="541"/>
      <c r="V828" s="1748"/>
      <c r="W828" s="541"/>
      <c r="X828" s="1748"/>
      <c r="Y828" s="1748"/>
      <c r="Z828" s="1748"/>
      <c r="AA828" s="541"/>
      <c r="AB828" s="1748"/>
      <c r="AC828" s="541"/>
      <c r="AD828" s="541"/>
      <c r="AE828" s="541"/>
      <c r="AF828" s="541"/>
      <c r="AG828" s="541"/>
      <c r="AH828" s="541"/>
      <c r="AI828" s="541"/>
      <c r="AJ828" s="541"/>
      <c r="AK828" s="541"/>
      <c r="AL828" s="541"/>
      <c r="AM828" s="541"/>
      <c r="AN828" s="1748"/>
      <c r="AO828" s="1748"/>
      <c r="AP828" s="1748"/>
      <c r="AQ828" s="1748"/>
      <c r="AR828" s="1748"/>
      <c r="AS828" s="541"/>
      <c r="AT828" s="541"/>
      <c r="AU828" s="541"/>
      <c r="AV828" s="541"/>
      <c r="AW828" s="541"/>
      <c r="AX828" s="541"/>
      <c r="AY828" s="541"/>
      <c r="AZ828" s="541"/>
      <c r="BA828" s="541"/>
      <c r="BC828" s="541"/>
      <c r="BE828" s="541"/>
      <c r="BG828" s="541"/>
      <c r="BH828" s="1190"/>
      <c r="BI828" s="541"/>
      <c r="BJ828" s="1190"/>
      <c r="BK828" s="541"/>
      <c r="BL828" s="541"/>
      <c r="BM828" s="541"/>
      <c r="BO828" s="541"/>
      <c r="BP828" s="541"/>
      <c r="BQ828" s="633"/>
      <c r="BR828" s="541"/>
      <c r="BS828" s="541"/>
      <c r="BT828" s="541"/>
    </row>
    <row r="829" ht="15.75" customHeight="1">
      <c r="A829" s="1591"/>
      <c r="B829" s="1541"/>
      <c r="C829" s="2217"/>
      <c r="D829" s="1543"/>
      <c r="E829" s="906"/>
      <c r="F829" s="541"/>
      <c r="G829" s="541"/>
      <c r="H829" s="541"/>
      <c r="I829" s="541"/>
      <c r="J829" s="1748"/>
      <c r="K829" s="541"/>
      <c r="L829" s="1748"/>
      <c r="M829" s="541"/>
      <c r="N829" s="1748"/>
      <c r="O829" s="541"/>
      <c r="P829" s="1748"/>
      <c r="Q829" s="541"/>
      <c r="R829" s="1748"/>
      <c r="S829" s="541"/>
      <c r="T829" s="1748"/>
      <c r="U829" s="541"/>
      <c r="V829" s="1748"/>
      <c r="W829" s="541"/>
      <c r="X829" s="1748"/>
      <c r="Y829" s="1748"/>
      <c r="Z829" s="1748"/>
      <c r="AA829" s="541"/>
      <c r="AB829" s="1748"/>
      <c r="AC829" s="541"/>
      <c r="AD829" s="541"/>
      <c r="AE829" s="541"/>
      <c r="AF829" s="541"/>
      <c r="AG829" s="541"/>
      <c r="AH829" s="541"/>
      <c r="AI829" s="541"/>
      <c r="AJ829" s="541"/>
      <c r="AK829" s="541"/>
      <c r="AL829" s="541"/>
      <c r="AM829" s="541"/>
      <c r="AN829" s="1748"/>
      <c r="AO829" s="1748"/>
      <c r="AP829" s="1748"/>
      <c r="AQ829" s="1748"/>
      <c r="AR829" s="1748"/>
      <c r="AS829" s="541"/>
      <c r="AT829" s="541"/>
      <c r="AU829" s="541"/>
      <c r="AV829" s="541"/>
      <c r="AW829" s="541"/>
      <c r="AX829" s="541"/>
      <c r="AY829" s="541"/>
      <c r="AZ829" s="541"/>
      <c r="BA829" s="541"/>
      <c r="BC829" s="541"/>
      <c r="BE829" s="541"/>
      <c r="BG829" s="541"/>
      <c r="BH829" s="1190"/>
      <c r="BI829" s="541"/>
      <c r="BJ829" s="1190"/>
      <c r="BK829" s="541"/>
      <c r="BL829" s="541"/>
      <c r="BM829" s="541"/>
      <c r="BO829" s="541"/>
      <c r="BP829" s="541"/>
      <c r="BQ829" s="633"/>
      <c r="BR829" s="541"/>
      <c r="BS829" s="541"/>
      <c r="BT829" s="541"/>
    </row>
    <row r="830" ht="15.75" customHeight="1">
      <c r="A830" s="1591"/>
      <c r="B830" s="1541"/>
      <c r="C830" s="2217"/>
      <c r="D830" s="1543"/>
      <c r="E830" s="906"/>
      <c r="F830" s="541"/>
      <c r="G830" s="541"/>
      <c r="H830" s="541"/>
      <c r="I830" s="541"/>
      <c r="J830" s="1748"/>
      <c r="K830" s="541"/>
      <c r="L830" s="1748"/>
      <c r="M830" s="541"/>
      <c r="N830" s="1748"/>
      <c r="O830" s="541"/>
      <c r="P830" s="1748"/>
      <c r="Q830" s="541"/>
      <c r="R830" s="1748"/>
      <c r="S830" s="541"/>
      <c r="T830" s="1748"/>
      <c r="U830" s="541"/>
      <c r="V830" s="1748"/>
      <c r="W830" s="541"/>
      <c r="X830" s="1748"/>
      <c r="Y830" s="1748"/>
      <c r="Z830" s="1748"/>
      <c r="AA830" s="541"/>
      <c r="AB830" s="1748"/>
      <c r="AC830" s="541"/>
      <c r="AD830" s="541"/>
      <c r="AE830" s="541"/>
      <c r="AF830" s="541"/>
      <c r="AG830" s="541"/>
      <c r="AH830" s="541"/>
      <c r="AI830" s="541"/>
      <c r="AJ830" s="541"/>
      <c r="AK830" s="541"/>
      <c r="AL830" s="541"/>
      <c r="AM830" s="541"/>
      <c r="AN830" s="1748"/>
      <c r="AO830" s="1748"/>
      <c r="AP830" s="1748"/>
      <c r="AQ830" s="1748"/>
      <c r="AR830" s="1748"/>
      <c r="AS830" s="541"/>
      <c r="AT830" s="541"/>
      <c r="AU830" s="541"/>
      <c r="AV830" s="541"/>
      <c r="AW830" s="541"/>
      <c r="AX830" s="541"/>
      <c r="AY830" s="541"/>
      <c r="AZ830" s="541"/>
      <c r="BA830" s="541"/>
      <c r="BC830" s="541"/>
      <c r="BE830" s="541"/>
      <c r="BG830" s="541"/>
      <c r="BH830" s="1190"/>
      <c r="BI830" s="541"/>
      <c r="BJ830" s="1190"/>
      <c r="BK830" s="541"/>
      <c r="BL830" s="541"/>
      <c r="BM830" s="541"/>
      <c r="BO830" s="541"/>
      <c r="BP830" s="541"/>
      <c r="BQ830" s="633"/>
      <c r="BR830" s="541"/>
      <c r="BS830" s="541"/>
      <c r="BT830" s="541"/>
    </row>
    <row r="831" ht="15.75" customHeight="1">
      <c r="A831" s="1591"/>
      <c r="B831" s="1541"/>
      <c r="C831" s="2217"/>
      <c r="D831" s="1543"/>
      <c r="E831" s="906"/>
      <c r="F831" s="541"/>
      <c r="G831" s="541"/>
      <c r="H831" s="541"/>
      <c r="I831" s="541"/>
      <c r="J831" s="1748"/>
      <c r="K831" s="541"/>
      <c r="L831" s="1748"/>
      <c r="M831" s="541"/>
      <c r="N831" s="1748"/>
      <c r="O831" s="541"/>
      <c r="P831" s="1748"/>
      <c r="Q831" s="541"/>
      <c r="R831" s="1748"/>
      <c r="S831" s="541"/>
      <c r="T831" s="1748"/>
      <c r="U831" s="541"/>
      <c r="V831" s="1748"/>
      <c r="W831" s="541"/>
      <c r="X831" s="1748"/>
      <c r="Y831" s="1748"/>
      <c r="Z831" s="1748"/>
      <c r="AA831" s="541"/>
      <c r="AB831" s="1748"/>
      <c r="AC831" s="541"/>
      <c r="AD831" s="541"/>
      <c r="AE831" s="541"/>
      <c r="AF831" s="541"/>
      <c r="AG831" s="541"/>
      <c r="AH831" s="541"/>
      <c r="AI831" s="541"/>
      <c r="AJ831" s="541"/>
      <c r="AK831" s="541"/>
      <c r="AL831" s="541"/>
      <c r="AM831" s="541"/>
      <c r="AN831" s="1748"/>
      <c r="AO831" s="1748"/>
      <c r="AP831" s="1748"/>
      <c r="AQ831" s="1748"/>
      <c r="AR831" s="1748"/>
      <c r="AS831" s="541"/>
      <c r="AT831" s="541"/>
      <c r="AU831" s="541"/>
      <c r="AV831" s="541"/>
      <c r="AW831" s="541"/>
      <c r="AX831" s="541"/>
      <c r="AY831" s="541"/>
      <c r="AZ831" s="541"/>
      <c r="BA831" s="541"/>
      <c r="BC831" s="541"/>
      <c r="BE831" s="541"/>
      <c r="BG831" s="541"/>
      <c r="BH831" s="1190"/>
      <c r="BI831" s="541"/>
      <c r="BJ831" s="1190"/>
      <c r="BK831" s="541"/>
      <c r="BL831" s="541"/>
      <c r="BM831" s="541"/>
      <c r="BO831" s="541"/>
      <c r="BP831" s="541"/>
      <c r="BQ831" s="633"/>
      <c r="BR831" s="541"/>
      <c r="BS831" s="541"/>
      <c r="BT831" s="541"/>
    </row>
    <row r="832" ht="15.75" customHeight="1">
      <c r="A832" s="1591"/>
      <c r="B832" s="1541"/>
      <c r="C832" s="2217"/>
      <c r="D832" s="1543"/>
      <c r="E832" s="906"/>
      <c r="F832" s="541"/>
      <c r="G832" s="541"/>
      <c r="H832" s="541"/>
      <c r="I832" s="541"/>
      <c r="J832" s="1748"/>
      <c r="K832" s="541"/>
      <c r="L832" s="1748"/>
      <c r="M832" s="541"/>
      <c r="N832" s="1748"/>
      <c r="O832" s="541"/>
      <c r="P832" s="1748"/>
      <c r="Q832" s="541"/>
      <c r="R832" s="1748"/>
      <c r="S832" s="541"/>
      <c r="T832" s="1748"/>
      <c r="U832" s="541"/>
      <c r="V832" s="1748"/>
      <c r="W832" s="541"/>
      <c r="X832" s="1748"/>
      <c r="Y832" s="1748"/>
      <c r="Z832" s="1748"/>
      <c r="AA832" s="541"/>
      <c r="AB832" s="1748"/>
      <c r="AC832" s="541"/>
      <c r="AD832" s="541"/>
      <c r="AE832" s="541"/>
      <c r="AF832" s="541"/>
      <c r="AG832" s="541"/>
      <c r="AH832" s="541"/>
      <c r="AI832" s="541"/>
      <c r="AJ832" s="541"/>
      <c r="AK832" s="541"/>
      <c r="AL832" s="541"/>
      <c r="AM832" s="541"/>
      <c r="AN832" s="1748"/>
      <c r="AO832" s="1748"/>
      <c r="AP832" s="1748"/>
      <c r="AQ832" s="1748"/>
      <c r="AR832" s="1748"/>
      <c r="AS832" s="541"/>
      <c r="AT832" s="541"/>
      <c r="AU832" s="541"/>
      <c r="AV832" s="541"/>
      <c r="AW832" s="541"/>
      <c r="AX832" s="541"/>
      <c r="AY832" s="541"/>
      <c r="AZ832" s="541"/>
      <c r="BA832" s="541"/>
      <c r="BC832" s="541"/>
      <c r="BE832" s="541"/>
      <c r="BG832" s="541"/>
      <c r="BH832" s="1190"/>
      <c r="BI832" s="541"/>
      <c r="BJ832" s="1190"/>
      <c r="BK832" s="541"/>
      <c r="BL832" s="541"/>
      <c r="BM832" s="541"/>
      <c r="BO832" s="541"/>
      <c r="BP832" s="541"/>
      <c r="BQ832" s="633"/>
      <c r="BR832" s="541"/>
      <c r="BS832" s="541"/>
      <c r="BT832" s="541"/>
    </row>
    <row r="833" ht="15.75" customHeight="1">
      <c r="A833" s="1591"/>
      <c r="B833" s="1541"/>
      <c r="C833" s="2217"/>
      <c r="D833" s="1543"/>
      <c r="E833" s="906"/>
      <c r="F833" s="541"/>
      <c r="G833" s="541"/>
      <c r="H833" s="541"/>
      <c r="I833" s="541"/>
      <c r="J833" s="1748"/>
      <c r="K833" s="541"/>
      <c r="L833" s="1748"/>
      <c r="M833" s="541"/>
      <c r="N833" s="1748"/>
      <c r="O833" s="541"/>
      <c r="P833" s="1748"/>
      <c r="Q833" s="541"/>
      <c r="R833" s="1748"/>
      <c r="S833" s="541"/>
      <c r="T833" s="1748"/>
      <c r="U833" s="541"/>
      <c r="V833" s="1748"/>
      <c r="W833" s="541"/>
      <c r="X833" s="1748"/>
      <c r="Y833" s="1748"/>
      <c r="Z833" s="1748"/>
      <c r="AA833" s="541"/>
      <c r="AB833" s="1748"/>
      <c r="AC833" s="541"/>
      <c r="AD833" s="541"/>
      <c r="AE833" s="541"/>
      <c r="AF833" s="541"/>
      <c r="AG833" s="541"/>
      <c r="AH833" s="541"/>
      <c r="AI833" s="541"/>
      <c r="AJ833" s="541"/>
      <c r="AK833" s="541"/>
      <c r="AL833" s="541"/>
      <c r="AM833" s="541"/>
      <c r="AN833" s="1748"/>
      <c r="AO833" s="1748"/>
      <c r="AP833" s="1748"/>
      <c r="AQ833" s="1748"/>
      <c r="AR833" s="1748"/>
      <c r="AS833" s="541"/>
      <c r="AT833" s="541"/>
      <c r="AU833" s="541"/>
      <c r="AV833" s="541"/>
      <c r="AW833" s="541"/>
      <c r="AX833" s="541"/>
      <c r="AY833" s="541"/>
      <c r="AZ833" s="541"/>
      <c r="BA833" s="541"/>
      <c r="BC833" s="541"/>
      <c r="BE833" s="541"/>
      <c r="BG833" s="541"/>
      <c r="BH833" s="1190"/>
      <c r="BI833" s="541"/>
      <c r="BJ833" s="1190"/>
      <c r="BK833" s="541"/>
      <c r="BL833" s="541"/>
      <c r="BM833" s="541"/>
      <c r="BO833" s="541"/>
      <c r="BP833" s="541"/>
      <c r="BQ833" s="633"/>
      <c r="BR833" s="541"/>
      <c r="BS833" s="541"/>
      <c r="BT833" s="541"/>
    </row>
    <row r="834" ht="15.75" customHeight="1">
      <c r="A834" s="1591"/>
      <c r="B834" s="1541"/>
      <c r="C834" s="2217"/>
      <c r="D834" s="1543"/>
      <c r="E834" s="906"/>
      <c r="F834" s="541"/>
      <c r="G834" s="541"/>
      <c r="H834" s="541"/>
      <c r="I834" s="541"/>
      <c r="J834" s="1748"/>
      <c r="K834" s="541"/>
      <c r="L834" s="1748"/>
      <c r="M834" s="541"/>
      <c r="N834" s="1748"/>
      <c r="O834" s="541"/>
      <c r="P834" s="1748"/>
      <c r="Q834" s="541"/>
      <c r="R834" s="1748"/>
      <c r="S834" s="541"/>
      <c r="T834" s="1748"/>
      <c r="U834" s="541"/>
      <c r="V834" s="1748"/>
      <c r="W834" s="541"/>
      <c r="X834" s="1748"/>
      <c r="Y834" s="1748"/>
      <c r="Z834" s="1748"/>
      <c r="AA834" s="541"/>
      <c r="AB834" s="1748"/>
      <c r="AC834" s="541"/>
      <c r="AD834" s="541"/>
      <c r="AE834" s="541"/>
      <c r="AF834" s="541"/>
      <c r="AG834" s="541"/>
      <c r="AH834" s="541"/>
      <c r="AI834" s="541"/>
      <c r="AJ834" s="541"/>
      <c r="AK834" s="541"/>
      <c r="AL834" s="541"/>
      <c r="AM834" s="541"/>
      <c r="AN834" s="1748"/>
      <c r="AO834" s="1748"/>
      <c r="AP834" s="1748"/>
      <c r="AQ834" s="1748"/>
      <c r="AR834" s="1748"/>
      <c r="AS834" s="541"/>
      <c r="AT834" s="541"/>
      <c r="AU834" s="541"/>
      <c r="AV834" s="541"/>
      <c r="AW834" s="541"/>
      <c r="AX834" s="541"/>
      <c r="AY834" s="541"/>
      <c r="AZ834" s="541"/>
      <c r="BA834" s="541"/>
      <c r="BC834" s="541"/>
      <c r="BE834" s="541"/>
      <c r="BG834" s="541"/>
      <c r="BH834" s="1190"/>
      <c r="BI834" s="541"/>
      <c r="BJ834" s="1190"/>
      <c r="BK834" s="541"/>
      <c r="BL834" s="541"/>
      <c r="BM834" s="541"/>
      <c r="BO834" s="541"/>
      <c r="BP834" s="541"/>
      <c r="BQ834" s="633"/>
      <c r="BR834" s="541"/>
      <c r="BS834" s="541"/>
      <c r="BT834" s="541"/>
    </row>
    <row r="835" ht="15.75" customHeight="1">
      <c r="A835" s="1591"/>
      <c r="B835" s="1541"/>
      <c r="C835" s="2217"/>
      <c r="D835" s="1543"/>
      <c r="E835" s="906"/>
      <c r="F835" s="541"/>
      <c r="G835" s="541"/>
      <c r="H835" s="541"/>
      <c r="I835" s="541"/>
      <c r="J835" s="1748"/>
      <c r="K835" s="541"/>
      <c r="L835" s="1748"/>
      <c r="M835" s="541"/>
      <c r="N835" s="1748"/>
      <c r="O835" s="541"/>
      <c r="P835" s="1748"/>
      <c r="Q835" s="541"/>
      <c r="R835" s="1748"/>
      <c r="S835" s="541"/>
      <c r="T835" s="1748"/>
      <c r="U835" s="541"/>
      <c r="V835" s="1748"/>
      <c r="W835" s="541"/>
      <c r="X835" s="1748"/>
      <c r="Y835" s="1748"/>
      <c r="Z835" s="1748"/>
      <c r="AA835" s="541"/>
      <c r="AB835" s="1748"/>
      <c r="AC835" s="541"/>
      <c r="AD835" s="541"/>
      <c r="AE835" s="541"/>
      <c r="AF835" s="541"/>
      <c r="AG835" s="541"/>
      <c r="AH835" s="541"/>
      <c r="AI835" s="541"/>
      <c r="AJ835" s="541"/>
      <c r="AK835" s="541"/>
      <c r="AL835" s="541"/>
      <c r="AM835" s="541"/>
      <c r="AN835" s="1748"/>
      <c r="AO835" s="1748"/>
      <c r="AP835" s="1748"/>
      <c r="AQ835" s="1748"/>
      <c r="AR835" s="1748"/>
      <c r="AS835" s="541"/>
      <c r="AT835" s="541"/>
      <c r="AU835" s="541"/>
      <c r="AV835" s="541"/>
      <c r="AW835" s="541"/>
      <c r="AX835" s="541"/>
      <c r="AY835" s="541"/>
      <c r="AZ835" s="541"/>
      <c r="BA835" s="541"/>
      <c r="BC835" s="541"/>
      <c r="BE835" s="541"/>
      <c r="BG835" s="541"/>
      <c r="BH835" s="1190"/>
      <c r="BI835" s="541"/>
      <c r="BJ835" s="1190"/>
      <c r="BK835" s="541"/>
      <c r="BL835" s="541"/>
      <c r="BM835" s="541"/>
      <c r="BO835" s="541"/>
      <c r="BP835" s="541"/>
      <c r="BQ835" s="633"/>
      <c r="BR835" s="541"/>
      <c r="BS835" s="541"/>
      <c r="BT835" s="541"/>
    </row>
    <row r="836" ht="15.75" customHeight="1">
      <c r="A836" s="1591"/>
      <c r="B836" s="1541"/>
      <c r="C836" s="2217"/>
      <c r="D836" s="1543"/>
      <c r="E836" s="906"/>
      <c r="F836" s="541"/>
      <c r="G836" s="541"/>
      <c r="H836" s="541"/>
      <c r="I836" s="541"/>
      <c r="J836" s="1748"/>
      <c r="K836" s="541"/>
      <c r="L836" s="1748"/>
      <c r="M836" s="541"/>
      <c r="N836" s="1748"/>
      <c r="O836" s="541"/>
      <c r="P836" s="1748"/>
      <c r="Q836" s="541"/>
      <c r="R836" s="1748"/>
      <c r="S836" s="541"/>
      <c r="T836" s="1748"/>
      <c r="U836" s="541"/>
      <c r="V836" s="1748"/>
      <c r="W836" s="541"/>
      <c r="X836" s="1748"/>
      <c r="Y836" s="1748"/>
      <c r="Z836" s="1748"/>
      <c r="AA836" s="541"/>
      <c r="AB836" s="1748"/>
      <c r="AC836" s="541"/>
      <c r="AD836" s="541"/>
      <c r="AE836" s="541"/>
      <c r="AF836" s="541"/>
      <c r="AG836" s="541"/>
      <c r="AH836" s="541"/>
      <c r="AI836" s="541"/>
      <c r="AJ836" s="541"/>
      <c r="AK836" s="541"/>
      <c r="AL836" s="541"/>
      <c r="AM836" s="541"/>
      <c r="AN836" s="1748"/>
      <c r="AO836" s="1748"/>
      <c r="AP836" s="1748"/>
      <c r="AQ836" s="1748"/>
      <c r="AR836" s="1748"/>
      <c r="AS836" s="541"/>
      <c r="AT836" s="541"/>
      <c r="AU836" s="541"/>
      <c r="AV836" s="541"/>
      <c r="AW836" s="541"/>
      <c r="AX836" s="541"/>
      <c r="AY836" s="541"/>
      <c r="AZ836" s="541"/>
      <c r="BA836" s="541"/>
      <c r="BC836" s="541"/>
      <c r="BE836" s="541"/>
      <c r="BG836" s="541"/>
      <c r="BH836" s="1190"/>
      <c r="BI836" s="541"/>
      <c r="BJ836" s="1190"/>
      <c r="BK836" s="541"/>
      <c r="BL836" s="541"/>
      <c r="BM836" s="541"/>
      <c r="BO836" s="541"/>
      <c r="BP836" s="541"/>
      <c r="BQ836" s="633"/>
      <c r="BR836" s="541"/>
      <c r="BS836" s="541"/>
      <c r="BT836" s="541"/>
    </row>
    <row r="837" ht="15.75" customHeight="1">
      <c r="A837" s="1591"/>
      <c r="B837" s="1541"/>
      <c r="C837" s="2217"/>
      <c r="D837" s="1543"/>
      <c r="E837" s="906"/>
      <c r="F837" s="541"/>
      <c r="G837" s="541"/>
      <c r="H837" s="541"/>
      <c r="I837" s="541"/>
      <c r="J837" s="1748"/>
      <c r="K837" s="541"/>
      <c r="L837" s="1748"/>
      <c r="M837" s="541"/>
      <c r="N837" s="1748"/>
      <c r="O837" s="541"/>
      <c r="P837" s="1748"/>
      <c r="Q837" s="541"/>
      <c r="R837" s="1748"/>
      <c r="S837" s="541"/>
      <c r="T837" s="1748"/>
      <c r="U837" s="541"/>
      <c r="V837" s="1748"/>
      <c r="W837" s="541"/>
      <c r="X837" s="1748"/>
      <c r="Y837" s="1748"/>
      <c r="Z837" s="1748"/>
      <c r="AA837" s="541"/>
      <c r="AB837" s="1748"/>
      <c r="AC837" s="541"/>
      <c r="AD837" s="541"/>
      <c r="AE837" s="541"/>
      <c r="AF837" s="541"/>
      <c r="AG837" s="541"/>
      <c r="AH837" s="541"/>
      <c r="AI837" s="541"/>
      <c r="AJ837" s="541"/>
      <c r="AK837" s="541"/>
      <c r="AL837" s="541"/>
      <c r="AM837" s="541"/>
      <c r="AN837" s="1748"/>
      <c r="AO837" s="1748"/>
      <c r="AP837" s="1748"/>
      <c r="AQ837" s="1748"/>
      <c r="AR837" s="1748"/>
      <c r="AS837" s="541"/>
      <c r="AT837" s="541"/>
      <c r="AU837" s="541"/>
      <c r="AV837" s="541"/>
      <c r="AW837" s="541"/>
      <c r="AX837" s="541"/>
      <c r="AY837" s="541"/>
      <c r="AZ837" s="541"/>
      <c r="BA837" s="541"/>
      <c r="BC837" s="541"/>
      <c r="BE837" s="541"/>
      <c r="BG837" s="541"/>
      <c r="BH837" s="1190"/>
      <c r="BI837" s="541"/>
      <c r="BJ837" s="1190"/>
      <c r="BK837" s="541"/>
      <c r="BL837" s="541"/>
      <c r="BM837" s="541"/>
      <c r="BO837" s="541"/>
      <c r="BP837" s="541"/>
      <c r="BQ837" s="633"/>
      <c r="BR837" s="541"/>
      <c r="BS837" s="541"/>
      <c r="BT837" s="541"/>
    </row>
    <row r="838" ht="15.75" customHeight="1">
      <c r="A838" s="1591"/>
      <c r="B838" s="1541"/>
      <c r="C838" s="2217"/>
      <c r="D838" s="1543"/>
      <c r="E838" s="906"/>
      <c r="F838" s="541"/>
      <c r="G838" s="541"/>
      <c r="H838" s="541"/>
      <c r="I838" s="541"/>
      <c r="J838" s="1748"/>
      <c r="K838" s="541"/>
      <c r="L838" s="1748"/>
      <c r="M838" s="541"/>
      <c r="N838" s="1748"/>
      <c r="O838" s="541"/>
      <c r="P838" s="1748"/>
      <c r="Q838" s="541"/>
      <c r="R838" s="1748"/>
      <c r="S838" s="541"/>
      <c r="T838" s="1748"/>
      <c r="U838" s="541"/>
      <c r="V838" s="1748"/>
      <c r="W838" s="541"/>
      <c r="X838" s="1748"/>
      <c r="Y838" s="1748"/>
      <c r="Z838" s="1748"/>
      <c r="AA838" s="541"/>
      <c r="AB838" s="1748"/>
      <c r="AC838" s="541"/>
      <c r="AD838" s="541"/>
      <c r="AE838" s="541"/>
      <c r="AF838" s="541"/>
      <c r="AG838" s="541"/>
      <c r="AH838" s="541"/>
      <c r="AI838" s="541"/>
      <c r="AJ838" s="541"/>
      <c r="AK838" s="541"/>
      <c r="AL838" s="541"/>
      <c r="AM838" s="541"/>
      <c r="AN838" s="1748"/>
      <c r="AO838" s="1748"/>
      <c r="AP838" s="1748"/>
      <c r="AQ838" s="1748"/>
      <c r="AR838" s="1748"/>
      <c r="AS838" s="541"/>
      <c r="AT838" s="541"/>
      <c r="AU838" s="541"/>
      <c r="AV838" s="541"/>
      <c r="AW838" s="541"/>
      <c r="AX838" s="541"/>
      <c r="AY838" s="541"/>
      <c r="AZ838" s="541"/>
      <c r="BA838" s="541"/>
      <c r="BC838" s="541"/>
      <c r="BE838" s="541"/>
      <c r="BG838" s="541"/>
      <c r="BH838" s="1190"/>
      <c r="BI838" s="541"/>
      <c r="BJ838" s="1190"/>
      <c r="BK838" s="541"/>
      <c r="BL838" s="541"/>
      <c r="BM838" s="541"/>
      <c r="BO838" s="541"/>
      <c r="BP838" s="541"/>
      <c r="BQ838" s="633"/>
      <c r="BR838" s="541"/>
      <c r="BS838" s="541"/>
      <c r="BT838" s="541"/>
    </row>
    <row r="839" ht="15.75" customHeight="1">
      <c r="A839" s="1591"/>
      <c r="B839" s="1541"/>
      <c r="C839" s="2217"/>
      <c r="D839" s="1543"/>
      <c r="E839" s="906"/>
      <c r="F839" s="541"/>
      <c r="G839" s="541"/>
      <c r="H839" s="541"/>
      <c r="I839" s="541"/>
      <c r="J839" s="1748"/>
      <c r="K839" s="541"/>
      <c r="L839" s="1748"/>
      <c r="M839" s="541"/>
      <c r="N839" s="1748"/>
      <c r="O839" s="541"/>
      <c r="P839" s="1748"/>
      <c r="Q839" s="541"/>
      <c r="R839" s="1748"/>
      <c r="S839" s="541"/>
      <c r="T839" s="1748"/>
      <c r="U839" s="541"/>
      <c r="V839" s="1748"/>
      <c r="W839" s="541"/>
      <c r="X839" s="1748"/>
      <c r="Y839" s="1748"/>
      <c r="Z839" s="1748"/>
      <c r="AA839" s="541"/>
      <c r="AB839" s="1748"/>
      <c r="AC839" s="541"/>
      <c r="AD839" s="541"/>
      <c r="AE839" s="541"/>
      <c r="AF839" s="541"/>
      <c r="AG839" s="541"/>
      <c r="AH839" s="541"/>
      <c r="AI839" s="541"/>
      <c r="AJ839" s="541"/>
      <c r="AK839" s="541"/>
      <c r="AL839" s="541"/>
      <c r="AM839" s="541"/>
      <c r="AN839" s="1748"/>
      <c r="AO839" s="1748"/>
      <c r="AP839" s="1748"/>
      <c r="AQ839" s="1748"/>
      <c r="AR839" s="1748"/>
      <c r="AS839" s="541"/>
      <c r="AT839" s="541"/>
      <c r="AU839" s="541"/>
      <c r="AV839" s="541"/>
      <c r="AW839" s="541"/>
      <c r="AX839" s="541"/>
      <c r="AY839" s="541"/>
      <c r="AZ839" s="541"/>
      <c r="BA839" s="541"/>
      <c r="BC839" s="541"/>
      <c r="BE839" s="541"/>
      <c r="BG839" s="541"/>
      <c r="BH839" s="1190"/>
      <c r="BI839" s="541"/>
      <c r="BJ839" s="1190"/>
      <c r="BK839" s="541"/>
      <c r="BL839" s="541"/>
      <c r="BM839" s="541"/>
      <c r="BO839" s="541"/>
      <c r="BP839" s="541"/>
      <c r="BQ839" s="633"/>
      <c r="BR839" s="541"/>
      <c r="BS839" s="541"/>
      <c r="BT839" s="541"/>
    </row>
    <row r="840" ht="15.75" customHeight="1">
      <c r="A840" s="1591"/>
      <c r="B840" s="1541"/>
      <c r="C840" s="2217"/>
      <c r="D840" s="1543"/>
      <c r="E840" s="906"/>
      <c r="F840" s="541"/>
      <c r="G840" s="541"/>
      <c r="H840" s="541"/>
      <c r="I840" s="541"/>
      <c r="J840" s="1748"/>
      <c r="K840" s="541"/>
      <c r="L840" s="1748"/>
      <c r="M840" s="541"/>
      <c r="N840" s="1748"/>
      <c r="O840" s="541"/>
      <c r="P840" s="1748"/>
      <c r="Q840" s="541"/>
      <c r="R840" s="1748"/>
      <c r="S840" s="541"/>
      <c r="T840" s="1748"/>
      <c r="U840" s="541"/>
      <c r="V840" s="1748"/>
      <c r="W840" s="541"/>
      <c r="X840" s="1748"/>
      <c r="Y840" s="1748"/>
      <c r="Z840" s="1748"/>
      <c r="AA840" s="541"/>
      <c r="AB840" s="1748"/>
      <c r="AC840" s="541"/>
      <c r="AD840" s="541"/>
      <c r="AE840" s="541"/>
      <c r="AF840" s="541"/>
      <c r="AG840" s="541"/>
      <c r="AH840" s="541"/>
      <c r="AI840" s="541"/>
      <c r="AJ840" s="541"/>
      <c r="AK840" s="541"/>
      <c r="AL840" s="541"/>
      <c r="AM840" s="541"/>
      <c r="AN840" s="1748"/>
      <c r="AO840" s="1748"/>
      <c r="AP840" s="1748"/>
      <c r="AQ840" s="1748"/>
      <c r="AR840" s="1748"/>
      <c r="AS840" s="541"/>
      <c r="AT840" s="541"/>
      <c r="AU840" s="541"/>
      <c r="AV840" s="541"/>
      <c r="AW840" s="541"/>
      <c r="AX840" s="541"/>
      <c r="AY840" s="541"/>
      <c r="AZ840" s="541"/>
      <c r="BA840" s="541"/>
      <c r="BC840" s="541"/>
      <c r="BE840" s="541"/>
      <c r="BG840" s="541"/>
      <c r="BH840" s="1190"/>
      <c r="BI840" s="541"/>
      <c r="BJ840" s="1190"/>
      <c r="BK840" s="541"/>
      <c r="BL840" s="541"/>
      <c r="BM840" s="541"/>
      <c r="BO840" s="541"/>
      <c r="BP840" s="541"/>
      <c r="BQ840" s="633"/>
      <c r="BR840" s="541"/>
      <c r="BS840" s="541"/>
      <c r="BT840" s="541"/>
    </row>
    <row r="841" ht="15.75" customHeight="1">
      <c r="A841" s="1591"/>
      <c r="B841" s="1541"/>
      <c r="C841" s="2217"/>
      <c r="D841" s="1543"/>
      <c r="E841" s="906"/>
      <c r="F841" s="541"/>
      <c r="G841" s="541"/>
      <c r="H841" s="541"/>
      <c r="I841" s="541"/>
      <c r="J841" s="1748"/>
      <c r="K841" s="541"/>
      <c r="L841" s="1748"/>
      <c r="M841" s="541"/>
      <c r="N841" s="1748"/>
      <c r="O841" s="541"/>
      <c r="P841" s="1748"/>
      <c r="Q841" s="541"/>
      <c r="R841" s="1748"/>
      <c r="S841" s="541"/>
      <c r="T841" s="1748"/>
      <c r="U841" s="541"/>
      <c r="V841" s="1748"/>
      <c r="W841" s="541"/>
      <c r="X841" s="1748"/>
      <c r="Y841" s="1748"/>
      <c r="Z841" s="1748"/>
      <c r="AA841" s="541"/>
      <c r="AB841" s="1748"/>
      <c r="AC841" s="541"/>
      <c r="AD841" s="541"/>
      <c r="AE841" s="541"/>
      <c r="AF841" s="541"/>
      <c r="AG841" s="541"/>
      <c r="AH841" s="541"/>
      <c r="AI841" s="541"/>
      <c r="AJ841" s="541"/>
      <c r="AK841" s="541"/>
      <c r="AL841" s="541"/>
      <c r="AM841" s="541"/>
      <c r="AN841" s="1748"/>
      <c r="AO841" s="1748"/>
      <c r="AP841" s="1748"/>
      <c r="AQ841" s="1748"/>
      <c r="AR841" s="1748"/>
      <c r="AS841" s="541"/>
      <c r="AT841" s="541"/>
      <c r="AU841" s="541"/>
      <c r="AV841" s="541"/>
      <c r="AW841" s="541"/>
      <c r="AX841" s="541"/>
      <c r="AY841" s="541"/>
      <c r="AZ841" s="541"/>
      <c r="BA841" s="541"/>
      <c r="BC841" s="541"/>
      <c r="BE841" s="541"/>
      <c r="BG841" s="541"/>
      <c r="BH841" s="1190"/>
      <c r="BI841" s="541"/>
      <c r="BJ841" s="1190"/>
      <c r="BK841" s="541"/>
      <c r="BL841" s="541"/>
      <c r="BM841" s="541"/>
      <c r="BO841" s="541"/>
      <c r="BP841" s="541"/>
      <c r="BQ841" s="633"/>
      <c r="BR841" s="541"/>
      <c r="BS841" s="541"/>
      <c r="BT841" s="541"/>
    </row>
    <row r="842" ht="15.75" customHeight="1">
      <c r="A842" s="1591"/>
      <c r="B842" s="1541"/>
      <c r="C842" s="2217"/>
      <c r="D842" s="1543"/>
      <c r="E842" s="906"/>
      <c r="F842" s="541"/>
      <c r="G842" s="541"/>
      <c r="H842" s="541"/>
      <c r="I842" s="541"/>
      <c r="J842" s="1748"/>
      <c r="K842" s="541"/>
      <c r="L842" s="1748"/>
      <c r="M842" s="541"/>
      <c r="N842" s="1748"/>
      <c r="O842" s="541"/>
      <c r="P842" s="1748"/>
      <c r="Q842" s="541"/>
      <c r="R842" s="1748"/>
      <c r="S842" s="541"/>
      <c r="T842" s="1748"/>
      <c r="U842" s="541"/>
      <c r="V842" s="1748"/>
      <c r="W842" s="541"/>
      <c r="X842" s="1748"/>
      <c r="Y842" s="1748"/>
      <c r="Z842" s="1748"/>
      <c r="AA842" s="541"/>
      <c r="AB842" s="1748"/>
      <c r="AC842" s="541"/>
      <c r="AD842" s="541"/>
      <c r="AE842" s="541"/>
      <c r="AF842" s="541"/>
      <c r="AG842" s="541"/>
      <c r="AH842" s="541"/>
      <c r="AI842" s="541"/>
      <c r="AJ842" s="541"/>
      <c r="AK842" s="541"/>
      <c r="AL842" s="541"/>
      <c r="AM842" s="541"/>
      <c r="AN842" s="1748"/>
      <c r="AO842" s="1748"/>
      <c r="AP842" s="1748"/>
      <c r="AQ842" s="1748"/>
      <c r="AR842" s="1748"/>
      <c r="AS842" s="541"/>
      <c r="AT842" s="541"/>
      <c r="AU842" s="541"/>
      <c r="AV842" s="541"/>
      <c r="AW842" s="541"/>
      <c r="AX842" s="541"/>
      <c r="AY842" s="541"/>
      <c r="AZ842" s="541"/>
      <c r="BA842" s="541"/>
      <c r="BC842" s="541"/>
      <c r="BE842" s="541"/>
      <c r="BG842" s="541"/>
      <c r="BH842" s="1190"/>
      <c r="BI842" s="541"/>
      <c r="BJ842" s="1190"/>
      <c r="BK842" s="541"/>
      <c r="BL842" s="541"/>
      <c r="BM842" s="541"/>
      <c r="BO842" s="541"/>
      <c r="BP842" s="541"/>
      <c r="BQ842" s="633"/>
      <c r="BR842" s="541"/>
      <c r="BS842" s="541"/>
      <c r="BT842" s="541"/>
    </row>
    <row r="843" ht="15.75" customHeight="1">
      <c r="A843" s="1591"/>
      <c r="B843" s="1541"/>
      <c r="C843" s="2217"/>
      <c r="D843" s="1543"/>
      <c r="E843" s="906"/>
      <c r="F843" s="541"/>
      <c r="G843" s="541"/>
      <c r="H843" s="541"/>
      <c r="I843" s="541"/>
      <c r="J843" s="1748"/>
      <c r="K843" s="541"/>
      <c r="L843" s="1748"/>
      <c r="M843" s="541"/>
      <c r="N843" s="1748"/>
      <c r="O843" s="541"/>
      <c r="P843" s="1748"/>
      <c r="Q843" s="541"/>
      <c r="R843" s="1748"/>
      <c r="S843" s="541"/>
      <c r="T843" s="1748"/>
      <c r="U843" s="541"/>
      <c r="V843" s="1748"/>
      <c r="W843" s="541"/>
      <c r="X843" s="1748"/>
      <c r="Y843" s="1748"/>
      <c r="Z843" s="1748"/>
      <c r="AA843" s="541"/>
      <c r="AB843" s="1748"/>
      <c r="AC843" s="541"/>
      <c r="AD843" s="541"/>
      <c r="AE843" s="541"/>
      <c r="AF843" s="541"/>
      <c r="AG843" s="541"/>
      <c r="AH843" s="541"/>
      <c r="AI843" s="541"/>
      <c r="AJ843" s="541"/>
      <c r="AK843" s="541"/>
      <c r="AL843" s="541"/>
      <c r="AM843" s="541"/>
      <c r="AN843" s="1748"/>
      <c r="AO843" s="1748"/>
      <c r="AP843" s="1748"/>
      <c r="AQ843" s="1748"/>
      <c r="AR843" s="1748"/>
      <c r="AS843" s="541"/>
      <c r="AT843" s="541"/>
      <c r="AU843" s="541"/>
      <c r="AV843" s="541"/>
      <c r="AW843" s="541"/>
      <c r="AX843" s="541"/>
      <c r="AY843" s="541"/>
      <c r="AZ843" s="541"/>
      <c r="BA843" s="541"/>
      <c r="BC843" s="541"/>
      <c r="BE843" s="541"/>
      <c r="BG843" s="541"/>
      <c r="BH843" s="1190"/>
      <c r="BI843" s="541"/>
      <c r="BJ843" s="1190"/>
      <c r="BK843" s="541"/>
      <c r="BL843" s="541"/>
      <c r="BM843" s="541"/>
      <c r="BO843" s="541"/>
      <c r="BP843" s="541"/>
      <c r="BQ843" s="633"/>
      <c r="BR843" s="541"/>
      <c r="BS843" s="541"/>
      <c r="BT843" s="541"/>
    </row>
    <row r="844" ht="15.75" customHeight="1">
      <c r="A844" s="1591"/>
      <c r="B844" s="1541"/>
      <c r="C844" s="2217"/>
      <c r="D844" s="1543"/>
      <c r="E844" s="906"/>
      <c r="F844" s="541"/>
      <c r="G844" s="541"/>
      <c r="H844" s="541"/>
      <c r="I844" s="541"/>
      <c r="J844" s="1748"/>
      <c r="K844" s="541"/>
      <c r="L844" s="1748"/>
      <c r="M844" s="541"/>
      <c r="N844" s="1748"/>
      <c r="O844" s="541"/>
      <c r="P844" s="1748"/>
      <c r="Q844" s="541"/>
      <c r="R844" s="1748"/>
      <c r="S844" s="541"/>
      <c r="T844" s="1748"/>
      <c r="U844" s="541"/>
      <c r="V844" s="1748"/>
      <c r="W844" s="541"/>
      <c r="X844" s="1748"/>
      <c r="Y844" s="1748"/>
      <c r="Z844" s="1748"/>
      <c r="AA844" s="541"/>
      <c r="AB844" s="1748"/>
      <c r="AC844" s="541"/>
      <c r="AD844" s="541"/>
      <c r="AE844" s="541"/>
      <c r="AF844" s="541"/>
      <c r="AG844" s="541"/>
      <c r="AH844" s="541"/>
      <c r="AI844" s="541"/>
      <c r="AJ844" s="541"/>
      <c r="AK844" s="541"/>
      <c r="AL844" s="541"/>
      <c r="AM844" s="541"/>
      <c r="AN844" s="1748"/>
      <c r="AO844" s="1748"/>
      <c r="AP844" s="1748"/>
      <c r="AQ844" s="1748"/>
      <c r="AR844" s="1748"/>
      <c r="AS844" s="541"/>
      <c r="AT844" s="541"/>
      <c r="AU844" s="541"/>
      <c r="AV844" s="541"/>
      <c r="AW844" s="541"/>
      <c r="AX844" s="541"/>
      <c r="AY844" s="541"/>
      <c r="AZ844" s="541"/>
      <c r="BA844" s="541"/>
      <c r="BC844" s="541"/>
      <c r="BE844" s="541"/>
      <c r="BG844" s="541"/>
      <c r="BH844" s="1190"/>
      <c r="BI844" s="541"/>
      <c r="BJ844" s="1190"/>
      <c r="BK844" s="541"/>
      <c r="BL844" s="541"/>
      <c r="BM844" s="541"/>
      <c r="BO844" s="541"/>
      <c r="BP844" s="541"/>
      <c r="BQ844" s="633"/>
      <c r="BR844" s="541"/>
      <c r="BS844" s="541"/>
      <c r="BT844" s="541"/>
    </row>
    <row r="845" ht="15.75" customHeight="1">
      <c r="A845" s="1591"/>
      <c r="B845" s="1541"/>
      <c r="C845" s="2217"/>
      <c r="D845" s="1543"/>
      <c r="E845" s="906"/>
      <c r="F845" s="541"/>
      <c r="G845" s="541"/>
      <c r="H845" s="541"/>
      <c r="I845" s="541"/>
      <c r="J845" s="1748"/>
      <c r="K845" s="541"/>
      <c r="L845" s="1748"/>
      <c r="M845" s="541"/>
      <c r="N845" s="1748"/>
      <c r="O845" s="541"/>
      <c r="P845" s="1748"/>
      <c r="Q845" s="541"/>
      <c r="R845" s="1748"/>
      <c r="S845" s="541"/>
      <c r="T845" s="1748"/>
      <c r="U845" s="541"/>
      <c r="V845" s="1748"/>
      <c r="W845" s="541"/>
      <c r="X845" s="1748"/>
      <c r="Y845" s="1748"/>
      <c r="Z845" s="1748"/>
      <c r="AA845" s="541"/>
      <c r="AB845" s="1748"/>
      <c r="AC845" s="541"/>
      <c r="AD845" s="541"/>
      <c r="AE845" s="541"/>
      <c r="AF845" s="541"/>
      <c r="AG845" s="541"/>
      <c r="AH845" s="541"/>
      <c r="AI845" s="541"/>
      <c r="AJ845" s="541"/>
      <c r="AK845" s="541"/>
      <c r="AL845" s="541"/>
      <c r="AM845" s="541"/>
      <c r="AN845" s="1748"/>
      <c r="AO845" s="1748"/>
      <c r="AP845" s="1748"/>
      <c r="AQ845" s="1748"/>
      <c r="AR845" s="1748"/>
      <c r="AS845" s="541"/>
      <c r="AT845" s="541"/>
      <c r="AU845" s="541"/>
      <c r="AV845" s="541"/>
      <c r="AW845" s="541"/>
      <c r="AX845" s="541"/>
      <c r="AY845" s="541"/>
      <c r="AZ845" s="541"/>
      <c r="BA845" s="541"/>
      <c r="BC845" s="541"/>
      <c r="BE845" s="541"/>
      <c r="BG845" s="541"/>
      <c r="BH845" s="1190"/>
      <c r="BI845" s="541"/>
      <c r="BJ845" s="1190"/>
      <c r="BK845" s="541"/>
      <c r="BL845" s="541"/>
      <c r="BM845" s="541"/>
      <c r="BO845" s="541"/>
      <c r="BP845" s="541"/>
      <c r="BQ845" s="633"/>
      <c r="BR845" s="541"/>
      <c r="BS845" s="541"/>
      <c r="BT845" s="541"/>
    </row>
    <row r="846" ht="15.75" customHeight="1">
      <c r="A846" s="1591"/>
      <c r="B846" s="1541"/>
      <c r="C846" s="2217"/>
      <c r="D846" s="1543"/>
      <c r="E846" s="906"/>
      <c r="F846" s="541"/>
      <c r="G846" s="541"/>
      <c r="H846" s="541"/>
      <c r="I846" s="541"/>
      <c r="J846" s="1748"/>
      <c r="K846" s="541"/>
      <c r="L846" s="1748"/>
      <c r="M846" s="541"/>
      <c r="N846" s="1748"/>
      <c r="O846" s="541"/>
      <c r="P846" s="1748"/>
      <c r="Q846" s="541"/>
      <c r="R846" s="1748"/>
      <c r="S846" s="541"/>
      <c r="T846" s="1748"/>
      <c r="U846" s="541"/>
      <c r="V846" s="1748"/>
      <c r="W846" s="541"/>
      <c r="X846" s="1748"/>
      <c r="Y846" s="1748"/>
      <c r="Z846" s="1748"/>
      <c r="AA846" s="541"/>
      <c r="AB846" s="1748"/>
      <c r="AC846" s="541"/>
      <c r="AD846" s="541"/>
      <c r="AE846" s="541"/>
      <c r="AF846" s="541"/>
      <c r="AG846" s="541"/>
      <c r="AH846" s="541"/>
      <c r="AI846" s="541"/>
      <c r="AJ846" s="541"/>
      <c r="AK846" s="541"/>
      <c r="AL846" s="541"/>
      <c r="AM846" s="541"/>
      <c r="AN846" s="1748"/>
      <c r="AO846" s="1748"/>
      <c r="AP846" s="1748"/>
      <c r="AQ846" s="1748"/>
      <c r="AR846" s="1748"/>
      <c r="AS846" s="541"/>
      <c r="AT846" s="541"/>
      <c r="AU846" s="541"/>
      <c r="AV846" s="541"/>
      <c r="AW846" s="541"/>
      <c r="AX846" s="541"/>
      <c r="AY846" s="541"/>
      <c r="AZ846" s="541"/>
      <c r="BA846" s="541"/>
      <c r="BC846" s="541"/>
      <c r="BE846" s="541"/>
      <c r="BG846" s="541"/>
      <c r="BH846" s="1190"/>
      <c r="BI846" s="541"/>
      <c r="BJ846" s="1190"/>
      <c r="BK846" s="541"/>
      <c r="BL846" s="541"/>
      <c r="BM846" s="541"/>
      <c r="BO846" s="541"/>
      <c r="BP846" s="541"/>
      <c r="BQ846" s="633"/>
      <c r="BR846" s="541"/>
      <c r="BS846" s="541"/>
      <c r="BT846" s="541"/>
    </row>
    <row r="847" ht="15.75" customHeight="1">
      <c r="A847" s="1591"/>
      <c r="B847" s="1541"/>
      <c r="C847" s="2217"/>
      <c r="D847" s="1543"/>
      <c r="E847" s="906"/>
      <c r="F847" s="541"/>
      <c r="G847" s="541"/>
      <c r="H847" s="541"/>
      <c r="I847" s="541"/>
      <c r="J847" s="1748"/>
      <c r="K847" s="541"/>
      <c r="L847" s="1748"/>
      <c r="M847" s="541"/>
      <c r="N847" s="1748"/>
      <c r="O847" s="541"/>
      <c r="P847" s="1748"/>
      <c r="Q847" s="541"/>
      <c r="R847" s="1748"/>
      <c r="S847" s="541"/>
      <c r="T847" s="1748"/>
      <c r="U847" s="541"/>
      <c r="V847" s="1748"/>
      <c r="W847" s="541"/>
      <c r="X847" s="1748"/>
      <c r="Y847" s="1748"/>
      <c r="Z847" s="1748"/>
      <c r="AA847" s="541"/>
      <c r="AB847" s="1748"/>
      <c r="AC847" s="541"/>
      <c r="AD847" s="541"/>
      <c r="AE847" s="541"/>
      <c r="AF847" s="541"/>
      <c r="AG847" s="541"/>
      <c r="AH847" s="541"/>
      <c r="AI847" s="541"/>
      <c r="AJ847" s="541"/>
      <c r="AK847" s="541"/>
      <c r="AL847" s="541"/>
      <c r="AM847" s="541"/>
      <c r="AN847" s="1748"/>
      <c r="AO847" s="1748"/>
      <c r="AP847" s="1748"/>
      <c r="AQ847" s="1748"/>
      <c r="AR847" s="1748"/>
      <c r="AS847" s="541"/>
      <c r="AT847" s="541"/>
      <c r="AU847" s="541"/>
      <c r="AV847" s="541"/>
      <c r="AW847" s="541"/>
      <c r="AX847" s="541"/>
      <c r="AY847" s="541"/>
      <c r="AZ847" s="541"/>
      <c r="BA847" s="541"/>
      <c r="BC847" s="541"/>
      <c r="BE847" s="541"/>
      <c r="BG847" s="541"/>
      <c r="BH847" s="1190"/>
      <c r="BI847" s="541"/>
      <c r="BJ847" s="1190"/>
      <c r="BK847" s="541"/>
      <c r="BL847" s="541"/>
      <c r="BM847" s="541"/>
      <c r="BO847" s="541"/>
      <c r="BP847" s="541"/>
      <c r="BQ847" s="633"/>
      <c r="BR847" s="541"/>
      <c r="BS847" s="541"/>
      <c r="BT847" s="541"/>
    </row>
    <row r="848" ht="15.75" customHeight="1">
      <c r="A848" s="1591"/>
      <c r="B848" s="1541"/>
      <c r="C848" s="2217"/>
      <c r="D848" s="1543"/>
      <c r="E848" s="906"/>
      <c r="F848" s="541"/>
      <c r="G848" s="541"/>
      <c r="H848" s="541"/>
      <c r="I848" s="541"/>
      <c r="J848" s="1748"/>
      <c r="K848" s="541"/>
      <c r="L848" s="1748"/>
      <c r="M848" s="541"/>
      <c r="N848" s="1748"/>
      <c r="O848" s="541"/>
      <c r="P848" s="1748"/>
      <c r="Q848" s="541"/>
      <c r="R848" s="1748"/>
      <c r="S848" s="541"/>
      <c r="T848" s="1748"/>
      <c r="U848" s="541"/>
      <c r="V848" s="1748"/>
      <c r="W848" s="541"/>
      <c r="X848" s="1748"/>
      <c r="Y848" s="1748"/>
      <c r="Z848" s="1748"/>
      <c r="AA848" s="541"/>
      <c r="AB848" s="1748"/>
      <c r="AC848" s="541"/>
      <c r="AD848" s="541"/>
      <c r="AE848" s="541"/>
      <c r="AF848" s="541"/>
      <c r="AG848" s="541"/>
      <c r="AH848" s="541"/>
      <c r="AI848" s="541"/>
      <c r="AJ848" s="541"/>
      <c r="AK848" s="541"/>
      <c r="AL848" s="541"/>
      <c r="AM848" s="541"/>
      <c r="AN848" s="1748"/>
      <c r="AO848" s="1748"/>
      <c r="AP848" s="1748"/>
      <c r="AQ848" s="1748"/>
      <c r="AR848" s="1748"/>
      <c r="AS848" s="541"/>
      <c r="AT848" s="541"/>
      <c r="AU848" s="541"/>
      <c r="AV848" s="541"/>
      <c r="AW848" s="541"/>
      <c r="AX848" s="541"/>
      <c r="AY848" s="541"/>
      <c r="AZ848" s="541"/>
      <c r="BA848" s="541"/>
      <c r="BC848" s="541"/>
      <c r="BE848" s="541"/>
      <c r="BG848" s="541"/>
      <c r="BH848" s="1190"/>
      <c r="BI848" s="541"/>
      <c r="BJ848" s="1190"/>
      <c r="BK848" s="541"/>
      <c r="BL848" s="541"/>
      <c r="BM848" s="541"/>
      <c r="BO848" s="541"/>
      <c r="BP848" s="541"/>
      <c r="BQ848" s="633"/>
      <c r="BR848" s="541"/>
      <c r="BS848" s="541"/>
      <c r="BT848" s="541"/>
    </row>
    <row r="849" ht="15.75" customHeight="1">
      <c r="A849" s="1591"/>
      <c r="B849" s="1541"/>
      <c r="C849" s="2217"/>
      <c r="D849" s="1543"/>
      <c r="E849" s="906"/>
      <c r="F849" s="541"/>
      <c r="G849" s="541"/>
      <c r="H849" s="541"/>
      <c r="I849" s="541"/>
      <c r="J849" s="1748"/>
      <c r="K849" s="541"/>
      <c r="L849" s="1748"/>
      <c r="M849" s="541"/>
      <c r="N849" s="1748"/>
      <c r="O849" s="541"/>
      <c r="P849" s="1748"/>
      <c r="Q849" s="541"/>
      <c r="R849" s="1748"/>
      <c r="S849" s="541"/>
      <c r="T849" s="1748"/>
      <c r="U849" s="541"/>
      <c r="V849" s="1748"/>
      <c r="W849" s="541"/>
      <c r="X849" s="1748"/>
      <c r="Y849" s="1748"/>
      <c r="Z849" s="1748"/>
      <c r="AA849" s="541"/>
      <c r="AB849" s="1748"/>
      <c r="AC849" s="541"/>
      <c r="AD849" s="541"/>
      <c r="AE849" s="541"/>
      <c r="AF849" s="541"/>
      <c r="AG849" s="541"/>
      <c r="AH849" s="541"/>
      <c r="AI849" s="541"/>
      <c r="AJ849" s="541"/>
      <c r="AK849" s="541"/>
      <c r="AL849" s="541"/>
      <c r="AM849" s="541"/>
      <c r="AN849" s="1748"/>
      <c r="AO849" s="1748"/>
      <c r="AP849" s="1748"/>
      <c r="AQ849" s="1748"/>
      <c r="AR849" s="1748"/>
      <c r="AS849" s="541"/>
      <c r="AT849" s="541"/>
      <c r="AU849" s="541"/>
      <c r="AV849" s="541"/>
      <c r="AW849" s="541"/>
      <c r="AX849" s="541"/>
      <c r="AY849" s="541"/>
      <c r="AZ849" s="541"/>
      <c r="BA849" s="541"/>
      <c r="BC849" s="541"/>
      <c r="BE849" s="541"/>
      <c r="BG849" s="541"/>
      <c r="BH849" s="1190"/>
      <c r="BI849" s="541"/>
      <c r="BJ849" s="1190"/>
      <c r="BK849" s="541"/>
      <c r="BL849" s="541"/>
      <c r="BM849" s="541"/>
      <c r="BO849" s="541"/>
      <c r="BP849" s="541"/>
      <c r="BQ849" s="633"/>
      <c r="BR849" s="541"/>
      <c r="BS849" s="541"/>
      <c r="BT849" s="541"/>
    </row>
    <row r="850" ht="15.75" customHeight="1">
      <c r="A850" s="1591"/>
      <c r="B850" s="1541"/>
      <c r="C850" s="2217"/>
      <c r="D850" s="1543"/>
      <c r="E850" s="906"/>
      <c r="F850" s="541"/>
      <c r="G850" s="541"/>
      <c r="H850" s="541"/>
      <c r="I850" s="541"/>
      <c r="J850" s="1748"/>
      <c r="K850" s="541"/>
      <c r="L850" s="1748"/>
      <c r="M850" s="541"/>
      <c r="N850" s="1748"/>
      <c r="O850" s="541"/>
      <c r="P850" s="1748"/>
      <c r="Q850" s="541"/>
      <c r="R850" s="1748"/>
      <c r="S850" s="541"/>
      <c r="T850" s="1748"/>
      <c r="U850" s="541"/>
      <c r="V850" s="1748"/>
      <c r="W850" s="541"/>
      <c r="X850" s="1748"/>
      <c r="Y850" s="1748"/>
      <c r="Z850" s="1748"/>
      <c r="AA850" s="541"/>
      <c r="AB850" s="1748"/>
      <c r="AC850" s="541"/>
      <c r="AD850" s="541"/>
      <c r="AE850" s="541"/>
      <c r="AF850" s="541"/>
      <c r="AG850" s="541"/>
      <c r="AH850" s="541"/>
      <c r="AI850" s="541"/>
      <c r="AJ850" s="541"/>
      <c r="AK850" s="541"/>
      <c r="AL850" s="541"/>
      <c r="AM850" s="541"/>
      <c r="AN850" s="1748"/>
      <c r="AO850" s="1748"/>
      <c r="AP850" s="1748"/>
      <c r="AQ850" s="1748"/>
      <c r="AR850" s="1748"/>
      <c r="AS850" s="541"/>
      <c r="AT850" s="541"/>
      <c r="AU850" s="541"/>
      <c r="AV850" s="541"/>
      <c r="AW850" s="541"/>
      <c r="AX850" s="541"/>
      <c r="AY850" s="541"/>
      <c r="AZ850" s="541"/>
      <c r="BA850" s="541"/>
      <c r="BC850" s="541"/>
      <c r="BE850" s="541"/>
      <c r="BG850" s="541"/>
      <c r="BH850" s="1190"/>
      <c r="BI850" s="541"/>
      <c r="BJ850" s="1190"/>
      <c r="BK850" s="541"/>
      <c r="BL850" s="541"/>
      <c r="BM850" s="541"/>
      <c r="BO850" s="541"/>
      <c r="BP850" s="541"/>
      <c r="BQ850" s="633"/>
      <c r="BR850" s="541"/>
      <c r="BS850" s="541"/>
      <c r="BT850" s="541"/>
    </row>
    <row r="851" ht="15.75" customHeight="1">
      <c r="A851" s="1591"/>
      <c r="B851" s="1541"/>
      <c r="C851" s="2217"/>
      <c r="D851" s="1543"/>
      <c r="E851" s="906"/>
      <c r="F851" s="541"/>
      <c r="G851" s="541"/>
      <c r="H851" s="541"/>
      <c r="I851" s="541"/>
      <c r="J851" s="1748"/>
      <c r="K851" s="541"/>
      <c r="L851" s="1748"/>
      <c r="M851" s="541"/>
      <c r="N851" s="1748"/>
      <c r="O851" s="541"/>
      <c r="P851" s="1748"/>
      <c r="Q851" s="541"/>
      <c r="R851" s="1748"/>
      <c r="S851" s="541"/>
      <c r="T851" s="1748"/>
      <c r="U851" s="541"/>
      <c r="V851" s="1748"/>
      <c r="W851" s="541"/>
      <c r="X851" s="1748"/>
      <c r="Y851" s="1748"/>
      <c r="Z851" s="1748"/>
      <c r="AA851" s="541"/>
      <c r="AB851" s="1748"/>
      <c r="AC851" s="541"/>
      <c r="AD851" s="541"/>
      <c r="AE851" s="541"/>
      <c r="AF851" s="541"/>
      <c r="AG851" s="541"/>
      <c r="AH851" s="541"/>
      <c r="AI851" s="541"/>
      <c r="AJ851" s="541"/>
      <c r="AK851" s="541"/>
      <c r="AL851" s="541"/>
      <c r="AM851" s="541"/>
      <c r="AN851" s="1748"/>
      <c r="AO851" s="1748"/>
      <c r="AP851" s="1748"/>
      <c r="AQ851" s="1748"/>
      <c r="AR851" s="1748"/>
      <c r="AS851" s="541"/>
      <c r="AT851" s="541"/>
      <c r="AU851" s="541"/>
      <c r="AV851" s="541"/>
      <c r="AW851" s="541"/>
      <c r="AX851" s="541"/>
      <c r="AY851" s="541"/>
      <c r="AZ851" s="541"/>
      <c r="BA851" s="541"/>
      <c r="BC851" s="541"/>
      <c r="BE851" s="541"/>
      <c r="BG851" s="541"/>
      <c r="BH851" s="1190"/>
      <c r="BI851" s="541"/>
      <c r="BJ851" s="1190"/>
      <c r="BK851" s="541"/>
      <c r="BL851" s="541"/>
      <c r="BM851" s="541"/>
      <c r="BO851" s="541"/>
      <c r="BP851" s="541"/>
      <c r="BQ851" s="633"/>
      <c r="BR851" s="541"/>
      <c r="BS851" s="541"/>
      <c r="BT851" s="541"/>
    </row>
    <row r="852" ht="15.75" customHeight="1">
      <c r="A852" s="1591"/>
      <c r="B852" s="1541"/>
      <c r="C852" s="2217"/>
      <c r="D852" s="1543"/>
      <c r="E852" s="906"/>
      <c r="F852" s="541"/>
      <c r="G852" s="541"/>
      <c r="H852" s="541"/>
      <c r="I852" s="541"/>
      <c r="J852" s="1748"/>
      <c r="K852" s="541"/>
      <c r="L852" s="1748"/>
      <c r="M852" s="541"/>
      <c r="N852" s="1748"/>
      <c r="O852" s="541"/>
      <c r="P852" s="1748"/>
      <c r="Q852" s="541"/>
      <c r="R852" s="1748"/>
      <c r="S852" s="541"/>
      <c r="T852" s="1748"/>
      <c r="U852" s="541"/>
      <c r="V852" s="1748"/>
      <c r="W852" s="541"/>
      <c r="X852" s="1748"/>
      <c r="Y852" s="1748"/>
      <c r="Z852" s="1748"/>
      <c r="AA852" s="541"/>
      <c r="AB852" s="1748"/>
      <c r="AC852" s="541"/>
      <c r="AD852" s="541"/>
      <c r="AE852" s="541"/>
      <c r="AF852" s="541"/>
      <c r="AG852" s="541"/>
      <c r="AH852" s="541"/>
      <c r="AI852" s="541"/>
      <c r="AJ852" s="541"/>
      <c r="AK852" s="541"/>
      <c r="AL852" s="541"/>
      <c r="AM852" s="541"/>
      <c r="AN852" s="1748"/>
      <c r="AO852" s="1748"/>
      <c r="AP852" s="1748"/>
      <c r="AQ852" s="1748"/>
      <c r="AR852" s="1748"/>
      <c r="AS852" s="541"/>
      <c r="AT852" s="541"/>
      <c r="AU852" s="541"/>
      <c r="AV852" s="541"/>
      <c r="AW852" s="541"/>
      <c r="AX852" s="541"/>
      <c r="AY852" s="541"/>
      <c r="AZ852" s="541"/>
      <c r="BA852" s="541"/>
      <c r="BC852" s="541"/>
      <c r="BE852" s="541"/>
      <c r="BG852" s="541"/>
      <c r="BH852" s="1190"/>
      <c r="BI852" s="541"/>
      <c r="BJ852" s="1190"/>
      <c r="BK852" s="541"/>
      <c r="BL852" s="541"/>
      <c r="BM852" s="541"/>
      <c r="BO852" s="541"/>
      <c r="BP852" s="541"/>
      <c r="BQ852" s="633"/>
      <c r="BR852" s="541"/>
      <c r="BS852" s="541"/>
      <c r="BT852" s="541"/>
    </row>
    <row r="853" ht="15.75" customHeight="1">
      <c r="A853" s="1591"/>
      <c r="B853" s="1541"/>
      <c r="C853" s="2217"/>
      <c r="D853" s="1543"/>
      <c r="E853" s="906"/>
      <c r="F853" s="541"/>
      <c r="G853" s="541"/>
      <c r="H853" s="541"/>
      <c r="I853" s="541"/>
      <c r="J853" s="1748"/>
      <c r="K853" s="541"/>
      <c r="L853" s="1748"/>
      <c r="M853" s="541"/>
      <c r="N853" s="1748"/>
      <c r="O853" s="541"/>
      <c r="P853" s="1748"/>
      <c r="Q853" s="541"/>
      <c r="R853" s="1748"/>
      <c r="S853" s="541"/>
      <c r="T853" s="1748"/>
      <c r="U853" s="541"/>
      <c r="V853" s="1748"/>
      <c r="W853" s="541"/>
      <c r="X853" s="1748"/>
      <c r="Y853" s="1748"/>
      <c r="Z853" s="1748"/>
      <c r="AA853" s="541"/>
      <c r="AB853" s="1748"/>
      <c r="AC853" s="541"/>
      <c r="AD853" s="541"/>
      <c r="AE853" s="541"/>
      <c r="AF853" s="541"/>
      <c r="AG853" s="541"/>
      <c r="AH853" s="541"/>
      <c r="AI853" s="541"/>
      <c r="AJ853" s="541"/>
      <c r="AK853" s="541"/>
      <c r="AL853" s="541"/>
      <c r="AM853" s="541"/>
      <c r="AN853" s="1748"/>
      <c r="AO853" s="1748"/>
      <c r="AP853" s="1748"/>
      <c r="AQ853" s="1748"/>
      <c r="AR853" s="1748"/>
      <c r="AS853" s="541"/>
      <c r="AT853" s="541"/>
      <c r="AU853" s="541"/>
      <c r="AV853" s="541"/>
      <c r="AW853" s="541"/>
      <c r="AX853" s="541"/>
      <c r="AY853" s="541"/>
      <c r="AZ853" s="541"/>
      <c r="BA853" s="541"/>
      <c r="BC853" s="541"/>
      <c r="BE853" s="541"/>
      <c r="BG853" s="541"/>
      <c r="BH853" s="1190"/>
      <c r="BI853" s="541"/>
      <c r="BJ853" s="1190"/>
      <c r="BK853" s="541"/>
      <c r="BL853" s="541"/>
      <c r="BM853" s="541"/>
      <c r="BO853" s="541"/>
      <c r="BP853" s="541"/>
      <c r="BQ853" s="633"/>
      <c r="BR853" s="541"/>
      <c r="BS853" s="541"/>
      <c r="BT853" s="541"/>
    </row>
    <row r="854" ht="15.75" customHeight="1">
      <c r="A854" s="1591"/>
      <c r="B854" s="1541"/>
      <c r="C854" s="2217"/>
      <c r="D854" s="1543"/>
      <c r="E854" s="906"/>
      <c r="F854" s="541"/>
      <c r="G854" s="541"/>
      <c r="H854" s="541"/>
      <c r="I854" s="541"/>
      <c r="J854" s="1748"/>
      <c r="K854" s="541"/>
      <c r="L854" s="1748"/>
      <c r="M854" s="541"/>
      <c r="N854" s="1748"/>
      <c r="O854" s="541"/>
      <c r="P854" s="1748"/>
      <c r="Q854" s="541"/>
      <c r="R854" s="1748"/>
      <c r="S854" s="541"/>
      <c r="T854" s="1748"/>
      <c r="U854" s="541"/>
      <c r="V854" s="1748"/>
      <c r="W854" s="541"/>
      <c r="X854" s="1748"/>
      <c r="Y854" s="1748"/>
      <c r="Z854" s="1748"/>
      <c r="AA854" s="541"/>
      <c r="AB854" s="1748"/>
      <c r="AC854" s="541"/>
      <c r="AD854" s="541"/>
      <c r="AE854" s="541"/>
      <c r="AF854" s="541"/>
      <c r="AG854" s="541"/>
      <c r="AH854" s="541"/>
      <c r="AI854" s="541"/>
      <c r="AJ854" s="541"/>
      <c r="AK854" s="541"/>
      <c r="AL854" s="541"/>
      <c r="AM854" s="541"/>
      <c r="AN854" s="1748"/>
      <c r="AO854" s="1748"/>
      <c r="AP854" s="1748"/>
      <c r="AQ854" s="1748"/>
      <c r="AR854" s="1748"/>
      <c r="AS854" s="541"/>
      <c r="AT854" s="541"/>
      <c r="AU854" s="541"/>
      <c r="AV854" s="541"/>
      <c r="AW854" s="541"/>
      <c r="AX854" s="541"/>
      <c r="AY854" s="541"/>
      <c r="AZ854" s="541"/>
      <c r="BA854" s="541"/>
      <c r="BC854" s="541"/>
      <c r="BE854" s="541"/>
      <c r="BG854" s="541"/>
      <c r="BH854" s="1190"/>
      <c r="BI854" s="541"/>
      <c r="BJ854" s="1190"/>
      <c r="BK854" s="541"/>
      <c r="BL854" s="541"/>
      <c r="BM854" s="541"/>
      <c r="BO854" s="541"/>
      <c r="BP854" s="541"/>
      <c r="BQ854" s="633"/>
      <c r="BR854" s="541"/>
      <c r="BS854" s="541"/>
      <c r="BT854" s="541"/>
    </row>
    <row r="855" ht="15.75" customHeight="1">
      <c r="A855" s="1591"/>
      <c r="B855" s="1541"/>
      <c r="C855" s="2217"/>
      <c r="D855" s="1543"/>
      <c r="E855" s="906"/>
      <c r="F855" s="541"/>
      <c r="G855" s="541"/>
      <c r="H855" s="541"/>
      <c r="I855" s="541"/>
      <c r="J855" s="1748"/>
      <c r="K855" s="541"/>
      <c r="L855" s="1748"/>
      <c r="M855" s="541"/>
      <c r="N855" s="1748"/>
      <c r="O855" s="541"/>
      <c r="P855" s="1748"/>
      <c r="Q855" s="541"/>
      <c r="R855" s="1748"/>
      <c r="S855" s="541"/>
      <c r="T855" s="1748"/>
      <c r="U855" s="541"/>
      <c r="V855" s="1748"/>
      <c r="W855" s="541"/>
      <c r="X855" s="1748"/>
      <c r="Y855" s="1748"/>
      <c r="Z855" s="1748"/>
      <c r="AA855" s="541"/>
      <c r="AB855" s="1748"/>
      <c r="AC855" s="541"/>
      <c r="AD855" s="541"/>
      <c r="AE855" s="541"/>
      <c r="AF855" s="541"/>
      <c r="AG855" s="541"/>
      <c r="AH855" s="541"/>
      <c r="AI855" s="541"/>
      <c r="AJ855" s="541"/>
      <c r="AK855" s="541"/>
      <c r="AL855" s="541"/>
      <c r="AM855" s="541"/>
      <c r="AN855" s="1748"/>
      <c r="AO855" s="1748"/>
      <c r="AP855" s="1748"/>
      <c r="AQ855" s="1748"/>
      <c r="AR855" s="1748"/>
      <c r="AS855" s="541"/>
      <c r="AT855" s="541"/>
      <c r="AU855" s="541"/>
      <c r="AV855" s="541"/>
      <c r="AW855" s="541"/>
      <c r="AX855" s="541"/>
      <c r="AY855" s="541"/>
      <c r="AZ855" s="541"/>
      <c r="BA855" s="541"/>
      <c r="BC855" s="541"/>
      <c r="BE855" s="541"/>
      <c r="BG855" s="541"/>
      <c r="BH855" s="1190"/>
      <c r="BI855" s="541"/>
      <c r="BJ855" s="1190"/>
      <c r="BK855" s="541"/>
      <c r="BL855" s="541"/>
      <c r="BM855" s="541"/>
      <c r="BO855" s="541"/>
      <c r="BP855" s="541"/>
      <c r="BQ855" s="633"/>
      <c r="BR855" s="541"/>
      <c r="BS855" s="541"/>
      <c r="BT855" s="541"/>
    </row>
    <row r="856" ht="15.75" customHeight="1">
      <c r="A856" s="1591"/>
      <c r="B856" s="1541"/>
      <c r="C856" s="2217"/>
      <c r="D856" s="1543"/>
      <c r="E856" s="906"/>
      <c r="F856" s="541"/>
      <c r="G856" s="541"/>
      <c r="H856" s="541"/>
      <c r="I856" s="541"/>
      <c r="J856" s="1748"/>
      <c r="K856" s="541"/>
      <c r="L856" s="1748"/>
      <c r="M856" s="541"/>
      <c r="N856" s="1748"/>
      <c r="O856" s="541"/>
      <c r="P856" s="1748"/>
      <c r="Q856" s="541"/>
      <c r="R856" s="1748"/>
      <c r="S856" s="541"/>
      <c r="T856" s="1748"/>
      <c r="U856" s="541"/>
      <c r="V856" s="1748"/>
      <c r="W856" s="541"/>
      <c r="X856" s="1748"/>
      <c r="Y856" s="1748"/>
      <c r="Z856" s="1748"/>
      <c r="AA856" s="541"/>
      <c r="AB856" s="1748"/>
      <c r="AC856" s="541"/>
      <c r="AD856" s="541"/>
      <c r="AE856" s="541"/>
      <c r="AF856" s="541"/>
      <c r="AG856" s="541"/>
      <c r="AH856" s="541"/>
      <c r="AI856" s="541"/>
      <c r="AJ856" s="541"/>
      <c r="AK856" s="541"/>
      <c r="AL856" s="541"/>
      <c r="AM856" s="541"/>
      <c r="AN856" s="1748"/>
      <c r="AO856" s="1748"/>
      <c r="AP856" s="1748"/>
      <c r="AQ856" s="1748"/>
      <c r="AR856" s="1748"/>
      <c r="AS856" s="541"/>
      <c r="AT856" s="541"/>
      <c r="AU856" s="541"/>
      <c r="AV856" s="541"/>
      <c r="AW856" s="541"/>
      <c r="AX856" s="541"/>
      <c r="AY856" s="541"/>
      <c r="AZ856" s="541"/>
      <c r="BA856" s="541"/>
      <c r="BC856" s="541"/>
      <c r="BE856" s="541"/>
      <c r="BG856" s="541"/>
      <c r="BH856" s="1190"/>
      <c r="BI856" s="541"/>
      <c r="BJ856" s="1190"/>
      <c r="BK856" s="541"/>
      <c r="BL856" s="541"/>
      <c r="BM856" s="541"/>
      <c r="BO856" s="541"/>
      <c r="BP856" s="541"/>
      <c r="BQ856" s="633"/>
      <c r="BR856" s="541"/>
      <c r="BS856" s="541"/>
      <c r="BT856" s="541"/>
    </row>
    <row r="857" ht="15.75" customHeight="1">
      <c r="A857" s="1591"/>
      <c r="B857" s="1541"/>
      <c r="C857" s="2217"/>
      <c r="D857" s="1543"/>
      <c r="E857" s="906"/>
      <c r="F857" s="541"/>
      <c r="G857" s="541"/>
      <c r="H857" s="541"/>
      <c r="I857" s="541"/>
      <c r="J857" s="1748"/>
      <c r="K857" s="541"/>
      <c r="L857" s="1748"/>
      <c r="M857" s="541"/>
      <c r="N857" s="1748"/>
      <c r="O857" s="541"/>
      <c r="P857" s="1748"/>
      <c r="Q857" s="541"/>
      <c r="R857" s="1748"/>
      <c r="S857" s="541"/>
      <c r="T857" s="1748"/>
      <c r="U857" s="541"/>
      <c r="V857" s="1748"/>
      <c r="W857" s="541"/>
      <c r="X857" s="1748"/>
      <c r="Y857" s="1748"/>
      <c r="Z857" s="1748"/>
      <c r="AA857" s="541"/>
      <c r="AB857" s="1748"/>
      <c r="AC857" s="541"/>
      <c r="AD857" s="541"/>
      <c r="AE857" s="541"/>
      <c r="AF857" s="541"/>
      <c r="AG857" s="541"/>
      <c r="AH857" s="541"/>
      <c r="AI857" s="541"/>
      <c r="AJ857" s="541"/>
      <c r="AK857" s="541"/>
      <c r="AL857" s="541"/>
      <c r="AM857" s="541"/>
      <c r="AN857" s="1748"/>
      <c r="AO857" s="1748"/>
      <c r="AP857" s="1748"/>
      <c r="AQ857" s="1748"/>
      <c r="AR857" s="1748"/>
      <c r="AS857" s="541"/>
      <c r="AT857" s="541"/>
      <c r="AU857" s="541"/>
      <c r="AV857" s="541"/>
      <c r="AW857" s="541"/>
      <c r="AX857" s="541"/>
      <c r="AY857" s="541"/>
      <c r="AZ857" s="541"/>
      <c r="BA857" s="541"/>
      <c r="BC857" s="541"/>
      <c r="BE857" s="541"/>
      <c r="BG857" s="541"/>
      <c r="BH857" s="1190"/>
      <c r="BI857" s="541"/>
      <c r="BJ857" s="1190"/>
      <c r="BK857" s="541"/>
      <c r="BL857" s="541"/>
      <c r="BM857" s="541"/>
      <c r="BO857" s="541"/>
      <c r="BP857" s="541"/>
      <c r="BQ857" s="633"/>
      <c r="BR857" s="541"/>
      <c r="BS857" s="541"/>
      <c r="BT857" s="541"/>
    </row>
    <row r="858" ht="15.75" customHeight="1">
      <c r="A858" s="1591"/>
      <c r="B858" s="1541"/>
      <c r="C858" s="2217"/>
      <c r="D858" s="1543"/>
      <c r="E858" s="906"/>
      <c r="F858" s="541"/>
      <c r="G858" s="541"/>
      <c r="H858" s="541"/>
      <c r="I858" s="541"/>
      <c r="J858" s="1748"/>
      <c r="K858" s="541"/>
      <c r="L858" s="1748"/>
      <c r="M858" s="541"/>
      <c r="N858" s="1748"/>
      <c r="O858" s="541"/>
      <c r="P858" s="1748"/>
      <c r="Q858" s="541"/>
      <c r="R858" s="1748"/>
      <c r="S858" s="541"/>
      <c r="T858" s="1748"/>
      <c r="U858" s="541"/>
      <c r="V858" s="1748"/>
      <c r="W858" s="541"/>
      <c r="X858" s="1748"/>
      <c r="Y858" s="1748"/>
      <c r="Z858" s="1748"/>
      <c r="AA858" s="541"/>
      <c r="AB858" s="1748"/>
      <c r="AC858" s="541"/>
      <c r="AD858" s="541"/>
      <c r="AE858" s="541"/>
      <c r="AF858" s="541"/>
      <c r="AG858" s="541"/>
      <c r="AH858" s="541"/>
      <c r="AI858" s="541"/>
      <c r="AJ858" s="541"/>
      <c r="AK858" s="541"/>
      <c r="AL858" s="541"/>
      <c r="AM858" s="541"/>
      <c r="AN858" s="1748"/>
      <c r="AO858" s="1748"/>
      <c r="AP858" s="1748"/>
      <c r="AQ858" s="1748"/>
      <c r="AR858" s="1748"/>
      <c r="AS858" s="541"/>
      <c r="AT858" s="541"/>
      <c r="AU858" s="541"/>
      <c r="AV858" s="541"/>
      <c r="AW858" s="541"/>
      <c r="AX858" s="541"/>
      <c r="AY858" s="541"/>
      <c r="AZ858" s="541"/>
      <c r="BA858" s="541"/>
      <c r="BC858" s="541"/>
      <c r="BE858" s="541"/>
      <c r="BG858" s="541"/>
      <c r="BH858" s="1190"/>
      <c r="BI858" s="541"/>
      <c r="BJ858" s="1190"/>
      <c r="BK858" s="541"/>
      <c r="BL858" s="541"/>
      <c r="BM858" s="541"/>
      <c r="BO858" s="541"/>
      <c r="BP858" s="541"/>
      <c r="BQ858" s="633"/>
      <c r="BR858" s="541"/>
      <c r="BS858" s="541"/>
      <c r="BT858" s="541"/>
    </row>
    <row r="859" ht="15.75" customHeight="1">
      <c r="A859" s="1591"/>
      <c r="B859" s="1541"/>
      <c r="C859" s="2217"/>
      <c r="D859" s="1543"/>
      <c r="E859" s="906"/>
      <c r="F859" s="541"/>
      <c r="G859" s="541"/>
      <c r="H859" s="541"/>
      <c r="I859" s="541"/>
      <c r="J859" s="1748"/>
      <c r="K859" s="541"/>
      <c r="L859" s="1748"/>
      <c r="M859" s="541"/>
      <c r="N859" s="1748"/>
      <c r="O859" s="541"/>
      <c r="P859" s="1748"/>
      <c r="Q859" s="541"/>
      <c r="R859" s="1748"/>
      <c r="S859" s="541"/>
      <c r="T859" s="1748"/>
      <c r="U859" s="541"/>
      <c r="V859" s="1748"/>
      <c r="W859" s="541"/>
      <c r="X859" s="1748"/>
      <c r="Y859" s="1748"/>
      <c r="Z859" s="1748"/>
      <c r="AA859" s="541"/>
      <c r="AB859" s="1748"/>
      <c r="AC859" s="541"/>
      <c r="AD859" s="541"/>
      <c r="AE859" s="541"/>
      <c r="AF859" s="541"/>
      <c r="AG859" s="541"/>
      <c r="AH859" s="541"/>
      <c r="AI859" s="541"/>
      <c r="AJ859" s="541"/>
      <c r="AK859" s="541"/>
      <c r="AL859" s="541"/>
      <c r="AM859" s="541"/>
      <c r="AN859" s="1748"/>
      <c r="AO859" s="1748"/>
      <c r="AP859" s="1748"/>
      <c r="AQ859" s="1748"/>
      <c r="AR859" s="1748"/>
      <c r="AS859" s="541"/>
      <c r="AT859" s="541"/>
      <c r="AU859" s="541"/>
      <c r="AV859" s="541"/>
      <c r="AW859" s="541"/>
      <c r="AX859" s="541"/>
      <c r="AY859" s="541"/>
      <c r="AZ859" s="541"/>
      <c r="BA859" s="541"/>
      <c r="BC859" s="541"/>
      <c r="BE859" s="541"/>
      <c r="BG859" s="541"/>
      <c r="BH859" s="1190"/>
      <c r="BI859" s="541"/>
      <c r="BJ859" s="1190"/>
      <c r="BK859" s="541"/>
      <c r="BL859" s="541"/>
      <c r="BM859" s="541"/>
      <c r="BO859" s="541"/>
      <c r="BP859" s="541"/>
      <c r="BQ859" s="633"/>
      <c r="BR859" s="541"/>
      <c r="BS859" s="541"/>
      <c r="BT859" s="541"/>
    </row>
    <row r="860" ht="15.75" customHeight="1">
      <c r="A860" s="1591"/>
      <c r="B860" s="1541"/>
      <c r="C860" s="2217"/>
      <c r="D860" s="1543"/>
      <c r="E860" s="906"/>
      <c r="F860" s="541"/>
      <c r="G860" s="541"/>
      <c r="H860" s="541"/>
      <c r="I860" s="541"/>
      <c r="J860" s="1748"/>
      <c r="K860" s="541"/>
      <c r="L860" s="1748"/>
      <c r="M860" s="541"/>
      <c r="N860" s="1748"/>
      <c r="O860" s="541"/>
      <c r="P860" s="1748"/>
      <c r="Q860" s="541"/>
      <c r="R860" s="1748"/>
      <c r="S860" s="541"/>
      <c r="T860" s="1748"/>
      <c r="U860" s="541"/>
      <c r="V860" s="1748"/>
      <c r="W860" s="541"/>
      <c r="X860" s="1748"/>
      <c r="Y860" s="1748"/>
      <c r="Z860" s="1748"/>
      <c r="AA860" s="541"/>
      <c r="AB860" s="1748"/>
      <c r="AC860" s="541"/>
      <c r="AD860" s="541"/>
      <c r="AE860" s="541"/>
      <c r="AF860" s="541"/>
      <c r="AG860" s="541"/>
      <c r="AH860" s="541"/>
      <c r="AI860" s="541"/>
      <c r="AJ860" s="541"/>
      <c r="AK860" s="541"/>
      <c r="AL860" s="541"/>
      <c r="AM860" s="541"/>
      <c r="AN860" s="1748"/>
      <c r="AO860" s="1748"/>
      <c r="AP860" s="1748"/>
      <c r="AQ860" s="1748"/>
      <c r="AR860" s="1748"/>
      <c r="AS860" s="541"/>
      <c r="AT860" s="541"/>
      <c r="AU860" s="541"/>
      <c r="AV860" s="541"/>
      <c r="AW860" s="541"/>
      <c r="AX860" s="541"/>
      <c r="AY860" s="541"/>
      <c r="AZ860" s="541"/>
      <c r="BA860" s="541"/>
      <c r="BC860" s="541"/>
      <c r="BE860" s="541"/>
      <c r="BG860" s="541"/>
      <c r="BH860" s="1190"/>
      <c r="BI860" s="541"/>
      <c r="BJ860" s="1190"/>
      <c r="BK860" s="541"/>
      <c r="BL860" s="541"/>
      <c r="BM860" s="541"/>
      <c r="BO860" s="541"/>
      <c r="BP860" s="541"/>
      <c r="BQ860" s="633"/>
      <c r="BR860" s="541"/>
      <c r="BS860" s="541"/>
      <c r="BT860" s="541"/>
    </row>
    <row r="861" ht="15.75" customHeight="1">
      <c r="A861" s="1591"/>
      <c r="B861" s="1541"/>
      <c r="C861" s="2217"/>
      <c r="D861" s="1543"/>
      <c r="E861" s="906"/>
      <c r="F861" s="541"/>
      <c r="G861" s="541"/>
      <c r="H861" s="541"/>
      <c r="I861" s="541"/>
      <c r="J861" s="1748"/>
      <c r="K861" s="541"/>
      <c r="L861" s="1748"/>
      <c r="M861" s="541"/>
      <c r="N861" s="1748"/>
      <c r="O861" s="541"/>
      <c r="P861" s="1748"/>
      <c r="Q861" s="541"/>
      <c r="R861" s="1748"/>
      <c r="S861" s="541"/>
      <c r="T861" s="1748"/>
      <c r="U861" s="541"/>
      <c r="V861" s="1748"/>
      <c r="W861" s="541"/>
      <c r="X861" s="1748"/>
      <c r="Y861" s="1748"/>
      <c r="Z861" s="1748"/>
      <c r="AA861" s="541"/>
      <c r="AB861" s="1748"/>
      <c r="AC861" s="541"/>
      <c r="AD861" s="541"/>
      <c r="AE861" s="541"/>
      <c r="AF861" s="541"/>
      <c r="AG861" s="541"/>
      <c r="AH861" s="541"/>
      <c r="AI861" s="541"/>
      <c r="AJ861" s="541"/>
      <c r="AK861" s="541"/>
      <c r="AL861" s="541"/>
      <c r="AM861" s="541"/>
      <c r="AN861" s="1748"/>
      <c r="AO861" s="1748"/>
      <c r="AP861" s="1748"/>
      <c r="AQ861" s="1748"/>
      <c r="AR861" s="1748"/>
      <c r="AS861" s="541"/>
      <c r="AT861" s="541"/>
      <c r="AU861" s="541"/>
      <c r="AV861" s="541"/>
      <c r="AW861" s="541"/>
      <c r="AX861" s="541"/>
      <c r="AY861" s="541"/>
      <c r="AZ861" s="541"/>
      <c r="BA861" s="541"/>
      <c r="BC861" s="541"/>
      <c r="BE861" s="541"/>
      <c r="BG861" s="541"/>
      <c r="BH861" s="1190"/>
      <c r="BI861" s="541"/>
      <c r="BJ861" s="1190"/>
      <c r="BK861" s="541"/>
      <c r="BL861" s="541"/>
      <c r="BM861" s="541"/>
      <c r="BO861" s="541"/>
      <c r="BP861" s="541"/>
      <c r="BQ861" s="633"/>
      <c r="BR861" s="541"/>
      <c r="BS861" s="541"/>
      <c r="BT861" s="541"/>
    </row>
    <row r="862" ht="15.75" customHeight="1">
      <c r="A862" s="1591"/>
      <c r="B862" s="1541"/>
      <c r="C862" s="2217"/>
      <c r="D862" s="1543"/>
      <c r="E862" s="906"/>
      <c r="F862" s="541"/>
      <c r="G862" s="541"/>
      <c r="H862" s="541"/>
      <c r="I862" s="541"/>
      <c r="J862" s="1748"/>
      <c r="K862" s="541"/>
      <c r="L862" s="1748"/>
      <c r="M862" s="541"/>
      <c r="N862" s="1748"/>
      <c r="O862" s="541"/>
      <c r="P862" s="1748"/>
      <c r="Q862" s="541"/>
      <c r="R862" s="1748"/>
      <c r="S862" s="541"/>
      <c r="T862" s="1748"/>
      <c r="U862" s="541"/>
      <c r="V862" s="1748"/>
      <c r="W862" s="541"/>
      <c r="X862" s="1748"/>
      <c r="Y862" s="1748"/>
      <c r="Z862" s="1748"/>
      <c r="AA862" s="541"/>
      <c r="AB862" s="1748"/>
      <c r="AC862" s="541"/>
      <c r="AD862" s="541"/>
      <c r="AE862" s="541"/>
      <c r="AF862" s="541"/>
      <c r="AG862" s="541"/>
      <c r="AH862" s="541"/>
      <c r="AI862" s="541"/>
      <c r="AJ862" s="541"/>
      <c r="AK862" s="541"/>
      <c r="AL862" s="541"/>
      <c r="AM862" s="541"/>
      <c r="AN862" s="1748"/>
      <c r="AO862" s="1748"/>
      <c r="AP862" s="1748"/>
      <c r="AQ862" s="1748"/>
      <c r="AR862" s="1748"/>
      <c r="AS862" s="541"/>
      <c r="AT862" s="541"/>
      <c r="AU862" s="541"/>
      <c r="AV862" s="541"/>
      <c r="AW862" s="541"/>
      <c r="AX862" s="541"/>
      <c r="AY862" s="541"/>
      <c r="AZ862" s="541"/>
      <c r="BA862" s="541"/>
      <c r="BC862" s="541"/>
      <c r="BE862" s="541"/>
      <c r="BG862" s="541"/>
      <c r="BH862" s="1190"/>
      <c r="BI862" s="541"/>
      <c r="BJ862" s="1190"/>
      <c r="BK862" s="541"/>
      <c r="BL862" s="541"/>
      <c r="BM862" s="541"/>
      <c r="BO862" s="541"/>
      <c r="BP862" s="541"/>
      <c r="BQ862" s="633"/>
      <c r="BR862" s="541"/>
      <c r="BS862" s="541"/>
      <c r="BT862" s="541"/>
    </row>
    <row r="863" ht="15.75" customHeight="1">
      <c r="A863" s="1591"/>
      <c r="B863" s="1541"/>
      <c r="C863" s="2217"/>
      <c r="D863" s="1543"/>
      <c r="E863" s="906"/>
      <c r="F863" s="541"/>
      <c r="G863" s="541"/>
      <c r="H863" s="541"/>
      <c r="I863" s="541"/>
      <c r="J863" s="1748"/>
      <c r="K863" s="541"/>
      <c r="L863" s="1748"/>
      <c r="M863" s="541"/>
      <c r="N863" s="1748"/>
      <c r="O863" s="541"/>
      <c r="P863" s="1748"/>
      <c r="Q863" s="541"/>
      <c r="R863" s="1748"/>
      <c r="S863" s="541"/>
      <c r="T863" s="1748"/>
      <c r="U863" s="541"/>
      <c r="V863" s="1748"/>
      <c r="W863" s="541"/>
      <c r="X863" s="1748"/>
      <c r="Y863" s="1748"/>
      <c r="Z863" s="1748"/>
      <c r="AA863" s="541"/>
      <c r="AB863" s="1748"/>
      <c r="AC863" s="541"/>
      <c r="AD863" s="541"/>
      <c r="AE863" s="541"/>
      <c r="AF863" s="541"/>
      <c r="AG863" s="541"/>
      <c r="AH863" s="541"/>
      <c r="AI863" s="541"/>
      <c r="AJ863" s="541"/>
      <c r="AK863" s="541"/>
      <c r="AL863" s="541"/>
      <c r="AM863" s="541"/>
      <c r="AN863" s="1748"/>
      <c r="AO863" s="1748"/>
      <c r="AP863" s="1748"/>
      <c r="AQ863" s="1748"/>
      <c r="AR863" s="1748"/>
      <c r="AS863" s="541"/>
      <c r="AT863" s="541"/>
      <c r="AU863" s="541"/>
      <c r="AV863" s="541"/>
      <c r="AW863" s="541"/>
      <c r="AX863" s="541"/>
      <c r="AY863" s="541"/>
      <c r="AZ863" s="541"/>
      <c r="BA863" s="541"/>
      <c r="BC863" s="541"/>
      <c r="BE863" s="541"/>
      <c r="BG863" s="541"/>
      <c r="BH863" s="1190"/>
      <c r="BI863" s="541"/>
      <c r="BJ863" s="1190"/>
      <c r="BK863" s="541"/>
      <c r="BL863" s="541"/>
      <c r="BM863" s="541"/>
      <c r="BO863" s="541"/>
      <c r="BP863" s="541"/>
      <c r="BQ863" s="633"/>
      <c r="BR863" s="541"/>
      <c r="BS863" s="541"/>
      <c r="BT863" s="541"/>
    </row>
    <row r="864" ht="15.75" customHeight="1">
      <c r="A864" s="1591"/>
      <c r="B864" s="1541"/>
      <c r="C864" s="2217"/>
      <c r="D864" s="1543"/>
      <c r="E864" s="906"/>
      <c r="F864" s="541"/>
      <c r="G864" s="541"/>
      <c r="H864" s="541"/>
      <c r="I864" s="541"/>
      <c r="J864" s="1748"/>
      <c r="K864" s="541"/>
      <c r="L864" s="1748"/>
      <c r="M864" s="541"/>
      <c r="N864" s="1748"/>
      <c r="O864" s="541"/>
      <c r="P864" s="1748"/>
      <c r="Q864" s="541"/>
      <c r="R864" s="1748"/>
      <c r="S864" s="541"/>
      <c r="T864" s="1748"/>
      <c r="U864" s="541"/>
      <c r="V864" s="1748"/>
      <c r="W864" s="541"/>
      <c r="X864" s="1748"/>
      <c r="Y864" s="1748"/>
      <c r="Z864" s="1748"/>
      <c r="AA864" s="541"/>
      <c r="AB864" s="1748"/>
      <c r="AC864" s="541"/>
      <c r="AD864" s="541"/>
      <c r="AE864" s="541"/>
      <c r="AF864" s="541"/>
      <c r="AG864" s="541"/>
      <c r="AH864" s="541"/>
      <c r="AI864" s="541"/>
      <c r="AJ864" s="541"/>
      <c r="AK864" s="541"/>
      <c r="AL864" s="541"/>
      <c r="AM864" s="541"/>
      <c r="AN864" s="1748"/>
      <c r="AO864" s="1748"/>
      <c r="AP864" s="1748"/>
      <c r="AQ864" s="1748"/>
      <c r="AR864" s="1748"/>
      <c r="AS864" s="541"/>
      <c r="AT864" s="541"/>
      <c r="AU864" s="541"/>
      <c r="AV864" s="541"/>
      <c r="AW864" s="541"/>
      <c r="AX864" s="541"/>
      <c r="AY864" s="541"/>
      <c r="AZ864" s="541"/>
      <c r="BA864" s="541"/>
      <c r="BC864" s="541"/>
      <c r="BE864" s="541"/>
      <c r="BG864" s="541"/>
      <c r="BH864" s="1190"/>
      <c r="BI864" s="541"/>
      <c r="BJ864" s="1190"/>
      <c r="BK864" s="541"/>
      <c r="BL864" s="541"/>
      <c r="BM864" s="541"/>
      <c r="BO864" s="541"/>
      <c r="BP864" s="541"/>
      <c r="BQ864" s="633"/>
      <c r="BR864" s="541"/>
      <c r="BS864" s="541"/>
      <c r="BT864" s="541"/>
    </row>
    <row r="865" ht="15.75" customHeight="1">
      <c r="A865" s="1591"/>
      <c r="B865" s="1541"/>
      <c r="C865" s="2217"/>
      <c r="D865" s="1543"/>
      <c r="E865" s="906"/>
      <c r="F865" s="541"/>
      <c r="G865" s="541"/>
      <c r="H865" s="541"/>
      <c r="I865" s="541"/>
      <c r="J865" s="1748"/>
      <c r="K865" s="541"/>
      <c r="L865" s="1748"/>
      <c r="M865" s="541"/>
      <c r="N865" s="1748"/>
      <c r="O865" s="541"/>
      <c r="P865" s="1748"/>
      <c r="Q865" s="541"/>
      <c r="R865" s="1748"/>
      <c r="S865" s="541"/>
      <c r="T865" s="1748"/>
      <c r="U865" s="541"/>
      <c r="V865" s="1748"/>
      <c r="W865" s="541"/>
      <c r="X865" s="1748"/>
      <c r="Y865" s="1748"/>
      <c r="Z865" s="1748"/>
      <c r="AA865" s="541"/>
      <c r="AB865" s="1748"/>
      <c r="AC865" s="541"/>
      <c r="AD865" s="541"/>
      <c r="AE865" s="541"/>
      <c r="AF865" s="541"/>
      <c r="AG865" s="541"/>
      <c r="AH865" s="541"/>
      <c r="AI865" s="541"/>
      <c r="AJ865" s="541"/>
      <c r="AK865" s="541"/>
      <c r="AL865" s="541"/>
      <c r="AM865" s="541"/>
      <c r="AN865" s="1748"/>
      <c r="AO865" s="1748"/>
      <c r="AP865" s="1748"/>
      <c r="AQ865" s="1748"/>
      <c r="AR865" s="1748"/>
      <c r="AS865" s="541"/>
      <c r="AT865" s="541"/>
      <c r="AU865" s="541"/>
      <c r="AV865" s="541"/>
      <c r="AW865" s="541"/>
      <c r="AX865" s="541"/>
      <c r="AY865" s="541"/>
      <c r="AZ865" s="541"/>
      <c r="BA865" s="541"/>
      <c r="BC865" s="541"/>
      <c r="BE865" s="541"/>
      <c r="BG865" s="541"/>
      <c r="BH865" s="1190"/>
      <c r="BI865" s="541"/>
      <c r="BJ865" s="1190"/>
      <c r="BK865" s="541"/>
      <c r="BL865" s="541"/>
      <c r="BM865" s="541"/>
      <c r="BO865" s="541"/>
      <c r="BP865" s="541"/>
      <c r="BQ865" s="633"/>
      <c r="BR865" s="541"/>
      <c r="BS865" s="541"/>
      <c r="BT865" s="541"/>
    </row>
    <row r="866" ht="15.75" customHeight="1">
      <c r="A866" s="1591"/>
      <c r="B866" s="1541"/>
      <c r="C866" s="2217"/>
      <c r="D866" s="1543"/>
      <c r="E866" s="906"/>
      <c r="F866" s="541"/>
      <c r="G866" s="541"/>
      <c r="H866" s="541"/>
      <c r="I866" s="541"/>
      <c r="J866" s="1748"/>
      <c r="K866" s="541"/>
      <c r="L866" s="1748"/>
      <c r="M866" s="541"/>
      <c r="N866" s="1748"/>
      <c r="O866" s="541"/>
      <c r="P866" s="1748"/>
      <c r="Q866" s="541"/>
      <c r="R866" s="1748"/>
      <c r="S866" s="541"/>
      <c r="T866" s="1748"/>
      <c r="U866" s="541"/>
      <c r="V866" s="1748"/>
      <c r="W866" s="541"/>
      <c r="X866" s="1748"/>
      <c r="Y866" s="1748"/>
      <c r="Z866" s="1748"/>
      <c r="AA866" s="541"/>
      <c r="AB866" s="1748"/>
      <c r="AC866" s="541"/>
      <c r="AD866" s="541"/>
      <c r="AE866" s="541"/>
      <c r="AF866" s="541"/>
      <c r="AG866" s="541"/>
      <c r="AH866" s="541"/>
      <c r="AI866" s="541"/>
      <c r="AJ866" s="541"/>
      <c r="AK866" s="541"/>
      <c r="AL866" s="541"/>
      <c r="AM866" s="541"/>
      <c r="AN866" s="1748"/>
      <c r="AO866" s="1748"/>
      <c r="AP866" s="1748"/>
      <c r="AQ866" s="1748"/>
      <c r="AR866" s="1748"/>
      <c r="AS866" s="541"/>
      <c r="AT866" s="541"/>
      <c r="AU866" s="541"/>
      <c r="AV866" s="541"/>
      <c r="AW866" s="541"/>
      <c r="AX866" s="541"/>
      <c r="AY866" s="541"/>
      <c r="AZ866" s="541"/>
      <c r="BA866" s="541"/>
      <c r="BC866" s="541"/>
      <c r="BE866" s="541"/>
      <c r="BG866" s="541"/>
      <c r="BH866" s="1190"/>
      <c r="BI866" s="541"/>
      <c r="BJ866" s="1190"/>
      <c r="BK866" s="541"/>
      <c r="BL866" s="541"/>
      <c r="BM866" s="541"/>
      <c r="BO866" s="541"/>
      <c r="BP866" s="541"/>
      <c r="BQ866" s="633"/>
      <c r="BR866" s="541"/>
      <c r="BS866" s="541"/>
      <c r="BT866" s="541"/>
    </row>
    <row r="867" ht="15.75" customHeight="1">
      <c r="A867" s="1591"/>
      <c r="B867" s="1541"/>
      <c r="C867" s="2217"/>
      <c r="D867" s="1543"/>
      <c r="E867" s="906"/>
      <c r="F867" s="541"/>
      <c r="G867" s="541"/>
      <c r="H867" s="541"/>
      <c r="I867" s="541"/>
      <c r="J867" s="1748"/>
      <c r="K867" s="541"/>
      <c r="L867" s="1748"/>
      <c r="M867" s="541"/>
      <c r="N867" s="1748"/>
      <c r="O867" s="541"/>
      <c r="P867" s="1748"/>
      <c r="Q867" s="541"/>
      <c r="R867" s="1748"/>
      <c r="S867" s="541"/>
      <c r="T867" s="1748"/>
      <c r="U867" s="541"/>
      <c r="V867" s="1748"/>
      <c r="W867" s="541"/>
      <c r="X867" s="1748"/>
      <c r="Y867" s="1748"/>
      <c r="Z867" s="1748"/>
      <c r="AA867" s="541"/>
      <c r="AB867" s="1748"/>
      <c r="AC867" s="541"/>
      <c r="AD867" s="541"/>
      <c r="AE867" s="541"/>
      <c r="AF867" s="541"/>
      <c r="AG867" s="541"/>
      <c r="AH867" s="541"/>
      <c r="AI867" s="541"/>
      <c r="AJ867" s="541"/>
      <c r="AK867" s="541"/>
      <c r="AL867" s="541"/>
      <c r="AM867" s="541"/>
      <c r="AN867" s="1748"/>
      <c r="AO867" s="1748"/>
      <c r="AP867" s="1748"/>
      <c r="AQ867" s="1748"/>
      <c r="AR867" s="1748"/>
      <c r="AS867" s="541"/>
      <c r="AT867" s="541"/>
      <c r="AU867" s="541"/>
      <c r="AV867" s="541"/>
      <c r="AW867" s="541"/>
      <c r="AX867" s="541"/>
      <c r="AY867" s="541"/>
      <c r="AZ867" s="541"/>
      <c r="BA867" s="541"/>
      <c r="BC867" s="541"/>
      <c r="BE867" s="541"/>
      <c r="BG867" s="541"/>
      <c r="BH867" s="1190"/>
      <c r="BI867" s="541"/>
      <c r="BJ867" s="1190"/>
      <c r="BK867" s="541"/>
      <c r="BL867" s="541"/>
      <c r="BM867" s="541"/>
      <c r="BO867" s="541"/>
      <c r="BP867" s="541"/>
      <c r="BQ867" s="633"/>
      <c r="BR867" s="541"/>
      <c r="BS867" s="541"/>
      <c r="BT867" s="541"/>
    </row>
    <row r="868" ht="15.75" customHeight="1">
      <c r="A868" s="1591"/>
      <c r="B868" s="1541"/>
      <c r="C868" s="2217"/>
      <c r="D868" s="1543"/>
      <c r="E868" s="906"/>
      <c r="F868" s="541"/>
      <c r="G868" s="541"/>
      <c r="H868" s="541"/>
      <c r="I868" s="541"/>
      <c r="J868" s="1748"/>
      <c r="K868" s="541"/>
      <c r="L868" s="1748"/>
      <c r="M868" s="541"/>
      <c r="N868" s="1748"/>
      <c r="O868" s="541"/>
      <c r="P868" s="1748"/>
      <c r="Q868" s="541"/>
      <c r="R868" s="1748"/>
      <c r="S868" s="541"/>
      <c r="T868" s="1748"/>
      <c r="U868" s="541"/>
      <c r="V868" s="1748"/>
      <c r="W868" s="541"/>
      <c r="X868" s="1748"/>
      <c r="Y868" s="1748"/>
      <c r="Z868" s="1748"/>
      <c r="AA868" s="541"/>
      <c r="AB868" s="1748"/>
      <c r="AC868" s="541"/>
      <c r="AD868" s="541"/>
      <c r="AE868" s="541"/>
      <c r="AF868" s="541"/>
      <c r="AG868" s="541"/>
      <c r="AH868" s="541"/>
      <c r="AI868" s="541"/>
      <c r="AJ868" s="541"/>
      <c r="AK868" s="541"/>
      <c r="AL868" s="541"/>
      <c r="AM868" s="541"/>
      <c r="AN868" s="1748"/>
      <c r="AO868" s="1748"/>
      <c r="AP868" s="1748"/>
      <c r="AQ868" s="1748"/>
      <c r="AR868" s="1748"/>
      <c r="AS868" s="541"/>
      <c r="AT868" s="541"/>
      <c r="AU868" s="541"/>
      <c r="AV868" s="541"/>
      <c r="AW868" s="541"/>
      <c r="AX868" s="541"/>
      <c r="AY868" s="541"/>
      <c r="AZ868" s="541"/>
      <c r="BA868" s="541"/>
      <c r="BC868" s="541"/>
      <c r="BE868" s="541"/>
      <c r="BG868" s="541"/>
      <c r="BH868" s="1190"/>
      <c r="BI868" s="541"/>
      <c r="BJ868" s="1190"/>
      <c r="BK868" s="541"/>
      <c r="BL868" s="541"/>
      <c r="BM868" s="541"/>
      <c r="BO868" s="541"/>
      <c r="BP868" s="541"/>
      <c r="BQ868" s="633"/>
      <c r="BR868" s="541"/>
      <c r="BS868" s="541"/>
      <c r="BT868" s="541"/>
    </row>
    <row r="869" ht="15.75" customHeight="1">
      <c r="A869" s="1591"/>
      <c r="B869" s="1541"/>
      <c r="C869" s="2217"/>
      <c r="D869" s="1543"/>
      <c r="E869" s="906"/>
      <c r="F869" s="541"/>
      <c r="G869" s="541"/>
      <c r="H869" s="541"/>
      <c r="I869" s="541"/>
      <c r="J869" s="1748"/>
      <c r="K869" s="541"/>
      <c r="L869" s="1748"/>
      <c r="M869" s="541"/>
      <c r="N869" s="1748"/>
      <c r="O869" s="541"/>
      <c r="P869" s="1748"/>
      <c r="Q869" s="541"/>
      <c r="R869" s="1748"/>
      <c r="S869" s="541"/>
      <c r="T869" s="1748"/>
      <c r="U869" s="541"/>
      <c r="V869" s="1748"/>
      <c r="W869" s="541"/>
      <c r="X869" s="1748"/>
      <c r="Y869" s="1748"/>
      <c r="Z869" s="1748"/>
      <c r="AA869" s="541"/>
      <c r="AB869" s="1748"/>
      <c r="AC869" s="541"/>
      <c r="AD869" s="541"/>
      <c r="AE869" s="541"/>
      <c r="AF869" s="541"/>
      <c r="AG869" s="541"/>
      <c r="AH869" s="541"/>
      <c r="AI869" s="541"/>
      <c r="AJ869" s="541"/>
      <c r="AK869" s="541"/>
      <c r="AL869" s="541"/>
      <c r="AM869" s="541"/>
      <c r="AN869" s="1748"/>
      <c r="AO869" s="1748"/>
      <c r="AP869" s="1748"/>
      <c r="AQ869" s="1748"/>
      <c r="AR869" s="1748"/>
      <c r="AS869" s="541"/>
      <c r="AT869" s="541"/>
      <c r="AU869" s="541"/>
      <c r="AV869" s="541"/>
      <c r="AW869" s="541"/>
      <c r="AX869" s="541"/>
      <c r="AY869" s="541"/>
      <c r="AZ869" s="541"/>
      <c r="BA869" s="541"/>
      <c r="BC869" s="541"/>
      <c r="BE869" s="541"/>
      <c r="BG869" s="541"/>
      <c r="BH869" s="1190"/>
      <c r="BI869" s="541"/>
      <c r="BJ869" s="1190"/>
      <c r="BK869" s="541"/>
      <c r="BL869" s="541"/>
      <c r="BM869" s="541"/>
      <c r="BO869" s="541"/>
      <c r="BP869" s="541"/>
      <c r="BQ869" s="633"/>
      <c r="BR869" s="541"/>
      <c r="BS869" s="541"/>
      <c r="BT869" s="541"/>
    </row>
    <row r="870" ht="15.75" customHeight="1">
      <c r="A870" s="1591"/>
      <c r="B870" s="1541"/>
      <c r="C870" s="2217"/>
      <c r="D870" s="1543"/>
      <c r="E870" s="906"/>
      <c r="F870" s="541"/>
      <c r="G870" s="541"/>
      <c r="H870" s="541"/>
      <c r="I870" s="541"/>
      <c r="J870" s="1748"/>
      <c r="K870" s="541"/>
      <c r="L870" s="1748"/>
      <c r="M870" s="541"/>
      <c r="N870" s="1748"/>
      <c r="O870" s="541"/>
      <c r="P870" s="1748"/>
      <c r="Q870" s="541"/>
      <c r="R870" s="1748"/>
      <c r="S870" s="541"/>
      <c r="T870" s="1748"/>
      <c r="U870" s="541"/>
      <c r="V870" s="1748"/>
      <c r="W870" s="541"/>
      <c r="X870" s="1748"/>
      <c r="Y870" s="1748"/>
      <c r="Z870" s="1748"/>
      <c r="AA870" s="541"/>
      <c r="AB870" s="1748"/>
      <c r="AC870" s="541"/>
      <c r="AD870" s="541"/>
      <c r="AE870" s="541"/>
      <c r="AF870" s="541"/>
      <c r="AG870" s="541"/>
      <c r="AH870" s="541"/>
      <c r="AI870" s="541"/>
      <c r="AJ870" s="541"/>
      <c r="AK870" s="541"/>
      <c r="AL870" s="541"/>
      <c r="AM870" s="541"/>
      <c r="AN870" s="1748"/>
      <c r="AO870" s="1748"/>
      <c r="AP870" s="1748"/>
      <c r="AQ870" s="1748"/>
      <c r="AR870" s="1748"/>
      <c r="AS870" s="541"/>
      <c r="AT870" s="541"/>
      <c r="AU870" s="541"/>
      <c r="AV870" s="541"/>
      <c r="AW870" s="541"/>
      <c r="AX870" s="541"/>
      <c r="AY870" s="541"/>
      <c r="AZ870" s="541"/>
      <c r="BA870" s="541"/>
      <c r="BC870" s="541"/>
      <c r="BE870" s="541"/>
      <c r="BG870" s="541"/>
      <c r="BH870" s="1190"/>
      <c r="BI870" s="541"/>
      <c r="BJ870" s="1190"/>
      <c r="BK870" s="541"/>
      <c r="BL870" s="541"/>
      <c r="BM870" s="541"/>
      <c r="BO870" s="541"/>
      <c r="BP870" s="541"/>
      <c r="BQ870" s="633"/>
      <c r="BR870" s="541"/>
      <c r="BS870" s="541"/>
      <c r="BT870" s="541"/>
    </row>
    <row r="871" ht="15.75" customHeight="1">
      <c r="A871" s="1591"/>
      <c r="B871" s="1541"/>
      <c r="C871" s="2217"/>
      <c r="D871" s="1543"/>
      <c r="E871" s="906"/>
      <c r="F871" s="541"/>
      <c r="G871" s="541"/>
      <c r="H871" s="541"/>
      <c r="I871" s="541"/>
      <c r="J871" s="1748"/>
      <c r="K871" s="541"/>
      <c r="L871" s="1748"/>
      <c r="M871" s="541"/>
      <c r="N871" s="1748"/>
      <c r="O871" s="541"/>
      <c r="P871" s="1748"/>
      <c r="Q871" s="541"/>
      <c r="R871" s="1748"/>
      <c r="S871" s="541"/>
      <c r="T871" s="1748"/>
      <c r="U871" s="541"/>
      <c r="V871" s="1748"/>
      <c r="W871" s="541"/>
      <c r="X871" s="1748"/>
      <c r="Y871" s="1748"/>
      <c r="Z871" s="1748"/>
      <c r="AA871" s="541"/>
      <c r="AB871" s="1748"/>
      <c r="AC871" s="541"/>
      <c r="AD871" s="541"/>
      <c r="AE871" s="541"/>
      <c r="AF871" s="541"/>
      <c r="AG871" s="541"/>
      <c r="AH871" s="541"/>
      <c r="AI871" s="541"/>
      <c r="AJ871" s="541"/>
      <c r="AK871" s="541"/>
      <c r="AL871" s="541"/>
      <c r="AM871" s="541"/>
      <c r="AN871" s="1748"/>
      <c r="AO871" s="1748"/>
      <c r="AP871" s="1748"/>
      <c r="AQ871" s="1748"/>
      <c r="AR871" s="1748"/>
      <c r="AS871" s="541"/>
      <c r="AT871" s="541"/>
      <c r="AU871" s="541"/>
      <c r="AV871" s="541"/>
      <c r="AW871" s="541"/>
      <c r="AX871" s="541"/>
      <c r="AY871" s="541"/>
      <c r="AZ871" s="541"/>
      <c r="BA871" s="541"/>
      <c r="BC871" s="541"/>
      <c r="BE871" s="541"/>
      <c r="BG871" s="541"/>
      <c r="BH871" s="1190"/>
      <c r="BI871" s="541"/>
      <c r="BJ871" s="1190"/>
      <c r="BK871" s="541"/>
      <c r="BL871" s="541"/>
      <c r="BM871" s="541"/>
      <c r="BO871" s="541"/>
      <c r="BP871" s="541"/>
      <c r="BQ871" s="633"/>
      <c r="BR871" s="541"/>
      <c r="BS871" s="541"/>
      <c r="BT871" s="541"/>
    </row>
    <row r="872" ht="15.75" customHeight="1">
      <c r="A872" s="1591"/>
      <c r="B872" s="1541"/>
      <c r="C872" s="2217"/>
      <c r="D872" s="1543"/>
      <c r="E872" s="906"/>
      <c r="F872" s="541"/>
      <c r="G872" s="541"/>
      <c r="H872" s="541"/>
      <c r="I872" s="541"/>
      <c r="J872" s="1748"/>
      <c r="K872" s="541"/>
      <c r="L872" s="1748"/>
      <c r="M872" s="541"/>
      <c r="N872" s="1748"/>
      <c r="O872" s="541"/>
      <c r="P872" s="1748"/>
      <c r="Q872" s="541"/>
      <c r="R872" s="1748"/>
      <c r="S872" s="541"/>
      <c r="T872" s="1748"/>
      <c r="U872" s="541"/>
      <c r="V872" s="1748"/>
      <c r="W872" s="541"/>
      <c r="X872" s="1748"/>
      <c r="Y872" s="1748"/>
      <c r="Z872" s="1748"/>
      <c r="AA872" s="541"/>
      <c r="AB872" s="1748"/>
      <c r="AC872" s="541"/>
      <c r="AD872" s="541"/>
      <c r="AE872" s="541"/>
      <c r="AF872" s="541"/>
      <c r="AG872" s="541"/>
      <c r="AH872" s="541"/>
      <c r="AI872" s="541"/>
      <c r="AJ872" s="541"/>
      <c r="AK872" s="541"/>
      <c r="AL872" s="541"/>
      <c r="AM872" s="541"/>
      <c r="AN872" s="1748"/>
      <c r="AO872" s="1748"/>
      <c r="AP872" s="1748"/>
      <c r="AQ872" s="1748"/>
      <c r="AR872" s="1748"/>
      <c r="AS872" s="541"/>
      <c r="AT872" s="541"/>
      <c r="AU872" s="541"/>
      <c r="AV872" s="541"/>
      <c r="AW872" s="541"/>
      <c r="AX872" s="541"/>
      <c r="AY872" s="541"/>
      <c r="AZ872" s="541"/>
      <c r="BA872" s="541"/>
      <c r="BC872" s="541"/>
      <c r="BE872" s="541"/>
      <c r="BG872" s="541"/>
      <c r="BH872" s="1190"/>
      <c r="BI872" s="541"/>
      <c r="BJ872" s="1190"/>
      <c r="BK872" s="541"/>
      <c r="BL872" s="541"/>
      <c r="BM872" s="541"/>
      <c r="BO872" s="541"/>
      <c r="BP872" s="541"/>
      <c r="BQ872" s="633"/>
      <c r="BR872" s="541"/>
      <c r="BS872" s="541"/>
      <c r="BT872" s="541"/>
    </row>
    <row r="873" ht="15.75" customHeight="1">
      <c r="A873" s="1591"/>
      <c r="B873" s="1541"/>
      <c r="C873" s="2217"/>
      <c r="D873" s="1543"/>
      <c r="E873" s="906"/>
      <c r="F873" s="541"/>
      <c r="G873" s="541"/>
      <c r="H873" s="541"/>
      <c r="I873" s="541"/>
      <c r="J873" s="1748"/>
      <c r="K873" s="541"/>
      <c r="L873" s="1748"/>
      <c r="M873" s="541"/>
      <c r="N873" s="1748"/>
      <c r="O873" s="541"/>
      <c r="P873" s="1748"/>
      <c r="Q873" s="541"/>
      <c r="R873" s="1748"/>
      <c r="S873" s="541"/>
      <c r="T873" s="1748"/>
      <c r="U873" s="541"/>
      <c r="V873" s="1748"/>
      <c r="W873" s="541"/>
      <c r="X873" s="1748"/>
      <c r="Y873" s="1748"/>
      <c r="Z873" s="1748"/>
      <c r="AA873" s="541"/>
      <c r="AB873" s="1748"/>
      <c r="AC873" s="541"/>
      <c r="AD873" s="541"/>
      <c r="AE873" s="541"/>
      <c r="AF873" s="541"/>
      <c r="AG873" s="541"/>
      <c r="AH873" s="541"/>
      <c r="AI873" s="541"/>
      <c r="AJ873" s="541"/>
      <c r="AK873" s="541"/>
      <c r="AL873" s="541"/>
      <c r="AM873" s="541"/>
      <c r="AN873" s="1748"/>
      <c r="AO873" s="1748"/>
      <c r="AP873" s="1748"/>
      <c r="AQ873" s="1748"/>
      <c r="AR873" s="1748"/>
      <c r="AS873" s="541"/>
      <c r="AT873" s="541"/>
      <c r="AU873" s="541"/>
      <c r="AV873" s="541"/>
      <c r="AW873" s="541"/>
      <c r="AX873" s="541"/>
      <c r="AY873" s="541"/>
      <c r="AZ873" s="541"/>
      <c r="BA873" s="541"/>
      <c r="BC873" s="541"/>
      <c r="BE873" s="541"/>
      <c r="BG873" s="541"/>
      <c r="BH873" s="1190"/>
      <c r="BI873" s="541"/>
      <c r="BJ873" s="1190"/>
      <c r="BK873" s="541"/>
      <c r="BL873" s="541"/>
      <c r="BM873" s="541"/>
      <c r="BO873" s="541"/>
      <c r="BP873" s="541"/>
      <c r="BQ873" s="633"/>
      <c r="BR873" s="541"/>
      <c r="BS873" s="541"/>
      <c r="BT873" s="541"/>
    </row>
    <row r="874" ht="15.75" customHeight="1">
      <c r="A874" s="1591"/>
      <c r="B874" s="1541"/>
      <c r="C874" s="2217"/>
      <c r="D874" s="1543"/>
      <c r="E874" s="906"/>
      <c r="F874" s="541"/>
      <c r="G874" s="541"/>
      <c r="H874" s="541"/>
      <c r="I874" s="541"/>
      <c r="J874" s="1748"/>
      <c r="K874" s="541"/>
      <c r="L874" s="1748"/>
      <c r="M874" s="541"/>
      <c r="N874" s="1748"/>
      <c r="O874" s="541"/>
      <c r="P874" s="1748"/>
      <c r="Q874" s="541"/>
      <c r="R874" s="1748"/>
      <c r="S874" s="541"/>
      <c r="T874" s="1748"/>
      <c r="U874" s="541"/>
      <c r="V874" s="1748"/>
      <c r="W874" s="541"/>
      <c r="X874" s="1748"/>
      <c r="Y874" s="1748"/>
      <c r="Z874" s="1748"/>
      <c r="AA874" s="541"/>
      <c r="AB874" s="1748"/>
      <c r="AC874" s="541"/>
      <c r="AD874" s="541"/>
      <c r="AE874" s="541"/>
      <c r="AF874" s="541"/>
      <c r="AG874" s="541"/>
      <c r="AH874" s="541"/>
      <c r="AI874" s="541"/>
      <c r="AJ874" s="541"/>
      <c r="AK874" s="541"/>
      <c r="AL874" s="541"/>
      <c r="AM874" s="541"/>
      <c r="AN874" s="1748"/>
      <c r="AO874" s="1748"/>
      <c r="AP874" s="1748"/>
      <c r="AQ874" s="1748"/>
      <c r="AR874" s="1748"/>
      <c r="AS874" s="541"/>
      <c r="AT874" s="541"/>
      <c r="AU874" s="541"/>
      <c r="AV874" s="541"/>
      <c r="AW874" s="541"/>
      <c r="AX874" s="541"/>
      <c r="AY874" s="541"/>
      <c r="AZ874" s="541"/>
      <c r="BA874" s="541"/>
      <c r="BC874" s="541"/>
      <c r="BE874" s="541"/>
      <c r="BG874" s="541"/>
      <c r="BH874" s="1190"/>
      <c r="BI874" s="541"/>
      <c r="BJ874" s="1190"/>
      <c r="BK874" s="541"/>
      <c r="BL874" s="541"/>
      <c r="BM874" s="541"/>
      <c r="BO874" s="541"/>
      <c r="BP874" s="541"/>
      <c r="BQ874" s="633"/>
      <c r="BR874" s="541"/>
      <c r="BS874" s="541"/>
      <c r="BT874" s="541"/>
    </row>
    <row r="875" ht="15.75" customHeight="1">
      <c r="A875" s="1591"/>
      <c r="B875" s="1541"/>
      <c r="C875" s="2217"/>
      <c r="D875" s="1543"/>
      <c r="E875" s="906"/>
      <c r="F875" s="541"/>
      <c r="G875" s="541"/>
      <c r="H875" s="541"/>
      <c r="I875" s="541"/>
      <c r="J875" s="1748"/>
      <c r="K875" s="541"/>
      <c r="L875" s="1748"/>
      <c r="M875" s="541"/>
      <c r="N875" s="1748"/>
      <c r="O875" s="541"/>
      <c r="P875" s="1748"/>
      <c r="Q875" s="541"/>
      <c r="R875" s="1748"/>
      <c r="S875" s="541"/>
      <c r="T875" s="1748"/>
      <c r="U875" s="541"/>
      <c r="V875" s="1748"/>
      <c r="W875" s="541"/>
      <c r="X875" s="1748"/>
      <c r="Y875" s="1748"/>
      <c r="Z875" s="1748"/>
      <c r="AA875" s="541"/>
      <c r="AB875" s="1748"/>
      <c r="AC875" s="541"/>
      <c r="AD875" s="541"/>
      <c r="AE875" s="541"/>
      <c r="AF875" s="541"/>
      <c r="AG875" s="541"/>
      <c r="AH875" s="541"/>
      <c r="AI875" s="541"/>
      <c r="AJ875" s="541"/>
      <c r="AK875" s="541"/>
      <c r="AL875" s="541"/>
      <c r="AM875" s="541"/>
      <c r="AN875" s="1748"/>
      <c r="AO875" s="1748"/>
      <c r="AP875" s="1748"/>
      <c r="AQ875" s="1748"/>
      <c r="AR875" s="1748"/>
      <c r="AS875" s="541"/>
      <c r="AT875" s="541"/>
      <c r="AU875" s="541"/>
      <c r="AV875" s="541"/>
      <c r="AW875" s="541"/>
      <c r="AX875" s="541"/>
      <c r="AY875" s="541"/>
      <c r="AZ875" s="541"/>
      <c r="BA875" s="541"/>
      <c r="BC875" s="541"/>
      <c r="BE875" s="541"/>
      <c r="BG875" s="541"/>
      <c r="BH875" s="1190"/>
      <c r="BI875" s="541"/>
      <c r="BJ875" s="1190"/>
      <c r="BK875" s="541"/>
      <c r="BL875" s="541"/>
      <c r="BM875" s="541"/>
      <c r="BO875" s="541"/>
      <c r="BP875" s="541"/>
      <c r="BQ875" s="633"/>
      <c r="BR875" s="541"/>
      <c r="BS875" s="541"/>
      <c r="BT875" s="541"/>
    </row>
    <row r="876" ht="15.75" customHeight="1">
      <c r="A876" s="1591"/>
      <c r="B876" s="1541"/>
      <c r="C876" s="2217"/>
      <c r="D876" s="1543"/>
      <c r="E876" s="906"/>
      <c r="F876" s="541"/>
      <c r="G876" s="541"/>
      <c r="H876" s="541"/>
      <c r="I876" s="541"/>
      <c r="J876" s="1748"/>
      <c r="K876" s="541"/>
      <c r="L876" s="1748"/>
      <c r="M876" s="541"/>
      <c r="N876" s="1748"/>
      <c r="O876" s="541"/>
      <c r="P876" s="1748"/>
      <c r="Q876" s="541"/>
      <c r="R876" s="1748"/>
      <c r="S876" s="541"/>
      <c r="T876" s="1748"/>
      <c r="U876" s="541"/>
      <c r="V876" s="1748"/>
      <c r="W876" s="541"/>
      <c r="X876" s="1748"/>
      <c r="Y876" s="1748"/>
      <c r="Z876" s="1748"/>
      <c r="AA876" s="541"/>
      <c r="AB876" s="1748"/>
      <c r="AC876" s="541"/>
      <c r="AD876" s="541"/>
      <c r="AE876" s="541"/>
      <c r="AF876" s="541"/>
      <c r="AG876" s="541"/>
      <c r="AH876" s="541"/>
      <c r="AI876" s="541"/>
      <c r="AJ876" s="541"/>
      <c r="AK876" s="541"/>
      <c r="AL876" s="541"/>
      <c r="AM876" s="541"/>
      <c r="AN876" s="1748"/>
      <c r="AO876" s="1748"/>
      <c r="AP876" s="1748"/>
      <c r="AQ876" s="1748"/>
      <c r="AR876" s="1748"/>
      <c r="AS876" s="541"/>
      <c r="AT876" s="541"/>
      <c r="AU876" s="541"/>
      <c r="AV876" s="541"/>
      <c r="AW876" s="541"/>
      <c r="AX876" s="541"/>
      <c r="AY876" s="541"/>
      <c r="AZ876" s="541"/>
      <c r="BA876" s="541"/>
      <c r="BC876" s="541"/>
      <c r="BE876" s="541"/>
      <c r="BG876" s="541"/>
      <c r="BH876" s="1190"/>
      <c r="BI876" s="541"/>
      <c r="BJ876" s="1190"/>
      <c r="BK876" s="541"/>
      <c r="BL876" s="541"/>
      <c r="BM876" s="541"/>
      <c r="BO876" s="541"/>
      <c r="BP876" s="541"/>
      <c r="BQ876" s="633"/>
      <c r="BR876" s="541"/>
      <c r="BS876" s="541"/>
      <c r="BT876" s="541"/>
    </row>
    <row r="877" ht="15.75" customHeight="1">
      <c r="A877" s="1591"/>
      <c r="B877" s="1541"/>
      <c r="C877" s="2217"/>
      <c r="D877" s="1543"/>
      <c r="E877" s="906"/>
      <c r="F877" s="541"/>
      <c r="G877" s="541"/>
      <c r="H877" s="541"/>
      <c r="I877" s="541"/>
      <c r="J877" s="1748"/>
      <c r="K877" s="541"/>
      <c r="L877" s="1748"/>
      <c r="M877" s="541"/>
      <c r="N877" s="1748"/>
      <c r="O877" s="541"/>
      <c r="P877" s="1748"/>
      <c r="Q877" s="541"/>
      <c r="R877" s="1748"/>
      <c r="S877" s="541"/>
      <c r="T877" s="1748"/>
      <c r="U877" s="541"/>
      <c r="V877" s="1748"/>
      <c r="W877" s="541"/>
      <c r="X877" s="1748"/>
      <c r="Y877" s="1748"/>
      <c r="Z877" s="1748"/>
      <c r="AA877" s="541"/>
      <c r="AB877" s="1748"/>
      <c r="AC877" s="541"/>
      <c r="AD877" s="541"/>
      <c r="AE877" s="541"/>
      <c r="AF877" s="541"/>
      <c r="AG877" s="541"/>
      <c r="AH877" s="541"/>
      <c r="AI877" s="541"/>
      <c r="AJ877" s="541"/>
      <c r="AK877" s="541"/>
      <c r="AL877" s="541"/>
      <c r="AM877" s="541"/>
      <c r="AN877" s="1748"/>
      <c r="AO877" s="1748"/>
      <c r="AP877" s="1748"/>
      <c r="AQ877" s="1748"/>
      <c r="AR877" s="1748"/>
      <c r="AS877" s="541"/>
      <c r="AT877" s="541"/>
      <c r="AU877" s="541"/>
      <c r="AV877" s="541"/>
      <c r="AW877" s="541"/>
      <c r="AX877" s="541"/>
      <c r="AY877" s="541"/>
      <c r="AZ877" s="541"/>
      <c r="BA877" s="541"/>
      <c r="BC877" s="541"/>
      <c r="BE877" s="541"/>
      <c r="BG877" s="541"/>
      <c r="BH877" s="1190"/>
      <c r="BI877" s="541"/>
      <c r="BJ877" s="1190"/>
      <c r="BK877" s="541"/>
      <c r="BL877" s="541"/>
      <c r="BM877" s="541"/>
      <c r="BO877" s="541"/>
      <c r="BP877" s="541"/>
      <c r="BQ877" s="633"/>
      <c r="BR877" s="541"/>
      <c r="BS877" s="541"/>
      <c r="BT877" s="541"/>
    </row>
    <row r="878" ht="15.75" customHeight="1">
      <c r="A878" s="1591"/>
      <c r="B878" s="1541"/>
      <c r="C878" s="2217"/>
      <c r="D878" s="1543"/>
      <c r="E878" s="906"/>
      <c r="F878" s="541"/>
      <c r="G878" s="541"/>
      <c r="H878" s="541"/>
      <c r="I878" s="541"/>
      <c r="J878" s="1748"/>
      <c r="K878" s="541"/>
      <c r="L878" s="1748"/>
      <c r="M878" s="541"/>
      <c r="N878" s="1748"/>
      <c r="O878" s="541"/>
      <c r="P878" s="1748"/>
      <c r="Q878" s="541"/>
      <c r="R878" s="1748"/>
      <c r="S878" s="541"/>
      <c r="T878" s="1748"/>
      <c r="U878" s="541"/>
      <c r="V878" s="1748"/>
      <c r="W878" s="541"/>
      <c r="X878" s="1748"/>
      <c r="Y878" s="1748"/>
      <c r="Z878" s="1748"/>
      <c r="AA878" s="541"/>
      <c r="AB878" s="1748"/>
      <c r="AC878" s="541"/>
      <c r="AD878" s="541"/>
      <c r="AE878" s="541"/>
      <c r="AF878" s="541"/>
      <c r="AG878" s="541"/>
      <c r="AH878" s="541"/>
      <c r="AI878" s="541"/>
      <c r="AJ878" s="541"/>
      <c r="AK878" s="541"/>
      <c r="AL878" s="541"/>
      <c r="AM878" s="541"/>
      <c r="AN878" s="1748"/>
      <c r="AO878" s="1748"/>
      <c r="AP878" s="1748"/>
      <c r="AQ878" s="1748"/>
      <c r="AR878" s="1748"/>
      <c r="AS878" s="541"/>
      <c r="AT878" s="541"/>
      <c r="AU878" s="541"/>
      <c r="AV878" s="541"/>
      <c r="AW878" s="541"/>
      <c r="AX878" s="541"/>
      <c r="AY878" s="541"/>
      <c r="AZ878" s="541"/>
      <c r="BA878" s="541"/>
      <c r="BC878" s="541"/>
      <c r="BE878" s="541"/>
      <c r="BG878" s="541"/>
      <c r="BH878" s="1190"/>
      <c r="BI878" s="541"/>
      <c r="BJ878" s="1190"/>
      <c r="BK878" s="541"/>
      <c r="BL878" s="541"/>
      <c r="BM878" s="541"/>
      <c r="BO878" s="541"/>
      <c r="BP878" s="541"/>
      <c r="BQ878" s="633"/>
      <c r="BR878" s="541"/>
      <c r="BS878" s="541"/>
      <c r="BT878" s="541"/>
    </row>
    <row r="879" ht="15.75" customHeight="1">
      <c r="A879" s="1591"/>
      <c r="B879" s="1541"/>
      <c r="C879" s="2217"/>
      <c r="D879" s="1543"/>
      <c r="E879" s="906"/>
      <c r="F879" s="541"/>
      <c r="G879" s="541"/>
      <c r="H879" s="541"/>
      <c r="I879" s="541"/>
      <c r="J879" s="1748"/>
      <c r="K879" s="541"/>
      <c r="L879" s="1748"/>
      <c r="M879" s="541"/>
      <c r="N879" s="1748"/>
      <c r="O879" s="541"/>
      <c r="P879" s="1748"/>
      <c r="Q879" s="541"/>
      <c r="R879" s="1748"/>
      <c r="S879" s="541"/>
      <c r="T879" s="1748"/>
      <c r="U879" s="541"/>
      <c r="V879" s="1748"/>
      <c r="W879" s="541"/>
      <c r="X879" s="1748"/>
      <c r="Y879" s="1748"/>
      <c r="Z879" s="1748"/>
      <c r="AA879" s="541"/>
      <c r="AB879" s="1748"/>
      <c r="AC879" s="541"/>
      <c r="AD879" s="541"/>
      <c r="AE879" s="541"/>
      <c r="AF879" s="541"/>
      <c r="AG879" s="541"/>
      <c r="AH879" s="541"/>
      <c r="AI879" s="541"/>
      <c r="AJ879" s="541"/>
      <c r="AK879" s="541"/>
      <c r="AL879" s="541"/>
      <c r="AM879" s="541"/>
      <c r="AN879" s="1748"/>
      <c r="AO879" s="1748"/>
      <c r="AP879" s="1748"/>
      <c r="AQ879" s="1748"/>
      <c r="AR879" s="1748"/>
      <c r="AS879" s="541"/>
      <c r="AT879" s="541"/>
      <c r="AU879" s="541"/>
      <c r="AV879" s="541"/>
      <c r="AW879" s="541"/>
      <c r="AX879" s="541"/>
      <c r="AY879" s="541"/>
      <c r="AZ879" s="541"/>
      <c r="BA879" s="541"/>
      <c r="BC879" s="541"/>
      <c r="BE879" s="541"/>
      <c r="BG879" s="541"/>
      <c r="BH879" s="1190"/>
      <c r="BI879" s="541"/>
      <c r="BJ879" s="1190"/>
      <c r="BK879" s="541"/>
      <c r="BL879" s="541"/>
      <c r="BM879" s="541"/>
      <c r="BO879" s="541"/>
      <c r="BP879" s="541"/>
      <c r="BQ879" s="633"/>
      <c r="BR879" s="541"/>
      <c r="BS879" s="541"/>
      <c r="BT879" s="541"/>
    </row>
    <row r="880" ht="15.75" customHeight="1">
      <c r="A880" s="1591"/>
      <c r="B880" s="1541"/>
      <c r="C880" s="2217"/>
      <c r="D880" s="1543"/>
      <c r="E880" s="906"/>
      <c r="F880" s="541"/>
      <c r="G880" s="541"/>
      <c r="H880" s="541"/>
      <c r="I880" s="541"/>
      <c r="J880" s="1748"/>
      <c r="K880" s="541"/>
      <c r="L880" s="1748"/>
      <c r="M880" s="541"/>
      <c r="N880" s="1748"/>
      <c r="O880" s="541"/>
      <c r="P880" s="1748"/>
      <c r="Q880" s="541"/>
      <c r="R880" s="1748"/>
      <c r="S880" s="541"/>
      <c r="T880" s="1748"/>
      <c r="U880" s="541"/>
      <c r="V880" s="1748"/>
      <c r="W880" s="541"/>
      <c r="X880" s="1748"/>
      <c r="Y880" s="1748"/>
      <c r="Z880" s="1748"/>
      <c r="AA880" s="541"/>
      <c r="AB880" s="1748"/>
      <c r="AC880" s="541"/>
      <c r="AD880" s="541"/>
      <c r="AE880" s="541"/>
      <c r="AF880" s="541"/>
      <c r="AG880" s="541"/>
      <c r="AH880" s="541"/>
      <c r="AI880" s="541"/>
      <c r="AJ880" s="541"/>
      <c r="AK880" s="541"/>
      <c r="AL880" s="541"/>
      <c r="AM880" s="541"/>
      <c r="AN880" s="1748"/>
      <c r="AO880" s="1748"/>
      <c r="AP880" s="1748"/>
      <c r="AQ880" s="1748"/>
      <c r="AR880" s="1748"/>
      <c r="AS880" s="541"/>
      <c r="AT880" s="541"/>
      <c r="AU880" s="541"/>
      <c r="AV880" s="541"/>
      <c r="AW880" s="541"/>
      <c r="AX880" s="541"/>
      <c r="AY880" s="541"/>
      <c r="AZ880" s="541"/>
      <c r="BA880" s="541"/>
      <c r="BC880" s="541"/>
      <c r="BE880" s="541"/>
      <c r="BG880" s="541"/>
      <c r="BH880" s="1190"/>
      <c r="BI880" s="541"/>
      <c r="BJ880" s="1190"/>
      <c r="BK880" s="541"/>
      <c r="BL880" s="541"/>
      <c r="BM880" s="541"/>
      <c r="BO880" s="541"/>
      <c r="BP880" s="541"/>
      <c r="BQ880" s="633"/>
      <c r="BR880" s="541"/>
      <c r="BS880" s="541"/>
      <c r="BT880" s="541"/>
    </row>
    <row r="881" ht="15.75" customHeight="1">
      <c r="A881" s="1591"/>
      <c r="B881" s="1541"/>
      <c r="C881" s="2217"/>
      <c r="D881" s="1543"/>
      <c r="E881" s="906"/>
      <c r="F881" s="541"/>
      <c r="G881" s="541"/>
      <c r="H881" s="541"/>
      <c r="I881" s="541"/>
      <c r="J881" s="1748"/>
      <c r="K881" s="541"/>
      <c r="L881" s="1748"/>
      <c r="M881" s="541"/>
      <c r="N881" s="1748"/>
      <c r="O881" s="541"/>
      <c r="P881" s="1748"/>
      <c r="Q881" s="541"/>
      <c r="R881" s="1748"/>
      <c r="S881" s="541"/>
      <c r="T881" s="1748"/>
      <c r="U881" s="541"/>
      <c r="V881" s="1748"/>
      <c r="W881" s="541"/>
      <c r="X881" s="1748"/>
      <c r="Y881" s="1748"/>
      <c r="Z881" s="1748"/>
      <c r="AA881" s="541"/>
      <c r="AB881" s="1748"/>
      <c r="AC881" s="541"/>
      <c r="AD881" s="541"/>
      <c r="AE881" s="541"/>
      <c r="AF881" s="541"/>
      <c r="AG881" s="541"/>
      <c r="AH881" s="541"/>
      <c r="AI881" s="541"/>
      <c r="AJ881" s="541"/>
      <c r="AK881" s="541"/>
      <c r="AL881" s="541"/>
      <c r="AM881" s="541"/>
      <c r="AN881" s="1748"/>
      <c r="AO881" s="1748"/>
      <c r="AP881" s="1748"/>
      <c r="AQ881" s="1748"/>
      <c r="AR881" s="1748"/>
      <c r="AS881" s="541"/>
      <c r="AT881" s="541"/>
      <c r="AU881" s="541"/>
      <c r="AV881" s="541"/>
      <c r="AW881" s="541"/>
      <c r="AX881" s="541"/>
      <c r="AY881" s="541"/>
      <c r="AZ881" s="541"/>
      <c r="BA881" s="541"/>
      <c r="BC881" s="541"/>
      <c r="BE881" s="541"/>
      <c r="BG881" s="541"/>
      <c r="BH881" s="1190"/>
      <c r="BI881" s="541"/>
      <c r="BJ881" s="1190"/>
      <c r="BK881" s="541"/>
      <c r="BL881" s="541"/>
      <c r="BM881" s="541"/>
      <c r="BO881" s="541"/>
      <c r="BP881" s="541"/>
      <c r="BQ881" s="633"/>
      <c r="BR881" s="541"/>
      <c r="BS881" s="541"/>
      <c r="BT881" s="541"/>
    </row>
    <row r="882" ht="15.75" customHeight="1">
      <c r="A882" s="1591"/>
      <c r="B882" s="1541"/>
      <c r="C882" s="2217"/>
      <c r="D882" s="1543"/>
      <c r="E882" s="906"/>
      <c r="F882" s="541"/>
      <c r="G882" s="541"/>
      <c r="H882" s="541"/>
      <c r="I882" s="541"/>
      <c r="J882" s="1748"/>
      <c r="K882" s="541"/>
      <c r="L882" s="1748"/>
      <c r="M882" s="541"/>
      <c r="N882" s="1748"/>
      <c r="O882" s="541"/>
      <c r="P882" s="1748"/>
      <c r="Q882" s="541"/>
      <c r="R882" s="1748"/>
      <c r="S882" s="541"/>
      <c r="T882" s="1748"/>
      <c r="U882" s="541"/>
      <c r="V882" s="1748"/>
      <c r="W882" s="541"/>
      <c r="X882" s="1748"/>
      <c r="Y882" s="1748"/>
      <c r="Z882" s="1748"/>
      <c r="AA882" s="541"/>
      <c r="AB882" s="1748"/>
      <c r="AC882" s="541"/>
      <c r="AD882" s="541"/>
      <c r="AE882" s="541"/>
      <c r="AF882" s="541"/>
      <c r="AG882" s="541"/>
      <c r="AH882" s="541"/>
      <c r="AI882" s="541"/>
      <c r="AJ882" s="541"/>
      <c r="AK882" s="541"/>
      <c r="AL882" s="541"/>
      <c r="AM882" s="541"/>
      <c r="AN882" s="1748"/>
      <c r="AO882" s="1748"/>
      <c r="AP882" s="1748"/>
      <c r="AQ882" s="1748"/>
      <c r="AR882" s="1748"/>
      <c r="AS882" s="541"/>
      <c r="AT882" s="541"/>
      <c r="AU882" s="541"/>
      <c r="AV882" s="541"/>
      <c r="AW882" s="541"/>
      <c r="AX882" s="541"/>
      <c r="AY882" s="541"/>
      <c r="AZ882" s="541"/>
      <c r="BA882" s="541"/>
      <c r="BC882" s="541"/>
      <c r="BE882" s="541"/>
      <c r="BG882" s="541"/>
      <c r="BH882" s="1190"/>
      <c r="BI882" s="541"/>
      <c r="BJ882" s="1190"/>
      <c r="BK882" s="541"/>
      <c r="BL882" s="541"/>
      <c r="BM882" s="541"/>
      <c r="BO882" s="541"/>
      <c r="BP882" s="541"/>
      <c r="BQ882" s="633"/>
      <c r="BR882" s="541"/>
      <c r="BS882" s="541"/>
      <c r="BT882" s="541"/>
    </row>
    <row r="883" ht="15.75" customHeight="1">
      <c r="A883" s="1591"/>
      <c r="B883" s="1541"/>
      <c r="C883" s="2217"/>
      <c r="D883" s="1543"/>
      <c r="E883" s="906"/>
      <c r="F883" s="541"/>
      <c r="G883" s="541"/>
      <c r="H883" s="541"/>
      <c r="I883" s="541"/>
      <c r="J883" s="1748"/>
      <c r="K883" s="541"/>
      <c r="L883" s="1748"/>
      <c r="M883" s="541"/>
      <c r="N883" s="1748"/>
      <c r="O883" s="541"/>
      <c r="P883" s="1748"/>
      <c r="Q883" s="541"/>
      <c r="R883" s="1748"/>
      <c r="S883" s="541"/>
      <c r="T883" s="1748"/>
      <c r="U883" s="541"/>
      <c r="V883" s="1748"/>
      <c r="W883" s="541"/>
      <c r="X883" s="1748"/>
      <c r="Y883" s="1748"/>
      <c r="Z883" s="1748"/>
      <c r="AA883" s="541"/>
      <c r="AB883" s="1748"/>
      <c r="AC883" s="541"/>
      <c r="AD883" s="541"/>
      <c r="AE883" s="541"/>
      <c r="AF883" s="541"/>
      <c r="AG883" s="541"/>
      <c r="AH883" s="541"/>
      <c r="AI883" s="541"/>
      <c r="AJ883" s="541"/>
      <c r="AK883" s="541"/>
      <c r="AL883" s="541"/>
      <c r="AM883" s="541"/>
      <c r="AN883" s="1748"/>
      <c r="AO883" s="1748"/>
      <c r="AP883" s="1748"/>
      <c r="AQ883" s="1748"/>
      <c r="AR883" s="1748"/>
      <c r="AS883" s="541"/>
      <c r="AT883" s="541"/>
      <c r="AU883" s="541"/>
      <c r="AV883" s="541"/>
      <c r="AW883" s="541"/>
      <c r="AX883" s="541"/>
      <c r="AY883" s="541"/>
      <c r="AZ883" s="541"/>
      <c r="BA883" s="541"/>
      <c r="BC883" s="541"/>
      <c r="BE883" s="541"/>
      <c r="BG883" s="541"/>
      <c r="BH883" s="1190"/>
      <c r="BI883" s="541"/>
      <c r="BJ883" s="1190"/>
      <c r="BK883" s="541"/>
      <c r="BL883" s="541"/>
      <c r="BM883" s="541"/>
      <c r="BO883" s="541"/>
      <c r="BP883" s="541"/>
      <c r="BQ883" s="633"/>
      <c r="BR883" s="541"/>
      <c r="BS883" s="541"/>
      <c r="BT883" s="541"/>
    </row>
    <row r="884" ht="15.75" customHeight="1">
      <c r="A884" s="1591"/>
      <c r="B884" s="1541"/>
      <c r="C884" s="2217"/>
      <c r="D884" s="1543"/>
      <c r="E884" s="906"/>
      <c r="F884" s="541"/>
      <c r="G884" s="541"/>
      <c r="H884" s="541"/>
      <c r="I884" s="541"/>
      <c r="J884" s="1748"/>
      <c r="K884" s="541"/>
      <c r="L884" s="1748"/>
      <c r="M884" s="541"/>
      <c r="N884" s="1748"/>
      <c r="O884" s="541"/>
      <c r="P884" s="1748"/>
      <c r="Q884" s="541"/>
      <c r="R884" s="1748"/>
      <c r="S884" s="541"/>
      <c r="T884" s="1748"/>
      <c r="U884" s="541"/>
      <c r="V884" s="1748"/>
      <c r="W884" s="541"/>
      <c r="X884" s="1748"/>
      <c r="Y884" s="1748"/>
      <c r="Z884" s="1748"/>
      <c r="AA884" s="541"/>
      <c r="AB884" s="1748"/>
      <c r="AC884" s="541"/>
      <c r="AD884" s="541"/>
      <c r="AE884" s="541"/>
      <c r="AF884" s="541"/>
      <c r="AG884" s="541"/>
      <c r="AH884" s="541"/>
      <c r="AI884" s="541"/>
      <c r="AJ884" s="541"/>
      <c r="AK884" s="541"/>
      <c r="AL884" s="541"/>
      <c r="AM884" s="541"/>
      <c r="AN884" s="1748"/>
      <c r="AO884" s="1748"/>
      <c r="AP884" s="1748"/>
      <c r="AQ884" s="1748"/>
      <c r="AR884" s="1748"/>
      <c r="AS884" s="541"/>
      <c r="AT884" s="541"/>
      <c r="AU884" s="541"/>
      <c r="AV884" s="541"/>
      <c r="AW884" s="541"/>
      <c r="AX884" s="541"/>
      <c r="AY884" s="541"/>
      <c r="AZ884" s="541"/>
      <c r="BA884" s="541"/>
      <c r="BC884" s="541"/>
      <c r="BE884" s="541"/>
      <c r="BG884" s="541"/>
      <c r="BH884" s="1190"/>
      <c r="BI884" s="541"/>
      <c r="BJ884" s="1190"/>
      <c r="BK884" s="541"/>
      <c r="BL884" s="541"/>
      <c r="BM884" s="541"/>
      <c r="BO884" s="541"/>
      <c r="BP884" s="541"/>
      <c r="BQ884" s="633"/>
      <c r="BR884" s="541"/>
      <c r="BS884" s="541"/>
      <c r="BT884" s="541"/>
    </row>
    <row r="885" ht="15.75" customHeight="1">
      <c r="A885" s="1591"/>
      <c r="B885" s="1541"/>
      <c r="C885" s="2217"/>
      <c r="D885" s="1543"/>
      <c r="E885" s="906"/>
      <c r="F885" s="541"/>
      <c r="G885" s="541"/>
      <c r="H885" s="541"/>
      <c r="I885" s="541"/>
      <c r="J885" s="1748"/>
      <c r="K885" s="541"/>
      <c r="L885" s="1748"/>
      <c r="M885" s="541"/>
      <c r="N885" s="1748"/>
      <c r="O885" s="541"/>
      <c r="P885" s="1748"/>
      <c r="Q885" s="541"/>
      <c r="R885" s="1748"/>
      <c r="S885" s="541"/>
      <c r="T885" s="1748"/>
      <c r="U885" s="541"/>
      <c r="V885" s="1748"/>
      <c r="W885" s="541"/>
      <c r="X885" s="1748"/>
      <c r="Y885" s="1748"/>
      <c r="Z885" s="1748"/>
      <c r="AA885" s="541"/>
      <c r="AB885" s="1748"/>
      <c r="AC885" s="541"/>
      <c r="AD885" s="541"/>
      <c r="AE885" s="541"/>
      <c r="AF885" s="541"/>
      <c r="AG885" s="541"/>
      <c r="AH885" s="541"/>
      <c r="AI885" s="541"/>
      <c r="AJ885" s="541"/>
      <c r="AK885" s="541"/>
      <c r="AL885" s="541"/>
      <c r="AM885" s="541"/>
      <c r="AN885" s="1748"/>
      <c r="AO885" s="1748"/>
      <c r="AP885" s="1748"/>
      <c r="AQ885" s="1748"/>
      <c r="AR885" s="1748"/>
      <c r="AS885" s="541"/>
      <c r="AT885" s="541"/>
      <c r="AU885" s="541"/>
      <c r="AV885" s="541"/>
      <c r="AW885" s="541"/>
      <c r="AX885" s="541"/>
      <c r="AY885" s="541"/>
      <c r="AZ885" s="541"/>
      <c r="BA885" s="541"/>
      <c r="BC885" s="541"/>
      <c r="BE885" s="541"/>
      <c r="BG885" s="541"/>
      <c r="BH885" s="1190"/>
      <c r="BI885" s="541"/>
      <c r="BJ885" s="1190"/>
      <c r="BK885" s="541"/>
      <c r="BL885" s="541"/>
      <c r="BM885" s="541"/>
      <c r="BO885" s="541"/>
      <c r="BP885" s="541"/>
      <c r="BQ885" s="633"/>
      <c r="BR885" s="541"/>
      <c r="BS885" s="541"/>
      <c r="BT885" s="541"/>
    </row>
    <row r="886" ht="15.75" customHeight="1">
      <c r="A886" s="1591"/>
      <c r="B886" s="1541"/>
      <c r="C886" s="2217"/>
      <c r="D886" s="1543"/>
      <c r="E886" s="906"/>
      <c r="F886" s="541"/>
      <c r="G886" s="541"/>
      <c r="H886" s="541"/>
      <c r="I886" s="541"/>
      <c r="J886" s="1748"/>
      <c r="K886" s="541"/>
      <c r="L886" s="1748"/>
      <c r="M886" s="541"/>
      <c r="N886" s="1748"/>
      <c r="O886" s="541"/>
      <c r="P886" s="1748"/>
      <c r="Q886" s="541"/>
      <c r="R886" s="1748"/>
      <c r="S886" s="541"/>
      <c r="T886" s="1748"/>
      <c r="U886" s="541"/>
      <c r="V886" s="1748"/>
      <c r="W886" s="541"/>
      <c r="X886" s="1748"/>
      <c r="Y886" s="1748"/>
      <c r="Z886" s="1748"/>
      <c r="AA886" s="541"/>
      <c r="AB886" s="1748"/>
      <c r="AC886" s="541"/>
      <c r="AD886" s="541"/>
      <c r="AE886" s="541"/>
      <c r="AF886" s="541"/>
      <c r="AG886" s="541"/>
      <c r="AH886" s="541"/>
      <c r="AI886" s="541"/>
      <c r="AJ886" s="541"/>
      <c r="AK886" s="541"/>
      <c r="AL886" s="541"/>
      <c r="AM886" s="541"/>
      <c r="AN886" s="1748"/>
      <c r="AO886" s="1748"/>
      <c r="AP886" s="1748"/>
      <c r="AQ886" s="1748"/>
      <c r="AR886" s="1748"/>
      <c r="AS886" s="541"/>
      <c r="AT886" s="541"/>
      <c r="AU886" s="541"/>
      <c r="AV886" s="541"/>
      <c r="AW886" s="541"/>
      <c r="AX886" s="541"/>
      <c r="AY886" s="541"/>
      <c r="AZ886" s="541"/>
      <c r="BA886" s="541"/>
      <c r="BC886" s="541"/>
      <c r="BE886" s="541"/>
      <c r="BG886" s="541"/>
      <c r="BH886" s="1190"/>
      <c r="BI886" s="541"/>
      <c r="BJ886" s="1190"/>
      <c r="BK886" s="541"/>
      <c r="BL886" s="541"/>
      <c r="BM886" s="541"/>
      <c r="BO886" s="541"/>
      <c r="BP886" s="541"/>
      <c r="BQ886" s="633"/>
      <c r="BR886" s="541"/>
      <c r="BS886" s="541"/>
      <c r="BT886" s="541"/>
    </row>
    <row r="887" ht="15.75" customHeight="1">
      <c r="A887" s="1591"/>
      <c r="B887" s="1541"/>
      <c r="C887" s="2217"/>
      <c r="D887" s="1543"/>
      <c r="E887" s="906"/>
      <c r="F887" s="541"/>
      <c r="G887" s="541"/>
      <c r="H887" s="541"/>
      <c r="I887" s="541"/>
      <c r="J887" s="1748"/>
      <c r="K887" s="541"/>
      <c r="L887" s="1748"/>
      <c r="M887" s="541"/>
      <c r="N887" s="1748"/>
      <c r="O887" s="541"/>
      <c r="P887" s="1748"/>
      <c r="Q887" s="541"/>
      <c r="R887" s="1748"/>
      <c r="S887" s="541"/>
      <c r="T887" s="1748"/>
      <c r="U887" s="541"/>
      <c r="V887" s="1748"/>
      <c r="W887" s="541"/>
      <c r="X887" s="1748"/>
      <c r="Y887" s="1748"/>
      <c r="Z887" s="1748"/>
      <c r="AA887" s="541"/>
      <c r="AB887" s="1748"/>
      <c r="AC887" s="541"/>
      <c r="AD887" s="541"/>
      <c r="AE887" s="541"/>
      <c r="AF887" s="541"/>
      <c r="AG887" s="541"/>
      <c r="AH887" s="541"/>
      <c r="AI887" s="541"/>
      <c r="AJ887" s="541"/>
      <c r="AK887" s="541"/>
      <c r="AL887" s="541"/>
      <c r="AM887" s="541"/>
      <c r="AN887" s="1748"/>
      <c r="AO887" s="1748"/>
      <c r="AP887" s="1748"/>
      <c r="AQ887" s="1748"/>
      <c r="AR887" s="1748"/>
      <c r="AS887" s="541"/>
      <c r="AT887" s="541"/>
      <c r="AU887" s="541"/>
      <c r="AV887" s="541"/>
      <c r="AW887" s="541"/>
      <c r="AX887" s="541"/>
      <c r="AY887" s="541"/>
      <c r="AZ887" s="541"/>
      <c r="BA887" s="541"/>
      <c r="BC887" s="541"/>
      <c r="BE887" s="541"/>
      <c r="BG887" s="541"/>
      <c r="BH887" s="1190"/>
      <c r="BI887" s="541"/>
      <c r="BJ887" s="1190"/>
      <c r="BK887" s="541"/>
      <c r="BL887" s="541"/>
      <c r="BM887" s="541"/>
      <c r="BO887" s="541"/>
      <c r="BP887" s="541"/>
      <c r="BQ887" s="633"/>
      <c r="BR887" s="541"/>
      <c r="BS887" s="541"/>
      <c r="BT887" s="541"/>
    </row>
    <row r="888" ht="15.75" customHeight="1">
      <c r="A888" s="1591"/>
      <c r="B888" s="1541"/>
      <c r="C888" s="2217"/>
      <c r="D888" s="1543"/>
      <c r="E888" s="906"/>
      <c r="F888" s="541"/>
      <c r="G888" s="541"/>
      <c r="H888" s="541"/>
      <c r="I888" s="541"/>
      <c r="J888" s="1748"/>
      <c r="K888" s="541"/>
      <c r="L888" s="1748"/>
      <c r="M888" s="541"/>
      <c r="N888" s="1748"/>
      <c r="O888" s="541"/>
      <c r="P888" s="1748"/>
      <c r="Q888" s="541"/>
      <c r="R888" s="1748"/>
      <c r="S888" s="541"/>
      <c r="T888" s="1748"/>
      <c r="U888" s="541"/>
      <c r="V888" s="1748"/>
      <c r="W888" s="541"/>
      <c r="X888" s="1748"/>
      <c r="Y888" s="1748"/>
      <c r="Z888" s="1748"/>
      <c r="AA888" s="541"/>
      <c r="AB888" s="1748"/>
      <c r="AC888" s="541"/>
      <c r="AD888" s="541"/>
      <c r="AE888" s="541"/>
      <c r="AF888" s="541"/>
      <c r="AG888" s="541"/>
      <c r="AH888" s="541"/>
      <c r="AI888" s="541"/>
      <c r="AJ888" s="541"/>
      <c r="AK888" s="541"/>
      <c r="AL888" s="541"/>
      <c r="AM888" s="541"/>
      <c r="AN888" s="1748"/>
      <c r="AO888" s="1748"/>
      <c r="AP888" s="1748"/>
      <c r="AQ888" s="1748"/>
      <c r="AR888" s="1748"/>
      <c r="AS888" s="541"/>
      <c r="AT888" s="541"/>
      <c r="AU888" s="541"/>
      <c r="AV888" s="541"/>
      <c r="AW888" s="541"/>
      <c r="AX888" s="541"/>
      <c r="AY888" s="541"/>
      <c r="AZ888" s="541"/>
      <c r="BA888" s="541"/>
      <c r="BC888" s="541"/>
      <c r="BE888" s="541"/>
      <c r="BG888" s="541"/>
      <c r="BH888" s="1190"/>
      <c r="BI888" s="541"/>
      <c r="BJ888" s="1190"/>
      <c r="BK888" s="541"/>
      <c r="BL888" s="541"/>
      <c r="BM888" s="541"/>
      <c r="BO888" s="541"/>
      <c r="BP888" s="541"/>
      <c r="BQ888" s="633"/>
      <c r="BR888" s="541"/>
      <c r="BS888" s="541"/>
      <c r="BT888" s="541"/>
    </row>
    <row r="889" ht="15.75" customHeight="1">
      <c r="A889" s="1591"/>
      <c r="B889" s="1541"/>
      <c r="C889" s="2217"/>
      <c r="D889" s="1543"/>
      <c r="E889" s="906"/>
      <c r="F889" s="541"/>
      <c r="G889" s="541"/>
      <c r="H889" s="541"/>
      <c r="I889" s="541"/>
      <c r="J889" s="1748"/>
      <c r="K889" s="541"/>
      <c r="L889" s="1748"/>
      <c r="M889" s="541"/>
      <c r="N889" s="1748"/>
      <c r="O889" s="541"/>
      <c r="P889" s="1748"/>
      <c r="Q889" s="541"/>
      <c r="R889" s="1748"/>
      <c r="S889" s="541"/>
      <c r="T889" s="1748"/>
      <c r="U889" s="541"/>
      <c r="V889" s="1748"/>
      <c r="W889" s="541"/>
      <c r="X889" s="1748"/>
      <c r="Y889" s="1748"/>
      <c r="Z889" s="1748"/>
      <c r="AA889" s="541"/>
      <c r="AB889" s="1748"/>
      <c r="AC889" s="541"/>
      <c r="AD889" s="541"/>
      <c r="AE889" s="541"/>
      <c r="AF889" s="541"/>
      <c r="AG889" s="541"/>
      <c r="AH889" s="541"/>
      <c r="AI889" s="541"/>
      <c r="AJ889" s="541"/>
      <c r="AK889" s="541"/>
      <c r="AL889" s="541"/>
      <c r="AM889" s="541"/>
      <c r="AN889" s="1748"/>
      <c r="AO889" s="1748"/>
      <c r="AP889" s="1748"/>
      <c r="AQ889" s="1748"/>
      <c r="AR889" s="1748"/>
      <c r="AS889" s="541"/>
      <c r="AT889" s="541"/>
      <c r="AU889" s="541"/>
      <c r="AV889" s="541"/>
      <c r="AW889" s="541"/>
      <c r="AX889" s="541"/>
      <c r="AY889" s="541"/>
      <c r="AZ889" s="541"/>
      <c r="BA889" s="541"/>
      <c r="BC889" s="541"/>
      <c r="BE889" s="541"/>
      <c r="BG889" s="541"/>
      <c r="BH889" s="1190"/>
      <c r="BI889" s="541"/>
      <c r="BJ889" s="1190"/>
      <c r="BK889" s="541"/>
      <c r="BL889" s="541"/>
      <c r="BM889" s="541"/>
      <c r="BO889" s="541"/>
      <c r="BP889" s="541"/>
      <c r="BQ889" s="633"/>
      <c r="BR889" s="541"/>
      <c r="BS889" s="541"/>
      <c r="BT889" s="541"/>
    </row>
    <row r="890" ht="15.75" customHeight="1">
      <c r="A890" s="1591"/>
      <c r="B890" s="1541"/>
      <c r="C890" s="2217"/>
      <c r="D890" s="1543"/>
      <c r="E890" s="906"/>
      <c r="F890" s="541"/>
      <c r="G890" s="541"/>
      <c r="H890" s="541"/>
      <c r="I890" s="541"/>
      <c r="J890" s="1748"/>
      <c r="K890" s="541"/>
      <c r="L890" s="1748"/>
      <c r="M890" s="541"/>
      <c r="N890" s="1748"/>
      <c r="O890" s="541"/>
      <c r="P890" s="1748"/>
      <c r="Q890" s="541"/>
      <c r="R890" s="1748"/>
      <c r="S890" s="541"/>
      <c r="T890" s="1748"/>
      <c r="U890" s="541"/>
      <c r="V890" s="1748"/>
      <c r="W890" s="541"/>
      <c r="X890" s="1748"/>
      <c r="Y890" s="1748"/>
      <c r="Z890" s="1748"/>
      <c r="AA890" s="541"/>
      <c r="AB890" s="1748"/>
      <c r="AC890" s="541"/>
      <c r="AD890" s="541"/>
      <c r="AE890" s="541"/>
      <c r="AF890" s="541"/>
      <c r="AG890" s="541"/>
      <c r="AH890" s="541"/>
      <c r="AI890" s="541"/>
      <c r="AJ890" s="541"/>
      <c r="AK890" s="541"/>
      <c r="AL890" s="541"/>
      <c r="AM890" s="541"/>
      <c r="AN890" s="1748"/>
      <c r="AO890" s="1748"/>
      <c r="AP890" s="1748"/>
      <c r="AQ890" s="1748"/>
      <c r="AR890" s="1748"/>
      <c r="AS890" s="541"/>
      <c r="AT890" s="541"/>
      <c r="AU890" s="541"/>
      <c r="AV890" s="541"/>
      <c r="AW890" s="541"/>
      <c r="AX890" s="541"/>
      <c r="AY890" s="541"/>
      <c r="AZ890" s="541"/>
      <c r="BA890" s="541"/>
      <c r="BC890" s="541"/>
      <c r="BE890" s="541"/>
      <c r="BG890" s="541"/>
      <c r="BH890" s="1190"/>
      <c r="BI890" s="541"/>
      <c r="BJ890" s="1190"/>
      <c r="BK890" s="541"/>
      <c r="BL890" s="541"/>
      <c r="BM890" s="541"/>
      <c r="BO890" s="541"/>
      <c r="BP890" s="541"/>
      <c r="BQ890" s="633"/>
      <c r="BR890" s="541"/>
      <c r="BS890" s="541"/>
      <c r="BT890" s="541"/>
    </row>
    <row r="891" ht="15.75" customHeight="1">
      <c r="A891" s="1591"/>
      <c r="B891" s="1541"/>
      <c r="C891" s="2217"/>
      <c r="D891" s="1543"/>
      <c r="E891" s="906"/>
      <c r="F891" s="541"/>
      <c r="G891" s="541"/>
      <c r="H891" s="541"/>
      <c r="I891" s="541"/>
      <c r="J891" s="1748"/>
      <c r="K891" s="541"/>
      <c r="L891" s="1748"/>
      <c r="M891" s="541"/>
      <c r="N891" s="1748"/>
      <c r="O891" s="541"/>
      <c r="P891" s="1748"/>
      <c r="Q891" s="541"/>
      <c r="R891" s="1748"/>
      <c r="S891" s="541"/>
      <c r="T891" s="1748"/>
      <c r="U891" s="541"/>
      <c r="V891" s="1748"/>
      <c r="W891" s="541"/>
      <c r="X891" s="1748"/>
      <c r="Y891" s="1748"/>
      <c r="Z891" s="1748"/>
      <c r="AA891" s="541"/>
      <c r="AB891" s="1748"/>
      <c r="AC891" s="541"/>
      <c r="AD891" s="541"/>
      <c r="AE891" s="541"/>
      <c r="AF891" s="541"/>
      <c r="AG891" s="541"/>
      <c r="AH891" s="541"/>
      <c r="AI891" s="541"/>
      <c r="AJ891" s="541"/>
      <c r="AK891" s="541"/>
      <c r="AL891" s="541"/>
      <c r="AM891" s="541"/>
      <c r="AN891" s="1748"/>
      <c r="AO891" s="1748"/>
      <c r="AP891" s="1748"/>
      <c r="AQ891" s="1748"/>
      <c r="AR891" s="1748"/>
      <c r="AS891" s="541"/>
      <c r="AT891" s="541"/>
      <c r="AU891" s="541"/>
      <c r="AV891" s="541"/>
      <c r="AW891" s="541"/>
      <c r="AX891" s="541"/>
      <c r="AY891" s="541"/>
      <c r="AZ891" s="541"/>
      <c r="BA891" s="541"/>
      <c r="BC891" s="541"/>
      <c r="BE891" s="541"/>
      <c r="BG891" s="541"/>
      <c r="BH891" s="1190"/>
      <c r="BI891" s="541"/>
      <c r="BJ891" s="1190"/>
      <c r="BK891" s="541"/>
      <c r="BL891" s="541"/>
      <c r="BM891" s="541"/>
      <c r="BO891" s="541"/>
      <c r="BP891" s="541"/>
      <c r="BQ891" s="633"/>
      <c r="BR891" s="541"/>
      <c r="BS891" s="541"/>
      <c r="BT891" s="541"/>
    </row>
    <row r="892" ht="15.75" customHeight="1">
      <c r="A892" s="1591"/>
      <c r="B892" s="1541"/>
      <c r="C892" s="2217"/>
      <c r="D892" s="1543"/>
      <c r="E892" s="906"/>
      <c r="F892" s="541"/>
      <c r="G892" s="541"/>
      <c r="H892" s="541"/>
      <c r="I892" s="541"/>
      <c r="J892" s="1748"/>
      <c r="K892" s="541"/>
      <c r="L892" s="1748"/>
      <c r="M892" s="541"/>
      <c r="N892" s="1748"/>
      <c r="O892" s="541"/>
      <c r="P892" s="1748"/>
      <c r="Q892" s="541"/>
      <c r="R892" s="1748"/>
      <c r="S892" s="541"/>
      <c r="T892" s="1748"/>
      <c r="U892" s="541"/>
      <c r="V892" s="1748"/>
      <c r="W892" s="541"/>
      <c r="X892" s="1748"/>
      <c r="Y892" s="1748"/>
      <c r="Z892" s="1748"/>
      <c r="AA892" s="541"/>
      <c r="AB892" s="1748"/>
      <c r="AC892" s="541"/>
      <c r="AD892" s="541"/>
      <c r="AE892" s="541"/>
      <c r="AF892" s="541"/>
      <c r="AG892" s="541"/>
      <c r="AH892" s="541"/>
      <c r="AI892" s="541"/>
      <c r="AJ892" s="541"/>
      <c r="AK892" s="541"/>
      <c r="AL892" s="541"/>
      <c r="AM892" s="541"/>
      <c r="AN892" s="1748"/>
      <c r="AO892" s="1748"/>
      <c r="AP892" s="1748"/>
      <c r="AQ892" s="1748"/>
      <c r="AR892" s="1748"/>
      <c r="AS892" s="541"/>
      <c r="AT892" s="541"/>
      <c r="AU892" s="541"/>
      <c r="AV892" s="541"/>
      <c r="AW892" s="541"/>
      <c r="AX892" s="541"/>
      <c r="AY892" s="541"/>
      <c r="AZ892" s="541"/>
      <c r="BA892" s="541"/>
      <c r="BC892" s="541"/>
      <c r="BE892" s="541"/>
      <c r="BG892" s="541"/>
      <c r="BH892" s="1190"/>
      <c r="BI892" s="541"/>
      <c r="BJ892" s="1190"/>
      <c r="BK892" s="541"/>
      <c r="BL892" s="541"/>
      <c r="BM892" s="541"/>
      <c r="BO892" s="541"/>
      <c r="BP892" s="541"/>
      <c r="BQ892" s="633"/>
      <c r="BR892" s="541"/>
      <c r="BS892" s="541"/>
      <c r="BT892" s="541"/>
    </row>
    <row r="893" ht="15.75" customHeight="1">
      <c r="A893" s="1591"/>
      <c r="B893" s="1541"/>
      <c r="C893" s="2217"/>
      <c r="D893" s="1543"/>
      <c r="E893" s="906"/>
      <c r="F893" s="541"/>
      <c r="G893" s="541"/>
      <c r="H893" s="541"/>
      <c r="I893" s="541"/>
      <c r="J893" s="1748"/>
      <c r="K893" s="541"/>
      <c r="L893" s="1748"/>
      <c r="M893" s="541"/>
      <c r="N893" s="1748"/>
      <c r="O893" s="541"/>
      <c r="P893" s="1748"/>
      <c r="Q893" s="541"/>
      <c r="R893" s="1748"/>
      <c r="S893" s="541"/>
      <c r="T893" s="1748"/>
      <c r="U893" s="541"/>
      <c r="V893" s="1748"/>
      <c r="W893" s="541"/>
      <c r="X893" s="1748"/>
      <c r="Y893" s="1748"/>
      <c r="Z893" s="1748"/>
      <c r="AA893" s="541"/>
      <c r="AB893" s="1748"/>
      <c r="AC893" s="541"/>
      <c r="AD893" s="541"/>
      <c r="AE893" s="541"/>
      <c r="AF893" s="541"/>
      <c r="AG893" s="541"/>
      <c r="AH893" s="541"/>
      <c r="AI893" s="541"/>
      <c r="AJ893" s="541"/>
      <c r="AK893" s="541"/>
      <c r="AL893" s="541"/>
      <c r="AM893" s="541"/>
      <c r="AN893" s="1748"/>
      <c r="AO893" s="1748"/>
      <c r="AP893" s="1748"/>
      <c r="AQ893" s="1748"/>
      <c r="AR893" s="1748"/>
      <c r="AS893" s="541"/>
      <c r="AT893" s="541"/>
      <c r="AU893" s="541"/>
      <c r="AV893" s="541"/>
      <c r="AW893" s="541"/>
      <c r="AX893" s="541"/>
      <c r="AY893" s="541"/>
      <c r="AZ893" s="541"/>
      <c r="BA893" s="541"/>
      <c r="BC893" s="541"/>
      <c r="BE893" s="541"/>
      <c r="BG893" s="541"/>
      <c r="BH893" s="1190"/>
      <c r="BI893" s="541"/>
      <c r="BJ893" s="1190"/>
      <c r="BK893" s="541"/>
      <c r="BL893" s="541"/>
      <c r="BM893" s="541"/>
      <c r="BO893" s="541"/>
      <c r="BP893" s="541"/>
      <c r="BQ893" s="633"/>
      <c r="BR893" s="541"/>
      <c r="BS893" s="541"/>
      <c r="BT893" s="541"/>
    </row>
    <row r="894" ht="15.75" customHeight="1">
      <c r="A894" s="1591"/>
      <c r="B894" s="1541"/>
      <c r="C894" s="2217"/>
      <c r="D894" s="1543"/>
      <c r="E894" s="906"/>
      <c r="F894" s="541"/>
      <c r="G894" s="541"/>
      <c r="H894" s="541"/>
      <c r="I894" s="541"/>
      <c r="J894" s="1748"/>
      <c r="K894" s="541"/>
      <c r="L894" s="1748"/>
      <c r="M894" s="541"/>
      <c r="N894" s="1748"/>
      <c r="O894" s="541"/>
      <c r="P894" s="1748"/>
      <c r="Q894" s="541"/>
      <c r="R894" s="1748"/>
      <c r="S894" s="541"/>
      <c r="T894" s="1748"/>
      <c r="U894" s="541"/>
      <c r="V894" s="1748"/>
      <c r="W894" s="541"/>
      <c r="X894" s="1748"/>
      <c r="Y894" s="1748"/>
      <c r="Z894" s="1748"/>
      <c r="AA894" s="541"/>
      <c r="AB894" s="1748"/>
      <c r="AC894" s="541"/>
      <c r="AD894" s="541"/>
      <c r="AE894" s="541"/>
      <c r="AF894" s="541"/>
      <c r="AG894" s="541"/>
      <c r="AH894" s="541"/>
      <c r="AI894" s="541"/>
      <c r="AJ894" s="541"/>
      <c r="AK894" s="541"/>
      <c r="AL894" s="541"/>
      <c r="AM894" s="541"/>
      <c r="AN894" s="1748"/>
      <c r="AO894" s="1748"/>
      <c r="AP894" s="1748"/>
      <c r="AQ894" s="1748"/>
      <c r="AR894" s="1748"/>
      <c r="AS894" s="541"/>
      <c r="AT894" s="541"/>
      <c r="AU894" s="541"/>
      <c r="AV894" s="541"/>
      <c r="AW894" s="541"/>
      <c r="AX894" s="541"/>
      <c r="AY894" s="541"/>
      <c r="AZ894" s="541"/>
      <c r="BA894" s="541"/>
      <c r="BC894" s="541"/>
      <c r="BE894" s="541"/>
      <c r="BG894" s="541"/>
      <c r="BH894" s="1190"/>
      <c r="BI894" s="541"/>
      <c r="BJ894" s="1190"/>
      <c r="BK894" s="541"/>
      <c r="BL894" s="541"/>
      <c r="BM894" s="541"/>
      <c r="BO894" s="541"/>
      <c r="BP894" s="541"/>
      <c r="BQ894" s="633"/>
      <c r="BR894" s="541"/>
      <c r="BS894" s="541"/>
      <c r="BT894" s="541"/>
    </row>
    <row r="895" ht="15.75" customHeight="1">
      <c r="A895" s="1591"/>
      <c r="B895" s="1541"/>
      <c r="C895" s="2217"/>
      <c r="D895" s="1543"/>
      <c r="E895" s="906"/>
      <c r="F895" s="541"/>
      <c r="G895" s="541"/>
      <c r="H895" s="541"/>
      <c r="I895" s="541"/>
      <c r="J895" s="1748"/>
      <c r="K895" s="541"/>
      <c r="L895" s="1748"/>
      <c r="M895" s="541"/>
      <c r="N895" s="1748"/>
      <c r="O895" s="541"/>
      <c r="P895" s="1748"/>
      <c r="Q895" s="541"/>
      <c r="R895" s="1748"/>
      <c r="S895" s="541"/>
      <c r="T895" s="1748"/>
      <c r="U895" s="541"/>
      <c r="V895" s="1748"/>
      <c r="W895" s="541"/>
      <c r="X895" s="1748"/>
      <c r="Y895" s="1748"/>
      <c r="Z895" s="1748"/>
      <c r="AA895" s="541"/>
      <c r="AB895" s="1748"/>
      <c r="AC895" s="541"/>
      <c r="AD895" s="541"/>
      <c r="AE895" s="541"/>
      <c r="AF895" s="541"/>
      <c r="AG895" s="541"/>
      <c r="AH895" s="541"/>
      <c r="AI895" s="541"/>
      <c r="AJ895" s="541"/>
      <c r="AK895" s="541"/>
      <c r="AL895" s="541"/>
      <c r="AM895" s="541"/>
      <c r="AN895" s="1748"/>
      <c r="AO895" s="1748"/>
      <c r="AP895" s="1748"/>
      <c r="AQ895" s="1748"/>
      <c r="AR895" s="1748"/>
      <c r="AS895" s="541"/>
      <c r="AT895" s="541"/>
      <c r="AU895" s="541"/>
      <c r="AV895" s="541"/>
      <c r="AW895" s="541"/>
      <c r="AX895" s="541"/>
      <c r="AY895" s="541"/>
      <c r="AZ895" s="541"/>
      <c r="BA895" s="541"/>
      <c r="BC895" s="541"/>
      <c r="BE895" s="541"/>
      <c r="BG895" s="541"/>
      <c r="BH895" s="1190"/>
      <c r="BI895" s="541"/>
      <c r="BJ895" s="1190"/>
      <c r="BK895" s="541"/>
      <c r="BL895" s="541"/>
      <c r="BM895" s="541"/>
      <c r="BO895" s="541"/>
      <c r="BP895" s="541"/>
      <c r="BQ895" s="633"/>
      <c r="BR895" s="541"/>
      <c r="BS895" s="541"/>
      <c r="BT895" s="541"/>
    </row>
    <row r="896" ht="15.75" customHeight="1">
      <c r="A896" s="1591"/>
      <c r="B896" s="1541"/>
      <c r="C896" s="2217"/>
      <c r="D896" s="1543"/>
      <c r="E896" s="906"/>
      <c r="F896" s="541"/>
      <c r="G896" s="541"/>
      <c r="H896" s="541"/>
      <c r="I896" s="541"/>
      <c r="J896" s="1748"/>
      <c r="K896" s="541"/>
      <c r="L896" s="1748"/>
      <c r="M896" s="541"/>
      <c r="N896" s="1748"/>
      <c r="O896" s="541"/>
      <c r="P896" s="1748"/>
      <c r="Q896" s="541"/>
      <c r="R896" s="1748"/>
      <c r="S896" s="541"/>
      <c r="T896" s="1748"/>
      <c r="U896" s="541"/>
      <c r="V896" s="1748"/>
      <c r="W896" s="541"/>
      <c r="X896" s="1748"/>
      <c r="Y896" s="1748"/>
      <c r="Z896" s="1748"/>
      <c r="AA896" s="541"/>
      <c r="AB896" s="1748"/>
      <c r="AC896" s="541"/>
      <c r="AD896" s="541"/>
      <c r="AE896" s="541"/>
      <c r="AF896" s="541"/>
      <c r="AG896" s="541"/>
      <c r="AH896" s="541"/>
      <c r="AI896" s="541"/>
      <c r="AJ896" s="541"/>
      <c r="AK896" s="541"/>
      <c r="AL896" s="541"/>
      <c r="AM896" s="541"/>
      <c r="AN896" s="1748"/>
      <c r="AO896" s="1748"/>
      <c r="AP896" s="1748"/>
      <c r="AQ896" s="1748"/>
      <c r="AR896" s="1748"/>
      <c r="AS896" s="541"/>
      <c r="AT896" s="541"/>
      <c r="AU896" s="541"/>
      <c r="AV896" s="541"/>
      <c r="AW896" s="541"/>
      <c r="AX896" s="541"/>
      <c r="AY896" s="541"/>
      <c r="AZ896" s="541"/>
      <c r="BA896" s="541"/>
      <c r="BC896" s="541"/>
      <c r="BE896" s="541"/>
      <c r="BG896" s="541"/>
      <c r="BH896" s="1190"/>
      <c r="BI896" s="541"/>
      <c r="BJ896" s="1190"/>
      <c r="BK896" s="541"/>
      <c r="BL896" s="541"/>
      <c r="BM896" s="541"/>
      <c r="BO896" s="541"/>
      <c r="BP896" s="541"/>
      <c r="BQ896" s="633"/>
      <c r="BR896" s="541"/>
      <c r="BS896" s="541"/>
      <c r="BT896" s="541"/>
    </row>
    <row r="897" ht="15.75" customHeight="1">
      <c r="A897" s="1591"/>
      <c r="B897" s="1541"/>
      <c r="C897" s="2217"/>
      <c r="D897" s="1543"/>
      <c r="E897" s="906"/>
      <c r="F897" s="541"/>
      <c r="G897" s="541"/>
      <c r="H897" s="541"/>
      <c r="I897" s="541"/>
      <c r="J897" s="1748"/>
      <c r="K897" s="541"/>
      <c r="L897" s="1748"/>
      <c r="M897" s="541"/>
      <c r="N897" s="1748"/>
      <c r="O897" s="541"/>
      <c r="P897" s="1748"/>
      <c r="Q897" s="541"/>
      <c r="R897" s="1748"/>
      <c r="S897" s="541"/>
      <c r="T897" s="1748"/>
      <c r="U897" s="541"/>
      <c r="V897" s="1748"/>
      <c r="W897" s="541"/>
      <c r="X897" s="1748"/>
      <c r="Y897" s="1748"/>
      <c r="Z897" s="1748"/>
      <c r="AA897" s="541"/>
      <c r="AB897" s="1748"/>
      <c r="AC897" s="541"/>
      <c r="AD897" s="541"/>
      <c r="AE897" s="541"/>
      <c r="AF897" s="541"/>
      <c r="AG897" s="541"/>
      <c r="AH897" s="541"/>
      <c r="AI897" s="541"/>
      <c r="AJ897" s="541"/>
      <c r="AK897" s="541"/>
      <c r="AL897" s="541"/>
      <c r="AM897" s="541"/>
      <c r="AN897" s="1748"/>
      <c r="AO897" s="1748"/>
      <c r="AP897" s="1748"/>
      <c r="AQ897" s="1748"/>
      <c r="AR897" s="1748"/>
      <c r="AS897" s="541"/>
      <c r="AT897" s="541"/>
      <c r="AU897" s="541"/>
      <c r="AV897" s="541"/>
      <c r="AW897" s="541"/>
      <c r="AX897" s="541"/>
      <c r="AY897" s="541"/>
      <c r="AZ897" s="541"/>
      <c r="BA897" s="541"/>
      <c r="BC897" s="541"/>
      <c r="BE897" s="541"/>
      <c r="BG897" s="541"/>
      <c r="BH897" s="1190"/>
      <c r="BI897" s="541"/>
      <c r="BJ897" s="1190"/>
      <c r="BK897" s="541"/>
      <c r="BL897" s="541"/>
      <c r="BM897" s="541"/>
      <c r="BO897" s="541"/>
      <c r="BP897" s="541"/>
      <c r="BQ897" s="633"/>
      <c r="BR897" s="541"/>
      <c r="BS897" s="541"/>
      <c r="BT897" s="541"/>
    </row>
    <row r="898" ht="15.75" customHeight="1">
      <c r="A898" s="1591"/>
      <c r="B898" s="1541"/>
      <c r="C898" s="2217"/>
      <c r="D898" s="1543"/>
      <c r="E898" s="906"/>
      <c r="F898" s="541"/>
      <c r="G898" s="541"/>
      <c r="H898" s="541"/>
      <c r="I898" s="541"/>
      <c r="J898" s="1748"/>
      <c r="K898" s="541"/>
      <c r="L898" s="1748"/>
      <c r="M898" s="541"/>
      <c r="N898" s="1748"/>
      <c r="O898" s="541"/>
      <c r="P898" s="1748"/>
      <c r="Q898" s="541"/>
      <c r="R898" s="1748"/>
      <c r="S898" s="541"/>
      <c r="T898" s="1748"/>
      <c r="U898" s="541"/>
      <c r="V898" s="1748"/>
      <c r="W898" s="541"/>
      <c r="X898" s="1748"/>
      <c r="Y898" s="1748"/>
      <c r="Z898" s="1748"/>
      <c r="AA898" s="541"/>
      <c r="AB898" s="1748"/>
      <c r="AC898" s="541"/>
      <c r="AD898" s="541"/>
      <c r="AE898" s="541"/>
      <c r="AF898" s="541"/>
      <c r="AG898" s="541"/>
      <c r="AH898" s="541"/>
      <c r="AI898" s="541"/>
      <c r="AJ898" s="541"/>
      <c r="AK898" s="541"/>
      <c r="AL898" s="541"/>
      <c r="AM898" s="541"/>
      <c r="AN898" s="1748"/>
      <c r="AO898" s="1748"/>
      <c r="AP898" s="1748"/>
      <c r="AQ898" s="1748"/>
      <c r="AR898" s="1748"/>
      <c r="AS898" s="541"/>
      <c r="AT898" s="541"/>
      <c r="AU898" s="541"/>
      <c r="AV898" s="541"/>
      <c r="AW898" s="541"/>
      <c r="AX898" s="541"/>
      <c r="AY898" s="541"/>
      <c r="AZ898" s="541"/>
      <c r="BA898" s="541"/>
      <c r="BC898" s="541"/>
      <c r="BE898" s="541"/>
      <c r="BG898" s="541"/>
      <c r="BH898" s="1190"/>
      <c r="BI898" s="541"/>
      <c r="BJ898" s="1190"/>
      <c r="BK898" s="541"/>
      <c r="BL898" s="541"/>
      <c r="BM898" s="541"/>
      <c r="BO898" s="541"/>
      <c r="BP898" s="541"/>
      <c r="BQ898" s="633"/>
      <c r="BR898" s="541"/>
      <c r="BS898" s="541"/>
      <c r="BT898" s="541"/>
    </row>
    <row r="899" ht="15.75" customHeight="1">
      <c r="A899" s="1591"/>
      <c r="B899" s="1541"/>
      <c r="C899" s="2217"/>
      <c r="D899" s="1543"/>
      <c r="E899" s="906"/>
      <c r="F899" s="541"/>
      <c r="G899" s="541"/>
      <c r="H899" s="541"/>
      <c r="I899" s="541"/>
      <c r="J899" s="1748"/>
      <c r="K899" s="541"/>
      <c r="L899" s="1748"/>
      <c r="M899" s="541"/>
      <c r="N899" s="1748"/>
      <c r="O899" s="541"/>
      <c r="P899" s="1748"/>
      <c r="Q899" s="541"/>
      <c r="R899" s="1748"/>
      <c r="S899" s="541"/>
      <c r="T899" s="1748"/>
      <c r="U899" s="541"/>
      <c r="V899" s="1748"/>
      <c r="W899" s="541"/>
      <c r="X899" s="1748"/>
      <c r="Y899" s="1748"/>
      <c r="Z899" s="1748"/>
      <c r="AA899" s="541"/>
      <c r="AB899" s="1748"/>
      <c r="AC899" s="541"/>
      <c r="AD899" s="541"/>
      <c r="AE899" s="541"/>
      <c r="AF899" s="541"/>
      <c r="AG899" s="541"/>
      <c r="AH899" s="541"/>
      <c r="AI899" s="541"/>
      <c r="AJ899" s="541"/>
      <c r="AK899" s="541"/>
      <c r="AL899" s="541"/>
      <c r="AM899" s="541"/>
      <c r="AN899" s="1748"/>
      <c r="AO899" s="1748"/>
      <c r="AP899" s="1748"/>
      <c r="AQ899" s="1748"/>
      <c r="AR899" s="1748"/>
      <c r="AS899" s="541"/>
      <c r="AT899" s="541"/>
      <c r="AU899" s="541"/>
      <c r="AV899" s="541"/>
      <c r="AW899" s="541"/>
      <c r="AX899" s="541"/>
      <c r="AY899" s="541"/>
      <c r="AZ899" s="541"/>
      <c r="BA899" s="541"/>
      <c r="BC899" s="541"/>
      <c r="BE899" s="541"/>
      <c r="BG899" s="541"/>
      <c r="BH899" s="1190"/>
      <c r="BI899" s="541"/>
      <c r="BJ899" s="1190"/>
      <c r="BK899" s="541"/>
      <c r="BL899" s="541"/>
      <c r="BM899" s="541"/>
      <c r="BO899" s="541"/>
      <c r="BP899" s="541"/>
      <c r="BQ899" s="633"/>
      <c r="BR899" s="541"/>
      <c r="BS899" s="541"/>
      <c r="BT899" s="541"/>
    </row>
    <row r="900" ht="15.75" customHeight="1">
      <c r="A900" s="1591"/>
      <c r="B900" s="1541"/>
      <c r="C900" s="2217"/>
      <c r="D900" s="1543"/>
      <c r="E900" s="906"/>
      <c r="F900" s="541"/>
      <c r="G900" s="541"/>
      <c r="H900" s="541"/>
      <c r="I900" s="541"/>
      <c r="J900" s="1748"/>
      <c r="K900" s="541"/>
      <c r="L900" s="1748"/>
      <c r="M900" s="541"/>
      <c r="N900" s="1748"/>
      <c r="O900" s="541"/>
      <c r="P900" s="1748"/>
      <c r="Q900" s="541"/>
      <c r="R900" s="1748"/>
      <c r="S900" s="541"/>
      <c r="T900" s="1748"/>
      <c r="U900" s="541"/>
      <c r="V900" s="1748"/>
      <c r="W900" s="541"/>
      <c r="X900" s="1748"/>
      <c r="Y900" s="1748"/>
      <c r="Z900" s="1748"/>
      <c r="AA900" s="541"/>
      <c r="AB900" s="1748"/>
      <c r="AC900" s="541"/>
      <c r="AD900" s="541"/>
      <c r="AE900" s="541"/>
      <c r="AF900" s="541"/>
      <c r="AG900" s="541"/>
      <c r="AH900" s="541"/>
      <c r="AI900" s="541"/>
      <c r="AJ900" s="541"/>
      <c r="AK900" s="541"/>
      <c r="AL900" s="541"/>
      <c r="AM900" s="541"/>
      <c r="AN900" s="1748"/>
      <c r="AO900" s="1748"/>
      <c r="AP900" s="1748"/>
      <c r="AQ900" s="1748"/>
      <c r="AR900" s="1748"/>
      <c r="AS900" s="541"/>
      <c r="AT900" s="541"/>
      <c r="AU900" s="541"/>
      <c r="AV900" s="541"/>
      <c r="AW900" s="541"/>
      <c r="AX900" s="541"/>
      <c r="AY900" s="541"/>
      <c r="AZ900" s="541"/>
      <c r="BA900" s="541"/>
      <c r="BC900" s="541"/>
      <c r="BE900" s="541"/>
      <c r="BG900" s="541"/>
      <c r="BH900" s="1190"/>
      <c r="BI900" s="541"/>
      <c r="BJ900" s="1190"/>
      <c r="BK900" s="541"/>
      <c r="BL900" s="541"/>
      <c r="BM900" s="541"/>
      <c r="BO900" s="541"/>
      <c r="BP900" s="541"/>
      <c r="BQ900" s="633"/>
      <c r="BR900" s="541"/>
      <c r="BS900" s="541"/>
      <c r="BT900" s="541"/>
    </row>
    <row r="901" ht="15.75" customHeight="1">
      <c r="A901" s="1591"/>
      <c r="B901" s="1541"/>
      <c r="C901" s="2217"/>
      <c r="D901" s="1543"/>
      <c r="E901" s="906"/>
      <c r="F901" s="541"/>
      <c r="G901" s="541"/>
      <c r="H901" s="541"/>
      <c r="I901" s="541"/>
      <c r="J901" s="1748"/>
      <c r="K901" s="541"/>
      <c r="L901" s="1748"/>
      <c r="M901" s="541"/>
      <c r="N901" s="1748"/>
      <c r="O901" s="541"/>
      <c r="P901" s="1748"/>
      <c r="Q901" s="541"/>
      <c r="R901" s="1748"/>
      <c r="S901" s="541"/>
      <c r="T901" s="1748"/>
      <c r="U901" s="541"/>
      <c r="V901" s="1748"/>
      <c r="W901" s="541"/>
      <c r="X901" s="1748"/>
      <c r="Y901" s="1748"/>
      <c r="Z901" s="1748"/>
      <c r="AA901" s="541"/>
      <c r="AB901" s="1748"/>
      <c r="AC901" s="541"/>
      <c r="AD901" s="541"/>
      <c r="AE901" s="541"/>
      <c r="AF901" s="541"/>
      <c r="AG901" s="541"/>
      <c r="AH901" s="541"/>
      <c r="AI901" s="541"/>
      <c r="AJ901" s="541"/>
      <c r="AK901" s="541"/>
      <c r="AL901" s="541"/>
      <c r="AM901" s="541"/>
      <c r="AN901" s="1748"/>
      <c r="AO901" s="1748"/>
      <c r="AP901" s="1748"/>
      <c r="AQ901" s="1748"/>
      <c r="AR901" s="1748"/>
      <c r="AS901" s="541"/>
      <c r="AT901" s="541"/>
      <c r="AU901" s="541"/>
      <c r="AV901" s="541"/>
      <c r="AW901" s="541"/>
      <c r="AX901" s="541"/>
      <c r="AY901" s="541"/>
      <c r="AZ901" s="541"/>
      <c r="BA901" s="541"/>
      <c r="BC901" s="541"/>
      <c r="BE901" s="541"/>
      <c r="BG901" s="541"/>
      <c r="BH901" s="1190"/>
      <c r="BI901" s="541"/>
      <c r="BJ901" s="1190"/>
      <c r="BK901" s="541"/>
      <c r="BL901" s="541"/>
      <c r="BM901" s="541"/>
      <c r="BO901" s="541"/>
      <c r="BP901" s="541"/>
      <c r="BQ901" s="633"/>
      <c r="BR901" s="541"/>
      <c r="BS901" s="541"/>
      <c r="BT901" s="541"/>
    </row>
    <row r="902" ht="15.75" customHeight="1">
      <c r="A902" s="1591"/>
      <c r="B902" s="1541"/>
      <c r="C902" s="2217"/>
      <c r="D902" s="1543"/>
      <c r="E902" s="906"/>
      <c r="F902" s="541"/>
      <c r="G902" s="541"/>
      <c r="H902" s="541"/>
      <c r="I902" s="541"/>
      <c r="J902" s="1748"/>
      <c r="K902" s="541"/>
      <c r="L902" s="1748"/>
      <c r="M902" s="541"/>
      <c r="N902" s="1748"/>
      <c r="O902" s="541"/>
      <c r="P902" s="1748"/>
      <c r="Q902" s="541"/>
      <c r="R902" s="1748"/>
      <c r="S902" s="541"/>
      <c r="T902" s="1748"/>
      <c r="U902" s="541"/>
      <c r="V902" s="1748"/>
      <c r="W902" s="541"/>
      <c r="X902" s="1748"/>
      <c r="Y902" s="1748"/>
      <c r="Z902" s="1748"/>
      <c r="AA902" s="541"/>
      <c r="AB902" s="1748"/>
      <c r="AC902" s="541"/>
      <c r="AD902" s="541"/>
      <c r="AE902" s="541"/>
      <c r="AF902" s="541"/>
      <c r="AG902" s="541"/>
      <c r="AH902" s="541"/>
      <c r="AI902" s="541"/>
      <c r="AJ902" s="541"/>
      <c r="AK902" s="541"/>
      <c r="AL902" s="541"/>
      <c r="AM902" s="541"/>
      <c r="AN902" s="1748"/>
      <c r="AO902" s="1748"/>
      <c r="AP902" s="1748"/>
      <c r="AQ902" s="1748"/>
      <c r="AR902" s="1748"/>
      <c r="AS902" s="541"/>
      <c r="AT902" s="541"/>
      <c r="AU902" s="541"/>
      <c r="AV902" s="541"/>
      <c r="AW902" s="541"/>
      <c r="AX902" s="541"/>
      <c r="AY902" s="541"/>
      <c r="AZ902" s="541"/>
      <c r="BA902" s="541"/>
      <c r="BC902" s="541"/>
      <c r="BE902" s="541"/>
      <c r="BG902" s="541"/>
      <c r="BH902" s="1190"/>
      <c r="BI902" s="541"/>
      <c r="BJ902" s="1190"/>
      <c r="BK902" s="541"/>
      <c r="BL902" s="541"/>
      <c r="BM902" s="541"/>
      <c r="BO902" s="541"/>
      <c r="BP902" s="541"/>
      <c r="BQ902" s="633"/>
      <c r="BR902" s="541"/>
      <c r="BS902" s="541"/>
      <c r="BT902" s="541"/>
    </row>
    <row r="903" ht="15.75" customHeight="1">
      <c r="A903" s="1591"/>
      <c r="B903" s="1541"/>
      <c r="C903" s="2217"/>
      <c r="D903" s="1543"/>
      <c r="E903" s="906"/>
      <c r="F903" s="541"/>
      <c r="G903" s="541"/>
      <c r="H903" s="541"/>
      <c r="I903" s="541"/>
      <c r="J903" s="1748"/>
      <c r="K903" s="541"/>
      <c r="L903" s="1748"/>
      <c r="M903" s="541"/>
      <c r="N903" s="1748"/>
      <c r="O903" s="541"/>
      <c r="P903" s="1748"/>
      <c r="Q903" s="541"/>
      <c r="R903" s="1748"/>
      <c r="S903" s="541"/>
      <c r="T903" s="1748"/>
      <c r="U903" s="541"/>
      <c r="V903" s="1748"/>
      <c r="W903" s="541"/>
      <c r="X903" s="1748"/>
      <c r="Y903" s="1748"/>
      <c r="Z903" s="1748"/>
      <c r="AA903" s="541"/>
      <c r="AB903" s="1748"/>
      <c r="AC903" s="541"/>
      <c r="AD903" s="541"/>
      <c r="AE903" s="541"/>
      <c r="AF903" s="541"/>
      <c r="AG903" s="541"/>
      <c r="AH903" s="541"/>
      <c r="AI903" s="541"/>
      <c r="AJ903" s="541"/>
      <c r="AK903" s="541"/>
      <c r="AL903" s="541"/>
      <c r="AM903" s="541"/>
      <c r="AN903" s="1748"/>
      <c r="AO903" s="1748"/>
      <c r="AP903" s="1748"/>
      <c r="AQ903" s="1748"/>
      <c r="AR903" s="1748"/>
      <c r="AS903" s="541"/>
      <c r="AT903" s="541"/>
      <c r="AU903" s="541"/>
      <c r="AV903" s="541"/>
      <c r="AW903" s="541"/>
      <c r="AX903" s="541"/>
      <c r="AY903" s="541"/>
      <c r="AZ903" s="541"/>
      <c r="BA903" s="541"/>
      <c r="BC903" s="541"/>
      <c r="BE903" s="541"/>
      <c r="BG903" s="541"/>
      <c r="BH903" s="1190"/>
      <c r="BI903" s="541"/>
      <c r="BJ903" s="1190"/>
      <c r="BK903" s="541"/>
      <c r="BL903" s="541"/>
      <c r="BM903" s="541"/>
      <c r="BO903" s="541"/>
      <c r="BP903" s="541"/>
      <c r="BQ903" s="633"/>
      <c r="BR903" s="541"/>
      <c r="BS903" s="541"/>
      <c r="BT903" s="541"/>
    </row>
    <row r="904" ht="15.75" customHeight="1">
      <c r="A904" s="1591"/>
      <c r="B904" s="1541"/>
      <c r="C904" s="2217"/>
      <c r="D904" s="1543"/>
      <c r="E904" s="906"/>
      <c r="F904" s="541"/>
      <c r="G904" s="541"/>
      <c r="H904" s="541"/>
      <c r="I904" s="541"/>
      <c r="J904" s="1748"/>
      <c r="K904" s="541"/>
      <c r="L904" s="1748"/>
      <c r="M904" s="541"/>
      <c r="N904" s="1748"/>
      <c r="O904" s="541"/>
      <c r="P904" s="1748"/>
      <c r="Q904" s="541"/>
      <c r="R904" s="1748"/>
      <c r="S904" s="541"/>
      <c r="T904" s="1748"/>
      <c r="U904" s="541"/>
      <c r="V904" s="1748"/>
      <c r="W904" s="541"/>
      <c r="X904" s="1748"/>
      <c r="Y904" s="1748"/>
      <c r="Z904" s="1748"/>
      <c r="AA904" s="541"/>
      <c r="AB904" s="1748"/>
      <c r="AC904" s="541"/>
      <c r="AD904" s="541"/>
      <c r="AE904" s="541"/>
      <c r="AF904" s="541"/>
      <c r="AG904" s="541"/>
      <c r="AH904" s="541"/>
      <c r="AI904" s="541"/>
      <c r="AJ904" s="541"/>
      <c r="AK904" s="541"/>
      <c r="AL904" s="541"/>
      <c r="AM904" s="541"/>
      <c r="AN904" s="1748"/>
      <c r="AO904" s="1748"/>
      <c r="AP904" s="1748"/>
      <c r="AQ904" s="1748"/>
      <c r="AR904" s="1748"/>
      <c r="AS904" s="541"/>
      <c r="AT904" s="541"/>
      <c r="AU904" s="541"/>
      <c r="AV904" s="541"/>
      <c r="AW904" s="541"/>
      <c r="AX904" s="541"/>
      <c r="AY904" s="541"/>
      <c r="AZ904" s="541"/>
      <c r="BA904" s="541"/>
      <c r="BC904" s="541"/>
      <c r="BE904" s="541"/>
      <c r="BG904" s="541"/>
      <c r="BH904" s="1190"/>
      <c r="BI904" s="541"/>
      <c r="BJ904" s="1190"/>
      <c r="BK904" s="541"/>
      <c r="BL904" s="541"/>
      <c r="BM904" s="541"/>
      <c r="BO904" s="541"/>
      <c r="BP904" s="541"/>
      <c r="BQ904" s="633"/>
      <c r="BR904" s="541"/>
      <c r="BS904" s="541"/>
      <c r="BT904" s="541"/>
    </row>
    <row r="905" ht="15.75" customHeight="1">
      <c r="A905" s="1591"/>
      <c r="B905" s="1541"/>
      <c r="C905" s="2217"/>
      <c r="D905" s="1543"/>
      <c r="E905" s="906"/>
      <c r="F905" s="541"/>
      <c r="G905" s="541"/>
      <c r="H905" s="541"/>
      <c r="I905" s="541"/>
      <c r="J905" s="1748"/>
      <c r="K905" s="541"/>
      <c r="L905" s="1748"/>
      <c r="M905" s="541"/>
      <c r="N905" s="1748"/>
      <c r="O905" s="541"/>
      <c r="P905" s="1748"/>
      <c r="Q905" s="541"/>
      <c r="R905" s="1748"/>
      <c r="S905" s="541"/>
      <c r="T905" s="1748"/>
      <c r="U905" s="541"/>
      <c r="V905" s="1748"/>
      <c r="W905" s="541"/>
      <c r="X905" s="1748"/>
      <c r="Y905" s="1748"/>
      <c r="Z905" s="1748"/>
      <c r="AA905" s="541"/>
      <c r="AB905" s="1748"/>
      <c r="AC905" s="541"/>
      <c r="AD905" s="541"/>
      <c r="AE905" s="541"/>
      <c r="AF905" s="541"/>
      <c r="AG905" s="541"/>
      <c r="AH905" s="541"/>
      <c r="AI905" s="541"/>
      <c r="AJ905" s="541"/>
      <c r="AK905" s="541"/>
      <c r="AL905" s="541"/>
      <c r="AM905" s="541"/>
      <c r="AN905" s="1748"/>
      <c r="AO905" s="1748"/>
      <c r="AP905" s="1748"/>
      <c r="AQ905" s="1748"/>
      <c r="AR905" s="1748"/>
      <c r="AS905" s="541"/>
      <c r="AT905" s="541"/>
      <c r="AU905" s="541"/>
      <c r="AV905" s="541"/>
      <c r="AW905" s="541"/>
      <c r="AX905" s="541"/>
      <c r="AY905" s="541"/>
      <c r="AZ905" s="541"/>
      <c r="BA905" s="541"/>
      <c r="BC905" s="541"/>
      <c r="BE905" s="541"/>
      <c r="BG905" s="541"/>
      <c r="BH905" s="1190"/>
      <c r="BI905" s="541"/>
      <c r="BJ905" s="1190"/>
      <c r="BK905" s="541"/>
      <c r="BL905" s="541"/>
      <c r="BM905" s="541"/>
      <c r="BO905" s="541"/>
      <c r="BP905" s="541"/>
      <c r="BQ905" s="633"/>
      <c r="BR905" s="541"/>
      <c r="BS905" s="541"/>
      <c r="BT905" s="541"/>
    </row>
    <row r="906" ht="15.75" customHeight="1">
      <c r="A906" s="1591"/>
      <c r="B906" s="1541"/>
      <c r="C906" s="2217"/>
      <c r="D906" s="1543"/>
      <c r="E906" s="906"/>
      <c r="F906" s="541"/>
      <c r="G906" s="541"/>
      <c r="H906" s="541"/>
      <c r="I906" s="541"/>
      <c r="J906" s="1748"/>
      <c r="K906" s="541"/>
      <c r="L906" s="1748"/>
      <c r="M906" s="541"/>
      <c r="N906" s="1748"/>
      <c r="O906" s="541"/>
      <c r="P906" s="1748"/>
      <c r="Q906" s="541"/>
      <c r="R906" s="1748"/>
      <c r="S906" s="541"/>
      <c r="T906" s="1748"/>
      <c r="U906" s="541"/>
      <c r="V906" s="1748"/>
      <c r="W906" s="541"/>
      <c r="X906" s="1748"/>
      <c r="Y906" s="1748"/>
      <c r="Z906" s="1748"/>
      <c r="AA906" s="541"/>
      <c r="AB906" s="1748"/>
      <c r="AC906" s="541"/>
      <c r="AD906" s="541"/>
      <c r="AE906" s="541"/>
      <c r="AF906" s="541"/>
      <c r="AG906" s="541"/>
      <c r="AH906" s="541"/>
      <c r="AI906" s="541"/>
      <c r="AJ906" s="541"/>
      <c r="AK906" s="541"/>
      <c r="AL906" s="541"/>
      <c r="AM906" s="541"/>
      <c r="AN906" s="1748"/>
      <c r="AO906" s="1748"/>
      <c r="AP906" s="1748"/>
      <c r="AQ906" s="1748"/>
      <c r="AR906" s="1748"/>
      <c r="AS906" s="541"/>
      <c r="AT906" s="541"/>
      <c r="AU906" s="541"/>
      <c r="AV906" s="541"/>
      <c r="AW906" s="541"/>
      <c r="AX906" s="541"/>
      <c r="AY906" s="541"/>
      <c r="AZ906" s="541"/>
      <c r="BA906" s="541"/>
      <c r="BC906" s="541"/>
      <c r="BE906" s="541"/>
      <c r="BG906" s="541"/>
      <c r="BH906" s="1190"/>
      <c r="BI906" s="541"/>
      <c r="BJ906" s="1190"/>
      <c r="BK906" s="541"/>
      <c r="BL906" s="541"/>
      <c r="BM906" s="541"/>
      <c r="BO906" s="541"/>
      <c r="BP906" s="541"/>
      <c r="BQ906" s="633"/>
      <c r="BR906" s="541"/>
      <c r="BS906" s="541"/>
      <c r="BT906" s="541"/>
    </row>
    <row r="907" ht="15.75" customHeight="1">
      <c r="A907" s="1591"/>
      <c r="B907" s="1541"/>
      <c r="C907" s="2217"/>
      <c r="D907" s="1543"/>
      <c r="E907" s="906"/>
      <c r="F907" s="541"/>
      <c r="G907" s="541"/>
      <c r="H907" s="541"/>
      <c r="I907" s="541"/>
      <c r="J907" s="1748"/>
      <c r="K907" s="541"/>
      <c r="L907" s="1748"/>
      <c r="M907" s="541"/>
      <c r="N907" s="1748"/>
      <c r="O907" s="541"/>
      <c r="P907" s="1748"/>
      <c r="Q907" s="541"/>
      <c r="R907" s="1748"/>
      <c r="S907" s="541"/>
      <c r="T907" s="1748"/>
      <c r="U907" s="541"/>
      <c r="V907" s="1748"/>
      <c r="W907" s="541"/>
      <c r="X907" s="1748"/>
      <c r="Y907" s="1748"/>
      <c r="Z907" s="1748"/>
      <c r="AA907" s="541"/>
      <c r="AB907" s="1748"/>
      <c r="AC907" s="541"/>
      <c r="AD907" s="541"/>
      <c r="AE907" s="541"/>
      <c r="AF907" s="541"/>
      <c r="AG907" s="541"/>
      <c r="AH907" s="541"/>
      <c r="AI907" s="541"/>
      <c r="AJ907" s="541"/>
      <c r="AK907" s="541"/>
      <c r="AL907" s="541"/>
      <c r="AM907" s="541"/>
      <c r="AN907" s="1748"/>
      <c r="AO907" s="1748"/>
      <c r="AP907" s="1748"/>
      <c r="AQ907" s="1748"/>
      <c r="AR907" s="1748"/>
      <c r="AS907" s="541"/>
      <c r="AT907" s="541"/>
      <c r="AU907" s="541"/>
      <c r="AV907" s="541"/>
      <c r="AW907" s="541"/>
      <c r="AX907" s="541"/>
      <c r="AY907" s="541"/>
      <c r="AZ907" s="541"/>
      <c r="BA907" s="541"/>
      <c r="BC907" s="541"/>
      <c r="BE907" s="541"/>
      <c r="BG907" s="541"/>
      <c r="BH907" s="1190"/>
      <c r="BI907" s="541"/>
      <c r="BJ907" s="1190"/>
      <c r="BK907" s="541"/>
      <c r="BL907" s="541"/>
      <c r="BM907" s="541"/>
      <c r="BO907" s="541"/>
      <c r="BP907" s="541"/>
      <c r="BQ907" s="633"/>
      <c r="BR907" s="541"/>
      <c r="BS907" s="541"/>
      <c r="BT907" s="541"/>
    </row>
    <row r="908" ht="15.75" customHeight="1">
      <c r="A908" s="1591"/>
      <c r="B908" s="1541"/>
      <c r="C908" s="2217"/>
      <c r="D908" s="1543"/>
      <c r="E908" s="906"/>
      <c r="F908" s="541"/>
      <c r="G908" s="541"/>
      <c r="H908" s="541"/>
      <c r="I908" s="541"/>
      <c r="J908" s="1748"/>
      <c r="K908" s="541"/>
      <c r="L908" s="1748"/>
      <c r="M908" s="541"/>
      <c r="N908" s="1748"/>
      <c r="O908" s="541"/>
      <c r="P908" s="1748"/>
      <c r="Q908" s="541"/>
      <c r="R908" s="1748"/>
      <c r="S908" s="541"/>
      <c r="T908" s="1748"/>
      <c r="U908" s="541"/>
      <c r="V908" s="1748"/>
      <c r="W908" s="541"/>
      <c r="X908" s="1748"/>
      <c r="Y908" s="1748"/>
      <c r="Z908" s="1748"/>
      <c r="AA908" s="541"/>
      <c r="AB908" s="1748"/>
      <c r="AC908" s="541"/>
      <c r="AD908" s="541"/>
      <c r="AE908" s="541"/>
      <c r="AF908" s="541"/>
      <c r="AG908" s="541"/>
      <c r="AH908" s="541"/>
      <c r="AI908" s="541"/>
      <c r="AJ908" s="541"/>
      <c r="AK908" s="541"/>
      <c r="AL908" s="541"/>
      <c r="AM908" s="541"/>
      <c r="AN908" s="1748"/>
      <c r="AO908" s="1748"/>
      <c r="AP908" s="1748"/>
      <c r="AQ908" s="1748"/>
      <c r="AR908" s="1748"/>
      <c r="AS908" s="541"/>
      <c r="AT908" s="541"/>
      <c r="AU908" s="541"/>
      <c r="AV908" s="541"/>
      <c r="AW908" s="541"/>
      <c r="AX908" s="541"/>
      <c r="AY908" s="541"/>
      <c r="AZ908" s="541"/>
      <c r="BA908" s="541"/>
      <c r="BC908" s="541"/>
      <c r="BE908" s="541"/>
      <c r="BG908" s="541"/>
      <c r="BH908" s="1190"/>
      <c r="BI908" s="541"/>
      <c r="BJ908" s="1190"/>
      <c r="BK908" s="541"/>
      <c r="BL908" s="541"/>
      <c r="BM908" s="541"/>
      <c r="BO908" s="541"/>
      <c r="BP908" s="541"/>
      <c r="BQ908" s="633"/>
      <c r="BR908" s="541"/>
      <c r="BS908" s="541"/>
      <c r="BT908" s="541"/>
    </row>
    <row r="909" ht="15.75" customHeight="1">
      <c r="A909" s="1591"/>
      <c r="B909" s="1541"/>
      <c r="C909" s="2217"/>
      <c r="D909" s="1543"/>
      <c r="E909" s="906"/>
      <c r="F909" s="541"/>
      <c r="G909" s="541"/>
      <c r="H909" s="541"/>
      <c r="I909" s="541"/>
      <c r="J909" s="1748"/>
      <c r="K909" s="541"/>
      <c r="L909" s="1748"/>
      <c r="M909" s="541"/>
      <c r="N909" s="1748"/>
      <c r="O909" s="541"/>
      <c r="P909" s="1748"/>
      <c r="Q909" s="541"/>
      <c r="R909" s="1748"/>
      <c r="S909" s="541"/>
      <c r="T909" s="1748"/>
      <c r="U909" s="541"/>
      <c r="V909" s="1748"/>
      <c r="W909" s="541"/>
      <c r="X909" s="1748"/>
      <c r="Y909" s="1748"/>
      <c r="Z909" s="1748"/>
      <c r="AA909" s="541"/>
      <c r="AB909" s="1748"/>
      <c r="AC909" s="541"/>
      <c r="AD909" s="541"/>
      <c r="AE909" s="541"/>
      <c r="AF909" s="541"/>
      <c r="AG909" s="541"/>
      <c r="AH909" s="541"/>
      <c r="AI909" s="541"/>
      <c r="AJ909" s="541"/>
      <c r="AK909" s="541"/>
      <c r="AL909" s="541"/>
      <c r="AM909" s="541"/>
      <c r="AN909" s="1748"/>
      <c r="AO909" s="1748"/>
      <c r="AP909" s="1748"/>
      <c r="AQ909" s="1748"/>
      <c r="AR909" s="1748"/>
      <c r="AS909" s="541"/>
      <c r="AT909" s="541"/>
      <c r="AU909" s="541"/>
      <c r="AV909" s="541"/>
      <c r="AW909" s="541"/>
      <c r="AX909" s="541"/>
      <c r="AY909" s="541"/>
      <c r="AZ909" s="541"/>
      <c r="BA909" s="541"/>
      <c r="BC909" s="541"/>
      <c r="BE909" s="541"/>
      <c r="BG909" s="541"/>
      <c r="BH909" s="1190"/>
      <c r="BI909" s="541"/>
      <c r="BJ909" s="1190"/>
      <c r="BK909" s="541"/>
      <c r="BL909" s="541"/>
      <c r="BM909" s="541"/>
      <c r="BO909" s="541"/>
      <c r="BP909" s="541"/>
      <c r="BQ909" s="633"/>
      <c r="BR909" s="541"/>
      <c r="BS909" s="541"/>
      <c r="BT909" s="541"/>
    </row>
    <row r="910" ht="15.75" customHeight="1">
      <c r="A910" s="1591"/>
      <c r="B910" s="1541"/>
      <c r="C910" s="2217"/>
      <c r="D910" s="1543"/>
      <c r="E910" s="906"/>
      <c r="F910" s="541"/>
      <c r="G910" s="541"/>
      <c r="H910" s="541"/>
      <c r="I910" s="541"/>
      <c r="J910" s="1748"/>
      <c r="K910" s="541"/>
      <c r="L910" s="1748"/>
      <c r="M910" s="541"/>
      <c r="N910" s="1748"/>
      <c r="O910" s="541"/>
      <c r="P910" s="1748"/>
      <c r="Q910" s="541"/>
      <c r="R910" s="1748"/>
      <c r="S910" s="541"/>
      <c r="T910" s="1748"/>
      <c r="U910" s="541"/>
      <c r="V910" s="1748"/>
      <c r="W910" s="541"/>
      <c r="X910" s="1748"/>
      <c r="Y910" s="1748"/>
      <c r="Z910" s="1748"/>
      <c r="AA910" s="541"/>
      <c r="AB910" s="1748"/>
      <c r="AC910" s="541"/>
      <c r="AD910" s="541"/>
      <c r="AE910" s="541"/>
      <c r="AF910" s="541"/>
      <c r="AG910" s="541"/>
      <c r="AH910" s="541"/>
      <c r="AI910" s="541"/>
      <c r="AJ910" s="541"/>
      <c r="AK910" s="541"/>
      <c r="AL910" s="541"/>
      <c r="AM910" s="541"/>
      <c r="AN910" s="1748"/>
      <c r="AO910" s="1748"/>
      <c r="AP910" s="1748"/>
      <c r="AQ910" s="1748"/>
      <c r="AR910" s="1748"/>
      <c r="AS910" s="541"/>
      <c r="AT910" s="541"/>
      <c r="AU910" s="541"/>
      <c r="AV910" s="541"/>
      <c r="AW910" s="541"/>
      <c r="AX910" s="541"/>
      <c r="AY910" s="541"/>
      <c r="AZ910" s="541"/>
      <c r="BA910" s="541"/>
      <c r="BC910" s="541"/>
      <c r="BE910" s="541"/>
      <c r="BG910" s="541"/>
      <c r="BH910" s="1190"/>
      <c r="BI910" s="541"/>
      <c r="BJ910" s="1190"/>
      <c r="BK910" s="541"/>
      <c r="BL910" s="541"/>
      <c r="BM910" s="541"/>
      <c r="BO910" s="541"/>
      <c r="BP910" s="541"/>
      <c r="BQ910" s="633"/>
      <c r="BR910" s="541"/>
      <c r="BS910" s="541"/>
      <c r="BT910" s="541"/>
    </row>
    <row r="911" ht="15.75" customHeight="1">
      <c r="A911" s="1591"/>
      <c r="B911" s="1541"/>
      <c r="C911" s="2217"/>
      <c r="D911" s="1543"/>
      <c r="E911" s="906"/>
      <c r="F911" s="541"/>
      <c r="G911" s="541"/>
      <c r="H911" s="541"/>
      <c r="I911" s="541"/>
      <c r="J911" s="1748"/>
      <c r="K911" s="541"/>
      <c r="L911" s="1748"/>
      <c r="M911" s="541"/>
      <c r="N911" s="1748"/>
      <c r="O911" s="541"/>
      <c r="P911" s="1748"/>
      <c r="Q911" s="541"/>
      <c r="R911" s="1748"/>
      <c r="S911" s="541"/>
      <c r="T911" s="1748"/>
      <c r="U911" s="541"/>
      <c r="V911" s="1748"/>
      <c r="W911" s="541"/>
      <c r="X911" s="1748"/>
      <c r="Y911" s="1748"/>
      <c r="Z911" s="1748"/>
      <c r="AA911" s="541"/>
      <c r="AB911" s="1748"/>
      <c r="AC911" s="541"/>
      <c r="AD911" s="541"/>
      <c r="AE911" s="541"/>
      <c r="AF911" s="541"/>
      <c r="AG911" s="541"/>
      <c r="AH911" s="541"/>
      <c r="AI911" s="541"/>
      <c r="AJ911" s="541"/>
      <c r="AK911" s="541"/>
      <c r="AL911" s="541"/>
      <c r="AM911" s="541"/>
      <c r="AN911" s="1748"/>
      <c r="AO911" s="1748"/>
      <c r="AP911" s="1748"/>
      <c r="AQ911" s="1748"/>
      <c r="AR911" s="1748"/>
      <c r="AS911" s="541"/>
      <c r="AT911" s="541"/>
      <c r="AU911" s="541"/>
      <c r="AV911" s="541"/>
      <c r="AW911" s="541"/>
      <c r="AX911" s="541"/>
      <c r="AY911" s="541"/>
      <c r="AZ911" s="541"/>
      <c r="BA911" s="541"/>
      <c r="BC911" s="541"/>
      <c r="BE911" s="541"/>
      <c r="BG911" s="541"/>
      <c r="BH911" s="1190"/>
      <c r="BI911" s="541"/>
      <c r="BJ911" s="1190"/>
      <c r="BK911" s="541"/>
      <c r="BL911" s="541"/>
      <c r="BM911" s="541"/>
      <c r="BO911" s="541"/>
      <c r="BP911" s="541"/>
      <c r="BQ911" s="633"/>
      <c r="BR911" s="541"/>
      <c r="BS911" s="541"/>
      <c r="BT911" s="541"/>
    </row>
    <row r="912" ht="15.75" customHeight="1">
      <c r="A912" s="1591"/>
      <c r="B912" s="1541"/>
      <c r="C912" s="2217"/>
      <c r="D912" s="1543"/>
      <c r="E912" s="906"/>
      <c r="F912" s="541"/>
      <c r="G912" s="541"/>
      <c r="H912" s="541"/>
      <c r="I912" s="541"/>
      <c r="J912" s="1748"/>
      <c r="K912" s="541"/>
      <c r="L912" s="1748"/>
      <c r="M912" s="541"/>
      <c r="N912" s="1748"/>
      <c r="O912" s="541"/>
      <c r="P912" s="1748"/>
      <c r="Q912" s="541"/>
      <c r="R912" s="1748"/>
      <c r="S912" s="541"/>
      <c r="T912" s="1748"/>
      <c r="U912" s="541"/>
      <c r="V912" s="1748"/>
      <c r="W912" s="541"/>
      <c r="X912" s="1748"/>
      <c r="Y912" s="1748"/>
      <c r="Z912" s="1748"/>
      <c r="AA912" s="541"/>
      <c r="AB912" s="1748"/>
      <c r="AC912" s="541"/>
      <c r="AD912" s="541"/>
      <c r="AE912" s="541"/>
      <c r="AF912" s="541"/>
      <c r="AG912" s="541"/>
      <c r="AH912" s="541"/>
      <c r="AI912" s="541"/>
      <c r="AJ912" s="541"/>
      <c r="AK912" s="541"/>
      <c r="AL912" s="541"/>
      <c r="AM912" s="541"/>
      <c r="AN912" s="1748"/>
      <c r="AO912" s="1748"/>
      <c r="AP912" s="1748"/>
      <c r="AQ912" s="1748"/>
      <c r="AR912" s="1748"/>
      <c r="AS912" s="541"/>
      <c r="AT912" s="541"/>
      <c r="AU912" s="541"/>
      <c r="AV912" s="541"/>
      <c r="AW912" s="541"/>
      <c r="AX912" s="541"/>
      <c r="AY912" s="541"/>
      <c r="AZ912" s="541"/>
      <c r="BA912" s="541"/>
      <c r="BC912" s="541"/>
      <c r="BE912" s="541"/>
      <c r="BG912" s="541"/>
      <c r="BH912" s="1190"/>
      <c r="BI912" s="541"/>
      <c r="BJ912" s="1190"/>
      <c r="BK912" s="541"/>
      <c r="BL912" s="541"/>
      <c r="BM912" s="541"/>
      <c r="BO912" s="541"/>
      <c r="BP912" s="541"/>
      <c r="BQ912" s="633"/>
      <c r="BR912" s="541"/>
      <c r="BS912" s="541"/>
      <c r="BT912" s="541"/>
    </row>
    <row r="913" ht="15.75" customHeight="1">
      <c r="A913" s="1591"/>
      <c r="B913" s="1541"/>
      <c r="C913" s="2217"/>
      <c r="D913" s="1543"/>
      <c r="E913" s="906"/>
      <c r="F913" s="541"/>
      <c r="G913" s="541"/>
      <c r="H913" s="541"/>
      <c r="I913" s="541"/>
      <c r="J913" s="1748"/>
      <c r="K913" s="541"/>
      <c r="L913" s="1748"/>
      <c r="M913" s="541"/>
      <c r="N913" s="1748"/>
      <c r="O913" s="541"/>
      <c r="P913" s="1748"/>
      <c r="Q913" s="541"/>
      <c r="R913" s="1748"/>
      <c r="S913" s="541"/>
      <c r="T913" s="1748"/>
      <c r="U913" s="541"/>
      <c r="V913" s="1748"/>
      <c r="W913" s="541"/>
      <c r="X913" s="1748"/>
      <c r="Y913" s="1748"/>
      <c r="Z913" s="1748"/>
      <c r="AA913" s="541"/>
      <c r="AB913" s="1748"/>
      <c r="AC913" s="541"/>
      <c r="AD913" s="541"/>
      <c r="AE913" s="541"/>
      <c r="AF913" s="541"/>
      <c r="AG913" s="541"/>
      <c r="AH913" s="541"/>
      <c r="AI913" s="541"/>
      <c r="AJ913" s="541"/>
      <c r="AK913" s="541"/>
      <c r="AL913" s="541"/>
      <c r="AM913" s="541"/>
      <c r="AN913" s="1748"/>
      <c r="AO913" s="1748"/>
      <c r="AP913" s="1748"/>
      <c r="AQ913" s="1748"/>
      <c r="AR913" s="1748"/>
      <c r="AS913" s="541"/>
      <c r="AT913" s="541"/>
      <c r="AU913" s="541"/>
      <c r="AV913" s="541"/>
      <c r="AW913" s="541"/>
      <c r="AX913" s="541"/>
      <c r="AY913" s="541"/>
      <c r="AZ913" s="541"/>
      <c r="BA913" s="541"/>
      <c r="BC913" s="541"/>
      <c r="BE913" s="541"/>
      <c r="BG913" s="541"/>
      <c r="BH913" s="1190"/>
      <c r="BI913" s="541"/>
      <c r="BJ913" s="1190"/>
      <c r="BK913" s="541"/>
      <c r="BL913" s="541"/>
      <c r="BM913" s="541"/>
      <c r="BO913" s="541"/>
      <c r="BP913" s="541"/>
      <c r="BQ913" s="633"/>
      <c r="BR913" s="541"/>
      <c r="BS913" s="541"/>
      <c r="BT913" s="541"/>
    </row>
    <row r="914" ht="15.75" customHeight="1">
      <c r="A914" s="1591"/>
      <c r="B914" s="1541"/>
      <c r="C914" s="2217"/>
      <c r="D914" s="1543"/>
      <c r="E914" s="906"/>
      <c r="F914" s="541"/>
      <c r="G914" s="541"/>
      <c r="H914" s="541"/>
      <c r="I914" s="541"/>
      <c r="J914" s="1748"/>
      <c r="K914" s="541"/>
      <c r="L914" s="1748"/>
      <c r="M914" s="541"/>
      <c r="N914" s="1748"/>
      <c r="O914" s="541"/>
      <c r="P914" s="1748"/>
      <c r="Q914" s="541"/>
      <c r="R914" s="1748"/>
      <c r="S914" s="541"/>
      <c r="T914" s="1748"/>
      <c r="U914" s="541"/>
      <c r="V914" s="1748"/>
      <c r="W914" s="541"/>
      <c r="X914" s="1748"/>
      <c r="Y914" s="1748"/>
      <c r="Z914" s="1748"/>
      <c r="AA914" s="541"/>
      <c r="AB914" s="1748"/>
      <c r="AC914" s="541"/>
      <c r="AD914" s="541"/>
      <c r="AE914" s="541"/>
      <c r="AF914" s="541"/>
      <c r="AG914" s="541"/>
      <c r="AH914" s="541"/>
      <c r="AI914" s="541"/>
      <c r="AJ914" s="541"/>
      <c r="AK914" s="541"/>
      <c r="AL914" s="541"/>
      <c r="AM914" s="541"/>
      <c r="AN914" s="1748"/>
      <c r="AO914" s="1748"/>
      <c r="AP914" s="1748"/>
      <c r="AQ914" s="1748"/>
      <c r="AR914" s="1748"/>
      <c r="AS914" s="541"/>
      <c r="AT914" s="541"/>
      <c r="AU914" s="541"/>
      <c r="AV914" s="541"/>
      <c r="AW914" s="541"/>
      <c r="AX914" s="541"/>
      <c r="AY914" s="541"/>
      <c r="AZ914" s="541"/>
      <c r="BA914" s="541"/>
      <c r="BC914" s="541"/>
      <c r="BE914" s="541"/>
      <c r="BG914" s="541"/>
      <c r="BH914" s="1190"/>
      <c r="BI914" s="541"/>
      <c r="BJ914" s="1190"/>
      <c r="BK914" s="541"/>
      <c r="BL914" s="541"/>
      <c r="BM914" s="541"/>
      <c r="BO914" s="541"/>
      <c r="BP914" s="541"/>
      <c r="BQ914" s="633"/>
      <c r="BR914" s="541"/>
      <c r="BS914" s="541"/>
      <c r="BT914" s="541"/>
    </row>
    <row r="915" ht="15.75" customHeight="1">
      <c r="A915" s="1591"/>
      <c r="B915" s="1541"/>
      <c r="C915" s="2217"/>
      <c r="D915" s="1543"/>
      <c r="E915" s="906"/>
      <c r="F915" s="541"/>
      <c r="G915" s="541"/>
      <c r="H915" s="541"/>
      <c r="I915" s="541"/>
      <c r="J915" s="1748"/>
      <c r="K915" s="541"/>
      <c r="L915" s="1748"/>
      <c r="M915" s="541"/>
      <c r="N915" s="1748"/>
      <c r="O915" s="541"/>
      <c r="P915" s="1748"/>
      <c r="Q915" s="541"/>
      <c r="R915" s="1748"/>
      <c r="S915" s="541"/>
      <c r="T915" s="1748"/>
      <c r="U915" s="541"/>
      <c r="V915" s="1748"/>
      <c r="W915" s="541"/>
      <c r="X915" s="1748"/>
      <c r="Y915" s="1748"/>
      <c r="Z915" s="1748"/>
      <c r="AA915" s="541"/>
      <c r="AB915" s="1748"/>
      <c r="AC915" s="541"/>
      <c r="AD915" s="541"/>
      <c r="AE915" s="541"/>
      <c r="AF915" s="541"/>
      <c r="AG915" s="541"/>
      <c r="AH915" s="541"/>
      <c r="AI915" s="541"/>
      <c r="AJ915" s="541"/>
      <c r="AK915" s="541"/>
      <c r="AL915" s="541"/>
      <c r="AM915" s="541"/>
      <c r="AN915" s="1748"/>
      <c r="AO915" s="1748"/>
      <c r="AP915" s="1748"/>
      <c r="AQ915" s="1748"/>
      <c r="AR915" s="1748"/>
      <c r="AS915" s="541"/>
      <c r="AT915" s="541"/>
      <c r="AU915" s="541"/>
      <c r="AV915" s="541"/>
      <c r="AW915" s="541"/>
      <c r="AX915" s="541"/>
      <c r="AY915" s="541"/>
      <c r="AZ915" s="541"/>
      <c r="BA915" s="541"/>
      <c r="BC915" s="541"/>
      <c r="BE915" s="541"/>
      <c r="BG915" s="541"/>
      <c r="BH915" s="1190"/>
      <c r="BI915" s="541"/>
      <c r="BJ915" s="1190"/>
      <c r="BK915" s="541"/>
      <c r="BL915" s="541"/>
      <c r="BM915" s="541"/>
      <c r="BO915" s="541"/>
      <c r="BP915" s="541"/>
      <c r="BQ915" s="633"/>
      <c r="BR915" s="541"/>
      <c r="BS915" s="541"/>
      <c r="BT915" s="541"/>
    </row>
    <row r="916" ht="15.75" customHeight="1">
      <c r="A916" s="1591"/>
      <c r="B916" s="1541"/>
      <c r="C916" s="2217"/>
      <c r="D916" s="1543"/>
      <c r="E916" s="906"/>
      <c r="F916" s="541"/>
      <c r="G916" s="541"/>
      <c r="H916" s="541"/>
      <c r="I916" s="541"/>
      <c r="J916" s="1748"/>
      <c r="K916" s="541"/>
      <c r="L916" s="1748"/>
      <c r="M916" s="541"/>
      <c r="N916" s="1748"/>
      <c r="O916" s="541"/>
      <c r="P916" s="1748"/>
      <c r="Q916" s="541"/>
      <c r="R916" s="1748"/>
      <c r="S916" s="541"/>
      <c r="T916" s="1748"/>
      <c r="U916" s="541"/>
      <c r="V916" s="1748"/>
      <c r="W916" s="541"/>
      <c r="X916" s="1748"/>
      <c r="Y916" s="1748"/>
      <c r="Z916" s="1748"/>
      <c r="AA916" s="541"/>
      <c r="AB916" s="1748"/>
      <c r="AC916" s="541"/>
      <c r="AD916" s="541"/>
      <c r="AE916" s="541"/>
      <c r="AF916" s="541"/>
      <c r="AG916" s="541"/>
      <c r="AH916" s="541"/>
      <c r="AI916" s="541"/>
      <c r="AJ916" s="541"/>
      <c r="AK916" s="541"/>
      <c r="AL916" s="541"/>
      <c r="AM916" s="541"/>
      <c r="AN916" s="1748"/>
      <c r="AO916" s="1748"/>
      <c r="AP916" s="1748"/>
      <c r="AQ916" s="1748"/>
      <c r="AR916" s="1748"/>
      <c r="AS916" s="541"/>
      <c r="AT916" s="541"/>
      <c r="AU916" s="541"/>
      <c r="AV916" s="541"/>
      <c r="AW916" s="541"/>
      <c r="AX916" s="541"/>
      <c r="AY916" s="541"/>
      <c r="AZ916" s="541"/>
      <c r="BA916" s="541"/>
      <c r="BC916" s="541"/>
      <c r="BE916" s="541"/>
      <c r="BG916" s="541"/>
      <c r="BH916" s="1190"/>
      <c r="BI916" s="541"/>
      <c r="BJ916" s="1190"/>
      <c r="BK916" s="541"/>
      <c r="BL916" s="541"/>
      <c r="BM916" s="541"/>
      <c r="BO916" s="541"/>
      <c r="BP916" s="541"/>
      <c r="BQ916" s="633"/>
      <c r="BR916" s="541"/>
      <c r="BS916" s="541"/>
      <c r="BT916" s="541"/>
    </row>
    <row r="917" ht="15.75" customHeight="1">
      <c r="A917" s="1591"/>
      <c r="B917" s="1541"/>
      <c r="C917" s="2217"/>
      <c r="D917" s="1543"/>
      <c r="E917" s="906"/>
      <c r="F917" s="541"/>
      <c r="G917" s="541"/>
      <c r="H917" s="541"/>
      <c r="I917" s="541"/>
      <c r="J917" s="1748"/>
      <c r="K917" s="541"/>
      <c r="L917" s="1748"/>
      <c r="M917" s="541"/>
      <c r="N917" s="1748"/>
      <c r="O917" s="541"/>
      <c r="P917" s="1748"/>
      <c r="Q917" s="541"/>
      <c r="R917" s="1748"/>
      <c r="S917" s="541"/>
      <c r="T917" s="1748"/>
      <c r="U917" s="541"/>
      <c r="V917" s="1748"/>
      <c r="W917" s="541"/>
      <c r="X917" s="1748"/>
      <c r="Y917" s="1748"/>
      <c r="Z917" s="1748"/>
      <c r="AA917" s="541"/>
      <c r="AB917" s="1748"/>
      <c r="AC917" s="541"/>
      <c r="AD917" s="541"/>
      <c r="AE917" s="541"/>
      <c r="AF917" s="541"/>
      <c r="AG917" s="541"/>
      <c r="AH917" s="541"/>
      <c r="AI917" s="541"/>
      <c r="AJ917" s="541"/>
      <c r="AK917" s="541"/>
      <c r="AL917" s="541"/>
      <c r="AM917" s="541"/>
      <c r="AN917" s="1748"/>
      <c r="AO917" s="1748"/>
      <c r="AP917" s="1748"/>
      <c r="AQ917" s="1748"/>
      <c r="AR917" s="1748"/>
      <c r="AS917" s="541"/>
      <c r="AT917" s="541"/>
      <c r="AU917" s="541"/>
      <c r="AV917" s="541"/>
      <c r="AW917" s="541"/>
      <c r="AX917" s="541"/>
      <c r="AY917" s="541"/>
      <c r="AZ917" s="541"/>
      <c r="BA917" s="541"/>
      <c r="BC917" s="541"/>
      <c r="BE917" s="541"/>
      <c r="BG917" s="541"/>
      <c r="BH917" s="1190"/>
      <c r="BI917" s="541"/>
      <c r="BJ917" s="1190"/>
      <c r="BK917" s="541"/>
      <c r="BL917" s="541"/>
      <c r="BM917" s="541"/>
      <c r="BO917" s="541"/>
      <c r="BP917" s="541"/>
      <c r="BQ917" s="633"/>
      <c r="BR917" s="541"/>
      <c r="BS917" s="541"/>
      <c r="BT917" s="541"/>
    </row>
    <row r="918" ht="15.75" customHeight="1">
      <c r="A918" s="1591"/>
      <c r="B918" s="1541"/>
      <c r="C918" s="2217"/>
      <c r="D918" s="1543"/>
      <c r="E918" s="906"/>
      <c r="F918" s="541"/>
      <c r="G918" s="541"/>
      <c r="H918" s="541"/>
      <c r="I918" s="541"/>
      <c r="J918" s="1748"/>
      <c r="K918" s="541"/>
      <c r="L918" s="1748"/>
      <c r="M918" s="541"/>
      <c r="N918" s="1748"/>
      <c r="O918" s="541"/>
      <c r="P918" s="1748"/>
      <c r="Q918" s="541"/>
      <c r="R918" s="1748"/>
      <c r="S918" s="541"/>
      <c r="T918" s="1748"/>
      <c r="U918" s="541"/>
      <c r="V918" s="1748"/>
      <c r="W918" s="541"/>
      <c r="X918" s="1748"/>
      <c r="Y918" s="1748"/>
      <c r="Z918" s="1748"/>
      <c r="AA918" s="541"/>
      <c r="AB918" s="1748"/>
      <c r="AC918" s="541"/>
      <c r="AD918" s="541"/>
      <c r="AE918" s="541"/>
      <c r="AF918" s="541"/>
      <c r="AG918" s="541"/>
      <c r="AH918" s="541"/>
      <c r="AI918" s="541"/>
      <c r="AJ918" s="541"/>
      <c r="AK918" s="541"/>
      <c r="AL918" s="541"/>
      <c r="AM918" s="541"/>
      <c r="AN918" s="1748"/>
      <c r="AO918" s="1748"/>
      <c r="AP918" s="1748"/>
      <c r="AQ918" s="1748"/>
      <c r="AR918" s="1748"/>
      <c r="AS918" s="541"/>
      <c r="AT918" s="541"/>
      <c r="AU918" s="541"/>
      <c r="AV918" s="541"/>
      <c r="AW918" s="541"/>
      <c r="AX918" s="541"/>
      <c r="AY918" s="541"/>
      <c r="AZ918" s="541"/>
      <c r="BA918" s="541"/>
      <c r="BC918" s="541"/>
      <c r="BE918" s="541"/>
      <c r="BG918" s="541"/>
      <c r="BH918" s="1190"/>
      <c r="BI918" s="541"/>
      <c r="BJ918" s="1190"/>
      <c r="BK918" s="541"/>
      <c r="BL918" s="541"/>
      <c r="BM918" s="541"/>
      <c r="BO918" s="541"/>
      <c r="BP918" s="541"/>
      <c r="BQ918" s="633"/>
      <c r="BR918" s="541"/>
      <c r="BS918" s="541"/>
      <c r="BT918" s="541"/>
    </row>
    <row r="919" ht="15.75" customHeight="1">
      <c r="A919" s="1591"/>
      <c r="B919" s="1541"/>
      <c r="C919" s="2217"/>
      <c r="D919" s="1543"/>
      <c r="E919" s="906"/>
      <c r="F919" s="541"/>
      <c r="G919" s="541"/>
      <c r="H919" s="541"/>
      <c r="I919" s="541"/>
      <c r="J919" s="1748"/>
      <c r="K919" s="541"/>
      <c r="L919" s="1748"/>
      <c r="M919" s="541"/>
      <c r="N919" s="1748"/>
      <c r="O919" s="541"/>
      <c r="P919" s="1748"/>
      <c r="Q919" s="541"/>
      <c r="R919" s="1748"/>
      <c r="S919" s="541"/>
      <c r="T919" s="1748"/>
      <c r="U919" s="541"/>
      <c r="V919" s="1748"/>
      <c r="W919" s="541"/>
      <c r="X919" s="1748"/>
      <c r="Y919" s="1748"/>
      <c r="Z919" s="1748"/>
      <c r="AA919" s="541"/>
      <c r="AB919" s="1748"/>
      <c r="AC919" s="541"/>
      <c r="AD919" s="541"/>
      <c r="AE919" s="541"/>
      <c r="AF919" s="541"/>
      <c r="AG919" s="541"/>
      <c r="AH919" s="541"/>
      <c r="AI919" s="541"/>
      <c r="AJ919" s="541"/>
      <c r="AK919" s="541"/>
      <c r="AL919" s="541"/>
      <c r="AM919" s="541"/>
      <c r="AN919" s="1748"/>
      <c r="AO919" s="1748"/>
      <c r="AP919" s="1748"/>
      <c r="AQ919" s="1748"/>
      <c r="AR919" s="1748"/>
      <c r="AS919" s="541"/>
      <c r="AT919" s="541"/>
      <c r="AU919" s="541"/>
      <c r="AV919" s="541"/>
      <c r="AW919" s="541"/>
      <c r="AX919" s="541"/>
      <c r="AY919" s="541"/>
      <c r="AZ919" s="541"/>
      <c r="BA919" s="541"/>
      <c r="BC919" s="541"/>
      <c r="BE919" s="541"/>
      <c r="BG919" s="541"/>
      <c r="BH919" s="1190"/>
      <c r="BI919" s="541"/>
      <c r="BJ919" s="1190"/>
      <c r="BK919" s="541"/>
      <c r="BL919" s="541"/>
      <c r="BM919" s="541"/>
      <c r="BO919" s="541"/>
      <c r="BP919" s="541"/>
      <c r="BQ919" s="633"/>
      <c r="BR919" s="541"/>
      <c r="BS919" s="541"/>
      <c r="BT919" s="541"/>
    </row>
    <row r="920" ht="15.75" customHeight="1">
      <c r="A920" s="1591"/>
      <c r="B920" s="1541"/>
      <c r="C920" s="2217"/>
      <c r="D920" s="1543"/>
      <c r="E920" s="906"/>
      <c r="F920" s="541"/>
      <c r="G920" s="541"/>
      <c r="H920" s="541"/>
      <c r="I920" s="541"/>
      <c r="J920" s="1748"/>
      <c r="K920" s="541"/>
      <c r="L920" s="1748"/>
      <c r="M920" s="541"/>
      <c r="N920" s="1748"/>
      <c r="O920" s="541"/>
      <c r="P920" s="1748"/>
      <c r="Q920" s="541"/>
      <c r="R920" s="1748"/>
      <c r="S920" s="541"/>
      <c r="T920" s="1748"/>
      <c r="U920" s="541"/>
      <c r="V920" s="1748"/>
      <c r="W920" s="541"/>
      <c r="X920" s="1748"/>
      <c r="Y920" s="1748"/>
      <c r="Z920" s="1748"/>
      <c r="AA920" s="541"/>
      <c r="AB920" s="1748"/>
      <c r="AC920" s="541"/>
      <c r="AD920" s="541"/>
      <c r="AE920" s="541"/>
      <c r="AF920" s="541"/>
      <c r="AG920" s="541"/>
      <c r="AH920" s="541"/>
      <c r="AI920" s="541"/>
      <c r="AJ920" s="541"/>
      <c r="AK920" s="541"/>
      <c r="AL920" s="541"/>
      <c r="AM920" s="541"/>
      <c r="AN920" s="1748"/>
      <c r="AO920" s="1748"/>
      <c r="AP920" s="1748"/>
      <c r="AQ920" s="1748"/>
      <c r="AR920" s="1748"/>
      <c r="AS920" s="541"/>
      <c r="AT920" s="541"/>
      <c r="AU920" s="541"/>
      <c r="AV920" s="541"/>
      <c r="AW920" s="541"/>
      <c r="AX920" s="541"/>
      <c r="AY920" s="541"/>
      <c r="AZ920" s="541"/>
      <c r="BA920" s="541"/>
      <c r="BC920" s="541"/>
      <c r="BE920" s="541"/>
      <c r="BG920" s="541"/>
      <c r="BH920" s="1190"/>
      <c r="BI920" s="541"/>
      <c r="BJ920" s="1190"/>
      <c r="BK920" s="541"/>
      <c r="BL920" s="541"/>
      <c r="BM920" s="541"/>
      <c r="BO920" s="541"/>
      <c r="BP920" s="541"/>
      <c r="BQ920" s="633"/>
      <c r="BR920" s="541"/>
      <c r="BS920" s="541"/>
      <c r="BT920" s="541"/>
    </row>
    <row r="921" ht="15.75" customHeight="1">
      <c r="A921" s="1591"/>
      <c r="B921" s="1541"/>
      <c r="C921" s="2217"/>
      <c r="D921" s="1543"/>
      <c r="E921" s="906"/>
      <c r="F921" s="541"/>
      <c r="G921" s="541"/>
      <c r="H921" s="541"/>
      <c r="I921" s="541"/>
      <c r="J921" s="1748"/>
      <c r="K921" s="541"/>
      <c r="L921" s="1748"/>
      <c r="M921" s="541"/>
      <c r="N921" s="1748"/>
      <c r="O921" s="541"/>
      <c r="P921" s="1748"/>
      <c r="Q921" s="541"/>
      <c r="R921" s="1748"/>
      <c r="S921" s="541"/>
      <c r="T921" s="1748"/>
      <c r="U921" s="541"/>
      <c r="V921" s="1748"/>
      <c r="W921" s="541"/>
      <c r="X921" s="1748"/>
      <c r="Y921" s="1748"/>
      <c r="Z921" s="1748"/>
      <c r="AA921" s="541"/>
      <c r="AB921" s="1748"/>
      <c r="AC921" s="541"/>
      <c r="AD921" s="541"/>
      <c r="AE921" s="541"/>
      <c r="AF921" s="541"/>
      <c r="AG921" s="541"/>
      <c r="AH921" s="541"/>
      <c r="AI921" s="541"/>
      <c r="AJ921" s="541"/>
      <c r="AK921" s="541"/>
      <c r="AL921" s="541"/>
      <c r="AM921" s="541"/>
      <c r="AN921" s="1748"/>
      <c r="AO921" s="1748"/>
      <c r="AP921" s="1748"/>
      <c r="AQ921" s="1748"/>
      <c r="AR921" s="1748"/>
      <c r="AS921" s="541"/>
      <c r="AT921" s="541"/>
      <c r="AU921" s="541"/>
      <c r="AV921" s="541"/>
      <c r="AW921" s="541"/>
      <c r="AX921" s="541"/>
      <c r="AY921" s="541"/>
      <c r="AZ921" s="541"/>
      <c r="BA921" s="541"/>
      <c r="BC921" s="541"/>
      <c r="BE921" s="541"/>
      <c r="BG921" s="541"/>
      <c r="BH921" s="1190"/>
      <c r="BI921" s="541"/>
      <c r="BJ921" s="1190"/>
      <c r="BK921" s="541"/>
      <c r="BL921" s="541"/>
      <c r="BM921" s="541"/>
      <c r="BO921" s="541"/>
      <c r="BP921" s="541"/>
      <c r="BQ921" s="633"/>
      <c r="BR921" s="541"/>
      <c r="BS921" s="541"/>
      <c r="BT921" s="541"/>
    </row>
    <row r="922" ht="15.75" customHeight="1">
      <c r="A922" s="1591"/>
      <c r="B922" s="1541"/>
      <c r="C922" s="2217"/>
      <c r="D922" s="1543"/>
      <c r="E922" s="906"/>
      <c r="F922" s="541"/>
      <c r="G922" s="541"/>
      <c r="H922" s="541"/>
      <c r="I922" s="541"/>
      <c r="J922" s="1748"/>
      <c r="K922" s="541"/>
      <c r="L922" s="1748"/>
      <c r="M922" s="541"/>
      <c r="N922" s="1748"/>
      <c r="O922" s="541"/>
      <c r="P922" s="1748"/>
      <c r="Q922" s="541"/>
      <c r="R922" s="1748"/>
      <c r="S922" s="541"/>
      <c r="T922" s="1748"/>
      <c r="U922" s="541"/>
      <c r="V922" s="1748"/>
      <c r="W922" s="541"/>
      <c r="X922" s="1748"/>
      <c r="Y922" s="1748"/>
      <c r="Z922" s="1748"/>
      <c r="AA922" s="541"/>
      <c r="AB922" s="1748"/>
      <c r="AC922" s="541"/>
      <c r="AD922" s="541"/>
      <c r="AE922" s="541"/>
      <c r="AF922" s="541"/>
      <c r="AG922" s="541"/>
      <c r="AH922" s="541"/>
      <c r="AI922" s="541"/>
      <c r="AJ922" s="541"/>
      <c r="AK922" s="541"/>
      <c r="AL922" s="541"/>
      <c r="AM922" s="541"/>
      <c r="AN922" s="1748"/>
      <c r="AO922" s="1748"/>
      <c r="AP922" s="1748"/>
      <c r="AQ922" s="1748"/>
      <c r="AR922" s="1748"/>
      <c r="AS922" s="541"/>
      <c r="AT922" s="541"/>
      <c r="AU922" s="541"/>
      <c r="AV922" s="541"/>
      <c r="AW922" s="541"/>
      <c r="AX922" s="541"/>
      <c r="AY922" s="541"/>
      <c r="AZ922" s="541"/>
      <c r="BA922" s="541"/>
      <c r="BC922" s="541"/>
      <c r="BE922" s="541"/>
      <c r="BG922" s="541"/>
      <c r="BH922" s="1190"/>
      <c r="BI922" s="541"/>
      <c r="BJ922" s="1190"/>
      <c r="BK922" s="541"/>
      <c r="BL922" s="541"/>
      <c r="BM922" s="541"/>
      <c r="BO922" s="541"/>
      <c r="BP922" s="541"/>
      <c r="BQ922" s="633"/>
      <c r="BR922" s="541"/>
      <c r="BS922" s="541"/>
      <c r="BT922" s="541"/>
    </row>
    <row r="923" ht="15.75" customHeight="1">
      <c r="A923" s="1591"/>
      <c r="B923" s="1541"/>
      <c r="C923" s="2217"/>
      <c r="D923" s="1543"/>
      <c r="E923" s="906"/>
      <c r="F923" s="541"/>
      <c r="G923" s="541"/>
      <c r="H923" s="541"/>
      <c r="I923" s="541"/>
      <c r="J923" s="1748"/>
      <c r="K923" s="541"/>
      <c r="L923" s="1748"/>
      <c r="M923" s="541"/>
      <c r="N923" s="1748"/>
      <c r="O923" s="541"/>
      <c r="P923" s="1748"/>
      <c r="Q923" s="541"/>
      <c r="R923" s="1748"/>
      <c r="S923" s="541"/>
      <c r="T923" s="1748"/>
      <c r="U923" s="541"/>
      <c r="V923" s="1748"/>
      <c r="W923" s="541"/>
      <c r="X923" s="1748"/>
      <c r="Y923" s="1748"/>
      <c r="Z923" s="1748"/>
      <c r="AA923" s="541"/>
      <c r="AB923" s="1748"/>
      <c r="AC923" s="541"/>
      <c r="AD923" s="541"/>
      <c r="AE923" s="541"/>
      <c r="AF923" s="541"/>
      <c r="AG923" s="541"/>
      <c r="AH923" s="541"/>
      <c r="AI923" s="541"/>
      <c r="AJ923" s="541"/>
      <c r="AK923" s="541"/>
      <c r="AL923" s="541"/>
      <c r="AM923" s="541"/>
      <c r="AN923" s="1748"/>
      <c r="AO923" s="1748"/>
      <c r="AP923" s="1748"/>
      <c r="AQ923" s="1748"/>
      <c r="AR923" s="1748"/>
      <c r="AS923" s="541"/>
      <c r="AT923" s="541"/>
      <c r="AU923" s="541"/>
      <c r="AV923" s="541"/>
      <c r="AW923" s="541"/>
      <c r="AX923" s="541"/>
      <c r="AY923" s="541"/>
      <c r="AZ923" s="541"/>
      <c r="BA923" s="541"/>
      <c r="BC923" s="541"/>
      <c r="BE923" s="541"/>
      <c r="BG923" s="541"/>
      <c r="BH923" s="1190"/>
      <c r="BI923" s="541"/>
      <c r="BJ923" s="1190"/>
      <c r="BK923" s="541"/>
      <c r="BL923" s="541"/>
      <c r="BM923" s="541"/>
      <c r="BO923" s="541"/>
      <c r="BP923" s="541"/>
      <c r="BQ923" s="633"/>
      <c r="BR923" s="541"/>
      <c r="BS923" s="541"/>
      <c r="BT923" s="541"/>
    </row>
    <row r="924" ht="15.75" customHeight="1">
      <c r="A924" s="1591"/>
      <c r="B924" s="1541"/>
      <c r="C924" s="2217"/>
      <c r="D924" s="1543"/>
      <c r="E924" s="906"/>
      <c r="F924" s="541"/>
      <c r="G924" s="541"/>
      <c r="H924" s="541"/>
      <c r="I924" s="541"/>
      <c r="J924" s="1748"/>
      <c r="K924" s="541"/>
      <c r="L924" s="1748"/>
      <c r="M924" s="541"/>
      <c r="N924" s="1748"/>
      <c r="O924" s="541"/>
      <c r="P924" s="1748"/>
      <c r="Q924" s="541"/>
      <c r="R924" s="1748"/>
      <c r="S924" s="541"/>
      <c r="T924" s="1748"/>
      <c r="U924" s="541"/>
      <c r="V924" s="1748"/>
      <c r="W924" s="541"/>
      <c r="X924" s="1748"/>
      <c r="Y924" s="1748"/>
      <c r="Z924" s="1748"/>
      <c r="AA924" s="541"/>
      <c r="AB924" s="1748"/>
      <c r="AC924" s="541"/>
      <c r="AD924" s="541"/>
      <c r="AE924" s="541"/>
      <c r="AF924" s="541"/>
      <c r="AG924" s="541"/>
      <c r="AH924" s="541"/>
      <c r="AI924" s="541"/>
      <c r="AJ924" s="541"/>
      <c r="AK924" s="541"/>
      <c r="AL924" s="541"/>
      <c r="AM924" s="541"/>
      <c r="AN924" s="1748"/>
      <c r="AO924" s="1748"/>
      <c r="AP924" s="1748"/>
      <c r="AQ924" s="1748"/>
      <c r="AR924" s="1748"/>
      <c r="AS924" s="541"/>
      <c r="AT924" s="541"/>
      <c r="AU924" s="541"/>
      <c r="AV924" s="541"/>
      <c r="AW924" s="541"/>
      <c r="AX924" s="541"/>
      <c r="AY924" s="541"/>
      <c r="AZ924" s="541"/>
      <c r="BA924" s="541"/>
      <c r="BC924" s="541"/>
      <c r="BE924" s="541"/>
      <c r="BG924" s="541"/>
      <c r="BH924" s="1190"/>
      <c r="BI924" s="541"/>
      <c r="BJ924" s="1190"/>
      <c r="BK924" s="541"/>
      <c r="BL924" s="541"/>
      <c r="BM924" s="541"/>
      <c r="BO924" s="541"/>
      <c r="BP924" s="541"/>
      <c r="BQ924" s="633"/>
      <c r="BR924" s="541"/>
      <c r="BS924" s="541"/>
      <c r="BT924" s="541"/>
    </row>
    <row r="925" ht="15.75" customHeight="1">
      <c r="A925" s="1591"/>
      <c r="B925" s="1541"/>
      <c r="C925" s="2217"/>
      <c r="D925" s="1543"/>
      <c r="E925" s="906"/>
      <c r="F925" s="541"/>
      <c r="G925" s="541"/>
      <c r="H925" s="541"/>
      <c r="I925" s="541"/>
      <c r="J925" s="1748"/>
      <c r="K925" s="541"/>
      <c r="L925" s="1748"/>
      <c r="M925" s="541"/>
      <c r="N925" s="1748"/>
      <c r="O925" s="541"/>
      <c r="P925" s="1748"/>
      <c r="Q925" s="541"/>
      <c r="R925" s="1748"/>
      <c r="S925" s="541"/>
      <c r="T925" s="1748"/>
      <c r="U925" s="541"/>
      <c r="V925" s="1748"/>
      <c r="W925" s="541"/>
      <c r="X925" s="1748"/>
      <c r="Y925" s="1748"/>
      <c r="Z925" s="1748"/>
      <c r="AA925" s="541"/>
      <c r="AB925" s="1748"/>
      <c r="AC925" s="541"/>
      <c r="AD925" s="541"/>
      <c r="AE925" s="541"/>
      <c r="AF925" s="541"/>
      <c r="AG925" s="541"/>
      <c r="AH925" s="541"/>
      <c r="AI925" s="541"/>
      <c r="AJ925" s="541"/>
      <c r="AK925" s="541"/>
      <c r="AL925" s="541"/>
      <c r="AM925" s="541"/>
      <c r="AN925" s="1748"/>
      <c r="AO925" s="1748"/>
      <c r="AP925" s="1748"/>
      <c r="AQ925" s="1748"/>
      <c r="AR925" s="1748"/>
      <c r="AS925" s="541"/>
      <c r="AT925" s="541"/>
      <c r="AU925" s="541"/>
      <c r="AV925" s="541"/>
      <c r="AW925" s="541"/>
      <c r="AX925" s="541"/>
      <c r="AY925" s="541"/>
      <c r="AZ925" s="541"/>
      <c r="BA925" s="541"/>
      <c r="BC925" s="541"/>
      <c r="BE925" s="541"/>
      <c r="BG925" s="541"/>
      <c r="BH925" s="1190"/>
      <c r="BI925" s="541"/>
      <c r="BJ925" s="1190"/>
      <c r="BK925" s="541"/>
      <c r="BL925" s="541"/>
      <c r="BM925" s="541"/>
      <c r="BO925" s="541"/>
      <c r="BP925" s="541"/>
      <c r="BQ925" s="633"/>
      <c r="BR925" s="541"/>
      <c r="BS925" s="541"/>
      <c r="BT925" s="541"/>
    </row>
    <row r="926" ht="15.75" customHeight="1">
      <c r="A926" s="1591"/>
      <c r="B926" s="1541"/>
      <c r="C926" s="2217"/>
      <c r="D926" s="1543"/>
      <c r="E926" s="906"/>
      <c r="F926" s="541"/>
      <c r="G926" s="541"/>
      <c r="H926" s="541"/>
      <c r="I926" s="541"/>
      <c r="J926" s="1748"/>
      <c r="K926" s="541"/>
      <c r="L926" s="1748"/>
      <c r="M926" s="541"/>
      <c r="N926" s="1748"/>
      <c r="O926" s="541"/>
      <c r="P926" s="1748"/>
      <c r="Q926" s="541"/>
      <c r="R926" s="1748"/>
      <c r="S926" s="541"/>
      <c r="T926" s="1748"/>
      <c r="U926" s="541"/>
      <c r="V926" s="1748"/>
      <c r="W926" s="541"/>
      <c r="X926" s="1748"/>
      <c r="Y926" s="1748"/>
      <c r="Z926" s="1748"/>
      <c r="AA926" s="541"/>
      <c r="AB926" s="1748"/>
      <c r="AC926" s="541"/>
      <c r="AD926" s="541"/>
      <c r="AE926" s="541"/>
      <c r="AF926" s="541"/>
      <c r="AG926" s="541"/>
      <c r="AH926" s="541"/>
      <c r="AI926" s="541"/>
      <c r="AJ926" s="541"/>
      <c r="AK926" s="541"/>
      <c r="AL926" s="541"/>
      <c r="AM926" s="541"/>
      <c r="AN926" s="1748"/>
      <c r="AO926" s="1748"/>
      <c r="AP926" s="1748"/>
      <c r="AQ926" s="1748"/>
      <c r="AR926" s="1748"/>
      <c r="AS926" s="541"/>
      <c r="AT926" s="541"/>
      <c r="AU926" s="541"/>
      <c r="AV926" s="541"/>
      <c r="AW926" s="541"/>
      <c r="AX926" s="541"/>
      <c r="AY926" s="541"/>
      <c r="AZ926" s="541"/>
      <c r="BA926" s="541"/>
      <c r="BC926" s="541"/>
      <c r="BE926" s="541"/>
      <c r="BG926" s="541"/>
      <c r="BH926" s="1190"/>
      <c r="BI926" s="541"/>
      <c r="BJ926" s="1190"/>
      <c r="BK926" s="541"/>
      <c r="BL926" s="541"/>
      <c r="BM926" s="541"/>
      <c r="BO926" s="541"/>
      <c r="BP926" s="541"/>
      <c r="BQ926" s="633"/>
      <c r="BR926" s="541"/>
      <c r="BS926" s="541"/>
      <c r="BT926" s="541"/>
    </row>
    <row r="927" ht="15.75" customHeight="1">
      <c r="A927" s="1591"/>
      <c r="B927" s="1541"/>
      <c r="C927" s="2217"/>
      <c r="D927" s="1543"/>
      <c r="E927" s="906"/>
      <c r="F927" s="541"/>
      <c r="G927" s="541"/>
      <c r="H927" s="541"/>
      <c r="I927" s="541"/>
      <c r="J927" s="1748"/>
      <c r="K927" s="541"/>
      <c r="L927" s="1748"/>
      <c r="M927" s="541"/>
      <c r="N927" s="1748"/>
      <c r="O927" s="541"/>
      <c r="P927" s="1748"/>
      <c r="Q927" s="541"/>
      <c r="R927" s="1748"/>
      <c r="S927" s="541"/>
      <c r="T927" s="1748"/>
      <c r="U927" s="541"/>
      <c r="V927" s="1748"/>
      <c r="W927" s="541"/>
      <c r="X927" s="1748"/>
      <c r="Y927" s="1748"/>
      <c r="Z927" s="1748"/>
      <c r="AA927" s="541"/>
      <c r="AB927" s="1748"/>
      <c r="AC927" s="541"/>
      <c r="AD927" s="541"/>
      <c r="AE927" s="541"/>
      <c r="AF927" s="541"/>
      <c r="AG927" s="541"/>
      <c r="AH927" s="541"/>
      <c r="AI927" s="541"/>
      <c r="AJ927" s="541"/>
      <c r="AK927" s="541"/>
      <c r="AL927" s="541"/>
      <c r="AM927" s="541"/>
      <c r="AN927" s="1748"/>
      <c r="AO927" s="1748"/>
      <c r="AP927" s="1748"/>
      <c r="AQ927" s="1748"/>
      <c r="AR927" s="1748"/>
      <c r="AS927" s="541"/>
      <c r="AT927" s="541"/>
      <c r="AU927" s="541"/>
      <c r="AV927" s="541"/>
      <c r="AW927" s="541"/>
      <c r="AX927" s="541"/>
      <c r="AY927" s="541"/>
      <c r="AZ927" s="541"/>
      <c r="BA927" s="541"/>
      <c r="BC927" s="541"/>
      <c r="BE927" s="541"/>
      <c r="BG927" s="541"/>
      <c r="BH927" s="1190"/>
      <c r="BI927" s="541"/>
      <c r="BJ927" s="1190"/>
      <c r="BK927" s="541"/>
      <c r="BL927" s="541"/>
      <c r="BM927" s="541"/>
      <c r="BO927" s="541"/>
      <c r="BP927" s="541"/>
      <c r="BQ927" s="633"/>
      <c r="BR927" s="541"/>
      <c r="BS927" s="541"/>
      <c r="BT927" s="541"/>
    </row>
    <row r="928" ht="15.75" customHeight="1">
      <c r="A928" s="1591"/>
      <c r="B928" s="1541"/>
      <c r="C928" s="2217"/>
      <c r="D928" s="1543"/>
      <c r="E928" s="906"/>
      <c r="F928" s="541"/>
      <c r="G928" s="541"/>
      <c r="H928" s="541"/>
      <c r="I928" s="541"/>
      <c r="J928" s="1748"/>
      <c r="K928" s="541"/>
      <c r="L928" s="1748"/>
      <c r="M928" s="541"/>
      <c r="N928" s="1748"/>
      <c r="O928" s="541"/>
      <c r="P928" s="1748"/>
      <c r="Q928" s="541"/>
      <c r="R928" s="1748"/>
      <c r="S928" s="541"/>
      <c r="T928" s="1748"/>
      <c r="U928" s="541"/>
      <c r="V928" s="1748"/>
      <c r="W928" s="541"/>
      <c r="X928" s="1748"/>
      <c r="Y928" s="1748"/>
      <c r="Z928" s="1748"/>
      <c r="AA928" s="541"/>
      <c r="AB928" s="1748"/>
      <c r="AC928" s="541"/>
      <c r="AD928" s="541"/>
      <c r="AE928" s="541"/>
      <c r="AF928" s="541"/>
      <c r="AG928" s="541"/>
      <c r="AH928" s="541"/>
      <c r="AI928" s="541"/>
      <c r="AJ928" s="541"/>
      <c r="AK928" s="541"/>
      <c r="AL928" s="541"/>
      <c r="AM928" s="541"/>
      <c r="AN928" s="1748"/>
      <c r="AO928" s="1748"/>
      <c r="AP928" s="1748"/>
      <c r="AQ928" s="1748"/>
      <c r="AR928" s="1748"/>
      <c r="AS928" s="541"/>
      <c r="AT928" s="541"/>
      <c r="AU928" s="541"/>
      <c r="AV928" s="541"/>
      <c r="AW928" s="541"/>
      <c r="AX928" s="541"/>
      <c r="AY928" s="541"/>
      <c r="AZ928" s="541"/>
      <c r="BA928" s="541"/>
      <c r="BC928" s="541"/>
      <c r="BE928" s="541"/>
      <c r="BG928" s="541"/>
      <c r="BH928" s="1190"/>
      <c r="BI928" s="541"/>
      <c r="BJ928" s="1190"/>
      <c r="BK928" s="541"/>
      <c r="BL928" s="541"/>
      <c r="BM928" s="541"/>
      <c r="BO928" s="541"/>
      <c r="BP928" s="541"/>
      <c r="BQ928" s="633"/>
      <c r="BR928" s="541"/>
      <c r="BS928" s="541"/>
      <c r="BT928" s="541"/>
    </row>
    <row r="929" ht="15.75" customHeight="1">
      <c r="A929" s="1591"/>
      <c r="B929" s="1541"/>
      <c r="C929" s="2217"/>
      <c r="D929" s="1543"/>
      <c r="E929" s="906"/>
      <c r="F929" s="541"/>
      <c r="G929" s="541"/>
      <c r="H929" s="541"/>
      <c r="I929" s="541"/>
      <c r="J929" s="1748"/>
      <c r="K929" s="541"/>
      <c r="L929" s="1748"/>
      <c r="M929" s="541"/>
      <c r="N929" s="1748"/>
      <c r="O929" s="541"/>
      <c r="P929" s="1748"/>
      <c r="Q929" s="541"/>
      <c r="R929" s="1748"/>
      <c r="S929" s="541"/>
      <c r="T929" s="1748"/>
      <c r="U929" s="541"/>
      <c r="V929" s="1748"/>
      <c r="W929" s="541"/>
      <c r="X929" s="1748"/>
      <c r="Y929" s="1748"/>
      <c r="Z929" s="1748"/>
      <c r="AA929" s="541"/>
      <c r="AB929" s="1748"/>
      <c r="AC929" s="541"/>
      <c r="AD929" s="541"/>
      <c r="AE929" s="541"/>
      <c r="AF929" s="541"/>
      <c r="AG929" s="541"/>
      <c r="AH929" s="541"/>
      <c r="AI929" s="541"/>
      <c r="AJ929" s="541"/>
      <c r="AK929" s="541"/>
      <c r="AL929" s="541"/>
      <c r="AM929" s="541"/>
      <c r="AN929" s="1748"/>
      <c r="AO929" s="1748"/>
      <c r="AP929" s="1748"/>
      <c r="AQ929" s="1748"/>
      <c r="AR929" s="1748"/>
      <c r="AS929" s="541"/>
      <c r="AT929" s="541"/>
      <c r="AU929" s="541"/>
      <c r="AV929" s="541"/>
      <c r="AW929" s="541"/>
      <c r="AX929" s="541"/>
      <c r="AY929" s="541"/>
      <c r="AZ929" s="541"/>
      <c r="BA929" s="541"/>
      <c r="BC929" s="541"/>
      <c r="BE929" s="541"/>
      <c r="BG929" s="541"/>
      <c r="BH929" s="1190"/>
      <c r="BI929" s="541"/>
      <c r="BJ929" s="1190"/>
      <c r="BK929" s="541"/>
      <c r="BL929" s="541"/>
      <c r="BM929" s="541"/>
      <c r="BO929" s="541"/>
      <c r="BP929" s="541"/>
      <c r="BQ929" s="633"/>
      <c r="BR929" s="541"/>
      <c r="BS929" s="541"/>
      <c r="BT929" s="541"/>
    </row>
    <row r="930" ht="15.75" customHeight="1">
      <c r="A930" s="1591"/>
      <c r="B930" s="1541"/>
      <c r="C930" s="2217"/>
      <c r="D930" s="1543"/>
      <c r="E930" s="906"/>
      <c r="F930" s="541"/>
      <c r="G930" s="541"/>
      <c r="H930" s="541"/>
      <c r="I930" s="541"/>
      <c r="J930" s="1748"/>
      <c r="K930" s="541"/>
      <c r="L930" s="1748"/>
      <c r="M930" s="541"/>
      <c r="N930" s="1748"/>
      <c r="O930" s="541"/>
      <c r="P930" s="1748"/>
      <c r="Q930" s="541"/>
      <c r="R930" s="1748"/>
      <c r="S930" s="541"/>
      <c r="T930" s="1748"/>
      <c r="U930" s="541"/>
      <c r="V930" s="1748"/>
      <c r="W930" s="541"/>
      <c r="X930" s="1748"/>
      <c r="Y930" s="1748"/>
      <c r="Z930" s="1748"/>
      <c r="AA930" s="541"/>
      <c r="AB930" s="1748"/>
      <c r="AC930" s="541"/>
      <c r="AD930" s="541"/>
      <c r="AE930" s="541"/>
      <c r="AF930" s="541"/>
      <c r="AG930" s="541"/>
      <c r="AH930" s="541"/>
      <c r="AI930" s="541"/>
      <c r="AJ930" s="541"/>
      <c r="AK930" s="541"/>
      <c r="AL930" s="541"/>
      <c r="AM930" s="541"/>
      <c r="AN930" s="1748"/>
      <c r="AO930" s="1748"/>
      <c r="AP930" s="1748"/>
      <c r="AQ930" s="1748"/>
      <c r="AR930" s="1748"/>
      <c r="AS930" s="541"/>
      <c r="AT930" s="541"/>
      <c r="AU930" s="541"/>
      <c r="AV930" s="541"/>
      <c r="AW930" s="541"/>
      <c r="AX930" s="541"/>
      <c r="AY930" s="541"/>
      <c r="AZ930" s="541"/>
      <c r="BA930" s="541"/>
      <c r="BC930" s="541"/>
      <c r="BE930" s="541"/>
      <c r="BG930" s="541"/>
      <c r="BH930" s="1190"/>
      <c r="BI930" s="541"/>
      <c r="BJ930" s="1190"/>
      <c r="BK930" s="541"/>
      <c r="BL930" s="541"/>
      <c r="BM930" s="541"/>
      <c r="BO930" s="541"/>
      <c r="BP930" s="541"/>
      <c r="BQ930" s="633"/>
      <c r="BR930" s="541"/>
      <c r="BS930" s="541"/>
      <c r="BT930" s="541"/>
    </row>
    <row r="931" ht="15.75" customHeight="1">
      <c r="A931" s="1591"/>
      <c r="B931" s="1541"/>
      <c r="C931" s="2217"/>
      <c r="D931" s="1543"/>
      <c r="E931" s="906"/>
      <c r="F931" s="541"/>
      <c r="G931" s="541"/>
      <c r="H931" s="541"/>
      <c r="I931" s="541"/>
      <c r="J931" s="1748"/>
      <c r="K931" s="541"/>
      <c r="L931" s="1748"/>
      <c r="M931" s="541"/>
      <c r="N931" s="1748"/>
      <c r="O931" s="541"/>
      <c r="P931" s="1748"/>
      <c r="Q931" s="541"/>
      <c r="R931" s="1748"/>
      <c r="S931" s="541"/>
      <c r="T931" s="1748"/>
      <c r="U931" s="541"/>
      <c r="V931" s="1748"/>
      <c r="W931" s="541"/>
      <c r="X931" s="1748"/>
      <c r="Y931" s="1748"/>
      <c r="Z931" s="1748"/>
      <c r="AA931" s="541"/>
      <c r="AB931" s="1748"/>
      <c r="AC931" s="541"/>
      <c r="AD931" s="541"/>
      <c r="AE931" s="541"/>
      <c r="AF931" s="541"/>
      <c r="AG931" s="541"/>
      <c r="AH931" s="541"/>
      <c r="AI931" s="541"/>
      <c r="AJ931" s="541"/>
      <c r="AK931" s="541"/>
      <c r="AL931" s="541"/>
      <c r="AM931" s="541"/>
      <c r="AN931" s="1748"/>
      <c r="AO931" s="1748"/>
      <c r="AP931" s="1748"/>
      <c r="AQ931" s="1748"/>
      <c r="AR931" s="1748"/>
      <c r="AS931" s="541"/>
      <c r="AT931" s="541"/>
      <c r="AU931" s="541"/>
      <c r="AV931" s="541"/>
      <c r="AW931" s="541"/>
      <c r="AX931" s="541"/>
      <c r="AY931" s="541"/>
      <c r="AZ931" s="541"/>
      <c r="BA931" s="541"/>
      <c r="BC931" s="541"/>
      <c r="BE931" s="541"/>
      <c r="BG931" s="541"/>
      <c r="BH931" s="1190"/>
      <c r="BI931" s="541"/>
      <c r="BJ931" s="1190"/>
      <c r="BK931" s="541"/>
      <c r="BL931" s="541"/>
      <c r="BM931" s="541"/>
      <c r="BO931" s="541"/>
      <c r="BP931" s="541"/>
      <c r="BQ931" s="633"/>
      <c r="BR931" s="541"/>
      <c r="BS931" s="541"/>
      <c r="BT931" s="541"/>
    </row>
    <row r="932" ht="15.75" customHeight="1">
      <c r="A932" s="1591"/>
      <c r="B932" s="1541"/>
      <c r="C932" s="2217"/>
      <c r="D932" s="1543"/>
      <c r="E932" s="906"/>
      <c r="F932" s="541"/>
      <c r="G932" s="541"/>
      <c r="H932" s="541"/>
      <c r="I932" s="541"/>
      <c r="J932" s="1748"/>
      <c r="K932" s="541"/>
      <c r="L932" s="1748"/>
      <c r="M932" s="541"/>
      <c r="N932" s="1748"/>
      <c r="O932" s="541"/>
      <c r="P932" s="1748"/>
      <c r="Q932" s="541"/>
      <c r="R932" s="1748"/>
      <c r="S932" s="541"/>
      <c r="T932" s="1748"/>
      <c r="U932" s="541"/>
      <c r="V932" s="1748"/>
      <c r="W932" s="541"/>
      <c r="X932" s="1748"/>
      <c r="Y932" s="1748"/>
      <c r="Z932" s="1748"/>
      <c r="AA932" s="541"/>
      <c r="AB932" s="1748"/>
      <c r="AC932" s="541"/>
      <c r="AD932" s="541"/>
      <c r="AE932" s="541"/>
      <c r="AF932" s="541"/>
      <c r="AG932" s="541"/>
      <c r="AH932" s="541"/>
      <c r="AI932" s="541"/>
      <c r="AJ932" s="541"/>
      <c r="AK932" s="541"/>
      <c r="AL932" s="541"/>
      <c r="AM932" s="541"/>
      <c r="AN932" s="1748"/>
      <c r="AO932" s="1748"/>
      <c r="AP932" s="1748"/>
      <c r="AQ932" s="1748"/>
      <c r="AR932" s="1748"/>
      <c r="AS932" s="541"/>
      <c r="AT932" s="541"/>
      <c r="AU932" s="541"/>
      <c r="AV932" s="541"/>
      <c r="AW932" s="541"/>
      <c r="AX932" s="541"/>
      <c r="AY932" s="541"/>
      <c r="AZ932" s="541"/>
      <c r="BA932" s="541"/>
      <c r="BC932" s="541"/>
      <c r="BE932" s="541"/>
      <c r="BG932" s="541"/>
      <c r="BH932" s="1190"/>
      <c r="BI932" s="541"/>
      <c r="BJ932" s="1190"/>
      <c r="BK932" s="541"/>
      <c r="BL932" s="541"/>
      <c r="BM932" s="541"/>
      <c r="BO932" s="541"/>
      <c r="BP932" s="541"/>
      <c r="BQ932" s="633"/>
      <c r="BR932" s="541"/>
      <c r="BS932" s="541"/>
      <c r="BT932" s="541"/>
    </row>
    <row r="933" ht="15.75" customHeight="1">
      <c r="A933" s="1591"/>
      <c r="B933" s="1541"/>
      <c r="C933" s="2217"/>
      <c r="D933" s="1543"/>
      <c r="E933" s="906"/>
      <c r="F933" s="541"/>
      <c r="G933" s="541"/>
      <c r="H933" s="541"/>
      <c r="I933" s="541"/>
      <c r="J933" s="1748"/>
      <c r="K933" s="541"/>
      <c r="L933" s="1748"/>
      <c r="M933" s="541"/>
      <c r="N933" s="1748"/>
      <c r="O933" s="541"/>
      <c r="P933" s="1748"/>
      <c r="Q933" s="541"/>
      <c r="R933" s="1748"/>
      <c r="S933" s="541"/>
      <c r="T933" s="1748"/>
      <c r="U933" s="541"/>
      <c r="V933" s="1748"/>
      <c r="W933" s="541"/>
      <c r="X933" s="1748"/>
      <c r="Y933" s="1748"/>
      <c r="Z933" s="1748"/>
      <c r="AA933" s="541"/>
      <c r="AB933" s="1748"/>
      <c r="AC933" s="541"/>
      <c r="AD933" s="541"/>
      <c r="AE933" s="541"/>
      <c r="AF933" s="541"/>
      <c r="AG933" s="541"/>
      <c r="AH933" s="541"/>
      <c r="AI933" s="541"/>
      <c r="AJ933" s="541"/>
      <c r="AK933" s="541"/>
      <c r="AL933" s="541"/>
      <c r="AM933" s="541"/>
      <c r="AN933" s="1748"/>
      <c r="AO933" s="1748"/>
      <c r="AP933" s="1748"/>
      <c r="AQ933" s="1748"/>
      <c r="AR933" s="1748"/>
      <c r="AS933" s="541"/>
      <c r="AT933" s="541"/>
      <c r="AU933" s="541"/>
      <c r="AV933" s="541"/>
      <c r="AW933" s="541"/>
      <c r="AX933" s="541"/>
      <c r="AY933" s="541"/>
      <c r="AZ933" s="541"/>
      <c r="BA933" s="541"/>
      <c r="BC933" s="541"/>
      <c r="BE933" s="541"/>
      <c r="BG933" s="541"/>
      <c r="BH933" s="1190"/>
      <c r="BI933" s="541"/>
      <c r="BJ933" s="1190"/>
      <c r="BK933" s="541"/>
      <c r="BL933" s="541"/>
      <c r="BM933" s="541"/>
      <c r="BO933" s="541"/>
      <c r="BP933" s="541"/>
      <c r="BQ933" s="633"/>
      <c r="BR933" s="541"/>
      <c r="BS933" s="541"/>
      <c r="BT933" s="541"/>
    </row>
    <row r="934" ht="15.75" customHeight="1">
      <c r="A934" s="1591"/>
      <c r="B934" s="1541"/>
      <c r="C934" s="2217"/>
      <c r="D934" s="1543"/>
      <c r="E934" s="906"/>
      <c r="F934" s="541"/>
      <c r="G934" s="541"/>
      <c r="H934" s="541"/>
      <c r="I934" s="541"/>
      <c r="J934" s="1748"/>
      <c r="K934" s="541"/>
      <c r="L934" s="1748"/>
      <c r="M934" s="541"/>
      <c r="N934" s="1748"/>
      <c r="O934" s="541"/>
      <c r="P934" s="1748"/>
      <c r="Q934" s="541"/>
      <c r="R934" s="1748"/>
      <c r="S934" s="541"/>
      <c r="T934" s="1748"/>
      <c r="U934" s="541"/>
      <c r="V934" s="1748"/>
      <c r="W934" s="541"/>
      <c r="X934" s="1748"/>
      <c r="Y934" s="1748"/>
      <c r="Z934" s="1748"/>
      <c r="AA934" s="541"/>
      <c r="AB934" s="1748"/>
      <c r="AC934" s="541"/>
      <c r="AD934" s="541"/>
      <c r="AE934" s="541"/>
      <c r="AF934" s="541"/>
      <c r="AG934" s="541"/>
      <c r="AH934" s="541"/>
      <c r="AI934" s="541"/>
      <c r="AJ934" s="541"/>
      <c r="AK934" s="541"/>
      <c r="AL934" s="541"/>
      <c r="AM934" s="541"/>
      <c r="AN934" s="1748"/>
      <c r="AO934" s="1748"/>
      <c r="AP934" s="1748"/>
      <c r="AQ934" s="1748"/>
      <c r="AR934" s="1748"/>
      <c r="AS934" s="541"/>
      <c r="AT934" s="541"/>
      <c r="AU934" s="541"/>
      <c r="AV934" s="541"/>
      <c r="AW934" s="541"/>
      <c r="AX934" s="541"/>
      <c r="AY934" s="541"/>
      <c r="AZ934" s="541"/>
      <c r="BA934" s="541"/>
      <c r="BC934" s="541"/>
      <c r="BE934" s="541"/>
      <c r="BG934" s="541"/>
      <c r="BH934" s="1190"/>
      <c r="BI934" s="541"/>
      <c r="BJ934" s="1190"/>
      <c r="BK934" s="541"/>
      <c r="BL934" s="541"/>
      <c r="BM934" s="541"/>
      <c r="BO934" s="541"/>
      <c r="BP934" s="541"/>
      <c r="BQ934" s="633"/>
      <c r="BR934" s="541"/>
      <c r="BS934" s="541"/>
      <c r="BT934" s="541"/>
    </row>
    <row r="935" ht="15.75" customHeight="1">
      <c r="A935" s="1591"/>
      <c r="B935" s="1541"/>
      <c r="C935" s="2217"/>
      <c r="D935" s="1543"/>
      <c r="E935" s="906"/>
      <c r="F935" s="541"/>
      <c r="G935" s="541"/>
      <c r="H935" s="541"/>
      <c r="I935" s="541"/>
      <c r="J935" s="1748"/>
      <c r="K935" s="541"/>
      <c r="L935" s="1748"/>
      <c r="M935" s="541"/>
      <c r="N935" s="1748"/>
      <c r="O935" s="541"/>
      <c r="P935" s="1748"/>
      <c r="Q935" s="541"/>
      <c r="R935" s="1748"/>
      <c r="S935" s="541"/>
      <c r="T935" s="1748"/>
      <c r="U935" s="541"/>
      <c r="V935" s="1748"/>
      <c r="W935" s="541"/>
      <c r="X935" s="1748"/>
      <c r="Y935" s="1748"/>
      <c r="Z935" s="1748"/>
      <c r="AA935" s="541"/>
      <c r="AB935" s="1748"/>
      <c r="AC935" s="541"/>
      <c r="AD935" s="541"/>
      <c r="AE935" s="541"/>
      <c r="AF935" s="541"/>
      <c r="AG935" s="541"/>
      <c r="AH935" s="541"/>
      <c r="AI935" s="541"/>
      <c r="AJ935" s="541"/>
      <c r="AK935" s="541"/>
      <c r="AL935" s="541"/>
      <c r="AM935" s="541"/>
      <c r="AN935" s="1748"/>
      <c r="AO935" s="1748"/>
      <c r="AP935" s="1748"/>
      <c r="AQ935" s="1748"/>
      <c r="AR935" s="1748"/>
      <c r="AS935" s="541"/>
      <c r="AT935" s="541"/>
      <c r="AU935" s="541"/>
      <c r="AV935" s="541"/>
      <c r="AW935" s="541"/>
      <c r="AX935" s="541"/>
      <c r="AY935" s="541"/>
      <c r="AZ935" s="541"/>
      <c r="BA935" s="541"/>
      <c r="BC935" s="541"/>
      <c r="BE935" s="541"/>
      <c r="BG935" s="541"/>
      <c r="BH935" s="1190"/>
      <c r="BI935" s="541"/>
      <c r="BJ935" s="1190"/>
      <c r="BK935" s="541"/>
      <c r="BL935" s="541"/>
      <c r="BM935" s="541"/>
      <c r="BO935" s="541"/>
      <c r="BP935" s="541"/>
      <c r="BQ935" s="633"/>
      <c r="BR935" s="541"/>
      <c r="BS935" s="541"/>
      <c r="BT935" s="541"/>
    </row>
    <row r="936" ht="15.75" customHeight="1">
      <c r="A936" s="1591"/>
      <c r="B936" s="1541"/>
      <c r="C936" s="2217"/>
      <c r="D936" s="1543"/>
      <c r="E936" s="906"/>
      <c r="F936" s="541"/>
      <c r="G936" s="541"/>
      <c r="H936" s="541"/>
      <c r="I936" s="541"/>
      <c r="J936" s="1748"/>
      <c r="K936" s="541"/>
      <c r="L936" s="1748"/>
      <c r="M936" s="541"/>
      <c r="N936" s="1748"/>
      <c r="O936" s="541"/>
      <c r="P936" s="1748"/>
      <c r="Q936" s="541"/>
      <c r="R936" s="1748"/>
      <c r="S936" s="541"/>
      <c r="T936" s="1748"/>
      <c r="U936" s="541"/>
      <c r="V936" s="1748"/>
      <c r="W936" s="541"/>
      <c r="X936" s="1748"/>
      <c r="Y936" s="1748"/>
      <c r="Z936" s="1748"/>
      <c r="AA936" s="541"/>
      <c r="AB936" s="1748"/>
      <c r="AC936" s="541"/>
      <c r="AD936" s="541"/>
      <c r="AE936" s="541"/>
      <c r="AF936" s="541"/>
      <c r="AG936" s="541"/>
      <c r="AH936" s="541"/>
      <c r="AI936" s="541"/>
      <c r="AJ936" s="541"/>
      <c r="AK936" s="541"/>
      <c r="AL936" s="541"/>
      <c r="AM936" s="541"/>
      <c r="AN936" s="1748"/>
      <c r="AO936" s="1748"/>
      <c r="AP936" s="1748"/>
      <c r="AQ936" s="1748"/>
      <c r="AR936" s="1748"/>
      <c r="AS936" s="541"/>
      <c r="AT936" s="541"/>
      <c r="AU936" s="541"/>
      <c r="AV936" s="541"/>
      <c r="AW936" s="541"/>
      <c r="AX936" s="541"/>
      <c r="AY936" s="541"/>
      <c r="AZ936" s="541"/>
      <c r="BA936" s="541"/>
      <c r="BC936" s="541"/>
      <c r="BE936" s="541"/>
      <c r="BG936" s="541"/>
      <c r="BH936" s="1190"/>
      <c r="BI936" s="541"/>
      <c r="BJ936" s="1190"/>
      <c r="BK936" s="541"/>
      <c r="BL936" s="541"/>
      <c r="BM936" s="541"/>
      <c r="BO936" s="541"/>
      <c r="BP936" s="541"/>
      <c r="BQ936" s="633"/>
      <c r="BR936" s="541"/>
      <c r="BS936" s="541"/>
      <c r="BT936" s="541"/>
    </row>
    <row r="937" ht="15.75" customHeight="1">
      <c r="A937" s="1591"/>
      <c r="B937" s="1541"/>
      <c r="C937" s="2217"/>
      <c r="D937" s="1543"/>
      <c r="E937" s="906"/>
      <c r="F937" s="541"/>
      <c r="G937" s="541"/>
      <c r="H937" s="541"/>
      <c r="I937" s="541"/>
      <c r="J937" s="1748"/>
      <c r="K937" s="541"/>
      <c r="L937" s="1748"/>
      <c r="M937" s="541"/>
      <c r="N937" s="1748"/>
      <c r="O937" s="541"/>
      <c r="P937" s="1748"/>
      <c r="Q937" s="541"/>
      <c r="R937" s="1748"/>
      <c r="S937" s="541"/>
      <c r="T937" s="1748"/>
      <c r="U937" s="541"/>
      <c r="V937" s="1748"/>
      <c r="W937" s="541"/>
      <c r="X937" s="1748"/>
      <c r="Y937" s="1748"/>
      <c r="Z937" s="1748"/>
      <c r="AA937" s="541"/>
      <c r="AB937" s="1748"/>
      <c r="AC937" s="541"/>
      <c r="AD937" s="541"/>
      <c r="AE937" s="541"/>
      <c r="AF937" s="541"/>
      <c r="AG937" s="541"/>
      <c r="AH937" s="541"/>
      <c r="AI937" s="541"/>
      <c r="AJ937" s="541"/>
      <c r="AK937" s="541"/>
      <c r="AL937" s="541"/>
      <c r="AM937" s="541"/>
      <c r="AN937" s="1748"/>
      <c r="AO937" s="1748"/>
      <c r="AP937" s="1748"/>
      <c r="AQ937" s="1748"/>
      <c r="AR937" s="1748"/>
      <c r="AS937" s="541"/>
      <c r="AT937" s="541"/>
      <c r="AU937" s="541"/>
      <c r="AV937" s="541"/>
      <c r="AW937" s="541"/>
      <c r="AX937" s="541"/>
      <c r="AY937" s="541"/>
      <c r="AZ937" s="541"/>
      <c r="BA937" s="541"/>
      <c r="BC937" s="541"/>
      <c r="BE937" s="541"/>
      <c r="BG937" s="541"/>
      <c r="BH937" s="1190"/>
      <c r="BI937" s="541"/>
      <c r="BJ937" s="1190"/>
      <c r="BK937" s="541"/>
      <c r="BL937" s="541"/>
      <c r="BM937" s="541"/>
      <c r="BO937" s="541"/>
      <c r="BP937" s="541"/>
      <c r="BQ937" s="633"/>
      <c r="BR937" s="541"/>
      <c r="BS937" s="541"/>
      <c r="BT937" s="541"/>
    </row>
    <row r="938" ht="15.75" customHeight="1">
      <c r="A938" s="1591"/>
      <c r="B938" s="1541"/>
      <c r="C938" s="2217"/>
      <c r="D938" s="1543"/>
      <c r="E938" s="906"/>
      <c r="F938" s="541"/>
      <c r="G938" s="541"/>
      <c r="H938" s="541"/>
      <c r="I938" s="541"/>
      <c r="J938" s="1748"/>
      <c r="K938" s="541"/>
      <c r="L938" s="1748"/>
      <c r="M938" s="541"/>
      <c r="N938" s="1748"/>
      <c r="O938" s="541"/>
      <c r="P938" s="1748"/>
      <c r="Q938" s="541"/>
      <c r="R938" s="1748"/>
      <c r="S938" s="541"/>
      <c r="T938" s="1748"/>
      <c r="U938" s="541"/>
      <c r="V938" s="1748"/>
      <c r="W938" s="541"/>
      <c r="X938" s="1748"/>
      <c r="Y938" s="1748"/>
      <c r="Z938" s="1748"/>
      <c r="AA938" s="541"/>
      <c r="AB938" s="1748"/>
      <c r="AC938" s="541"/>
      <c r="AD938" s="541"/>
      <c r="AE938" s="541"/>
      <c r="AF938" s="541"/>
      <c r="AG938" s="541"/>
      <c r="AH938" s="541"/>
      <c r="AI938" s="541"/>
      <c r="AJ938" s="541"/>
      <c r="AK938" s="541"/>
      <c r="AL938" s="541"/>
      <c r="AM938" s="541"/>
      <c r="AN938" s="1748"/>
      <c r="AO938" s="1748"/>
      <c r="AP938" s="1748"/>
      <c r="AQ938" s="1748"/>
      <c r="AR938" s="1748"/>
      <c r="AS938" s="541"/>
      <c r="AT938" s="541"/>
      <c r="AU938" s="541"/>
      <c r="AV938" s="541"/>
      <c r="AW938" s="541"/>
      <c r="AX938" s="541"/>
      <c r="AY938" s="541"/>
      <c r="AZ938" s="541"/>
      <c r="BA938" s="541"/>
      <c r="BC938" s="541"/>
      <c r="BE938" s="541"/>
      <c r="BG938" s="541"/>
      <c r="BH938" s="1190"/>
      <c r="BI938" s="541"/>
      <c r="BJ938" s="1190"/>
      <c r="BK938" s="541"/>
      <c r="BL938" s="541"/>
      <c r="BM938" s="541"/>
      <c r="BO938" s="541"/>
      <c r="BP938" s="541"/>
      <c r="BQ938" s="633"/>
      <c r="BR938" s="541"/>
      <c r="BS938" s="541"/>
      <c r="BT938" s="541"/>
    </row>
    <row r="939" ht="15.75" customHeight="1">
      <c r="A939" s="1591"/>
      <c r="B939" s="1541"/>
      <c r="C939" s="2217"/>
      <c r="D939" s="1543"/>
      <c r="E939" s="906"/>
      <c r="F939" s="541"/>
      <c r="G939" s="541"/>
      <c r="H939" s="541"/>
      <c r="I939" s="541"/>
      <c r="J939" s="1748"/>
      <c r="K939" s="541"/>
      <c r="L939" s="1748"/>
      <c r="M939" s="541"/>
      <c r="N939" s="1748"/>
      <c r="O939" s="541"/>
      <c r="P939" s="1748"/>
      <c r="Q939" s="541"/>
      <c r="R939" s="1748"/>
      <c r="S939" s="541"/>
      <c r="T939" s="1748"/>
      <c r="U939" s="541"/>
      <c r="V939" s="1748"/>
      <c r="W939" s="541"/>
      <c r="X939" s="1748"/>
      <c r="Y939" s="1748"/>
      <c r="Z939" s="1748"/>
      <c r="AA939" s="541"/>
      <c r="AB939" s="1748"/>
      <c r="AC939" s="541"/>
      <c r="AD939" s="541"/>
      <c r="AE939" s="541"/>
      <c r="AF939" s="541"/>
      <c r="AG939" s="541"/>
      <c r="AH939" s="541"/>
      <c r="AI939" s="541"/>
      <c r="AJ939" s="541"/>
      <c r="AK939" s="541"/>
      <c r="AL939" s="541"/>
      <c r="AM939" s="541"/>
      <c r="AN939" s="1748"/>
      <c r="AO939" s="1748"/>
      <c r="AP939" s="1748"/>
      <c r="AQ939" s="1748"/>
      <c r="AR939" s="1748"/>
      <c r="AS939" s="541"/>
      <c r="AT939" s="541"/>
      <c r="AU939" s="541"/>
      <c r="AV939" s="541"/>
      <c r="AW939" s="541"/>
      <c r="AX939" s="541"/>
      <c r="AY939" s="541"/>
      <c r="AZ939" s="541"/>
      <c r="BA939" s="541"/>
      <c r="BC939" s="541"/>
      <c r="BE939" s="541"/>
      <c r="BG939" s="541"/>
      <c r="BH939" s="1190"/>
      <c r="BI939" s="541"/>
      <c r="BJ939" s="1190"/>
      <c r="BK939" s="541"/>
      <c r="BL939" s="541"/>
      <c r="BM939" s="541"/>
      <c r="BO939" s="541"/>
      <c r="BP939" s="541"/>
      <c r="BQ939" s="633"/>
      <c r="BR939" s="541"/>
      <c r="BS939" s="541"/>
      <c r="BT939" s="541"/>
    </row>
    <row r="940" ht="15.75" customHeight="1">
      <c r="A940" s="1591"/>
      <c r="B940" s="1541"/>
      <c r="C940" s="2217"/>
      <c r="D940" s="1543"/>
      <c r="E940" s="906"/>
      <c r="F940" s="541"/>
      <c r="G940" s="541"/>
      <c r="H940" s="541"/>
      <c r="I940" s="541"/>
      <c r="J940" s="1748"/>
      <c r="K940" s="541"/>
      <c r="L940" s="1748"/>
      <c r="M940" s="541"/>
      <c r="N940" s="1748"/>
      <c r="O940" s="541"/>
      <c r="P940" s="1748"/>
      <c r="Q940" s="541"/>
      <c r="R940" s="1748"/>
      <c r="S940" s="541"/>
      <c r="T940" s="1748"/>
      <c r="U940" s="541"/>
      <c r="V940" s="1748"/>
      <c r="W940" s="541"/>
      <c r="X940" s="1748"/>
      <c r="Y940" s="1748"/>
      <c r="Z940" s="1748"/>
      <c r="AA940" s="541"/>
      <c r="AB940" s="1748"/>
      <c r="AC940" s="541"/>
      <c r="AD940" s="541"/>
      <c r="AE940" s="541"/>
      <c r="AF940" s="541"/>
      <c r="AG940" s="541"/>
      <c r="AH940" s="541"/>
      <c r="AI940" s="541"/>
      <c r="AJ940" s="541"/>
      <c r="AK940" s="541"/>
      <c r="AL940" s="541"/>
      <c r="AM940" s="541"/>
      <c r="AN940" s="1748"/>
      <c r="AO940" s="1748"/>
      <c r="AP940" s="1748"/>
      <c r="AQ940" s="1748"/>
      <c r="AR940" s="1748"/>
      <c r="AS940" s="541"/>
      <c r="AT940" s="541"/>
      <c r="AU940" s="541"/>
      <c r="AV940" s="541"/>
      <c r="AW940" s="541"/>
      <c r="AX940" s="541"/>
      <c r="AY940" s="541"/>
      <c r="AZ940" s="541"/>
      <c r="BA940" s="541"/>
      <c r="BC940" s="541"/>
      <c r="BE940" s="541"/>
      <c r="BG940" s="541"/>
      <c r="BH940" s="1190"/>
      <c r="BI940" s="541"/>
      <c r="BJ940" s="1190"/>
      <c r="BK940" s="541"/>
      <c r="BL940" s="541"/>
      <c r="BM940" s="541"/>
      <c r="BO940" s="541"/>
      <c r="BP940" s="541"/>
      <c r="BQ940" s="633"/>
      <c r="BR940" s="541"/>
      <c r="BS940" s="541"/>
      <c r="BT940" s="541"/>
    </row>
    <row r="941" ht="15.75" customHeight="1">
      <c r="A941" s="1591"/>
      <c r="B941" s="1541"/>
      <c r="C941" s="2217"/>
      <c r="D941" s="1543"/>
      <c r="E941" s="906"/>
      <c r="F941" s="541"/>
      <c r="G941" s="541"/>
      <c r="H941" s="541"/>
      <c r="I941" s="541"/>
      <c r="J941" s="1748"/>
      <c r="K941" s="541"/>
      <c r="L941" s="1748"/>
      <c r="M941" s="541"/>
      <c r="N941" s="1748"/>
      <c r="O941" s="541"/>
      <c r="P941" s="1748"/>
      <c r="Q941" s="541"/>
      <c r="R941" s="1748"/>
      <c r="S941" s="541"/>
      <c r="T941" s="1748"/>
      <c r="U941" s="541"/>
      <c r="V941" s="1748"/>
      <c r="W941" s="541"/>
      <c r="X941" s="1748"/>
      <c r="Y941" s="1748"/>
      <c r="Z941" s="1748"/>
      <c r="AA941" s="541"/>
      <c r="AB941" s="1748"/>
      <c r="AC941" s="541"/>
      <c r="AD941" s="541"/>
      <c r="AE941" s="541"/>
      <c r="AF941" s="541"/>
      <c r="AG941" s="541"/>
      <c r="AH941" s="541"/>
      <c r="AI941" s="541"/>
      <c r="AJ941" s="541"/>
      <c r="AK941" s="541"/>
      <c r="AL941" s="541"/>
      <c r="AM941" s="541"/>
      <c r="AN941" s="1748"/>
      <c r="AO941" s="1748"/>
      <c r="AP941" s="1748"/>
      <c r="AQ941" s="1748"/>
      <c r="AR941" s="1748"/>
      <c r="AS941" s="541"/>
      <c r="AT941" s="541"/>
      <c r="AU941" s="541"/>
      <c r="AV941" s="541"/>
      <c r="AW941" s="541"/>
      <c r="AX941" s="541"/>
      <c r="AY941" s="541"/>
      <c r="AZ941" s="541"/>
      <c r="BA941" s="541"/>
      <c r="BC941" s="541"/>
      <c r="BE941" s="541"/>
      <c r="BG941" s="541"/>
      <c r="BH941" s="1190"/>
      <c r="BI941" s="541"/>
      <c r="BJ941" s="1190"/>
      <c r="BK941" s="541"/>
      <c r="BL941" s="541"/>
      <c r="BM941" s="541"/>
      <c r="BO941" s="541"/>
      <c r="BP941" s="541"/>
      <c r="BQ941" s="633"/>
      <c r="BR941" s="541"/>
      <c r="BS941" s="541"/>
      <c r="BT941" s="541"/>
    </row>
    <row r="942" ht="15.75" customHeight="1">
      <c r="A942" s="1591"/>
      <c r="B942" s="1541"/>
      <c r="C942" s="2217"/>
      <c r="D942" s="1543"/>
      <c r="E942" s="906"/>
      <c r="F942" s="541"/>
      <c r="G942" s="541"/>
      <c r="H942" s="541"/>
      <c r="I942" s="541"/>
      <c r="J942" s="1748"/>
      <c r="K942" s="541"/>
      <c r="L942" s="1748"/>
      <c r="M942" s="541"/>
      <c r="N942" s="1748"/>
      <c r="O942" s="541"/>
      <c r="P942" s="1748"/>
      <c r="Q942" s="541"/>
      <c r="R942" s="1748"/>
      <c r="S942" s="541"/>
      <c r="T942" s="1748"/>
      <c r="U942" s="541"/>
      <c r="V942" s="1748"/>
      <c r="W942" s="541"/>
      <c r="X942" s="1748"/>
      <c r="Y942" s="1748"/>
      <c r="Z942" s="1748"/>
      <c r="AA942" s="541"/>
      <c r="AB942" s="1748"/>
      <c r="AC942" s="541"/>
      <c r="AD942" s="541"/>
      <c r="AE942" s="541"/>
      <c r="AF942" s="541"/>
      <c r="AG942" s="541"/>
      <c r="AH942" s="541"/>
      <c r="AI942" s="541"/>
      <c r="AJ942" s="541"/>
      <c r="AK942" s="541"/>
      <c r="AL942" s="541"/>
      <c r="AM942" s="541"/>
      <c r="AN942" s="1748"/>
      <c r="AO942" s="1748"/>
      <c r="AP942" s="1748"/>
      <c r="AQ942" s="1748"/>
      <c r="AR942" s="1748"/>
      <c r="AS942" s="541"/>
      <c r="AT942" s="541"/>
      <c r="AU942" s="541"/>
      <c r="AV942" s="541"/>
      <c r="AW942" s="541"/>
      <c r="AX942" s="541"/>
      <c r="AY942" s="541"/>
      <c r="AZ942" s="541"/>
      <c r="BA942" s="541"/>
      <c r="BC942" s="541"/>
      <c r="BE942" s="541"/>
      <c r="BG942" s="541"/>
      <c r="BH942" s="1190"/>
      <c r="BI942" s="541"/>
      <c r="BJ942" s="1190"/>
      <c r="BK942" s="541"/>
      <c r="BL942" s="541"/>
      <c r="BM942" s="541"/>
      <c r="BO942" s="541"/>
      <c r="BP942" s="541"/>
      <c r="BQ942" s="633"/>
      <c r="BR942" s="541"/>
      <c r="BS942" s="541"/>
      <c r="BT942" s="541"/>
    </row>
    <row r="943" ht="15.75" customHeight="1">
      <c r="A943" s="1591"/>
      <c r="B943" s="1541"/>
      <c r="C943" s="2217"/>
      <c r="D943" s="1543"/>
      <c r="E943" s="906"/>
      <c r="F943" s="541"/>
      <c r="G943" s="541"/>
      <c r="H943" s="541"/>
      <c r="I943" s="541"/>
      <c r="J943" s="1748"/>
      <c r="K943" s="541"/>
      <c r="L943" s="1748"/>
      <c r="M943" s="541"/>
      <c r="N943" s="1748"/>
      <c r="O943" s="541"/>
      <c r="P943" s="1748"/>
      <c r="Q943" s="541"/>
      <c r="R943" s="1748"/>
      <c r="S943" s="541"/>
      <c r="T943" s="1748"/>
      <c r="U943" s="541"/>
      <c r="V943" s="1748"/>
      <c r="W943" s="541"/>
      <c r="X943" s="1748"/>
      <c r="Y943" s="1748"/>
      <c r="Z943" s="1748"/>
      <c r="AA943" s="541"/>
      <c r="AB943" s="1748"/>
      <c r="AC943" s="541"/>
      <c r="AD943" s="541"/>
      <c r="AE943" s="541"/>
      <c r="AF943" s="541"/>
      <c r="AG943" s="541"/>
      <c r="AH943" s="541"/>
      <c r="AI943" s="541"/>
      <c r="AJ943" s="541"/>
      <c r="AK943" s="541"/>
      <c r="AL943" s="541"/>
      <c r="AM943" s="541"/>
      <c r="AN943" s="1748"/>
      <c r="AO943" s="1748"/>
      <c r="AP943" s="1748"/>
      <c r="AQ943" s="1748"/>
      <c r="AR943" s="1748"/>
      <c r="AS943" s="541"/>
      <c r="AT943" s="541"/>
      <c r="AU943" s="541"/>
      <c r="AV943" s="541"/>
      <c r="AW943" s="541"/>
      <c r="AX943" s="541"/>
      <c r="AY943" s="541"/>
      <c r="AZ943" s="541"/>
      <c r="BA943" s="541"/>
      <c r="BC943" s="541"/>
      <c r="BE943" s="541"/>
      <c r="BG943" s="541"/>
      <c r="BH943" s="1190"/>
      <c r="BI943" s="541"/>
      <c r="BJ943" s="1190"/>
      <c r="BK943" s="541"/>
      <c r="BL943" s="541"/>
      <c r="BM943" s="541"/>
      <c r="BO943" s="541"/>
      <c r="BP943" s="541"/>
      <c r="BQ943" s="633"/>
      <c r="BR943" s="541"/>
      <c r="BS943" s="541"/>
      <c r="BT943" s="541"/>
    </row>
    <row r="944" ht="15.75" customHeight="1">
      <c r="A944" s="1591"/>
      <c r="B944" s="1541"/>
      <c r="C944" s="2217"/>
      <c r="D944" s="1543"/>
      <c r="E944" s="906"/>
      <c r="F944" s="541"/>
      <c r="G944" s="541"/>
      <c r="H944" s="541"/>
      <c r="I944" s="541"/>
      <c r="J944" s="1748"/>
      <c r="K944" s="541"/>
      <c r="L944" s="1748"/>
      <c r="M944" s="541"/>
      <c r="N944" s="1748"/>
      <c r="O944" s="541"/>
      <c r="P944" s="1748"/>
      <c r="Q944" s="541"/>
      <c r="R944" s="1748"/>
      <c r="S944" s="541"/>
      <c r="T944" s="1748"/>
      <c r="U944" s="541"/>
      <c r="V944" s="1748"/>
      <c r="W944" s="541"/>
      <c r="X944" s="1748"/>
      <c r="Y944" s="1748"/>
      <c r="Z944" s="1748"/>
      <c r="AA944" s="541"/>
      <c r="AB944" s="1748"/>
      <c r="AC944" s="541"/>
      <c r="AD944" s="541"/>
      <c r="AE944" s="541"/>
      <c r="AF944" s="541"/>
      <c r="AG944" s="541"/>
      <c r="AH944" s="541"/>
      <c r="AI944" s="541"/>
      <c r="AJ944" s="541"/>
      <c r="AK944" s="541"/>
      <c r="AL944" s="541"/>
      <c r="AM944" s="541"/>
      <c r="AN944" s="1748"/>
      <c r="AO944" s="1748"/>
      <c r="AP944" s="1748"/>
      <c r="AQ944" s="1748"/>
      <c r="AR944" s="1748"/>
      <c r="AS944" s="541"/>
      <c r="AT944" s="541"/>
      <c r="AU944" s="541"/>
      <c r="AV944" s="541"/>
      <c r="AW944" s="541"/>
      <c r="AX944" s="541"/>
      <c r="AY944" s="541"/>
      <c r="AZ944" s="541"/>
      <c r="BA944" s="541"/>
      <c r="BC944" s="541"/>
      <c r="BE944" s="541"/>
      <c r="BG944" s="541"/>
      <c r="BH944" s="1190"/>
      <c r="BI944" s="541"/>
      <c r="BJ944" s="1190"/>
      <c r="BK944" s="541"/>
      <c r="BL944" s="541"/>
      <c r="BM944" s="541"/>
      <c r="BO944" s="541"/>
      <c r="BP944" s="541"/>
      <c r="BQ944" s="633"/>
      <c r="BR944" s="541"/>
      <c r="BS944" s="541"/>
      <c r="BT944" s="541"/>
    </row>
    <row r="945" ht="15.75" customHeight="1">
      <c r="A945" s="1591"/>
      <c r="B945" s="1541"/>
      <c r="C945" s="2217"/>
      <c r="D945" s="1543"/>
      <c r="E945" s="906"/>
      <c r="F945" s="541"/>
      <c r="G945" s="541"/>
      <c r="H945" s="541"/>
      <c r="I945" s="541"/>
      <c r="J945" s="1748"/>
      <c r="K945" s="541"/>
      <c r="L945" s="1748"/>
      <c r="M945" s="541"/>
      <c r="N945" s="1748"/>
      <c r="O945" s="541"/>
      <c r="P945" s="1748"/>
      <c r="Q945" s="541"/>
      <c r="R945" s="1748"/>
      <c r="S945" s="541"/>
      <c r="T945" s="1748"/>
      <c r="U945" s="541"/>
      <c r="V945" s="1748"/>
      <c r="W945" s="541"/>
      <c r="X945" s="1748"/>
      <c r="Y945" s="1748"/>
      <c r="Z945" s="1748"/>
      <c r="AA945" s="541"/>
      <c r="AB945" s="1748"/>
      <c r="AC945" s="541"/>
      <c r="AD945" s="541"/>
      <c r="AE945" s="541"/>
      <c r="AF945" s="541"/>
      <c r="AG945" s="541"/>
      <c r="AH945" s="541"/>
      <c r="AI945" s="541"/>
      <c r="AJ945" s="541"/>
      <c r="AK945" s="541"/>
      <c r="AL945" s="541"/>
      <c r="AM945" s="541"/>
      <c r="AN945" s="1748"/>
      <c r="AO945" s="1748"/>
      <c r="AP945" s="1748"/>
      <c r="AQ945" s="1748"/>
      <c r="AR945" s="1748"/>
      <c r="AS945" s="541"/>
      <c r="AT945" s="541"/>
      <c r="AU945" s="541"/>
      <c r="AV945" s="541"/>
      <c r="AW945" s="541"/>
      <c r="AX945" s="541"/>
      <c r="AY945" s="541"/>
      <c r="AZ945" s="541"/>
      <c r="BA945" s="541"/>
      <c r="BC945" s="541"/>
      <c r="BE945" s="541"/>
      <c r="BG945" s="541"/>
      <c r="BH945" s="1190"/>
      <c r="BI945" s="541"/>
      <c r="BJ945" s="1190"/>
      <c r="BK945" s="541"/>
      <c r="BL945" s="541"/>
      <c r="BM945" s="541"/>
      <c r="BO945" s="541"/>
      <c r="BP945" s="541"/>
      <c r="BQ945" s="633"/>
      <c r="BR945" s="541"/>
      <c r="BS945" s="541"/>
      <c r="BT945" s="541"/>
    </row>
    <row r="946" ht="15.75" customHeight="1">
      <c r="A946" s="1591"/>
      <c r="B946" s="1541"/>
      <c r="C946" s="2217"/>
      <c r="D946" s="1543"/>
      <c r="E946" s="906"/>
      <c r="F946" s="541"/>
      <c r="G946" s="541"/>
      <c r="H946" s="541"/>
      <c r="I946" s="541"/>
      <c r="J946" s="1748"/>
      <c r="K946" s="541"/>
      <c r="L946" s="1748"/>
      <c r="M946" s="541"/>
      <c r="N946" s="1748"/>
      <c r="O946" s="541"/>
      <c r="P946" s="1748"/>
      <c r="Q946" s="541"/>
      <c r="R946" s="1748"/>
      <c r="S946" s="541"/>
      <c r="T946" s="1748"/>
      <c r="U946" s="541"/>
      <c r="V946" s="1748"/>
      <c r="W946" s="541"/>
      <c r="X946" s="1748"/>
      <c r="Y946" s="1748"/>
      <c r="Z946" s="1748"/>
      <c r="AA946" s="541"/>
      <c r="AB946" s="1748"/>
      <c r="AC946" s="541"/>
      <c r="AD946" s="541"/>
      <c r="AE946" s="541"/>
      <c r="AF946" s="541"/>
      <c r="AG946" s="541"/>
      <c r="AH946" s="541"/>
      <c r="AI946" s="541"/>
      <c r="AJ946" s="541"/>
      <c r="AK946" s="541"/>
      <c r="AL946" s="541"/>
      <c r="AM946" s="541"/>
      <c r="AN946" s="1748"/>
      <c r="AO946" s="1748"/>
      <c r="AP946" s="1748"/>
      <c r="AQ946" s="1748"/>
      <c r="AR946" s="1748"/>
      <c r="AS946" s="541"/>
      <c r="AT946" s="541"/>
      <c r="AU946" s="541"/>
      <c r="AV946" s="541"/>
      <c r="AW946" s="541"/>
      <c r="AX946" s="541"/>
      <c r="AY946" s="541"/>
      <c r="AZ946" s="541"/>
      <c r="BA946" s="541"/>
      <c r="BC946" s="541"/>
      <c r="BE946" s="541"/>
      <c r="BG946" s="541"/>
      <c r="BH946" s="1190"/>
      <c r="BI946" s="541"/>
      <c r="BJ946" s="1190"/>
      <c r="BK946" s="541"/>
      <c r="BL946" s="541"/>
      <c r="BM946" s="541"/>
      <c r="BO946" s="541"/>
      <c r="BP946" s="541"/>
      <c r="BQ946" s="633"/>
      <c r="BR946" s="541"/>
      <c r="BS946" s="541"/>
      <c r="BT946" s="541"/>
    </row>
    <row r="947" ht="15.75" customHeight="1">
      <c r="A947" s="1591"/>
      <c r="B947" s="1541"/>
      <c r="C947" s="2217"/>
      <c r="D947" s="1543"/>
      <c r="E947" s="906"/>
      <c r="F947" s="541"/>
      <c r="G947" s="541"/>
      <c r="H947" s="541"/>
      <c r="I947" s="541"/>
      <c r="J947" s="1748"/>
      <c r="K947" s="541"/>
      <c r="L947" s="1748"/>
      <c r="M947" s="541"/>
      <c r="N947" s="1748"/>
      <c r="O947" s="541"/>
      <c r="P947" s="1748"/>
      <c r="Q947" s="541"/>
      <c r="R947" s="1748"/>
      <c r="S947" s="541"/>
      <c r="T947" s="1748"/>
      <c r="U947" s="541"/>
      <c r="V947" s="1748"/>
      <c r="W947" s="541"/>
      <c r="X947" s="1748"/>
      <c r="Y947" s="1748"/>
      <c r="Z947" s="1748"/>
      <c r="AA947" s="541"/>
      <c r="AB947" s="1748"/>
      <c r="AC947" s="541"/>
      <c r="AD947" s="541"/>
      <c r="AE947" s="541"/>
      <c r="AF947" s="541"/>
      <c r="AG947" s="541"/>
      <c r="AH947" s="541"/>
      <c r="AI947" s="541"/>
      <c r="AJ947" s="541"/>
      <c r="AK947" s="541"/>
      <c r="AL947" s="541"/>
      <c r="AM947" s="541"/>
      <c r="AN947" s="1748"/>
      <c r="AO947" s="1748"/>
      <c r="AP947" s="1748"/>
      <c r="AQ947" s="1748"/>
      <c r="AR947" s="1748"/>
      <c r="AS947" s="541"/>
      <c r="AT947" s="541"/>
      <c r="AU947" s="541"/>
      <c r="AV947" s="541"/>
      <c r="AW947" s="541"/>
      <c r="AX947" s="541"/>
      <c r="AY947" s="541"/>
      <c r="AZ947" s="541"/>
      <c r="BA947" s="541"/>
      <c r="BC947" s="541"/>
      <c r="BE947" s="541"/>
      <c r="BG947" s="541"/>
      <c r="BH947" s="1190"/>
      <c r="BI947" s="541"/>
      <c r="BJ947" s="1190"/>
      <c r="BK947" s="541"/>
      <c r="BL947" s="541"/>
      <c r="BM947" s="541"/>
      <c r="BO947" s="541"/>
      <c r="BP947" s="541"/>
      <c r="BQ947" s="633"/>
      <c r="BR947" s="541"/>
      <c r="BS947" s="541"/>
      <c r="BT947" s="541"/>
    </row>
    <row r="948" ht="15.75" customHeight="1">
      <c r="A948" s="1591"/>
      <c r="B948" s="1541"/>
      <c r="C948" s="2217"/>
      <c r="D948" s="1543"/>
      <c r="E948" s="906"/>
      <c r="F948" s="541"/>
      <c r="G948" s="541"/>
      <c r="H948" s="541"/>
      <c r="I948" s="541"/>
      <c r="J948" s="1748"/>
      <c r="K948" s="541"/>
      <c r="L948" s="1748"/>
      <c r="M948" s="541"/>
      <c r="N948" s="1748"/>
      <c r="O948" s="541"/>
      <c r="P948" s="1748"/>
      <c r="Q948" s="541"/>
      <c r="R948" s="1748"/>
      <c r="S948" s="541"/>
      <c r="T948" s="1748"/>
      <c r="U948" s="541"/>
      <c r="V948" s="1748"/>
      <c r="W948" s="541"/>
      <c r="X948" s="1748"/>
      <c r="Y948" s="1748"/>
      <c r="Z948" s="1748"/>
      <c r="AA948" s="541"/>
      <c r="AB948" s="1748"/>
      <c r="AC948" s="541"/>
      <c r="AD948" s="541"/>
      <c r="AE948" s="541"/>
      <c r="AF948" s="541"/>
      <c r="AG948" s="541"/>
      <c r="AH948" s="541"/>
      <c r="AI948" s="541"/>
      <c r="AJ948" s="541"/>
      <c r="AK948" s="541"/>
      <c r="AL948" s="541"/>
      <c r="AM948" s="541"/>
      <c r="AN948" s="1748"/>
      <c r="AO948" s="1748"/>
      <c r="AP948" s="1748"/>
      <c r="AQ948" s="1748"/>
      <c r="AR948" s="1748"/>
      <c r="AS948" s="541"/>
      <c r="AT948" s="541"/>
      <c r="AU948" s="541"/>
      <c r="AV948" s="541"/>
      <c r="AW948" s="541"/>
      <c r="AX948" s="541"/>
      <c r="AY948" s="541"/>
      <c r="AZ948" s="541"/>
      <c r="BA948" s="541"/>
      <c r="BC948" s="541"/>
      <c r="BE948" s="541"/>
      <c r="BG948" s="541"/>
      <c r="BH948" s="1190"/>
      <c r="BI948" s="541"/>
      <c r="BJ948" s="1190"/>
      <c r="BK948" s="541"/>
      <c r="BL948" s="541"/>
      <c r="BM948" s="541"/>
      <c r="BO948" s="541"/>
      <c r="BP948" s="541"/>
      <c r="BQ948" s="633"/>
      <c r="BR948" s="541"/>
      <c r="BS948" s="541"/>
      <c r="BT948" s="541"/>
    </row>
    <row r="949" ht="15.75" customHeight="1">
      <c r="A949" s="1591"/>
      <c r="B949" s="1541"/>
      <c r="C949" s="2217"/>
      <c r="D949" s="1543"/>
      <c r="E949" s="906"/>
      <c r="F949" s="541"/>
      <c r="G949" s="541"/>
      <c r="H949" s="541"/>
      <c r="I949" s="541"/>
      <c r="J949" s="1748"/>
      <c r="K949" s="541"/>
      <c r="L949" s="1748"/>
      <c r="M949" s="541"/>
      <c r="N949" s="1748"/>
      <c r="O949" s="541"/>
      <c r="P949" s="1748"/>
      <c r="Q949" s="541"/>
      <c r="R949" s="1748"/>
      <c r="S949" s="541"/>
      <c r="T949" s="1748"/>
      <c r="U949" s="541"/>
      <c r="V949" s="1748"/>
      <c r="W949" s="541"/>
      <c r="X949" s="1748"/>
      <c r="Y949" s="1748"/>
      <c r="Z949" s="1748"/>
      <c r="AA949" s="541"/>
      <c r="AB949" s="1748"/>
      <c r="AC949" s="541"/>
      <c r="AD949" s="541"/>
      <c r="AE949" s="541"/>
      <c r="AF949" s="541"/>
      <c r="AG949" s="541"/>
      <c r="AH949" s="541"/>
      <c r="AI949" s="541"/>
      <c r="AJ949" s="541"/>
      <c r="AK949" s="541"/>
      <c r="AL949" s="541"/>
      <c r="AM949" s="541"/>
      <c r="AN949" s="1748"/>
      <c r="AO949" s="1748"/>
      <c r="AP949" s="1748"/>
      <c r="AQ949" s="1748"/>
      <c r="AR949" s="1748"/>
      <c r="AS949" s="541"/>
      <c r="AT949" s="541"/>
      <c r="AU949" s="541"/>
      <c r="AV949" s="541"/>
      <c r="AW949" s="541"/>
      <c r="AX949" s="541"/>
      <c r="AY949" s="541"/>
      <c r="AZ949" s="541"/>
      <c r="BA949" s="541"/>
      <c r="BC949" s="541"/>
      <c r="BE949" s="541"/>
      <c r="BG949" s="541"/>
      <c r="BH949" s="1190"/>
      <c r="BI949" s="541"/>
      <c r="BJ949" s="1190"/>
      <c r="BK949" s="541"/>
      <c r="BL949" s="541"/>
      <c r="BM949" s="541"/>
      <c r="BO949" s="541"/>
      <c r="BP949" s="541"/>
      <c r="BQ949" s="633"/>
      <c r="BR949" s="541"/>
      <c r="BS949" s="541"/>
      <c r="BT949" s="541"/>
    </row>
    <row r="950" ht="15.75" customHeight="1">
      <c r="A950" s="1591"/>
      <c r="B950" s="1541"/>
      <c r="C950" s="2217"/>
      <c r="D950" s="1543"/>
      <c r="E950" s="906"/>
      <c r="F950" s="541"/>
      <c r="G950" s="541"/>
      <c r="H950" s="541"/>
      <c r="I950" s="541"/>
      <c r="J950" s="1748"/>
      <c r="K950" s="541"/>
      <c r="L950" s="1748"/>
      <c r="M950" s="541"/>
      <c r="N950" s="1748"/>
      <c r="O950" s="541"/>
      <c r="P950" s="1748"/>
      <c r="Q950" s="541"/>
      <c r="R950" s="1748"/>
      <c r="S950" s="541"/>
      <c r="T950" s="1748"/>
      <c r="U950" s="541"/>
      <c r="V950" s="1748"/>
      <c r="W950" s="541"/>
      <c r="X950" s="1748"/>
      <c r="Y950" s="1748"/>
      <c r="Z950" s="1748"/>
      <c r="AA950" s="541"/>
      <c r="AB950" s="1748"/>
      <c r="AC950" s="541"/>
      <c r="AD950" s="541"/>
      <c r="AE950" s="541"/>
      <c r="AF950" s="541"/>
      <c r="AG950" s="541"/>
      <c r="AH950" s="541"/>
      <c r="AI950" s="541"/>
      <c r="AJ950" s="541"/>
      <c r="AK950" s="541"/>
      <c r="AL950" s="541"/>
      <c r="AM950" s="541"/>
      <c r="AN950" s="1748"/>
      <c r="AO950" s="1748"/>
      <c r="AP950" s="1748"/>
      <c r="AQ950" s="1748"/>
      <c r="AR950" s="1748"/>
      <c r="AS950" s="541"/>
      <c r="AT950" s="541"/>
      <c r="AU950" s="541"/>
      <c r="AV950" s="541"/>
      <c r="AW950" s="541"/>
      <c r="AX950" s="541"/>
      <c r="AY950" s="541"/>
      <c r="AZ950" s="541"/>
      <c r="BA950" s="541"/>
      <c r="BC950" s="541"/>
      <c r="BE950" s="541"/>
      <c r="BG950" s="541"/>
      <c r="BH950" s="1190"/>
      <c r="BI950" s="541"/>
      <c r="BJ950" s="1190"/>
      <c r="BK950" s="541"/>
      <c r="BL950" s="541"/>
      <c r="BM950" s="541"/>
      <c r="BO950" s="541"/>
      <c r="BP950" s="541"/>
      <c r="BQ950" s="633"/>
      <c r="BR950" s="541"/>
      <c r="BS950" s="541"/>
      <c r="BT950" s="541"/>
    </row>
    <row r="951" ht="15.75" customHeight="1">
      <c r="A951" s="1591"/>
      <c r="B951" s="1541"/>
      <c r="C951" s="2217"/>
      <c r="D951" s="1543"/>
      <c r="E951" s="906"/>
      <c r="F951" s="541"/>
      <c r="G951" s="541"/>
      <c r="H951" s="541"/>
      <c r="I951" s="541"/>
      <c r="J951" s="1748"/>
      <c r="K951" s="541"/>
      <c r="L951" s="1748"/>
      <c r="M951" s="541"/>
      <c r="N951" s="1748"/>
      <c r="O951" s="541"/>
      <c r="P951" s="1748"/>
      <c r="Q951" s="541"/>
      <c r="R951" s="1748"/>
      <c r="S951" s="541"/>
      <c r="T951" s="1748"/>
      <c r="U951" s="541"/>
      <c r="V951" s="1748"/>
      <c r="W951" s="541"/>
      <c r="X951" s="1748"/>
      <c r="Y951" s="1748"/>
      <c r="Z951" s="1748"/>
      <c r="AA951" s="541"/>
      <c r="AB951" s="1748"/>
      <c r="AC951" s="541"/>
      <c r="AD951" s="541"/>
      <c r="AE951" s="541"/>
      <c r="AF951" s="541"/>
      <c r="AG951" s="541"/>
      <c r="AH951" s="541"/>
      <c r="AI951" s="541"/>
      <c r="AJ951" s="541"/>
      <c r="AK951" s="541"/>
      <c r="AL951" s="541"/>
      <c r="AM951" s="541"/>
      <c r="AN951" s="1748"/>
      <c r="AO951" s="1748"/>
      <c r="AP951" s="1748"/>
      <c r="AQ951" s="1748"/>
      <c r="AR951" s="1748"/>
      <c r="AS951" s="541"/>
      <c r="AT951" s="541"/>
      <c r="AU951" s="541"/>
      <c r="AV951" s="541"/>
      <c r="AW951" s="541"/>
      <c r="AX951" s="541"/>
      <c r="AY951" s="541"/>
      <c r="AZ951" s="541"/>
      <c r="BA951" s="541"/>
      <c r="BC951" s="541"/>
      <c r="BE951" s="541"/>
      <c r="BG951" s="541"/>
      <c r="BH951" s="1190"/>
      <c r="BI951" s="541"/>
      <c r="BJ951" s="1190"/>
      <c r="BK951" s="541"/>
      <c r="BL951" s="541"/>
      <c r="BM951" s="541"/>
      <c r="BO951" s="541"/>
      <c r="BP951" s="541"/>
      <c r="BQ951" s="633"/>
      <c r="BR951" s="541"/>
      <c r="BS951" s="541"/>
      <c r="BT951" s="541"/>
    </row>
    <row r="952" ht="15.75" customHeight="1">
      <c r="A952" s="1591"/>
      <c r="B952" s="1541"/>
      <c r="C952" s="2217"/>
      <c r="D952" s="1543"/>
      <c r="E952" s="906"/>
      <c r="F952" s="541"/>
      <c r="G952" s="541"/>
      <c r="H952" s="541"/>
      <c r="I952" s="541"/>
      <c r="J952" s="1748"/>
      <c r="K952" s="541"/>
      <c r="L952" s="1748"/>
      <c r="M952" s="541"/>
      <c r="N952" s="1748"/>
      <c r="O952" s="541"/>
      <c r="P952" s="1748"/>
      <c r="Q952" s="541"/>
      <c r="R952" s="1748"/>
      <c r="S952" s="541"/>
      <c r="T952" s="1748"/>
      <c r="U952" s="541"/>
      <c r="V952" s="1748"/>
      <c r="W952" s="541"/>
      <c r="X952" s="1748"/>
      <c r="Y952" s="1748"/>
      <c r="Z952" s="1748"/>
      <c r="AA952" s="541"/>
      <c r="AB952" s="1748"/>
      <c r="AC952" s="541"/>
      <c r="AD952" s="541"/>
      <c r="AE952" s="541"/>
      <c r="AF952" s="541"/>
      <c r="AG952" s="541"/>
      <c r="AH952" s="541"/>
      <c r="AI952" s="541"/>
      <c r="AJ952" s="541"/>
      <c r="AK952" s="541"/>
      <c r="AL952" s="541"/>
      <c r="AM952" s="541"/>
      <c r="AN952" s="1748"/>
      <c r="AO952" s="1748"/>
      <c r="AP952" s="1748"/>
      <c r="AQ952" s="1748"/>
      <c r="AR952" s="1748"/>
      <c r="AS952" s="541"/>
      <c r="AT952" s="541"/>
      <c r="AU952" s="541"/>
      <c r="AV952" s="541"/>
      <c r="AW952" s="541"/>
      <c r="AX952" s="541"/>
      <c r="AY952" s="541"/>
      <c r="AZ952" s="541"/>
      <c r="BA952" s="541"/>
      <c r="BC952" s="541"/>
      <c r="BE952" s="541"/>
      <c r="BG952" s="541"/>
      <c r="BH952" s="1190"/>
      <c r="BI952" s="541"/>
      <c r="BJ952" s="1190"/>
      <c r="BK952" s="541"/>
      <c r="BL952" s="541"/>
      <c r="BM952" s="541"/>
      <c r="BO952" s="541"/>
      <c r="BP952" s="541"/>
      <c r="BQ952" s="633"/>
      <c r="BR952" s="541"/>
      <c r="BS952" s="541"/>
      <c r="BT952" s="541"/>
    </row>
    <row r="953" ht="15.75" customHeight="1">
      <c r="A953" s="1591"/>
      <c r="B953" s="1541"/>
      <c r="C953" s="2217"/>
      <c r="D953" s="1543"/>
      <c r="E953" s="906"/>
      <c r="F953" s="541"/>
      <c r="G953" s="541"/>
      <c r="H953" s="541"/>
      <c r="I953" s="541"/>
      <c r="J953" s="1748"/>
      <c r="K953" s="541"/>
      <c r="L953" s="1748"/>
      <c r="M953" s="541"/>
      <c r="N953" s="1748"/>
      <c r="O953" s="541"/>
      <c r="P953" s="1748"/>
      <c r="Q953" s="541"/>
      <c r="R953" s="1748"/>
      <c r="S953" s="541"/>
      <c r="T953" s="1748"/>
      <c r="U953" s="541"/>
      <c r="V953" s="1748"/>
      <c r="W953" s="541"/>
      <c r="X953" s="1748"/>
      <c r="Y953" s="1748"/>
      <c r="Z953" s="1748"/>
      <c r="AA953" s="541"/>
      <c r="AB953" s="1748"/>
      <c r="AC953" s="541"/>
      <c r="AD953" s="541"/>
      <c r="AE953" s="541"/>
      <c r="AF953" s="541"/>
      <c r="AG953" s="541"/>
      <c r="AH953" s="541"/>
      <c r="AI953" s="541"/>
      <c r="AJ953" s="541"/>
      <c r="AK953" s="541"/>
      <c r="AL953" s="541"/>
      <c r="AM953" s="541"/>
      <c r="AN953" s="1748"/>
      <c r="AO953" s="1748"/>
      <c r="AP953" s="1748"/>
      <c r="AQ953" s="1748"/>
      <c r="AR953" s="1748"/>
      <c r="AS953" s="541"/>
      <c r="AT953" s="541"/>
      <c r="AU953" s="541"/>
      <c r="AV953" s="541"/>
      <c r="AW953" s="541"/>
      <c r="AX953" s="541"/>
      <c r="AY953" s="541"/>
      <c r="AZ953" s="541"/>
      <c r="BA953" s="541"/>
      <c r="BC953" s="541"/>
      <c r="BE953" s="541"/>
      <c r="BG953" s="541"/>
      <c r="BH953" s="1190"/>
      <c r="BI953" s="541"/>
      <c r="BJ953" s="1190"/>
      <c r="BK953" s="541"/>
      <c r="BL953" s="541"/>
      <c r="BM953" s="541"/>
      <c r="BO953" s="541"/>
      <c r="BP953" s="541"/>
      <c r="BQ953" s="633"/>
      <c r="BR953" s="541"/>
      <c r="BS953" s="541"/>
      <c r="BT953" s="541"/>
    </row>
    <row r="954" ht="15.75" customHeight="1">
      <c r="A954" s="1591"/>
      <c r="B954" s="1541"/>
      <c r="C954" s="2217"/>
      <c r="D954" s="1543"/>
      <c r="E954" s="906"/>
      <c r="F954" s="541"/>
      <c r="G954" s="541"/>
      <c r="H954" s="541"/>
      <c r="I954" s="541"/>
      <c r="J954" s="1748"/>
      <c r="K954" s="541"/>
      <c r="L954" s="1748"/>
      <c r="M954" s="541"/>
      <c r="N954" s="1748"/>
      <c r="O954" s="541"/>
      <c r="P954" s="1748"/>
      <c r="Q954" s="541"/>
      <c r="R954" s="1748"/>
      <c r="S954" s="541"/>
      <c r="T954" s="1748"/>
      <c r="U954" s="541"/>
      <c r="V954" s="1748"/>
      <c r="W954" s="541"/>
      <c r="X954" s="1748"/>
      <c r="Y954" s="1748"/>
      <c r="Z954" s="1748"/>
      <c r="AA954" s="541"/>
      <c r="AB954" s="1748"/>
      <c r="AC954" s="541"/>
      <c r="AD954" s="541"/>
      <c r="AE954" s="541"/>
      <c r="AF954" s="541"/>
      <c r="AG954" s="541"/>
      <c r="AH954" s="541"/>
      <c r="AI954" s="541"/>
      <c r="AJ954" s="541"/>
      <c r="AK954" s="541"/>
      <c r="AL954" s="541"/>
      <c r="AM954" s="541"/>
      <c r="AN954" s="1748"/>
      <c r="AO954" s="1748"/>
      <c r="AP954" s="1748"/>
      <c r="AQ954" s="1748"/>
      <c r="AR954" s="1748"/>
      <c r="AS954" s="541"/>
      <c r="AT954" s="541"/>
      <c r="AU954" s="541"/>
      <c r="AV954" s="541"/>
      <c r="AW954" s="541"/>
      <c r="AX954" s="541"/>
      <c r="AY954" s="541"/>
      <c r="AZ954" s="541"/>
      <c r="BA954" s="541"/>
      <c r="BC954" s="541"/>
      <c r="BE954" s="541"/>
      <c r="BG954" s="541"/>
      <c r="BH954" s="1190"/>
      <c r="BI954" s="541"/>
      <c r="BJ954" s="1190"/>
      <c r="BK954" s="541"/>
      <c r="BL954" s="541"/>
      <c r="BM954" s="541"/>
      <c r="BO954" s="541"/>
      <c r="BP954" s="541"/>
      <c r="BQ954" s="633"/>
      <c r="BR954" s="541"/>
      <c r="BS954" s="541"/>
      <c r="BT954" s="541"/>
    </row>
    <row r="955" ht="15.75" customHeight="1">
      <c r="A955" s="1591"/>
      <c r="B955" s="1541"/>
      <c r="C955" s="2217"/>
      <c r="D955" s="1543"/>
      <c r="E955" s="906"/>
      <c r="F955" s="541"/>
      <c r="G955" s="541"/>
      <c r="H955" s="541"/>
      <c r="I955" s="541"/>
      <c r="J955" s="1748"/>
      <c r="K955" s="541"/>
      <c r="L955" s="1748"/>
      <c r="M955" s="541"/>
      <c r="N955" s="1748"/>
      <c r="O955" s="541"/>
      <c r="P955" s="1748"/>
      <c r="Q955" s="541"/>
      <c r="R955" s="1748"/>
      <c r="S955" s="541"/>
      <c r="T955" s="1748"/>
      <c r="U955" s="541"/>
      <c r="V955" s="1748"/>
      <c r="W955" s="541"/>
      <c r="X955" s="1748"/>
      <c r="Y955" s="1748"/>
      <c r="Z955" s="1748"/>
      <c r="AA955" s="541"/>
      <c r="AB955" s="1748"/>
      <c r="AC955" s="541"/>
      <c r="AD955" s="541"/>
      <c r="AE955" s="541"/>
      <c r="AF955" s="541"/>
      <c r="AG955" s="541"/>
      <c r="AH955" s="541"/>
      <c r="AI955" s="541"/>
      <c r="AJ955" s="541"/>
      <c r="AK955" s="541"/>
      <c r="AL955" s="541"/>
      <c r="AM955" s="541"/>
      <c r="AN955" s="1748"/>
      <c r="AO955" s="1748"/>
      <c r="AP955" s="1748"/>
      <c r="AQ955" s="1748"/>
      <c r="AR955" s="1748"/>
      <c r="AS955" s="541"/>
      <c r="AT955" s="541"/>
      <c r="AU955" s="541"/>
      <c r="AV955" s="541"/>
      <c r="AW955" s="541"/>
      <c r="AX955" s="541"/>
      <c r="AY955" s="541"/>
      <c r="AZ955" s="541"/>
      <c r="BA955" s="541"/>
      <c r="BC955" s="541"/>
      <c r="BE955" s="541"/>
      <c r="BG955" s="541"/>
      <c r="BH955" s="1190"/>
      <c r="BI955" s="541"/>
      <c r="BJ955" s="1190"/>
      <c r="BK955" s="541"/>
      <c r="BL955" s="541"/>
      <c r="BM955" s="541"/>
      <c r="BO955" s="541"/>
      <c r="BP955" s="541"/>
      <c r="BQ955" s="633"/>
      <c r="BR955" s="541"/>
      <c r="BS955" s="541"/>
      <c r="BT955" s="541"/>
    </row>
    <row r="956" ht="15.75" customHeight="1">
      <c r="A956" s="1591"/>
      <c r="B956" s="1541"/>
      <c r="C956" s="2217"/>
      <c r="D956" s="1543"/>
      <c r="E956" s="906"/>
      <c r="F956" s="541"/>
      <c r="G956" s="541"/>
      <c r="H956" s="541"/>
      <c r="I956" s="541"/>
      <c r="J956" s="1748"/>
      <c r="K956" s="541"/>
      <c r="L956" s="1748"/>
      <c r="M956" s="541"/>
      <c r="N956" s="1748"/>
      <c r="O956" s="541"/>
      <c r="P956" s="1748"/>
      <c r="Q956" s="541"/>
      <c r="R956" s="1748"/>
      <c r="S956" s="541"/>
      <c r="T956" s="1748"/>
      <c r="U956" s="541"/>
      <c r="V956" s="1748"/>
      <c r="W956" s="541"/>
      <c r="X956" s="1748"/>
      <c r="Y956" s="1748"/>
      <c r="Z956" s="1748"/>
      <c r="AA956" s="541"/>
      <c r="AB956" s="1748"/>
      <c r="AC956" s="541"/>
      <c r="AD956" s="541"/>
      <c r="AE956" s="541"/>
      <c r="AF956" s="541"/>
      <c r="AG956" s="541"/>
      <c r="AH956" s="541"/>
      <c r="AI956" s="541"/>
      <c r="AJ956" s="541"/>
      <c r="AK956" s="541"/>
      <c r="AL956" s="541"/>
      <c r="AM956" s="541"/>
      <c r="AN956" s="1748"/>
      <c r="AO956" s="1748"/>
      <c r="AP956" s="1748"/>
      <c r="AQ956" s="1748"/>
      <c r="AR956" s="1748"/>
      <c r="AS956" s="541"/>
      <c r="AT956" s="541"/>
      <c r="AU956" s="541"/>
      <c r="AV956" s="541"/>
      <c r="AW956" s="541"/>
      <c r="AX956" s="541"/>
      <c r="AY956" s="541"/>
      <c r="AZ956" s="541"/>
      <c r="BA956" s="541"/>
      <c r="BC956" s="541"/>
      <c r="BE956" s="541"/>
      <c r="BG956" s="541"/>
      <c r="BH956" s="1190"/>
      <c r="BI956" s="541"/>
      <c r="BJ956" s="1190"/>
      <c r="BK956" s="541"/>
      <c r="BL956" s="541"/>
      <c r="BM956" s="541"/>
      <c r="BO956" s="541"/>
      <c r="BP956" s="541"/>
      <c r="BQ956" s="633"/>
      <c r="BR956" s="541"/>
      <c r="BS956" s="541"/>
      <c r="BT956" s="541"/>
    </row>
    <row r="957" ht="15.75" customHeight="1">
      <c r="A957" s="1591"/>
      <c r="B957" s="1541"/>
      <c r="C957" s="2217"/>
      <c r="D957" s="1543"/>
      <c r="E957" s="906"/>
      <c r="F957" s="541"/>
      <c r="G957" s="541"/>
      <c r="H957" s="541"/>
      <c r="I957" s="541"/>
      <c r="J957" s="1748"/>
      <c r="K957" s="541"/>
      <c r="L957" s="1748"/>
      <c r="M957" s="541"/>
      <c r="N957" s="1748"/>
      <c r="O957" s="541"/>
      <c r="P957" s="1748"/>
      <c r="Q957" s="541"/>
      <c r="R957" s="1748"/>
      <c r="S957" s="541"/>
      <c r="T957" s="1748"/>
      <c r="U957" s="541"/>
      <c r="V957" s="1748"/>
      <c r="W957" s="541"/>
      <c r="X957" s="1748"/>
      <c r="Y957" s="1748"/>
      <c r="Z957" s="1748"/>
      <c r="AA957" s="541"/>
      <c r="AB957" s="1748"/>
      <c r="AC957" s="541"/>
      <c r="AD957" s="541"/>
      <c r="AE957" s="541"/>
      <c r="AF957" s="541"/>
      <c r="AG957" s="541"/>
      <c r="AH957" s="541"/>
      <c r="AI957" s="541"/>
      <c r="AJ957" s="541"/>
      <c r="AK957" s="541"/>
      <c r="AL957" s="541"/>
      <c r="AM957" s="541"/>
      <c r="AN957" s="1748"/>
      <c r="AO957" s="1748"/>
      <c r="AP957" s="1748"/>
      <c r="AQ957" s="1748"/>
      <c r="AR957" s="1748"/>
      <c r="AS957" s="541"/>
      <c r="AT957" s="541"/>
      <c r="AU957" s="541"/>
      <c r="AV957" s="541"/>
      <c r="AW957" s="541"/>
      <c r="AX957" s="541"/>
      <c r="AY957" s="541"/>
      <c r="AZ957" s="541"/>
      <c r="BA957" s="541"/>
      <c r="BC957" s="541"/>
      <c r="BE957" s="541"/>
      <c r="BG957" s="541"/>
      <c r="BH957" s="1190"/>
      <c r="BI957" s="541"/>
      <c r="BJ957" s="1190"/>
      <c r="BK957" s="541"/>
      <c r="BL957" s="541"/>
      <c r="BM957" s="541"/>
      <c r="BO957" s="541"/>
      <c r="BP957" s="541"/>
      <c r="BQ957" s="633"/>
      <c r="BR957" s="541"/>
      <c r="BS957" s="541"/>
      <c r="BT957" s="541"/>
    </row>
    <row r="958" ht="15.75" customHeight="1">
      <c r="A958" s="1591"/>
      <c r="B958" s="1541"/>
      <c r="C958" s="2217"/>
      <c r="D958" s="1543"/>
      <c r="E958" s="906"/>
      <c r="F958" s="541"/>
      <c r="G958" s="541"/>
      <c r="H958" s="541"/>
      <c r="I958" s="541"/>
      <c r="J958" s="1748"/>
      <c r="K958" s="541"/>
      <c r="L958" s="1748"/>
      <c r="M958" s="541"/>
      <c r="N958" s="1748"/>
      <c r="O958" s="541"/>
      <c r="P958" s="1748"/>
      <c r="Q958" s="541"/>
      <c r="R958" s="1748"/>
      <c r="S958" s="541"/>
      <c r="T958" s="1748"/>
      <c r="U958" s="541"/>
      <c r="V958" s="1748"/>
      <c r="W958" s="541"/>
      <c r="X958" s="1748"/>
      <c r="Y958" s="1748"/>
      <c r="Z958" s="1748"/>
      <c r="AA958" s="541"/>
      <c r="AB958" s="1748"/>
      <c r="AC958" s="541"/>
      <c r="AD958" s="541"/>
      <c r="AE958" s="541"/>
      <c r="AF958" s="541"/>
      <c r="AG958" s="541"/>
      <c r="AH958" s="541"/>
      <c r="AI958" s="541"/>
      <c r="AJ958" s="541"/>
      <c r="AK958" s="541"/>
      <c r="AL958" s="541"/>
      <c r="AM958" s="541"/>
      <c r="AN958" s="1748"/>
      <c r="AO958" s="1748"/>
      <c r="AP958" s="1748"/>
      <c r="AQ958" s="1748"/>
      <c r="AR958" s="1748"/>
      <c r="AS958" s="541"/>
      <c r="AT958" s="541"/>
      <c r="AU958" s="541"/>
      <c r="AV958" s="541"/>
      <c r="AW958" s="541"/>
      <c r="AX958" s="541"/>
      <c r="AY958" s="541"/>
      <c r="AZ958" s="541"/>
      <c r="BA958" s="541"/>
      <c r="BC958" s="541"/>
      <c r="BE958" s="541"/>
      <c r="BG958" s="541"/>
      <c r="BH958" s="1190"/>
      <c r="BI958" s="541"/>
      <c r="BJ958" s="1190"/>
      <c r="BK958" s="541"/>
      <c r="BL958" s="541"/>
      <c r="BM958" s="541"/>
      <c r="BO958" s="541"/>
      <c r="BP958" s="541"/>
      <c r="BQ958" s="633"/>
      <c r="BR958" s="541"/>
      <c r="BS958" s="541"/>
      <c r="BT958" s="541"/>
    </row>
    <row r="959" ht="15.75" customHeight="1">
      <c r="A959" s="1591"/>
      <c r="B959" s="1541"/>
      <c r="C959" s="2217"/>
      <c r="D959" s="1543"/>
      <c r="E959" s="906"/>
      <c r="F959" s="541"/>
      <c r="G959" s="541"/>
      <c r="H959" s="541"/>
      <c r="I959" s="541"/>
      <c r="J959" s="1748"/>
      <c r="K959" s="541"/>
      <c r="L959" s="1748"/>
      <c r="M959" s="541"/>
      <c r="N959" s="1748"/>
      <c r="O959" s="541"/>
      <c r="P959" s="1748"/>
      <c r="Q959" s="541"/>
      <c r="R959" s="1748"/>
      <c r="S959" s="541"/>
      <c r="T959" s="1748"/>
      <c r="U959" s="541"/>
      <c r="V959" s="1748"/>
      <c r="W959" s="541"/>
      <c r="X959" s="1748"/>
      <c r="Y959" s="1748"/>
      <c r="Z959" s="1748"/>
      <c r="AA959" s="541"/>
      <c r="AB959" s="1748"/>
      <c r="AC959" s="541"/>
      <c r="AD959" s="541"/>
      <c r="AE959" s="541"/>
      <c r="AF959" s="541"/>
      <c r="AG959" s="541"/>
      <c r="AH959" s="541"/>
      <c r="AI959" s="541"/>
      <c r="AJ959" s="541"/>
      <c r="AK959" s="541"/>
      <c r="AL959" s="541"/>
      <c r="AM959" s="541"/>
      <c r="AN959" s="1748"/>
      <c r="AO959" s="1748"/>
      <c r="AP959" s="1748"/>
      <c r="AQ959" s="1748"/>
      <c r="AR959" s="1748"/>
      <c r="AS959" s="541"/>
      <c r="AT959" s="541"/>
      <c r="AU959" s="541"/>
      <c r="AV959" s="541"/>
      <c r="AW959" s="541"/>
      <c r="AX959" s="541"/>
      <c r="AY959" s="541"/>
      <c r="AZ959" s="541"/>
      <c r="BA959" s="541"/>
      <c r="BC959" s="541"/>
      <c r="BE959" s="541"/>
      <c r="BG959" s="541"/>
      <c r="BH959" s="1190"/>
      <c r="BI959" s="541"/>
      <c r="BJ959" s="1190"/>
      <c r="BK959" s="541"/>
      <c r="BL959" s="541"/>
      <c r="BM959" s="541"/>
      <c r="BO959" s="541"/>
      <c r="BP959" s="541"/>
      <c r="BQ959" s="633"/>
      <c r="BR959" s="541"/>
      <c r="BS959" s="541"/>
      <c r="BT959" s="541"/>
    </row>
    <row r="960" ht="15.75" customHeight="1">
      <c r="A960" s="1591"/>
      <c r="B960" s="1541"/>
      <c r="C960" s="2217"/>
      <c r="D960" s="1543"/>
      <c r="E960" s="906"/>
      <c r="F960" s="541"/>
      <c r="G960" s="541"/>
      <c r="H960" s="541"/>
      <c r="I960" s="541"/>
      <c r="J960" s="1748"/>
      <c r="K960" s="541"/>
      <c r="L960" s="1748"/>
      <c r="M960" s="541"/>
      <c r="N960" s="1748"/>
      <c r="O960" s="541"/>
      <c r="P960" s="1748"/>
      <c r="Q960" s="541"/>
      <c r="R960" s="1748"/>
      <c r="S960" s="541"/>
      <c r="T960" s="1748"/>
      <c r="U960" s="541"/>
      <c r="V960" s="1748"/>
      <c r="W960" s="541"/>
      <c r="X960" s="1748"/>
      <c r="Y960" s="1748"/>
      <c r="Z960" s="1748"/>
      <c r="AA960" s="541"/>
      <c r="AB960" s="1748"/>
      <c r="AC960" s="541"/>
      <c r="AD960" s="541"/>
      <c r="AE960" s="541"/>
      <c r="AF960" s="541"/>
      <c r="AG960" s="541"/>
      <c r="AH960" s="541"/>
      <c r="AI960" s="541"/>
      <c r="AJ960" s="541"/>
      <c r="AK960" s="541"/>
      <c r="AL960" s="541"/>
      <c r="AM960" s="541"/>
      <c r="AN960" s="1748"/>
      <c r="AO960" s="1748"/>
      <c r="AP960" s="1748"/>
      <c r="AQ960" s="1748"/>
      <c r="AR960" s="1748"/>
      <c r="AS960" s="541"/>
      <c r="AT960" s="541"/>
      <c r="AU960" s="541"/>
      <c r="AV960" s="541"/>
      <c r="AW960" s="541"/>
      <c r="AX960" s="541"/>
      <c r="AY960" s="541"/>
      <c r="AZ960" s="541"/>
      <c r="BA960" s="541"/>
      <c r="BC960" s="541"/>
      <c r="BE960" s="541"/>
      <c r="BG960" s="541"/>
      <c r="BH960" s="1190"/>
      <c r="BI960" s="541"/>
      <c r="BJ960" s="1190"/>
      <c r="BK960" s="541"/>
      <c r="BL960" s="541"/>
      <c r="BM960" s="541"/>
      <c r="BO960" s="541"/>
      <c r="BP960" s="541"/>
      <c r="BQ960" s="633"/>
      <c r="BR960" s="541"/>
      <c r="BS960" s="541"/>
      <c r="BT960" s="541"/>
    </row>
    <row r="961" ht="15.75" customHeight="1">
      <c r="A961" s="1591"/>
      <c r="B961" s="1541"/>
      <c r="C961" s="2217"/>
      <c r="D961" s="1543"/>
      <c r="E961" s="906"/>
      <c r="F961" s="541"/>
      <c r="G961" s="541"/>
      <c r="H961" s="541"/>
      <c r="I961" s="541"/>
      <c r="J961" s="1748"/>
      <c r="K961" s="541"/>
      <c r="L961" s="1748"/>
      <c r="M961" s="541"/>
      <c r="N961" s="1748"/>
      <c r="O961" s="541"/>
      <c r="P961" s="1748"/>
      <c r="Q961" s="541"/>
      <c r="R961" s="1748"/>
      <c r="S961" s="541"/>
      <c r="T961" s="1748"/>
      <c r="U961" s="541"/>
      <c r="V961" s="1748"/>
      <c r="W961" s="541"/>
      <c r="X961" s="1748"/>
      <c r="Y961" s="1748"/>
      <c r="Z961" s="1748"/>
      <c r="AA961" s="541"/>
      <c r="AB961" s="1748"/>
      <c r="AC961" s="541"/>
      <c r="AD961" s="541"/>
      <c r="AE961" s="541"/>
      <c r="AF961" s="541"/>
      <c r="AG961" s="541"/>
      <c r="AH961" s="541"/>
      <c r="AI961" s="541"/>
      <c r="AJ961" s="541"/>
      <c r="AK961" s="541"/>
      <c r="AL961" s="541"/>
      <c r="AM961" s="541"/>
      <c r="AN961" s="1748"/>
      <c r="AO961" s="1748"/>
      <c r="AP961" s="1748"/>
      <c r="AQ961" s="1748"/>
      <c r="AR961" s="1748"/>
      <c r="AS961" s="541"/>
      <c r="AT961" s="541"/>
      <c r="AU961" s="541"/>
      <c r="AV961" s="541"/>
      <c r="AW961" s="541"/>
      <c r="AX961" s="541"/>
      <c r="AY961" s="541"/>
      <c r="AZ961" s="541"/>
      <c r="BA961" s="541"/>
      <c r="BC961" s="541"/>
      <c r="BE961" s="541"/>
      <c r="BG961" s="541"/>
      <c r="BH961" s="1190"/>
      <c r="BI961" s="541"/>
      <c r="BJ961" s="1190"/>
      <c r="BK961" s="541"/>
      <c r="BL961" s="541"/>
      <c r="BM961" s="541"/>
      <c r="BO961" s="541"/>
      <c r="BP961" s="541"/>
      <c r="BQ961" s="633"/>
      <c r="BR961" s="541"/>
      <c r="BS961" s="541"/>
      <c r="BT961" s="541"/>
    </row>
    <row r="962" ht="15.75" customHeight="1">
      <c r="A962" s="1591"/>
      <c r="B962" s="1541"/>
      <c r="C962" s="2217"/>
      <c r="D962" s="1543"/>
      <c r="E962" s="906"/>
      <c r="F962" s="541"/>
      <c r="G962" s="541"/>
      <c r="H962" s="541"/>
      <c r="I962" s="541"/>
      <c r="J962" s="1748"/>
      <c r="K962" s="541"/>
      <c r="L962" s="1748"/>
      <c r="M962" s="541"/>
      <c r="N962" s="1748"/>
      <c r="O962" s="541"/>
      <c r="P962" s="1748"/>
      <c r="Q962" s="541"/>
      <c r="R962" s="1748"/>
      <c r="S962" s="541"/>
      <c r="T962" s="1748"/>
      <c r="U962" s="541"/>
      <c r="V962" s="1748"/>
      <c r="W962" s="541"/>
      <c r="X962" s="1748"/>
      <c r="Y962" s="1748"/>
      <c r="Z962" s="1748"/>
      <c r="AA962" s="541"/>
      <c r="AB962" s="1748"/>
      <c r="AC962" s="541"/>
      <c r="AD962" s="541"/>
      <c r="AE962" s="541"/>
      <c r="AF962" s="541"/>
      <c r="AG962" s="541"/>
      <c r="AH962" s="541"/>
      <c r="AI962" s="541"/>
      <c r="AJ962" s="541"/>
      <c r="AK962" s="541"/>
      <c r="AL962" s="541"/>
      <c r="AM962" s="541"/>
      <c r="AN962" s="1748"/>
      <c r="AO962" s="1748"/>
      <c r="AP962" s="1748"/>
      <c r="AQ962" s="1748"/>
      <c r="AR962" s="1748"/>
      <c r="AS962" s="541"/>
      <c r="AT962" s="541"/>
      <c r="AU962" s="541"/>
      <c r="AV962" s="541"/>
      <c r="AW962" s="541"/>
      <c r="AX962" s="541"/>
      <c r="AY962" s="541"/>
      <c r="AZ962" s="541"/>
      <c r="BA962" s="541"/>
      <c r="BC962" s="541"/>
      <c r="BE962" s="541"/>
      <c r="BG962" s="541"/>
      <c r="BH962" s="1190"/>
      <c r="BI962" s="541"/>
      <c r="BJ962" s="1190"/>
      <c r="BK962" s="541"/>
      <c r="BL962" s="541"/>
      <c r="BM962" s="541"/>
      <c r="BO962" s="541"/>
      <c r="BP962" s="541"/>
      <c r="BQ962" s="633"/>
      <c r="BR962" s="541"/>
      <c r="BS962" s="541"/>
      <c r="BT962" s="541"/>
    </row>
    <row r="963" ht="15.75" customHeight="1">
      <c r="A963" s="1591"/>
      <c r="B963" s="1541"/>
      <c r="C963" s="2217"/>
      <c r="D963" s="1543"/>
      <c r="E963" s="906"/>
      <c r="F963" s="541"/>
      <c r="G963" s="541"/>
      <c r="H963" s="541"/>
      <c r="I963" s="541"/>
      <c r="J963" s="1748"/>
      <c r="K963" s="541"/>
      <c r="L963" s="1748"/>
      <c r="M963" s="541"/>
      <c r="N963" s="1748"/>
      <c r="O963" s="541"/>
      <c r="P963" s="1748"/>
      <c r="Q963" s="541"/>
      <c r="R963" s="1748"/>
      <c r="S963" s="541"/>
      <c r="T963" s="1748"/>
      <c r="U963" s="541"/>
      <c r="V963" s="1748"/>
      <c r="W963" s="541"/>
      <c r="X963" s="1748"/>
      <c r="Y963" s="1748"/>
      <c r="Z963" s="1748"/>
      <c r="AA963" s="541"/>
      <c r="AB963" s="1748"/>
      <c r="AC963" s="541"/>
      <c r="AD963" s="541"/>
      <c r="AE963" s="541"/>
      <c r="AF963" s="541"/>
      <c r="AG963" s="541"/>
      <c r="AH963" s="541"/>
      <c r="AI963" s="541"/>
      <c r="AJ963" s="541"/>
      <c r="AK963" s="541"/>
      <c r="AL963" s="541"/>
      <c r="AM963" s="541"/>
      <c r="AN963" s="1748"/>
      <c r="AO963" s="1748"/>
      <c r="AP963" s="1748"/>
      <c r="AQ963" s="1748"/>
      <c r="AR963" s="1748"/>
      <c r="AS963" s="541"/>
      <c r="AT963" s="541"/>
      <c r="AU963" s="541"/>
      <c r="AV963" s="541"/>
      <c r="AW963" s="541"/>
      <c r="AX963" s="541"/>
      <c r="AY963" s="541"/>
      <c r="AZ963" s="541"/>
      <c r="BA963" s="541"/>
      <c r="BC963" s="541"/>
      <c r="BE963" s="541"/>
      <c r="BG963" s="541"/>
      <c r="BH963" s="1190"/>
      <c r="BI963" s="541"/>
      <c r="BJ963" s="1190"/>
      <c r="BK963" s="541"/>
      <c r="BL963" s="541"/>
      <c r="BM963" s="541"/>
      <c r="BO963" s="541"/>
      <c r="BP963" s="541"/>
      <c r="BQ963" s="633"/>
      <c r="BR963" s="541"/>
      <c r="BS963" s="541"/>
      <c r="BT963" s="541"/>
    </row>
    <row r="964" ht="15.75" customHeight="1">
      <c r="A964" s="1591"/>
      <c r="B964" s="1541"/>
      <c r="C964" s="2217"/>
      <c r="D964" s="1543"/>
      <c r="E964" s="906"/>
      <c r="F964" s="541"/>
      <c r="G964" s="541"/>
      <c r="H964" s="541"/>
      <c r="I964" s="541"/>
      <c r="J964" s="1748"/>
      <c r="K964" s="541"/>
      <c r="L964" s="1748"/>
      <c r="M964" s="541"/>
      <c r="N964" s="1748"/>
      <c r="O964" s="541"/>
      <c r="P964" s="1748"/>
      <c r="Q964" s="541"/>
      <c r="R964" s="1748"/>
      <c r="S964" s="541"/>
      <c r="T964" s="1748"/>
      <c r="U964" s="541"/>
      <c r="V964" s="1748"/>
      <c r="W964" s="541"/>
      <c r="X964" s="1748"/>
      <c r="Y964" s="1748"/>
      <c r="Z964" s="1748"/>
      <c r="AA964" s="541"/>
      <c r="AB964" s="1748"/>
      <c r="AC964" s="541"/>
      <c r="AD964" s="541"/>
      <c r="AE964" s="541"/>
      <c r="AF964" s="541"/>
      <c r="AG964" s="541"/>
      <c r="AH964" s="541"/>
      <c r="AI964" s="541"/>
      <c r="AJ964" s="541"/>
      <c r="AK964" s="541"/>
      <c r="AL964" s="541"/>
      <c r="AM964" s="541"/>
      <c r="AN964" s="1748"/>
      <c r="AO964" s="1748"/>
      <c r="AP964" s="1748"/>
      <c r="AQ964" s="1748"/>
      <c r="AR964" s="1748"/>
      <c r="AS964" s="541"/>
      <c r="AT964" s="541"/>
      <c r="AU964" s="541"/>
      <c r="AV964" s="541"/>
      <c r="AW964" s="541"/>
      <c r="AX964" s="541"/>
      <c r="AY964" s="541"/>
      <c r="AZ964" s="541"/>
      <c r="BA964" s="541"/>
      <c r="BC964" s="541"/>
      <c r="BE964" s="541"/>
      <c r="BG964" s="541"/>
      <c r="BH964" s="1190"/>
      <c r="BI964" s="541"/>
      <c r="BJ964" s="1190"/>
      <c r="BK964" s="541"/>
      <c r="BL964" s="541"/>
      <c r="BM964" s="541"/>
      <c r="BO964" s="541"/>
      <c r="BP964" s="541"/>
      <c r="BQ964" s="633"/>
      <c r="BR964" s="541"/>
      <c r="BS964" s="541"/>
      <c r="BT964" s="541"/>
    </row>
    <row r="965" ht="15.75" customHeight="1">
      <c r="A965" s="1591"/>
      <c r="B965" s="1541"/>
      <c r="C965" s="2217"/>
      <c r="D965" s="1543"/>
      <c r="E965" s="906"/>
      <c r="F965" s="541"/>
      <c r="G965" s="541"/>
      <c r="H965" s="541"/>
      <c r="I965" s="541"/>
      <c r="J965" s="1748"/>
      <c r="K965" s="541"/>
      <c r="L965" s="1748"/>
      <c r="M965" s="541"/>
      <c r="N965" s="1748"/>
      <c r="O965" s="541"/>
      <c r="P965" s="1748"/>
      <c r="Q965" s="541"/>
      <c r="R965" s="1748"/>
      <c r="S965" s="541"/>
      <c r="T965" s="1748"/>
      <c r="U965" s="541"/>
      <c r="V965" s="1748"/>
      <c r="W965" s="541"/>
      <c r="X965" s="1748"/>
      <c r="Y965" s="1748"/>
      <c r="Z965" s="1748"/>
      <c r="AA965" s="541"/>
      <c r="AB965" s="1748"/>
      <c r="AC965" s="541"/>
      <c r="AD965" s="541"/>
      <c r="AE965" s="541"/>
      <c r="AF965" s="541"/>
      <c r="AG965" s="541"/>
      <c r="AH965" s="541"/>
      <c r="AI965" s="541"/>
      <c r="AJ965" s="541"/>
      <c r="AK965" s="541"/>
      <c r="AL965" s="541"/>
      <c r="AM965" s="541"/>
      <c r="AN965" s="1748"/>
      <c r="AO965" s="1748"/>
      <c r="AP965" s="1748"/>
      <c r="AQ965" s="1748"/>
      <c r="AR965" s="1748"/>
      <c r="AS965" s="541"/>
      <c r="AT965" s="541"/>
      <c r="AU965" s="541"/>
      <c r="AV965" s="541"/>
      <c r="AW965" s="541"/>
      <c r="AX965" s="541"/>
      <c r="AY965" s="541"/>
      <c r="AZ965" s="541"/>
      <c r="BA965" s="541"/>
      <c r="BC965" s="541"/>
      <c r="BE965" s="541"/>
      <c r="BG965" s="541"/>
      <c r="BH965" s="1190"/>
      <c r="BI965" s="541"/>
      <c r="BJ965" s="1190"/>
      <c r="BK965" s="541"/>
      <c r="BL965" s="541"/>
      <c r="BM965" s="541"/>
      <c r="BO965" s="541"/>
      <c r="BP965" s="541"/>
      <c r="BQ965" s="633"/>
      <c r="BR965" s="541"/>
      <c r="BS965" s="541"/>
      <c r="BT965" s="541"/>
    </row>
    <row r="966" ht="15.75" customHeight="1">
      <c r="A966" s="1591"/>
      <c r="B966" s="1541"/>
      <c r="C966" s="2217"/>
      <c r="D966" s="1543"/>
      <c r="E966" s="906"/>
      <c r="F966" s="541"/>
      <c r="G966" s="541"/>
      <c r="H966" s="541"/>
      <c r="I966" s="541"/>
      <c r="J966" s="1748"/>
      <c r="K966" s="541"/>
      <c r="L966" s="1748"/>
      <c r="M966" s="541"/>
      <c r="N966" s="1748"/>
      <c r="O966" s="541"/>
      <c r="P966" s="1748"/>
      <c r="Q966" s="541"/>
      <c r="R966" s="1748"/>
      <c r="S966" s="541"/>
      <c r="T966" s="1748"/>
      <c r="U966" s="541"/>
      <c r="V966" s="1748"/>
      <c r="W966" s="541"/>
      <c r="X966" s="1748"/>
      <c r="Y966" s="1748"/>
      <c r="Z966" s="1748"/>
      <c r="AA966" s="541"/>
      <c r="AB966" s="1748"/>
      <c r="AC966" s="541"/>
      <c r="AD966" s="541"/>
      <c r="AE966" s="541"/>
      <c r="AF966" s="541"/>
      <c r="AG966" s="541"/>
      <c r="AH966" s="541"/>
      <c r="AI966" s="541"/>
      <c r="AJ966" s="541"/>
      <c r="AK966" s="541"/>
      <c r="AL966" s="541"/>
      <c r="AM966" s="541"/>
      <c r="AN966" s="1748"/>
      <c r="AO966" s="1748"/>
      <c r="AP966" s="1748"/>
      <c r="AQ966" s="1748"/>
      <c r="AR966" s="1748"/>
      <c r="AS966" s="541"/>
      <c r="AT966" s="541"/>
      <c r="AU966" s="541"/>
      <c r="AV966" s="541"/>
      <c r="AW966" s="541"/>
      <c r="AX966" s="541"/>
      <c r="AY966" s="541"/>
      <c r="AZ966" s="541"/>
      <c r="BA966" s="541"/>
      <c r="BC966" s="541"/>
      <c r="BE966" s="541"/>
      <c r="BG966" s="541"/>
      <c r="BH966" s="1190"/>
      <c r="BI966" s="541"/>
      <c r="BJ966" s="1190"/>
      <c r="BK966" s="541"/>
      <c r="BL966" s="541"/>
      <c r="BM966" s="541"/>
      <c r="BO966" s="541"/>
      <c r="BP966" s="541"/>
      <c r="BQ966" s="633"/>
      <c r="BR966" s="541"/>
      <c r="BS966" s="541"/>
      <c r="BT966" s="541"/>
    </row>
    <row r="967" ht="15.75" customHeight="1">
      <c r="A967" s="1591"/>
      <c r="B967" s="1541"/>
      <c r="C967" s="2217"/>
      <c r="D967" s="1543"/>
      <c r="E967" s="906"/>
      <c r="F967" s="541"/>
      <c r="G967" s="541"/>
      <c r="H967" s="541"/>
      <c r="I967" s="541"/>
      <c r="J967" s="1748"/>
      <c r="K967" s="541"/>
      <c r="L967" s="1748"/>
      <c r="M967" s="541"/>
      <c r="N967" s="1748"/>
      <c r="O967" s="541"/>
      <c r="P967" s="1748"/>
      <c r="Q967" s="541"/>
      <c r="R967" s="1748"/>
      <c r="S967" s="541"/>
      <c r="T967" s="1748"/>
      <c r="U967" s="541"/>
      <c r="V967" s="1748"/>
      <c r="W967" s="541"/>
      <c r="X967" s="1748"/>
      <c r="Y967" s="1748"/>
      <c r="Z967" s="1748"/>
      <c r="AA967" s="541"/>
      <c r="AB967" s="1748"/>
      <c r="AC967" s="541"/>
      <c r="AD967" s="541"/>
      <c r="AE967" s="541"/>
      <c r="AF967" s="541"/>
      <c r="AG967" s="541"/>
      <c r="AH967" s="541"/>
      <c r="AI967" s="541"/>
      <c r="AJ967" s="541"/>
      <c r="AK967" s="541"/>
      <c r="AL967" s="541"/>
      <c r="AM967" s="541"/>
      <c r="AN967" s="1748"/>
      <c r="AO967" s="1748"/>
      <c r="AP967" s="1748"/>
      <c r="AQ967" s="1748"/>
      <c r="AR967" s="1748"/>
      <c r="AS967" s="541"/>
      <c r="AT967" s="541"/>
      <c r="AU967" s="541"/>
      <c r="AV967" s="541"/>
      <c r="AW967" s="541"/>
      <c r="AX967" s="541"/>
      <c r="AY967" s="541"/>
      <c r="AZ967" s="541"/>
      <c r="BA967" s="541"/>
      <c r="BC967" s="541"/>
      <c r="BE967" s="541"/>
      <c r="BG967" s="541"/>
      <c r="BH967" s="1190"/>
      <c r="BI967" s="541"/>
      <c r="BJ967" s="1190"/>
      <c r="BK967" s="541"/>
      <c r="BL967" s="541"/>
      <c r="BM967" s="541"/>
      <c r="BO967" s="541"/>
      <c r="BP967" s="541"/>
      <c r="BQ967" s="633"/>
      <c r="BR967" s="541"/>
      <c r="BS967" s="541"/>
      <c r="BT967" s="541"/>
    </row>
    <row r="968" ht="15.75" customHeight="1">
      <c r="A968" s="1591"/>
      <c r="B968" s="1541"/>
      <c r="C968" s="2217"/>
      <c r="D968" s="1543"/>
      <c r="E968" s="906"/>
      <c r="F968" s="541"/>
      <c r="G968" s="541"/>
      <c r="H968" s="541"/>
      <c r="I968" s="541"/>
      <c r="J968" s="1748"/>
      <c r="K968" s="541"/>
      <c r="L968" s="1748"/>
      <c r="M968" s="541"/>
      <c r="N968" s="1748"/>
      <c r="O968" s="541"/>
      <c r="P968" s="1748"/>
      <c r="Q968" s="541"/>
      <c r="R968" s="1748"/>
      <c r="S968" s="541"/>
      <c r="T968" s="1748"/>
      <c r="U968" s="541"/>
      <c r="V968" s="1748"/>
      <c r="W968" s="541"/>
      <c r="X968" s="1748"/>
      <c r="Y968" s="1748"/>
      <c r="Z968" s="1748"/>
      <c r="AA968" s="541"/>
      <c r="AB968" s="1748"/>
      <c r="AC968" s="541"/>
      <c r="AD968" s="541"/>
      <c r="AE968" s="541"/>
      <c r="AF968" s="541"/>
      <c r="AG968" s="541"/>
      <c r="AH968" s="541"/>
      <c r="AI968" s="541"/>
      <c r="AJ968" s="541"/>
      <c r="AK968" s="541"/>
      <c r="AL968" s="541"/>
      <c r="AM968" s="541"/>
      <c r="AN968" s="1748"/>
      <c r="AO968" s="1748"/>
      <c r="AP968" s="1748"/>
      <c r="AQ968" s="1748"/>
      <c r="AR968" s="1748"/>
      <c r="AS968" s="541"/>
      <c r="AT968" s="541"/>
      <c r="AU968" s="541"/>
      <c r="AV968" s="541"/>
      <c r="AW968" s="541"/>
      <c r="AX968" s="541"/>
      <c r="AY968" s="541"/>
      <c r="AZ968" s="541"/>
      <c r="BA968" s="541"/>
      <c r="BC968" s="541"/>
      <c r="BE968" s="541"/>
      <c r="BG968" s="541"/>
      <c r="BH968" s="1190"/>
      <c r="BI968" s="541"/>
      <c r="BJ968" s="1190"/>
      <c r="BK968" s="541"/>
      <c r="BL968" s="541"/>
      <c r="BM968" s="541"/>
      <c r="BO968" s="541"/>
      <c r="BP968" s="541"/>
      <c r="BQ968" s="633"/>
      <c r="BR968" s="541"/>
      <c r="BS968" s="541"/>
      <c r="BT968" s="541"/>
    </row>
    <row r="969" ht="15.75" customHeight="1">
      <c r="A969" s="1591"/>
      <c r="B969" s="1541"/>
      <c r="C969" s="2217"/>
      <c r="D969" s="1543"/>
      <c r="E969" s="906"/>
      <c r="F969" s="541"/>
      <c r="G969" s="541"/>
      <c r="H969" s="541"/>
      <c r="I969" s="541"/>
      <c r="J969" s="1748"/>
      <c r="K969" s="541"/>
      <c r="L969" s="1748"/>
      <c r="M969" s="541"/>
      <c r="N969" s="1748"/>
      <c r="O969" s="541"/>
      <c r="P969" s="1748"/>
      <c r="Q969" s="541"/>
      <c r="R969" s="1748"/>
      <c r="S969" s="541"/>
      <c r="T969" s="1748"/>
      <c r="U969" s="541"/>
      <c r="V969" s="1748"/>
      <c r="W969" s="541"/>
      <c r="X969" s="1748"/>
      <c r="Y969" s="1748"/>
      <c r="Z969" s="1748"/>
      <c r="AA969" s="541"/>
      <c r="AB969" s="1748"/>
      <c r="AC969" s="541"/>
      <c r="AD969" s="541"/>
      <c r="AE969" s="541"/>
      <c r="AF969" s="541"/>
      <c r="AG969" s="541"/>
      <c r="AH969" s="541"/>
      <c r="AI969" s="541"/>
      <c r="AJ969" s="541"/>
      <c r="AK969" s="541"/>
      <c r="AL969" s="541"/>
      <c r="AM969" s="541"/>
      <c r="AN969" s="1748"/>
      <c r="AO969" s="1748"/>
      <c r="AP969" s="1748"/>
      <c r="AQ969" s="1748"/>
      <c r="AR969" s="1748"/>
      <c r="AS969" s="541"/>
      <c r="AT969" s="541"/>
      <c r="AU969" s="541"/>
      <c r="AV969" s="541"/>
      <c r="AW969" s="541"/>
      <c r="AX969" s="541"/>
      <c r="AY969" s="541"/>
      <c r="AZ969" s="541"/>
      <c r="BA969" s="541"/>
      <c r="BC969" s="541"/>
      <c r="BE969" s="541"/>
      <c r="BG969" s="541"/>
      <c r="BH969" s="1190"/>
      <c r="BI969" s="541"/>
      <c r="BJ969" s="1190"/>
      <c r="BK969" s="541"/>
      <c r="BL969" s="541"/>
      <c r="BM969" s="541"/>
      <c r="BO969" s="541"/>
      <c r="BP969" s="541"/>
      <c r="BQ969" s="633"/>
      <c r="BR969" s="541"/>
      <c r="BS969" s="541"/>
      <c r="BT969" s="541"/>
    </row>
    <row r="970" ht="15.75" customHeight="1">
      <c r="A970" s="1591"/>
      <c r="B970" s="1541"/>
      <c r="C970" s="2217"/>
      <c r="D970" s="1543"/>
      <c r="E970" s="906"/>
      <c r="F970" s="541"/>
      <c r="G970" s="541"/>
      <c r="H970" s="541"/>
      <c r="I970" s="541"/>
      <c r="J970" s="1748"/>
      <c r="K970" s="541"/>
      <c r="L970" s="1748"/>
      <c r="M970" s="541"/>
      <c r="N970" s="1748"/>
      <c r="O970" s="541"/>
      <c r="P970" s="1748"/>
      <c r="Q970" s="541"/>
      <c r="R970" s="1748"/>
      <c r="S970" s="541"/>
      <c r="T970" s="1748"/>
      <c r="U970" s="541"/>
      <c r="V970" s="1748"/>
      <c r="W970" s="541"/>
      <c r="X970" s="1748"/>
      <c r="Y970" s="1748"/>
      <c r="Z970" s="1748"/>
      <c r="AA970" s="541"/>
      <c r="AB970" s="1748"/>
      <c r="AC970" s="541"/>
      <c r="AD970" s="541"/>
      <c r="AE970" s="541"/>
      <c r="AF970" s="541"/>
      <c r="AG970" s="541"/>
      <c r="AH970" s="541"/>
      <c r="AI970" s="541"/>
      <c r="AJ970" s="541"/>
      <c r="AK970" s="541"/>
      <c r="AL970" s="541"/>
      <c r="AM970" s="541"/>
      <c r="AN970" s="1748"/>
      <c r="AO970" s="1748"/>
      <c r="AP970" s="1748"/>
      <c r="AQ970" s="1748"/>
      <c r="AR970" s="1748"/>
      <c r="AS970" s="541"/>
      <c r="AT970" s="541"/>
      <c r="AU970" s="541"/>
      <c r="AV970" s="541"/>
      <c r="AW970" s="541"/>
      <c r="AX970" s="541"/>
      <c r="AY970" s="541"/>
      <c r="AZ970" s="541"/>
      <c r="BA970" s="541"/>
      <c r="BC970" s="541"/>
      <c r="BE970" s="541"/>
      <c r="BG970" s="541"/>
      <c r="BH970" s="1190"/>
      <c r="BI970" s="541"/>
      <c r="BJ970" s="1190"/>
      <c r="BK970" s="541"/>
      <c r="BL970" s="541"/>
      <c r="BM970" s="541"/>
      <c r="BO970" s="541"/>
      <c r="BP970" s="541"/>
      <c r="BQ970" s="633"/>
      <c r="BR970" s="541"/>
      <c r="BS970" s="541"/>
      <c r="BT970" s="541"/>
    </row>
    <row r="971" ht="15.75" customHeight="1">
      <c r="A971" s="1591"/>
      <c r="B971" s="1541"/>
      <c r="C971" s="2217"/>
      <c r="D971" s="1543"/>
      <c r="E971" s="906"/>
      <c r="F971" s="541"/>
      <c r="G971" s="541"/>
      <c r="H971" s="541"/>
      <c r="I971" s="541"/>
      <c r="J971" s="1748"/>
      <c r="K971" s="541"/>
      <c r="L971" s="1748"/>
      <c r="M971" s="541"/>
      <c r="N971" s="1748"/>
      <c r="O971" s="541"/>
      <c r="P971" s="1748"/>
      <c r="Q971" s="541"/>
      <c r="R971" s="1748"/>
      <c r="S971" s="541"/>
      <c r="T971" s="1748"/>
      <c r="U971" s="541"/>
      <c r="V971" s="1748"/>
      <c r="W971" s="541"/>
      <c r="X971" s="1748"/>
      <c r="Y971" s="1748"/>
      <c r="Z971" s="1748"/>
      <c r="AA971" s="541"/>
      <c r="AB971" s="1748"/>
      <c r="AC971" s="541"/>
      <c r="AD971" s="541"/>
      <c r="AE971" s="541"/>
      <c r="AF971" s="541"/>
      <c r="AG971" s="541"/>
      <c r="AH971" s="541"/>
      <c r="AI971" s="541"/>
      <c r="AJ971" s="541"/>
      <c r="AK971" s="541"/>
      <c r="AL971" s="541"/>
      <c r="AM971" s="541"/>
      <c r="AN971" s="1748"/>
      <c r="AO971" s="1748"/>
      <c r="AP971" s="1748"/>
      <c r="AQ971" s="1748"/>
      <c r="AR971" s="1748"/>
      <c r="AS971" s="541"/>
      <c r="AT971" s="541"/>
      <c r="AU971" s="541"/>
      <c r="AV971" s="541"/>
      <c r="AW971" s="541"/>
      <c r="AX971" s="541"/>
      <c r="AY971" s="541"/>
      <c r="AZ971" s="541"/>
      <c r="BA971" s="541"/>
      <c r="BC971" s="541"/>
      <c r="BE971" s="541"/>
      <c r="BG971" s="541"/>
      <c r="BH971" s="1190"/>
      <c r="BI971" s="541"/>
      <c r="BJ971" s="1190"/>
      <c r="BK971" s="541"/>
      <c r="BL971" s="541"/>
      <c r="BM971" s="541"/>
      <c r="BO971" s="541"/>
      <c r="BP971" s="541"/>
      <c r="BQ971" s="633"/>
      <c r="BR971" s="541"/>
      <c r="BS971" s="541"/>
      <c r="BT971" s="541"/>
    </row>
    <row r="972" ht="15.75" customHeight="1">
      <c r="A972" s="1591"/>
      <c r="B972" s="1541"/>
      <c r="C972" s="2217"/>
      <c r="D972" s="1543"/>
      <c r="E972" s="906"/>
      <c r="F972" s="541"/>
      <c r="G972" s="541"/>
      <c r="H972" s="541"/>
      <c r="I972" s="541"/>
      <c r="J972" s="1748"/>
      <c r="K972" s="541"/>
      <c r="L972" s="1748"/>
      <c r="M972" s="541"/>
      <c r="N972" s="1748"/>
      <c r="O972" s="541"/>
      <c r="P972" s="1748"/>
      <c r="Q972" s="541"/>
      <c r="R972" s="1748"/>
      <c r="S972" s="541"/>
      <c r="T972" s="1748"/>
      <c r="U972" s="541"/>
      <c r="V972" s="1748"/>
      <c r="W972" s="541"/>
      <c r="X972" s="1748"/>
      <c r="Y972" s="1748"/>
      <c r="Z972" s="1748"/>
      <c r="AA972" s="541"/>
      <c r="AB972" s="1748"/>
      <c r="AC972" s="541"/>
      <c r="AD972" s="541"/>
      <c r="AE972" s="541"/>
      <c r="AF972" s="541"/>
      <c r="AG972" s="541"/>
      <c r="AH972" s="541"/>
      <c r="AI972" s="541"/>
      <c r="AJ972" s="541"/>
      <c r="AK972" s="541"/>
      <c r="AL972" s="541"/>
      <c r="AM972" s="541"/>
      <c r="AN972" s="1748"/>
      <c r="AO972" s="1748"/>
      <c r="AP972" s="1748"/>
      <c r="AQ972" s="1748"/>
      <c r="AR972" s="1748"/>
      <c r="AS972" s="541"/>
      <c r="AT972" s="541"/>
      <c r="AU972" s="541"/>
      <c r="AV972" s="541"/>
      <c r="AW972" s="541"/>
      <c r="AX972" s="541"/>
      <c r="AY972" s="541"/>
      <c r="AZ972" s="541"/>
      <c r="BA972" s="541"/>
      <c r="BC972" s="541"/>
      <c r="BE972" s="541"/>
      <c r="BG972" s="541"/>
      <c r="BH972" s="1190"/>
      <c r="BI972" s="541"/>
      <c r="BJ972" s="1190"/>
      <c r="BK972" s="541"/>
      <c r="BL972" s="541"/>
      <c r="BM972" s="541"/>
      <c r="BO972" s="541"/>
      <c r="BP972" s="541"/>
      <c r="BQ972" s="633"/>
      <c r="BR972" s="541"/>
      <c r="BS972" s="541"/>
      <c r="BT972" s="541"/>
    </row>
    <row r="973" ht="15.75" customHeight="1">
      <c r="A973" s="1591"/>
      <c r="B973" s="1541"/>
      <c r="C973" s="2217"/>
      <c r="D973" s="1543"/>
      <c r="E973" s="906"/>
      <c r="F973" s="541"/>
      <c r="G973" s="541"/>
      <c r="H973" s="541"/>
      <c r="I973" s="541"/>
      <c r="J973" s="1748"/>
      <c r="K973" s="541"/>
      <c r="L973" s="1748"/>
      <c r="M973" s="541"/>
      <c r="N973" s="1748"/>
      <c r="O973" s="541"/>
      <c r="P973" s="1748"/>
      <c r="Q973" s="541"/>
      <c r="R973" s="1748"/>
      <c r="S973" s="541"/>
      <c r="T973" s="1748"/>
      <c r="U973" s="541"/>
      <c r="V973" s="1748"/>
      <c r="W973" s="541"/>
      <c r="X973" s="1748"/>
      <c r="Y973" s="1748"/>
      <c r="Z973" s="1748"/>
      <c r="AA973" s="541"/>
      <c r="AB973" s="1748"/>
      <c r="AC973" s="541"/>
      <c r="AD973" s="541"/>
      <c r="AE973" s="541"/>
      <c r="AF973" s="541"/>
      <c r="AG973" s="541"/>
      <c r="AH973" s="541"/>
      <c r="AI973" s="541"/>
      <c r="AJ973" s="541"/>
      <c r="AK973" s="541"/>
      <c r="AL973" s="541"/>
      <c r="AM973" s="541"/>
      <c r="AN973" s="1748"/>
      <c r="AO973" s="1748"/>
      <c r="AP973" s="1748"/>
      <c r="AQ973" s="1748"/>
      <c r="AR973" s="1748"/>
      <c r="AS973" s="541"/>
      <c r="AT973" s="541"/>
      <c r="AU973" s="541"/>
      <c r="AV973" s="541"/>
      <c r="AW973" s="541"/>
      <c r="AX973" s="541"/>
      <c r="AY973" s="541"/>
      <c r="AZ973" s="541"/>
      <c r="BA973" s="541"/>
      <c r="BC973" s="541"/>
      <c r="BE973" s="541"/>
      <c r="BG973" s="541"/>
      <c r="BH973" s="1190"/>
      <c r="BI973" s="541"/>
      <c r="BJ973" s="1190"/>
      <c r="BK973" s="541"/>
      <c r="BL973" s="541"/>
      <c r="BM973" s="541"/>
      <c r="BO973" s="541"/>
      <c r="BP973" s="541"/>
      <c r="BQ973" s="633"/>
      <c r="BR973" s="541"/>
      <c r="BS973" s="541"/>
      <c r="BT973" s="541"/>
    </row>
    <row r="974" ht="15.75" customHeight="1">
      <c r="A974" s="1591"/>
      <c r="B974" s="1541"/>
      <c r="C974" s="2217"/>
      <c r="D974" s="1543"/>
      <c r="E974" s="906"/>
      <c r="F974" s="541"/>
      <c r="G974" s="541"/>
      <c r="H974" s="541"/>
      <c r="I974" s="541"/>
      <c r="J974" s="1748"/>
      <c r="K974" s="541"/>
      <c r="L974" s="1748"/>
      <c r="M974" s="541"/>
      <c r="N974" s="1748"/>
      <c r="O974" s="541"/>
      <c r="P974" s="1748"/>
      <c r="Q974" s="541"/>
      <c r="R974" s="1748"/>
      <c r="S974" s="541"/>
      <c r="T974" s="1748"/>
      <c r="U974" s="541"/>
      <c r="V974" s="1748"/>
      <c r="W974" s="541"/>
      <c r="X974" s="1748"/>
      <c r="Y974" s="1748"/>
      <c r="Z974" s="1748"/>
      <c r="AA974" s="541"/>
      <c r="AB974" s="1748"/>
      <c r="AC974" s="541"/>
      <c r="AD974" s="541"/>
      <c r="AE974" s="541"/>
      <c r="AF974" s="541"/>
      <c r="AG974" s="541"/>
      <c r="AH974" s="541"/>
      <c r="AI974" s="541"/>
      <c r="AJ974" s="541"/>
      <c r="AK974" s="541"/>
      <c r="AL974" s="541"/>
      <c r="AM974" s="541"/>
      <c r="AN974" s="1748"/>
      <c r="AO974" s="1748"/>
      <c r="AP974" s="1748"/>
      <c r="AQ974" s="1748"/>
      <c r="AR974" s="1748"/>
      <c r="AS974" s="541"/>
      <c r="AT974" s="541"/>
      <c r="AU974" s="541"/>
      <c r="AV974" s="541"/>
      <c r="AW974" s="541"/>
      <c r="AX974" s="541"/>
      <c r="AY974" s="541"/>
      <c r="AZ974" s="541"/>
      <c r="BA974" s="541"/>
      <c r="BC974" s="541"/>
      <c r="BE974" s="541"/>
      <c r="BG974" s="541"/>
      <c r="BH974" s="1190"/>
      <c r="BI974" s="541"/>
      <c r="BJ974" s="1190"/>
      <c r="BK974" s="541"/>
      <c r="BL974" s="541"/>
      <c r="BM974" s="541"/>
      <c r="BO974" s="541"/>
      <c r="BP974" s="541"/>
      <c r="BQ974" s="633"/>
      <c r="BR974" s="541"/>
      <c r="BS974" s="541"/>
      <c r="BT974" s="541"/>
    </row>
    <row r="975" ht="15.75" customHeight="1">
      <c r="A975" s="1591"/>
      <c r="B975" s="1541"/>
      <c r="C975" s="2217"/>
      <c r="D975" s="1543"/>
      <c r="E975" s="906"/>
      <c r="F975" s="541"/>
      <c r="G975" s="541"/>
      <c r="H975" s="541"/>
      <c r="I975" s="541"/>
      <c r="J975" s="1748"/>
      <c r="K975" s="541"/>
      <c r="L975" s="1748"/>
      <c r="M975" s="541"/>
      <c r="N975" s="1748"/>
      <c r="O975" s="541"/>
      <c r="P975" s="1748"/>
      <c r="Q975" s="541"/>
      <c r="R975" s="1748"/>
      <c r="S975" s="541"/>
      <c r="T975" s="1748"/>
      <c r="U975" s="541"/>
      <c r="V975" s="1748"/>
      <c r="W975" s="541"/>
      <c r="X975" s="1748"/>
      <c r="Y975" s="1748"/>
      <c r="Z975" s="1748"/>
      <c r="AA975" s="541"/>
      <c r="AB975" s="1748"/>
      <c r="AC975" s="541"/>
      <c r="AD975" s="541"/>
      <c r="AE975" s="541"/>
      <c r="AF975" s="541"/>
      <c r="AG975" s="541"/>
      <c r="AH975" s="541"/>
      <c r="AI975" s="541"/>
      <c r="AJ975" s="541"/>
      <c r="AK975" s="541"/>
      <c r="AL975" s="541"/>
      <c r="AM975" s="541"/>
      <c r="AN975" s="1748"/>
      <c r="AO975" s="1748"/>
      <c r="AP975" s="1748"/>
      <c r="AQ975" s="1748"/>
      <c r="AR975" s="1748"/>
      <c r="AS975" s="541"/>
      <c r="AT975" s="541"/>
      <c r="AU975" s="541"/>
      <c r="AV975" s="541"/>
      <c r="AW975" s="541"/>
      <c r="AX975" s="541"/>
      <c r="AY975" s="541"/>
      <c r="AZ975" s="541"/>
      <c r="BA975" s="541"/>
      <c r="BC975" s="541"/>
      <c r="BE975" s="541"/>
      <c r="BG975" s="541"/>
      <c r="BH975" s="1190"/>
      <c r="BI975" s="541"/>
      <c r="BJ975" s="1190"/>
      <c r="BK975" s="541"/>
      <c r="BL975" s="541"/>
      <c r="BM975" s="541"/>
      <c r="BO975" s="541"/>
      <c r="BP975" s="541"/>
      <c r="BQ975" s="633"/>
      <c r="BR975" s="541"/>
      <c r="BS975" s="541"/>
      <c r="BT975" s="541"/>
    </row>
    <row r="976" ht="15.75" customHeight="1">
      <c r="A976" s="1591"/>
      <c r="B976" s="1541"/>
      <c r="C976" s="2217"/>
      <c r="D976" s="1543"/>
      <c r="E976" s="906"/>
      <c r="F976" s="541"/>
      <c r="G976" s="541"/>
      <c r="H976" s="541"/>
      <c r="I976" s="541"/>
      <c r="J976" s="1748"/>
      <c r="K976" s="541"/>
      <c r="L976" s="1748"/>
      <c r="M976" s="541"/>
      <c r="N976" s="1748"/>
      <c r="O976" s="541"/>
      <c r="P976" s="1748"/>
      <c r="Q976" s="541"/>
      <c r="R976" s="1748"/>
      <c r="S976" s="541"/>
      <c r="T976" s="1748"/>
      <c r="U976" s="541"/>
      <c r="V976" s="1748"/>
      <c r="W976" s="541"/>
      <c r="X976" s="1748"/>
      <c r="Y976" s="1748"/>
      <c r="Z976" s="1748"/>
      <c r="AA976" s="541"/>
      <c r="AB976" s="1748"/>
      <c r="AC976" s="541"/>
      <c r="AD976" s="541"/>
      <c r="AE976" s="541"/>
      <c r="AF976" s="541"/>
      <c r="AG976" s="541"/>
      <c r="AH976" s="541"/>
      <c r="AI976" s="541"/>
      <c r="AJ976" s="541"/>
      <c r="AK976" s="541"/>
      <c r="AL976" s="541"/>
      <c r="AM976" s="541"/>
      <c r="AN976" s="1748"/>
      <c r="AO976" s="1748"/>
      <c r="AP976" s="1748"/>
      <c r="AQ976" s="1748"/>
      <c r="AR976" s="1748"/>
      <c r="AS976" s="541"/>
      <c r="AT976" s="541"/>
      <c r="AU976" s="541"/>
      <c r="AV976" s="541"/>
      <c r="AW976" s="541"/>
      <c r="AX976" s="541"/>
      <c r="AY976" s="541"/>
      <c r="AZ976" s="541"/>
      <c r="BA976" s="541"/>
      <c r="BC976" s="541"/>
      <c r="BE976" s="541"/>
      <c r="BG976" s="541"/>
      <c r="BH976" s="1190"/>
      <c r="BI976" s="541"/>
      <c r="BJ976" s="1190"/>
      <c r="BK976" s="541"/>
      <c r="BL976" s="541"/>
      <c r="BM976" s="541"/>
      <c r="BO976" s="541"/>
      <c r="BP976" s="541"/>
      <c r="BQ976" s="633"/>
      <c r="BR976" s="541"/>
      <c r="BS976" s="541"/>
      <c r="BT976" s="541"/>
    </row>
    <row r="977" ht="15.75" customHeight="1">
      <c r="A977" s="1591"/>
      <c r="B977" s="1541"/>
      <c r="C977" s="2217"/>
      <c r="D977" s="1543"/>
      <c r="E977" s="906"/>
      <c r="F977" s="541"/>
      <c r="G977" s="541"/>
      <c r="H977" s="541"/>
      <c r="I977" s="541"/>
      <c r="J977" s="1748"/>
      <c r="K977" s="541"/>
      <c r="L977" s="1748"/>
      <c r="M977" s="541"/>
      <c r="N977" s="1748"/>
      <c r="O977" s="541"/>
      <c r="P977" s="1748"/>
      <c r="Q977" s="541"/>
      <c r="R977" s="1748"/>
      <c r="S977" s="541"/>
      <c r="T977" s="1748"/>
      <c r="U977" s="541"/>
      <c r="V977" s="1748"/>
      <c r="W977" s="541"/>
      <c r="X977" s="1748"/>
      <c r="Y977" s="1748"/>
      <c r="Z977" s="1748"/>
      <c r="AA977" s="541"/>
      <c r="AB977" s="1748"/>
      <c r="AC977" s="541"/>
      <c r="AD977" s="541"/>
      <c r="AE977" s="541"/>
      <c r="AF977" s="541"/>
      <c r="AG977" s="541"/>
      <c r="AH977" s="541"/>
      <c r="AI977" s="541"/>
      <c r="AJ977" s="541"/>
      <c r="AK977" s="541"/>
      <c r="AL977" s="541"/>
      <c r="AM977" s="541"/>
      <c r="AN977" s="1748"/>
      <c r="AO977" s="1748"/>
      <c r="AP977" s="1748"/>
      <c r="AQ977" s="1748"/>
      <c r="AR977" s="1748"/>
      <c r="AS977" s="541"/>
      <c r="AT977" s="541"/>
      <c r="AU977" s="541"/>
      <c r="AV977" s="541"/>
      <c r="AW977" s="541"/>
      <c r="AX977" s="541"/>
      <c r="AY977" s="541"/>
      <c r="AZ977" s="541"/>
      <c r="BA977" s="541"/>
      <c r="BC977" s="541"/>
      <c r="BE977" s="541"/>
      <c r="BG977" s="541"/>
      <c r="BH977" s="1190"/>
      <c r="BI977" s="541"/>
      <c r="BJ977" s="1190"/>
      <c r="BK977" s="541"/>
      <c r="BL977" s="541"/>
      <c r="BM977" s="541"/>
      <c r="BO977" s="541"/>
      <c r="BP977" s="541"/>
      <c r="BQ977" s="633"/>
      <c r="BR977" s="541"/>
      <c r="BS977" s="541"/>
      <c r="BT977" s="541"/>
    </row>
    <row r="978" ht="15.75" customHeight="1">
      <c r="A978" s="1591"/>
      <c r="B978" s="1541"/>
      <c r="C978" s="2217"/>
      <c r="D978" s="1543"/>
      <c r="E978" s="906"/>
      <c r="F978" s="541"/>
      <c r="G978" s="541"/>
      <c r="H978" s="541"/>
      <c r="I978" s="541"/>
      <c r="J978" s="1748"/>
      <c r="K978" s="541"/>
      <c r="L978" s="1748"/>
      <c r="M978" s="541"/>
      <c r="N978" s="1748"/>
      <c r="O978" s="541"/>
      <c r="P978" s="1748"/>
      <c r="Q978" s="541"/>
      <c r="R978" s="1748"/>
      <c r="S978" s="541"/>
      <c r="T978" s="1748"/>
      <c r="U978" s="541"/>
      <c r="V978" s="1748"/>
      <c r="W978" s="541"/>
      <c r="X978" s="1748"/>
      <c r="Y978" s="1748"/>
      <c r="Z978" s="1748"/>
      <c r="AA978" s="541"/>
      <c r="AB978" s="1748"/>
      <c r="AC978" s="541"/>
      <c r="AD978" s="541"/>
      <c r="AE978" s="541"/>
      <c r="AF978" s="541"/>
      <c r="AG978" s="541"/>
      <c r="AH978" s="541"/>
      <c r="AI978" s="541"/>
      <c r="AJ978" s="541"/>
      <c r="AK978" s="541"/>
      <c r="AL978" s="541"/>
      <c r="AM978" s="541"/>
      <c r="AN978" s="1748"/>
      <c r="AO978" s="1748"/>
      <c r="AP978" s="1748"/>
      <c r="AQ978" s="1748"/>
      <c r="AR978" s="1748"/>
      <c r="AS978" s="541"/>
      <c r="AT978" s="541"/>
      <c r="AU978" s="541"/>
      <c r="AV978" s="541"/>
      <c r="AW978" s="541"/>
      <c r="AX978" s="541"/>
      <c r="AY978" s="541"/>
      <c r="AZ978" s="541"/>
      <c r="BA978" s="541"/>
      <c r="BC978" s="541"/>
      <c r="BE978" s="541"/>
      <c r="BG978" s="541"/>
      <c r="BH978" s="1190"/>
      <c r="BI978" s="541"/>
      <c r="BJ978" s="1190"/>
      <c r="BK978" s="541"/>
      <c r="BL978" s="541"/>
      <c r="BM978" s="541"/>
      <c r="BO978" s="541"/>
      <c r="BP978" s="541"/>
      <c r="BQ978" s="633"/>
      <c r="BR978" s="541"/>
      <c r="BS978" s="541"/>
      <c r="BT978" s="541"/>
    </row>
    <row r="979" ht="15.75" customHeight="1">
      <c r="A979" s="1591"/>
      <c r="B979" s="1541"/>
      <c r="C979" s="2217"/>
      <c r="D979" s="1543"/>
      <c r="E979" s="906"/>
      <c r="F979" s="541"/>
      <c r="G979" s="541"/>
      <c r="H979" s="541"/>
      <c r="I979" s="541"/>
      <c r="J979" s="1748"/>
      <c r="K979" s="541"/>
      <c r="L979" s="1748"/>
      <c r="M979" s="541"/>
      <c r="N979" s="1748"/>
      <c r="O979" s="541"/>
      <c r="P979" s="1748"/>
      <c r="Q979" s="541"/>
      <c r="R979" s="1748"/>
      <c r="S979" s="541"/>
      <c r="T979" s="1748"/>
      <c r="U979" s="541"/>
      <c r="V979" s="1748"/>
      <c r="W979" s="541"/>
      <c r="X979" s="1748"/>
      <c r="Y979" s="1748"/>
      <c r="Z979" s="1748"/>
      <c r="AA979" s="541"/>
      <c r="AB979" s="1748"/>
      <c r="AC979" s="541"/>
      <c r="AD979" s="541"/>
      <c r="AE979" s="541"/>
      <c r="AF979" s="541"/>
      <c r="AG979" s="541"/>
      <c r="AH979" s="541"/>
      <c r="AI979" s="541"/>
      <c r="AJ979" s="541"/>
      <c r="AK979" s="541"/>
      <c r="AL979" s="541"/>
      <c r="AM979" s="541"/>
      <c r="AN979" s="1748"/>
      <c r="AO979" s="1748"/>
      <c r="AP979" s="1748"/>
      <c r="AQ979" s="1748"/>
      <c r="AR979" s="1748"/>
      <c r="AS979" s="541"/>
      <c r="AT979" s="541"/>
      <c r="AU979" s="541"/>
      <c r="AV979" s="541"/>
      <c r="AW979" s="541"/>
      <c r="AX979" s="541"/>
      <c r="AY979" s="541"/>
      <c r="AZ979" s="541"/>
      <c r="BA979" s="541"/>
      <c r="BC979" s="541"/>
      <c r="BE979" s="541"/>
      <c r="BG979" s="541"/>
      <c r="BH979" s="1190"/>
      <c r="BI979" s="541"/>
      <c r="BJ979" s="1190"/>
      <c r="BK979" s="541"/>
      <c r="BL979" s="541"/>
      <c r="BM979" s="541"/>
      <c r="BO979" s="541"/>
      <c r="BP979" s="541"/>
      <c r="BQ979" s="633"/>
      <c r="BR979" s="541"/>
      <c r="BS979" s="541"/>
      <c r="BT979" s="541"/>
    </row>
    <row r="980" ht="15.75" customHeight="1">
      <c r="A980" s="1591"/>
      <c r="B980" s="1541"/>
      <c r="C980" s="2217"/>
      <c r="D980" s="1543"/>
      <c r="E980" s="906"/>
      <c r="F980" s="541"/>
      <c r="G980" s="541"/>
      <c r="H980" s="541"/>
      <c r="I980" s="541"/>
      <c r="J980" s="1748"/>
      <c r="K980" s="541"/>
      <c r="L980" s="1748"/>
      <c r="M980" s="541"/>
      <c r="N980" s="1748"/>
      <c r="O980" s="541"/>
      <c r="P980" s="1748"/>
      <c r="Q980" s="541"/>
      <c r="R980" s="1748"/>
      <c r="S980" s="541"/>
      <c r="T980" s="1748"/>
      <c r="U980" s="541"/>
      <c r="V980" s="1748"/>
      <c r="W980" s="541"/>
      <c r="X980" s="1748"/>
      <c r="Y980" s="1748"/>
      <c r="Z980" s="1748"/>
      <c r="AA980" s="541"/>
      <c r="AB980" s="1748"/>
      <c r="AC980" s="541"/>
      <c r="AD980" s="541"/>
      <c r="AE980" s="541"/>
      <c r="AF980" s="541"/>
      <c r="AG980" s="541"/>
      <c r="AH980" s="541"/>
      <c r="AI980" s="541"/>
      <c r="AJ980" s="541"/>
      <c r="AK980" s="541"/>
      <c r="AL980" s="541"/>
      <c r="AM980" s="541"/>
      <c r="AN980" s="1748"/>
      <c r="AO980" s="1748"/>
      <c r="AP980" s="1748"/>
      <c r="AQ980" s="1748"/>
      <c r="AR980" s="1748"/>
      <c r="AS980" s="541"/>
      <c r="AT980" s="541"/>
      <c r="AU980" s="541"/>
      <c r="AV980" s="541"/>
      <c r="AW980" s="541"/>
      <c r="AX980" s="541"/>
      <c r="AY980" s="541"/>
      <c r="AZ980" s="541"/>
      <c r="BA980" s="541"/>
      <c r="BC980" s="541"/>
      <c r="BE980" s="541"/>
      <c r="BG980" s="541"/>
      <c r="BH980" s="1190"/>
      <c r="BI980" s="541"/>
      <c r="BJ980" s="1190"/>
      <c r="BK980" s="541"/>
      <c r="BL980" s="541"/>
      <c r="BM980" s="541"/>
      <c r="BO980" s="541"/>
      <c r="BP980" s="541"/>
      <c r="BQ980" s="633"/>
      <c r="BR980" s="541"/>
      <c r="BS980" s="541"/>
      <c r="BT980" s="541"/>
    </row>
    <row r="981" ht="15.75" customHeight="1">
      <c r="A981" s="1591"/>
      <c r="B981" s="1541"/>
      <c r="C981" s="2217"/>
      <c r="D981" s="1543"/>
      <c r="E981" s="906"/>
      <c r="F981" s="541"/>
      <c r="G981" s="541"/>
      <c r="H981" s="541"/>
      <c r="I981" s="541"/>
      <c r="J981" s="1748"/>
      <c r="K981" s="541"/>
      <c r="L981" s="1748"/>
      <c r="M981" s="541"/>
      <c r="N981" s="1748"/>
      <c r="O981" s="541"/>
      <c r="P981" s="1748"/>
      <c r="Q981" s="541"/>
      <c r="R981" s="1748"/>
      <c r="S981" s="541"/>
      <c r="T981" s="1748"/>
      <c r="U981" s="541"/>
      <c r="V981" s="1748"/>
      <c r="W981" s="541"/>
      <c r="X981" s="1748"/>
      <c r="Y981" s="1748"/>
      <c r="Z981" s="1748"/>
      <c r="AA981" s="541"/>
      <c r="AB981" s="1748"/>
      <c r="AC981" s="541"/>
      <c r="AD981" s="541"/>
      <c r="AE981" s="541"/>
      <c r="AF981" s="541"/>
      <c r="AG981" s="541"/>
      <c r="AH981" s="541"/>
      <c r="AI981" s="541"/>
      <c r="AJ981" s="541"/>
      <c r="AK981" s="541"/>
      <c r="AL981" s="541"/>
      <c r="AM981" s="541"/>
      <c r="AN981" s="1748"/>
      <c r="AO981" s="1748"/>
      <c r="AP981" s="1748"/>
      <c r="AQ981" s="1748"/>
      <c r="AR981" s="1748"/>
      <c r="AS981" s="541"/>
      <c r="AT981" s="541"/>
      <c r="AU981" s="541"/>
      <c r="AV981" s="541"/>
      <c r="AW981" s="541"/>
      <c r="AX981" s="541"/>
      <c r="AY981" s="541"/>
      <c r="AZ981" s="541"/>
      <c r="BA981" s="541"/>
      <c r="BC981" s="541"/>
      <c r="BE981" s="541"/>
      <c r="BG981" s="541"/>
      <c r="BH981" s="1190"/>
      <c r="BI981" s="541"/>
      <c r="BJ981" s="1190"/>
      <c r="BK981" s="541"/>
      <c r="BL981" s="541"/>
      <c r="BM981" s="541"/>
      <c r="BO981" s="541"/>
      <c r="BP981" s="541"/>
      <c r="BQ981" s="633"/>
      <c r="BR981" s="541"/>
      <c r="BS981" s="541"/>
      <c r="BT981" s="541"/>
    </row>
    <row r="982" ht="15.75" customHeight="1">
      <c r="A982" s="1591"/>
      <c r="B982" s="1541"/>
      <c r="C982" s="2217"/>
      <c r="D982" s="1543"/>
      <c r="E982" s="906"/>
      <c r="F982" s="541"/>
      <c r="G982" s="541"/>
      <c r="H982" s="541"/>
      <c r="I982" s="541"/>
      <c r="J982" s="1748"/>
      <c r="K982" s="541"/>
      <c r="L982" s="1748"/>
      <c r="M982" s="541"/>
      <c r="N982" s="1748"/>
      <c r="O982" s="541"/>
      <c r="P982" s="1748"/>
      <c r="Q982" s="541"/>
      <c r="R982" s="1748"/>
      <c r="S982" s="541"/>
      <c r="T982" s="1748"/>
      <c r="U982" s="541"/>
      <c r="V982" s="1748"/>
      <c r="W982" s="541"/>
      <c r="X982" s="1748"/>
      <c r="Y982" s="1748"/>
      <c r="Z982" s="1748"/>
      <c r="AA982" s="541"/>
      <c r="AB982" s="1748"/>
      <c r="AC982" s="541"/>
      <c r="AD982" s="541"/>
      <c r="AE982" s="541"/>
      <c r="AF982" s="541"/>
      <c r="AG982" s="541"/>
      <c r="AH982" s="541"/>
      <c r="AI982" s="541"/>
      <c r="AJ982" s="541"/>
      <c r="AK982" s="541"/>
      <c r="AL982" s="541"/>
      <c r="AM982" s="541"/>
      <c r="AN982" s="1748"/>
      <c r="AO982" s="1748"/>
      <c r="AP982" s="1748"/>
      <c r="AQ982" s="1748"/>
      <c r="AR982" s="1748"/>
      <c r="AS982" s="541"/>
      <c r="AT982" s="541"/>
      <c r="AU982" s="541"/>
      <c r="AV982" s="541"/>
      <c r="AW982" s="541"/>
      <c r="AX982" s="541"/>
      <c r="AY982" s="541"/>
      <c r="AZ982" s="541"/>
      <c r="BA982" s="541"/>
      <c r="BC982" s="541"/>
      <c r="BE982" s="541"/>
      <c r="BG982" s="541"/>
      <c r="BH982" s="1190"/>
      <c r="BI982" s="541"/>
      <c r="BJ982" s="1190"/>
      <c r="BK982" s="541"/>
      <c r="BL982" s="541"/>
      <c r="BM982" s="541"/>
      <c r="BO982" s="541"/>
      <c r="BP982" s="541"/>
      <c r="BQ982" s="633"/>
      <c r="BR982" s="541"/>
      <c r="BS982" s="541"/>
      <c r="BT982" s="541"/>
    </row>
    <row r="983" ht="15.75" customHeight="1">
      <c r="A983" s="1591"/>
      <c r="B983" s="1541"/>
      <c r="C983" s="2217"/>
      <c r="D983" s="1543"/>
      <c r="E983" s="906"/>
      <c r="F983" s="541"/>
      <c r="G983" s="541"/>
      <c r="H983" s="541"/>
      <c r="I983" s="541"/>
      <c r="J983" s="1748"/>
      <c r="K983" s="541"/>
      <c r="L983" s="1748"/>
      <c r="M983" s="541"/>
      <c r="N983" s="1748"/>
      <c r="O983" s="541"/>
      <c r="P983" s="1748"/>
      <c r="Q983" s="541"/>
      <c r="R983" s="1748"/>
      <c r="S983" s="541"/>
      <c r="T983" s="1748"/>
      <c r="U983" s="541"/>
      <c r="V983" s="1748"/>
      <c r="W983" s="541"/>
      <c r="X983" s="1748"/>
      <c r="Y983" s="1748"/>
      <c r="Z983" s="1748"/>
      <c r="AA983" s="541"/>
      <c r="AB983" s="1748"/>
      <c r="AC983" s="541"/>
      <c r="AD983" s="541"/>
      <c r="AE983" s="541"/>
      <c r="AF983" s="541"/>
      <c r="AG983" s="541"/>
      <c r="AH983" s="541"/>
      <c r="AI983" s="541"/>
      <c r="AJ983" s="541"/>
      <c r="AK983" s="541"/>
      <c r="AL983" s="541"/>
      <c r="AM983" s="541"/>
      <c r="AN983" s="1748"/>
      <c r="AO983" s="1748"/>
      <c r="AP983" s="1748"/>
      <c r="AQ983" s="1748"/>
      <c r="AR983" s="1748"/>
      <c r="AS983" s="541"/>
      <c r="AT983" s="541"/>
      <c r="AU983" s="541"/>
      <c r="AV983" s="541"/>
      <c r="AW983" s="541"/>
      <c r="AX983" s="541"/>
      <c r="AY983" s="541"/>
      <c r="AZ983" s="541"/>
      <c r="BA983" s="541"/>
      <c r="BC983" s="541"/>
      <c r="BE983" s="541"/>
      <c r="BG983" s="541"/>
      <c r="BH983" s="1190"/>
      <c r="BI983" s="541"/>
      <c r="BJ983" s="1190"/>
      <c r="BK983" s="541"/>
      <c r="BL983" s="541"/>
      <c r="BM983" s="541"/>
      <c r="BO983" s="541"/>
      <c r="BP983" s="541"/>
      <c r="BQ983" s="633"/>
      <c r="BR983" s="541"/>
      <c r="BS983" s="541"/>
      <c r="BT983" s="541"/>
    </row>
    <row r="984" ht="15.75" customHeight="1">
      <c r="A984" s="1591"/>
      <c r="B984" s="1541"/>
      <c r="C984" s="2217"/>
      <c r="D984" s="1543"/>
      <c r="E984" s="906"/>
      <c r="F984" s="541"/>
      <c r="G984" s="541"/>
      <c r="H984" s="541"/>
      <c r="I984" s="541"/>
      <c r="J984" s="1748"/>
      <c r="K984" s="541"/>
      <c r="L984" s="1748"/>
      <c r="M984" s="541"/>
      <c r="N984" s="1748"/>
      <c r="O984" s="541"/>
      <c r="P984" s="1748"/>
      <c r="Q984" s="541"/>
      <c r="R984" s="1748"/>
      <c r="S984" s="541"/>
      <c r="T984" s="1748"/>
      <c r="U984" s="541"/>
      <c r="V984" s="1748"/>
      <c r="W984" s="541"/>
      <c r="X984" s="1748"/>
      <c r="Y984" s="1748"/>
      <c r="Z984" s="1748"/>
      <c r="AA984" s="541"/>
      <c r="AB984" s="1748"/>
      <c r="AC984" s="541"/>
      <c r="AD984" s="541"/>
      <c r="AE984" s="541"/>
      <c r="AF984" s="541"/>
      <c r="AG984" s="541"/>
      <c r="AH984" s="541"/>
      <c r="AI984" s="541"/>
      <c r="AJ984" s="541"/>
      <c r="AK984" s="541"/>
      <c r="AL984" s="541"/>
      <c r="AM984" s="541"/>
      <c r="AN984" s="1748"/>
      <c r="AO984" s="1748"/>
      <c r="AP984" s="1748"/>
      <c r="AQ984" s="1748"/>
      <c r="AR984" s="1748"/>
      <c r="AS984" s="541"/>
      <c r="AT984" s="541"/>
      <c r="AU984" s="541"/>
      <c r="AV984" s="541"/>
      <c r="AW984" s="541"/>
      <c r="AX984" s="541"/>
      <c r="AY984" s="541"/>
      <c r="AZ984" s="541"/>
      <c r="BA984" s="541"/>
      <c r="BC984" s="541"/>
      <c r="BE984" s="541"/>
      <c r="BG984" s="541"/>
      <c r="BH984" s="1190"/>
      <c r="BI984" s="541"/>
      <c r="BJ984" s="1190"/>
      <c r="BK984" s="541"/>
      <c r="BL984" s="541"/>
      <c r="BM984" s="541"/>
      <c r="BO984" s="541"/>
      <c r="BP984" s="541"/>
      <c r="BQ984" s="633"/>
      <c r="BR984" s="541"/>
      <c r="BS984" s="541"/>
      <c r="BT984" s="541"/>
    </row>
    <row r="985" ht="15.75" customHeight="1">
      <c r="A985" s="1591"/>
      <c r="B985" s="1541"/>
      <c r="C985" s="2217"/>
      <c r="D985" s="1543"/>
      <c r="E985" s="906"/>
      <c r="F985" s="541"/>
      <c r="G985" s="541"/>
      <c r="H985" s="541"/>
      <c r="I985" s="541"/>
      <c r="J985" s="1748"/>
      <c r="K985" s="541"/>
      <c r="L985" s="1748"/>
      <c r="M985" s="541"/>
      <c r="N985" s="1748"/>
      <c r="O985" s="541"/>
      <c r="P985" s="1748"/>
      <c r="Q985" s="541"/>
      <c r="R985" s="1748"/>
      <c r="S985" s="541"/>
      <c r="T985" s="1748"/>
      <c r="U985" s="541"/>
      <c r="V985" s="1748"/>
      <c r="W985" s="541"/>
      <c r="X985" s="1748"/>
      <c r="Y985" s="1748"/>
      <c r="Z985" s="1748"/>
      <c r="AA985" s="541"/>
      <c r="AB985" s="1748"/>
      <c r="AC985" s="541"/>
      <c r="AD985" s="541"/>
      <c r="AE985" s="541"/>
      <c r="AF985" s="541"/>
      <c r="AG985" s="541"/>
      <c r="AH985" s="541"/>
      <c r="AI985" s="541"/>
      <c r="AJ985" s="541"/>
      <c r="AK985" s="541"/>
      <c r="AL985" s="541"/>
      <c r="AM985" s="541"/>
      <c r="AN985" s="1748"/>
      <c r="AO985" s="1748"/>
      <c r="AP985" s="1748"/>
      <c r="AQ985" s="1748"/>
      <c r="AR985" s="1748"/>
      <c r="AS985" s="541"/>
      <c r="AT985" s="541"/>
      <c r="AU985" s="541"/>
      <c r="AV985" s="541"/>
      <c r="AW985" s="541"/>
      <c r="AX985" s="541"/>
      <c r="AY985" s="541"/>
      <c r="AZ985" s="541"/>
      <c r="BA985" s="541"/>
      <c r="BC985" s="541"/>
      <c r="BE985" s="541"/>
      <c r="BG985" s="541"/>
      <c r="BH985" s="1190"/>
      <c r="BI985" s="541"/>
      <c r="BJ985" s="1190"/>
      <c r="BK985" s="541"/>
      <c r="BL985" s="541"/>
      <c r="BM985" s="541"/>
      <c r="BO985" s="541"/>
      <c r="BP985" s="541"/>
      <c r="BQ985" s="633"/>
      <c r="BR985" s="541"/>
      <c r="BS985" s="541"/>
      <c r="BT985" s="541"/>
    </row>
    <row r="986" ht="15.75" customHeight="1">
      <c r="A986" s="1591"/>
      <c r="B986" s="1541"/>
      <c r="C986" s="2217"/>
      <c r="D986" s="1543"/>
      <c r="E986" s="906"/>
      <c r="F986" s="541"/>
      <c r="G986" s="541"/>
      <c r="H986" s="541"/>
      <c r="I986" s="541"/>
      <c r="J986" s="1748"/>
      <c r="K986" s="541"/>
      <c r="L986" s="1748"/>
      <c r="M986" s="541"/>
      <c r="N986" s="1748"/>
      <c r="O986" s="541"/>
      <c r="P986" s="1748"/>
      <c r="Q986" s="541"/>
      <c r="R986" s="1748"/>
      <c r="S986" s="541"/>
      <c r="T986" s="1748"/>
      <c r="U986" s="541"/>
      <c r="V986" s="1748"/>
      <c r="W986" s="541"/>
      <c r="X986" s="1748"/>
      <c r="Y986" s="1748"/>
      <c r="Z986" s="1748"/>
      <c r="AA986" s="541"/>
      <c r="AB986" s="1748"/>
      <c r="AC986" s="541"/>
      <c r="AD986" s="541"/>
      <c r="AE986" s="541"/>
      <c r="AF986" s="541"/>
      <c r="AG986" s="541"/>
      <c r="AH986" s="541"/>
      <c r="AI986" s="541"/>
      <c r="AJ986" s="541"/>
      <c r="AK986" s="541"/>
      <c r="AL986" s="541"/>
      <c r="AM986" s="541"/>
      <c r="AN986" s="1748"/>
      <c r="AO986" s="1748"/>
      <c r="AP986" s="1748"/>
      <c r="AQ986" s="1748"/>
      <c r="AR986" s="1748"/>
      <c r="AS986" s="541"/>
      <c r="AT986" s="541"/>
      <c r="AU986" s="541"/>
      <c r="AV986" s="541"/>
      <c r="AW986" s="541"/>
      <c r="AX986" s="541"/>
      <c r="AY986" s="541"/>
      <c r="AZ986" s="541"/>
      <c r="BA986" s="541"/>
      <c r="BC986" s="541"/>
      <c r="BE986" s="541"/>
      <c r="BG986" s="541"/>
      <c r="BH986" s="1190"/>
      <c r="BI986" s="541"/>
      <c r="BJ986" s="1190"/>
      <c r="BK986" s="541"/>
      <c r="BL986" s="541"/>
      <c r="BM986" s="541"/>
      <c r="BO986" s="541"/>
      <c r="BP986" s="541"/>
      <c r="BQ986" s="633"/>
      <c r="BR986" s="541"/>
      <c r="BS986" s="541"/>
      <c r="BT986" s="541"/>
    </row>
    <row r="987" ht="15.75" customHeight="1">
      <c r="A987" s="1591"/>
      <c r="B987" s="1541"/>
      <c r="C987" s="2217"/>
      <c r="D987" s="1543"/>
      <c r="E987" s="906"/>
      <c r="F987" s="541"/>
      <c r="G987" s="541"/>
      <c r="H987" s="541"/>
      <c r="I987" s="541"/>
      <c r="J987" s="1748"/>
      <c r="K987" s="541"/>
      <c r="L987" s="1748"/>
      <c r="M987" s="541"/>
      <c r="N987" s="1748"/>
      <c r="O987" s="541"/>
      <c r="P987" s="1748"/>
      <c r="Q987" s="541"/>
      <c r="R987" s="1748"/>
      <c r="S987" s="541"/>
      <c r="T987" s="1748"/>
      <c r="U987" s="541"/>
      <c r="V987" s="1748"/>
      <c r="W987" s="541"/>
      <c r="X987" s="1748"/>
      <c r="Y987" s="1748"/>
      <c r="Z987" s="1748"/>
      <c r="AA987" s="541"/>
      <c r="AB987" s="1748"/>
      <c r="AC987" s="541"/>
      <c r="AD987" s="541"/>
      <c r="AE987" s="541"/>
      <c r="AF987" s="541"/>
      <c r="AG987" s="541"/>
      <c r="AH987" s="541"/>
      <c r="AI987" s="541"/>
      <c r="AJ987" s="541"/>
      <c r="AK987" s="541"/>
      <c r="AL987" s="541"/>
      <c r="AM987" s="541"/>
      <c r="AN987" s="1748"/>
      <c r="AO987" s="1748"/>
      <c r="AP987" s="1748"/>
      <c r="AQ987" s="1748"/>
      <c r="AR987" s="1748"/>
      <c r="AS987" s="541"/>
      <c r="AT987" s="541"/>
      <c r="AU987" s="541"/>
      <c r="AV987" s="541"/>
      <c r="AW987" s="541"/>
      <c r="AX987" s="541"/>
      <c r="AY987" s="541"/>
      <c r="AZ987" s="541"/>
      <c r="BA987" s="541"/>
      <c r="BC987" s="541"/>
      <c r="BE987" s="541"/>
      <c r="BG987" s="541"/>
      <c r="BH987" s="1190"/>
      <c r="BI987" s="541"/>
      <c r="BJ987" s="1190"/>
      <c r="BK987" s="541"/>
      <c r="BL987" s="541"/>
      <c r="BM987" s="541"/>
      <c r="BO987" s="541"/>
      <c r="BP987" s="541"/>
      <c r="BQ987" s="633"/>
      <c r="BR987" s="541"/>
      <c r="BS987" s="541"/>
      <c r="BT987" s="541"/>
    </row>
    <row r="988" ht="15.75" customHeight="1">
      <c r="A988" s="1591"/>
      <c r="B988" s="1541"/>
      <c r="C988" s="2217"/>
      <c r="D988" s="1543"/>
      <c r="E988" s="906"/>
      <c r="F988" s="541"/>
      <c r="G988" s="541"/>
      <c r="H988" s="541"/>
      <c r="I988" s="541"/>
      <c r="J988" s="1748"/>
      <c r="K988" s="541"/>
      <c r="L988" s="1748"/>
      <c r="M988" s="541"/>
      <c r="N988" s="1748"/>
      <c r="O988" s="541"/>
      <c r="P988" s="1748"/>
      <c r="Q988" s="541"/>
      <c r="R988" s="1748"/>
      <c r="S988" s="541"/>
      <c r="T988" s="1748"/>
      <c r="U988" s="541"/>
      <c r="V988" s="1748"/>
      <c r="W988" s="541"/>
      <c r="X988" s="1748"/>
      <c r="Y988" s="1748"/>
      <c r="Z988" s="1748"/>
      <c r="AA988" s="541"/>
      <c r="AB988" s="1748"/>
      <c r="AC988" s="541"/>
      <c r="AD988" s="541"/>
      <c r="AE988" s="541"/>
      <c r="AF988" s="541"/>
      <c r="AG988" s="541"/>
      <c r="AH988" s="541"/>
      <c r="AI988" s="541"/>
      <c r="AJ988" s="541"/>
      <c r="AK988" s="541"/>
      <c r="AL988" s="541"/>
      <c r="AM988" s="541"/>
      <c r="AN988" s="1748"/>
      <c r="AO988" s="1748"/>
      <c r="AP988" s="1748"/>
      <c r="AQ988" s="1748"/>
      <c r="AR988" s="1748"/>
      <c r="AS988" s="541"/>
      <c r="AT988" s="541"/>
      <c r="AU988" s="541"/>
      <c r="AV988" s="541"/>
      <c r="AW988" s="541"/>
      <c r="AX988" s="541"/>
      <c r="AY988" s="541"/>
      <c r="AZ988" s="541"/>
      <c r="BA988" s="541"/>
      <c r="BC988" s="541"/>
      <c r="BE988" s="541"/>
      <c r="BG988" s="541"/>
      <c r="BH988" s="1190"/>
      <c r="BI988" s="541"/>
      <c r="BJ988" s="1190"/>
      <c r="BK988" s="541"/>
      <c r="BL988" s="541"/>
      <c r="BM988" s="541"/>
      <c r="BO988" s="541"/>
      <c r="BP988" s="541"/>
      <c r="BQ988" s="633"/>
      <c r="BR988" s="541"/>
      <c r="BS988" s="541"/>
      <c r="BT988" s="541"/>
    </row>
    <row r="989" ht="15.75" customHeight="1">
      <c r="A989" s="1591"/>
      <c r="B989" s="1541"/>
      <c r="C989" s="2217"/>
      <c r="D989" s="1543"/>
      <c r="E989" s="906"/>
      <c r="F989" s="541"/>
      <c r="G989" s="541"/>
      <c r="H989" s="541"/>
      <c r="I989" s="541"/>
      <c r="J989" s="1748"/>
      <c r="K989" s="541"/>
      <c r="L989" s="1748"/>
      <c r="M989" s="541"/>
      <c r="N989" s="1748"/>
      <c r="O989" s="541"/>
      <c r="P989" s="1748"/>
      <c r="Q989" s="541"/>
      <c r="R989" s="1748"/>
      <c r="S989" s="541"/>
      <c r="T989" s="1748"/>
      <c r="U989" s="541"/>
      <c r="V989" s="1748"/>
      <c r="W989" s="541"/>
      <c r="X989" s="1748"/>
      <c r="Y989" s="1748"/>
      <c r="Z989" s="1748"/>
      <c r="AA989" s="541"/>
      <c r="AB989" s="1748"/>
      <c r="AC989" s="541"/>
      <c r="AD989" s="541"/>
      <c r="AE989" s="541"/>
      <c r="AF989" s="541"/>
      <c r="AG989" s="541"/>
      <c r="AH989" s="541"/>
      <c r="AI989" s="541"/>
      <c r="AJ989" s="541"/>
      <c r="AK989" s="541"/>
      <c r="AL989" s="541"/>
      <c r="AM989" s="541"/>
      <c r="AN989" s="1748"/>
      <c r="AO989" s="1748"/>
      <c r="AP989" s="1748"/>
      <c r="AQ989" s="1748"/>
      <c r="AR989" s="1748"/>
      <c r="AS989" s="541"/>
      <c r="AT989" s="541"/>
      <c r="AU989" s="541"/>
      <c r="AV989" s="541"/>
      <c r="AW989" s="541"/>
      <c r="AX989" s="541"/>
      <c r="AY989" s="541"/>
      <c r="AZ989" s="541"/>
      <c r="BA989" s="541"/>
      <c r="BC989" s="541"/>
      <c r="BE989" s="541"/>
      <c r="BG989" s="541"/>
      <c r="BH989" s="1190"/>
      <c r="BI989" s="541"/>
      <c r="BJ989" s="1190"/>
      <c r="BK989" s="541"/>
      <c r="BL989" s="541"/>
      <c r="BM989" s="541"/>
      <c r="BO989" s="541"/>
      <c r="BP989" s="541"/>
      <c r="BQ989" s="633"/>
      <c r="BR989" s="541"/>
      <c r="BS989" s="541"/>
      <c r="BT989" s="541"/>
    </row>
    <row r="990" ht="15.75" customHeight="1">
      <c r="A990" s="1591"/>
      <c r="B990" s="1541"/>
      <c r="C990" s="2217"/>
      <c r="D990" s="1543"/>
      <c r="E990" s="906"/>
      <c r="F990" s="541"/>
      <c r="G990" s="541"/>
      <c r="H990" s="541"/>
      <c r="I990" s="541"/>
      <c r="J990" s="1748"/>
      <c r="K990" s="541"/>
      <c r="L990" s="1748"/>
      <c r="M990" s="541"/>
      <c r="N990" s="1748"/>
      <c r="O990" s="541"/>
      <c r="P990" s="1748"/>
      <c r="Q990" s="541"/>
      <c r="R990" s="1748"/>
      <c r="S990" s="541"/>
      <c r="T990" s="1748"/>
      <c r="U990" s="541"/>
      <c r="V990" s="1748"/>
      <c r="W990" s="541"/>
      <c r="X990" s="1748"/>
      <c r="Y990" s="1748"/>
      <c r="Z990" s="1748"/>
      <c r="AA990" s="541"/>
      <c r="AB990" s="1748"/>
      <c r="AC990" s="541"/>
      <c r="AD990" s="541"/>
      <c r="AE990" s="541"/>
      <c r="AF990" s="541"/>
      <c r="AG990" s="541"/>
      <c r="AH990" s="541"/>
      <c r="AI990" s="541"/>
      <c r="AJ990" s="541"/>
      <c r="AK990" s="541"/>
      <c r="AL990" s="541"/>
      <c r="AM990" s="541"/>
      <c r="AN990" s="1748"/>
      <c r="AO990" s="1748"/>
      <c r="AP990" s="1748"/>
      <c r="AQ990" s="1748"/>
      <c r="AR990" s="1748"/>
      <c r="AS990" s="541"/>
      <c r="AT990" s="541"/>
      <c r="AU990" s="541"/>
      <c r="AV990" s="541"/>
      <c r="AW990" s="541"/>
      <c r="AX990" s="541"/>
      <c r="AY990" s="541"/>
      <c r="AZ990" s="541"/>
      <c r="BA990" s="541"/>
      <c r="BC990" s="541"/>
      <c r="BE990" s="541"/>
      <c r="BG990" s="541"/>
      <c r="BH990" s="1190"/>
      <c r="BI990" s="541"/>
      <c r="BJ990" s="1190"/>
      <c r="BK990" s="541"/>
      <c r="BL990" s="541"/>
      <c r="BM990" s="541"/>
      <c r="BO990" s="541"/>
      <c r="BP990" s="541"/>
      <c r="BQ990" s="633"/>
      <c r="BR990" s="541"/>
      <c r="BS990" s="541"/>
      <c r="BT990" s="541"/>
    </row>
    <row r="991" ht="15.75" customHeight="1">
      <c r="A991" s="1591"/>
      <c r="B991" s="1541"/>
      <c r="C991" s="2217"/>
      <c r="D991" s="1543"/>
      <c r="E991" s="906"/>
      <c r="F991" s="541"/>
      <c r="G991" s="541"/>
      <c r="H991" s="541"/>
      <c r="I991" s="541"/>
      <c r="J991" s="1748"/>
      <c r="K991" s="541"/>
      <c r="L991" s="1748"/>
      <c r="M991" s="541"/>
      <c r="N991" s="1748"/>
      <c r="O991" s="541"/>
      <c r="P991" s="1748"/>
      <c r="Q991" s="541"/>
      <c r="R991" s="1748"/>
      <c r="S991" s="541"/>
      <c r="T991" s="1748"/>
      <c r="U991" s="541"/>
      <c r="V991" s="1748"/>
      <c r="W991" s="541"/>
      <c r="X991" s="1748"/>
      <c r="Y991" s="1748"/>
      <c r="Z991" s="1748"/>
      <c r="AA991" s="541"/>
      <c r="AB991" s="1748"/>
      <c r="AC991" s="541"/>
      <c r="AD991" s="541"/>
      <c r="AE991" s="541"/>
      <c r="AF991" s="541"/>
      <c r="AG991" s="541"/>
      <c r="AH991" s="541"/>
      <c r="AI991" s="541"/>
      <c r="AJ991" s="541"/>
      <c r="AK991" s="541"/>
      <c r="AL991" s="541"/>
      <c r="AM991" s="541"/>
      <c r="AN991" s="1748"/>
      <c r="AO991" s="1748"/>
      <c r="AP991" s="1748"/>
      <c r="AQ991" s="1748"/>
      <c r="AR991" s="1748"/>
      <c r="AS991" s="541"/>
      <c r="AT991" s="541"/>
      <c r="AU991" s="541"/>
      <c r="AV991" s="541"/>
      <c r="AW991" s="541"/>
      <c r="AX991" s="541"/>
      <c r="AY991" s="541"/>
      <c r="AZ991" s="541"/>
      <c r="BA991" s="541"/>
      <c r="BC991" s="541"/>
      <c r="BE991" s="541"/>
      <c r="BG991" s="541"/>
      <c r="BH991" s="1190"/>
      <c r="BI991" s="541"/>
      <c r="BJ991" s="1190"/>
      <c r="BK991" s="541"/>
      <c r="BL991" s="541"/>
      <c r="BM991" s="541"/>
      <c r="BO991" s="541"/>
      <c r="BP991" s="541"/>
      <c r="BQ991" s="633"/>
      <c r="BR991" s="541"/>
      <c r="BS991" s="541"/>
      <c r="BT991" s="541"/>
    </row>
    <row r="992" ht="15.75" customHeight="1">
      <c r="A992" s="1591"/>
      <c r="B992" s="1541"/>
      <c r="C992" s="2217"/>
      <c r="D992" s="1543"/>
      <c r="E992" s="906"/>
      <c r="F992" s="541"/>
      <c r="G992" s="541"/>
      <c r="H992" s="541"/>
      <c r="I992" s="541"/>
      <c r="J992" s="1748"/>
      <c r="K992" s="541"/>
      <c r="L992" s="1748"/>
      <c r="M992" s="541"/>
      <c r="N992" s="1748"/>
      <c r="O992" s="541"/>
      <c r="P992" s="1748"/>
      <c r="Q992" s="541"/>
      <c r="R992" s="1748"/>
      <c r="S992" s="541"/>
      <c r="T992" s="1748"/>
      <c r="U992" s="541"/>
      <c r="V992" s="1748"/>
      <c r="W992" s="541"/>
      <c r="X992" s="1748"/>
      <c r="Y992" s="1748"/>
      <c r="Z992" s="1748"/>
      <c r="AA992" s="541"/>
      <c r="AB992" s="1748"/>
      <c r="AC992" s="541"/>
      <c r="AD992" s="541"/>
      <c r="AE992" s="541"/>
      <c r="AF992" s="541"/>
      <c r="AG992" s="541"/>
      <c r="AH992" s="541"/>
      <c r="AI992" s="541"/>
      <c r="AJ992" s="541"/>
      <c r="AK992" s="541"/>
      <c r="AL992" s="541"/>
      <c r="AM992" s="541"/>
      <c r="AN992" s="1748"/>
      <c r="AO992" s="1748"/>
      <c r="AP992" s="1748"/>
      <c r="AQ992" s="1748"/>
      <c r="AR992" s="1748"/>
      <c r="AS992" s="541"/>
      <c r="AT992" s="541"/>
      <c r="AU992" s="541"/>
      <c r="AV992" s="541"/>
      <c r="AW992" s="541"/>
      <c r="AX992" s="541"/>
      <c r="AY992" s="541"/>
      <c r="AZ992" s="541"/>
      <c r="BA992" s="541"/>
      <c r="BC992" s="541"/>
      <c r="BE992" s="541"/>
      <c r="BG992" s="541"/>
      <c r="BH992" s="1190"/>
      <c r="BI992" s="541"/>
      <c r="BJ992" s="1190"/>
      <c r="BK992" s="541"/>
      <c r="BL992" s="541"/>
      <c r="BM992" s="541"/>
      <c r="BO992" s="541"/>
      <c r="BP992" s="541"/>
      <c r="BQ992" s="633"/>
      <c r="BR992" s="541"/>
      <c r="BS992" s="541"/>
      <c r="BT992" s="541"/>
    </row>
    <row r="993" ht="15.75" customHeight="1">
      <c r="A993" s="1591"/>
      <c r="B993" s="1541"/>
      <c r="C993" s="2217"/>
      <c r="D993" s="1543"/>
      <c r="E993" s="906"/>
      <c r="F993" s="541"/>
      <c r="G993" s="541"/>
      <c r="H993" s="541"/>
      <c r="I993" s="541"/>
      <c r="J993" s="1748"/>
      <c r="K993" s="541"/>
      <c r="L993" s="1748"/>
      <c r="M993" s="541"/>
      <c r="N993" s="1748"/>
      <c r="O993" s="541"/>
      <c r="P993" s="1748"/>
      <c r="Q993" s="541"/>
      <c r="R993" s="1748"/>
      <c r="S993" s="541"/>
      <c r="T993" s="1748"/>
      <c r="U993" s="541"/>
      <c r="V993" s="1748"/>
      <c r="W993" s="541"/>
      <c r="X993" s="1748"/>
      <c r="Y993" s="1748"/>
      <c r="Z993" s="1748"/>
      <c r="AA993" s="541"/>
      <c r="AB993" s="1748"/>
      <c r="AC993" s="541"/>
      <c r="AD993" s="541"/>
      <c r="AE993" s="541"/>
      <c r="AF993" s="541"/>
      <c r="AG993" s="541"/>
      <c r="AH993" s="541"/>
      <c r="AI993" s="541"/>
      <c r="AJ993" s="541"/>
      <c r="AK993" s="541"/>
      <c r="AL993" s="541"/>
      <c r="AM993" s="541"/>
      <c r="AN993" s="1748"/>
      <c r="AO993" s="1748"/>
      <c r="AP993" s="1748"/>
      <c r="AQ993" s="1748"/>
      <c r="AR993" s="1748"/>
      <c r="AS993" s="541"/>
      <c r="AT993" s="541"/>
      <c r="AU993" s="541"/>
      <c r="AV993" s="541"/>
      <c r="AW993" s="541"/>
      <c r="AX993" s="541"/>
      <c r="AY993" s="541"/>
      <c r="AZ993" s="541"/>
      <c r="BA993" s="541"/>
      <c r="BC993" s="541"/>
      <c r="BE993" s="541"/>
      <c r="BG993" s="541"/>
      <c r="BH993" s="1190"/>
      <c r="BI993" s="541"/>
      <c r="BJ993" s="1190"/>
      <c r="BK993" s="541"/>
      <c r="BL993" s="541"/>
      <c r="BM993" s="541"/>
      <c r="BO993" s="541"/>
      <c r="BP993" s="541"/>
      <c r="BQ993" s="633"/>
      <c r="BR993" s="541"/>
      <c r="BS993" s="541"/>
      <c r="BT993" s="541"/>
    </row>
    <row r="994" ht="15.75" customHeight="1">
      <c r="A994" s="1591"/>
      <c r="B994" s="1541"/>
      <c r="C994" s="2217"/>
      <c r="D994" s="1543"/>
      <c r="E994" s="906"/>
      <c r="F994" s="541"/>
      <c r="G994" s="541"/>
      <c r="H994" s="541"/>
      <c r="I994" s="541"/>
      <c r="J994" s="1748"/>
      <c r="K994" s="541"/>
      <c r="L994" s="1748"/>
      <c r="M994" s="541"/>
      <c r="N994" s="1748"/>
      <c r="O994" s="541"/>
      <c r="P994" s="1748"/>
      <c r="Q994" s="541"/>
      <c r="R994" s="1748"/>
      <c r="S994" s="541"/>
      <c r="T994" s="1748"/>
      <c r="U994" s="541"/>
      <c r="V994" s="1748"/>
      <c r="W994" s="541"/>
      <c r="X994" s="1748"/>
      <c r="Y994" s="1748"/>
      <c r="Z994" s="1748"/>
      <c r="AA994" s="541"/>
      <c r="AB994" s="1748"/>
      <c r="AC994" s="541"/>
      <c r="AD994" s="541"/>
      <c r="AE994" s="541"/>
      <c r="AF994" s="541"/>
      <c r="AG994" s="541"/>
      <c r="AH994" s="541"/>
      <c r="AI994" s="541"/>
      <c r="AJ994" s="541"/>
      <c r="AK994" s="541"/>
      <c r="AL994" s="541"/>
      <c r="AM994" s="541"/>
      <c r="AN994" s="1748"/>
      <c r="AO994" s="1748"/>
      <c r="AP994" s="1748"/>
      <c r="AQ994" s="1748"/>
      <c r="AR994" s="1748"/>
      <c r="AS994" s="541"/>
      <c r="AT994" s="541"/>
      <c r="AU994" s="541"/>
      <c r="AV994" s="541"/>
      <c r="AW994" s="541"/>
      <c r="AX994" s="541"/>
      <c r="AY994" s="541"/>
      <c r="AZ994" s="541"/>
      <c r="BA994" s="541"/>
      <c r="BC994" s="541"/>
      <c r="BE994" s="541"/>
      <c r="BG994" s="541"/>
      <c r="BH994" s="1190"/>
      <c r="BI994" s="541"/>
      <c r="BJ994" s="1190"/>
      <c r="BK994" s="541"/>
      <c r="BL994" s="541"/>
      <c r="BM994" s="541"/>
      <c r="BO994" s="541"/>
      <c r="BP994" s="541"/>
      <c r="BQ994" s="633"/>
      <c r="BR994" s="541"/>
      <c r="BS994" s="541"/>
      <c r="BT994" s="541"/>
    </row>
    <row r="995" ht="15.75" customHeight="1">
      <c r="A995" s="1591"/>
      <c r="B995" s="1541"/>
      <c r="C995" s="2217"/>
      <c r="D995" s="1543"/>
      <c r="E995" s="906"/>
      <c r="F995" s="541"/>
      <c r="G995" s="541"/>
      <c r="H995" s="541"/>
      <c r="I995" s="541"/>
      <c r="J995" s="1748"/>
      <c r="K995" s="541"/>
      <c r="L995" s="1748"/>
      <c r="M995" s="541"/>
      <c r="N995" s="1748"/>
      <c r="O995" s="541"/>
      <c r="P995" s="1748"/>
      <c r="Q995" s="541"/>
      <c r="R995" s="1748"/>
      <c r="S995" s="541"/>
      <c r="T995" s="1748"/>
      <c r="U995" s="541"/>
      <c r="V995" s="1748"/>
      <c r="W995" s="541"/>
      <c r="X995" s="1748"/>
      <c r="Y995" s="1748"/>
      <c r="Z995" s="1748"/>
      <c r="AA995" s="541"/>
      <c r="AB995" s="1748"/>
      <c r="AC995" s="541"/>
      <c r="AD995" s="541"/>
      <c r="AE995" s="541"/>
      <c r="AF995" s="541"/>
      <c r="AG995" s="541"/>
      <c r="AH995" s="541"/>
      <c r="AI995" s="541"/>
      <c r="AJ995" s="541"/>
      <c r="AK995" s="541"/>
      <c r="AL995" s="541"/>
      <c r="AM995" s="541"/>
      <c r="AN995" s="1748"/>
      <c r="AO995" s="1748"/>
      <c r="AP995" s="1748"/>
      <c r="AQ995" s="1748"/>
      <c r="AR995" s="1748"/>
      <c r="AS995" s="541"/>
      <c r="AT995" s="541"/>
      <c r="AU995" s="541"/>
      <c r="AV995" s="541"/>
      <c r="AW995" s="541"/>
      <c r="AX995" s="541"/>
      <c r="AY995" s="541"/>
      <c r="AZ995" s="541"/>
      <c r="BA995" s="541"/>
      <c r="BC995" s="541"/>
      <c r="BE995" s="541"/>
      <c r="BG995" s="541"/>
      <c r="BH995" s="1190"/>
      <c r="BI995" s="541"/>
      <c r="BJ995" s="1190"/>
      <c r="BK995" s="541"/>
      <c r="BL995" s="541"/>
      <c r="BM995" s="541"/>
      <c r="BO995" s="541"/>
      <c r="BP995" s="541"/>
      <c r="BQ995" s="633"/>
      <c r="BR995" s="541"/>
      <c r="BS995" s="541"/>
      <c r="BT995" s="541"/>
    </row>
    <row r="996" ht="15.75" customHeight="1">
      <c r="A996" s="1591"/>
      <c r="B996" s="1541"/>
      <c r="C996" s="2217"/>
      <c r="D996" s="1543"/>
      <c r="E996" s="906"/>
      <c r="F996" s="541"/>
      <c r="G996" s="541"/>
      <c r="H996" s="541"/>
      <c r="I996" s="541"/>
      <c r="J996" s="1748"/>
      <c r="K996" s="541"/>
      <c r="L996" s="1748"/>
      <c r="M996" s="541"/>
      <c r="N996" s="1748"/>
      <c r="O996" s="541"/>
      <c r="P996" s="1748"/>
      <c r="Q996" s="541"/>
      <c r="R996" s="1748"/>
      <c r="S996" s="541"/>
      <c r="T996" s="1748"/>
      <c r="U996" s="541"/>
      <c r="V996" s="1748"/>
      <c r="W996" s="541"/>
      <c r="X996" s="1748"/>
      <c r="Y996" s="1748"/>
      <c r="Z996" s="1748"/>
      <c r="AA996" s="541"/>
      <c r="AB996" s="1748"/>
      <c r="AC996" s="541"/>
      <c r="AD996" s="541"/>
      <c r="AE996" s="541"/>
      <c r="AF996" s="541"/>
      <c r="AG996" s="541"/>
      <c r="AH996" s="541"/>
      <c r="AI996" s="541"/>
      <c r="AJ996" s="541"/>
      <c r="AK996" s="541"/>
      <c r="AL996" s="541"/>
      <c r="AM996" s="541"/>
      <c r="AN996" s="1748"/>
      <c r="AO996" s="1748"/>
      <c r="AP996" s="1748"/>
      <c r="AQ996" s="1748"/>
      <c r="AR996" s="1748"/>
      <c r="AS996" s="541"/>
      <c r="AT996" s="541"/>
      <c r="AU996" s="541"/>
      <c r="AV996" s="541"/>
      <c r="AW996" s="541"/>
      <c r="AX996" s="541"/>
      <c r="AY996" s="541"/>
      <c r="AZ996" s="541"/>
      <c r="BA996" s="541"/>
      <c r="BC996" s="541"/>
      <c r="BE996" s="541"/>
      <c r="BG996" s="541"/>
      <c r="BH996" s="1190"/>
      <c r="BI996" s="541"/>
      <c r="BJ996" s="1190"/>
      <c r="BK996" s="541"/>
      <c r="BL996" s="541"/>
      <c r="BM996" s="541"/>
      <c r="BO996" s="541"/>
      <c r="BP996" s="541"/>
      <c r="BQ996" s="633"/>
      <c r="BR996" s="541"/>
      <c r="BS996" s="541"/>
      <c r="BT996" s="541"/>
    </row>
    <row r="997" ht="15.75" customHeight="1">
      <c r="A997" s="1591"/>
      <c r="B997" s="1541"/>
      <c r="C997" s="2217"/>
      <c r="D997" s="1543"/>
      <c r="E997" s="906"/>
      <c r="F997" s="541"/>
      <c r="G997" s="541"/>
      <c r="H997" s="541"/>
      <c r="I997" s="541"/>
      <c r="J997" s="1748"/>
      <c r="K997" s="541"/>
      <c r="L997" s="1748"/>
      <c r="M997" s="541"/>
      <c r="N997" s="1748"/>
      <c r="O997" s="541"/>
      <c r="P997" s="1748"/>
      <c r="Q997" s="541"/>
      <c r="R997" s="1748"/>
      <c r="S997" s="541"/>
      <c r="T997" s="1748"/>
      <c r="U997" s="541"/>
      <c r="V997" s="1748"/>
      <c r="W997" s="541"/>
      <c r="X997" s="1748"/>
      <c r="Y997" s="1748"/>
      <c r="Z997" s="1748"/>
      <c r="AA997" s="541"/>
      <c r="AB997" s="1748"/>
      <c r="AC997" s="541"/>
      <c r="AD997" s="541"/>
      <c r="AE997" s="541"/>
      <c r="AF997" s="541"/>
      <c r="AG997" s="541"/>
      <c r="AH997" s="541"/>
      <c r="AI997" s="541"/>
      <c r="AJ997" s="541"/>
      <c r="AK997" s="541"/>
      <c r="AL997" s="541"/>
      <c r="AM997" s="541"/>
      <c r="AN997" s="1748"/>
      <c r="AO997" s="1748"/>
      <c r="AP997" s="1748"/>
      <c r="AQ997" s="1748"/>
      <c r="AR997" s="1748"/>
      <c r="AS997" s="541"/>
      <c r="AT997" s="541"/>
      <c r="AU997" s="541"/>
      <c r="AV997" s="541"/>
      <c r="AW997" s="541"/>
      <c r="AX997" s="541"/>
      <c r="AY997" s="541"/>
      <c r="AZ997" s="541"/>
      <c r="BA997" s="541"/>
      <c r="BC997" s="541"/>
      <c r="BE997" s="541"/>
      <c r="BG997" s="541"/>
      <c r="BH997" s="1190"/>
      <c r="BI997" s="541"/>
      <c r="BJ997" s="1190"/>
      <c r="BK997" s="541"/>
      <c r="BL997" s="541"/>
      <c r="BM997" s="541"/>
      <c r="BO997" s="541"/>
      <c r="BP997" s="541"/>
      <c r="BQ997" s="633"/>
      <c r="BR997" s="541"/>
      <c r="BS997" s="541"/>
      <c r="BT997" s="541"/>
    </row>
    <row r="998" ht="15.75" customHeight="1">
      <c r="A998" s="1591"/>
      <c r="B998" s="1541"/>
      <c r="C998" s="2217"/>
      <c r="D998" s="1543"/>
      <c r="E998" s="906"/>
      <c r="F998" s="541"/>
      <c r="G998" s="541"/>
      <c r="H998" s="541"/>
      <c r="I998" s="541"/>
      <c r="J998" s="1748"/>
      <c r="K998" s="541"/>
      <c r="L998" s="1748"/>
      <c r="M998" s="541"/>
      <c r="N998" s="1748"/>
      <c r="O998" s="541"/>
      <c r="P998" s="1748"/>
      <c r="Q998" s="541"/>
      <c r="R998" s="1748"/>
      <c r="S998" s="541"/>
      <c r="T998" s="1748"/>
      <c r="U998" s="541"/>
      <c r="V998" s="1748"/>
      <c r="W998" s="541"/>
      <c r="X998" s="1748"/>
      <c r="Y998" s="1748"/>
      <c r="Z998" s="1748"/>
      <c r="AA998" s="541"/>
      <c r="AB998" s="1748"/>
      <c r="AC998" s="541"/>
      <c r="AD998" s="541"/>
      <c r="AE998" s="541"/>
      <c r="AF998" s="541"/>
      <c r="AG998" s="541"/>
      <c r="AH998" s="541"/>
      <c r="AI998" s="541"/>
      <c r="AJ998" s="541"/>
      <c r="AK998" s="541"/>
      <c r="AL998" s="541"/>
      <c r="AM998" s="541"/>
      <c r="AN998" s="1748"/>
      <c r="AO998" s="1748"/>
      <c r="AP998" s="1748"/>
      <c r="AQ998" s="1748"/>
      <c r="AR998" s="1748"/>
      <c r="AS998" s="541"/>
      <c r="AT998" s="541"/>
      <c r="AU998" s="541"/>
      <c r="AV998" s="541"/>
      <c r="AW998" s="541"/>
      <c r="AX998" s="541"/>
      <c r="AY998" s="541"/>
      <c r="AZ998" s="541"/>
      <c r="BA998" s="541"/>
      <c r="BC998" s="541"/>
      <c r="BE998" s="541"/>
      <c r="BG998" s="541"/>
      <c r="BH998" s="1190"/>
      <c r="BI998" s="541"/>
      <c r="BJ998" s="1190"/>
      <c r="BK998" s="541"/>
      <c r="BL998" s="541"/>
      <c r="BM998" s="541"/>
      <c r="BO998" s="541"/>
      <c r="BP998" s="541"/>
      <c r="BQ998" s="633"/>
      <c r="BR998" s="541"/>
      <c r="BS998" s="541"/>
      <c r="BT998" s="541"/>
    </row>
    <row r="999" ht="15.75" customHeight="1">
      <c r="A999" s="1591"/>
      <c r="B999" s="1541"/>
      <c r="C999" s="2217"/>
      <c r="D999" s="1543"/>
      <c r="E999" s="906"/>
      <c r="F999" s="541"/>
      <c r="G999" s="541"/>
      <c r="H999" s="541"/>
      <c r="I999" s="541"/>
      <c r="J999" s="1748"/>
      <c r="K999" s="541"/>
      <c r="L999" s="1748"/>
      <c r="M999" s="541"/>
      <c r="N999" s="1748"/>
      <c r="O999" s="541"/>
      <c r="P999" s="1748"/>
      <c r="Q999" s="541"/>
      <c r="R999" s="1748"/>
      <c r="S999" s="541"/>
      <c r="T999" s="1748"/>
      <c r="U999" s="541"/>
      <c r="V999" s="1748"/>
      <c r="W999" s="541"/>
      <c r="X999" s="1748"/>
      <c r="Y999" s="1748"/>
      <c r="Z999" s="1748"/>
      <c r="AA999" s="541"/>
      <c r="AB999" s="1748"/>
      <c r="AC999" s="541"/>
      <c r="AD999" s="541"/>
      <c r="AE999" s="541"/>
      <c r="AF999" s="541"/>
      <c r="AG999" s="541"/>
      <c r="AH999" s="541"/>
      <c r="AI999" s="541"/>
      <c r="AJ999" s="541"/>
      <c r="AK999" s="541"/>
      <c r="AL999" s="541"/>
      <c r="AM999" s="541"/>
      <c r="AN999" s="1748"/>
      <c r="AO999" s="1748"/>
      <c r="AP999" s="1748"/>
      <c r="AQ999" s="1748"/>
      <c r="AR999" s="1748"/>
      <c r="AS999" s="541"/>
      <c r="AT999" s="541"/>
      <c r="AU999" s="541"/>
      <c r="AV999" s="541"/>
      <c r="AW999" s="541"/>
      <c r="AX999" s="541"/>
      <c r="AY999" s="541"/>
      <c r="AZ999" s="541"/>
      <c r="BA999" s="541"/>
      <c r="BC999" s="541"/>
      <c r="BE999" s="541"/>
      <c r="BG999" s="541"/>
      <c r="BH999" s="1190"/>
      <c r="BI999" s="541"/>
      <c r="BJ999" s="1190"/>
      <c r="BK999" s="541"/>
      <c r="BL999" s="541"/>
      <c r="BM999" s="541"/>
      <c r="BO999" s="541"/>
      <c r="BP999" s="541"/>
      <c r="BQ999" s="633"/>
      <c r="BR999" s="541"/>
      <c r="BS999" s="541"/>
      <c r="BT999" s="541"/>
    </row>
    <row r="1000" ht="15.75" customHeight="1">
      <c r="A1000" s="1591"/>
      <c r="B1000" s="1541"/>
      <c r="C1000" s="2217"/>
      <c r="D1000" s="1543"/>
      <c r="E1000" s="906"/>
      <c r="F1000" s="541"/>
      <c r="G1000" s="541"/>
      <c r="H1000" s="541"/>
      <c r="I1000" s="541"/>
      <c r="J1000" s="1748"/>
      <c r="K1000" s="541"/>
      <c r="L1000" s="1748"/>
      <c r="M1000" s="541"/>
      <c r="N1000" s="1748"/>
      <c r="O1000" s="541"/>
      <c r="P1000" s="1748"/>
      <c r="Q1000" s="541"/>
      <c r="R1000" s="1748"/>
      <c r="S1000" s="541"/>
      <c r="T1000" s="1748"/>
      <c r="U1000" s="541"/>
      <c r="V1000" s="1748"/>
      <c r="W1000" s="541"/>
      <c r="X1000" s="1748"/>
      <c r="Y1000" s="1748"/>
      <c r="Z1000" s="1748"/>
      <c r="AA1000" s="541"/>
      <c r="AB1000" s="1748"/>
      <c r="AC1000" s="541"/>
      <c r="AD1000" s="541"/>
      <c r="AE1000" s="541"/>
      <c r="AF1000" s="541"/>
      <c r="AG1000" s="541"/>
      <c r="AH1000" s="541"/>
      <c r="AI1000" s="541"/>
      <c r="AJ1000" s="541"/>
      <c r="AK1000" s="541"/>
      <c r="AL1000" s="541"/>
      <c r="AM1000" s="541"/>
      <c r="AN1000" s="1748"/>
      <c r="AO1000" s="1748"/>
      <c r="AP1000" s="1748"/>
      <c r="AQ1000" s="1748"/>
      <c r="AR1000" s="1748"/>
      <c r="AS1000" s="541"/>
      <c r="AT1000" s="541"/>
      <c r="AU1000" s="541"/>
      <c r="AV1000" s="541"/>
      <c r="AW1000" s="541"/>
      <c r="AX1000" s="541"/>
      <c r="AY1000" s="541"/>
      <c r="AZ1000" s="541"/>
      <c r="BA1000" s="541"/>
      <c r="BC1000" s="541"/>
      <c r="BE1000" s="541"/>
      <c r="BG1000" s="541"/>
      <c r="BH1000" s="1190"/>
      <c r="BI1000" s="541"/>
      <c r="BJ1000" s="1190"/>
      <c r="BK1000" s="541"/>
      <c r="BL1000" s="541"/>
      <c r="BM1000" s="541"/>
      <c r="BO1000" s="541"/>
      <c r="BP1000" s="541"/>
      <c r="BQ1000" s="633"/>
      <c r="BR1000" s="541"/>
      <c r="BS1000" s="541"/>
      <c r="BT1000" s="541"/>
    </row>
    <row r="1001" ht="15.75" customHeight="1">
      <c r="A1001" s="1591"/>
      <c r="B1001" s="1541"/>
      <c r="C1001" s="2217"/>
      <c r="D1001" s="1543"/>
      <c r="E1001" s="906"/>
      <c r="F1001" s="541"/>
      <c r="G1001" s="541"/>
      <c r="H1001" s="541"/>
      <c r="I1001" s="541"/>
      <c r="J1001" s="1748"/>
      <c r="K1001" s="541"/>
      <c r="L1001" s="1748"/>
      <c r="M1001" s="541"/>
      <c r="N1001" s="1748"/>
      <c r="O1001" s="541"/>
      <c r="P1001" s="1748"/>
      <c r="Q1001" s="541"/>
      <c r="R1001" s="1748"/>
      <c r="S1001" s="541"/>
      <c r="T1001" s="1748"/>
      <c r="U1001" s="541"/>
      <c r="V1001" s="1748"/>
      <c r="W1001" s="541"/>
      <c r="X1001" s="1748"/>
      <c r="Y1001" s="1748"/>
      <c r="Z1001" s="1748"/>
      <c r="AA1001" s="541"/>
      <c r="AB1001" s="1748"/>
      <c r="AC1001" s="541"/>
      <c r="AD1001" s="541"/>
      <c r="AE1001" s="541"/>
      <c r="AF1001" s="541"/>
      <c r="AG1001" s="541"/>
      <c r="AH1001" s="541"/>
      <c r="AI1001" s="541"/>
      <c r="AJ1001" s="541"/>
      <c r="AK1001" s="541"/>
      <c r="AL1001" s="541"/>
      <c r="AM1001" s="541"/>
      <c r="AN1001" s="1748"/>
      <c r="AO1001" s="1748"/>
      <c r="AP1001" s="1748"/>
      <c r="AQ1001" s="1748"/>
      <c r="AR1001" s="1748"/>
      <c r="AS1001" s="541"/>
      <c r="AT1001" s="541"/>
      <c r="AU1001" s="541"/>
      <c r="AV1001" s="541"/>
      <c r="AW1001" s="541"/>
      <c r="AX1001" s="541"/>
      <c r="AY1001" s="541"/>
      <c r="AZ1001" s="541"/>
      <c r="BA1001" s="541"/>
      <c r="BC1001" s="541"/>
      <c r="BE1001" s="541"/>
      <c r="BG1001" s="541"/>
      <c r="BH1001" s="1190"/>
      <c r="BI1001" s="541"/>
      <c r="BJ1001" s="1190"/>
      <c r="BK1001" s="541"/>
      <c r="BL1001" s="541"/>
      <c r="BM1001" s="541"/>
      <c r="BO1001" s="541"/>
      <c r="BP1001" s="541"/>
      <c r="BQ1001" s="633"/>
      <c r="BR1001" s="541"/>
      <c r="BS1001" s="541"/>
      <c r="BT1001" s="541"/>
    </row>
    <row r="1002" ht="15.75" customHeight="1">
      <c r="A1002" s="1591"/>
      <c r="B1002" s="1541"/>
      <c r="C1002" s="2217"/>
      <c r="D1002" s="1543"/>
      <c r="E1002" s="906"/>
      <c r="F1002" s="541"/>
      <c r="G1002" s="541"/>
      <c r="H1002" s="541"/>
      <c r="I1002" s="541"/>
      <c r="J1002" s="1748"/>
      <c r="K1002" s="541"/>
      <c r="L1002" s="1748"/>
      <c r="M1002" s="541"/>
      <c r="N1002" s="1748"/>
      <c r="O1002" s="541"/>
      <c r="P1002" s="1748"/>
      <c r="Q1002" s="541"/>
      <c r="R1002" s="1748"/>
      <c r="S1002" s="541"/>
      <c r="T1002" s="1748"/>
      <c r="U1002" s="541"/>
      <c r="V1002" s="1748"/>
      <c r="W1002" s="541"/>
      <c r="X1002" s="1748"/>
      <c r="Y1002" s="1748"/>
      <c r="Z1002" s="1748"/>
      <c r="AA1002" s="541"/>
      <c r="AB1002" s="1748"/>
      <c r="AC1002" s="541"/>
      <c r="AD1002" s="541"/>
      <c r="AE1002" s="541"/>
      <c r="AF1002" s="541"/>
      <c r="AG1002" s="541"/>
      <c r="AH1002" s="541"/>
      <c r="AI1002" s="541"/>
      <c r="AJ1002" s="541"/>
      <c r="AK1002" s="541"/>
      <c r="AL1002" s="541"/>
      <c r="AM1002" s="541"/>
      <c r="AN1002" s="1748"/>
      <c r="AO1002" s="1748"/>
      <c r="AP1002" s="1748"/>
      <c r="AQ1002" s="1748"/>
      <c r="AR1002" s="1748"/>
      <c r="AS1002" s="541"/>
      <c r="AT1002" s="541"/>
      <c r="AU1002" s="541"/>
      <c r="AV1002" s="541"/>
      <c r="AW1002" s="541"/>
      <c r="AX1002" s="541"/>
      <c r="AY1002" s="541"/>
      <c r="AZ1002" s="541"/>
      <c r="BA1002" s="541"/>
      <c r="BC1002" s="541"/>
      <c r="BE1002" s="541"/>
      <c r="BG1002" s="541"/>
      <c r="BH1002" s="1190"/>
      <c r="BI1002" s="541"/>
      <c r="BJ1002" s="1190"/>
      <c r="BK1002" s="541"/>
      <c r="BL1002" s="541"/>
      <c r="BM1002" s="541"/>
      <c r="BO1002" s="541"/>
      <c r="BP1002" s="541"/>
      <c r="BQ1002" s="633"/>
      <c r="BR1002" s="541"/>
      <c r="BS1002" s="541"/>
      <c r="BT1002" s="541"/>
    </row>
    <row r="1003" ht="15.75" customHeight="1">
      <c r="A1003" s="1591"/>
      <c r="B1003" s="1541"/>
      <c r="C1003" s="2217"/>
      <c r="D1003" s="1543"/>
      <c r="E1003" s="906"/>
      <c r="F1003" s="541"/>
      <c r="G1003" s="541"/>
      <c r="H1003" s="541"/>
      <c r="I1003" s="541"/>
      <c r="J1003" s="1748"/>
      <c r="K1003" s="541"/>
      <c r="L1003" s="1748"/>
      <c r="M1003" s="541"/>
      <c r="N1003" s="1748"/>
      <c r="O1003" s="541"/>
      <c r="P1003" s="1748"/>
      <c r="Q1003" s="541"/>
      <c r="R1003" s="1748"/>
      <c r="S1003" s="541"/>
      <c r="T1003" s="1748"/>
      <c r="U1003" s="541"/>
      <c r="V1003" s="1748"/>
      <c r="W1003" s="541"/>
      <c r="X1003" s="1748"/>
      <c r="Y1003" s="1748"/>
      <c r="Z1003" s="1748"/>
      <c r="AA1003" s="541"/>
      <c r="AB1003" s="1748"/>
      <c r="AC1003" s="541"/>
      <c r="AD1003" s="541"/>
      <c r="AE1003" s="541"/>
      <c r="AF1003" s="541"/>
      <c r="AG1003" s="541"/>
      <c r="AH1003" s="541"/>
      <c r="AI1003" s="541"/>
      <c r="AJ1003" s="541"/>
      <c r="AK1003" s="541"/>
      <c r="AL1003" s="541"/>
      <c r="AM1003" s="541"/>
      <c r="AN1003" s="1748"/>
      <c r="AO1003" s="1748"/>
      <c r="AP1003" s="1748"/>
      <c r="AQ1003" s="1748"/>
      <c r="AR1003" s="1748"/>
      <c r="AS1003" s="541"/>
      <c r="AT1003" s="541"/>
      <c r="AU1003" s="541"/>
      <c r="AV1003" s="541"/>
      <c r="AW1003" s="541"/>
      <c r="AX1003" s="541"/>
      <c r="AY1003" s="541"/>
      <c r="AZ1003" s="541"/>
      <c r="BA1003" s="541"/>
      <c r="BC1003" s="541"/>
      <c r="BE1003" s="541"/>
      <c r="BG1003" s="541"/>
      <c r="BH1003" s="1190"/>
      <c r="BI1003" s="541"/>
      <c r="BJ1003" s="1190"/>
      <c r="BK1003" s="541"/>
      <c r="BL1003" s="541"/>
      <c r="BM1003" s="541"/>
      <c r="BO1003" s="541"/>
      <c r="BP1003" s="541"/>
      <c r="BQ1003" s="633"/>
      <c r="BR1003" s="541"/>
      <c r="BS1003" s="541"/>
      <c r="BT1003" s="541"/>
    </row>
    <row r="1004" ht="15.75" customHeight="1">
      <c r="A1004" s="1591"/>
      <c r="B1004" s="1541"/>
      <c r="C1004" s="2217"/>
      <c r="D1004" s="1543"/>
      <c r="E1004" s="906"/>
      <c r="F1004" s="541"/>
      <c r="G1004" s="541"/>
      <c r="H1004" s="541"/>
      <c r="I1004" s="541"/>
      <c r="J1004" s="1748"/>
      <c r="K1004" s="541"/>
      <c r="L1004" s="1748"/>
      <c r="M1004" s="541"/>
      <c r="N1004" s="1748"/>
      <c r="O1004" s="541"/>
      <c r="P1004" s="1748"/>
      <c r="Q1004" s="541"/>
      <c r="R1004" s="1748"/>
      <c r="S1004" s="541"/>
      <c r="T1004" s="1748"/>
      <c r="U1004" s="541"/>
      <c r="V1004" s="1748"/>
      <c r="W1004" s="541"/>
      <c r="X1004" s="1748"/>
      <c r="Y1004" s="1748"/>
      <c r="Z1004" s="1748"/>
      <c r="AA1004" s="541"/>
      <c r="AB1004" s="1748"/>
      <c r="AC1004" s="541"/>
      <c r="AD1004" s="541"/>
      <c r="AE1004" s="541"/>
      <c r="AF1004" s="541"/>
      <c r="AG1004" s="541"/>
      <c r="AH1004" s="541"/>
      <c r="AI1004" s="541"/>
      <c r="AJ1004" s="541"/>
      <c r="AK1004" s="541"/>
      <c r="AL1004" s="541"/>
      <c r="AM1004" s="541"/>
      <c r="AN1004" s="1748"/>
      <c r="AO1004" s="1748"/>
      <c r="AP1004" s="1748"/>
      <c r="AQ1004" s="1748"/>
      <c r="AR1004" s="1748"/>
      <c r="AS1004" s="541"/>
      <c r="AT1004" s="541"/>
      <c r="AU1004" s="541"/>
      <c r="AV1004" s="541"/>
      <c r="AW1004" s="541"/>
      <c r="AX1004" s="541"/>
      <c r="AY1004" s="541"/>
      <c r="AZ1004" s="541"/>
      <c r="BA1004" s="541"/>
      <c r="BC1004" s="541"/>
      <c r="BE1004" s="541"/>
      <c r="BG1004" s="541"/>
      <c r="BH1004" s="1190"/>
      <c r="BI1004" s="541"/>
      <c r="BJ1004" s="1190"/>
      <c r="BK1004" s="541"/>
      <c r="BL1004" s="541"/>
      <c r="BM1004" s="541"/>
      <c r="BO1004" s="541"/>
      <c r="BP1004" s="541"/>
      <c r="BQ1004" s="633"/>
      <c r="BR1004" s="541"/>
      <c r="BS1004" s="541"/>
      <c r="BT1004" s="541"/>
    </row>
    <row r="1005" ht="15.75" customHeight="1">
      <c r="A1005" s="1591"/>
      <c r="B1005" s="1541"/>
      <c r="C1005" s="2217"/>
      <c r="D1005" s="1543"/>
      <c r="E1005" s="906"/>
      <c r="F1005" s="541"/>
      <c r="G1005" s="541"/>
      <c r="H1005" s="541"/>
      <c r="I1005" s="541"/>
      <c r="J1005" s="1748"/>
      <c r="K1005" s="541"/>
      <c r="L1005" s="1748"/>
      <c r="M1005" s="541"/>
      <c r="N1005" s="1748"/>
      <c r="O1005" s="541"/>
      <c r="P1005" s="1748"/>
      <c r="Q1005" s="541"/>
      <c r="R1005" s="1748"/>
      <c r="S1005" s="541"/>
      <c r="T1005" s="1748"/>
      <c r="U1005" s="541"/>
      <c r="V1005" s="1748"/>
      <c r="W1005" s="541"/>
      <c r="X1005" s="1748"/>
      <c r="Y1005" s="1748"/>
      <c r="Z1005" s="1748"/>
      <c r="AA1005" s="541"/>
      <c r="AB1005" s="1748"/>
      <c r="AC1005" s="541"/>
      <c r="AD1005" s="541"/>
      <c r="AE1005" s="541"/>
      <c r="AF1005" s="541"/>
      <c r="AG1005" s="541"/>
      <c r="AH1005" s="541"/>
      <c r="AI1005" s="541"/>
      <c r="AJ1005" s="541"/>
      <c r="AK1005" s="541"/>
      <c r="AL1005" s="541"/>
      <c r="AM1005" s="541"/>
      <c r="AN1005" s="1748"/>
      <c r="AO1005" s="1748"/>
      <c r="AP1005" s="1748"/>
      <c r="AQ1005" s="1748"/>
      <c r="AR1005" s="1748"/>
      <c r="AS1005" s="541"/>
      <c r="AT1005" s="541"/>
      <c r="AU1005" s="541"/>
      <c r="AV1005" s="541"/>
      <c r="AW1005" s="541"/>
      <c r="AX1005" s="541"/>
      <c r="AY1005" s="541"/>
      <c r="AZ1005" s="541"/>
      <c r="BA1005" s="541"/>
      <c r="BC1005" s="541"/>
      <c r="BE1005" s="541"/>
      <c r="BG1005" s="541"/>
      <c r="BH1005" s="1190"/>
      <c r="BI1005" s="541"/>
      <c r="BJ1005" s="1190"/>
      <c r="BK1005" s="541"/>
      <c r="BL1005" s="541"/>
      <c r="BM1005" s="541"/>
      <c r="BO1005" s="541"/>
      <c r="BP1005" s="541"/>
      <c r="BQ1005" s="633"/>
      <c r="BR1005" s="541"/>
      <c r="BS1005" s="541"/>
      <c r="BT1005" s="541"/>
    </row>
    <row r="1006" ht="15.75" customHeight="1">
      <c r="A1006" s="1591"/>
      <c r="B1006" s="1541"/>
      <c r="C1006" s="2217"/>
      <c r="D1006" s="1543"/>
      <c r="E1006" s="906"/>
      <c r="F1006" s="541"/>
      <c r="G1006" s="541"/>
      <c r="H1006" s="541"/>
      <c r="I1006" s="541"/>
      <c r="J1006" s="1748"/>
      <c r="K1006" s="541"/>
      <c r="L1006" s="1748"/>
      <c r="M1006" s="541"/>
      <c r="N1006" s="1748"/>
      <c r="O1006" s="541"/>
      <c r="P1006" s="1748"/>
      <c r="Q1006" s="541"/>
      <c r="R1006" s="1748"/>
      <c r="S1006" s="541"/>
      <c r="T1006" s="1748"/>
      <c r="U1006" s="541"/>
      <c r="V1006" s="1748"/>
      <c r="W1006" s="541"/>
      <c r="X1006" s="1748"/>
      <c r="Y1006" s="1748"/>
      <c r="Z1006" s="1748"/>
      <c r="AA1006" s="541"/>
      <c r="AB1006" s="1748"/>
      <c r="AC1006" s="541"/>
      <c r="AD1006" s="541"/>
      <c r="AE1006" s="541"/>
      <c r="AF1006" s="541"/>
      <c r="AG1006" s="541"/>
      <c r="AH1006" s="541"/>
      <c r="AI1006" s="541"/>
      <c r="AJ1006" s="541"/>
      <c r="AK1006" s="541"/>
      <c r="AL1006" s="541"/>
      <c r="AM1006" s="541"/>
      <c r="AN1006" s="1748"/>
      <c r="AO1006" s="1748"/>
      <c r="AP1006" s="1748"/>
      <c r="AQ1006" s="1748"/>
      <c r="AR1006" s="1748"/>
      <c r="AS1006" s="541"/>
      <c r="AT1006" s="541"/>
      <c r="AU1006" s="541"/>
      <c r="AV1006" s="541"/>
      <c r="AW1006" s="541"/>
      <c r="AX1006" s="541"/>
      <c r="AY1006" s="541"/>
      <c r="AZ1006" s="541"/>
      <c r="BA1006" s="541"/>
      <c r="BC1006" s="541"/>
      <c r="BE1006" s="541"/>
      <c r="BG1006" s="541"/>
      <c r="BH1006" s="1190"/>
      <c r="BI1006" s="541"/>
      <c r="BJ1006" s="1190"/>
      <c r="BK1006" s="541"/>
      <c r="BL1006" s="541"/>
      <c r="BM1006" s="541"/>
      <c r="BO1006" s="541"/>
      <c r="BP1006" s="541"/>
      <c r="BQ1006" s="633"/>
      <c r="BR1006" s="541"/>
      <c r="BS1006" s="541"/>
      <c r="BT1006" s="541"/>
    </row>
    <row r="1007" ht="15.75" customHeight="1">
      <c r="A1007" s="1591"/>
      <c r="B1007" s="1541"/>
      <c r="C1007" s="2217"/>
      <c r="D1007" s="1543"/>
      <c r="E1007" s="906"/>
      <c r="F1007" s="541"/>
      <c r="G1007" s="541"/>
      <c r="H1007" s="541"/>
      <c r="I1007" s="541"/>
      <c r="J1007" s="1748"/>
      <c r="K1007" s="541"/>
      <c r="L1007" s="1748"/>
      <c r="M1007" s="541"/>
      <c r="N1007" s="1748"/>
      <c r="O1007" s="541"/>
      <c r="P1007" s="1748"/>
      <c r="Q1007" s="541"/>
      <c r="R1007" s="1748"/>
      <c r="S1007" s="541"/>
      <c r="T1007" s="1748"/>
      <c r="U1007" s="541"/>
      <c r="V1007" s="1748"/>
      <c r="W1007" s="541"/>
      <c r="X1007" s="1748"/>
      <c r="Y1007" s="1748"/>
      <c r="Z1007" s="1748"/>
      <c r="AA1007" s="541"/>
      <c r="AB1007" s="1748"/>
      <c r="AC1007" s="541"/>
      <c r="AD1007" s="541"/>
      <c r="AE1007" s="541"/>
      <c r="AF1007" s="541"/>
      <c r="AG1007" s="541"/>
      <c r="AH1007" s="541"/>
      <c r="AI1007" s="541"/>
      <c r="AJ1007" s="541"/>
      <c r="AK1007" s="541"/>
      <c r="AL1007" s="541"/>
      <c r="AM1007" s="541"/>
      <c r="AN1007" s="1748"/>
      <c r="AO1007" s="1748"/>
      <c r="AP1007" s="1748"/>
      <c r="AQ1007" s="1748"/>
      <c r="AR1007" s="1748"/>
      <c r="AS1007" s="541"/>
      <c r="AT1007" s="541"/>
      <c r="AU1007" s="541"/>
      <c r="AV1007" s="541"/>
      <c r="AW1007" s="541"/>
      <c r="AX1007" s="541"/>
      <c r="AY1007" s="541"/>
      <c r="AZ1007" s="541"/>
      <c r="BA1007" s="541"/>
      <c r="BC1007" s="541"/>
      <c r="BE1007" s="541"/>
      <c r="BG1007" s="541"/>
      <c r="BH1007" s="1190"/>
      <c r="BI1007" s="541"/>
      <c r="BJ1007" s="1190"/>
      <c r="BK1007" s="541"/>
      <c r="BL1007" s="541"/>
      <c r="BM1007" s="541"/>
      <c r="BO1007" s="541"/>
      <c r="BP1007" s="541"/>
      <c r="BQ1007" s="633"/>
      <c r="BR1007" s="541"/>
      <c r="BS1007" s="541"/>
      <c r="BT1007" s="541"/>
    </row>
    <row r="1008" ht="15.75" customHeight="1">
      <c r="A1008" s="1591"/>
      <c r="B1008" s="1541"/>
      <c r="C1008" s="2217"/>
      <c r="D1008" s="1543"/>
      <c r="E1008" s="906"/>
      <c r="F1008" s="541"/>
      <c r="G1008" s="541"/>
      <c r="H1008" s="541"/>
      <c r="I1008" s="541"/>
      <c r="J1008" s="1748"/>
      <c r="K1008" s="541"/>
      <c r="L1008" s="1748"/>
      <c r="M1008" s="541"/>
      <c r="N1008" s="1748"/>
      <c r="O1008" s="541"/>
      <c r="P1008" s="1748"/>
      <c r="Q1008" s="541"/>
      <c r="R1008" s="1748"/>
      <c r="S1008" s="541"/>
      <c r="T1008" s="1748"/>
      <c r="U1008" s="541"/>
      <c r="V1008" s="1748"/>
      <c r="W1008" s="541"/>
      <c r="X1008" s="1748"/>
      <c r="Y1008" s="1748"/>
      <c r="Z1008" s="1748"/>
      <c r="AA1008" s="541"/>
      <c r="AB1008" s="1748"/>
      <c r="AC1008" s="541"/>
      <c r="AD1008" s="541"/>
      <c r="AE1008" s="541"/>
      <c r="AF1008" s="541"/>
      <c r="AG1008" s="541"/>
      <c r="AH1008" s="541"/>
      <c r="AI1008" s="541"/>
      <c r="AJ1008" s="541"/>
      <c r="AK1008" s="541"/>
      <c r="AL1008" s="541"/>
      <c r="AM1008" s="541"/>
      <c r="AN1008" s="1748"/>
      <c r="AO1008" s="1748"/>
      <c r="AP1008" s="1748"/>
      <c r="AQ1008" s="1748"/>
      <c r="AR1008" s="1748"/>
      <c r="AS1008" s="541"/>
      <c r="AT1008" s="541"/>
      <c r="AU1008" s="541"/>
      <c r="AV1008" s="541"/>
      <c r="AW1008" s="541"/>
      <c r="AX1008" s="541"/>
      <c r="AY1008" s="541"/>
      <c r="AZ1008" s="541"/>
      <c r="BA1008" s="541"/>
      <c r="BC1008" s="541"/>
      <c r="BE1008" s="541"/>
      <c r="BG1008" s="541"/>
      <c r="BH1008" s="1190"/>
      <c r="BI1008" s="541"/>
      <c r="BJ1008" s="1190"/>
      <c r="BK1008" s="541"/>
      <c r="BL1008" s="541"/>
      <c r="BM1008" s="541"/>
      <c r="BO1008" s="541"/>
      <c r="BP1008" s="541"/>
      <c r="BQ1008" s="633"/>
      <c r="BR1008" s="541"/>
      <c r="BS1008" s="541"/>
      <c r="BT1008" s="541"/>
    </row>
    <row r="1009" ht="15.75" customHeight="1">
      <c r="A1009" s="1591"/>
      <c r="B1009" s="1541"/>
      <c r="C1009" s="2217"/>
      <c r="D1009" s="1543"/>
      <c r="E1009" s="906"/>
      <c r="F1009" s="541"/>
      <c r="G1009" s="541"/>
      <c r="H1009" s="541"/>
      <c r="I1009" s="541"/>
      <c r="J1009" s="1748"/>
      <c r="K1009" s="541"/>
      <c r="L1009" s="1748"/>
      <c r="M1009" s="541"/>
      <c r="N1009" s="1748"/>
      <c r="O1009" s="541"/>
      <c r="P1009" s="1748"/>
      <c r="Q1009" s="541"/>
      <c r="R1009" s="1748"/>
      <c r="S1009" s="541"/>
      <c r="T1009" s="1748"/>
      <c r="U1009" s="541"/>
      <c r="V1009" s="1748"/>
      <c r="W1009" s="541"/>
      <c r="X1009" s="1748"/>
      <c r="Y1009" s="1748"/>
      <c r="Z1009" s="1748"/>
      <c r="AA1009" s="541"/>
      <c r="AB1009" s="1748"/>
      <c r="AC1009" s="541"/>
      <c r="AD1009" s="541"/>
      <c r="AE1009" s="541"/>
      <c r="AF1009" s="541"/>
      <c r="AG1009" s="541"/>
      <c r="AH1009" s="541"/>
      <c r="AI1009" s="541"/>
      <c r="AJ1009" s="541"/>
      <c r="AK1009" s="541"/>
      <c r="AL1009" s="541"/>
      <c r="AM1009" s="541"/>
      <c r="AN1009" s="1748"/>
      <c r="AO1009" s="1748"/>
      <c r="AP1009" s="1748"/>
      <c r="AQ1009" s="1748"/>
      <c r="AR1009" s="1748"/>
      <c r="AS1009" s="541"/>
      <c r="AT1009" s="541"/>
      <c r="AU1009" s="541"/>
      <c r="AV1009" s="541"/>
      <c r="AW1009" s="541"/>
      <c r="AX1009" s="541"/>
      <c r="AY1009" s="541"/>
      <c r="AZ1009" s="541"/>
      <c r="BA1009" s="541"/>
      <c r="BC1009" s="541"/>
      <c r="BE1009" s="541"/>
      <c r="BG1009" s="541"/>
      <c r="BH1009" s="1190"/>
      <c r="BI1009" s="541"/>
      <c r="BJ1009" s="1190"/>
      <c r="BK1009" s="541"/>
      <c r="BL1009" s="541"/>
      <c r="BM1009" s="541"/>
      <c r="BO1009" s="541"/>
      <c r="BP1009" s="541"/>
      <c r="BQ1009" s="633"/>
      <c r="BR1009" s="541"/>
      <c r="BS1009" s="541"/>
      <c r="BT1009" s="541"/>
    </row>
    <row r="1010" ht="15.75" customHeight="1">
      <c r="A1010" s="1591"/>
      <c r="B1010" s="1541"/>
      <c r="C1010" s="2217"/>
      <c r="D1010" s="1543"/>
      <c r="E1010" s="906"/>
      <c r="F1010" s="541"/>
      <c r="G1010" s="541"/>
      <c r="H1010" s="541"/>
      <c r="I1010" s="541"/>
      <c r="J1010" s="1748"/>
      <c r="K1010" s="541"/>
      <c r="L1010" s="1748"/>
      <c r="M1010" s="541"/>
      <c r="N1010" s="1748"/>
      <c r="O1010" s="541"/>
      <c r="P1010" s="1748"/>
      <c r="Q1010" s="541"/>
      <c r="R1010" s="1748"/>
      <c r="S1010" s="541"/>
      <c r="T1010" s="1748"/>
      <c r="U1010" s="541"/>
      <c r="V1010" s="1748"/>
      <c r="W1010" s="541"/>
      <c r="X1010" s="1748"/>
      <c r="Y1010" s="1748"/>
      <c r="Z1010" s="1748"/>
      <c r="AA1010" s="541"/>
      <c r="AB1010" s="1748"/>
      <c r="AC1010" s="541"/>
      <c r="AD1010" s="541"/>
      <c r="AE1010" s="541"/>
      <c r="AF1010" s="541"/>
      <c r="AG1010" s="541"/>
      <c r="AH1010" s="541"/>
      <c r="AI1010" s="541"/>
      <c r="AJ1010" s="541"/>
      <c r="AK1010" s="541"/>
      <c r="AL1010" s="541"/>
      <c r="AM1010" s="541"/>
      <c r="AN1010" s="1748"/>
      <c r="AO1010" s="1748"/>
      <c r="AP1010" s="1748"/>
      <c r="AQ1010" s="1748"/>
      <c r="AR1010" s="1748"/>
      <c r="AS1010" s="541"/>
      <c r="AT1010" s="541"/>
      <c r="AU1010" s="541"/>
      <c r="AV1010" s="541"/>
      <c r="AW1010" s="541"/>
      <c r="AX1010" s="541"/>
      <c r="AY1010" s="541"/>
      <c r="AZ1010" s="541"/>
      <c r="BA1010" s="541"/>
      <c r="BC1010" s="541"/>
      <c r="BE1010" s="541"/>
      <c r="BG1010" s="541"/>
      <c r="BH1010" s="1190"/>
      <c r="BI1010" s="541"/>
      <c r="BJ1010" s="1190"/>
      <c r="BK1010" s="541"/>
      <c r="BL1010" s="541"/>
      <c r="BM1010" s="541"/>
      <c r="BO1010" s="541"/>
      <c r="BP1010" s="541"/>
      <c r="BQ1010" s="633"/>
      <c r="BR1010" s="541"/>
      <c r="BS1010" s="541"/>
      <c r="BT1010" s="541"/>
    </row>
    <row r="1011" ht="15.75" customHeight="1">
      <c r="A1011" s="1591"/>
      <c r="B1011" s="1541"/>
      <c r="C1011" s="2217"/>
      <c r="D1011" s="1543"/>
      <c r="E1011" s="906"/>
      <c r="F1011" s="541"/>
      <c r="G1011" s="541"/>
      <c r="H1011" s="541"/>
      <c r="I1011" s="541"/>
      <c r="J1011" s="1748"/>
      <c r="K1011" s="541"/>
      <c r="L1011" s="1748"/>
      <c r="M1011" s="541"/>
      <c r="N1011" s="1748"/>
      <c r="O1011" s="541"/>
      <c r="P1011" s="1748"/>
      <c r="Q1011" s="541"/>
      <c r="R1011" s="1748"/>
      <c r="S1011" s="541"/>
      <c r="T1011" s="1748"/>
      <c r="U1011" s="541"/>
      <c r="V1011" s="1748"/>
      <c r="W1011" s="541"/>
      <c r="X1011" s="1748"/>
      <c r="Y1011" s="1748"/>
      <c r="Z1011" s="1748"/>
      <c r="AA1011" s="541"/>
      <c r="AB1011" s="1748"/>
      <c r="AC1011" s="541"/>
      <c r="AD1011" s="541"/>
      <c r="AE1011" s="541"/>
      <c r="AF1011" s="541"/>
      <c r="AG1011" s="541"/>
      <c r="AH1011" s="541"/>
      <c r="AI1011" s="541"/>
      <c r="AJ1011" s="541"/>
      <c r="AK1011" s="541"/>
      <c r="AL1011" s="541"/>
      <c r="AM1011" s="541"/>
      <c r="AN1011" s="1748"/>
      <c r="AO1011" s="1748"/>
      <c r="AP1011" s="1748"/>
      <c r="AQ1011" s="1748"/>
      <c r="AR1011" s="1748"/>
      <c r="AS1011" s="541"/>
      <c r="AT1011" s="541"/>
      <c r="AU1011" s="541"/>
      <c r="AV1011" s="541"/>
      <c r="AW1011" s="541"/>
      <c r="AX1011" s="541"/>
      <c r="AY1011" s="541"/>
      <c r="AZ1011" s="541"/>
      <c r="BA1011" s="541"/>
      <c r="BC1011" s="541"/>
      <c r="BE1011" s="541"/>
      <c r="BG1011" s="541"/>
      <c r="BH1011" s="1190"/>
      <c r="BI1011" s="541"/>
      <c r="BJ1011" s="1190"/>
      <c r="BK1011" s="541"/>
      <c r="BL1011" s="541"/>
      <c r="BM1011" s="541"/>
      <c r="BO1011" s="541"/>
      <c r="BP1011" s="541"/>
      <c r="BQ1011" s="633"/>
      <c r="BR1011" s="541"/>
      <c r="BS1011" s="541"/>
      <c r="BT1011" s="541"/>
    </row>
    <row r="1012" ht="15.75" customHeight="1">
      <c r="A1012" s="1591"/>
      <c r="B1012" s="1541"/>
      <c r="C1012" s="2217"/>
      <c r="D1012" s="1543"/>
      <c r="E1012" s="906"/>
      <c r="F1012" s="541"/>
      <c r="G1012" s="541"/>
      <c r="H1012" s="541"/>
      <c r="I1012" s="541"/>
      <c r="J1012" s="1748"/>
      <c r="K1012" s="541"/>
      <c r="L1012" s="1748"/>
      <c r="M1012" s="541"/>
      <c r="N1012" s="1748"/>
      <c r="O1012" s="541"/>
      <c r="P1012" s="1748"/>
      <c r="Q1012" s="541"/>
      <c r="R1012" s="1748"/>
      <c r="S1012" s="541"/>
      <c r="T1012" s="1748"/>
      <c r="U1012" s="541"/>
      <c r="V1012" s="1748"/>
      <c r="W1012" s="541"/>
      <c r="X1012" s="1748"/>
      <c r="Y1012" s="1748"/>
      <c r="Z1012" s="1748"/>
      <c r="AA1012" s="541"/>
      <c r="AB1012" s="1748"/>
      <c r="AC1012" s="541"/>
      <c r="AD1012" s="541"/>
      <c r="AE1012" s="541"/>
      <c r="AF1012" s="541"/>
      <c r="AG1012" s="541"/>
      <c r="AH1012" s="541"/>
      <c r="AI1012" s="541"/>
      <c r="AJ1012" s="541"/>
      <c r="AK1012" s="541"/>
      <c r="AL1012" s="541"/>
      <c r="AM1012" s="541"/>
      <c r="AN1012" s="1748"/>
      <c r="AO1012" s="1748"/>
      <c r="AP1012" s="1748"/>
      <c r="AQ1012" s="1748"/>
      <c r="AR1012" s="1748"/>
      <c r="AS1012" s="541"/>
      <c r="AT1012" s="541"/>
      <c r="AU1012" s="541"/>
      <c r="AV1012" s="541"/>
      <c r="AW1012" s="541"/>
      <c r="AX1012" s="541"/>
      <c r="AY1012" s="541"/>
      <c r="AZ1012" s="541"/>
      <c r="BA1012" s="541"/>
      <c r="BC1012" s="541"/>
      <c r="BE1012" s="541"/>
      <c r="BG1012" s="541"/>
      <c r="BH1012" s="1190"/>
      <c r="BI1012" s="541"/>
      <c r="BJ1012" s="1190"/>
      <c r="BK1012" s="541"/>
      <c r="BL1012" s="541"/>
      <c r="BM1012" s="541"/>
      <c r="BO1012" s="541"/>
      <c r="BP1012" s="541"/>
      <c r="BQ1012" s="633"/>
      <c r="BR1012" s="541"/>
      <c r="BS1012" s="541"/>
      <c r="BT1012" s="541"/>
    </row>
    <row r="1013" ht="15.75" customHeight="1">
      <c r="A1013" s="1591"/>
      <c r="B1013" s="1541"/>
      <c r="C1013" s="2217"/>
      <c r="D1013" s="1543"/>
      <c r="E1013" s="906"/>
      <c r="F1013" s="541"/>
      <c r="G1013" s="541"/>
      <c r="H1013" s="541"/>
      <c r="I1013" s="541"/>
      <c r="J1013" s="1748"/>
      <c r="K1013" s="541"/>
      <c r="L1013" s="1748"/>
      <c r="M1013" s="541"/>
      <c r="N1013" s="1748"/>
      <c r="O1013" s="541"/>
      <c r="P1013" s="1748"/>
      <c r="Q1013" s="541"/>
      <c r="R1013" s="1748"/>
      <c r="S1013" s="541"/>
      <c r="T1013" s="1748"/>
      <c r="U1013" s="541"/>
      <c r="V1013" s="1748"/>
      <c r="W1013" s="541"/>
      <c r="X1013" s="1748"/>
      <c r="Y1013" s="1748"/>
      <c r="Z1013" s="1748"/>
      <c r="AA1013" s="541"/>
      <c r="AB1013" s="1748"/>
      <c r="AC1013" s="541"/>
      <c r="AD1013" s="541"/>
      <c r="AE1013" s="541"/>
      <c r="AF1013" s="541"/>
      <c r="AG1013" s="541"/>
      <c r="AH1013" s="541"/>
      <c r="AI1013" s="541"/>
      <c r="AJ1013" s="541"/>
      <c r="AK1013" s="541"/>
      <c r="AL1013" s="541"/>
      <c r="AM1013" s="541"/>
      <c r="AN1013" s="1748"/>
      <c r="AO1013" s="1748"/>
      <c r="AP1013" s="1748"/>
      <c r="AQ1013" s="1748"/>
      <c r="AR1013" s="1748"/>
      <c r="AS1013" s="541"/>
      <c r="AT1013" s="541"/>
      <c r="AU1013" s="541"/>
      <c r="AV1013" s="541"/>
      <c r="AW1013" s="541"/>
      <c r="AX1013" s="541"/>
      <c r="AY1013" s="541"/>
      <c r="AZ1013" s="541"/>
      <c r="BA1013" s="541"/>
      <c r="BC1013" s="541"/>
      <c r="BE1013" s="541"/>
      <c r="BG1013" s="541"/>
      <c r="BH1013" s="1190"/>
      <c r="BI1013" s="541"/>
      <c r="BJ1013" s="1190"/>
      <c r="BK1013" s="541"/>
      <c r="BL1013" s="541"/>
      <c r="BM1013" s="541"/>
      <c r="BO1013" s="541"/>
      <c r="BP1013" s="541"/>
      <c r="BQ1013" s="633"/>
      <c r="BR1013" s="541"/>
      <c r="BS1013" s="541"/>
      <c r="BT1013" s="541"/>
    </row>
    <row r="1014" ht="15.75" customHeight="1">
      <c r="A1014" s="1591"/>
      <c r="B1014" s="1541"/>
      <c r="C1014" s="2217"/>
      <c r="D1014" s="1543"/>
      <c r="E1014" s="906"/>
      <c r="F1014" s="541"/>
      <c r="G1014" s="541"/>
      <c r="H1014" s="541"/>
      <c r="I1014" s="541"/>
      <c r="J1014" s="1748"/>
      <c r="K1014" s="541"/>
      <c r="L1014" s="1748"/>
      <c r="M1014" s="541"/>
      <c r="N1014" s="1748"/>
      <c r="O1014" s="541"/>
      <c r="P1014" s="1748"/>
      <c r="Q1014" s="541"/>
      <c r="R1014" s="1748"/>
      <c r="S1014" s="541"/>
      <c r="T1014" s="1748"/>
      <c r="U1014" s="541"/>
      <c r="V1014" s="1748"/>
      <c r="W1014" s="541"/>
      <c r="X1014" s="1748"/>
      <c r="Y1014" s="1748"/>
      <c r="Z1014" s="1748"/>
      <c r="AA1014" s="541"/>
      <c r="AB1014" s="1748"/>
      <c r="AC1014" s="541"/>
      <c r="AD1014" s="541"/>
      <c r="AE1014" s="541"/>
      <c r="AF1014" s="541"/>
      <c r="AG1014" s="541"/>
      <c r="AH1014" s="541"/>
      <c r="AI1014" s="541"/>
      <c r="AJ1014" s="541"/>
      <c r="AK1014" s="541"/>
      <c r="AL1014" s="541"/>
      <c r="AM1014" s="541"/>
      <c r="AN1014" s="1748"/>
      <c r="AO1014" s="1748"/>
      <c r="AP1014" s="1748"/>
      <c r="AQ1014" s="1748"/>
      <c r="AR1014" s="1748"/>
      <c r="AS1014" s="541"/>
      <c r="AT1014" s="541"/>
      <c r="AU1014" s="541"/>
      <c r="AV1014" s="541"/>
      <c r="AW1014" s="541"/>
      <c r="AX1014" s="541"/>
      <c r="AY1014" s="541"/>
      <c r="AZ1014" s="541"/>
      <c r="BA1014" s="541"/>
      <c r="BC1014" s="541"/>
      <c r="BE1014" s="541"/>
      <c r="BG1014" s="541"/>
      <c r="BH1014" s="1190"/>
      <c r="BI1014" s="541"/>
      <c r="BJ1014" s="1190"/>
      <c r="BK1014" s="541"/>
      <c r="BL1014" s="541"/>
      <c r="BM1014" s="541"/>
      <c r="BO1014" s="541"/>
      <c r="BP1014" s="541"/>
      <c r="BQ1014" s="633"/>
      <c r="BR1014" s="541"/>
      <c r="BS1014" s="541"/>
      <c r="BT1014" s="541"/>
    </row>
    <row r="1015" ht="15.75" customHeight="1">
      <c r="A1015" s="1591"/>
      <c r="B1015" s="1541"/>
      <c r="C1015" s="2217"/>
      <c r="D1015" s="1543"/>
      <c r="E1015" s="906"/>
      <c r="F1015" s="541"/>
      <c r="G1015" s="541"/>
      <c r="H1015" s="541"/>
      <c r="I1015" s="541"/>
      <c r="J1015" s="1748"/>
      <c r="K1015" s="541"/>
      <c r="L1015" s="1748"/>
      <c r="M1015" s="541"/>
      <c r="N1015" s="1748"/>
      <c r="O1015" s="541"/>
      <c r="P1015" s="1748"/>
      <c r="Q1015" s="541"/>
      <c r="R1015" s="1748"/>
      <c r="S1015" s="541"/>
      <c r="T1015" s="1748"/>
      <c r="U1015" s="541"/>
      <c r="V1015" s="1748"/>
      <c r="W1015" s="541"/>
      <c r="X1015" s="1748"/>
      <c r="Y1015" s="1748"/>
      <c r="Z1015" s="1748"/>
      <c r="AA1015" s="541"/>
      <c r="AB1015" s="1748"/>
      <c r="AC1015" s="541"/>
      <c r="AD1015" s="541"/>
      <c r="AE1015" s="541"/>
      <c r="AF1015" s="541"/>
      <c r="AG1015" s="541"/>
      <c r="AH1015" s="541"/>
      <c r="AI1015" s="541"/>
      <c r="AJ1015" s="541"/>
      <c r="AK1015" s="541"/>
      <c r="AL1015" s="541"/>
      <c r="AM1015" s="541"/>
      <c r="AN1015" s="1748"/>
      <c r="AO1015" s="1748"/>
      <c r="AP1015" s="1748"/>
      <c r="AQ1015" s="1748"/>
      <c r="AR1015" s="1748"/>
      <c r="AS1015" s="541"/>
      <c r="AT1015" s="541"/>
      <c r="AU1015" s="541"/>
      <c r="AV1015" s="541"/>
      <c r="AW1015" s="541"/>
      <c r="AX1015" s="541"/>
      <c r="AY1015" s="541"/>
      <c r="AZ1015" s="541"/>
      <c r="BA1015" s="541"/>
      <c r="BC1015" s="541"/>
      <c r="BE1015" s="541"/>
      <c r="BG1015" s="541"/>
      <c r="BH1015" s="1190"/>
      <c r="BI1015" s="541"/>
      <c r="BJ1015" s="1190"/>
      <c r="BK1015" s="541"/>
      <c r="BL1015" s="541"/>
      <c r="BM1015" s="541"/>
      <c r="BO1015" s="541"/>
      <c r="BP1015" s="541"/>
      <c r="BQ1015" s="633"/>
      <c r="BR1015" s="541"/>
      <c r="BS1015" s="541"/>
      <c r="BT1015" s="541"/>
    </row>
    <row r="1016" ht="15.75" customHeight="1">
      <c r="A1016" s="1591"/>
      <c r="B1016" s="1541"/>
      <c r="C1016" s="2217"/>
      <c r="D1016" s="1543"/>
      <c r="E1016" s="906"/>
      <c r="F1016" s="541"/>
      <c r="G1016" s="541"/>
      <c r="H1016" s="541"/>
      <c r="I1016" s="541"/>
      <c r="J1016" s="1748"/>
      <c r="K1016" s="541"/>
      <c r="L1016" s="1748"/>
      <c r="M1016" s="541"/>
      <c r="N1016" s="1748"/>
      <c r="O1016" s="541"/>
      <c r="P1016" s="1748"/>
      <c r="Q1016" s="541"/>
      <c r="R1016" s="1748"/>
      <c r="S1016" s="541"/>
      <c r="T1016" s="1748"/>
      <c r="U1016" s="541"/>
      <c r="V1016" s="1748"/>
      <c r="W1016" s="541"/>
      <c r="X1016" s="1748"/>
      <c r="Y1016" s="1748"/>
      <c r="Z1016" s="1748"/>
      <c r="AA1016" s="541"/>
      <c r="AB1016" s="1748"/>
      <c r="AC1016" s="541"/>
      <c r="AD1016" s="541"/>
      <c r="AE1016" s="541"/>
      <c r="AF1016" s="541"/>
      <c r="AG1016" s="541"/>
      <c r="AH1016" s="541"/>
      <c r="AI1016" s="541"/>
      <c r="AJ1016" s="541"/>
      <c r="AK1016" s="541"/>
      <c r="AL1016" s="541"/>
      <c r="AM1016" s="541"/>
      <c r="AN1016" s="1748"/>
      <c r="AO1016" s="1748"/>
      <c r="AP1016" s="1748"/>
      <c r="AQ1016" s="1748"/>
      <c r="AR1016" s="1748"/>
      <c r="AS1016" s="541"/>
      <c r="AT1016" s="541"/>
      <c r="AU1016" s="541"/>
      <c r="AV1016" s="541"/>
      <c r="AW1016" s="541"/>
      <c r="AX1016" s="541"/>
      <c r="AY1016" s="541"/>
      <c r="AZ1016" s="541"/>
      <c r="BA1016" s="541"/>
      <c r="BC1016" s="541"/>
      <c r="BE1016" s="541"/>
      <c r="BG1016" s="541"/>
      <c r="BH1016" s="1190"/>
      <c r="BI1016" s="541"/>
      <c r="BJ1016" s="1190"/>
      <c r="BK1016" s="541"/>
      <c r="BL1016" s="541"/>
      <c r="BM1016" s="541"/>
      <c r="BO1016" s="541"/>
      <c r="BP1016" s="541"/>
      <c r="BQ1016" s="633"/>
      <c r="BR1016" s="541"/>
      <c r="BS1016" s="541"/>
      <c r="BT1016" s="541"/>
    </row>
    <row r="1017" ht="15.75" customHeight="1">
      <c r="A1017" s="1591"/>
      <c r="B1017" s="1541"/>
      <c r="C1017" s="2217"/>
      <c r="D1017" s="1543"/>
      <c r="E1017" s="906"/>
      <c r="F1017" s="541"/>
      <c r="G1017" s="541"/>
      <c r="H1017" s="541"/>
      <c r="I1017" s="541"/>
      <c r="J1017" s="1748"/>
      <c r="K1017" s="541"/>
      <c r="L1017" s="1748"/>
      <c r="M1017" s="541"/>
      <c r="N1017" s="1748"/>
      <c r="O1017" s="541"/>
      <c r="P1017" s="1748"/>
      <c r="Q1017" s="541"/>
      <c r="R1017" s="1748"/>
      <c r="S1017" s="541"/>
      <c r="T1017" s="1748"/>
      <c r="U1017" s="541"/>
      <c r="V1017" s="1748"/>
      <c r="W1017" s="541"/>
      <c r="X1017" s="1748"/>
      <c r="Y1017" s="1748"/>
      <c r="Z1017" s="1748"/>
      <c r="AA1017" s="541"/>
      <c r="AB1017" s="1748"/>
      <c r="AC1017" s="541"/>
      <c r="AD1017" s="541"/>
      <c r="AE1017" s="541"/>
      <c r="AF1017" s="541"/>
      <c r="AG1017" s="541"/>
      <c r="AH1017" s="541"/>
      <c r="AI1017" s="541"/>
      <c r="AJ1017" s="541"/>
      <c r="AK1017" s="541"/>
      <c r="AL1017" s="541"/>
      <c r="AM1017" s="541"/>
      <c r="AN1017" s="1748"/>
      <c r="AO1017" s="1748"/>
      <c r="AP1017" s="1748"/>
      <c r="AQ1017" s="1748"/>
      <c r="AR1017" s="1748"/>
      <c r="AS1017" s="541"/>
      <c r="AT1017" s="541"/>
      <c r="AU1017" s="541"/>
      <c r="AV1017" s="541"/>
      <c r="AW1017" s="541"/>
      <c r="AX1017" s="541"/>
      <c r="AY1017" s="541"/>
      <c r="AZ1017" s="541"/>
      <c r="BA1017" s="541"/>
      <c r="BC1017" s="541"/>
      <c r="BE1017" s="541"/>
      <c r="BG1017" s="541"/>
      <c r="BH1017" s="1190"/>
      <c r="BI1017" s="541"/>
      <c r="BJ1017" s="1190"/>
      <c r="BK1017" s="541"/>
      <c r="BL1017" s="541"/>
      <c r="BM1017" s="541"/>
      <c r="BO1017" s="541"/>
      <c r="BP1017" s="541"/>
      <c r="BQ1017" s="633"/>
      <c r="BR1017" s="541"/>
      <c r="BS1017" s="541"/>
      <c r="BT1017" s="541"/>
    </row>
    <row r="1018" ht="15.75" customHeight="1">
      <c r="A1018" s="1591"/>
      <c r="B1018" s="1541"/>
      <c r="C1018" s="2217"/>
      <c r="D1018" s="1543"/>
      <c r="E1018" s="906"/>
      <c r="F1018" s="541"/>
      <c r="G1018" s="541"/>
      <c r="H1018" s="541"/>
      <c r="I1018" s="541"/>
      <c r="J1018" s="1748"/>
      <c r="K1018" s="541"/>
      <c r="L1018" s="1748"/>
      <c r="M1018" s="541"/>
      <c r="N1018" s="1748"/>
      <c r="O1018" s="541"/>
      <c r="P1018" s="1748"/>
      <c r="Q1018" s="541"/>
      <c r="R1018" s="1748"/>
      <c r="S1018" s="541"/>
      <c r="T1018" s="1748"/>
      <c r="U1018" s="541"/>
      <c r="V1018" s="1748"/>
      <c r="W1018" s="541"/>
      <c r="X1018" s="1748"/>
      <c r="Y1018" s="1748"/>
      <c r="Z1018" s="1748"/>
      <c r="AA1018" s="541"/>
      <c r="AB1018" s="1748"/>
      <c r="AC1018" s="541"/>
      <c r="AD1018" s="541"/>
      <c r="AE1018" s="541"/>
      <c r="AF1018" s="541"/>
      <c r="AG1018" s="541"/>
      <c r="AH1018" s="541"/>
      <c r="AI1018" s="541"/>
      <c r="AJ1018" s="541"/>
      <c r="AK1018" s="541"/>
      <c r="AL1018" s="541"/>
      <c r="AM1018" s="541"/>
      <c r="AN1018" s="1748"/>
      <c r="AO1018" s="1748"/>
      <c r="AP1018" s="1748"/>
      <c r="AQ1018" s="1748"/>
      <c r="AR1018" s="1748"/>
      <c r="AS1018" s="541"/>
      <c r="AT1018" s="541"/>
      <c r="AU1018" s="541"/>
      <c r="AV1018" s="541"/>
      <c r="AW1018" s="541"/>
      <c r="AX1018" s="541"/>
      <c r="AY1018" s="541"/>
      <c r="AZ1018" s="541"/>
      <c r="BA1018" s="541"/>
      <c r="BC1018" s="541"/>
      <c r="BE1018" s="541"/>
      <c r="BG1018" s="541"/>
      <c r="BH1018" s="1190"/>
      <c r="BI1018" s="541"/>
      <c r="BJ1018" s="1190"/>
      <c r="BK1018" s="541"/>
      <c r="BL1018" s="541"/>
      <c r="BM1018" s="541"/>
      <c r="BO1018" s="541"/>
      <c r="BP1018" s="541"/>
      <c r="BQ1018" s="633"/>
      <c r="BR1018" s="541"/>
      <c r="BS1018" s="541"/>
      <c r="BT1018" s="541"/>
    </row>
    <row r="1019" ht="15.75" customHeight="1">
      <c r="A1019" s="1591"/>
      <c r="B1019" s="1541"/>
      <c r="C1019" s="2217"/>
      <c r="D1019" s="1543"/>
      <c r="E1019" s="906"/>
      <c r="F1019" s="541"/>
      <c r="G1019" s="541"/>
      <c r="H1019" s="541"/>
      <c r="I1019" s="541"/>
      <c r="J1019" s="1748"/>
      <c r="K1019" s="541"/>
      <c r="L1019" s="1748"/>
      <c r="M1019" s="541"/>
      <c r="N1019" s="1748"/>
      <c r="O1019" s="541"/>
      <c r="P1019" s="1748"/>
      <c r="Q1019" s="541"/>
      <c r="R1019" s="1748"/>
      <c r="S1019" s="541"/>
      <c r="T1019" s="1748"/>
      <c r="U1019" s="541"/>
      <c r="V1019" s="1748"/>
      <c r="W1019" s="541"/>
      <c r="X1019" s="1748"/>
      <c r="Y1019" s="1748"/>
      <c r="Z1019" s="1748"/>
      <c r="AA1019" s="541"/>
      <c r="AB1019" s="1748"/>
      <c r="AC1019" s="541"/>
      <c r="AD1019" s="541"/>
      <c r="AE1019" s="541"/>
      <c r="AF1019" s="541"/>
      <c r="AG1019" s="541"/>
      <c r="AH1019" s="541"/>
      <c r="AI1019" s="541"/>
      <c r="AJ1019" s="541"/>
      <c r="AK1019" s="541"/>
      <c r="AL1019" s="541"/>
      <c r="AM1019" s="541"/>
      <c r="AN1019" s="1748"/>
      <c r="AO1019" s="1748"/>
      <c r="AP1019" s="1748"/>
      <c r="AQ1019" s="1748"/>
      <c r="AR1019" s="1748"/>
      <c r="AS1019" s="541"/>
      <c r="AT1019" s="541"/>
      <c r="AU1019" s="541"/>
      <c r="AV1019" s="541"/>
      <c r="AW1019" s="541"/>
      <c r="AX1019" s="541"/>
      <c r="AY1019" s="541"/>
      <c r="AZ1019" s="541"/>
      <c r="BA1019" s="541"/>
      <c r="BC1019" s="541"/>
      <c r="BE1019" s="541"/>
      <c r="BG1019" s="541"/>
      <c r="BH1019" s="1190"/>
      <c r="BI1019" s="541"/>
      <c r="BJ1019" s="1190"/>
      <c r="BK1019" s="541"/>
      <c r="BL1019" s="541"/>
      <c r="BM1019" s="541"/>
      <c r="BO1019" s="541"/>
      <c r="BP1019" s="541"/>
      <c r="BQ1019" s="633"/>
      <c r="BR1019" s="541"/>
      <c r="BS1019" s="541"/>
      <c r="BT1019" s="541"/>
    </row>
    <row r="1020" ht="15.75" customHeight="1">
      <c r="A1020" s="1591"/>
      <c r="B1020" s="1541"/>
      <c r="C1020" s="2217"/>
      <c r="D1020" s="1543"/>
      <c r="E1020" s="906"/>
      <c r="F1020" s="541"/>
      <c r="G1020" s="541"/>
      <c r="H1020" s="541"/>
      <c r="I1020" s="541"/>
      <c r="J1020" s="1748"/>
      <c r="K1020" s="541"/>
      <c r="L1020" s="1748"/>
      <c r="M1020" s="541"/>
      <c r="N1020" s="1748"/>
      <c r="O1020" s="541"/>
      <c r="P1020" s="1748"/>
      <c r="Q1020" s="541"/>
      <c r="R1020" s="1748"/>
      <c r="S1020" s="541"/>
      <c r="T1020" s="1748"/>
      <c r="U1020" s="541"/>
      <c r="V1020" s="1748"/>
      <c r="W1020" s="541"/>
      <c r="X1020" s="1748"/>
      <c r="Y1020" s="1748"/>
      <c r="Z1020" s="1748"/>
      <c r="AA1020" s="541"/>
      <c r="AB1020" s="1748"/>
      <c r="AC1020" s="541"/>
      <c r="AD1020" s="541"/>
      <c r="AE1020" s="541"/>
      <c r="AF1020" s="541"/>
      <c r="AG1020" s="541"/>
      <c r="AH1020" s="541"/>
      <c r="AI1020" s="541"/>
      <c r="AJ1020" s="541"/>
      <c r="AK1020" s="541"/>
      <c r="AL1020" s="541"/>
      <c r="AM1020" s="541"/>
      <c r="AN1020" s="1748"/>
      <c r="AO1020" s="1748"/>
      <c r="AP1020" s="1748"/>
      <c r="AQ1020" s="1748"/>
      <c r="AR1020" s="1748"/>
      <c r="AS1020" s="541"/>
      <c r="AT1020" s="541"/>
      <c r="AU1020" s="541"/>
      <c r="AV1020" s="541"/>
      <c r="AW1020" s="541"/>
      <c r="AX1020" s="541"/>
      <c r="AY1020" s="541"/>
      <c r="AZ1020" s="541"/>
      <c r="BA1020" s="541"/>
      <c r="BC1020" s="541"/>
      <c r="BE1020" s="541"/>
      <c r="BG1020" s="541"/>
      <c r="BH1020" s="1190"/>
      <c r="BI1020" s="541"/>
      <c r="BJ1020" s="1190"/>
      <c r="BK1020" s="541"/>
      <c r="BL1020" s="541"/>
      <c r="BM1020" s="541"/>
      <c r="BO1020" s="541"/>
      <c r="BP1020" s="541"/>
      <c r="BQ1020" s="633"/>
      <c r="BR1020" s="541"/>
      <c r="BS1020" s="541"/>
      <c r="BT1020" s="541"/>
    </row>
    <row r="1021" ht="15.75" customHeight="1">
      <c r="A1021" s="1591"/>
      <c r="B1021" s="1541"/>
      <c r="C1021" s="2217"/>
      <c r="D1021" s="1543"/>
      <c r="E1021" s="906"/>
      <c r="F1021" s="541"/>
      <c r="G1021" s="541"/>
      <c r="H1021" s="541"/>
      <c r="I1021" s="541"/>
      <c r="J1021" s="1748"/>
      <c r="K1021" s="541"/>
      <c r="L1021" s="1748"/>
      <c r="M1021" s="541"/>
      <c r="N1021" s="1748"/>
      <c r="O1021" s="541"/>
      <c r="P1021" s="1748"/>
      <c r="Q1021" s="541"/>
      <c r="R1021" s="1748"/>
      <c r="S1021" s="541"/>
      <c r="T1021" s="1748"/>
      <c r="U1021" s="541"/>
      <c r="V1021" s="1748"/>
      <c r="W1021" s="541"/>
      <c r="X1021" s="1748"/>
      <c r="Y1021" s="1748"/>
      <c r="Z1021" s="1748"/>
      <c r="AA1021" s="541"/>
      <c r="AB1021" s="1748"/>
      <c r="AC1021" s="541"/>
      <c r="AD1021" s="541"/>
      <c r="AE1021" s="541"/>
      <c r="AF1021" s="541"/>
      <c r="AG1021" s="541"/>
      <c r="AH1021" s="541"/>
      <c r="AI1021" s="541"/>
      <c r="AJ1021" s="541"/>
      <c r="AK1021" s="541"/>
      <c r="AL1021" s="541"/>
      <c r="AM1021" s="541"/>
      <c r="AN1021" s="1748"/>
      <c r="AO1021" s="1748"/>
      <c r="AP1021" s="1748"/>
      <c r="AQ1021" s="1748"/>
      <c r="AR1021" s="1748"/>
      <c r="AS1021" s="541"/>
      <c r="AT1021" s="541"/>
      <c r="AU1021" s="541"/>
      <c r="AV1021" s="541"/>
      <c r="AW1021" s="541"/>
      <c r="AX1021" s="541"/>
      <c r="AY1021" s="541"/>
      <c r="AZ1021" s="541"/>
      <c r="BA1021" s="541"/>
      <c r="BC1021" s="541"/>
      <c r="BE1021" s="541"/>
      <c r="BG1021" s="541"/>
      <c r="BH1021" s="1190"/>
      <c r="BI1021" s="541"/>
      <c r="BJ1021" s="1190"/>
      <c r="BK1021" s="541"/>
      <c r="BL1021" s="541"/>
      <c r="BM1021" s="541"/>
      <c r="BO1021" s="541"/>
      <c r="BP1021" s="541"/>
      <c r="BQ1021" s="633"/>
      <c r="BR1021" s="541"/>
      <c r="BS1021" s="541"/>
      <c r="BT1021" s="541"/>
    </row>
    <row r="1022" ht="15.75" customHeight="1">
      <c r="A1022" s="1591"/>
      <c r="B1022" s="1541"/>
      <c r="C1022" s="2217"/>
      <c r="D1022" s="1543"/>
      <c r="E1022" s="906"/>
      <c r="F1022" s="541"/>
      <c r="G1022" s="541"/>
      <c r="H1022" s="541"/>
      <c r="I1022" s="541"/>
      <c r="J1022" s="1748"/>
      <c r="K1022" s="541"/>
      <c r="L1022" s="1748"/>
      <c r="M1022" s="541"/>
      <c r="N1022" s="1748"/>
      <c r="O1022" s="541"/>
      <c r="P1022" s="1748"/>
      <c r="Q1022" s="541"/>
      <c r="R1022" s="1748"/>
      <c r="S1022" s="541"/>
      <c r="T1022" s="1748"/>
      <c r="U1022" s="541"/>
      <c r="V1022" s="1748"/>
      <c r="W1022" s="541"/>
      <c r="X1022" s="1748"/>
      <c r="Y1022" s="1748"/>
      <c r="Z1022" s="1748"/>
      <c r="AA1022" s="541"/>
      <c r="AB1022" s="1748"/>
      <c r="AC1022" s="541"/>
      <c r="AD1022" s="541"/>
      <c r="AE1022" s="541"/>
      <c r="AF1022" s="541"/>
      <c r="AG1022" s="541"/>
      <c r="AH1022" s="541"/>
      <c r="AI1022" s="541"/>
      <c r="AJ1022" s="541"/>
      <c r="AK1022" s="541"/>
      <c r="AL1022" s="541"/>
      <c r="AM1022" s="541"/>
      <c r="AN1022" s="1748"/>
      <c r="AO1022" s="1748"/>
      <c r="AP1022" s="1748"/>
      <c r="AQ1022" s="1748"/>
      <c r="AR1022" s="1748"/>
      <c r="AS1022" s="541"/>
      <c r="AT1022" s="541"/>
      <c r="AU1022" s="541"/>
      <c r="AV1022" s="541"/>
      <c r="AW1022" s="541"/>
      <c r="AX1022" s="541"/>
      <c r="AY1022" s="541"/>
      <c r="AZ1022" s="541"/>
      <c r="BA1022" s="541"/>
      <c r="BC1022" s="541"/>
      <c r="BE1022" s="541"/>
      <c r="BG1022" s="541"/>
      <c r="BH1022" s="1190"/>
      <c r="BI1022" s="541"/>
      <c r="BJ1022" s="1190"/>
      <c r="BK1022" s="541"/>
      <c r="BL1022" s="541"/>
      <c r="BM1022" s="541"/>
      <c r="BO1022" s="541"/>
      <c r="BP1022" s="541"/>
      <c r="BQ1022" s="633"/>
      <c r="BR1022" s="541"/>
      <c r="BS1022" s="541"/>
      <c r="BT1022" s="541"/>
    </row>
    <row r="1023" ht="15.75" customHeight="1">
      <c r="A1023" s="1591"/>
      <c r="B1023" s="1541"/>
      <c r="C1023" s="2217"/>
      <c r="D1023" s="1543"/>
      <c r="E1023" s="906"/>
      <c r="F1023" s="541"/>
      <c r="G1023" s="541"/>
      <c r="H1023" s="541"/>
      <c r="I1023" s="541"/>
      <c r="J1023" s="1748"/>
      <c r="K1023" s="541"/>
      <c r="L1023" s="1748"/>
      <c r="M1023" s="541"/>
      <c r="N1023" s="1748"/>
      <c r="O1023" s="541"/>
      <c r="P1023" s="1748"/>
      <c r="Q1023" s="541"/>
      <c r="R1023" s="1748"/>
      <c r="S1023" s="541"/>
      <c r="T1023" s="1748"/>
      <c r="U1023" s="541"/>
      <c r="V1023" s="1748"/>
      <c r="W1023" s="541"/>
      <c r="X1023" s="1748"/>
      <c r="Y1023" s="1748"/>
      <c r="Z1023" s="1748"/>
      <c r="AA1023" s="541"/>
      <c r="AB1023" s="1748"/>
      <c r="AC1023" s="541"/>
      <c r="AD1023" s="541"/>
      <c r="AE1023" s="541"/>
      <c r="AF1023" s="541"/>
      <c r="AG1023" s="541"/>
      <c r="AH1023" s="541"/>
      <c r="AI1023" s="541"/>
      <c r="AJ1023" s="541"/>
      <c r="AK1023" s="541"/>
      <c r="AL1023" s="541"/>
      <c r="AM1023" s="541"/>
      <c r="AN1023" s="1748"/>
      <c r="AO1023" s="1748"/>
      <c r="AP1023" s="1748"/>
      <c r="AQ1023" s="1748"/>
      <c r="AR1023" s="1748"/>
      <c r="AS1023" s="541"/>
      <c r="AT1023" s="541"/>
      <c r="AU1023" s="541"/>
      <c r="AV1023" s="541"/>
      <c r="AW1023" s="541"/>
      <c r="AX1023" s="541"/>
      <c r="AY1023" s="541"/>
      <c r="AZ1023" s="541"/>
      <c r="BA1023" s="541"/>
      <c r="BC1023" s="541"/>
      <c r="BE1023" s="541"/>
      <c r="BG1023" s="541"/>
      <c r="BH1023" s="1190"/>
      <c r="BI1023" s="541"/>
      <c r="BJ1023" s="1190"/>
      <c r="BK1023" s="541"/>
      <c r="BL1023" s="541"/>
      <c r="BM1023" s="541"/>
      <c r="BO1023" s="541"/>
      <c r="BP1023" s="541"/>
      <c r="BQ1023" s="633"/>
      <c r="BR1023" s="541"/>
      <c r="BS1023" s="541"/>
      <c r="BT1023" s="541"/>
    </row>
    <row r="1024" ht="15.75" customHeight="1">
      <c r="A1024" s="1591"/>
      <c r="B1024" s="1541"/>
      <c r="C1024" s="2217"/>
      <c r="D1024" s="1543"/>
      <c r="E1024" s="906"/>
      <c r="F1024" s="541"/>
      <c r="G1024" s="541"/>
      <c r="H1024" s="541"/>
      <c r="I1024" s="541"/>
      <c r="J1024" s="1748"/>
      <c r="K1024" s="541"/>
      <c r="L1024" s="1748"/>
      <c r="M1024" s="541"/>
      <c r="N1024" s="1748"/>
      <c r="O1024" s="541"/>
      <c r="P1024" s="1748"/>
      <c r="Q1024" s="541"/>
      <c r="R1024" s="1748"/>
      <c r="S1024" s="541"/>
      <c r="T1024" s="1748"/>
      <c r="U1024" s="541"/>
      <c r="V1024" s="1748"/>
      <c r="W1024" s="541"/>
      <c r="X1024" s="1748"/>
      <c r="Y1024" s="1748"/>
      <c r="Z1024" s="1748"/>
      <c r="AA1024" s="541"/>
      <c r="AB1024" s="1748"/>
      <c r="AC1024" s="541"/>
      <c r="AD1024" s="541"/>
      <c r="AE1024" s="541"/>
      <c r="AF1024" s="541"/>
      <c r="AG1024" s="541"/>
      <c r="AH1024" s="541"/>
      <c r="AI1024" s="541"/>
      <c r="AJ1024" s="541"/>
      <c r="AK1024" s="541"/>
      <c r="AL1024" s="541"/>
      <c r="AM1024" s="541"/>
      <c r="AN1024" s="1748"/>
      <c r="AO1024" s="1748"/>
      <c r="AP1024" s="1748"/>
      <c r="AQ1024" s="1748"/>
      <c r="AR1024" s="1748"/>
      <c r="AS1024" s="541"/>
      <c r="AT1024" s="541"/>
      <c r="AU1024" s="541"/>
      <c r="AV1024" s="541"/>
      <c r="AW1024" s="541"/>
      <c r="AX1024" s="541"/>
      <c r="AY1024" s="541"/>
      <c r="AZ1024" s="541"/>
      <c r="BA1024" s="541"/>
      <c r="BC1024" s="541"/>
      <c r="BE1024" s="541"/>
      <c r="BG1024" s="541"/>
      <c r="BH1024" s="1190"/>
      <c r="BI1024" s="541"/>
      <c r="BJ1024" s="1190"/>
      <c r="BK1024" s="541"/>
      <c r="BL1024" s="541"/>
      <c r="BM1024" s="541"/>
      <c r="BO1024" s="541"/>
      <c r="BP1024" s="541"/>
      <c r="BQ1024" s="633"/>
      <c r="BR1024" s="541"/>
      <c r="BS1024" s="541"/>
      <c r="BT1024" s="541"/>
    </row>
    <row r="1025" ht="15.75" customHeight="1">
      <c r="A1025" s="1591"/>
      <c r="B1025" s="1541"/>
      <c r="C1025" s="2217"/>
      <c r="D1025" s="1543"/>
      <c r="E1025" s="906"/>
      <c r="F1025" s="541"/>
      <c r="G1025" s="541"/>
      <c r="H1025" s="541"/>
      <c r="I1025" s="541"/>
      <c r="J1025" s="1748"/>
      <c r="K1025" s="541"/>
      <c r="L1025" s="1748"/>
      <c r="M1025" s="541"/>
      <c r="N1025" s="1748"/>
      <c r="O1025" s="541"/>
      <c r="P1025" s="1748"/>
      <c r="Q1025" s="541"/>
      <c r="R1025" s="1748"/>
      <c r="S1025" s="541"/>
      <c r="T1025" s="1748"/>
      <c r="U1025" s="541"/>
      <c r="V1025" s="1748"/>
      <c r="W1025" s="541"/>
      <c r="X1025" s="1748"/>
      <c r="Y1025" s="1748"/>
      <c r="Z1025" s="1748"/>
      <c r="AA1025" s="541"/>
      <c r="AB1025" s="1748"/>
      <c r="AC1025" s="541"/>
      <c r="AD1025" s="541"/>
      <c r="AE1025" s="541"/>
      <c r="AF1025" s="541"/>
      <c r="AG1025" s="541"/>
      <c r="AH1025" s="541"/>
      <c r="AI1025" s="541"/>
      <c r="AJ1025" s="541"/>
      <c r="AK1025" s="541"/>
      <c r="AL1025" s="541"/>
      <c r="AM1025" s="541"/>
      <c r="AN1025" s="1748"/>
      <c r="AO1025" s="1748"/>
      <c r="AP1025" s="1748"/>
      <c r="AQ1025" s="1748"/>
      <c r="AR1025" s="1748"/>
      <c r="AS1025" s="541"/>
      <c r="AT1025" s="541"/>
      <c r="AU1025" s="541"/>
      <c r="AV1025" s="541"/>
      <c r="AW1025" s="541"/>
      <c r="AX1025" s="541"/>
      <c r="AY1025" s="541"/>
      <c r="AZ1025" s="541"/>
      <c r="BA1025" s="541"/>
      <c r="BC1025" s="541"/>
      <c r="BE1025" s="541"/>
      <c r="BG1025" s="541"/>
      <c r="BH1025" s="1190"/>
      <c r="BI1025" s="541"/>
      <c r="BJ1025" s="1190"/>
      <c r="BK1025" s="541"/>
      <c r="BL1025" s="541"/>
      <c r="BM1025" s="541"/>
      <c r="BO1025" s="541"/>
      <c r="BP1025" s="541"/>
      <c r="BQ1025" s="633"/>
      <c r="BR1025" s="541"/>
      <c r="BS1025" s="541"/>
      <c r="BT1025" s="541"/>
    </row>
    <row r="1026" ht="15.75" customHeight="1">
      <c r="A1026" s="1591"/>
      <c r="B1026" s="1541"/>
      <c r="C1026" s="2217"/>
      <c r="D1026" s="1543"/>
      <c r="E1026" s="906"/>
      <c r="F1026" s="541"/>
      <c r="G1026" s="541"/>
      <c r="H1026" s="541"/>
      <c r="I1026" s="541"/>
      <c r="J1026" s="1748"/>
      <c r="K1026" s="541"/>
      <c r="L1026" s="1748"/>
      <c r="M1026" s="541"/>
      <c r="N1026" s="1748"/>
      <c r="O1026" s="541"/>
      <c r="P1026" s="1748"/>
      <c r="Q1026" s="541"/>
      <c r="R1026" s="1748"/>
      <c r="S1026" s="541"/>
      <c r="T1026" s="1748"/>
      <c r="U1026" s="541"/>
      <c r="V1026" s="1748"/>
      <c r="W1026" s="541"/>
      <c r="X1026" s="1748"/>
      <c r="Y1026" s="1748"/>
      <c r="Z1026" s="1748"/>
      <c r="AA1026" s="541"/>
      <c r="AB1026" s="1748"/>
      <c r="AC1026" s="541"/>
      <c r="AD1026" s="541"/>
      <c r="AE1026" s="541"/>
      <c r="AF1026" s="541"/>
      <c r="AG1026" s="541"/>
      <c r="AH1026" s="541"/>
      <c r="AI1026" s="541"/>
      <c r="AJ1026" s="541"/>
      <c r="AK1026" s="541"/>
      <c r="AL1026" s="541"/>
      <c r="AM1026" s="541"/>
      <c r="AN1026" s="1748"/>
      <c r="AO1026" s="1748"/>
      <c r="AP1026" s="1748"/>
      <c r="AQ1026" s="1748"/>
      <c r="AR1026" s="1748"/>
      <c r="AS1026" s="541"/>
      <c r="AT1026" s="541"/>
      <c r="AU1026" s="541"/>
      <c r="AV1026" s="541"/>
      <c r="AW1026" s="541"/>
      <c r="AX1026" s="541"/>
      <c r="AY1026" s="541"/>
      <c r="AZ1026" s="541"/>
      <c r="BA1026" s="541"/>
      <c r="BC1026" s="541"/>
      <c r="BE1026" s="541"/>
      <c r="BG1026" s="541"/>
      <c r="BH1026" s="1190"/>
      <c r="BI1026" s="541"/>
      <c r="BJ1026" s="1190"/>
      <c r="BK1026" s="541"/>
      <c r="BL1026" s="541"/>
      <c r="BM1026" s="541"/>
      <c r="BO1026" s="541"/>
      <c r="BP1026" s="541"/>
      <c r="BQ1026" s="633"/>
      <c r="BR1026" s="541"/>
      <c r="BS1026" s="541"/>
      <c r="BT1026" s="541"/>
    </row>
    <row r="1027" ht="15.75" customHeight="1">
      <c r="A1027" s="1591"/>
      <c r="B1027" s="1541"/>
      <c r="C1027" s="2217"/>
      <c r="D1027" s="1543"/>
      <c r="E1027" s="906"/>
      <c r="F1027" s="541"/>
      <c r="G1027" s="541"/>
      <c r="H1027" s="541"/>
      <c r="I1027" s="541"/>
      <c r="J1027" s="1748"/>
      <c r="K1027" s="541"/>
      <c r="L1027" s="1748"/>
      <c r="M1027" s="541"/>
      <c r="N1027" s="1748"/>
      <c r="O1027" s="541"/>
      <c r="P1027" s="1748"/>
      <c r="Q1027" s="541"/>
      <c r="R1027" s="1748"/>
      <c r="S1027" s="541"/>
      <c r="T1027" s="1748"/>
      <c r="U1027" s="541"/>
      <c r="V1027" s="1748"/>
      <c r="W1027" s="541"/>
      <c r="X1027" s="1748"/>
      <c r="Y1027" s="1748"/>
      <c r="Z1027" s="1748"/>
      <c r="AA1027" s="541"/>
      <c r="AB1027" s="1748"/>
      <c r="AC1027" s="541"/>
      <c r="AD1027" s="541"/>
      <c r="AE1027" s="541"/>
      <c r="AF1027" s="541"/>
      <c r="AG1027" s="541"/>
      <c r="AH1027" s="541"/>
      <c r="AI1027" s="541"/>
      <c r="AJ1027" s="541"/>
      <c r="AK1027" s="541"/>
      <c r="AL1027" s="541"/>
      <c r="AM1027" s="541"/>
      <c r="AN1027" s="1748"/>
      <c r="AO1027" s="1748"/>
      <c r="AP1027" s="1748"/>
      <c r="AQ1027" s="1748"/>
      <c r="AR1027" s="1748"/>
      <c r="AS1027" s="541"/>
      <c r="AT1027" s="541"/>
      <c r="AU1027" s="541"/>
      <c r="AV1027" s="541"/>
      <c r="AW1027" s="541"/>
      <c r="AX1027" s="541"/>
      <c r="AY1027" s="541"/>
      <c r="AZ1027" s="541"/>
      <c r="BA1027" s="541"/>
      <c r="BC1027" s="541"/>
      <c r="BE1027" s="541"/>
      <c r="BG1027" s="541"/>
      <c r="BH1027" s="1190"/>
      <c r="BI1027" s="541"/>
      <c r="BJ1027" s="1190"/>
      <c r="BK1027" s="541"/>
      <c r="BL1027" s="541"/>
      <c r="BM1027" s="541"/>
      <c r="BO1027" s="541"/>
      <c r="BP1027" s="541"/>
      <c r="BQ1027" s="633"/>
      <c r="BR1027" s="541"/>
      <c r="BS1027" s="541"/>
      <c r="BT1027" s="541"/>
    </row>
    <row r="1028" ht="15.75" customHeight="1">
      <c r="A1028" s="1591"/>
      <c r="B1028" s="1541"/>
      <c r="C1028" s="2217"/>
      <c r="D1028" s="1543"/>
      <c r="E1028" s="906"/>
      <c r="F1028" s="541"/>
      <c r="G1028" s="541"/>
      <c r="H1028" s="541"/>
      <c r="I1028" s="541"/>
      <c r="J1028" s="1748"/>
      <c r="K1028" s="541"/>
      <c r="L1028" s="1748"/>
      <c r="M1028" s="541"/>
      <c r="N1028" s="1748"/>
      <c r="O1028" s="541"/>
      <c r="P1028" s="1748"/>
      <c r="Q1028" s="541"/>
      <c r="R1028" s="1748"/>
      <c r="S1028" s="541"/>
      <c r="T1028" s="1748"/>
      <c r="U1028" s="541"/>
      <c r="V1028" s="1748"/>
      <c r="W1028" s="541"/>
      <c r="X1028" s="1748"/>
      <c r="Y1028" s="1748"/>
      <c r="Z1028" s="1748"/>
      <c r="AA1028" s="541"/>
      <c r="AB1028" s="1748"/>
      <c r="AC1028" s="541"/>
      <c r="AD1028" s="541"/>
      <c r="AE1028" s="541"/>
      <c r="AF1028" s="541"/>
      <c r="AG1028" s="541"/>
      <c r="AH1028" s="541"/>
      <c r="AI1028" s="541"/>
      <c r="AJ1028" s="541"/>
      <c r="AK1028" s="541"/>
      <c r="AL1028" s="541"/>
      <c r="AM1028" s="541"/>
      <c r="AN1028" s="1748"/>
      <c r="AO1028" s="1748"/>
      <c r="AP1028" s="1748"/>
      <c r="AQ1028" s="1748"/>
      <c r="AR1028" s="1748"/>
      <c r="AS1028" s="541"/>
      <c r="AT1028" s="541"/>
      <c r="AU1028" s="541"/>
      <c r="AV1028" s="541"/>
      <c r="AW1028" s="541"/>
      <c r="AX1028" s="541"/>
      <c r="AY1028" s="541"/>
      <c r="AZ1028" s="541"/>
      <c r="BA1028" s="541"/>
      <c r="BC1028" s="541"/>
      <c r="BE1028" s="541"/>
      <c r="BG1028" s="541"/>
      <c r="BH1028" s="1190"/>
      <c r="BI1028" s="541"/>
      <c r="BJ1028" s="1190"/>
      <c r="BK1028" s="541"/>
      <c r="BL1028" s="541"/>
      <c r="BM1028" s="541"/>
      <c r="BO1028" s="541"/>
      <c r="BP1028" s="541"/>
      <c r="BQ1028" s="633"/>
      <c r="BR1028" s="541"/>
      <c r="BS1028" s="541"/>
      <c r="BT1028" s="541"/>
    </row>
    <row r="1029" ht="15.75" customHeight="1">
      <c r="A1029" s="1591"/>
      <c r="B1029" s="1541"/>
      <c r="C1029" s="2217"/>
      <c r="D1029" s="1543"/>
      <c r="E1029" s="906"/>
      <c r="F1029" s="541"/>
      <c r="G1029" s="541"/>
      <c r="H1029" s="541"/>
      <c r="I1029" s="541"/>
      <c r="J1029" s="1748"/>
      <c r="K1029" s="541"/>
      <c r="L1029" s="1748"/>
      <c r="M1029" s="541"/>
      <c r="N1029" s="1748"/>
      <c r="O1029" s="541"/>
      <c r="P1029" s="1748"/>
      <c r="Q1029" s="541"/>
      <c r="R1029" s="1748"/>
      <c r="S1029" s="541"/>
      <c r="T1029" s="1748"/>
      <c r="U1029" s="541"/>
      <c r="V1029" s="1748"/>
      <c r="W1029" s="541"/>
      <c r="X1029" s="1748"/>
      <c r="Y1029" s="1748"/>
      <c r="Z1029" s="1748"/>
      <c r="AA1029" s="541"/>
      <c r="AB1029" s="1748"/>
      <c r="AC1029" s="541"/>
      <c r="AD1029" s="541"/>
      <c r="AE1029" s="541"/>
      <c r="AF1029" s="541"/>
      <c r="AG1029" s="541"/>
      <c r="AH1029" s="541"/>
      <c r="AI1029" s="541"/>
      <c r="AJ1029" s="541"/>
      <c r="AK1029" s="541"/>
      <c r="AL1029" s="541"/>
      <c r="AM1029" s="541"/>
      <c r="AN1029" s="1748"/>
      <c r="AO1029" s="1748"/>
      <c r="AP1029" s="1748"/>
      <c r="AQ1029" s="1748"/>
      <c r="AR1029" s="1748"/>
      <c r="AS1029" s="541"/>
      <c r="AT1029" s="541"/>
      <c r="AU1029" s="541"/>
      <c r="AV1029" s="541"/>
      <c r="AW1029" s="541"/>
      <c r="AX1029" s="541"/>
      <c r="AY1029" s="541"/>
      <c r="AZ1029" s="541"/>
      <c r="BA1029" s="541"/>
      <c r="BC1029" s="541"/>
      <c r="BE1029" s="541"/>
      <c r="BG1029" s="541"/>
      <c r="BH1029" s="1190"/>
      <c r="BI1029" s="541"/>
      <c r="BJ1029" s="1190"/>
      <c r="BK1029" s="541"/>
      <c r="BL1029" s="541"/>
      <c r="BM1029" s="541"/>
      <c r="BO1029" s="541"/>
      <c r="BP1029" s="541"/>
      <c r="BQ1029" s="633"/>
      <c r="BR1029" s="541"/>
      <c r="BS1029" s="541"/>
      <c r="BT1029" s="541"/>
    </row>
    <row r="1030" ht="15.75" customHeight="1">
      <c r="A1030" s="1591"/>
      <c r="B1030" s="1541"/>
      <c r="C1030" s="2217"/>
      <c r="D1030" s="1543"/>
      <c r="E1030" s="906"/>
      <c r="F1030" s="541"/>
      <c r="G1030" s="541"/>
      <c r="H1030" s="541"/>
      <c r="I1030" s="541"/>
      <c r="J1030" s="1748"/>
      <c r="K1030" s="541"/>
      <c r="L1030" s="1748"/>
      <c r="M1030" s="541"/>
      <c r="N1030" s="1748"/>
      <c r="O1030" s="541"/>
      <c r="P1030" s="1748"/>
      <c r="Q1030" s="541"/>
      <c r="R1030" s="1748"/>
      <c r="S1030" s="541"/>
      <c r="T1030" s="1748"/>
      <c r="U1030" s="541"/>
      <c r="V1030" s="1748"/>
      <c r="W1030" s="541"/>
      <c r="X1030" s="1748"/>
      <c r="Y1030" s="1748"/>
      <c r="Z1030" s="1748"/>
      <c r="AA1030" s="541"/>
      <c r="AB1030" s="1748"/>
      <c r="AC1030" s="541"/>
      <c r="AD1030" s="541"/>
      <c r="AE1030" s="541"/>
      <c r="AF1030" s="541"/>
      <c r="AG1030" s="541"/>
      <c r="AH1030" s="541"/>
      <c r="AI1030" s="541"/>
      <c r="AJ1030" s="541"/>
      <c r="AK1030" s="541"/>
      <c r="AL1030" s="541"/>
      <c r="AM1030" s="541"/>
      <c r="AN1030" s="1748"/>
      <c r="AO1030" s="1748"/>
      <c r="AP1030" s="1748"/>
      <c r="AQ1030" s="1748"/>
      <c r="AR1030" s="1748"/>
      <c r="AS1030" s="541"/>
      <c r="AT1030" s="541"/>
      <c r="AU1030" s="541"/>
      <c r="AV1030" s="541"/>
      <c r="AW1030" s="541"/>
      <c r="AX1030" s="541"/>
      <c r="AY1030" s="541"/>
      <c r="AZ1030" s="541"/>
      <c r="BA1030" s="541"/>
      <c r="BC1030" s="541"/>
      <c r="BE1030" s="541"/>
      <c r="BG1030" s="541"/>
      <c r="BH1030" s="1190"/>
      <c r="BI1030" s="541"/>
      <c r="BJ1030" s="1190"/>
      <c r="BK1030" s="541"/>
      <c r="BL1030" s="541"/>
      <c r="BM1030" s="541"/>
      <c r="BO1030" s="541"/>
      <c r="BP1030" s="541"/>
      <c r="BQ1030" s="633"/>
      <c r="BR1030" s="541"/>
      <c r="BS1030" s="541"/>
      <c r="BT1030" s="541"/>
    </row>
    <row r="1031" ht="15.75" customHeight="1">
      <c r="A1031" s="1591"/>
      <c r="B1031" s="1541"/>
      <c r="C1031" s="2217"/>
      <c r="D1031" s="1543"/>
      <c r="E1031" s="906"/>
      <c r="F1031" s="541"/>
      <c r="G1031" s="541"/>
      <c r="H1031" s="541"/>
      <c r="I1031" s="541"/>
      <c r="J1031" s="1748"/>
      <c r="K1031" s="541"/>
      <c r="L1031" s="1748"/>
      <c r="M1031" s="541"/>
      <c r="N1031" s="1748"/>
      <c r="O1031" s="541"/>
      <c r="P1031" s="1748"/>
      <c r="Q1031" s="541"/>
      <c r="R1031" s="1748"/>
      <c r="S1031" s="541"/>
      <c r="T1031" s="1748"/>
      <c r="U1031" s="541"/>
      <c r="V1031" s="1748"/>
      <c r="W1031" s="541"/>
      <c r="X1031" s="1748"/>
      <c r="Y1031" s="1748"/>
      <c r="Z1031" s="1748"/>
      <c r="AA1031" s="541"/>
      <c r="AB1031" s="1748"/>
      <c r="AC1031" s="541"/>
      <c r="AD1031" s="541"/>
      <c r="AE1031" s="541"/>
      <c r="AF1031" s="541"/>
      <c r="AG1031" s="541"/>
      <c r="AH1031" s="541"/>
      <c r="AI1031" s="541"/>
      <c r="AJ1031" s="541"/>
      <c r="AK1031" s="541"/>
      <c r="AL1031" s="541"/>
      <c r="AM1031" s="541"/>
      <c r="AN1031" s="1748"/>
      <c r="AO1031" s="1748"/>
      <c r="AP1031" s="1748"/>
      <c r="AQ1031" s="1748"/>
      <c r="AR1031" s="1748"/>
      <c r="AS1031" s="541"/>
      <c r="AT1031" s="541"/>
      <c r="AU1031" s="541"/>
      <c r="AV1031" s="541"/>
      <c r="AW1031" s="541"/>
      <c r="AX1031" s="541"/>
      <c r="AY1031" s="541"/>
      <c r="AZ1031" s="541"/>
      <c r="BA1031" s="541"/>
      <c r="BC1031" s="541"/>
      <c r="BE1031" s="541"/>
      <c r="BG1031" s="541"/>
      <c r="BH1031" s="1190"/>
      <c r="BI1031" s="541"/>
      <c r="BJ1031" s="1190"/>
      <c r="BK1031" s="541"/>
      <c r="BL1031" s="541"/>
      <c r="BM1031" s="541"/>
      <c r="BO1031" s="541"/>
      <c r="BP1031" s="541"/>
      <c r="BQ1031" s="633"/>
      <c r="BR1031" s="541"/>
      <c r="BS1031" s="541"/>
      <c r="BT1031" s="541"/>
    </row>
    <row r="1032" ht="15.75" customHeight="1">
      <c r="A1032" s="1591"/>
      <c r="B1032" s="1541"/>
      <c r="C1032" s="2217"/>
      <c r="D1032" s="1543"/>
      <c r="E1032" s="906"/>
      <c r="F1032" s="541"/>
      <c r="G1032" s="541"/>
      <c r="H1032" s="541"/>
      <c r="I1032" s="541"/>
      <c r="J1032" s="1748"/>
      <c r="K1032" s="541"/>
      <c r="L1032" s="1748"/>
      <c r="M1032" s="541"/>
      <c r="N1032" s="1748"/>
      <c r="O1032" s="541"/>
      <c r="P1032" s="1748"/>
      <c r="Q1032" s="541"/>
      <c r="R1032" s="1748"/>
      <c r="S1032" s="541"/>
      <c r="T1032" s="1748"/>
      <c r="U1032" s="541"/>
      <c r="V1032" s="1748"/>
      <c r="W1032" s="541"/>
      <c r="X1032" s="1748"/>
      <c r="Y1032" s="1748"/>
      <c r="Z1032" s="1748"/>
      <c r="AA1032" s="541"/>
      <c r="AB1032" s="1748"/>
      <c r="AC1032" s="541"/>
      <c r="AD1032" s="541"/>
      <c r="AE1032" s="541"/>
      <c r="AF1032" s="541"/>
      <c r="AG1032" s="541"/>
      <c r="AH1032" s="541"/>
      <c r="AI1032" s="541"/>
      <c r="AJ1032" s="541"/>
      <c r="AK1032" s="541"/>
      <c r="AL1032" s="541"/>
      <c r="AM1032" s="541"/>
      <c r="AN1032" s="1748"/>
      <c r="AO1032" s="1748"/>
      <c r="AP1032" s="1748"/>
      <c r="AQ1032" s="1748"/>
      <c r="AR1032" s="1748"/>
      <c r="AS1032" s="541"/>
      <c r="AT1032" s="541"/>
      <c r="AU1032" s="541"/>
      <c r="AV1032" s="541"/>
      <c r="AW1032" s="541"/>
      <c r="AX1032" s="541"/>
      <c r="AY1032" s="541"/>
      <c r="AZ1032" s="541"/>
      <c r="BA1032" s="541"/>
      <c r="BC1032" s="541"/>
      <c r="BE1032" s="541"/>
      <c r="BG1032" s="541"/>
      <c r="BH1032" s="1190"/>
      <c r="BI1032" s="541"/>
      <c r="BJ1032" s="1190"/>
      <c r="BK1032" s="541"/>
      <c r="BL1032" s="541"/>
      <c r="BM1032" s="541"/>
      <c r="BO1032" s="541"/>
      <c r="BP1032" s="541"/>
      <c r="BQ1032" s="633"/>
      <c r="BR1032" s="541"/>
      <c r="BS1032" s="541"/>
      <c r="BT1032" s="541"/>
    </row>
    <row r="1033" ht="15.75" customHeight="1">
      <c r="A1033" s="1591"/>
      <c r="B1033" s="1541"/>
      <c r="C1033" s="2217"/>
      <c r="D1033" s="1543"/>
      <c r="E1033" s="906"/>
      <c r="F1033" s="541"/>
      <c r="G1033" s="541"/>
      <c r="H1033" s="541"/>
      <c r="I1033" s="541"/>
      <c r="J1033" s="1748"/>
      <c r="K1033" s="541"/>
      <c r="L1033" s="1748"/>
      <c r="M1033" s="541"/>
      <c r="N1033" s="1748"/>
      <c r="O1033" s="541"/>
      <c r="P1033" s="1748"/>
      <c r="Q1033" s="541"/>
      <c r="R1033" s="1748"/>
      <c r="S1033" s="541"/>
      <c r="T1033" s="1748"/>
      <c r="U1033" s="541"/>
      <c r="V1033" s="1748"/>
      <c r="W1033" s="541"/>
      <c r="X1033" s="1748"/>
      <c r="Y1033" s="1748"/>
      <c r="Z1033" s="1748"/>
      <c r="AA1033" s="541"/>
      <c r="AB1033" s="1748"/>
      <c r="AC1033" s="541"/>
      <c r="AD1033" s="541"/>
      <c r="AE1033" s="541"/>
      <c r="AF1033" s="541"/>
      <c r="AG1033" s="541"/>
      <c r="AH1033" s="541"/>
      <c r="AI1033" s="541"/>
      <c r="AJ1033" s="541"/>
      <c r="AK1033" s="541"/>
      <c r="AL1033" s="541"/>
      <c r="AM1033" s="541"/>
      <c r="AN1033" s="1748"/>
      <c r="AO1033" s="1748"/>
      <c r="AP1033" s="1748"/>
      <c r="AQ1033" s="1748"/>
      <c r="AR1033" s="1748"/>
      <c r="AS1033" s="541"/>
      <c r="AT1033" s="541"/>
      <c r="AU1033" s="541"/>
      <c r="AV1033" s="541"/>
      <c r="AW1033" s="541"/>
      <c r="AX1033" s="541"/>
      <c r="AY1033" s="541"/>
      <c r="AZ1033" s="541"/>
      <c r="BA1033" s="541"/>
      <c r="BC1033" s="541"/>
      <c r="BE1033" s="541"/>
      <c r="BG1033" s="541"/>
      <c r="BH1033" s="1190"/>
      <c r="BI1033" s="541"/>
      <c r="BJ1033" s="1190"/>
      <c r="BK1033" s="541"/>
      <c r="BL1033" s="541"/>
      <c r="BM1033" s="541"/>
      <c r="BO1033" s="541"/>
      <c r="BP1033" s="541"/>
      <c r="BQ1033" s="633"/>
      <c r="BR1033" s="541"/>
      <c r="BS1033" s="541"/>
      <c r="BT1033" s="541"/>
    </row>
    <row r="1034" ht="15.75" customHeight="1">
      <c r="A1034" s="1591"/>
      <c r="B1034" s="1541"/>
      <c r="C1034" s="2217"/>
      <c r="D1034" s="1543"/>
      <c r="E1034" s="906"/>
      <c r="F1034" s="541"/>
      <c r="G1034" s="541"/>
      <c r="H1034" s="541"/>
      <c r="I1034" s="541"/>
      <c r="J1034" s="1748"/>
      <c r="K1034" s="541"/>
      <c r="L1034" s="1748"/>
      <c r="M1034" s="541"/>
      <c r="N1034" s="1748"/>
      <c r="O1034" s="541"/>
      <c r="P1034" s="1748"/>
      <c r="Q1034" s="541"/>
      <c r="R1034" s="1748"/>
      <c r="S1034" s="541"/>
      <c r="T1034" s="1748"/>
      <c r="U1034" s="541"/>
      <c r="V1034" s="1748"/>
      <c r="W1034" s="541"/>
      <c r="X1034" s="1748"/>
      <c r="Y1034" s="1748"/>
      <c r="Z1034" s="1748"/>
      <c r="AA1034" s="541"/>
      <c r="AB1034" s="1748"/>
      <c r="AC1034" s="541"/>
      <c r="AD1034" s="541"/>
      <c r="AE1034" s="541"/>
      <c r="AF1034" s="541"/>
      <c r="AG1034" s="541"/>
      <c r="AH1034" s="541"/>
      <c r="AI1034" s="541"/>
      <c r="AJ1034" s="541"/>
      <c r="AK1034" s="541"/>
      <c r="AL1034" s="541"/>
      <c r="AM1034" s="541"/>
      <c r="AN1034" s="1748"/>
      <c r="AO1034" s="1748"/>
      <c r="AP1034" s="1748"/>
      <c r="AQ1034" s="1748"/>
      <c r="AR1034" s="1748"/>
      <c r="AS1034" s="541"/>
      <c r="AT1034" s="541"/>
      <c r="AU1034" s="541"/>
      <c r="AV1034" s="541"/>
      <c r="AW1034" s="541"/>
      <c r="AX1034" s="541"/>
      <c r="AY1034" s="541"/>
      <c r="AZ1034" s="541"/>
      <c r="BA1034" s="541"/>
      <c r="BC1034" s="541"/>
      <c r="BE1034" s="541"/>
      <c r="BG1034" s="541"/>
      <c r="BH1034" s="1190"/>
      <c r="BI1034" s="541"/>
      <c r="BJ1034" s="1190"/>
      <c r="BK1034" s="541"/>
      <c r="BL1034" s="541"/>
      <c r="BM1034" s="541"/>
      <c r="BO1034" s="541"/>
      <c r="BP1034" s="541"/>
      <c r="BQ1034" s="633"/>
      <c r="BR1034" s="541"/>
      <c r="BS1034" s="541"/>
      <c r="BT1034" s="541"/>
    </row>
    <row r="1035" ht="15.75" customHeight="1">
      <c r="A1035" s="1591"/>
      <c r="B1035" s="1541"/>
      <c r="C1035" s="2217"/>
      <c r="D1035" s="1543"/>
      <c r="E1035" s="906"/>
      <c r="F1035" s="541"/>
      <c r="G1035" s="541"/>
      <c r="H1035" s="541"/>
      <c r="I1035" s="541"/>
      <c r="J1035" s="1748"/>
      <c r="K1035" s="541"/>
      <c r="L1035" s="1748"/>
      <c r="M1035" s="541"/>
      <c r="N1035" s="1748"/>
      <c r="O1035" s="541"/>
      <c r="P1035" s="1748"/>
      <c r="Q1035" s="541"/>
      <c r="R1035" s="1748"/>
      <c r="S1035" s="541"/>
      <c r="T1035" s="1748"/>
      <c r="U1035" s="541"/>
      <c r="V1035" s="1748"/>
      <c r="W1035" s="541"/>
      <c r="X1035" s="1748"/>
      <c r="Y1035" s="1748"/>
      <c r="Z1035" s="1748"/>
      <c r="AA1035" s="541"/>
      <c r="AB1035" s="1748"/>
      <c r="AC1035" s="541"/>
      <c r="AD1035" s="541"/>
      <c r="AE1035" s="541"/>
      <c r="AF1035" s="541"/>
      <c r="AG1035" s="541"/>
      <c r="AH1035" s="541"/>
      <c r="AI1035" s="541"/>
      <c r="AJ1035" s="541"/>
      <c r="AK1035" s="541"/>
      <c r="AL1035" s="541"/>
      <c r="AM1035" s="541"/>
      <c r="AN1035" s="1748"/>
      <c r="AO1035" s="1748"/>
      <c r="AP1035" s="1748"/>
      <c r="AQ1035" s="1748"/>
      <c r="AR1035" s="1748"/>
      <c r="AS1035" s="541"/>
      <c r="AT1035" s="541"/>
      <c r="AU1035" s="541"/>
      <c r="AV1035" s="541"/>
      <c r="AW1035" s="541"/>
      <c r="AX1035" s="541"/>
      <c r="AY1035" s="541"/>
      <c r="AZ1035" s="541"/>
      <c r="BA1035" s="541"/>
      <c r="BC1035" s="541"/>
      <c r="BE1035" s="541"/>
      <c r="BG1035" s="541"/>
      <c r="BH1035" s="1190"/>
      <c r="BI1035" s="541"/>
      <c r="BJ1035" s="1190"/>
      <c r="BK1035" s="541"/>
      <c r="BL1035" s="541"/>
      <c r="BM1035" s="541"/>
      <c r="BO1035" s="541"/>
      <c r="BP1035" s="541"/>
      <c r="BQ1035" s="633"/>
      <c r="BR1035" s="541"/>
      <c r="BS1035" s="541"/>
      <c r="BT1035" s="541"/>
    </row>
    <row r="1036" ht="15.75" customHeight="1">
      <c r="A1036" s="1591"/>
      <c r="B1036" s="1541"/>
      <c r="C1036" s="2217"/>
      <c r="D1036" s="1543"/>
      <c r="E1036" s="906"/>
      <c r="F1036" s="541"/>
      <c r="G1036" s="541"/>
      <c r="H1036" s="541"/>
      <c r="I1036" s="541"/>
      <c r="J1036" s="1748"/>
      <c r="K1036" s="541"/>
      <c r="L1036" s="1748"/>
      <c r="M1036" s="541"/>
      <c r="N1036" s="1748"/>
      <c r="O1036" s="541"/>
      <c r="P1036" s="1748"/>
      <c r="Q1036" s="541"/>
      <c r="R1036" s="1748"/>
      <c r="S1036" s="541"/>
      <c r="T1036" s="1748"/>
      <c r="U1036" s="541"/>
      <c r="V1036" s="1748"/>
      <c r="W1036" s="541"/>
      <c r="X1036" s="1748"/>
      <c r="Y1036" s="1748"/>
      <c r="Z1036" s="1748"/>
      <c r="AA1036" s="541"/>
      <c r="AB1036" s="1748"/>
      <c r="AC1036" s="541"/>
      <c r="AD1036" s="541"/>
      <c r="AE1036" s="541"/>
      <c r="AF1036" s="541"/>
      <c r="AG1036" s="541"/>
      <c r="AH1036" s="541"/>
      <c r="AI1036" s="541"/>
      <c r="AJ1036" s="541"/>
      <c r="AK1036" s="541"/>
      <c r="AL1036" s="541"/>
      <c r="AM1036" s="541"/>
      <c r="AN1036" s="1748"/>
      <c r="AO1036" s="1748"/>
      <c r="AP1036" s="1748"/>
      <c r="AQ1036" s="1748"/>
      <c r="AR1036" s="1748"/>
      <c r="AS1036" s="541"/>
      <c r="AT1036" s="541"/>
      <c r="AU1036" s="541"/>
      <c r="AV1036" s="541"/>
      <c r="AW1036" s="541"/>
      <c r="AX1036" s="541"/>
      <c r="AY1036" s="541"/>
      <c r="AZ1036" s="541"/>
      <c r="BA1036" s="541"/>
      <c r="BC1036" s="541"/>
      <c r="BE1036" s="541"/>
      <c r="BG1036" s="541"/>
      <c r="BH1036" s="1190"/>
      <c r="BI1036" s="541"/>
      <c r="BJ1036" s="1190"/>
      <c r="BK1036" s="541"/>
      <c r="BL1036" s="541"/>
      <c r="BM1036" s="541"/>
      <c r="BO1036" s="541"/>
      <c r="BP1036" s="541"/>
      <c r="BQ1036" s="633"/>
      <c r="BR1036" s="541"/>
      <c r="BS1036" s="541"/>
      <c r="BT1036" s="541"/>
    </row>
    <row r="1037" ht="15.75" customHeight="1">
      <c r="A1037" s="1591"/>
      <c r="B1037" s="1541"/>
      <c r="C1037" s="2217"/>
      <c r="D1037" s="1543"/>
      <c r="E1037" s="906"/>
      <c r="F1037" s="541"/>
      <c r="G1037" s="541"/>
      <c r="H1037" s="541"/>
      <c r="I1037" s="541"/>
      <c r="J1037" s="1748"/>
      <c r="K1037" s="541"/>
      <c r="L1037" s="1748"/>
      <c r="M1037" s="541"/>
      <c r="N1037" s="1748"/>
      <c r="O1037" s="541"/>
      <c r="P1037" s="1748"/>
      <c r="Q1037" s="541"/>
      <c r="R1037" s="1748"/>
      <c r="S1037" s="541"/>
      <c r="T1037" s="1748"/>
      <c r="U1037" s="541"/>
      <c r="V1037" s="1748"/>
      <c r="W1037" s="541"/>
      <c r="X1037" s="1748"/>
      <c r="Y1037" s="1748"/>
      <c r="Z1037" s="1748"/>
      <c r="AA1037" s="541"/>
      <c r="AB1037" s="1748"/>
      <c r="AC1037" s="541"/>
      <c r="AD1037" s="541"/>
      <c r="AE1037" s="541"/>
      <c r="AF1037" s="541"/>
      <c r="AG1037" s="541"/>
      <c r="AH1037" s="541"/>
      <c r="AI1037" s="541"/>
      <c r="AJ1037" s="541"/>
      <c r="AK1037" s="541"/>
      <c r="AL1037" s="541"/>
      <c r="AM1037" s="541"/>
      <c r="AN1037" s="1748"/>
      <c r="AO1037" s="1748"/>
      <c r="AP1037" s="1748"/>
      <c r="AQ1037" s="1748"/>
      <c r="AR1037" s="1748"/>
      <c r="AS1037" s="541"/>
      <c r="AT1037" s="541"/>
      <c r="AU1037" s="541"/>
      <c r="AV1037" s="541"/>
      <c r="AW1037" s="541"/>
      <c r="AX1037" s="541"/>
      <c r="AY1037" s="541"/>
      <c r="AZ1037" s="541"/>
      <c r="BA1037" s="541"/>
      <c r="BC1037" s="541"/>
      <c r="BE1037" s="541"/>
      <c r="BG1037" s="541"/>
      <c r="BH1037" s="1190"/>
      <c r="BI1037" s="541"/>
      <c r="BJ1037" s="1190"/>
      <c r="BK1037" s="541"/>
      <c r="BL1037" s="541"/>
      <c r="BM1037" s="541"/>
      <c r="BO1037" s="541"/>
      <c r="BP1037" s="541"/>
      <c r="BQ1037" s="633"/>
      <c r="BR1037" s="541"/>
      <c r="BS1037" s="541"/>
      <c r="BT1037" s="541"/>
    </row>
    <row r="1038" ht="15.75" customHeight="1">
      <c r="A1038" s="1591"/>
      <c r="B1038" s="1541"/>
      <c r="C1038" s="2217"/>
      <c r="D1038" s="1543"/>
      <c r="E1038" s="906"/>
      <c r="F1038" s="541"/>
      <c r="G1038" s="541"/>
      <c r="H1038" s="541"/>
      <c r="I1038" s="541"/>
      <c r="J1038" s="1748"/>
      <c r="K1038" s="541"/>
      <c r="L1038" s="1748"/>
      <c r="M1038" s="541"/>
      <c r="N1038" s="1748"/>
      <c r="O1038" s="541"/>
      <c r="P1038" s="1748"/>
      <c r="Q1038" s="541"/>
      <c r="R1038" s="1748"/>
      <c r="S1038" s="541"/>
      <c r="T1038" s="1748"/>
      <c r="U1038" s="541"/>
      <c r="V1038" s="1748"/>
      <c r="W1038" s="541"/>
      <c r="X1038" s="1748"/>
      <c r="Y1038" s="1748"/>
      <c r="Z1038" s="1748"/>
      <c r="AA1038" s="541"/>
      <c r="AB1038" s="1748"/>
      <c r="AC1038" s="541"/>
      <c r="AD1038" s="541"/>
      <c r="AE1038" s="541"/>
      <c r="AF1038" s="541"/>
      <c r="AG1038" s="541"/>
      <c r="AH1038" s="541"/>
      <c r="AI1038" s="541"/>
      <c r="AJ1038" s="541"/>
      <c r="AK1038" s="541"/>
      <c r="AL1038" s="541"/>
      <c r="AM1038" s="541"/>
      <c r="AN1038" s="1748"/>
      <c r="AO1038" s="1748"/>
      <c r="AP1038" s="1748"/>
      <c r="AQ1038" s="1748"/>
      <c r="AR1038" s="1748"/>
      <c r="AS1038" s="541"/>
      <c r="AT1038" s="541"/>
      <c r="AU1038" s="541"/>
      <c r="AV1038" s="541"/>
      <c r="AW1038" s="541"/>
      <c r="AX1038" s="541"/>
      <c r="AY1038" s="541"/>
      <c r="AZ1038" s="541"/>
      <c r="BA1038" s="541"/>
      <c r="BC1038" s="541"/>
      <c r="BE1038" s="541"/>
      <c r="BG1038" s="541"/>
      <c r="BH1038" s="1190"/>
      <c r="BI1038" s="541"/>
      <c r="BJ1038" s="1190"/>
      <c r="BK1038" s="541"/>
      <c r="BL1038" s="541"/>
      <c r="BM1038" s="541"/>
      <c r="BO1038" s="541"/>
      <c r="BP1038" s="541"/>
      <c r="BQ1038" s="633"/>
      <c r="BR1038" s="541"/>
      <c r="BS1038" s="541"/>
      <c r="BT1038" s="541"/>
    </row>
    <row r="1039" ht="15.75" customHeight="1">
      <c r="A1039" s="1591"/>
      <c r="B1039" s="1541"/>
      <c r="C1039" s="2217"/>
      <c r="D1039" s="1543"/>
      <c r="E1039" s="906"/>
      <c r="F1039" s="541"/>
      <c r="G1039" s="541"/>
      <c r="H1039" s="541"/>
      <c r="I1039" s="541"/>
      <c r="J1039" s="1748"/>
      <c r="K1039" s="541"/>
      <c r="L1039" s="1748"/>
      <c r="M1039" s="541"/>
      <c r="N1039" s="1748"/>
      <c r="O1039" s="541"/>
      <c r="P1039" s="1748"/>
      <c r="Q1039" s="541"/>
      <c r="R1039" s="1748"/>
      <c r="S1039" s="541"/>
      <c r="T1039" s="1748"/>
      <c r="U1039" s="541"/>
      <c r="V1039" s="1748"/>
      <c r="W1039" s="541"/>
      <c r="X1039" s="1748"/>
      <c r="Y1039" s="1748"/>
      <c r="Z1039" s="1748"/>
      <c r="AA1039" s="541"/>
      <c r="AB1039" s="1748"/>
      <c r="AC1039" s="541"/>
      <c r="AD1039" s="541"/>
      <c r="AE1039" s="541"/>
      <c r="AF1039" s="541"/>
      <c r="AG1039" s="541"/>
      <c r="AH1039" s="541"/>
      <c r="AI1039" s="541"/>
      <c r="AJ1039" s="541"/>
      <c r="AK1039" s="541"/>
      <c r="AL1039" s="541"/>
      <c r="AM1039" s="541"/>
      <c r="AN1039" s="1748"/>
      <c r="AO1039" s="1748"/>
      <c r="AP1039" s="1748"/>
      <c r="AQ1039" s="1748"/>
      <c r="AR1039" s="1748"/>
      <c r="AS1039" s="541"/>
      <c r="AT1039" s="541"/>
      <c r="AU1039" s="541"/>
      <c r="AV1039" s="541"/>
      <c r="AW1039" s="541"/>
      <c r="AX1039" s="541"/>
      <c r="AY1039" s="541"/>
      <c r="AZ1039" s="541"/>
      <c r="BA1039" s="541"/>
      <c r="BC1039" s="541"/>
      <c r="BE1039" s="541"/>
      <c r="BG1039" s="541"/>
      <c r="BH1039" s="1190"/>
      <c r="BI1039" s="541"/>
      <c r="BJ1039" s="1190"/>
      <c r="BK1039" s="541"/>
      <c r="BL1039" s="541"/>
      <c r="BM1039" s="541"/>
      <c r="BO1039" s="541"/>
      <c r="BP1039" s="541"/>
      <c r="BQ1039" s="633"/>
      <c r="BR1039" s="541"/>
      <c r="BS1039" s="541"/>
      <c r="BT1039" s="541"/>
    </row>
    <row r="1040" ht="15.75" customHeight="1">
      <c r="A1040" s="1591"/>
      <c r="B1040" s="1541"/>
      <c r="C1040" s="2217"/>
      <c r="D1040" s="1543"/>
      <c r="E1040" s="906"/>
      <c r="F1040" s="541"/>
      <c r="G1040" s="541"/>
      <c r="H1040" s="541"/>
      <c r="I1040" s="541"/>
      <c r="J1040" s="1748"/>
      <c r="K1040" s="541"/>
      <c r="L1040" s="1748"/>
      <c r="M1040" s="541"/>
      <c r="N1040" s="1748"/>
      <c r="O1040" s="541"/>
      <c r="P1040" s="1748"/>
      <c r="Q1040" s="541"/>
      <c r="R1040" s="1748"/>
      <c r="S1040" s="541"/>
      <c r="T1040" s="1748"/>
      <c r="U1040" s="541"/>
      <c r="V1040" s="1748"/>
      <c r="W1040" s="541"/>
      <c r="X1040" s="1748"/>
      <c r="Y1040" s="1748"/>
      <c r="Z1040" s="1748"/>
      <c r="AA1040" s="541"/>
      <c r="AB1040" s="1748"/>
      <c r="AC1040" s="541"/>
      <c r="AD1040" s="541"/>
      <c r="AE1040" s="541"/>
      <c r="AF1040" s="541"/>
      <c r="AG1040" s="541"/>
      <c r="AH1040" s="541"/>
      <c r="AI1040" s="541"/>
      <c r="AJ1040" s="541"/>
      <c r="AK1040" s="541"/>
      <c r="AL1040" s="541"/>
      <c r="AM1040" s="541"/>
      <c r="AN1040" s="1748"/>
      <c r="AO1040" s="1748"/>
      <c r="AP1040" s="1748"/>
      <c r="AQ1040" s="1748"/>
      <c r="AR1040" s="1748"/>
      <c r="AS1040" s="541"/>
      <c r="AT1040" s="541"/>
      <c r="AU1040" s="541"/>
      <c r="AV1040" s="541"/>
      <c r="AW1040" s="541"/>
      <c r="AX1040" s="541"/>
      <c r="AY1040" s="541"/>
      <c r="AZ1040" s="541"/>
      <c r="BA1040" s="541"/>
      <c r="BC1040" s="541"/>
      <c r="BE1040" s="541"/>
      <c r="BG1040" s="541"/>
      <c r="BH1040" s="1190"/>
      <c r="BI1040" s="541"/>
      <c r="BJ1040" s="1190"/>
      <c r="BK1040" s="541"/>
      <c r="BL1040" s="541"/>
      <c r="BM1040" s="541"/>
      <c r="BO1040" s="541"/>
      <c r="BP1040" s="541"/>
      <c r="BQ1040" s="633"/>
      <c r="BR1040" s="541"/>
      <c r="BS1040" s="541"/>
      <c r="BT1040" s="541"/>
    </row>
    <row r="1041" ht="15.75" customHeight="1">
      <c r="A1041" s="1591"/>
      <c r="B1041" s="1541"/>
      <c r="C1041" s="2217"/>
      <c r="D1041" s="1543"/>
      <c r="E1041" s="906"/>
      <c r="F1041" s="541"/>
      <c r="G1041" s="541"/>
      <c r="H1041" s="541"/>
      <c r="I1041" s="541"/>
      <c r="J1041" s="1748"/>
      <c r="K1041" s="541"/>
      <c r="L1041" s="1748"/>
      <c r="M1041" s="541"/>
      <c r="N1041" s="1748"/>
      <c r="O1041" s="541"/>
      <c r="P1041" s="1748"/>
      <c r="Q1041" s="541"/>
      <c r="R1041" s="1748"/>
      <c r="S1041" s="541"/>
      <c r="T1041" s="1748"/>
      <c r="U1041" s="541"/>
      <c r="V1041" s="1748"/>
      <c r="W1041" s="541"/>
      <c r="X1041" s="1748"/>
      <c r="Y1041" s="1748"/>
      <c r="Z1041" s="1748"/>
      <c r="AA1041" s="541"/>
      <c r="AB1041" s="1748"/>
      <c r="AC1041" s="541"/>
      <c r="AD1041" s="541"/>
      <c r="AE1041" s="541"/>
      <c r="AF1041" s="541"/>
      <c r="AG1041" s="541"/>
      <c r="AH1041" s="541"/>
      <c r="AI1041" s="541"/>
      <c r="AJ1041" s="541"/>
      <c r="AK1041" s="541"/>
      <c r="AL1041" s="541"/>
      <c r="AM1041" s="541"/>
      <c r="AN1041" s="1748"/>
      <c r="AO1041" s="1748"/>
      <c r="AP1041" s="1748"/>
      <c r="AQ1041" s="1748"/>
      <c r="AR1041" s="1748"/>
      <c r="AS1041" s="541"/>
      <c r="AT1041" s="541"/>
      <c r="AU1041" s="541"/>
      <c r="AV1041" s="541"/>
      <c r="AW1041" s="541"/>
      <c r="AX1041" s="541"/>
      <c r="AY1041" s="541"/>
      <c r="AZ1041" s="541"/>
      <c r="BA1041" s="541"/>
      <c r="BC1041" s="541"/>
      <c r="BE1041" s="541"/>
      <c r="BG1041" s="541"/>
      <c r="BH1041" s="1190"/>
      <c r="BI1041" s="541"/>
      <c r="BJ1041" s="1190"/>
      <c r="BK1041" s="541"/>
      <c r="BL1041" s="541"/>
      <c r="BM1041" s="541"/>
      <c r="BO1041" s="541"/>
      <c r="BP1041" s="541"/>
      <c r="BQ1041" s="633"/>
      <c r="BR1041" s="541"/>
      <c r="BS1041" s="541"/>
      <c r="BT1041" s="541"/>
    </row>
    <row r="1042" ht="15.75" customHeight="1">
      <c r="A1042" s="1591"/>
      <c r="B1042" s="1541"/>
      <c r="C1042" s="2217"/>
      <c r="D1042" s="1543"/>
      <c r="E1042" s="906"/>
      <c r="F1042" s="541"/>
      <c r="G1042" s="541"/>
      <c r="H1042" s="541"/>
      <c r="I1042" s="541"/>
      <c r="J1042" s="1748"/>
      <c r="K1042" s="541"/>
      <c r="L1042" s="1748"/>
      <c r="M1042" s="541"/>
      <c r="N1042" s="1748"/>
      <c r="O1042" s="541"/>
      <c r="P1042" s="1748"/>
      <c r="Q1042" s="541"/>
      <c r="R1042" s="1748"/>
      <c r="S1042" s="541"/>
      <c r="T1042" s="1748"/>
      <c r="U1042" s="541"/>
      <c r="V1042" s="1748"/>
      <c r="W1042" s="541"/>
      <c r="X1042" s="1748"/>
      <c r="Y1042" s="1748"/>
      <c r="Z1042" s="1748"/>
      <c r="AA1042" s="541"/>
      <c r="AB1042" s="1748"/>
      <c r="AC1042" s="541"/>
      <c r="AD1042" s="541"/>
      <c r="AE1042" s="541"/>
      <c r="AF1042" s="541"/>
      <c r="AG1042" s="541"/>
      <c r="AH1042" s="541"/>
      <c r="AI1042" s="541"/>
      <c r="AJ1042" s="541"/>
      <c r="AK1042" s="541"/>
      <c r="AL1042" s="541"/>
      <c r="AM1042" s="541"/>
      <c r="AN1042" s="1748"/>
      <c r="AO1042" s="1748"/>
      <c r="AP1042" s="1748"/>
      <c r="AQ1042" s="1748"/>
      <c r="AR1042" s="1748"/>
      <c r="AS1042" s="541"/>
      <c r="AT1042" s="541"/>
      <c r="AU1042" s="541"/>
      <c r="AV1042" s="541"/>
      <c r="AW1042" s="541"/>
      <c r="AX1042" s="541"/>
      <c r="AY1042" s="541"/>
      <c r="AZ1042" s="541"/>
      <c r="BA1042" s="541"/>
      <c r="BC1042" s="541"/>
      <c r="BE1042" s="541"/>
      <c r="BG1042" s="541"/>
      <c r="BH1042" s="1190"/>
      <c r="BI1042" s="541"/>
      <c r="BJ1042" s="1190"/>
      <c r="BK1042" s="541"/>
      <c r="BL1042" s="541"/>
      <c r="BM1042" s="541"/>
      <c r="BO1042" s="541"/>
      <c r="BP1042" s="541"/>
      <c r="BQ1042" s="633"/>
      <c r="BR1042" s="541"/>
      <c r="BS1042" s="541"/>
      <c r="BT1042" s="541"/>
    </row>
    <row r="1043" ht="15.75" customHeight="1">
      <c r="A1043" s="1591"/>
      <c r="B1043" s="1541"/>
      <c r="C1043" s="2217"/>
      <c r="D1043" s="1543"/>
      <c r="E1043" s="906"/>
      <c r="F1043" s="541"/>
      <c r="G1043" s="541"/>
      <c r="H1043" s="541"/>
      <c r="I1043" s="541"/>
      <c r="J1043" s="1748"/>
      <c r="K1043" s="541"/>
      <c r="L1043" s="1748"/>
      <c r="M1043" s="541"/>
      <c r="N1043" s="1748"/>
      <c r="O1043" s="541"/>
      <c r="P1043" s="1748"/>
      <c r="Q1043" s="541"/>
      <c r="R1043" s="1748"/>
      <c r="S1043" s="541"/>
      <c r="T1043" s="1748"/>
      <c r="U1043" s="541"/>
      <c r="V1043" s="1748"/>
      <c r="W1043" s="541"/>
      <c r="X1043" s="1748"/>
      <c r="Y1043" s="1748"/>
      <c r="Z1043" s="1748"/>
      <c r="AA1043" s="541"/>
      <c r="AB1043" s="1748"/>
      <c r="AC1043" s="541"/>
      <c r="AD1043" s="541"/>
      <c r="AE1043" s="541"/>
      <c r="AF1043" s="541"/>
      <c r="AG1043" s="541"/>
      <c r="AH1043" s="541"/>
      <c r="AI1043" s="541"/>
      <c r="AJ1043" s="541"/>
      <c r="AK1043" s="541"/>
      <c r="AL1043" s="541"/>
      <c r="AM1043" s="541"/>
      <c r="AN1043" s="1748"/>
      <c r="AO1043" s="1748"/>
      <c r="AP1043" s="1748"/>
      <c r="AQ1043" s="1748"/>
      <c r="AR1043" s="1748"/>
      <c r="AS1043" s="541"/>
      <c r="AT1043" s="541"/>
      <c r="AU1043" s="541"/>
      <c r="AV1043" s="541"/>
      <c r="AW1043" s="541"/>
      <c r="AX1043" s="541"/>
      <c r="AY1043" s="541"/>
      <c r="AZ1043" s="541"/>
      <c r="BA1043" s="541"/>
      <c r="BC1043" s="541"/>
      <c r="BE1043" s="541"/>
      <c r="BG1043" s="541"/>
      <c r="BH1043" s="1190"/>
      <c r="BI1043" s="541"/>
      <c r="BJ1043" s="1190"/>
      <c r="BK1043" s="541"/>
      <c r="BL1043" s="541"/>
      <c r="BM1043" s="541"/>
      <c r="BO1043" s="541"/>
      <c r="BP1043" s="541"/>
      <c r="BQ1043" s="633"/>
      <c r="BR1043" s="541"/>
      <c r="BS1043" s="541"/>
      <c r="BT1043" s="541"/>
    </row>
    <row r="1044" ht="15.75" customHeight="1">
      <c r="A1044" s="1591"/>
      <c r="B1044" s="1541"/>
      <c r="C1044" s="2217"/>
      <c r="D1044" s="1543"/>
      <c r="E1044" s="906"/>
      <c r="F1044" s="541"/>
      <c r="G1044" s="541"/>
      <c r="H1044" s="541"/>
      <c r="I1044" s="541"/>
      <c r="J1044" s="1748"/>
      <c r="K1044" s="541"/>
      <c r="L1044" s="1748"/>
      <c r="M1044" s="541"/>
      <c r="N1044" s="1748"/>
      <c r="O1044" s="541"/>
      <c r="P1044" s="1748"/>
      <c r="Q1044" s="541"/>
      <c r="R1044" s="1748"/>
      <c r="S1044" s="541"/>
      <c r="T1044" s="1748"/>
      <c r="U1044" s="541"/>
      <c r="V1044" s="1748"/>
      <c r="W1044" s="541"/>
      <c r="X1044" s="1748"/>
      <c r="Y1044" s="1748"/>
      <c r="Z1044" s="1748"/>
      <c r="AA1044" s="541"/>
      <c r="AB1044" s="1748"/>
      <c r="AC1044" s="541"/>
      <c r="AD1044" s="541"/>
      <c r="AE1044" s="541"/>
      <c r="AF1044" s="541"/>
      <c r="AG1044" s="541"/>
      <c r="AH1044" s="541"/>
      <c r="AI1044" s="541"/>
      <c r="AJ1044" s="541"/>
      <c r="AK1044" s="541"/>
      <c r="AL1044" s="541"/>
      <c r="AM1044" s="541"/>
      <c r="AN1044" s="1748"/>
      <c r="AO1044" s="1748"/>
      <c r="AP1044" s="1748"/>
      <c r="AQ1044" s="1748"/>
      <c r="AR1044" s="1748"/>
      <c r="AS1044" s="541"/>
      <c r="AT1044" s="541"/>
      <c r="AU1044" s="541"/>
      <c r="AV1044" s="541"/>
      <c r="AW1044" s="541"/>
      <c r="AX1044" s="541"/>
      <c r="AY1044" s="541"/>
      <c r="AZ1044" s="541"/>
      <c r="BA1044" s="541"/>
      <c r="BC1044" s="541"/>
      <c r="BE1044" s="541"/>
      <c r="BG1044" s="541"/>
      <c r="BH1044" s="1190"/>
      <c r="BI1044" s="541"/>
      <c r="BJ1044" s="1190"/>
      <c r="BK1044" s="541"/>
      <c r="BL1044" s="541"/>
      <c r="BM1044" s="541"/>
      <c r="BO1044" s="541"/>
      <c r="BP1044" s="541"/>
      <c r="BQ1044" s="633"/>
      <c r="BR1044" s="541"/>
      <c r="BS1044" s="541"/>
      <c r="BT1044" s="541"/>
    </row>
    <row r="1045" ht="15.75" customHeight="1">
      <c r="A1045" s="1591"/>
      <c r="B1045" s="1541"/>
      <c r="C1045" s="2217"/>
      <c r="D1045" s="1543"/>
      <c r="E1045" s="906"/>
      <c r="F1045" s="541"/>
      <c r="G1045" s="541"/>
      <c r="H1045" s="541"/>
      <c r="I1045" s="541"/>
      <c r="J1045" s="1748"/>
      <c r="K1045" s="541"/>
      <c r="L1045" s="1748"/>
      <c r="M1045" s="541"/>
      <c r="N1045" s="1748"/>
      <c r="O1045" s="541"/>
      <c r="P1045" s="1748"/>
      <c r="Q1045" s="541"/>
      <c r="R1045" s="1748"/>
      <c r="S1045" s="541"/>
      <c r="T1045" s="1748"/>
      <c r="U1045" s="541"/>
      <c r="V1045" s="1748"/>
      <c r="W1045" s="541"/>
      <c r="X1045" s="1748"/>
      <c r="Y1045" s="1748"/>
      <c r="Z1045" s="1748"/>
      <c r="AA1045" s="541"/>
      <c r="AB1045" s="1748"/>
      <c r="AC1045" s="541"/>
      <c r="AD1045" s="541"/>
      <c r="AE1045" s="541"/>
      <c r="AF1045" s="541"/>
      <c r="AG1045" s="541"/>
      <c r="AH1045" s="541"/>
      <c r="AI1045" s="541"/>
      <c r="AJ1045" s="541"/>
      <c r="AK1045" s="541"/>
      <c r="AL1045" s="541"/>
      <c r="AM1045" s="541"/>
      <c r="AN1045" s="1748"/>
      <c r="AO1045" s="1748"/>
      <c r="AP1045" s="1748"/>
      <c r="AQ1045" s="1748"/>
      <c r="AR1045" s="1748"/>
      <c r="AS1045" s="541"/>
      <c r="AT1045" s="541"/>
      <c r="AU1045" s="541"/>
      <c r="AV1045" s="541"/>
      <c r="AW1045" s="541"/>
      <c r="AX1045" s="541"/>
      <c r="AY1045" s="541"/>
      <c r="AZ1045" s="541"/>
      <c r="BA1045" s="541"/>
      <c r="BC1045" s="541"/>
      <c r="BE1045" s="541"/>
      <c r="BG1045" s="541"/>
      <c r="BH1045" s="1190"/>
      <c r="BI1045" s="541"/>
      <c r="BJ1045" s="1190"/>
      <c r="BK1045" s="541"/>
      <c r="BL1045" s="541"/>
      <c r="BM1045" s="541"/>
      <c r="BO1045" s="541"/>
      <c r="BP1045" s="541"/>
      <c r="BQ1045" s="633"/>
      <c r="BR1045" s="541"/>
      <c r="BS1045" s="541"/>
      <c r="BT1045" s="541"/>
    </row>
    <row r="1046" ht="15.75" customHeight="1">
      <c r="A1046" s="1591"/>
      <c r="B1046" s="1541"/>
      <c r="C1046" s="2217"/>
      <c r="D1046" s="1543"/>
      <c r="E1046" s="906"/>
      <c r="F1046" s="541"/>
      <c r="G1046" s="541"/>
      <c r="H1046" s="541"/>
      <c r="I1046" s="541"/>
      <c r="J1046" s="1748"/>
      <c r="K1046" s="541"/>
      <c r="L1046" s="1748"/>
      <c r="M1046" s="541"/>
      <c r="N1046" s="1748"/>
      <c r="O1046" s="541"/>
      <c r="P1046" s="1748"/>
      <c r="Q1046" s="541"/>
      <c r="R1046" s="1748"/>
      <c r="S1046" s="541"/>
      <c r="T1046" s="1748"/>
      <c r="U1046" s="541"/>
      <c r="V1046" s="1748"/>
      <c r="W1046" s="541"/>
      <c r="X1046" s="1748"/>
      <c r="Y1046" s="1748"/>
      <c r="Z1046" s="1748"/>
      <c r="AA1046" s="541"/>
      <c r="AB1046" s="1748"/>
      <c r="AC1046" s="541"/>
      <c r="AD1046" s="541"/>
      <c r="AE1046" s="541"/>
      <c r="AF1046" s="541"/>
      <c r="AG1046" s="541"/>
      <c r="AH1046" s="541"/>
      <c r="AI1046" s="541"/>
      <c r="AJ1046" s="541"/>
      <c r="AK1046" s="541"/>
      <c r="AL1046" s="541"/>
      <c r="AM1046" s="541"/>
      <c r="AN1046" s="1748"/>
      <c r="AO1046" s="1748"/>
      <c r="AP1046" s="1748"/>
      <c r="AQ1046" s="1748"/>
      <c r="AR1046" s="1748"/>
      <c r="AS1046" s="541"/>
      <c r="AT1046" s="541"/>
      <c r="AU1046" s="541"/>
      <c r="AV1046" s="541"/>
      <c r="AW1046" s="541"/>
      <c r="AX1046" s="541"/>
      <c r="AY1046" s="541"/>
      <c r="AZ1046" s="541"/>
      <c r="BA1046" s="541"/>
      <c r="BC1046" s="541"/>
      <c r="BE1046" s="541"/>
      <c r="BG1046" s="541"/>
      <c r="BH1046" s="1190"/>
      <c r="BI1046" s="541"/>
      <c r="BJ1046" s="1190"/>
      <c r="BK1046" s="541"/>
      <c r="BL1046" s="541"/>
      <c r="BM1046" s="541"/>
      <c r="BO1046" s="541"/>
      <c r="BP1046" s="541"/>
      <c r="BQ1046" s="633"/>
      <c r="BR1046" s="541"/>
      <c r="BS1046" s="541"/>
      <c r="BT1046" s="541"/>
    </row>
    <row r="1047" ht="15.75" customHeight="1">
      <c r="A1047" s="1591"/>
      <c r="B1047" s="1541"/>
      <c r="C1047" s="2217"/>
      <c r="D1047" s="1543"/>
      <c r="E1047" s="906"/>
      <c r="F1047" s="541"/>
      <c r="G1047" s="541"/>
      <c r="H1047" s="541"/>
      <c r="I1047" s="541"/>
      <c r="J1047" s="1748"/>
      <c r="K1047" s="541"/>
      <c r="L1047" s="1748"/>
      <c r="M1047" s="541"/>
      <c r="N1047" s="1748"/>
      <c r="O1047" s="541"/>
      <c r="P1047" s="1748"/>
      <c r="Q1047" s="541"/>
      <c r="R1047" s="1748"/>
      <c r="S1047" s="541"/>
      <c r="T1047" s="1748"/>
      <c r="U1047" s="541"/>
      <c r="V1047" s="1748"/>
      <c r="W1047" s="541"/>
      <c r="X1047" s="1748"/>
      <c r="Y1047" s="1748"/>
      <c r="Z1047" s="1748"/>
      <c r="AA1047" s="541"/>
      <c r="AB1047" s="1748"/>
      <c r="AC1047" s="541"/>
      <c r="AD1047" s="541"/>
      <c r="AE1047" s="541"/>
      <c r="AF1047" s="541"/>
      <c r="AG1047" s="541"/>
      <c r="AH1047" s="541"/>
      <c r="AI1047" s="541"/>
      <c r="AJ1047" s="541"/>
      <c r="AK1047" s="541"/>
      <c r="AL1047" s="541"/>
      <c r="AM1047" s="541"/>
      <c r="AN1047" s="1748"/>
      <c r="AO1047" s="1748"/>
      <c r="AP1047" s="1748"/>
      <c r="AQ1047" s="1748"/>
      <c r="AR1047" s="1748"/>
      <c r="AS1047" s="541"/>
      <c r="AT1047" s="541"/>
      <c r="AU1047" s="541"/>
      <c r="AV1047" s="541"/>
      <c r="AW1047" s="541"/>
      <c r="AX1047" s="541"/>
      <c r="AY1047" s="541"/>
      <c r="AZ1047" s="541"/>
      <c r="BA1047" s="541"/>
      <c r="BC1047" s="541"/>
      <c r="BE1047" s="541"/>
      <c r="BG1047" s="541"/>
      <c r="BH1047" s="1190"/>
      <c r="BI1047" s="541"/>
      <c r="BJ1047" s="1190"/>
      <c r="BK1047" s="541"/>
      <c r="BL1047" s="541"/>
      <c r="BM1047" s="541"/>
      <c r="BO1047" s="541"/>
      <c r="BP1047" s="541"/>
      <c r="BQ1047" s="633"/>
      <c r="BR1047" s="541"/>
      <c r="BS1047" s="541"/>
      <c r="BT1047" s="541"/>
    </row>
    <row r="1048" ht="15.75" customHeight="1">
      <c r="A1048" s="1591"/>
      <c r="B1048" s="1541"/>
      <c r="C1048" s="2217"/>
      <c r="D1048" s="1543"/>
      <c r="E1048" s="906"/>
      <c r="F1048" s="541"/>
      <c r="G1048" s="541"/>
      <c r="H1048" s="541"/>
      <c r="I1048" s="541"/>
      <c r="J1048" s="1748"/>
      <c r="K1048" s="541"/>
      <c r="L1048" s="1748"/>
      <c r="M1048" s="541"/>
      <c r="N1048" s="1748"/>
      <c r="O1048" s="541"/>
      <c r="P1048" s="1748"/>
      <c r="Q1048" s="541"/>
      <c r="R1048" s="1748"/>
      <c r="S1048" s="541"/>
      <c r="T1048" s="1748"/>
      <c r="U1048" s="541"/>
      <c r="V1048" s="1748"/>
      <c r="W1048" s="541"/>
      <c r="X1048" s="1748"/>
      <c r="Y1048" s="1748"/>
      <c r="Z1048" s="1748"/>
      <c r="AA1048" s="541"/>
      <c r="AB1048" s="1748"/>
      <c r="AC1048" s="541"/>
      <c r="AD1048" s="541"/>
      <c r="AE1048" s="541"/>
      <c r="AF1048" s="541"/>
      <c r="AG1048" s="541"/>
      <c r="AH1048" s="541"/>
      <c r="AI1048" s="541"/>
      <c r="AJ1048" s="541"/>
      <c r="AK1048" s="541"/>
      <c r="AL1048" s="541"/>
      <c r="AM1048" s="541"/>
      <c r="AN1048" s="1748"/>
      <c r="AO1048" s="1748"/>
      <c r="AP1048" s="1748"/>
      <c r="AQ1048" s="1748"/>
      <c r="AR1048" s="1748"/>
      <c r="AS1048" s="541"/>
      <c r="AT1048" s="541"/>
      <c r="AU1048" s="541"/>
      <c r="AV1048" s="541"/>
      <c r="AW1048" s="541"/>
      <c r="AX1048" s="541"/>
      <c r="AY1048" s="541"/>
      <c r="AZ1048" s="541"/>
      <c r="BA1048" s="541"/>
      <c r="BC1048" s="541"/>
      <c r="BE1048" s="541"/>
      <c r="BG1048" s="541"/>
      <c r="BH1048" s="1190"/>
      <c r="BI1048" s="541"/>
      <c r="BJ1048" s="1190"/>
      <c r="BK1048" s="541"/>
      <c r="BL1048" s="541"/>
      <c r="BM1048" s="541"/>
      <c r="BO1048" s="541"/>
      <c r="BP1048" s="541"/>
      <c r="BQ1048" s="633"/>
      <c r="BR1048" s="541"/>
      <c r="BS1048" s="541"/>
      <c r="BT1048" s="541"/>
    </row>
    <row r="1049" ht="15.75" customHeight="1">
      <c r="A1049" s="1591"/>
      <c r="B1049" s="1541"/>
      <c r="C1049" s="2217"/>
      <c r="D1049" s="1543"/>
      <c r="E1049" s="906"/>
      <c r="F1049" s="541"/>
      <c r="G1049" s="541"/>
      <c r="H1049" s="541"/>
      <c r="I1049" s="541"/>
      <c r="J1049" s="1748"/>
      <c r="K1049" s="541"/>
      <c r="L1049" s="1748"/>
      <c r="M1049" s="541"/>
      <c r="N1049" s="1748"/>
      <c r="O1049" s="541"/>
      <c r="P1049" s="1748"/>
      <c r="Q1049" s="541"/>
      <c r="R1049" s="1748"/>
      <c r="S1049" s="541"/>
      <c r="T1049" s="1748"/>
      <c r="U1049" s="541"/>
      <c r="V1049" s="1748"/>
      <c r="W1049" s="541"/>
      <c r="X1049" s="1748"/>
      <c r="Y1049" s="1748"/>
      <c r="Z1049" s="1748"/>
      <c r="AA1049" s="541"/>
      <c r="AB1049" s="1748"/>
      <c r="AC1049" s="541"/>
      <c r="AD1049" s="541"/>
      <c r="AE1049" s="541"/>
      <c r="AF1049" s="541"/>
      <c r="AG1049" s="541"/>
      <c r="AH1049" s="541"/>
      <c r="AI1049" s="541"/>
      <c r="AJ1049" s="541"/>
      <c r="AK1049" s="541"/>
      <c r="AL1049" s="541"/>
      <c r="AM1049" s="541"/>
      <c r="AN1049" s="1748"/>
      <c r="AO1049" s="1748"/>
      <c r="AP1049" s="1748"/>
      <c r="AQ1049" s="1748"/>
      <c r="AR1049" s="1748"/>
      <c r="AS1049" s="541"/>
      <c r="AT1049" s="541"/>
      <c r="AU1049" s="541"/>
      <c r="AV1049" s="541"/>
      <c r="AW1049" s="541"/>
      <c r="AX1049" s="541"/>
      <c r="AY1049" s="541"/>
      <c r="AZ1049" s="541"/>
      <c r="BA1049" s="541"/>
      <c r="BC1049" s="541"/>
      <c r="BE1049" s="541"/>
      <c r="BG1049" s="541"/>
      <c r="BH1049" s="1190"/>
      <c r="BI1049" s="541"/>
      <c r="BJ1049" s="1190"/>
      <c r="BK1049" s="541"/>
      <c r="BL1049" s="541"/>
      <c r="BM1049" s="541"/>
      <c r="BO1049" s="541"/>
      <c r="BP1049" s="541"/>
      <c r="BQ1049" s="633"/>
      <c r="BR1049" s="541"/>
      <c r="BS1049" s="541"/>
      <c r="BT1049" s="541"/>
    </row>
    <row r="1050" ht="15.75" customHeight="1">
      <c r="A1050" s="1591"/>
      <c r="B1050" s="1541"/>
      <c r="C1050" s="2217"/>
      <c r="D1050" s="1543"/>
      <c r="E1050" s="906"/>
      <c r="F1050" s="541"/>
      <c r="G1050" s="541"/>
      <c r="H1050" s="541"/>
      <c r="I1050" s="541"/>
      <c r="J1050" s="1748"/>
      <c r="K1050" s="541"/>
      <c r="L1050" s="1748"/>
      <c r="M1050" s="541"/>
      <c r="N1050" s="1748"/>
      <c r="O1050" s="541"/>
      <c r="P1050" s="1748"/>
      <c r="Q1050" s="541"/>
      <c r="R1050" s="1748"/>
      <c r="S1050" s="541"/>
      <c r="T1050" s="1748"/>
      <c r="U1050" s="541"/>
      <c r="V1050" s="1748"/>
      <c r="W1050" s="541"/>
      <c r="X1050" s="1748"/>
      <c r="Y1050" s="1748"/>
      <c r="Z1050" s="1748"/>
      <c r="AA1050" s="541"/>
      <c r="AB1050" s="1748"/>
      <c r="AC1050" s="541"/>
      <c r="AD1050" s="541"/>
      <c r="AE1050" s="541"/>
      <c r="AF1050" s="541"/>
      <c r="AG1050" s="541"/>
      <c r="AH1050" s="541"/>
      <c r="AI1050" s="541"/>
      <c r="AJ1050" s="541"/>
      <c r="AK1050" s="541"/>
      <c r="AL1050" s="541"/>
      <c r="AM1050" s="541"/>
      <c r="AN1050" s="1748"/>
      <c r="AO1050" s="1748"/>
      <c r="AP1050" s="1748"/>
      <c r="AQ1050" s="1748"/>
      <c r="AR1050" s="1748"/>
      <c r="AS1050" s="541"/>
      <c r="AT1050" s="541"/>
      <c r="AU1050" s="541"/>
      <c r="AV1050" s="541"/>
      <c r="AW1050" s="541"/>
      <c r="AX1050" s="541"/>
      <c r="AY1050" s="541"/>
      <c r="AZ1050" s="541"/>
      <c r="BA1050" s="541"/>
      <c r="BC1050" s="541"/>
      <c r="BE1050" s="541"/>
      <c r="BG1050" s="541"/>
      <c r="BH1050" s="1190"/>
      <c r="BI1050" s="541"/>
      <c r="BJ1050" s="1190"/>
      <c r="BK1050" s="541"/>
      <c r="BL1050" s="541"/>
      <c r="BM1050" s="541"/>
      <c r="BO1050" s="541"/>
      <c r="BP1050" s="541"/>
      <c r="BQ1050" s="633"/>
      <c r="BR1050" s="541"/>
      <c r="BS1050" s="541"/>
      <c r="BT1050" s="541"/>
    </row>
    <row r="1051" ht="15.75" customHeight="1">
      <c r="A1051" s="1591"/>
      <c r="B1051" s="1541"/>
      <c r="C1051" s="2217"/>
      <c r="D1051" s="1543"/>
      <c r="E1051" s="906"/>
      <c r="F1051" s="541"/>
      <c r="G1051" s="541"/>
      <c r="H1051" s="541"/>
      <c r="I1051" s="541"/>
      <c r="J1051" s="1748"/>
      <c r="K1051" s="541"/>
      <c r="L1051" s="1748"/>
      <c r="M1051" s="541"/>
      <c r="N1051" s="1748"/>
      <c r="O1051" s="541"/>
      <c r="P1051" s="1748"/>
      <c r="Q1051" s="541"/>
      <c r="R1051" s="1748"/>
      <c r="S1051" s="541"/>
      <c r="T1051" s="1748"/>
      <c r="U1051" s="541"/>
      <c r="V1051" s="1748"/>
      <c r="W1051" s="541"/>
      <c r="X1051" s="1748"/>
      <c r="Y1051" s="1748"/>
      <c r="Z1051" s="1748"/>
      <c r="AA1051" s="541"/>
      <c r="AB1051" s="1748"/>
      <c r="AC1051" s="541"/>
      <c r="AD1051" s="541"/>
      <c r="AE1051" s="541"/>
      <c r="AF1051" s="541"/>
      <c r="AG1051" s="541"/>
      <c r="AH1051" s="541"/>
      <c r="AI1051" s="541"/>
      <c r="AJ1051" s="541"/>
      <c r="AK1051" s="541"/>
      <c r="AL1051" s="541"/>
      <c r="AM1051" s="541"/>
      <c r="AN1051" s="1748"/>
      <c r="AO1051" s="1748"/>
      <c r="AP1051" s="1748"/>
      <c r="AQ1051" s="1748"/>
      <c r="AR1051" s="1748"/>
      <c r="AS1051" s="541"/>
      <c r="AT1051" s="541"/>
      <c r="AU1051" s="541"/>
      <c r="AV1051" s="541"/>
      <c r="AW1051" s="541"/>
      <c r="AX1051" s="541"/>
      <c r="AY1051" s="541"/>
      <c r="AZ1051" s="541"/>
      <c r="BA1051" s="541"/>
      <c r="BC1051" s="541"/>
      <c r="BE1051" s="541"/>
      <c r="BG1051" s="541"/>
      <c r="BH1051" s="1190"/>
      <c r="BI1051" s="541"/>
      <c r="BJ1051" s="1190"/>
      <c r="BK1051" s="541"/>
      <c r="BL1051" s="541"/>
      <c r="BM1051" s="541"/>
      <c r="BO1051" s="541"/>
      <c r="BP1051" s="541"/>
      <c r="BQ1051" s="633"/>
      <c r="BR1051" s="541"/>
      <c r="BS1051" s="541"/>
      <c r="BT1051" s="541"/>
    </row>
    <row r="1052" ht="15.75" customHeight="1">
      <c r="A1052" s="1591"/>
      <c r="B1052" s="1541"/>
      <c r="C1052" s="2217"/>
      <c r="D1052" s="1543"/>
      <c r="E1052" s="906"/>
      <c r="F1052" s="541"/>
      <c r="G1052" s="541"/>
      <c r="H1052" s="541"/>
      <c r="I1052" s="541"/>
      <c r="J1052" s="1748"/>
      <c r="K1052" s="541"/>
      <c r="L1052" s="1748"/>
      <c r="M1052" s="541"/>
      <c r="N1052" s="1748"/>
      <c r="O1052" s="541"/>
      <c r="P1052" s="1748"/>
      <c r="Q1052" s="541"/>
      <c r="R1052" s="1748"/>
      <c r="S1052" s="541"/>
      <c r="T1052" s="1748"/>
      <c r="U1052" s="541"/>
      <c r="V1052" s="1748"/>
      <c r="W1052" s="541"/>
      <c r="X1052" s="1748"/>
      <c r="Y1052" s="1748"/>
      <c r="Z1052" s="1748"/>
      <c r="AA1052" s="541"/>
      <c r="AB1052" s="1748"/>
      <c r="AC1052" s="541"/>
      <c r="AD1052" s="541"/>
      <c r="AE1052" s="541"/>
      <c r="AF1052" s="541"/>
      <c r="AG1052" s="541"/>
      <c r="AH1052" s="541"/>
      <c r="AI1052" s="541"/>
      <c r="AJ1052" s="541"/>
      <c r="AK1052" s="541"/>
      <c r="AL1052" s="541"/>
      <c r="AM1052" s="541"/>
      <c r="AN1052" s="1748"/>
      <c r="AO1052" s="1748"/>
      <c r="AP1052" s="1748"/>
      <c r="AQ1052" s="1748"/>
      <c r="AR1052" s="1748"/>
      <c r="AS1052" s="541"/>
      <c r="AT1052" s="541"/>
      <c r="AU1052" s="541"/>
      <c r="AV1052" s="541"/>
      <c r="AW1052" s="541"/>
      <c r="AX1052" s="541"/>
      <c r="AY1052" s="541"/>
      <c r="AZ1052" s="541"/>
      <c r="BA1052" s="541"/>
      <c r="BC1052" s="541"/>
      <c r="BE1052" s="541"/>
      <c r="BG1052" s="541"/>
      <c r="BH1052" s="1190"/>
      <c r="BI1052" s="541"/>
      <c r="BJ1052" s="1190"/>
      <c r="BK1052" s="541"/>
      <c r="BL1052" s="541"/>
      <c r="BM1052" s="541"/>
      <c r="BO1052" s="541"/>
      <c r="BP1052" s="541"/>
      <c r="BQ1052" s="633"/>
      <c r="BR1052" s="541"/>
      <c r="BS1052" s="541"/>
      <c r="BT1052" s="541"/>
    </row>
    <row r="1053" ht="15.75" customHeight="1">
      <c r="A1053" s="1591"/>
      <c r="B1053" s="1541"/>
      <c r="C1053" s="2217"/>
      <c r="D1053" s="1543"/>
      <c r="E1053" s="906"/>
      <c r="F1053" s="541"/>
      <c r="G1053" s="541"/>
      <c r="H1053" s="541"/>
      <c r="I1053" s="541"/>
      <c r="J1053" s="1748"/>
      <c r="K1053" s="541"/>
      <c r="L1053" s="1748"/>
      <c r="M1053" s="541"/>
      <c r="N1053" s="1748"/>
      <c r="O1053" s="541"/>
      <c r="P1053" s="1748"/>
      <c r="Q1053" s="541"/>
      <c r="R1053" s="1748"/>
      <c r="S1053" s="541"/>
      <c r="T1053" s="1748"/>
      <c r="U1053" s="541"/>
      <c r="V1053" s="1748"/>
      <c r="W1053" s="541"/>
      <c r="X1053" s="1748"/>
      <c r="Y1053" s="1748"/>
      <c r="Z1053" s="1748"/>
      <c r="AA1053" s="541"/>
      <c r="AB1053" s="1748"/>
      <c r="AC1053" s="541"/>
      <c r="AD1053" s="541"/>
      <c r="AE1053" s="541"/>
      <c r="AF1053" s="541"/>
      <c r="AG1053" s="541"/>
      <c r="AH1053" s="541"/>
      <c r="AI1053" s="541"/>
      <c r="AJ1053" s="541"/>
      <c r="AK1053" s="541"/>
      <c r="AL1053" s="541"/>
      <c r="AM1053" s="541"/>
      <c r="AN1053" s="1748"/>
      <c r="AO1053" s="1748"/>
      <c r="AP1053" s="1748"/>
      <c r="AQ1053" s="1748"/>
      <c r="AR1053" s="1748"/>
      <c r="AS1053" s="541"/>
      <c r="AT1053" s="541"/>
      <c r="AU1053" s="541"/>
      <c r="AV1053" s="541"/>
      <c r="AW1053" s="541"/>
      <c r="AX1053" s="541"/>
      <c r="AY1053" s="541"/>
      <c r="AZ1053" s="541"/>
      <c r="BA1053" s="541"/>
      <c r="BC1053" s="541"/>
      <c r="BE1053" s="541"/>
      <c r="BG1053" s="541"/>
      <c r="BH1053" s="1190"/>
      <c r="BI1053" s="541"/>
      <c r="BJ1053" s="1190"/>
      <c r="BK1053" s="541"/>
      <c r="BL1053" s="541"/>
      <c r="BM1053" s="541"/>
      <c r="BO1053" s="541"/>
      <c r="BP1053" s="541"/>
      <c r="BQ1053" s="633"/>
      <c r="BR1053" s="541"/>
      <c r="BS1053" s="541"/>
      <c r="BT1053" s="541"/>
    </row>
    <row r="1054" ht="15.75" customHeight="1">
      <c r="A1054" s="1591"/>
      <c r="B1054" s="1541"/>
      <c r="C1054" s="2217"/>
      <c r="D1054" s="1543"/>
      <c r="E1054" s="906"/>
      <c r="F1054" s="541"/>
      <c r="G1054" s="541"/>
      <c r="H1054" s="541"/>
      <c r="I1054" s="541"/>
      <c r="J1054" s="1748"/>
      <c r="K1054" s="541"/>
      <c r="L1054" s="1748"/>
      <c r="M1054" s="541"/>
      <c r="N1054" s="1748"/>
      <c r="O1054" s="541"/>
      <c r="P1054" s="1748"/>
      <c r="Q1054" s="541"/>
      <c r="R1054" s="1748"/>
      <c r="S1054" s="541"/>
      <c r="T1054" s="1748"/>
      <c r="U1054" s="541"/>
      <c r="V1054" s="1748"/>
      <c r="W1054" s="541"/>
      <c r="X1054" s="1748"/>
      <c r="Y1054" s="1748"/>
      <c r="Z1054" s="1748"/>
      <c r="AA1054" s="541"/>
      <c r="AB1054" s="1748"/>
      <c r="AC1054" s="541"/>
      <c r="AD1054" s="541"/>
      <c r="AE1054" s="541"/>
      <c r="AF1054" s="541"/>
      <c r="AG1054" s="541"/>
      <c r="AH1054" s="541"/>
      <c r="AI1054" s="541"/>
      <c r="AJ1054" s="541"/>
      <c r="AK1054" s="541"/>
      <c r="AL1054" s="541"/>
      <c r="AM1054" s="541"/>
      <c r="AN1054" s="1748"/>
      <c r="AO1054" s="1748"/>
      <c r="AP1054" s="1748"/>
      <c r="AQ1054" s="1748"/>
      <c r="AR1054" s="1748"/>
      <c r="AS1054" s="541"/>
      <c r="AT1054" s="541"/>
      <c r="AU1054" s="541"/>
      <c r="AV1054" s="541"/>
      <c r="AW1054" s="541"/>
      <c r="AX1054" s="541"/>
      <c r="AY1054" s="541"/>
      <c r="AZ1054" s="541"/>
      <c r="BA1054" s="541"/>
      <c r="BC1054" s="541"/>
      <c r="BE1054" s="541"/>
      <c r="BG1054" s="541"/>
      <c r="BH1054" s="1190"/>
      <c r="BI1054" s="541"/>
      <c r="BJ1054" s="1190"/>
      <c r="BK1054" s="541"/>
      <c r="BL1054" s="541"/>
      <c r="BM1054" s="541"/>
      <c r="BO1054" s="541"/>
      <c r="BP1054" s="541"/>
      <c r="BQ1054" s="633"/>
      <c r="BR1054" s="541"/>
      <c r="BS1054" s="541"/>
      <c r="BT1054" s="541"/>
    </row>
    <row r="1055" ht="15.75" customHeight="1">
      <c r="A1055" s="1591"/>
      <c r="B1055" s="1541"/>
      <c r="C1055" s="2217"/>
      <c r="D1055" s="1543"/>
      <c r="E1055" s="906"/>
      <c r="F1055" s="541"/>
      <c r="G1055" s="541"/>
      <c r="H1055" s="541"/>
      <c r="I1055" s="541"/>
      <c r="J1055" s="1748"/>
      <c r="K1055" s="541"/>
      <c r="L1055" s="1748"/>
      <c r="M1055" s="541"/>
      <c r="N1055" s="1748"/>
      <c r="O1055" s="541"/>
      <c r="P1055" s="1748"/>
      <c r="Q1055" s="541"/>
      <c r="R1055" s="1748"/>
      <c r="S1055" s="541"/>
      <c r="T1055" s="1748"/>
      <c r="U1055" s="541"/>
      <c r="V1055" s="1748"/>
      <c r="W1055" s="541"/>
      <c r="X1055" s="1748"/>
      <c r="Y1055" s="1748"/>
      <c r="Z1055" s="1748"/>
      <c r="AA1055" s="541"/>
      <c r="AB1055" s="1748"/>
      <c r="AC1055" s="541"/>
      <c r="AD1055" s="541"/>
      <c r="AE1055" s="541"/>
      <c r="AF1055" s="541"/>
      <c r="AG1055" s="541"/>
      <c r="AH1055" s="541"/>
      <c r="AI1055" s="541"/>
      <c r="AJ1055" s="541"/>
      <c r="AK1055" s="541"/>
      <c r="AL1055" s="541"/>
      <c r="AM1055" s="541"/>
      <c r="AN1055" s="1748"/>
      <c r="AO1055" s="1748"/>
      <c r="AP1055" s="1748"/>
      <c r="AQ1055" s="1748"/>
      <c r="AR1055" s="1748"/>
      <c r="AS1055" s="541"/>
      <c r="AT1055" s="541"/>
      <c r="AU1055" s="541"/>
      <c r="AV1055" s="541"/>
      <c r="AW1055" s="541"/>
      <c r="AX1055" s="541"/>
      <c r="AY1055" s="541"/>
      <c r="AZ1055" s="541"/>
      <c r="BA1055" s="541"/>
      <c r="BC1055" s="541"/>
      <c r="BE1055" s="541"/>
      <c r="BG1055" s="541"/>
      <c r="BH1055" s="1190"/>
      <c r="BI1055" s="541"/>
      <c r="BJ1055" s="1190"/>
      <c r="BK1055" s="541"/>
      <c r="BL1055" s="541"/>
      <c r="BM1055" s="541"/>
      <c r="BO1055" s="541"/>
      <c r="BP1055" s="541"/>
      <c r="BQ1055" s="633"/>
      <c r="BR1055" s="541"/>
      <c r="BS1055" s="541"/>
      <c r="BT1055" s="541"/>
    </row>
    <row r="1056" ht="15.75" customHeight="1">
      <c r="A1056" s="1591"/>
      <c r="B1056" s="1541"/>
      <c r="C1056" s="2217"/>
      <c r="D1056" s="1543"/>
      <c r="E1056" s="906"/>
      <c r="F1056" s="541"/>
      <c r="G1056" s="541"/>
      <c r="H1056" s="541"/>
      <c r="I1056" s="541"/>
      <c r="J1056" s="1748"/>
      <c r="K1056" s="541"/>
      <c r="L1056" s="1748"/>
      <c r="M1056" s="541"/>
      <c r="N1056" s="1748"/>
      <c r="O1056" s="541"/>
      <c r="P1056" s="1748"/>
      <c r="Q1056" s="541"/>
      <c r="R1056" s="1748"/>
      <c r="S1056" s="541"/>
      <c r="T1056" s="1748"/>
      <c r="U1056" s="541"/>
      <c r="V1056" s="1748"/>
      <c r="W1056" s="541"/>
      <c r="X1056" s="1748"/>
      <c r="Y1056" s="1748"/>
      <c r="Z1056" s="1748"/>
      <c r="AA1056" s="541"/>
      <c r="AB1056" s="1748"/>
      <c r="AC1056" s="541"/>
      <c r="AD1056" s="541"/>
      <c r="AE1056" s="541"/>
      <c r="AF1056" s="541"/>
      <c r="AG1056" s="541"/>
      <c r="AH1056" s="541"/>
      <c r="AI1056" s="541"/>
      <c r="AJ1056" s="541"/>
      <c r="AK1056" s="541"/>
      <c r="AL1056" s="541"/>
      <c r="AM1056" s="541"/>
      <c r="AN1056" s="1748"/>
      <c r="AO1056" s="1748"/>
      <c r="AP1056" s="1748"/>
      <c r="AQ1056" s="1748"/>
      <c r="AR1056" s="1748"/>
      <c r="AS1056" s="541"/>
      <c r="AT1056" s="541"/>
      <c r="AU1056" s="541"/>
      <c r="AV1056" s="541"/>
      <c r="AW1056" s="541"/>
      <c r="AX1056" s="541"/>
      <c r="AY1056" s="541"/>
      <c r="AZ1056" s="541"/>
      <c r="BA1056" s="541"/>
      <c r="BC1056" s="541"/>
      <c r="BE1056" s="541"/>
      <c r="BG1056" s="541"/>
      <c r="BH1056" s="1190"/>
      <c r="BI1056" s="541"/>
      <c r="BJ1056" s="1190"/>
      <c r="BK1056" s="541"/>
      <c r="BL1056" s="541"/>
      <c r="BM1056" s="541"/>
      <c r="BO1056" s="541"/>
      <c r="BP1056" s="541"/>
      <c r="BQ1056" s="633"/>
      <c r="BR1056" s="541"/>
      <c r="BS1056" s="541"/>
      <c r="BT1056" s="541"/>
    </row>
    <row r="1057" ht="15.75" customHeight="1">
      <c r="A1057" s="1591"/>
      <c r="B1057" s="1541"/>
      <c r="C1057" s="2217"/>
      <c r="D1057" s="1543"/>
      <c r="E1057" s="906"/>
      <c r="F1057" s="541"/>
      <c r="G1057" s="541"/>
      <c r="H1057" s="541"/>
      <c r="I1057" s="541"/>
      <c r="J1057" s="1748"/>
      <c r="K1057" s="541"/>
      <c r="L1057" s="1748"/>
      <c r="M1057" s="541"/>
      <c r="N1057" s="1748"/>
      <c r="O1057" s="541"/>
      <c r="P1057" s="1748"/>
      <c r="Q1057" s="541"/>
      <c r="R1057" s="1748"/>
      <c r="S1057" s="541"/>
      <c r="T1057" s="1748"/>
      <c r="U1057" s="541"/>
      <c r="V1057" s="1748"/>
      <c r="W1057" s="541"/>
      <c r="X1057" s="1748"/>
      <c r="Y1057" s="1748"/>
      <c r="Z1057" s="1748"/>
      <c r="AA1057" s="541"/>
      <c r="AB1057" s="1748"/>
      <c r="AC1057" s="541"/>
      <c r="AD1057" s="541"/>
      <c r="AE1057" s="541"/>
      <c r="AF1057" s="541"/>
      <c r="AG1057" s="541"/>
      <c r="AH1057" s="541"/>
      <c r="AI1057" s="541"/>
      <c r="AJ1057" s="541"/>
      <c r="AK1057" s="541"/>
      <c r="AL1057" s="541"/>
      <c r="AM1057" s="541"/>
      <c r="AN1057" s="1748"/>
      <c r="AO1057" s="1748"/>
      <c r="AP1057" s="1748"/>
      <c r="AQ1057" s="1748"/>
      <c r="AR1057" s="1748"/>
      <c r="AS1057" s="541"/>
      <c r="AT1057" s="541"/>
      <c r="AU1057" s="541"/>
      <c r="AV1057" s="541"/>
      <c r="AW1057" s="541"/>
      <c r="AX1057" s="541"/>
      <c r="AY1057" s="541"/>
      <c r="AZ1057" s="541"/>
      <c r="BA1057" s="541"/>
      <c r="BC1057" s="541"/>
      <c r="BE1057" s="541"/>
      <c r="BG1057" s="541"/>
      <c r="BH1057" s="1190"/>
      <c r="BI1057" s="541"/>
      <c r="BJ1057" s="1190"/>
      <c r="BK1057" s="541"/>
      <c r="BL1057" s="541"/>
      <c r="BM1057" s="541"/>
      <c r="BO1057" s="541"/>
      <c r="BP1057" s="541"/>
      <c r="BQ1057" s="633"/>
      <c r="BR1057" s="541"/>
      <c r="BS1057" s="541"/>
      <c r="BT1057" s="541"/>
    </row>
    <row r="1058" ht="15.75" customHeight="1">
      <c r="A1058" s="1591"/>
      <c r="B1058" s="1541"/>
      <c r="C1058" s="2217"/>
      <c r="D1058" s="1543"/>
      <c r="E1058" s="906"/>
      <c r="F1058" s="541"/>
      <c r="G1058" s="541"/>
      <c r="H1058" s="541"/>
      <c r="I1058" s="541"/>
      <c r="J1058" s="1748"/>
      <c r="K1058" s="541"/>
      <c r="L1058" s="1748"/>
      <c r="M1058" s="541"/>
      <c r="N1058" s="1748"/>
      <c r="O1058" s="541"/>
      <c r="P1058" s="1748"/>
      <c r="Q1058" s="541"/>
      <c r="R1058" s="1748"/>
      <c r="S1058" s="541"/>
      <c r="T1058" s="1748"/>
      <c r="U1058" s="541"/>
      <c r="V1058" s="1748"/>
      <c r="W1058" s="541"/>
      <c r="X1058" s="1748"/>
      <c r="Y1058" s="1748"/>
      <c r="Z1058" s="1748"/>
      <c r="AA1058" s="541"/>
      <c r="AB1058" s="1748"/>
      <c r="AC1058" s="541"/>
      <c r="AD1058" s="541"/>
      <c r="AE1058" s="541"/>
      <c r="AF1058" s="541"/>
      <c r="AG1058" s="541"/>
      <c r="AH1058" s="541"/>
      <c r="AI1058" s="541"/>
      <c r="AJ1058" s="541"/>
      <c r="AK1058" s="541"/>
      <c r="AL1058" s="541"/>
      <c r="AM1058" s="541"/>
      <c r="AN1058" s="1748"/>
      <c r="AO1058" s="1748"/>
      <c r="AP1058" s="1748"/>
      <c r="AQ1058" s="1748"/>
      <c r="AR1058" s="1748"/>
      <c r="AS1058" s="541"/>
      <c r="AT1058" s="541"/>
      <c r="AU1058" s="541"/>
      <c r="AV1058" s="541"/>
      <c r="AW1058" s="541"/>
      <c r="AX1058" s="541"/>
      <c r="AY1058" s="541"/>
      <c r="AZ1058" s="541"/>
      <c r="BA1058" s="541"/>
      <c r="BC1058" s="541"/>
      <c r="BE1058" s="541"/>
      <c r="BG1058" s="541"/>
      <c r="BH1058" s="1190"/>
      <c r="BI1058" s="541"/>
      <c r="BJ1058" s="1190"/>
      <c r="BK1058" s="541"/>
      <c r="BL1058" s="541"/>
      <c r="BM1058" s="541"/>
      <c r="BO1058" s="541"/>
      <c r="BP1058" s="541"/>
      <c r="BQ1058" s="633"/>
      <c r="BR1058" s="541"/>
      <c r="BS1058" s="541"/>
      <c r="BT1058" s="541"/>
    </row>
    <row r="1059" ht="15.75" customHeight="1">
      <c r="A1059" s="1591"/>
      <c r="B1059" s="1541"/>
      <c r="C1059" s="2217"/>
      <c r="D1059" s="1543"/>
      <c r="E1059" s="906"/>
      <c r="F1059" s="541"/>
      <c r="G1059" s="541"/>
      <c r="H1059" s="541"/>
      <c r="I1059" s="541"/>
      <c r="J1059" s="1748"/>
      <c r="K1059" s="541"/>
      <c r="L1059" s="1748"/>
      <c r="M1059" s="541"/>
      <c r="N1059" s="1748"/>
      <c r="O1059" s="541"/>
      <c r="P1059" s="1748"/>
      <c r="Q1059" s="541"/>
      <c r="R1059" s="1748"/>
      <c r="S1059" s="541"/>
      <c r="T1059" s="1748"/>
      <c r="U1059" s="541"/>
      <c r="V1059" s="1748"/>
      <c r="W1059" s="541"/>
      <c r="X1059" s="1748"/>
      <c r="Y1059" s="1748"/>
      <c r="Z1059" s="1748"/>
      <c r="AA1059" s="541"/>
      <c r="AB1059" s="1748"/>
      <c r="AC1059" s="541"/>
      <c r="AD1059" s="541"/>
      <c r="AE1059" s="541"/>
      <c r="AF1059" s="541"/>
      <c r="AG1059" s="541"/>
      <c r="AH1059" s="541"/>
      <c r="AI1059" s="541"/>
      <c r="AJ1059" s="541"/>
      <c r="AK1059" s="541"/>
      <c r="AL1059" s="541"/>
      <c r="AM1059" s="541"/>
      <c r="AN1059" s="1748"/>
      <c r="AO1059" s="1748"/>
      <c r="AP1059" s="1748"/>
      <c r="AQ1059" s="1748"/>
      <c r="AR1059" s="1748"/>
      <c r="AS1059" s="541"/>
      <c r="AT1059" s="541"/>
      <c r="AU1059" s="541"/>
      <c r="AV1059" s="541"/>
      <c r="AW1059" s="541"/>
      <c r="AX1059" s="541"/>
      <c r="AY1059" s="541"/>
      <c r="AZ1059" s="541"/>
      <c r="BA1059" s="541"/>
      <c r="BC1059" s="541"/>
      <c r="BE1059" s="541"/>
      <c r="BG1059" s="541"/>
      <c r="BH1059" s="1190"/>
      <c r="BI1059" s="541"/>
      <c r="BJ1059" s="1190"/>
      <c r="BK1059" s="541"/>
      <c r="BL1059" s="541"/>
      <c r="BM1059" s="541"/>
      <c r="BO1059" s="541"/>
      <c r="BP1059" s="541"/>
      <c r="BQ1059" s="633"/>
      <c r="BR1059" s="541"/>
      <c r="BS1059" s="541"/>
      <c r="BT1059" s="541"/>
    </row>
    <row r="1060" ht="15.75" customHeight="1">
      <c r="A1060" s="1591"/>
      <c r="B1060" s="1541"/>
      <c r="C1060" s="2217"/>
      <c r="D1060" s="1543"/>
      <c r="E1060" s="906"/>
      <c r="F1060" s="541"/>
      <c r="G1060" s="541"/>
      <c r="H1060" s="541"/>
      <c r="I1060" s="541"/>
      <c r="J1060" s="1748"/>
      <c r="K1060" s="541"/>
      <c r="L1060" s="1748"/>
      <c r="M1060" s="541"/>
      <c r="N1060" s="1748"/>
      <c r="O1060" s="541"/>
      <c r="P1060" s="1748"/>
      <c r="Q1060" s="541"/>
      <c r="R1060" s="1748"/>
      <c r="S1060" s="541"/>
      <c r="T1060" s="1748"/>
      <c r="U1060" s="541"/>
      <c r="V1060" s="1748"/>
      <c r="W1060" s="541"/>
      <c r="X1060" s="1748"/>
      <c r="Y1060" s="1748"/>
      <c r="Z1060" s="1748"/>
      <c r="AA1060" s="541"/>
      <c r="AB1060" s="1748"/>
      <c r="AC1060" s="541"/>
      <c r="AD1060" s="541"/>
      <c r="AE1060" s="541"/>
      <c r="AF1060" s="541"/>
      <c r="AG1060" s="541"/>
      <c r="AH1060" s="541"/>
      <c r="AI1060" s="541"/>
      <c r="AJ1060" s="541"/>
      <c r="AK1060" s="541"/>
      <c r="AL1060" s="541"/>
      <c r="AM1060" s="541"/>
      <c r="AN1060" s="1748"/>
      <c r="AO1060" s="1748"/>
      <c r="AP1060" s="1748"/>
      <c r="AQ1060" s="1748"/>
      <c r="AR1060" s="1748"/>
      <c r="AS1060" s="541"/>
      <c r="AT1060" s="541"/>
      <c r="AU1060" s="541"/>
      <c r="AV1060" s="541"/>
      <c r="AW1060" s="541"/>
      <c r="AX1060" s="541"/>
      <c r="AY1060" s="541"/>
      <c r="AZ1060" s="541"/>
      <c r="BA1060" s="541"/>
      <c r="BC1060" s="541"/>
      <c r="BE1060" s="541"/>
      <c r="BG1060" s="541"/>
      <c r="BH1060" s="1190"/>
      <c r="BI1060" s="541"/>
      <c r="BJ1060" s="1190"/>
      <c r="BK1060" s="541"/>
      <c r="BL1060" s="541"/>
      <c r="BM1060" s="541"/>
      <c r="BO1060" s="541"/>
      <c r="BP1060" s="541"/>
      <c r="BQ1060" s="633"/>
      <c r="BR1060" s="541"/>
      <c r="BS1060" s="541"/>
      <c r="BT1060" s="541"/>
    </row>
    <row r="1061" ht="15.75" customHeight="1">
      <c r="A1061" s="1591"/>
      <c r="B1061" s="1541"/>
      <c r="C1061" s="2217"/>
      <c r="D1061" s="1543"/>
      <c r="E1061" s="906"/>
      <c r="F1061" s="541"/>
      <c r="G1061" s="541"/>
      <c r="H1061" s="541"/>
      <c r="I1061" s="541"/>
      <c r="J1061" s="1748"/>
      <c r="K1061" s="541"/>
      <c r="L1061" s="1748"/>
      <c r="M1061" s="541"/>
      <c r="N1061" s="1748"/>
      <c r="O1061" s="541"/>
      <c r="P1061" s="1748"/>
      <c r="Q1061" s="541"/>
      <c r="R1061" s="1748"/>
      <c r="S1061" s="541"/>
      <c r="T1061" s="1748"/>
      <c r="U1061" s="541"/>
      <c r="V1061" s="1748"/>
      <c r="W1061" s="541"/>
      <c r="X1061" s="1748"/>
      <c r="Y1061" s="1748"/>
      <c r="Z1061" s="1748"/>
      <c r="AA1061" s="541"/>
      <c r="AB1061" s="1748"/>
      <c r="AC1061" s="541"/>
      <c r="AD1061" s="541"/>
      <c r="AE1061" s="541"/>
      <c r="AF1061" s="541"/>
      <c r="AG1061" s="541"/>
      <c r="AH1061" s="541"/>
      <c r="AI1061" s="541"/>
      <c r="AJ1061" s="541"/>
      <c r="AK1061" s="541"/>
      <c r="AL1061" s="541"/>
      <c r="AM1061" s="541"/>
      <c r="AN1061" s="1748"/>
      <c r="AO1061" s="1748"/>
      <c r="AP1061" s="1748"/>
      <c r="AQ1061" s="1748"/>
      <c r="AR1061" s="1748"/>
      <c r="AS1061" s="541"/>
      <c r="AT1061" s="541"/>
      <c r="AU1061" s="541"/>
      <c r="AV1061" s="541"/>
      <c r="AW1061" s="541"/>
      <c r="AX1061" s="541"/>
      <c r="AY1061" s="541"/>
      <c r="AZ1061" s="541"/>
      <c r="BA1061" s="541"/>
      <c r="BC1061" s="541"/>
      <c r="BE1061" s="541"/>
      <c r="BG1061" s="541"/>
      <c r="BH1061" s="1190"/>
      <c r="BI1061" s="541"/>
      <c r="BJ1061" s="1190"/>
      <c r="BK1061" s="541"/>
      <c r="BL1061" s="541"/>
      <c r="BM1061" s="541"/>
      <c r="BO1061" s="541"/>
      <c r="BP1061" s="541"/>
      <c r="BQ1061" s="633"/>
      <c r="BR1061" s="541"/>
      <c r="BS1061" s="541"/>
      <c r="BT1061" s="541"/>
    </row>
    <row r="1062" ht="15.75" customHeight="1">
      <c r="A1062" s="1591"/>
      <c r="B1062" s="1541"/>
      <c r="C1062" s="2217"/>
      <c r="D1062" s="1543"/>
      <c r="E1062" s="906"/>
      <c r="F1062" s="541"/>
      <c r="G1062" s="541"/>
      <c r="H1062" s="541"/>
      <c r="I1062" s="541"/>
      <c r="J1062" s="1748"/>
      <c r="K1062" s="541"/>
      <c r="L1062" s="1748"/>
      <c r="M1062" s="541"/>
      <c r="N1062" s="1748"/>
      <c r="O1062" s="541"/>
      <c r="P1062" s="1748"/>
      <c r="Q1062" s="541"/>
      <c r="R1062" s="1748"/>
      <c r="S1062" s="541"/>
      <c r="T1062" s="1748"/>
      <c r="U1062" s="541"/>
      <c r="V1062" s="1748"/>
      <c r="W1062" s="541"/>
      <c r="X1062" s="1748"/>
      <c r="Y1062" s="1748"/>
      <c r="Z1062" s="1748"/>
      <c r="AA1062" s="541"/>
      <c r="AB1062" s="1748"/>
      <c r="AC1062" s="541"/>
      <c r="AD1062" s="541"/>
      <c r="AE1062" s="541"/>
      <c r="AF1062" s="541"/>
      <c r="AG1062" s="541"/>
      <c r="AH1062" s="541"/>
      <c r="AI1062" s="541"/>
      <c r="AJ1062" s="541"/>
      <c r="AK1062" s="541"/>
      <c r="AL1062" s="541"/>
      <c r="AM1062" s="541"/>
      <c r="AN1062" s="1748"/>
      <c r="AO1062" s="1748"/>
      <c r="AP1062" s="1748"/>
      <c r="AQ1062" s="1748"/>
      <c r="AR1062" s="1748"/>
      <c r="AS1062" s="541"/>
      <c r="AT1062" s="541"/>
      <c r="AU1062" s="541"/>
      <c r="AV1062" s="541"/>
      <c r="AW1062" s="541"/>
      <c r="AX1062" s="541"/>
      <c r="AY1062" s="541"/>
      <c r="AZ1062" s="541"/>
      <c r="BA1062" s="541"/>
      <c r="BC1062" s="541"/>
      <c r="BE1062" s="541"/>
      <c r="BG1062" s="541"/>
      <c r="BH1062" s="1190"/>
      <c r="BI1062" s="541"/>
      <c r="BJ1062" s="1190"/>
      <c r="BK1062" s="541"/>
      <c r="BL1062" s="541"/>
      <c r="BM1062" s="541"/>
      <c r="BO1062" s="541"/>
      <c r="BP1062" s="541"/>
      <c r="BQ1062" s="633"/>
      <c r="BR1062" s="541"/>
      <c r="BS1062" s="541"/>
      <c r="BT1062" s="541"/>
    </row>
    <row r="1063" ht="15.75" customHeight="1">
      <c r="A1063" s="1591"/>
      <c r="B1063" s="1541"/>
      <c r="C1063" s="2217"/>
      <c r="D1063" s="1543"/>
      <c r="E1063" s="906"/>
      <c r="F1063" s="541"/>
      <c r="G1063" s="541"/>
      <c r="H1063" s="541"/>
      <c r="I1063" s="541"/>
      <c r="J1063" s="1748"/>
      <c r="K1063" s="541"/>
      <c r="L1063" s="1748"/>
      <c r="M1063" s="541"/>
      <c r="N1063" s="1748"/>
      <c r="O1063" s="541"/>
      <c r="P1063" s="1748"/>
      <c r="Q1063" s="541"/>
      <c r="R1063" s="1748"/>
      <c r="S1063" s="541"/>
      <c r="T1063" s="1748"/>
      <c r="U1063" s="541"/>
      <c r="V1063" s="1748"/>
      <c r="W1063" s="541"/>
      <c r="X1063" s="1748"/>
      <c r="Y1063" s="1748"/>
      <c r="Z1063" s="1748"/>
      <c r="AA1063" s="541"/>
      <c r="AB1063" s="1748"/>
      <c r="AC1063" s="541"/>
      <c r="AD1063" s="541"/>
      <c r="AE1063" s="541"/>
      <c r="AF1063" s="541"/>
      <c r="AG1063" s="541"/>
      <c r="AH1063" s="541"/>
      <c r="AI1063" s="541"/>
      <c r="AJ1063" s="541"/>
      <c r="AK1063" s="541"/>
      <c r="AL1063" s="541"/>
      <c r="AM1063" s="541"/>
      <c r="AN1063" s="1748"/>
      <c r="AO1063" s="1748"/>
      <c r="AP1063" s="1748"/>
      <c r="AQ1063" s="1748"/>
      <c r="AR1063" s="1748"/>
      <c r="AS1063" s="541"/>
      <c r="AT1063" s="541"/>
      <c r="AU1063" s="541"/>
      <c r="AV1063" s="541"/>
      <c r="AW1063" s="541"/>
      <c r="AX1063" s="541"/>
      <c r="AY1063" s="541"/>
      <c r="AZ1063" s="541"/>
      <c r="BA1063" s="541"/>
      <c r="BC1063" s="541"/>
      <c r="BE1063" s="541"/>
      <c r="BG1063" s="541"/>
      <c r="BH1063" s="1190"/>
      <c r="BI1063" s="541"/>
      <c r="BJ1063" s="1190"/>
      <c r="BK1063" s="541"/>
      <c r="BL1063" s="541"/>
      <c r="BM1063" s="541"/>
      <c r="BO1063" s="541"/>
      <c r="BP1063" s="541"/>
      <c r="BQ1063" s="633"/>
      <c r="BR1063" s="541"/>
      <c r="BS1063" s="541"/>
      <c r="BT1063" s="541"/>
    </row>
    <row r="1064" ht="15.75" customHeight="1">
      <c r="A1064" s="1591"/>
      <c r="B1064" s="1541"/>
      <c r="C1064" s="2217"/>
      <c r="D1064" s="1543"/>
      <c r="E1064" s="906"/>
      <c r="F1064" s="541"/>
      <c r="G1064" s="541"/>
      <c r="H1064" s="541"/>
      <c r="I1064" s="541"/>
      <c r="J1064" s="1748"/>
      <c r="K1064" s="541"/>
      <c r="L1064" s="1748"/>
      <c r="M1064" s="541"/>
      <c r="N1064" s="1748"/>
      <c r="O1064" s="541"/>
      <c r="P1064" s="1748"/>
      <c r="Q1064" s="541"/>
      <c r="R1064" s="1748"/>
      <c r="S1064" s="541"/>
      <c r="T1064" s="1748"/>
      <c r="U1064" s="541"/>
      <c r="V1064" s="1748"/>
      <c r="W1064" s="541"/>
      <c r="X1064" s="1748"/>
      <c r="Y1064" s="1748"/>
      <c r="Z1064" s="1748"/>
      <c r="AA1064" s="541"/>
      <c r="AB1064" s="1748"/>
      <c r="AC1064" s="541"/>
      <c r="AD1064" s="541"/>
      <c r="AE1064" s="541"/>
      <c r="AF1064" s="541"/>
      <c r="AG1064" s="541"/>
      <c r="AH1064" s="541"/>
      <c r="AI1064" s="541"/>
      <c r="AJ1064" s="541"/>
      <c r="AK1064" s="541"/>
      <c r="AL1064" s="541"/>
      <c r="AM1064" s="541"/>
      <c r="AN1064" s="1748"/>
      <c r="AO1064" s="1748"/>
      <c r="AP1064" s="1748"/>
      <c r="AQ1064" s="1748"/>
      <c r="AR1064" s="1748"/>
      <c r="AS1064" s="541"/>
      <c r="AT1064" s="541"/>
      <c r="AU1064" s="541"/>
      <c r="AV1064" s="541"/>
      <c r="AW1064" s="541"/>
      <c r="AX1064" s="541"/>
      <c r="AY1064" s="541"/>
      <c r="AZ1064" s="541"/>
      <c r="BA1064" s="541"/>
      <c r="BC1064" s="541"/>
      <c r="BE1064" s="541"/>
      <c r="BG1064" s="541"/>
      <c r="BH1064" s="1190"/>
      <c r="BI1064" s="541"/>
      <c r="BJ1064" s="1190"/>
      <c r="BK1064" s="541"/>
      <c r="BL1064" s="541"/>
      <c r="BM1064" s="541"/>
      <c r="BO1064" s="541"/>
      <c r="BP1064" s="541"/>
      <c r="BQ1064" s="633"/>
      <c r="BR1064" s="541"/>
      <c r="BS1064" s="541"/>
      <c r="BT1064" s="541"/>
    </row>
    <row r="1065" ht="15.75" customHeight="1">
      <c r="A1065" s="1591"/>
      <c r="B1065" s="1541"/>
      <c r="C1065" s="2217"/>
      <c r="D1065" s="1543"/>
      <c r="E1065" s="906"/>
      <c r="F1065" s="541"/>
      <c r="G1065" s="541"/>
      <c r="H1065" s="541"/>
      <c r="I1065" s="541"/>
      <c r="J1065" s="1748"/>
      <c r="K1065" s="541"/>
      <c r="L1065" s="1748"/>
      <c r="M1065" s="541"/>
      <c r="N1065" s="1748"/>
      <c r="O1065" s="541"/>
      <c r="P1065" s="1748"/>
      <c r="Q1065" s="541"/>
      <c r="R1065" s="1748"/>
      <c r="S1065" s="541"/>
      <c r="T1065" s="1748"/>
      <c r="U1065" s="541"/>
      <c r="V1065" s="1748"/>
      <c r="W1065" s="541"/>
      <c r="X1065" s="1748"/>
      <c r="Y1065" s="1748"/>
      <c r="Z1065" s="1748"/>
      <c r="AA1065" s="541"/>
      <c r="AB1065" s="1748"/>
      <c r="AC1065" s="541"/>
      <c r="AD1065" s="541"/>
      <c r="AE1065" s="541"/>
      <c r="AF1065" s="541"/>
      <c r="AG1065" s="541"/>
      <c r="AH1065" s="541"/>
      <c r="AI1065" s="541"/>
      <c r="AJ1065" s="541"/>
      <c r="AK1065" s="541"/>
      <c r="AL1065" s="541"/>
      <c r="AM1065" s="541"/>
      <c r="AN1065" s="1748"/>
      <c r="AO1065" s="1748"/>
      <c r="AP1065" s="1748"/>
      <c r="AQ1065" s="1748"/>
      <c r="AR1065" s="1748"/>
      <c r="AS1065" s="541"/>
      <c r="AT1065" s="541"/>
      <c r="AU1065" s="541"/>
      <c r="AV1065" s="541"/>
      <c r="AW1065" s="541"/>
      <c r="AX1065" s="541"/>
      <c r="AY1065" s="541"/>
      <c r="AZ1065" s="541"/>
      <c r="BA1065" s="541"/>
      <c r="BC1065" s="541"/>
      <c r="BE1065" s="541"/>
      <c r="BG1065" s="541"/>
      <c r="BH1065" s="1190"/>
      <c r="BI1065" s="541"/>
      <c r="BJ1065" s="1190"/>
      <c r="BK1065" s="541"/>
      <c r="BL1065" s="541"/>
      <c r="BM1065" s="541"/>
      <c r="BO1065" s="541"/>
      <c r="BP1065" s="541"/>
      <c r="BQ1065" s="633"/>
      <c r="BR1065" s="541"/>
      <c r="BS1065" s="541"/>
      <c r="BT1065" s="541"/>
    </row>
    <row r="1066" ht="15.75" customHeight="1">
      <c r="A1066" s="1591"/>
      <c r="B1066" s="1541"/>
      <c r="C1066" s="2217"/>
      <c r="D1066" s="1543"/>
      <c r="E1066" s="906"/>
      <c r="F1066" s="541"/>
      <c r="G1066" s="541"/>
      <c r="H1066" s="541"/>
      <c r="I1066" s="541"/>
      <c r="J1066" s="1748"/>
      <c r="K1066" s="541"/>
      <c r="L1066" s="1748"/>
      <c r="M1066" s="541"/>
      <c r="N1066" s="1748"/>
      <c r="O1066" s="541"/>
      <c r="P1066" s="1748"/>
      <c r="Q1066" s="541"/>
      <c r="R1066" s="1748"/>
      <c r="S1066" s="541"/>
      <c r="T1066" s="1748"/>
      <c r="U1066" s="541"/>
      <c r="V1066" s="1748"/>
      <c r="W1066" s="541"/>
      <c r="X1066" s="1748"/>
      <c r="Y1066" s="1748"/>
      <c r="Z1066" s="1748"/>
      <c r="AA1066" s="541"/>
      <c r="AB1066" s="1748"/>
      <c r="AC1066" s="541"/>
      <c r="AD1066" s="541"/>
      <c r="AE1066" s="541"/>
      <c r="AF1066" s="541"/>
      <c r="AG1066" s="541"/>
      <c r="AH1066" s="541"/>
      <c r="AI1066" s="541"/>
      <c r="AJ1066" s="541"/>
      <c r="AK1066" s="541"/>
      <c r="AL1066" s="541"/>
      <c r="AM1066" s="541"/>
      <c r="AN1066" s="1748"/>
      <c r="AO1066" s="1748"/>
      <c r="AP1066" s="1748"/>
      <c r="AQ1066" s="1748"/>
      <c r="AR1066" s="1748"/>
      <c r="AS1066" s="541"/>
      <c r="AT1066" s="541"/>
      <c r="AU1066" s="541"/>
      <c r="AV1066" s="541"/>
      <c r="AW1066" s="541"/>
      <c r="AX1066" s="541"/>
      <c r="AY1066" s="541"/>
      <c r="AZ1066" s="541"/>
      <c r="BA1066" s="541"/>
      <c r="BC1066" s="541"/>
      <c r="BE1066" s="541"/>
      <c r="BG1066" s="541"/>
      <c r="BH1066" s="1190"/>
      <c r="BI1066" s="541"/>
      <c r="BJ1066" s="1190"/>
      <c r="BK1066" s="541"/>
      <c r="BL1066" s="541"/>
      <c r="BM1066" s="541"/>
      <c r="BO1066" s="541"/>
      <c r="BP1066" s="541"/>
      <c r="BQ1066" s="633"/>
      <c r="BR1066" s="541"/>
      <c r="BS1066" s="541"/>
      <c r="BT1066" s="541"/>
    </row>
    <row r="1067" ht="15.75" customHeight="1">
      <c r="A1067" s="1591"/>
      <c r="B1067" s="1541"/>
      <c r="C1067" s="2217"/>
      <c r="D1067" s="1543"/>
      <c r="E1067" s="906"/>
      <c r="F1067" s="541"/>
      <c r="G1067" s="541"/>
      <c r="H1067" s="541"/>
      <c r="I1067" s="541"/>
      <c r="J1067" s="1748"/>
      <c r="K1067" s="541"/>
      <c r="L1067" s="1748"/>
      <c r="M1067" s="541"/>
      <c r="N1067" s="1748"/>
      <c r="O1067" s="541"/>
      <c r="P1067" s="1748"/>
      <c r="Q1067" s="541"/>
      <c r="R1067" s="1748"/>
      <c r="S1067" s="541"/>
      <c r="T1067" s="1748"/>
      <c r="U1067" s="541"/>
      <c r="V1067" s="1748"/>
      <c r="W1067" s="541"/>
      <c r="X1067" s="1748"/>
      <c r="Y1067" s="1748"/>
      <c r="Z1067" s="1748"/>
      <c r="AA1067" s="541"/>
      <c r="AB1067" s="1748"/>
      <c r="AC1067" s="541"/>
      <c r="AD1067" s="541"/>
      <c r="AE1067" s="541"/>
      <c r="AF1067" s="541"/>
      <c r="AG1067" s="541"/>
      <c r="AH1067" s="541"/>
      <c r="AI1067" s="541"/>
      <c r="AJ1067" s="541"/>
      <c r="AK1067" s="541"/>
      <c r="AL1067" s="541"/>
      <c r="AM1067" s="541"/>
      <c r="AN1067" s="1748"/>
      <c r="AO1067" s="1748"/>
      <c r="AP1067" s="1748"/>
      <c r="AQ1067" s="1748"/>
      <c r="AR1067" s="1748"/>
      <c r="AS1067" s="541"/>
      <c r="AT1067" s="541"/>
      <c r="AU1067" s="541"/>
      <c r="AV1067" s="541"/>
      <c r="AW1067" s="541"/>
      <c r="AX1067" s="541"/>
      <c r="AY1067" s="541"/>
      <c r="AZ1067" s="541"/>
      <c r="BA1067" s="541"/>
      <c r="BC1067" s="541"/>
      <c r="BE1067" s="541"/>
      <c r="BG1067" s="541"/>
      <c r="BH1067" s="1190"/>
      <c r="BI1067" s="541"/>
      <c r="BJ1067" s="1190"/>
      <c r="BK1067" s="541"/>
      <c r="BL1067" s="541"/>
      <c r="BM1067" s="541"/>
      <c r="BO1067" s="541"/>
      <c r="BP1067" s="541"/>
      <c r="BQ1067" s="633"/>
      <c r="BR1067" s="541"/>
      <c r="BS1067" s="541"/>
      <c r="BT1067" s="541"/>
    </row>
    <row r="1068" ht="15.75" customHeight="1">
      <c r="A1068" s="1591"/>
      <c r="B1068" s="1541"/>
      <c r="C1068" s="2217"/>
      <c r="D1068" s="1543"/>
      <c r="E1068" s="906"/>
      <c r="F1068" s="541"/>
      <c r="G1068" s="541"/>
      <c r="H1068" s="541"/>
      <c r="I1068" s="541"/>
      <c r="J1068" s="1748"/>
      <c r="K1068" s="541"/>
      <c r="L1068" s="1748"/>
      <c r="M1068" s="541"/>
      <c r="N1068" s="1748"/>
      <c r="O1068" s="541"/>
      <c r="P1068" s="1748"/>
      <c r="Q1068" s="541"/>
      <c r="R1068" s="1748"/>
      <c r="S1068" s="541"/>
      <c r="T1068" s="1748"/>
      <c r="U1068" s="541"/>
      <c r="V1068" s="1748"/>
      <c r="W1068" s="541"/>
      <c r="X1068" s="1748"/>
      <c r="Y1068" s="1748"/>
      <c r="Z1068" s="1748"/>
      <c r="AA1068" s="541"/>
      <c r="AB1068" s="1748"/>
      <c r="AC1068" s="541"/>
      <c r="AD1068" s="541"/>
      <c r="AE1068" s="541"/>
      <c r="AF1068" s="541"/>
      <c r="AG1068" s="541"/>
      <c r="AH1068" s="541"/>
      <c r="AI1068" s="541"/>
      <c r="AJ1068" s="541"/>
      <c r="AK1068" s="541"/>
      <c r="AL1068" s="541"/>
      <c r="AM1068" s="541"/>
      <c r="AN1068" s="1748"/>
      <c r="AO1068" s="1748"/>
      <c r="AP1068" s="1748"/>
      <c r="AQ1068" s="1748"/>
      <c r="AR1068" s="1748"/>
      <c r="AS1068" s="541"/>
      <c r="AT1068" s="541"/>
      <c r="AU1068" s="541"/>
      <c r="AV1068" s="541"/>
      <c r="AW1068" s="541"/>
      <c r="AX1068" s="541"/>
      <c r="AY1068" s="541"/>
      <c r="AZ1068" s="541"/>
      <c r="BA1068" s="541"/>
      <c r="BC1068" s="541"/>
      <c r="BE1068" s="541"/>
      <c r="BG1068" s="541"/>
      <c r="BH1068" s="1190"/>
      <c r="BI1068" s="541"/>
      <c r="BJ1068" s="1190"/>
      <c r="BK1068" s="541"/>
      <c r="BL1068" s="541"/>
      <c r="BM1068" s="541"/>
      <c r="BO1068" s="541"/>
      <c r="BP1068" s="541"/>
      <c r="BQ1068" s="633"/>
      <c r="BR1068" s="541"/>
      <c r="BS1068" s="541"/>
      <c r="BT1068" s="541"/>
    </row>
    <row r="1069" ht="15.75" customHeight="1">
      <c r="A1069" s="1591"/>
      <c r="B1069" s="1541"/>
      <c r="C1069" s="2217"/>
      <c r="D1069" s="1543"/>
      <c r="E1069" s="906"/>
      <c r="F1069" s="541"/>
      <c r="G1069" s="541"/>
      <c r="H1069" s="541"/>
      <c r="I1069" s="541"/>
      <c r="J1069" s="1748"/>
      <c r="K1069" s="541"/>
      <c r="L1069" s="1748"/>
      <c r="M1069" s="541"/>
      <c r="N1069" s="1748"/>
      <c r="O1069" s="541"/>
      <c r="P1069" s="1748"/>
      <c r="Q1069" s="541"/>
      <c r="R1069" s="1748"/>
      <c r="S1069" s="541"/>
      <c r="T1069" s="1748"/>
      <c r="U1069" s="541"/>
      <c r="V1069" s="1748"/>
      <c r="W1069" s="541"/>
      <c r="X1069" s="1748"/>
      <c r="Y1069" s="1748"/>
      <c r="Z1069" s="1748"/>
      <c r="AA1069" s="541"/>
      <c r="AB1069" s="1748"/>
      <c r="AC1069" s="541"/>
      <c r="AD1069" s="541"/>
      <c r="AE1069" s="541"/>
      <c r="AF1069" s="541"/>
      <c r="AG1069" s="541"/>
      <c r="AH1069" s="541"/>
      <c r="AI1069" s="541"/>
      <c r="AJ1069" s="541"/>
      <c r="AK1069" s="541"/>
      <c r="AL1069" s="541"/>
      <c r="AM1069" s="541"/>
      <c r="AN1069" s="1748"/>
      <c r="AO1069" s="1748"/>
      <c r="AP1069" s="1748"/>
      <c r="AQ1069" s="1748"/>
      <c r="AR1069" s="1748"/>
      <c r="AS1069" s="541"/>
      <c r="AT1069" s="541"/>
      <c r="AU1069" s="541"/>
      <c r="AV1069" s="541"/>
      <c r="AW1069" s="541"/>
      <c r="AX1069" s="541"/>
      <c r="AY1069" s="541"/>
      <c r="AZ1069" s="541"/>
      <c r="BA1069" s="541"/>
      <c r="BC1069" s="541"/>
      <c r="BE1069" s="541"/>
      <c r="BG1069" s="541"/>
      <c r="BH1069" s="1190"/>
      <c r="BI1069" s="541"/>
      <c r="BJ1069" s="1190"/>
      <c r="BK1069" s="541"/>
      <c r="BL1069" s="541"/>
      <c r="BM1069" s="541"/>
      <c r="BO1069" s="541"/>
      <c r="BP1069" s="541"/>
      <c r="BQ1069" s="633"/>
      <c r="BR1069" s="541"/>
      <c r="BS1069" s="541"/>
      <c r="BT1069" s="541"/>
    </row>
    <row r="1070" ht="15.75" customHeight="1">
      <c r="A1070" s="1591"/>
      <c r="B1070" s="1541"/>
      <c r="C1070" s="2217"/>
      <c r="D1070" s="1543"/>
      <c r="E1070" s="906"/>
      <c r="F1070" s="541"/>
      <c r="G1070" s="541"/>
      <c r="H1070" s="541"/>
      <c r="I1070" s="541"/>
      <c r="J1070" s="1748"/>
      <c r="K1070" s="541"/>
      <c r="L1070" s="1748"/>
      <c r="M1070" s="541"/>
      <c r="N1070" s="1748"/>
      <c r="O1070" s="541"/>
      <c r="P1070" s="1748"/>
      <c r="Q1070" s="541"/>
      <c r="R1070" s="1748"/>
      <c r="S1070" s="541"/>
      <c r="T1070" s="1748"/>
      <c r="U1070" s="541"/>
      <c r="V1070" s="1748"/>
      <c r="W1070" s="541"/>
      <c r="X1070" s="1748"/>
      <c r="Y1070" s="1748"/>
      <c r="Z1070" s="1748"/>
      <c r="AA1070" s="541"/>
      <c r="AB1070" s="1748"/>
      <c r="AC1070" s="541"/>
      <c r="AD1070" s="541"/>
      <c r="AE1070" s="541"/>
      <c r="AF1070" s="541"/>
      <c r="AG1070" s="541"/>
      <c r="AH1070" s="541"/>
      <c r="AI1070" s="541"/>
      <c r="AJ1070" s="541"/>
      <c r="AK1070" s="541"/>
      <c r="AL1070" s="541"/>
      <c r="AM1070" s="541"/>
      <c r="AN1070" s="1748"/>
      <c r="AO1070" s="1748"/>
      <c r="AP1070" s="1748"/>
      <c r="AQ1070" s="1748"/>
      <c r="AR1070" s="1748"/>
      <c r="AS1070" s="541"/>
      <c r="AT1070" s="541"/>
      <c r="AU1070" s="541"/>
      <c r="AV1070" s="541"/>
      <c r="AW1070" s="541"/>
      <c r="AX1070" s="541"/>
      <c r="AY1070" s="541"/>
      <c r="AZ1070" s="541"/>
      <c r="BA1070" s="541"/>
      <c r="BC1070" s="541"/>
      <c r="BE1070" s="541"/>
      <c r="BG1070" s="541"/>
      <c r="BH1070" s="1190"/>
      <c r="BI1070" s="541"/>
      <c r="BJ1070" s="1190"/>
      <c r="BK1070" s="541"/>
      <c r="BL1070" s="541"/>
      <c r="BM1070" s="541"/>
      <c r="BO1070" s="541"/>
      <c r="BP1070" s="541"/>
      <c r="BQ1070" s="633"/>
      <c r="BR1070" s="541"/>
      <c r="BS1070" s="541"/>
      <c r="BT1070" s="541"/>
    </row>
    <row r="1071" ht="15.75" customHeight="1">
      <c r="A1071" s="1591"/>
      <c r="B1071" s="1541"/>
      <c r="C1071" s="2217"/>
      <c r="D1071" s="1543"/>
      <c r="E1071" s="906"/>
      <c r="F1071" s="541"/>
      <c r="G1071" s="541"/>
      <c r="H1071" s="541"/>
      <c r="I1071" s="541"/>
      <c r="J1071" s="1748"/>
      <c r="K1071" s="541"/>
      <c r="L1071" s="1748"/>
      <c r="M1071" s="541"/>
      <c r="N1071" s="1748"/>
      <c r="O1071" s="541"/>
      <c r="P1071" s="1748"/>
      <c r="Q1071" s="541"/>
      <c r="R1071" s="1748"/>
      <c r="S1071" s="541"/>
      <c r="T1071" s="1748"/>
      <c r="U1071" s="541"/>
      <c r="V1071" s="1748"/>
      <c r="W1071" s="541"/>
      <c r="X1071" s="1748"/>
      <c r="Y1071" s="1748"/>
      <c r="Z1071" s="1748"/>
      <c r="AA1071" s="541"/>
      <c r="AB1071" s="1748"/>
      <c r="AC1071" s="541"/>
      <c r="AD1071" s="541"/>
      <c r="AE1071" s="541"/>
      <c r="AF1071" s="541"/>
      <c r="AG1071" s="541"/>
      <c r="AH1071" s="541"/>
      <c r="AI1071" s="541"/>
      <c r="AJ1071" s="541"/>
      <c r="AK1071" s="541"/>
      <c r="AL1071" s="541"/>
      <c r="AM1071" s="541"/>
      <c r="AN1071" s="1748"/>
      <c r="AO1071" s="1748"/>
      <c r="AP1071" s="1748"/>
      <c r="AQ1071" s="1748"/>
      <c r="AR1071" s="1748"/>
      <c r="AS1071" s="541"/>
      <c r="AT1071" s="541"/>
      <c r="AU1071" s="541"/>
      <c r="AV1071" s="541"/>
      <c r="AW1071" s="541"/>
      <c r="AX1071" s="541"/>
      <c r="AY1071" s="541"/>
      <c r="AZ1071" s="541"/>
      <c r="BA1071" s="541"/>
      <c r="BC1071" s="541"/>
      <c r="BE1071" s="541"/>
      <c r="BG1071" s="541"/>
      <c r="BH1071" s="1190"/>
      <c r="BI1071" s="541"/>
      <c r="BJ1071" s="1190"/>
      <c r="BK1071" s="541"/>
      <c r="BL1071" s="541"/>
      <c r="BM1071" s="541"/>
      <c r="BO1071" s="541"/>
      <c r="BP1071" s="541"/>
      <c r="BQ1071" s="633"/>
      <c r="BR1071" s="541"/>
      <c r="BS1071" s="541"/>
      <c r="BT1071" s="541"/>
    </row>
    <row r="1072" ht="15.75" customHeight="1">
      <c r="A1072" s="1591"/>
      <c r="B1072" s="1541"/>
      <c r="C1072" s="2217"/>
      <c r="D1072" s="1543"/>
      <c r="E1072" s="906"/>
      <c r="F1072" s="541"/>
      <c r="G1072" s="541"/>
      <c r="H1072" s="541"/>
      <c r="I1072" s="541"/>
      <c r="J1072" s="1748"/>
      <c r="K1072" s="541"/>
      <c r="L1072" s="1748"/>
      <c r="M1072" s="541"/>
      <c r="N1072" s="1748"/>
      <c r="O1072" s="541"/>
      <c r="P1072" s="1748"/>
      <c r="Q1072" s="541"/>
      <c r="R1072" s="1748"/>
      <c r="S1072" s="541"/>
      <c r="T1072" s="1748"/>
      <c r="U1072" s="541"/>
      <c r="V1072" s="1748"/>
      <c r="W1072" s="541"/>
      <c r="X1072" s="1748"/>
      <c r="Y1072" s="1748"/>
      <c r="Z1072" s="1748"/>
      <c r="AA1072" s="541"/>
      <c r="AB1072" s="1748"/>
      <c r="AC1072" s="541"/>
      <c r="AD1072" s="541"/>
      <c r="AE1072" s="541"/>
      <c r="AF1072" s="541"/>
      <c r="AG1072" s="541"/>
      <c r="AH1072" s="541"/>
      <c r="AI1072" s="541"/>
      <c r="AJ1072" s="541"/>
      <c r="AK1072" s="541"/>
      <c r="AL1072" s="541"/>
      <c r="AM1072" s="541"/>
      <c r="AN1072" s="1748"/>
      <c r="AO1072" s="1748"/>
      <c r="AP1072" s="1748"/>
      <c r="AQ1072" s="1748"/>
      <c r="AR1072" s="1748"/>
      <c r="AS1072" s="541"/>
      <c r="AT1072" s="541"/>
      <c r="AU1072" s="541"/>
      <c r="AV1072" s="541"/>
      <c r="AW1072" s="541"/>
      <c r="AX1072" s="541"/>
      <c r="AY1072" s="541"/>
      <c r="AZ1072" s="541"/>
      <c r="BA1072" s="541"/>
      <c r="BC1072" s="541"/>
      <c r="BE1072" s="541"/>
      <c r="BG1072" s="541"/>
      <c r="BH1072" s="1190"/>
      <c r="BI1072" s="541"/>
      <c r="BJ1072" s="1190"/>
      <c r="BK1072" s="541"/>
      <c r="BL1072" s="541"/>
      <c r="BM1072" s="541"/>
      <c r="BO1072" s="541"/>
      <c r="BP1072" s="541"/>
      <c r="BQ1072" s="633"/>
      <c r="BR1072" s="541"/>
      <c r="BS1072" s="541"/>
      <c r="BT1072" s="541"/>
    </row>
    <row r="1073" ht="15.75" customHeight="1">
      <c r="A1073" s="1591"/>
      <c r="B1073" s="1541"/>
      <c r="C1073" s="2217"/>
      <c r="D1073" s="1543"/>
      <c r="E1073" s="906"/>
      <c r="F1073" s="541"/>
      <c r="G1073" s="541"/>
      <c r="H1073" s="541"/>
      <c r="I1073" s="541"/>
      <c r="J1073" s="1748"/>
      <c r="K1073" s="541"/>
      <c r="L1073" s="1748"/>
      <c r="M1073" s="541"/>
      <c r="N1073" s="1748"/>
      <c r="O1073" s="541"/>
      <c r="P1073" s="1748"/>
      <c r="Q1073" s="541"/>
      <c r="R1073" s="1748"/>
      <c r="S1073" s="541"/>
      <c r="T1073" s="1748"/>
      <c r="U1073" s="541"/>
      <c r="V1073" s="1748"/>
      <c r="W1073" s="541"/>
      <c r="X1073" s="1748"/>
      <c r="Y1073" s="1748"/>
      <c r="Z1073" s="1748"/>
      <c r="AA1073" s="541"/>
      <c r="AB1073" s="1748"/>
      <c r="AC1073" s="541"/>
      <c r="AD1073" s="541"/>
      <c r="AE1073" s="541"/>
      <c r="AF1073" s="541"/>
      <c r="AG1073" s="541"/>
      <c r="AH1073" s="541"/>
      <c r="AI1073" s="541"/>
      <c r="AJ1073" s="541"/>
      <c r="AK1073" s="541"/>
      <c r="AL1073" s="541"/>
      <c r="AM1073" s="541"/>
      <c r="AN1073" s="1748"/>
      <c r="AO1073" s="1748"/>
      <c r="AP1073" s="1748"/>
      <c r="AQ1073" s="1748"/>
      <c r="AR1073" s="1748"/>
      <c r="AS1073" s="541"/>
      <c r="AT1073" s="541"/>
      <c r="AU1073" s="541"/>
      <c r="AV1073" s="541"/>
      <c r="AW1073" s="541"/>
      <c r="AX1073" s="541"/>
      <c r="AY1073" s="541"/>
      <c r="AZ1073" s="541"/>
      <c r="BA1073" s="541"/>
      <c r="BC1073" s="541"/>
      <c r="BE1073" s="541"/>
      <c r="BG1073" s="541"/>
      <c r="BH1073" s="1190"/>
      <c r="BI1073" s="541"/>
      <c r="BJ1073" s="1190"/>
      <c r="BK1073" s="541"/>
      <c r="BL1073" s="541"/>
      <c r="BM1073" s="541"/>
      <c r="BO1073" s="541"/>
      <c r="BP1073" s="541"/>
      <c r="BQ1073" s="633"/>
      <c r="BR1073" s="541"/>
      <c r="BS1073" s="541"/>
      <c r="BT1073" s="541"/>
    </row>
    <row r="1074" ht="15.75" customHeight="1">
      <c r="A1074" s="1591"/>
      <c r="B1074" s="1541"/>
      <c r="C1074" s="2217"/>
      <c r="D1074" s="1543"/>
      <c r="E1074" s="906"/>
      <c r="F1074" s="541"/>
      <c r="G1074" s="541"/>
      <c r="H1074" s="541"/>
      <c r="I1074" s="541"/>
      <c r="J1074" s="1748"/>
      <c r="K1074" s="541"/>
      <c r="L1074" s="1748"/>
      <c r="M1074" s="541"/>
      <c r="N1074" s="1748"/>
      <c r="O1074" s="541"/>
      <c r="P1074" s="1748"/>
      <c r="Q1074" s="541"/>
      <c r="R1074" s="1748"/>
      <c r="S1074" s="541"/>
      <c r="T1074" s="1748"/>
      <c r="U1074" s="541"/>
      <c r="V1074" s="1748"/>
      <c r="W1074" s="541"/>
      <c r="X1074" s="1748"/>
      <c r="Y1074" s="1748"/>
      <c r="Z1074" s="1748"/>
      <c r="AA1074" s="541"/>
      <c r="AB1074" s="1748"/>
      <c r="AC1074" s="541"/>
      <c r="AD1074" s="541"/>
      <c r="AE1074" s="541"/>
      <c r="AF1074" s="541"/>
      <c r="AG1074" s="541"/>
      <c r="AH1074" s="541"/>
      <c r="AI1074" s="541"/>
      <c r="AJ1074" s="541"/>
      <c r="AK1074" s="541"/>
      <c r="AL1074" s="541"/>
      <c r="AM1074" s="541"/>
      <c r="AN1074" s="1748"/>
      <c r="AO1074" s="1748"/>
      <c r="AP1074" s="1748"/>
      <c r="AQ1074" s="1748"/>
      <c r="AR1074" s="1748"/>
      <c r="AS1074" s="541"/>
      <c r="AT1074" s="541"/>
      <c r="AU1074" s="541"/>
      <c r="AV1074" s="541"/>
      <c r="AW1074" s="541"/>
      <c r="AX1074" s="541"/>
      <c r="AY1074" s="541"/>
      <c r="AZ1074" s="541"/>
      <c r="BA1074" s="541"/>
      <c r="BC1074" s="541"/>
      <c r="BE1074" s="541"/>
      <c r="BG1074" s="541"/>
      <c r="BH1074" s="1190"/>
      <c r="BI1074" s="541"/>
      <c r="BJ1074" s="1190"/>
      <c r="BK1074" s="541"/>
      <c r="BL1074" s="541"/>
      <c r="BM1074" s="541"/>
      <c r="BO1074" s="541"/>
      <c r="BP1074" s="541"/>
      <c r="BQ1074" s="633"/>
      <c r="BR1074" s="541"/>
      <c r="BS1074" s="541"/>
      <c r="BT1074" s="541"/>
    </row>
    <row r="1075" ht="15.75" customHeight="1">
      <c r="A1075" s="1591"/>
      <c r="B1075" s="1541"/>
      <c r="C1075" s="2217"/>
      <c r="D1075" s="1543"/>
      <c r="E1075" s="906"/>
      <c r="F1075" s="541"/>
      <c r="G1075" s="541"/>
      <c r="H1075" s="541"/>
      <c r="I1075" s="541"/>
      <c r="J1075" s="1748"/>
      <c r="K1075" s="541"/>
      <c r="L1075" s="1748"/>
      <c r="M1075" s="541"/>
      <c r="N1075" s="1748"/>
      <c r="O1075" s="541"/>
      <c r="P1075" s="1748"/>
      <c r="Q1075" s="541"/>
      <c r="R1075" s="1748"/>
      <c r="S1075" s="541"/>
      <c r="T1075" s="1748"/>
      <c r="U1075" s="541"/>
      <c r="V1075" s="1748"/>
      <c r="W1075" s="541"/>
      <c r="X1075" s="1748"/>
      <c r="Y1075" s="1748"/>
      <c r="Z1075" s="1748"/>
      <c r="AA1075" s="541"/>
      <c r="AB1075" s="1748"/>
      <c r="AC1075" s="541"/>
      <c r="AD1075" s="541"/>
      <c r="AE1075" s="541"/>
      <c r="AF1075" s="541"/>
      <c r="AG1075" s="541"/>
      <c r="AH1075" s="541"/>
      <c r="AI1075" s="541"/>
      <c r="AJ1075" s="541"/>
      <c r="AK1075" s="541"/>
      <c r="AL1075" s="541"/>
      <c r="AM1075" s="541"/>
      <c r="AN1075" s="1748"/>
      <c r="AO1075" s="1748"/>
      <c r="AP1075" s="1748"/>
      <c r="AQ1075" s="1748"/>
      <c r="AR1075" s="1748"/>
      <c r="AS1075" s="541"/>
      <c r="AT1075" s="541"/>
      <c r="AU1075" s="541"/>
      <c r="AV1075" s="541"/>
      <c r="AW1075" s="541"/>
      <c r="AX1075" s="541"/>
      <c r="AY1075" s="541"/>
      <c r="AZ1075" s="541"/>
      <c r="BA1075" s="541"/>
      <c r="BC1075" s="541"/>
      <c r="BE1075" s="541"/>
      <c r="BG1075" s="541"/>
      <c r="BH1075" s="1190"/>
      <c r="BI1075" s="541"/>
      <c r="BJ1075" s="1190"/>
      <c r="BK1075" s="541"/>
      <c r="BL1075" s="541"/>
      <c r="BM1075" s="541"/>
      <c r="BO1075" s="541"/>
      <c r="BP1075" s="541"/>
      <c r="BQ1075" s="633"/>
      <c r="BR1075" s="541"/>
      <c r="BS1075" s="541"/>
      <c r="BT1075" s="541"/>
    </row>
    <row r="1076" ht="15.75" customHeight="1">
      <c r="A1076" s="1591"/>
      <c r="B1076" s="1541"/>
      <c r="C1076" s="2217"/>
      <c r="D1076" s="1543"/>
      <c r="E1076" s="906"/>
      <c r="F1076" s="541"/>
      <c r="G1076" s="541"/>
      <c r="H1076" s="541"/>
      <c r="I1076" s="541"/>
      <c r="J1076" s="1748"/>
      <c r="K1076" s="541"/>
      <c r="L1076" s="1748"/>
      <c r="M1076" s="541"/>
      <c r="N1076" s="1748"/>
      <c r="O1076" s="541"/>
      <c r="P1076" s="1748"/>
      <c r="Q1076" s="541"/>
      <c r="R1076" s="1748"/>
      <c r="S1076" s="541"/>
      <c r="T1076" s="1748"/>
      <c r="U1076" s="541"/>
      <c r="V1076" s="1748"/>
      <c r="W1076" s="541"/>
      <c r="X1076" s="1748"/>
      <c r="Y1076" s="1748"/>
      <c r="Z1076" s="1748"/>
      <c r="AA1076" s="541"/>
      <c r="AB1076" s="1748"/>
      <c r="AC1076" s="541"/>
      <c r="AD1076" s="541"/>
      <c r="AE1076" s="541"/>
      <c r="AF1076" s="541"/>
      <c r="AG1076" s="541"/>
      <c r="AH1076" s="541"/>
      <c r="AI1076" s="541"/>
      <c r="AJ1076" s="541"/>
      <c r="AK1076" s="541"/>
      <c r="AL1076" s="541"/>
      <c r="AM1076" s="541"/>
      <c r="AN1076" s="1748"/>
      <c r="AO1076" s="1748"/>
      <c r="AP1076" s="1748"/>
      <c r="AQ1076" s="1748"/>
      <c r="AR1076" s="1748"/>
      <c r="AS1076" s="541"/>
      <c r="AT1076" s="541"/>
      <c r="AU1076" s="541"/>
      <c r="AV1076" s="541"/>
      <c r="AW1076" s="541"/>
      <c r="AX1076" s="541"/>
      <c r="AY1076" s="541"/>
      <c r="AZ1076" s="541"/>
      <c r="BA1076" s="541"/>
      <c r="BC1076" s="541"/>
      <c r="BE1076" s="541"/>
      <c r="BG1076" s="541"/>
      <c r="BH1076" s="1190"/>
      <c r="BI1076" s="541"/>
      <c r="BJ1076" s="1190"/>
      <c r="BK1076" s="541"/>
      <c r="BL1076" s="541"/>
      <c r="BM1076" s="541"/>
      <c r="BO1076" s="541"/>
      <c r="BP1076" s="541"/>
      <c r="BQ1076" s="633"/>
      <c r="BR1076" s="541"/>
      <c r="BS1076" s="541"/>
      <c r="BT1076" s="541"/>
    </row>
    <row r="1077" ht="15.75" customHeight="1">
      <c r="A1077" s="1591"/>
      <c r="B1077" s="1541"/>
      <c r="C1077" s="2217"/>
      <c r="D1077" s="1543"/>
      <c r="E1077" s="906"/>
      <c r="F1077" s="541"/>
      <c r="G1077" s="541"/>
      <c r="H1077" s="541"/>
      <c r="I1077" s="541"/>
      <c r="J1077" s="1748"/>
      <c r="K1077" s="541"/>
      <c r="L1077" s="1748"/>
      <c r="M1077" s="541"/>
      <c r="N1077" s="1748"/>
      <c r="O1077" s="541"/>
      <c r="P1077" s="1748"/>
      <c r="Q1077" s="541"/>
      <c r="R1077" s="1748"/>
      <c r="S1077" s="541"/>
      <c r="T1077" s="1748"/>
      <c r="U1077" s="541"/>
      <c r="V1077" s="1748"/>
      <c r="W1077" s="541"/>
      <c r="X1077" s="1748"/>
      <c r="Y1077" s="1748"/>
      <c r="Z1077" s="1748"/>
      <c r="AA1077" s="541"/>
      <c r="AB1077" s="1748"/>
      <c r="AC1077" s="541"/>
      <c r="AD1077" s="541"/>
      <c r="AE1077" s="541"/>
      <c r="AF1077" s="541"/>
      <c r="AG1077" s="541"/>
      <c r="AH1077" s="541"/>
      <c r="AI1077" s="541"/>
      <c r="AJ1077" s="541"/>
      <c r="AK1077" s="541"/>
      <c r="AL1077" s="541"/>
      <c r="AM1077" s="541"/>
      <c r="AN1077" s="1748"/>
      <c r="AO1077" s="1748"/>
      <c r="AP1077" s="1748"/>
      <c r="AQ1077" s="1748"/>
      <c r="AR1077" s="1748"/>
      <c r="AS1077" s="541"/>
      <c r="AT1077" s="541"/>
      <c r="AU1077" s="541"/>
      <c r="AV1077" s="541"/>
      <c r="AW1077" s="541"/>
      <c r="AX1077" s="541"/>
      <c r="AY1077" s="541"/>
      <c r="AZ1077" s="541"/>
      <c r="BA1077" s="541"/>
      <c r="BC1077" s="541"/>
      <c r="BE1077" s="541"/>
      <c r="BG1077" s="541"/>
      <c r="BH1077" s="1190"/>
      <c r="BI1077" s="541"/>
      <c r="BJ1077" s="1190"/>
      <c r="BK1077" s="541"/>
      <c r="BL1077" s="541"/>
      <c r="BM1077" s="541"/>
      <c r="BO1077" s="541"/>
      <c r="BP1077" s="541"/>
      <c r="BQ1077" s="633"/>
      <c r="BR1077" s="541"/>
      <c r="BS1077" s="541"/>
      <c r="BT1077" s="541"/>
    </row>
    <row r="1078" ht="15.75" customHeight="1">
      <c r="A1078" s="1591"/>
      <c r="B1078" s="1541"/>
      <c r="C1078" s="2217"/>
      <c r="D1078" s="1543"/>
      <c r="E1078" s="906"/>
      <c r="F1078" s="541"/>
      <c r="G1078" s="541"/>
      <c r="H1078" s="541"/>
      <c r="I1078" s="541"/>
      <c r="J1078" s="1748"/>
      <c r="K1078" s="541"/>
      <c r="L1078" s="1748"/>
      <c r="M1078" s="541"/>
      <c r="N1078" s="1748"/>
      <c r="O1078" s="541"/>
      <c r="P1078" s="1748"/>
      <c r="Q1078" s="541"/>
      <c r="R1078" s="1748"/>
      <c r="S1078" s="541"/>
      <c r="T1078" s="1748"/>
      <c r="U1078" s="541"/>
      <c r="V1078" s="1748"/>
      <c r="W1078" s="541"/>
      <c r="X1078" s="1748"/>
      <c r="Y1078" s="1748"/>
      <c r="Z1078" s="1748"/>
      <c r="AA1078" s="541"/>
      <c r="AB1078" s="1748"/>
      <c r="AC1078" s="541"/>
      <c r="AD1078" s="541"/>
      <c r="AE1078" s="541"/>
      <c r="AF1078" s="541"/>
      <c r="AG1078" s="541"/>
      <c r="AH1078" s="541"/>
      <c r="AI1078" s="541"/>
      <c r="AJ1078" s="541"/>
      <c r="AK1078" s="541"/>
      <c r="AL1078" s="541"/>
      <c r="AM1078" s="541"/>
      <c r="AN1078" s="1748"/>
      <c r="AO1078" s="1748"/>
      <c r="AP1078" s="1748"/>
      <c r="AQ1078" s="1748"/>
      <c r="AR1078" s="1748"/>
      <c r="AS1078" s="541"/>
      <c r="AT1078" s="541"/>
      <c r="AU1078" s="541"/>
      <c r="AV1078" s="541"/>
      <c r="AW1078" s="541"/>
      <c r="AX1078" s="541"/>
      <c r="AY1078" s="541"/>
      <c r="AZ1078" s="541"/>
      <c r="BA1078" s="541"/>
      <c r="BC1078" s="541"/>
      <c r="BE1078" s="541"/>
      <c r="BG1078" s="541"/>
      <c r="BH1078" s="1190"/>
      <c r="BI1078" s="541"/>
      <c r="BJ1078" s="1190"/>
      <c r="BK1078" s="541"/>
      <c r="BL1078" s="541"/>
      <c r="BM1078" s="541"/>
      <c r="BO1078" s="541"/>
      <c r="BP1078" s="541"/>
      <c r="BQ1078" s="633"/>
      <c r="BR1078" s="541"/>
      <c r="BS1078" s="541"/>
      <c r="BT1078" s="541"/>
    </row>
    <row r="1079" ht="15.75" customHeight="1">
      <c r="A1079" s="1591"/>
      <c r="B1079" s="1541"/>
      <c r="C1079" s="2217"/>
      <c r="D1079" s="1543"/>
      <c r="E1079" s="906"/>
      <c r="F1079" s="541"/>
      <c r="G1079" s="541"/>
      <c r="H1079" s="541"/>
      <c r="I1079" s="541"/>
      <c r="J1079" s="1748"/>
      <c r="K1079" s="541"/>
      <c r="L1079" s="1748"/>
      <c r="M1079" s="541"/>
      <c r="N1079" s="1748"/>
      <c r="O1079" s="541"/>
      <c r="P1079" s="1748"/>
      <c r="Q1079" s="541"/>
      <c r="R1079" s="1748"/>
      <c r="S1079" s="541"/>
      <c r="T1079" s="1748"/>
      <c r="U1079" s="541"/>
      <c r="V1079" s="1748"/>
      <c r="W1079" s="541"/>
      <c r="X1079" s="1748"/>
      <c r="Y1079" s="1748"/>
      <c r="Z1079" s="1748"/>
      <c r="AA1079" s="541"/>
      <c r="AB1079" s="1748"/>
      <c r="AC1079" s="541"/>
      <c r="AD1079" s="541"/>
      <c r="AE1079" s="541"/>
      <c r="AF1079" s="541"/>
      <c r="AG1079" s="541"/>
      <c r="AH1079" s="541"/>
      <c r="AI1079" s="541"/>
      <c r="AJ1079" s="541"/>
      <c r="AK1079" s="541"/>
      <c r="AL1079" s="541"/>
      <c r="AM1079" s="541"/>
      <c r="AN1079" s="1748"/>
      <c r="AO1079" s="1748"/>
      <c r="AP1079" s="1748"/>
      <c r="AQ1079" s="1748"/>
      <c r="AR1079" s="1748"/>
      <c r="AS1079" s="541"/>
      <c r="AT1079" s="541"/>
      <c r="AU1079" s="541"/>
      <c r="AV1079" s="541"/>
      <c r="AW1079" s="541"/>
      <c r="AX1079" s="541"/>
      <c r="AY1079" s="541"/>
      <c r="AZ1079" s="541"/>
      <c r="BA1079" s="541"/>
      <c r="BC1079" s="541"/>
      <c r="BE1079" s="541"/>
      <c r="BG1079" s="541"/>
      <c r="BH1079" s="1190"/>
      <c r="BI1079" s="541"/>
      <c r="BJ1079" s="1190"/>
      <c r="BK1079" s="541"/>
      <c r="BL1079" s="541"/>
      <c r="BM1079" s="541"/>
      <c r="BO1079" s="541"/>
      <c r="BP1079" s="541"/>
      <c r="BQ1079" s="633"/>
      <c r="BR1079" s="541"/>
      <c r="BS1079" s="541"/>
      <c r="BT1079" s="541"/>
    </row>
    <row r="1080" ht="15.75" customHeight="1">
      <c r="A1080" s="1591"/>
      <c r="B1080" s="1541"/>
      <c r="C1080" s="2217"/>
      <c r="D1080" s="1543"/>
      <c r="E1080" s="906"/>
      <c r="F1080" s="541"/>
      <c r="G1080" s="541"/>
      <c r="H1080" s="541"/>
      <c r="I1080" s="541"/>
      <c r="J1080" s="1748"/>
      <c r="K1080" s="541"/>
      <c r="L1080" s="1748"/>
      <c r="M1080" s="541"/>
      <c r="N1080" s="1748"/>
      <c r="O1080" s="541"/>
      <c r="P1080" s="1748"/>
      <c r="Q1080" s="541"/>
      <c r="R1080" s="1748"/>
      <c r="S1080" s="541"/>
      <c r="T1080" s="1748"/>
      <c r="U1080" s="541"/>
      <c r="V1080" s="1748"/>
      <c r="W1080" s="541"/>
      <c r="X1080" s="1748"/>
      <c r="Y1080" s="1748"/>
      <c r="Z1080" s="1748"/>
      <c r="AA1080" s="541"/>
      <c r="AB1080" s="1748"/>
      <c r="AC1080" s="541"/>
      <c r="AD1080" s="541"/>
      <c r="AE1080" s="541"/>
      <c r="AF1080" s="541"/>
      <c r="AG1080" s="541"/>
      <c r="AH1080" s="541"/>
      <c r="AI1080" s="541"/>
      <c r="AJ1080" s="541"/>
      <c r="AK1080" s="541"/>
      <c r="AL1080" s="541"/>
      <c r="AM1080" s="541"/>
      <c r="AN1080" s="1748"/>
      <c r="AO1080" s="1748"/>
      <c r="AP1080" s="1748"/>
      <c r="AQ1080" s="1748"/>
      <c r="AR1080" s="1748"/>
      <c r="AS1080" s="541"/>
      <c r="AT1080" s="541"/>
      <c r="AU1080" s="541"/>
      <c r="AV1080" s="541"/>
      <c r="AW1080" s="541"/>
      <c r="AX1080" s="541"/>
      <c r="AY1080" s="541"/>
      <c r="AZ1080" s="541"/>
      <c r="BA1080" s="541"/>
      <c r="BC1080" s="541"/>
      <c r="BE1080" s="541"/>
      <c r="BG1080" s="541"/>
      <c r="BH1080" s="1190"/>
      <c r="BI1080" s="541"/>
      <c r="BJ1080" s="1190"/>
      <c r="BK1080" s="541"/>
      <c r="BL1080" s="541"/>
      <c r="BM1080" s="541"/>
      <c r="BO1080" s="541"/>
      <c r="BP1080" s="541"/>
      <c r="BQ1080" s="633"/>
      <c r="BR1080" s="541"/>
      <c r="BS1080" s="541"/>
      <c r="BT1080" s="541"/>
    </row>
    <row r="1081" ht="15.75" customHeight="1">
      <c r="A1081" s="1591"/>
      <c r="B1081" s="1541"/>
      <c r="C1081" s="2217"/>
      <c r="D1081" s="1543"/>
      <c r="E1081" s="906"/>
      <c r="F1081" s="541"/>
      <c r="G1081" s="541"/>
      <c r="H1081" s="541"/>
      <c r="I1081" s="541"/>
      <c r="J1081" s="1748"/>
      <c r="K1081" s="541"/>
      <c r="L1081" s="1748"/>
      <c r="M1081" s="541"/>
      <c r="N1081" s="1748"/>
      <c r="O1081" s="541"/>
      <c r="P1081" s="1748"/>
      <c r="Q1081" s="541"/>
      <c r="R1081" s="1748"/>
      <c r="S1081" s="541"/>
      <c r="T1081" s="1748"/>
      <c r="U1081" s="541"/>
      <c r="V1081" s="1748"/>
      <c r="W1081" s="541"/>
      <c r="X1081" s="1748"/>
      <c r="Y1081" s="1748"/>
      <c r="Z1081" s="1748"/>
      <c r="AA1081" s="541"/>
      <c r="AB1081" s="1748"/>
      <c r="AC1081" s="541"/>
      <c r="AD1081" s="541"/>
      <c r="AE1081" s="541"/>
      <c r="AF1081" s="541"/>
      <c r="AG1081" s="541"/>
      <c r="AH1081" s="541"/>
      <c r="AI1081" s="541"/>
      <c r="AJ1081" s="541"/>
      <c r="AK1081" s="541"/>
      <c r="AL1081" s="541"/>
      <c r="AM1081" s="541"/>
      <c r="AN1081" s="1748"/>
      <c r="AO1081" s="1748"/>
      <c r="AP1081" s="1748"/>
      <c r="AQ1081" s="1748"/>
      <c r="AR1081" s="1748"/>
      <c r="AS1081" s="541"/>
      <c r="AT1081" s="541"/>
      <c r="AU1081" s="541"/>
      <c r="AV1081" s="541"/>
      <c r="AW1081" s="541"/>
      <c r="AX1081" s="541"/>
      <c r="AY1081" s="541"/>
      <c r="AZ1081" s="541"/>
      <c r="BA1081" s="541"/>
      <c r="BC1081" s="541"/>
      <c r="BE1081" s="541"/>
      <c r="BG1081" s="541"/>
      <c r="BH1081" s="1190"/>
      <c r="BI1081" s="541"/>
      <c r="BJ1081" s="1190"/>
      <c r="BK1081" s="541"/>
      <c r="BL1081" s="541"/>
      <c r="BM1081" s="541"/>
      <c r="BO1081" s="541"/>
      <c r="BP1081" s="541"/>
      <c r="BQ1081" s="633"/>
      <c r="BR1081" s="541"/>
      <c r="BS1081" s="541"/>
      <c r="BT1081" s="541"/>
    </row>
    <row r="1082" ht="15.75" customHeight="1">
      <c r="A1082" s="1591"/>
      <c r="B1082" s="1541"/>
      <c r="C1082" s="2217"/>
      <c r="D1082" s="1543"/>
      <c r="E1082" s="906"/>
      <c r="F1082" s="541"/>
      <c r="G1082" s="541"/>
      <c r="H1082" s="541"/>
      <c r="I1082" s="541"/>
      <c r="J1082" s="1748"/>
      <c r="K1082" s="541"/>
      <c r="L1082" s="1748"/>
      <c r="M1082" s="541"/>
      <c r="N1082" s="1748"/>
      <c r="O1082" s="541"/>
      <c r="P1082" s="1748"/>
      <c r="Q1082" s="541"/>
      <c r="R1082" s="1748"/>
      <c r="S1082" s="541"/>
      <c r="T1082" s="1748"/>
      <c r="U1082" s="541"/>
      <c r="V1082" s="1748"/>
      <c r="W1082" s="541"/>
      <c r="X1082" s="1748"/>
      <c r="Y1082" s="1748"/>
      <c r="Z1082" s="1748"/>
      <c r="AA1082" s="541"/>
      <c r="AB1082" s="1748"/>
      <c r="AC1082" s="541"/>
      <c r="AD1082" s="541"/>
      <c r="AE1082" s="541"/>
      <c r="AF1082" s="541"/>
      <c r="AG1082" s="541"/>
      <c r="AH1082" s="541"/>
      <c r="AI1082" s="541"/>
      <c r="AJ1082" s="541"/>
      <c r="AK1082" s="541"/>
      <c r="AL1082" s="541"/>
      <c r="AM1082" s="541"/>
      <c r="AN1082" s="1748"/>
      <c r="AO1082" s="1748"/>
      <c r="AP1082" s="1748"/>
      <c r="AQ1082" s="1748"/>
      <c r="AR1082" s="1748"/>
      <c r="AS1082" s="541"/>
      <c r="AT1082" s="541"/>
      <c r="AU1082" s="541"/>
      <c r="AV1082" s="541"/>
      <c r="AW1082" s="541"/>
      <c r="AX1082" s="541"/>
      <c r="AY1082" s="541"/>
      <c r="AZ1082" s="541"/>
      <c r="BA1082" s="541"/>
      <c r="BC1082" s="541"/>
      <c r="BE1082" s="541"/>
      <c r="BG1082" s="541"/>
      <c r="BH1082" s="1190"/>
      <c r="BI1082" s="541"/>
      <c r="BJ1082" s="1190"/>
      <c r="BK1082" s="541"/>
      <c r="BL1082" s="541"/>
      <c r="BM1082" s="541"/>
      <c r="BO1082" s="541"/>
      <c r="BP1082" s="541"/>
      <c r="BQ1082" s="633"/>
      <c r="BR1082" s="541"/>
      <c r="BS1082" s="541"/>
      <c r="BT1082" s="541"/>
    </row>
    <row r="1083" ht="15.75" customHeight="1">
      <c r="A1083" s="1591"/>
      <c r="B1083" s="1541"/>
      <c r="C1083" s="2217"/>
      <c r="D1083" s="1543"/>
      <c r="E1083" s="906"/>
      <c r="F1083" s="541"/>
      <c r="G1083" s="541"/>
      <c r="H1083" s="541"/>
      <c r="I1083" s="541"/>
      <c r="J1083" s="1748"/>
      <c r="K1083" s="541"/>
      <c r="L1083" s="1748"/>
      <c r="M1083" s="541"/>
      <c r="N1083" s="1748"/>
      <c r="O1083" s="541"/>
      <c r="P1083" s="1748"/>
      <c r="Q1083" s="541"/>
      <c r="R1083" s="1748"/>
      <c r="S1083" s="541"/>
      <c r="T1083" s="1748"/>
      <c r="U1083" s="541"/>
      <c r="V1083" s="1748"/>
      <c r="W1083" s="541"/>
      <c r="X1083" s="1748"/>
      <c r="Y1083" s="1748"/>
      <c r="Z1083" s="1748"/>
      <c r="AA1083" s="541"/>
      <c r="AB1083" s="1748"/>
      <c r="AC1083" s="541"/>
      <c r="AD1083" s="541"/>
      <c r="AE1083" s="541"/>
      <c r="AF1083" s="541"/>
      <c r="AG1083" s="541"/>
      <c r="AH1083" s="541"/>
      <c r="AI1083" s="541"/>
      <c r="AJ1083" s="541"/>
      <c r="AK1083" s="541"/>
      <c r="AL1083" s="541"/>
      <c r="AM1083" s="541"/>
      <c r="AN1083" s="1748"/>
      <c r="AO1083" s="1748"/>
      <c r="AP1083" s="1748"/>
      <c r="AQ1083" s="1748"/>
      <c r="AR1083" s="1748"/>
      <c r="AS1083" s="541"/>
      <c r="AT1083" s="541"/>
      <c r="AU1083" s="541"/>
      <c r="AV1083" s="541"/>
      <c r="AW1083" s="541"/>
      <c r="AX1083" s="541"/>
      <c r="AY1083" s="541"/>
      <c r="AZ1083" s="541"/>
      <c r="BA1083" s="541"/>
      <c r="BC1083" s="541"/>
      <c r="BE1083" s="541"/>
      <c r="BG1083" s="541"/>
      <c r="BH1083" s="1190"/>
      <c r="BI1083" s="541"/>
      <c r="BJ1083" s="1190"/>
      <c r="BK1083" s="541"/>
      <c r="BL1083" s="541"/>
      <c r="BM1083" s="541"/>
      <c r="BO1083" s="541"/>
      <c r="BP1083" s="541"/>
      <c r="BQ1083" s="633"/>
      <c r="BR1083" s="541"/>
      <c r="BS1083" s="541"/>
      <c r="BT1083" s="541"/>
    </row>
    <row r="1084" ht="15.75" customHeight="1">
      <c r="A1084" s="1591"/>
      <c r="B1084" s="1541"/>
      <c r="C1084" s="2217"/>
      <c r="D1084" s="1543"/>
      <c r="E1084" s="906"/>
      <c r="F1084" s="541"/>
      <c r="G1084" s="541"/>
      <c r="H1084" s="541"/>
      <c r="I1084" s="541"/>
      <c r="J1084" s="1748"/>
      <c r="K1084" s="541"/>
      <c r="L1084" s="1748"/>
      <c r="M1084" s="541"/>
      <c r="N1084" s="1748"/>
      <c r="O1084" s="541"/>
      <c r="P1084" s="1748"/>
      <c r="Q1084" s="541"/>
      <c r="R1084" s="1748"/>
      <c r="S1084" s="541"/>
      <c r="T1084" s="1748"/>
      <c r="U1084" s="541"/>
      <c r="V1084" s="1748"/>
      <c r="W1084" s="541"/>
      <c r="X1084" s="1748"/>
      <c r="Y1084" s="1748"/>
      <c r="Z1084" s="1748"/>
      <c r="AA1084" s="541"/>
      <c r="AB1084" s="1748"/>
      <c r="AC1084" s="541"/>
      <c r="AD1084" s="541"/>
      <c r="AE1084" s="541"/>
      <c r="AF1084" s="541"/>
      <c r="AG1084" s="541"/>
      <c r="AH1084" s="541"/>
      <c r="AI1084" s="541"/>
      <c r="AJ1084" s="541"/>
      <c r="AK1084" s="541"/>
      <c r="AL1084" s="541"/>
      <c r="AM1084" s="541"/>
      <c r="AN1084" s="1748"/>
      <c r="AO1084" s="1748"/>
      <c r="AP1084" s="1748"/>
      <c r="AQ1084" s="1748"/>
      <c r="AR1084" s="1748"/>
      <c r="AS1084" s="541"/>
      <c r="AT1084" s="541"/>
      <c r="AU1084" s="541"/>
      <c r="AV1084" s="541"/>
      <c r="AW1084" s="541"/>
      <c r="AX1084" s="541"/>
      <c r="AY1084" s="541"/>
      <c r="AZ1084" s="541"/>
      <c r="BA1084" s="541"/>
      <c r="BC1084" s="541"/>
      <c r="BE1084" s="541"/>
      <c r="BG1084" s="541"/>
      <c r="BH1084" s="1190"/>
      <c r="BI1084" s="541"/>
      <c r="BJ1084" s="1190"/>
      <c r="BK1084" s="541"/>
      <c r="BL1084" s="541"/>
      <c r="BM1084" s="541"/>
      <c r="BO1084" s="541"/>
      <c r="BP1084" s="541"/>
      <c r="BQ1084" s="633"/>
      <c r="BR1084" s="541"/>
      <c r="BS1084" s="541"/>
      <c r="BT1084" s="541"/>
    </row>
    <row r="1085" ht="15.75" customHeight="1">
      <c r="A1085" s="1591"/>
      <c r="B1085" s="1541"/>
      <c r="C1085" s="2217"/>
      <c r="D1085" s="1543"/>
      <c r="E1085" s="906"/>
      <c r="F1085" s="541"/>
      <c r="G1085" s="541"/>
      <c r="H1085" s="541"/>
      <c r="I1085" s="541"/>
      <c r="J1085" s="1748"/>
      <c r="K1085" s="541"/>
      <c r="L1085" s="1748"/>
      <c r="M1085" s="541"/>
      <c r="N1085" s="1748"/>
      <c r="O1085" s="541"/>
      <c r="P1085" s="1748"/>
      <c r="Q1085" s="541"/>
      <c r="R1085" s="1748"/>
      <c r="S1085" s="541"/>
      <c r="T1085" s="1748"/>
      <c r="U1085" s="541"/>
      <c r="V1085" s="1748"/>
      <c r="W1085" s="541"/>
      <c r="X1085" s="1748"/>
      <c r="Y1085" s="1748"/>
      <c r="Z1085" s="1748"/>
      <c r="AA1085" s="541"/>
      <c r="AB1085" s="1748"/>
      <c r="AC1085" s="541"/>
      <c r="AD1085" s="541"/>
      <c r="AE1085" s="541"/>
      <c r="AF1085" s="541"/>
      <c r="AG1085" s="541"/>
      <c r="AH1085" s="541"/>
      <c r="AI1085" s="541"/>
      <c r="AJ1085" s="541"/>
      <c r="AK1085" s="541"/>
      <c r="AL1085" s="541"/>
      <c r="AM1085" s="541"/>
      <c r="AN1085" s="1748"/>
      <c r="AO1085" s="1748"/>
      <c r="AP1085" s="1748"/>
      <c r="AQ1085" s="1748"/>
      <c r="AR1085" s="1748"/>
      <c r="AS1085" s="541"/>
      <c r="AT1085" s="541"/>
      <c r="AU1085" s="541"/>
      <c r="AV1085" s="541"/>
      <c r="AW1085" s="541"/>
      <c r="AX1085" s="541"/>
      <c r="AY1085" s="541"/>
      <c r="AZ1085" s="541"/>
      <c r="BA1085" s="541"/>
      <c r="BC1085" s="541"/>
      <c r="BE1085" s="541"/>
      <c r="BG1085" s="541"/>
      <c r="BH1085" s="1190"/>
      <c r="BI1085" s="541"/>
      <c r="BJ1085" s="1190"/>
      <c r="BK1085" s="541"/>
      <c r="BL1085" s="541"/>
      <c r="BM1085" s="541"/>
      <c r="BO1085" s="541"/>
      <c r="BP1085" s="541"/>
      <c r="BQ1085" s="633"/>
      <c r="BR1085" s="541"/>
      <c r="BS1085" s="541"/>
      <c r="BT1085" s="541"/>
    </row>
    <row r="1086" ht="15.75" customHeight="1">
      <c r="A1086" s="1591"/>
      <c r="B1086" s="1541"/>
      <c r="C1086" s="2217"/>
      <c r="D1086" s="1543"/>
      <c r="E1086" s="906"/>
      <c r="F1086" s="541"/>
      <c r="G1086" s="541"/>
      <c r="H1086" s="541"/>
      <c r="I1086" s="541"/>
      <c r="J1086" s="1748"/>
      <c r="K1086" s="541"/>
      <c r="L1086" s="1748"/>
      <c r="M1086" s="541"/>
      <c r="N1086" s="1748"/>
      <c r="O1086" s="541"/>
      <c r="P1086" s="1748"/>
      <c r="Q1086" s="541"/>
      <c r="R1086" s="1748"/>
      <c r="S1086" s="541"/>
      <c r="T1086" s="1748"/>
      <c r="U1086" s="541"/>
      <c r="V1086" s="1748"/>
      <c r="W1086" s="541"/>
      <c r="X1086" s="1748"/>
      <c r="Y1086" s="1748"/>
      <c r="Z1086" s="1748"/>
      <c r="AA1086" s="541"/>
      <c r="AB1086" s="1748"/>
      <c r="AC1086" s="541"/>
      <c r="AD1086" s="541"/>
      <c r="AE1086" s="541"/>
      <c r="AF1086" s="541"/>
      <c r="AG1086" s="541"/>
      <c r="AH1086" s="541"/>
      <c r="AI1086" s="541"/>
      <c r="AJ1086" s="541"/>
      <c r="AK1086" s="541"/>
      <c r="AL1086" s="541"/>
      <c r="AM1086" s="541"/>
      <c r="AN1086" s="1748"/>
      <c r="AO1086" s="1748"/>
      <c r="AP1086" s="1748"/>
      <c r="AQ1086" s="1748"/>
      <c r="AR1086" s="1748"/>
      <c r="AS1086" s="541"/>
      <c r="AT1086" s="541"/>
      <c r="AU1086" s="541"/>
      <c r="AV1086" s="541"/>
      <c r="AW1086" s="541"/>
      <c r="AX1086" s="541"/>
      <c r="AY1086" s="541"/>
      <c r="AZ1086" s="541"/>
      <c r="BA1086" s="541"/>
      <c r="BC1086" s="541"/>
      <c r="BE1086" s="541"/>
      <c r="BG1086" s="541"/>
      <c r="BH1086" s="1190"/>
      <c r="BI1086" s="541"/>
      <c r="BJ1086" s="1190"/>
      <c r="BK1086" s="541"/>
      <c r="BL1086" s="541"/>
      <c r="BM1086" s="541"/>
      <c r="BO1086" s="541"/>
      <c r="BP1086" s="541"/>
      <c r="BQ1086" s="633"/>
      <c r="BR1086" s="541"/>
      <c r="BS1086" s="541"/>
      <c r="BT1086" s="541"/>
    </row>
    <row r="1087" ht="15.75" customHeight="1">
      <c r="A1087" s="1591"/>
      <c r="B1087" s="1541"/>
      <c r="C1087" s="2217"/>
      <c r="D1087" s="1543"/>
      <c r="E1087" s="906"/>
      <c r="F1087" s="541"/>
      <c r="G1087" s="541"/>
      <c r="H1087" s="541"/>
      <c r="I1087" s="541"/>
      <c r="J1087" s="1748"/>
      <c r="K1087" s="541"/>
      <c r="L1087" s="1748"/>
      <c r="M1087" s="541"/>
      <c r="N1087" s="1748"/>
      <c r="O1087" s="541"/>
      <c r="P1087" s="1748"/>
      <c r="Q1087" s="541"/>
      <c r="R1087" s="1748"/>
      <c r="S1087" s="541"/>
      <c r="T1087" s="1748"/>
      <c r="U1087" s="541"/>
      <c r="V1087" s="1748"/>
      <c r="W1087" s="541"/>
      <c r="X1087" s="1748"/>
      <c r="Y1087" s="1748"/>
      <c r="Z1087" s="1748"/>
      <c r="AA1087" s="541"/>
      <c r="AB1087" s="1748"/>
      <c r="AC1087" s="541"/>
      <c r="AD1087" s="541"/>
      <c r="AE1087" s="541"/>
      <c r="AF1087" s="541"/>
      <c r="AG1087" s="541"/>
      <c r="AH1087" s="541"/>
      <c r="AI1087" s="541"/>
      <c r="AJ1087" s="541"/>
      <c r="AK1087" s="541"/>
      <c r="AL1087" s="541"/>
      <c r="AM1087" s="541"/>
      <c r="AN1087" s="1748"/>
      <c r="AO1087" s="1748"/>
      <c r="AP1087" s="1748"/>
      <c r="AQ1087" s="1748"/>
      <c r="AR1087" s="1748"/>
      <c r="AS1087" s="541"/>
      <c r="AT1087" s="541"/>
      <c r="AU1087" s="541"/>
      <c r="AV1087" s="541"/>
      <c r="AW1087" s="541"/>
      <c r="AX1087" s="541"/>
      <c r="AY1087" s="541"/>
      <c r="AZ1087" s="541"/>
      <c r="BA1087" s="541"/>
      <c r="BC1087" s="541"/>
      <c r="BE1087" s="541"/>
      <c r="BG1087" s="541"/>
      <c r="BH1087" s="1190"/>
      <c r="BI1087" s="541"/>
      <c r="BJ1087" s="1190"/>
      <c r="BK1087" s="541"/>
      <c r="BL1087" s="541"/>
      <c r="BM1087" s="541"/>
      <c r="BO1087" s="541"/>
      <c r="BP1087" s="541"/>
      <c r="BQ1087" s="633"/>
      <c r="BR1087" s="541"/>
      <c r="BS1087" s="541"/>
      <c r="BT1087" s="541"/>
    </row>
    <row r="1088" ht="15.75" customHeight="1">
      <c r="A1088" s="1591"/>
      <c r="B1088" s="1541"/>
      <c r="C1088" s="2217"/>
      <c r="D1088" s="1543"/>
      <c r="E1088" s="906"/>
      <c r="F1088" s="541"/>
      <c r="G1088" s="541"/>
      <c r="H1088" s="541"/>
      <c r="I1088" s="541"/>
      <c r="J1088" s="1748"/>
      <c r="K1088" s="541"/>
      <c r="L1088" s="1748"/>
      <c r="M1088" s="541"/>
      <c r="N1088" s="1748"/>
      <c r="O1088" s="541"/>
      <c r="P1088" s="1748"/>
      <c r="Q1088" s="541"/>
      <c r="R1088" s="1748"/>
      <c r="S1088" s="541"/>
      <c r="T1088" s="1748"/>
      <c r="U1088" s="541"/>
      <c r="V1088" s="1748"/>
      <c r="W1088" s="541"/>
      <c r="X1088" s="1748"/>
      <c r="Y1088" s="1748"/>
      <c r="Z1088" s="1748"/>
      <c r="AA1088" s="541"/>
      <c r="AB1088" s="1748"/>
      <c r="AC1088" s="541"/>
      <c r="AD1088" s="541"/>
      <c r="AE1088" s="541"/>
      <c r="AF1088" s="541"/>
      <c r="AG1088" s="541"/>
      <c r="AH1088" s="541"/>
      <c r="AI1088" s="541"/>
      <c r="AJ1088" s="541"/>
      <c r="AK1088" s="541"/>
      <c r="AL1088" s="541"/>
      <c r="AM1088" s="541"/>
      <c r="AN1088" s="1748"/>
      <c r="AO1088" s="1748"/>
      <c r="AP1088" s="1748"/>
      <c r="AQ1088" s="1748"/>
      <c r="AR1088" s="1748"/>
      <c r="AS1088" s="541"/>
      <c r="AT1088" s="541"/>
      <c r="AU1088" s="541"/>
      <c r="AV1088" s="541"/>
      <c r="AW1088" s="541"/>
      <c r="AX1088" s="541"/>
      <c r="AY1088" s="541"/>
      <c r="AZ1088" s="541"/>
      <c r="BA1088" s="541"/>
      <c r="BC1088" s="541"/>
      <c r="BE1088" s="541"/>
      <c r="BG1088" s="541"/>
      <c r="BH1088" s="1190"/>
      <c r="BI1088" s="541"/>
      <c r="BJ1088" s="1190"/>
      <c r="BK1088" s="541"/>
      <c r="BL1088" s="541"/>
      <c r="BM1088" s="541"/>
      <c r="BO1088" s="541"/>
      <c r="BP1088" s="541"/>
      <c r="BQ1088" s="633"/>
      <c r="BR1088" s="541"/>
      <c r="BS1088" s="541"/>
      <c r="BT1088" s="541"/>
    </row>
    <row r="1089" ht="15.75" customHeight="1">
      <c r="A1089" s="1591"/>
      <c r="B1089" s="1541"/>
      <c r="C1089" s="2217"/>
      <c r="D1089" s="1543"/>
      <c r="E1089" s="906"/>
      <c r="F1089" s="541"/>
      <c r="G1089" s="541"/>
      <c r="H1089" s="541"/>
      <c r="I1089" s="541"/>
      <c r="J1089" s="1748"/>
      <c r="K1089" s="541"/>
      <c r="L1089" s="1748"/>
      <c r="M1089" s="541"/>
      <c r="N1089" s="1748"/>
      <c r="O1089" s="541"/>
      <c r="P1089" s="1748"/>
      <c r="Q1089" s="541"/>
      <c r="R1089" s="1748"/>
      <c r="S1089" s="541"/>
      <c r="T1089" s="1748"/>
      <c r="U1089" s="541"/>
      <c r="V1089" s="1748"/>
      <c r="W1089" s="541"/>
      <c r="X1089" s="1748"/>
      <c r="Y1089" s="1748"/>
      <c r="Z1089" s="1748"/>
      <c r="AA1089" s="541"/>
      <c r="AB1089" s="1748"/>
      <c r="AC1089" s="541"/>
      <c r="AD1089" s="541"/>
      <c r="AE1089" s="541"/>
      <c r="AF1089" s="541"/>
      <c r="AG1089" s="541"/>
      <c r="AH1089" s="541"/>
      <c r="AI1089" s="541"/>
      <c r="AJ1089" s="541"/>
      <c r="AK1089" s="541"/>
      <c r="AL1089" s="541"/>
      <c r="AM1089" s="541"/>
      <c r="AN1089" s="1748"/>
      <c r="AO1089" s="1748"/>
      <c r="AP1089" s="1748"/>
      <c r="AQ1089" s="1748"/>
      <c r="AR1089" s="1748"/>
      <c r="AS1089" s="541"/>
      <c r="AT1089" s="541"/>
      <c r="AU1089" s="541"/>
      <c r="AV1089" s="541"/>
      <c r="AW1089" s="541"/>
      <c r="AX1089" s="541"/>
      <c r="AY1089" s="541"/>
      <c r="AZ1089" s="541"/>
      <c r="BA1089" s="541"/>
      <c r="BC1089" s="541"/>
      <c r="BE1089" s="541"/>
      <c r="BG1089" s="541"/>
      <c r="BH1089" s="1190"/>
      <c r="BI1089" s="541"/>
      <c r="BJ1089" s="1190"/>
      <c r="BK1089" s="541"/>
      <c r="BL1089" s="541"/>
      <c r="BM1089" s="541"/>
      <c r="BO1089" s="541"/>
      <c r="BP1089" s="541"/>
      <c r="BQ1089" s="633"/>
      <c r="BR1089" s="541"/>
      <c r="BS1089" s="541"/>
      <c r="BT1089" s="541"/>
    </row>
    <row r="1090" ht="15.75" customHeight="1">
      <c r="A1090" s="1591"/>
      <c r="B1090" s="1541"/>
      <c r="C1090" s="2217"/>
      <c r="D1090" s="1543"/>
      <c r="E1090" s="906"/>
      <c r="F1090" s="541"/>
      <c r="G1090" s="541"/>
      <c r="H1090" s="541"/>
      <c r="I1090" s="541"/>
      <c r="J1090" s="1748"/>
      <c r="K1090" s="541"/>
      <c r="L1090" s="1748"/>
      <c r="M1090" s="541"/>
      <c r="N1090" s="1748"/>
      <c r="O1090" s="541"/>
      <c r="P1090" s="1748"/>
      <c r="Q1090" s="541"/>
      <c r="R1090" s="1748"/>
      <c r="S1090" s="541"/>
      <c r="T1090" s="1748"/>
      <c r="U1090" s="541"/>
      <c r="V1090" s="1748"/>
      <c r="W1090" s="541"/>
      <c r="X1090" s="1748"/>
      <c r="Y1090" s="1748"/>
      <c r="Z1090" s="1748"/>
      <c r="AA1090" s="541"/>
      <c r="AB1090" s="1748"/>
      <c r="AC1090" s="541"/>
      <c r="AD1090" s="541"/>
      <c r="AE1090" s="541"/>
      <c r="AF1090" s="541"/>
      <c r="AG1090" s="541"/>
      <c r="AH1090" s="541"/>
      <c r="AI1090" s="541"/>
      <c r="AJ1090" s="541"/>
      <c r="AK1090" s="541"/>
      <c r="AL1090" s="541"/>
      <c r="AM1090" s="541"/>
      <c r="AN1090" s="1748"/>
      <c r="AO1090" s="1748"/>
      <c r="AP1090" s="1748"/>
      <c r="AQ1090" s="1748"/>
      <c r="AR1090" s="1748"/>
      <c r="AS1090" s="541"/>
      <c r="AT1090" s="541"/>
      <c r="AU1090" s="541"/>
      <c r="AV1090" s="541"/>
      <c r="AW1090" s="541"/>
      <c r="AX1090" s="541"/>
      <c r="AY1090" s="541"/>
      <c r="AZ1090" s="541"/>
      <c r="BA1090" s="541"/>
      <c r="BC1090" s="541"/>
      <c r="BE1090" s="541"/>
      <c r="BG1090" s="541"/>
      <c r="BH1090" s="1190"/>
      <c r="BI1090" s="541"/>
      <c r="BJ1090" s="1190"/>
      <c r="BK1090" s="541"/>
      <c r="BL1090" s="541"/>
      <c r="BM1090" s="541"/>
      <c r="BO1090" s="541"/>
      <c r="BP1090" s="541"/>
      <c r="BQ1090" s="633"/>
      <c r="BR1090" s="541"/>
      <c r="BS1090" s="541"/>
      <c r="BT1090" s="541"/>
    </row>
    <row r="1091" ht="15.75" customHeight="1">
      <c r="A1091" s="1591"/>
      <c r="B1091" s="1541"/>
      <c r="C1091" s="2217"/>
      <c r="D1091" s="1543"/>
      <c r="E1091" s="906"/>
      <c r="F1091" s="541"/>
      <c r="G1091" s="541"/>
      <c r="H1091" s="541"/>
      <c r="I1091" s="541"/>
      <c r="J1091" s="1748"/>
      <c r="K1091" s="541"/>
      <c r="L1091" s="1748"/>
      <c r="M1091" s="541"/>
      <c r="N1091" s="1748"/>
      <c r="O1091" s="541"/>
      <c r="P1091" s="1748"/>
      <c r="Q1091" s="541"/>
      <c r="R1091" s="1748"/>
      <c r="S1091" s="541"/>
      <c r="T1091" s="1748"/>
      <c r="U1091" s="541"/>
      <c r="V1091" s="1748"/>
      <c r="W1091" s="541"/>
      <c r="X1091" s="1748"/>
      <c r="Y1091" s="1748"/>
      <c r="Z1091" s="1748"/>
      <c r="AA1091" s="541"/>
      <c r="AB1091" s="1748"/>
      <c r="AC1091" s="541"/>
      <c r="AD1091" s="541"/>
      <c r="AE1091" s="541"/>
      <c r="AF1091" s="541"/>
      <c r="AG1091" s="541"/>
      <c r="AH1091" s="541"/>
      <c r="AI1091" s="541"/>
      <c r="AJ1091" s="541"/>
      <c r="AK1091" s="541"/>
      <c r="AL1091" s="541"/>
      <c r="AM1091" s="541"/>
      <c r="AN1091" s="1748"/>
      <c r="AO1091" s="1748"/>
      <c r="AP1091" s="1748"/>
      <c r="AQ1091" s="1748"/>
      <c r="AR1091" s="1748"/>
      <c r="AS1091" s="541"/>
      <c r="AT1091" s="541"/>
      <c r="AU1091" s="541"/>
      <c r="AV1091" s="541"/>
      <c r="AW1091" s="541"/>
      <c r="AX1091" s="541"/>
      <c r="AY1091" s="541"/>
      <c r="AZ1091" s="541"/>
      <c r="BA1091" s="541"/>
      <c r="BC1091" s="541"/>
      <c r="BE1091" s="541"/>
      <c r="BG1091" s="541"/>
      <c r="BH1091" s="1190"/>
      <c r="BI1091" s="541"/>
      <c r="BJ1091" s="1190"/>
      <c r="BK1091" s="541"/>
      <c r="BL1091" s="541"/>
      <c r="BM1091" s="541"/>
      <c r="BO1091" s="541"/>
      <c r="BP1091" s="541"/>
      <c r="BQ1091" s="633"/>
      <c r="BR1091" s="541"/>
      <c r="BS1091" s="541"/>
      <c r="BT1091" s="541"/>
    </row>
    <row r="1092" ht="15.75" customHeight="1">
      <c r="A1092" s="1591"/>
      <c r="B1092" s="1541"/>
      <c r="C1092" s="2217"/>
      <c r="D1092" s="1543"/>
      <c r="E1092" s="906"/>
      <c r="F1092" s="541"/>
      <c r="G1092" s="541"/>
      <c r="H1092" s="541"/>
      <c r="I1092" s="541"/>
      <c r="J1092" s="1748"/>
      <c r="K1092" s="541"/>
      <c r="L1092" s="1748"/>
      <c r="M1092" s="541"/>
      <c r="N1092" s="1748"/>
      <c r="O1092" s="541"/>
      <c r="P1092" s="1748"/>
      <c r="Q1092" s="541"/>
      <c r="R1092" s="1748"/>
      <c r="S1092" s="541"/>
      <c r="T1092" s="1748"/>
      <c r="U1092" s="541"/>
      <c r="V1092" s="1748"/>
      <c r="W1092" s="541"/>
      <c r="X1092" s="1748"/>
      <c r="Y1092" s="1748"/>
      <c r="Z1092" s="1748"/>
      <c r="AA1092" s="541"/>
      <c r="AB1092" s="1748"/>
      <c r="AC1092" s="541"/>
      <c r="AD1092" s="541"/>
      <c r="AE1092" s="541"/>
      <c r="AF1092" s="541"/>
      <c r="AG1092" s="541"/>
      <c r="AH1092" s="541"/>
      <c r="AI1092" s="541"/>
      <c r="AJ1092" s="541"/>
      <c r="AK1092" s="541"/>
      <c r="AL1092" s="541"/>
      <c r="AM1092" s="541"/>
      <c r="AN1092" s="1748"/>
      <c r="AO1092" s="1748"/>
      <c r="AP1092" s="1748"/>
      <c r="AQ1092" s="1748"/>
      <c r="AR1092" s="1748"/>
      <c r="AS1092" s="541"/>
      <c r="AT1092" s="541"/>
      <c r="AU1092" s="541"/>
      <c r="AV1092" s="541"/>
      <c r="AW1092" s="541"/>
      <c r="AX1092" s="541"/>
      <c r="AY1092" s="541"/>
      <c r="AZ1092" s="541"/>
      <c r="BA1092" s="541"/>
      <c r="BC1092" s="541"/>
      <c r="BE1092" s="541"/>
      <c r="BG1092" s="541"/>
      <c r="BH1092" s="1190"/>
      <c r="BI1092" s="541"/>
      <c r="BJ1092" s="1190"/>
      <c r="BK1092" s="541"/>
      <c r="BL1092" s="541"/>
      <c r="BM1092" s="541"/>
      <c r="BO1092" s="541"/>
      <c r="BP1092" s="541"/>
      <c r="BQ1092" s="633"/>
      <c r="BR1092" s="541"/>
      <c r="BS1092" s="541"/>
      <c r="BT1092" s="541"/>
    </row>
    <row r="1093" ht="15.75" customHeight="1">
      <c r="A1093" s="1591"/>
      <c r="B1093" s="1541"/>
      <c r="C1093" s="2217"/>
      <c r="D1093" s="1543"/>
      <c r="E1093" s="906"/>
      <c r="F1093" s="541"/>
      <c r="G1093" s="541"/>
      <c r="H1093" s="541"/>
      <c r="I1093" s="541"/>
      <c r="J1093" s="1748"/>
      <c r="K1093" s="541"/>
      <c r="L1093" s="1748"/>
      <c r="M1093" s="541"/>
      <c r="N1093" s="1748"/>
      <c r="O1093" s="541"/>
      <c r="P1093" s="1748"/>
      <c r="Q1093" s="541"/>
      <c r="R1093" s="1748"/>
      <c r="S1093" s="541"/>
      <c r="T1093" s="1748"/>
      <c r="U1093" s="541"/>
      <c r="V1093" s="1748"/>
      <c r="W1093" s="541"/>
      <c r="X1093" s="1748"/>
      <c r="Y1093" s="1748"/>
      <c r="Z1093" s="1748"/>
      <c r="AA1093" s="541"/>
      <c r="AB1093" s="1748"/>
      <c r="AC1093" s="541"/>
      <c r="AD1093" s="541"/>
      <c r="AE1093" s="541"/>
      <c r="AF1093" s="541"/>
      <c r="AG1093" s="541"/>
      <c r="AH1093" s="541"/>
      <c r="AI1093" s="541"/>
      <c r="AJ1093" s="541"/>
      <c r="AK1093" s="541"/>
      <c r="AL1093" s="541"/>
      <c r="AM1093" s="541"/>
      <c r="AN1093" s="1748"/>
      <c r="AO1093" s="1748"/>
      <c r="AP1093" s="1748"/>
      <c r="AQ1093" s="1748"/>
      <c r="AR1093" s="1748"/>
      <c r="AS1093" s="541"/>
      <c r="AT1093" s="541"/>
      <c r="AU1093" s="541"/>
      <c r="AV1093" s="541"/>
      <c r="AW1093" s="541"/>
      <c r="AX1093" s="541"/>
      <c r="AY1093" s="541"/>
      <c r="AZ1093" s="541"/>
      <c r="BA1093" s="541"/>
      <c r="BC1093" s="541"/>
      <c r="BE1093" s="541"/>
      <c r="BG1093" s="541"/>
      <c r="BH1093" s="1190"/>
      <c r="BI1093" s="541"/>
      <c r="BJ1093" s="1190"/>
      <c r="BK1093" s="541"/>
      <c r="BL1093" s="541"/>
      <c r="BM1093" s="541"/>
      <c r="BO1093" s="541"/>
      <c r="BP1093" s="541"/>
      <c r="BQ1093" s="633"/>
      <c r="BR1093" s="541"/>
      <c r="BS1093" s="541"/>
      <c r="BT1093" s="541"/>
    </row>
    <row r="1094" ht="15.75" customHeight="1">
      <c r="A1094" s="1591"/>
      <c r="B1094" s="1541"/>
      <c r="C1094" s="2217"/>
      <c r="D1094" s="1543"/>
      <c r="E1094" s="906"/>
      <c r="F1094" s="541"/>
      <c r="G1094" s="541"/>
      <c r="H1094" s="541"/>
      <c r="I1094" s="541"/>
      <c r="J1094" s="1748"/>
      <c r="K1094" s="541"/>
      <c r="L1094" s="1748"/>
      <c r="M1094" s="541"/>
      <c r="N1094" s="1748"/>
      <c r="O1094" s="541"/>
      <c r="P1094" s="1748"/>
      <c r="Q1094" s="541"/>
      <c r="R1094" s="1748"/>
      <c r="S1094" s="541"/>
      <c r="T1094" s="1748"/>
      <c r="U1094" s="541"/>
      <c r="V1094" s="1748"/>
      <c r="W1094" s="541"/>
      <c r="X1094" s="1748"/>
      <c r="Y1094" s="1748"/>
      <c r="Z1094" s="1748"/>
      <c r="AA1094" s="541"/>
      <c r="AB1094" s="1748"/>
      <c r="AC1094" s="541"/>
      <c r="AD1094" s="541"/>
      <c r="AE1094" s="541"/>
      <c r="AF1094" s="541"/>
      <c r="AG1094" s="541"/>
      <c r="AH1094" s="541"/>
      <c r="AI1094" s="541"/>
      <c r="AJ1094" s="541"/>
      <c r="AK1094" s="541"/>
      <c r="AL1094" s="541"/>
      <c r="AM1094" s="541"/>
      <c r="AN1094" s="1748"/>
      <c r="AO1094" s="1748"/>
      <c r="AP1094" s="1748"/>
      <c r="AQ1094" s="1748"/>
      <c r="AR1094" s="1748"/>
      <c r="AS1094" s="541"/>
      <c r="AT1094" s="541"/>
      <c r="AU1094" s="541"/>
      <c r="AV1094" s="541"/>
      <c r="AW1094" s="541"/>
      <c r="AX1094" s="541"/>
      <c r="AY1094" s="541"/>
      <c r="AZ1094" s="541"/>
      <c r="BA1094" s="541"/>
      <c r="BC1094" s="541"/>
      <c r="BE1094" s="541"/>
      <c r="BG1094" s="541"/>
      <c r="BH1094" s="1190"/>
      <c r="BI1094" s="541"/>
      <c r="BJ1094" s="1190"/>
      <c r="BK1094" s="541"/>
      <c r="BL1094" s="541"/>
      <c r="BM1094" s="541"/>
      <c r="BO1094" s="541"/>
      <c r="BP1094" s="541"/>
      <c r="BQ1094" s="633"/>
      <c r="BR1094" s="541"/>
      <c r="BS1094" s="541"/>
      <c r="BT1094" s="541"/>
    </row>
    <row r="1095" ht="15.75" customHeight="1">
      <c r="A1095" s="1591"/>
      <c r="B1095" s="1541"/>
      <c r="C1095" s="2217"/>
      <c r="D1095" s="1543"/>
      <c r="E1095" s="906"/>
      <c r="F1095" s="541"/>
      <c r="G1095" s="541"/>
      <c r="H1095" s="541"/>
      <c r="I1095" s="541"/>
      <c r="J1095" s="1748"/>
      <c r="K1095" s="541"/>
      <c r="L1095" s="1748"/>
      <c r="M1095" s="541"/>
      <c r="N1095" s="1748"/>
      <c r="O1095" s="541"/>
      <c r="P1095" s="1748"/>
      <c r="Q1095" s="541"/>
      <c r="R1095" s="1748"/>
      <c r="S1095" s="541"/>
      <c r="T1095" s="1748"/>
      <c r="U1095" s="541"/>
      <c r="V1095" s="1748"/>
      <c r="W1095" s="541"/>
      <c r="X1095" s="1748"/>
      <c r="Y1095" s="1748"/>
      <c r="Z1095" s="1748"/>
      <c r="AA1095" s="541"/>
      <c r="AB1095" s="1748"/>
      <c r="AC1095" s="541"/>
      <c r="AD1095" s="541"/>
      <c r="AE1095" s="541"/>
      <c r="AF1095" s="541"/>
      <c r="AG1095" s="541"/>
      <c r="AH1095" s="541"/>
      <c r="AI1095" s="541"/>
      <c r="AJ1095" s="541"/>
      <c r="AK1095" s="541"/>
      <c r="AL1095" s="541"/>
      <c r="AM1095" s="541"/>
      <c r="AN1095" s="1748"/>
      <c r="AO1095" s="1748"/>
      <c r="AP1095" s="1748"/>
      <c r="AQ1095" s="1748"/>
      <c r="AR1095" s="1748"/>
      <c r="AS1095" s="541"/>
      <c r="AT1095" s="541"/>
      <c r="AU1095" s="541"/>
      <c r="AV1095" s="541"/>
      <c r="AW1095" s="541"/>
      <c r="AX1095" s="541"/>
      <c r="AY1095" s="541"/>
      <c r="AZ1095" s="541"/>
      <c r="BA1095" s="541"/>
      <c r="BC1095" s="541"/>
      <c r="BE1095" s="541"/>
      <c r="BG1095" s="541"/>
      <c r="BH1095" s="1190"/>
      <c r="BI1095" s="541"/>
      <c r="BJ1095" s="1190"/>
      <c r="BK1095" s="541"/>
      <c r="BL1095" s="541"/>
      <c r="BM1095" s="541"/>
      <c r="BO1095" s="541"/>
      <c r="BP1095" s="541"/>
      <c r="BQ1095" s="633"/>
      <c r="BR1095" s="541"/>
      <c r="BS1095" s="541"/>
      <c r="BT1095" s="541"/>
    </row>
    <row r="1096" ht="15.75" customHeight="1">
      <c r="A1096" s="1591"/>
      <c r="B1096" s="1541"/>
      <c r="C1096" s="2217"/>
      <c r="D1096" s="1543"/>
      <c r="E1096" s="906"/>
      <c r="F1096" s="541"/>
      <c r="G1096" s="541"/>
      <c r="H1096" s="541"/>
      <c r="I1096" s="541"/>
      <c r="J1096" s="1748"/>
      <c r="K1096" s="541"/>
      <c r="L1096" s="1748"/>
      <c r="M1096" s="541"/>
      <c r="N1096" s="1748"/>
      <c r="O1096" s="541"/>
      <c r="P1096" s="1748"/>
      <c r="Q1096" s="541"/>
      <c r="R1096" s="1748"/>
      <c r="S1096" s="541"/>
      <c r="T1096" s="1748"/>
      <c r="U1096" s="541"/>
      <c r="V1096" s="1748"/>
      <c r="W1096" s="541"/>
      <c r="X1096" s="1748"/>
      <c r="Y1096" s="1748"/>
      <c r="Z1096" s="1748"/>
      <c r="AA1096" s="541"/>
      <c r="AB1096" s="1748"/>
      <c r="AC1096" s="541"/>
      <c r="AD1096" s="541"/>
      <c r="AE1096" s="541"/>
      <c r="AF1096" s="541"/>
      <c r="AG1096" s="541"/>
      <c r="AH1096" s="541"/>
      <c r="AI1096" s="541"/>
      <c r="AJ1096" s="541"/>
      <c r="AK1096" s="541"/>
      <c r="AL1096" s="541"/>
      <c r="AM1096" s="541"/>
      <c r="AN1096" s="1748"/>
      <c r="AO1096" s="1748"/>
      <c r="AP1096" s="1748"/>
      <c r="AQ1096" s="1748"/>
      <c r="AR1096" s="1748"/>
      <c r="AS1096" s="541"/>
      <c r="AT1096" s="541"/>
      <c r="AU1096" s="541"/>
      <c r="AV1096" s="541"/>
      <c r="AW1096" s="541"/>
      <c r="AX1096" s="541"/>
      <c r="AY1096" s="541"/>
      <c r="AZ1096" s="541"/>
      <c r="BA1096" s="541"/>
      <c r="BC1096" s="541"/>
      <c r="BE1096" s="541"/>
      <c r="BG1096" s="541"/>
      <c r="BH1096" s="1190"/>
      <c r="BI1096" s="541"/>
      <c r="BJ1096" s="1190"/>
      <c r="BK1096" s="541"/>
      <c r="BL1096" s="541"/>
      <c r="BM1096" s="541"/>
      <c r="BO1096" s="541"/>
      <c r="BP1096" s="541"/>
      <c r="BQ1096" s="633"/>
      <c r="BR1096" s="541"/>
      <c r="BS1096" s="541"/>
      <c r="BT1096" s="541"/>
    </row>
    <row r="1097" ht="15.75" customHeight="1">
      <c r="A1097" s="1591"/>
      <c r="B1097" s="1541"/>
      <c r="C1097" s="2217"/>
      <c r="D1097" s="1543"/>
      <c r="E1097" s="906"/>
      <c r="F1097" s="541"/>
      <c r="G1097" s="541"/>
      <c r="H1097" s="541"/>
      <c r="I1097" s="541"/>
      <c r="J1097" s="1748"/>
      <c r="K1097" s="541"/>
      <c r="L1097" s="1748"/>
      <c r="M1097" s="541"/>
      <c r="N1097" s="1748"/>
      <c r="O1097" s="541"/>
      <c r="P1097" s="1748"/>
      <c r="Q1097" s="541"/>
      <c r="R1097" s="1748"/>
      <c r="S1097" s="541"/>
      <c r="T1097" s="1748"/>
      <c r="U1097" s="541"/>
      <c r="V1097" s="1748"/>
      <c r="W1097" s="541"/>
      <c r="X1097" s="1748"/>
      <c r="Y1097" s="1748"/>
      <c r="Z1097" s="1748"/>
      <c r="AA1097" s="541"/>
      <c r="AB1097" s="1748"/>
      <c r="AC1097" s="541"/>
      <c r="AD1097" s="541"/>
      <c r="AE1097" s="541"/>
      <c r="AF1097" s="541"/>
      <c r="AG1097" s="541"/>
      <c r="AH1097" s="541"/>
      <c r="AI1097" s="541"/>
      <c r="AJ1097" s="541"/>
      <c r="AK1097" s="541"/>
      <c r="AL1097" s="541"/>
      <c r="AM1097" s="541"/>
      <c r="AN1097" s="1748"/>
      <c r="AO1097" s="1748"/>
      <c r="AP1097" s="1748"/>
      <c r="AQ1097" s="1748"/>
      <c r="AR1097" s="1748"/>
      <c r="AS1097" s="541"/>
      <c r="AT1097" s="541"/>
      <c r="AU1097" s="541"/>
      <c r="AV1097" s="541"/>
      <c r="AW1097" s="541"/>
      <c r="AX1097" s="541"/>
      <c r="AY1097" s="541"/>
      <c r="AZ1097" s="541"/>
      <c r="BA1097" s="541"/>
      <c r="BC1097" s="541"/>
      <c r="BE1097" s="541"/>
      <c r="BG1097" s="541"/>
      <c r="BH1097" s="1190"/>
      <c r="BI1097" s="541"/>
      <c r="BJ1097" s="1190"/>
      <c r="BK1097" s="541"/>
      <c r="BL1097" s="541"/>
      <c r="BM1097" s="541"/>
      <c r="BO1097" s="541"/>
      <c r="BP1097" s="541"/>
      <c r="BQ1097" s="633"/>
      <c r="BR1097" s="541"/>
      <c r="BS1097" s="541"/>
      <c r="BT1097" s="541"/>
    </row>
    <row r="1098" ht="15.75" customHeight="1">
      <c r="A1098" s="1591"/>
      <c r="B1098" s="1541"/>
      <c r="C1098" s="2217"/>
      <c r="D1098" s="1543"/>
      <c r="E1098" s="906"/>
      <c r="F1098" s="541"/>
      <c r="G1098" s="541"/>
      <c r="H1098" s="541"/>
      <c r="I1098" s="541"/>
      <c r="J1098" s="1748"/>
      <c r="K1098" s="541"/>
      <c r="L1098" s="1748"/>
      <c r="M1098" s="541"/>
      <c r="N1098" s="1748"/>
      <c r="O1098" s="541"/>
      <c r="P1098" s="1748"/>
      <c r="Q1098" s="541"/>
      <c r="R1098" s="1748"/>
      <c r="S1098" s="541"/>
      <c r="T1098" s="1748"/>
      <c r="U1098" s="541"/>
      <c r="V1098" s="1748"/>
      <c r="W1098" s="541"/>
      <c r="X1098" s="1748"/>
      <c r="Y1098" s="1748"/>
      <c r="Z1098" s="1748"/>
      <c r="AA1098" s="541"/>
      <c r="AB1098" s="1748"/>
      <c r="AC1098" s="541"/>
      <c r="AD1098" s="541"/>
      <c r="AE1098" s="541"/>
      <c r="AF1098" s="541"/>
      <c r="AG1098" s="541"/>
      <c r="AH1098" s="541"/>
      <c r="AI1098" s="541"/>
      <c r="AJ1098" s="541"/>
      <c r="AK1098" s="541"/>
      <c r="AL1098" s="541"/>
      <c r="AM1098" s="541"/>
      <c r="AN1098" s="1748"/>
      <c r="AO1098" s="1748"/>
      <c r="AP1098" s="1748"/>
      <c r="AQ1098" s="1748"/>
      <c r="AR1098" s="1748"/>
      <c r="AS1098" s="541"/>
      <c r="AT1098" s="541"/>
      <c r="AU1098" s="541"/>
      <c r="AV1098" s="541"/>
      <c r="AW1098" s="541"/>
      <c r="AX1098" s="541"/>
      <c r="AY1098" s="541"/>
      <c r="AZ1098" s="541"/>
      <c r="BA1098" s="541"/>
      <c r="BC1098" s="541"/>
      <c r="BE1098" s="541"/>
      <c r="BG1098" s="541"/>
      <c r="BH1098" s="1190"/>
      <c r="BI1098" s="541"/>
      <c r="BJ1098" s="1190"/>
      <c r="BK1098" s="541"/>
      <c r="BL1098" s="541"/>
      <c r="BM1098" s="541"/>
      <c r="BO1098" s="541"/>
      <c r="BP1098" s="541"/>
      <c r="BQ1098" s="633"/>
      <c r="BR1098" s="541"/>
      <c r="BS1098" s="541"/>
      <c r="BT1098" s="541"/>
    </row>
    <row r="1099" ht="15.75" customHeight="1">
      <c r="A1099" s="1591"/>
      <c r="B1099" s="1541"/>
      <c r="C1099" s="2217"/>
      <c r="D1099" s="1543"/>
      <c r="E1099" s="906"/>
      <c r="F1099" s="541"/>
      <c r="G1099" s="541"/>
      <c r="H1099" s="541"/>
      <c r="I1099" s="541"/>
      <c r="J1099" s="1748"/>
      <c r="K1099" s="541"/>
      <c r="L1099" s="1748"/>
      <c r="M1099" s="541"/>
      <c r="N1099" s="1748"/>
      <c r="O1099" s="541"/>
      <c r="P1099" s="1748"/>
      <c r="Q1099" s="541"/>
      <c r="R1099" s="1748"/>
      <c r="S1099" s="541"/>
      <c r="T1099" s="1748"/>
      <c r="U1099" s="541"/>
      <c r="V1099" s="1748"/>
      <c r="W1099" s="541"/>
      <c r="X1099" s="1748"/>
      <c r="Y1099" s="1748"/>
      <c r="Z1099" s="1748"/>
      <c r="AA1099" s="541"/>
      <c r="AB1099" s="1748"/>
      <c r="AC1099" s="541"/>
      <c r="AD1099" s="541"/>
      <c r="AE1099" s="541"/>
      <c r="AF1099" s="541"/>
      <c r="AG1099" s="541"/>
      <c r="AH1099" s="541"/>
      <c r="AI1099" s="541"/>
      <c r="AJ1099" s="541"/>
      <c r="AK1099" s="541"/>
      <c r="AL1099" s="541"/>
      <c r="AM1099" s="541"/>
      <c r="AN1099" s="1748"/>
      <c r="AO1099" s="1748"/>
      <c r="AP1099" s="1748"/>
      <c r="AQ1099" s="1748"/>
      <c r="AR1099" s="1748"/>
      <c r="AS1099" s="541"/>
      <c r="AT1099" s="541"/>
      <c r="AU1099" s="541"/>
      <c r="AV1099" s="541"/>
      <c r="AW1099" s="541"/>
      <c r="AX1099" s="541"/>
      <c r="AY1099" s="541"/>
      <c r="AZ1099" s="541"/>
      <c r="BA1099" s="541"/>
      <c r="BC1099" s="541"/>
      <c r="BE1099" s="541"/>
      <c r="BG1099" s="541"/>
      <c r="BH1099" s="1190"/>
      <c r="BI1099" s="541"/>
      <c r="BJ1099" s="1190"/>
      <c r="BK1099" s="541"/>
      <c r="BL1099" s="541"/>
      <c r="BM1099" s="541"/>
      <c r="BO1099" s="541"/>
      <c r="BP1099" s="541"/>
      <c r="BQ1099" s="633"/>
      <c r="BR1099" s="541"/>
      <c r="BS1099" s="541"/>
      <c r="BT1099" s="541"/>
    </row>
    <row r="1100" ht="15.75" customHeight="1">
      <c r="A1100" s="1591"/>
      <c r="B1100" s="1541"/>
      <c r="C1100" s="2217"/>
      <c r="D1100" s="1543"/>
      <c r="E1100" s="906"/>
      <c r="F1100" s="541"/>
      <c r="G1100" s="541"/>
      <c r="H1100" s="541"/>
      <c r="I1100" s="541"/>
      <c r="J1100" s="1748"/>
      <c r="K1100" s="541"/>
      <c r="L1100" s="1748"/>
      <c r="M1100" s="541"/>
      <c r="N1100" s="1748"/>
      <c r="O1100" s="541"/>
      <c r="P1100" s="1748"/>
      <c r="Q1100" s="541"/>
      <c r="R1100" s="1748"/>
      <c r="S1100" s="541"/>
      <c r="T1100" s="1748"/>
      <c r="U1100" s="541"/>
      <c r="V1100" s="1748"/>
      <c r="W1100" s="541"/>
      <c r="X1100" s="1748"/>
      <c r="Y1100" s="1748"/>
      <c r="Z1100" s="1748"/>
      <c r="AA1100" s="541"/>
      <c r="AB1100" s="1748"/>
      <c r="AC1100" s="541"/>
      <c r="AD1100" s="541"/>
      <c r="AE1100" s="541"/>
      <c r="AF1100" s="541"/>
      <c r="AG1100" s="541"/>
      <c r="AH1100" s="541"/>
      <c r="AI1100" s="541"/>
      <c r="AJ1100" s="541"/>
      <c r="AK1100" s="541"/>
      <c r="AL1100" s="541"/>
      <c r="AM1100" s="541"/>
      <c r="AN1100" s="1748"/>
      <c r="AO1100" s="1748"/>
      <c r="AP1100" s="1748"/>
      <c r="AQ1100" s="1748"/>
      <c r="AR1100" s="1748"/>
      <c r="AS1100" s="541"/>
      <c r="AT1100" s="541"/>
      <c r="AU1100" s="541"/>
      <c r="AV1100" s="541"/>
      <c r="AW1100" s="541"/>
      <c r="AX1100" s="541"/>
      <c r="AY1100" s="541"/>
      <c r="AZ1100" s="541"/>
      <c r="BA1100" s="541"/>
      <c r="BC1100" s="541"/>
      <c r="BE1100" s="541"/>
      <c r="BG1100" s="541"/>
      <c r="BH1100" s="1190"/>
      <c r="BI1100" s="541"/>
      <c r="BJ1100" s="1190"/>
      <c r="BK1100" s="541"/>
      <c r="BL1100" s="541"/>
      <c r="BM1100" s="541"/>
      <c r="BO1100" s="541"/>
      <c r="BP1100" s="541"/>
      <c r="BQ1100" s="633"/>
      <c r="BR1100" s="541"/>
      <c r="BS1100" s="541"/>
      <c r="BT1100" s="541"/>
    </row>
    <row r="1101" ht="15.75" customHeight="1">
      <c r="A1101" s="1591"/>
      <c r="B1101" s="1541"/>
      <c r="C1101" s="2217"/>
      <c r="D1101" s="1543"/>
      <c r="E1101" s="906"/>
      <c r="F1101" s="541"/>
      <c r="G1101" s="541"/>
      <c r="H1101" s="541"/>
      <c r="I1101" s="541"/>
      <c r="J1101" s="1748"/>
      <c r="K1101" s="541"/>
      <c r="L1101" s="1748"/>
      <c r="M1101" s="541"/>
      <c r="N1101" s="1748"/>
      <c r="O1101" s="541"/>
      <c r="P1101" s="1748"/>
      <c r="Q1101" s="541"/>
      <c r="R1101" s="1748"/>
      <c r="S1101" s="541"/>
      <c r="T1101" s="1748"/>
      <c r="U1101" s="541"/>
      <c r="V1101" s="1748"/>
      <c r="W1101" s="541"/>
      <c r="X1101" s="1748"/>
      <c r="Y1101" s="1748"/>
      <c r="Z1101" s="1748"/>
      <c r="AA1101" s="541"/>
      <c r="AB1101" s="1748"/>
      <c r="AC1101" s="541"/>
      <c r="AD1101" s="541"/>
      <c r="AE1101" s="541"/>
      <c r="AF1101" s="541"/>
      <c r="AG1101" s="541"/>
      <c r="AH1101" s="541"/>
      <c r="AI1101" s="541"/>
      <c r="AJ1101" s="541"/>
      <c r="AK1101" s="541"/>
      <c r="AL1101" s="541"/>
      <c r="AM1101" s="541"/>
      <c r="AN1101" s="1748"/>
      <c r="AO1101" s="1748"/>
      <c r="AP1101" s="1748"/>
      <c r="AQ1101" s="1748"/>
      <c r="AR1101" s="1748"/>
      <c r="AS1101" s="541"/>
      <c r="AT1101" s="541"/>
      <c r="AU1101" s="541"/>
      <c r="AV1101" s="541"/>
      <c r="AW1101" s="541"/>
      <c r="AX1101" s="541"/>
      <c r="AY1101" s="541"/>
      <c r="AZ1101" s="541"/>
      <c r="BA1101" s="541"/>
      <c r="BC1101" s="541"/>
      <c r="BE1101" s="541"/>
      <c r="BG1101" s="541"/>
      <c r="BH1101" s="1190"/>
      <c r="BI1101" s="541"/>
      <c r="BJ1101" s="1190"/>
      <c r="BK1101" s="541"/>
      <c r="BL1101" s="541"/>
      <c r="BM1101" s="541"/>
      <c r="BO1101" s="541"/>
      <c r="BP1101" s="541"/>
      <c r="BQ1101" s="633"/>
      <c r="BR1101" s="541"/>
      <c r="BS1101" s="541"/>
      <c r="BT1101" s="541"/>
    </row>
    <row r="1102" ht="15.75" customHeight="1">
      <c r="A1102" s="1591"/>
      <c r="B1102" s="1541"/>
      <c r="C1102" s="2217"/>
      <c r="D1102" s="1543"/>
      <c r="E1102" s="906"/>
      <c r="F1102" s="541"/>
      <c r="G1102" s="541"/>
      <c r="H1102" s="541"/>
      <c r="I1102" s="541"/>
      <c r="J1102" s="1748"/>
      <c r="K1102" s="541"/>
      <c r="L1102" s="1748"/>
      <c r="M1102" s="541"/>
      <c r="N1102" s="1748"/>
      <c r="O1102" s="541"/>
      <c r="P1102" s="1748"/>
      <c r="Q1102" s="541"/>
      <c r="R1102" s="1748"/>
      <c r="S1102" s="541"/>
      <c r="T1102" s="1748"/>
      <c r="U1102" s="541"/>
      <c r="V1102" s="1748"/>
      <c r="W1102" s="541"/>
      <c r="X1102" s="1748"/>
      <c r="Y1102" s="1748"/>
      <c r="Z1102" s="1748"/>
      <c r="AA1102" s="541"/>
      <c r="AB1102" s="1748"/>
      <c r="AC1102" s="541"/>
      <c r="AD1102" s="541"/>
      <c r="AE1102" s="541"/>
      <c r="AF1102" s="541"/>
      <c r="AG1102" s="541"/>
      <c r="AH1102" s="541"/>
      <c r="AI1102" s="541"/>
      <c r="AJ1102" s="541"/>
      <c r="AK1102" s="541"/>
      <c r="AL1102" s="541"/>
      <c r="AM1102" s="541"/>
      <c r="AN1102" s="1748"/>
      <c r="AO1102" s="1748"/>
      <c r="AP1102" s="1748"/>
      <c r="AQ1102" s="1748"/>
      <c r="AR1102" s="1748"/>
      <c r="AS1102" s="541"/>
      <c r="AT1102" s="541"/>
      <c r="AU1102" s="541"/>
      <c r="AV1102" s="541"/>
      <c r="AW1102" s="541"/>
      <c r="AX1102" s="541"/>
      <c r="AY1102" s="541"/>
      <c r="AZ1102" s="541"/>
      <c r="BA1102" s="541"/>
      <c r="BC1102" s="541"/>
      <c r="BE1102" s="541"/>
      <c r="BG1102" s="541"/>
      <c r="BH1102" s="1190"/>
      <c r="BI1102" s="541"/>
      <c r="BJ1102" s="1190"/>
      <c r="BK1102" s="541"/>
      <c r="BL1102" s="541"/>
      <c r="BM1102" s="541"/>
      <c r="BO1102" s="541"/>
      <c r="BP1102" s="541"/>
      <c r="BQ1102" s="633"/>
      <c r="BR1102" s="541"/>
      <c r="BS1102" s="541"/>
      <c r="BT1102" s="541"/>
    </row>
    <row r="1103" ht="15.75" customHeight="1">
      <c r="A1103" s="1591"/>
      <c r="B1103" s="1541"/>
      <c r="C1103" s="2217"/>
      <c r="D1103" s="1543"/>
      <c r="E1103" s="906"/>
      <c r="F1103" s="541"/>
      <c r="G1103" s="541"/>
      <c r="H1103" s="541"/>
      <c r="I1103" s="541"/>
      <c r="J1103" s="1748"/>
      <c r="K1103" s="541"/>
      <c r="L1103" s="1748"/>
      <c r="M1103" s="541"/>
      <c r="N1103" s="1748"/>
      <c r="O1103" s="541"/>
      <c r="P1103" s="1748"/>
      <c r="Q1103" s="541"/>
      <c r="R1103" s="1748"/>
      <c r="S1103" s="541"/>
      <c r="T1103" s="1748"/>
      <c r="U1103" s="541"/>
      <c r="V1103" s="1748"/>
      <c r="W1103" s="541"/>
      <c r="X1103" s="1748"/>
      <c r="Y1103" s="1748"/>
      <c r="Z1103" s="1748"/>
      <c r="AA1103" s="541"/>
      <c r="AB1103" s="1748"/>
      <c r="AC1103" s="541"/>
      <c r="AD1103" s="541"/>
      <c r="AE1103" s="541"/>
      <c r="AF1103" s="541"/>
      <c r="AG1103" s="541"/>
      <c r="AH1103" s="541"/>
      <c r="AI1103" s="541"/>
      <c r="AJ1103" s="541"/>
      <c r="AK1103" s="541"/>
      <c r="AL1103" s="541"/>
      <c r="AM1103" s="541"/>
      <c r="AN1103" s="1748"/>
      <c r="AO1103" s="1748"/>
      <c r="AP1103" s="1748"/>
      <c r="AQ1103" s="1748"/>
      <c r="AR1103" s="1748"/>
      <c r="AS1103" s="541"/>
      <c r="AT1103" s="541"/>
      <c r="AU1103" s="541"/>
      <c r="AV1103" s="541"/>
      <c r="AW1103" s="541"/>
      <c r="AX1103" s="541"/>
      <c r="AY1103" s="541"/>
      <c r="AZ1103" s="541"/>
      <c r="BA1103" s="541"/>
      <c r="BC1103" s="541"/>
      <c r="BE1103" s="541"/>
      <c r="BG1103" s="541"/>
      <c r="BH1103" s="1190"/>
      <c r="BI1103" s="541"/>
      <c r="BJ1103" s="1190"/>
      <c r="BK1103" s="541"/>
      <c r="BL1103" s="541"/>
      <c r="BM1103" s="541"/>
      <c r="BO1103" s="541"/>
      <c r="BP1103" s="541"/>
      <c r="BQ1103" s="633"/>
      <c r="BR1103" s="541"/>
      <c r="BS1103" s="541"/>
      <c r="BT1103" s="541"/>
    </row>
    <row r="1104" ht="15.75" customHeight="1">
      <c r="A1104" s="1591"/>
      <c r="B1104" s="1541"/>
      <c r="C1104" s="2217"/>
      <c r="D1104" s="1543"/>
      <c r="E1104" s="906"/>
      <c r="F1104" s="541"/>
      <c r="G1104" s="541"/>
      <c r="H1104" s="541"/>
      <c r="I1104" s="541"/>
      <c r="J1104" s="1748"/>
      <c r="K1104" s="541"/>
      <c r="L1104" s="1748"/>
      <c r="M1104" s="541"/>
      <c r="N1104" s="1748"/>
      <c r="O1104" s="541"/>
      <c r="P1104" s="1748"/>
      <c r="Q1104" s="541"/>
      <c r="R1104" s="1748"/>
      <c r="S1104" s="541"/>
      <c r="T1104" s="1748"/>
      <c r="U1104" s="541"/>
      <c r="V1104" s="1748"/>
      <c r="W1104" s="541"/>
      <c r="X1104" s="1748"/>
      <c r="Y1104" s="1748"/>
      <c r="Z1104" s="1748"/>
      <c r="AA1104" s="541"/>
      <c r="AB1104" s="1748"/>
      <c r="AC1104" s="541"/>
      <c r="AD1104" s="541"/>
      <c r="AE1104" s="541"/>
      <c r="AF1104" s="541"/>
      <c r="AG1104" s="541"/>
      <c r="AH1104" s="541"/>
      <c r="AI1104" s="541"/>
      <c r="AJ1104" s="541"/>
      <c r="AK1104" s="541"/>
      <c r="AL1104" s="541"/>
      <c r="AM1104" s="541"/>
      <c r="AN1104" s="1748"/>
      <c r="AO1104" s="1748"/>
      <c r="AP1104" s="1748"/>
      <c r="AQ1104" s="1748"/>
      <c r="AR1104" s="1748"/>
      <c r="AS1104" s="541"/>
      <c r="AT1104" s="541"/>
      <c r="AU1104" s="541"/>
      <c r="AV1104" s="541"/>
      <c r="AW1104" s="541"/>
      <c r="AX1104" s="541"/>
      <c r="AY1104" s="541"/>
      <c r="AZ1104" s="541"/>
      <c r="BA1104" s="541"/>
      <c r="BC1104" s="541"/>
      <c r="BE1104" s="541"/>
      <c r="BG1104" s="541"/>
      <c r="BH1104" s="1190"/>
      <c r="BI1104" s="541"/>
      <c r="BJ1104" s="1190"/>
      <c r="BK1104" s="541"/>
      <c r="BL1104" s="541"/>
      <c r="BM1104" s="541"/>
      <c r="BO1104" s="541"/>
      <c r="BP1104" s="541"/>
      <c r="BQ1104" s="633"/>
      <c r="BR1104" s="541"/>
      <c r="BS1104" s="541"/>
      <c r="BT1104" s="541"/>
    </row>
    <row r="1105" ht="15.75" customHeight="1">
      <c r="A1105" s="1591"/>
      <c r="B1105" s="1541"/>
      <c r="C1105" s="2217"/>
      <c r="D1105" s="1543"/>
      <c r="E1105" s="906"/>
      <c r="F1105" s="541"/>
      <c r="G1105" s="541"/>
      <c r="H1105" s="541"/>
      <c r="I1105" s="541"/>
      <c r="J1105" s="1748"/>
      <c r="K1105" s="541"/>
      <c r="L1105" s="1748"/>
      <c r="M1105" s="541"/>
      <c r="N1105" s="1748"/>
      <c r="O1105" s="541"/>
      <c r="P1105" s="1748"/>
      <c r="Q1105" s="541"/>
      <c r="R1105" s="1748"/>
      <c r="S1105" s="541"/>
      <c r="T1105" s="1748"/>
      <c r="U1105" s="541"/>
      <c r="V1105" s="1748"/>
      <c r="W1105" s="541"/>
      <c r="X1105" s="1748"/>
      <c r="Y1105" s="1748"/>
      <c r="Z1105" s="1748"/>
      <c r="AA1105" s="541"/>
      <c r="AB1105" s="1748"/>
      <c r="AC1105" s="541"/>
      <c r="AD1105" s="541"/>
      <c r="AE1105" s="541"/>
      <c r="AF1105" s="541"/>
      <c r="AG1105" s="541"/>
      <c r="AH1105" s="541"/>
      <c r="AI1105" s="541"/>
      <c r="AJ1105" s="541"/>
      <c r="AK1105" s="541"/>
      <c r="AL1105" s="541"/>
      <c r="AM1105" s="541"/>
      <c r="AN1105" s="1748"/>
      <c r="AO1105" s="1748"/>
      <c r="AP1105" s="1748"/>
      <c r="AQ1105" s="1748"/>
      <c r="AR1105" s="1748"/>
      <c r="AS1105" s="541"/>
      <c r="AT1105" s="541"/>
      <c r="AU1105" s="541"/>
      <c r="AV1105" s="541"/>
      <c r="AW1105" s="541"/>
      <c r="AX1105" s="541"/>
      <c r="AY1105" s="541"/>
      <c r="AZ1105" s="541"/>
      <c r="BA1105" s="541"/>
      <c r="BC1105" s="541"/>
      <c r="BE1105" s="541"/>
      <c r="BG1105" s="541"/>
      <c r="BH1105" s="1190"/>
      <c r="BI1105" s="541"/>
      <c r="BJ1105" s="1190"/>
      <c r="BK1105" s="541"/>
      <c r="BL1105" s="541"/>
      <c r="BM1105" s="541"/>
      <c r="BO1105" s="541"/>
      <c r="BP1105" s="541"/>
      <c r="BQ1105" s="633"/>
      <c r="BR1105" s="541"/>
      <c r="BS1105" s="541"/>
      <c r="BT1105" s="541"/>
    </row>
    <row r="1106" ht="15.75" customHeight="1">
      <c r="A1106" s="1591"/>
      <c r="B1106" s="1541"/>
      <c r="C1106" s="2217"/>
      <c r="D1106" s="1543"/>
      <c r="E1106" s="906"/>
      <c r="F1106" s="541"/>
      <c r="G1106" s="541"/>
      <c r="H1106" s="541"/>
      <c r="I1106" s="541"/>
      <c r="J1106" s="1748"/>
      <c r="K1106" s="541"/>
      <c r="L1106" s="1748"/>
      <c r="M1106" s="541"/>
      <c r="N1106" s="1748"/>
      <c r="O1106" s="541"/>
      <c r="P1106" s="1748"/>
      <c r="Q1106" s="541"/>
      <c r="R1106" s="1748"/>
      <c r="S1106" s="541"/>
      <c r="T1106" s="1748"/>
      <c r="U1106" s="541"/>
      <c r="V1106" s="1748"/>
      <c r="W1106" s="541"/>
      <c r="X1106" s="1748"/>
      <c r="Y1106" s="1748"/>
      <c r="Z1106" s="1748"/>
      <c r="AA1106" s="541"/>
      <c r="AB1106" s="1748"/>
      <c r="AC1106" s="541"/>
      <c r="AD1106" s="541"/>
      <c r="AE1106" s="541"/>
      <c r="AF1106" s="541"/>
      <c r="AG1106" s="541"/>
      <c r="AH1106" s="541"/>
      <c r="AI1106" s="541"/>
      <c r="AJ1106" s="541"/>
      <c r="AK1106" s="541"/>
      <c r="AL1106" s="541"/>
      <c r="AM1106" s="541"/>
      <c r="AN1106" s="1748"/>
      <c r="AO1106" s="1748"/>
      <c r="AP1106" s="1748"/>
      <c r="AQ1106" s="1748"/>
      <c r="AR1106" s="1748"/>
      <c r="AS1106" s="541"/>
      <c r="AT1106" s="541"/>
      <c r="AU1106" s="541"/>
      <c r="AV1106" s="541"/>
      <c r="AW1106" s="541"/>
      <c r="AX1106" s="541"/>
      <c r="AY1106" s="541"/>
      <c r="AZ1106" s="541"/>
      <c r="BA1106" s="541"/>
      <c r="BC1106" s="541"/>
      <c r="BE1106" s="541"/>
      <c r="BG1106" s="541"/>
      <c r="BH1106" s="1190"/>
      <c r="BI1106" s="541"/>
      <c r="BJ1106" s="1190"/>
      <c r="BK1106" s="541"/>
      <c r="BL1106" s="541"/>
      <c r="BM1106" s="541"/>
      <c r="BO1106" s="541"/>
      <c r="BP1106" s="541"/>
      <c r="BQ1106" s="633"/>
      <c r="BR1106" s="541"/>
      <c r="BS1106" s="541"/>
      <c r="BT1106" s="541"/>
    </row>
    <row r="1107" ht="15.75" customHeight="1">
      <c r="A1107" s="1591"/>
      <c r="B1107" s="1541"/>
      <c r="C1107" s="2217"/>
      <c r="D1107" s="1543"/>
      <c r="E1107" s="906"/>
      <c r="F1107" s="541"/>
      <c r="G1107" s="541"/>
      <c r="H1107" s="541"/>
      <c r="I1107" s="541"/>
      <c r="J1107" s="1748"/>
      <c r="K1107" s="541"/>
      <c r="L1107" s="1748"/>
      <c r="M1107" s="541"/>
      <c r="N1107" s="1748"/>
      <c r="O1107" s="541"/>
      <c r="P1107" s="1748"/>
      <c r="Q1107" s="541"/>
      <c r="R1107" s="1748"/>
      <c r="S1107" s="541"/>
      <c r="T1107" s="1748"/>
      <c r="U1107" s="541"/>
      <c r="V1107" s="1748"/>
      <c r="W1107" s="541"/>
      <c r="X1107" s="1748"/>
      <c r="Y1107" s="1748"/>
      <c r="Z1107" s="1748"/>
      <c r="AA1107" s="541"/>
      <c r="AB1107" s="1748"/>
      <c r="AC1107" s="541"/>
      <c r="AD1107" s="541"/>
      <c r="AE1107" s="541"/>
      <c r="AF1107" s="541"/>
      <c r="AG1107" s="541"/>
      <c r="AH1107" s="541"/>
      <c r="AI1107" s="541"/>
      <c r="AJ1107" s="541"/>
      <c r="AK1107" s="541"/>
      <c r="AL1107" s="541"/>
      <c r="AM1107" s="541"/>
      <c r="AN1107" s="1748"/>
      <c r="AO1107" s="1748"/>
      <c r="AP1107" s="1748"/>
      <c r="AQ1107" s="1748"/>
      <c r="AR1107" s="1748"/>
      <c r="AS1107" s="541"/>
      <c r="AT1107" s="541"/>
      <c r="AU1107" s="541"/>
      <c r="AV1107" s="541"/>
      <c r="AW1107" s="541"/>
      <c r="AX1107" s="541"/>
      <c r="AY1107" s="541"/>
      <c r="AZ1107" s="541"/>
      <c r="BA1107" s="541"/>
      <c r="BC1107" s="541"/>
      <c r="BE1107" s="541"/>
      <c r="BG1107" s="541"/>
      <c r="BH1107" s="1190"/>
      <c r="BI1107" s="541"/>
      <c r="BJ1107" s="1190"/>
      <c r="BK1107" s="541"/>
      <c r="BL1107" s="541"/>
      <c r="BM1107" s="541"/>
      <c r="BO1107" s="541"/>
      <c r="BP1107" s="541"/>
      <c r="BQ1107" s="633"/>
      <c r="BR1107" s="541"/>
      <c r="BS1107" s="541"/>
      <c r="BT1107" s="541"/>
    </row>
    <row r="1108" ht="15.75" customHeight="1">
      <c r="A1108" s="1591"/>
      <c r="B1108" s="1541"/>
      <c r="C1108" s="2217"/>
      <c r="D1108" s="1543"/>
      <c r="E1108" s="906"/>
      <c r="F1108" s="541"/>
      <c r="G1108" s="541"/>
      <c r="H1108" s="541"/>
      <c r="I1108" s="541"/>
      <c r="J1108" s="1748"/>
      <c r="K1108" s="541"/>
      <c r="L1108" s="1748"/>
      <c r="M1108" s="541"/>
      <c r="N1108" s="1748"/>
      <c r="O1108" s="541"/>
      <c r="P1108" s="1748"/>
      <c r="Q1108" s="541"/>
      <c r="R1108" s="1748"/>
      <c r="S1108" s="541"/>
      <c r="T1108" s="1748"/>
      <c r="U1108" s="541"/>
      <c r="V1108" s="1748"/>
      <c r="W1108" s="541"/>
      <c r="X1108" s="1748"/>
      <c r="Y1108" s="1748"/>
      <c r="Z1108" s="1748"/>
      <c r="AA1108" s="541"/>
      <c r="AB1108" s="1748"/>
      <c r="AC1108" s="541"/>
      <c r="AD1108" s="541"/>
      <c r="AE1108" s="541"/>
      <c r="AF1108" s="541"/>
      <c r="AG1108" s="541"/>
      <c r="AH1108" s="541"/>
      <c r="AI1108" s="541"/>
      <c r="AJ1108" s="541"/>
      <c r="AK1108" s="541"/>
      <c r="AL1108" s="541"/>
      <c r="AM1108" s="541"/>
      <c r="AN1108" s="1748"/>
      <c r="AO1108" s="1748"/>
      <c r="AP1108" s="1748"/>
      <c r="AQ1108" s="1748"/>
      <c r="AR1108" s="1748"/>
      <c r="AS1108" s="541"/>
      <c r="AT1108" s="541"/>
      <c r="AU1108" s="541"/>
      <c r="AV1108" s="541"/>
      <c r="AW1108" s="541"/>
      <c r="AX1108" s="541"/>
      <c r="AY1108" s="541"/>
      <c r="AZ1108" s="541"/>
      <c r="BA1108" s="541"/>
      <c r="BC1108" s="541"/>
      <c r="BE1108" s="541"/>
      <c r="BG1108" s="541"/>
      <c r="BH1108" s="1190"/>
      <c r="BI1108" s="541"/>
      <c r="BJ1108" s="1190"/>
      <c r="BK1108" s="541"/>
      <c r="BL1108" s="541"/>
      <c r="BM1108" s="541"/>
      <c r="BO1108" s="541"/>
      <c r="BP1108" s="541"/>
      <c r="BQ1108" s="633"/>
      <c r="BR1108" s="541"/>
      <c r="BS1108" s="541"/>
      <c r="BT1108" s="541"/>
    </row>
    <row r="1109" ht="15.75" customHeight="1">
      <c r="A1109" s="1591"/>
      <c r="B1109" s="1541"/>
      <c r="C1109" s="2217"/>
      <c r="D1109" s="1543"/>
      <c r="E1109" s="906"/>
      <c r="F1109" s="541"/>
      <c r="G1109" s="541"/>
      <c r="H1109" s="541"/>
      <c r="I1109" s="541"/>
      <c r="J1109" s="1748"/>
      <c r="K1109" s="541"/>
      <c r="L1109" s="1748"/>
      <c r="M1109" s="541"/>
      <c r="N1109" s="1748"/>
      <c r="O1109" s="541"/>
      <c r="P1109" s="1748"/>
      <c r="Q1109" s="541"/>
      <c r="R1109" s="1748"/>
      <c r="S1109" s="541"/>
      <c r="T1109" s="1748"/>
      <c r="U1109" s="541"/>
      <c r="V1109" s="1748"/>
      <c r="W1109" s="541"/>
      <c r="X1109" s="1748"/>
      <c r="Y1109" s="1748"/>
      <c r="Z1109" s="1748"/>
      <c r="AA1109" s="541"/>
      <c r="AB1109" s="1748"/>
      <c r="AC1109" s="541"/>
      <c r="AD1109" s="541"/>
      <c r="AE1109" s="541"/>
      <c r="AF1109" s="541"/>
      <c r="AG1109" s="541"/>
      <c r="AH1109" s="541"/>
      <c r="AI1109" s="541"/>
      <c r="AJ1109" s="541"/>
      <c r="AK1109" s="541"/>
      <c r="AL1109" s="541"/>
      <c r="AM1109" s="541"/>
      <c r="AN1109" s="1748"/>
      <c r="AO1109" s="1748"/>
      <c r="AP1109" s="1748"/>
      <c r="AQ1109" s="1748"/>
      <c r="AR1109" s="1748"/>
      <c r="AS1109" s="541"/>
      <c r="AT1109" s="541"/>
      <c r="AU1109" s="541"/>
      <c r="AV1109" s="541"/>
      <c r="AW1109" s="541"/>
      <c r="AX1109" s="541"/>
      <c r="AY1109" s="541"/>
      <c r="AZ1109" s="541"/>
      <c r="BA1109" s="541"/>
      <c r="BC1109" s="541"/>
      <c r="BE1109" s="541"/>
      <c r="BG1109" s="541"/>
      <c r="BH1109" s="1190"/>
      <c r="BI1109" s="541"/>
      <c r="BJ1109" s="1190"/>
      <c r="BK1109" s="541"/>
      <c r="BL1109" s="541"/>
      <c r="BM1109" s="541"/>
      <c r="BO1109" s="541"/>
      <c r="BP1109" s="541"/>
      <c r="BQ1109" s="633"/>
      <c r="BR1109" s="541"/>
      <c r="BS1109" s="541"/>
      <c r="BT1109" s="541"/>
    </row>
    <row r="1110" ht="15.75" customHeight="1">
      <c r="A1110" s="1591"/>
      <c r="B1110" s="1541"/>
      <c r="C1110" s="2217"/>
      <c r="D1110" s="1543"/>
      <c r="E1110" s="906"/>
      <c r="F1110" s="541"/>
      <c r="G1110" s="541"/>
      <c r="H1110" s="541"/>
      <c r="I1110" s="541"/>
      <c r="J1110" s="1748"/>
      <c r="K1110" s="541"/>
      <c r="L1110" s="1748"/>
      <c r="M1110" s="541"/>
      <c r="N1110" s="1748"/>
      <c r="O1110" s="541"/>
      <c r="P1110" s="1748"/>
      <c r="Q1110" s="541"/>
      <c r="R1110" s="1748"/>
      <c r="S1110" s="541"/>
      <c r="T1110" s="1748"/>
      <c r="U1110" s="541"/>
      <c r="V1110" s="1748"/>
      <c r="W1110" s="541"/>
      <c r="X1110" s="1748"/>
      <c r="Y1110" s="1748"/>
      <c r="Z1110" s="1748"/>
      <c r="AA1110" s="541"/>
      <c r="AB1110" s="1748"/>
      <c r="AC1110" s="541"/>
      <c r="AD1110" s="541"/>
      <c r="AE1110" s="541"/>
      <c r="AF1110" s="541"/>
      <c r="AG1110" s="541"/>
      <c r="AH1110" s="541"/>
      <c r="AI1110" s="541"/>
      <c r="AJ1110" s="541"/>
      <c r="AK1110" s="541"/>
      <c r="AL1110" s="541"/>
      <c r="AM1110" s="541"/>
      <c r="AN1110" s="1748"/>
      <c r="AO1110" s="1748"/>
      <c r="AP1110" s="1748"/>
      <c r="AQ1110" s="1748"/>
      <c r="AR1110" s="1748"/>
      <c r="AS1110" s="541"/>
      <c r="AT1110" s="541"/>
      <c r="AU1110" s="541"/>
      <c r="AV1110" s="541"/>
      <c r="AW1110" s="541"/>
      <c r="AX1110" s="541"/>
      <c r="AY1110" s="541"/>
      <c r="AZ1110" s="541"/>
      <c r="BA1110" s="541"/>
      <c r="BC1110" s="541"/>
      <c r="BE1110" s="541"/>
      <c r="BG1110" s="541"/>
      <c r="BH1110" s="1190"/>
      <c r="BI1110" s="541"/>
      <c r="BJ1110" s="1190"/>
      <c r="BK1110" s="541"/>
      <c r="BL1110" s="541"/>
      <c r="BM1110" s="541"/>
      <c r="BO1110" s="541"/>
      <c r="BP1110" s="541"/>
      <c r="BQ1110" s="633"/>
      <c r="BR1110" s="541"/>
      <c r="BS1110" s="541"/>
      <c r="BT1110" s="541"/>
    </row>
    <row r="1111" ht="15.75" customHeight="1">
      <c r="A1111" s="1591"/>
      <c r="B1111" s="1541"/>
      <c r="C1111" s="2217"/>
      <c r="D1111" s="1543"/>
      <c r="E1111" s="906"/>
      <c r="F1111" s="541"/>
      <c r="G1111" s="541"/>
      <c r="H1111" s="541"/>
      <c r="I1111" s="541"/>
      <c r="J1111" s="1748"/>
      <c r="K1111" s="541"/>
      <c r="L1111" s="1748"/>
      <c r="M1111" s="541"/>
      <c r="N1111" s="1748"/>
      <c r="O1111" s="541"/>
      <c r="P1111" s="1748"/>
      <c r="Q1111" s="541"/>
      <c r="R1111" s="1748"/>
      <c r="S1111" s="541"/>
      <c r="T1111" s="1748"/>
      <c r="U1111" s="541"/>
      <c r="V1111" s="1748"/>
      <c r="W1111" s="541"/>
      <c r="X1111" s="1748"/>
      <c r="Y1111" s="1748"/>
      <c r="Z1111" s="1748"/>
      <c r="AA1111" s="541"/>
      <c r="AB1111" s="1748"/>
      <c r="AC1111" s="541"/>
      <c r="AD1111" s="541"/>
      <c r="AE1111" s="541"/>
      <c r="AF1111" s="541"/>
      <c r="AG1111" s="541"/>
      <c r="AH1111" s="541"/>
      <c r="AI1111" s="541"/>
      <c r="AJ1111" s="541"/>
      <c r="AK1111" s="541"/>
      <c r="AL1111" s="541"/>
      <c r="AM1111" s="541"/>
      <c r="AN1111" s="1748"/>
      <c r="AO1111" s="1748"/>
      <c r="AP1111" s="1748"/>
      <c r="AQ1111" s="1748"/>
      <c r="AR1111" s="1748"/>
      <c r="AS1111" s="541"/>
      <c r="AT1111" s="541"/>
      <c r="AU1111" s="541"/>
      <c r="AV1111" s="541"/>
      <c r="AW1111" s="541"/>
      <c r="AX1111" s="541"/>
      <c r="AY1111" s="541"/>
      <c r="AZ1111" s="541"/>
      <c r="BA1111" s="541"/>
      <c r="BC1111" s="541"/>
      <c r="BE1111" s="541"/>
      <c r="BG1111" s="541"/>
      <c r="BH1111" s="1190"/>
      <c r="BI1111" s="541"/>
      <c r="BJ1111" s="1190"/>
      <c r="BK1111" s="541"/>
      <c r="BL1111" s="541"/>
      <c r="BM1111" s="541"/>
      <c r="BO1111" s="541"/>
      <c r="BP1111" s="541"/>
      <c r="BQ1111" s="633"/>
      <c r="BR1111" s="541"/>
      <c r="BS1111" s="541"/>
      <c r="BT1111" s="541"/>
    </row>
    <row r="1112" ht="15.75" customHeight="1">
      <c r="A1112" s="1591"/>
      <c r="B1112" s="1541"/>
      <c r="C1112" s="2217"/>
      <c r="D1112" s="1543"/>
      <c r="E1112" s="906"/>
      <c r="F1112" s="541"/>
      <c r="G1112" s="541"/>
      <c r="H1112" s="541"/>
      <c r="I1112" s="541"/>
      <c r="J1112" s="1748"/>
      <c r="K1112" s="541"/>
      <c r="L1112" s="1748"/>
      <c r="M1112" s="541"/>
      <c r="N1112" s="1748"/>
      <c r="O1112" s="541"/>
      <c r="P1112" s="1748"/>
      <c r="Q1112" s="541"/>
      <c r="R1112" s="1748"/>
      <c r="S1112" s="541"/>
      <c r="T1112" s="1748"/>
      <c r="U1112" s="541"/>
      <c r="V1112" s="1748"/>
      <c r="W1112" s="541"/>
      <c r="X1112" s="1748"/>
      <c r="Y1112" s="1748"/>
      <c r="Z1112" s="1748"/>
      <c r="AA1112" s="541"/>
      <c r="AB1112" s="1748"/>
      <c r="AC1112" s="541"/>
      <c r="AD1112" s="541"/>
      <c r="AE1112" s="541"/>
      <c r="AF1112" s="541"/>
      <c r="AG1112" s="541"/>
      <c r="AH1112" s="541"/>
      <c r="AI1112" s="541"/>
      <c r="AJ1112" s="541"/>
      <c r="AK1112" s="541"/>
      <c r="AL1112" s="541"/>
      <c r="AM1112" s="541"/>
      <c r="AN1112" s="1748"/>
      <c r="AO1112" s="1748"/>
      <c r="AP1112" s="1748"/>
      <c r="AQ1112" s="1748"/>
      <c r="AR1112" s="1748"/>
      <c r="AS1112" s="541"/>
      <c r="AT1112" s="541"/>
      <c r="AU1112" s="541"/>
      <c r="AV1112" s="541"/>
      <c r="AW1112" s="541"/>
      <c r="AX1112" s="541"/>
      <c r="AY1112" s="541"/>
      <c r="AZ1112" s="541"/>
      <c r="BA1112" s="541"/>
      <c r="BC1112" s="541"/>
      <c r="BE1112" s="541"/>
      <c r="BG1112" s="541"/>
      <c r="BH1112" s="1190"/>
      <c r="BI1112" s="541"/>
      <c r="BJ1112" s="1190"/>
      <c r="BK1112" s="541"/>
      <c r="BL1112" s="541"/>
      <c r="BM1112" s="541"/>
      <c r="BO1112" s="541"/>
      <c r="BP1112" s="541"/>
      <c r="BQ1112" s="633"/>
      <c r="BR1112" s="541"/>
      <c r="BS1112" s="541"/>
      <c r="BT1112" s="541"/>
    </row>
    <row r="1113" ht="15.75" customHeight="1">
      <c r="A1113" s="1591"/>
      <c r="B1113" s="1541"/>
      <c r="C1113" s="2217"/>
      <c r="D1113" s="1543"/>
      <c r="E1113" s="906"/>
      <c r="F1113" s="541"/>
      <c r="G1113" s="541"/>
      <c r="H1113" s="541"/>
      <c r="I1113" s="541"/>
      <c r="J1113" s="1748"/>
      <c r="K1113" s="541"/>
      <c r="L1113" s="1748"/>
      <c r="M1113" s="541"/>
      <c r="N1113" s="1748"/>
      <c r="O1113" s="541"/>
      <c r="P1113" s="1748"/>
      <c r="Q1113" s="541"/>
      <c r="R1113" s="1748"/>
      <c r="S1113" s="541"/>
      <c r="T1113" s="1748"/>
      <c r="U1113" s="541"/>
      <c r="V1113" s="1748"/>
      <c r="W1113" s="541"/>
      <c r="X1113" s="1748"/>
      <c r="Y1113" s="1748"/>
      <c r="Z1113" s="1748"/>
      <c r="AA1113" s="541"/>
      <c r="AB1113" s="1748"/>
      <c r="AC1113" s="541"/>
      <c r="AD1113" s="541"/>
      <c r="AE1113" s="541"/>
      <c r="AF1113" s="541"/>
      <c r="AG1113" s="541"/>
      <c r="AH1113" s="541"/>
      <c r="AI1113" s="541"/>
      <c r="AJ1113" s="541"/>
      <c r="AK1113" s="541"/>
      <c r="AL1113" s="541"/>
      <c r="AM1113" s="541"/>
      <c r="AN1113" s="1748"/>
      <c r="AO1113" s="1748"/>
      <c r="AP1113" s="1748"/>
      <c r="AQ1113" s="1748"/>
      <c r="AR1113" s="1748"/>
      <c r="AS1113" s="541"/>
      <c r="AT1113" s="541"/>
      <c r="AU1113" s="541"/>
      <c r="AV1113" s="541"/>
      <c r="AW1113" s="541"/>
      <c r="AX1113" s="541"/>
      <c r="AY1113" s="541"/>
      <c r="AZ1113" s="541"/>
      <c r="BA1113" s="541"/>
      <c r="BC1113" s="541"/>
      <c r="BE1113" s="541"/>
      <c r="BG1113" s="541"/>
      <c r="BH1113" s="1190"/>
      <c r="BI1113" s="541"/>
      <c r="BJ1113" s="1190"/>
      <c r="BK1113" s="541"/>
      <c r="BL1113" s="541"/>
      <c r="BM1113" s="541"/>
      <c r="BO1113" s="541"/>
      <c r="BP1113" s="541"/>
      <c r="BQ1113" s="633"/>
      <c r="BR1113" s="541"/>
      <c r="BS1113" s="541"/>
      <c r="BT1113" s="541"/>
    </row>
    <row r="1114" ht="15.75" customHeight="1">
      <c r="A1114" s="1591"/>
      <c r="B1114" s="1541"/>
      <c r="C1114" s="2217"/>
      <c r="D1114" s="1543"/>
      <c r="E1114" s="906"/>
      <c r="F1114" s="541"/>
      <c r="G1114" s="541"/>
      <c r="H1114" s="541"/>
      <c r="I1114" s="541"/>
      <c r="J1114" s="1748"/>
      <c r="K1114" s="541"/>
      <c r="L1114" s="1748"/>
      <c r="M1114" s="541"/>
      <c r="N1114" s="1748"/>
      <c r="O1114" s="541"/>
      <c r="P1114" s="1748"/>
      <c r="Q1114" s="541"/>
      <c r="R1114" s="1748"/>
      <c r="S1114" s="541"/>
      <c r="T1114" s="1748"/>
      <c r="U1114" s="541"/>
      <c r="V1114" s="1748"/>
      <c r="W1114" s="541"/>
      <c r="X1114" s="1748"/>
      <c r="Y1114" s="1748"/>
      <c r="Z1114" s="1748"/>
      <c r="AA1114" s="541"/>
      <c r="AB1114" s="1748"/>
      <c r="AC1114" s="541"/>
      <c r="AD1114" s="541"/>
      <c r="AE1114" s="541"/>
      <c r="AF1114" s="541"/>
      <c r="AG1114" s="541"/>
      <c r="AH1114" s="541"/>
      <c r="AI1114" s="541"/>
      <c r="AJ1114" s="541"/>
      <c r="AK1114" s="541"/>
      <c r="AL1114" s="541"/>
      <c r="AM1114" s="541"/>
      <c r="AN1114" s="1748"/>
      <c r="AO1114" s="1748"/>
      <c r="AP1114" s="1748"/>
      <c r="AQ1114" s="1748"/>
      <c r="AR1114" s="1748"/>
      <c r="AS1114" s="541"/>
      <c r="AT1114" s="541"/>
      <c r="AU1114" s="541"/>
      <c r="AV1114" s="541"/>
      <c r="AW1114" s="541"/>
      <c r="AX1114" s="541"/>
      <c r="AY1114" s="541"/>
      <c r="AZ1114" s="541"/>
      <c r="BA1114" s="541"/>
      <c r="BC1114" s="541"/>
      <c r="BE1114" s="541"/>
      <c r="BG1114" s="541"/>
      <c r="BH1114" s="1190"/>
      <c r="BI1114" s="541"/>
      <c r="BJ1114" s="1190"/>
      <c r="BK1114" s="541"/>
      <c r="BL1114" s="541"/>
      <c r="BM1114" s="541"/>
      <c r="BO1114" s="541"/>
      <c r="BP1114" s="541"/>
      <c r="BQ1114" s="633"/>
      <c r="BR1114" s="541"/>
      <c r="BS1114" s="541"/>
      <c r="BT1114" s="541"/>
    </row>
    <row r="1115" ht="15.75" customHeight="1">
      <c r="A1115" s="1591"/>
      <c r="B1115" s="1541"/>
      <c r="C1115" s="2217"/>
      <c r="D1115" s="1543"/>
      <c r="E1115" s="906"/>
      <c r="F1115" s="541"/>
      <c r="G1115" s="541"/>
      <c r="H1115" s="541"/>
      <c r="I1115" s="541"/>
      <c r="J1115" s="1748"/>
      <c r="K1115" s="541"/>
      <c r="L1115" s="1748"/>
      <c r="M1115" s="541"/>
      <c r="N1115" s="1748"/>
      <c r="O1115" s="541"/>
      <c r="P1115" s="1748"/>
      <c r="Q1115" s="541"/>
      <c r="R1115" s="1748"/>
      <c r="S1115" s="541"/>
      <c r="T1115" s="1748"/>
      <c r="U1115" s="541"/>
      <c r="V1115" s="1748"/>
      <c r="W1115" s="541"/>
      <c r="X1115" s="1748"/>
      <c r="Y1115" s="1748"/>
      <c r="Z1115" s="1748"/>
      <c r="AA1115" s="541"/>
      <c r="AB1115" s="1748"/>
      <c r="AC1115" s="541"/>
      <c r="AD1115" s="541"/>
      <c r="AE1115" s="541"/>
      <c r="AF1115" s="541"/>
      <c r="AG1115" s="541"/>
      <c r="AH1115" s="541"/>
      <c r="AI1115" s="541"/>
      <c r="AJ1115" s="541"/>
      <c r="AK1115" s="541"/>
      <c r="AL1115" s="541"/>
      <c r="AM1115" s="541"/>
      <c r="AN1115" s="1748"/>
      <c r="AO1115" s="1748"/>
      <c r="AP1115" s="1748"/>
      <c r="AQ1115" s="1748"/>
      <c r="AR1115" s="1748"/>
      <c r="AS1115" s="541"/>
      <c r="AT1115" s="541"/>
      <c r="AU1115" s="541"/>
      <c r="AV1115" s="541"/>
      <c r="AW1115" s="541"/>
      <c r="AX1115" s="541"/>
      <c r="AY1115" s="541"/>
      <c r="AZ1115" s="541"/>
      <c r="BA1115" s="541"/>
      <c r="BC1115" s="541"/>
      <c r="BE1115" s="541"/>
      <c r="BG1115" s="541"/>
      <c r="BH1115" s="1190"/>
      <c r="BI1115" s="541"/>
      <c r="BJ1115" s="1190"/>
      <c r="BK1115" s="541"/>
      <c r="BL1115" s="541"/>
      <c r="BM1115" s="541"/>
      <c r="BO1115" s="541"/>
      <c r="BP1115" s="541"/>
      <c r="BQ1115" s="633"/>
      <c r="BR1115" s="541"/>
      <c r="BS1115" s="541"/>
      <c r="BT1115" s="541"/>
    </row>
    <row r="1116" ht="15.75" customHeight="1">
      <c r="A1116" s="1591"/>
      <c r="B1116" s="1541"/>
      <c r="C1116" s="2217"/>
      <c r="D1116" s="1543"/>
      <c r="E1116" s="906"/>
      <c r="F1116" s="541"/>
      <c r="G1116" s="541"/>
      <c r="H1116" s="541"/>
      <c r="I1116" s="541"/>
      <c r="J1116" s="1748"/>
      <c r="K1116" s="541"/>
      <c r="L1116" s="1748"/>
      <c r="M1116" s="541"/>
      <c r="N1116" s="1748"/>
      <c r="O1116" s="541"/>
      <c r="P1116" s="1748"/>
      <c r="Q1116" s="541"/>
      <c r="R1116" s="1748"/>
      <c r="S1116" s="541"/>
      <c r="T1116" s="1748"/>
      <c r="U1116" s="541"/>
      <c r="V1116" s="1748"/>
      <c r="W1116" s="541"/>
      <c r="X1116" s="1748"/>
      <c r="Y1116" s="1748"/>
      <c r="Z1116" s="1748"/>
      <c r="AA1116" s="541"/>
      <c r="AB1116" s="1748"/>
      <c r="AC1116" s="541"/>
      <c r="AD1116" s="541"/>
      <c r="AE1116" s="541"/>
      <c r="AF1116" s="541"/>
      <c r="AG1116" s="541"/>
      <c r="AH1116" s="541"/>
      <c r="AI1116" s="541"/>
      <c r="AJ1116" s="541"/>
      <c r="AK1116" s="541"/>
      <c r="AL1116" s="541"/>
      <c r="AM1116" s="541"/>
      <c r="AN1116" s="1748"/>
      <c r="AO1116" s="1748"/>
      <c r="AP1116" s="1748"/>
      <c r="AQ1116" s="1748"/>
      <c r="AR1116" s="1748"/>
      <c r="AS1116" s="541"/>
      <c r="AT1116" s="541"/>
      <c r="AU1116" s="541"/>
      <c r="AV1116" s="541"/>
      <c r="AW1116" s="541"/>
      <c r="AX1116" s="541"/>
      <c r="AY1116" s="541"/>
      <c r="AZ1116" s="541"/>
      <c r="BA1116" s="541"/>
      <c r="BC1116" s="541"/>
      <c r="BE1116" s="541"/>
      <c r="BG1116" s="541"/>
      <c r="BH1116" s="1190"/>
      <c r="BI1116" s="541"/>
      <c r="BJ1116" s="1190"/>
      <c r="BK1116" s="541"/>
      <c r="BL1116" s="541"/>
      <c r="BM1116" s="541"/>
      <c r="BO1116" s="541"/>
      <c r="BP1116" s="541"/>
      <c r="BQ1116" s="633"/>
      <c r="BR1116" s="541"/>
      <c r="BS1116" s="541"/>
      <c r="BT1116" s="541"/>
    </row>
    <row r="1117" ht="15.75" customHeight="1">
      <c r="A1117" s="1591"/>
      <c r="B1117" s="1541"/>
      <c r="C1117" s="2217"/>
      <c r="D1117" s="1543"/>
      <c r="E1117" s="906"/>
      <c r="F1117" s="541"/>
      <c r="G1117" s="541"/>
      <c r="H1117" s="541"/>
      <c r="I1117" s="541"/>
      <c r="J1117" s="1748"/>
      <c r="K1117" s="541"/>
      <c r="L1117" s="1748"/>
      <c r="M1117" s="541"/>
      <c r="N1117" s="1748"/>
      <c r="O1117" s="541"/>
      <c r="P1117" s="1748"/>
      <c r="Q1117" s="541"/>
      <c r="R1117" s="1748"/>
      <c r="S1117" s="541"/>
      <c r="T1117" s="1748"/>
      <c r="U1117" s="541"/>
      <c r="V1117" s="1748"/>
      <c r="W1117" s="541"/>
      <c r="X1117" s="1748"/>
      <c r="Y1117" s="1748"/>
      <c r="Z1117" s="1748"/>
      <c r="AA1117" s="541"/>
      <c r="AB1117" s="1748"/>
      <c r="AC1117" s="541"/>
      <c r="AD1117" s="541"/>
      <c r="AE1117" s="541"/>
      <c r="AF1117" s="541"/>
      <c r="AG1117" s="541"/>
      <c r="AH1117" s="541"/>
      <c r="AI1117" s="541"/>
      <c r="AJ1117" s="541"/>
      <c r="AK1117" s="541"/>
      <c r="AL1117" s="541"/>
      <c r="AM1117" s="541"/>
      <c r="AN1117" s="1748"/>
      <c r="AO1117" s="1748"/>
      <c r="AP1117" s="1748"/>
      <c r="AQ1117" s="1748"/>
      <c r="AR1117" s="1748"/>
      <c r="AS1117" s="541"/>
      <c r="AT1117" s="541"/>
      <c r="AU1117" s="541"/>
      <c r="AV1117" s="541"/>
      <c r="AW1117" s="541"/>
      <c r="AX1117" s="541"/>
      <c r="AY1117" s="541"/>
      <c r="AZ1117" s="541"/>
      <c r="BA1117" s="541"/>
      <c r="BC1117" s="541"/>
      <c r="BE1117" s="541"/>
      <c r="BG1117" s="541"/>
      <c r="BH1117" s="1190"/>
      <c r="BI1117" s="541"/>
      <c r="BJ1117" s="1190"/>
      <c r="BK1117" s="541"/>
      <c r="BL1117" s="541"/>
      <c r="BM1117" s="541"/>
      <c r="BO1117" s="541"/>
      <c r="BP1117" s="541"/>
      <c r="BQ1117" s="633"/>
      <c r="BR1117" s="541"/>
      <c r="BS1117" s="541"/>
      <c r="BT1117" s="541"/>
    </row>
    <row r="1118" ht="15.75" customHeight="1">
      <c r="A1118" s="1591"/>
      <c r="B1118" s="1541"/>
      <c r="C1118" s="2217"/>
      <c r="D1118" s="1543"/>
      <c r="E1118" s="906"/>
      <c r="F1118" s="541"/>
      <c r="G1118" s="541"/>
      <c r="H1118" s="541"/>
      <c r="I1118" s="541"/>
      <c r="J1118" s="1748"/>
      <c r="K1118" s="541"/>
      <c r="L1118" s="1748"/>
      <c r="M1118" s="541"/>
      <c r="N1118" s="1748"/>
      <c r="O1118" s="541"/>
      <c r="P1118" s="1748"/>
      <c r="Q1118" s="541"/>
      <c r="R1118" s="1748"/>
      <c r="S1118" s="541"/>
      <c r="T1118" s="1748"/>
      <c r="U1118" s="541"/>
      <c r="V1118" s="1748"/>
      <c r="W1118" s="541"/>
      <c r="X1118" s="1748"/>
      <c r="Y1118" s="1748"/>
      <c r="Z1118" s="1748"/>
      <c r="AA1118" s="541"/>
      <c r="AB1118" s="1748"/>
      <c r="AC1118" s="541"/>
      <c r="AD1118" s="541"/>
      <c r="AE1118" s="541"/>
      <c r="AF1118" s="541"/>
      <c r="AG1118" s="541"/>
      <c r="AH1118" s="541"/>
      <c r="AI1118" s="541"/>
      <c r="AJ1118" s="541"/>
      <c r="AK1118" s="541"/>
      <c r="AL1118" s="541"/>
      <c r="AM1118" s="541"/>
      <c r="AN1118" s="1748"/>
      <c r="AO1118" s="1748"/>
      <c r="AP1118" s="1748"/>
      <c r="AQ1118" s="1748"/>
      <c r="AR1118" s="1748"/>
      <c r="AS1118" s="541"/>
      <c r="AT1118" s="541"/>
      <c r="AU1118" s="541"/>
      <c r="AV1118" s="541"/>
      <c r="AW1118" s="541"/>
      <c r="AX1118" s="541"/>
      <c r="AY1118" s="541"/>
      <c r="AZ1118" s="541"/>
      <c r="BA1118" s="541"/>
      <c r="BC1118" s="541"/>
      <c r="BE1118" s="541"/>
      <c r="BG1118" s="541"/>
      <c r="BH1118" s="1190"/>
      <c r="BI1118" s="541"/>
      <c r="BJ1118" s="1190"/>
      <c r="BK1118" s="541"/>
      <c r="BL1118" s="541"/>
      <c r="BM1118" s="541"/>
      <c r="BO1118" s="541"/>
      <c r="BP1118" s="541"/>
      <c r="BQ1118" s="633"/>
      <c r="BR1118" s="541"/>
      <c r="BS1118" s="541"/>
      <c r="BT1118" s="541"/>
    </row>
    <row r="1119" ht="15.75" customHeight="1">
      <c r="A1119" s="1591"/>
      <c r="B1119" s="1541"/>
      <c r="C1119" s="2217"/>
      <c r="D1119" s="1543"/>
      <c r="E1119" s="906"/>
      <c r="F1119" s="541"/>
      <c r="G1119" s="541"/>
      <c r="H1119" s="541"/>
      <c r="I1119" s="541"/>
      <c r="J1119" s="1748"/>
      <c r="K1119" s="541"/>
      <c r="L1119" s="1748"/>
      <c r="M1119" s="541"/>
      <c r="N1119" s="1748"/>
      <c r="O1119" s="541"/>
      <c r="P1119" s="1748"/>
      <c r="Q1119" s="541"/>
      <c r="R1119" s="1748"/>
      <c r="S1119" s="541"/>
      <c r="T1119" s="1748"/>
      <c r="U1119" s="541"/>
      <c r="V1119" s="1748"/>
      <c r="W1119" s="541"/>
      <c r="X1119" s="1748"/>
      <c r="Y1119" s="1748"/>
      <c r="Z1119" s="1748"/>
      <c r="AA1119" s="541"/>
      <c r="AB1119" s="1748"/>
      <c r="AC1119" s="541"/>
      <c r="AD1119" s="541"/>
      <c r="AE1119" s="541"/>
      <c r="AF1119" s="541"/>
      <c r="AG1119" s="541"/>
      <c r="AH1119" s="541"/>
      <c r="AI1119" s="541"/>
      <c r="AJ1119" s="541"/>
      <c r="AK1119" s="541"/>
      <c r="AL1119" s="541"/>
      <c r="AM1119" s="541"/>
      <c r="AN1119" s="1748"/>
      <c r="AO1119" s="1748"/>
      <c r="AP1119" s="1748"/>
      <c r="AQ1119" s="1748"/>
      <c r="AR1119" s="1748"/>
      <c r="AS1119" s="541"/>
      <c r="AT1119" s="541"/>
      <c r="AU1119" s="541"/>
      <c r="AV1119" s="541"/>
      <c r="AW1119" s="541"/>
      <c r="AX1119" s="541"/>
      <c r="AY1119" s="541"/>
      <c r="AZ1119" s="541"/>
      <c r="BA1119" s="541"/>
      <c r="BC1119" s="541"/>
      <c r="BE1119" s="541"/>
      <c r="BG1119" s="541"/>
      <c r="BH1119" s="1190"/>
      <c r="BI1119" s="541"/>
      <c r="BJ1119" s="1190"/>
      <c r="BK1119" s="541"/>
      <c r="BL1119" s="541"/>
      <c r="BM1119" s="541"/>
      <c r="BO1119" s="541"/>
      <c r="BP1119" s="541"/>
      <c r="BQ1119" s="633"/>
      <c r="BR1119" s="541"/>
      <c r="BS1119" s="541"/>
      <c r="BT1119" s="541"/>
    </row>
    <row r="1120" ht="15.75" customHeight="1">
      <c r="A1120" s="1591"/>
      <c r="B1120" s="1541"/>
      <c r="C1120" s="2217"/>
      <c r="D1120" s="1543"/>
      <c r="E1120" s="906"/>
      <c r="F1120" s="541"/>
      <c r="G1120" s="541"/>
      <c r="H1120" s="541"/>
      <c r="I1120" s="541"/>
      <c r="J1120" s="1748"/>
      <c r="K1120" s="541"/>
      <c r="L1120" s="1748"/>
      <c r="M1120" s="541"/>
      <c r="N1120" s="1748"/>
      <c r="O1120" s="541"/>
      <c r="P1120" s="1748"/>
      <c r="Q1120" s="541"/>
      <c r="R1120" s="1748"/>
      <c r="S1120" s="541"/>
      <c r="T1120" s="1748"/>
      <c r="U1120" s="541"/>
      <c r="V1120" s="1748"/>
      <c r="W1120" s="541"/>
      <c r="X1120" s="1748"/>
      <c r="Y1120" s="1748"/>
      <c r="Z1120" s="1748"/>
      <c r="AA1120" s="541"/>
      <c r="AB1120" s="1748"/>
      <c r="AC1120" s="541"/>
      <c r="AD1120" s="541"/>
      <c r="AE1120" s="541"/>
      <c r="AF1120" s="541"/>
      <c r="AG1120" s="541"/>
      <c r="AH1120" s="541"/>
      <c r="AI1120" s="541"/>
      <c r="AJ1120" s="541"/>
      <c r="AK1120" s="541"/>
      <c r="AL1120" s="541"/>
      <c r="AM1120" s="541"/>
      <c r="AN1120" s="1748"/>
      <c r="AO1120" s="1748"/>
      <c r="AP1120" s="1748"/>
      <c r="AQ1120" s="1748"/>
      <c r="AR1120" s="1748"/>
      <c r="AS1120" s="541"/>
      <c r="AT1120" s="541"/>
      <c r="AU1120" s="541"/>
      <c r="AV1120" s="541"/>
      <c r="AW1120" s="541"/>
      <c r="AX1120" s="541"/>
      <c r="AY1120" s="541"/>
      <c r="AZ1120" s="541"/>
      <c r="BA1120" s="541"/>
      <c r="BC1120" s="541"/>
      <c r="BE1120" s="541"/>
      <c r="BG1120" s="541"/>
      <c r="BH1120" s="1190"/>
      <c r="BI1120" s="541"/>
      <c r="BJ1120" s="1190"/>
      <c r="BK1120" s="541"/>
      <c r="BL1120" s="541"/>
      <c r="BM1120" s="541"/>
      <c r="BO1120" s="541"/>
      <c r="BP1120" s="541"/>
      <c r="BQ1120" s="633"/>
      <c r="BR1120" s="541"/>
      <c r="BS1120" s="541"/>
      <c r="BT1120" s="541"/>
    </row>
    <row r="1121" ht="15.75" customHeight="1">
      <c r="A1121" s="1591"/>
      <c r="B1121" s="1541"/>
      <c r="C1121" s="2217"/>
      <c r="D1121" s="1543"/>
      <c r="E1121" s="906"/>
      <c r="F1121" s="541"/>
      <c r="G1121" s="541"/>
      <c r="H1121" s="541"/>
      <c r="I1121" s="541"/>
      <c r="J1121" s="1748"/>
      <c r="K1121" s="541"/>
      <c r="L1121" s="1748"/>
      <c r="M1121" s="541"/>
      <c r="N1121" s="1748"/>
      <c r="O1121" s="541"/>
      <c r="P1121" s="1748"/>
      <c r="Q1121" s="541"/>
      <c r="R1121" s="1748"/>
      <c r="S1121" s="541"/>
      <c r="T1121" s="1748"/>
      <c r="U1121" s="541"/>
      <c r="V1121" s="1748"/>
      <c r="W1121" s="541"/>
      <c r="X1121" s="1748"/>
      <c r="Y1121" s="1748"/>
      <c r="Z1121" s="1748"/>
      <c r="AA1121" s="541"/>
      <c r="AB1121" s="1748"/>
      <c r="AC1121" s="541"/>
      <c r="AD1121" s="541"/>
      <c r="AE1121" s="541"/>
      <c r="AF1121" s="541"/>
      <c r="AG1121" s="541"/>
      <c r="AH1121" s="541"/>
      <c r="AI1121" s="541"/>
      <c r="AJ1121" s="541"/>
      <c r="AK1121" s="541"/>
      <c r="AL1121" s="541"/>
      <c r="AM1121" s="541"/>
      <c r="AN1121" s="1748"/>
      <c r="AO1121" s="1748"/>
      <c r="AP1121" s="1748"/>
      <c r="AQ1121" s="1748"/>
      <c r="AR1121" s="1748"/>
      <c r="AS1121" s="541"/>
      <c r="AT1121" s="541"/>
      <c r="AU1121" s="541"/>
      <c r="AV1121" s="541"/>
      <c r="AW1121" s="541"/>
      <c r="AX1121" s="541"/>
      <c r="AY1121" s="541"/>
      <c r="AZ1121" s="541"/>
      <c r="BA1121" s="541"/>
      <c r="BC1121" s="541"/>
      <c r="BE1121" s="541"/>
      <c r="BG1121" s="541"/>
      <c r="BH1121" s="1190"/>
      <c r="BI1121" s="541"/>
      <c r="BJ1121" s="1190"/>
      <c r="BK1121" s="541"/>
      <c r="BL1121" s="541"/>
      <c r="BM1121" s="541"/>
      <c r="BO1121" s="541"/>
      <c r="BP1121" s="541"/>
      <c r="BQ1121" s="633"/>
      <c r="BR1121" s="541"/>
      <c r="BS1121" s="541"/>
      <c r="BT1121" s="541"/>
    </row>
    <row r="1122" ht="15.75" customHeight="1">
      <c r="A1122" s="1591"/>
      <c r="B1122" s="1541"/>
      <c r="C1122" s="2217"/>
      <c r="D1122" s="1543"/>
      <c r="E1122" s="906"/>
      <c r="F1122" s="541"/>
      <c r="G1122" s="541"/>
      <c r="H1122" s="541"/>
      <c r="I1122" s="541"/>
      <c r="J1122" s="1748"/>
      <c r="K1122" s="541"/>
      <c r="L1122" s="1748"/>
      <c r="M1122" s="541"/>
      <c r="N1122" s="1748"/>
      <c r="O1122" s="541"/>
      <c r="P1122" s="1748"/>
      <c r="Q1122" s="541"/>
      <c r="R1122" s="1748"/>
      <c r="S1122" s="541"/>
      <c r="T1122" s="1748"/>
      <c r="U1122" s="541"/>
      <c r="V1122" s="1748"/>
      <c r="W1122" s="541"/>
      <c r="X1122" s="1748"/>
      <c r="Y1122" s="1748"/>
      <c r="Z1122" s="1748"/>
      <c r="AA1122" s="541"/>
      <c r="AB1122" s="1748"/>
      <c r="AC1122" s="541"/>
      <c r="AD1122" s="541"/>
      <c r="AE1122" s="541"/>
      <c r="AF1122" s="541"/>
      <c r="AG1122" s="541"/>
      <c r="AH1122" s="541"/>
      <c r="AI1122" s="541"/>
      <c r="AJ1122" s="541"/>
      <c r="AK1122" s="541"/>
      <c r="AL1122" s="541"/>
      <c r="AM1122" s="541"/>
      <c r="AN1122" s="1748"/>
      <c r="AO1122" s="1748"/>
      <c r="AP1122" s="1748"/>
      <c r="AQ1122" s="1748"/>
      <c r="AR1122" s="1748"/>
      <c r="AS1122" s="541"/>
      <c r="AT1122" s="541"/>
      <c r="AU1122" s="541"/>
      <c r="AV1122" s="541"/>
      <c r="AW1122" s="541"/>
      <c r="AX1122" s="541"/>
      <c r="AY1122" s="541"/>
      <c r="AZ1122" s="541"/>
      <c r="BA1122" s="541"/>
      <c r="BC1122" s="541"/>
      <c r="BE1122" s="541"/>
      <c r="BG1122" s="541"/>
      <c r="BH1122" s="1190"/>
      <c r="BI1122" s="541"/>
      <c r="BJ1122" s="1190"/>
      <c r="BK1122" s="541"/>
      <c r="BL1122" s="541"/>
      <c r="BM1122" s="541"/>
      <c r="BO1122" s="541"/>
      <c r="BP1122" s="541"/>
      <c r="BQ1122" s="633"/>
      <c r="BR1122" s="541"/>
      <c r="BS1122" s="541"/>
      <c r="BT1122" s="541"/>
    </row>
    <row r="1123" ht="15.75" customHeight="1">
      <c r="A1123" s="1591"/>
      <c r="B1123" s="1541"/>
      <c r="C1123" s="2217"/>
      <c r="D1123" s="1543"/>
      <c r="E1123" s="906"/>
      <c r="F1123" s="541"/>
      <c r="G1123" s="541"/>
      <c r="H1123" s="541"/>
      <c r="I1123" s="541"/>
      <c r="J1123" s="1748"/>
      <c r="K1123" s="541"/>
      <c r="L1123" s="1748"/>
      <c r="M1123" s="541"/>
      <c r="N1123" s="1748"/>
      <c r="O1123" s="541"/>
      <c r="P1123" s="1748"/>
      <c r="Q1123" s="541"/>
      <c r="R1123" s="1748"/>
      <c r="S1123" s="541"/>
      <c r="T1123" s="1748"/>
      <c r="U1123" s="541"/>
      <c r="V1123" s="1748"/>
      <c r="W1123" s="541"/>
      <c r="X1123" s="1748"/>
      <c r="Y1123" s="1748"/>
      <c r="Z1123" s="1748"/>
      <c r="AA1123" s="541"/>
      <c r="AB1123" s="1748"/>
      <c r="AC1123" s="541"/>
      <c r="AD1123" s="541"/>
      <c r="AE1123" s="541"/>
      <c r="AF1123" s="541"/>
      <c r="AG1123" s="541"/>
      <c r="AH1123" s="541"/>
      <c r="AI1123" s="541"/>
      <c r="AJ1123" s="541"/>
      <c r="AK1123" s="541"/>
      <c r="AL1123" s="541"/>
      <c r="AM1123" s="541"/>
      <c r="AN1123" s="1748"/>
      <c r="AO1123" s="1748"/>
      <c r="AP1123" s="1748"/>
      <c r="AQ1123" s="1748"/>
      <c r="AR1123" s="1748"/>
      <c r="AS1123" s="541"/>
      <c r="AT1123" s="541"/>
      <c r="AU1123" s="541"/>
      <c r="AV1123" s="541"/>
      <c r="AW1123" s="541"/>
      <c r="AX1123" s="541"/>
      <c r="AY1123" s="541"/>
      <c r="AZ1123" s="541"/>
      <c r="BA1123" s="541"/>
      <c r="BC1123" s="541"/>
      <c r="BE1123" s="541"/>
      <c r="BG1123" s="541"/>
      <c r="BH1123" s="1190"/>
      <c r="BI1123" s="541"/>
      <c r="BJ1123" s="1190"/>
      <c r="BK1123" s="541"/>
      <c r="BL1123" s="541"/>
      <c r="BM1123" s="541"/>
      <c r="BO1123" s="541"/>
      <c r="BP1123" s="541"/>
      <c r="BQ1123" s="633"/>
      <c r="BR1123" s="541"/>
      <c r="BS1123" s="541"/>
      <c r="BT1123" s="541"/>
    </row>
    <row r="1124" ht="15.75" customHeight="1">
      <c r="A1124" s="1591"/>
      <c r="B1124" s="1541"/>
      <c r="C1124" s="2217"/>
      <c r="D1124" s="1543"/>
      <c r="E1124" s="906"/>
      <c r="F1124" s="541"/>
      <c r="G1124" s="541"/>
      <c r="H1124" s="541"/>
      <c r="I1124" s="541"/>
      <c r="J1124" s="1748"/>
      <c r="K1124" s="541"/>
      <c r="L1124" s="1748"/>
      <c r="M1124" s="541"/>
      <c r="N1124" s="1748"/>
      <c r="O1124" s="541"/>
      <c r="P1124" s="1748"/>
      <c r="Q1124" s="541"/>
      <c r="R1124" s="1748"/>
      <c r="S1124" s="541"/>
      <c r="T1124" s="1748"/>
      <c r="U1124" s="541"/>
      <c r="V1124" s="1748"/>
      <c r="W1124" s="541"/>
      <c r="X1124" s="1748"/>
      <c r="Y1124" s="1748"/>
      <c r="Z1124" s="1748"/>
      <c r="AA1124" s="541"/>
      <c r="AB1124" s="1748"/>
      <c r="AC1124" s="541"/>
      <c r="AD1124" s="541"/>
      <c r="AE1124" s="541"/>
      <c r="AF1124" s="541"/>
      <c r="AG1124" s="541"/>
      <c r="AH1124" s="541"/>
      <c r="AI1124" s="541"/>
      <c r="AJ1124" s="541"/>
      <c r="AK1124" s="541"/>
      <c r="AL1124" s="541"/>
      <c r="AM1124" s="541"/>
      <c r="AN1124" s="1748"/>
      <c r="AO1124" s="1748"/>
      <c r="AP1124" s="1748"/>
      <c r="AQ1124" s="1748"/>
      <c r="AR1124" s="1748"/>
      <c r="AS1124" s="541"/>
      <c r="AT1124" s="541"/>
      <c r="AU1124" s="541"/>
      <c r="AV1124" s="541"/>
      <c r="AW1124" s="541"/>
      <c r="AX1124" s="541"/>
      <c r="AY1124" s="541"/>
      <c r="AZ1124" s="541"/>
      <c r="BA1124" s="541"/>
      <c r="BC1124" s="541"/>
      <c r="BE1124" s="541"/>
      <c r="BG1124" s="541"/>
      <c r="BH1124" s="1190"/>
      <c r="BI1124" s="541"/>
      <c r="BJ1124" s="1190"/>
      <c r="BK1124" s="541"/>
      <c r="BL1124" s="541"/>
      <c r="BM1124" s="541"/>
      <c r="BO1124" s="541"/>
      <c r="BP1124" s="541"/>
      <c r="BQ1124" s="633"/>
      <c r="BR1124" s="541"/>
      <c r="BS1124" s="541"/>
      <c r="BT1124" s="541"/>
    </row>
    <row r="1125" ht="15.75" customHeight="1">
      <c r="A1125" s="1591"/>
      <c r="B1125" s="1541"/>
      <c r="C1125" s="2217"/>
      <c r="D1125" s="1543"/>
      <c r="E1125" s="906"/>
      <c r="F1125" s="541"/>
      <c r="G1125" s="541"/>
      <c r="H1125" s="541"/>
      <c r="I1125" s="541"/>
      <c r="J1125" s="1748"/>
      <c r="K1125" s="541"/>
      <c r="L1125" s="1748"/>
      <c r="M1125" s="541"/>
      <c r="N1125" s="1748"/>
      <c r="O1125" s="541"/>
      <c r="P1125" s="1748"/>
      <c r="Q1125" s="541"/>
      <c r="R1125" s="1748"/>
      <c r="S1125" s="541"/>
      <c r="T1125" s="1748"/>
      <c r="U1125" s="541"/>
      <c r="V1125" s="1748"/>
      <c r="W1125" s="541"/>
      <c r="X1125" s="1748"/>
      <c r="Y1125" s="1748"/>
      <c r="Z1125" s="1748"/>
      <c r="AA1125" s="541"/>
      <c r="AB1125" s="1748"/>
      <c r="AC1125" s="541"/>
      <c r="AD1125" s="541"/>
      <c r="AE1125" s="541"/>
      <c r="AF1125" s="541"/>
      <c r="AG1125" s="541"/>
      <c r="AH1125" s="541"/>
      <c r="AI1125" s="541"/>
      <c r="AJ1125" s="541"/>
      <c r="AK1125" s="541"/>
      <c r="AL1125" s="541"/>
      <c r="AM1125" s="541"/>
      <c r="AN1125" s="1748"/>
      <c r="AO1125" s="1748"/>
      <c r="AP1125" s="1748"/>
      <c r="AQ1125" s="1748"/>
      <c r="AR1125" s="1748"/>
      <c r="AS1125" s="541"/>
      <c r="AT1125" s="541"/>
      <c r="AU1125" s="541"/>
      <c r="AV1125" s="541"/>
      <c r="AW1125" s="541"/>
      <c r="AX1125" s="541"/>
      <c r="AY1125" s="541"/>
      <c r="AZ1125" s="541"/>
      <c r="BA1125" s="541"/>
      <c r="BC1125" s="541"/>
      <c r="BE1125" s="541"/>
      <c r="BG1125" s="541"/>
      <c r="BH1125" s="1190"/>
      <c r="BI1125" s="541"/>
      <c r="BJ1125" s="1190"/>
      <c r="BK1125" s="541"/>
      <c r="BL1125" s="541"/>
      <c r="BM1125" s="541"/>
      <c r="BO1125" s="541"/>
      <c r="BP1125" s="541"/>
      <c r="BQ1125" s="633"/>
      <c r="BR1125" s="541"/>
      <c r="BS1125" s="541"/>
      <c r="BT1125" s="541"/>
    </row>
    <row r="1126" ht="15.75" customHeight="1">
      <c r="A1126" s="1591"/>
      <c r="B1126" s="1541"/>
      <c r="C1126" s="2217"/>
      <c r="D1126" s="1543"/>
      <c r="E1126" s="906"/>
      <c r="F1126" s="541"/>
      <c r="G1126" s="541"/>
      <c r="H1126" s="541"/>
      <c r="I1126" s="541"/>
      <c r="J1126" s="1748"/>
      <c r="K1126" s="541"/>
      <c r="L1126" s="1748"/>
      <c r="M1126" s="541"/>
      <c r="N1126" s="1748"/>
      <c r="O1126" s="541"/>
      <c r="P1126" s="1748"/>
      <c r="Q1126" s="541"/>
      <c r="R1126" s="1748"/>
      <c r="S1126" s="541"/>
      <c r="T1126" s="1748"/>
      <c r="U1126" s="541"/>
      <c r="V1126" s="1748"/>
      <c r="W1126" s="541"/>
      <c r="X1126" s="1748"/>
      <c r="Y1126" s="1748"/>
      <c r="Z1126" s="1748"/>
      <c r="AA1126" s="541"/>
      <c r="AB1126" s="1748"/>
      <c r="AC1126" s="541"/>
      <c r="AD1126" s="541"/>
      <c r="AE1126" s="541"/>
      <c r="AF1126" s="541"/>
      <c r="AG1126" s="541"/>
      <c r="AH1126" s="541"/>
      <c r="AI1126" s="541"/>
      <c r="AJ1126" s="541"/>
      <c r="AK1126" s="541"/>
      <c r="AL1126" s="541"/>
      <c r="AM1126" s="541"/>
      <c r="AN1126" s="1748"/>
      <c r="AO1126" s="1748"/>
      <c r="AP1126" s="1748"/>
      <c r="AQ1126" s="1748"/>
      <c r="AR1126" s="1748"/>
      <c r="AS1126" s="541"/>
      <c r="AT1126" s="541"/>
      <c r="AU1126" s="541"/>
      <c r="AV1126" s="541"/>
      <c r="AW1126" s="541"/>
      <c r="AX1126" s="541"/>
      <c r="AY1126" s="541"/>
      <c r="AZ1126" s="541"/>
      <c r="BA1126" s="541"/>
      <c r="BC1126" s="541"/>
      <c r="BE1126" s="541"/>
      <c r="BG1126" s="541"/>
      <c r="BH1126" s="1190"/>
      <c r="BI1126" s="541"/>
      <c r="BJ1126" s="1190"/>
      <c r="BK1126" s="541"/>
      <c r="BL1126" s="541"/>
      <c r="BM1126" s="541"/>
      <c r="BO1126" s="541"/>
      <c r="BP1126" s="541"/>
      <c r="BQ1126" s="633"/>
      <c r="BR1126" s="541"/>
      <c r="BS1126" s="541"/>
      <c r="BT1126" s="541"/>
    </row>
    <row r="1127" ht="15.75" customHeight="1">
      <c r="A1127" s="1591"/>
      <c r="B1127" s="1541"/>
      <c r="C1127" s="2217"/>
      <c r="D1127" s="1543"/>
      <c r="E1127" s="906"/>
      <c r="F1127" s="541"/>
      <c r="G1127" s="541"/>
      <c r="H1127" s="541"/>
      <c r="I1127" s="541"/>
      <c r="J1127" s="1748"/>
      <c r="K1127" s="541"/>
      <c r="L1127" s="1748"/>
      <c r="M1127" s="541"/>
      <c r="N1127" s="1748"/>
      <c r="O1127" s="541"/>
      <c r="P1127" s="1748"/>
      <c r="Q1127" s="541"/>
      <c r="R1127" s="1748"/>
      <c r="S1127" s="541"/>
      <c r="T1127" s="1748"/>
      <c r="U1127" s="541"/>
      <c r="V1127" s="1748"/>
      <c r="W1127" s="541"/>
      <c r="X1127" s="1748"/>
      <c r="Y1127" s="1748"/>
      <c r="Z1127" s="1748"/>
      <c r="AA1127" s="541"/>
      <c r="AB1127" s="1748"/>
      <c r="AC1127" s="541"/>
      <c r="AD1127" s="541"/>
      <c r="AE1127" s="541"/>
      <c r="AF1127" s="541"/>
      <c r="AG1127" s="541"/>
      <c r="AH1127" s="541"/>
      <c r="AI1127" s="541"/>
      <c r="AJ1127" s="541"/>
      <c r="AK1127" s="541"/>
      <c r="AL1127" s="541"/>
      <c r="AM1127" s="541"/>
      <c r="AN1127" s="1748"/>
      <c r="AO1127" s="1748"/>
      <c r="AP1127" s="1748"/>
      <c r="AQ1127" s="1748"/>
      <c r="AR1127" s="1748"/>
      <c r="AS1127" s="541"/>
      <c r="AT1127" s="541"/>
      <c r="AU1127" s="541"/>
      <c r="AV1127" s="541"/>
      <c r="AW1127" s="541"/>
      <c r="AX1127" s="541"/>
      <c r="AY1127" s="541"/>
      <c r="AZ1127" s="541"/>
      <c r="BA1127" s="541"/>
      <c r="BC1127" s="541"/>
      <c r="BE1127" s="541"/>
      <c r="BG1127" s="541"/>
      <c r="BH1127" s="1190"/>
      <c r="BI1127" s="541"/>
      <c r="BJ1127" s="1190"/>
      <c r="BK1127" s="541"/>
      <c r="BL1127" s="541"/>
      <c r="BM1127" s="541"/>
      <c r="BO1127" s="541"/>
      <c r="BP1127" s="541"/>
      <c r="BQ1127" s="633"/>
      <c r="BR1127" s="541"/>
      <c r="BS1127" s="541"/>
      <c r="BT1127" s="541"/>
    </row>
    <row r="1128" ht="15.75" customHeight="1">
      <c r="A1128" s="1591"/>
      <c r="B1128" s="1541"/>
      <c r="C1128" s="2217"/>
      <c r="D1128" s="1543"/>
      <c r="E1128" s="906"/>
      <c r="F1128" s="541"/>
      <c r="G1128" s="541"/>
      <c r="H1128" s="541"/>
      <c r="I1128" s="541"/>
      <c r="J1128" s="1748"/>
      <c r="K1128" s="541"/>
      <c r="L1128" s="1748"/>
      <c r="M1128" s="541"/>
      <c r="N1128" s="1748"/>
      <c r="O1128" s="541"/>
      <c r="P1128" s="1748"/>
      <c r="Q1128" s="541"/>
      <c r="R1128" s="1748"/>
      <c r="S1128" s="541"/>
      <c r="T1128" s="1748"/>
      <c r="U1128" s="541"/>
      <c r="V1128" s="1748"/>
      <c r="W1128" s="541"/>
      <c r="X1128" s="1748"/>
      <c r="Y1128" s="1748"/>
      <c r="Z1128" s="1748"/>
      <c r="AA1128" s="541"/>
      <c r="AB1128" s="1748"/>
      <c r="AC1128" s="541"/>
      <c r="AD1128" s="541"/>
      <c r="AE1128" s="541"/>
      <c r="AF1128" s="541"/>
      <c r="AG1128" s="541"/>
      <c r="AH1128" s="541"/>
      <c r="AI1128" s="541"/>
      <c r="AJ1128" s="541"/>
      <c r="AK1128" s="541"/>
      <c r="AL1128" s="541"/>
      <c r="AM1128" s="541"/>
      <c r="AN1128" s="1748"/>
      <c r="AO1128" s="1748"/>
      <c r="AP1128" s="1748"/>
      <c r="AQ1128" s="1748"/>
      <c r="AR1128" s="1748"/>
      <c r="AS1128" s="541"/>
      <c r="AT1128" s="541"/>
      <c r="AU1128" s="541"/>
      <c r="AV1128" s="541"/>
      <c r="AW1128" s="541"/>
      <c r="AX1128" s="541"/>
      <c r="AY1128" s="541"/>
      <c r="AZ1128" s="541"/>
      <c r="BA1128" s="541"/>
      <c r="BC1128" s="541"/>
      <c r="BE1128" s="541"/>
      <c r="BG1128" s="541"/>
      <c r="BH1128" s="1190"/>
      <c r="BI1128" s="541"/>
      <c r="BJ1128" s="1190"/>
      <c r="BK1128" s="541"/>
      <c r="BL1128" s="541"/>
      <c r="BM1128" s="541"/>
      <c r="BO1128" s="541"/>
      <c r="BP1128" s="541"/>
      <c r="BQ1128" s="633"/>
      <c r="BR1128" s="541"/>
      <c r="BS1128" s="541"/>
      <c r="BT1128" s="541"/>
    </row>
    <row r="1129" ht="15.75" customHeight="1">
      <c r="A1129" s="1591"/>
      <c r="B1129" s="1541"/>
      <c r="C1129" s="2217"/>
      <c r="D1129" s="1543"/>
      <c r="E1129" s="906"/>
      <c r="F1129" s="541"/>
      <c r="G1129" s="541"/>
      <c r="H1129" s="541"/>
      <c r="I1129" s="541"/>
      <c r="J1129" s="1748"/>
      <c r="K1129" s="541"/>
      <c r="L1129" s="1748"/>
      <c r="M1129" s="541"/>
      <c r="N1129" s="1748"/>
      <c r="O1129" s="541"/>
      <c r="P1129" s="1748"/>
      <c r="Q1129" s="541"/>
      <c r="R1129" s="1748"/>
      <c r="S1129" s="541"/>
      <c r="T1129" s="1748"/>
      <c r="U1129" s="541"/>
      <c r="V1129" s="1748"/>
      <c r="W1129" s="541"/>
      <c r="X1129" s="1748"/>
      <c r="Y1129" s="1748"/>
      <c r="Z1129" s="1748"/>
      <c r="AA1129" s="541"/>
      <c r="AB1129" s="1748"/>
      <c r="AC1129" s="541"/>
      <c r="AD1129" s="541"/>
      <c r="AE1129" s="541"/>
      <c r="AF1129" s="541"/>
      <c r="AG1129" s="541"/>
      <c r="AH1129" s="541"/>
      <c r="AI1129" s="541"/>
      <c r="AJ1129" s="541"/>
      <c r="AK1129" s="541"/>
      <c r="AL1129" s="541"/>
      <c r="AM1129" s="541"/>
      <c r="AN1129" s="1748"/>
      <c r="AO1129" s="1748"/>
      <c r="AP1129" s="1748"/>
      <c r="AQ1129" s="1748"/>
      <c r="AR1129" s="1748"/>
      <c r="AS1129" s="541"/>
      <c r="AT1129" s="541"/>
      <c r="AU1129" s="541"/>
      <c r="AV1129" s="541"/>
      <c r="AW1129" s="541"/>
      <c r="AX1129" s="541"/>
      <c r="AY1129" s="541"/>
      <c r="AZ1129" s="541"/>
      <c r="BA1129" s="541"/>
      <c r="BC1129" s="541"/>
      <c r="BE1129" s="541"/>
      <c r="BG1129" s="541"/>
      <c r="BH1129" s="1190"/>
      <c r="BI1129" s="541"/>
      <c r="BJ1129" s="1190"/>
      <c r="BK1129" s="541"/>
      <c r="BL1129" s="541"/>
      <c r="BM1129" s="541"/>
      <c r="BO1129" s="541"/>
      <c r="BP1129" s="541"/>
      <c r="BQ1129" s="633"/>
      <c r="BR1129" s="541"/>
      <c r="BS1129" s="541"/>
      <c r="BT1129" s="541"/>
    </row>
    <row r="1130" ht="15.75" customHeight="1">
      <c r="A1130" s="1591"/>
      <c r="B1130" s="1541"/>
      <c r="C1130" s="2217"/>
      <c r="D1130" s="1543"/>
      <c r="E1130" s="906"/>
      <c r="F1130" s="541"/>
      <c r="G1130" s="541"/>
      <c r="H1130" s="541"/>
      <c r="I1130" s="541"/>
      <c r="J1130" s="1748"/>
      <c r="K1130" s="541"/>
      <c r="L1130" s="1748"/>
      <c r="M1130" s="541"/>
      <c r="N1130" s="1748"/>
      <c r="O1130" s="541"/>
      <c r="P1130" s="1748"/>
      <c r="Q1130" s="541"/>
      <c r="R1130" s="1748"/>
      <c r="S1130" s="541"/>
      <c r="T1130" s="1748"/>
      <c r="U1130" s="541"/>
      <c r="V1130" s="1748"/>
      <c r="W1130" s="541"/>
      <c r="X1130" s="1748"/>
      <c r="Y1130" s="1748"/>
      <c r="Z1130" s="1748"/>
      <c r="AA1130" s="541"/>
      <c r="AB1130" s="1748"/>
      <c r="AC1130" s="541"/>
      <c r="AD1130" s="541"/>
      <c r="AE1130" s="541"/>
      <c r="AF1130" s="541"/>
      <c r="AG1130" s="541"/>
      <c r="AH1130" s="541"/>
      <c r="AI1130" s="541"/>
      <c r="AJ1130" s="541"/>
      <c r="AK1130" s="541"/>
      <c r="AL1130" s="541"/>
      <c r="AM1130" s="541"/>
      <c r="AN1130" s="1748"/>
      <c r="AO1130" s="1748"/>
      <c r="AP1130" s="1748"/>
      <c r="AQ1130" s="1748"/>
      <c r="AR1130" s="1748"/>
      <c r="AS1130" s="541"/>
      <c r="AT1130" s="541"/>
      <c r="AU1130" s="541"/>
      <c r="AV1130" s="541"/>
      <c r="AW1130" s="541"/>
      <c r="AX1130" s="541"/>
      <c r="AY1130" s="541"/>
      <c r="AZ1130" s="541"/>
      <c r="BA1130" s="541"/>
      <c r="BC1130" s="541"/>
      <c r="BE1130" s="541"/>
      <c r="BG1130" s="541"/>
      <c r="BH1130" s="1190"/>
      <c r="BI1130" s="541"/>
      <c r="BJ1130" s="1190"/>
      <c r="BK1130" s="541"/>
      <c r="BL1130" s="541"/>
      <c r="BM1130" s="541"/>
      <c r="BO1130" s="541"/>
      <c r="BP1130" s="541"/>
      <c r="BQ1130" s="633"/>
      <c r="BR1130" s="541"/>
      <c r="BS1130" s="541"/>
      <c r="BT1130" s="541"/>
    </row>
    <row r="1131" ht="15.75" customHeight="1">
      <c r="A1131" s="1591"/>
      <c r="B1131" s="1541"/>
      <c r="C1131" s="2217"/>
      <c r="D1131" s="1543"/>
      <c r="E1131" s="906"/>
      <c r="F1131" s="541"/>
      <c r="G1131" s="541"/>
      <c r="H1131" s="541"/>
      <c r="I1131" s="541"/>
      <c r="J1131" s="1748"/>
      <c r="K1131" s="541"/>
      <c r="L1131" s="1748"/>
      <c r="M1131" s="541"/>
      <c r="N1131" s="1748"/>
      <c r="O1131" s="541"/>
      <c r="P1131" s="1748"/>
      <c r="Q1131" s="541"/>
      <c r="R1131" s="1748"/>
      <c r="S1131" s="541"/>
      <c r="T1131" s="1748"/>
      <c r="U1131" s="541"/>
      <c r="V1131" s="1748"/>
      <c r="W1131" s="541"/>
      <c r="X1131" s="1748"/>
      <c r="Y1131" s="1748"/>
      <c r="Z1131" s="1748"/>
      <c r="AA1131" s="541"/>
      <c r="AB1131" s="1748"/>
      <c r="AC1131" s="541"/>
      <c r="AD1131" s="541"/>
      <c r="AE1131" s="541"/>
      <c r="AF1131" s="541"/>
      <c r="AG1131" s="541"/>
      <c r="AH1131" s="541"/>
      <c r="AI1131" s="541"/>
      <c r="AJ1131" s="541"/>
      <c r="AK1131" s="541"/>
      <c r="AL1131" s="541"/>
      <c r="AM1131" s="541"/>
      <c r="AN1131" s="1748"/>
      <c r="AO1131" s="1748"/>
      <c r="AP1131" s="1748"/>
      <c r="AQ1131" s="1748"/>
      <c r="AR1131" s="1748"/>
      <c r="AS1131" s="541"/>
      <c r="AT1131" s="541"/>
      <c r="AU1131" s="541"/>
      <c r="AV1131" s="541"/>
      <c r="AW1131" s="541"/>
      <c r="AX1131" s="541"/>
      <c r="AY1131" s="541"/>
      <c r="AZ1131" s="541"/>
      <c r="BA1131" s="541"/>
      <c r="BC1131" s="541"/>
      <c r="BE1131" s="541"/>
      <c r="BG1131" s="541"/>
      <c r="BH1131" s="1190"/>
      <c r="BI1131" s="541"/>
      <c r="BJ1131" s="1190"/>
      <c r="BK1131" s="541"/>
      <c r="BL1131" s="541"/>
      <c r="BM1131" s="541"/>
      <c r="BO1131" s="541"/>
      <c r="BP1131" s="541"/>
      <c r="BQ1131" s="633"/>
      <c r="BR1131" s="541"/>
      <c r="BS1131" s="541"/>
      <c r="BT1131" s="541"/>
    </row>
    <row r="1132" ht="15.75" customHeight="1">
      <c r="A1132" s="1591"/>
      <c r="B1132" s="1541"/>
      <c r="C1132" s="2217"/>
      <c r="D1132" s="1543"/>
      <c r="E1132" s="906"/>
      <c r="F1132" s="541"/>
      <c r="G1132" s="541"/>
      <c r="H1132" s="541"/>
      <c r="I1132" s="541"/>
      <c r="J1132" s="1748"/>
      <c r="K1132" s="541"/>
      <c r="L1132" s="1748"/>
      <c r="M1132" s="541"/>
      <c r="N1132" s="1748"/>
      <c r="O1132" s="541"/>
      <c r="P1132" s="1748"/>
      <c r="Q1132" s="541"/>
      <c r="R1132" s="1748"/>
      <c r="S1132" s="541"/>
      <c r="T1132" s="1748"/>
      <c r="U1132" s="541"/>
      <c r="V1132" s="1748"/>
      <c r="W1132" s="541"/>
      <c r="X1132" s="1748"/>
      <c r="Y1132" s="1748"/>
      <c r="Z1132" s="1748"/>
      <c r="AA1132" s="541"/>
      <c r="AB1132" s="1748"/>
      <c r="AC1132" s="541"/>
      <c r="AD1132" s="541"/>
      <c r="AE1132" s="541"/>
      <c r="AF1132" s="541"/>
      <c r="AG1132" s="541"/>
      <c r="AH1132" s="541"/>
      <c r="AI1132" s="541"/>
      <c r="AJ1132" s="541"/>
      <c r="AK1132" s="541"/>
      <c r="AL1132" s="541"/>
      <c r="AM1132" s="541"/>
      <c r="AN1132" s="1748"/>
      <c r="AO1132" s="1748"/>
      <c r="AP1132" s="1748"/>
      <c r="AQ1132" s="1748"/>
      <c r="AR1132" s="1748"/>
      <c r="AS1132" s="541"/>
      <c r="AT1132" s="541"/>
      <c r="AU1132" s="541"/>
      <c r="AV1132" s="541"/>
      <c r="AW1132" s="541"/>
      <c r="AX1132" s="541"/>
      <c r="AY1132" s="541"/>
      <c r="AZ1132" s="541"/>
      <c r="BA1132" s="541"/>
      <c r="BC1132" s="541"/>
      <c r="BE1132" s="541"/>
      <c r="BG1132" s="541"/>
      <c r="BH1132" s="1190"/>
      <c r="BI1132" s="541"/>
      <c r="BJ1132" s="1190"/>
      <c r="BK1132" s="541"/>
      <c r="BL1132" s="541"/>
      <c r="BM1132" s="541"/>
      <c r="BO1132" s="541"/>
      <c r="BP1132" s="541"/>
      <c r="BQ1132" s="633"/>
      <c r="BR1132" s="541"/>
      <c r="BS1132" s="541"/>
      <c r="BT1132" s="541"/>
    </row>
    <row r="1133" ht="15.75" customHeight="1">
      <c r="A1133" s="1591"/>
      <c r="B1133" s="1541"/>
      <c r="C1133" s="2217"/>
      <c r="D1133" s="1543"/>
      <c r="E1133" s="906"/>
      <c r="F1133" s="541"/>
      <c r="G1133" s="541"/>
      <c r="H1133" s="541"/>
      <c r="I1133" s="541"/>
      <c r="J1133" s="1748"/>
      <c r="K1133" s="541"/>
      <c r="L1133" s="1748"/>
      <c r="M1133" s="541"/>
      <c r="N1133" s="1748"/>
      <c r="O1133" s="541"/>
      <c r="P1133" s="1748"/>
      <c r="Q1133" s="541"/>
      <c r="R1133" s="1748"/>
      <c r="S1133" s="541"/>
      <c r="T1133" s="1748"/>
      <c r="U1133" s="541"/>
      <c r="V1133" s="1748"/>
      <c r="W1133" s="541"/>
      <c r="X1133" s="1748"/>
      <c r="Y1133" s="1748"/>
      <c r="Z1133" s="1748"/>
      <c r="AA1133" s="541"/>
      <c r="AB1133" s="1748"/>
      <c r="AC1133" s="541"/>
      <c r="AD1133" s="541"/>
      <c r="AE1133" s="541"/>
      <c r="AF1133" s="541"/>
      <c r="AG1133" s="541"/>
      <c r="AH1133" s="541"/>
      <c r="AI1133" s="541"/>
      <c r="AJ1133" s="541"/>
      <c r="AK1133" s="541"/>
      <c r="AL1133" s="541"/>
      <c r="AM1133" s="541"/>
      <c r="AN1133" s="1748"/>
      <c r="AO1133" s="1748"/>
      <c r="AP1133" s="1748"/>
      <c r="AQ1133" s="1748"/>
      <c r="AR1133" s="1748"/>
      <c r="AS1133" s="541"/>
      <c r="AT1133" s="541"/>
      <c r="AU1133" s="541"/>
      <c r="AV1133" s="541"/>
      <c r="AW1133" s="541"/>
      <c r="AX1133" s="541"/>
      <c r="AY1133" s="541"/>
      <c r="AZ1133" s="541"/>
      <c r="BA1133" s="541"/>
      <c r="BC1133" s="541"/>
      <c r="BE1133" s="541"/>
      <c r="BG1133" s="541"/>
      <c r="BH1133" s="1190"/>
      <c r="BI1133" s="541"/>
      <c r="BJ1133" s="1190"/>
      <c r="BK1133" s="541"/>
      <c r="BL1133" s="541"/>
      <c r="BM1133" s="541"/>
      <c r="BO1133" s="541"/>
      <c r="BP1133" s="541"/>
      <c r="BQ1133" s="633"/>
      <c r="BR1133" s="541"/>
      <c r="BS1133" s="541"/>
      <c r="BT1133" s="541"/>
    </row>
    <row r="1134" ht="15.75" customHeight="1">
      <c r="A1134" s="1591"/>
      <c r="B1134" s="1541"/>
      <c r="C1134" s="2217"/>
      <c r="D1134" s="1543"/>
      <c r="E1134" s="906"/>
      <c r="F1134" s="541"/>
      <c r="G1134" s="541"/>
      <c r="H1134" s="541"/>
      <c r="I1134" s="541"/>
      <c r="J1134" s="1748"/>
      <c r="K1134" s="541"/>
      <c r="L1134" s="1748"/>
      <c r="M1134" s="541"/>
      <c r="N1134" s="1748"/>
      <c r="O1134" s="541"/>
      <c r="P1134" s="1748"/>
      <c r="Q1134" s="541"/>
      <c r="R1134" s="1748"/>
      <c r="S1134" s="541"/>
      <c r="T1134" s="1748"/>
      <c r="U1134" s="541"/>
      <c r="V1134" s="1748"/>
      <c r="W1134" s="541"/>
      <c r="X1134" s="1748"/>
      <c r="Y1134" s="1748"/>
      <c r="Z1134" s="1748"/>
      <c r="AA1134" s="541"/>
      <c r="AB1134" s="1748"/>
      <c r="AC1134" s="541"/>
      <c r="AD1134" s="541"/>
      <c r="AE1134" s="541"/>
      <c r="AF1134" s="541"/>
      <c r="AG1134" s="541"/>
      <c r="AH1134" s="541"/>
      <c r="AI1134" s="541"/>
      <c r="AJ1134" s="541"/>
      <c r="AK1134" s="541"/>
      <c r="AL1134" s="541"/>
      <c r="AM1134" s="541"/>
      <c r="AN1134" s="1748"/>
      <c r="AO1134" s="1748"/>
      <c r="AP1134" s="1748"/>
      <c r="AQ1134" s="1748"/>
      <c r="AR1134" s="1748"/>
      <c r="AS1134" s="541"/>
      <c r="AT1134" s="541"/>
      <c r="AU1134" s="541"/>
      <c r="AV1134" s="541"/>
      <c r="AW1134" s="541"/>
      <c r="AX1134" s="541"/>
      <c r="AY1134" s="541"/>
      <c r="AZ1134" s="541"/>
      <c r="BA1134" s="541"/>
      <c r="BC1134" s="541"/>
      <c r="BE1134" s="541"/>
      <c r="BG1134" s="541"/>
      <c r="BH1134" s="1190"/>
      <c r="BI1134" s="541"/>
      <c r="BJ1134" s="1190"/>
      <c r="BK1134" s="541"/>
      <c r="BL1134" s="541"/>
      <c r="BM1134" s="541"/>
      <c r="BO1134" s="541"/>
      <c r="BP1134" s="541"/>
      <c r="BQ1134" s="633"/>
      <c r="BR1134" s="541"/>
      <c r="BS1134" s="541"/>
      <c r="BT1134" s="541"/>
    </row>
    <row r="1135" ht="15.75" customHeight="1">
      <c r="A1135" s="1591"/>
      <c r="B1135" s="1541"/>
      <c r="C1135" s="2217"/>
      <c r="D1135" s="1543"/>
      <c r="E1135" s="906"/>
      <c r="F1135" s="541"/>
      <c r="G1135" s="541"/>
      <c r="H1135" s="541"/>
      <c r="I1135" s="541"/>
      <c r="J1135" s="1748"/>
      <c r="K1135" s="541"/>
      <c r="L1135" s="1748"/>
      <c r="M1135" s="541"/>
      <c r="N1135" s="1748"/>
      <c r="O1135" s="541"/>
      <c r="P1135" s="1748"/>
      <c r="Q1135" s="541"/>
      <c r="R1135" s="1748"/>
      <c r="S1135" s="541"/>
      <c r="T1135" s="1748"/>
      <c r="U1135" s="541"/>
      <c r="V1135" s="1748"/>
      <c r="W1135" s="541"/>
      <c r="X1135" s="1748"/>
      <c r="Y1135" s="1748"/>
      <c r="Z1135" s="1748"/>
      <c r="AA1135" s="541"/>
      <c r="AB1135" s="1748"/>
      <c r="AC1135" s="541"/>
      <c r="AD1135" s="541"/>
      <c r="AE1135" s="541"/>
      <c r="AF1135" s="541"/>
      <c r="AG1135" s="541"/>
      <c r="AH1135" s="541"/>
      <c r="AI1135" s="541"/>
      <c r="AJ1135" s="541"/>
      <c r="AK1135" s="541"/>
      <c r="AL1135" s="541"/>
      <c r="AM1135" s="541"/>
      <c r="AN1135" s="1748"/>
      <c r="AO1135" s="1748"/>
      <c r="AP1135" s="1748"/>
      <c r="AQ1135" s="1748"/>
      <c r="AR1135" s="1748"/>
      <c r="AS1135" s="541"/>
      <c r="AT1135" s="541"/>
      <c r="AU1135" s="541"/>
      <c r="AV1135" s="541"/>
      <c r="AW1135" s="541"/>
      <c r="AX1135" s="541"/>
      <c r="AY1135" s="541"/>
      <c r="AZ1135" s="541"/>
      <c r="BA1135" s="541"/>
      <c r="BC1135" s="541"/>
      <c r="BE1135" s="541"/>
      <c r="BG1135" s="541"/>
      <c r="BH1135" s="1190"/>
      <c r="BI1135" s="541"/>
      <c r="BJ1135" s="1190"/>
      <c r="BK1135" s="541"/>
      <c r="BL1135" s="541"/>
      <c r="BM1135" s="541"/>
      <c r="BO1135" s="541"/>
      <c r="BP1135" s="541"/>
      <c r="BQ1135" s="633"/>
      <c r="BR1135" s="541"/>
      <c r="BS1135" s="541"/>
      <c r="BT1135" s="541"/>
    </row>
    <row r="1136" ht="15.75" customHeight="1">
      <c r="A1136" s="1591"/>
      <c r="B1136" s="1541"/>
      <c r="C1136" s="2217"/>
      <c r="D1136" s="1543"/>
      <c r="E1136" s="906"/>
      <c r="F1136" s="541"/>
      <c r="G1136" s="541"/>
      <c r="H1136" s="541"/>
      <c r="I1136" s="541"/>
      <c r="J1136" s="1748"/>
      <c r="K1136" s="541"/>
      <c r="L1136" s="1748"/>
      <c r="M1136" s="541"/>
      <c r="N1136" s="1748"/>
      <c r="O1136" s="541"/>
      <c r="P1136" s="1748"/>
      <c r="Q1136" s="541"/>
      <c r="R1136" s="1748"/>
      <c r="S1136" s="541"/>
      <c r="T1136" s="1748"/>
      <c r="U1136" s="541"/>
      <c r="V1136" s="1748"/>
      <c r="W1136" s="541"/>
      <c r="X1136" s="1748"/>
      <c r="Y1136" s="1748"/>
      <c r="Z1136" s="1748"/>
      <c r="AA1136" s="541"/>
      <c r="AB1136" s="1748"/>
      <c r="AC1136" s="541"/>
      <c r="AD1136" s="541"/>
      <c r="AE1136" s="541"/>
      <c r="AF1136" s="541"/>
      <c r="AG1136" s="541"/>
      <c r="AH1136" s="541"/>
      <c r="AI1136" s="541"/>
      <c r="AJ1136" s="541"/>
      <c r="AK1136" s="541"/>
      <c r="AL1136" s="541"/>
      <c r="AM1136" s="541"/>
      <c r="AN1136" s="1748"/>
      <c r="AO1136" s="1748"/>
      <c r="AP1136" s="1748"/>
      <c r="AQ1136" s="1748"/>
      <c r="AR1136" s="1748"/>
      <c r="AS1136" s="541"/>
      <c r="AT1136" s="541"/>
      <c r="AU1136" s="541"/>
      <c r="AV1136" s="541"/>
      <c r="AW1136" s="541"/>
      <c r="AX1136" s="541"/>
      <c r="AY1136" s="541"/>
      <c r="AZ1136" s="541"/>
      <c r="BA1136" s="541"/>
      <c r="BC1136" s="541"/>
      <c r="BE1136" s="541"/>
      <c r="BG1136" s="541"/>
      <c r="BH1136" s="1190"/>
      <c r="BI1136" s="541"/>
      <c r="BJ1136" s="1190"/>
      <c r="BK1136" s="541"/>
      <c r="BL1136" s="541"/>
      <c r="BM1136" s="541"/>
      <c r="BO1136" s="541"/>
      <c r="BP1136" s="541"/>
      <c r="BQ1136" s="633"/>
      <c r="BR1136" s="541"/>
      <c r="BS1136" s="541"/>
      <c r="BT1136" s="541"/>
    </row>
  </sheetData>
  <mergeCells count="4513">
    <mergeCell ref="AV35:AW35"/>
    <mergeCell ref="AX35:AY35"/>
    <mergeCell ref="AH35:AI35"/>
    <mergeCell ref="AJ35:AK35"/>
    <mergeCell ref="AL35:AM35"/>
    <mergeCell ref="AN35:AO35"/>
    <mergeCell ref="AP35:AQ35"/>
    <mergeCell ref="AR35:AS35"/>
    <mergeCell ref="AT35:AU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Z36:BA36"/>
    <mergeCell ref="BB36:BC36"/>
    <mergeCell ref="AL36:AM36"/>
    <mergeCell ref="AN36:AO36"/>
    <mergeCell ref="AP36:AQ36"/>
    <mergeCell ref="AR36:AS36"/>
    <mergeCell ref="AT36:AU36"/>
    <mergeCell ref="AV36:AW36"/>
    <mergeCell ref="AX36:AY36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BH34:BI34"/>
    <mergeCell ref="BJ34:BK34"/>
    <mergeCell ref="BL34:BM34"/>
    <mergeCell ref="BN34:BO34"/>
    <mergeCell ref="A2:B2"/>
    <mergeCell ref="F34:G34"/>
    <mergeCell ref="H34:I34"/>
    <mergeCell ref="J34:K34"/>
    <mergeCell ref="L34:M34"/>
    <mergeCell ref="N34:O34"/>
    <mergeCell ref="P34:Q34"/>
    <mergeCell ref="AT34:AU34"/>
    <mergeCell ref="AV34:AW34"/>
    <mergeCell ref="AX34:AY34"/>
    <mergeCell ref="AZ34:BA34"/>
    <mergeCell ref="BB34:BC34"/>
    <mergeCell ref="BD34:BE34"/>
    <mergeCell ref="BF34:BG34"/>
    <mergeCell ref="F36:G36"/>
    <mergeCell ref="H36:I36"/>
    <mergeCell ref="J36:K36"/>
    <mergeCell ref="L36:M36"/>
    <mergeCell ref="N36:O36"/>
    <mergeCell ref="P36:Q36"/>
    <mergeCell ref="R36:S36"/>
    <mergeCell ref="BD35:BE35"/>
    <mergeCell ref="BD36:BE36"/>
    <mergeCell ref="BF36:BG36"/>
    <mergeCell ref="BH36:BI36"/>
    <mergeCell ref="BJ36:BK36"/>
    <mergeCell ref="BL36:BM36"/>
    <mergeCell ref="BN36:BO36"/>
    <mergeCell ref="AZ35:BA35"/>
    <mergeCell ref="BB35:BC35"/>
    <mergeCell ref="BF35:BG35"/>
    <mergeCell ref="BH35:BI35"/>
    <mergeCell ref="BJ35:BK35"/>
    <mergeCell ref="BL35:BM35"/>
    <mergeCell ref="BN35:BO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BJ37:BK37"/>
    <mergeCell ref="BL37:BM37"/>
    <mergeCell ref="BN37:BO37"/>
    <mergeCell ref="AV37:AW37"/>
    <mergeCell ref="AX37:AY37"/>
    <mergeCell ref="AZ37:BA37"/>
    <mergeCell ref="BB37:BC37"/>
    <mergeCell ref="BD37:BE37"/>
    <mergeCell ref="BF37:BG37"/>
    <mergeCell ref="BH37:BI37"/>
    <mergeCell ref="F37:G37"/>
    <mergeCell ref="H37:I37"/>
    <mergeCell ref="J37:K37"/>
    <mergeCell ref="L37:M37"/>
    <mergeCell ref="N37:O37"/>
    <mergeCell ref="P37:Q37"/>
    <mergeCell ref="R37:S37"/>
    <mergeCell ref="AV39:AW39"/>
    <mergeCell ref="AX39:AY39"/>
    <mergeCell ref="AH39:AI39"/>
    <mergeCell ref="AJ39:AK39"/>
    <mergeCell ref="AL39:AM39"/>
    <mergeCell ref="AN39:AO39"/>
    <mergeCell ref="AP39:AQ39"/>
    <mergeCell ref="AR39:AS39"/>
    <mergeCell ref="AT39:AU39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BJ42:BK42"/>
    <mergeCell ref="BL42:BM42"/>
    <mergeCell ref="BN42:BO42"/>
    <mergeCell ref="F42:G42"/>
    <mergeCell ref="H42:I42"/>
    <mergeCell ref="J42:K42"/>
    <mergeCell ref="L42:M42"/>
    <mergeCell ref="N42:O42"/>
    <mergeCell ref="P42:Q42"/>
    <mergeCell ref="R42:S42"/>
    <mergeCell ref="AV42:AW42"/>
    <mergeCell ref="AX42:AY42"/>
    <mergeCell ref="AZ42:BA42"/>
    <mergeCell ref="BB42:BC42"/>
    <mergeCell ref="BD42:BE42"/>
    <mergeCell ref="BF42:BG42"/>
    <mergeCell ref="BH42:BI42"/>
    <mergeCell ref="F44:G44"/>
    <mergeCell ref="H44:I44"/>
    <mergeCell ref="J44:K44"/>
    <mergeCell ref="L44:M44"/>
    <mergeCell ref="N44:O44"/>
    <mergeCell ref="P44:Q44"/>
    <mergeCell ref="R44:S44"/>
    <mergeCell ref="BD43:BE43"/>
    <mergeCell ref="BD44:BE44"/>
    <mergeCell ref="BF44:BG44"/>
    <mergeCell ref="BH44:BI44"/>
    <mergeCell ref="BJ44:BK44"/>
    <mergeCell ref="BL44:BM44"/>
    <mergeCell ref="BN44:BO44"/>
    <mergeCell ref="AZ43:BA43"/>
    <mergeCell ref="BB43:BC43"/>
    <mergeCell ref="BF43:BG43"/>
    <mergeCell ref="BH43:BI43"/>
    <mergeCell ref="BJ43:BK43"/>
    <mergeCell ref="BL43:BM43"/>
    <mergeCell ref="BN43:BO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BJ45:BK45"/>
    <mergeCell ref="BL45:BM45"/>
    <mergeCell ref="BN45:BO45"/>
    <mergeCell ref="AV45:AW45"/>
    <mergeCell ref="AX45:AY45"/>
    <mergeCell ref="AZ45:BA45"/>
    <mergeCell ref="BB45:BC45"/>
    <mergeCell ref="BD45:BE45"/>
    <mergeCell ref="BF45:BG45"/>
    <mergeCell ref="BH45:BI45"/>
    <mergeCell ref="F45:G45"/>
    <mergeCell ref="H45:I45"/>
    <mergeCell ref="J45:K45"/>
    <mergeCell ref="L45:M45"/>
    <mergeCell ref="N45:O45"/>
    <mergeCell ref="P45:Q45"/>
    <mergeCell ref="R45:S45"/>
    <mergeCell ref="AZ40:BA40"/>
    <mergeCell ref="BB40:BC40"/>
    <mergeCell ref="AL40:AM40"/>
    <mergeCell ref="AN40:AO40"/>
    <mergeCell ref="AP40:AQ40"/>
    <mergeCell ref="AR40:AS40"/>
    <mergeCell ref="AT40:AU40"/>
    <mergeCell ref="AV40:AW40"/>
    <mergeCell ref="AX40:AY40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BJ38:BK38"/>
    <mergeCell ref="BL38:BM38"/>
    <mergeCell ref="BN38:BO38"/>
    <mergeCell ref="F38:G38"/>
    <mergeCell ref="H38:I38"/>
    <mergeCell ref="J38:K38"/>
    <mergeCell ref="L38:M38"/>
    <mergeCell ref="N38:O38"/>
    <mergeCell ref="P38:Q38"/>
    <mergeCell ref="R38:S38"/>
    <mergeCell ref="AV38:AW38"/>
    <mergeCell ref="AX38:AY38"/>
    <mergeCell ref="AZ38:BA38"/>
    <mergeCell ref="BB38:BC38"/>
    <mergeCell ref="BD38:BE38"/>
    <mergeCell ref="BF38:BG38"/>
    <mergeCell ref="BH38:BI38"/>
    <mergeCell ref="F40:G40"/>
    <mergeCell ref="H40:I40"/>
    <mergeCell ref="J40:K40"/>
    <mergeCell ref="L40:M40"/>
    <mergeCell ref="N40:O40"/>
    <mergeCell ref="P40:Q40"/>
    <mergeCell ref="R40:S40"/>
    <mergeCell ref="BD39:BE39"/>
    <mergeCell ref="BD40:BE40"/>
    <mergeCell ref="BF40:BG40"/>
    <mergeCell ref="BH40:BI40"/>
    <mergeCell ref="BJ40:BK40"/>
    <mergeCell ref="BL40:BM40"/>
    <mergeCell ref="BN40:BO40"/>
    <mergeCell ref="AZ39:BA39"/>
    <mergeCell ref="BB39:BC39"/>
    <mergeCell ref="BF39:BG39"/>
    <mergeCell ref="BH39:BI39"/>
    <mergeCell ref="BJ39:BK39"/>
    <mergeCell ref="BL39:BM39"/>
    <mergeCell ref="BN39:B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BJ41:BK41"/>
    <mergeCell ref="BL41:BM41"/>
    <mergeCell ref="BN41:BO41"/>
    <mergeCell ref="AV41:AW41"/>
    <mergeCell ref="AX41:AY41"/>
    <mergeCell ref="AZ41:BA41"/>
    <mergeCell ref="BB41:BC41"/>
    <mergeCell ref="BD41:BE41"/>
    <mergeCell ref="BF41:BG41"/>
    <mergeCell ref="BH41:BI41"/>
    <mergeCell ref="F41:G41"/>
    <mergeCell ref="H41:I41"/>
    <mergeCell ref="J41:K41"/>
    <mergeCell ref="L41:M41"/>
    <mergeCell ref="N41:O41"/>
    <mergeCell ref="P41:Q41"/>
    <mergeCell ref="R41:S41"/>
    <mergeCell ref="AV43:AW43"/>
    <mergeCell ref="AX43:AY43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AZ44:BA44"/>
    <mergeCell ref="BB44:BC44"/>
    <mergeCell ref="AL44:AM44"/>
    <mergeCell ref="AN44:AO44"/>
    <mergeCell ref="AP44:AQ44"/>
    <mergeCell ref="AR44:AS44"/>
    <mergeCell ref="AT44:AU44"/>
    <mergeCell ref="AV44:AW44"/>
    <mergeCell ref="AX44:AY44"/>
    <mergeCell ref="AV47:AW47"/>
    <mergeCell ref="AX47:AY47"/>
    <mergeCell ref="AH47:AI47"/>
    <mergeCell ref="AJ47:AK47"/>
    <mergeCell ref="AL47:AM47"/>
    <mergeCell ref="AN47:AO47"/>
    <mergeCell ref="AP47:AQ47"/>
    <mergeCell ref="AR47:AS47"/>
    <mergeCell ref="AT47:AU47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BJ50:BK50"/>
    <mergeCell ref="BL50:BM50"/>
    <mergeCell ref="BN50:BO50"/>
    <mergeCell ref="F50:G50"/>
    <mergeCell ref="H50:I50"/>
    <mergeCell ref="J50:K50"/>
    <mergeCell ref="L50:M50"/>
    <mergeCell ref="N50:O50"/>
    <mergeCell ref="P50:Q50"/>
    <mergeCell ref="R50:S50"/>
    <mergeCell ref="AV50:AW50"/>
    <mergeCell ref="AX50:AY50"/>
    <mergeCell ref="AZ50:BA50"/>
    <mergeCell ref="BB50:BC50"/>
    <mergeCell ref="BD50:BE50"/>
    <mergeCell ref="BF50:BG50"/>
    <mergeCell ref="BH50:BI50"/>
    <mergeCell ref="F52:G52"/>
    <mergeCell ref="H52:I52"/>
    <mergeCell ref="J52:K52"/>
    <mergeCell ref="L52:M52"/>
    <mergeCell ref="N52:O52"/>
    <mergeCell ref="P52:Q52"/>
    <mergeCell ref="R52:S52"/>
    <mergeCell ref="BD51:BE51"/>
    <mergeCell ref="BD52:BE52"/>
    <mergeCell ref="BF52:BG52"/>
    <mergeCell ref="BH52:BI52"/>
    <mergeCell ref="BJ52:BK52"/>
    <mergeCell ref="BL52:BM52"/>
    <mergeCell ref="BN52:BO52"/>
    <mergeCell ref="AZ51:BA51"/>
    <mergeCell ref="BB51:BC51"/>
    <mergeCell ref="BF51:BG51"/>
    <mergeCell ref="BH51:BI51"/>
    <mergeCell ref="BJ51:BK51"/>
    <mergeCell ref="BL51:BM51"/>
    <mergeCell ref="BN51:BO51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Z48:BA48"/>
    <mergeCell ref="BB48:BC48"/>
    <mergeCell ref="AL48:AM48"/>
    <mergeCell ref="AN48:AO48"/>
    <mergeCell ref="AP48:AQ48"/>
    <mergeCell ref="AR48:AS48"/>
    <mergeCell ref="AT48:AU48"/>
    <mergeCell ref="AV48:AW48"/>
    <mergeCell ref="AX48:AY48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BJ46:BK46"/>
    <mergeCell ref="BL46:BM46"/>
    <mergeCell ref="BN46:BO46"/>
    <mergeCell ref="F46:G46"/>
    <mergeCell ref="H46:I46"/>
    <mergeCell ref="J46:K46"/>
    <mergeCell ref="L46:M46"/>
    <mergeCell ref="N46:O46"/>
    <mergeCell ref="P46:Q46"/>
    <mergeCell ref="R46:S46"/>
    <mergeCell ref="AV46:AW46"/>
    <mergeCell ref="AX46:AY46"/>
    <mergeCell ref="AZ46:BA46"/>
    <mergeCell ref="BB46:BC46"/>
    <mergeCell ref="BD46:BE46"/>
    <mergeCell ref="BF46:BG46"/>
    <mergeCell ref="BH46:BI46"/>
    <mergeCell ref="F48:G48"/>
    <mergeCell ref="H48:I48"/>
    <mergeCell ref="J48:K48"/>
    <mergeCell ref="L48:M48"/>
    <mergeCell ref="N48:O48"/>
    <mergeCell ref="P48:Q48"/>
    <mergeCell ref="R48:S48"/>
    <mergeCell ref="BD47:BE47"/>
    <mergeCell ref="BD48:BE48"/>
    <mergeCell ref="BF48:BG48"/>
    <mergeCell ref="BH48:BI48"/>
    <mergeCell ref="BJ48:BK48"/>
    <mergeCell ref="BL48:BM48"/>
    <mergeCell ref="BN48:BO48"/>
    <mergeCell ref="AZ47:BA47"/>
    <mergeCell ref="BB47:BC47"/>
    <mergeCell ref="BF47:BG47"/>
    <mergeCell ref="BH47:BI47"/>
    <mergeCell ref="BJ47:BK47"/>
    <mergeCell ref="BL47:BM47"/>
    <mergeCell ref="BN47:BO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BJ49:BK49"/>
    <mergeCell ref="BL49:BM49"/>
    <mergeCell ref="BN49:BO49"/>
    <mergeCell ref="AV49:AW49"/>
    <mergeCell ref="AX49:AY49"/>
    <mergeCell ref="AZ49:BA49"/>
    <mergeCell ref="BB49:BC49"/>
    <mergeCell ref="BD49:BE49"/>
    <mergeCell ref="BF49:BG49"/>
    <mergeCell ref="BH49:BI49"/>
    <mergeCell ref="F49:G49"/>
    <mergeCell ref="H49:I49"/>
    <mergeCell ref="J49:K49"/>
    <mergeCell ref="L49:M49"/>
    <mergeCell ref="N49:O49"/>
    <mergeCell ref="P49:Q49"/>
    <mergeCell ref="R49:S49"/>
    <mergeCell ref="AV51:AW51"/>
    <mergeCell ref="AX51:AY51"/>
    <mergeCell ref="AH51:AI51"/>
    <mergeCell ref="AJ51:AK51"/>
    <mergeCell ref="AL51:AM51"/>
    <mergeCell ref="AN51:AO51"/>
    <mergeCell ref="AP51:AQ51"/>
    <mergeCell ref="AR51:AS51"/>
    <mergeCell ref="AT51:AU51"/>
    <mergeCell ref="AZ52:BA52"/>
    <mergeCell ref="BB52:BC52"/>
    <mergeCell ref="AL52:AM52"/>
    <mergeCell ref="AN52:AO52"/>
    <mergeCell ref="AP52:AQ52"/>
    <mergeCell ref="AR52:AS52"/>
    <mergeCell ref="AT52:AU52"/>
    <mergeCell ref="AV52:AW52"/>
    <mergeCell ref="AX52:AY52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BJ53:BK53"/>
    <mergeCell ref="BL53:BM53"/>
    <mergeCell ref="BN53:BO53"/>
    <mergeCell ref="AV53:AW53"/>
    <mergeCell ref="AX53:AY53"/>
    <mergeCell ref="AZ53:BA53"/>
    <mergeCell ref="BB53:BC53"/>
    <mergeCell ref="BD53:BE53"/>
    <mergeCell ref="BF53:BG53"/>
    <mergeCell ref="BH53:BI53"/>
    <mergeCell ref="F53:G53"/>
    <mergeCell ref="H53:I53"/>
    <mergeCell ref="J53:K53"/>
    <mergeCell ref="L53:M53"/>
    <mergeCell ref="N53:O53"/>
    <mergeCell ref="P53:Q53"/>
    <mergeCell ref="R53:S53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Z60:BA60"/>
    <mergeCell ref="BB60:BC60"/>
    <mergeCell ref="AL60:AM60"/>
    <mergeCell ref="AN60:AO60"/>
    <mergeCell ref="AP60:AQ60"/>
    <mergeCell ref="AR60:AS60"/>
    <mergeCell ref="AT60:AU60"/>
    <mergeCell ref="AV60:AW60"/>
    <mergeCell ref="AX60:AY60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BJ58:BK58"/>
    <mergeCell ref="BL58:BM58"/>
    <mergeCell ref="BN58:BO58"/>
    <mergeCell ref="F58:G58"/>
    <mergeCell ref="H58:I58"/>
    <mergeCell ref="J58:K58"/>
    <mergeCell ref="L58:M58"/>
    <mergeCell ref="N58:O58"/>
    <mergeCell ref="P58:Q58"/>
    <mergeCell ref="R58:S58"/>
    <mergeCell ref="AV58:AW58"/>
    <mergeCell ref="AX58:AY58"/>
    <mergeCell ref="AZ58:BA58"/>
    <mergeCell ref="BB58:BC58"/>
    <mergeCell ref="BD58:BE58"/>
    <mergeCell ref="BF58:BG58"/>
    <mergeCell ref="BH58:BI58"/>
    <mergeCell ref="F60:G60"/>
    <mergeCell ref="H60:I60"/>
    <mergeCell ref="J60:K60"/>
    <mergeCell ref="L60:M60"/>
    <mergeCell ref="N60:O60"/>
    <mergeCell ref="P60:Q60"/>
    <mergeCell ref="R60:S60"/>
    <mergeCell ref="BD59:BE59"/>
    <mergeCell ref="BD60:BE60"/>
    <mergeCell ref="BF60:BG60"/>
    <mergeCell ref="BH60:BI60"/>
    <mergeCell ref="BJ60:BK60"/>
    <mergeCell ref="BL60:BM60"/>
    <mergeCell ref="BN60:BO60"/>
    <mergeCell ref="AZ59:BA59"/>
    <mergeCell ref="BB59:BC59"/>
    <mergeCell ref="BF59:BG59"/>
    <mergeCell ref="BH59:BI59"/>
    <mergeCell ref="BJ59:BK59"/>
    <mergeCell ref="BL59:BM59"/>
    <mergeCell ref="BN59:BO59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BJ98:BK98"/>
    <mergeCell ref="BL98:BM98"/>
    <mergeCell ref="BN98:BO98"/>
    <mergeCell ref="F98:G98"/>
    <mergeCell ref="H98:I98"/>
    <mergeCell ref="J98:K98"/>
    <mergeCell ref="L98:M98"/>
    <mergeCell ref="N98:O98"/>
    <mergeCell ref="P98:Q98"/>
    <mergeCell ref="R98:S98"/>
    <mergeCell ref="AV98:AW98"/>
    <mergeCell ref="AX98:AY98"/>
    <mergeCell ref="AZ98:BA98"/>
    <mergeCell ref="BB98:BC98"/>
    <mergeCell ref="BD98:BE98"/>
    <mergeCell ref="BF98:BG98"/>
    <mergeCell ref="BH98:BI98"/>
    <mergeCell ref="F100:G100"/>
    <mergeCell ref="H100:I100"/>
    <mergeCell ref="J100:K100"/>
    <mergeCell ref="L100:M100"/>
    <mergeCell ref="N100:O100"/>
    <mergeCell ref="P100:Q100"/>
    <mergeCell ref="R100:S100"/>
    <mergeCell ref="BD99:BE99"/>
    <mergeCell ref="BD100:BE100"/>
    <mergeCell ref="BF100:BG100"/>
    <mergeCell ref="BH100:BI100"/>
    <mergeCell ref="BJ100:BK100"/>
    <mergeCell ref="BL100:BM100"/>
    <mergeCell ref="BN100:BO100"/>
    <mergeCell ref="AZ99:BA99"/>
    <mergeCell ref="BB99:BC99"/>
    <mergeCell ref="BF99:BG99"/>
    <mergeCell ref="BH99:BI99"/>
    <mergeCell ref="BJ99:BK99"/>
    <mergeCell ref="BL99:BM99"/>
    <mergeCell ref="BN99:BO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M101"/>
    <mergeCell ref="AN101:AO101"/>
    <mergeCell ref="AP101:AQ101"/>
    <mergeCell ref="AR101:AS101"/>
    <mergeCell ref="AT101:AU101"/>
    <mergeCell ref="BJ101:BK101"/>
    <mergeCell ref="BL101:BM101"/>
    <mergeCell ref="BN101:BO101"/>
    <mergeCell ref="AV101:AW101"/>
    <mergeCell ref="AX101:AY101"/>
    <mergeCell ref="AZ101:BA101"/>
    <mergeCell ref="BB101:BC101"/>
    <mergeCell ref="BD101:BE101"/>
    <mergeCell ref="BF101:BG101"/>
    <mergeCell ref="BH101:BI101"/>
    <mergeCell ref="F101:G101"/>
    <mergeCell ref="H101:I101"/>
    <mergeCell ref="J101:K101"/>
    <mergeCell ref="L101:M101"/>
    <mergeCell ref="N101:O101"/>
    <mergeCell ref="P101:Q101"/>
    <mergeCell ref="R101:S101"/>
    <mergeCell ref="AV55:AW55"/>
    <mergeCell ref="AX55:AY55"/>
    <mergeCell ref="AH55:AI55"/>
    <mergeCell ref="AJ55:AK55"/>
    <mergeCell ref="AL55:AM55"/>
    <mergeCell ref="AN55:AO55"/>
    <mergeCell ref="AP55:AQ55"/>
    <mergeCell ref="AR55:AS55"/>
    <mergeCell ref="AT55:AU55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BJ54:BK54"/>
    <mergeCell ref="BL54:BM54"/>
    <mergeCell ref="BN54:BO54"/>
    <mergeCell ref="F54:G54"/>
    <mergeCell ref="H54:I54"/>
    <mergeCell ref="J54:K54"/>
    <mergeCell ref="L54:M54"/>
    <mergeCell ref="N54:O54"/>
    <mergeCell ref="P54:Q54"/>
    <mergeCell ref="R54:S54"/>
    <mergeCell ref="AV54:AW54"/>
    <mergeCell ref="AX54:AY54"/>
    <mergeCell ref="AZ54:BA54"/>
    <mergeCell ref="BB54:BC54"/>
    <mergeCell ref="BD54:BE54"/>
    <mergeCell ref="BF54:BG54"/>
    <mergeCell ref="BH54:BI54"/>
    <mergeCell ref="F56:G56"/>
    <mergeCell ref="H56:I56"/>
    <mergeCell ref="J56:K56"/>
    <mergeCell ref="L56:M56"/>
    <mergeCell ref="N56:O56"/>
    <mergeCell ref="P56:Q56"/>
    <mergeCell ref="R56:S56"/>
    <mergeCell ref="BD55:BE55"/>
    <mergeCell ref="BD56:BE56"/>
    <mergeCell ref="BF56:BG56"/>
    <mergeCell ref="BH56:BI56"/>
    <mergeCell ref="BJ56:BK56"/>
    <mergeCell ref="BL56:BM56"/>
    <mergeCell ref="BN56:BO56"/>
    <mergeCell ref="AZ55:BA55"/>
    <mergeCell ref="BB55:BC55"/>
    <mergeCell ref="BF55:BG55"/>
    <mergeCell ref="BH55:BI55"/>
    <mergeCell ref="BJ55:BK55"/>
    <mergeCell ref="BL55:BM55"/>
    <mergeCell ref="BN55:BO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BJ57:BK57"/>
    <mergeCell ref="BL57:BM57"/>
    <mergeCell ref="BN57:BO57"/>
    <mergeCell ref="AV57:AW57"/>
    <mergeCell ref="AX57:AY57"/>
    <mergeCell ref="AZ57:BA57"/>
    <mergeCell ref="BB57:BC57"/>
    <mergeCell ref="BD57:BE57"/>
    <mergeCell ref="BF57:BG57"/>
    <mergeCell ref="BH57:BI57"/>
    <mergeCell ref="F57:G57"/>
    <mergeCell ref="H57:I57"/>
    <mergeCell ref="J57:K57"/>
    <mergeCell ref="L57:M57"/>
    <mergeCell ref="N57:O57"/>
    <mergeCell ref="P57:Q57"/>
    <mergeCell ref="R57:S57"/>
    <mergeCell ref="AV59:AW59"/>
    <mergeCell ref="AX59:AY59"/>
    <mergeCell ref="AH59:AI59"/>
    <mergeCell ref="AJ59:AK59"/>
    <mergeCell ref="AL59:AM59"/>
    <mergeCell ref="AN59:AO59"/>
    <mergeCell ref="AP59:AQ59"/>
    <mergeCell ref="AR59:AS59"/>
    <mergeCell ref="AT59:AU59"/>
    <mergeCell ref="F62:G62"/>
    <mergeCell ref="H62:I62"/>
    <mergeCell ref="J62:K62"/>
    <mergeCell ref="L62:M62"/>
    <mergeCell ref="N62:O62"/>
    <mergeCell ref="P62:Q62"/>
    <mergeCell ref="R62:S62"/>
    <mergeCell ref="A64:B64"/>
    <mergeCell ref="T62:U62"/>
    <mergeCell ref="V62:W62"/>
    <mergeCell ref="X62:Y62"/>
    <mergeCell ref="Z62:AA62"/>
    <mergeCell ref="AB62:AC62"/>
    <mergeCell ref="AD62:AE62"/>
    <mergeCell ref="AF62:AG62"/>
    <mergeCell ref="AV62:AW62"/>
    <mergeCell ref="AX62:AY62"/>
    <mergeCell ref="AZ62:BA62"/>
    <mergeCell ref="BL62:BM62"/>
    <mergeCell ref="BN62:BO62"/>
    <mergeCell ref="AH62:AI62"/>
    <mergeCell ref="AJ62:AK62"/>
    <mergeCell ref="AL62:AM62"/>
    <mergeCell ref="AN62:AO62"/>
    <mergeCell ref="AP62:AQ62"/>
    <mergeCell ref="AR62:AS62"/>
    <mergeCell ref="AT62:AU62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BJ61:BK61"/>
    <mergeCell ref="BL61:BM61"/>
    <mergeCell ref="BN61:BO61"/>
    <mergeCell ref="AV61:AW61"/>
    <mergeCell ref="AX61:AY61"/>
    <mergeCell ref="AZ61:BA61"/>
    <mergeCell ref="BB61:BC61"/>
    <mergeCell ref="BD61:BE61"/>
    <mergeCell ref="BF61:BG61"/>
    <mergeCell ref="BH61:BI61"/>
    <mergeCell ref="F61:G61"/>
    <mergeCell ref="H61:I61"/>
    <mergeCell ref="J61:K61"/>
    <mergeCell ref="L61:M61"/>
    <mergeCell ref="N61:O61"/>
    <mergeCell ref="P61:Q61"/>
    <mergeCell ref="R61:S61"/>
    <mergeCell ref="A94:B94"/>
    <mergeCell ref="C94:D94"/>
    <mergeCell ref="G94:U94"/>
    <mergeCell ref="F95:G95"/>
    <mergeCell ref="H95:I95"/>
    <mergeCell ref="J95:K95"/>
    <mergeCell ref="L95:M95"/>
    <mergeCell ref="N95:O95"/>
    <mergeCell ref="P95:Q95"/>
    <mergeCell ref="F96:G96"/>
    <mergeCell ref="H96:I96"/>
    <mergeCell ref="J96:K96"/>
    <mergeCell ref="L96:M96"/>
    <mergeCell ref="N96:O96"/>
    <mergeCell ref="AZ56:BA56"/>
    <mergeCell ref="BB56:BC56"/>
    <mergeCell ref="BN93:BO93"/>
    <mergeCell ref="AL56:AM56"/>
    <mergeCell ref="AN56:AO56"/>
    <mergeCell ref="AP56:AQ56"/>
    <mergeCell ref="AR56:AS56"/>
    <mergeCell ref="AT56:AU56"/>
    <mergeCell ref="AV56:AW56"/>
    <mergeCell ref="AX56:AY56"/>
    <mergeCell ref="BN95:BO95"/>
    <mergeCell ref="BR95:BS95"/>
    <mergeCell ref="AZ95:BA95"/>
    <mergeCell ref="BB95:BC95"/>
    <mergeCell ref="BD95:BE95"/>
    <mergeCell ref="BF95:BG95"/>
    <mergeCell ref="BH95:BI95"/>
    <mergeCell ref="BJ95:BK95"/>
    <mergeCell ref="BL95:BM95"/>
    <mergeCell ref="AL95:AM95"/>
    <mergeCell ref="AN95:AO95"/>
    <mergeCell ref="AP95:AQ95"/>
    <mergeCell ref="AR95:AS95"/>
    <mergeCell ref="AT95:AU95"/>
    <mergeCell ref="AV95:AW95"/>
    <mergeCell ref="AX95:AY95"/>
    <mergeCell ref="AZ96:BA96"/>
    <mergeCell ref="BB96:BC96"/>
    <mergeCell ref="BD96:BE96"/>
    <mergeCell ref="BF96:BG96"/>
    <mergeCell ref="BH96:BI96"/>
    <mergeCell ref="BJ96:BK96"/>
    <mergeCell ref="BL96:BM96"/>
    <mergeCell ref="BN96:BO96"/>
    <mergeCell ref="AL96:AM96"/>
    <mergeCell ref="AN96:AO96"/>
    <mergeCell ref="AP96:AQ96"/>
    <mergeCell ref="AR96:AS96"/>
    <mergeCell ref="AT96:AU96"/>
    <mergeCell ref="AV96:AW96"/>
    <mergeCell ref="AX96:AY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AT97:AU97"/>
    <mergeCell ref="BJ97:BK97"/>
    <mergeCell ref="BL97:BM97"/>
    <mergeCell ref="BN97:BO97"/>
    <mergeCell ref="AV97:AW97"/>
    <mergeCell ref="AX97:AY97"/>
    <mergeCell ref="AZ97:BA97"/>
    <mergeCell ref="BB97:BC97"/>
    <mergeCell ref="BD97:BE97"/>
    <mergeCell ref="BF97:BG97"/>
    <mergeCell ref="BH97:BI97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F95:AG95"/>
    <mergeCell ref="AH95:AI95"/>
    <mergeCell ref="AJ95:AK95"/>
    <mergeCell ref="R95:S95"/>
    <mergeCell ref="T95:U95"/>
    <mergeCell ref="V95:W95"/>
    <mergeCell ref="X95:Y95"/>
    <mergeCell ref="Z95:AA95"/>
    <mergeCell ref="AB95:AC95"/>
    <mergeCell ref="AD95:AE95"/>
    <mergeCell ref="AD96:AE96"/>
    <mergeCell ref="AF96:AG96"/>
    <mergeCell ref="AH96:AI96"/>
    <mergeCell ref="AJ96:AK96"/>
    <mergeCell ref="P96:Q96"/>
    <mergeCell ref="R96:S96"/>
    <mergeCell ref="T96:U96"/>
    <mergeCell ref="V96:W96"/>
    <mergeCell ref="X96:Y96"/>
    <mergeCell ref="Z96:AA96"/>
    <mergeCell ref="AB96:AC96"/>
    <mergeCell ref="F97:G97"/>
    <mergeCell ref="H97:I97"/>
    <mergeCell ref="J97:K97"/>
    <mergeCell ref="L97:M97"/>
    <mergeCell ref="N97:O97"/>
    <mergeCell ref="P97:Q97"/>
    <mergeCell ref="R97:S97"/>
    <mergeCell ref="AV99:AW99"/>
    <mergeCell ref="AX99:AY99"/>
    <mergeCell ref="AH99:AI99"/>
    <mergeCell ref="AJ99:AK99"/>
    <mergeCell ref="AL99:AM99"/>
    <mergeCell ref="AN99:AO99"/>
    <mergeCell ref="AP99:AQ99"/>
    <mergeCell ref="AR99:AS99"/>
    <mergeCell ref="AT99:AU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Z100:BA100"/>
    <mergeCell ref="BB100:BC100"/>
    <mergeCell ref="AL100:AM100"/>
    <mergeCell ref="AN100:AO100"/>
    <mergeCell ref="AP100:AQ100"/>
    <mergeCell ref="AR100:AS100"/>
    <mergeCell ref="AT100:AU100"/>
    <mergeCell ref="AV100:AW100"/>
    <mergeCell ref="AX100:AY100"/>
    <mergeCell ref="AV103:AW103"/>
    <mergeCell ref="AX103:AY103"/>
    <mergeCell ref="AH103:AI103"/>
    <mergeCell ref="AJ103:AK103"/>
    <mergeCell ref="AL103:AM103"/>
    <mergeCell ref="AN103:AO103"/>
    <mergeCell ref="AP103:AQ103"/>
    <mergeCell ref="AR103:AS103"/>
    <mergeCell ref="AT103:AU103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M106"/>
    <mergeCell ref="AN106:AO106"/>
    <mergeCell ref="AP106:AQ106"/>
    <mergeCell ref="AR106:AS106"/>
    <mergeCell ref="AT106:AU106"/>
    <mergeCell ref="BJ106:BK106"/>
    <mergeCell ref="BL106:BM106"/>
    <mergeCell ref="BN106:BO106"/>
    <mergeCell ref="F106:G106"/>
    <mergeCell ref="H106:I106"/>
    <mergeCell ref="J106:K106"/>
    <mergeCell ref="L106:M106"/>
    <mergeCell ref="N106:O106"/>
    <mergeCell ref="P106:Q106"/>
    <mergeCell ref="R106:S106"/>
    <mergeCell ref="AV106:AW106"/>
    <mergeCell ref="AX106:AY106"/>
    <mergeCell ref="AZ106:BA106"/>
    <mergeCell ref="BB106:BC106"/>
    <mergeCell ref="BD106:BE106"/>
    <mergeCell ref="BF106:BG106"/>
    <mergeCell ref="BH106:BI106"/>
    <mergeCell ref="F108:G108"/>
    <mergeCell ref="H108:I108"/>
    <mergeCell ref="J108:K108"/>
    <mergeCell ref="L108:M108"/>
    <mergeCell ref="N108:O108"/>
    <mergeCell ref="P108:Q108"/>
    <mergeCell ref="R108:S108"/>
    <mergeCell ref="BD107:BE107"/>
    <mergeCell ref="BD108:BE108"/>
    <mergeCell ref="BF108:BG108"/>
    <mergeCell ref="BH108:BI108"/>
    <mergeCell ref="BJ108:BK108"/>
    <mergeCell ref="BL108:BM108"/>
    <mergeCell ref="BN108:BO108"/>
    <mergeCell ref="AZ107:BA107"/>
    <mergeCell ref="BB107:BC107"/>
    <mergeCell ref="BF107:BG107"/>
    <mergeCell ref="BH107:BI107"/>
    <mergeCell ref="BJ107:BK107"/>
    <mergeCell ref="BL107:BM107"/>
    <mergeCell ref="BN107:BO107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Z104:BA104"/>
    <mergeCell ref="BB104:BC104"/>
    <mergeCell ref="AL104:AM104"/>
    <mergeCell ref="AN104:AO104"/>
    <mergeCell ref="AP104:AQ104"/>
    <mergeCell ref="AR104:AS104"/>
    <mergeCell ref="AT104:AU104"/>
    <mergeCell ref="AV104:AW104"/>
    <mergeCell ref="AX104:AY104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AL102:AM102"/>
    <mergeCell ref="AN102:AO102"/>
    <mergeCell ref="AP102:AQ102"/>
    <mergeCell ref="AR102:AS102"/>
    <mergeCell ref="AT102:AU102"/>
    <mergeCell ref="BJ102:BK102"/>
    <mergeCell ref="BL102:BM102"/>
    <mergeCell ref="BN102:BO102"/>
    <mergeCell ref="F102:G102"/>
    <mergeCell ref="H102:I102"/>
    <mergeCell ref="J102:K102"/>
    <mergeCell ref="L102:M102"/>
    <mergeCell ref="N102:O102"/>
    <mergeCell ref="P102:Q102"/>
    <mergeCell ref="R102:S102"/>
    <mergeCell ref="AV102:AW102"/>
    <mergeCell ref="AX102:AY102"/>
    <mergeCell ref="AZ102:BA102"/>
    <mergeCell ref="BB102:BC102"/>
    <mergeCell ref="BD102:BE102"/>
    <mergeCell ref="BF102:BG102"/>
    <mergeCell ref="BH102:BI102"/>
    <mergeCell ref="F104:G104"/>
    <mergeCell ref="H104:I104"/>
    <mergeCell ref="J104:K104"/>
    <mergeCell ref="L104:M104"/>
    <mergeCell ref="N104:O104"/>
    <mergeCell ref="P104:Q104"/>
    <mergeCell ref="R104:S104"/>
    <mergeCell ref="BD103:BE103"/>
    <mergeCell ref="BD104:BE104"/>
    <mergeCell ref="BF104:BG104"/>
    <mergeCell ref="BH104:BI104"/>
    <mergeCell ref="BJ104:BK104"/>
    <mergeCell ref="BL104:BM104"/>
    <mergeCell ref="BN104:BO104"/>
    <mergeCell ref="AZ103:BA103"/>
    <mergeCell ref="BB103:BC103"/>
    <mergeCell ref="BF103:BG103"/>
    <mergeCell ref="BH103:BI103"/>
    <mergeCell ref="BJ103:BK103"/>
    <mergeCell ref="BL103:BM103"/>
    <mergeCell ref="BN103:BO103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L105:AM105"/>
    <mergeCell ref="AN105:AO105"/>
    <mergeCell ref="AP105:AQ105"/>
    <mergeCell ref="AR105:AS105"/>
    <mergeCell ref="AT105:AU105"/>
    <mergeCell ref="BJ105:BK105"/>
    <mergeCell ref="BL105:BM105"/>
    <mergeCell ref="BN105:BO105"/>
    <mergeCell ref="AV105:AW105"/>
    <mergeCell ref="AX105:AY105"/>
    <mergeCell ref="AZ105:BA105"/>
    <mergeCell ref="BB105:BC105"/>
    <mergeCell ref="BD105:BE105"/>
    <mergeCell ref="BF105:BG105"/>
    <mergeCell ref="BH105:BI105"/>
    <mergeCell ref="F105:G105"/>
    <mergeCell ref="H105:I105"/>
    <mergeCell ref="J105:K105"/>
    <mergeCell ref="L105:M105"/>
    <mergeCell ref="N105:O105"/>
    <mergeCell ref="P105:Q105"/>
    <mergeCell ref="R105:S105"/>
    <mergeCell ref="AV107:AW107"/>
    <mergeCell ref="AX107:AY107"/>
    <mergeCell ref="AH107:AI107"/>
    <mergeCell ref="AJ107:AK107"/>
    <mergeCell ref="AL107:AM107"/>
    <mergeCell ref="AN107:AO107"/>
    <mergeCell ref="AP107:AQ107"/>
    <mergeCell ref="AR107:AS107"/>
    <mergeCell ref="AT107:AU107"/>
    <mergeCell ref="AZ108:BA108"/>
    <mergeCell ref="BB108:BC108"/>
    <mergeCell ref="AL108:AM108"/>
    <mergeCell ref="AN108:AO108"/>
    <mergeCell ref="AP108:AQ108"/>
    <mergeCell ref="AR108:AS108"/>
    <mergeCell ref="AT108:AU108"/>
    <mergeCell ref="AV108:AW108"/>
    <mergeCell ref="AX108:AY108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AL109:AM109"/>
    <mergeCell ref="AN109:AO109"/>
    <mergeCell ref="AP109:AQ109"/>
    <mergeCell ref="AR109:AS109"/>
    <mergeCell ref="AT109:AU109"/>
    <mergeCell ref="BJ109:BK109"/>
    <mergeCell ref="BL109:BM109"/>
    <mergeCell ref="BN109:BO109"/>
    <mergeCell ref="AV109:AW109"/>
    <mergeCell ref="AX109:AY109"/>
    <mergeCell ref="AZ109:BA109"/>
    <mergeCell ref="BB109:BC109"/>
    <mergeCell ref="BD109:BE109"/>
    <mergeCell ref="BF109:BG109"/>
    <mergeCell ref="BH109:BI109"/>
    <mergeCell ref="F109:G109"/>
    <mergeCell ref="H109:I109"/>
    <mergeCell ref="J109:K109"/>
    <mergeCell ref="L109:M109"/>
    <mergeCell ref="N109:O109"/>
    <mergeCell ref="P109:Q109"/>
    <mergeCell ref="R109:S109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AZ116:BA116"/>
    <mergeCell ref="BB116:BC116"/>
    <mergeCell ref="AL116:AM116"/>
    <mergeCell ref="AN116:AO116"/>
    <mergeCell ref="AP116:AQ116"/>
    <mergeCell ref="AR116:AS116"/>
    <mergeCell ref="AT116:AU116"/>
    <mergeCell ref="AV116:AW116"/>
    <mergeCell ref="AX116:AY116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L114:AM114"/>
    <mergeCell ref="AN114:AO114"/>
    <mergeCell ref="AP114:AQ114"/>
    <mergeCell ref="AR114:AS114"/>
    <mergeCell ref="AT114:AU114"/>
    <mergeCell ref="BJ114:BK114"/>
    <mergeCell ref="BL114:BM114"/>
    <mergeCell ref="BN114:BO114"/>
    <mergeCell ref="F114:G114"/>
    <mergeCell ref="H114:I114"/>
    <mergeCell ref="J114:K114"/>
    <mergeCell ref="L114:M114"/>
    <mergeCell ref="N114:O114"/>
    <mergeCell ref="P114:Q114"/>
    <mergeCell ref="R114:S114"/>
    <mergeCell ref="AV114:AW114"/>
    <mergeCell ref="AX114:AY114"/>
    <mergeCell ref="AZ114:BA114"/>
    <mergeCell ref="BB114:BC114"/>
    <mergeCell ref="BD114:BE114"/>
    <mergeCell ref="BF114:BG114"/>
    <mergeCell ref="BH114:BI114"/>
    <mergeCell ref="F116:G116"/>
    <mergeCell ref="H116:I116"/>
    <mergeCell ref="J116:K116"/>
    <mergeCell ref="L116:M116"/>
    <mergeCell ref="N116:O116"/>
    <mergeCell ref="P116:Q116"/>
    <mergeCell ref="R116:S116"/>
    <mergeCell ref="BD115:BE115"/>
    <mergeCell ref="BD116:BE116"/>
    <mergeCell ref="BF116:BG116"/>
    <mergeCell ref="BH116:BI116"/>
    <mergeCell ref="BJ116:BK116"/>
    <mergeCell ref="BL116:BM116"/>
    <mergeCell ref="BN116:BO116"/>
    <mergeCell ref="AZ115:BA115"/>
    <mergeCell ref="BB115:BC115"/>
    <mergeCell ref="BF115:BG115"/>
    <mergeCell ref="BH115:BI115"/>
    <mergeCell ref="BJ115:BK115"/>
    <mergeCell ref="BL115:BM115"/>
    <mergeCell ref="BN115:BO115"/>
    <mergeCell ref="AV111:AW111"/>
    <mergeCell ref="AX111:AY111"/>
    <mergeCell ref="AH111:AI111"/>
    <mergeCell ref="AJ111:AK111"/>
    <mergeCell ref="AL111:AM111"/>
    <mergeCell ref="AN111:AO111"/>
    <mergeCell ref="AP111:AQ111"/>
    <mergeCell ref="AR111:AS111"/>
    <mergeCell ref="AT111:AU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Z112:BA112"/>
    <mergeCell ref="BB112:BC112"/>
    <mergeCell ref="AL112:AM112"/>
    <mergeCell ref="AN112:AO112"/>
    <mergeCell ref="AP112:AQ112"/>
    <mergeCell ref="AR112:AS112"/>
    <mergeCell ref="AT112:AU112"/>
    <mergeCell ref="AV112:AW112"/>
    <mergeCell ref="AX112:AY112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L110:AM110"/>
    <mergeCell ref="AN110:AO110"/>
    <mergeCell ref="AP110:AQ110"/>
    <mergeCell ref="AR110:AS110"/>
    <mergeCell ref="AT110:AU110"/>
    <mergeCell ref="BJ110:BK110"/>
    <mergeCell ref="BL110:BM110"/>
    <mergeCell ref="BN110:BO110"/>
    <mergeCell ref="F110:G110"/>
    <mergeCell ref="H110:I110"/>
    <mergeCell ref="J110:K110"/>
    <mergeCell ref="L110:M110"/>
    <mergeCell ref="N110:O110"/>
    <mergeCell ref="P110:Q110"/>
    <mergeCell ref="R110:S110"/>
    <mergeCell ref="AV110:AW110"/>
    <mergeCell ref="AX110:AY110"/>
    <mergeCell ref="AZ110:BA110"/>
    <mergeCell ref="BB110:BC110"/>
    <mergeCell ref="BD110:BE110"/>
    <mergeCell ref="BF110:BG110"/>
    <mergeCell ref="BH110:BI110"/>
    <mergeCell ref="F112:G112"/>
    <mergeCell ref="H112:I112"/>
    <mergeCell ref="J112:K112"/>
    <mergeCell ref="L112:M112"/>
    <mergeCell ref="N112:O112"/>
    <mergeCell ref="P112:Q112"/>
    <mergeCell ref="R112:S112"/>
    <mergeCell ref="BD111:BE111"/>
    <mergeCell ref="BD112:BE112"/>
    <mergeCell ref="BF112:BG112"/>
    <mergeCell ref="BH112:BI112"/>
    <mergeCell ref="BJ112:BK112"/>
    <mergeCell ref="BL112:BM112"/>
    <mergeCell ref="BN112:BO112"/>
    <mergeCell ref="AZ111:BA111"/>
    <mergeCell ref="BB111:BC111"/>
    <mergeCell ref="BF111:BG111"/>
    <mergeCell ref="BH111:BI111"/>
    <mergeCell ref="BJ111:BK111"/>
    <mergeCell ref="BL111:BM111"/>
    <mergeCell ref="BN111:BO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AL113:AM113"/>
    <mergeCell ref="AN113:AO113"/>
    <mergeCell ref="AP113:AQ113"/>
    <mergeCell ref="AR113:AS113"/>
    <mergeCell ref="AT113:AU113"/>
    <mergeCell ref="BJ113:BK113"/>
    <mergeCell ref="BL113:BM113"/>
    <mergeCell ref="BN113:BO113"/>
    <mergeCell ref="AV113:AW113"/>
    <mergeCell ref="AX113:AY113"/>
    <mergeCell ref="AZ113:BA113"/>
    <mergeCell ref="BB113:BC113"/>
    <mergeCell ref="BD113:BE113"/>
    <mergeCell ref="BF113:BG113"/>
    <mergeCell ref="BH113:BI113"/>
    <mergeCell ref="F113:G113"/>
    <mergeCell ref="H113:I113"/>
    <mergeCell ref="J113:K113"/>
    <mergeCell ref="L113:M113"/>
    <mergeCell ref="N113:O113"/>
    <mergeCell ref="P113:Q113"/>
    <mergeCell ref="R113:S113"/>
    <mergeCell ref="AV115:AW115"/>
    <mergeCell ref="AX115:AY115"/>
    <mergeCell ref="AH115:AI115"/>
    <mergeCell ref="AJ115:AK115"/>
    <mergeCell ref="AL115:AM115"/>
    <mergeCell ref="AN115:AO115"/>
    <mergeCell ref="AP115:AQ115"/>
    <mergeCell ref="AR115:AS115"/>
    <mergeCell ref="AT115:AU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AJ117:AK117"/>
    <mergeCell ref="AL117:AM117"/>
    <mergeCell ref="AN117:AO117"/>
    <mergeCell ref="AP117:AQ117"/>
    <mergeCell ref="AR117:AS117"/>
    <mergeCell ref="AT117:AU117"/>
    <mergeCell ref="BJ117:BK117"/>
    <mergeCell ref="BL117:BM117"/>
    <mergeCell ref="BN117:BO117"/>
    <mergeCell ref="AV117:AW117"/>
    <mergeCell ref="AX117:AY117"/>
    <mergeCell ref="AZ117:BA117"/>
    <mergeCell ref="BB117:BC117"/>
    <mergeCell ref="BD117:BE117"/>
    <mergeCell ref="BF117:BG117"/>
    <mergeCell ref="BH117:BI117"/>
    <mergeCell ref="F117:G117"/>
    <mergeCell ref="H117:I117"/>
    <mergeCell ref="J117:K117"/>
    <mergeCell ref="L117:M117"/>
    <mergeCell ref="N117:O117"/>
    <mergeCell ref="P117:Q117"/>
    <mergeCell ref="R117:S117"/>
    <mergeCell ref="AV119:AW119"/>
    <mergeCell ref="AX119:AY119"/>
    <mergeCell ref="AH119:AI119"/>
    <mergeCell ref="AJ119:AK119"/>
    <mergeCell ref="AL119:AM119"/>
    <mergeCell ref="AN119:AO119"/>
    <mergeCell ref="AP119:AQ119"/>
    <mergeCell ref="AR119:AS119"/>
    <mergeCell ref="AT119:AU119"/>
    <mergeCell ref="AZ120:BA120"/>
    <mergeCell ref="BB120:BC120"/>
    <mergeCell ref="AL120:AM120"/>
    <mergeCell ref="AN120:AO120"/>
    <mergeCell ref="AP120:AQ120"/>
    <mergeCell ref="AR120:AS120"/>
    <mergeCell ref="AT120:AU120"/>
    <mergeCell ref="AV120:AW120"/>
    <mergeCell ref="AX120:AY120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AJ118:AK118"/>
    <mergeCell ref="AL118:AM118"/>
    <mergeCell ref="AN118:AO118"/>
    <mergeCell ref="AP118:AQ118"/>
    <mergeCell ref="AR118:AS118"/>
    <mergeCell ref="AT118:AU118"/>
    <mergeCell ref="BJ118:BK118"/>
    <mergeCell ref="BL118:BM118"/>
    <mergeCell ref="BN118:BO118"/>
    <mergeCell ref="F118:G118"/>
    <mergeCell ref="H118:I118"/>
    <mergeCell ref="J118:K118"/>
    <mergeCell ref="L118:M118"/>
    <mergeCell ref="N118:O118"/>
    <mergeCell ref="P118:Q118"/>
    <mergeCell ref="R118:S118"/>
    <mergeCell ref="AV118:AW118"/>
    <mergeCell ref="AX118:AY118"/>
    <mergeCell ref="AZ118:BA118"/>
    <mergeCell ref="BB118:BC118"/>
    <mergeCell ref="BD118:BE118"/>
    <mergeCell ref="BF118:BG118"/>
    <mergeCell ref="BH118:BI118"/>
    <mergeCell ref="F120:G120"/>
    <mergeCell ref="H120:I120"/>
    <mergeCell ref="J120:K120"/>
    <mergeCell ref="L120:M120"/>
    <mergeCell ref="N120:O120"/>
    <mergeCell ref="P120:Q120"/>
    <mergeCell ref="R120:S120"/>
    <mergeCell ref="BD119:BE119"/>
    <mergeCell ref="BD120:BE120"/>
    <mergeCell ref="BF120:BG120"/>
    <mergeCell ref="BH120:BI120"/>
    <mergeCell ref="BJ120:BK120"/>
    <mergeCell ref="BL120:BM120"/>
    <mergeCell ref="BN120:BO120"/>
    <mergeCell ref="AZ119:BA119"/>
    <mergeCell ref="BB119:BC119"/>
    <mergeCell ref="BF119:BG119"/>
    <mergeCell ref="BH119:BI119"/>
    <mergeCell ref="BJ119:BK119"/>
    <mergeCell ref="BL119:BM119"/>
    <mergeCell ref="BN119:BO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AL121:AM121"/>
    <mergeCell ref="AN121:AO121"/>
    <mergeCell ref="AP121:AQ121"/>
    <mergeCell ref="AR121:AS121"/>
    <mergeCell ref="AT121:AU121"/>
    <mergeCell ref="BJ121:BK121"/>
    <mergeCell ref="BL121:BM121"/>
    <mergeCell ref="BN121:BO121"/>
    <mergeCell ref="AV121:AW121"/>
    <mergeCell ref="AX121:AY121"/>
    <mergeCell ref="AZ121:BA121"/>
    <mergeCell ref="BB121:BC121"/>
    <mergeCell ref="BD121:BE121"/>
    <mergeCell ref="BF121:BG121"/>
    <mergeCell ref="BH121:BI121"/>
    <mergeCell ref="F121:G121"/>
    <mergeCell ref="H121:I121"/>
    <mergeCell ref="J121:K121"/>
    <mergeCell ref="L121:M121"/>
    <mergeCell ref="N121:O121"/>
    <mergeCell ref="P121:Q121"/>
    <mergeCell ref="R121:S121"/>
    <mergeCell ref="AV123:AW123"/>
    <mergeCell ref="AX123:AY123"/>
    <mergeCell ref="AH123:AI123"/>
    <mergeCell ref="AJ123:AK123"/>
    <mergeCell ref="AL123:AM123"/>
    <mergeCell ref="AN123:AO123"/>
    <mergeCell ref="AP123:AQ123"/>
    <mergeCell ref="AR123:AS123"/>
    <mergeCell ref="AT123:AU123"/>
    <mergeCell ref="A126:B126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AJ122:AK122"/>
    <mergeCell ref="AL122:AM122"/>
    <mergeCell ref="AN122:AO122"/>
    <mergeCell ref="AP122:AQ122"/>
    <mergeCell ref="AR122:AS122"/>
    <mergeCell ref="AT122:AU122"/>
    <mergeCell ref="BJ122:BK122"/>
    <mergeCell ref="BL122:BM122"/>
    <mergeCell ref="BN122:BO122"/>
    <mergeCell ref="F122:G122"/>
    <mergeCell ref="H122:I122"/>
    <mergeCell ref="J122:K122"/>
    <mergeCell ref="L122:M122"/>
    <mergeCell ref="N122:O122"/>
    <mergeCell ref="P122:Q122"/>
    <mergeCell ref="R122:S122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AB123:AC123"/>
    <mergeCell ref="AD123:AE123"/>
    <mergeCell ref="AF123:AG123"/>
    <mergeCell ref="AZ123:BA123"/>
    <mergeCell ref="BB123:BC123"/>
    <mergeCell ref="BD123:BE123"/>
    <mergeCell ref="BF123:BG123"/>
    <mergeCell ref="BH123:BI123"/>
    <mergeCell ref="BJ123:BK123"/>
    <mergeCell ref="BL123:BM123"/>
    <mergeCell ref="BN123:BO123"/>
    <mergeCell ref="AV122:AW122"/>
    <mergeCell ref="AX122:AY122"/>
    <mergeCell ref="AZ122:BA122"/>
    <mergeCell ref="BB122:BC122"/>
    <mergeCell ref="BD122:BE122"/>
    <mergeCell ref="BF122:BG122"/>
    <mergeCell ref="BH122:BI122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L159:AM159"/>
    <mergeCell ref="AN159:AO159"/>
    <mergeCell ref="AP159:AQ159"/>
    <mergeCell ref="BF159:BG159"/>
    <mergeCell ref="BH159:BI159"/>
    <mergeCell ref="BJ159:BK159"/>
    <mergeCell ref="BL159:BM159"/>
    <mergeCell ref="BN159:BO159"/>
    <mergeCell ref="AR159:AS159"/>
    <mergeCell ref="AT159:AU159"/>
    <mergeCell ref="AV159:AW159"/>
    <mergeCell ref="AX159:AY159"/>
    <mergeCell ref="AZ159:BA159"/>
    <mergeCell ref="BB159:BC159"/>
    <mergeCell ref="BD159:BE159"/>
    <mergeCell ref="A158:B158"/>
    <mergeCell ref="C158:D158"/>
    <mergeCell ref="F159:G159"/>
    <mergeCell ref="H159:I159"/>
    <mergeCell ref="J159:K159"/>
    <mergeCell ref="L159:M159"/>
    <mergeCell ref="N159:O159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Z166:BA166"/>
    <mergeCell ref="BB166:BC166"/>
    <mergeCell ref="AL166:AM166"/>
    <mergeCell ref="AN166:AO166"/>
    <mergeCell ref="AP166:AQ166"/>
    <mergeCell ref="AR166:AS166"/>
    <mergeCell ref="AT166:AU166"/>
    <mergeCell ref="AV166:AW166"/>
    <mergeCell ref="AX166:AY166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AJ164:AK164"/>
    <mergeCell ref="AL164:AM164"/>
    <mergeCell ref="AN164:AO164"/>
    <mergeCell ref="AP164:AQ164"/>
    <mergeCell ref="AR164:AS164"/>
    <mergeCell ref="AT164:AU164"/>
    <mergeCell ref="BJ164:BK164"/>
    <mergeCell ref="BL164:BM164"/>
    <mergeCell ref="BN164:BO164"/>
    <mergeCell ref="F164:G164"/>
    <mergeCell ref="H164:I164"/>
    <mergeCell ref="J164:K164"/>
    <mergeCell ref="L164:M164"/>
    <mergeCell ref="N164:O164"/>
    <mergeCell ref="P164:Q164"/>
    <mergeCell ref="R164:S164"/>
    <mergeCell ref="AV164:AW164"/>
    <mergeCell ref="AX164:AY164"/>
    <mergeCell ref="AZ164:BA164"/>
    <mergeCell ref="BB164:BC164"/>
    <mergeCell ref="BD164:BE164"/>
    <mergeCell ref="BF164:BG164"/>
    <mergeCell ref="BH164:BI164"/>
    <mergeCell ref="F166:G166"/>
    <mergeCell ref="H166:I166"/>
    <mergeCell ref="J166:K166"/>
    <mergeCell ref="L166:M166"/>
    <mergeCell ref="N166:O166"/>
    <mergeCell ref="P166:Q166"/>
    <mergeCell ref="R166:S166"/>
    <mergeCell ref="BD165:BE165"/>
    <mergeCell ref="BD166:BE166"/>
    <mergeCell ref="BF166:BG166"/>
    <mergeCell ref="BH166:BI166"/>
    <mergeCell ref="BJ166:BK166"/>
    <mergeCell ref="BL166:BM166"/>
    <mergeCell ref="BN166:BO166"/>
    <mergeCell ref="AZ165:BA165"/>
    <mergeCell ref="BB165:BC165"/>
    <mergeCell ref="BF165:BG165"/>
    <mergeCell ref="BH165:BI165"/>
    <mergeCell ref="BJ165:BK165"/>
    <mergeCell ref="BL165:BM165"/>
    <mergeCell ref="BN165:BO165"/>
    <mergeCell ref="AV161:AW161"/>
    <mergeCell ref="AX161:AY161"/>
    <mergeCell ref="AH161:AI161"/>
    <mergeCell ref="AJ161:AK161"/>
    <mergeCell ref="AL161:AM161"/>
    <mergeCell ref="AN161:AO161"/>
    <mergeCell ref="AP161:AQ161"/>
    <mergeCell ref="AR161:AS161"/>
    <mergeCell ref="AT161:AU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Z162:BA162"/>
    <mergeCell ref="BB162:BC162"/>
    <mergeCell ref="AL162:AM162"/>
    <mergeCell ref="AN162:AO162"/>
    <mergeCell ref="AP162:AQ162"/>
    <mergeCell ref="AR162:AS162"/>
    <mergeCell ref="AT162:AU162"/>
    <mergeCell ref="AV162:AW162"/>
    <mergeCell ref="AX162:AY162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AJ160:AK160"/>
    <mergeCell ref="AL160:AM160"/>
    <mergeCell ref="AN160:AO160"/>
    <mergeCell ref="AP160:AQ160"/>
    <mergeCell ref="AR160:AS160"/>
    <mergeCell ref="AT160:AU160"/>
    <mergeCell ref="BJ160:BK160"/>
    <mergeCell ref="BL160:BM160"/>
    <mergeCell ref="BN160:BO160"/>
    <mergeCell ref="F160:G160"/>
    <mergeCell ref="H160:I160"/>
    <mergeCell ref="J160:K160"/>
    <mergeCell ref="L160:M160"/>
    <mergeCell ref="N160:O160"/>
    <mergeCell ref="P160:Q160"/>
    <mergeCell ref="R160:S160"/>
    <mergeCell ref="AV160:AW160"/>
    <mergeCell ref="AX160:AY160"/>
    <mergeCell ref="AZ160:BA160"/>
    <mergeCell ref="BB160:BC160"/>
    <mergeCell ref="BD160:BE160"/>
    <mergeCell ref="BF160:BG160"/>
    <mergeCell ref="BH160:BI160"/>
    <mergeCell ref="F162:G162"/>
    <mergeCell ref="H162:I162"/>
    <mergeCell ref="J162:K162"/>
    <mergeCell ref="L162:M162"/>
    <mergeCell ref="N162:O162"/>
    <mergeCell ref="P162:Q162"/>
    <mergeCell ref="R162:S162"/>
    <mergeCell ref="BD161:BE161"/>
    <mergeCell ref="BD162:BE162"/>
    <mergeCell ref="BF162:BG162"/>
    <mergeCell ref="BH162:BI162"/>
    <mergeCell ref="BJ162:BK162"/>
    <mergeCell ref="BL162:BM162"/>
    <mergeCell ref="BN162:BO162"/>
    <mergeCell ref="AZ161:BA161"/>
    <mergeCell ref="BB161:BC161"/>
    <mergeCell ref="BF161:BG161"/>
    <mergeCell ref="BH161:BI161"/>
    <mergeCell ref="BJ161:BK161"/>
    <mergeCell ref="BL161:BM161"/>
    <mergeCell ref="BN161:BO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L163:AM163"/>
    <mergeCell ref="AN163:AO163"/>
    <mergeCell ref="AP163:AQ163"/>
    <mergeCell ref="AR163:AS163"/>
    <mergeCell ref="AT163:AU163"/>
    <mergeCell ref="BJ163:BK163"/>
    <mergeCell ref="BL163:BM163"/>
    <mergeCell ref="BN163:BO163"/>
    <mergeCell ref="AV163:AW163"/>
    <mergeCell ref="AX163:AY163"/>
    <mergeCell ref="AZ163:BA163"/>
    <mergeCell ref="BB163:BC163"/>
    <mergeCell ref="BD163:BE163"/>
    <mergeCell ref="BF163:BG163"/>
    <mergeCell ref="BH163:BI163"/>
    <mergeCell ref="F163:G163"/>
    <mergeCell ref="H163:I163"/>
    <mergeCell ref="J163:K163"/>
    <mergeCell ref="L163:M163"/>
    <mergeCell ref="N163:O163"/>
    <mergeCell ref="P163:Q163"/>
    <mergeCell ref="R163:S163"/>
    <mergeCell ref="AV165:AW165"/>
    <mergeCell ref="AX165:AY165"/>
    <mergeCell ref="AH165:AI165"/>
    <mergeCell ref="AJ165:AK165"/>
    <mergeCell ref="AL165:AM165"/>
    <mergeCell ref="AN165:AO165"/>
    <mergeCell ref="AP165:AQ165"/>
    <mergeCell ref="AR165:AS165"/>
    <mergeCell ref="AT165:AU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AJ167:AK167"/>
    <mergeCell ref="AL167:AM167"/>
    <mergeCell ref="AN167:AO167"/>
    <mergeCell ref="AP167:AQ167"/>
    <mergeCell ref="AR167:AS167"/>
    <mergeCell ref="AT167:AU167"/>
    <mergeCell ref="BJ167:BK167"/>
    <mergeCell ref="BL167:BM167"/>
    <mergeCell ref="BN167:BO167"/>
    <mergeCell ref="AV167:AW167"/>
    <mergeCell ref="AX167:AY167"/>
    <mergeCell ref="AZ167:BA167"/>
    <mergeCell ref="BB167:BC167"/>
    <mergeCell ref="BD167:BE167"/>
    <mergeCell ref="BF167:BG167"/>
    <mergeCell ref="BH167:BI167"/>
    <mergeCell ref="F167:G167"/>
    <mergeCell ref="H167:I167"/>
    <mergeCell ref="J167:K167"/>
    <mergeCell ref="L167:M167"/>
    <mergeCell ref="N167:O167"/>
    <mergeCell ref="P167:Q167"/>
    <mergeCell ref="R167:S167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Z174:BA174"/>
    <mergeCell ref="BB174:BC174"/>
    <mergeCell ref="AL174:AM174"/>
    <mergeCell ref="AN174:AO174"/>
    <mergeCell ref="AP174:AQ174"/>
    <mergeCell ref="AR174:AS174"/>
    <mergeCell ref="AT174:AU174"/>
    <mergeCell ref="AV174:AW174"/>
    <mergeCell ref="AX174:AY174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AJ172:AK172"/>
    <mergeCell ref="AL172:AM172"/>
    <mergeCell ref="AN172:AO172"/>
    <mergeCell ref="AP172:AQ172"/>
    <mergeCell ref="AR172:AS172"/>
    <mergeCell ref="AT172:AU172"/>
    <mergeCell ref="BJ172:BK172"/>
    <mergeCell ref="BL172:BM172"/>
    <mergeCell ref="BN172:BO172"/>
    <mergeCell ref="F172:G172"/>
    <mergeCell ref="H172:I172"/>
    <mergeCell ref="J172:K172"/>
    <mergeCell ref="L172:M172"/>
    <mergeCell ref="N172:O172"/>
    <mergeCell ref="P172:Q172"/>
    <mergeCell ref="R172:S172"/>
    <mergeCell ref="AV172:AW172"/>
    <mergeCell ref="AX172:AY172"/>
    <mergeCell ref="AZ172:BA172"/>
    <mergeCell ref="BB172:BC172"/>
    <mergeCell ref="BD172:BE172"/>
    <mergeCell ref="BF172:BG172"/>
    <mergeCell ref="BH172:BI172"/>
    <mergeCell ref="F174:G174"/>
    <mergeCell ref="H174:I174"/>
    <mergeCell ref="J174:K174"/>
    <mergeCell ref="L174:M174"/>
    <mergeCell ref="N174:O174"/>
    <mergeCell ref="P174:Q174"/>
    <mergeCell ref="R174:S174"/>
    <mergeCell ref="BD173:BE173"/>
    <mergeCell ref="BD174:BE174"/>
    <mergeCell ref="BF174:BG174"/>
    <mergeCell ref="BH174:BI174"/>
    <mergeCell ref="BJ174:BK174"/>
    <mergeCell ref="BL174:BM174"/>
    <mergeCell ref="BN174:BO174"/>
    <mergeCell ref="AZ173:BA173"/>
    <mergeCell ref="BB173:BC173"/>
    <mergeCell ref="BF173:BG173"/>
    <mergeCell ref="BH173:BI173"/>
    <mergeCell ref="BJ173:BK173"/>
    <mergeCell ref="BL173:BM173"/>
    <mergeCell ref="BN173:BO173"/>
    <mergeCell ref="AV169:AW169"/>
    <mergeCell ref="AX169:AY169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AZ170:BA170"/>
    <mergeCell ref="BB170:BC170"/>
    <mergeCell ref="AL170:AM170"/>
    <mergeCell ref="AN170:AO170"/>
    <mergeCell ref="AP170:AQ170"/>
    <mergeCell ref="AR170:AS170"/>
    <mergeCell ref="AT170:AU170"/>
    <mergeCell ref="AV170:AW170"/>
    <mergeCell ref="AX170:AY170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L168:AM168"/>
    <mergeCell ref="AN168:AO168"/>
    <mergeCell ref="AP168:AQ168"/>
    <mergeCell ref="AR168:AS168"/>
    <mergeCell ref="AT168:AU168"/>
    <mergeCell ref="BJ168:BK168"/>
    <mergeCell ref="BL168:BM168"/>
    <mergeCell ref="BN168:BO168"/>
    <mergeCell ref="F168:G168"/>
    <mergeCell ref="H168:I168"/>
    <mergeCell ref="J168:K168"/>
    <mergeCell ref="L168:M168"/>
    <mergeCell ref="N168:O168"/>
    <mergeCell ref="P168:Q168"/>
    <mergeCell ref="R168:S168"/>
    <mergeCell ref="AV168:AW168"/>
    <mergeCell ref="AX168:AY168"/>
    <mergeCell ref="AZ168:BA168"/>
    <mergeCell ref="BB168:BC168"/>
    <mergeCell ref="BD168:BE168"/>
    <mergeCell ref="BF168:BG168"/>
    <mergeCell ref="BH168:BI168"/>
    <mergeCell ref="F170:G170"/>
    <mergeCell ref="H170:I170"/>
    <mergeCell ref="J170:K170"/>
    <mergeCell ref="L170:M170"/>
    <mergeCell ref="N170:O170"/>
    <mergeCell ref="P170:Q170"/>
    <mergeCell ref="R170:S170"/>
    <mergeCell ref="BD169:BE169"/>
    <mergeCell ref="BD170:BE170"/>
    <mergeCell ref="BF170:BG170"/>
    <mergeCell ref="BH170:BI170"/>
    <mergeCell ref="BJ170:BK170"/>
    <mergeCell ref="BL170:BM170"/>
    <mergeCell ref="BN170:BO170"/>
    <mergeCell ref="AZ169:BA169"/>
    <mergeCell ref="BB169:BC169"/>
    <mergeCell ref="BF169:BG169"/>
    <mergeCell ref="BH169:BI169"/>
    <mergeCell ref="BJ169:BK169"/>
    <mergeCell ref="BL169:BM169"/>
    <mergeCell ref="BN169:BO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AJ171:AK171"/>
    <mergeCell ref="AL171:AM171"/>
    <mergeCell ref="AN171:AO171"/>
    <mergeCell ref="AP171:AQ171"/>
    <mergeCell ref="AR171:AS171"/>
    <mergeCell ref="AT171:AU171"/>
    <mergeCell ref="BJ171:BK171"/>
    <mergeCell ref="BL171:BM171"/>
    <mergeCell ref="BN171:BO171"/>
    <mergeCell ref="AV171:AW171"/>
    <mergeCell ref="AX171:AY171"/>
    <mergeCell ref="AZ171:BA171"/>
    <mergeCell ref="BB171:BC171"/>
    <mergeCell ref="BD171:BE171"/>
    <mergeCell ref="BF171:BG171"/>
    <mergeCell ref="BH171:BI171"/>
    <mergeCell ref="F171:G171"/>
    <mergeCell ref="H171:I171"/>
    <mergeCell ref="J171:K171"/>
    <mergeCell ref="L171:M171"/>
    <mergeCell ref="N171:O171"/>
    <mergeCell ref="P171:Q171"/>
    <mergeCell ref="R171:S171"/>
    <mergeCell ref="AV173:AW173"/>
    <mergeCell ref="AX173:AY173"/>
    <mergeCell ref="AH173:AI173"/>
    <mergeCell ref="AJ173:AK173"/>
    <mergeCell ref="AL173:AM173"/>
    <mergeCell ref="AN173:AO173"/>
    <mergeCell ref="AP173:AQ173"/>
    <mergeCell ref="AR173:AS173"/>
    <mergeCell ref="AT173:AU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AJ175:AK175"/>
    <mergeCell ref="AL175:AM175"/>
    <mergeCell ref="AN175:AO175"/>
    <mergeCell ref="AP175:AQ175"/>
    <mergeCell ref="AR175:AS175"/>
    <mergeCell ref="AT175:AU175"/>
    <mergeCell ref="BJ175:BK175"/>
    <mergeCell ref="BL175:BM175"/>
    <mergeCell ref="BN175:BO175"/>
    <mergeCell ref="AV175:AW175"/>
    <mergeCell ref="AX175:AY175"/>
    <mergeCell ref="AZ175:BA175"/>
    <mergeCell ref="BB175:BC175"/>
    <mergeCell ref="BD175:BE175"/>
    <mergeCell ref="BF175:BG175"/>
    <mergeCell ref="BH175:BI175"/>
    <mergeCell ref="F175:G175"/>
    <mergeCell ref="H175:I175"/>
    <mergeCell ref="J175:K175"/>
    <mergeCell ref="L175:M175"/>
    <mergeCell ref="N175:O175"/>
    <mergeCell ref="P175:Q175"/>
    <mergeCell ref="R175:S175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Z182:BA182"/>
    <mergeCell ref="BB182:BC182"/>
    <mergeCell ref="AL182:AM182"/>
    <mergeCell ref="AN182:AO182"/>
    <mergeCell ref="AP182:AQ182"/>
    <mergeCell ref="AR182:AS182"/>
    <mergeCell ref="AT182:AU182"/>
    <mergeCell ref="AV182:AW182"/>
    <mergeCell ref="AX182:AY182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AJ180:AK180"/>
    <mergeCell ref="AL180:AM180"/>
    <mergeCell ref="AN180:AO180"/>
    <mergeCell ref="AP180:AQ180"/>
    <mergeCell ref="AR180:AS180"/>
    <mergeCell ref="AT180:AU180"/>
    <mergeCell ref="BJ180:BK180"/>
    <mergeCell ref="BL180:BM180"/>
    <mergeCell ref="BN180:BO180"/>
    <mergeCell ref="F180:G180"/>
    <mergeCell ref="H180:I180"/>
    <mergeCell ref="J180:K180"/>
    <mergeCell ref="L180:M180"/>
    <mergeCell ref="N180:O180"/>
    <mergeCell ref="P180:Q180"/>
    <mergeCell ref="R180:S180"/>
    <mergeCell ref="AV180:AW180"/>
    <mergeCell ref="AX180:AY180"/>
    <mergeCell ref="AZ180:BA180"/>
    <mergeCell ref="BB180:BC180"/>
    <mergeCell ref="BD180:BE180"/>
    <mergeCell ref="BF180:BG180"/>
    <mergeCell ref="BH180:BI180"/>
    <mergeCell ref="F182:G182"/>
    <mergeCell ref="H182:I182"/>
    <mergeCell ref="J182:K182"/>
    <mergeCell ref="L182:M182"/>
    <mergeCell ref="N182:O182"/>
    <mergeCell ref="P182:Q182"/>
    <mergeCell ref="R182:S182"/>
    <mergeCell ref="BD181:BE181"/>
    <mergeCell ref="BD182:BE182"/>
    <mergeCell ref="BF182:BG182"/>
    <mergeCell ref="BH182:BI182"/>
    <mergeCell ref="BJ182:BK182"/>
    <mergeCell ref="BL182:BM182"/>
    <mergeCell ref="BN182:BO182"/>
    <mergeCell ref="AZ181:BA181"/>
    <mergeCell ref="BB181:BC181"/>
    <mergeCell ref="BF181:BG181"/>
    <mergeCell ref="BH181:BI181"/>
    <mergeCell ref="BJ181:BK181"/>
    <mergeCell ref="BL181:BM181"/>
    <mergeCell ref="BN181:BO181"/>
    <mergeCell ref="AV177:AW177"/>
    <mergeCell ref="AX177:AY177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Z178:BA178"/>
    <mergeCell ref="BB178:BC178"/>
    <mergeCell ref="AL178:AM178"/>
    <mergeCell ref="AN178:AO178"/>
    <mergeCell ref="AP178:AQ178"/>
    <mergeCell ref="AR178:AS178"/>
    <mergeCell ref="AT178:AU178"/>
    <mergeCell ref="AV178:AW178"/>
    <mergeCell ref="AX178:AY178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AJ176:AK176"/>
    <mergeCell ref="AL176:AM176"/>
    <mergeCell ref="AN176:AO176"/>
    <mergeCell ref="AP176:AQ176"/>
    <mergeCell ref="AR176:AS176"/>
    <mergeCell ref="AT176:AU176"/>
    <mergeCell ref="BJ176:BK176"/>
    <mergeCell ref="BL176:BM176"/>
    <mergeCell ref="BN176:BO176"/>
    <mergeCell ref="F176:G176"/>
    <mergeCell ref="H176:I176"/>
    <mergeCell ref="J176:K176"/>
    <mergeCell ref="L176:M176"/>
    <mergeCell ref="N176:O176"/>
    <mergeCell ref="P176:Q176"/>
    <mergeCell ref="R176:S176"/>
    <mergeCell ref="AV176:AW176"/>
    <mergeCell ref="AX176:AY176"/>
    <mergeCell ref="AZ176:BA176"/>
    <mergeCell ref="BB176:BC176"/>
    <mergeCell ref="BD176:BE176"/>
    <mergeCell ref="BF176:BG176"/>
    <mergeCell ref="BH176:BI176"/>
    <mergeCell ref="F178:G178"/>
    <mergeCell ref="H178:I178"/>
    <mergeCell ref="J178:K178"/>
    <mergeCell ref="L178:M178"/>
    <mergeCell ref="N178:O178"/>
    <mergeCell ref="P178:Q178"/>
    <mergeCell ref="R178:S178"/>
    <mergeCell ref="BD177:BE177"/>
    <mergeCell ref="BD178:BE178"/>
    <mergeCell ref="BF178:BG178"/>
    <mergeCell ref="BH178:BI178"/>
    <mergeCell ref="BJ178:BK178"/>
    <mergeCell ref="BL178:BM178"/>
    <mergeCell ref="BN178:BO178"/>
    <mergeCell ref="AZ177:BA177"/>
    <mergeCell ref="BB177:BC177"/>
    <mergeCell ref="BF177:BG177"/>
    <mergeCell ref="BH177:BI177"/>
    <mergeCell ref="BJ177:BK177"/>
    <mergeCell ref="BL177:BM177"/>
    <mergeCell ref="BN177:BO177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BJ179:BK179"/>
    <mergeCell ref="BL179:BM179"/>
    <mergeCell ref="BN179:BO179"/>
    <mergeCell ref="AV179:AW179"/>
    <mergeCell ref="AX179:AY179"/>
    <mergeCell ref="AZ179:BA179"/>
    <mergeCell ref="BB179:BC179"/>
    <mergeCell ref="BD179:BE179"/>
    <mergeCell ref="BF179:BG179"/>
    <mergeCell ref="BH179:BI179"/>
    <mergeCell ref="F179:G179"/>
    <mergeCell ref="H179:I179"/>
    <mergeCell ref="J179:K179"/>
    <mergeCell ref="L179:M179"/>
    <mergeCell ref="N179:O179"/>
    <mergeCell ref="P179:Q179"/>
    <mergeCell ref="R179:S179"/>
    <mergeCell ref="AV181:AW181"/>
    <mergeCell ref="AX181:AY181"/>
    <mergeCell ref="AH181:AI181"/>
    <mergeCell ref="AJ181:AK181"/>
    <mergeCell ref="AL181:AM181"/>
    <mergeCell ref="AN181:AO181"/>
    <mergeCell ref="AP181:AQ181"/>
    <mergeCell ref="AR181:AS181"/>
    <mergeCell ref="AT181:AU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AJ183:AK183"/>
    <mergeCell ref="AL183:AM183"/>
    <mergeCell ref="AN183:AO183"/>
    <mergeCell ref="AP183:AQ183"/>
    <mergeCell ref="AR183:AS183"/>
    <mergeCell ref="AT183:AU183"/>
    <mergeCell ref="BJ183:BK183"/>
    <mergeCell ref="BL183:BM183"/>
    <mergeCell ref="BN183:BO183"/>
    <mergeCell ref="AV183:AW183"/>
    <mergeCell ref="AX183:AY183"/>
    <mergeCell ref="AZ183:BA183"/>
    <mergeCell ref="BB183:BC183"/>
    <mergeCell ref="BD183:BE183"/>
    <mergeCell ref="BF183:BG183"/>
    <mergeCell ref="BH183:BI183"/>
    <mergeCell ref="F183:G183"/>
    <mergeCell ref="H183:I183"/>
    <mergeCell ref="J183:K183"/>
    <mergeCell ref="L183:M183"/>
    <mergeCell ref="N183:O183"/>
    <mergeCell ref="P183:Q183"/>
    <mergeCell ref="R183:S183"/>
    <mergeCell ref="AV185:AW185"/>
    <mergeCell ref="AX185:AY185"/>
    <mergeCell ref="AH185:AI185"/>
    <mergeCell ref="AJ185:AK185"/>
    <mergeCell ref="AL185:AM185"/>
    <mergeCell ref="AN185:AO185"/>
    <mergeCell ref="AP185:AQ185"/>
    <mergeCell ref="AR185:AS185"/>
    <mergeCell ref="AT185:AU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A190:B190"/>
    <mergeCell ref="AZ186:BA186"/>
    <mergeCell ref="BB186:BC186"/>
    <mergeCell ref="BL187:BM187"/>
    <mergeCell ref="BN187:BO187"/>
    <mergeCell ref="AL186:AM186"/>
    <mergeCell ref="AN186:AO186"/>
    <mergeCell ref="AP186:AQ186"/>
    <mergeCell ref="AR186:AS186"/>
    <mergeCell ref="AT186:AU186"/>
    <mergeCell ref="AV186:AW186"/>
    <mergeCell ref="AX186:AY186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AJ184:AK184"/>
    <mergeCell ref="AL184:AM184"/>
    <mergeCell ref="AN184:AO184"/>
    <mergeCell ref="AP184:AQ184"/>
    <mergeCell ref="AR184:AS184"/>
    <mergeCell ref="AT184:AU184"/>
    <mergeCell ref="BJ184:BK184"/>
    <mergeCell ref="BL184:BM184"/>
    <mergeCell ref="BN184:BO184"/>
    <mergeCell ref="F184:G184"/>
    <mergeCell ref="H184:I184"/>
    <mergeCell ref="J184:K184"/>
    <mergeCell ref="L184:M184"/>
    <mergeCell ref="N184:O184"/>
    <mergeCell ref="P184:Q184"/>
    <mergeCell ref="R184:S184"/>
    <mergeCell ref="AV184:AW184"/>
    <mergeCell ref="AX184:AY184"/>
    <mergeCell ref="AZ184:BA184"/>
    <mergeCell ref="BB184:BC184"/>
    <mergeCell ref="BD184:BE184"/>
    <mergeCell ref="BF184:BG184"/>
    <mergeCell ref="BH184:BI184"/>
    <mergeCell ref="F186:G186"/>
    <mergeCell ref="H186:I186"/>
    <mergeCell ref="J186:K186"/>
    <mergeCell ref="L186:M186"/>
    <mergeCell ref="N186:O186"/>
    <mergeCell ref="P186:Q186"/>
    <mergeCell ref="R186:S186"/>
    <mergeCell ref="BD185:BE185"/>
    <mergeCell ref="BD186:BE186"/>
    <mergeCell ref="BF186:BG186"/>
    <mergeCell ref="BH186:BI186"/>
    <mergeCell ref="BJ186:BK186"/>
    <mergeCell ref="BL186:BM186"/>
    <mergeCell ref="BN186:BO186"/>
    <mergeCell ref="AZ185:BA185"/>
    <mergeCell ref="BB185:BC185"/>
    <mergeCell ref="BF185:BG185"/>
    <mergeCell ref="BH185:BI185"/>
    <mergeCell ref="BJ185:BK185"/>
    <mergeCell ref="BL185:BM185"/>
    <mergeCell ref="BN185:BO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R223:S223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AJ223:AK223"/>
    <mergeCell ref="AL223:AM223"/>
    <mergeCell ref="AN223:AO223"/>
    <mergeCell ref="AP223:AQ223"/>
    <mergeCell ref="AR223:AS223"/>
    <mergeCell ref="BH223:BI223"/>
    <mergeCell ref="BJ223:BK223"/>
    <mergeCell ref="BL223:BM223"/>
    <mergeCell ref="BN223:BO223"/>
    <mergeCell ref="AT223:AU223"/>
    <mergeCell ref="AV223:AW223"/>
    <mergeCell ref="AX223:AY223"/>
    <mergeCell ref="AZ223:BA223"/>
    <mergeCell ref="BB223:BC223"/>
    <mergeCell ref="BD223:BE223"/>
    <mergeCell ref="BF223:BG223"/>
    <mergeCell ref="C222:D222"/>
    <mergeCell ref="F223:G223"/>
    <mergeCell ref="H223:I223"/>
    <mergeCell ref="J223:K223"/>
    <mergeCell ref="L223:M223"/>
    <mergeCell ref="N223:O223"/>
    <mergeCell ref="P223:Q223"/>
    <mergeCell ref="AV225:AW225"/>
    <mergeCell ref="AX225:AY225"/>
    <mergeCell ref="AH225:AI225"/>
    <mergeCell ref="AJ225:AK225"/>
    <mergeCell ref="AL225:AM225"/>
    <mergeCell ref="AN225:AO225"/>
    <mergeCell ref="AP225:AQ225"/>
    <mergeCell ref="AR225:AS225"/>
    <mergeCell ref="AT225:AU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Z289:BA289"/>
    <mergeCell ref="BB289:BC289"/>
    <mergeCell ref="AL289:AM289"/>
    <mergeCell ref="AN289:AO289"/>
    <mergeCell ref="AP289:AQ289"/>
    <mergeCell ref="AR289:AS289"/>
    <mergeCell ref="AT289:AU289"/>
    <mergeCell ref="AV289:AW289"/>
    <mergeCell ref="AX289:AY289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BJ287:BK287"/>
    <mergeCell ref="BL287:BM287"/>
    <mergeCell ref="BN287:BO287"/>
    <mergeCell ref="BR287:BS287"/>
    <mergeCell ref="F287:G287"/>
    <mergeCell ref="H287:I287"/>
    <mergeCell ref="J287:K287"/>
    <mergeCell ref="L287:M287"/>
    <mergeCell ref="N287:O287"/>
    <mergeCell ref="P287:Q287"/>
    <mergeCell ref="R287:S287"/>
    <mergeCell ref="AV287:AW287"/>
    <mergeCell ref="AX287:AY287"/>
    <mergeCell ref="AZ287:BA287"/>
    <mergeCell ref="BB287:BC287"/>
    <mergeCell ref="BD287:BE287"/>
    <mergeCell ref="BF287:BG287"/>
    <mergeCell ref="BH287:BI287"/>
    <mergeCell ref="F289:G289"/>
    <mergeCell ref="H289:I289"/>
    <mergeCell ref="J289:K289"/>
    <mergeCell ref="L289:M289"/>
    <mergeCell ref="N289:O289"/>
    <mergeCell ref="P289:Q289"/>
    <mergeCell ref="R289:S289"/>
    <mergeCell ref="BD288:BE288"/>
    <mergeCell ref="BD289:BE289"/>
    <mergeCell ref="BF289:BG289"/>
    <mergeCell ref="BH289:BI289"/>
    <mergeCell ref="BJ289:BK289"/>
    <mergeCell ref="BL289:BM289"/>
    <mergeCell ref="BN289:BO289"/>
    <mergeCell ref="AZ288:BA288"/>
    <mergeCell ref="BB288:BC288"/>
    <mergeCell ref="BF288:BG288"/>
    <mergeCell ref="BH288:BI288"/>
    <mergeCell ref="BJ288:BK288"/>
    <mergeCell ref="BL288:BM288"/>
    <mergeCell ref="BN288:BO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AJ290:AK290"/>
    <mergeCell ref="AL290:AM290"/>
    <mergeCell ref="AN290:AO290"/>
    <mergeCell ref="AP290:AQ290"/>
    <mergeCell ref="AR290:AS290"/>
    <mergeCell ref="AT290:AU290"/>
    <mergeCell ref="BJ290:BK290"/>
    <mergeCell ref="BL290:BM290"/>
    <mergeCell ref="BN290:BO290"/>
    <mergeCell ref="AV290:AW290"/>
    <mergeCell ref="AX290:AY290"/>
    <mergeCell ref="AZ290:BA290"/>
    <mergeCell ref="BB290:BC290"/>
    <mergeCell ref="BD290:BE290"/>
    <mergeCell ref="BF290:BG290"/>
    <mergeCell ref="BH290:BI290"/>
    <mergeCell ref="F290:G290"/>
    <mergeCell ref="H290:I290"/>
    <mergeCell ref="J290:K290"/>
    <mergeCell ref="L290:M290"/>
    <mergeCell ref="N290:O290"/>
    <mergeCell ref="P290:Q290"/>
    <mergeCell ref="R290:S290"/>
    <mergeCell ref="AV292:AW292"/>
    <mergeCell ref="AX292:AY292"/>
    <mergeCell ref="AH292:AI292"/>
    <mergeCell ref="AJ292:AK292"/>
    <mergeCell ref="AL292:AM292"/>
    <mergeCell ref="AN292:AO292"/>
    <mergeCell ref="AP292:AQ292"/>
    <mergeCell ref="AR292:AS292"/>
    <mergeCell ref="AT292:AU292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Z293:BA293"/>
    <mergeCell ref="BB293:BC293"/>
    <mergeCell ref="AL293:AM293"/>
    <mergeCell ref="AN293:AO293"/>
    <mergeCell ref="AP293:AQ293"/>
    <mergeCell ref="AR293:AS293"/>
    <mergeCell ref="AT293:AU293"/>
    <mergeCell ref="AV293:AW293"/>
    <mergeCell ref="AX293:AY293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AJ291:AK291"/>
    <mergeCell ref="AL291:AM291"/>
    <mergeCell ref="AN291:AO291"/>
    <mergeCell ref="AP291:AQ291"/>
    <mergeCell ref="AR291:AS291"/>
    <mergeCell ref="AT291:AU291"/>
    <mergeCell ref="BJ291:BK291"/>
    <mergeCell ref="BL291:BM291"/>
    <mergeCell ref="BN291:BO291"/>
    <mergeCell ref="F291:G291"/>
    <mergeCell ref="H291:I291"/>
    <mergeCell ref="J291:K291"/>
    <mergeCell ref="L291:M291"/>
    <mergeCell ref="N291:O291"/>
    <mergeCell ref="P291:Q291"/>
    <mergeCell ref="R291:S291"/>
    <mergeCell ref="AV291:AW291"/>
    <mergeCell ref="AX291:AY291"/>
    <mergeCell ref="AZ291:BA291"/>
    <mergeCell ref="BB291:BC291"/>
    <mergeCell ref="BD291:BE291"/>
    <mergeCell ref="BF291:BG291"/>
    <mergeCell ref="BH291:BI291"/>
    <mergeCell ref="F293:G293"/>
    <mergeCell ref="H293:I293"/>
    <mergeCell ref="J293:K293"/>
    <mergeCell ref="L293:M293"/>
    <mergeCell ref="N293:O293"/>
    <mergeCell ref="P293:Q293"/>
    <mergeCell ref="R293:S293"/>
    <mergeCell ref="BD292:BE292"/>
    <mergeCell ref="BD293:BE293"/>
    <mergeCell ref="BF293:BG293"/>
    <mergeCell ref="BH293:BI293"/>
    <mergeCell ref="BJ293:BK293"/>
    <mergeCell ref="BL293:BM293"/>
    <mergeCell ref="BN293:BO293"/>
    <mergeCell ref="AZ292:BA292"/>
    <mergeCell ref="BB292:BC292"/>
    <mergeCell ref="BF292:BG292"/>
    <mergeCell ref="BH292:BI292"/>
    <mergeCell ref="BJ292:BK292"/>
    <mergeCell ref="BL292:BM292"/>
    <mergeCell ref="BN292:BO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L294:AM294"/>
    <mergeCell ref="AN294:AO294"/>
    <mergeCell ref="AP294:AQ294"/>
    <mergeCell ref="AR294:AS294"/>
    <mergeCell ref="AT294:AU294"/>
    <mergeCell ref="BJ294:BK294"/>
    <mergeCell ref="BL294:BM294"/>
    <mergeCell ref="BN294:BO294"/>
    <mergeCell ref="AV294:AW294"/>
    <mergeCell ref="AX294:AY294"/>
    <mergeCell ref="AZ294:BA294"/>
    <mergeCell ref="BB294:BC294"/>
    <mergeCell ref="BD294:BE294"/>
    <mergeCell ref="BF294:BG294"/>
    <mergeCell ref="BH294:BI294"/>
    <mergeCell ref="F294:G294"/>
    <mergeCell ref="H294:I294"/>
    <mergeCell ref="J294:K294"/>
    <mergeCell ref="L294:M294"/>
    <mergeCell ref="N294:O294"/>
    <mergeCell ref="P294:Q294"/>
    <mergeCell ref="R294:S294"/>
    <mergeCell ref="AV296:AW296"/>
    <mergeCell ref="AX296:AY296"/>
    <mergeCell ref="AH296:AI296"/>
    <mergeCell ref="AJ296:AK296"/>
    <mergeCell ref="AL296:AM296"/>
    <mergeCell ref="AN296:AO296"/>
    <mergeCell ref="AP296:AQ296"/>
    <mergeCell ref="AR296:AS296"/>
    <mergeCell ref="AT296:AU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Z297:BA297"/>
    <mergeCell ref="BB297:BC297"/>
    <mergeCell ref="AL297:AM297"/>
    <mergeCell ref="AN297:AO297"/>
    <mergeCell ref="AP297:AQ297"/>
    <mergeCell ref="AR297:AS297"/>
    <mergeCell ref="AT297:AU297"/>
    <mergeCell ref="AV297:AW297"/>
    <mergeCell ref="AX297:AY297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AJ295:AK295"/>
    <mergeCell ref="AL295:AM295"/>
    <mergeCell ref="AN295:AO295"/>
    <mergeCell ref="AP295:AQ295"/>
    <mergeCell ref="AR295:AS295"/>
    <mergeCell ref="AT295:AU295"/>
    <mergeCell ref="BJ295:BK295"/>
    <mergeCell ref="BL295:BM295"/>
    <mergeCell ref="BN295:BO295"/>
    <mergeCell ref="F295:G295"/>
    <mergeCell ref="H295:I295"/>
    <mergeCell ref="J295:K295"/>
    <mergeCell ref="L295:M295"/>
    <mergeCell ref="N295:O295"/>
    <mergeCell ref="P295:Q295"/>
    <mergeCell ref="R295:S295"/>
    <mergeCell ref="AV295:AW295"/>
    <mergeCell ref="AX295:AY295"/>
    <mergeCell ref="AZ295:BA295"/>
    <mergeCell ref="BB295:BC295"/>
    <mergeCell ref="BD295:BE295"/>
    <mergeCell ref="BF295:BG295"/>
    <mergeCell ref="BH295:BI295"/>
    <mergeCell ref="F297:G297"/>
    <mergeCell ref="H297:I297"/>
    <mergeCell ref="J297:K297"/>
    <mergeCell ref="L297:M297"/>
    <mergeCell ref="N297:O297"/>
    <mergeCell ref="P297:Q297"/>
    <mergeCell ref="R297:S297"/>
    <mergeCell ref="BD296:BE296"/>
    <mergeCell ref="BD297:BE297"/>
    <mergeCell ref="BF297:BG297"/>
    <mergeCell ref="BH297:BI297"/>
    <mergeCell ref="BJ297:BK297"/>
    <mergeCell ref="BL297:BM297"/>
    <mergeCell ref="BN297:BO297"/>
    <mergeCell ref="AZ296:BA296"/>
    <mergeCell ref="BB296:BC296"/>
    <mergeCell ref="BF296:BG296"/>
    <mergeCell ref="BH296:BI296"/>
    <mergeCell ref="BJ296:BK296"/>
    <mergeCell ref="BL296:BM296"/>
    <mergeCell ref="BN296:BO296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AJ298:AK298"/>
    <mergeCell ref="AL298:AM298"/>
    <mergeCell ref="AN298:AO298"/>
    <mergeCell ref="AP298:AQ298"/>
    <mergeCell ref="AR298:AS298"/>
    <mergeCell ref="AT298:AU298"/>
    <mergeCell ref="BJ298:BK298"/>
    <mergeCell ref="BL298:BM298"/>
    <mergeCell ref="BN298:BO298"/>
    <mergeCell ref="AV298:AW298"/>
    <mergeCell ref="AX298:AY298"/>
    <mergeCell ref="AZ298:BA298"/>
    <mergeCell ref="BB298:BC298"/>
    <mergeCell ref="BD298:BE298"/>
    <mergeCell ref="BF298:BG298"/>
    <mergeCell ref="BH298:BI298"/>
    <mergeCell ref="F298:G298"/>
    <mergeCell ref="H298:I298"/>
    <mergeCell ref="J298:K298"/>
    <mergeCell ref="L298:M298"/>
    <mergeCell ref="N298:O298"/>
    <mergeCell ref="P298:Q298"/>
    <mergeCell ref="R298:S298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AZ305:BA305"/>
    <mergeCell ref="BB305:BC305"/>
    <mergeCell ref="AL305:AM305"/>
    <mergeCell ref="AN305:AO305"/>
    <mergeCell ref="AP305:AQ305"/>
    <mergeCell ref="AR305:AS305"/>
    <mergeCell ref="AT305:AU305"/>
    <mergeCell ref="AV305:AW305"/>
    <mergeCell ref="AX305:AY305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L303:AM303"/>
    <mergeCell ref="AN303:AO303"/>
    <mergeCell ref="AP303:AQ303"/>
    <mergeCell ref="AR303:AS303"/>
    <mergeCell ref="AT303:AU303"/>
    <mergeCell ref="BJ303:BK303"/>
    <mergeCell ref="BL303:BM303"/>
    <mergeCell ref="BN303:BO303"/>
    <mergeCell ref="F303:G303"/>
    <mergeCell ref="H303:I303"/>
    <mergeCell ref="J303:K303"/>
    <mergeCell ref="L303:M303"/>
    <mergeCell ref="N303:O303"/>
    <mergeCell ref="P303:Q303"/>
    <mergeCell ref="R303:S303"/>
    <mergeCell ref="AV303:AW303"/>
    <mergeCell ref="AX303:AY303"/>
    <mergeCell ref="AZ303:BA303"/>
    <mergeCell ref="BB303:BC303"/>
    <mergeCell ref="BD303:BE303"/>
    <mergeCell ref="BF303:BG303"/>
    <mergeCell ref="BH303:BI303"/>
    <mergeCell ref="F305:G305"/>
    <mergeCell ref="H305:I305"/>
    <mergeCell ref="J305:K305"/>
    <mergeCell ref="L305:M305"/>
    <mergeCell ref="N305:O305"/>
    <mergeCell ref="P305:Q305"/>
    <mergeCell ref="R305:S305"/>
    <mergeCell ref="BD304:BE304"/>
    <mergeCell ref="BD305:BE305"/>
    <mergeCell ref="BF305:BG305"/>
    <mergeCell ref="BH305:BI305"/>
    <mergeCell ref="BJ305:BK305"/>
    <mergeCell ref="BL305:BM305"/>
    <mergeCell ref="BN305:BO305"/>
    <mergeCell ref="AZ304:BA304"/>
    <mergeCell ref="BB304:BC304"/>
    <mergeCell ref="BF304:BG304"/>
    <mergeCell ref="BH304:BI304"/>
    <mergeCell ref="BJ304:BK304"/>
    <mergeCell ref="BL304:BM304"/>
    <mergeCell ref="BN304:BO304"/>
    <mergeCell ref="AV300:AW300"/>
    <mergeCell ref="AX300:AY300"/>
    <mergeCell ref="AH300:AI300"/>
    <mergeCell ref="AJ300:AK300"/>
    <mergeCell ref="AL300:AM300"/>
    <mergeCell ref="AN300:AO300"/>
    <mergeCell ref="AP300:AQ300"/>
    <mergeCell ref="AR300:AS300"/>
    <mergeCell ref="AT300:AU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Z301:BA301"/>
    <mergeCell ref="BB301:BC301"/>
    <mergeCell ref="AL301:AM301"/>
    <mergeCell ref="AN301:AO301"/>
    <mergeCell ref="AP301:AQ301"/>
    <mergeCell ref="AR301:AS301"/>
    <mergeCell ref="AT301:AU301"/>
    <mergeCell ref="AV301:AW301"/>
    <mergeCell ref="AX301:AY301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AJ299:AK299"/>
    <mergeCell ref="AL299:AM299"/>
    <mergeCell ref="AN299:AO299"/>
    <mergeCell ref="AP299:AQ299"/>
    <mergeCell ref="AR299:AS299"/>
    <mergeCell ref="AT299:AU299"/>
    <mergeCell ref="BJ299:BK299"/>
    <mergeCell ref="BL299:BM299"/>
    <mergeCell ref="BN299:BO299"/>
    <mergeCell ref="F299:G299"/>
    <mergeCell ref="H299:I299"/>
    <mergeCell ref="J299:K299"/>
    <mergeCell ref="L299:M299"/>
    <mergeCell ref="N299:O299"/>
    <mergeCell ref="P299:Q299"/>
    <mergeCell ref="R299:S299"/>
    <mergeCell ref="AV299:AW299"/>
    <mergeCell ref="AX299:AY299"/>
    <mergeCell ref="AZ299:BA299"/>
    <mergeCell ref="BB299:BC299"/>
    <mergeCell ref="BD299:BE299"/>
    <mergeCell ref="BF299:BG299"/>
    <mergeCell ref="BH299:BI299"/>
    <mergeCell ref="F301:G301"/>
    <mergeCell ref="H301:I301"/>
    <mergeCell ref="J301:K301"/>
    <mergeCell ref="L301:M301"/>
    <mergeCell ref="N301:O301"/>
    <mergeCell ref="P301:Q301"/>
    <mergeCell ref="R301:S301"/>
    <mergeCell ref="BD300:BE300"/>
    <mergeCell ref="BD301:BE301"/>
    <mergeCell ref="BF301:BG301"/>
    <mergeCell ref="BH301:BI301"/>
    <mergeCell ref="BJ301:BK301"/>
    <mergeCell ref="BL301:BM301"/>
    <mergeCell ref="BN301:BO301"/>
    <mergeCell ref="AZ300:BA300"/>
    <mergeCell ref="BB300:BC300"/>
    <mergeCell ref="BF300:BG300"/>
    <mergeCell ref="BH300:BI300"/>
    <mergeCell ref="BJ300:BK300"/>
    <mergeCell ref="BL300:BM300"/>
    <mergeCell ref="BN300:BO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AJ302:AK302"/>
    <mergeCell ref="AL302:AM302"/>
    <mergeCell ref="AN302:AO302"/>
    <mergeCell ref="AP302:AQ302"/>
    <mergeCell ref="AR302:AS302"/>
    <mergeCell ref="AT302:AU302"/>
    <mergeCell ref="BJ302:BK302"/>
    <mergeCell ref="BL302:BM302"/>
    <mergeCell ref="BN302:BO302"/>
    <mergeCell ref="AV302:AW302"/>
    <mergeCell ref="AX302:AY302"/>
    <mergeCell ref="AZ302:BA302"/>
    <mergeCell ref="BB302:BC302"/>
    <mergeCell ref="BD302:BE302"/>
    <mergeCell ref="BF302:BG302"/>
    <mergeCell ref="BH302:BI302"/>
    <mergeCell ref="F302:G302"/>
    <mergeCell ref="H302:I302"/>
    <mergeCell ref="J302:K302"/>
    <mergeCell ref="L302:M302"/>
    <mergeCell ref="N302:O302"/>
    <mergeCell ref="P302:Q302"/>
    <mergeCell ref="R302:S302"/>
    <mergeCell ref="AV304:AW304"/>
    <mergeCell ref="AX304:AY304"/>
    <mergeCell ref="AH304:AI304"/>
    <mergeCell ref="AJ304:AK304"/>
    <mergeCell ref="AL304:AM304"/>
    <mergeCell ref="AN304:AO304"/>
    <mergeCell ref="AP304:AQ304"/>
    <mergeCell ref="AR304:AS304"/>
    <mergeCell ref="AT304:AU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AJ306:AK306"/>
    <mergeCell ref="AL306:AM306"/>
    <mergeCell ref="AN306:AO306"/>
    <mergeCell ref="AP306:AQ306"/>
    <mergeCell ref="AR306:AS306"/>
    <mergeCell ref="AT306:AU306"/>
    <mergeCell ref="BJ306:BK306"/>
    <mergeCell ref="BL306:BM306"/>
    <mergeCell ref="BN306:BO306"/>
    <mergeCell ref="AV306:AW306"/>
    <mergeCell ref="AX306:AY306"/>
    <mergeCell ref="AZ306:BA306"/>
    <mergeCell ref="BB306:BC306"/>
    <mergeCell ref="BD306:BE306"/>
    <mergeCell ref="BF306:BG306"/>
    <mergeCell ref="BH306:BI306"/>
    <mergeCell ref="F306:G306"/>
    <mergeCell ref="H306:I306"/>
    <mergeCell ref="J306:K306"/>
    <mergeCell ref="L306:M306"/>
    <mergeCell ref="N306:O306"/>
    <mergeCell ref="P306:Q306"/>
    <mergeCell ref="R306:S306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Z313:BA313"/>
    <mergeCell ref="BB313:BC313"/>
    <mergeCell ref="AL313:AM313"/>
    <mergeCell ref="AN313:AO313"/>
    <mergeCell ref="AP313:AQ313"/>
    <mergeCell ref="AR313:AS313"/>
    <mergeCell ref="AT313:AU313"/>
    <mergeCell ref="AV313:AW313"/>
    <mergeCell ref="AX313:AY313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AJ311:AK311"/>
    <mergeCell ref="AL311:AM311"/>
    <mergeCell ref="AN311:AO311"/>
    <mergeCell ref="AP311:AQ311"/>
    <mergeCell ref="AR311:AS311"/>
    <mergeCell ref="AT311:AU311"/>
    <mergeCell ref="BJ311:BK311"/>
    <mergeCell ref="BL311:BM311"/>
    <mergeCell ref="BN311:BO311"/>
    <mergeCell ref="F311:G311"/>
    <mergeCell ref="H311:I311"/>
    <mergeCell ref="J311:K311"/>
    <mergeCell ref="L311:M311"/>
    <mergeCell ref="N311:O311"/>
    <mergeCell ref="P311:Q311"/>
    <mergeCell ref="R311:S311"/>
    <mergeCell ref="AV311:AW311"/>
    <mergeCell ref="AX311:AY311"/>
    <mergeCell ref="AZ311:BA311"/>
    <mergeCell ref="BB311:BC311"/>
    <mergeCell ref="BD311:BE311"/>
    <mergeCell ref="BF311:BG311"/>
    <mergeCell ref="BH311:BI311"/>
    <mergeCell ref="F313:G313"/>
    <mergeCell ref="H313:I313"/>
    <mergeCell ref="J313:K313"/>
    <mergeCell ref="L313:M313"/>
    <mergeCell ref="N313:O313"/>
    <mergeCell ref="P313:Q313"/>
    <mergeCell ref="R313:S313"/>
    <mergeCell ref="BD312:BE312"/>
    <mergeCell ref="BD313:BE313"/>
    <mergeCell ref="BF313:BG313"/>
    <mergeCell ref="BH313:BI313"/>
    <mergeCell ref="BJ313:BK313"/>
    <mergeCell ref="BL313:BM313"/>
    <mergeCell ref="BN313:BO313"/>
    <mergeCell ref="AZ312:BA312"/>
    <mergeCell ref="BB312:BC312"/>
    <mergeCell ref="BF312:BG312"/>
    <mergeCell ref="BH312:BI312"/>
    <mergeCell ref="BJ312:BK312"/>
    <mergeCell ref="BL312:BM312"/>
    <mergeCell ref="BN312:BO312"/>
    <mergeCell ref="AV308:AW308"/>
    <mergeCell ref="AX308:AY308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Z309:BA309"/>
    <mergeCell ref="BB309:BC309"/>
    <mergeCell ref="AL309:AM309"/>
    <mergeCell ref="AN309:AO309"/>
    <mergeCell ref="AP309:AQ309"/>
    <mergeCell ref="AR309:AS309"/>
    <mergeCell ref="AT309:AU309"/>
    <mergeCell ref="AV309:AW309"/>
    <mergeCell ref="AX309:AY309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AJ307:AK307"/>
    <mergeCell ref="AL307:AM307"/>
    <mergeCell ref="AN307:AO307"/>
    <mergeCell ref="AP307:AQ307"/>
    <mergeCell ref="AR307:AS307"/>
    <mergeCell ref="AT307:AU307"/>
    <mergeCell ref="BJ307:BK307"/>
    <mergeCell ref="BL307:BM307"/>
    <mergeCell ref="BN307:BO307"/>
    <mergeCell ref="F307:G307"/>
    <mergeCell ref="H307:I307"/>
    <mergeCell ref="J307:K307"/>
    <mergeCell ref="L307:M307"/>
    <mergeCell ref="N307:O307"/>
    <mergeCell ref="P307:Q307"/>
    <mergeCell ref="R307:S307"/>
    <mergeCell ref="AV307:AW307"/>
    <mergeCell ref="AX307:AY307"/>
    <mergeCell ref="AZ307:BA307"/>
    <mergeCell ref="BB307:BC307"/>
    <mergeCell ref="BD307:BE307"/>
    <mergeCell ref="BF307:BG307"/>
    <mergeCell ref="BH307:BI307"/>
    <mergeCell ref="F309:G309"/>
    <mergeCell ref="H309:I309"/>
    <mergeCell ref="J309:K309"/>
    <mergeCell ref="L309:M309"/>
    <mergeCell ref="N309:O309"/>
    <mergeCell ref="P309:Q309"/>
    <mergeCell ref="R309:S309"/>
    <mergeCell ref="BD308:BE308"/>
    <mergeCell ref="BD309:BE309"/>
    <mergeCell ref="BF309:BG309"/>
    <mergeCell ref="BH309:BI309"/>
    <mergeCell ref="BJ309:BK309"/>
    <mergeCell ref="BL309:BM309"/>
    <mergeCell ref="BN309:BO309"/>
    <mergeCell ref="AZ308:BA308"/>
    <mergeCell ref="BB308:BC308"/>
    <mergeCell ref="BF308:BG308"/>
    <mergeCell ref="BH308:BI308"/>
    <mergeCell ref="BJ308:BK308"/>
    <mergeCell ref="BL308:BM308"/>
    <mergeCell ref="BN308:BO308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AJ310:AK310"/>
    <mergeCell ref="AL310:AM310"/>
    <mergeCell ref="AN310:AO310"/>
    <mergeCell ref="AP310:AQ310"/>
    <mergeCell ref="AR310:AS310"/>
    <mergeCell ref="AT310:AU310"/>
    <mergeCell ref="BJ310:BK310"/>
    <mergeCell ref="BL310:BM310"/>
    <mergeCell ref="BN310:BO310"/>
    <mergeCell ref="AV310:AW310"/>
    <mergeCell ref="AX310:AY310"/>
    <mergeCell ref="AZ310:BA310"/>
    <mergeCell ref="BB310:BC310"/>
    <mergeCell ref="BD310:BE310"/>
    <mergeCell ref="BF310:BG310"/>
    <mergeCell ref="BH310:BI310"/>
    <mergeCell ref="F310:G310"/>
    <mergeCell ref="H310:I310"/>
    <mergeCell ref="J310:K310"/>
    <mergeCell ref="L310:M310"/>
    <mergeCell ref="N310:O310"/>
    <mergeCell ref="P310:Q310"/>
    <mergeCell ref="R310:S310"/>
    <mergeCell ref="AV312:AW312"/>
    <mergeCell ref="AX312:AY312"/>
    <mergeCell ref="AH312:AI312"/>
    <mergeCell ref="AJ312:AK312"/>
    <mergeCell ref="AL312:AM312"/>
    <mergeCell ref="AN312:AO312"/>
    <mergeCell ref="AP312:AQ312"/>
    <mergeCell ref="AR312:AS312"/>
    <mergeCell ref="AT312:AU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AJ313:AK313"/>
    <mergeCell ref="AF314:AG314"/>
    <mergeCell ref="BB314:BC314"/>
    <mergeCell ref="BN314:BO314"/>
    <mergeCell ref="BB315:BC315"/>
    <mergeCell ref="BB316:BC316"/>
    <mergeCell ref="AF322:AG322"/>
    <mergeCell ref="AF323:AG323"/>
    <mergeCell ref="AF315:AG315"/>
    <mergeCell ref="AF316:AG316"/>
    <mergeCell ref="AF317:AG317"/>
    <mergeCell ref="AF318:AG318"/>
    <mergeCell ref="AF319:AG319"/>
    <mergeCell ref="AF320:AG320"/>
    <mergeCell ref="AF321:AG321"/>
    <mergeCell ref="BB317:BC317"/>
    <mergeCell ref="BB318:BC318"/>
    <mergeCell ref="BB319:BC319"/>
    <mergeCell ref="BB320:BC320"/>
    <mergeCell ref="BB321:BC321"/>
    <mergeCell ref="BB322:BC322"/>
    <mergeCell ref="BB323:BC323"/>
    <mergeCell ref="BB331:BC331"/>
    <mergeCell ref="BB332:BC332"/>
    <mergeCell ref="BB333:BC333"/>
    <mergeCell ref="BB334:BC334"/>
    <mergeCell ref="BB335:BC335"/>
    <mergeCell ref="BB336:BC336"/>
    <mergeCell ref="BB337:BC337"/>
    <mergeCell ref="BB324:BC324"/>
    <mergeCell ref="BB325:BC325"/>
    <mergeCell ref="BB326:BC326"/>
    <mergeCell ref="BB327:BC327"/>
    <mergeCell ref="BB328:BC328"/>
    <mergeCell ref="BB329:BC329"/>
    <mergeCell ref="BB330:BC330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AJ228:AK228"/>
    <mergeCell ref="AL228:AM228"/>
    <mergeCell ref="AN228:AO228"/>
    <mergeCell ref="AP228:AQ228"/>
    <mergeCell ref="AR228:AS228"/>
    <mergeCell ref="AT228:AU228"/>
    <mergeCell ref="BJ228:BK228"/>
    <mergeCell ref="BL228:BM228"/>
    <mergeCell ref="BN228:BO228"/>
    <mergeCell ref="F228:G228"/>
    <mergeCell ref="H228:I228"/>
    <mergeCell ref="J228:K228"/>
    <mergeCell ref="L228:M228"/>
    <mergeCell ref="N228:O228"/>
    <mergeCell ref="P228:Q228"/>
    <mergeCell ref="R228:S228"/>
    <mergeCell ref="AV228:AW228"/>
    <mergeCell ref="AX228:AY228"/>
    <mergeCell ref="AZ228:BA228"/>
    <mergeCell ref="BB228:BC228"/>
    <mergeCell ref="BD228:BE228"/>
    <mergeCell ref="BF228:BG228"/>
    <mergeCell ref="BH228:BI228"/>
    <mergeCell ref="F230:G230"/>
    <mergeCell ref="H230:I230"/>
    <mergeCell ref="J230:K230"/>
    <mergeCell ref="L230:M230"/>
    <mergeCell ref="N230:O230"/>
    <mergeCell ref="P230:Q230"/>
    <mergeCell ref="R230:S230"/>
    <mergeCell ref="BD229:BE229"/>
    <mergeCell ref="BD230:BE230"/>
    <mergeCell ref="BF230:BG230"/>
    <mergeCell ref="BH230:BI230"/>
    <mergeCell ref="BJ230:BK230"/>
    <mergeCell ref="BL230:BM230"/>
    <mergeCell ref="BN230:BO230"/>
    <mergeCell ref="AZ229:BA229"/>
    <mergeCell ref="BB229:BC229"/>
    <mergeCell ref="BF229:BG229"/>
    <mergeCell ref="BH229:BI229"/>
    <mergeCell ref="BJ229:BK229"/>
    <mergeCell ref="BL229:BM229"/>
    <mergeCell ref="BN229:BO229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L231:AM231"/>
    <mergeCell ref="AN231:AO231"/>
    <mergeCell ref="AP231:AQ231"/>
    <mergeCell ref="AR231:AS231"/>
    <mergeCell ref="AT231:AU231"/>
    <mergeCell ref="BJ231:BK231"/>
    <mergeCell ref="BL231:BM231"/>
    <mergeCell ref="BN231:BO231"/>
    <mergeCell ref="AV231:AW231"/>
    <mergeCell ref="AX231:AY231"/>
    <mergeCell ref="AZ231:BA231"/>
    <mergeCell ref="BB231:BC231"/>
    <mergeCell ref="BD231:BE231"/>
    <mergeCell ref="BF231:BG231"/>
    <mergeCell ref="BH231:BI231"/>
    <mergeCell ref="F231:G231"/>
    <mergeCell ref="H231:I231"/>
    <mergeCell ref="J231:K231"/>
    <mergeCell ref="L231:M231"/>
    <mergeCell ref="N231:O231"/>
    <mergeCell ref="P231:Q231"/>
    <mergeCell ref="R231:S231"/>
    <mergeCell ref="AZ226:BA226"/>
    <mergeCell ref="BB226:BC226"/>
    <mergeCell ref="AL226:AM226"/>
    <mergeCell ref="AN226:AO226"/>
    <mergeCell ref="AP226:AQ226"/>
    <mergeCell ref="AR226:AS226"/>
    <mergeCell ref="AT226:AU226"/>
    <mergeCell ref="AV226:AW226"/>
    <mergeCell ref="AX226:AY226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BJ224:BK224"/>
    <mergeCell ref="BL224:BM224"/>
    <mergeCell ref="BN224:BO224"/>
    <mergeCell ref="F224:G224"/>
    <mergeCell ref="H224:I224"/>
    <mergeCell ref="J224:K224"/>
    <mergeCell ref="L224:M224"/>
    <mergeCell ref="N224:O224"/>
    <mergeCell ref="P224:Q224"/>
    <mergeCell ref="R224:S224"/>
    <mergeCell ref="AV224:AW224"/>
    <mergeCell ref="AX224:AY224"/>
    <mergeCell ref="AZ224:BA224"/>
    <mergeCell ref="BB224:BC224"/>
    <mergeCell ref="BD224:BE224"/>
    <mergeCell ref="BF224:BG224"/>
    <mergeCell ref="BH224:BI224"/>
    <mergeCell ref="F226:G226"/>
    <mergeCell ref="H226:I226"/>
    <mergeCell ref="J226:K226"/>
    <mergeCell ref="L226:M226"/>
    <mergeCell ref="N226:O226"/>
    <mergeCell ref="P226:Q226"/>
    <mergeCell ref="R226:S226"/>
    <mergeCell ref="BD225:BE225"/>
    <mergeCell ref="BD226:BE226"/>
    <mergeCell ref="BF226:BG226"/>
    <mergeCell ref="BH226:BI226"/>
    <mergeCell ref="BJ226:BK226"/>
    <mergeCell ref="BL226:BM226"/>
    <mergeCell ref="BN226:BO226"/>
    <mergeCell ref="AZ225:BA225"/>
    <mergeCell ref="BB225:BC225"/>
    <mergeCell ref="BF225:BG225"/>
    <mergeCell ref="BH225:BI225"/>
    <mergeCell ref="BJ225:BK225"/>
    <mergeCell ref="BL225:BM225"/>
    <mergeCell ref="BN225:B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L227:AM227"/>
    <mergeCell ref="AN227:AO227"/>
    <mergeCell ref="AP227:AQ227"/>
    <mergeCell ref="AR227:AS227"/>
    <mergeCell ref="AT227:AU227"/>
    <mergeCell ref="BJ227:BK227"/>
    <mergeCell ref="BL227:BM227"/>
    <mergeCell ref="BN227:BO227"/>
    <mergeCell ref="AV227:AW227"/>
    <mergeCell ref="AX227:AY227"/>
    <mergeCell ref="AZ227:BA227"/>
    <mergeCell ref="BB227:BC227"/>
    <mergeCell ref="BD227:BE227"/>
    <mergeCell ref="BF227:BG227"/>
    <mergeCell ref="BH227:BI227"/>
    <mergeCell ref="F227:G227"/>
    <mergeCell ref="H227:I227"/>
    <mergeCell ref="J227:K227"/>
    <mergeCell ref="L227:M227"/>
    <mergeCell ref="N227:O227"/>
    <mergeCell ref="P227:Q227"/>
    <mergeCell ref="R227:S227"/>
    <mergeCell ref="AV229:AW229"/>
    <mergeCell ref="AX229:AY229"/>
    <mergeCell ref="AH229:AI229"/>
    <mergeCell ref="AJ229:AK229"/>
    <mergeCell ref="AL229:AM229"/>
    <mergeCell ref="AN229:AO229"/>
    <mergeCell ref="AP229:AQ229"/>
    <mergeCell ref="AR229:AS229"/>
    <mergeCell ref="AT229:AU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Z230:BA230"/>
    <mergeCell ref="BB230:BC230"/>
    <mergeCell ref="AL230:AM230"/>
    <mergeCell ref="AN230:AO230"/>
    <mergeCell ref="AP230:AQ230"/>
    <mergeCell ref="AR230:AS230"/>
    <mergeCell ref="AT230:AU230"/>
    <mergeCell ref="AV230:AW230"/>
    <mergeCell ref="AX230:AY230"/>
    <mergeCell ref="AV233:AW233"/>
    <mergeCell ref="AX233:AY233"/>
    <mergeCell ref="AH233:AI233"/>
    <mergeCell ref="AJ233:AK233"/>
    <mergeCell ref="AL233:AM233"/>
    <mergeCell ref="AN233:AO233"/>
    <mergeCell ref="AP233:AQ233"/>
    <mergeCell ref="AR233:AS233"/>
    <mergeCell ref="AT233:AU233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AJ236:AK236"/>
    <mergeCell ref="AL236:AM236"/>
    <mergeCell ref="AN236:AO236"/>
    <mergeCell ref="AP236:AQ236"/>
    <mergeCell ref="AR236:AS236"/>
    <mergeCell ref="AT236:AU236"/>
    <mergeCell ref="BJ236:BK236"/>
    <mergeCell ref="BL236:BM236"/>
    <mergeCell ref="BN236:BO236"/>
    <mergeCell ref="F236:G236"/>
    <mergeCell ref="H236:I236"/>
    <mergeCell ref="J236:K236"/>
    <mergeCell ref="L236:M236"/>
    <mergeCell ref="N236:O236"/>
    <mergeCell ref="P236:Q236"/>
    <mergeCell ref="R236:S236"/>
    <mergeCell ref="AV236:AW236"/>
    <mergeCell ref="AX236:AY236"/>
    <mergeCell ref="AZ236:BA236"/>
    <mergeCell ref="BB236:BC236"/>
    <mergeCell ref="BD236:BE236"/>
    <mergeCell ref="BF236:BG236"/>
    <mergeCell ref="BH236:BI236"/>
    <mergeCell ref="F238:G238"/>
    <mergeCell ref="H238:I238"/>
    <mergeCell ref="J238:K238"/>
    <mergeCell ref="L238:M238"/>
    <mergeCell ref="N238:O238"/>
    <mergeCell ref="P238:Q238"/>
    <mergeCell ref="R238:S238"/>
    <mergeCell ref="BD237:BE237"/>
    <mergeCell ref="BD238:BE238"/>
    <mergeCell ref="BF238:BG238"/>
    <mergeCell ref="BH238:BI238"/>
    <mergeCell ref="BJ238:BK238"/>
    <mergeCell ref="BL238:BM238"/>
    <mergeCell ref="BN238:BO238"/>
    <mergeCell ref="AZ237:BA237"/>
    <mergeCell ref="BB237:BC237"/>
    <mergeCell ref="BF237:BG237"/>
    <mergeCell ref="BH237:BI237"/>
    <mergeCell ref="BJ237:BK237"/>
    <mergeCell ref="BL237:BM237"/>
    <mergeCell ref="BN237:BO237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Z234:BA234"/>
    <mergeCell ref="BB234:BC234"/>
    <mergeCell ref="AL234:AM234"/>
    <mergeCell ref="AN234:AO234"/>
    <mergeCell ref="AP234:AQ234"/>
    <mergeCell ref="AR234:AS234"/>
    <mergeCell ref="AT234:AU234"/>
    <mergeCell ref="AV234:AW234"/>
    <mergeCell ref="AX234:AY234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AJ232:AK232"/>
    <mergeCell ref="AL232:AM232"/>
    <mergeCell ref="AN232:AO232"/>
    <mergeCell ref="AP232:AQ232"/>
    <mergeCell ref="AR232:AS232"/>
    <mergeCell ref="AT232:AU232"/>
    <mergeCell ref="BJ232:BK232"/>
    <mergeCell ref="BL232:BM232"/>
    <mergeCell ref="BN232:BO232"/>
    <mergeCell ref="F232:G232"/>
    <mergeCell ref="H232:I232"/>
    <mergeCell ref="J232:K232"/>
    <mergeCell ref="L232:M232"/>
    <mergeCell ref="N232:O232"/>
    <mergeCell ref="P232:Q232"/>
    <mergeCell ref="R232:S232"/>
    <mergeCell ref="AV232:AW232"/>
    <mergeCell ref="AX232:AY232"/>
    <mergeCell ref="AZ232:BA232"/>
    <mergeCell ref="BB232:BC232"/>
    <mergeCell ref="BD232:BE232"/>
    <mergeCell ref="BF232:BG232"/>
    <mergeCell ref="BH232:BI232"/>
    <mergeCell ref="F234:G234"/>
    <mergeCell ref="H234:I234"/>
    <mergeCell ref="J234:K234"/>
    <mergeCell ref="L234:M234"/>
    <mergeCell ref="N234:O234"/>
    <mergeCell ref="P234:Q234"/>
    <mergeCell ref="R234:S234"/>
    <mergeCell ref="BD233:BE233"/>
    <mergeCell ref="BD234:BE234"/>
    <mergeCell ref="BF234:BG234"/>
    <mergeCell ref="BH234:BI234"/>
    <mergeCell ref="BJ234:BK234"/>
    <mergeCell ref="BL234:BM234"/>
    <mergeCell ref="BN234:BO234"/>
    <mergeCell ref="AZ233:BA233"/>
    <mergeCell ref="BB233:BC233"/>
    <mergeCell ref="BF233:BG233"/>
    <mergeCell ref="BH233:BI233"/>
    <mergeCell ref="BJ233:BK233"/>
    <mergeCell ref="BL233:BM233"/>
    <mergeCell ref="BN233:BO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AJ235:AK235"/>
    <mergeCell ref="AL235:AM235"/>
    <mergeCell ref="AN235:AO235"/>
    <mergeCell ref="AP235:AQ235"/>
    <mergeCell ref="AR235:AS235"/>
    <mergeCell ref="AT235:AU235"/>
    <mergeCell ref="BJ235:BK235"/>
    <mergeCell ref="BL235:BM235"/>
    <mergeCell ref="BN235:BO235"/>
    <mergeCell ref="AV235:AW235"/>
    <mergeCell ref="AX235:AY235"/>
    <mergeCell ref="AZ235:BA235"/>
    <mergeCell ref="BB235:BC235"/>
    <mergeCell ref="BD235:BE235"/>
    <mergeCell ref="BF235:BG235"/>
    <mergeCell ref="BH235:BI235"/>
    <mergeCell ref="F235:G235"/>
    <mergeCell ref="H235:I235"/>
    <mergeCell ref="J235:K235"/>
    <mergeCell ref="L235:M235"/>
    <mergeCell ref="N235:O235"/>
    <mergeCell ref="P235:Q235"/>
    <mergeCell ref="R235:S235"/>
    <mergeCell ref="AV237:AW237"/>
    <mergeCell ref="AX237:AY237"/>
    <mergeCell ref="AH237:AI237"/>
    <mergeCell ref="AJ237:AK237"/>
    <mergeCell ref="AL237:AM237"/>
    <mergeCell ref="AN237:AO237"/>
    <mergeCell ref="AP237:AQ237"/>
    <mergeCell ref="AR237:AS237"/>
    <mergeCell ref="AT237:AU237"/>
    <mergeCell ref="AZ238:BA238"/>
    <mergeCell ref="BB238:BC238"/>
    <mergeCell ref="AL238:AM238"/>
    <mergeCell ref="AN238:AO238"/>
    <mergeCell ref="AP238:AQ238"/>
    <mergeCell ref="AR238:AS238"/>
    <mergeCell ref="AT238:AU238"/>
    <mergeCell ref="AV238:AW238"/>
    <mergeCell ref="AX238:AY238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AJ239:AK239"/>
    <mergeCell ref="AL239:AM239"/>
    <mergeCell ref="AN239:AO239"/>
    <mergeCell ref="AP239:AQ239"/>
    <mergeCell ref="AR239:AS239"/>
    <mergeCell ref="AT239:AU239"/>
    <mergeCell ref="BJ239:BK239"/>
    <mergeCell ref="BL239:BM239"/>
    <mergeCell ref="BN239:BO239"/>
    <mergeCell ref="AV239:AW239"/>
    <mergeCell ref="AX239:AY239"/>
    <mergeCell ref="AZ239:BA239"/>
    <mergeCell ref="BB239:BC239"/>
    <mergeCell ref="BD239:BE239"/>
    <mergeCell ref="BF239:BG239"/>
    <mergeCell ref="BH239:BI239"/>
    <mergeCell ref="F239:G239"/>
    <mergeCell ref="H239:I239"/>
    <mergeCell ref="J239:K239"/>
    <mergeCell ref="L239:M239"/>
    <mergeCell ref="N239:O239"/>
    <mergeCell ref="P239:Q239"/>
    <mergeCell ref="R239:S239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Z246:BA246"/>
    <mergeCell ref="BB246:BC246"/>
    <mergeCell ref="AL246:AM246"/>
    <mergeCell ref="AN246:AO246"/>
    <mergeCell ref="AP246:AQ246"/>
    <mergeCell ref="AR246:AS246"/>
    <mergeCell ref="AT246:AU246"/>
    <mergeCell ref="AV246:AW246"/>
    <mergeCell ref="AX246:AY246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AJ244:AK244"/>
    <mergeCell ref="AL244:AM244"/>
    <mergeCell ref="AN244:AO244"/>
    <mergeCell ref="AP244:AQ244"/>
    <mergeCell ref="AR244:AS244"/>
    <mergeCell ref="AT244:AU244"/>
    <mergeCell ref="BJ244:BK244"/>
    <mergeCell ref="BL244:BM244"/>
    <mergeCell ref="BN244:BO244"/>
    <mergeCell ref="F244:G244"/>
    <mergeCell ref="H244:I244"/>
    <mergeCell ref="J244:K244"/>
    <mergeCell ref="L244:M244"/>
    <mergeCell ref="N244:O244"/>
    <mergeCell ref="P244:Q244"/>
    <mergeCell ref="R244:S244"/>
    <mergeCell ref="AV244:AW244"/>
    <mergeCell ref="AX244:AY244"/>
    <mergeCell ref="AZ244:BA244"/>
    <mergeCell ref="BB244:BC244"/>
    <mergeCell ref="BD244:BE244"/>
    <mergeCell ref="BF244:BG244"/>
    <mergeCell ref="BH244:BI244"/>
    <mergeCell ref="F246:G246"/>
    <mergeCell ref="H246:I246"/>
    <mergeCell ref="J246:K246"/>
    <mergeCell ref="L246:M246"/>
    <mergeCell ref="N246:O246"/>
    <mergeCell ref="P246:Q246"/>
    <mergeCell ref="R246:S246"/>
    <mergeCell ref="BD245:BE245"/>
    <mergeCell ref="BD246:BE246"/>
    <mergeCell ref="BF246:BG246"/>
    <mergeCell ref="BH246:BI246"/>
    <mergeCell ref="BJ246:BK246"/>
    <mergeCell ref="BL246:BM246"/>
    <mergeCell ref="BN246:BO246"/>
    <mergeCell ref="AZ245:BA245"/>
    <mergeCell ref="BB245:BC245"/>
    <mergeCell ref="BF245:BG245"/>
    <mergeCell ref="BH245:BI245"/>
    <mergeCell ref="BJ245:BK245"/>
    <mergeCell ref="BL245:BM245"/>
    <mergeCell ref="BN245:BO245"/>
    <mergeCell ref="AV241:AW241"/>
    <mergeCell ref="AX241:AY241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AZ242:BA242"/>
    <mergeCell ref="BB242:BC242"/>
    <mergeCell ref="AL242:AM242"/>
    <mergeCell ref="AN242:AO242"/>
    <mergeCell ref="AP242:AQ242"/>
    <mergeCell ref="AR242:AS242"/>
    <mergeCell ref="AT242:AU242"/>
    <mergeCell ref="AV242:AW242"/>
    <mergeCell ref="AX242:AY242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L240:AM240"/>
    <mergeCell ref="AN240:AO240"/>
    <mergeCell ref="AP240:AQ240"/>
    <mergeCell ref="AR240:AS240"/>
    <mergeCell ref="AT240:AU240"/>
    <mergeCell ref="BJ240:BK240"/>
    <mergeCell ref="BL240:BM240"/>
    <mergeCell ref="BN240:BO240"/>
    <mergeCell ref="F240:G240"/>
    <mergeCell ref="H240:I240"/>
    <mergeCell ref="J240:K240"/>
    <mergeCell ref="L240:M240"/>
    <mergeCell ref="N240:O240"/>
    <mergeCell ref="P240:Q240"/>
    <mergeCell ref="R240:S240"/>
    <mergeCell ref="AV240:AW240"/>
    <mergeCell ref="AX240:AY240"/>
    <mergeCell ref="AZ240:BA240"/>
    <mergeCell ref="BB240:BC240"/>
    <mergeCell ref="BD240:BE240"/>
    <mergeCell ref="BF240:BG240"/>
    <mergeCell ref="BH240:BI240"/>
    <mergeCell ref="F242:G242"/>
    <mergeCell ref="H242:I242"/>
    <mergeCell ref="J242:K242"/>
    <mergeCell ref="L242:M242"/>
    <mergeCell ref="N242:O242"/>
    <mergeCell ref="P242:Q242"/>
    <mergeCell ref="R242:S242"/>
    <mergeCell ref="BD241:BE241"/>
    <mergeCell ref="BD242:BE242"/>
    <mergeCell ref="BF242:BG242"/>
    <mergeCell ref="BH242:BI242"/>
    <mergeCell ref="BJ242:BK242"/>
    <mergeCell ref="BL242:BM242"/>
    <mergeCell ref="BN242:BO242"/>
    <mergeCell ref="AZ241:BA241"/>
    <mergeCell ref="BB241:BC241"/>
    <mergeCell ref="BF241:BG241"/>
    <mergeCell ref="BH241:BI241"/>
    <mergeCell ref="BJ241:BK241"/>
    <mergeCell ref="BL241:BM241"/>
    <mergeCell ref="BN241:BO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AJ243:AK243"/>
    <mergeCell ref="AL243:AM243"/>
    <mergeCell ref="AN243:AO243"/>
    <mergeCell ref="AP243:AQ243"/>
    <mergeCell ref="AR243:AS243"/>
    <mergeCell ref="AT243:AU243"/>
    <mergeCell ref="BJ243:BK243"/>
    <mergeCell ref="BL243:BM243"/>
    <mergeCell ref="BN243:BO243"/>
    <mergeCell ref="AV243:AW243"/>
    <mergeCell ref="AX243:AY243"/>
    <mergeCell ref="AZ243:BA243"/>
    <mergeCell ref="BB243:BC243"/>
    <mergeCell ref="BD243:BE243"/>
    <mergeCell ref="BF243:BG243"/>
    <mergeCell ref="BH243:BI243"/>
    <mergeCell ref="F243:G243"/>
    <mergeCell ref="H243:I243"/>
    <mergeCell ref="J243:K243"/>
    <mergeCell ref="L243:M243"/>
    <mergeCell ref="N243:O243"/>
    <mergeCell ref="P243:Q243"/>
    <mergeCell ref="R243:S243"/>
    <mergeCell ref="AV245:AW245"/>
    <mergeCell ref="AX245:AY245"/>
    <mergeCell ref="AH245:AI245"/>
    <mergeCell ref="AJ245:AK245"/>
    <mergeCell ref="AL245:AM245"/>
    <mergeCell ref="AN245:AO245"/>
    <mergeCell ref="AP245:AQ245"/>
    <mergeCell ref="AR245:AS245"/>
    <mergeCell ref="AT245:AU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AJ247:AK247"/>
    <mergeCell ref="AL247:AM247"/>
    <mergeCell ref="AN247:AO247"/>
    <mergeCell ref="AP247:AQ247"/>
    <mergeCell ref="AR247:AS247"/>
    <mergeCell ref="AT247:AU247"/>
    <mergeCell ref="BJ247:BK247"/>
    <mergeCell ref="BL247:BM247"/>
    <mergeCell ref="BN247:BO247"/>
    <mergeCell ref="AV247:AW247"/>
    <mergeCell ref="AX247:AY247"/>
    <mergeCell ref="AZ247:BA247"/>
    <mergeCell ref="BB247:BC247"/>
    <mergeCell ref="BD247:BE247"/>
    <mergeCell ref="BF247:BG247"/>
    <mergeCell ref="BH247:BI247"/>
    <mergeCell ref="F247:G247"/>
    <mergeCell ref="H247:I247"/>
    <mergeCell ref="J247:K247"/>
    <mergeCell ref="L247:M247"/>
    <mergeCell ref="N247:O247"/>
    <mergeCell ref="P247:Q247"/>
    <mergeCell ref="R247:S247"/>
    <mergeCell ref="AV249:AW249"/>
    <mergeCell ref="AX249:AY249"/>
    <mergeCell ref="AH249:AI249"/>
    <mergeCell ref="AJ249:AK249"/>
    <mergeCell ref="AL249:AM249"/>
    <mergeCell ref="AN249:AO249"/>
    <mergeCell ref="AP249:AQ249"/>
    <mergeCell ref="AR249:AS249"/>
    <mergeCell ref="AT249:AU249"/>
    <mergeCell ref="AZ250:BA250"/>
    <mergeCell ref="BB250:BC250"/>
    <mergeCell ref="BL282:BM282"/>
    <mergeCell ref="AL250:AM250"/>
    <mergeCell ref="AN250:AO250"/>
    <mergeCell ref="AP250:AQ250"/>
    <mergeCell ref="AR250:AS250"/>
    <mergeCell ref="AT250:AU250"/>
    <mergeCell ref="AV250:AW250"/>
    <mergeCell ref="AX250:AY250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AJ248:AK248"/>
    <mergeCell ref="AL248:AM248"/>
    <mergeCell ref="AN248:AO248"/>
    <mergeCell ref="AP248:AQ248"/>
    <mergeCell ref="AR248:AS248"/>
    <mergeCell ref="AT248:AU248"/>
    <mergeCell ref="BJ248:BK248"/>
    <mergeCell ref="BL248:BM248"/>
    <mergeCell ref="BN248:BO248"/>
    <mergeCell ref="F248:G248"/>
    <mergeCell ref="H248:I248"/>
    <mergeCell ref="J248:K248"/>
    <mergeCell ref="L248:M248"/>
    <mergeCell ref="N248:O248"/>
    <mergeCell ref="P248:Q248"/>
    <mergeCell ref="R248:S248"/>
    <mergeCell ref="AV248:AW248"/>
    <mergeCell ref="AX248:AY248"/>
    <mergeCell ref="AZ248:BA248"/>
    <mergeCell ref="BB248:BC248"/>
    <mergeCell ref="BD248:BE248"/>
    <mergeCell ref="BF248:BG248"/>
    <mergeCell ref="BH248:BI248"/>
    <mergeCell ref="F250:G250"/>
    <mergeCell ref="H250:I250"/>
    <mergeCell ref="J250:K250"/>
    <mergeCell ref="L250:M250"/>
    <mergeCell ref="N250:O250"/>
    <mergeCell ref="P250:Q250"/>
    <mergeCell ref="R250:S250"/>
    <mergeCell ref="BD249:BE249"/>
    <mergeCell ref="BD250:BE250"/>
    <mergeCell ref="BF250:BG250"/>
    <mergeCell ref="BH250:BI250"/>
    <mergeCell ref="BJ250:BK250"/>
    <mergeCell ref="BL250:BM250"/>
    <mergeCell ref="BN250:BO250"/>
    <mergeCell ref="AZ249:BA249"/>
    <mergeCell ref="BB249:BC249"/>
    <mergeCell ref="BF249:BG249"/>
    <mergeCell ref="BH249:BI249"/>
    <mergeCell ref="BJ249:BK249"/>
    <mergeCell ref="BL249:BM249"/>
    <mergeCell ref="BN249:BO249"/>
    <mergeCell ref="F252:G252"/>
    <mergeCell ref="H252:I252"/>
    <mergeCell ref="J252:K252"/>
    <mergeCell ref="L252:M252"/>
    <mergeCell ref="N252:O252"/>
    <mergeCell ref="P252:Q252"/>
    <mergeCell ref="R252:S252"/>
    <mergeCell ref="A254:B254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AJ252:AK252"/>
    <mergeCell ref="AL252:AM252"/>
    <mergeCell ref="AN252:AO252"/>
    <mergeCell ref="AP252:AQ252"/>
    <mergeCell ref="AR252:AS252"/>
    <mergeCell ref="AT252:AU252"/>
    <mergeCell ref="BJ252:BK252"/>
    <mergeCell ref="BL252:BM252"/>
    <mergeCell ref="BN252:BO252"/>
    <mergeCell ref="AV252:AW252"/>
    <mergeCell ref="AX252:AY252"/>
    <mergeCell ref="AZ252:BA252"/>
    <mergeCell ref="BB252:BC252"/>
    <mergeCell ref="BD252:BE252"/>
    <mergeCell ref="BF252:BG252"/>
    <mergeCell ref="BH252:BI252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BJ251:BK251"/>
    <mergeCell ref="BL251:BM251"/>
    <mergeCell ref="BN251:BO251"/>
    <mergeCell ref="AV251:AW251"/>
    <mergeCell ref="AX251:AY251"/>
    <mergeCell ref="AZ251:BA251"/>
    <mergeCell ref="BB251:BC251"/>
    <mergeCell ref="BD251:BE251"/>
    <mergeCell ref="BF251:BG251"/>
    <mergeCell ref="BH251:BI251"/>
    <mergeCell ref="F251:G251"/>
    <mergeCell ref="H251:I251"/>
    <mergeCell ref="J251:K251"/>
    <mergeCell ref="L251:M251"/>
    <mergeCell ref="N251:O251"/>
    <mergeCell ref="P251:Q251"/>
    <mergeCell ref="R251:S251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P286:Q286"/>
    <mergeCell ref="R286:S286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AJ286:AK286"/>
    <mergeCell ref="AL286:AM286"/>
    <mergeCell ref="AN286:AO286"/>
    <mergeCell ref="AP286:AQ286"/>
    <mergeCell ref="BF286:BG286"/>
    <mergeCell ref="BH286:BI286"/>
    <mergeCell ref="BJ286:BK286"/>
    <mergeCell ref="BL286:BM286"/>
    <mergeCell ref="BN286:BO286"/>
    <mergeCell ref="AR286:AS286"/>
    <mergeCell ref="AT286:AU286"/>
    <mergeCell ref="AV286:AW286"/>
    <mergeCell ref="AX286:AY286"/>
    <mergeCell ref="AZ286:BA286"/>
    <mergeCell ref="BB286:BC286"/>
    <mergeCell ref="BD286:BE286"/>
    <mergeCell ref="A285:B285"/>
    <mergeCell ref="C285:D285"/>
    <mergeCell ref="F286:G286"/>
    <mergeCell ref="H286:I286"/>
    <mergeCell ref="J286:K286"/>
    <mergeCell ref="L286:M286"/>
    <mergeCell ref="N286:O286"/>
    <mergeCell ref="AV288:AW288"/>
    <mergeCell ref="AX288:AY288"/>
    <mergeCell ref="AH288:AI288"/>
    <mergeCell ref="AJ288:AK288"/>
    <mergeCell ref="AL288:AM288"/>
    <mergeCell ref="AN288:AO288"/>
    <mergeCell ref="AP288:AQ288"/>
    <mergeCell ref="AR288:AS288"/>
    <mergeCell ref="AT288:AU288"/>
  </mergeCells>
  <dataValidations>
    <dataValidation type="list" allowBlank="1" showErrorMessage="1" sqref="A4:A30 A66:A92 A127:A154 A192:A218 A256:A281">
      <formula1>"Да,Нет"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1.22" defaultRowHeight="15.0"/>
  <cols>
    <col customWidth="1" min="1" max="1" width="4.78"/>
    <col customWidth="1" min="2" max="2" width="4.89"/>
    <col customWidth="1" min="3" max="3" width="4.44"/>
    <col customWidth="1" min="4" max="4" width="6.33"/>
    <col customWidth="1" min="5" max="5" width="36.33"/>
    <col customWidth="1" min="6" max="66" width="3.44"/>
    <col customWidth="1" min="67" max="67" width="4.56"/>
    <col customWidth="1" min="68" max="68" width="6.56"/>
    <col customWidth="1" min="69" max="69" width="6.67"/>
    <col customWidth="1" min="70" max="70" width="9.0"/>
    <col customWidth="1" min="71" max="71" width="9.22"/>
    <col customWidth="1" min="72" max="72" width="9.33"/>
    <col customWidth="1" min="73" max="73" width="10.56"/>
  </cols>
  <sheetData>
    <row r="1" ht="15.75" customHeight="1">
      <c r="A1" s="1540"/>
      <c r="B1" s="1591"/>
      <c r="C1" s="1542"/>
      <c r="D1" s="1541"/>
      <c r="E1" s="906"/>
      <c r="F1" s="620"/>
      <c r="G1" s="541"/>
      <c r="H1" s="620"/>
      <c r="I1" s="701"/>
      <c r="J1" s="1014"/>
      <c r="K1" s="701"/>
      <c r="L1" s="1014"/>
      <c r="M1" s="701"/>
      <c r="N1" s="1014"/>
      <c r="O1" s="701"/>
      <c r="P1" s="1014"/>
      <c r="Q1" s="701"/>
      <c r="R1" s="1014"/>
      <c r="S1" s="701"/>
      <c r="T1" s="1014"/>
      <c r="U1" s="701"/>
      <c r="V1" s="1014"/>
      <c r="W1" s="701"/>
      <c r="X1" s="701"/>
      <c r="Y1" s="701"/>
      <c r="Z1" s="701"/>
      <c r="AA1" s="701"/>
      <c r="AB1" s="701"/>
      <c r="AC1" s="701"/>
      <c r="AD1" s="701"/>
      <c r="AE1" s="701"/>
      <c r="AF1" s="701"/>
      <c r="AG1" s="701"/>
      <c r="AH1" s="701"/>
      <c r="AI1" s="701"/>
      <c r="AJ1" s="701"/>
      <c r="AK1" s="701"/>
      <c r="AL1" s="701"/>
      <c r="AM1" s="701"/>
      <c r="AN1" s="1189"/>
      <c r="AO1" s="1189"/>
      <c r="AP1" s="1189"/>
      <c r="AQ1" s="1189"/>
      <c r="AR1" s="1189"/>
      <c r="AS1" s="701"/>
      <c r="AT1" s="701"/>
      <c r="AU1" s="701"/>
      <c r="AV1" s="701"/>
      <c r="AW1" s="701"/>
      <c r="AX1" s="701"/>
      <c r="AY1" s="701"/>
      <c r="AZ1" s="701"/>
      <c r="BA1" s="701"/>
      <c r="BB1" s="701"/>
      <c r="BC1" s="701"/>
      <c r="BD1" s="701"/>
      <c r="BE1" s="701"/>
      <c r="BF1" s="701"/>
      <c r="BG1" s="701"/>
      <c r="BH1" s="1189"/>
      <c r="BI1" s="684"/>
      <c r="BJ1" s="13"/>
      <c r="BK1" s="684"/>
      <c r="BL1" s="684"/>
      <c r="BM1" s="684"/>
      <c r="BN1" s="677"/>
      <c r="BO1" s="677"/>
      <c r="BP1" s="541"/>
      <c r="BQ1" s="633"/>
      <c r="BR1" s="541"/>
      <c r="BS1" s="541"/>
      <c r="BT1" s="541"/>
      <c r="BU1" s="541"/>
    </row>
    <row r="2" ht="18.75" customHeight="1">
      <c r="A2" s="1593" t="s">
        <v>3067</v>
      </c>
      <c r="B2" s="1548"/>
      <c r="C2" s="1594">
        <v>46236.0</v>
      </c>
      <c r="D2" s="1548"/>
      <c r="E2" s="1595" t="s">
        <v>3096</v>
      </c>
      <c r="F2" s="1596"/>
      <c r="G2" s="1596"/>
      <c r="H2" s="1596"/>
      <c r="I2" s="1596"/>
      <c r="J2" s="1596"/>
      <c r="K2" s="1596"/>
      <c r="L2" s="1552"/>
      <c r="M2" s="1596"/>
      <c r="N2" s="1596"/>
      <c r="O2" s="1596"/>
      <c r="P2" s="1596"/>
      <c r="Q2" s="1596"/>
      <c r="R2" s="1596"/>
      <c r="S2" s="1596"/>
      <c r="T2" s="1596"/>
      <c r="U2" s="1596"/>
      <c r="V2" s="1597"/>
      <c r="W2" s="1596"/>
      <c r="X2" s="1596"/>
      <c r="Y2" s="1596"/>
      <c r="Z2" s="1596"/>
      <c r="AA2" s="1596"/>
      <c r="AB2" s="1596"/>
      <c r="AC2" s="1596"/>
      <c r="AD2" s="1596"/>
      <c r="AE2" s="1596"/>
      <c r="AF2" s="1596"/>
      <c r="AG2" s="1596"/>
      <c r="AH2" s="1596"/>
      <c r="AI2" s="1596"/>
      <c r="AJ2" s="1596"/>
      <c r="AK2" s="1596"/>
      <c r="AL2" s="1596"/>
      <c r="AM2" s="1596"/>
      <c r="AN2" s="1552"/>
      <c r="AO2" s="1552"/>
      <c r="AP2" s="1553"/>
      <c r="AQ2" s="1552"/>
      <c r="AR2" s="1552"/>
      <c r="AS2" s="1596"/>
      <c r="AT2" s="1596"/>
      <c r="AU2" s="1596"/>
      <c r="AV2" s="1596"/>
      <c r="AW2" s="1596"/>
      <c r="AX2" s="1596"/>
      <c r="AY2" s="1596"/>
      <c r="AZ2" s="1599"/>
      <c r="BA2" s="1596"/>
      <c r="BB2" s="1552"/>
      <c r="BC2" s="1596"/>
      <c r="BD2" s="1552"/>
      <c r="BE2" s="1596"/>
      <c r="BF2" s="1552"/>
      <c r="BG2" s="1596"/>
      <c r="BH2" s="1552"/>
      <c r="BI2" s="1596"/>
      <c r="BJ2" s="1552"/>
      <c r="BK2" s="1596"/>
      <c r="BL2" s="1596"/>
      <c r="BM2" s="1596"/>
      <c r="BN2" s="1596"/>
      <c r="BO2" s="1596"/>
      <c r="BP2" s="1596"/>
      <c r="BQ2" s="1599"/>
      <c r="BR2" s="1601"/>
      <c r="BS2" s="1601"/>
      <c r="BT2" s="1596"/>
      <c r="BU2" s="1596"/>
    </row>
    <row r="3" ht="18.75" customHeight="1">
      <c r="A3" s="1602" t="s">
        <v>3069</v>
      </c>
      <c r="B3" s="1603" t="s">
        <v>3097</v>
      </c>
      <c r="C3" s="1604" t="s">
        <v>19</v>
      </c>
      <c r="D3" s="1603" t="s">
        <v>3070</v>
      </c>
      <c r="E3" s="1559" t="s">
        <v>471</v>
      </c>
      <c r="F3" s="1075" t="s">
        <v>1357</v>
      </c>
      <c r="G3" s="1409" t="s">
        <v>3071</v>
      </c>
      <c r="H3" s="1075" t="s">
        <v>1287</v>
      </c>
      <c r="I3" s="1409" t="s">
        <v>1288</v>
      </c>
      <c r="J3" s="1075" t="s">
        <v>1358</v>
      </c>
      <c r="K3" s="1409" t="s">
        <v>3072</v>
      </c>
      <c r="L3" s="1075" t="s">
        <v>1359</v>
      </c>
      <c r="M3" s="1409" t="s">
        <v>3073</v>
      </c>
      <c r="N3" s="1075" t="s">
        <v>1360</v>
      </c>
      <c r="O3" s="1409" t="s">
        <v>3074</v>
      </c>
      <c r="P3" s="1075" t="s">
        <v>1361</v>
      </c>
      <c r="Q3" s="1409" t="s">
        <v>3075</v>
      </c>
      <c r="R3" s="1485" t="s">
        <v>1362</v>
      </c>
      <c r="S3" s="1560" t="s">
        <v>1298</v>
      </c>
      <c r="T3" s="1427" t="s">
        <v>1299</v>
      </c>
      <c r="U3" s="1560" t="s">
        <v>1300</v>
      </c>
      <c r="V3" s="1487" t="s">
        <v>1301</v>
      </c>
      <c r="W3" s="1560" t="s">
        <v>1302</v>
      </c>
      <c r="X3" s="1427" t="s">
        <v>1363</v>
      </c>
      <c r="Y3" s="1560" t="s">
        <v>1304</v>
      </c>
      <c r="Z3" s="1487" t="s">
        <v>1305</v>
      </c>
      <c r="AA3" s="1560" t="s">
        <v>1306</v>
      </c>
      <c r="AB3" s="1487" t="s">
        <v>1307</v>
      </c>
      <c r="AC3" s="1560" t="s">
        <v>1308</v>
      </c>
      <c r="AD3" s="1487" t="s">
        <v>1309</v>
      </c>
      <c r="AE3" s="1560" t="s">
        <v>1310</v>
      </c>
      <c r="AF3" s="1427" t="s">
        <v>1311</v>
      </c>
      <c r="AG3" s="1560" t="s">
        <v>1312</v>
      </c>
      <c r="AH3" s="1487" t="s">
        <v>1313</v>
      </c>
      <c r="AI3" s="1560" t="s">
        <v>1314</v>
      </c>
      <c r="AJ3" s="1487" t="s">
        <v>1315</v>
      </c>
      <c r="AK3" s="1560" t="s">
        <v>1316</v>
      </c>
      <c r="AL3" s="1487" t="s">
        <v>1317</v>
      </c>
      <c r="AM3" s="1560" t="s">
        <v>1318</v>
      </c>
      <c r="AN3" s="1487" t="s">
        <v>1319</v>
      </c>
      <c r="AO3" s="1560" t="s">
        <v>1320</v>
      </c>
      <c r="AP3" s="1487" t="s">
        <v>1321</v>
      </c>
      <c r="AQ3" s="1486" t="s">
        <v>1322</v>
      </c>
      <c r="AR3" s="1427" t="s">
        <v>1323</v>
      </c>
      <c r="AS3" s="1486" t="s">
        <v>1324</v>
      </c>
      <c r="AT3" s="1485" t="s">
        <v>1325</v>
      </c>
      <c r="AU3" s="1486" t="s">
        <v>1326</v>
      </c>
      <c r="AV3" s="1485" t="s">
        <v>1327</v>
      </c>
      <c r="AW3" s="1486" t="s">
        <v>1328</v>
      </c>
      <c r="AX3" s="1485" t="s">
        <v>3076</v>
      </c>
      <c r="AY3" s="1486" t="s">
        <v>3077</v>
      </c>
      <c r="AZ3" s="1485" t="s">
        <v>3078</v>
      </c>
      <c r="BA3" s="1486" t="s">
        <v>3079</v>
      </c>
      <c r="BB3" s="1485" t="s">
        <v>3080</v>
      </c>
      <c r="BC3" s="1486" t="s">
        <v>3081</v>
      </c>
      <c r="BD3" s="1485" t="s">
        <v>3082</v>
      </c>
      <c r="BE3" s="1486" t="s">
        <v>3083</v>
      </c>
      <c r="BF3" s="1485" t="s">
        <v>3084</v>
      </c>
      <c r="BG3" s="1486" t="s">
        <v>3085</v>
      </c>
      <c r="BH3" s="1485" t="s">
        <v>3086</v>
      </c>
      <c r="BI3" s="1486" t="s">
        <v>3087</v>
      </c>
      <c r="BJ3" s="1485" t="s">
        <v>3088</v>
      </c>
      <c r="BK3" s="1486" t="s">
        <v>3089</v>
      </c>
      <c r="BL3" s="1120" t="s">
        <v>1425</v>
      </c>
      <c r="BM3" s="1121" t="s">
        <v>3045</v>
      </c>
      <c r="BN3" s="1562" t="s">
        <v>3090</v>
      </c>
      <c r="BO3" s="1563" t="s">
        <v>3091</v>
      </c>
      <c r="BP3" s="1606" t="s">
        <v>1331</v>
      </c>
      <c r="BQ3" s="1168" t="s">
        <v>3092</v>
      </c>
      <c r="BR3" s="1120" t="s">
        <v>3093</v>
      </c>
      <c r="BS3" s="1075" t="s">
        <v>3094</v>
      </c>
      <c r="BT3" s="1609"/>
      <c r="BU3" s="1610"/>
    </row>
    <row r="4" ht="18.75" customHeight="1">
      <c r="A4" s="1565" t="s">
        <v>145</v>
      </c>
      <c r="B4" s="1611">
        <v>2898.0</v>
      </c>
      <c r="C4" s="1567">
        <v>98.0</v>
      </c>
      <c r="D4" s="1612" t="s">
        <v>3095</v>
      </c>
      <c r="E4" s="1613" t="str">
        <f>'Матрица 4 недели'!D51</f>
        <v>Каша рисовая с курагой</v>
      </c>
      <c r="F4" s="1120">
        <v>2.0</v>
      </c>
      <c r="G4" s="1121">
        <v>2.0</v>
      </c>
      <c r="H4" s="1120">
        <v>2.0</v>
      </c>
      <c r="I4" s="1121">
        <v>2.0</v>
      </c>
      <c r="J4" s="1120">
        <v>7.0</v>
      </c>
      <c r="K4" s="1121">
        <v>7.0</v>
      </c>
      <c r="L4" s="1120">
        <v>1.0</v>
      </c>
      <c r="M4" s="1121">
        <v>1.0</v>
      </c>
      <c r="N4" s="1120">
        <v>10.0</v>
      </c>
      <c r="O4" s="1121">
        <v>10.0</v>
      </c>
      <c r="P4" s="1120">
        <v>5.0</v>
      </c>
      <c r="Q4" s="1121">
        <v>5.0</v>
      </c>
      <c r="R4" s="1126">
        <v>1.0</v>
      </c>
      <c r="S4" s="1121">
        <v>1.0</v>
      </c>
      <c r="T4" s="1120">
        <v>2.0</v>
      </c>
      <c r="U4" s="1121">
        <v>2.0</v>
      </c>
      <c r="V4" s="1126">
        <v>1.0</v>
      </c>
      <c r="W4" s="1121">
        <v>1.0</v>
      </c>
      <c r="X4" s="1126">
        <v>1.0</v>
      </c>
      <c r="Y4" s="1121">
        <v>1.0</v>
      </c>
      <c r="Z4" s="1120"/>
      <c r="AA4" s="1121"/>
      <c r="AB4" s="1126">
        <v>0.0</v>
      </c>
      <c r="AC4" s="1121">
        <v>0.0</v>
      </c>
      <c r="AD4" s="1126">
        <v>3.0</v>
      </c>
      <c r="AE4" s="1121">
        <v>3.0</v>
      </c>
      <c r="AF4" s="1120">
        <v>5.0</v>
      </c>
      <c r="AG4" s="1121">
        <v>5.0</v>
      </c>
      <c r="AH4" s="1126">
        <v>6.0</v>
      </c>
      <c r="AI4" s="1121">
        <v>6.0</v>
      </c>
      <c r="AJ4" s="1120">
        <v>1.0</v>
      </c>
      <c r="AK4" s="1121">
        <v>1.0</v>
      </c>
      <c r="AL4" s="1120"/>
      <c r="AM4" s="1121"/>
      <c r="AN4" s="1126">
        <v>3.0</v>
      </c>
      <c r="AO4" s="1138">
        <v>3.0</v>
      </c>
      <c r="AP4" s="1126">
        <v>1.0</v>
      </c>
      <c r="AQ4" s="1121">
        <v>1.0</v>
      </c>
      <c r="AR4" s="1126">
        <v>6.0</v>
      </c>
      <c r="AS4" s="1121">
        <v>6.0</v>
      </c>
      <c r="AT4" s="1126">
        <v>0.0</v>
      </c>
      <c r="AU4" s="1121">
        <v>0.0</v>
      </c>
      <c r="AV4" s="1126">
        <v>1.0</v>
      </c>
      <c r="AW4" s="1121">
        <v>1.0</v>
      </c>
      <c r="AX4" s="1126">
        <v>2.0</v>
      </c>
      <c r="AY4" s="1121">
        <v>2.0</v>
      </c>
      <c r="AZ4" s="1126">
        <v>1.0</v>
      </c>
      <c r="BA4" s="1121">
        <v>1.0</v>
      </c>
      <c r="BB4" s="1126"/>
      <c r="BC4" s="1121"/>
      <c r="BD4" s="1126">
        <v>1.0</v>
      </c>
      <c r="BE4" s="1121">
        <v>1.0</v>
      </c>
      <c r="BF4" s="1126">
        <v>1.0</v>
      </c>
      <c r="BG4" s="1121">
        <v>1.0</v>
      </c>
      <c r="BH4" s="1126">
        <v>2.0</v>
      </c>
      <c r="BI4" s="1121">
        <v>2.0</v>
      </c>
      <c r="BJ4" s="1126">
        <v>3.0</v>
      </c>
      <c r="BK4" s="1121">
        <v>3.0</v>
      </c>
      <c r="BL4" s="1134"/>
      <c r="BM4" s="1121"/>
      <c r="BN4" s="1087"/>
      <c r="BO4" s="1138"/>
      <c r="BP4" s="783">
        <f t="shared" ref="BP4:BP15" si="1">(F4+H4+J4+L4+N4+P4+R4+T4+V4+X4+Z4+AB4+AF4+AH4+AJ4+AR4+BL4+AL4+AD4+AN4+AP4+AT4+AV4+AX4+AZ4+BB4+BD4+BF4+BH4+BJ4)+1</f>
        <v>69</v>
      </c>
      <c r="BQ4" s="1571">
        <f t="shared" ref="BQ4:BQ15" si="2">G4+I4+K4+M4+O4+Q4+S4+W4+U4+Y4+AA4+BM4+AC4+AG4+AI4+AK4+AS4+AE4+AM4+AO4+AQ4+AU4+AW4+AY4+BA4+BC4+BE4+BG4+BI4+BK4</f>
        <v>68</v>
      </c>
      <c r="BR4" s="1572">
        <f t="shared" ref="BR4:BR31" si="3">BQ4*C4</f>
        <v>6664</v>
      </c>
      <c r="BS4" s="784">
        <f t="shared" ref="BS4:BS31" si="4">BP4*C4</f>
        <v>6762</v>
      </c>
      <c r="BT4" s="1419"/>
      <c r="BU4" s="1573"/>
    </row>
    <row r="5" ht="18.75" customHeight="1">
      <c r="A5" s="1565" t="s">
        <v>145</v>
      </c>
      <c r="B5" s="1611">
        <v>4206.0</v>
      </c>
      <c r="C5" s="1567">
        <v>172.0</v>
      </c>
      <c r="D5" s="1612" t="s">
        <v>3095</v>
      </c>
      <c r="E5" s="1613" t="str">
        <f>'Матрица 4 недели'!D52</f>
        <v>Венский штрудель с курочкой и сыром</v>
      </c>
      <c r="F5" s="1120">
        <v>7.0</v>
      </c>
      <c r="G5" s="1138">
        <v>7.0</v>
      </c>
      <c r="H5" s="1120">
        <v>3.0</v>
      </c>
      <c r="I5" s="1138">
        <v>3.0</v>
      </c>
      <c r="J5" s="1120">
        <v>9.0</v>
      </c>
      <c r="K5" s="1138">
        <v>9.0</v>
      </c>
      <c r="L5" s="1120">
        <v>5.0</v>
      </c>
      <c r="M5" s="1138">
        <v>5.0</v>
      </c>
      <c r="N5" s="1120">
        <v>4.0</v>
      </c>
      <c r="O5" s="1138">
        <v>4.0</v>
      </c>
      <c r="P5" s="1120">
        <v>2.0</v>
      </c>
      <c r="Q5" s="1138">
        <v>2.0</v>
      </c>
      <c r="R5" s="1126">
        <v>2.0</v>
      </c>
      <c r="S5" s="1138">
        <v>2.0</v>
      </c>
      <c r="T5" s="1120">
        <v>4.0</v>
      </c>
      <c r="U5" s="1138">
        <v>4.0</v>
      </c>
      <c r="V5" s="1126">
        <v>7.0</v>
      </c>
      <c r="W5" s="1138">
        <v>7.0</v>
      </c>
      <c r="X5" s="1126">
        <v>4.0</v>
      </c>
      <c r="Y5" s="1138">
        <v>4.0</v>
      </c>
      <c r="Z5" s="1120"/>
      <c r="AA5" s="1138"/>
      <c r="AB5" s="1126">
        <v>5.0</v>
      </c>
      <c r="AC5" s="1138">
        <v>5.0</v>
      </c>
      <c r="AD5" s="1126">
        <v>4.0</v>
      </c>
      <c r="AE5" s="1138">
        <v>4.0</v>
      </c>
      <c r="AF5" s="1120">
        <v>4.0</v>
      </c>
      <c r="AG5" s="1138">
        <v>4.0</v>
      </c>
      <c r="AH5" s="1126">
        <v>3.0</v>
      </c>
      <c r="AI5" s="1138">
        <v>3.0</v>
      </c>
      <c r="AJ5" s="1120">
        <v>4.0</v>
      </c>
      <c r="AK5" s="1138">
        <v>4.0</v>
      </c>
      <c r="AL5" s="1120">
        <v>5.0</v>
      </c>
      <c r="AM5" s="1138">
        <v>5.0</v>
      </c>
      <c r="AN5" s="1126">
        <v>3.0</v>
      </c>
      <c r="AO5" s="1138">
        <v>3.0</v>
      </c>
      <c r="AP5" s="1120">
        <v>5.0</v>
      </c>
      <c r="AQ5" s="1138">
        <v>5.0</v>
      </c>
      <c r="AR5" s="1126">
        <v>9.0</v>
      </c>
      <c r="AS5" s="1138">
        <v>9.0</v>
      </c>
      <c r="AT5" s="1126">
        <v>4.0</v>
      </c>
      <c r="AU5" s="1138">
        <v>4.0</v>
      </c>
      <c r="AV5" s="1126">
        <v>2.0</v>
      </c>
      <c r="AW5" s="1138">
        <v>2.0</v>
      </c>
      <c r="AX5" s="1126">
        <v>6.0</v>
      </c>
      <c r="AY5" s="1138">
        <v>6.0</v>
      </c>
      <c r="AZ5" s="1126">
        <v>3.0</v>
      </c>
      <c r="BA5" s="1138">
        <v>3.0</v>
      </c>
      <c r="BB5" s="1126"/>
      <c r="BC5" s="1138"/>
      <c r="BD5" s="1126">
        <v>3.0</v>
      </c>
      <c r="BE5" s="1138">
        <v>3.0</v>
      </c>
      <c r="BF5" s="1126">
        <v>4.0</v>
      </c>
      <c r="BG5" s="1138">
        <v>4.0</v>
      </c>
      <c r="BH5" s="1126">
        <v>5.0</v>
      </c>
      <c r="BI5" s="1138">
        <v>5.0</v>
      </c>
      <c r="BJ5" s="1126">
        <v>4.0</v>
      </c>
      <c r="BK5" s="1138">
        <v>4.0</v>
      </c>
      <c r="BL5" s="1134"/>
      <c r="BM5" s="1138"/>
      <c r="BN5" s="1087">
        <v>0.0</v>
      </c>
      <c r="BO5" s="1138"/>
      <c r="BP5" s="783">
        <f t="shared" si="1"/>
        <v>121</v>
      </c>
      <c r="BQ5" s="1571">
        <f t="shared" si="2"/>
        <v>120</v>
      </c>
      <c r="BR5" s="1572">
        <f t="shared" si="3"/>
        <v>20640</v>
      </c>
      <c r="BS5" s="784">
        <f t="shared" si="4"/>
        <v>20812</v>
      </c>
      <c r="BT5" s="1419"/>
      <c r="BU5" s="1573"/>
    </row>
    <row r="6" ht="18.75" customHeight="1">
      <c r="A6" s="1565" t="s">
        <v>145</v>
      </c>
      <c r="B6" s="1611"/>
      <c r="C6" s="1567"/>
      <c r="D6" s="1612" t="s">
        <v>3095</v>
      </c>
      <c r="E6" s="1613" t="str">
        <f>'Матрица 4 недели'!D53</f>
        <v>Шоколадный пирог с вишней </v>
      </c>
      <c r="F6" s="1137">
        <v>2.0</v>
      </c>
      <c r="G6" s="1138">
        <v>2.0</v>
      </c>
      <c r="H6" s="1126">
        <v>3.0</v>
      </c>
      <c r="I6" s="1138">
        <v>3.0</v>
      </c>
      <c r="J6" s="1126">
        <v>9.0</v>
      </c>
      <c r="K6" s="1138">
        <v>9.0</v>
      </c>
      <c r="L6" s="1126">
        <v>3.0</v>
      </c>
      <c r="M6" s="1138">
        <v>3.0</v>
      </c>
      <c r="N6" s="1126">
        <v>6.0</v>
      </c>
      <c r="O6" s="1138">
        <v>6.0</v>
      </c>
      <c r="P6" s="1126">
        <v>2.0</v>
      </c>
      <c r="Q6" s="1121">
        <v>2.0</v>
      </c>
      <c r="R6" s="1126">
        <v>2.0</v>
      </c>
      <c r="S6" s="1121">
        <v>2.0</v>
      </c>
      <c r="T6" s="1137">
        <v>4.0</v>
      </c>
      <c r="U6" s="1121">
        <v>4.0</v>
      </c>
      <c r="V6" s="1126">
        <v>3.0</v>
      </c>
      <c r="W6" s="1121">
        <v>3.0</v>
      </c>
      <c r="X6" s="1126">
        <v>3.0</v>
      </c>
      <c r="Y6" s="1121">
        <v>3.0</v>
      </c>
      <c r="Z6" s="1120"/>
      <c r="AA6" s="1121"/>
      <c r="AB6" s="1126">
        <v>4.0</v>
      </c>
      <c r="AC6" s="1121">
        <v>4.0</v>
      </c>
      <c r="AD6" s="1126">
        <v>2.0</v>
      </c>
      <c r="AE6" s="1121">
        <v>2.0</v>
      </c>
      <c r="AF6" s="1137">
        <v>7.0</v>
      </c>
      <c r="AG6" s="1121">
        <v>7.0</v>
      </c>
      <c r="AH6" s="1126">
        <v>3.0</v>
      </c>
      <c r="AI6" s="1121">
        <v>3.0</v>
      </c>
      <c r="AJ6" s="1120">
        <v>6.0</v>
      </c>
      <c r="AK6" s="1121">
        <v>6.0</v>
      </c>
      <c r="AL6" s="1120">
        <v>4.0</v>
      </c>
      <c r="AM6" s="1121">
        <v>4.0</v>
      </c>
      <c r="AN6" s="1126">
        <v>2.0</v>
      </c>
      <c r="AO6" s="1138">
        <v>2.0</v>
      </c>
      <c r="AP6" s="1137">
        <v>3.0</v>
      </c>
      <c r="AQ6" s="1138">
        <v>3.0</v>
      </c>
      <c r="AR6" s="1126">
        <v>10.0</v>
      </c>
      <c r="AS6" s="1138">
        <v>10.0</v>
      </c>
      <c r="AT6" s="1126">
        <v>2.0</v>
      </c>
      <c r="AU6" s="1131">
        <v>2.0</v>
      </c>
      <c r="AV6" s="1126">
        <v>2.0</v>
      </c>
      <c r="AW6" s="1131">
        <v>2.0</v>
      </c>
      <c r="AX6" s="1126">
        <v>7.0</v>
      </c>
      <c r="AY6" s="1131">
        <v>7.0</v>
      </c>
      <c r="AZ6" s="1126">
        <v>2.0</v>
      </c>
      <c r="BA6" s="1131">
        <v>2.0</v>
      </c>
      <c r="BB6" s="1126"/>
      <c r="BC6" s="1131"/>
      <c r="BD6" s="1126">
        <v>3.0</v>
      </c>
      <c r="BE6" s="1131">
        <v>3.0</v>
      </c>
      <c r="BF6" s="1126">
        <v>4.0</v>
      </c>
      <c r="BG6" s="1131">
        <v>4.0</v>
      </c>
      <c r="BH6" s="1126">
        <v>6.0</v>
      </c>
      <c r="BI6" s="1131">
        <v>6.0</v>
      </c>
      <c r="BJ6" s="1126">
        <v>4.0</v>
      </c>
      <c r="BK6" s="1131">
        <v>4.0</v>
      </c>
      <c r="BL6" s="1139"/>
      <c r="BM6" s="1138"/>
      <c r="BN6" s="1087"/>
      <c r="BO6" s="1138"/>
      <c r="BP6" s="783">
        <f t="shared" si="1"/>
        <v>109</v>
      </c>
      <c r="BQ6" s="1571">
        <f t="shared" si="2"/>
        <v>108</v>
      </c>
      <c r="BR6" s="1572">
        <f t="shared" si="3"/>
        <v>0</v>
      </c>
      <c r="BS6" s="784">
        <f t="shared" si="4"/>
        <v>0</v>
      </c>
      <c r="BT6" s="1419"/>
      <c r="BU6" s="1573"/>
    </row>
    <row r="7" ht="18.75" customHeight="1">
      <c r="A7" s="1565" t="s">
        <v>145</v>
      </c>
      <c r="B7" s="1611">
        <v>2686.0</v>
      </c>
      <c r="C7" s="1567">
        <v>98.0</v>
      </c>
      <c r="D7" s="1612" t="s">
        <v>70</v>
      </c>
      <c r="E7" s="1613" t="str">
        <f>'Матрица 4 недели'!G51</f>
        <v>Салат ''Коул Слоу'' 120 гр</v>
      </c>
      <c r="F7" s="1126">
        <v>5.0</v>
      </c>
      <c r="G7" s="1121">
        <v>5.0</v>
      </c>
      <c r="H7" s="1120">
        <v>4.0</v>
      </c>
      <c r="I7" s="1121">
        <v>3.0</v>
      </c>
      <c r="J7" s="1120">
        <v>9.0</v>
      </c>
      <c r="K7" s="1121">
        <v>9.0</v>
      </c>
      <c r="L7" s="1126">
        <v>4.0</v>
      </c>
      <c r="M7" s="1121">
        <v>4.0</v>
      </c>
      <c r="N7" s="1120">
        <v>6.0</v>
      </c>
      <c r="O7" s="1121">
        <v>6.0</v>
      </c>
      <c r="P7" s="1126">
        <v>4.0</v>
      </c>
      <c r="Q7" s="1121">
        <v>4.0</v>
      </c>
      <c r="R7" s="1126">
        <v>2.0</v>
      </c>
      <c r="S7" s="1121">
        <v>2.0</v>
      </c>
      <c r="T7" s="1120">
        <v>3.0</v>
      </c>
      <c r="U7" s="1121">
        <v>3.0</v>
      </c>
      <c r="V7" s="1120">
        <v>2.0</v>
      </c>
      <c r="W7" s="1121">
        <v>2.0</v>
      </c>
      <c r="X7" s="1120">
        <v>2.0</v>
      </c>
      <c r="Y7" s="1121">
        <v>2.0</v>
      </c>
      <c r="Z7" s="1120"/>
      <c r="AA7" s="1121"/>
      <c r="AB7" s="1126">
        <v>3.0</v>
      </c>
      <c r="AC7" s="1121">
        <v>3.0</v>
      </c>
      <c r="AD7" s="1126">
        <v>1.0</v>
      </c>
      <c r="AE7" s="1121">
        <v>1.0</v>
      </c>
      <c r="AF7" s="1126">
        <v>2.0</v>
      </c>
      <c r="AG7" s="1121">
        <v>2.0</v>
      </c>
      <c r="AH7" s="1126">
        <v>4.0</v>
      </c>
      <c r="AI7" s="1121">
        <v>4.0</v>
      </c>
      <c r="AJ7" s="1120">
        <v>2.0</v>
      </c>
      <c r="AK7" s="1127">
        <v>2.0</v>
      </c>
      <c r="AL7" s="1120">
        <v>2.0</v>
      </c>
      <c r="AM7" s="1127">
        <v>2.0</v>
      </c>
      <c r="AN7" s="1126">
        <v>2.0</v>
      </c>
      <c r="AO7" s="1121">
        <v>2.0</v>
      </c>
      <c r="AP7" s="1126">
        <v>2.0</v>
      </c>
      <c r="AQ7" s="1121">
        <v>2.0</v>
      </c>
      <c r="AR7" s="1126">
        <v>7.0</v>
      </c>
      <c r="AS7" s="1121">
        <v>7.0</v>
      </c>
      <c r="AT7" s="1126">
        <v>3.0</v>
      </c>
      <c r="AU7" s="1121">
        <v>3.0</v>
      </c>
      <c r="AV7" s="1126">
        <v>3.0</v>
      </c>
      <c r="AW7" s="1121">
        <v>3.0</v>
      </c>
      <c r="AX7" s="1126">
        <v>4.0</v>
      </c>
      <c r="AY7" s="1121">
        <v>4.0</v>
      </c>
      <c r="AZ7" s="1126">
        <v>2.0</v>
      </c>
      <c r="BA7" s="1121">
        <v>2.0</v>
      </c>
      <c r="BB7" s="1126"/>
      <c r="BC7" s="1121"/>
      <c r="BD7" s="1126">
        <v>0.0</v>
      </c>
      <c r="BE7" s="1121"/>
      <c r="BF7" s="1126">
        <v>3.0</v>
      </c>
      <c r="BG7" s="1121">
        <v>3.0</v>
      </c>
      <c r="BH7" s="1126">
        <v>2.0</v>
      </c>
      <c r="BI7" s="1138">
        <v>2.0</v>
      </c>
      <c r="BJ7" s="1126">
        <v>5.0</v>
      </c>
      <c r="BK7" s="1121">
        <v>5.0</v>
      </c>
      <c r="BL7" s="1134">
        <v>30.0</v>
      </c>
      <c r="BM7" s="1121">
        <v>31.0</v>
      </c>
      <c r="BN7" s="1087"/>
      <c r="BO7" s="1138"/>
      <c r="BP7" s="783">
        <f t="shared" si="1"/>
        <v>119</v>
      </c>
      <c r="BQ7" s="1571">
        <f t="shared" si="2"/>
        <v>118</v>
      </c>
      <c r="BR7" s="1572">
        <f t="shared" si="3"/>
        <v>11564</v>
      </c>
      <c r="BS7" s="784">
        <f t="shared" si="4"/>
        <v>11662</v>
      </c>
      <c r="BT7" s="1419"/>
      <c r="BU7" s="1573"/>
    </row>
    <row r="8" ht="18.75" customHeight="1">
      <c r="A8" s="1565" t="s">
        <v>145</v>
      </c>
      <c r="B8" s="1611">
        <v>884.0</v>
      </c>
      <c r="C8" s="1567">
        <v>98.0</v>
      </c>
      <c r="D8" s="1612" t="s">
        <v>70</v>
      </c>
      <c r="E8" s="1613" t="str">
        <f>'Матрица 4 недели'!G52</f>
        <v>Салат ''Интрига'' (колбаса в/к.) </v>
      </c>
      <c r="F8" s="1126">
        <v>4.0</v>
      </c>
      <c r="G8" s="1121">
        <v>4.0</v>
      </c>
      <c r="H8" s="1120">
        <v>2.0</v>
      </c>
      <c r="I8" s="1121">
        <v>2.0</v>
      </c>
      <c r="J8" s="1120">
        <v>9.0</v>
      </c>
      <c r="K8" s="1121">
        <v>9.0</v>
      </c>
      <c r="L8" s="1126">
        <v>4.0</v>
      </c>
      <c r="M8" s="1121">
        <v>4.0</v>
      </c>
      <c r="N8" s="1120">
        <v>4.0</v>
      </c>
      <c r="O8" s="1121">
        <v>4.0</v>
      </c>
      <c r="P8" s="1126">
        <v>2.0</v>
      </c>
      <c r="Q8" s="1121">
        <v>2.0</v>
      </c>
      <c r="R8" s="1126">
        <v>0.0</v>
      </c>
      <c r="S8" s="1121">
        <v>0.0</v>
      </c>
      <c r="T8" s="1120">
        <v>0.0</v>
      </c>
      <c r="U8" s="1121">
        <v>0.0</v>
      </c>
      <c r="V8" s="1120">
        <v>2.0</v>
      </c>
      <c r="W8" s="1121">
        <v>2.0</v>
      </c>
      <c r="X8" s="1120">
        <v>2.0</v>
      </c>
      <c r="Y8" s="1121">
        <v>2.0</v>
      </c>
      <c r="Z8" s="1120"/>
      <c r="AA8" s="1121"/>
      <c r="AB8" s="1126">
        <v>2.0</v>
      </c>
      <c r="AC8" s="1121">
        <v>2.0</v>
      </c>
      <c r="AD8" s="1120">
        <v>2.0</v>
      </c>
      <c r="AE8" s="1121">
        <v>2.0</v>
      </c>
      <c r="AF8" s="1126">
        <v>4.0</v>
      </c>
      <c r="AG8" s="1121">
        <v>4.0</v>
      </c>
      <c r="AH8" s="1126">
        <v>1.0</v>
      </c>
      <c r="AI8" s="1121">
        <v>1.0</v>
      </c>
      <c r="AJ8" s="1120">
        <v>2.0</v>
      </c>
      <c r="AK8" s="1127">
        <v>2.0</v>
      </c>
      <c r="AL8" s="1120">
        <v>2.0</v>
      </c>
      <c r="AM8" s="1127">
        <v>2.0</v>
      </c>
      <c r="AN8" s="1126">
        <v>2.0</v>
      </c>
      <c r="AO8" s="1121">
        <v>2.0</v>
      </c>
      <c r="AP8" s="1126">
        <v>2.0</v>
      </c>
      <c r="AQ8" s="1121">
        <v>2.0</v>
      </c>
      <c r="AR8" s="1126">
        <v>5.0</v>
      </c>
      <c r="AS8" s="1121">
        <v>5.0</v>
      </c>
      <c r="AT8" s="1126">
        <v>3.0</v>
      </c>
      <c r="AU8" s="1127">
        <v>3.0</v>
      </c>
      <c r="AV8" s="1126">
        <v>2.0</v>
      </c>
      <c r="AW8" s="1127">
        <v>2.0</v>
      </c>
      <c r="AX8" s="1126">
        <v>3.0</v>
      </c>
      <c r="AY8" s="1127">
        <v>3.0</v>
      </c>
      <c r="AZ8" s="1126">
        <v>1.0</v>
      </c>
      <c r="BA8" s="1127">
        <v>1.0</v>
      </c>
      <c r="BB8" s="1126"/>
      <c r="BC8" s="1127"/>
      <c r="BD8" s="1126">
        <v>2.0</v>
      </c>
      <c r="BE8" s="1127">
        <v>2.0</v>
      </c>
      <c r="BF8" s="1126">
        <v>4.0</v>
      </c>
      <c r="BG8" s="1127">
        <v>4.0</v>
      </c>
      <c r="BH8" s="1126">
        <v>2.0</v>
      </c>
      <c r="BI8" s="1127">
        <v>2.0</v>
      </c>
      <c r="BJ8" s="1126">
        <v>4.0</v>
      </c>
      <c r="BK8" s="1127">
        <v>4.0</v>
      </c>
      <c r="BL8" s="1134">
        <v>50.0</v>
      </c>
      <c r="BM8" s="1135">
        <v>50.0</v>
      </c>
      <c r="BN8" s="1576"/>
      <c r="BO8" s="1173"/>
      <c r="BP8" s="783">
        <f t="shared" si="1"/>
        <v>123</v>
      </c>
      <c r="BQ8" s="1571">
        <f t="shared" si="2"/>
        <v>122</v>
      </c>
      <c r="BR8" s="1572">
        <f t="shared" si="3"/>
        <v>11956</v>
      </c>
      <c r="BS8" s="784">
        <f t="shared" si="4"/>
        <v>12054</v>
      </c>
      <c r="BT8" s="1419"/>
      <c r="BU8" s="1573"/>
    </row>
    <row r="9" ht="18.75" customHeight="1">
      <c r="A9" s="1565" t="s">
        <v>145</v>
      </c>
      <c r="B9" s="1611">
        <v>3165.0</v>
      </c>
      <c r="C9" s="1567">
        <v>98.0</v>
      </c>
      <c r="D9" s="1612" t="s">
        <v>70</v>
      </c>
      <c r="E9" s="1613" t="str">
        <f>'Матрица 4 недели'!G53</f>
        <v>Салат ''Красное море'' (крабовые палочки)</v>
      </c>
      <c r="F9" s="1120">
        <v>7.0</v>
      </c>
      <c r="G9" s="1121">
        <v>7.0</v>
      </c>
      <c r="H9" s="1120">
        <v>5.0</v>
      </c>
      <c r="I9" s="1121">
        <v>5.0</v>
      </c>
      <c r="J9" s="1126">
        <v>9.0</v>
      </c>
      <c r="K9" s="1121">
        <v>9.0</v>
      </c>
      <c r="L9" s="1126">
        <v>2.0</v>
      </c>
      <c r="M9" s="1121">
        <v>2.0</v>
      </c>
      <c r="N9" s="1126">
        <v>5.0</v>
      </c>
      <c r="O9" s="1121">
        <v>5.0</v>
      </c>
      <c r="P9" s="1126">
        <v>5.0</v>
      </c>
      <c r="Q9" s="1121">
        <v>5.0</v>
      </c>
      <c r="R9" s="1126">
        <v>2.0</v>
      </c>
      <c r="S9" s="1121">
        <v>2.0</v>
      </c>
      <c r="T9" s="1126">
        <v>3.0</v>
      </c>
      <c r="U9" s="1121">
        <v>3.0</v>
      </c>
      <c r="V9" s="1126">
        <v>2.0</v>
      </c>
      <c r="W9" s="1121">
        <v>2.0</v>
      </c>
      <c r="X9" s="1126">
        <v>3.0</v>
      </c>
      <c r="Y9" s="1121">
        <v>3.0</v>
      </c>
      <c r="Z9" s="1126"/>
      <c r="AA9" s="1121"/>
      <c r="AB9" s="1126">
        <v>3.0</v>
      </c>
      <c r="AC9" s="1121">
        <v>3.0</v>
      </c>
      <c r="AD9" s="1126">
        <v>2.0</v>
      </c>
      <c r="AE9" s="1121">
        <v>2.0</v>
      </c>
      <c r="AF9" s="1126">
        <v>6.0</v>
      </c>
      <c r="AG9" s="1121">
        <v>6.0</v>
      </c>
      <c r="AH9" s="1126">
        <v>2.0</v>
      </c>
      <c r="AI9" s="1121">
        <v>2.0</v>
      </c>
      <c r="AJ9" s="1126">
        <v>4.0</v>
      </c>
      <c r="AK9" s="1121">
        <v>4.0</v>
      </c>
      <c r="AL9" s="1126">
        <v>5.0</v>
      </c>
      <c r="AM9" s="1121">
        <v>5.0</v>
      </c>
      <c r="AN9" s="1126">
        <v>2.0</v>
      </c>
      <c r="AO9" s="1121">
        <v>2.0</v>
      </c>
      <c r="AP9" s="1126">
        <v>2.0</v>
      </c>
      <c r="AQ9" s="1121">
        <v>2.0</v>
      </c>
      <c r="AR9" s="1126">
        <v>7.0</v>
      </c>
      <c r="AS9" s="1121">
        <v>7.0</v>
      </c>
      <c r="AT9" s="1126">
        <v>6.0</v>
      </c>
      <c r="AU9" s="1121">
        <v>6.0</v>
      </c>
      <c r="AV9" s="1126">
        <v>5.0</v>
      </c>
      <c r="AW9" s="1121">
        <v>5.0</v>
      </c>
      <c r="AX9" s="1126">
        <v>8.0</v>
      </c>
      <c r="AY9" s="1121">
        <v>8.0</v>
      </c>
      <c r="AZ9" s="1126">
        <v>4.0</v>
      </c>
      <c r="BA9" s="1121">
        <v>4.0</v>
      </c>
      <c r="BB9" s="1126"/>
      <c r="BC9" s="1121"/>
      <c r="BD9" s="1126">
        <v>2.0</v>
      </c>
      <c r="BE9" s="1121">
        <v>2.0</v>
      </c>
      <c r="BF9" s="1126">
        <v>5.0</v>
      </c>
      <c r="BG9" s="1121">
        <v>5.0</v>
      </c>
      <c r="BH9" s="1126">
        <v>4.0</v>
      </c>
      <c r="BI9" s="1127">
        <v>4.0</v>
      </c>
      <c r="BJ9" s="1126">
        <v>5.0</v>
      </c>
      <c r="BK9" s="1127">
        <v>5.0</v>
      </c>
      <c r="BL9" s="1139">
        <v>50.0</v>
      </c>
      <c r="BM9" s="1138">
        <v>50.0</v>
      </c>
      <c r="BN9" s="1087"/>
      <c r="BO9" s="1138"/>
      <c r="BP9" s="783">
        <f t="shared" si="1"/>
        <v>166</v>
      </c>
      <c r="BQ9" s="1571">
        <f t="shared" si="2"/>
        <v>165</v>
      </c>
      <c r="BR9" s="1572">
        <f t="shared" si="3"/>
        <v>16170</v>
      </c>
      <c r="BS9" s="784">
        <f t="shared" si="4"/>
        <v>16268</v>
      </c>
      <c r="BT9" s="1419"/>
      <c r="BU9" s="1573"/>
    </row>
    <row r="10" ht="18.75" customHeight="1">
      <c r="A10" s="1565" t="s">
        <v>145</v>
      </c>
      <c r="B10" s="1611">
        <v>4184.0</v>
      </c>
      <c r="C10" s="1567">
        <v>188.0</v>
      </c>
      <c r="D10" s="1640" t="s">
        <v>537</v>
      </c>
      <c r="E10" s="1613" t="str">
        <f>'Матрица 4 недели'!G54</f>
        <v>Салат "Любовница" 220 гр </v>
      </c>
      <c r="F10" s="1137">
        <v>4.0</v>
      </c>
      <c r="G10" s="1138">
        <v>4.0</v>
      </c>
      <c r="H10" s="1126">
        <v>2.0</v>
      </c>
      <c r="I10" s="1138">
        <v>2.0</v>
      </c>
      <c r="J10" s="1126">
        <v>7.0</v>
      </c>
      <c r="K10" s="1138">
        <v>7.0</v>
      </c>
      <c r="L10" s="1126">
        <v>2.0</v>
      </c>
      <c r="M10" s="1138">
        <v>2.0</v>
      </c>
      <c r="N10" s="1126">
        <v>4.0</v>
      </c>
      <c r="O10" s="1138">
        <v>4.0</v>
      </c>
      <c r="P10" s="1126">
        <v>5.0</v>
      </c>
      <c r="Q10" s="1121">
        <v>5.0</v>
      </c>
      <c r="R10" s="1126">
        <v>1.0</v>
      </c>
      <c r="S10" s="1121">
        <v>1.0</v>
      </c>
      <c r="T10" s="1126">
        <v>2.0</v>
      </c>
      <c r="U10" s="1121">
        <v>2.0</v>
      </c>
      <c r="V10" s="1126">
        <v>4.0</v>
      </c>
      <c r="W10" s="1121">
        <v>4.0</v>
      </c>
      <c r="X10" s="1126">
        <v>1.0</v>
      </c>
      <c r="Y10" s="1121">
        <v>1.0</v>
      </c>
      <c r="Z10" s="1126"/>
      <c r="AA10" s="1121"/>
      <c r="AB10" s="1126">
        <v>2.0</v>
      </c>
      <c r="AC10" s="1121">
        <v>2.0</v>
      </c>
      <c r="AD10" s="1126">
        <v>2.0</v>
      </c>
      <c r="AE10" s="1121">
        <v>2.0</v>
      </c>
      <c r="AF10" s="1126">
        <v>3.0</v>
      </c>
      <c r="AG10" s="1121">
        <v>3.0</v>
      </c>
      <c r="AH10" s="1126">
        <v>4.0</v>
      </c>
      <c r="AI10" s="1121">
        <v>4.0</v>
      </c>
      <c r="AJ10" s="1126">
        <v>2.0</v>
      </c>
      <c r="AK10" s="1121">
        <v>2.0</v>
      </c>
      <c r="AL10" s="1126">
        <v>3.0</v>
      </c>
      <c r="AM10" s="1121">
        <v>3.0</v>
      </c>
      <c r="AN10" s="1126">
        <v>0.0</v>
      </c>
      <c r="AO10" s="1138">
        <v>0.0</v>
      </c>
      <c r="AP10" s="1126">
        <v>4.0</v>
      </c>
      <c r="AQ10" s="1138">
        <v>4.0</v>
      </c>
      <c r="AR10" s="1126">
        <v>4.0</v>
      </c>
      <c r="AS10" s="1138">
        <v>4.0</v>
      </c>
      <c r="AT10" s="1126">
        <v>2.0</v>
      </c>
      <c r="AU10" s="1138">
        <v>2.0</v>
      </c>
      <c r="AV10" s="1126">
        <v>2.0</v>
      </c>
      <c r="AW10" s="1138">
        <v>2.0</v>
      </c>
      <c r="AX10" s="1126">
        <v>3.0</v>
      </c>
      <c r="AY10" s="1138">
        <v>3.0</v>
      </c>
      <c r="AZ10" s="1126">
        <v>2.0</v>
      </c>
      <c r="BA10" s="1138">
        <v>2.0</v>
      </c>
      <c r="BB10" s="1126"/>
      <c r="BC10" s="1138"/>
      <c r="BD10" s="1126">
        <v>2.0</v>
      </c>
      <c r="BE10" s="1138">
        <v>2.0</v>
      </c>
      <c r="BF10" s="1126">
        <v>1.0</v>
      </c>
      <c r="BG10" s="1138">
        <v>1.0</v>
      </c>
      <c r="BH10" s="1126">
        <v>4.0</v>
      </c>
      <c r="BI10" s="1138">
        <v>4.0</v>
      </c>
      <c r="BJ10" s="1126">
        <v>3.0</v>
      </c>
      <c r="BK10" s="1138">
        <v>3.0</v>
      </c>
      <c r="BL10" s="1134"/>
      <c r="BM10" s="1121"/>
      <c r="BN10" s="1087"/>
      <c r="BO10" s="1138"/>
      <c r="BP10" s="783">
        <f t="shared" si="1"/>
        <v>76</v>
      </c>
      <c r="BQ10" s="1571">
        <f t="shared" si="2"/>
        <v>75</v>
      </c>
      <c r="BR10" s="1572">
        <f t="shared" si="3"/>
        <v>14100</v>
      </c>
      <c r="BS10" s="784">
        <f t="shared" si="4"/>
        <v>14288</v>
      </c>
      <c r="BT10" s="1419"/>
      <c r="BU10" s="1573"/>
    </row>
    <row r="11" ht="18.75" customHeight="1">
      <c r="A11" s="1565"/>
      <c r="B11" s="1611">
        <v>793.0</v>
      </c>
      <c r="C11" s="1567">
        <v>106.0</v>
      </c>
      <c r="D11" s="1612" t="s">
        <v>74</v>
      </c>
      <c r="E11" s="1613" t="str">
        <f>'Матрица 4 недели'!J51</f>
        <v>Борщ с курицей</v>
      </c>
      <c r="F11" s="1137"/>
      <c r="G11" s="1138"/>
      <c r="H11" s="1126"/>
      <c r="I11" s="1138"/>
      <c r="J11" s="1126"/>
      <c r="K11" s="1138"/>
      <c r="L11" s="1126"/>
      <c r="M11" s="1138"/>
      <c r="N11" s="1126"/>
      <c r="O11" s="1138"/>
      <c r="P11" s="1126"/>
      <c r="Q11" s="1121"/>
      <c r="R11" s="1126"/>
      <c r="S11" s="1121"/>
      <c r="T11" s="1137"/>
      <c r="U11" s="1121"/>
      <c r="V11" s="1137"/>
      <c r="W11" s="1121"/>
      <c r="X11" s="1137"/>
      <c r="Y11" s="1121"/>
      <c r="Z11" s="1120"/>
      <c r="AA11" s="1121"/>
      <c r="AB11" s="1120"/>
      <c r="AC11" s="1121"/>
      <c r="AD11" s="1120"/>
      <c r="AE11" s="1121"/>
      <c r="AF11" s="1137"/>
      <c r="AG11" s="1121"/>
      <c r="AH11" s="1120"/>
      <c r="AI11" s="1121"/>
      <c r="AJ11" s="1120"/>
      <c r="AK11" s="1121"/>
      <c r="AL11" s="1120"/>
      <c r="AM11" s="1121"/>
      <c r="AN11" s="1137"/>
      <c r="AO11" s="1138"/>
      <c r="AP11" s="1137"/>
      <c r="AQ11" s="1138"/>
      <c r="AR11" s="1137"/>
      <c r="AS11" s="1138"/>
      <c r="AT11" s="1126"/>
      <c r="AU11" s="1131"/>
      <c r="AV11" s="1126"/>
      <c r="AW11" s="1131"/>
      <c r="AX11" s="1126"/>
      <c r="AY11" s="1131"/>
      <c r="AZ11" s="1126"/>
      <c r="BA11" s="1131"/>
      <c r="BB11" s="1126"/>
      <c r="BC11" s="1131"/>
      <c r="BD11" s="1126"/>
      <c r="BE11" s="1131"/>
      <c r="BF11" s="1126"/>
      <c r="BG11" s="1131"/>
      <c r="BH11" s="1126"/>
      <c r="BI11" s="1131"/>
      <c r="BJ11" s="1126"/>
      <c r="BK11" s="1131"/>
      <c r="BL11" s="1134">
        <v>120.0</v>
      </c>
      <c r="BM11" s="1121">
        <v>125.0</v>
      </c>
      <c r="BN11" s="1087">
        <v>20.0</v>
      </c>
      <c r="BO11" s="1138"/>
      <c r="BP11" s="783">
        <f t="shared" si="1"/>
        <v>121</v>
      </c>
      <c r="BQ11" s="1571">
        <f t="shared" si="2"/>
        <v>125</v>
      </c>
      <c r="BR11" s="1572">
        <f t="shared" si="3"/>
        <v>13250</v>
      </c>
      <c r="BS11" s="784">
        <f t="shared" si="4"/>
        <v>12826</v>
      </c>
      <c r="BT11" s="1419"/>
      <c r="BU11" s="1573"/>
    </row>
    <row r="12" ht="18.75" customHeight="1">
      <c r="A12" s="1565" t="s">
        <v>145</v>
      </c>
      <c r="B12" s="1649">
        <v>1237.0</v>
      </c>
      <c r="C12" s="1567">
        <v>148.0</v>
      </c>
      <c r="D12" s="1650" t="s">
        <v>74</v>
      </c>
      <c r="E12" s="1651" t="str">
        <f>'Матрица 4 недели'!J53</f>
        <v>Суп грибной</v>
      </c>
      <c r="F12" s="1120">
        <v>2.0</v>
      </c>
      <c r="G12" s="1121">
        <v>2.0</v>
      </c>
      <c r="H12" s="1120">
        <v>2.0</v>
      </c>
      <c r="I12" s="1142">
        <v>4.0</v>
      </c>
      <c r="J12" s="1120">
        <v>3.0</v>
      </c>
      <c r="K12" s="1121">
        <v>3.0</v>
      </c>
      <c r="L12" s="1120"/>
      <c r="M12" s="1121"/>
      <c r="N12" s="1126">
        <v>2.0</v>
      </c>
      <c r="O12" s="1121">
        <v>2.0</v>
      </c>
      <c r="P12" s="1120">
        <v>2.0</v>
      </c>
      <c r="Q12" s="1142">
        <v>2.0</v>
      </c>
      <c r="R12" s="1120">
        <v>0.0</v>
      </c>
      <c r="S12" s="1121">
        <v>0.0</v>
      </c>
      <c r="T12" s="1120">
        <v>2.0</v>
      </c>
      <c r="U12" s="1121">
        <v>2.0</v>
      </c>
      <c r="V12" s="1120">
        <v>2.0</v>
      </c>
      <c r="W12" s="1121">
        <v>2.0</v>
      </c>
      <c r="X12" s="1120">
        <v>2.0</v>
      </c>
      <c r="Y12" s="1121">
        <v>2.0</v>
      </c>
      <c r="Z12" s="1120"/>
      <c r="AA12" s="1121"/>
      <c r="AB12" s="1120">
        <v>2.0</v>
      </c>
      <c r="AC12" s="1121">
        <v>2.0</v>
      </c>
      <c r="AD12" s="1120">
        <v>2.0</v>
      </c>
      <c r="AE12" s="1121">
        <v>2.0</v>
      </c>
      <c r="AF12" s="1120">
        <v>2.0</v>
      </c>
      <c r="AG12" s="1121">
        <v>2.0</v>
      </c>
      <c r="AH12" s="1120">
        <v>2.0</v>
      </c>
      <c r="AI12" s="1121">
        <v>2.0</v>
      </c>
      <c r="AJ12" s="1120">
        <v>1.0</v>
      </c>
      <c r="AK12" s="1121">
        <v>1.0</v>
      </c>
      <c r="AL12" s="1120">
        <v>0.0</v>
      </c>
      <c r="AM12" s="1121">
        <v>0.0</v>
      </c>
      <c r="AN12" s="1120">
        <v>3.0</v>
      </c>
      <c r="AO12" s="1121">
        <v>3.0</v>
      </c>
      <c r="AP12" s="1126">
        <v>2.0</v>
      </c>
      <c r="AQ12" s="1138">
        <v>2.0</v>
      </c>
      <c r="AR12" s="1120">
        <v>2.0</v>
      </c>
      <c r="AS12" s="1138">
        <v>2.0</v>
      </c>
      <c r="AT12" s="1126">
        <v>2.0</v>
      </c>
      <c r="AU12" s="1138">
        <v>2.0</v>
      </c>
      <c r="AV12" s="1126">
        <v>0.0</v>
      </c>
      <c r="AW12" s="1138">
        <v>0.0</v>
      </c>
      <c r="AX12" s="1126">
        <v>2.0</v>
      </c>
      <c r="AY12" s="1138">
        <v>2.0</v>
      </c>
      <c r="AZ12" s="1126">
        <v>0.0</v>
      </c>
      <c r="BA12" s="1138">
        <v>0.0</v>
      </c>
      <c r="BB12" s="1126"/>
      <c r="BC12" s="1138"/>
      <c r="BD12" s="1126">
        <v>1.0</v>
      </c>
      <c r="BE12" s="1138">
        <v>1.0</v>
      </c>
      <c r="BF12" s="1126">
        <v>0.0</v>
      </c>
      <c r="BG12" s="1138">
        <v>0.0</v>
      </c>
      <c r="BH12" s="1126">
        <v>1.0</v>
      </c>
      <c r="BI12" s="1138">
        <v>1.0</v>
      </c>
      <c r="BJ12" s="1126">
        <v>2.0</v>
      </c>
      <c r="BK12" s="1138">
        <v>2.0</v>
      </c>
      <c r="BL12" s="1139"/>
      <c r="BM12" s="1138"/>
      <c r="BN12" s="1087"/>
      <c r="BO12" s="1138"/>
      <c r="BP12" s="783">
        <f t="shared" si="1"/>
        <v>42</v>
      </c>
      <c r="BQ12" s="1589">
        <f t="shared" si="2"/>
        <v>43</v>
      </c>
      <c r="BR12" s="1572">
        <f t="shared" si="3"/>
        <v>6364</v>
      </c>
      <c r="BS12" s="784">
        <f t="shared" si="4"/>
        <v>6216</v>
      </c>
      <c r="BT12" s="1419"/>
      <c r="BU12" s="1573"/>
    </row>
    <row r="13" ht="18.75" customHeight="1">
      <c r="A13" s="1565" t="s">
        <v>145</v>
      </c>
      <c r="B13" s="1649">
        <v>3737.0</v>
      </c>
      <c r="C13" s="1567">
        <v>217.0</v>
      </c>
      <c r="D13" s="1650" t="s">
        <v>77</v>
      </c>
      <c r="E13" s="1651" t="str">
        <f>'Матрица 4 недели'!M51</f>
        <v>Чкмерули из курицы со спагетти</v>
      </c>
      <c r="F13" s="1120">
        <v>9.0</v>
      </c>
      <c r="G13" s="1121">
        <v>9.0</v>
      </c>
      <c r="H13" s="1120">
        <v>6.0</v>
      </c>
      <c r="I13" s="1142">
        <v>6.0</v>
      </c>
      <c r="J13" s="1120">
        <v>6.0</v>
      </c>
      <c r="K13" s="1121">
        <v>6.0</v>
      </c>
      <c r="L13" s="1120">
        <v>2.0</v>
      </c>
      <c r="M13" s="1121">
        <v>2.0</v>
      </c>
      <c r="N13" s="1126">
        <v>12.0</v>
      </c>
      <c r="O13" s="1121">
        <v>12.0</v>
      </c>
      <c r="P13" s="1120">
        <v>9.0</v>
      </c>
      <c r="Q13" s="1142">
        <v>9.0</v>
      </c>
      <c r="R13" s="1120">
        <v>3.0</v>
      </c>
      <c r="S13" s="1121">
        <v>3.0</v>
      </c>
      <c r="T13" s="1120">
        <v>2.0</v>
      </c>
      <c r="U13" s="1121">
        <v>2.0</v>
      </c>
      <c r="V13" s="1120">
        <v>6.0</v>
      </c>
      <c r="W13" s="1121">
        <v>6.0</v>
      </c>
      <c r="X13" s="1120">
        <v>4.0</v>
      </c>
      <c r="Y13" s="1121">
        <v>4.0</v>
      </c>
      <c r="Z13" s="1120"/>
      <c r="AA13" s="1121"/>
      <c r="AB13" s="1120">
        <v>3.0</v>
      </c>
      <c r="AC13" s="1121">
        <v>3.0</v>
      </c>
      <c r="AD13" s="1120">
        <v>2.0</v>
      </c>
      <c r="AE13" s="1121">
        <v>2.0</v>
      </c>
      <c r="AF13" s="1120">
        <v>2.0</v>
      </c>
      <c r="AG13" s="1121">
        <v>2.0</v>
      </c>
      <c r="AH13" s="1120">
        <v>5.0</v>
      </c>
      <c r="AI13" s="1121">
        <v>5.0</v>
      </c>
      <c r="AJ13" s="1120">
        <v>5.0</v>
      </c>
      <c r="AK13" s="1121">
        <v>5.0</v>
      </c>
      <c r="AL13" s="1120">
        <v>2.0</v>
      </c>
      <c r="AM13" s="1121">
        <v>2.0</v>
      </c>
      <c r="AN13" s="1120">
        <v>4.0</v>
      </c>
      <c r="AO13" s="1121">
        <v>4.0</v>
      </c>
      <c r="AP13" s="1126">
        <v>5.0</v>
      </c>
      <c r="AQ13" s="1138">
        <v>5.0</v>
      </c>
      <c r="AR13" s="1120">
        <v>7.0</v>
      </c>
      <c r="AS13" s="1138">
        <v>7.0</v>
      </c>
      <c r="AT13" s="1126">
        <v>2.0</v>
      </c>
      <c r="AU13" s="1138">
        <v>2.0</v>
      </c>
      <c r="AV13" s="1126">
        <v>3.0</v>
      </c>
      <c r="AW13" s="1138">
        <v>3.0</v>
      </c>
      <c r="AX13" s="1126">
        <v>4.0</v>
      </c>
      <c r="AY13" s="1138">
        <v>4.0</v>
      </c>
      <c r="AZ13" s="1126">
        <v>3.0</v>
      </c>
      <c r="BA13" s="1138">
        <v>3.0</v>
      </c>
      <c r="BB13" s="1126"/>
      <c r="BC13" s="1138"/>
      <c r="BD13" s="1126">
        <v>2.0</v>
      </c>
      <c r="BE13" s="1138">
        <v>2.0</v>
      </c>
      <c r="BF13" s="1126">
        <v>5.0</v>
      </c>
      <c r="BG13" s="1138">
        <v>5.0</v>
      </c>
      <c r="BH13" s="1126">
        <v>3.0</v>
      </c>
      <c r="BI13" s="1138">
        <v>3.0</v>
      </c>
      <c r="BJ13" s="1126">
        <v>6.0</v>
      </c>
      <c r="BK13" s="1138">
        <v>6.0</v>
      </c>
      <c r="BL13" s="1139">
        <v>80.0</v>
      </c>
      <c r="BM13" s="1138">
        <v>80.0</v>
      </c>
      <c r="BN13" s="1087">
        <v>6.0</v>
      </c>
      <c r="BO13" s="1138"/>
      <c r="BP13" s="783">
        <f t="shared" si="1"/>
        <v>203</v>
      </c>
      <c r="BQ13" s="1589">
        <f t="shared" si="2"/>
        <v>202</v>
      </c>
      <c r="BR13" s="1572">
        <f t="shared" si="3"/>
        <v>43834</v>
      </c>
      <c r="BS13" s="784">
        <f t="shared" si="4"/>
        <v>44051</v>
      </c>
      <c r="BT13" s="1419"/>
      <c r="BU13" s="1573"/>
    </row>
    <row r="14" ht="18.75" customHeight="1">
      <c r="A14" s="1565" t="s">
        <v>145</v>
      </c>
      <c r="B14" s="1649">
        <v>1009.0</v>
      </c>
      <c r="C14" s="1567">
        <v>198.0</v>
      </c>
      <c r="D14" s="1650" t="s">
        <v>77</v>
      </c>
      <c r="E14" s="1651" t="str">
        <f>'Матрица 4 недели'!M52</f>
        <v>Свинина по-баварски с картофелем </v>
      </c>
      <c r="F14" s="1137">
        <v>2.0</v>
      </c>
      <c r="G14" s="1138">
        <v>2.0</v>
      </c>
      <c r="H14" s="1126">
        <v>4.0</v>
      </c>
      <c r="I14" s="1140">
        <v>4.0</v>
      </c>
      <c r="J14" s="1126">
        <v>6.0</v>
      </c>
      <c r="K14" s="1138">
        <v>6.0</v>
      </c>
      <c r="L14" s="1126">
        <v>2.0</v>
      </c>
      <c r="M14" s="1138">
        <v>2.0</v>
      </c>
      <c r="N14" s="1126">
        <v>6.0</v>
      </c>
      <c r="O14" s="1138">
        <v>6.0</v>
      </c>
      <c r="P14" s="1126">
        <v>3.0</v>
      </c>
      <c r="Q14" s="1142">
        <v>3.0</v>
      </c>
      <c r="R14" s="1126">
        <v>2.0</v>
      </c>
      <c r="S14" s="1121">
        <v>2.0</v>
      </c>
      <c r="T14" s="1126">
        <v>2.0</v>
      </c>
      <c r="U14" s="1121">
        <v>2.0</v>
      </c>
      <c r="V14" s="1126">
        <v>3.0</v>
      </c>
      <c r="W14" s="1121">
        <v>3.0</v>
      </c>
      <c r="X14" s="1126">
        <v>2.0</v>
      </c>
      <c r="Y14" s="1121">
        <v>2.0</v>
      </c>
      <c r="Z14" s="1120"/>
      <c r="AA14" s="1121"/>
      <c r="AB14" s="1126">
        <v>3.0</v>
      </c>
      <c r="AC14" s="1121">
        <v>3.0</v>
      </c>
      <c r="AD14" s="1126">
        <v>3.0</v>
      </c>
      <c r="AE14" s="1121">
        <v>3.0</v>
      </c>
      <c r="AF14" s="1126">
        <v>1.0</v>
      </c>
      <c r="AG14" s="1121">
        <v>1.0</v>
      </c>
      <c r="AH14" s="1126">
        <v>3.0</v>
      </c>
      <c r="AI14" s="1121">
        <v>3.0</v>
      </c>
      <c r="AJ14" s="1126">
        <v>3.0</v>
      </c>
      <c r="AK14" s="1121">
        <v>3.0</v>
      </c>
      <c r="AL14" s="1126">
        <v>3.0</v>
      </c>
      <c r="AM14" s="1121">
        <v>3.0</v>
      </c>
      <c r="AN14" s="1126">
        <v>2.0</v>
      </c>
      <c r="AO14" s="1138">
        <v>2.0</v>
      </c>
      <c r="AP14" s="1126">
        <v>0.0</v>
      </c>
      <c r="AQ14" s="1138">
        <v>0.0</v>
      </c>
      <c r="AR14" s="1126">
        <v>4.0</v>
      </c>
      <c r="AS14" s="1138">
        <v>4.0</v>
      </c>
      <c r="AT14" s="1126">
        <v>2.0</v>
      </c>
      <c r="AU14" s="1138">
        <v>2.0</v>
      </c>
      <c r="AV14" s="1126">
        <v>2.0</v>
      </c>
      <c r="AW14" s="1138">
        <v>2.0</v>
      </c>
      <c r="AX14" s="1126">
        <v>2.0</v>
      </c>
      <c r="AY14" s="1138">
        <v>2.0</v>
      </c>
      <c r="AZ14" s="1126">
        <v>1.0</v>
      </c>
      <c r="BA14" s="1138">
        <v>1.0</v>
      </c>
      <c r="BB14" s="1126"/>
      <c r="BC14" s="1138"/>
      <c r="BD14" s="1126">
        <v>1.0</v>
      </c>
      <c r="BE14" s="1138">
        <v>1.0</v>
      </c>
      <c r="BF14" s="1126">
        <v>3.0</v>
      </c>
      <c r="BG14" s="1138">
        <v>3.0</v>
      </c>
      <c r="BH14" s="1126">
        <v>0.0</v>
      </c>
      <c r="BI14" s="1138"/>
      <c r="BJ14" s="1126">
        <v>4.0</v>
      </c>
      <c r="BK14" s="1138">
        <v>4.0</v>
      </c>
      <c r="BL14" s="1134">
        <v>25.0</v>
      </c>
      <c r="BM14" s="1138">
        <v>26.0</v>
      </c>
      <c r="BN14" s="1087">
        <v>10.0</v>
      </c>
      <c r="BO14" s="1138"/>
      <c r="BP14" s="783">
        <f t="shared" si="1"/>
        <v>95</v>
      </c>
      <c r="BQ14" s="1589">
        <f t="shared" si="2"/>
        <v>95</v>
      </c>
      <c r="BR14" s="1572">
        <f t="shared" si="3"/>
        <v>18810</v>
      </c>
      <c r="BS14" s="784">
        <f t="shared" si="4"/>
        <v>18810</v>
      </c>
      <c r="BT14" s="1419"/>
      <c r="BU14" s="1573"/>
    </row>
    <row r="15" ht="18.75" customHeight="1">
      <c r="A15" s="1565" t="s">
        <v>145</v>
      </c>
      <c r="B15" s="1649">
        <v>546.0</v>
      </c>
      <c r="C15" s="1567">
        <v>228.0</v>
      </c>
      <c r="D15" s="1650" t="s">
        <v>77</v>
      </c>
      <c r="E15" s="1651" t="str">
        <f>'Матрица 4 недели'!M53</f>
        <v>Филе с грибами и рисом</v>
      </c>
      <c r="F15" s="1137">
        <v>10.0</v>
      </c>
      <c r="G15" s="1138">
        <v>10.0</v>
      </c>
      <c r="H15" s="1126">
        <v>6.0</v>
      </c>
      <c r="I15" s="1140">
        <v>6.0</v>
      </c>
      <c r="J15" s="1126">
        <v>6.0</v>
      </c>
      <c r="K15" s="1138">
        <v>6.0</v>
      </c>
      <c r="L15" s="1141">
        <v>7.0</v>
      </c>
      <c r="M15" s="1138">
        <v>7.0</v>
      </c>
      <c r="N15" s="1126">
        <v>11.0</v>
      </c>
      <c r="O15" s="1138">
        <v>11.0</v>
      </c>
      <c r="P15" s="1126">
        <v>6.0</v>
      </c>
      <c r="Q15" s="1142">
        <v>6.0</v>
      </c>
      <c r="R15" s="1126">
        <v>4.0</v>
      </c>
      <c r="S15" s="1121">
        <v>4.0</v>
      </c>
      <c r="T15" s="1126">
        <v>8.0</v>
      </c>
      <c r="U15" s="1121">
        <v>8.0</v>
      </c>
      <c r="V15" s="1141">
        <v>8.0</v>
      </c>
      <c r="W15" s="1121">
        <v>8.0</v>
      </c>
      <c r="X15" s="1126">
        <v>7.0</v>
      </c>
      <c r="Y15" s="1121">
        <v>7.0</v>
      </c>
      <c r="Z15" s="1120"/>
      <c r="AA15" s="1121"/>
      <c r="AB15" s="1126">
        <v>2.0</v>
      </c>
      <c r="AC15" s="1121">
        <v>2.0</v>
      </c>
      <c r="AD15" s="1126">
        <v>5.0</v>
      </c>
      <c r="AE15" s="1121">
        <v>5.0</v>
      </c>
      <c r="AF15" s="1126">
        <v>9.0</v>
      </c>
      <c r="AG15" s="1121">
        <v>9.0</v>
      </c>
      <c r="AH15" s="1126">
        <v>5.0</v>
      </c>
      <c r="AI15" s="1121">
        <v>5.0</v>
      </c>
      <c r="AJ15" s="1126">
        <v>5.0</v>
      </c>
      <c r="AK15" s="1121">
        <v>5.0</v>
      </c>
      <c r="AL15" s="1126">
        <v>7.0</v>
      </c>
      <c r="AM15" s="1121">
        <v>7.0</v>
      </c>
      <c r="AN15" s="1126">
        <v>3.0</v>
      </c>
      <c r="AO15" s="1138">
        <v>3.0</v>
      </c>
      <c r="AP15" s="1126">
        <v>4.0</v>
      </c>
      <c r="AQ15" s="1138">
        <v>4.0</v>
      </c>
      <c r="AR15" s="1126">
        <v>8.0</v>
      </c>
      <c r="AS15" s="1138">
        <v>8.0</v>
      </c>
      <c r="AT15" s="1126">
        <v>7.0</v>
      </c>
      <c r="AU15" s="1138">
        <v>7.0</v>
      </c>
      <c r="AV15" s="1126">
        <v>4.0</v>
      </c>
      <c r="AW15" s="1138">
        <v>4.0</v>
      </c>
      <c r="AX15" s="1126">
        <v>6.0</v>
      </c>
      <c r="AY15" s="1138">
        <v>6.0</v>
      </c>
      <c r="AZ15" s="1126">
        <v>3.0</v>
      </c>
      <c r="BA15" s="1138">
        <v>3.0</v>
      </c>
      <c r="BB15" s="1126"/>
      <c r="BC15" s="1138"/>
      <c r="BD15" s="1126">
        <v>6.0</v>
      </c>
      <c r="BE15" s="1138">
        <v>6.0</v>
      </c>
      <c r="BF15" s="1126">
        <v>4.0</v>
      </c>
      <c r="BG15" s="1138">
        <v>4.0</v>
      </c>
      <c r="BH15" s="1126">
        <v>5.0</v>
      </c>
      <c r="BI15" s="1138">
        <v>5.0</v>
      </c>
      <c r="BJ15" s="1126">
        <v>6.0</v>
      </c>
      <c r="BK15" s="1138">
        <v>6.0</v>
      </c>
      <c r="BL15" s="1134"/>
      <c r="BM15" s="1138"/>
      <c r="BN15" s="1087">
        <v>10.0</v>
      </c>
      <c r="BO15" s="1138"/>
      <c r="BP15" s="783">
        <f t="shared" si="1"/>
        <v>163</v>
      </c>
      <c r="BQ15" s="1589">
        <f t="shared" si="2"/>
        <v>162</v>
      </c>
      <c r="BR15" s="1572">
        <f t="shared" si="3"/>
        <v>36936</v>
      </c>
      <c r="BS15" s="784">
        <f t="shared" si="4"/>
        <v>37164</v>
      </c>
      <c r="BT15" s="1419"/>
      <c r="BU15" s="1573"/>
    </row>
    <row r="16" ht="18.75" customHeight="1">
      <c r="A16" s="1565" t="s">
        <v>145</v>
      </c>
      <c r="B16" s="1649">
        <v>4294.0</v>
      </c>
      <c r="C16" s="1567">
        <v>215.0</v>
      </c>
      <c r="D16" s="1650" t="s">
        <v>77</v>
      </c>
      <c r="E16" s="1651" t="str">
        <f>'Матрица 4 недели'!M54</f>
        <v>Пангасиус запеченый с картофельным пюре</v>
      </c>
      <c r="F16" s="1137">
        <v>2.0</v>
      </c>
      <c r="G16" s="1121">
        <v>2.0</v>
      </c>
      <c r="H16" s="1126">
        <v>3.0</v>
      </c>
      <c r="I16" s="1121">
        <v>3.0</v>
      </c>
      <c r="J16" s="1126">
        <v>3.0</v>
      </c>
      <c r="K16" s="1600">
        <v>3.0</v>
      </c>
      <c r="L16" s="1161">
        <v>3.0</v>
      </c>
      <c r="M16" s="1600">
        <v>3.0</v>
      </c>
      <c r="N16" s="1126">
        <v>5.0</v>
      </c>
      <c r="O16" s="1121">
        <v>5.0</v>
      </c>
      <c r="P16" s="1126"/>
      <c r="Q16" s="1121"/>
      <c r="R16" s="1126"/>
      <c r="S16" s="1121"/>
      <c r="T16" s="1126"/>
      <c r="U16" s="1138"/>
      <c r="V16" s="1126"/>
      <c r="W16" s="1138"/>
      <c r="X16" s="1137">
        <v>3.0</v>
      </c>
      <c r="Y16" s="1138">
        <v>3.0</v>
      </c>
      <c r="AA16" s="1120"/>
      <c r="AB16" s="1137"/>
      <c r="AC16" s="1138"/>
      <c r="AD16" s="1137"/>
      <c r="AE16" s="1138"/>
      <c r="AF16" s="1137">
        <v>4.0</v>
      </c>
      <c r="AG16" s="1138">
        <v>4.0</v>
      </c>
      <c r="AH16" s="1137"/>
      <c r="AI16" s="1138"/>
      <c r="AJ16" s="1137"/>
      <c r="AK16" s="1138"/>
      <c r="AL16" s="1120">
        <v>2.0</v>
      </c>
      <c r="AM16" s="1138">
        <v>2.0</v>
      </c>
      <c r="AN16" s="1120">
        <v>2.0</v>
      </c>
      <c r="AO16" s="1138">
        <v>2.0</v>
      </c>
      <c r="AP16" s="1120"/>
      <c r="AQ16" s="1138"/>
      <c r="AR16" s="1120">
        <v>2.0</v>
      </c>
      <c r="AS16" s="1138">
        <v>2.0</v>
      </c>
      <c r="AT16" s="1126"/>
      <c r="AU16" s="1138"/>
      <c r="AV16" s="1126"/>
      <c r="AW16" s="1138"/>
      <c r="AX16" s="1126">
        <v>2.0</v>
      </c>
      <c r="AY16" s="1138">
        <v>2.0</v>
      </c>
      <c r="AZ16" s="1126">
        <v>2.0</v>
      </c>
      <c r="BA16" s="1138">
        <v>2.0</v>
      </c>
      <c r="BB16" s="1126"/>
      <c r="BC16" s="1138"/>
      <c r="BD16" s="1126"/>
      <c r="BE16" s="1138"/>
      <c r="BF16" s="1126"/>
      <c r="BG16" s="1138"/>
      <c r="BH16" s="1126">
        <v>2.0</v>
      </c>
      <c r="BI16" s="1138">
        <v>2.0</v>
      </c>
      <c r="BJ16" s="1126">
        <v>3.0</v>
      </c>
      <c r="BK16" s="1138">
        <v>3.0</v>
      </c>
      <c r="BL16" s="1134">
        <v>27.0</v>
      </c>
      <c r="BM16" s="1138">
        <v>27.0</v>
      </c>
      <c r="BN16" s="1087"/>
      <c r="BO16" s="1138"/>
      <c r="BP16" s="783">
        <f>(F16+H16+J16+L16+N16+P16+R16+T16+V16+X16+AA16+AB16+AF16+AH16+AJ16+AR16+BL16+AL16+AD16+AN16+AP16+AT16+AV16+AX16+AZ16+BB16+BD16+BF16+BH16+BJ16)+1</f>
        <v>66</v>
      </c>
      <c r="BQ16" s="1571" t="str">
        <f>G16+I16+K16+M16+O16+Q16+S16+W16+U16+Y16+#REF!+BM16+AC16+AG16+AI16+AK16+AS16+AE16+AM16+AO16+AQ16+AU16+AW16+AY16+BA16+BC16+BE16+BG16+BI16+BK16</f>
        <v>#REF!</v>
      </c>
      <c r="BR16" s="1572" t="str">
        <f t="shared" si="3"/>
        <v>#REF!</v>
      </c>
      <c r="BS16" s="784">
        <f t="shared" si="4"/>
        <v>14190</v>
      </c>
      <c r="BT16" s="1419"/>
      <c r="BU16" s="1573"/>
    </row>
    <row r="17" ht="18.75" customHeight="1">
      <c r="A17" s="1565" t="s">
        <v>145</v>
      </c>
      <c r="B17" s="1649">
        <v>4295.0</v>
      </c>
      <c r="C17" s="1567">
        <v>218.0</v>
      </c>
      <c r="D17" s="1650" t="s">
        <v>77</v>
      </c>
      <c r="E17" s="1651" t="str">
        <f>'Матрица 4 недели'!M55</f>
        <v>Щука жареная с картофельным пюре </v>
      </c>
      <c r="F17" s="1137">
        <v>2.0</v>
      </c>
      <c r="G17" s="1138">
        <v>2.0</v>
      </c>
      <c r="H17" s="1126">
        <v>3.0</v>
      </c>
      <c r="I17" s="1140">
        <v>1.0</v>
      </c>
      <c r="J17" s="1126">
        <v>4.0</v>
      </c>
      <c r="K17" s="1138">
        <v>4.0</v>
      </c>
      <c r="L17" s="1126">
        <v>2.0</v>
      </c>
      <c r="M17" s="1138">
        <v>2.0</v>
      </c>
      <c r="N17" s="1126">
        <v>5.0</v>
      </c>
      <c r="O17" s="1138">
        <v>5.0</v>
      </c>
      <c r="P17" s="1126">
        <v>5.0</v>
      </c>
      <c r="Q17" s="1142">
        <v>5.0</v>
      </c>
      <c r="R17" s="1126">
        <v>2.0</v>
      </c>
      <c r="S17" s="1121">
        <v>2.0</v>
      </c>
      <c r="T17" s="1126">
        <v>2.0</v>
      </c>
      <c r="U17" s="1121">
        <v>2.0</v>
      </c>
      <c r="V17" s="1126">
        <v>3.0</v>
      </c>
      <c r="W17" s="1121">
        <v>3.0</v>
      </c>
      <c r="X17" s="1126">
        <v>3.0</v>
      </c>
      <c r="Y17" s="1121">
        <v>3.0</v>
      </c>
      <c r="Z17" s="1120"/>
      <c r="AA17" s="1121"/>
      <c r="AB17" s="1126">
        <v>3.0</v>
      </c>
      <c r="AC17" s="1121">
        <v>2.0</v>
      </c>
      <c r="AD17" s="1126">
        <v>2.0</v>
      </c>
      <c r="AE17" s="1121">
        <v>2.0</v>
      </c>
      <c r="AF17" s="1126">
        <v>3.0</v>
      </c>
      <c r="AG17" s="1121">
        <v>3.0</v>
      </c>
      <c r="AH17" s="1126">
        <v>2.0</v>
      </c>
      <c r="AI17" s="1121">
        <v>2.0</v>
      </c>
      <c r="AJ17" s="1126">
        <v>3.0</v>
      </c>
      <c r="AK17" s="1121">
        <v>3.0</v>
      </c>
      <c r="AL17" s="1126">
        <v>3.0</v>
      </c>
      <c r="AM17" s="1121">
        <v>3.0</v>
      </c>
      <c r="AN17" s="1126">
        <v>3.0</v>
      </c>
      <c r="AO17" s="1138">
        <v>3.0</v>
      </c>
      <c r="AP17" s="1126">
        <v>2.0</v>
      </c>
      <c r="AQ17" s="1138">
        <v>2.0</v>
      </c>
      <c r="AR17" s="1126">
        <v>2.0</v>
      </c>
      <c r="AS17" s="1138">
        <v>2.0</v>
      </c>
      <c r="AT17" s="1126">
        <v>3.0</v>
      </c>
      <c r="AU17" s="1138">
        <v>3.0</v>
      </c>
      <c r="AV17" s="1126">
        <v>2.0</v>
      </c>
      <c r="AW17" s="1138">
        <v>2.0</v>
      </c>
      <c r="AX17" s="1126">
        <v>2.0</v>
      </c>
      <c r="AY17" s="1138">
        <v>2.0</v>
      </c>
      <c r="AZ17" s="1126">
        <v>0.0</v>
      </c>
      <c r="BA17" s="1138">
        <v>0.0</v>
      </c>
      <c r="BB17" s="1126"/>
      <c r="BC17" s="1138"/>
      <c r="BD17" s="1126">
        <v>2.0</v>
      </c>
      <c r="BE17" s="1138">
        <v>2.0</v>
      </c>
      <c r="BF17" s="1126">
        <v>3.0</v>
      </c>
      <c r="BG17" s="1138">
        <v>2.0</v>
      </c>
      <c r="BH17" s="1126">
        <v>2.0</v>
      </c>
      <c r="BI17" s="1138">
        <v>2.0</v>
      </c>
      <c r="BJ17" s="1126">
        <v>3.0</v>
      </c>
      <c r="BK17" s="1138">
        <v>3.0</v>
      </c>
      <c r="BL17" s="1134"/>
      <c r="BM17" s="1138"/>
      <c r="BN17" s="1087"/>
      <c r="BO17" s="1138"/>
      <c r="BP17" s="783">
        <f t="shared" ref="BP17:BP31" si="5">(F17+H17+J17+L17+N17+P17+R17+T17+V17+X17+Z17+AB17+AF17+AH17+AJ17+AR17+BL17+AL17+AD17+AN17+AP17+AT17+AV17+AX17+AZ17+BB17+BD17+BF17+BH17+BJ17)+1</f>
        <v>72</v>
      </c>
      <c r="BQ17" s="1589">
        <f t="shared" ref="BQ17:BQ31" si="6">G17+I17+K17+M17+O17+Q17+S17+W17+U17+Y17+AA17+BM17+AC17+AG17+AI17+AK17+AS17+AE17+AM17+AO17+AQ17+AU17+AW17+AY17+BA17+BC17+BE17+BG17+BI17+BK17</f>
        <v>67</v>
      </c>
      <c r="BR17" s="1572">
        <f t="shared" si="3"/>
        <v>14606</v>
      </c>
      <c r="BS17" s="784">
        <f t="shared" si="4"/>
        <v>15696</v>
      </c>
      <c r="BT17" s="1419"/>
      <c r="BU17" s="1573"/>
    </row>
    <row r="18" ht="18.75" customHeight="1">
      <c r="A18" s="1565"/>
      <c r="B18" s="1649"/>
      <c r="C18" s="1567"/>
      <c r="D18" s="1663"/>
      <c r="E18" s="1665" t="str">
        <f>'Матрица 4 недели'!M56</f>
        <v/>
      </c>
      <c r="F18" s="1620"/>
      <c r="G18" s="1621"/>
      <c r="H18" s="1622"/>
      <c r="I18" s="1621"/>
      <c r="J18" s="1622"/>
      <c r="K18" s="1138"/>
      <c r="L18" s="1126"/>
      <c r="M18" s="1138"/>
      <c r="N18" s="1622"/>
      <c r="O18" s="1621"/>
      <c r="P18" s="1622"/>
      <c r="Q18" s="1623"/>
      <c r="R18" s="1622"/>
      <c r="S18" s="1624"/>
      <c r="T18" s="1622"/>
      <c r="U18" s="1624"/>
      <c r="V18" s="1622"/>
      <c r="W18" s="1624"/>
      <c r="X18" s="1622"/>
      <c r="Y18" s="1624"/>
      <c r="Z18" s="1622"/>
      <c r="AA18" s="1624"/>
      <c r="AB18" s="1622"/>
      <c r="AC18" s="1624"/>
      <c r="AD18" s="1622"/>
      <c r="AE18" s="1624"/>
      <c r="AF18" s="1622"/>
      <c r="AG18" s="1624"/>
      <c r="AH18" s="1622"/>
      <c r="AI18" s="1624"/>
      <c r="AJ18" s="1622"/>
      <c r="AK18" s="1624"/>
      <c r="AL18" s="1622"/>
      <c r="AM18" s="1624"/>
      <c r="AN18" s="1622"/>
      <c r="AO18" s="1621"/>
      <c r="AP18" s="1622"/>
      <c r="AQ18" s="1621"/>
      <c r="AR18" s="1625"/>
      <c r="AS18" s="1621"/>
      <c r="AT18" s="1622"/>
      <c r="AU18" s="1621"/>
      <c r="AV18" s="1622"/>
      <c r="AW18" s="1621"/>
      <c r="AX18" s="1622"/>
      <c r="AY18" s="1621"/>
      <c r="AZ18" s="1622"/>
      <c r="BA18" s="1138"/>
      <c r="BB18" s="1126"/>
      <c r="BC18" s="1138"/>
      <c r="BD18" s="1126"/>
      <c r="BE18" s="1138"/>
      <c r="BF18" s="1126"/>
      <c r="BG18" s="1138"/>
      <c r="BH18" s="1126"/>
      <c r="BI18" s="1138"/>
      <c r="BJ18" s="1126"/>
      <c r="BK18" s="1138"/>
      <c r="BL18" s="1134"/>
      <c r="BM18" s="1138"/>
      <c r="BN18" s="1087"/>
      <c r="BO18" s="1138"/>
      <c r="BP18" s="783">
        <f t="shared" si="5"/>
        <v>1</v>
      </c>
      <c r="BQ18" s="1589">
        <f t="shared" si="6"/>
        <v>0</v>
      </c>
      <c r="BR18" s="1572">
        <f t="shared" si="3"/>
        <v>0</v>
      </c>
      <c r="BS18" s="784">
        <f t="shared" si="4"/>
        <v>0</v>
      </c>
      <c r="BT18" s="1419"/>
      <c r="BU18" s="1573"/>
    </row>
    <row r="19" ht="18.75" customHeight="1">
      <c r="A19" s="1565"/>
      <c r="B19" s="1649"/>
      <c r="C19" s="1567"/>
      <c r="D19" s="1663"/>
      <c r="E19" s="1665" t="str">
        <f>'Матрица 4 недели'!M57</f>
        <v/>
      </c>
      <c r="F19" s="1620"/>
      <c r="G19" s="1621"/>
      <c r="H19" s="1622"/>
      <c r="I19" s="1621"/>
      <c r="J19" s="1622"/>
      <c r="K19" s="1138"/>
      <c r="L19" s="1126"/>
      <c r="M19" s="1138"/>
      <c r="N19" s="1622"/>
      <c r="O19" s="1621"/>
      <c r="P19" s="1622"/>
      <c r="Q19" s="1623"/>
      <c r="R19" s="1622"/>
      <c r="S19" s="1624"/>
      <c r="T19" s="1622"/>
      <c r="U19" s="1624"/>
      <c r="V19" s="1622"/>
      <c r="W19" s="1624"/>
      <c r="X19" s="1622"/>
      <c r="Y19" s="1624"/>
      <c r="Z19" s="1622"/>
      <c r="AA19" s="1624"/>
      <c r="AB19" s="1622"/>
      <c r="AC19" s="1624"/>
      <c r="AD19" s="1622"/>
      <c r="AE19" s="1624"/>
      <c r="AF19" s="1622"/>
      <c r="AG19" s="1624"/>
      <c r="AH19" s="1622"/>
      <c r="AI19" s="1624"/>
      <c r="AJ19" s="1622"/>
      <c r="AK19" s="1624"/>
      <c r="AL19" s="1622"/>
      <c r="AM19" s="1624"/>
      <c r="AN19" s="1622"/>
      <c r="AO19" s="1621"/>
      <c r="AP19" s="1622"/>
      <c r="AQ19" s="1621"/>
      <c r="AR19" s="1625"/>
      <c r="AS19" s="1621"/>
      <c r="AT19" s="1622"/>
      <c r="AU19" s="1621"/>
      <c r="AV19" s="1622"/>
      <c r="AW19" s="1621"/>
      <c r="AX19" s="1622"/>
      <c r="AY19" s="1621"/>
      <c r="AZ19" s="1126"/>
      <c r="BA19" s="1138"/>
      <c r="BB19" s="1126"/>
      <c r="BC19" s="1138"/>
      <c r="BD19" s="1126"/>
      <c r="BE19" s="1138"/>
      <c r="BF19" s="1126"/>
      <c r="BG19" s="1138"/>
      <c r="BH19" s="1126"/>
      <c r="BI19" s="1138"/>
      <c r="BJ19" s="1126"/>
      <c r="BK19" s="1138"/>
      <c r="BL19" s="1134"/>
      <c r="BM19" s="1138"/>
      <c r="BN19" s="1087"/>
      <c r="BO19" s="1138"/>
      <c r="BP19" s="783">
        <f t="shared" si="5"/>
        <v>1</v>
      </c>
      <c r="BQ19" s="1589">
        <f t="shared" si="6"/>
        <v>0</v>
      </c>
      <c r="BR19" s="1572">
        <f t="shared" si="3"/>
        <v>0</v>
      </c>
      <c r="BS19" s="784">
        <f t="shared" si="4"/>
        <v>0</v>
      </c>
      <c r="BT19" s="1419"/>
      <c r="BU19" s="1573"/>
    </row>
    <row r="20" ht="18.75" customHeight="1">
      <c r="A20" s="1565" t="s">
        <v>145</v>
      </c>
      <c r="B20" s="1649">
        <v>4224.0</v>
      </c>
      <c r="C20" s="1567">
        <v>281.0</v>
      </c>
      <c r="D20" s="1650" t="s">
        <v>78</v>
      </c>
      <c r="E20" s="733" t="str">
        <f>'Матрица 4 недели'!P51</f>
        <v>Курица Пармиджано с овощным соте</v>
      </c>
      <c r="F20" s="1620">
        <v>8.0</v>
      </c>
      <c r="G20" s="1621">
        <v>8.0</v>
      </c>
      <c r="H20" s="1622">
        <v>2.0</v>
      </c>
      <c r="I20" s="1621">
        <v>2.0</v>
      </c>
      <c r="J20" s="1622">
        <v>6.0</v>
      </c>
      <c r="K20" s="1138">
        <v>6.0</v>
      </c>
      <c r="L20" s="1126">
        <v>4.0</v>
      </c>
      <c r="M20" s="1138">
        <v>4.0</v>
      </c>
      <c r="N20" s="1622">
        <v>4.0</v>
      </c>
      <c r="O20" s="1621">
        <v>5.0</v>
      </c>
      <c r="P20" s="1622">
        <v>4.0</v>
      </c>
      <c r="Q20" s="1623">
        <v>4.0</v>
      </c>
      <c r="R20" s="1622">
        <v>2.0</v>
      </c>
      <c r="S20" s="1624">
        <v>2.0</v>
      </c>
      <c r="T20" s="1622">
        <v>4.0</v>
      </c>
      <c r="U20" s="1624">
        <v>4.0</v>
      </c>
      <c r="V20" s="1622">
        <v>5.0</v>
      </c>
      <c r="W20" s="1624">
        <v>5.0</v>
      </c>
      <c r="X20" s="1622">
        <v>4.0</v>
      </c>
      <c r="Y20" s="1624">
        <v>4.0</v>
      </c>
      <c r="Z20" s="1622"/>
      <c r="AA20" s="1624"/>
      <c r="AB20" s="1622">
        <v>2.0</v>
      </c>
      <c r="AC20" s="1624">
        <v>3.0</v>
      </c>
      <c r="AD20" s="1622">
        <v>3.0</v>
      </c>
      <c r="AE20" s="1624">
        <v>3.0</v>
      </c>
      <c r="AF20" s="1622">
        <v>4.0</v>
      </c>
      <c r="AG20" s="1624">
        <v>4.0</v>
      </c>
      <c r="AH20" s="1622">
        <v>2.0</v>
      </c>
      <c r="AI20" s="1624">
        <v>2.0</v>
      </c>
      <c r="AJ20" s="1622">
        <v>3.0</v>
      </c>
      <c r="AK20" s="1624">
        <v>3.0</v>
      </c>
      <c r="AL20" s="1622">
        <v>5.0</v>
      </c>
      <c r="AM20" s="1624">
        <v>6.0</v>
      </c>
      <c r="AN20" s="1622">
        <v>4.0</v>
      </c>
      <c r="AO20" s="1621">
        <v>4.0</v>
      </c>
      <c r="AP20" s="1622">
        <v>3.0</v>
      </c>
      <c r="AQ20" s="1621">
        <v>3.0</v>
      </c>
      <c r="AR20" s="1625">
        <v>4.0</v>
      </c>
      <c r="AS20" s="1621">
        <v>4.0</v>
      </c>
      <c r="AT20" s="1622">
        <v>3.0</v>
      </c>
      <c r="AU20" s="1621">
        <v>3.0</v>
      </c>
      <c r="AV20" s="1622">
        <v>1.0</v>
      </c>
      <c r="AW20" s="1621">
        <v>1.0</v>
      </c>
      <c r="AX20" s="1622">
        <v>3.0</v>
      </c>
      <c r="AY20" s="1621">
        <v>3.0</v>
      </c>
      <c r="AZ20" s="1126">
        <v>1.0</v>
      </c>
      <c r="BA20" s="1138">
        <v>2.0</v>
      </c>
      <c r="BB20" s="1126"/>
      <c r="BC20" s="1138"/>
      <c r="BD20" s="1126">
        <v>2.0</v>
      </c>
      <c r="BE20" s="1138">
        <v>2.0</v>
      </c>
      <c r="BF20" s="1126">
        <v>2.0</v>
      </c>
      <c r="BG20" s="1138">
        <v>2.0</v>
      </c>
      <c r="BH20" s="1126">
        <v>4.0</v>
      </c>
      <c r="BI20" s="1138">
        <v>5.0</v>
      </c>
      <c r="BJ20" s="1126">
        <v>6.0</v>
      </c>
      <c r="BK20" s="1138">
        <v>6.0</v>
      </c>
      <c r="BL20" s="1134"/>
      <c r="BM20" s="1121"/>
      <c r="BN20" s="1087"/>
      <c r="BO20" s="1138"/>
      <c r="BP20" s="783">
        <f t="shared" si="5"/>
        <v>96</v>
      </c>
      <c r="BQ20" s="1589">
        <f t="shared" si="6"/>
        <v>100</v>
      </c>
      <c r="BR20" s="1572">
        <f t="shared" si="3"/>
        <v>28100</v>
      </c>
      <c r="BS20" s="784">
        <f t="shared" si="4"/>
        <v>26976</v>
      </c>
      <c r="BT20" s="1419"/>
      <c r="BU20" s="1573"/>
    </row>
    <row r="21" ht="18.75" customHeight="1">
      <c r="A21" s="1565"/>
      <c r="B21" s="1567"/>
      <c r="C21" s="1567"/>
      <c r="D21" s="1586"/>
      <c r="E21" s="1682" t="str">
        <f>'Матрица 4 недели'!P52</f>
        <v/>
      </c>
      <c r="F21" s="1137"/>
      <c r="G21" s="1121"/>
      <c r="H21" s="1126"/>
      <c r="I21" s="1121"/>
      <c r="J21" s="1126"/>
      <c r="K21" s="1160"/>
      <c r="L21" s="1161"/>
      <c r="M21" s="1162"/>
      <c r="N21" s="1126"/>
      <c r="O21" s="1121"/>
      <c r="P21" s="1126"/>
      <c r="Q21" s="1121"/>
      <c r="R21" s="1126"/>
      <c r="S21" s="1121"/>
      <c r="T21" s="1126"/>
      <c r="U21" s="1121"/>
      <c r="V21" s="1137"/>
      <c r="W21" s="1121"/>
      <c r="X21" s="1137"/>
      <c r="Y21" s="1121"/>
      <c r="Z21" s="1126"/>
      <c r="AA21" s="1121"/>
      <c r="AB21" s="1137"/>
      <c r="AC21" s="1121"/>
      <c r="AD21" s="1137"/>
      <c r="AE21" s="1121"/>
      <c r="AF21" s="1120"/>
      <c r="AG21" s="1121"/>
      <c r="AH21" s="1137"/>
      <c r="AI21" s="1121"/>
      <c r="AJ21" s="1120"/>
      <c r="AK21" s="1121"/>
      <c r="AL21" s="1126"/>
      <c r="AM21" s="1121"/>
      <c r="AN21" s="1120"/>
      <c r="AO21" s="1138"/>
      <c r="AP21" s="1126"/>
      <c r="AQ21" s="1138"/>
      <c r="AR21" s="1120"/>
      <c r="AS21" s="1121"/>
      <c r="AT21" s="1126"/>
      <c r="AU21" s="1121"/>
      <c r="AV21" s="1126"/>
      <c r="AW21" s="1121"/>
      <c r="AX21" s="1126"/>
      <c r="AY21" s="1121"/>
      <c r="AZ21" s="1141"/>
      <c r="BA21" s="1305"/>
      <c r="BB21" s="1141"/>
      <c r="BC21" s="1305"/>
      <c r="BD21" s="1141"/>
      <c r="BE21" s="1305"/>
      <c r="BF21" s="1141"/>
      <c r="BG21" s="1305"/>
      <c r="BH21" s="1126"/>
      <c r="BI21" s="1131"/>
      <c r="BJ21" s="1126"/>
      <c r="BK21" s="1305"/>
      <c r="BL21" s="1134"/>
      <c r="BM21" s="1121"/>
      <c r="BN21" s="1087"/>
      <c r="BO21" s="1138"/>
      <c r="BP21" s="783">
        <f t="shared" si="5"/>
        <v>1</v>
      </c>
      <c r="BQ21" s="1571">
        <f t="shared" si="6"/>
        <v>0</v>
      </c>
      <c r="BR21" s="1572">
        <f t="shared" si="3"/>
        <v>0</v>
      </c>
      <c r="BS21" s="784">
        <f t="shared" si="4"/>
        <v>0</v>
      </c>
      <c r="BT21" s="1419"/>
      <c r="BU21" s="1573"/>
    </row>
    <row r="22" ht="18.75" customHeight="1">
      <c r="A22" s="1565" t="s">
        <v>145</v>
      </c>
      <c r="B22" s="1689">
        <v>4239.0</v>
      </c>
      <c r="C22" s="1567">
        <v>172.0</v>
      </c>
      <c r="D22" s="1650" t="s">
        <v>79</v>
      </c>
      <c r="E22" s="1690" t="str">
        <f>'Матрица 4 недели'!S51</f>
        <v>Сэндвич с запеченной курочкой и соусом Релиш</v>
      </c>
      <c r="F22" s="1137">
        <v>8.0</v>
      </c>
      <c r="G22" s="1121">
        <v>8.0</v>
      </c>
      <c r="H22" s="1126">
        <v>2.0</v>
      </c>
      <c r="I22" s="1121">
        <v>2.0</v>
      </c>
      <c r="J22" s="1126">
        <v>7.0</v>
      </c>
      <c r="K22" s="1160">
        <v>7.0</v>
      </c>
      <c r="L22" s="1161">
        <v>3.0</v>
      </c>
      <c r="M22" s="1160">
        <v>3.0</v>
      </c>
      <c r="N22" s="1126">
        <v>6.0</v>
      </c>
      <c r="O22" s="1121">
        <v>6.0</v>
      </c>
      <c r="P22" s="1126">
        <v>3.0</v>
      </c>
      <c r="Q22" s="1121">
        <v>3.0</v>
      </c>
      <c r="R22" s="1120">
        <v>2.0</v>
      </c>
      <c r="S22" s="1121">
        <v>2.0</v>
      </c>
      <c r="T22" s="1126">
        <v>2.0</v>
      </c>
      <c r="U22" s="1138">
        <v>2.0</v>
      </c>
      <c r="V22" s="1137">
        <v>4.0</v>
      </c>
      <c r="W22" s="1138">
        <v>4.0</v>
      </c>
      <c r="X22" s="1137">
        <v>4.0</v>
      </c>
      <c r="Y22" s="1138">
        <v>4.0</v>
      </c>
      <c r="Z22" s="1126"/>
      <c r="AA22" s="1138"/>
      <c r="AB22" s="1137">
        <v>3.0</v>
      </c>
      <c r="AC22" s="1138">
        <v>3.0</v>
      </c>
      <c r="AD22" s="1137">
        <v>3.0</v>
      </c>
      <c r="AE22" s="1138">
        <v>3.0</v>
      </c>
      <c r="AF22" s="1137">
        <v>5.0</v>
      </c>
      <c r="AG22" s="1138">
        <v>5.0</v>
      </c>
      <c r="AH22" s="1137">
        <v>2.0</v>
      </c>
      <c r="AI22" s="1138">
        <v>2.0</v>
      </c>
      <c r="AJ22" s="1137">
        <v>3.0</v>
      </c>
      <c r="AK22" s="1138">
        <v>3.0</v>
      </c>
      <c r="AL22" s="1120">
        <v>4.0</v>
      </c>
      <c r="AM22" s="1138">
        <v>4.0</v>
      </c>
      <c r="AN22" s="1120">
        <v>2.0</v>
      </c>
      <c r="AO22" s="1305">
        <v>2.0</v>
      </c>
      <c r="AP22" s="1302">
        <v>3.0</v>
      </c>
      <c r="AQ22" s="1138">
        <v>3.0</v>
      </c>
      <c r="AR22" s="1120">
        <v>8.0</v>
      </c>
      <c r="AS22" s="1138">
        <v>8.0</v>
      </c>
      <c r="AT22" s="1126">
        <v>2.0</v>
      </c>
      <c r="AU22" s="1138">
        <v>2.0</v>
      </c>
      <c r="AV22" s="1126">
        <v>2.0</v>
      </c>
      <c r="AW22" s="1138">
        <v>2.0</v>
      </c>
      <c r="AX22" s="1126">
        <v>5.0</v>
      </c>
      <c r="AY22" s="1138">
        <v>5.0</v>
      </c>
      <c r="AZ22" s="1126">
        <v>2.0</v>
      </c>
      <c r="BA22" s="1138">
        <v>2.0</v>
      </c>
      <c r="BB22" s="1126"/>
      <c r="BC22" s="1127"/>
      <c r="BD22" s="1126">
        <v>2.0</v>
      </c>
      <c r="BE22" s="1127">
        <v>2.0</v>
      </c>
      <c r="BF22" s="1126">
        <v>4.0</v>
      </c>
      <c r="BG22" s="1127">
        <v>4.0</v>
      </c>
      <c r="BH22" s="1126">
        <v>3.0</v>
      </c>
      <c r="BI22" s="1127">
        <v>3.0</v>
      </c>
      <c r="BJ22" s="1126">
        <v>3.0</v>
      </c>
      <c r="BK22" s="1121">
        <v>3.0</v>
      </c>
      <c r="BL22" s="1169"/>
      <c r="BM22" s="1170"/>
      <c r="BN22" s="900"/>
      <c r="BO22" s="1170"/>
      <c r="BP22" s="783">
        <f t="shared" si="5"/>
        <v>98</v>
      </c>
      <c r="BQ22" s="1571">
        <f t="shared" si="6"/>
        <v>97</v>
      </c>
      <c r="BR22" s="1572">
        <f t="shared" si="3"/>
        <v>16684</v>
      </c>
      <c r="BS22" s="784">
        <f t="shared" si="4"/>
        <v>16856</v>
      </c>
      <c r="BT22" s="1419"/>
      <c r="BU22" s="1573"/>
    </row>
    <row r="23" ht="18.75" customHeight="1">
      <c r="A23" s="1565" t="s">
        <v>145</v>
      </c>
      <c r="B23" s="1649">
        <v>2364.0</v>
      </c>
      <c r="C23" s="1567">
        <v>170.0</v>
      </c>
      <c r="D23" s="1612" t="s">
        <v>79</v>
      </c>
      <c r="E23" s="1695" t="str">
        <f>'Матрица 4 недели'!S52</f>
        <v>Сэндвич с ветчиной и томатом </v>
      </c>
      <c r="F23" s="1137">
        <v>8.0</v>
      </c>
      <c r="G23" s="1121">
        <v>8.0</v>
      </c>
      <c r="H23" s="1126">
        <v>5.0</v>
      </c>
      <c r="I23" s="1121">
        <v>5.0</v>
      </c>
      <c r="J23" s="1126">
        <v>7.0</v>
      </c>
      <c r="K23" s="1121">
        <v>7.0</v>
      </c>
      <c r="L23" s="1126">
        <v>3.0</v>
      </c>
      <c r="M23" s="1121">
        <v>3.0</v>
      </c>
      <c r="N23" s="1126">
        <v>5.0</v>
      </c>
      <c r="O23" s="1121">
        <v>5.0</v>
      </c>
      <c r="P23" s="1126">
        <v>11.0</v>
      </c>
      <c r="Q23" s="1121">
        <v>11.0</v>
      </c>
      <c r="R23" s="1137">
        <v>3.0</v>
      </c>
      <c r="S23" s="1121">
        <v>3.0</v>
      </c>
      <c r="T23" s="1126">
        <v>4.0</v>
      </c>
      <c r="U23" s="1138">
        <v>4.0</v>
      </c>
      <c r="V23" s="1137">
        <v>2.0</v>
      </c>
      <c r="W23" s="1138">
        <v>2.0</v>
      </c>
      <c r="X23" s="1137">
        <v>8.0</v>
      </c>
      <c r="Y23" s="1138">
        <v>8.0</v>
      </c>
      <c r="Z23" s="1137"/>
      <c r="AA23" s="1138"/>
      <c r="AB23" s="1137">
        <v>4.0</v>
      </c>
      <c r="AC23" s="1138">
        <v>4.0</v>
      </c>
      <c r="AD23" s="1137">
        <v>2.0</v>
      </c>
      <c r="AE23" s="1138">
        <v>2.0</v>
      </c>
      <c r="AF23" s="1137">
        <v>6.0</v>
      </c>
      <c r="AG23" s="1138">
        <v>6.0</v>
      </c>
      <c r="AH23" s="1120">
        <v>5.0</v>
      </c>
      <c r="AI23" s="1138">
        <v>5.0</v>
      </c>
      <c r="AJ23" s="1120">
        <v>3.0</v>
      </c>
      <c r="AK23" s="1138">
        <v>3.0</v>
      </c>
      <c r="AL23" s="1137">
        <v>3.0</v>
      </c>
      <c r="AM23" s="1138">
        <v>3.0</v>
      </c>
      <c r="AN23" s="1120">
        <v>3.0</v>
      </c>
      <c r="AO23" s="1121">
        <v>3.0</v>
      </c>
      <c r="AP23" s="1120">
        <v>5.0</v>
      </c>
      <c r="AQ23" s="1138">
        <v>5.0</v>
      </c>
      <c r="AR23" s="1120">
        <v>9.0</v>
      </c>
      <c r="AS23" s="1121">
        <v>9.0</v>
      </c>
      <c r="AT23" s="1126">
        <v>4.0</v>
      </c>
      <c r="AU23" s="1121">
        <v>4.0</v>
      </c>
      <c r="AV23" s="1126">
        <v>3.0</v>
      </c>
      <c r="AW23" s="1121">
        <v>3.0</v>
      </c>
      <c r="AX23" s="1126">
        <v>6.0</v>
      </c>
      <c r="AY23" s="1121">
        <v>6.0</v>
      </c>
      <c r="AZ23" s="1126">
        <v>2.0</v>
      </c>
      <c r="BA23" s="1138">
        <v>2.0</v>
      </c>
      <c r="BB23" s="1126"/>
      <c r="BC23" s="1570"/>
      <c r="BD23" s="1126">
        <v>3.0</v>
      </c>
      <c r="BE23" s="1127">
        <v>3.0</v>
      </c>
      <c r="BF23" s="1126">
        <v>6.0</v>
      </c>
      <c r="BG23" s="1127">
        <v>6.0</v>
      </c>
      <c r="BH23" s="1126">
        <v>4.0</v>
      </c>
      <c r="BI23" s="1127">
        <v>4.0</v>
      </c>
      <c r="BJ23" s="1126">
        <v>2.0</v>
      </c>
      <c r="BK23" s="1138">
        <v>2.0</v>
      </c>
      <c r="BL23" s="1139"/>
      <c r="BM23" s="1138"/>
      <c r="BN23" s="1087"/>
      <c r="BO23" s="1138"/>
      <c r="BP23" s="783">
        <f t="shared" si="5"/>
        <v>127</v>
      </c>
      <c r="BQ23" s="1571">
        <f t="shared" si="6"/>
        <v>126</v>
      </c>
      <c r="BR23" s="1572">
        <f t="shared" si="3"/>
        <v>21420</v>
      </c>
      <c r="BS23" s="784">
        <f t="shared" si="4"/>
        <v>21590</v>
      </c>
      <c r="BT23" s="1419"/>
      <c r="BU23" s="1573"/>
    </row>
    <row r="24" ht="18.75" customHeight="1">
      <c r="A24" s="1565"/>
      <c r="B24" s="1649"/>
      <c r="C24" s="1567"/>
      <c r="D24" s="1586"/>
      <c r="E24" s="1696" t="str">
        <f>'Матрица 4 недели'!S53</f>
        <v/>
      </c>
      <c r="F24" s="1137"/>
      <c r="G24" s="1138"/>
      <c r="H24" s="1126"/>
      <c r="I24" s="1140"/>
      <c r="J24" s="1126"/>
      <c r="K24" s="1405"/>
      <c r="L24" s="1161"/>
      <c r="M24" s="1405"/>
      <c r="N24" s="1126"/>
      <c r="O24" s="1138"/>
      <c r="P24" s="1120"/>
      <c r="Q24" s="1142"/>
      <c r="R24" s="1126"/>
      <c r="S24" s="1121"/>
      <c r="T24" s="1137"/>
      <c r="U24" s="1121"/>
      <c r="V24" s="1137"/>
      <c r="W24" s="1121"/>
      <c r="X24" s="1137"/>
      <c r="Y24" s="1121"/>
      <c r="Z24" s="1120"/>
      <c r="AA24" s="1121"/>
      <c r="AB24" s="1120"/>
      <c r="AC24" s="1121"/>
      <c r="AD24" s="1120"/>
      <c r="AE24" s="1121"/>
      <c r="AF24" s="1137"/>
      <c r="AG24" s="1121"/>
      <c r="AH24" s="1120"/>
      <c r="AI24" s="1121"/>
      <c r="AJ24" s="1120"/>
      <c r="AK24" s="1121"/>
      <c r="AL24" s="1120"/>
      <c r="AM24" s="1121"/>
      <c r="AN24" s="1126"/>
      <c r="AO24" s="1121"/>
      <c r="AP24" s="1126"/>
      <c r="AQ24" s="1121"/>
      <c r="AR24" s="1126"/>
      <c r="AS24" s="1121"/>
      <c r="AT24" s="1126"/>
      <c r="AU24" s="1121"/>
      <c r="AV24" s="1126"/>
      <c r="AW24" s="1121"/>
      <c r="AX24" s="1126"/>
      <c r="AY24" s="1121"/>
      <c r="AZ24" s="1126"/>
      <c r="BA24" s="1121"/>
      <c r="BB24" s="1126"/>
      <c r="BC24" s="1121"/>
      <c r="BD24" s="1126"/>
      <c r="BE24" s="1121"/>
      <c r="BF24" s="1126"/>
      <c r="BG24" s="1121"/>
      <c r="BH24" s="1126"/>
      <c r="BI24" s="1121"/>
      <c r="BJ24" s="1126"/>
      <c r="BK24" s="1121"/>
      <c r="BL24" s="1134"/>
      <c r="BM24" s="1138"/>
      <c r="BN24" s="1087"/>
      <c r="BO24" s="1138"/>
      <c r="BP24" s="783">
        <f t="shared" si="5"/>
        <v>1</v>
      </c>
      <c r="BQ24" s="1589">
        <f t="shared" si="6"/>
        <v>0</v>
      </c>
      <c r="BR24" s="1572">
        <f t="shared" si="3"/>
        <v>0</v>
      </c>
      <c r="BS24" s="784">
        <f t="shared" si="4"/>
        <v>0</v>
      </c>
      <c r="BT24" s="1419"/>
      <c r="BU24" s="1573"/>
    </row>
    <row r="25" ht="18.75" customHeight="1">
      <c r="A25" s="1565" t="s">
        <v>145</v>
      </c>
      <c r="B25" s="1649">
        <v>2943.0</v>
      </c>
      <c r="C25" s="1567">
        <v>152.0</v>
      </c>
      <c r="D25" s="1612" t="s">
        <v>80</v>
      </c>
      <c r="E25" s="1690" t="str">
        <f>'Матрица 4 недели'!V51</f>
        <v>Онигири с куриным филе в соусе спайси</v>
      </c>
      <c r="F25" s="1137">
        <v>19.0</v>
      </c>
      <c r="G25" s="1121">
        <v>19.0</v>
      </c>
      <c r="H25" s="1126">
        <v>4.0</v>
      </c>
      <c r="I25" s="1121">
        <v>4.0</v>
      </c>
      <c r="J25" s="1126">
        <v>5.0</v>
      </c>
      <c r="K25" s="1121">
        <v>4.0</v>
      </c>
      <c r="L25" s="1126"/>
      <c r="M25" s="1127"/>
      <c r="N25" s="1126">
        <v>5.0</v>
      </c>
      <c r="O25" s="1127">
        <v>5.0</v>
      </c>
      <c r="P25" s="1126">
        <v>2.0</v>
      </c>
      <c r="Q25" s="1121">
        <v>2.0</v>
      </c>
      <c r="R25" s="1126"/>
      <c r="S25" s="1291"/>
      <c r="T25" s="1126"/>
      <c r="U25" s="1138"/>
      <c r="V25" s="1137">
        <v>2.0</v>
      </c>
      <c r="W25" s="1138">
        <v>2.0</v>
      </c>
      <c r="X25" s="1137"/>
      <c r="Y25" s="1138"/>
      <c r="Z25" s="1137"/>
      <c r="AA25" s="1138"/>
      <c r="AB25" s="1137">
        <v>1.0</v>
      </c>
      <c r="AC25" s="1138">
        <v>1.0</v>
      </c>
      <c r="AD25" s="1120"/>
      <c r="AE25" s="1138"/>
      <c r="AF25" s="1120">
        <v>2.0</v>
      </c>
      <c r="AG25" s="1138">
        <v>2.0</v>
      </c>
      <c r="AH25" s="1137">
        <v>2.0</v>
      </c>
      <c r="AI25" s="1138">
        <v>2.0</v>
      </c>
      <c r="AJ25" s="1137">
        <v>4.0</v>
      </c>
      <c r="AK25" s="1138">
        <v>4.0</v>
      </c>
      <c r="AL25" s="1137"/>
      <c r="AM25" s="1138"/>
      <c r="AN25" s="1137"/>
      <c r="AO25" s="1138"/>
      <c r="AP25" s="1137"/>
      <c r="AQ25" s="1131"/>
      <c r="AR25" s="1137"/>
      <c r="AS25" s="1138"/>
      <c r="AT25" s="1126"/>
      <c r="AU25" s="1138"/>
      <c r="AV25" s="1126">
        <v>6.0</v>
      </c>
      <c r="AW25" s="1138">
        <v>6.0</v>
      </c>
      <c r="AX25" s="1126"/>
      <c r="AY25" s="1138"/>
      <c r="AZ25" s="1126"/>
      <c r="BA25" s="1138"/>
      <c r="BB25" s="1126"/>
      <c r="BC25" s="1138"/>
      <c r="BD25" s="1126"/>
      <c r="BE25" s="1138"/>
      <c r="BF25" s="1126">
        <v>3.0</v>
      </c>
      <c r="BG25" s="1138">
        <v>3.0</v>
      </c>
      <c r="BH25" s="1126">
        <v>1.0</v>
      </c>
      <c r="BI25" s="1138">
        <v>1.0</v>
      </c>
      <c r="BJ25" s="1126">
        <v>4.0</v>
      </c>
      <c r="BK25" s="1138">
        <v>4.0</v>
      </c>
      <c r="BL25" s="1139"/>
      <c r="BM25" s="1138"/>
      <c r="BN25" s="1087"/>
      <c r="BO25" s="1138"/>
      <c r="BP25" s="783">
        <f t="shared" si="5"/>
        <v>61</v>
      </c>
      <c r="BQ25" s="1571">
        <f t="shared" si="6"/>
        <v>59</v>
      </c>
      <c r="BR25" s="1572">
        <f t="shared" si="3"/>
        <v>8968</v>
      </c>
      <c r="BS25" s="784">
        <f t="shared" si="4"/>
        <v>9272</v>
      </c>
      <c r="BT25" s="1419"/>
      <c r="BU25" s="1573"/>
    </row>
    <row r="26" ht="18.75" customHeight="1">
      <c r="A26" s="1565" t="s">
        <v>145</v>
      </c>
      <c r="B26" s="1649">
        <v>3996.0</v>
      </c>
      <c r="C26" s="1567">
        <v>98.0</v>
      </c>
      <c r="D26" s="1612" t="s">
        <v>80</v>
      </c>
      <c r="E26" s="1704" t="str">
        <f>'Матрица 4 недели'!V52</f>
        <v>Морс вишневый 0,5 л</v>
      </c>
      <c r="F26" s="1120">
        <v>8.0</v>
      </c>
      <c r="G26" s="1121">
        <v>5.0</v>
      </c>
      <c r="H26" s="1120">
        <v>5.0</v>
      </c>
      <c r="I26" s="1121">
        <v>5.0</v>
      </c>
      <c r="J26" s="1120">
        <v>13.0</v>
      </c>
      <c r="K26" s="1138">
        <v>10.0</v>
      </c>
      <c r="L26" s="1126">
        <v>13.0</v>
      </c>
      <c r="M26" s="1138">
        <v>10.0</v>
      </c>
      <c r="N26" s="1126">
        <v>0.0</v>
      </c>
      <c r="O26" s="1138">
        <v>0.0</v>
      </c>
      <c r="P26" s="1120">
        <v>13.0</v>
      </c>
      <c r="Q26" s="1138">
        <v>10.0</v>
      </c>
      <c r="R26" s="1120">
        <v>0.0</v>
      </c>
      <c r="S26" s="1138">
        <v>0.0</v>
      </c>
      <c r="T26" s="1126">
        <v>0.0</v>
      </c>
      <c r="U26" s="1138">
        <v>0.0</v>
      </c>
      <c r="V26" s="1126">
        <v>0.0</v>
      </c>
      <c r="W26" s="1138">
        <v>0.0</v>
      </c>
      <c r="X26" s="1126">
        <v>0.0</v>
      </c>
      <c r="Y26" s="1138">
        <v>0.0</v>
      </c>
      <c r="Z26" s="1126"/>
      <c r="AA26" s="1138"/>
      <c r="AB26" s="1126">
        <v>0.0</v>
      </c>
      <c r="AC26" s="1138">
        <v>0.0</v>
      </c>
      <c r="AD26" s="1126">
        <v>0.0</v>
      </c>
      <c r="AE26" s="1138">
        <v>0.0</v>
      </c>
      <c r="AF26" s="1126">
        <v>7.0</v>
      </c>
      <c r="AG26" s="1138">
        <v>5.0</v>
      </c>
      <c r="AH26" s="1126">
        <v>0.0</v>
      </c>
      <c r="AI26" s="1138">
        <v>0.0</v>
      </c>
      <c r="AJ26" s="1126">
        <v>0.0</v>
      </c>
      <c r="AK26" s="1138">
        <v>0.0</v>
      </c>
      <c r="AL26" s="1126">
        <v>0.0</v>
      </c>
      <c r="AM26" s="1138">
        <v>0.0</v>
      </c>
      <c r="AN26" s="1126">
        <v>11.0</v>
      </c>
      <c r="AO26" s="1138">
        <v>5.0</v>
      </c>
      <c r="AP26" s="1126">
        <v>0.0</v>
      </c>
      <c r="AQ26" s="1138">
        <v>0.0</v>
      </c>
      <c r="AR26" s="1120">
        <v>30.0</v>
      </c>
      <c r="AS26" s="1138">
        <v>12.0</v>
      </c>
      <c r="AT26" s="1126">
        <v>8.0</v>
      </c>
      <c r="AU26" s="1131">
        <v>8.0</v>
      </c>
      <c r="AV26" s="1126">
        <v>8.0</v>
      </c>
      <c r="AW26" s="1131">
        <v>8.0</v>
      </c>
      <c r="AX26" s="1126">
        <v>16.0</v>
      </c>
      <c r="AY26" s="1131">
        <v>8.0</v>
      </c>
      <c r="AZ26" s="1126">
        <v>0.0</v>
      </c>
      <c r="BA26" s="1131">
        <v>0.0</v>
      </c>
      <c r="BB26" s="1126"/>
      <c r="BC26" s="1131"/>
      <c r="BD26" s="1126">
        <v>10.0</v>
      </c>
      <c r="BE26" s="1131">
        <v>10.0</v>
      </c>
      <c r="BF26" s="1126">
        <v>17.0</v>
      </c>
      <c r="BG26" s="1131">
        <v>10.0</v>
      </c>
      <c r="BH26" s="1126">
        <v>8.0</v>
      </c>
      <c r="BI26" s="1131">
        <v>8.0</v>
      </c>
      <c r="BJ26" s="1126">
        <v>11.0</v>
      </c>
      <c r="BK26" s="1131">
        <v>9.0</v>
      </c>
      <c r="BL26" s="1139"/>
      <c r="BM26" s="1138"/>
      <c r="BN26" s="1087"/>
      <c r="BO26" s="1138"/>
      <c r="BP26" s="783">
        <f t="shared" si="5"/>
        <v>179</v>
      </c>
      <c r="BQ26" s="1571">
        <f t="shared" si="6"/>
        <v>123</v>
      </c>
      <c r="BR26" s="1572">
        <f t="shared" si="3"/>
        <v>12054</v>
      </c>
      <c r="BS26" s="784">
        <f t="shared" si="4"/>
        <v>17542</v>
      </c>
      <c r="BT26" s="1419"/>
      <c r="BU26" s="1573"/>
    </row>
    <row r="27" ht="18.75" customHeight="1">
      <c r="A27" s="1565" t="s">
        <v>145</v>
      </c>
      <c r="B27" s="1567">
        <v>2079.0</v>
      </c>
      <c r="C27" s="1567">
        <v>105.0</v>
      </c>
      <c r="D27" s="1612" t="s">
        <v>80</v>
      </c>
      <c r="E27" s="1704" t="str">
        <f>'Матрица 4 недели'!V53</f>
        <v>Вафельная трубочка с вареной сгущенкой</v>
      </c>
      <c r="F27" s="1137">
        <v>33.0</v>
      </c>
      <c r="G27" s="1121">
        <v>33.0</v>
      </c>
      <c r="H27" s="1126">
        <v>6.0</v>
      </c>
      <c r="I27" s="1121">
        <v>6.0</v>
      </c>
      <c r="J27" s="1126"/>
      <c r="K27" s="1160"/>
      <c r="L27" s="1161">
        <v>7.0</v>
      </c>
      <c r="M27" s="1162">
        <v>7.0</v>
      </c>
      <c r="N27" s="1126">
        <v>10.0</v>
      </c>
      <c r="O27" s="1121">
        <v>10.0</v>
      </c>
      <c r="P27" s="1126">
        <v>6.0</v>
      </c>
      <c r="Q27" s="1121">
        <v>6.0</v>
      </c>
      <c r="R27" s="1126">
        <v>7.0</v>
      </c>
      <c r="S27" s="1121">
        <v>7.0</v>
      </c>
      <c r="T27" s="1126">
        <v>6.0</v>
      </c>
      <c r="U27" s="1121">
        <v>6.0</v>
      </c>
      <c r="V27" s="1137">
        <v>15.0</v>
      </c>
      <c r="W27" s="1121">
        <v>15.0</v>
      </c>
      <c r="X27" s="1137">
        <v>12.0</v>
      </c>
      <c r="Y27" s="1121">
        <v>12.0</v>
      </c>
      <c r="Z27" s="1126"/>
      <c r="AA27" s="1121"/>
      <c r="AB27" s="1137">
        <v>9.0</v>
      </c>
      <c r="AC27" s="1121">
        <v>9.0</v>
      </c>
      <c r="AD27" s="1137">
        <v>17.0</v>
      </c>
      <c r="AE27" s="1121">
        <v>17.0</v>
      </c>
      <c r="AF27" s="1120">
        <v>22.0</v>
      </c>
      <c r="AG27" s="1121">
        <v>22.0</v>
      </c>
      <c r="AH27" s="1137">
        <v>8.0</v>
      </c>
      <c r="AI27" s="1121">
        <v>8.0</v>
      </c>
      <c r="AJ27" s="1120">
        <v>9.0</v>
      </c>
      <c r="AK27" s="1121">
        <v>9.0</v>
      </c>
      <c r="AL27" s="1126">
        <v>4.0</v>
      </c>
      <c r="AM27" s="1121">
        <v>4.0</v>
      </c>
      <c r="AN27" s="1120">
        <v>6.0</v>
      </c>
      <c r="AO27" s="1138">
        <v>6.0</v>
      </c>
      <c r="AP27" s="1126">
        <v>18.0</v>
      </c>
      <c r="AQ27" s="1138">
        <v>18.0</v>
      </c>
      <c r="AR27" s="1120">
        <v>6.0</v>
      </c>
      <c r="AS27" s="1121">
        <v>7.0</v>
      </c>
      <c r="AT27" s="1126">
        <v>8.0</v>
      </c>
      <c r="AU27" s="1121">
        <v>8.0</v>
      </c>
      <c r="AV27" s="1126">
        <v>7.0</v>
      </c>
      <c r="AW27" s="1121">
        <v>7.0</v>
      </c>
      <c r="AX27" s="1126">
        <v>9.0</v>
      </c>
      <c r="AY27" s="1121">
        <v>9.0</v>
      </c>
      <c r="AZ27" s="1141">
        <v>15.0</v>
      </c>
      <c r="BA27" s="1305">
        <v>15.0</v>
      </c>
      <c r="BB27" s="1141"/>
      <c r="BC27" s="1305"/>
      <c r="BD27" s="1141">
        <v>3.0</v>
      </c>
      <c r="BE27" s="1305">
        <v>3.0</v>
      </c>
      <c r="BF27" s="1141">
        <v>12.0</v>
      </c>
      <c r="BG27" s="1305">
        <v>12.0</v>
      </c>
      <c r="BH27" s="1126">
        <v>7.0</v>
      </c>
      <c r="BI27" s="1131">
        <v>7.0</v>
      </c>
      <c r="BJ27" s="1126">
        <v>7.0</v>
      </c>
      <c r="BK27" s="1305">
        <v>7.0</v>
      </c>
      <c r="BL27" s="1134"/>
      <c r="BM27" s="1121"/>
      <c r="BN27" s="1087"/>
      <c r="BO27" s="1138"/>
      <c r="BP27" s="783">
        <f t="shared" si="5"/>
        <v>270</v>
      </c>
      <c r="BQ27" s="1571">
        <f t="shared" si="6"/>
        <v>270</v>
      </c>
      <c r="BR27" s="1572">
        <f t="shared" si="3"/>
        <v>28350</v>
      </c>
      <c r="BS27" s="784">
        <f t="shared" si="4"/>
        <v>28350</v>
      </c>
      <c r="BT27" s="1419"/>
      <c r="BU27" s="1573"/>
    </row>
    <row r="28" ht="18.75" customHeight="1">
      <c r="A28" s="1565" t="s">
        <v>145</v>
      </c>
      <c r="B28" s="1649">
        <v>822.0</v>
      </c>
      <c r="C28" s="1567">
        <v>5.0</v>
      </c>
      <c r="D28" s="1612" t="s">
        <v>74</v>
      </c>
      <c r="E28" s="1704" t="str">
        <f>'Матрица 4 недели'!J52</f>
        <v>Хлеб пшеничный</v>
      </c>
      <c r="F28" s="1137">
        <v>8.0</v>
      </c>
      <c r="G28" s="1138">
        <v>8.0</v>
      </c>
      <c r="H28" s="1126">
        <v>3.0</v>
      </c>
      <c r="I28" s="1140">
        <v>3.0</v>
      </c>
      <c r="J28" s="1126">
        <v>4.0</v>
      </c>
      <c r="K28" s="1405">
        <v>4.0</v>
      </c>
      <c r="L28" s="1161">
        <v>5.0</v>
      </c>
      <c r="M28" s="1405">
        <v>5.0</v>
      </c>
      <c r="N28" s="1126">
        <v>5.0</v>
      </c>
      <c r="O28" s="1138">
        <v>5.0</v>
      </c>
      <c r="P28" s="1120">
        <v>3.0</v>
      </c>
      <c r="Q28" s="1142">
        <v>3.0</v>
      </c>
      <c r="R28" s="1126">
        <v>3.0</v>
      </c>
      <c r="S28" s="1121">
        <v>3.0</v>
      </c>
      <c r="T28" s="1137">
        <v>3.0</v>
      </c>
      <c r="U28" s="1121">
        <v>3.0</v>
      </c>
      <c r="V28" s="1137">
        <v>3.0</v>
      </c>
      <c r="W28" s="1121">
        <v>3.0</v>
      </c>
      <c r="X28" s="1137">
        <v>3.0</v>
      </c>
      <c r="Y28" s="1121">
        <v>3.0</v>
      </c>
      <c r="Z28" s="1120"/>
      <c r="AA28" s="1121"/>
      <c r="AB28" s="1120">
        <v>3.0</v>
      </c>
      <c r="AC28" s="1121">
        <v>3.0</v>
      </c>
      <c r="AD28" s="1120">
        <v>3.0</v>
      </c>
      <c r="AE28" s="1121">
        <v>3.0</v>
      </c>
      <c r="AF28" s="1137">
        <v>3.0</v>
      </c>
      <c r="AG28" s="1121">
        <v>3.0</v>
      </c>
      <c r="AH28" s="1120"/>
      <c r="AI28" s="1121"/>
      <c r="AJ28" s="1120"/>
      <c r="AK28" s="1121"/>
      <c r="AL28" s="1120">
        <v>5.0</v>
      </c>
      <c r="AM28" s="1121">
        <v>5.0</v>
      </c>
      <c r="AN28" s="1126"/>
      <c r="AO28" s="1121"/>
      <c r="AP28" s="1126">
        <v>3.0</v>
      </c>
      <c r="AQ28" s="1121">
        <v>3.0</v>
      </c>
      <c r="AR28" s="1126"/>
      <c r="AS28" s="1121"/>
      <c r="AT28" s="1126">
        <v>3.0</v>
      </c>
      <c r="AU28" s="1121">
        <v>3.0</v>
      </c>
      <c r="AV28" s="1126">
        <v>3.0</v>
      </c>
      <c r="AW28" s="1121">
        <v>3.0</v>
      </c>
      <c r="AX28" s="1126">
        <v>3.0</v>
      </c>
      <c r="AY28" s="1121">
        <v>3.0</v>
      </c>
      <c r="AZ28" s="1126">
        <v>20.0</v>
      </c>
      <c r="BA28" s="1121">
        <v>20.0</v>
      </c>
      <c r="BB28" s="1126"/>
      <c r="BC28" s="1121"/>
      <c r="BD28" s="1126"/>
      <c r="BE28" s="1121"/>
      <c r="BF28" s="1126">
        <v>5.0</v>
      </c>
      <c r="BG28" s="1121">
        <v>5.0</v>
      </c>
      <c r="BH28" s="1126">
        <v>6.0</v>
      </c>
      <c r="BI28" s="1121">
        <v>6.0</v>
      </c>
      <c r="BJ28" s="1126">
        <v>3.0</v>
      </c>
      <c r="BK28" s="1121">
        <v>3.0</v>
      </c>
      <c r="BL28" s="1134">
        <v>130.0</v>
      </c>
      <c r="BM28" s="1138">
        <v>130.0</v>
      </c>
      <c r="BN28" s="1087"/>
      <c r="BO28" s="1138"/>
      <c r="BP28" s="783">
        <f t="shared" si="5"/>
        <v>231</v>
      </c>
      <c r="BQ28" s="1589">
        <f t="shared" si="6"/>
        <v>230</v>
      </c>
      <c r="BR28" s="1572">
        <f t="shared" si="3"/>
        <v>1150</v>
      </c>
      <c r="BS28" s="784">
        <f t="shared" si="4"/>
        <v>1155</v>
      </c>
      <c r="BT28" s="1419"/>
      <c r="BU28" s="1573"/>
    </row>
    <row r="29" ht="18.75" customHeight="1">
      <c r="A29" s="1565" t="s">
        <v>145</v>
      </c>
      <c r="B29" s="1649">
        <v>4000.0</v>
      </c>
      <c r="C29" s="1567">
        <v>98.0</v>
      </c>
      <c r="D29" s="1612"/>
      <c r="E29" s="1707" t="s">
        <v>289</v>
      </c>
      <c r="F29" s="1126">
        <v>7.0</v>
      </c>
      <c r="G29" s="1138">
        <v>7.0</v>
      </c>
      <c r="H29" s="1126"/>
      <c r="I29" s="1138"/>
      <c r="J29" s="1126">
        <v>6.0</v>
      </c>
      <c r="K29" s="1138">
        <v>6.0</v>
      </c>
      <c r="L29" s="1126">
        <v>6.0</v>
      </c>
      <c r="M29" s="1138">
        <v>6.0</v>
      </c>
      <c r="N29" s="1126"/>
      <c r="O29" s="1138"/>
      <c r="P29" s="1126">
        <v>6.0</v>
      </c>
      <c r="Q29" s="1138">
        <v>6.0</v>
      </c>
      <c r="R29" s="1120"/>
      <c r="S29" s="1138"/>
      <c r="T29" s="1137"/>
      <c r="U29" s="1138"/>
      <c r="V29" s="1126"/>
      <c r="W29" s="1138"/>
      <c r="X29" s="1126"/>
      <c r="Y29" s="1138"/>
      <c r="Z29" s="1126"/>
      <c r="AA29" s="1138"/>
      <c r="AB29" s="1120"/>
      <c r="AC29" s="1138"/>
      <c r="AD29" s="1137"/>
      <c r="AE29" s="1138"/>
      <c r="AF29" s="1137"/>
      <c r="AG29" s="1138"/>
      <c r="AH29" s="1137"/>
      <c r="AI29" s="1138"/>
      <c r="AJ29" s="1137"/>
      <c r="AK29" s="1138"/>
      <c r="AL29" s="1120"/>
      <c r="AM29" s="1138"/>
      <c r="AN29" s="1137">
        <v>6.0</v>
      </c>
      <c r="AO29" s="1138">
        <v>6.0</v>
      </c>
      <c r="AP29" s="1126"/>
      <c r="AQ29" s="1138"/>
      <c r="AR29" s="1126">
        <v>15.0</v>
      </c>
      <c r="AS29" s="1138">
        <v>15.0</v>
      </c>
      <c r="AT29" s="1126"/>
      <c r="AU29" s="1138"/>
      <c r="AV29" s="1126"/>
      <c r="AW29" s="1138"/>
      <c r="AX29" s="1126">
        <v>8.0</v>
      </c>
      <c r="AY29" s="1138">
        <v>8.0</v>
      </c>
      <c r="AZ29" s="1126"/>
      <c r="BA29" s="1138"/>
      <c r="BB29" s="1126"/>
      <c r="BC29" s="1138"/>
      <c r="BD29" s="1126"/>
      <c r="BE29" s="1138"/>
      <c r="BF29" s="1126">
        <v>4.0</v>
      </c>
      <c r="BG29" s="1138">
        <v>4.0</v>
      </c>
      <c r="BH29" s="1126"/>
      <c r="BI29" s="1138"/>
      <c r="BJ29" s="1126"/>
      <c r="BK29" s="1138"/>
      <c r="BL29" s="1139"/>
      <c r="BM29" s="1138"/>
      <c r="BN29" s="1087"/>
      <c r="BO29" s="1138"/>
      <c r="BP29" s="783">
        <f t="shared" si="5"/>
        <v>59</v>
      </c>
      <c r="BQ29" s="1571">
        <f t="shared" si="6"/>
        <v>58</v>
      </c>
      <c r="BR29" s="1572">
        <f t="shared" si="3"/>
        <v>5684</v>
      </c>
      <c r="BS29" s="784">
        <f t="shared" si="4"/>
        <v>5782</v>
      </c>
      <c r="BT29" s="1419"/>
      <c r="BU29" s="1573"/>
    </row>
    <row r="30" ht="18.0" customHeight="1">
      <c r="A30" s="1708"/>
      <c r="B30" s="1649"/>
      <c r="C30" s="1567"/>
      <c r="D30" s="1568"/>
      <c r="E30" s="1657"/>
      <c r="F30" s="1126"/>
      <c r="G30" s="1127"/>
      <c r="H30" s="1126"/>
      <c r="I30" s="1127"/>
      <c r="J30" s="1126"/>
      <c r="K30" s="1127"/>
      <c r="L30" s="1120"/>
      <c r="M30" s="1127"/>
      <c r="N30" s="1126"/>
      <c r="O30" s="1127"/>
      <c r="P30" s="1126"/>
      <c r="Q30" s="1121"/>
      <c r="R30" s="1126"/>
      <c r="S30" s="1121"/>
      <c r="T30" s="1126"/>
      <c r="U30" s="1127"/>
      <c r="V30" s="1126"/>
      <c r="W30" s="1127"/>
      <c r="X30" s="1126"/>
      <c r="Y30" s="1127"/>
      <c r="Z30" s="1126"/>
      <c r="AA30" s="1121"/>
      <c r="AB30" s="1126"/>
      <c r="AC30" s="1121"/>
      <c r="AD30" s="1126"/>
      <c r="AE30" s="1121"/>
      <c r="AF30" s="1126"/>
      <c r="AG30" s="1121"/>
      <c r="AH30" s="1126"/>
      <c r="AI30" s="1121"/>
      <c r="AJ30" s="1126"/>
      <c r="AK30" s="1127"/>
      <c r="AL30" s="1126"/>
      <c r="AM30" s="1127"/>
      <c r="AN30" s="1126"/>
      <c r="AO30" s="1138"/>
      <c r="AP30" s="1126"/>
      <c r="AQ30" s="1138"/>
      <c r="AR30" s="1126"/>
      <c r="AS30" s="1138"/>
      <c r="AT30" s="1126"/>
      <c r="AU30" s="1138"/>
      <c r="AV30" s="1126"/>
      <c r="AW30" s="1138"/>
      <c r="AX30" s="1126"/>
      <c r="AY30" s="1138"/>
      <c r="AZ30" s="1126"/>
      <c r="BA30" s="1138"/>
      <c r="BB30" s="1126"/>
      <c r="BC30" s="1138"/>
      <c r="BD30" s="1126"/>
      <c r="BE30" s="1138"/>
      <c r="BF30" s="1126"/>
      <c r="BG30" s="1138"/>
      <c r="BH30" s="1126"/>
      <c r="BI30" s="1138"/>
      <c r="BJ30" s="1126"/>
      <c r="BK30" s="1138"/>
      <c r="BL30" s="1139"/>
      <c r="BM30" s="1138"/>
      <c r="BN30" s="1087"/>
      <c r="BO30" s="1138"/>
      <c r="BP30" s="783">
        <f t="shared" si="5"/>
        <v>1</v>
      </c>
      <c r="BQ30" s="1571">
        <f t="shared" si="6"/>
        <v>0</v>
      </c>
      <c r="BR30" s="1572">
        <f t="shared" si="3"/>
        <v>0</v>
      </c>
      <c r="BS30" s="784">
        <f t="shared" si="4"/>
        <v>0</v>
      </c>
      <c r="BT30" s="1419"/>
      <c r="BU30" s="1573"/>
    </row>
    <row r="31" ht="18.0" customHeight="1">
      <c r="A31" s="1565"/>
      <c r="B31" s="1567"/>
      <c r="C31" s="1567"/>
      <c r="D31" s="1568"/>
      <c r="E31" s="1655"/>
      <c r="F31" s="1120"/>
      <c r="G31" s="1121"/>
      <c r="H31" s="1120"/>
      <c r="I31" s="1121"/>
      <c r="J31" s="1120"/>
      <c r="K31" s="1121"/>
      <c r="L31" s="1120"/>
      <c r="M31" s="1127"/>
      <c r="N31" s="1120"/>
      <c r="O31" s="1127"/>
      <c r="P31" s="1120"/>
      <c r="Q31" s="1121"/>
      <c r="R31" s="1120"/>
      <c r="S31" s="1121"/>
      <c r="T31" s="1120"/>
      <c r="U31" s="1121"/>
      <c r="V31" s="1120"/>
      <c r="W31" s="1121"/>
      <c r="X31" s="1120"/>
      <c r="Y31" s="1121"/>
      <c r="Z31" s="1120"/>
      <c r="AA31" s="1121"/>
      <c r="AB31" s="1120"/>
      <c r="AC31" s="1121"/>
      <c r="AD31" s="1120"/>
      <c r="AE31" s="1121"/>
      <c r="AF31" s="1120"/>
      <c r="AG31" s="1121"/>
      <c r="AH31" s="1120"/>
      <c r="AI31" s="1121"/>
      <c r="AJ31" s="1120"/>
      <c r="AK31" s="1121"/>
      <c r="AL31" s="1120"/>
      <c r="AM31" s="1121"/>
      <c r="AN31" s="1120"/>
      <c r="AO31" s="1138"/>
      <c r="AP31" s="1126"/>
      <c r="AQ31" s="1121"/>
      <c r="AR31" s="1126"/>
      <c r="AS31" s="1121"/>
      <c r="AT31" s="1126"/>
      <c r="AU31" s="1121"/>
      <c r="AV31" s="1126"/>
      <c r="AW31" s="1121"/>
      <c r="AX31" s="1126"/>
      <c r="AY31" s="1121"/>
      <c r="AZ31" s="1126"/>
      <c r="BA31" s="1121"/>
      <c r="BB31" s="1126"/>
      <c r="BC31" s="1121"/>
      <c r="BD31" s="1126"/>
      <c r="BE31" s="1121"/>
      <c r="BF31" s="1126"/>
      <c r="BG31" s="1121"/>
      <c r="BH31" s="1126"/>
      <c r="BI31" s="1121"/>
      <c r="BJ31" s="1126"/>
      <c r="BK31" s="1121"/>
      <c r="BL31" s="1134"/>
      <c r="BM31" s="1138"/>
      <c r="BN31" s="1087"/>
      <c r="BO31" s="1138"/>
      <c r="BP31" s="783">
        <f t="shared" si="5"/>
        <v>1</v>
      </c>
      <c r="BQ31" s="1571">
        <f t="shared" si="6"/>
        <v>0</v>
      </c>
      <c r="BR31" s="1572">
        <f t="shared" si="3"/>
        <v>0</v>
      </c>
      <c r="BS31" s="784">
        <f t="shared" si="4"/>
        <v>0</v>
      </c>
      <c r="BT31" s="1610" t="s">
        <v>3104</v>
      </c>
      <c r="BU31" s="1573"/>
    </row>
    <row r="32" ht="15.75" customHeight="1">
      <c r="A32" s="1668"/>
      <c r="B32" s="1668"/>
      <c r="C32" s="1668"/>
      <c r="D32" s="1669"/>
      <c r="E32" s="1671"/>
      <c r="F32" s="1672"/>
      <c r="H32" s="1672"/>
      <c r="J32" s="1672"/>
      <c r="L32" s="1710"/>
      <c r="N32" s="1672"/>
      <c r="P32" s="1672"/>
      <c r="R32" s="1672"/>
      <c r="T32" s="1672"/>
      <c r="V32" s="1672"/>
      <c r="X32" s="1672"/>
      <c r="Z32" s="1672"/>
      <c r="AB32" s="1672"/>
      <c r="AD32" s="1672"/>
      <c r="AF32" s="1672"/>
      <c r="AH32" s="1672"/>
      <c r="AJ32" s="1672"/>
      <c r="AL32" s="1672"/>
      <c r="AN32" s="1672"/>
      <c r="AP32" s="1672"/>
      <c r="AR32" s="1673"/>
      <c r="AT32" s="1672"/>
      <c r="AV32" s="1672"/>
      <c r="AW32" s="1179"/>
      <c r="AX32" s="1179"/>
      <c r="AY32" s="1179"/>
      <c r="AZ32" s="540"/>
      <c r="BA32" s="1179"/>
      <c r="BB32" s="1674"/>
      <c r="BC32" s="1179"/>
      <c r="BD32" s="1674"/>
      <c r="BE32" s="1179"/>
      <c r="BF32" s="1674"/>
      <c r="BG32" s="1179"/>
      <c r="BH32" s="1674"/>
      <c r="BI32" s="1179"/>
      <c r="BJ32" s="1674"/>
      <c r="BK32" s="1179"/>
      <c r="BL32" s="678" t="s">
        <v>1365</v>
      </c>
      <c r="BM32" s="1417"/>
      <c r="BN32" s="1179"/>
      <c r="BO32" s="1179"/>
      <c r="BP32" s="1712">
        <f>SUM(BP4:BP31)</f>
        <v>2672</v>
      </c>
      <c r="BQ32" s="1714" t="str">
        <f>SUM(BQ4:BQ30)</f>
        <v>#REF!</v>
      </c>
      <c r="BR32" s="1676" t="str">
        <f t="shared" ref="BR32:BS32" si="7">SUM(BR4:BR31)</f>
        <v>#REF!</v>
      </c>
      <c r="BS32" s="1677">
        <f t="shared" si="7"/>
        <v>358322</v>
      </c>
      <c r="BT32" s="1678" t="str">
        <f>BR32-BS32</f>
        <v>#REF!</v>
      </c>
      <c r="BU32" s="1678"/>
    </row>
    <row r="33" ht="15.75" customHeight="1">
      <c r="A33" s="1679"/>
      <c r="B33" s="1668"/>
      <c r="C33" s="1668"/>
      <c r="D33" s="1669"/>
      <c r="E33" s="1680"/>
      <c r="F33" s="1672"/>
      <c r="G33" s="1672"/>
      <c r="H33" s="1672"/>
      <c r="I33" s="1672"/>
      <c r="J33" s="1672"/>
      <c r="K33" s="1672"/>
      <c r="L33" s="1672"/>
      <c r="M33" s="1672"/>
      <c r="N33" s="1672"/>
      <c r="O33" s="1672"/>
      <c r="P33" s="1672"/>
      <c r="Q33" s="1672"/>
      <c r="R33" s="1672"/>
      <c r="S33" s="1672"/>
      <c r="T33" s="1672"/>
      <c r="U33" s="1672"/>
      <c r="V33" s="1672"/>
      <c r="W33" s="1672"/>
      <c r="X33" s="1681"/>
      <c r="Y33" s="1672"/>
      <c r="Z33" s="1672"/>
      <c r="AA33" s="1672"/>
      <c r="AB33" s="1672"/>
      <c r="AC33" s="1673"/>
      <c r="AD33" s="1672"/>
      <c r="AE33" s="1417"/>
      <c r="AF33" s="678"/>
      <c r="AG33" s="1417"/>
      <c r="AH33" s="678"/>
      <c r="AI33" s="1417"/>
      <c r="AJ33" s="678"/>
      <c r="AK33" s="1417"/>
      <c r="AL33" s="678"/>
      <c r="AM33" s="1417"/>
      <c r="AN33" s="1683"/>
      <c r="AO33" s="1683"/>
      <c r="AP33" s="1683"/>
      <c r="AQ33" s="1683"/>
      <c r="AR33" s="1683"/>
      <c r="AS33" s="1417"/>
      <c r="AT33" s="1417"/>
      <c r="AU33" s="1417"/>
      <c r="AV33" s="1417"/>
      <c r="AW33" s="1417"/>
      <c r="AX33" s="1179"/>
      <c r="AY33" s="1417"/>
      <c r="AZ33" s="624"/>
      <c r="BA33" s="1417"/>
      <c r="BB33" s="1674"/>
      <c r="BC33" s="1417"/>
      <c r="BD33" s="1674"/>
      <c r="BE33" s="1417"/>
      <c r="BF33" s="1674"/>
      <c r="BG33" s="1417"/>
      <c r="BH33" s="1674"/>
      <c r="BI33" s="1417"/>
      <c r="BJ33" s="1674"/>
      <c r="BK33" s="1417"/>
      <c r="BL33" s="1417"/>
      <c r="BM33" s="1417"/>
      <c r="BN33" s="1179"/>
      <c r="BO33" s="1179"/>
      <c r="BP33" s="1684"/>
      <c r="BQ33" s="629"/>
      <c r="BR33" s="541"/>
      <c r="BS33" s="684"/>
      <c r="BT33" s="1685"/>
      <c r="BU33" s="1685"/>
    </row>
    <row r="34" ht="15.75" customHeight="1">
      <c r="A34" s="1715" t="s">
        <v>3067</v>
      </c>
      <c r="B34" s="1548"/>
      <c r="C34" s="1716">
        <v>46236.0</v>
      </c>
      <c r="D34" s="1548"/>
      <c r="E34" s="908" t="s">
        <v>3106</v>
      </c>
      <c r="F34" s="1417"/>
      <c r="G34" s="1417"/>
      <c r="H34" s="1417"/>
      <c r="I34" s="1417"/>
      <c r="J34" s="1417" t="s">
        <v>1356</v>
      </c>
      <c r="K34" s="1417"/>
      <c r="L34" s="1683"/>
      <c r="M34" s="1417"/>
      <c r="N34" s="1417"/>
      <c r="O34" s="1417"/>
      <c r="P34" s="1417"/>
      <c r="Q34" s="1417"/>
      <c r="R34" s="1417"/>
      <c r="S34" s="1417"/>
      <c r="T34" s="1417"/>
      <c r="U34" s="1417"/>
      <c r="V34" s="1417"/>
      <c r="W34" s="1417"/>
      <c r="X34" s="1417"/>
      <c r="Y34" s="1417"/>
      <c r="Z34" s="1417"/>
      <c r="AA34" s="1417"/>
      <c r="AB34" s="1417"/>
      <c r="AC34" s="1417"/>
      <c r="AD34" s="1417"/>
      <c r="AE34" s="1417"/>
      <c r="AF34" s="1417"/>
      <c r="AG34" s="1417"/>
      <c r="AH34" s="1417"/>
      <c r="AI34" s="1417"/>
      <c r="AJ34" s="1417"/>
      <c r="AK34" s="1417"/>
      <c r="AL34" s="1417"/>
      <c r="AM34" s="1417"/>
      <c r="AN34" s="1683"/>
      <c r="AO34" s="1683"/>
      <c r="AP34" s="1683"/>
      <c r="AQ34" s="1683"/>
      <c r="AR34" s="1683"/>
      <c r="AS34" s="1417"/>
      <c r="AT34" s="1417"/>
      <c r="AU34" s="1417"/>
      <c r="AV34" s="1417"/>
      <c r="AW34" s="1417"/>
      <c r="AX34" s="1179"/>
      <c r="AY34" s="1417"/>
      <c r="AZ34" s="624"/>
      <c r="BA34" s="1417"/>
      <c r="BB34" s="1674"/>
      <c r="BC34" s="1417"/>
      <c r="BD34" s="1674"/>
      <c r="BE34" s="1417"/>
      <c r="BF34" s="1674"/>
      <c r="BG34" s="1417"/>
      <c r="BH34" s="1674"/>
      <c r="BI34" s="1417"/>
      <c r="BJ34" s="1674"/>
      <c r="BK34" s="1417"/>
      <c r="BL34" s="1417"/>
      <c r="BM34" s="1417"/>
      <c r="BN34" s="1179"/>
      <c r="BO34" s="1179"/>
      <c r="BP34" s="1193"/>
      <c r="BQ34" s="748"/>
      <c r="BR34" s="1193"/>
      <c r="BS34" s="684"/>
      <c r="BT34" s="1717"/>
      <c r="BU34" s="1717"/>
    </row>
    <row r="35" ht="21.75" customHeight="1">
      <c r="A35" s="1718" t="s">
        <v>10</v>
      </c>
      <c r="B35" s="1694" t="s">
        <v>3097</v>
      </c>
      <c r="C35" s="1694" t="s">
        <v>19</v>
      </c>
      <c r="D35" s="1694" t="s">
        <v>3070</v>
      </c>
      <c r="E35" s="783" t="str">
        <f t="shared" ref="E35:E61" si="8">E3</f>
        <v>Название блюда</v>
      </c>
      <c r="F35" s="1606" t="s">
        <v>1357</v>
      </c>
      <c r="G35" s="69"/>
      <c r="H35" s="1487" t="s">
        <v>1287</v>
      </c>
      <c r="I35" s="69"/>
      <c r="J35" s="1606" t="s">
        <v>1358</v>
      </c>
      <c r="K35" s="69"/>
      <c r="L35" s="1606" t="s">
        <v>1359</v>
      </c>
      <c r="M35" s="69"/>
      <c r="N35" s="1606" t="s">
        <v>1360</v>
      </c>
      <c r="O35" s="69"/>
      <c r="P35" s="1606" t="s">
        <v>1361</v>
      </c>
      <c r="Q35" s="69"/>
      <c r="R35" s="1487" t="s">
        <v>1362</v>
      </c>
      <c r="S35" s="69"/>
      <c r="T35" s="1487" t="s">
        <v>1299</v>
      </c>
      <c r="U35" s="69"/>
      <c r="V35" s="1487" t="s">
        <v>1301</v>
      </c>
      <c r="W35" s="69"/>
      <c r="X35" s="1487" t="s">
        <v>1363</v>
      </c>
      <c r="Y35" s="69"/>
      <c r="Z35" s="1487" t="s">
        <v>1305</v>
      </c>
      <c r="AA35" s="69"/>
      <c r="AB35" s="1487" t="s">
        <v>1307</v>
      </c>
      <c r="AC35" s="69"/>
      <c r="AD35" s="1487" t="s">
        <v>1309</v>
      </c>
      <c r="AE35" s="69"/>
      <c r="AF35" s="1487" t="s">
        <v>1311</v>
      </c>
      <c r="AG35" s="69"/>
      <c r="AH35" s="1487" t="s">
        <v>1313</v>
      </c>
      <c r="AI35" s="69"/>
      <c r="AJ35" s="1487" t="s">
        <v>1315</v>
      </c>
      <c r="AK35" s="69"/>
      <c r="AL35" s="1487" t="s">
        <v>1317</v>
      </c>
      <c r="AM35" s="69"/>
      <c r="AN35" s="1487" t="s">
        <v>1319</v>
      </c>
      <c r="AO35" s="69"/>
      <c r="AP35" s="1487" t="s">
        <v>1321</v>
      </c>
      <c r="AQ35" s="69"/>
      <c r="AR35" s="1487" t="s">
        <v>1323</v>
      </c>
      <c r="AS35" s="69"/>
      <c r="AT35" s="1487" t="s">
        <v>1325</v>
      </c>
      <c r="AU35" s="69"/>
      <c r="AV35" s="1487" t="s">
        <v>1327</v>
      </c>
      <c r="AW35" s="69"/>
      <c r="AX35" s="1485" t="s">
        <v>3076</v>
      </c>
      <c r="AY35" s="69"/>
      <c r="AZ35" s="1485" t="s">
        <v>3078</v>
      </c>
      <c r="BA35" s="69"/>
      <c r="BB35" s="1485" t="s">
        <v>3080</v>
      </c>
      <c r="BC35" s="69"/>
      <c r="BD35" s="1485" t="s">
        <v>3082</v>
      </c>
      <c r="BE35" s="69"/>
      <c r="BF35" s="1485" t="s">
        <v>3084</v>
      </c>
      <c r="BG35" s="69"/>
      <c r="BH35" s="1485" t="s">
        <v>3086</v>
      </c>
      <c r="BI35" s="69"/>
      <c r="BJ35" s="1485" t="s">
        <v>3088</v>
      </c>
      <c r="BK35" s="69"/>
      <c r="BL35" s="1487" t="s">
        <v>297</v>
      </c>
      <c r="BM35" s="69"/>
      <c r="BN35" s="1485" t="str">
        <f t="shared" ref="BN35:BN61" si="9">BO3</f>
        <v>Ф.Стол</v>
      </c>
      <c r="BO35" s="69"/>
      <c r="BP35" s="1487" t="s">
        <v>5</v>
      </c>
      <c r="BQ35" s="69"/>
      <c r="BR35" s="1193"/>
      <c r="BS35" s="684"/>
      <c r="BT35" s="1193"/>
      <c r="BU35" s="1193"/>
    </row>
    <row r="36" ht="20.25" customHeight="1">
      <c r="A36" s="1698" t="str">
        <f t="shared" ref="A36:A61" si="10">A4</f>
        <v>Да</v>
      </c>
      <c r="B36" s="1719">
        <v>2898.0</v>
      </c>
      <c r="C36" s="1693">
        <v>98.0</v>
      </c>
      <c r="D36" s="1720"/>
      <c r="E36" s="1702" t="str">
        <f t="shared" si="8"/>
        <v>Каша рисовая с курагой</v>
      </c>
      <c r="F36" s="1721">
        <f t="shared" ref="F36:F61" si="11">G4</f>
        <v>2</v>
      </c>
      <c r="G36" s="69"/>
      <c r="H36" s="1721">
        <f t="shared" ref="H36:H61" si="12">I4</f>
        <v>2</v>
      </c>
      <c r="I36" s="69"/>
      <c r="J36" s="1721">
        <f t="shared" ref="J36:J61" si="13">K4</f>
        <v>7</v>
      </c>
      <c r="K36" s="69"/>
      <c r="L36" s="1721">
        <f t="shared" ref="L36:L61" si="14">M4</f>
        <v>1</v>
      </c>
      <c r="M36" s="69"/>
      <c r="N36" s="1721">
        <f t="shared" ref="N36:N61" si="15">O4</f>
        <v>10</v>
      </c>
      <c r="O36" s="69"/>
      <c r="P36" s="1721">
        <f t="shared" ref="P36:P61" si="16">Q4</f>
        <v>5</v>
      </c>
      <c r="Q36" s="69"/>
      <c r="R36" s="1721">
        <f t="shared" ref="R36:R61" si="17">S4</f>
        <v>1</v>
      </c>
      <c r="S36" s="69"/>
      <c r="T36" s="1721">
        <f t="shared" ref="T36:T61" si="18">U4</f>
        <v>2</v>
      </c>
      <c r="U36" s="69"/>
      <c r="V36" s="1721">
        <f t="shared" ref="V36:V61" si="19">W4</f>
        <v>1</v>
      </c>
      <c r="W36" s="69"/>
      <c r="X36" s="1721">
        <f t="shared" ref="X36:X61" si="20">Y4</f>
        <v>1</v>
      </c>
      <c r="Y36" s="69"/>
      <c r="Z36" s="1721" t="str">
        <f t="shared" ref="Z36:Z47" si="21">AA4</f>
        <v/>
      </c>
      <c r="AA36" s="69"/>
      <c r="AB36" s="1721">
        <f t="shared" ref="AB36:AB61" si="22">AC4</f>
        <v>0</v>
      </c>
      <c r="AC36" s="69"/>
      <c r="AD36" s="1722">
        <f t="shared" ref="AD36:AD61" si="23">AE4</f>
        <v>3</v>
      </c>
      <c r="AE36" s="69"/>
      <c r="AF36" s="1722">
        <f t="shared" ref="AF36:AF61" si="24">AG4</f>
        <v>5</v>
      </c>
      <c r="AG36" s="69"/>
      <c r="AH36" s="1722">
        <f t="shared" ref="AH36:AH61" si="25">AI4</f>
        <v>6</v>
      </c>
      <c r="AI36" s="69"/>
      <c r="AJ36" s="1722">
        <f t="shared" ref="AJ36:AJ61" si="26">AK4</f>
        <v>1</v>
      </c>
      <c r="AK36" s="69"/>
      <c r="AL36" s="1722" t="str">
        <f t="shared" ref="AL36:AL61" si="27">AM4</f>
        <v/>
      </c>
      <c r="AM36" s="69"/>
      <c r="AN36" s="1722">
        <f t="shared" ref="AN36:AN61" si="28">AO4</f>
        <v>3</v>
      </c>
      <c r="AO36" s="69"/>
      <c r="AP36" s="1722">
        <f t="shared" ref="AP36:AP61" si="29">AQ4</f>
        <v>1</v>
      </c>
      <c r="AQ36" s="69"/>
      <c r="AR36" s="1722">
        <f t="shared" ref="AR36:AR61" si="30">AS4</f>
        <v>6</v>
      </c>
      <c r="AS36" s="69"/>
      <c r="AT36" s="1722">
        <f t="shared" ref="AT36:AT61" si="31">AU4</f>
        <v>0</v>
      </c>
      <c r="AU36" s="69"/>
      <c r="AV36" s="1722">
        <f t="shared" ref="AV36:AV61" si="32">AW4</f>
        <v>1</v>
      </c>
      <c r="AW36" s="69"/>
      <c r="AX36" s="1723">
        <f t="shared" ref="AX36:AX61" si="33">AY4</f>
        <v>2</v>
      </c>
      <c r="AY36" s="69"/>
      <c r="AZ36" s="1723">
        <f t="shared" ref="AZ36:AZ61" si="34">BA4</f>
        <v>1</v>
      </c>
      <c r="BA36" s="69"/>
      <c r="BB36" s="1723" t="str">
        <f t="shared" ref="BB36:BB61" si="35">BC4</f>
        <v/>
      </c>
      <c r="BC36" s="69"/>
      <c r="BD36" s="1723">
        <f t="shared" ref="BD36:BD61" si="36">BE4</f>
        <v>1</v>
      </c>
      <c r="BE36" s="69"/>
      <c r="BF36" s="1723">
        <f t="shared" ref="BF36:BF61" si="37">BG4</f>
        <v>1</v>
      </c>
      <c r="BG36" s="69"/>
      <c r="BH36" s="1723">
        <f t="shared" ref="BH36:BH61" si="38">BI4</f>
        <v>2</v>
      </c>
      <c r="BI36" s="69"/>
      <c r="BJ36" s="1723">
        <f t="shared" ref="BJ36:BJ61" si="39">BK4</f>
        <v>3</v>
      </c>
      <c r="BK36" s="69"/>
      <c r="BL36" s="1487" t="str">
        <f t="shared" ref="BL36:BL61" si="40">BM4</f>
        <v/>
      </c>
      <c r="BM36" s="69"/>
      <c r="BN36" s="1724" t="str">
        <f t="shared" si="9"/>
        <v/>
      </c>
      <c r="BO36" s="69"/>
      <c r="BP36" s="1487">
        <f t="shared" ref="BP36:BP62" si="41">SUM(F36:BM36)</f>
        <v>68</v>
      </c>
      <c r="BQ36" s="69"/>
      <c r="BR36" s="541"/>
      <c r="BS36" s="684"/>
      <c r="BT36" s="541"/>
      <c r="BU36" s="541"/>
    </row>
    <row r="37" ht="20.25" customHeight="1">
      <c r="A37" s="1698" t="str">
        <f t="shared" si="10"/>
        <v>Да</v>
      </c>
      <c r="B37" s="1719">
        <v>4206.0</v>
      </c>
      <c r="C37" s="1693">
        <v>172.0</v>
      </c>
      <c r="D37" s="1720"/>
      <c r="E37" s="1702" t="str">
        <f t="shared" si="8"/>
        <v>Венский штрудель с курочкой и сыром</v>
      </c>
      <c r="F37" s="1721">
        <f t="shared" si="11"/>
        <v>7</v>
      </c>
      <c r="G37" s="69"/>
      <c r="H37" s="1721">
        <f t="shared" si="12"/>
        <v>3</v>
      </c>
      <c r="I37" s="69"/>
      <c r="J37" s="1721">
        <f t="shared" si="13"/>
        <v>9</v>
      </c>
      <c r="K37" s="69"/>
      <c r="L37" s="1721">
        <f t="shared" si="14"/>
        <v>5</v>
      </c>
      <c r="M37" s="69"/>
      <c r="N37" s="1721">
        <f t="shared" si="15"/>
        <v>4</v>
      </c>
      <c r="O37" s="69"/>
      <c r="P37" s="1721">
        <f t="shared" si="16"/>
        <v>2</v>
      </c>
      <c r="Q37" s="69"/>
      <c r="R37" s="1721">
        <f t="shared" si="17"/>
        <v>2</v>
      </c>
      <c r="S37" s="69"/>
      <c r="T37" s="1721">
        <f t="shared" si="18"/>
        <v>4</v>
      </c>
      <c r="U37" s="69"/>
      <c r="V37" s="1721">
        <f t="shared" si="19"/>
        <v>7</v>
      </c>
      <c r="W37" s="69"/>
      <c r="X37" s="1721">
        <f t="shared" si="20"/>
        <v>4</v>
      </c>
      <c r="Y37" s="69"/>
      <c r="Z37" s="1721" t="str">
        <f t="shared" si="21"/>
        <v/>
      </c>
      <c r="AA37" s="69"/>
      <c r="AB37" s="1721">
        <f t="shared" si="22"/>
        <v>5</v>
      </c>
      <c r="AC37" s="69"/>
      <c r="AD37" s="1722">
        <f t="shared" si="23"/>
        <v>4</v>
      </c>
      <c r="AE37" s="69"/>
      <c r="AF37" s="1722">
        <f t="shared" si="24"/>
        <v>4</v>
      </c>
      <c r="AG37" s="69"/>
      <c r="AH37" s="1722">
        <f t="shared" si="25"/>
        <v>3</v>
      </c>
      <c r="AI37" s="69"/>
      <c r="AJ37" s="1722">
        <f t="shared" si="26"/>
        <v>4</v>
      </c>
      <c r="AK37" s="69"/>
      <c r="AL37" s="1722">
        <f t="shared" si="27"/>
        <v>5</v>
      </c>
      <c r="AM37" s="69"/>
      <c r="AN37" s="1722">
        <f t="shared" si="28"/>
        <v>3</v>
      </c>
      <c r="AO37" s="69"/>
      <c r="AP37" s="1722">
        <f t="shared" si="29"/>
        <v>5</v>
      </c>
      <c r="AQ37" s="69"/>
      <c r="AR37" s="1722">
        <f t="shared" si="30"/>
        <v>9</v>
      </c>
      <c r="AS37" s="69"/>
      <c r="AT37" s="1722">
        <f t="shared" si="31"/>
        <v>4</v>
      </c>
      <c r="AU37" s="69"/>
      <c r="AV37" s="1722">
        <f t="shared" si="32"/>
        <v>2</v>
      </c>
      <c r="AW37" s="69"/>
      <c r="AX37" s="1723">
        <f t="shared" si="33"/>
        <v>6</v>
      </c>
      <c r="AY37" s="69"/>
      <c r="AZ37" s="1723">
        <f t="shared" si="34"/>
        <v>3</v>
      </c>
      <c r="BA37" s="69"/>
      <c r="BB37" s="1723" t="str">
        <f t="shared" si="35"/>
        <v/>
      </c>
      <c r="BC37" s="69"/>
      <c r="BD37" s="1723">
        <f t="shared" si="36"/>
        <v>3</v>
      </c>
      <c r="BE37" s="69"/>
      <c r="BF37" s="1723">
        <f t="shared" si="37"/>
        <v>4</v>
      </c>
      <c r="BG37" s="69"/>
      <c r="BH37" s="1723">
        <f t="shared" si="38"/>
        <v>5</v>
      </c>
      <c r="BI37" s="69"/>
      <c r="BJ37" s="1723">
        <f t="shared" si="39"/>
        <v>4</v>
      </c>
      <c r="BK37" s="69"/>
      <c r="BL37" s="1487" t="str">
        <f t="shared" si="40"/>
        <v/>
      </c>
      <c r="BM37" s="69"/>
      <c r="BN37" s="1724" t="str">
        <f t="shared" si="9"/>
        <v/>
      </c>
      <c r="BO37" s="69"/>
      <c r="BP37" s="1487">
        <f t="shared" si="41"/>
        <v>120</v>
      </c>
      <c r="BQ37" s="69"/>
      <c r="BR37" s="541"/>
      <c r="BS37" s="684"/>
      <c r="BT37" s="541"/>
      <c r="BU37" s="541"/>
    </row>
    <row r="38" ht="20.25" customHeight="1">
      <c r="A38" s="1698" t="str">
        <f t="shared" si="10"/>
        <v>Да</v>
      </c>
      <c r="B38" s="1719"/>
      <c r="C38" s="1693"/>
      <c r="D38" s="1720"/>
      <c r="E38" s="1702" t="str">
        <f t="shared" si="8"/>
        <v>Шоколадный пирог с вишней </v>
      </c>
      <c r="F38" s="1721">
        <f t="shared" si="11"/>
        <v>2</v>
      </c>
      <c r="G38" s="69"/>
      <c r="H38" s="1721">
        <f t="shared" si="12"/>
        <v>3</v>
      </c>
      <c r="I38" s="69"/>
      <c r="J38" s="1721">
        <f t="shared" si="13"/>
        <v>9</v>
      </c>
      <c r="K38" s="69"/>
      <c r="L38" s="1721">
        <f t="shared" si="14"/>
        <v>3</v>
      </c>
      <c r="M38" s="69"/>
      <c r="N38" s="1721">
        <f t="shared" si="15"/>
        <v>6</v>
      </c>
      <c r="O38" s="69"/>
      <c r="P38" s="1721">
        <f t="shared" si="16"/>
        <v>2</v>
      </c>
      <c r="Q38" s="69"/>
      <c r="R38" s="1721">
        <f t="shared" si="17"/>
        <v>2</v>
      </c>
      <c r="S38" s="69"/>
      <c r="T38" s="1721">
        <f t="shared" si="18"/>
        <v>4</v>
      </c>
      <c r="U38" s="69"/>
      <c r="V38" s="1721">
        <f t="shared" si="19"/>
        <v>3</v>
      </c>
      <c r="W38" s="69"/>
      <c r="X38" s="1721">
        <f t="shared" si="20"/>
        <v>3</v>
      </c>
      <c r="Y38" s="69"/>
      <c r="Z38" s="1721" t="str">
        <f t="shared" si="21"/>
        <v/>
      </c>
      <c r="AA38" s="69"/>
      <c r="AB38" s="1721">
        <f t="shared" si="22"/>
        <v>4</v>
      </c>
      <c r="AC38" s="69"/>
      <c r="AD38" s="1722">
        <f t="shared" si="23"/>
        <v>2</v>
      </c>
      <c r="AE38" s="69"/>
      <c r="AF38" s="1722">
        <f t="shared" si="24"/>
        <v>7</v>
      </c>
      <c r="AG38" s="69"/>
      <c r="AH38" s="1722">
        <f t="shared" si="25"/>
        <v>3</v>
      </c>
      <c r="AI38" s="69"/>
      <c r="AJ38" s="1722">
        <f t="shared" si="26"/>
        <v>6</v>
      </c>
      <c r="AK38" s="69"/>
      <c r="AL38" s="1722">
        <f t="shared" si="27"/>
        <v>4</v>
      </c>
      <c r="AM38" s="69"/>
      <c r="AN38" s="1722">
        <f t="shared" si="28"/>
        <v>2</v>
      </c>
      <c r="AO38" s="69"/>
      <c r="AP38" s="1722">
        <f t="shared" si="29"/>
        <v>3</v>
      </c>
      <c r="AQ38" s="69"/>
      <c r="AR38" s="1722">
        <f t="shared" si="30"/>
        <v>10</v>
      </c>
      <c r="AS38" s="69"/>
      <c r="AT38" s="1722">
        <f t="shared" si="31"/>
        <v>2</v>
      </c>
      <c r="AU38" s="69"/>
      <c r="AV38" s="1722">
        <f t="shared" si="32"/>
        <v>2</v>
      </c>
      <c r="AW38" s="69"/>
      <c r="AX38" s="1723">
        <f t="shared" si="33"/>
        <v>7</v>
      </c>
      <c r="AY38" s="69"/>
      <c r="AZ38" s="1723">
        <f t="shared" si="34"/>
        <v>2</v>
      </c>
      <c r="BA38" s="69"/>
      <c r="BB38" s="1723" t="str">
        <f t="shared" si="35"/>
        <v/>
      </c>
      <c r="BC38" s="69"/>
      <c r="BD38" s="1723">
        <f t="shared" si="36"/>
        <v>3</v>
      </c>
      <c r="BE38" s="69"/>
      <c r="BF38" s="1723">
        <f t="shared" si="37"/>
        <v>4</v>
      </c>
      <c r="BG38" s="69"/>
      <c r="BH38" s="1723">
        <f t="shared" si="38"/>
        <v>6</v>
      </c>
      <c r="BI38" s="69"/>
      <c r="BJ38" s="1723">
        <f t="shared" si="39"/>
        <v>4</v>
      </c>
      <c r="BK38" s="69"/>
      <c r="BL38" s="1487" t="str">
        <f t="shared" si="40"/>
        <v/>
      </c>
      <c r="BM38" s="69"/>
      <c r="BN38" s="1724" t="str">
        <f t="shared" si="9"/>
        <v/>
      </c>
      <c r="BO38" s="69"/>
      <c r="BP38" s="1487">
        <f t="shared" si="41"/>
        <v>108</v>
      </c>
      <c r="BQ38" s="69"/>
      <c r="BR38" s="541"/>
      <c r="BS38" s="684"/>
      <c r="BT38" s="541"/>
      <c r="BU38" s="541"/>
    </row>
    <row r="39" ht="20.25" customHeight="1">
      <c r="A39" s="1698" t="str">
        <f t="shared" si="10"/>
        <v>Да</v>
      </c>
      <c r="B39" s="1719">
        <v>2686.0</v>
      </c>
      <c r="C39" s="1693">
        <v>98.0</v>
      </c>
      <c r="D39" s="1720"/>
      <c r="E39" s="1702" t="str">
        <f t="shared" si="8"/>
        <v>Салат ''Коул Слоу'' 120 гр</v>
      </c>
      <c r="F39" s="1721">
        <f t="shared" si="11"/>
        <v>5</v>
      </c>
      <c r="G39" s="69"/>
      <c r="H39" s="1721">
        <f t="shared" si="12"/>
        <v>3</v>
      </c>
      <c r="I39" s="69"/>
      <c r="J39" s="1721">
        <f t="shared" si="13"/>
        <v>9</v>
      </c>
      <c r="K39" s="69"/>
      <c r="L39" s="1721">
        <f t="shared" si="14"/>
        <v>4</v>
      </c>
      <c r="M39" s="69"/>
      <c r="N39" s="1721">
        <f t="shared" si="15"/>
        <v>6</v>
      </c>
      <c r="O39" s="69"/>
      <c r="P39" s="1721">
        <f t="shared" si="16"/>
        <v>4</v>
      </c>
      <c r="Q39" s="69"/>
      <c r="R39" s="1721">
        <f t="shared" si="17"/>
        <v>2</v>
      </c>
      <c r="S39" s="69"/>
      <c r="T39" s="1721">
        <f t="shared" si="18"/>
        <v>3</v>
      </c>
      <c r="U39" s="69"/>
      <c r="V39" s="1721">
        <f t="shared" si="19"/>
        <v>2</v>
      </c>
      <c r="W39" s="69"/>
      <c r="X39" s="1721">
        <f t="shared" si="20"/>
        <v>2</v>
      </c>
      <c r="Y39" s="69"/>
      <c r="Z39" s="1721" t="str">
        <f t="shared" si="21"/>
        <v/>
      </c>
      <c r="AA39" s="69"/>
      <c r="AB39" s="1721">
        <f t="shared" si="22"/>
        <v>3</v>
      </c>
      <c r="AC39" s="69"/>
      <c r="AD39" s="1722">
        <f t="shared" si="23"/>
        <v>1</v>
      </c>
      <c r="AE39" s="69"/>
      <c r="AF39" s="1722">
        <f t="shared" si="24"/>
        <v>2</v>
      </c>
      <c r="AG39" s="69"/>
      <c r="AH39" s="1722">
        <f t="shared" si="25"/>
        <v>4</v>
      </c>
      <c r="AI39" s="69"/>
      <c r="AJ39" s="1722">
        <f t="shared" si="26"/>
        <v>2</v>
      </c>
      <c r="AK39" s="69"/>
      <c r="AL39" s="1722">
        <f t="shared" si="27"/>
        <v>2</v>
      </c>
      <c r="AM39" s="69"/>
      <c r="AN39" s="1722">
        <f t="shared" si="28"/>
        <v>2</v>
      </c>
      <c r="AO39" s="69"/>
      <c r="AP39" s="1722">
        <f t="shared" si="29"/>
        <v>2</v>
      </c>
      <c r="AQ39" s="69"/>
      <c r="AR39" s="1722">
        <f t="shared" si="30"/>
        <v>7</v>
      </c>
      <c r="AS39" s="69"/>
      <c r="AT39" s="1722">
        <f t="shared" si="31"/>
        <v>3</v>
      </c>
      <c r="AU39" s="69"/>
      <c r="AV39" s="1722">
        <f t="shared" si="32"/>
        <v>3</v>
      </c>
      <c r="AW39" s="69"/>
      <c r="AX39" s="1723">
        <f t="shared" si="33"/>
        <v>4</v>
      </c>
      <c r="AY39" s="69"/>
      <c r="AZ39" s="1723">
        <f t="shared" si="34"/>
        <v>2</v>
      </c>
      <c r="BA39" s="69"/>
      <c r="BB39" s="1723" t="str">
        <f t="shared" si="35"/>
        <v/>
      </c>
      <c r="BC39" s="69"/>
      <c r="BD39" s="1723" t="str">
        <f t="shared" si="36"/>
        <v/>
      </c>
      <c r="BE39" s="69"/>
      <c r="BF39" s="1723">
        <f t="shared" si="37"/>
        <v>3</v>
      </c>
      <c r="BG39" s="69"/>
      <c r="BH39" s="1723">
        <f t="shared" si="38"/>
        <v>2</v>
      </c>
      <c r="BI39" s="69"/>
      <c r="BJ39" s="1723">
        <f t="shared" si="39"/>
        <v>5</v>
      </c>
      <c r="BK39" s="69"/>
      <c r="BL39" s="1487">
        <f t="shared" si="40"/>
        <v>31</v>
      </c>
      <c r="BM39" s="69"/>
      <c r="BN39" s="1724" t="str">
        <f t="shared" si="9"/>
        <v/>
      </c>
      <c r="BO39" s="69"/>
      <c r="BP39" s="1487">
        <f t="shared" si="41"/>
        <v>118</v>
      </c>
      <c r="BQ39" s="69"/>
      <c r="BR39" s="541"/>
      <c r="BS39" s="684"/>
      <c r="BT39" s="541"/>
      <c r="BU39" s="541"/>
    </row>
    <row r="40" ht="20.25" customHeight="1">
      <c r="A40" s="1698" t="str">
        <f t="shared" si="10"/>
        <v>Да</v>
      </c>
      <c r="B40" s="1719">
        <v>884.0</v>
      </c>
      <c r="C40" s="1693">
        <v>98.0</v>
      </c>
      <c r="D40" s="1720"/>
      <c r="E40" s="1702" t="str">
        <f t="shared" si="8"/>
        <v>Салат ''Интрига'' (колбаса в/к.) </v>
      </c>
      <c r="F40" s="1721">
        <f t="shared" si="11"/>
        <v>4</v>
      </c>
      <c r="G40" s="69"/>
      <c r="H40" s="1721">
        <f t="shared" si="12"/>
        <v>2</v>
      </c>
      <c r="I40" s="69"/>
      <c r="J40" s="1721">
        <f t="shared" si="13"/>
        <v>9</v>
      </c>
      <c r="K40" s="69"/>
      <c r="L40" s="1721">
        <f t="shared" si="14"/>
        <v>4</v>
      </c>
      <c r="M40" s="69"/>
      <c r="N40" s="1721">
        <f t="shared" si="15"/>
        <v>4</v>
      </c>
      <c r="O40" s="69"/>
      <c r="P40" s="1721">
        <f t="shared" si="16"/>
        <v>2</v>
      </c>
      <c r="Q40" s="69"/>
      <c r="R40" s="1721">
        <f t="shared" si="17"/>
        <v>0</v>
      </c>
      <c r="S40" s="69"/>
      <c r="T40" s="1721">
        <f t="shared" si="18"/>
        <v>0</v>
      </c>
      <c r="U40" s="69"/>
      <c r="V40" s="1721">
        <f t="shared" si="19"/>
        <v>2</v>
      </c>
      <c r="W40" s="69"/>
      <c r="X40" s="1721">
        <f t="shared" si="20"/>
        <v>2</v>
      </c>
      <c r="Y40" s="69"/>
      <c r="Z40" s="1721" t="str">
        <f t="shared" si="21"/>
        <v/>
      </c>
      <c r="AA40" s="69"/>
      <c r="AB40" s="1721">
        <f t="shared" si="22"/>
        <v>2</v>
      </c>
      <c r="AC40" s="69"/>
      <c r="AD40" s="1722">
        <f t="shared" si="23"/>
        <v>2</v>
      </c>
      <c r="AE40" s="69"/>
      <c r="AF40" s="1722">
        <f t="shared" si="24"/>
        <v>4</v>
      </c>
      <c r="AG40" s="69"/>
      <c r="AH40" s="1722">
        <f t="shared" si="25"/>
        <v>1</v>
      </c>
      <c r="AI40" s="69"/>
      <c r="AJ40" s="1722">
        <f t="shared" si="26"/>
        <v>2</v>
      </c>
      <c r="AK40" s="69"/>
      <c r="AL40" s="1722">
        <f t="shared" si="27"/>
        <v>2</v>
      </c>
      <c r="AM40" s="69"/>
      <c r="AN40" s="1722">
        <f t="shared" si="28"/>
        <v>2</v>
      </c>
      <c r="AO40" s="69"/>
      <c r="AP40" s="1722">
        <f t="shared" si="29"/>
        <v>2</v>
      </c>
      <c r="AQ40" s="69"/>
      <c r="AR40" s="1722">
        <f t="shared" si="30"/>
        <v>5</v>
      </c>
      <c r="AS40" s="69"/>
      <c r="AT40" s="1722">
        <f t="shared" si="31"/>
        <v>3</v>
      </c>
      <c r="AU40" s="69"/>
      <c r="AV40" s="1722">
        <f t="shared" si="32"/>
        <v>2</v>
      </c>
      <c r="AW40" s="69"/>
      <c r="AX40" s="1723">
        <f t="shared" si="33"/>
        <v>3</v>
      </c>
      <c r="AY40" s="69"/>
      <c r="AZ40" s="1723">
        <f t="shared" si="34"/>
        <v>1</v>
      </c>
      <c r="BA40" s="69"/>
      <c r="BB40" s="1723" t="str">
        <f t="shared" si="35"/>
        <v/>
      </c>
      <c r="BC40" s="69"/>
      <c r="BD40" s="1723">
        <f t="shared" si="36"/>
        <v>2</v>
      </c>
      <c r="BE40" s="69"/>
      <c r="BF40" s="1723">
        <f t="shared" si="37"/>
        <v>4</v>
      </c>
      <c r="BG40" s="69"/>
      <c r="BH40" s="1723">
        <f t="shared" si="38"/>
        <v>2</v>
      </c>
      <c r="BI40" s="69"/>
      <c r="BJ40" s="1723">
        <f t="shared" si="39"/>
        <v>4</v>
      </c>
      <c r="BK40" s="69"/>
      <c r="BL40" s="1487">
        <f t="shared" si="40"/>
        <v>50</v>
      </c>
      <c r="BM40" s="69"/>
      <c r="BN40" s="1724" t="str">
        <f t="shared" si="9"/>
        <v/>
      </c>
      <c r="BO40" s="69"/>
      <c r="BP40" s="1487">
        <f t="shared" si="41"/>
        <v>122</v>
      </c>
      <c r="BQ40" s="69"/>
      <c r="BR40" s="541"/>
      <c r="BS40" s="684"/>
      <c r="BT40" s="541"/>
      <c r="BU40" s="541"/>
    </row>
    <row r="41" ht="20.25" customHeight="1">
      <c r="A41" s="1698" t="str">
        <f t="shared" si="10"/>
        <v>Да</v>
      </c>
      <c r="B41" s="1719">
        <v>3165.0</v>
      </c>
      <c r="C41" s="1693">
        <v>98.0</v>
      </c>
      <c r="D41" s="1720"/>
      <c r="E41" s="1702" t="str">
        <f t="shared" si="8"/>
        <v>Салат ''Красное море'' (крабовые палочки)</v>
      </c>
      <c r="F41" s="1721">
        <f t="shared" si="11"/>
        <v>7</v>
      </c>
      <c r="G41" s="69"/>
      <c r="H41" s="1721">
        <f t="shared" si="12"/>
        <v>5</v>
      </c>
      <c r="I41" s="69"/>
      <c r="J41" s="1721">
        <f t="shared" si="13"/>
        <v>9</v>
      </c>
      <c r="K41" s="69"/>
      <c r="L41" s="1721">
        <f t="shared" si="14"/>
        <v>2</v>
      </c>
      <c r="M41" s="69"/>
      <c r="N41" s="1721">
        <f t="shared" si="15"/>
        <v>5</v>
      </c>
      <c r="O41" s="69"/>
      <c r="P41" s="1721">
        <f t="shared" si="16"/>
        <v>5</v>
      </c>
      <c r="Q41" s="69"/>
      <c r="R41" s="1721">
        <f t="shared" si="17"/>
        <v>2</v>
      </c>
      <c r="S41" s="69"/>
      <c r="T41" s="1721">
        <f t="shared" si="18"/>
        <v>3</v>
      </c>
      <c r="U41" s="69"/>
      <c r="V41" s="1721">
        <f t="shared" si="19"/>
        <v>2</v>
      </c>
      <c r="W41" s="69"/>
      <c r="X41" s="1721">
        <f t="shared" si="20"/>
        <v>3</v>
      </c>
      <c r="Y41" s="69"/>
      <c r="Z41" s="1721" t="str">
        <f t="shared" si="21"/>
        <v/>
      </c>
      <c r="AA41" s="69"/>
      <c r="AB41" s="1721">
        <f t="shared" si="22"/>
        <v>3</v>
      </c>
      <c r="AC41" s="69"/>
      <c r="AD41" s="1722">
        <f t="shared" si="23"/>
        <v>2</v>
      </c>
      <c r="AE41" s="69"/>
      <c r="AF41" s="1722">
        <f t="shared" si="24"/>
        <v>6</v>
      </c>
      <c r="AG41" s="69"/>
      <c r="AH41" s="1722">
        <f t="shared" si="25"/>
        <v>2</v>
      </c>
      <c r="AI41" s="69"/>
      <c r="AJ41" s="1722">
        <f t="shared" si="26"/>
        <v>4</v>
      </c>
      <c r="AK41" s="69"/>
      <c r="AL41" s="1722">
        <f t="shared" si="27"/>
        <v>5</v>
      </c>
      <c r="AM41" s="69"/>
      <c r="AN41" s="1722">
        <f t="shared" si="28"/>
        <v>2</v>
      </c>
      <c r="AO41" s="69"/>
      <c r="AP41" s="1722">
        <f t="shared" si="29"/>
        <v>2</v>
      </c>
      <c r="AQ41" s="69"/>
      <c r="AR41" s="1722">
        <f t="shared" si="30"/>
        <v>7</v>
      </c>
      <c r="AS41" s="69"/>
      <c r="AT41" s="1722">
        <f t="shared" si="31"/>
        <v>6</v>
      </c>
      <c r="AU41" s="69"/>
      <c r="AV41" s="1722">
        <f t="shared" si="32"/>
        <v>5</v>
      </c>
      <c r="AW41" s="69"/>
      <c r="AX41" s="1723">
        <f t="shared" si="33"/>
        <v>8</v>
      </c>
      <c r="AY41" s="69"/>
      <c r="AZ41" s="1723">
        <f t="shared" si="34"/>
        <v>4</v>
      </c>
      <c r="BA41" s="69"/>
      <c r="BB41" s="1723" t="str">
        <f t="shared" si="35"/>
        <v/>
      </c>
      <c r="BC41" s="69"/>
      <c r="BD41" s="1723">
        <f t="shared" si="36"/>
        <v>2</v>
      </c>
      <c r="BE41" s="69"/>
      <c r="BF41" s="1723">
        <f t="shared" si="37"/>
        <v>5</v>
      </c>
      <c r="BG41" s="69"/>
      <c r="BH41" s="1723">
        <f t="shared" si="38"/>
        <v>4</v>
      </c>
      <c r="BI41" s="69"/>
      <c r="BJ41" s="1723">
        <f t="shared" si="39"/>
        <v>5</v>
      </c>
      <c r="BK41" s="69"/>
      <c r="BL41" s="1487">
        <f t="shared" si="40"/>
        <v>50</v>
      </c>
      <c r="BM41" s="69"/>
      <c r="BN41" s="1724" t="str">
        <f t="shared" si="9"/>
        <v/>
      </c>
      <c r="BO41" s="69"/>
      <c r="BP41" s="1487">
        <f t="shared" si="41"/>
        <v>165</v>
      </c>
      <c r="BQ41" s="69"/>
      <c r="BR41" s="541"/>
      <c r="BS41" s="684"/>
      <c r="BT41" s="541"/>
      <c r="BU41" s="541"/>
    </row>
    <row r="42" ht="20.25" customHeight="1">
      <c r="A42" s="1698" t="str">
        <f t="shared" si="10"/>
        <v>Да</v>
      </c>
      <c r="B42" s="1719">
        <v>4184.0</v>
      </c>
      <c r="C42" s="1693">
        <v>188.0</v>
      </c>
      <c r="D42" s="1720"/>
      <c r="E42" s="1702" t="str">
        <f t="shared" si="8"/>
        <v>Салат "Любовница" 220 гр </v>
      </c>
      <c r="F42" s="1721">
        <f t="shared" si="11"/>
        <v>4</v>
      </c>
      <c r="G42" s="69"/>
      <c r="H42" s="1721">
        <f t="shared" si="12"/>
        <v>2</v>
      </c>
      <c r="I42" s="69"/>
      <c r="J42" s="1721">
        <f t="shared" si="13"/>
        <v>7</v>
      </c>
      <c r="K42" s="69"/>
      <c r="L42" s="1721">
        <f t="shared" si="14"/>
        <v>2</v>
      </c>
      <c r="M42" s="69"/>
      <c r="N42" s="1721">
        <f t="shared" si="15"/>
        <v>4</v>
      </c>
      <c r="O42" s="69"/>
      <c r="P42" s="1721">
        <f t="shared" si="16"/>
        <v>5</v>
      </c>
      <c r="Q42" s="69"/>
      <c r="R42" s="1721">
        <f t="shared" si="17"/>
        <v>1</v>
      </c>
      <c r="S42" s="69"/>
      <c r="T42" s="1721">
        <f t="shared" si="18"/>
        <v>2</v>
      </c>
      <c r="U42" s="69"/>
      <c r="V42" s="1721">
        <f t="shared" si="19"/>
        <v>4</v>
      </c>
      <c r="W42" s="69"/>
      <c r="X42" s="1721">
        <f t="shared" si="20"/>
        <v>1</v>
      </c>
      <c r="Y42" s="69"/>
      <c r="Z42" s="1721" t="str">
        <f t="shared" si="21"/>
        <v/>
      </c>
      <c r="AA42" s="69"/>
      <c r="AB42" s="1721">
        <f t="shared" si="22"/>
        <v>2</v>
      </c>
      <c r="AC42" s="69"/>
      <c r="AD42" s="1722">
        <f t="shared" si="23"/>
        <v>2</v>
      </c>
      <c r="AE42" s="69"/>
      <c r="AF42" s="1722">
        <f t="shared" si="24"/>
        <v>3</v>
      </c>
      <c r="AG42" s="69"/>
      <c r="AH42" s="1722">
        <f t="shared" si="25"/>
        <v>4</v>
      </c>
      <c r="AI42" s="69"/>
      <c r="AJ42" s="1722">
        <f t="shared" si="26"/>
        <v>2</v>
      </c>
      <c r="AK42" s="69"/>
      <c r="AL42" s="1722">
        <f t="shared" si="27"/>
        <v>3</v>
      </c>
      <c r="AM42" s="69"/>
      <c r="AN42" s="1722">
        <f t="shared" si="28"/>
        <v>0</v>
      </c>
      <c r="AO42" s="69"/>
      <c r="AP42" s="1722">
        <f t="shared" si="29"/>
        <v>4</v>
      </c>
      <c r="AQ42" s="69"/>
      <c r="AR42" s="1722">
        <f t="shared" si="30"/>
        <v>4</v>
      </c>
      <c r="AS42" s="69"/>
      <c r="AT42" s="1722">
        <f t="shared" si="31"/>
        <v>2</v>
      </c>
      <c r="AU42" s="69"/>
      <c r="AV42" s="1722">
        <f t="shared" si="32"/>
        <v>2</v>
      </c>
      <c r="AW42" s="69"/>
      <c r="AX42" s="1723">
        <f t="shared" si="33"/>
        <v>3</v>
      </c>
      <c r="AY42" s="69"/>
      <c r="AZ42" s="1723">
        <f t="shared" si="34"/>
        <v>2</v>
      </c>
      <c r="BA42" s="69"/>
      <c r="BB42" s="1723" t="str">
        <f t="shared" si="35"/>
        <v/>
      </c>
      <c r="BC42" s="69"/>
      <c r="BD42" s="1723">
        <f t="shared" si="36"/>
        <v>2</v>
      </c>
      <c r="BE42" s="69"/>
      <c r="BF42" s="1723">
        <f t="shared" si="37"/>
        <v>1</v>
      </c>
      <c r="BG42" s="69"/>
      <c r="BH42" s="1723">
        <f t="shared" si="38"/>
        <v>4</v>
      </c>
      <c r="BI42" s="69"/>
      <c r="BJ42" s="1723">
        <f t="shared" si="39"/>
        <v>3</v>
      </c>
      <c r="BK42" s="69"/>
      <c r="BL42" s="1487" t="str">
        <f t="shared" si="40"/>
        <v/>
      </c>
      <c r="BM42" s="69"/>
      <c r="BN42" s="1724" t="str">
        <f t="shared" si="9"/>
        <v/>
      </c>
      <c r="BO42" s="69"/>
      <c r="BP42" s="1487">
        <f t="shared" si="41"/>
        <v>75</v>
      </c>
      <c r="BQ42" s="69"/>
      <c r="BR42" s="541"/>
      <c r="BS42" s="684"/>
      <c r="BT42" s="541"/>
      <c r="BU42" s="541"/>
    </row>
    <row r="43" ht="20.25" customHeight="1">
      <c r="A43" s="1698" t="str">
        <f t="shared" si="10"/>
        <v/>
      </c>
      <c r="B43" s="1719">
        <v>793.0</v>
      </c>
      <c r="C43" s="1693">
        <v>106.0</v>
      </c>
      <c r="D43" s="1720"/>
      <c r="E43" s="1702" t="str">
        <f t="shared" si="8"/>
        <v>Борщ с курицей</v>
      </c>
      <c r="F43" s="1721" t="str">
        <f t="shared" si="11"/>
        <v/>
      </c>
      <c r="G43" s="69"/>
      <c r="H43" s="1721" t="str">
        <f t="shared" si="12"/>
        <v/>
      </c>
      <c r="I43" s="69"/>
      <c r="J43" s="1721" t="str">
        <f t="shared" si="13"/>
        <v/>
      </c>
      <c r="K43" s="69"/>
      <c r="L43" s="1721" t="str">
        <f t="shared" si="14"/>
        <v/>
      </c>
      <c r="M43" s="69"/>
      <c r="N43" s="1721" t="str">
        <f t="shared" si="15"/>
        <v/>
      </c>
      <c r="O43" s="69"/>
      <c r="P43" s="1721" t="str">
        <f t="shared" si="16"/>
        <v/>
      </c>
      <c r="Q43" s="69"/>
      <c r="R43" s="1721" t="str">
        <f t="shared" si="17"/>
        <v/>
      </c>
      <c r="S43" s="69"/>
      <c r="T43" s="1721" t="str">
        <f t="shared" si="18"/>
        <v/>
      </c>
      <c r="U43" s="69"/>
      <c r="V43" s="1721" t="str">
        <f t="shared" si="19"/>
        <v/>
      </c>
      <c r="W43" s="69"/>
      <c r="X43" s="1721" t="str">
        <f t="shared" si="20"/>
        <v/>
      </c>
      <c r="Y43" s="69"/>
      <c r="Z43" s="1721" t="str">
        <f t="shared" si="21"/>
        <v/>
      </c>
      <c r="AA43" s="69"/>
      <c r="AB43" s="1721" t="str">
        <f t="shared" si="22"/>
        <v/>
      </c>
      <c r="AC43" s="69"/>
      <c r="AD43" s="1722" t="str">
        <f t="shared" si="23"/>
        <v/>
      </c>
      <c r="AE43" s="69"/>
      <c r="AF43" s="1722" t="str">
        <f t="shared" si="24"/>
        <v/>
      </c>
      <c r="AG43" s="69"/>
      <c r="AH43" s="1722" t="str">
        <f t="shared" si="25"/>
        <v/>
      </c>
      <c r="AI43" s="69"/>
      <c r="AJ43" s="1722" t="str">
        <f t="shared" si="26"/>
        <v/>
      </c>
      <c r="AK43" s="69"/>
      <c r="AL43" s="1722" t="str">
        <f t="shared" si="27"/>
        <v/>
      </c>
      <c r="AM43" s="69"/>
      <c r="AN43" s="1722" t="str">
        <f t="shared" si="28"/>
        <v/>
      </c>
      <c r="AO43" s="69"/>
      <c r="AP43" s="1722" t="str">
        <f t="shared" si="29"/>
        <v/>
      </c>
      <c r="AQ43" s="69"/>
      <c r="AR43" s="1722" t="str">
        <f t="shared" si="30"/>
        <v/>
      </c>
      <c r="AS43" s="69"/>
      <c r="AT43" s="1722" t="str">
        <f t="shared" si="31"/>
        <v/>
      </c>
      <c r="AU43" s="69"/>
      <c r="AV43" s="1722" t="str">
        <f t="shared" si="32"/>
        <v/>
      </c>
      <c r="AW43" s="69"/>
      <c r="AX43" s="1723" t="str">
        <f t="shared" si="33"/>
        <v/>
      </c>
      <c r="AY43" s="69"/>
      <c r="AZ43" s="1723" t="str">
        <f t="shared" si="34"/>
        <v/>
      </c>
      <c r="BA43" s="69"/>
      <c r="BB43" s="1723" t="str">
        <f t="shared" si="35"/>
        <v/>
      </c>
      <c r="BC43" s="69"/>
      <c r="BD43" s="1723" t="str">
        <f t="shared" si="36"/>
        <v/>
      </c>
      <c r="BE43" s="69"/>
      <c r="BF43" s="1723" t="str">
        <f t="shared" si="37"/>
        <v/>
      </c>
      <c r="BG43" s="69"/>
      <c r="BH43" s="1723" t="str">
        <f t="shared" si="38"/>
        <v/>
      </c>
      <c r="BI43" s="69"/>
      <c r="BJ43" s="1723" t="str">
        <f t="shared" si="39"/>
        <v/>
      </c>
      <c r="BK43" s="69"/>
      <c r="BL43" s="1487">
        <f t="shared" si="40"/>
        <v>125</v>
      </c>
      <c r="BM43" s="69"/>
      <c r="BN43" s="1724" t="str">
        <f t="shared" si="9"/>
        <v/>
      </c>
      <c r="BO43" s="69"/>
      <c r="BP43" s="1487">
        <f t="shared" si="41"/>
        <v>125</v>
      </c>
      <c r="BQ43" s="69"/>
      <c r="BR43" s="541"/>
      <c r="BS43" s="684"/>
      <c r="BT43" s="541"/>
      <c r="BU43" s="541"/>
    </row>
    <row r="44" ht="20.25" customHeight="1">
      <c r="A44" s="1698" t="str">
        <f t="shared" si="10"/>
        <v>Да</v>
      </c>
      <c r="B44" s="1719">
        <v>1237.0</v>
      </c>
      <c r="C44" s="1693">
        <v>148.0</v>
      </c>
      <c r="D44" s="1720"/>
      <c r="E44" s="1702" t="str">
        <f t="shared" si="8"/>
        <v>Суп грибной</v>
      </c>
      <c r="F44" s="1721">
        <f t="shared" si="11"/>
        <v>2</v>
      </c>
      <c r="G44" s="69"/>
      <c r="H44" s="1726">
        <f t="shared" si="12"/>
        <v>4</v>
      </c>
      <c r="I44" s="69"/>
      <c r="J44" s="1721">
        <f t="shared" si="13"/>
        <v>3</v>
      </c>
      <c r="K44" s="69"/>
      <c r="L44" s="1721" t="str">
        <f t="shared" si="14"/>
        <v/>
      </c>
      <c r="M44" s="69"/>
      <c r="N44" s="1721">
        <f t="shared" si="15"/>
        <v>2</v>
      </c>
      <c r="O44" s="69"/>
      <c r="P44" s="1726">
        <f t="shared" si="16"/>
        <v>2</v>
      </c>
      <c r="Q44" s="69"/>
      <c r="R44" s="1721">
        <f t="shared" si="17"/>
        <v>0</v>
      </c>
      <c r="S44" s="69"/>
      <c r="T44" s="1721">
        <f t="shared" si="18"/>
        <v>2</v>
      </c>
      <c r="U44" s="69"/>
      <c r="V44" s="1721">
        <f t="shared" si="19"/>
        <v>2</v>
      </c>
      <c r="W44" s="69"/>
      <c r="X44" s="1721">
        <f t="shared" si="20"/>
        <v>2</v>
      </c>
      <c r="Y44" s="69"/>
      <c r="Z44" s="1721" t="str">
        <f t="shared" si="21"/>
        <v/>
      </c>
      <c r="AA44" s="69"/>
      <c r="AB44" s="1721">
        <f t="shared" si="22"/>
        <v>2</v>
      </c>
      <c r="AC44" s="69"/>
      <c r="AD44" s="1722">
        <f t="shared" si="23"/>
        <v>2</v>
      </c>
      <c r="AE44" s="69"/>
      <c r="AF44" s="1722">
        <f t="shared" si="24"/>
        <v>2</v>
      </c>
      <c r="AG44" s="69"/>
      <c r="AH44" s="1722">
        <f t="shared" si="25"/>
        <v>2</v>
      </c>
      <c r="AI44" s="69"/>
      <c r="AJ44" s="1722">
        <f t="shared" si="26"/>
        <v>1</v>
      </c>
      <c r="AK44" s="69"/>
      <c r="AL44" s="1722">
        <f t="shared" si="27"/>
        <v>0</v>
      </c>
      <c r="AM44" s="69"/>
      <c r="AN44" s="1722">
        <f t="shared" si="28"/>
        <v>3</v>
      </c>
      <c r="AO44" s="69"/>
      <c r="AP44" s="1722">
        <f t="shared" si="29"/>
        <v>2</v>
      </c>
      <c r="AQ44" s="69"/>
      <c r="AR44" s="1722">
        <f t="shared" si="30"/>
        <v>2</v>
      </c>
      <c r="AS44" s="69"/>
      <c r="AT44" s="1722">
        <f t="shared" si="31"/>
        <v>2</v>
      </c>
      <c r="AU44" s="69"/>
      <c r="AV44" s="1722">
        <f t="shared" si="32"/>
        <v>0</v>
      </c>
      <c r="AW44" s="69"/>
      <c r="AX44" s="1723">
        <f t="shared" si="33"/>
        <v>2</v>
      </c>
      <c r="AY44" s="69"/>
      <c r="AZ44" s="1723">
        <f t="shared" si="34"/>
        <v>0</v>
      </c>
      <c r="BA44" s="69"/>
      <c r="BB44" s="1723" t="str">
        <f t="shared" si="35"/>
        <v/>
      </c>
      <c r="BC44" s="69"/>
      <c r="BD44" s="1723">
        <f t="shared" si="36"/>
        <v>1</v>
      </c>
      <c r="BE44" s="69"/>
      <c r="BF44" s="1723">
        <f t="shared" si="37"/>
        <v>0</v>
      </c>
      <c r="BG44" s="69"/>
      <c r="BH44" s="1723">
        <f t="shared" si="38"/>
        <v>1</v>
      </c>
      <c r="BI44" s="69"/>
      <c r="BJ44" s="1723">
        <f t="shared" si="39"/>
        <v>2</v>
      </c>
      <c r="BK44" s="69"/>
      <c r="BL44" s="1487" t="str">
        <f t="shared" si="40"/>
        <v/>
      </c>
      <c r="BM44" s="69"/>
      <c r="BN44" s="1724" t="str">
        <f t="shared" si="9"/>
        <v/>
      </c>
      <c r="BO44" s="69"/>
      <c r="BP44" s="1487">
        <f t="shared" si="41"/>
        <v>43</v>
      </c>
      <c r="BQ44" s="69"/>
      <c r="BR44" s="541"/>
      <c r="BS44" s="684"/>
      <c r="BT44" s="541"/>
      <c r="BU44" s="541"/>
    </row>
    <row r="45" ht="20.25" customHeight="1">
      <c r="A45" s="1698" t="str">
        <f t="shared" si="10"/>
        <v>Да</v>
      </c>
      <c r="B45" s="1719">
        <v>3737.0</v>
      </c>
      <c r="C45" s="1693">
        <v>217.0</v>
      </c>
      <c r="D45" s="1720"/>
      <c r="E45" s="1702" t="str">
        <f t="shared" si="8"/>
        <v>Чкмерули из курицы со спагетти</v>
      </c>
      <c r="F45" s="1721">
        <f t="shared" si="11"/>
        <v>9</v>
      </c>
      <c r="G45" s="69"/>
      <c r="H45" s="1726">
        <f t="shared" si="12"/>
        <v>6</v>
      </c>
      <c r="I45" s="69"/>
      <c r="J45" s="1721">
        <f t="shared" si="13"/>
        <v>6</v>
      </c>
      <c r="K45" s="69"/>
      <c r="L45" s="1721">
        <f t="shared" si="14"/>
        <v>2</v>
      </c>
      <c r="M45" s="69"/>
      <c r="N45" s="1721">
        <f t="shared" si="15"/>
        <v>12</v>
      </c>
      <c r="O45" s="69"/>
      <c r="P45" s="1726">
        <f t="shared" si="16"/>
        <v>9</v>
      </c>
      <c r="Q45" s="69"/>
      <c r="R45" s="1721">
        <f t="shared" si="17"/>
        <v>3</v>
      </c>
      <c r="S45" s="69"/>
      <c r="T45" s="1721">
        <f t="shared" si="18"/>
        <v>2</v>
      </c>
      <c r="U45" s="69"/>
      <c r="V45" s="1721">
        <f t="shared" si="19"/>
        <v>6</v>
      </c>
      <c r="W45" s="69"/>
      <c r="X45" s="1721">
        <f t="shared" si="20"/>
        <v>4</v>
      </c>
      <c r="Y45" s="69"/>
      <c r="Z45" s="1721" t="str">
        <f t="shared" si="21"/>
        <v/>
      </c>
      <c r="AA45" s="69"/>
      <c r="AB45" s="1721">
        <f t="shared" si="22"/>
        <v>3</v>
      </c>
      <c r="AC45" s="69"/>
      <c r="AD45" s="1722">
        <f t="shared" si="23"/>
        <v>2</v>
      </c>
      <c r="AE45" s="69"/>
      <c r="AF45" s="1722">
        <f t="shared" si="24"/>
        <v>2</v>
      </c>
      <c r="AG45" s="69"/>
      <c r="AH45" s="1722">
        <f t="shared" si="25"/>
        <v>5</v>
      </c>
      <c r="AI45" s="69"/>
      <c r="AJ45" s="1722">
        <f t="shared" si="26"/>
        <v>5</v>
      </c>
      <c r="AK45" s="69"/>
      <c r="AL45" s="1722">
        <f t="shared" si="27"/>
        <v>2</v>
      </c>
      <c r="AM45" s="69"/>
      <c r="AN45" s="1722">
        <f t="shared" si="28"/>
        <v>4</v>
      </c>
      <c r="AO45" s="69"/>
      <c r="AP45" s="1722">
        <f t="shared" si="29"/>
        <v>5</v>
      </c>
      <c r="AQ45" s="69"/>
      <c r="AR45" s="1722">
        <f t="shared" si="30"/>
        <v>7</v>
      </c>
      <c r="AS45" s="69"/>
      <c r="AT45" s="1722">
        <f t="shared" si="31"/>
        <v>2</v>
      </c>
      <c r="AU45" s="69"/>
      <c r="AV45" s="1722">
        <f t="shared" si="32"/>
        <v>3</v>
      </c>
      <c r="AW45" s="69"/>
      <c r="AX45" s="1723">
        <f t="shared" si="33"/>
        <v>4</v>
      </c>
      <c r="AY45" s="69"/>
      <c r="AZ45" s="1723">
        <f t="shared" si="34"/>
        <v>3</v>
      </c>
      <c r="BA45" s="69"/>
      <c r="BB45" s="1723" t="str">
        <f t="shared" si="35"/>
        <v/>
      </c>
      <c r="BC45" s="69"/>
      <c r="BD45" s="1723">
        <f t="shared" si="36"/>
        <v>2</v>
      </c>
      <c r="BE45" s="69"/>
      <c r="BF45" s="1723">
        <f t="shared" si="37"/>
        <v>5</v>
      </c>
      <c r="BG45" s="69"/>
      <c r="BH45" s="1723">
        <f t="shared" si="38"/>
        <v>3</v>
      </c>
      <c r="BI45" s="69"/>
      <c r="BJ45" s="1723">
        <f t="shared" si="39"/>
        <v>6</v>
      </c>
      <c r="BK45" s="69"/>
      <c r="BL45" s="1487">
        <f t="shared" si="40"/>
        <v>80</v>
      </c>
      <c r="BM45" s="69"/>
      <c r="BN45" s="1724" t="str">
        <f t="shared" si="9"/>
        <v/>
      </c>
      <c r="BO45" s="69"/>
      <c r="BP45" s="1487">
        <f t="shared" si="41"/>
        <v>202</v>
      </c>
      <c r="BQ45" s="69"/>
      <c r="BR45" s="541"/>
      <c r="BS45" s="684"/>
      <c r="BT45" s="541"/>
      <c r="BU45" s="541"/>
    </row>
    <row r="46" ht="20.25" customHeight="1">
      <c r="A46" s="1698" t="str">
        <f t="shared" si="10"/>
        <v>Да</v>
      </c>
      <c r="B46" s="1719">
        <v>1009.0</v>
      </c>
      <c r="C46" s="1693">
        <v>198.0</v>
      </c>
      <c r="D46" s="1720"/>
      <c r="E46" s="1702" t="str">
        <f t="shared" si="8"/>
        <v>Свинина по-баварски с картофелем </v>
      </c>
      <c r="F46" s="1721">
        <f t="shared" si="11"/>
        <v>2</v>
      </c>
      <c r="G46" s="69"/>
      <c r="H46" s="1726">
        <f t="shared" si="12"/>
        <v>4</v>
      </c>
      <c r="I46" s="69"/>
      <c r="J46" s="1721">
        <f t="shared" si="13"/>
        <v>6</v>
      </c>
      <c r="K46" s="69"/>
      <c r="L46" s="1721">
        <f t="shared" si="14"/>
        <v>2</v>
      </c>
      <c r="M46" s="69"/>
      <c r="N46" s="1721">
        <f t="shared" si="15"/>
        <v>6</v>
      </c>
      <c r="O46" s="69"/>
      <c r="P46" s="1726">
        <f t="shared" si="16"/>
        <v>3</v>
      </c>
      <c r="Q46" s="69"/>
      <c r="R46" s="1721">
        <f t="shared" si="17"/>
        <v>2</v>
      </c>
      <c r="S46" s="69"/>
      <c r="T46" s="1721">
        <f t="shared" si="18"/>
        <v>2</v>
      </c>
      <c r="U46" s="69"/>
      <c r="V46" s="1721">
        <f t="shared" si="19"/>
        <v>3</v>
      </c>
      <c r="W46" s="69"/>
      <c r="X46" s="1721">
        <f t="shared" si="20"/>
        <v>2</v>
      </c>
      <c r="Y46" s="69"/>
      <c r="Z46" s="1721" t="str">
        <f t="shared" si="21"/>
        <v/>
      </c>
      <c r="AA46" s="69"/>
      <c r="AB46" s="1721">
        <f t="shared" si="22"/>
        <v>3</v>
      </c>
      <c r="AC46" s="69"/>
      <c r="AD46" s="1722">
        <f t="shared" si="23"/>
        <v>3</v>
      </c>
      <c r="AE46" s="69"/>
      <c r="AF46" s="1722">
        <f t="shared" si="24"/>
        <v>1</v>
      </c>
      <c r="AG46" s="69"/>
      <c r="AH46" s="1722">
        <f t="shared" si="25"/>
        <v>3</v>
      </c>
      <c r="AI46" s="69"/>
      <c r="AJ46" s="1722">
        <f t="shared" si="26"/>
        <v>3</v>
      </c>
      <c r="AK46" s="69"/>
      <c r="AL46" s="1722">
        <f t="shared" si="27"/>
        <v>3</v>
      </c>
      <c r="AM46" s="69"/>
      <c r="AN46" s="1722">
        <f t="shared" si="28"/>
        <v>2</v>
      </c>
      <c r="AO46" s="69"/>
      <c r="AP46" s="1722">
        <f t="shared" si="29"/>
        <v>0</v>
      </c>
      <c r="AQ46" s="69"/>
      <c r="AR46" s="1722">
        <f t="shared" si="30"/>
        <v>4</v>
      </c>
      <c r="AS46" s="69"/>
      <c r="AT46" s="1722">
        <f t="shared" si="31"/>
        <v>2</v>
      </c>
      <c r="AU46" s="69"/>
      <c r="AV46" s="1722">
        <f t="shared" si="32"/>
        <v>2</v>
      </c>
      <c r="AW46" s="69"/>
      <c r="AX46" s="1723">
        <f t="shared" si="33"/>
        <v>2</v>
      </c>
      <c r="AY46" s="69"/>
      <c r="AZ46" s="1723">
        <f t="shared" si="34"/>
        <v>1</v>
      </c>
      <c r="BA46" s="69"/>
      <c r="BB46" s="1723" t="str">
        <f t="shared" si="35"/>
        <v/>
      </c>
      <c r="BC46" s="69"/>
      <c r="BD46" s="1723">
        <f t="shared" si="36"/>
        <v>1</v>
      </c>
      <c r="BE46" s="69"/>
      <c r="BF46" s="1723">
        <f t="shared" si="37"/>
        <v>3</v>
      </c>
      <c r="BG46" s="69"/>
      <c r="BH46" s="1723" t="str">
        <f t="shared" si="38"/>
        <v/>
      </c>
      <c r="BI46" s="69"/>
      <c r="BJ46" s="1723">
        <f t="shared" si="39"/>
        <v>4</v>
      </c>
      <c r="BK46" s="69"/>
      <c r="BL46" s="1487">
        <f t="shared" si="40"/>
        <v>26</v>
      </c>
      <c r="BM46" s="69"/>
      <c r="BN46" s="1724" t="str">
        <f t="shared" si="9"/>
        <v/>
      </c>
      <c r="BO46" s="69"/>
      <c r="BP46" s="1487">
        <f t="shared" si="41"/>
        <v>95</v>
      </c>
      <c r="BQ46" s="69"/>
      <c r="BR46" s="684"/>
      <c r="BS46" s="684"/>
      <c r="BT46" s="541"/>
      <c r="BU46" s="541"/>
    </row>
    <row r="47" ht="20.25" customHeight="1">
      <c r="A47" s="1698" t="str">
        <f t="shared" si="10"/>
        <v>Да</v>
      </c>
      <c r="B47" s="1719">
        <v>546.0</v>
      </c>
      <c r="C47" s="1693">
        <v>228.0</v>
      </c>
      <c r="D47" s="1720"/>
      <c r="E47" s="1702" t="str">
        <f t="shared" si="8"/>
        <v>Филе с грибами и рисом</v>
      </c>
      <c r="F47" s="1721">
        <f t="shared" si="11"/>
        <v>10</v>
      </c>
      <c r="G47" s="69"/>
      <c r="H47" s="1726">
        <f t="shared" si="12"/>
        <v>6</v>
      </c>
      <c r="I47" s="69"/>
      <c r="J47" s="1721">
        <f t="shared" si="13"/>
        <v>6</v>
      </c>
      <c r="K47" s="69"/>
      <c r="L47" s="1721">
        <f t="shared" si="14"/>
        <v>7</v>
      </c>
      <c r="M47" s="69"/>
      <c r="N47" s="1721">
        <f t="shared" si="15"/>
        <v>11</v>
      </c>
      <c r="O47" s="69"/>
      <c r="P47" s="1726">
        <f t="shared" si="16"/>
        <v>6</v>
      </c>
      <c r="Q47" s="69"/>
      <c r="R47" s="1721">
        <f t="shared" si="17"/>
        <v>4</v>
      </c>
      <c r="S47" s="69"/>
      <c r="T47" s="1721">
        <f t="shared" si="18"/>
        <v>8</v>
      </c>
      <c r="U47" s="69"/>
      <c r="V47" s="1721">
        <f t="shared" si="19"/>
        <v>8</v>
      </c>
      <c r="W47" s="69"/>
      <c r="X47" s="1721">
        <f t="shared" si="20"/>
        <v>7</v>
      </c>
      <c r="Y47" s="69"/>
      <c r="Z47" s="1721" t="str">
        <f t="shared" si="21"/>
        <v/>
      </c>
      <c r="AA47" s="69"/>
      <c r="AB47" s="1721">
        <f t="shared" si="22"/>
        <v>2</v>
      </c>
      <c r="AC47" s="69"/>
      <c r="AD47" s="1722">
        <f t="shared" si="23"/>
        <v>5</v>
      </c>
      <c r="AE47" s="69"/>
      <c r="AF47" s="1722">
        <f t="shared" si="24"/>
        <v>9</v>
      </c>
      <c r="AG47" s="69"/>
      <c r="AH47" s="1722">
        <f t="shared" si="25"/>
        <v>5</v>
      </c>
      <c r="AI47" s="69"/>
      <c r="AJ47" s="1722">
        <f t="shared" si="26"/>
        <v>5</v>
      </c>
      <c r="AK47" s="69"/>
      <c r="AL47" s="1722">
        <f t="shared" si="27"/>
        <v>7</v>
      </c>
      <c r="AM47" s="69"/>
      <c r="AN47" s="1722">
        <f t="shared" si="28"/>
        <v>3</v>
      </c>
      <c r="AO47" s="69"/>
      <c r="AP47" s="1722">
        <f t="shared" si="29"/>
        <v>4</v>
      </c>
      <c r="AQ47" s="69"/>
      <c r="AR47" s="1722">
        <f t="shared" si="30"/>
        <v>8</v>
      </c>
      <c r="AS47" s="69"/>
      <c r="AT47" s="1722">
        <f t="shared" si="31"/>
        <v>7</v>
      </c>
      <c r="AU47" s="69"/>
      <c r="AV47" s="1722">
        <f t="shared" si="32"/>
        <v>4</v>
      </c>
      <c r="AW47" s="69"/>
      <c r="AX47" s="1723">
        <f t="shared" si="33"/>
        <v>6</v>
      </c>
      <c r="AY47" s="69"/>
      <c r="AZ47" s="1723">
        <f t="shared" si="34"/>
        <v>3</v>
      </c>
      <c r="BA47" s="69"/>
      <c r="BB47" s="1723" t="str">
        <f t="shared" si="35"/>
        <v/>
      </c>
      <c r="BC47" s="69"/>
      <c r="BD47" s="1723">
        <f t="shared" si="36"/>
        <v>6</v>
      </c>
      <c r="BE47" s="69"/>
      <c r="BF47" s="1723">
        <f t="shared" si="37"/>
        <v>4</v>
      </c>
      <c r="BG47" s="69"/>
      <c r="BH47" s="1723">
        <f t="shared" si="38"/>
        <v>5</v>
      </c>
      <c r="BI47" s="69"/>
      <c r="BJ47" s="1723">
        <f t="shared" si="39"/>
        <v>6</v>
      </c>
      <c r="BK47" s="69"/>
      <c r="BL47" s="1487" t="str">
        <f t="shared" si="40"/>
        <v/>
      </c>
      <c r="BM47" s="69"/>
      <c r="BN47" s="1724" t="str">
        <f t="shared" si="9"/>
        <v/>
      </c>
      <c r="BO47" s="69"/>
      <c r="BP47" s="1487">
        <f t="shared" si="41"/>
        <v>162</v>
      </c>
      <c r="BQ47" s="69"/>
      <c r="BR47" s="684"/>
      <c r="BS47" s="684"/>
      <c r="BT47" s="541"/>
      <c r="BU47" s="541"/>
    </row>
    <row r="48" ht="20.25" customHeight="1">
      <c r="A48" s="1698" t="str">
        <f t="shared" si="10"/>
        <v>Да</v>
      </c>
      <c r="B48" s="1719">
        <v>4294.0</v>
      </c>
      <c r="C48" s="1693">
        <v>215.0</v>
      </c>
      <c r="D48" s="1720"/>
      <c r="E48" s="1702" t="str">
        <f t="shared" si="8"/>
        <v>Пангасиус запеченый с картофельным пюре</v>
      </c>
      <c r="F48" s="1721">
        <f t="shared" si="11"/>
        <v>2</v>
      </c>
      <c r="G48" s="69"/>
      <c r="H48" s="1721">
        <f t="shared" si="12"/>
        <v>3</v>
      </c>
      <c r="I48" s="69"/>
      <c r="J48" s="1721">
        <f t="shared" si="13"/>
        <v>3</v>
      </c>
      <c r="K48" s="69"/>
      <c r="L48" s="1721">
        <f t="shared" si="14"/>
        <v>3</v>
      </c>
      <c r="M48" s="69"/>
      <c r="N48" s="1721">
        <f t="shared" si="15"/>
        <v>5</v>
      </c>
      <c r="O48" s="69"/>
      <c r="P48" s="1721" t="str">
        <f t="shared" si="16"/>
        <v/>
      </c>
      <c r="Q48" s="69"/>
      <c r="R48" s="1721" t="str">
        <f t="shared" si="17"/>
        <v/>
      </c>
      <c r="S48" s="69"/>
      <c r="T48" s="1721" t="str">
        <f t="shared" si="18"/>
        <v/>
      </c>
      <c r="U48" s="69"/>
      <c r="V48" s="1721" t="str">
        <f t="shared" si="19"/>
        <v/>
      </c>
      <c r="W48" s="69"/>
      <c r="X48" s="1721">
        <f t="shared" si="20"/>
        <v>3</v>
      </c>
      <c r="Y48" s="69"/>
      <c r="Z48" s="1721" t="str">
        <f>#REF!</f>
        <v>#REF!</v>
      </c>
      <c r="AA48" s="69"/>
      <c r="AB48" s="1721" t="str">
        <f t="shared" si="22"/>
        <v/>
      </c>
      <c r="AC48" s="69"/>
      <c r="AD48" s="1722" t="str">
        <f t="shared" si="23"/>
        <v/>
      </c>
      <c r="AE48" s="69"/>
      <c r="AF48" s="1722">
        <f t="shared" si="24"/>
        <v>4</v>
      </c>
      <c r="AG48" s="69"/>
      <c r="AH48" s="1722" t="str">
        <f t="shared" si="25"/>
        <v/>
      </c>
      <c r="AI48" s="69"/>
      <c r="AJ48" s="1722" t="str">
        <f t="shared" si="26"/>
        <v/>
      </c>
      <c r="AK48" s="69"/>
      <c r="AL48" s="1722">
        <f t="shared" si="27"/>
        <v>2</v>
      </c>
      <c r="AM48" s="69"/>
      <c r="AN48" s="1722">
        <f t="shared" si="28"/>
        <v>2</v>
      </c>
      <c r="AO48" s="69"/>
      <c r="AP48" s="1722" t="str">
        <f t="shared" si="29"/>
        <v/>
      </c>
      <c r="AQ48" s="69"/>
      <c r="AR48" s="1722">
        <f t="shared" si="30"/>
        <v>2</v>
      </c>
      <c r="AS48" s="69"/>
      <c r="AT48" s="1722" t="str">
        <f t="shared" si="31"/>
        <v/>
      </c>
      <c r="AU48" s="69"/>
      <c r="AV48" s="1722" t="str">
        <f t="shared" si="32"/>
        <v/>
      </c>
      <c r="AW48" s="69"/>
      <c r="AX48" s="1723">
        <f t="shared" si="33"/>
        <v>2</v>
      </c>
      <c r="AY48" s="69"/>
      <c r="AZ48" s="1723">
        <f t="shared" si="34"/>
        <v>2</v>
      </c>
      <c r="BA48" s="69"/>
      <c r="BB48" s="1723" t="str">
        <f t="shared" si="35"/>
        <v/>
      </c>
      <c r="BC48" s="69"/>
      <c r="BD48" s="1723" t="str">
        <f t="shared" si="36"/>
        <v/>
      </c>
      <c r="BE48" s="69"/>
      <c r="BF48" s="1723" t="str">
        <f t="shared" si="37"/>
        <v/>
      </c>
      <c r="BG48" s="69"/>
      <c r="BH48" s="1723">
        <f t="shared" si="38"/>
        <v>2</v>
      </c>
      <c r="BI48" s="69"/>
      <c r="BJ48" s="1723">
        <f t="shared" si="39"/>
        <v>3</v>
      </c>
      <c r="BK48" s="69"/>
      <c r="BL48" s="1487">
        <f t="shared" si="40"/>
        <v>27</v>
      </c>
      <c r="BM48" s="69"/>
      <c r="BN48" s="1724" t="str">
        <f t="shared" si="9"/>
        <v/>
      </c>
      <c r="BO48" s="69"/>
      <c r="BP48" s="1487" t="str">
        <f t="shared" si="41"/>
        <v>#REF!</v>
      </c>
      <c r="BQ48" s="69"/>
      <c r="BR48" s="684"/>
      <c r="BS48" s="684"/>
      <c r="BT48" s="541"/>
      <c r="BU48" s="541"/>
    </row>
    <row r="49" ht="20.25" customHeight="1">
      <c r="A49" s="1698" t="str">
        <f t="shared" si="10"/>
        <v>Да</v>
      </c>
      <c r="B49" s="1719">
        <v>4295.0</v>
      </c>
      <c r="C49" s="1693">
        <v>218.0</v>
      </c>
      <c r="D49" s="1720"/>
      <c r="E49" s="1702" t="str">
        <f t="shared" si="8"/>
        <v>Щука жареная с картофельным пюре </v>
      </c>
      <c r="F49" s="1721">
        <f t="shared" si="11"/>
        <v>2</v>
      </c>
      <c r="G49" s="69"/>
      <c r="H49" s="1726">
        <f t="shared" si="12"/>
        <v>1</v>
      </c>
      <c r="I49" s="69"/>
      <c r="J49" s="1721">
        <f t="shared" si="13"/>
        <v>4</v>
      </c>
      <c r="K49" s="69"/>
      <c r="L49" s="1721">
        <f t="shared" si="14"/>
        <v>2</v>
      </c>
      <c r="M49" s="69"/>
      <c r="N49" s="1721">
        <f t="shared" si="15"/>
        <v>5</v>
      </c>
      <c r="O49" s="69"/>
      <c r="P49" s="1726">
        <f t="shared" si="16"/>
        <v>5</v>
      </c>
      <c r="Q49" s="69"/>
      <c r="R49" s="1721">
        <f t="shared" si="17"/>
        <v>2</v>
      </c>
      <c r="S49" s="69"/>
      <c r="T49" s="1721">
        <f t="shared" si="18"/>
        <v>2</v>
      </c>
      <c r="U49" s="69"/>
      <c r="V49" s="1721">
        <f t="shared" si="19"/>
        <v>3</v>
      </c>
      <c r="W49" s="69"/>
      <c r="X49" s="1721">
        <f t="shared" si="20"/>
        <v>3</v>
      </c>
      <c r="Y49" s="69"/>
      <c r="Z49" s="1721" t="str">
        <f t="shared" ref="Z49:Z59" si="42">AA17</f>
        <v/>
      </c>
      <c r="AA49" s="69"/>
      <c r="AB49" s="1721">
        <f t="shared" si="22"/>
        <v>2</v>
      </c>
      <c r="AC49" s="69"/>
      <c r="AD49" s="1722">
        <f t="shared" si="23"/>
        <v>2</v>
      </c>
      <c r="AE49" s="69"/>
      <c r="AF49" s="1722">
        <f t="shared" si="24"/>
        <v>3</v>
      </c>
      <c r="AG49" s="69"/>
      <c r="AH49" s="1722">
        <f t="shared" si="25"/>
        <v>2</v>
      </c>
      <c r="AI49" s="69"/>
      <c r="AJ49" s="1722">
        <f t="shared" si="26"/>
        <v>3</v>
      </c>
      <c r="AK49" s="69"/>
      <c r="AL49" s="1722">
        <f t="shared" si="27"/>
        <v>3</v>
      </c>
      <c r="AM49" s="69"/>
      <c r="AN49" s="1722">
        <f t="shared" si="28"/>
        <v>3</v>
      </c>
      <c r="AO49" s="69"/>
      <c r="AP49" s="1722">
        <f t="shared" si="29"/>
        <v>2</v>
      </c>
      <c r="AQ49" s="69"/>
      <c r="AR49" s="1722">
        <f t="shared" si="30"/>
        <v>2</v>
      </c>
      <c r="AS49" s="69"/>
      <c r="AT49" s="1722">
        <f t="shared" si="31"/>
        <v>3</v>
      </c>
      <c r="AU49" s="69"/>
      <c r="AV49" s="1722">
        <f t="shared" si="32"/>
        <v>2</v>
      </c>
      <c r="AW49" s="69"/>
      <c r="AX49" s="1723">
        <f t="shared" si="33"/>
        <v>2</v>
      </c>
      <c r="AY49" s="69"/>
      <c r="AZ49" s="1723">
        <f t="shared" si="34"/>
        <v>0</v>
      </c>
      <c r="BA49" s="69"/>
      <c r="BB49" s="1723" t="str">
        <f t="shared" si="35"/>
        <v/>
      </c>
      <c r="BC49" s="69"/>
      <c r="BD49" s="1723">
        <f t="shared" si="36"/>
        <v>2</v>
      </c>
      <c r="BE49" s="69"/>
      <c r="BF49" s="1723">
        <f t="shared" si="37"/>
        <v>2</v>
      </c>
      <c r="BG49" s="69"/>
      <c r="BH49" s="1723">
        <f t="shared" si="38"/>
        <v>2</v>
      </c>
      <c r="BI49" s="69"/>
      <c r="BJ49" s="1723">
        <f t="shared" si="39"/>
        <v>3</v>
      </c>
      <c r="BK49" s="69"/>
      <c r="BL49" s="1487" t="str">
        <f t="shared" si="40"/>
        <v/>
      </c>
      <c r="BM49" s="69"/>
      <c r="BN49" s="1724" t="str">
        <f t="shared" si="9"/>
        <v/>
      </c>
      <c r="BO49" s="69"/>
      <c r="BP49" s="1487">
        <f t="shared" si="41"/>
        <v>67</v>
      </c>
      <c r="BQ49" s="69"/>
      <c r="BR49" s="684"/>
      <c r="BS49" s="684"/>
      <c r="BT49" s="541"/>
      <c r="BU49" s="541"/>
    </row>
    <row r="50" ht="20.25" customHeight="1">
      <c r="A50" s="1698" t="str">
        <f t="shared" si="10"/>
        <v/>
      </c>
      <c r="B50" s="1719"/>
      <c r="C50" s="1693"/>
      <c r="D50" s="1720"/>
      <c r="E50" s="1702" t="str">
        <f t="shared" si="8"/>
        <v/>
      </c>
      <c r="F50" s="1721" t="str">
        <f t="shared" si="11"/>
        <v/>
      </c>
      <c r="G50" s="69"/>
      <c r="H50" s="1721" t="str">
        <f t="shared" si="12"/>
        <v/>
      </c>
      <c r="I50" s="69"/>
      <c r="J50" s="1721" t="str">
        <f t="shared" si="13"/>
        <v/>
      </c>
      <c r="K50" s="69"/>
      <c r="L50" s="1721" t="str">
        <f t="shared" si="14"/>
        <v/>
      </c>
      <c r="M50" s="69"/>
      <c r="N50" s="1721" t="str">
        <f t="shared" si="15"/>
        <v/>
      </c>
      <c r="O50" s="69"/>
      <c r="P50" s="1726" t="str">
        <f t="shared" si="16"/>
        <v/>
      </c>
      <c r="Q50" s="69"/>
      <c r="R50" s="1721" t="str">
        <f t="shared" si="17"/>
        <v/>
      </c>
      <c r="S50" s="69"/>
      <c r="T50" s="1721" t="str">
        <f t="shared" si="18"/>
        <v/>
      </c>
      <c r="U50" s="69"/>
      <c r="V50" s="1721" t="str">
        <f t="shared" si="19"/>
        <v/>
      </c>
      <c r="W50" s="69"/>
      <c r="X50" s="1721" t="str">
        <f t="shared" si="20"/>
        <v/>
      </c>
      <c r="Y50" s="69"/>
      <c r="Z50" s="1721" t="str">
        <f t="shared" si="42"/>
        <v/>
      </c>
      <c r="AA50" s="69"/>
      <c r="AB50" s="1721" t="str">
        <f t="shared" si="22"/>
        <v/>
      </c>
      <c r="AC50" s="69"/>
      <c r="AD50" s="1722" t="str">
        <f t="shared" si="23"/>
        <v/>
      </c>
      <c r="AE50" s="69"/>
      <c r="AF50" s="1722" t="str">
        <f t="shared" si="24"/>
        <v/>
      </c>
      <c r="AG50" s="69"/>
      <c r="AH50" s="1722" t="str">
        <f t="shared" si="25"/>
        <v/>
      </c>
      <c r="AI50" s="69"/>
      <c r="AJ50" s="1722" t="str">
        <f t="shared" si="26"/>
        <v/>
      </c>
      <c r="AK50" s="69"/>
      <c r="AL50" s="1722" t="str">
        <f t="shared" si="27"/>
        <v/>
      </c>
      <c r="AM50" s="69"/>
      <c r="AN50" s="1722" t="str">
        <f t="shared" si="28"/>
        <v/>
      </c>
      <c r="AO50" s="69"/>
      <c r="AP50" s="1722" t="str">
        <f t="shared" si="29"/>
        <v/>
      </c>
      <c r="AQ50" s="69"/>
      <c r="AR50" s="1722" t="str">
        <f t="shared" si="30"/>
        <v/>
      </c>
      <c r="AS50" s="69"/>
      <c r="AT50" s="1722" t="str">
        <f t="shared" si="31"/>
        <v/>
      </c>
      <c r="AU50" s="69"/>
      <c r="AV50" s="1722" t="str">
        <f t="shared" si="32"/>
        <v/>
      </c>
      <c r="AW50" s="69"/>
      <c r="AX50" s="1723" t="str">
        <f t="shared" si="33"/>
        <v/>
      </c>
      <c r="AY50" s="69"/>
      <c r="AZ50" s="1723" t="str">
        <f t="shared" si="34"/>
        <v/>
      </c>
      <c r="BA50" s="69"/>
      <c r="BB50" s="1723" t="str">
        <f t="shared" si="35"/>
        <v/>
      </c>
      <c r="BC50" s="69"/>
      <c r="BD50" s="1723" t="str">
        <f t="shared" si="36"/>
        <v/>
      </c>
      <c r="BE50" s="69"/>
      <c r="BF50" s="1723" t="str">
        <f t="shared" si="37"/>
        <v/>
      </c>
      <c r="BG50" s="69"/>
      <c r="BH50" s="1723" t="str">
        <f t="shared" si="38"/>
        <v/>
      </c>
      <c r="BI50" s="69"/>
      <c r="BJ50" s="1723" t="str">
        <f t="shared" si="39"/>
        <v/>
      </c>
      <c r="BK50" s="69"/>
      <c r="BL50" s="1487" t="str">
        <f t="shared" si="40"/>
        <v/>
      </c>
      <c r="BM50" s="69"/>
      <c r="BN50" s="1724" t="str">
        <f t="shared" si="9"/>
        <v/>
      </c>
      <c r="BO50" s="69"/>
      <c r="BP50" s="1487">
        <f t="shared" si="41"/>
        <v>0</v>
      </c>
      <c r="BQ50" s="69"/>
      <c r="BR50" s="684"/>
      <c r="BS50" s="684"/>
      <c r="BT50" s="541"/>
      <c r="BU50" s="541"/>
    </row>
    <row r="51" ht="20.25" customHeight="1">
      <c r="A51" s="1698" t="str">
        <f t="shared" si="10"/>
        <v/>
      </c>
      <c r="B51" s="1719"/>
      <c r="C51" s="1693"/>
      <c r="D51" s="1720"/>
      <c r="E51" s="1702" t="str">
        <f t="shared" si="8"/>
        <v/>
      </c>
      <c r="F51" s="1721" t="str">
        <f t="shared" si="11"/>
        <v/>
      </c>
      <c r="G51" s="69"/>
      <c r="H51" s="1721" t="str">
        <f t="shared" si="12"/>
        <v/>
      </c>
      <c r="I51" s="69"/>
      <c r="J51" s="1721" t="str">
        <f t="shared" si="13"/>
        <v/>
      </c>
      <c r="K51" s="69"/>
      <c r="L51" s="1721" t="str">
        <f t="shared" si="14"/>
        <v/>
      </c>
      <c r="M51" s="69"/>
      <c r="N51" s="1721" t="str">
        <f t="shared" si="15"/>
        <v/>
      </c>
      <c r="O51" s="69"/>
      <c r="P51" s="1726" t="str">
        <f t="shared" si="16"/>
        <v/>
      </c>
      <c r="Q51" s="69"/>
      <c r="R51" s="1721" t="str">
        <f t="shared" si="17"/>
        <v/>
      </c>
      <c r="S51" s="69"/>
      <c r="T51" s="1721" t="str">
        <f t="shared" si="18"/>
        <v/>
      </c>
      <c r="U51" s="69"/>
      <c r="V51" s="1721" t="str">
        <f t="shared" si="19"/>
        <v/>
      </c>
      <c r="W51" s="69"/>
      <c r="X51" s="1721" t="str">
        <f t="shared" si="20"/>
        <v/>
      </c>
      <c r="Y51" s="69"/>
      <c r="Z51" s="1721" t="str">
        <f t="shared" si="42"/>
        <v/>
      </c>
      <c r="AA51" s="69"/>
      <c r="AB51" s="1721" t="str">
        <f t="shared" si="22"/>
        <v/>
      </c>
      <c r="AC51" s="69"/>
      <c r="AD51" s="1722" t="str">
        <f t="shared" si="23"/>
        <v/>
      </c>
      <c r="AE51" s="69"/>
      <c r="AF51" s="1722" t="str">
        <f t="shared" si="24"/>
        <v/>
      </c>
      <c r="AG51" s="69"/>
      <c r="AH51" s="1722" t="str">
        <f t="shared" si="25"/>
        <v/>
      </c>
      <c r="AI51" s="69"/>
      <c r="AJ51" s="1722" t="str">
        <f t="shared" si="26"/>
        <v/>
      </c>
      <c r="AK51" s="69"/>
      <c r="AL51" s="1722" t="str">
        <f t="shared" si="27"/>
        <v/>
      </c>
      <c r="AM51" s="69"/>
      <c r="AN51" s="1722" t="str">
        <f t="shared" si="28"/>
        <v/>
      </c>
      <c r="AO51" s="69"/>
      <c r="AP51" s="1722" t="str">
        <f t="shared" si="29"/>
        <v/>
      </c>
      <c r="AQ51" s="69"/>
      <c r="AR51" s="1722" t="str">
        <f t="shared" si="30"/>
        <v/>
      </c>
      <c r="AS51" s="69"/>
      <c r="AT51" s="1722" t="str">
        <f t="shared" si="31"/>
        <v/>
      </c>
      <c r="AU51" s="69"/>
      <c r="AV51" s="1722" t="str">
        <f t="shared" si="32"/>
        <v/>
      </c>
      <c r="AW51" s="69"/>
      <c r="AX51" s="1723" t="str">
        <f t="shared" si="33"/>
        <v/>
      </c>
      <c r="AY51" s="69"/>
      <c r="AZ51" s="1723" t="str">
        <f t="shared" si="34"/>
        <v/>
      </c>
      <c r="BA51" s="69"/>
      <c r="BB51" s="1723" t="str">
        <f t="shared" si="35"/>
        <v/>
      </c>
      <c r="BC51" s="69"/>
      <c r="BD51" s="1723" t="str">
        <f t="shared" si="36"/>
        <v/>
      </c>
      <c r="BE51" s="69"/>
      <c r="BF51" s="1723" t="str">
        <f t="shared" si="37"/>
        <v/>
      </c>
      <c r="BG51" s="69"/>
      <c r="BH51" s="1723" t="str">
        <f t="shared" si="38"/>
        <v/>
      </c>
      <c r="BI51" s="69"/>
      <c r="BJ51" s="1723" t="str">
        <f t="shared" si="39"/>
        <v/>
      </c>
      <c r="BK51" s="69"/>
      <c r="BL51" s="1487" t="str">
        <f t="shared" si="40"/>
        <v/>
      </c>
      <c r="BM51" s="69"/>
      <c r="BN51" s="1724" t="str">
        <f t="shared" si="9"/>
        <v/>
      </c>
      <c r="BO51" s="69"/>
      <c r="BP51" s="1487">
        <f t="shared" si="41"/>
        <v>0</v>
      </c>
      <c r="BQ51" s="69"/>
      <c r="BR51" s="684"/>
      <c r="BS51" s="684"/>
      <c r="BT51" s="541"/>
      <c r="BU51" s="541"/>
    </row>
    <row r="52" ht="20.25" customHeight="1">
      <c r="A52" s="1698" t="str">
        <f t="shared" si="10"/>
        <v>Да</v>
      </c>
      <c r="B52" s="1719">
        <v>4224.0</v>
      </c>
      <c r="C52" s="1693">
        <v>281.0</v>
      </c>
      <c r="D52" s="1720"/>
      <c r="E52" s="1702" t="str">
        <f t="shared" si="8"/>
        <v>Курица Пармиджано с овощным соте</v>
      </c>
      <c r="F52" s="1721">
        <f t="shared" si="11"/>
        <v>8</v>
      </c>
      <c r="G52" s="69"/>
      <c r="H52" s="1721">
        <f t="shared" si="12"/>
        <v>2</v>
      </c>
      <c r="I52" s="69"/>
      <c r="J52" s="1721">
        <f t="shared" si="13"/>
        <v>6</v>
      </c>
      <c r="K52" s="69"/>
      <c r="L52" s="1721">
        <f t="shared" si="14"/>
        <v>4</v>
      </c>
      <c r="M52" s="69"/>
      <c r="N52" s="1721">
        <f t="shared" si="15"/>
        <v>5</v>
      </c>
      <c r="O52" s="69"/>
      <c r="P52" s="1726">
        <f t="shared" si="16"/>
        <v>4</v>
      </c>
      <c r="Q52" s="69"/>
      <c r="R52" s="1721">
        <f t="shared" si="17"/>
        <v>2</v>
      </c>
      <c r="S52" s="69"/>
      <c r="T52" s="1721">
        <f t="shared" si="18"/>
        <v>4</v>
      </c>
      <c r="U52" s="69"/>
      <c r="V52" s="1721">
        <f t="shared" si="19"/>
        <v>5</v>
      </c>
      <c r="W52" s="69"/>
      <c r="X52" s="1721">
        <f t="shared" si="20"/>
        <v>4</v>
      </c>
      <c r="Y52" s="69"/>
      <c r="Z52" s="1721" t="str">
        <f t="shared" si="42"/>
        <v/>
      </c>
      <c r="AA52" s="69"/>
      <c r="AB52" s="1721">
        <f t="shared" si="22"/>
        <v>3</v>
      </c>
      <c r="AC52" s="69"/>
      <c r="AD52" s="1722">
        <f t="shared" si="23"/>
        <v>3</v>
      </c>
      <c r="AE52" s="69"/>
      <c r="AF52" s="1722">
        <f t="shared" si="24"/>
        <v>4</v>
      </c>
      <c r="AG52" s="69"/>
      <c r="AH52" s="1722">
        <f t="shared" si="25"/>
        <v>2</v>
      </c>
      <c r="AI52" s="69"/>
      <c r="AJ52" s="1722">
        <f t="shared" si="26"/>
        <v>3</v>
      </c>
      <c r="AK52" s="69"/>
      <c r="AL52" s="1722">
        <f t="shared" si="27"/>
        <v>6</v>
      </c>
      <c r="AM52" s="69"/>
      <c r="AN52" s="1722">
        <f t="shared" si="28"/>
        <v>4</v>
      </c>
      <c r="AO52" s="69"/>
      <c r="AP52" s="1722">
        <f t="shared" si="29"/>
        <v>3</v>
      </c>
      <c r="AQ52" s="69"/>
      <c r="AR52" s="1722">
        <f t="shared" si="30"/>
        <v>4</v>
      </c>
      <c r="AS52" s="69"/>
      <c r="AT52" s="1722">
        <f t="shared" si="31"/>
        <v>3</v>
      </c>
      <c r="AU52" s="69"/>
      <c r="AV52" s="1722">
        <f t="shared" si="32"/>
        <v>1</v>
      </c>
      <c r="AW52" s="69"/>
      <c r="AX52" s="1723">
        <f t="shared" si="33"/>
        <v>3</v>
      </c>
      <c r="AY52" s="69"/>
      <c r="AZ52" s="1723">
        <f t="shared" si="34"/>
        <v>2</v>
      </c>
      <c r="BA52" s="69"/>
      <c r="BB52" s="1723" t="str">
        <f t="shared" si="35"/>
        <v/>
      </c>
      <c r="BC52" s="69"/>
      <c r="BD52" s="1723">
        <f t="shared" si="36"/>
        <v>2</v>
      </c>
      <c r="BE52" s="69"/>
      <c r="BF52" s="1723">
        <f t="shared" si="37"/>
        <v>2</v>
      </c>
      <c r="BG52" s="69"/>
      <c r="BH52" s="1723">
        <f t="shared" si="38"/>
        <v>5</v>
      </c>
      <c r="BI52" s="69"/>
      <c r="BJ52" s="1723">
        <f t="shared" si="39"/>
        <v>6</v>
      </c>
      <c r="BK52" s="69"/>
      <c r="BL52" s="1487" t="str">
        <f t="shared" si="40"/>
        <v/>
      </c>
      <c r="BM52" s="69"/>
      <c r="BN52" s="1724" t="str">
        <f t="shared" si="9"/>
        <v/>
      </c>
      <c r="BO52" s="69"/>
      <c r="BP52" s="1487">
        <f t="shared" si="41"/>
        <v>100</v>
      </c>
      <c r="BQ52" s="69"/>
      <c r="BR52" s="684"/>
      <c r="BS52" s="684"/>
      <c r="BT52" s="541"/>
      <c r="BU52" s="541"/>
    </row>
    <row r="53" ht="20.25" customHeight="1">
      <c r="A53" s="1698" t="str">
        <f t="shared" si="10"/>
        <v/>
      </c>
      <c r="B53" s="1719"/>
      <c r="C53" s="1693"/>
      <c r="D53" s="1720"/>
      <c r="E53" s="1702" t="str">
        <f t="shared" si="8"/>
        <v/>
      </c>
      <c r="F53" s="1721" t="str">
        <f t="shared" si="11"/>
        <v/>
      </c>
      <c r="G53" s="69"/>
      <c r="H53" s="1721" t="str">
        <f t="shared" si="12"/>
        <v/>
      </c>
      <c r="I53" s="69"/>
      <c r="J53" s="1721" t="str">
        <f t="shared" si="13"/>
        <v/>
      </c>
      <c r="K53" s="69"/>
      <c r="L53" s="1721" t="str">
        <f t="shared" si="14"/>
        <v/>
      </c>
      <c r="M53" s="69"/>
      <c r="N53" s="1721" t="str">
        <f t="shared" si="15"/>
        <v/>
      </c>
      <c r="O53" s="69"/>
      <c r="P53" s="1721" t="str">
        <f t="shared" si="16"/>
        <v/>
      </c>
      <c r="Q53" s="69"/>
      <c r="R53" s="1721" t="str">
        <f t="shared" si="17"/>
        <v/>
      </c>
      <c r="S53" s="69"/>
      <c r="T53" s="1721" t="str">
        <f t="shared" si="18"/>
        <v/>
      </c>
      <c r="U53" s="69"/>
      <c r="V53" s="1721" t="str">
        <f t="shared" si="19"/>
        <v/>
      </c>
      <c r="W53" s="69"/>
      <c r="X53" s="1721" t="str">
        <f t="shared" si="20"/>
        <v/>
      </c>
      <c r="Y53" s="69"/>
      <c r="Z53" s="1721" t="str">
        <f t="shared" si="42"/>
        <v/>
      </c>
      <c r="AA53" s="69"/>
      <c r="AB53" s="1721" t="str">
        <f t="shared" si="22"/>
        <v/>
      </c>
      <c r="AC53" s="69"/>
      <c r="AD53" s="1722" t="str">
        <f t="shared" si="23"/>
        <v/>
      </c>
      <c r="AE53" s="69"/>
      <c r="AF53" s="1722" t="str">
        <f t="shared" si="24"/>
        <v/>
      </c>
      <c r="AG53" s="69"/>
      <c r="AH53" s="1722" t="str">
        <f t="shared" si="25"/>
        <v/>
      </c>
      <c r="AI53" s="69"/>
      <c r="AJ53" s="1722" t="str">
        <f t="shared" si="26"/>
        <v/>
      </c>
      <c r="AK53" s="69"/>
      <c r="AL53" s="1722" t="str">
        <f t="shared" si="27"/>
        <v/>
      </c>
      <c r="AM53" s="69"/>
      <c r="AN53" s="1722" t="str">
        <f t="shared" si="28"/>
        <v/>
      </c>
      <c r="AO53" s="69"/>
      <c r="AP53" s="1722" t="str">
        <f t="shared" si="29"/>
        <v/>
      </c>
      <c r="AQ53" s="69"/>
      <c r="AR53" s="1722" t="str">
        <f t="shared" si="30"/>
        <v/>
      </c>
      <c r="AS53" s="69"/>
      <c r="AT53" s="1722" t="str">
        <f t="shared" si="31"/>
        <v/>
      </c>
      <c r="AU53" s="69"/>
      <c r="AV53" s="1722" t="str">
        <f t="shared" si="32"/>
        <v/>
      </c>
      <c r="AW53" s="69"/>
      <c r="AX53" s="1723" t="str">
        <f t="shared" si="33"/>
        <v/>
      </c>
      <c r="AY53" s="69"/>
      <c r="AZ53" s="1723" t="str">
        <f t="shared" si="34"/>
        <v/>
      </c>
      <c r="BA53" s="69"/>
      <c r="BB53" s="1723" t="str">
        <f t="shared" si="35"/>
        <v/>
      </c>
      <c r="BC53" s="69"/>
      <c r="BD53" s="1723" t="str">
        <f t="shared" si="36"/>
        <v/>
      </c>
      <c r="BE53" s="69"/>
      <c r="BF53" s="1723" t="str">
        <f t="shared" si="37"/>
        <v/>
      </c>
      <c r="BG53" s="69"/>
      <c r="BH53" s="1723" t="str">
        <f t="shared" si="38"/>
        <v/>
      </c>
      <c r="BI53" s="69"/>
      <c r="BJ53" s="1723" t="str">
        <f t="shared" si="39"/>
        <v/>
      </c>
      <c r="BK53" s="69"/>
      <c r="BL53" s="1487" t="str">
        <f t="shared" si="40"/>
        <v/>
      </c>
      <c r="BM53" s="69"/>
      <c r="BN53" s="1724" t="str">
        <f t="shared" si="9"/>
        <v/>
      </c>
      <c r="BO53" s="69"/>
      <c r="BP53" s="1487">
        <f t="shared" si="41"/>
        <v>0</v>
      </c>
      <c r="BQ53" s="69"/>
      <c r="BR53" s="684"/>
      <c r="BS53" s="684"/>
      <c r="BT53" s="541"/>
      <c r="BU53" s="541"/>
    </row>
    <row r="54" ht="20.25" customHeight="1">
      <c r="A54" s="1698" t="str">
        <f t="shared" si="10"/>
        <v>Да</v>
      </c>
      <c r="B54" s="1719">
        <v>4239.0</v>
      </c>
      <c r="C54" s="1693">
        <v>172.0</v>
      </c>
      <c r="D54" s="1720"/>
      <c r="E54" s="1702" t="str">
        <f t="shared" si="8"/>
        <v>Сэндвич с запеченной курочкой и соусом Релиш</v>
      </c>
      <c r="F54" s="1721">
        <f t="shared" si="11"/>
        <v>8</v>
      </c>
      <c r="G54" s="69"/>
      <c r="H54" s="1721">
        <f t="shared" si="12"/>
        <v>2</v>
      </c>
      <c r="I54" s="69"/>
      <c r="J54" s="1721">
        <f t="shared" si="13"/>
        <v>7</v>
      </c>
      <c r="K54" s="69"/>
      <c r="L54" s="1721">
        <f t="shared" si="14"/>
        <v>3</v>
      </c>
      <c r="M54" s="69"/>
      <c r="N54" s="1721">
        <f t="shared" si="15"/>
        <v>6</v>
      </c>
      <c r="O54" s="69"/>
      <c r="P54" s="1721">
        <f t="shared" si="16"/>
        <v>3</v>
      </c>
      <c r="Q54" s="69"/>
      <c r="R54" s="1721">
        <f t="shared" si="17"/>
        <v>2</v>
      </c>
      <c r="S54" s="69"/>
      <c r="T54" s="1721">
        <f t="shared" si="18"/>
        <v>2</v>
      </c>
      <c r="U54" s="69"/>
      <c r="V54" s="1721">
        <f t="shared" si="19"/>
        <v>4</v>
      </c>
      <c r="W54" s="69"/>
      <c r="X54" s="1721">
        <f t="shared" si="20"/>
        <v>4</v>
      </c>
      <c r="Y54" s="69"/>
      <c r="Z54" s="1721" t="str">
        <f t="shared" si="42"/>
        <v/>
      </c>
      <c r="AA54" s="69"/>
      <c r="AB54" s="1721">
        <f t="shared" si="22"/>
        <v>3</v>
      </c>
      <c r="AC54" s="69"/>
      <c r="AD54" s="1722">
        <f t="shared" si="23"/>
        <v>3</v>
      </c>
      <c r="AE54" s="69"/>
      <c r="AF54" s="1722">
        <f t="shared" si="24"/>
        <v>5</v>
      </c>
      <c r="AG54" s="69"/>
      <c r="AH54" s="1722">
        <f t="shared" si="25"/>
        <v>2</v>
      </c>
      <c r="AI54" s="69"/>
      <c r="AJ54" s="1722">
        <f t="shared" si="26"/>
        <v>3</v>
      </c>
      <c r="AK54" s="69"/>
      <c r="AL54" s="1722">
        <f t="shared" si="27"/>
        <v>4</v>
      </c>
      <c r="AM54" s="69"/>
      <c r="AN54" s="1722">
        <f t="shared" si="28"/>
        <v>2</v>
      </c>
      <c r="AO54" s="69"/>
      <c r="AP54" s="1722">
        <f t="shared" si="29"/>
        <v>3</v>
      </c>
      <c r="AQ54" s="69"/>
      <c r="AR54" s="1722">
        <f t="shared" si="30"/>
        <v>8</v>
      </c>
      <c r="AS54" s="69"/>
      <c r="AT54" s="1722">
        <f t="shared" si="31"/>
        <v>2</v>
      </c>
      <c r="AU54" s="69"/>
      <c r="AV54" s="1722">
        <f t="shared" si="32"/>
        <v>2</v>
      </c>
      <c r="AW54" s="69"/>
      <c r="AX54" s="1723">
        <f t="shared" si="33"/>
        <v>5</v>
      </c>
      <c r="AY54" s="69"/>
      <c r="AZ54" s="1723">
        <f t="shared" si="34"/>
        <v>2</v>
      </c>
      <c r="BA54" s="69"/>
      <c r="BB54" s="1723" t="str">
        <f t="shared" si="35"/>
        <v/>
      </c>
      <c r="BC54" s="69"/>
      <c r="BD54" s="1723">
        <f t="shared" si="36"/>
        <v>2</v>
      </c>
      <c r="BE54" s="69"/>
      <c r="BF54" s="1723">
        <f t="shared" si="37"/>
        <v>4</v>
      </c>
      <c r="BG54" s="69"/>
      <c r="BH54" s="1723">
        <f t="shared" si="38"/>
        <v>3</v>
      </c>
      <c r="BI54" s="69"/>
      <c r="BJ54" s="1723">
        <f t="shared" si="39"/>
        <v>3</v>
      </c>
      <c r="BK54" s="69"/>
      <c r="BL54" s="1487" t="str">
        <f t="shared" si="40"/>
        <v/>
      </c>
      <c r="BM54" s="69"/>
      <c r="BN54" s="1724" t="str">
        <f t="shared" si="9"/>
        <v/>
      </c>
      <c r="BO54" s="69"/>
      <c r="BP54" s="1487">
        <f t="shared" si="41"/>
        <v>97</v>
      </c>
      <c r="BQ54" s="69"/>
      <c r="BR54" s="684"/>
      <c r="BS54" s="684"/>
      <c r="BT54" s="541"/>
      <c r="BU54" s="541"/>
    </row>
    <row r="55" ht="20.25" customHeight="1">
      <c r="A55" s="1698" t="str">
        <f t="shared" si="10"/>
        <v>Да</v>
      </c>
      <c r="B55" s="1719">
        <v>2364.0</v>
      </c>
      <c r="C55" s="1693">
        <v>170.0</v>
      </c>
      <c r="D55" s="1720"/>
      <c r="E55" s="1702" t="str">
        <f t="shared" si="8"/>
        <v>Сэндвич с ветчиной и томатом </v>
      </c>
      <c r="F55" s="1721">
        <f t="shared" si="11"/>
        <v>8</v>
      </c>
      <c r="G55" s="69"/>
      <c r="H55" s="1721">
        <f t="shared" si="12"/>
        <v>5</v>
      </c>
      <c r="I55" s="69"/>
      <c r="J55" s="1721">
        <f t="shared" si="13"/>
        <v>7</v>
      </c>
      <c r="K55" s="69"/>
      <c r="L55" s="1721">
        <f t="shared" si="14"/>
        <v>3</v>
      </c>
      <c r="M55" s="69"/>
      <c r="N55" s="1721">
        <f t="shared" si="15"/>
        <v>5</v>
      </c>
      <c r="O55" s="69"/>
      <c r="P55" s="1721">
        <f t="shared" si="16"/>
        <v>11</v>
      </c>
      <c r="Q55" s="69"/>
      <c r="R55" s="1721">
        <f t="shared" si="17"/>
        <v>3</v>
      </c>
      <c r="S55" s="69"/>
      <c r="T55" s="1721">
        <f t="shared" si="18"/>
        <v>4</v>
      </c>
      <c r="U55" s="69"/>
      <c r="V55" s="1721">
        <f t="shared" si="19"/>
        <v>2</v>
      </c>
      <c r="W55" s="69"/>
      <c r="X55" s="1721">
        <f t="shared" si="20"/>
        <v>8</v>
      </c>
      <c r="Y55" s="69"/>
      <c r="Z55" s="1721" t="str">
        <f t="shared" si="42"/>
        <v/>
      </c>
      <c r="AA55" s="69"/>
      <c r="AB55" s="1721">
        <f t="shared" si="22"/>
        <v>4</v>
      </c>
      <c r="AC55" s="69"/>
      <c r="AD55" s="1722">
        <f t="shared" si="23"/>
        <v>2</v>
      </c>
      <c r="AE55" s="69"/>
      <c r="AF55" s="1722">
        <f t="shared" si="24"/>
        <v>6</v>
      </c>
      <c r="AG55" s="69"/>
      <c r="AH55" s="1722">
        <f t="shared" si="25"/>
        <v>5</v>
      </c>
      <c r="AI55" s="69"/>
      <c r="AJ55" s="1722">
        <f t="shared" si="26"/>
        <v>3</v>
      </c>
      <c r="AK55" s="69"/>
      <c r="AL55" s="1722">
        <f t="shared" si="27"/>
        <v>3</v>
      </c>
      <c r="AM55" s="69"/>
      <c r="AN55" s="1722">
        <f t="shared" si="28"/>
        <v>3</v>
      </c>
      <c r="AO55" s="69"/>
      <c r="AP55" s="1722">
        <f t="shared" si="29"/>
        <v>5</v>
      </c>
      <c r="AQ55" s="69"/>
      <c r="AR55" s="1722">
        <f t="shared" si="30"/>
        <v>9</v>
      </c>
      <c r="AS55" s="69"/>
      <c r="AT55" s="1722">
        <f t="shared" si="31"/>
        <v>4</v>
      </c>
      <c r="AU55" s="69"/>
      <c r="AV55" s="1722">
        <f t="shared" si="32"/>
        <v>3</v>
      </c>
      <c r="AW55" s="69"/>
      <c r="AX55" s="1723">
        <f t="shared" si="33"/>
        <v>6</v>
      </c>
      <c r="AY55" s="69"/>
      <c r="AZ55" s="1723">
        <f t="shared" si="34"/>
        <v>2</v>
      </c>
      <c r="BA55" s="69"/>
      <c r="BB55" s="1723" t="str">
        <f t="shared" si="35"/>
        <v/>
      </c>
      <c r="BC55" s="69"/>
      <c r="BD55" s="1723">
        <f t="shared" si="36"/>
        <v>3</v>
      </c>
      <c r="BE55" s="69"/>
      <c r="BF55" s="1723">
        <f t="shared" si="37"/>
        <v>6</v>
      </c>
      <c r="BG55" s="69"/>
      <c r="BH55" s="1723">
        <f t="shared" si="38"/>
        <v>4</v>
      </c>
      <c r="BI55" s="69"/>
      <c r="BJ55" s="1723">
        <f t="shared" si="39"/>
        <v>2</v>
      </c>
      <c r="BK55" s="69"/>
      <c r="BL55" s="1487" t="str">
        <f t="shared" si="40"/>
        <v/>
      </c>
      <c r="BM55" s="69"/>
      <c r="BN55" s="1724" t="str">
        <f t="shared" si="9"/>
        <v/>
      </c>
      <c r="BO55" s="69"/>
      <c r="BP55" s="1487">
        <f t="shared" si="41"/>
        <v>126</v>
      </c>
      <c r="BQ55" s="69"/>
      <c r="BR55" s="684"/>
      <c r="BS55" s="684"/>
      <c r="BT55" s="541"/>
      <c r="BU55" s="541"/>
    </row>
    <row r="56" ht="20.25" customHeight="1">
      <c r="A56" s="1698" t="str">
        <f t="shared" si="10"/>
        <v/>
      </c>
      <c r="B56" s="1719"/>
      <c r="C56" s="1693"/>
      <c r="D56" s="1720"/>
      <c r="E56" s="1702" t="str">
        <f t="shared" si="8"/>
        <v/>
      </c>
      <c r="F56" s="1721" t="str">
        <f t="shared" si="11"/>
        <v/>
      </c>
      <c r="G56" s="69"/>
      <c r="H56" s="1726" t="str">
        <f t="shared" si="12"/>
        <v/>
      </c>
      <c r="I56" s="69"/>
      <c r="J56" s="1721" t="str">
        <f t="shared" si="13"/>
        <v/>
      </c>
      <c r="K56" s="69"/>
      <c r="L56" s="1721" t="str">
        <f t="shared" si="14"/>
        <v/>
      </c>
      <c r="M56" s="69"/>
      <c r="N56" s="1721" t="str">
        <f t="shared" si="15"/>
        <v/>
      </c>
      <c r="O56" s="69"/>
      <c r="P56" s="1726" t="str">
        <f t="shared" si="16"/>
        <v/>
      </c>
      <c r="Q56" s="69"/>
      <c r="R56" s="1721" t="str">
        <f t="shared" si="17"/>
        <v/>
      </c>
      <c r="S56" s="69"/>
      <c r="T56" s="1721" t="str">
        <f t="shared" si="18"/>
        <v/>
      </c>
      <c r="U56" s="69"/>
      <c r="V56" s="1721" t="str">
        <f t="shared" si="19"/>
        <v/>
      </c>
      <c r="W56" s="69"/>
      <c r="X56" s="1721" t="str">
        <f t="shared" si="20"/>
        <v/>
      </c>
      <c r="Y56" s="69"/>
      <c r="Z56" s="1721" t="str">
        <f t="shared" si="42"/>
        <v/>
      </c>
      <c r="AA56" s="69"/>
      <c r="AB56" s="1721" t="str">
        <f t="shared" si="22"/>
        <v/>
      </c>
      <c r="AC56" s="69"/>
      <c r="AD56" s="1722" t="str">
        <f t="shared" si="23"/>
        <v/>
      </c>
      <c r="AE56" s="69"/>
      <c r="AF56" s="1722" t="str">
        <f t="shared" si="24"/>
        <v/>
      </c>
      <c r="AG56" s="69"/>
      <c r="AH56" s="1722" t="str">
        <f t="shared" si="25"/>
        <v/>
      </c>
      <c r="AI56" s="69"/>
      <c r="AJ56" s="1722" t="str">
        <f t="shared" si="26"/>
        <v/>
      </c>
      <c r="AK56" s="69"/>
      <c r="AL56" s="1722" t="str">
        <f t="shared" si="27"/>
        <v/>
      </c>
      <c r="AM56" s="69"/>
      <c r="AN56" s="1722" t="str">
        <f t="shared" si="28"/>
        <v/>
      </c>
      <c r="AO56" s="69"/>
      <c r="AP56" s="1722" t="str">
        <f t="shared" si="29"/>
        <v/>
      </c>
      <c r="AQ56" s="69"/>
      <c r="AR56" s="1722" t="str">
        <f t="shared" si="30"/>
        <v/>
      </c>
      <c r="AS56" s="69"/>
      <c r="AT56" s="1722" t="str">
        <f t="shared" si="31"/>
        <v/>
      </c>
      <c r="AU56" s="69"/>
      <c r="AV56" s="1722" t="str">
        <f t="shared" si="32"/>
        <v/>
      </c>
      <c r="AW56" s="69"/>
      <c r="AX56" s="1723" t="str">
        <f t="shared" si="33"/>
        <v/>
      </c>
      <c r="AY56" s="69"/>
      <c r="AZ56" s="1723" t="str">
        <f t="shared" si="34"/>
        <v/>
      </c>
      <c r="BA56" s="69"/>
      <c r="BB56" s="1723" t="str">
        <f t="shared" si="35"/>
        <v/>
      </c>
      <c r="BC56" s="69"/>
      <c r="BD56" s="1723" t="str">
        <f t="shared" si="36"/>
        <v/>
      </c>
      <c r="BE56" s="69"/>
      <c r="BF56" s="1723" t="str">
        <f t="shared" si="37"/>
        <v/>
      </c>
      <c r="BG56" s="69"/>
      <c r="BH56" s="1723" t="str">
        <f t="shared" si="38"/>
        <v/>
      </c>
      <c r="BI56" s="69"/>
      <c r="BJ56" s="1723" t="str">
        <f t="shared" si="39"/>
        <v/>
      </c>
      <c r="BK56" s="69"/>
      <c r="BL56" s="1487" t="str">
        <f t="shared" si="40"/>
        <v/>
      </c>
      <c r="BM56" s="69"/>
      <c r="BN56" s="1724" t="str">
        <f t="shared" si="9"/>
        <v/>
      </c>
      <c r="BO56" s="69"/>
      <c r="BP56" s="1487">
        <f t="shared" si="41"/>
        <v>0</v>
      </c>
      <c r="BQ56" s="69"/>
      <c r="BR56" s="684"/>
      <c r="BS56" s="684"/>
      <c r="BT56" s="541"/>
      <c r="BU56" s="541"/>
    </row>
    <row r="57" ht="20.25" customHeight="1">
      <c r="A57" s="1698" t="str">
        <f t="shared" si="10"/>
        <v>Да</v>
      </c>
      <c r="B57" s="1719">
        <v>2943.0</v>
      </c>
      <c r="C57" s="1693">
        <v>152.0</v>
      </c>
      <c r="D57" s="1720"/>
      <c r="E57" s="1702" t="str">
        <f t="shared" si="8"/>
        <v>Онигири с куриным филе в соусе спайси</v>
      </c>
      <c r="F57" s="1721">
        <f t="shared" si="11"/>
        <v>19</v>
      </c>
      <c r="G57" s="69"/>
      <c r="H57" s="1721">
        <f t="shared" si="12"/>
        <v>4</v>
      </c>
      <c r="I57" s="69"/>
      <c r="J57" s="1721">
        <f t="shared" si="13"/>
        <v>4</v>
      </c>
      <c r="K57" s="69"/>
      <c r="L57" s="1721" t="str">
        <f t="shared" si="14"/>
        <v/>
      </c>
      <c r="M57" s="69"/>
      <c r="N57" s="1721">
        <f t="shared" si="15"/>
        <v>5</v>
      </c>
      <c r="O57" s="69"/>
      <c r="P57" s="1721">
        <f t="shared" si="16"/>
        <v>2</v>
      </c>
      <c r="Q57" s="69"/>
      <c r="R57" s="1721" t="str">
        <f t="shared" si="17"/>
        <v/>
      </c>
      <c r="S57" s="69"/>
      <c r="T57" s="1721" t="str">
        <f t="shared" si="18"/>
        <v/>
      </c>
      <c r="U57" s="69"/>
      <c r="V57" s="1721">
        <f t="shared" si="19"/>
        <v>2</v>
      </c>
      <c r="W57" s="69"/>
      <c r="X57" s="1721" t="str">
        <f t="shared" si="20"/>
        <v/>
      </c>
      <c r="Y57" s="69"/>
      <c r="Z57" s="1721" t="str">
        <f t="shared" si="42"/>
        <v/>
      </c>
      <c r="AA57" s="69"/>
      <c r="AB57" s="1721">
        <f t="shared" si="22"/>
        <v>1</v>
      </c>
      <c r="AC57" s="69"/>
      <c r="AD57" s="1722" t="str">
        <f t="shared" si="23"/>
        <v/>
      </c>
      <c r="AE57" s="69"/>
      <c r="AF57" s="1722">
        <f t="shared" si="24"/>
        <v>2</v>
      </c>
      <c r="AG57" s="69"/>
      <c r="AH57" s="1722">
        <f t="shared" si="25"/>
        <v>2</v>
      </c>
      <c r="AI57" s="69"/>
      <c r="AJ57" s="1722">
        <f t="shared" si="26"/>
        <v>4</v>
      </c>
      <c r="AK57" s="69"/>
      <c r="AL57" s="1722" t="str">
        <f t="shared" si="27"/>
        <v/>
      </c>
      <c r="AM57" s="69"/>
      <c r="AN57" s="1722" t="str">
        <f t="shared" si="28"/>
        <v/>
      </c>
      <c r="AO57" s="69"/>
      <c r="AP57" s="1722" t="str">
        <f t="shared" si="29"/>
        <v/>
      </c>
      <c r="AQ57" s="69"/>
      <c r="AR57" s="1722" t="str">
        <f t="shared" si="30"/>
        <v/>
      </c>
      <c r="AS57" s="69"/>
      <c r="AT57" s="1722" t="str">
        <f t="shared" si="31"/>
        <v/>
      </c>
      <c r="AU57" s="69"/>
      <c r="AV57" s="1722">
        <f t="shared" si="32"/>
        <v>6</v>
      </c>
      <c r="AW57" s="69"/>
      <c r="AX57" s="1723" t="str">
        <f t="shared" si="33"/>
        <v/>
      </c>
      <c r="AY57" s="69"/>
      <c r="AZ57" s="1723" t="str">
        <f t="shared" si="34"/>
        <v/>
      </c>
      <c r="BA57" s="69"/>
      <c r="BB57" s="1723" t="str">
        <f t="shared" si="35"/>
        <v/>
      </c>
      <c r="BC57" s="69"/>
      <c r="BD57" s="1723" t="str">
        <f t="shared" si="36"/>
        <v/>
      </c>
      <c r="BE57" s="69"/>
      <c r="BF57" s="1723">
        <f t="shared" si="37"/>
        <v>3</v>
      </c>
      <c r="BG57" s="69"/>
      <c r="BH57" s="1723">
        <f t="shared" si="38"/>
        <v>1</v>
      </c>
      <c r="BI57" s="69"/>
      <c r="BJ57" s="1723">
        <f t="shared" si="39"/>
        <v>4</v>
      </c>
      <c r="BK57" s="69"/>
      <c r="BL57" s="1487" t="str">
        <f t="shared" si="40"/>
        <v/>
      </c>
      <c r="BM57" s="69"/>
      <c r="BN57" s="1724" t="str">
        <f t="shared" si="9"/>
        <v/>
      </c>
      <c r="BO57" s="69"/>
      <c r="BP57" s="1487">
        <f t="shared" si="41"/>
        <v>59</v>
      </c>
      <c r="BQ57" s="69"/>
      <c r="BR57" s="684"/>
      <c r="BS57" s="684"/>
      <c r="BT57" s="541"/>
      <c r="BU57" s="541"/>
    </row>
    <row r="58" ht="20.25" customHeight="1">
      <c r="A58" s="1698" t="str">
        <f t="shared" si="10"/>
        <v>Да</v>
      </c>
      <c r="B58" s="1719">
        <v>3996.0</v>
      </c>
      <c r="C58" s="1693">
        <v>98.0</v>
      </c>
      <c r="D58" s="1720"/>
      <c r="E58" s="1702" t="str">
        <f t="shared" si="8"/>
        <v>Морс вишневый 0,5 л</v>
      </c>
      <c r="F58" s="1721">
        <f t="shared" si="11"/>
        <v>5</v>
      </c>
      <c r="G58" s="69"/>
      <c r="H58" s="1721">
        <f t="shared" si="12"/>
        <v>5</v>
      </c>
      <c r="I58" s="69"/>
      <c r="J58" s="1721">
        <f t="shared" si="13"/>
        <v>10</v>
      </c>
      <c r="K58" s="69"/>
      <c r="L58" s="1721">
        <f t="shared" si="14"/>
        <v>10</v>
      </c>
      <c r="M58" s="69"/>
      <c r="N58" s="1721">
        <f t="shared" si="15"/>
        <v>0</v>
      </c>
      <c r="O58" s="69"/>
      <c r="P58" s="1721">
        <f t="shared" si="16"/>
        <v>10</v>
      </c>
      <c r="Q58" s="69"/>
      <c r="R58" s="1721">
        <f t="shared" si="17"/>
        <v>0</v>
      </c>
      <c r="S58" s="69"/>
      <c r="T58" s="1721">
        <f t="shared" si="18"/>
        <v>0</v>
      </c>
      <c r="U58" s="69"/>
      <c r="V58" s="1721">
        <f t="shared" si="19"/>
        <v>0</v>
      </c>
      <c r="W58" s="69"/>
      <c r="X58" s="1721">
        <f t="shared" si="20"/>
        <v>0</v>
      </c>
      <c r="Y58" s="69"/>
      <c r="Z58" s="1721" t="str">
        <f t="shared" si="42"/>
        <v/>
      </c>
      <c r="AA58" s="69"/>
      <c r="AB58" s="1721">
        <f t="shared" si="22"/>
        <v>0</v>
      </c>
      <c r="AC58" s="69"/>
      <c r="AD58" s="1722">
        <f t="shared" si="23"/>
        <v>0</v>
      </c>
      <c r="AE58" s="69"/>
      <c r="AF58" s="1722">
        <f t="shared" si="24"/>
        <v>5</v>
      </c>
      <c r="AG58" s="69"/>
      <c r="AH58" s="1722">
        <f t="shared" si="25"/>
        <v>0</v>
      </c>
      <c r="AI58" s="69"/>
      <c r="AJ58" s="1722">
        <f t="shared" si="26"/>
        <v>0</v>
      </c>
      <c r="AK58" s="69"/>
      <c r="AL58" s="1722">
        <f t="shared" si="27"/>
        <v>0</v>
      </c>
      <c r="AM58" s="69"/>
      <c r="AN58" s="1722">
        <f t="shared" si="28"/>
        <v>5</v>
      </c>
      <c r="AO58" s="69"/>
      <c r="AP58" s="1722">
        <f t="shared" si="29"/>
        <v>0</v>
      </c>
      <c r="AQ58" s="69"/>
      <c r="AR58" s="1722">
        <f t="shared" si="30"/>
        <v>12</v>
      </c>
      <c r="AS58" s="69"/>
      <c r="AT58" s="1722">
        <f t="shared" si="31"/>
        <v>8</v>
      </c>
      <c r="AU58" s="69"/>
      <c r="AV58" s="1722">
        <f t="shared" si="32"/>
        <v>8</v>
      </c>
      <c r="AW58" s="69"/>
      <c r="AX58" s="1723">
        <f t="shared" si="33"/>
        <v>8</v>
      </c>
      <c r="AY58" s="69"/>
      <c r="AZ58" s="1723">
        <f t="shared" si="34"/>
        <v>0</v>
      </c>
      <c r="BA58" s="69"/>
      <c r="BB58" s="1723" t="str">
        <f t="shared" si="35"/>
        <v/>
      </c>
      <c r="BC58" s="69"/>
      <c r="BD58" s="1723">
        <f t="shared" si="36"/>
        <v>10</v>
      </c>
      <c r="BE58" s="69"/>
      <c r="BF58" s="1723">
        <f t="shared" si="37"/>
        <v>10</v>
      </c>
      <c r="BG58" s="69"/>
      <c r="BH58" s="1723">
        <f t="shared" si="38"/>
        <v>8</v>
      </c>
      <c r="BI58" s="69"/>
      <c r="BJ58" s="1723">
        <f t="shared" si="39"/>
        <v>9</v>
      </c>
      <c r="BK58" s="69"/>
      <c r="BL58" s="1487" t="str">
        <f t="shared" si="40"/>
        <v/>
      </c>
      <c r="BM58" s="69"/>
      <c r="BN58" s="1724" t="str">
        <f t="shared" si="9"/>
        <v/>
      </c>
      <c r="BO58" s="69"/>
      <c r="BP58" s="1487">
        <f t="shared" si="41"/>
        <v>123</v>
      </c>
      <c r="BQ58" s="69"/>
      <c r="BR58" s="684"/>
      <c r="BS58" s="684"/>
      <c r="BT58" s="541"/>
      <c r="BU58" s="541"/>
    </row>
    <row r="59" ht="20.25" customHeight="1">
      <c r="A59" s="1698" t="str">
        <f t="shared" si="10"/>
        <v>Да</v>
      </c>
      <c r="B59" s="1719">
        <v>2079.0</v>
      </c>
      <c r="C59" s="1693">
        <v>105.0</v>
      </c>
      <c r="D59" s="1720"/>
      <c r="E59" s="1702" t="str">
        <f t="shared" si="8"/>
        <v>Вафельная трубочка с вареной сгущенкой</v>
      </c>
      <c r="F59" s="1721">
        <f t="shared" si="11"/>
        <v>33</v>
      </c>
      <c r="G59" s="69"/>
      <c r="H59" s="1721">
        <f t="shared" si="12"/>
        <v>6</v>
      </c>
      <c r="I59" s="69"/>
      <c r="J59" s="1721" t="str">
        <f t="shared" si="13"/>
        <v/>
      </c>
      <c r="K59" s="69"/>
      <c r="L59" s="1721">
        <f t="shared" si="14"/>
        <v>7</v>
      </c>
      <c r="M59" s="69"/>
      <c r="N59" s="1721">
        <f t="shared" si="15"/>
        <v>10</v>
      </c>
      <c r="O59" s="69"/>
      <c r="P59" s="1721">
        <f t="shared" si="16"/>
        <v>6</v>
      </c>
      <c r="Q59" s="69"/>
      <c r="R59" s="1721">
        <f t="shared" si="17"/>
        <v>7</v>
      </c>
      <c r="S59" s="69"/>
      <c r="T59" s="1721">
        <f t="shared" si="18"/>
        <v>6</v>
      </c>
      <c r="U59" s="69"/>
      <c r="V59" s="1721">
        <f t="shared" si="19"/>
        <v>15</v>
      </c>
      <c r="W59" s="69"/>
      <c r="X59" s="1721">
        <f t="shared" si="20"/>
        <v>12</v>
      </c>
      <c r="Y59" s="69"/>
      <c r="Z59" s="1721" t="str">
        <f t="shared" si="42"/>
        <v/>
      </c>
      <c r="AA59" s="69"/>
      <c r="AB59" s="1721">
        <f t="shared" si="22"/>
        <v>9</v>
      </c>
      <c r="AC59" s="69"/>
      <c r="AD59" s="1722">
        <f t="shared" si="23"/>
        <v>17</v>
      </c>
      <c r="AE59" s="69"/>
      <c r="AF59" s="1722">
        <f t="shared" si="24"/>
        <v>22</v>
      </c>
      <c r="AG59" s="69"/>
      <c r="AH59" s="1722">
        <f t="shared" si="25"/>
        <v>8</v>
      </c>
      <c r="AI59" s="69"/>
      <c r="AJ59" s="1722">
        <f t="shared" si="26"/>
        <v>9</v>
      </c>
      <c r="AK59" s="69"/>
      <c r="AL59" s="1722">
        <f t="shared" si="27"/>
        <v>4</v>
      </c>
      <c r="AM59" s="69"/>
      <c r="AN59" s="1722">
        <f t="shared" si="28"/>
        <v>6</v>
      </c>
      <c r="AO59" s="69"/>
      <c r="AP59" s="1722">
        <f t="shared" si="29"/>
        <v>18</v>
      </c>
      <c r="AQ59" s="69"/>
      <c r="AR59" s="1722">
        <f t="shared" si="30"/>
        <v>7</v>
      </c>
      <c r="AS59" s="69"/>
      <c r="AT59" s="1722">
        <f t="shared" si="31"/>
        <v>8</v>
      </c>
      <c r="AU59" s="69"/>
      <c r="AV59" s="1722">
        <f t="shared" si="32"/>
        <v>7</v>
      </c>
      <c r="AW59" s="69"/>
      <c r="AX59" s="1723">
        <f t="shared" si="33"/>
        <v>9</v>
      </c>
      <c r="AY59" s="69"/>
      <c r="AZ59" s="1723">
        <f t="shared" si="34"/>
        <v>15</v>
      </c>
      <c r="BA59" s="69"/>
      <c r="BB59" s="1723" t="str">
        <f t="shared" si="35"/>
        <v/>
      </c>
      <c r="BC59" s="69"/>
      <c r="BD59" s="1723">
        <f t="shared" si="36"/>
        <v>3</v>
      </c>
      <c r="BE59" s="69"/>
      <c r="BF59" s="1723">
        <f t="shared" si="37"/>
        <v>12</v>
      </c>
      <c r="BG59" s="69"/>
      <c r="BH59" s="1723">
        <f t="shared" si="38"/>
        <v>7</v>
      </c>
      <c r="BI59" s="69"/>
      <c r="BJ59" s="1723">
        <f t="shared" si="39"/>
        <v>7</v>
      </c>
      <c r="BK59" s="69"/>
      <c r="BL59" s="1487" t="str">
        <f t="shared" si="40"/>
        <v/>
      </c>
      <c r="BM59" s="69"/>
      <c r="BN59" s="1724" t="str">
        <f t="shared" si="9"/>
        <v/>
      </c>
      <c r="BO59" s="69"/>
      <c r="BP59" s="1487">
        <f t="shared" si="41"/>
        <v>270</v>
      </c>
      <c r="BQ59" s="69"/>
      <c r="BR59" s="684"/>
      <c r="BS59" s="684"/>
      <c r="BT59" s="541"/>
      <c r="BU59" s="541"/>
    </row>
    <row r="60" ht="22.5" customHeight="1">
      <c r="A60" s="1698" t="str">
        <f t="shared" si="10"/>
        <v>Да</v>
      </c>
      <c r="B60" s="1736">
        <v>822.0</v>
      </c>
      <c r="C60" s="1693">
        <v>5.0</v>
      </c>
      <c r="D60" s="1720"/>
      <c r="E60" s="1702" t="str">
        <f t="shared" si="8"/>
        <v>Хлеб пшеничный</v>
      </c>
      <c r="F60" s="1721">
        <f t="shared" si="11"/>
        <v>8</v>
      </c>
      <c r="G60" s="69"/>
      <c r="H60" s="1726">
        <f t="shared" si="12"/>
        <v>3</v>
      </c>
      <c r="I60" s="69"/>
      <c r="J60" s="1721">
        <f t="shared" si="13"/>
        <v>4</v>
      </c>
      <c r="K60" s="69"/>
      <c r="L60" s="1721">
        <f t="shared" si="14"/>
        <v>5</v>
      </c>
      <c r="M60" s="69"/>
      <c r="N60" s="1721">
        <f t="shared" si="15"/>
        <v>5</v>
      </c>
      <c r="O60" s="69"/>
      <c r="P60" s="1726">
        <f t="shared" si="16"/>
        <v>3</v>
      </c>
      <c r="Q60" s="69"/>
      <c r="R60" s="1721">
        <f t="shared" si="17"/>
        <v>3</v>
      </c>
      <c r="S60" s="69"/>
      <c r="T60" s="1721">
        <f t="shared" si="18"/>
        <v>3</v>
      </c>
      <c r="U60" s="69"/>
      <c r="V60" s="1721">
        <f t="shared" si="19"/>
        <v>3</v>
      </c>
      <c r="W60" s="69"/>
      <c r="X60" s="1721">
        <f t="shared" si="20"/>
        <v>3</v>
      </c>
      <c r="Y60" s="69"/>
      <c r="Z60" s="1721" t="str">
        <f>SUM(Z36:AA58)</f>
        <v>#REF!</v>
      </c>
      <c r="AA60" s="69"/>
      <c r="AB60" s="1721">
        <f t="shared" si="22"/>
        <v>3</v>
      </c>
      <c r="AC60" s="69"/>
      <c r="AD60" s="1722">
        <f t="shared" si="23"/>
        <v>3</v>
      </c>
      <c r="AE60" s="69"/>
      <c r="AF60" s="1722">
        <f t="shared" si="24"/>
        <v>3</v>
      </c>
      <c r="AG60" s="69"/>
      <c r="AH60" s="1722" t="str">
        <f t="shared" si="25"/>
        <v/>
      </c>
      <c r="AI60" s="69"/>
      <c r="AJ60" s="1722" t="str">
        <f t="shared" si="26"/>
        <v/>
      </c>
      <c r="AK60" s="69"/>
      <c r="AL60" s="1722">
        <f t="shared" si="27"/>
        <v>5</v>
      </c>
      <c r="AM60" s="69"/>
      <c r="AN60" s="1722" t="str">
        <f t="shared" si="28"/>
        <v/>
      </c>
      <c r="AO60" s="69"/>
      <c r="AP60" s="1722">
        <f t="shared" si="29"/>
        <v>3</v>
      </c>
      <c r="AQ60" s="69"/>
      <c r="AR60" s="1722" t="str">
        <f t="shared" si="30"/>
        <v/>
      </c>
      <c r="AS60" s="69"/>
      <c r="AT60" s="1722">
        <f t="shared" si="31"/>
        <v>3</v>
      </c>
      <c r="AU60" s="69"/>
      <c r="AV60" s="1722">
        <f t="shared" si="32"/>
        <v>3</v>
      </c>
      <c r="AW60" s="69"/>
      <c r="AX60" s="1723">
        <f t="shared" si="33"/>
        <v>3</v>
      </c>
      <c r="AY60" s="69"/>
      <c r="AZ60" s="1723">
        <f t="shared" si="34"/>
        <v>20</v>
      </c>
      <c r="BA60" s="69"/>
      <c r="BB60" s="1723" t="str">
        <f t="shared" si="35"/>
        <v/>
      </c>
      <c r="BC60" s="69"/>
      <c r="BD60" s="1723" t="str">
        <f t="shared" si="36"/>
        <v/>
      </c>
      <c r="BE60" s="69"/>
      <c r="BF60" s="1723">
        <f t="shared" si="37"/>
        <v>5</v>
      </c>
      <c r="BG60" s="69"/>
      <c r="BH60" s="1723">
        <f t="shared" si="38"/>
        <v>6</v>
      </c>
      <c r="BI60" s="69"/>
      <c r="BJ60" s="1723">
        <f t="shared" si="39"/>
        <v>3</v>
      </c>
      <c r="BK60" s="69"/>
      <c r="BL60" s="1487">
        <f t="shared" si="40"/>
        <v>130</v>
      </c>
      <c r="BM60" s="69"/>
      <c r="BN60" s="1724" t="str">
        <f t="shared" si="9"/>
        <v/>
      </c>
      <c r="BO60" s="69"/>
      <c r="BP60" s="1487" t="str">
        <f t="shared" si="41"/>
        <v>#REF!</v>
      </c>
      <c r="BQ60" s="69"/>
      <c r="BR60" s="684"/>
      <c r="BS60" s="684"/>
      <c r="BT60" s="541"/>
      <c r="BU60" s="541"/>
    </row>
    <row r="61" ht="20.25" customHeight="1">
      <c r="A61" s="1698" t="str">
        <f t="shared" si="10"/>
        <v>Да</v>
      </c>
      <c r="B61" s="1736">
        <v>4000.0</v>
      </c>
      <c r="C61" s="1693">
        <v>98.0</v>
      </c>
      <c r="D61" s="1720"/>
      <c r="E61" s="1702" t="str">
        <f t="shared" si="8"/>
        <v>Компот из сухофруктов 0,5 л</v>
      </c>
      <c r="F61" s="1721">
        <f t="shared" si="11"/>
        <v>7</v>
      </c>
      <c r="G61" s="69"/>
      <c r="H61" s="1721" t="str">
        <f t="shared" si="12"/>
        <v/>
      </c>
      <c r="I61" s="69"/>
      <c r="J61" s="1721">
        <f t="shared" si="13"/>
        <v>6</v>
      </c>
      <c r="K61" s="69"/>
      <c r="L61" s="1721">
        <f t="shared" si="14"/>
        <v>6</v>
      </c>
      <c r="M61" s="69"/>
      <c r="N61" s="1721" t="str">
        <f t="shared" si="15"/>
        <v/>
      </c>
      <c r="O61" s="69"/>
      <c r="P61" s="1721">
        <f t="shared" si="16"/>
        <v>6</v>
      </c>
      <c r="Q61" s="69"/>
      <c r="R61" s="1721" t="str">
        <f t="shared" si="17"/>
        <v/>
      </c>
      <c r="S61" s="69"/>
      <c r="T61" s="1721" t="str">
        <f t="shared" si="18"/>
        <v/>
      </c>
      <c r="U61" s="69"/>
      <c r="V61" s="1721" t="str">
        <f t="shared" si="19"/>
        <v/>
      </c>
      <c r="W61" s="69"/>
      <c r="X61" s="1721" t="str">
        <f t="shared" si="20"/>
        <v/>
      </c>
      <c r="Y61" s="69"/>
      <c r="Z61" s="1738" t="str">
        <f>AA29</f>
        <v/>
      </c>
      <c r="AA61" s="69"/>
      <c r="AB61" s="1721" t="str">
        <f t="shared" si="22"/>
        <v/>
      </c>
      <c r="AC61" s="69"/>
      <c r="AD61" s="1722" t="str">
        <f t="shared" si="23"/>
        <v/>
      </c>
      <c r="AE61" s="69"/>
      <c r="AF61" s="1722" t="str">
        <f t="shared" si="24"/>
        <v/>
      </c>
      <c r="AG61" s="69"/>
      <c r="AH61" s="1722" t="str">
        <f t="shared" si="25"/>
        <v/>
      </c>
      <c r="AI61" s="69"/>
      <c r="AJ61" s="1722" t="str">
        <f t="shared" si="26"/>
        <v/>
      </c>
      <c r="AK61" s="69"/>
      <c r="AL61" s="1722" t="str">
        <f t="shared" si="27"/>
        <v/>
      </c>
      <c r="AM61" s="69"/>
      <c r="AN61" s="1722">
        <f t="shared" si="28"/>
        <v>6</v>
      </c>
      <c r="AO61" s="69"/>
      <c r="AP61" s="1722" t="str">
        <f t="shared" si="29"/>
        <v/>
      </c>
      <c r="AQ61" s="69"/>
      <c r="AR61" s="1722">
        <f t="shared" si="30"/>
        <v>15</v>
      </c>
      <c r="AS61" s="69"/>
      <c r="AT61" s="1722" t="str">
        <f t="shared" si="31"/>
        <v/>
      </c>
      <c r="AU61" s="69"/>
      <c r="AV61" s="1722" t="str">
        <f t="shared" si="32"/>
        <v/>
      </c>
      <c r="AW61" s="69"/>
      <c r="AX61" s="1723">
        <f t="shared" si="33"/>
        <v>8</v>
      </c>
      <c r="AY61" s="69"/>
      <c r="AZ61" s="1723" t="str">
        <f t="shared" si="34"/>
        <v/>
      </c>
      <c r="BA61" s="69"/>
      <c r="BB61" s="1723" t="str">
        <f t="shared" si="35"/>
        <v/>
      </c>
      <c r="BC61" s="69"/>
      <c r="BD61" s="1485" t="str">
        <f t="shared" si="36"/>
        <v/>
      </c>
      <c r="BE61" s="69"/>
      <c r="BF61" s="1723">
        <f t="shared" si="37"/>
        <v>4</v>
      </c>
      <c r="BG61" s="69"/>
      <c r="BH61" s="1723" t="str">
        <f t="shared" si="38"/>
        <v/>
      </c>
      <c r="BI61" s="69"/>
      <c r="BJ61" s="1723" t="str">
        <f t="shared" si="39"/>
        <v/>
      </c>
      <c r="BK61" s="69"/>
      <c r="BL61" s="1487" t="str">
        <f t="shared" si="40"/>
        <v/>
      </c>
      <c r="BM61" s="69"/>
      <c r="BN61" s="1724" t="str">
        <f t="shared" si="9"/>
        <v/>
      </c>
      <c r="BO61" s="69"/>
      <c r="BP61" s="1487">
        <f t="shared" si="41"/>
        <v>58</v>
      </c>
      <c r="BQ61" s="69"/>
      <c r="BR61" s="541"/>
      <c r="BS61" s="541"/>
      <c r="BT61" s="541"/>
      <c r="BU61" s="541"/>
    </row>
    <row r="62" ht="24.0" customHeight="1">
      <c r="A62" s="1739"/>
      <c r="B62" s="1700"/>
      <c r="C62" s="1739"/>
      <c r="D62" s="1740"/>
      <c r="E62" s="1741"/>
      <c r="F62" s="1721">
        <f>SUM(F36:G61)</f>
        <v>154</v>
      </c>
      <c r="G62" s="69"/>
      <c r="H62" s="1721">
        <f>SUM(H36:I61)</f>
        <v>71</v>
      </c>
      <c r="I62" s="69"/>
      <c r="J62" s="1721">
        <f>SUM(J36:K61)</f>
        <v>131</v>
      </c>
      <c r="K62" s="69"/>
      <c r="L62" s="1721">
        <f>SUM(L36:M61)</f>
        <v>75</v>
      </c>
      <c r="M62" s="69"/>
      <c r="N62" s="1721">
        <f>SUM(N36:O61)</f>
        <v>116</v>
      </c>
      <c r="O62" s="69"/>
      <c r="P62" s="1721">
        <f>SUM(P36:Q61)</f>
        <v>95</v>
      </c>
      <c r="Q62" s="69"/>
      <c r="R62" s="1721">
        <f>SUM(R36:S61)</f>
        <v>38</v>
      </c>
      <c r="S62" s="69"/>
      <c r="T62" s="1721">
        <f>SUM(T36:U61)</f>
        <v>53</v>
      </c>
      <c r="U62" s="69"/>
      <c r="V62" s="1721">
        <f>SUM(V36:W61)</f>
        <v>74</v>
      </c>
      <c r="W62" s="69"/>
      <c r="X62" s="1721">
        <f>SUM(X36:Y61)</f>
        <v>68</v>
      </c>
      <c r="Y62" s="69"/>
      <c r="Z62" s="1721" t="str">
        <f>SUM(Z36:AA61)</f>
        <v>#REF!</v>
      </c>
      <c r="AA62" s="69"/>
      <c r="AB62" s="1721">
        <f>SUM(AB36:AC61)</f>
        <v>54</v>
      </c>
      <c r="AC62" s="69"/>
      <c r="AD62" s="1721">
        <f>SUM(AD36:AE61)</f>
        <v>58</v>
      </c>
      <c r="AE62" s="69"/>
      <c r="AF62" s="1721">
        <f>SUM(AF36:AG61)</f>
        <v>99</v>
      </c>
      <c r="AG62" s="69"/>
      <c r="AH62" s="1721">
        <f>SUM(AH36:AI61)</f>
        <v>59</v>
      </c>
      <c r="AI62" s="69"/>
      <c r="AJ62" s="1721">
        <f>SUM(AJ36:AK61)</f>
        <v>60</v>
      </c>
      <c r="AK62" s="69"/>
      <c r="AL62" s="1721">
        <f>SUM(AL36:AM61)</f>
        <v>60</v>
      </c>
      <c r="AM62" s="69"/>
      <c r="AN62" s="1721">
        <f>SUM(AN36:AO61)</f>
        <v>57</v>
      </c>
      <c r="AO62" s="69"/>
      <c r="AP62" s="1721">
        <f>SUM(AP36:AQ61)</f>
        <v>64</v>
      </c>
      <c r="AQ62" s="69"/>
      <c r="AR62" s="1721">
        <f>SUM(AR36:AS61)</f>
        <v>128</v>
      </c>
      <c r="AS62" s="69"/>
      <c r="AT62" s="1721">
        <f>SUM(AT36:AU61)</f>
        <v>64</v>
      </c>
      <c r="AU62" s="69"/>
      <c r="AV62" s="1721">
        <f>SUM(AV36:AW61)</f>
        <v>58</v>
      </c>
      <c r="AW62" s="69"/>
      <c r="AX62" s="1721">
        <f>SUM(AX36:AY61)</f>
        <v>93</v>
      </c>
      <c r="AY62" s="69"/>
      <c r="AZ62" s="1721">
        <f>SUM(AZ36:BA61)</f>
        <v>65</v>
      </c>
      <c r="BA62" s="69"/>
      <c r="BB62" s="1721">
        <f>SUM(BB36:BC61)</f>
        <v>0</v>
      </c>
      <c r="BC62" s="69"/>
      <c r="BD62" s="1721">
        <f>SUM(BD36:BE61)</f>
        <v>45</v>
      </c>
      <c r="BE62" s="69"/>
      <c r="BF62" s="1721">
        <f>SUM(BF36:BG61)</f>
        <v>82</v>
      </c>
      <c r="BG62" s="69"/>
      <c r="BH62" s="1721">
        <f>SUM(BH36:BI61)</f>
        <v>72</v>
      </c>
      <c r="BI62" s="69"/>
      <c r="BJ62" s="1721">
        <f>SUM(BJ36:BK61)</f>
        <v>86</v>
      </c>
      <c r="BK62" s="69"/>
      <c r="BL62" s="1721">
        <f>SUM(BL36:BM61)</f>
        <v>519</v>
      </c>
      <c r="BM62" s="69"/>
      <c r="BN62" s="1721">
        <f>SUM(BN36:BO61)</f>
        <v>0</v>
      </c>
      <c r="BO62" s="69"/>
      <c r="BP62" s="1487" t="str">
        <f t="shared" si="41"/>
        <v>#REF!</v>
      </c>
      <c r="BQ62" s="69"/>
      <c r="BR62" s="541"/>
      <c r="BS62" s="541"/>
      <c r="BT62" s="541"/>
      <c r="BU62" s="541"/>
    </row>
    <row r="63" ht="15.75" customHeight="1">
      <c r="A63" s="1591"/>
      <c r="B63" s="1540"/>
      <c r="C63" s="1591"/>
      <c r="D63" s="1541"/>
      <c r="E63" s="906"/>
      <c r="F63" s="541"/>
      <c r="G63" s="541"/>
      <c r="H63" s="541"/>
      <c r="I63" s="541"/>
      <c r="J63" s="541"/>
      <c r="K63" s="541"/>
      <c r="L63" s="1748"/>
      <c r="M63" s="541"/>
      <c r="N63" s="541"/>
      <c r="O63" s="541"/>
      <c r="P63" s="541"/>
      <c r="Q63" s="541"/>
      <c r="R63" s="541"/>
      <c r="S63" s="541"/>
      <c r="T63" s="541"/>
      <c r="U63" s="541"/>
      <c r="V63" s="541"/>
      <c r="W63" s="541"/>
      <c r="X63" s="541"/>
      <c r="Y63" s="541"/>
      <c r="Z63" s="541"/>
      <c r="AA63" s="541"/>
      <c r="AB63" s="541"/>
      <c r="AC63" s="541"/>
      <c r="AD63" s="541"/>
      <c r="AE63" s="541"/>
      <c r="AF63" s="541"/>
      <c r="AG63" s="541"/>
      <c r="AH63" s="541"/>
      <c r="AI63" s="541"/>
      <c r="AJ63" s="541"/>
      <c r="AK63" s="541"/>
      <c r="AL63" s="541"/>
      <c r="AM63" s="541"/>
      <c r="AN63" s="1748"/>
      <c r="AO63" s="1748"/>
      <c r="AP63" s="1748"/>
      <c r="AQ63" s="1748"/>
      <c r="AR63" s="1748"/>
      <c r="AS63" s="541"/>
      <c r="AT63" s="541"/>
      <c r="AU63" s="541"/>
      <c r="AV63" s="541"/>
      <c r="AW63" s="541"/>
      <c r="AY63" s="541"/>
      <c r="AZ63" s="633"/>
      <c r="BA63" s="541"/>
      <c r="BB63" s="1190"/>
      <c r="BC63" s="541"/>
      <c r="BD63" s="1190"/>
      <c r="BE63" s="541"/>
      <c r="BF63" s="1190"/>
      <c r="BG63" s="541"/>
      <c r="BH63" s="1190"/>
      <c r="BJ63" s="1190"/>
      <c r="BK63" s="1190"/>
      <c r="BL63" s="1606" t="s">
        <v>1365</v>
      </c>
      <c r="BM63" s="69"/>
      <c r="BN63" s="1073"/>
      <c r="BO63" s="1073"/>
      <c r="BP63" s="1487" t="str">
        <f>SUM(BP36:BP59)</f>
        <v>#REF!</v>
      </c>
      <c r="BQ63" s="69"/>
      <c r="BR63" s="541"/>
      <c r="BS63" s="541"/>
      <c r="BT63" s="541"/>
      <c r="BU63" s="541"/>
    </row>
    <row r="64" ht="15.75" customHeight="1">
      <c r="A64" s="1749" t="s">
        <v>3112</v>
      </c>
      <c r="B64" s="1591"/>
      <c r="C64" s="1591"/>
      <c r="D64" s="1541"/>
      <c r="E64" s="906"/>
      <c r="F64" s="620"/>
      <c r="G64" s="541"/>
      <c r="H64" s="620"/>
      <c r="I64" s="541"/>
      <c r="J64" s="620"/>
      <c r="K64" s="541"/>
      <c r="L64" s="1730"/>
      <c r="M64" s="541"/>
      <c r="N64" s="620"/>
      <c r="O64" s="541"/>
      <c r="P64" s="620"/>
      <c r="Q64" s="541"/>
      <c r="R64" s="620"/>
      <c r="S64" s="541"/>
      <c r="T64" s="620"/>
      <c r="U64" s="541"/>
      <c r="V64" s="620"/>
      <c r="W64" s="541"/>
      <c r="X64" s="620"/>
      <c r="Y64" s="541"/>
      <c r="Z64" s="620"/>
      <c r="AA64" s="541"/>
      <c r="AB64" s="620"/>
      <c r="AC64" s="541"/>
      <c r="AD64" s="620"/>
      <c r="AE64" s="541"/>
      <c r="AF64" s="620"/>
      <c r="AG64" s="541"/>
      <c r="AH64" s="620"/>
      <c r="AI64" s="541"/>
      <c r="AJ64" s="620"/>
      <c r="AK64" s="541"/>
      <c r="AL64" s="620"/>
      <c r="AM64" s="541"/>
      <c r="AN64" s="1730"/>
      <c r="AO64" s="1748"/>
      <c r="AP64" s="1730"/>
      <c r="AQ64" s="1748"/>
      <c r="AR64" s="1748"/>
      <c r="AS64" s="541"/>
      <c r="AT64" s="541"/>
      <c r="AU64" s="541"/>
      <c r="AV64" s="541"/>
      <c r="AW64" s="541"/>
      <c r="AY64" s="541"/>
      <c r="AZ64" s="633"/>
      <c r="BA64" s="541"/>
      <c r="BB64" s="1190"/>
      <c r="BC64" s="541"/>
      <c r="BD64" s="1190"/>
      <c r="BE64" s="541"/>
      <c r="BF64" s="1190"/>
      <c r="BG64" s="541"/>
      <c r="BH64" s="1190"/>
      <c r="BJ64" s="1190"/>
      <c r="BK64" s="1190"/>
      <c r="BL64" s="541"/>
      <c r="BM64" s="541"/>
      <c r="BP64" s="541"/>
      <c r="BQ64" s="633"/>
      <c r="BR64" s="541"/>
      <c r="BS64" s="541"/>
      <c r="BT64" s="541"/>
      <c r="BU64" s="541"/>
    </row>
    <row r="65" ht="16.5" customHeight="1">
      <c r="A65" s="1593" t="s">
        <v>1279</v>
      </c>
      <c r="B65" s="1548"/>
      <c r="C65" s="1594"/>
      <c r="D65" s="1594">
        <v>46237.0</v>
      </c>
      <c r="E65" s="1595" t="s">
        <v>3113</v>
      </c>
      <c r="F65" s="1596"/>
      <c r="G65" s="1596"/>
      <c r="H65" s="1596"/>
      <c r="I65" s="1596"/>
      <c r="J65" s="1552"/>
      <c r="K65" s="1596"/>
      <c r="L65" s="1552"/>
      <c r="M65" s="1596"/>
      <c r="N65" s="1596"/>
      <c r="O65" s="1596"/>
      <c r="P65" s="1596"/>
      <c r="Q65" s="1596"/>
      <c r="R65" s="1596"/>
      <c r="S65" s="1596"/>
      <c r="T65" s="1596"/>
      <c r="U65" s="1596"/>
      <c r="V65" s="1597"/>
      <c r="W65" s="1596"/>
      <c r="X65" s="1596"/>
      <c r="Y65" s="1596"/>
      <c r="Z65" s="1596"/>
      <c r="AA65" s="1596"/>
      <c r="AB65" s="1596"/>
      <c r="AC65" s="1596"/>
      <c r="AD65" s="1596"/>
      <c r="AE65" s="1596"/>
      <c r="AF65" s="1596"/>
      <c r="AG65" s="1596"/>
      <c r="AH65" s="1596"/>
      <c r="AI65" s="1596"/>
      <c r="AJ65" s="1596"/>
      <c r="AK65" s="1596"/>
      <c r="AL65" s="1596"/>
      <c r="AM65" s="1596"/>
      <c r="AN65" s="1552"/>
      <c r="AO65" s="1552"/>
      <c r="AP65" s="1552"/>
      <c r="AQ65" s="1552"/>
      <c r="AR65" s="1552"/>
      <c r="AS65" s="1596"/>
      <c r="AT65" s="1596"/>
      <c r="AU65" s="1596"/>
      <c r="AV65" s="1596"/>
      <c r="AW65" s="1596"/>
      <c r="AX65" s="1596"/>
      <c r="AY65" s="1596"/>
      <c r="AZ65" s="1599"/>
      <c r="BA65" s="1596"/>
      <c r="BB65" s="1552"/>
      <c r="BC65" s="1596"/>
      <c r="BD65" s="1552"/>
      <c r="BE65" s="1596"/>
      <c r="BF65" s="1552"/>
      <c r="BG65" s="1596"/>
      <c r="BH65" s="1552"/>
      <c r="BJ65" s="1552"/>
      <c r="BK65" s="1552"/>
      <c r="BL65" s="1596"/>
      <c r="BM65" s="1596"/>
      <c r="BN65" s="1596"/>
      <c r="BO65" s="1596"/>
      <c r="BP65" s="1596"/>
      <c r="BQ65" s="1599"/>
      <c r="BR65" s="1601"/>
      <c r="BS65" s="1751"/>
      <c r="BT65" s="1596"/>
      <c r="BU65" s="1596"/>
    </row>
    <row r="66" ht="16.5" customHeight="1">
      <c r="A66" s="1693" t="s">
        <v>3069</v>
      </c>
      <c r="B66" s="1603" t="s">
        <v>3097</v>
      </c>
      <c r="C66" s="1603" t="s">
        <v>19</v>
      </c>
      <c r="D66" s="1603" t="s">
        <v>3070</v>
      </c>
      <c r="E66" s="783" t="s">
        <v>471</v>
      </c>
      <c r="F66" s="1075" t="s">
        <v>1357</v>
      </c>
      <c r="G66" s="1409" t="s">
        <v>3071</v>
      </c>
      <c r="H66" s="1075" t="s">
        <v>1287</v>
      </c>
      <c r="I66" s="1409" t="s">
        <v>1288</v>
      </c>
      <c r="J66" s="1075" t="s">
        <v>1358</v>
      </c>
      <c r="K66" s="1409" t="s">
        <v>3072</v>
      </c>
      <c r="L66" s="1075" t="s">
        <v>1359</v>
      </c>
      <c r="M66" s="1409" t="s">
        <v>3073</v>
      </c>
      <c r="N66" s="1075" t="s">
        <v>1360</v>
      </c>
      <c r="O66" s="1409" t="s">
        <v>3074</v>
      </c>
      <c r="P66" s="1075" t="s">
        <v>1361</v>
      </c>
      <c r="Q66" s="1409" t="s">
        <v>3075</v>
      </c>
      <c r="R66" s="1485" t="s">
        <v>1362</v>
      </c>
      <c r="S66" s="1560" t="s">
        <v>1298</v>
      </c>
      <c r="T66" s="1427" t="s">
        <v>1299</v>
      </c>
      <c r="U66" s="1560" t="s">
        <v>1300</v>
      </c>
      <c r="V66" s="1487" t="s">
        <v>1301</v>
      </c>
      <c r="W66" s="1560" t="s">
        <v>1302</v>
      </c>
      <c r="X66" s="1427" t="s">
        <v>1363</v>
      </c>
      <c r="Y66" s="1560" t="s">
        <v>1304</v>
      </c>
      <c r="Z66" s="1487" t="s">
        <v>1305</v>
      </c>
      <c r="AA66" s="1560" t="s">
        <v>1306</v>
      </c>
      <c r="AB66" s="1487" t="s">
        <v>1307</v>
      </c>
      <c r="AC66" s="1560" t="s">
        <v>1308</v>
      </c>
      <c r="AD66" s="1487" t="s">
        <v>1309</v>
      </c>
      <c r="AE66" s="1560" t="s">
        <v>1310</v>
      </c>
      <c r="AF66" s="1427" t="s">
        <v>1311</v>
      </c>
      <c r="AG66" s="1560" t="s">
        <v>1312</v>
      </c>
      <c r="AH66" s="1487" t="s">
        <v>1313</v>
      </c>
      <c r="AI66" s="1560" t="s">
        <v>1314</v>
      </c>
      <c r="AJ66" s="1487" t="s">
        <v>1315</v>
      </c>
      <c r="AK66" s="1560" t="s">
        <v>1316</v>
      </c>
      <c r="AL66" s="1487" t="s">
        <v>1317</v>
      </c>
      <c r="AM66" s="1560" t="s">
        <v>1318</v>
      </c>
      <c r="AN66" s="1487" t="s">
        <v>1319</v>
      </c>
      <c r="AO66" s="1560" t="s">
        <v>1320</v>
      </c>
      <c r="AP66" s="1487" t="s">
        <v>1321</v>
      </c>
      <c r="AQ66" s="1486" t="s">
        <v>1322</v>
      </c>
      <c r="AR66" s="1427" t="s">
        <v>1323</v>
      </c>
      <c r="AS66" s="1486" t="s">
        <v>1324</v>
      </c>
      <c r="AT66" s="1485" t="s">
        <v>1325</v>
      </c>
      <c r="AU66" s="1486" t="s">
        <v>1326</v>
      </c>
      <c r="AV66" s="1485" t="s">
        <v>1327</v>
      </c>
      <c r="AW66" s="1486" t="s">
        <v>1328</v>
      </c>
      <c r="AX66" s="1485" t="s">
        <v>3076</v>
      </c>
      <c r="AY66" s="1486" t="s">
        <v>3077</v>
      </c>
      <c r="AZ66" s="1485" t="s">
        <v>3078</v>
      </c>
      <c r="BA66" s="1486" t="s">
        <v>3079</v>
      </c>
      <c r="BB66" s="1485" t="s">
        <v>3080</v>
      </c>
      <c r="BC66" s="1486" t="s">
        <v>3081</v>
      </c>
      <c r="BD66" s="1485" t="s">
        <v>3082</v>
      </c>
      <c r="BE66" s="1486" t="s">
        <v>3083</v>
      </c>
      <c r="BF66" s="1485" t="s">
        <v>3084</v>
      </c>
      <c r="BG66" s="1486" t="s">
        <v>3085</v>
      </c>
      <c r="BH66" s="1485" t="s">
        <v>3086</v>
      </c>
      <c r="BI66" s="1486" t="s">
        <v>3087</v>
      </c>
      <c r="BJ66" s="1485" t="s">
        <v>3088</v>
      </c>
      <c r="BK66" s="1486" t="s">
        <v>3089</v>
      </c>
      <c r="BL66" s="1120" t="s">
        <v>1425</v>
      </c>
      <c r="BM66" s="1121" t="s">
        <v>3045</v>
      </c>
      <c r="BN66" s="1562" t="s">
        <v>3090</v>
      </c>
      <c r="BO66" s="1563" t="s">
        <v>3091</v>
      </c>
      <c r="BP66" s="1606" t="s">
        <v>1331</v>
      </c>
      <c r="BQ66" s="1168" t="s">
        <v>3092</v>
      </c>
      <c r="BR66" s="1075" t="s">
        <v>3093</v>
      </c>
      <c r="BS66" s="1075" t="s">
        <v>3094</v>
      </c>
      <c r="BT66" s="1686"/>
      <c r="BU66" s="629"/>
    </row>
    <row r="67" ht="16.5" customHeight="1">
      <c r="A67" s="1565" t="s">
        <v>145</v>
      </c>
      <c r="B67" s="1611">
        <v>1550.0</v>
      </c>
      <c r="C67" s="1567">
        <v>158.0</v>
      </c>
      <c r="D67" s="1752" t="s">
        <v>3095</v>
      </c>
      <c r="E67" s="1753" t="str">
        <f>'Матрица 4 недели'!D60</f>
        <v>Омлет с овощами и сыром </v>
      </c>
      <c r="F67" s="1120">
        <v>5.0</v>
      </c>
      <c r="G67" s="1138">
        <v>5.0</v>
      </c>
      <c r="H67" s="1126">
        <v>4.0</v>
      </c>
      <c r="I67" s="1138">
        <v>4.0</v>
      </c>
      <c r="J67" s="1120"/>
      <c r="K67" s="1405"/>
      <c r="L67" s="1161">
        <v>6.0</v>
      </c>
      <c r="M67" s="1405">
        <v>6.0</v>
      </c>
      <c r="N67" s="1120">
        <v>8.0</v>
      </c>
      <c r="O67" s="1138">
        <v>8.0</v>
      </c>
      <c r="P67" s="1120">
        <v>4.0</v>
      </c>
      <c r="Q67" s="1138">
        <v>4.0</v>
      </c>
      <c r="R67" s="1120">
        <v>2.0</v>
      </c>
      <c r="S67" s="1138">
        <v>2.0</v>
      </c>
      <c r="T67" s="1120">
        <v>6.0</v>
      </c>
      <c r="U67" s="1138">
        <v>6.0</v>
      </c>
      <c r="V67" s="1120">
        <v>4.0</v>
      </c>
      <c r="W67" s="1138">
        <v>4.0</v>
      </c>
      <c r="X67" s="1120">
        <v>7.0</v>
      </c>
      <c r="Y67" s="1138">
        <v>7.0</v>
      </c>
      <c r="Z67" s="1126"/>
      <c r="AA67" s="1138"/>
      <c r="AB67" s="1120">
        <v>4.0</v>
      </c>
      <c r="AC67" s="1138">
        <v>4.0</v>
      </c>
      <c r="AD67" s="1120">
        <v>4.0</v>
      </c>
      <c r="AE67" s="1138">
        <v>4.0</v>
      </c>
      <c r="AF67" s="1120">
        <v>10.0</v>
      </c>
      <c r="AG67" s="1138">
        <v>10.0</v>
      </c>
      <c r="AH67" s="1120">
        <v>7.0</v>
      </c>
      <c r="AI67" s="1138">
        <v>7.0</v>
      </c>
      <c r="AJ67" s="1120">
        <v>8.0</v>
      </c>
      <c r="AK67" s="1138">
        <v>8.0</v>
      </c>
      <c r="AL67" s="1120">
        <v>3.0</v>
      </c>
      <c r="AM67" s="1138">
        <v>3.0</v>
      </c>
      <c r="AN67" s="1120">
        <v>4.0</v>
      </c>
      <c r="AO67" s="1131">
        <v>4.0</v>
      </c>
      <c r="AP67" s="1120">
        <v>3.0</v>
      </c>
      <c r="AQ67" s="1131">
        <v>3.0</v>
      </c>
      <c r="AR67" s="1120">
        <v>15.0</v>
      </c>
      <c r="AS67" s="1138">
        <v>15.0</v>
      </c>
      <c r="AT67" s="1126">
        <v>3.0</v>
      </c>
      <c r="AU67" s="1138">
        <v>3.0</v>
      </c>
      <c r="AV67" s="1126">
        <v>3.0</v>
      </c>
      <c r="AW67" s="1138">
        <v>3.0</v>
      </c>
      <c r="AX67" s="1126">
        <v>5.0</v>
      </c>
      <c r="AY67" s="1138">
        <v>5.0</v>
      </c>
      <c r="AZ67" s="1126">
        <v>4.0</v>
      </c>
      <c r="BA67" s="1138">
        <v>4.0</v>
      </c>
      <c r="BB67" s="1126">
        <v>10.0</v>
      </c>
      <c r="BC67" s="1127">
        <v>10.0</v>
      </c>
      <c r="BD67" s="1126">
        <v>2.0</v>
      </c>
      <c r="BE67" s="1127">
        <v>2.0</v>
      </c>
      <c r="BF67" s="1126">
        <v>6.0</v>
      </c>
      <c r="BG67" s="1127">
        <v>6.0</v>
      </c>
      <c r="BH67" s="1126">
        <v>5.0</v>
      </c>
      <c r="BI67" s="1127">
        <v>5.0</v>
      </c>
      <c r="BJ67" s="1126">
        <v>7.0</v>
      </c>
      <c r="BK67" s="1131">
        <v>7.0</v>
      </c>
      <c r="BL67" s="1134"/>
      <c r="BM67" s="1138"/>
      <c r="BN67" s="1087"/>
      <c r="BO67" s="1138"/>
      <c r="BP67" s="783">
        <f t="shared" ref="BP67:BP93" si="43">(F67+H67+J67+L67+N67+P67+R67+T67+V67+X67+Z67+AB67+AD67+AF67+AH67+AJ67+AL67+AR67+BL67+AN67+AP67+AT67+AV67+AX67+AZ67+BB67+BD67+BF67+BH67+BJ67)+1</f>
        <v>150</v>
      </c>
      <c r="BQ67" s="1405">
        <f t="shared" ref="BQ67:BQ93" si="44">G67+I67+K67+M67+O67+Q67+S67+U67+W67+Y67+AA67+AC67+AE67+AG67+AI67+AK67+AM67+AO67+AQ67+AU67+AW67+BM67+AS67+AY67+BA67+BC67+BE67+BG67+BI67+BK67</f>
        <v>149</v>
      </c>
      <c r="BR67" s="711">
        <f t="shared" ref="BR67:BR93" si="45">BQ67*C67</f>
        <v>23542</v>
      </c>
      <c r="BS67" s="784">
        <f t="shared" ref="BS67:BS93" si="46">BP67*C67</f>
        <v>23700</v>
      </c>
      <c r="BT67" s="684"/>
      <c r="BU67" s="1545"/>
    </row>
    <row r="68" ht="16.5" customHeight="1">
      <c r="A68" s="1565" t="s">
        <v>145</v>
      </c>
      <c r="B68" s="1756">
        <v>2847.0</v>
      </c>
      <c r="C68" s="1567">
        <v>185.0</v>
      </c>
      <c r="D68" s="1752" t="s">
        <v>3095</v>
      </c>
      <c r="E68" s="1753" t="str">
        <f>'Матрица 4 недели'!D61</f>
        <v>Запеканка творожная</v>
      </c>
      <c r="F68" s="1120">
        <v>3.0</v>
      </c>
      <c r="G68" s="1121">
        <v>4.0</v>
      </c>
      <c r="H68" s="1120">
        <v>2.0</v>
      </c>
      <c r="I68" s="1121">
        <v>2.0</v>
      </c>
      <c r="J68" s="1120"/>
      <c r="K68" s="1121"/>
      <c r="L68" s="1137">
        <v>5.0</v>
      </c>
      <c r="M68" s="1121">
        <v>5.0</v>
      </c>
      <c r="N68" s="1137">
        <v>7.0</v>
      </c>
      <c r="O68" s="1121">
        <v>8.0</v>
      </c>
      <c r="P68" s="1126">
        <v>2.0</v>
      </c>
      <c r="Q68" s="1121">
        <v>2.0</v>
      </c>
      <c r="R68" s="1120">
        <v>2.0</v>
      </c>
      <c r="S68" s="1121">
        <v>2.0</v>
      </c>
      <c r="T68" s="1126">
        <v>2.0</v>
      </c>
      <c r="U68" s="1121">
        <v>3.0</v>
      </c>
      <c r="V68" s="1126">
        <v>4.0</v>
      </c>
      <c r="W68" s="1121">
        <v>5.0</v>
      </c>
      <c r="X68" s="1126">
        <v>5.0</v>
      </c>
      <c r="Y68" s="1121">
        <v>6.0</v>
      </c>
      <c r="Z68" s="1126"/>
      <c r="AA68" s="1121"/>
      <c r="AB68" s="1120">
        <v>2.0</v>
      </c>
      <c r="AC68" s="1121">
        <v>2.0</v>
      </c>
      <c r="AD68" s="1126">
        <v>2.0</v>
      </c>
      <c r="AE68" s="1121">
        <v>2.0</v>
      </c>
      <c r="AF68" s="1126">
        <v>5.0</v>
      </c>
      <c r="AG68" s="1121">
        <v>6.0</v>
      </c>
      <c r="AH68" s="1126">
        <v>2.0</v>
      </c>
      <c r="AI68" s="1121">
        <v>4.0</v>
      </c>
      <c r="AJ68" s="1126">
        <v>3.0</v>
      </c>
      <c r="AK68" s="1121">
        <v>4.0</v>
      </c>
      <c r="AL68" s="1120">
        <v>3.0</v>
      </c>
      <c r="AM68" s="1121">
        <v>3.0</v>
      </c>
      <c r="AN68" s="1126">
        <v>2.0</v>
      </c>
      <c r="AO68" s="1121">
        <v>4.0</v>
      </c>
      <c r="AP68" s="1126">
        <v>2.0</v>
      </c>
      <c r="AQ68" s="1121">
        <v>2.0</v>
      </c>
      <c r="AR68" s="1126">
        <v>5.0</v>
      </c>
      <c r="AS68" s="1121">
        <v>6.0</v>
      </c>
      <c r="AT68" s="1126">
        <v>3.0</v>
      </c>
      <c r="AU68" s="1121">
        <v>3.0</v>
      </c>
      <c r="AV68" s="1126">
        <v>2.0</v>
      </c>
      <c r="AW68" s="1121">
        <v>2.0</v>
      </c>
      <c r="AX68" s="1126">
        <v>4.0</v>
      </c>
      <c r="AY68" s="1121">
        <v>5.0</v>
      </c>
      <c r="AZ68" s="1126">
        <v>3.0</v>
      </c>
      <c r="BA68" s="1121">
        <v>3.0</v>
      </c>
      <c r="BB68" s="1126">
        <v>10.0</v>
      </c>
      <c r="BC68" s="1121">
        <v>10.0</v>
      </c>
      <c r="BD68" s="1126">
        <v>3.0</v>
      </c>
      <c r="BE68" s="1121">
        <v>3.0</v>
      </c>
      <c r="BF68" s="1126">
        <v>3.0</v>
      </c>
      <c r="BG68" s="1121">
        <v>3.0</v>
      </c>
      <c r="BH68" s="1126">
        <v>3.0</v>
      </c>
      <c r="BI68" s="1121">
        <v>4.0</v>
      </c>
      <c r="BJ68" s="1126">
        <v>3.0</v>
      </c>
      <c r="BK68" s="1121">
        <v>4.0</v>
      </c>
      <c r="BL68" s="1134"/>
      <c r="BM68" s="1138"/>
      <c r="BN68" s="1087"/>
      <c r="BO68" s="1138"/>
      <c r="BP68" s="783">
        <f t="shared" si="43"/>
        <v>93</v>
      </c>
      <c r="BQ68" s="1405">
        <f t="shared" si="44"/>
        <v>107</v>
      </c>
      <c r="BR68" s="711">
        <f t="shared" si="45"/>
        <v>19795</v>
      </c>
      <c r="BS68" s="784">
        <f t="shared" si="46"/>
        <v>17205</v>
      </c>
      <c r="BT68" s="684"/>
      <c r="BU68" s="1545"/>
    </row>
    <row r="69" ht="16.5" customHeight="1">
      <c r="A69" s="1565" t="s">
        <v>145</v>
      </c>
      <c r="B69" s="1756">
        <v>3014.0</v>
      </c>
      <c r="C69" s="1567">
        <v>168.0</v>
      </c>
      <c r="D69" s="1752" t="s">
        <v>3095</v>
      </c>
      <c r="E69" s="1753" t="str">
        <f>'Матрица 4 недели'!D62</f>
        <v>Драники картофельные с цукини со сметаной</v>
      </c>
      <c r="F69" s="1120">
        <v>7.0</v>
      </c>
      <c r="G69" s="1138">
        <v>5.0</v>
      </c>
      <c r="H69" s="1120">
        <v>3.0</v>
      </c>
      <c r="I69" s="1138">
        <v>2.0</v>
      </c>
      <c r="J69" s="1120"/>
      <c r="K69" s="1138"/>
      <c r="L69" s="1126">
        <v>4.0</v>
      </c>
      <c r="M69" s="1138">
        <v>3.0</v>
      </c>
      <c r="N69" s="1126">
        <v>6.0</v>
      </c>
      <c r="O69" s="1138">
        <v>5.0</v>
      </c>
      <c r="P69" s="1120">
        <v>2.0</v>
      </c>
      <c r="Q69" s="1138">
        <v>1.0</v>
      </c>
      <c r="R69" s="1120">
        <v>2.0</v>
      </c>
      <c r="S69" s="1138">
        <v>1.0</v>
      </c>
      <c r="T69" s="1120">
        <v>5.0</v>
      </c>
      <c r="U69" s="1138">
        <v>4.0</v>
      </c>
      <c r="V69" s="1120">
        <v>4.0</v>
      </c>
      <c r="W69" s="1138">
        <v>3.0</v>
      </c>
      <c r="X69" s="1120">
        <v>5.0</v>
      </c>
      <c r="Y69" s="1138">
        <v>4.0</v>
      </c>
      <c r="Z69" s="1126"/>
      <c r="AA69" s="1138"/>
      <c r="AB69" s="1120">
        <v>2.0</v>
      </c>
      <c r="AC69" s="1138">
        <v>1.0</v>
      </c>
      <c r="AD69" s="1120">
        <v>2.0</v>
      </c>
      <c r="AE69" s="1138">
        <v>1.0</v>
      </c>
      <c r="AF69" s="1120">
        <v>4.0</v>
      </c>
      <c r="AG69" s="1138">
        <v>3.0</v>
      </c>
      <c r="AH69" s="1120">
        <v>3.0</v>
      </c>
      <c r="AI69" s="1138">
        <v>2.0</v>
      </c>
      <c r="AJ69" s="1120">
        <v>4.0</v>
      </c>
      <c r="AK69" s="1138">
        <v>3.0</v>
      </c>
      <c r="AL69" s="1126">
        <v>3.0</v>
      </c>
      <c r="AM69" s="1138">
        <v>2.0</v>
      </c>
      <c r="AN69" s="1120">
        <v>2.0</v>
      </c>
      <c r="AO69" s="1138">
        <v>1.0</v>
      </c>
      <c r="AP69" s="1126">
        <v>3.0</v>
      </c>
      <c r="AQ69" s="1138">
        <v>2.0</v>
      </c>
      <c r="AR69" s="1120">
        <v>6.0</v>
      </c>
      <c r="AS69" s="1138">
        <v>4.0</v>
      </c>
      <c r="AT69" s="1120">
        <v>2.0</v>
      </c>
      <c r="AU69" s="1138">
        <v>1.0</v>
      </c>
      <c r="AV69" s="1126">
        <v>2.0</v>
      </c>
      <c r="AW69" s="1138">
        <v>2.0</v>
      </c>
      <c r="AX69" s="1126">
        <v>4.0</v>
      </c>
      <c r="AY69" s="1138">
        <v>4.0</v>
      </c>
      <c r="AZ69" s="1126">
        <v>4.0</v>
      </c>
      <c r="BA69" s="1138">
        <v>4.0</v>
      </c>
      <c r="BB69" s="1126">
        <v>10.0</v>
      </c>
      <c r="BC69" s="1138">
        <v>10.0</v>
      </c>
      <c r="BD69" s="1126">
        <v>2.0</v>
      </c>
      <c r="BE69" s="1138">
        <v>2.0</v>
      </c>
      <c r="BF69" s="1126">
        <v>2.0</v>
      </c>
      <c r="BG69" s="1138">
        <v>2.0</v>
      </c>
      <c r="BH69" s="1126">
        <v>4.0</v>
      </c>
      <c r="BI69" s="1131">
        <v>4.0</v>
      </c>
      <c r="BJ69" s="1126">
        <v>4.0</v>
      </c>
      <c r="BK69" s="1131">
        <v>4.0</v>
      </c>
      <c r="BL69" s="1134"/>
      <c r="BM69" s="1138"/>
      <c r="BN69" s="1087"/>
      <c r="BO69" s="1138"/>
      <c r="BP69" s="783">
        <f t="shared" si="43"/>
        <v>102</v>
      </c>
      <c r="BQ69" s="1405">
        <f t="shared" si="44"/>
        <v>80</v>
      </c>
      <c r="BR69" s="711">
        <f t="shared" si="45"/>
        <v>13440</v>
      </c>
      <c r="BS69" s="784">
        <f t="shared" si="46"/>
        <v>17136</v>
      </c>
      <c r="BT69" s="684"/>
      <c r="BU69" s="1545"/>
    </row>
    <row r="70" ht="16.5" customHeight="1">
      <c r="A70" s="1565" t="s">
        <v>145</v>
      </c>
      <c r="B70" s="1756">
        <v>3189.0</v>
      </c>
      <c r="C70" s="1567">
        <v>98.0</v>
      </c>
      <c r="D70" s="1752" t="s">
        <v>70</v>
      </c>
      <c r="E70" s="1759" t="str">
        <f>'Матрица 4 недели'!G60</f>
        <v>Салат Свекла с сыром и чесноком 120гр</v>
      </c>
      <c r="F70" s="1151">
        <v>7.0</v>
      </c>
      <c r="G70" s="1135">
        <v>7.0</v>
      </c>
      <c r="H70" s="1760">
        <v>3.0</v>
      </c>
      <c r="I70" s="1135">
        <v>3.0</v>
      </c>
      <c r="J70" s="1760"/>
      <c r="K70" s="1173"/>
      <c r="L70" s="1151">
        <v>3.0</v>
      </c>
      <c r="M70" s="1173">
        <v>3.0</v>
      </c>
      <c r="N70" s="1760">
        <v>8.0</v>
      </c>
      <c r="O70" s="1173">
        <v>8.0</v>
      </c>
      <c r="P70" s="1760">
        <v>5.0</v>
      </c>
      <c r="Q70" s="1173">
        <v>5.0</v>
      </c>
      <c r="R70" s="1760">
        <v>2.0</v>
      </c>
      <c r="S70" s="1173">
        <v>2.0</v>
      </c>
      <c r="T70" s="1760">
        <v>2.0</v>
      </c>
      <c r="U70" s="1173">
        <v>2.0</v>
      </c>
      <c r="V70" s="1760">
        <v>7.0</v>
      </c>
      <c r="W70" s="1173">
        <v>7.0</v>
      </c>
      <c r="X70" s="1760">
        <v>2.0</v>
      </c>
      <c r="Y70" s="1173">
        <v>2.0</v>
      </c>
      <c r="Z70" s="1760"/>
      <c r="AA70" s="1173"/>
      <c r="AB70" s="1760">
        <v>2.0</v>
      </c>
      <c r="AC70" s="1173">
        <v>2.0</v>
      </c>
      <c r="AD70" s="1760">
        <v>4.0</v>
      </c>
      <c r="AE70" s="1173">
        <v>4.0</v>
      </c>
      <c r="AF70" s="1151">
        <v>6.0</v>
      </c>
      <c r="AG70" s="1173">
        <v>6.0</v>
      </c>
      <c r="AH70" s="1151">
        <v>7.0</v>
      </c>
      <c r="AI70" s="1173">
        <v>7.0</v>
      </c>
      <c r="AJ70" s="1760">
        <v>4.0</v>
      </c>
      <c r="AK70" s="1173">
        <v>4.0</v>
      </c>
      <c r="AL70" s="1151">
        <v>5.0</v>
      </c>
      <c r="AM70" s="1173">
        <v>5.0</v>
      </c>
      <c r="AN70" s="1760">
        <v>2.0</v>
      </c>
      <c r="AO70" s="1173">
        <v>2.0</v>
      </c>
      <c r="AP70" s="1760">
        <v>2.0</v>
      </c>
      <c r="AQ70" s="1173">
        <v>2.0</v>
      </c>
      <c r="AR70" s="1151">
        <v>8.0</v>
      </c>
      <c r="AS70" s="1135">
        <v>8.0</v>
      </c>
      <c r="AT70" s="1151">
        <v>3.0</v>
      </c>
      <c r="AU70" s="1135">
        <v>3.0</v>
      </c>
      <c r="AV70" s="1151">
        <v>3.0</v>
      </c>
      <c r="AW70" s="1135">
        <v>3.0</v>
      </c>
      <c r="AX70" s="1151">
        <v>2.0</v>
      </c>
      <c r="AY70" s="1135">
        <v>2.0</v>
      </c>
      <c r="AZ70" s="1126">
        <v>4.0</v>
      </c>
      <c r="BA70" s="1135">
        <v>4.0</v>
      </c>
      <c r="BB70" s="1151">
        <v>10.0</v>
      </c>
      <c r="BC70" s="1135">
        <v>10.0</v>
      </c>
      <c r="BD70" s="1151">
        <v>3.0</v>
      </c>
      <c r="BE70" s="1135">
        <v>3.0</v>
      </c>
      <c r="BF70" s="1151">
        <v>5.0</v>
      </c>
      <c r="BG70" s="1135">
        <v>5.0</v>
      </c>
      <c r="BH70" s="1151">
        <v>4.0</v>
      </c>
      <c r="BI70" s="1135">
        <v>4.0</v>
      </c>
      <c r="BJ70" s="1126">
        <v>4.0</v>
      </c>
      <c r="BK70" s="1131">
        <v>4.0</v>
      </c>
      <c r="BL70" s="1134">
        <v>46.0</v>
      </c>
      <c r="BM70" s="1138">
        <v>46.0</v>
      </c>
      <c r="BN70" s="1087">
        <v>10.0</v>
      </c>
      <c r="BO70" s="1138">
        <v>10.0</v>
      </c>
      <c r="BP70" s="783">
        <f t="shared" si="43"/>
        <v>164</v>
      </c>
      <c r="BQ70" s="1405">
        <f t="shared" si="44"/>
        <v>163</v>
      </c>
      <c r="BR70" s="711">
        <f t="shared" si="45"/>
        <v>15974</v>
      </c>
      <c r="BS70" s="784">
        <f t="shared" si="46"/>
        <v>16072</v>
      </c>
      <c r="BT70" s="684"/>
      <c r="BU70" s="1545"/>
    </row>
    <row r="71" ht="16.5" customHeight="1">
      <c r="A71" s="1565" t="s">
        <v>145</v>
      </c>
      <c r="B71" s="1756">
        <v>3301.0</v>
      </c>
      <c r="C71" s="1567">
        <v>98.0</v>
      </c>
      <c r="D71" s="1761" t="s">
        <v>70</v>
      </c>
      <c r="E71" s="1759" t="str">
        <f>'Матрица 4 недели'!G61</f>
        <v>Салат ''Блинный'' (ветчина куриная)</v>
      </c>
      <c r="F71" s="1760">
        <v>5.0</v>
      </c>
      <c r="G71" s="1135">
        <v>5.0</v>
      </c>
      <c r="H71" s="1760">
        <v>1.0</v>
      </c>
      <c r="I71" s="1135">
        <v>1.0</v>
      </c>
      <c r="J71" s="1760"/>
      <c r="K71" s="1135"/>
      <c r="L71" s="1760">
        <v>3.0</v>
      </c>
      <c r="M71" s="1135">
        <v>3.0</v>
      </c>
      <c r="N71" s="1760">
        <v>5.0</v>
      </c>
      <c r="O71" s="1135">
        <v>5.0</v>
      </c>
      <c r="P71" s="1760">
        <v>9.0</v>
      </c>
      <c r="Q71" s="1135">
        <v>9.0</v>
      </c>
      <c r="R71" s="1760">
        <v>3.0</v>
      </c>
      <c r="S71" s="1135">
        <v>3.0</v>
      </c>
      <c r="T71" s="1760">
        <v>3.0</v>
      </c>
      <c r="U71" s="1135">
        <v>3.0</v>
      </c>
      <c r="V71" s="1760">
        <v>4.0</v>
      </c>
      <c r="W71" s="1135">
        <v>4.0</v>
      </c>
      <c r="X71" s="1760">
        <v>2.0</v>
      </c>
      <c r="Y71" s="1135">
        <v>2.0</v>
      </c>
      <c r="Z71" s="1760"/>
      <c r="AA71" s="1135"/>
      <c r="AB71" s="1760">
        <v>0.0</v>
      </c>
      <c r="AC71" s="1135">
        <v>0.0</v>
      </c>
      <c r="AD71" s="1760">
        <v>3.0</v>
      </c>
      <c r="AE71" s="1135">
        <v>3.0</v>
      </c>
      <c r="AF71" s="1760">
        <v>1.0</v>
      </c>
      <c r="AG71" s="1135">
        <v>1.0</v>
      </c>
      <c r="AH71" s="1760">
        <v>0.0</v>
      </c>
      <c r="AI71" s="1135">
        <v>0.0</v>
      </c>
      <c r="AJ71" s="1760">
        <v>2.0</v>
      </c>
      <c r="AK71" s="1135">
        <v>2.0</v>
      </c>
      <c r="AL71" s="1151">
        <v>1.0</v>
      </c>
      <c r="AM71" s="1135">
        <v>1.0</v>
      </c>
      <c r="AN71" s="1760">
        <v>1.0</v>
      </c>
      <c r="AO71" s="1173">
        <v>1.0</v>
      </c>
      <c r="AP71" s="1151">
        <v>2.0</v>
      </c>
      <c r="AQ71" s="1135">
        <v>2.0</v>
      </c>
      <c r="AR71" s="1151">
        <v>9.0</v>
      </c>
      <c r="AS71" s="1135">
        <v>9.0</v>
      </c>
      <c r="AT71" s="1151">
        <v>2.0</v>
      </c>
      <c r="AU71" s="1135">
        <v>2.0</v>
      </c>
      <c r="AV71" s="1151">
        <v>2.0</v>
      </c>
      <c r="AW71" s="1135">
        <v>2.0</v>
      </c>
      <c r="AX71" s="1151">
        <v>2.0</v>
      </c>
      <c r="AY71" s="1135">
        <v>2.0</v>
      </c>
      <c r="AZ71" s="1126">
        <v>2.0</v>
      </c>
      <c r="BA71" s="1135">
        <v>2.0</v>
      </c>
      <c r="BB71" s="1151">
        <v>10.0</v>
      </c>
      <c r="BC71" s="1135">
        <v>10.0</v>
      </c>
      <c r="BD71" s="1151">
        <v>0.0</v>
      </c>
      <c r="BE71" s="1135">
        <v>0.0</v>
      </c>
      <c r="BF71" s="1151">
        <v>3.0</v>
      </c>
      <c r="BG71" s="1135">
        <v>3.0</v>
      </c>
      <c r="BH71" s="1151">
        <v>1.0</v>
      </c>
      <c r="BI71" s="1135">
        <v>1.0</v>
      </c>
      <c r="BJ71" s="1126">
        <v>5.0</v>
      </c>
      <c r="BK71" s="1131">
        <v>5.0</v>
      </c>
      <c r="BL71" s="1134">
        <v>45.0</v>
      </c>
      <c r="BM71" s="1138">
        <v>45.0</v>
      </c>
      <c r="BN71" s="1087"/>
      <c r="BO71" s="1138"/>
      <c r="BP71" s="783">
        <f t="shared" si="43"/>
        <v>127</v>
      </c>
      <c r="BQ71" s="1405">
        <f t="shared" si="44"/>
        <v>126</v>
      </c>
      <c r="BR71" s="711">
        <f t="shared" si="45"/>
        <v>12348</v>
      </c>
      <c r="BS71" s="784">
        <f t="shared" si="46"/>
        <v>12446</v>
      </c>
      <c r="BT71" s="684"/>
      <c r="BU71" s="1545"/>
    </row>
    <row r="72" ht="16.5" customHeight="1">
      <c r="A72" s="1565" t="s">
        <v>145</v>
      </c>
      <c r="B72" s="1756">
        <v>3260.0</v>
      </c>
      <c r="C72" s="1567">
        <v>98.0</v>
      </c>
      <c r="D72" s="1761" t="s">
        <v>70</v>
      </c>
      <c r="E72" s="1759" t="str">
        <f>'Матрица 4 недели'!G62</f>
        <v>Салат ''Купеческий'' (филе кур., шампиньоны)</v>
      </c>
      <c r="F72" s="1762">
        <v>4.0</v>
      </c>
      <c r="G72" s="1764">
        <v>4.0</v>
      </c>
      <c r="H72" s="1762">
        <v>3.0</v>
      </c>
      <c r="I72" s="1764">
        <v>3.0</v>
      </c>
      <c r="J72" s="1762"/>
      <c r="K72" s="1764"/>
      <c r="L72" s="1765">
        <v>1.0</v>
      </c>
      <c r="M72" s="1764">
        <v>1.0</v>
      </c>
      <c r="N72" s="1762">
        <v>5.0</v>
      </c>
      <c r="O72" s="1764">
        <v>5.0</v>
      </c>
      <c r="P72" s="1765">
        <v>4.0</v>
      </c>
      <c r="Q72" s="1766">
        <v>4.0</v>
      </c>
      <c r="R72" s="1760">
        <v>3.0</v>
      </c>
      <c r="S72" s="1766">
        <v>3.0</v>
      </c>
      <c r="T72" s="1151">
        <v>3.0</v>
      </c>
      <c r="U72" s="1766">
        <v>3.0</v>
      </c>
      <c r="V72" s="1767">
        <v>2.0</v>
      </c>
      <c r="W72" s="1768">
        <v>2.0</v>
      </c>
      <c r="X72" s="1769">
        <v>5.0</v>
      </c>
      <c r="Y72" s="1770">
        <v>5.0</v>
      </c>
      <c r="Z72" s="1760"/>
      <c r="AA72" s="1766"/>
      <c r="AB72" s="1769">
        <v>2.0</v>
      </c>
      <c r="AC72" s="1770">
        <v>2.0</v>
      </c>
      <c r="AD72" s="1771">
        <v>1.0</v>
      </c>
      <c r="AE72" s="1770">
        <v>1.0</v>
      </c>
      <c r="AF72" s="1771">
        <v>3.0</v>
      </c>
      <c r="AG72" s="1770">
        <v>3.0</v>
      </c>
      <c r="AH72" s="1760">
        <v>4.0</v>
      </c>
      <c r="AI72" s="1772">
        <v>4.0</v>
      </c>
      <c r="AJ72" s="1771">
        <v>4.0</v>
      </c>
      <c r="AK72" s="1770">
        <v>4.0</v>
      </c>
      <c r="AL72" s="1151">
        <v>2.0</v>
      </c>
      <c r="AM72" s="1173">
        <v>2.0</v>
      </c>
      <c r="AN72" s="1760">
        <v>3.0</v>
      </c>
      <c r="AO72" s="1173">
        <v>3.0</v>
      </c>
      <c r="AP72" s="1151">
        <v>2.0</v>
      </c>
      <c r="AQ72" s="1173">
        <v>2.0</v>
      </c>
      <c r="AR72" s="1151">
        <v>11.0</v>
      </c>
      <c r="AS72" s="1173">
        <v>11.0</v>
      </c>
      <c r="AT72" s="1151">
        <v>3.0</v>
      </c>
      <c r="AU72" s="1173">
        <v>3.0</v>
      </c>
      <c r="AV72" s="1151">
        <v>3.0</v>
      </c>
      <c r="AW72" s="1173">
        <v>3.0</v>
      </c>
      <c r="AX72" s="1151">
        <v>2.0</v>
      </c>
      <c r="AY72" s="1173">
        <v>2.0</v>
      </c>
      <c r="AZ72" s="1126">
        <v>7.0</v>
      </c>
      <c r="BA72" s="1173">
        <v>7.0</v>
      </c>
      <c r="BB72" s="1151">
        <v>10.0</v>
      </c>
      <c r="BC72" s="1173">
        <v>10.0</v>
      </c>
      <c r="BD72" s="1151">
        <v>2.0</v>
      </c>
      <c r="BE72" s="1173">
        <v>2.0</v>
      </c>
      <c r="BF72" s="1151">
        <v>4.0</v>
      </c>
      <c r="BG72" s="1173">
        <v>4.0</v>
      </c>
      <c r="BH72" s="1151">
        <v>3.0</v>
      </c>
      <c r="BI72" s="1173">
        <v>3.0</v>
      </c>
      <c r="BJ72" s="1126">
        <v>7.0</v>
      </c>
      <c r="BK72" s="1131">
        <v>7.0</v>
      </c>
      <c r="BL72" s="1134">
        <v>44.0</v>
      </c>
      <c r="BM72" s="1138">
        <v>44.0</v>
      </c>
      <c r="BN72" s="1087">
        <v>6.0</v>
      </c>
      <c r="BO72" s="1138">
        <v>6.0</v>
      </c>
      <c r="BP72" s="1773">
        <f t="shared" si="43"/>
        <v>148</v>
      </c>
      <c r="BQ72" s="1774">
        <f t="shared" si="44"/>
        <v>147</v>
      </c>
      <c r="BR72" s="711">
        <f t="shared" si="45"/>
        <v>14406</v>
      </c>
      <c r="BS72" s="784">
        <f t="shared" si="46"/>
        <v>14504</v>
      </c>
      <c r="BT72" s="684"/>
      <c r="BU72" s="1545"/>
    </row>
    <row r="73" ht="16.5" customHeight="1">
      <c r="A73" s="1565" t="s">
        <v>145</v>
      </c>
      <c r="B73" s="1756">
        <v>3430.0</v>
      </c>
      <c r="C73" s="1567">
        <v>230.0</v>
      </c>
      <c r="D73" s="1761" t="s">
        <v>537</v>
      </c>
      <c r="E73" s="1759" t="str">
        <f>'Матрица 4 недели'!G63</f>
        <v>Боул с крабом, бобами эдамаме и овощами</v>
      </c>
      <c r="F73" s="1120">
        <v>7.0</v>
      </c>
      <c r="G73" s="1121">
        <v>7.0</v>
      </c>
      <c r="H73" s="1120">
        <v>1.0</v>
      </c>
      <c r="I73" s="1121">
        <v>1.0</v>
      </c>
      <c r="J73" s="1120"/>
      <c r="K73" s="1121"/>
      <c r="L73" s="1120"/>
      <c r="M73" s="1121"/>
      <c r="N73" s="1120">
        <v>3.0</v>
      </c>
      <c r="O73" s="1121">
        <v>3.0</v>
      </c>
      <c r="P73" s="1120">
        <v>2.0</v>
      </c>
      <c r="Q73" s="1121">
        <v>2.0</v>
      </c>
      <c r="R73" s="1120"/>
      <c r="S73" s="1121"/>
      <c r="T73" s="1120">
        <v>2.0</v>
      </c>
      <c r="U73" s="1121">
        <v>2.0</v>
      </c>
      <c r="V73" s="1120">
        <v>1.0</v>
      </c>
      <c r="W73" s="1121">
        <v>1.0</v>
      </c>
      <c r="X73" s="1120">
        <v>2.0</v>
      </c>
      <c r="Y73" s="1121">
        <v>2.0</v>
      </c>
      <c r="Z73" s="1120"/>
      <c r="AA73" s="1121"/>
      <c r="AB73" s="1120">
        <v>1.0</v>
      </c>
      <c r="AC73" s="1121">
        <v>1.0</v>
      </c>
      <c r="AD73" s="1120">
        <v>1.0</v>
      </c>
      <c r="AE73" s="1121">
        <v>1.0</v>
      </c>
      <c r="AF73" s="1120">
        <v>3.0</v>
      </c>
      <c r="AG73" s="1121">
        <v>3.0</v>
      </c>
      <c r="AH73" s="1120">
        <v>2.0</v>
      </c>
      <c r="AI73" s="1121">
        <v>2.0</v>
      </c>
      <c r="AJ73" s="1120">
        <v>1.0</v>
      </c>
      <c r="AK73" s="1121">
        <v>1.0</v>
      </c>
      <c r="AL73" s="1120">
        <v>0.0</v>
      </c>
      <c r="AM73" s="1121">
        <v>0.0</v>
      </c>
      <c r="AN73" s="1120">
        <v>0.0</v>
      </c>
      <c r="AO73" s="1138">
        <v>0.0</v>
      </c>
      <c r="AP73" s="1126">
        <v>1.0</v>
      </c>
      <c r="AQ73" s="1121">
        <v>1.0</v>
      </c>
      <c r="AR73" s="1126">
        <v>4.0</v>
      </c>
      <c r="AS73" s="1121">
        <v>4.0</v>
      </c>
      <c r="AT73" s="1126">
        <v>1.0</v>
      </c>
      <c r="AU73" s="1121">
        <v>1.0</v>
      </c>
      <c r="AV73" s="1126">
        <v>3.0</v>
      </c>
      <c r="AW73" s="1121">
        <v>3.0</v>
      </c>
      <c r="AX73" s="1126">
        <v>7.0</v>
      </c>
      <c r="AY73" s="1121">
        <v>7.0</v>
      </c>
      <c r="AZ73" s="1126">
        <v>1.0</v>
      </c>
      <c r="BA73" s="1121">
        <v>1.0</v>
      </c>
      <c r="BB73" s="1126">
        <v>5.0</v>
      </c>
      <c r="BC73" s="1121">
        <v>5.0</v>
      </c>
      <c r="BD73" s="1126">
        <v>1.0</v>
      </c>
      <c r="BE73" s="1121">
        <v>1.0</v>
      </c>
      <c r="BF73" s="1126">
        <v>4.0</v>
      </c>
      <c r="BG73" s="1121">
        <v>4.0</v>
      </c>
      <c r="BH73" s="1126">
        <v>3.0</v>
      </c>
      <c r="BI73" s="1131">
        <v>3.0</v>
      </c>
      <c r="BJ73" s="1126">
        <v>4.0</v>
      </c>
      <c r="BK73" s="1131">
        <v>4.0</v>
      </c>
      <c r="BL73" s="1134"/>
      <c r="BM73" s="1776"/>
      <c r="BN73" s="1654"/>
      <c r="BO73" s="1777"/>
      <c r="BP73" s="783">
        <f t="shared" si="43"/>
        <v>61</v>
      </c>
      <c r="BQ73" s="1405">
        <f t="shared" si="44"/>
        <v>60</v>
      </c>
      <c r="BR73" s="711">
        <f t="shared" si="45"/>
        <v>13800</v>
      </c>
      <c r="BS73" s="784">
        <f t="shared" si="46"/>
        <v>14030</v>
      </c>
      <c r="BT73" s="684"/>
      <c r="BU73" s="1545"/>
    </row>
    <row r="74" ht="16.5" customHeight="1">
      <c r="A74" s="1565"/>
      <c r="B74" s="1756">
        <v>386.0</v>
      </c>
      <c r="C74" s="1567">
        <v>88.0</v>
      </c>
      <c r="D74" s="1761" t="s">
        <v>74</v>
      </c>
      <c r="E74" s="1759" t="str">
        <f>'Матрица 4 недели'!J60</f>
        <v>Суп ''Харчо'' с курицей</v>
      </c>
      <c r="F74" s="1137"/>
      <c r="G74" s="1138"/>
      <c r="H74" s="1126"/>
      <c r="I74" s="1138"/>
      <c r="J74" s="1126"/>
      <c r="K74" s="1138"/>
      <c r="L74" s="1126"/>
      <c r="M74" s="1138"/>
      <c r="N74" s="1126"/>
      <c r="O74" s="1138"/>
      <c r="P74" s="1126"/>
      <c r="Q74" s="1142"/>
      <c r="R74" s="1126"/>
      <c r="S74" s="1121"/>
      <c r="T74" s="1137"/>
      <c r="U74" s="1121"/>
      <c r="V74" s="1137"/>
      <c r="W74" s="1121"/>
      <c r="X74" s="1137"/>
      <c r="Y74" s="1121"/>
      <c r="Z74" s="1120"/>
      <c r="AA74" s="1121"/>
      <c r="AB74" s="1120"/>
      <c r="AC74" s="1121"/>
      <c r="AD74" s="1120"/>
      <c r="AE74" s="1121"/>
      <c r="AF74" s="1137"/>
      <c r="AG74" s="1121"/>
      <c r="AH74" s="1120"/>
      <c r="AI74" s="1121"/>
      <c r="AJ74" s="1120"/>
      <c r="AK74" s="1121"/>
      <c r="AL74" s="1137"/>
      <c r="AM74" s="1121"/>
      <c r="AN74" s="1137"/>
      <c r="AO74" s="1131"/>
      <c r="AP74" s="1137"/>
      <c r="AQ74" s="1131"/>
      <c r="AR74" s="1137"/>
      <c r="AS74" s="1138"/>
      <c r="AT74" s="1126"/>
      <c r="AU74" s="1138"/>
      <c r="AV74" s="1126"/>
      <c r="AW74" s="1138"/>
      <c r="AX74" s="1126"/>
      <c r="AY74" s="1138"/>
      <c r="AZ74" s="1126"/>
      <c r="BA74" s="1138"/>
      <c r="BB74" s="1126"/>
      <c r="BC74" s="1138"/>
      <c r="BD74" s="1126"/>
      <c r="BE74" s="1138"/>
      <c r="BF74" s="1126"/>
      <c r="BG74" s="1138"/>
      <c r="BH74" s="1126"/>
      <c r="BI74" s="1131"/>
      <c r="BJ74" s="1126"/>
      <c r="BK74" s="1131"/>
      <c r="BL74" s="1139">
        <v>115.0</v>
      </c>
      <c r="BM74" s="1138">
        <v>115.0</v>
      </c>
      <c r="BN74" s="1087">
        <v>15.0</v>
      </c>
      <c r="BO74" s="1138"/>
      <c r="BP74" s="783">
        <f t="shared" si="43"/>
        <v>116</v>
      </c>
      <c r="BQ74" s="1774">
        <f t="shared" si="44"/>
        <v>115</v>
      </c>
      <c r="BR74" s="711">
        <f t="shared" si="45"/>
        <v>10120</v>
      </c>
      <c r="BS74" s="784">
        <f t="shared" si="46"/>
        <v>10208</v>
      </c>
      <c r="BT74" s="684"/>
      <c r="BU74" s="1545"/>
    </row>
    <row r="75" ht="16.5" customHeight="1">
      <c r="A75" s="1565" t="s">
        <v>145</v>
      </c>
      <c r="B75" s="1756"/>
      <c r="C75" s="1567"/>
      <c r="D75" s="1761"/>
      <c r="E75" s="1759" t="str">
        <f>'Матрица 4 недели'!J61</f>
        <v/>
      </c>
      <c r="F75" s="1143">
        <v>2.0</v>
      </c>
      <c r="G75" s="1307">
        <v>2.0</v>
      </c>
      <c r="H75" s="1141">
        <v>2.0</v>
      </c>
      <c r="I75" s="1307">
        <v>2.0</v>
      </c>
      <c r="J75" s="1141"/>
      <c r="K75" s="1307"/>
      <c r="L75" s="1141">
        <v>2.0</v>
      </c>
      <c r="M75" s="1307">
        <v>2.0</v>
      </c>
      <c r="N75" s="1141">
        <v>4.0</v>
      </c>
      <c r="O75" s="1307">
        <v>4.0</v>
      </c>
      <c r="P75" s="1141">
        <v>2.0</v>
      </c>
      <c r="Q75" s="1142">
        <v>2.0</v>
      </c>
      <c r="R75" s="1126">
        <v>0.0</v>
      </c>
      <c r="S75" s="1121">
        <v>0.0</v>
      </c>
      <c r="T75" s="1143">
        <v>2.0</v>
      </c>
      <c r="U75" s="1121">
        <v>2.0</v>
      </c>
      <c r="V75" s="1143">
        <v>3.0</v>
      </c>
      <c r="W75" s="1305">
        <v>3.0</v>
      </c>
      <c r="X75" s="1143">
        <v>2.0</v>
      </c>
      <c r="Y75" s="1121">
        <v>2.0</v>
      </c>
      <c r="Z75" s="1302"/>
      <c r="AA75" s="1121"/>
      <c r="AB75" s="1302">
        <v>0.0</v>
      </c>
      <c r="AC75" s="1121">
        <v>0.0</v>
      </c>
      <c r="AD75" s="1302">
        <v>2.0</v>
      </c>
      <c r="AE75" s="1121">
        <v>2.0</v>
      </c>
      <c r="AF75" s="1143">
        <v>3.0</v>
      </c>
      <c r="AG75" s="1121">
        <v>3.0</v>
      </c>
      <c r="AH75" s="1302">
        <v>3.0</v>
      </c>
      <c r="AI75" s="1121">
        <v>3.0</v>
      </c>
      <c r="AJ75" s="1302">
        <v>1.0</v>
      </c>
      <c r="AK75" s="1121">
        <v>1.0</v>
      </c>
      <c r="AL75" s="1143">
        <v>0.0</v>
      </c>
      <c r="AM75" s="1121">
        <v>0.0</v>
      </c>
      <c r="AN75" s="1137">
        <v>2.0</v>
      </c>
      <c r="AO75" s="1131">
        <v>2.0</v>
      </c>
      <c r="AP75" s="1137">
        <v>2.0</v>
      </c>
      <c r="AQ75" s="1131">
        <v>2.0</v>
      </c>
      <c r="AR75" s="1137">
        <v>5.0</v>
      </c>
      <c r="AS75" s="1138">
        <v>5.0</v>
      </c>
      <c r="AT75" s="1126">
        <v>3.0</v>
      </c>
      <c r="AU75" s="1138">
        <v>3.0</v>
      </c>
      <c r="AV75" s="1126">
        <v>1.0</v>
      </c>
      <c r="AW75" s="1138">
        <v>1.0</v>
      </c>
      <c r="AX75" s="1126">
        <v>1.0</v>
      </c>
      <c r="AY75" s="1138">
        <v>1.0</v>
      </c>
      <c r="AZ75" s="1126">
        <v>4.0</v>
      </c>
      <c r="BA75" s="1138">
        <v>4.0</v>
      </c>
      <c r="BB75" s="1126">
        <v>5.0</v>
      </c>
      <c r="BC75" s="1138">
        <v>5.0</v>
      </c>
      <c r="BD75" s="1126">
        <v>0.0</v>
      </c>
      <c r="BE75" s="1138"/>
      <c r="BF75" s="1126">
        <v>3.0</v>
      </c>
      <c r="BG75" s="1138">
        <v>3.0</v>
      </c>
      <c r="BH75" s="1126">
        <v>4.0</v>
      </c>
      <c r="BI75" s="1131">
        <v>4.0</v>
      </c>
      <c r="BJ75" s="1126">
        <v>2.0</v>
      </c>
      <c r="BK75" s="1131">
        <v>2.0</v>
      </c>
      <c r="BL75" s="1139"/>
      <c r="BM75" s="1138"/>
      <c r="BN75" s="1087"/>
      <c r="BO75" s="1138"/>
      <c r="BP75" s="783">
        <f t="shared" si="43"/>
        <v>61</v>
      </c>
      <c r="BQ75" s="1774">
        <f t="shared" si="44"/>
        <v>60</v>
      </c>
      <c r="BR75" s="711">
        <f t="shared" si="45"/>
        <v>0</v>
      </c>
      <c r="BS75" s="784">
        <f t="shared" si="46"/>
        <v>0</v>
      </c>
      <c r="BT75" s="684"/>
      <c r="BU75" s="1545"/>
    </row>
    <row r="76" ht="16.5" customHeight="1">
      <c r="A76" s="1565" t="s">
        <v>145</v>
      </c>
      <c r="B76" s="1756"/>
      <c r="C76" s="1567"/>
      <c r="D76" s="1761" t="s">
        <v>77</v>
      </c>
      <c r="E76" s="1759" t="str">
        <f>'Матрица 4 недели'!M60</f>
        <v>Мясные гнёзда с овощами и картофелем </v>
      </c>
      <c r="F76" s="1769">
        <v>7.0</v>
      </c>
      <c r="G76" s="1173">
        <v>7.0</v>
      </c>
      <c r="H76" s="1151">
        <v>5.0</v>
      </c>
      <c r="I76" s="1173">
        <v>5.0</v>
      </c>
      <c r="J76" s="1151"/>
      <c r="K76" s="1173"/>
      <c r="L76" s="1151">
        <v>5.0</v>
      </c>
      <c r="M76" s="1173">
        <v>5.0</v>
      </c>
      <c r="N76" s="1151">
        <v>7.0</v>
      </c>
      <c r="O76" s="1173">
        <v>7.0</v>
      </c>
      <c r="P76" s="1151">
        <v>9.0</v>
      </c>
      <c r="Q76" s="1135">
        <v>9.0</v>
      </c>
      <c r="R76" s="1151">
        <v>5.0</v>
      </c>
      <c r="S76" s="1135">
        <v>5.0</v>
      </c>
      <c r="T76" s="1769">
        <v>2.0</v>
      </c>
      <c r="U76" s="1135">
        <v>2.0</v>
      </c>
      <c r="V76" s="1769">
        <v>3.0</v>
      </c>
      <c r="W76" s="1135">
        <v>3.0</v>
      </c>
      <c r="X76" s="1769">
        <v>5.0</v>
      </c>
      <c r="Y76" s="1135">
        <v>5.0</v>
      </c>
      <c r="Z76" s="1151"/>
      <c r="AA76" s="1135"/>
      <c r="AB76" s="1760">
        <v>2.0</v>
      </c>
      <c r="AC76" s="1135">
        <v>2.0</v>
      </c>
      <c r="AD76" s="1760">
        <v>4.0</v>
      </c>
      <c r="AE76" s="1135">
        <v>4.0</v>
      </c>
      <c r="AF76" s="1769">
        <v>5.0</v>
      </c>
      <c r="AG76" s="1135">
        <v>5.0</v>
      </c>
      <c r="AH76" s="1769">
        <v>6.0</v>
      </c>
      <c r="AI76" s="1135">
        <v>6.0</v>
      </c>
      <c r="AJ76" s="1769">
        <v>2.0</v>
      </c>
      <c r="AK76" s="1135">
        <v>2.0</v>
      </c>
      <c r="AL76" s="1151">
        <v>3.0</v>
      </c>
      <c r="AM76" s="1135">
        <v>3.0</v>
      </c>
      <c r="AN76" s="1769">
        <v>3.0</v>
      </c>
      <c r="AO76" s="1173">
        <v>3.0</v>
      </c>
      <c r="AP76" s="1151">
        <v>4.0</v>
      </c>
      <c r="AQ76" s="1173">
        <v>4.0</v>
      </c>
      <c r="AR76" s="1151">
        <v>6.0</v>
      </c>
      <c r="AS76" s="1173">
        <v>6.0</v>
      </c>
      <c r="AT76" s="1151">
        <v>5.0</v>
      </c>
      <c r="AU76" s="1173">
        <v>5.0</v>
      </c>
      <c r="AV76" s="1151">
        <v>3.0</v>
      </c>
      <c r="AW76" s="1173">
        <v>3.0</v>
      </c>
      <c r="AX76" s="1151">
        <v>3.0</v>
      </c>
      <c r="AY76" s="1173">
        <v>3.0</v>
      </c>
      <c r="AZ76" s="1126">
        <v>3.0</v>
      </c>
      <c r="BA76" s="1173">
        <v>3.0</v>
      </c>
      <c r="BB76" s="1151">
        <v>10.0</v>
      </c>
      <c r="BC76" s="1173">
        <v>10.0</v>
      </c>
      <c r="BD76" s="1151">
        <v>4.0</v>
      </c>
      <c r="BE76" s="1173">
        <v>4.0</v>
      </c>
      <c r="BF76" s="1151">
        <v>5.0</v>
      </c>
      <c r="BG76" s="1173">
        <v>5.0</v>
      </c>
      <c r="BH76" s="1151">
        <v>0.0</v>
      </c>
      <c r="BI76" s="1173">
        <v>0.0</v>
      </c>
      <c r="BJ76" s="1151">
        <v>6.0</v>
      </c>
      <c r="BK76" s="1173">
        <v>6.0</v>
      </c>
      <c r="BL76" s="1134">
        <v>70.0</v>
      </c>
      <c r="BM76" s="1138">
        <v>70.0</v>
      </c>
      <c r="BN76" s="1087">
        <v>10.0</v>
      </c>
      <c r="BO76" s="1138">
        <v>10.0</v>
      </c>
      <c r="BP76" s="783">
        <f t="shared" si="43"/>
        <v>193</v>
      </c>
      <c r="BQ76" s="1405">
        <f t="shared" si="44"/>
        <v>192</v>
      </c>
      <c r="BR76" s="711">
        <f t="shared" si="45"/>
        <v>0</v>
      </c>
      <c r="BS76" s="784">
        <f t="shared" si="46"/>
        <v>0</v>
      </c>
      <c r="BT76" s="684"/>
      <c r="BU76" s="1545"/>
    </row>
    <row r="77" ht="16.5" customHeight="1">
      <c r="A77" s="1565" t="s">
        <v>145</v>
      </c>
      <c r="B77" s="1756">
        <v>4259.0</v>
      </c>
      <c r="C77" s="1567">
        <v>265.0</v>
      </c>
      <c r="D77" s="1761" t="s">
        <v>77</v>
      </c>
      <c r="E77" s="1759" t="str">
        <f>'Матрица 4 недели'!M61</f>
        <v>Котлета из щуки с овощным гарниром</v>
      </c>
      <c r="F77" s="1151">
        <v>11.0</v>
      </c>
      <c r="G77" s="1173">
        <v>9.0</v>
      </c>
      <c r="H77" s="1151">
        <v>5.0</v>
      </c>
      <c r="I77" s="1173">
        <v>5.0</v>
      </c>
      <c r="J77" s="1151"/>
      <c r="K77" s="1173"/>
      <c r="L77" s="1151">
        <v>3.0</v>
      </c>
      <c r="M77" s="1173">
        <v>3.0</v>
      </c>
      <c r="N77" s="1151">
        <v>3.0</v>
      </c>
      <c r="O77" s="1173">
        <v>3.0</v>
      </c>
      <c r="P77" s="1151">
        <v>3.0</v>
      </c>
      <c r="Q77" s="1766">
        <v>3.0</v>
      </c>
      <c r="R77" s="1151">
        <v>3.0</v>
      </c>
      <c r="S77" s="1135">
        <v>3.0</v>
      </c>
      <c r="T77" s="1769">
        <v>0.0</v>
      </c>
      <c r="U77" s="1135">
        <v>0.0</v>
      </c>
      <c r="V77" s="1769">
        <v>4.0</v>
      </c>
      <c r="W77" s="1135">
        <v>4.0</v>
      </c>
      <c r="X77" s="1769">
        <v>5.0</v>
      </c>
      <c r="Y77" s="1135">
        <v>5.0</v>
      </c>
      <c r="Z77" s="1760"/>
      <c r="AA77" s="1135"/>
      <c r="AB77" s="1760">
        <v>3.0</v>
      </c>
      <c r="AC77" s="1135">
        <v>3.0</v>
      </c>
      <c r="AD77" s="1760">
        <v>2.0</v>
      </c>
      <c r="AE77" s="1135">
        <v>2.0</v>
      </c>
      <c r="AF77" s="1151">
        <v>7.0</v>
      </c>
      <c r="AG77" s="1135">
        <v>4.0</v>
      </c>
      <c r="AH77" s="1760">
        <v>4.0</v>
      </c>
      <c r="AI77" s="1135">
        <v>4.0</v>
      </c>
      <c r="AJ77" s="1760">
        <v>4.0</v>
      </c>
      <c r="AK77" s="1135">
        <v>3.0</v>
      </c>
      <c r="AL77" s="1151">
        <v>3.0</v>
      </c>
      <c r="AM77" s="1135">
        <v>2.0</v>
      </c>
      <c r="AN77" s="1769">
        <v>1.0</v>
      </c>
      <c r="AO77" s="1173">
        <v>1.0</v>
      </c>
      <c r="AP77" s="1151">
        <v>4.0</v>
      </c>
      <c r="AQ77" s="1173">
        <v>4.0</v>
      </c>
      <c r="AR77" s="1151">
        <v>8.0</v>
      </c>
      <c r="AS77" s="1173">
        <v>6.0</v>
      </c>
      <c r="AT77" s="1151">
        <v>4.0</v>
      </c>
      <c r="AU77" s="1173">
        <v>3.0</v>
      </c>
      <c r="AV77" s="1151">
        <v>2.0</v>
      </c>
      <c r="AW77" s="1173">
        <v>2.0</v>
      </c>
      <c r="AX77" s="1151">
        <v>4.0</v>
      </c>
      <c r="AY77" s="1173">
        <v>3.0</v>
      </c>
      <c r="AZ77" s="1126">
        <v>5.0</v>
      </c>
      <c r="BA77" s="1173">
        <v>5.0</v>
      </c>
      <c r="BB77" s="1151">
        <v>10.0</v>
      </c>
      <c r="BC77" s="1173">
        <v>10.0</v>
      </c>
      <c r="BD77" s="1151">
        <v>2.0</v>
      </c>
      <c r="BE77" s="1173">
        <v>2.0</v>
      </c>
      <c r="BF77" s="1151">
        <v>7.0</v>
      </c>
      <c r="BG77" s="1173">
        <v>7.0</v>
      </c>
      <c r="BH77" s="1151">
        <v>3.0</v>
      </c>
      <c r="BI77" s="1173">
        <v>3.0</v>
      </c>
      <c r="BJ77" s="1151">
        <v>5.0</v>
      </c>
      <c r="BK77" s="1173">
        <v>5.0</v>
      </c>
      <c r="BL77" s="1134"/>
      <c r="BM77" s="1776"/>
      <c r="BN77" s="1654">
        <v>10.0</v>
      </c>
      <c r="BO77" s="1777">
        <v>10.0</v>
      </c>
      <c r="BP77" s="783">
        <f t="shared" si="43"/>
        <v>116</v>
      </c>
      <c r="BQ77" s="1774">
        <f t="shared" si="44"/>
        <v>104</v>
      </c>
      <c r="BR77" s="711">
        <f t="shared" si="45"/>
        <v>27560</v>
      </c>
      <c r="BS77" s="784">
        <f t="shared" si="46"/>
        <v>30740</v>
      </c>
      <c r="BT77" s="684"/>
      <c r="BU77" s="1545"/>
    </row>
    <row r="78" ht="16.5" customHeight="1">
      <c r="A78" s="1565" t="s">
        <v>145</v>
      </c>
      <c r="B78" s="1756">
        <v>1982.0</v>
      </c>
      <c r="C78" s="1567">
        <v>214.0</v>
      </c>
      <c r="D78" s="1761" t="s">
        <v>77</v>
      </c>
      <c r="E78" s="1759" t="str">
        <f>'Матрица 4 недели'!M62</f>
        <v>Вок с курицей и рисом</v>
      </c>
      <c r="F78" s="1762">
        <v>7.0</v>
      </c>
      <c r="G78" s="1764">
        <v>7.0</v>
      </c>
      <c r="H78" s="1762">
        <v>6.0</v>
      </c>
      <c r="I78" s="1764">
        <v>6.0</v>
      </c>
      <c r="J78" s="1762"/>
      <c r="K78" s="1764"/>
      <c r="L78" s="1765">
        <v>4.0</v>
      </c>
      <c r="M78" s="1764">
        <v>4.0</v>
      </c>
      <c r="N78" s="1762">
        <v>9.0</v>
      </c>
      <c r="O78" s="1764">
        <v>9.0</v>
      </c>
      <c r="P78" s="1762">
        <v>6.0</v>
      </c>
      <c r="Q78" s="1766">
        <v>6.0</v>
      </c>
      <c r="R78" s="1765">
        <v>6.0</v>
      </c>
      <c r="S78" s="1766">
        <v>6.0</v>
      </c>
      <c r="T78" s="1762">
        <v>10.0</v>
      </c>
      <c r="U78" s="1766">
        <v>9.0</v>
      </c>
      <c r="V78" s="1767">
        <v>9.0</v>
      </c>
      <c r="W78" s="1768">
        <v>9.0</v>
      </c>
      <c r="X78" s="1771">
        <v>6.0</v>
      </c>
      <c r="Y78" s="1770">
        <v>4.0</v>
      </c>
      <c r="Z78" s="1781"/>
      <c r="AA78" s="1766"/>
      <c r="AB78" s="1781">
        <v>3.0</v>
      </c>
      <c r="AC78" s="1782">
        <v>3.0</v>
      </c>
      <c r="AD78" s="1771">
        <v>2.0</v>
      </c>
      <c r="AE78" s="1770">
        <v>2.0</v>
      </c>
      <c r="AF78" s="1783">
        <v>6.0</v>
      </c>
      <c r="AG78" s="1770">
        <v>6.0</v>
      </c>
      <c r="AH78" s="1760">
        <v>8.0</v>
      </c>
      <c r="AI78" s="1770">
        <v>8.0</v>
      </c>
      <c r="AJ78" s="1771">
        <v>3.0</v>
      </c>
      <c r="AK78" s="1770">
        <v>3.0</v>
      </c>
      <c r="AL78" s="1151">
        <v>4.0</v>
      </c>
      <c r="AM78" s="1782">
        <v>4.0</v>
      </c>
      <c r="AN78" s="1771">
        <v>4.0</v>
      </c>
      <c r="AO78" s="1173">
        <v>4.0</v>
      </c>
      <c r="AP78" s="1760">
        <v>6.0</v>
      </c>
      <c r="AQ78" s="1173">
        <v>5.0</v>
      </c>
      <c r="AR78" s="1151">
        <v>5.0</v>
      </c>
      <c r="AS78" s="1135">
        <v>5.0</v>
      </c>
      <c r="AT78" s="1151">
        <v>8.0</v>
      </c>
      <c r="AU78" s="1135">
        <v>7.0</v>
      </c>
      <c r="AV78" s="1151">
        <v>5.0</v>
      </c>
      <c r="AW78" s="1135">
        <v>5.0</v>
      </c>
      <c r="AX78" s="1151">
        <v>4.0</v>
      </c>
      <c r="AY78" s="1135">
        <v>4.0</v>
      </c>
      <c r="AZ78" s="1126">
        <v>4.0</v>
      </c>
      <c r="BA78" s="1135">
        <v>4.0</v>
      </c>
      <c r="BB78" s="1151">
        <v>10.0</v>
      </c>
      <c r="BC78" s="1135">
        <v>10.0</v>
      </c>
      <c r="BD78" s="1151">
        <v>5.0</v>
      </c>
      <c r="BE78" s="1135">
        <v>5.0</v>
      </c>
      <c r="BF78" s="1151">
        <v>8.0</v>
      </c>
      <c r="BG78" s="1135">
        <v>8.0</v>
      </c>
      <c r="BH78" s="1151">
        <v>6.0</v>
      </c>
      <c r="BI78" s="1135">
        <v>6.0</v>
      </c>
      <c r="BJ78" s="1126">
        <v>2.0</v>
      </c>
      <c r="BK78" s="1131">
        <v>2.0</v>
      </c>
      <c r="BL78" s="1134"/>
      <c r="BM78" s="1776"/>
      <c r="BN78" s="1654">
        <v>0.0</v>
      </c>
      <c r="BO78" s="1777">
        <v>0.0</v>
      </c>
      <c r="BP78" s="1773">
        <f t="shared" si="43"/>
        <v>157</v>
      </c>
      <c r="BQ78" s="1774">
        <f t="shared" si="44"/>
        <v>151</v>
      </c>
      <c r="BR78" s="711">
        <f t="shared" si="45"/>
        <v>32314</v>
      </c>
      <c r="BS78" s="784">
        <f t="shared" si="46"/>
        <v>33598</v>
      </c>
      <c r="BT78" s="684"/>
      <c r="BU78" s="1545"/>
    </row>
    <row r="79" ht="16.5" customHeight="1">
      <c r="A79" s="1565" t="s">
        <v>145</v>
      </c>
      <c r="B79" s="1756">
        <v>1267.0</v>
      </c>
      <c r="C79" s="1567">
        <v>198.0</v>
      </c>
      <c r="D79" s="1761" t="s">
        <v>77</v>
      </c>
      <c r="E79" s="1759" t="str">
        <f>'Матрица 4 недели'!M63</f>
        <v>Печень куриная с овощами с гречкой</v>
      </c>
      <c r="F79" s="1151">
        <v>3.0</v>
      </c>
      <c r="G79" s="1135">
        <v>3.0</v>
      </c>
      <c r="H79" s="1151">
        <v>3.0</v>
      </c>
      <c r="I79" s="1135">
        <v>3.0</v>
      </c>
      <c r="J79" s="1151"/>
      <c r="K79" s="1135"/>
      <c r="L79" s="1151">
        <v>5.0</v>
      </c>
      <c r="M79" s="1135">
        <v>5.0</v>
      </c>
      <c r="N79" s="1151">
        <v>9.0</v>
      </c>
      <c r="O79" s="1135">
        <v>9.0</v>
      </c>
      <c r="P79" s="1151">
        <v>6.0</v>
      </c>
      <c r="Q79" s="1135">
        <v>6.0</v>
      </c>
      <c r="R79" s="1151">
        <v>4.0</v>
      </c>
      <c r="S79" s="1135">
        <v>4.0</v>
      </c>
      <c r="T79" s="1151">
        <v>3.0</v>
      </c>
      <c r="U79" s="1173">
        <v>3.0</v>
      </c>
      <c r="V79" s="1769">
        <v>4.0</v>
      </c>
      <c r="W79" s="1173">
        <v>4.0</v>
      </c>
      <c r="X79" s="1769">
        <v>3.0</v>
      </c>
      <c r="Y79" s="1173">
        <v>3.0</v>
      </c>
      <c r="Z79" s="1769"/>
      <c r="AA79" s="1173"/>
      <c r="AB79" s="1769">
        <v>2.0</v>
      </c>
      <c r="AC79" s="1173">
        <v>2.0</v>
      </c>
      <c r="AD79" s="1769">
        <v>5.0</v>
      </c>
      <c r="AE79" s="1173">
        <v>5.0</v>
      </c>
      <c r="AF79" s="1769">
        <v>4.0</v>
      </c>
      <c r="AG79" s="1173">
        <v>4.0</v>
      </c>
      <c r="AH79" s="1760">
        <v>1.0</v>
      </c>
      <c r="AI79" s="1173">
        <v>1.0</v>
      </c>
      <c r="AJ79" s="1769">
        <v>3.0</v>
      </c>
      <c r="AK79" s="1173">
        <v>3.0</v>
      </c>
      <c r="AL79" s="1151">
        <v>0.0</v>
      </c>
      <c r="AM79" s="1173">
        <v>0.0</v>
      </c>
      <c r="AN79" s="1760">
        <v>1.0</v>
      </c>
      <c r="AO79" s="1173">
        <v>1.0</v>
      </c>
      <c r="AP79" s="1760">
        <v>4.0</v>
      </c>
      <c r="AQ79" s="1173">
        <v>4.0</v>
      </c>
      <c r="AR79" s="1151">
        <v>6.0</v>
      </c>
      <c r="AS79" s="1173">
        <v>6.0</v>
      </c>
      <c r="AT79" s="1151">
        <v>2.0</v>
      </c>
      <c r="AU79" s="1173">
        <v>2.0</v>
      </c>
      <c r="AV79" s="1151">
        <v>3.0</v>
      </c>
      <c r="AW79" s="1173">
        <v>3.0</v>
      </c>
      <c r="AX79" s="1151">
        <v>3.0</v>
      </c>
      <c r="AY79" s="1173">
        <v>3.0</v>
      </c>
      <c r="AZ79" s="1126">
        <v>3.0</v>
      </c>
      <c r="BA79" s="1173">
        <v>3.0</v>
      </c>
      <c r="BB79" s="1151">
        <v>10.0</v>
      </c>
      <c r="BC79" s="1173">
        <v>10.0</v>
      </c>
      <c r="BD79" s="1151">
        <v>1.0</v>
      </c>
      <c r="BE79" s="1173">
        <v>1.0</v>
      </c>
      <c r="BF79" s="1151">
        <v>2.0</v>
      </c>
      <c r="BG79" s="1173">
        <v>2.0</v>
      </c>
      <c r="BH79" s="1151">
        <v>5.0</v>
      </c>
      <c r="BI79" s="1173">
        <v>5.0</v>
      </c>
      <c r="BJ79" s="1126">
        <v>9.0</v>
      </c>
      <c r="BK79" s="1131">
        <v>9.0</v>
      </c>
      <c r="BL79" s="1513">
        <v>30.0</v>
      </c>
      <c r="BM79" s="1784">
        <v>30.0</v>
      </c>
      <c r="BN79" s="1785">
        <v>10.0</v>
      </c>
      <c r="BO79" s="1784">
        <v>10.0</v>
      </c>
      <c r="BP79" s="783">
        <f t="shared" si="43"/>
        <v>135</v>
      </c>
      <c r="BQ79" s="1405">
        <f t="shared" si="44"/>
        <v>134</v>
      </c>
      <c r="BR79" s="711">
        <f t="shared" si="45"/>
        <v>26532</v>
      </c>
      <c r="BS79" s="784">
        <f t="shared" si="46"/>
        <v>26730</v>
      </c>
      <c r="BT79" s="684"/>
      <c r="BU79" s="1545"/>
    </row>
    <row r="80" ht="16.5" customHeight="1">
      <c r="A80" s="1565"/>
      <c r="B80" s="1756">
        <v>2976.0</v>
      </c>
      <c r="C80" s="1567">
        <v>195.0</v>
      </c>
      <c r="D80" s="1761" t="s">
        <v>77</v>
      </c>
      <c r="E80" s="1759" t="str">
        <f>'Матрица 4 недели'!M64</f>
        <v>Курочка в томатном соусе с рисом</v>
      </c>
      <c r="F80" s="1151"/>
      <c r="G80" s="1135"/>
      <c r="H80" s="1760"/>
      <c r="I80" s="1135"/>
      <c r="J80" s="1760"/>
      <c r="K80" s="1173"/>
      <c r="L80" s="1151"/>
      <c r="M80" s="1173"/>
      <c r="N80" s="1151"/>
      <c r="O80" s="1173"/>
      <c r="P80" s="1760"/>
      <c r="Q80" s="1173"/>
      <c r="R80" s="1760"/>
      <c r="S80" s="1173"/>
      <c r="T80" s="1151"/>
      <c r="U80" s="1173"/>
      <c r="V80" s="1151"/>
      <c r="W80" s="1173"/>
      <c r="X80" s="1760"/>
      <c r="Y80" s="1173"/>
      <c r="Z80" s="1760"/>
      <c r="AA80" s="1173"/>
      <c r="AB80" s="1760"/>
      <c r="AC80" s="1173"/>
      <c r="AD80" s="1760"/>
      <c r="AE80" s="1173"/>
      <c r="AF80" s="1151"/>
      <c r="AG80" s="1173"/>
      <c r="AH80" s="1151"/>
      <c r="AI80" s="1173"/>
      <c r="AJ80" s="1760"/>
      <c r="AK80" s="1173"/>
      <c r="AL80" s="1151"/>
      <c r="AM80" s="1173"/>
      <c r="AN80" s="1760"/>
      <c r="AO80" s="1173"/>
      <c r="AP80" s="1151"/>
      <c r="AQ80" s="1173"/>
      <c r="AR80" s="1151"/>
      <c r="AS80" s="1173"/>
      <c r="AT80" s="1151"/>
      <c r="AU80" s="1173"/>
      <c r="AV80" s="1151"/>
      <c r="AW80" s="1173"/>
      <c r="AX80" s="1151"/>
      <c r="AY80" s="1173"/>
      <c r="AZ80" s="1126"/>
      <c r="BA80" s="1173"/>
      <c r="BB80" s="1151"/>
      <c r="BC80" s="1173"/>
      <c r="BD80" s="1151"/>
      <c r="BE80" s="1173"/>
      <c r="BF80" s="1151"/>
      <c r="BG80" s="1173"/>
      <c r="BH80" s="1151"/>
      <c r="BI80" s="1173"/>
      <c r="BJ80" s="1126"/>
      <c r="BK80" s="1131"/>
      <c r="BL80" s="1513">
        <v>35.0</v>
      </c>
      <c r="BM80" s="1784">
        <v>35.0</v>
      </c>
      <c r="BN80" s="1785">
        <v>0.0</v>
      </c>
      <c r="BO80" s="1784"/>
      <c r="BP80" s="783">
        <f t="shared" si="43"/>
        <v>36</v>
      </c>
      <c r="BQ80" s="1405">
        <f t="shared" si="44"/>
        <v>35</v>
      </c>
      <c r="BR80" s="711">
        <f t="shared" si="45"/>
        <v>6825</v>
      </c>
      <c r="BS80" s="784">
        <f t="shared" si="46"/>
        <v>7020</v>
      </c>
      <c r="BT80" s="684"/>
      <c r="BU80" s="1545"/>
    </row>
    <row r="81" ht="16.5" customHeight="1">
      <c r="A81" s="1565"/>
      <c r="B81" s="1756"/>
      <c r="C81" s="1567"/>
      <c r="D81" s="1786"/>
      <c r="E81" s="1660" t="str">
        <f>'Матрица 4 недели'!M65</f>
        <v/>
      </c>
      <c r="F81" s="1137"/>
      <c r="G81" s="1121"/>
      <c r="H81" s="1126"/>
      <c r="I81" s="1121"/>
      <c r="J81" s="1126"/>
      <c r="K81" s="1600"/>
      <c r="L81" s="1161"/>
      <c r="M81" s="1600"/>
      <c r="N81" s="1126"/>
      <c r="O81" s="1121"/>
      <c r="P81" s="1126"/>
      <c r="Q81" s="1121"/>
      <c r="R81" s="1126"/>
      <c r="S81" s="1121"/>
      <c r="T81" s="1126"/>
      <c r="U81" s="1138"/>
      <c r="V81" s="1137"/>
      <c r="W81" s="1138"/>
      <c r="X81" s="1137"/>
      <c r="Y81" s="1138"/>
      <c r="Z81" s="1137"/>
      <c r="AA81" s="1138"/>
      <c r="AB81" s="1137"/>
      <c r="AC81" s="1138"/>
      <c r="AD81" s="1137"/>
      <c r="AE81" s="1138"/>
      <c r="AF81" s="1137"/>
      <c r="AG81" s="1138"/>
      <c r="AH81" s="1137"/>
      <c r="AI81" s="1138"/>
      <c r="AJ81" s="1137"/>
      <c r="AK81" s="1138"/>
      <c r="AL81" s="1120"/>
      <c r="AM81" s="1138"/>
      <c r="AN81" s="1120"/>
      <c r="AO81" s="1131"/>
      <c r="AP81" s="1120"/>
      <c r="AQ81" s="1131"/>
      <c r="AR81" s="1120"/>
      <c r="AS81" s="1305"/>
      <c r="AT81" s="1141"/>
      <c r="AU81" s="1305"/>
      <c r="AV81" s="1141"/>
      <c r="AW81" s="1305"/>
      <c r="AX81" s="1141"/>
      <c r="AY81" s="1305"/>
      <c r="AZ81" s="1141"/>
      <c r="BA81" s="1305"/>
      <c r="BB81" s="1141"/>
      <c r="BC81" s="1305"/>
      <c r="BD81" s="1141"/>
      <c r="BE81" s="1305"/>
      <c r="BF81" s="1141"/>
      <c r="BG81" s="1305"/>
      <c r="BH81" s="1126"/>
      <c r="BI81" s="1131"/>
      <c r="BJ81" s="1126"/>
      <c r="BK81" s="1131"/>
      <c r="BL81" s="1513"/>
      <c r="BM81" s="1784"/>
      <c r="BN81" s="1785"/>
      <c r="BO81" s="1784"/>
      <c r="BP81" s="783">
        <f t="shared" si="43"/>
        <v>1</v>
      </c>
      <c r="BQ81" s="1405">
        <f t="shared" si="44"/>
        <v>0</v>
      </c>
      <c r="BR81" s="711">
        <f t="shared" si="45"/>
        <v>0</v>
      </c>
      <c r="BS81" s="784">
        <f t="shared" si="46"/>
        <v>0</v>
      </c>
      <c r="BT81" s="684"/>
      <c r="BU81" s="1545"/>
    </row>
    <row r="82" ht="16.5" customHeight="1">
      <c r="A82" s="1565" t="s">
        <v>145</v>
      </c>
      <c r="B82" s="1756">
        <v>3759.0</v>
      </c>
      <c r="C82" s="1567">
        <v>243.0</v>
      </c>
      <c r="D82" s="1787" t="s">
        <v>537</v>
      </c>
      <c r="E82" s="1759" t="str">
        <f>'Матрица 4 недели'!M66</f>
        <v>Грудка су-вид с кус-кусом</v>
      </c>
      <c r="F82" s="1622">
        <v>6.0</v>
      </c>
      <c r="G82" s="1624">
        <v>6.0</v>
      </c>
      <c r="H82" s="1622">
        <v>3.0</v>
      </c>
      <c r="I82" s="1624">
        <v>3.0</v>
      </c>
      <c r="J82" s="1788"/>
      <c r="K82" s="1624"/>
      <c r="L82" s="1637">
        <v>6.0</v>
      </c>
      <c r="M82" s="1624">
        <v>5.0</v>
      </c>
      <c r="N82" s="1788">
        <v>5.0</v>
      </c>
      <c r="O82" s="1624">
        <v>5.0</v>
      </c>
      <c r="P82" s="1638">
        <v>6.0</v>
      </c>
      <c r="Q82" s="1624">
        <v>6.0</v>
      </c>
      <c r="R82" s="1622">
        <v>3.0</v>
      </c>
      <c r="S82" s="1790">
        <v>2.0</v>
      </c>
      <c r="T82" s="1622">
        <v>3.0</v>
      </c>
      <c r="U82" s="1621">
        <v>3.0</v>
      </c>
      <c r="V82" s="1622">
        <v>4.0</v>
      </c>
      <c r="W82" s="1621">
        <v>4.0</v>
      </c>
      <c r="X82" s="1622">
        <v>2.0</v>
      </c>
      <c r="Y82" s="1621">
        <v>2.0</v>
      </c>
      <c r="Z82" s="1791"/>
      <c r="AA82" s="1621"/>
      <c r="AB82" s="1791">
        <v>2.0</v>
      </c>
      <c r="AC82" s="1792">
        <v>2.0</v>
      </c>
      <c r="AD82" s="1791">
        <v>5.0</v>
      </c>
      <c r="AE82" s="1621">
        <v>4.0</v>
      </c>
      <c r="AF82" s="1788">
        <v>2.0</v>
      </c>
      <c r="AG82" s="1621">
        <v>2.0</v>
      </c>
      <c r="AH82" s="1620">
        <v>4.0</v>
      </c>
      <c r="AI82" s="1621">
        <v>3.0</v>
      </c>
      <c r="AJ82" s="1620">
        <v>3.0</v>
      </c>
      <c r="AK82" s="1621">
        <v>2.0</v>
      </c>
      <c r="AL82" s="1622">
        <v>2.0</v>
      </c>
      <c r="AM82" s="1621">
        <v>2.0</v>
      </c>
      <c r="AN82" s="1622">
        <v>2.0</v>
      </c>
      <c r="AO82" s="1621">
        <v>2.0</v>
      </c>
      <c r="AP82" s="1622">
        <v>3.0</v>
      </c>
      <c r="AQ82" s="1621">
        <v>3.0</v>
      </c>
      <c r="AR82" s="1622">
        <v>6.0</v>
      </c>
      <c r="AS82" s="1138">
        <v>5.0</v>
      </c>
      <c r="AT82" s="1126">
        <v>3.0</v>
      </c>
      <c r="AU82" s="1138">
        <v>3.0</v>
      </c>
      <c r="AV82" s="1126">
        <v>3.0</v>
      </c>
      <c r="AW82" s="1138">
        <v>3.0</v>
      </c>
      <c r="AX82" s="1126">
        <v>4.0</v>
      </c>
      <c r="AY82" s="1138">
        <v>4.0</v>
      </c>
      <c r="AZ82" s="1126">
        <v>0.0</v>
      </c>
      <c r="BA82" s="1138">
        <v>0.0</v>
      </c>
      <c r="BB82" s="1126">
        <v>10.0</v>
      </c>
      <c r="BC82" s="1138">
        <v>10.0</v>
      </c>
      <c r="BD82" s="1126">
        <v>2.0</v>
      </c>
      <c r="BE82" s="1138">
        <v>2.0</v>
      </c>
      <c r="BF82" s="1126">
        <v>7.0</v>
      </c>
      <c r="BG82" s="1138">
        <v>6.0</v>
      </c>
      <c r="BH82" s="1622">
        <v>4.0</v>
      </c>
      <c r="BI82" s="1621">
        <v>4.0</v>
      </c>
      <c r="BJ82" s="1622">
        <v>8.0</v>
      </c>
      <c r="BK82" s="1621">
        <v>7.0</v>
      </c>
      <c r="BL82" s="1513"/>
      <c r="BM82" s="1784"/>
      <c r="BN82" s="1785">
        <v>0.0</v>
      </c>
      <c r="BO82" s="1784">
        <v>0.0</v>
      </c>
      <c r="BP82" s="1773">
        <f t="shared" si="43"/>
        <v>109</v>
      </c>
      <c r="BQ82" s="1405">
        <f t="shared" si="44"/>
        <v>100</v>
      </c>
      <c r="BR82" s="711">
        <f t="shared" si="45"/>
        <v>24300</v>
      </c>
      <c r="BS82" s="784">
        <f t="shared" si="46"/>
        <v>26487</v>
      </c>
      <c r="BT82" s="684"/>
      <c r="BU82" s="1545"/>
    </row>
    <row r="83" ht="16.5" customHeight="1">
      <c r="A83" s="1565"/>
      <c r="B83" s="1756"/>
      <c r="C83" s="1567"/>
      <c r="D83" s="1786"/>
      <c r="E83" s="1793"/>
      <c r="F83" s="1137"/>
      <c r="G83" s="1121"/>
      <c r="H83" s="1126"/>
      <c r="I83" s="1121"/>
      <c r="J83" s="1126"/>
      <c r="K83" s="1121"/>
      <c r="L83" s="1126"/>
      <c r="M83" s="1121"/>
      <c r="N83" s="1126"/>
      <c r="O83" s="1121"/>
      <c r="P83" s="1126"/>
      <c r="Q83" s="1121"/>
      <c r="R83" s="1126"/>
      <c r="S83" s="1121"/>
      <c r="T83" s="1126"/>
      <c r="U83" s="1138"/>
      <c r="V83" s="1137"/>
      <c r="W83" s="1138"/>
      <c r="X83" s="1137"/>
      <c r="Y83" s="1138"/>
      <c r="Z83" s="1137"/>
      <c r="AA83" s="1138"/>
      <c r="AB83" s="1137"/>
      <c r="AC83" s="1138"/>
      <c r="AD83" s="1137"/>
      <c r="AE83" s="1138"/>
      <c r="AF83" s="1137"/>
      <c r="AG83" s="1138"/>
      <c r="AH83" s="1120"/>
      <c r="AI83" s="1138"/>
      <c r="AJ83" s="1137"/>
      <c r="AK83" s="1138"/>
      <c r="AL83" s="1120"/>
      <c r="AM83" s="1138"/>
      <c r="AN83" s="1120"/>
      <c r="AO83" s="1131"/>
      <c r="AP83" s="1120"/>
      <c r="AQ83" s="1131"/>
      <c r="AR83" s="1120"/>
      <c r="AS83" s="1121"/>
      <c r="AT83" s="1126"/>
      <c r="AU83" s="1121"/>
      <c r="AV83" s="1126"/>
      <c r="AW83" s="1121"/>
      <c r="AX83" s="1126"/>
      <c r="AY83" s="1121"/>
      <c r="AZ83" s="1126"/>
      <c r="BA83" s="1121"/>
      <c r="BB83" s="1126"/>
      <c r="BC83" s="1121"/>
      <c r="BD83" s="1126"/>
      <c r="BE83" s="1121"/>
      <c r="BF83" s="1126"/>
      <c r="BG83" s="1121"/>
      <c r="BH83" s="1126"/>
      <c r="BI83" s="1131"/>
      <c r="BJ83" s="1126"/>
      <c r="BK83" s="1131"/>
      <c r="BL83" s="1513"/>
      <c r="BM83" s="1784"/>
      <c r="BN83" s="1785"/>
      <c r="BO83" s="1784"/>
      <c r="BP83" s="783">
        <f t="shared" si="43"/>
        <v>1</v>
      </c>
      <c r="BQ83" s="1405">
        <f t="shared" si="44"/>
        <v>0</v>
      </c>
      <c r="BR83" s="711">
        <f t="shared" si="45"/>
        <v>0</v>
      </c>
      <c r="BS83" s="784">
        <f t="shared" si="46"/>
        <v>0</v>
      </c>
      <c r="BT83" s="684"/>
      <c r="BU83" s="1545"/>
    </row>
    <row r="84" ht="16.5" customHeight="1">
      <c r="A84" s="1565"/>
      <c r="B84" s="1756"/>
      <c r="C84" s="1567"/>
      <c r="D84" s="1786"/>
      <c r="E84" s="1660" t="str">
        <f>'Матрица 4 недели'!P60</f>
        <v/>
      </c>
      <c r="F84" s="1137"/>
      <c r="G84" s="1121"/>
      <c r="H84" s="1126"/>
      <c r="I84" s="1121"/>
      <c r="J84" s="1126"/>
      <c r="K84" s="1121"/>
      <c r="L84" s="1126"/>
      <c r="M84" s="1121"/>
      <c r="N84" s="1126"/>
      <c r="O84" s="1121"/>
      <c r="P84" s="1126"/>
      <c r="Q84" s="1121"/>
      <c r="R84" s="1126"/>
      <c r="S84" s="1121"/>
      <c r="T84" s="1126"/>
      <c r="U84" s="1138"/>
      <c r="V84" s="1137"/>
      <c r="W84" s="1138"/>
      <c r="X84" s="1137"/>
      <c r="Y84" s="1138"/>
      <c r="Z84" s="1137"/>
      <c r="AA84" s="1138"/>
      <c r="AB84" s="1137"/>
      <c r="AC84" s="1138"/>
      <c r="AD84" s="1137"/>
      <c r="AE84" s="1138"/>
      <c r="AF84" s="1137"/>
      <c r="AG84" s="1138"/>
      <c r="AH84" s="1120"/>
      <c r="AI84" s="1138"/>
      <c r="AJ84" s="1137"/>
      <c r="AK84" s="1138"/>
      <c r="AL84" s="1120"/>
      <c r="AM84" s="1138"/>
      <c r="AN84" s="1120"/>
      <c r="AO84" s="1131"/>
      <c r="AP84" s="1120"/>
      <c r="AQ84" s="1131"/>
      <c r="AR84" s="1120"/>
      <c r="AS84" s="1305"/>
      <c r="AT84" s="1141"/>
      <c r="AU84" s="1305"/>
      <c r="AV84" s="1141"/>
      <c r="AW84" s="1305"/>
      <c r="AX84" s="1141"/>
      <c r="AY84" s="1305"/>
      <c r="AZ84" s="1141"/>
      <c r="BA84" s="1305"/>
      <c r="BB84" s="1141"/>
      <c r="BC84" s="1305"/>
      <c r="BD84" s="1141"/>
      <c r="BE84" s="1305"/>
      <c r="BF84" s="1141"/>
      <c r="BG84" s="1305"/>
      <c r="BH84" s="1126"/>
      <c r="BI84" s="1131"/>
      <c r="BJ84" s="1126"/>
      <c r="BK84" s="1131"/>
      <c r="BL84" s="1513">
        <v>15.0</v>
      </c>
      <c r="BM84" s="1784"/>
      <c r="BN84" s="1785"/>
      <c r="BO84" s="1784"/>
      <c r="BP84" s="783">
        <f t="shared" si="43"/>
        <v>16</v>
      </c>
      <c r="BQ84" s="1405">
        <f t="shared" si="44"/>
        <v>0</v>
      </c>
      <c r="BR84" s="711">
        <f t="shared" si="45"/>
        <v>0</v>
      </c>
      <c r="BS84" s="784">
        <f t="shared" si="46"/>
        <v>0</v>
      </c>
      <c r="BT84" s="684"/>
      <c r="BU84" s="1545"/>
    </row>
    <row r="85" ht="16.5" customHeight="1">
      <c r="A85" s="1565"/>
      <c r="B85" s="1756"/>
      <c r="C85" s="1567"/>
      <c r="D85" s="1786"/>
      <c r="E85" s="1660" t="str">
        <f>'Матрица 4 недели'!P61</f>
        <v/>
      </c>
      <c r="F85" s="1137"/>
      <c r="G85" s="1121"/>
      <c r="H85" s="1126"/>
      <c r="I85" s="1121"/>
      <c r="J85" s="1126"/>
      <c r="K85" s="1121"/>
      <c r="L85" s="1126"/>
      <c r="M85" s="1121"/>
      <c r="N85" s="1126"/>
      <c r="O85" s="1121"/>
      <c r="P85" s="1126"/>
      <c r="Q85" s="1121"/>
      <c r="R85" s="1126"/>
      <c r="S85" s="1121"/>
      <c r="T85" s="1126"/>
      <c r="U85" s="1138"/>
      <c r="V85" s="1137"/>
      <c r="W85" s="1138"/>
      <c r="X85" s="1137"/>
      <c r="Y85" s="1138"/>
      <c r="Z85" s="1137"/>
      <c r="AA85" s="1138"/>
      <c r="AB85" s="1137"/>
      <c r="AC85" s="1138"/>
      <c r="AD85" s="1137"/>
      <c r="AE85" s="1138"/>
      <c r="AF85" s="1137"/>
      <c r="AG85" s="1138"/>
      <c r="AH85" s="1120"/>
      <c r="AI85" s="1138"/>
      <c r="AJ85" s="1137"/>
      <c r="AK85" s="1138"/>
      <c r="AL85" s="1120"/>
      <c r="AM85" s="1138"/>
      <c r="AN85" s="1120"/>
      <c r="AO85" s="1131"/>
      <c r="AP85" s="1120"/>
      <c r="AQ85" s="1131"/>
      <c r="AR85" s="1120"/>
      <c r="AS85" s="1305"/>
      <c r="AT85" s="1141"/>
      <c r="AU85" s="1305"/>
      <c r="AV85" s="1141"/>
      <c r="AW85" s="1305"/>
      <c r="AX85" s="1141"/>
      <c r="AY85" s="1305"/>
      <c r="AZ85" s="1141"/>
      <c r="BA85" s="1305"/>
      <c r="BB85" s="1141"/>
      <c r="BC85" s="1305"/>
      <c r="BD85" s="1141"/>
      <c r="BE85" s="1305"/>
      <c r="BF85" s="1141"/>
      <c r="BG85" s="1305"/>
      <c r="BH85" s="1126"/>
      <c r="BI85" s="1131"/>
      <c r="BJ85" s="1126"/>
      <c r="BK85" s="1131"/>
      <c r="BL85" s="1513">
        <v>11.0</v>
      </c>
      <c r="BM85" s="1784"/>
      <c r="BN85" s="1785"/>
      <c r="BO85" s="1784"/>
      <c r="BP85" s="783">
        <f t="shared" si="43"/>
        <v>12</v>
      </c>
      <c r="BQ85" s="1405">
        <f t="shared" si="44"/>
        <v>0</v>
      </c>
      <c r="BR85" s="711">
        <f t="shared" si="45"/>
        <v>0</v>
      </c>
      <c r="BS85" s="784">
        <f t="shared" si="46"/>
        <v>0</v>
      </c>
      <c r="BT85" s="684"/>
      <c r="BU85" s="1545"/>
    </row>
    <row r="86" ht="16.5" customHeight="1">
      <c r="A86" s="1565"/>
      <c r="B86" s="1756"/>
      <c r="C86" s="1567"/>
      <c r="D86" s="1786"/>
      <c r="E86" s="1660" t="str">
        <f>'Матрица 4 недели'!P62</f>
        <v/>
      </c>
      <c r="F86" s="1137"/>
      <c r="G86" s="1121"/>
      <c r="H86" s="1126"/>
      <c r="I86" s="1121"/>
      <c r="J86" s="1126"/>
      <c r="K86" s="1160"/>
      <c r="L86" s="1161"/>
      <c r="M86" s="1162"/>
      <c r="N86" s="1126"/>
      <c r="O86" s="1121"/>
      <c r="P86" s="1126"/>
      <c r="Q86" s="1121"/>
      <c r="R86" s="1126"/>
      <c r="S86" s="1121"/>
      <c r="T86" s="1126"/>
      <c r="U86" s="1121"/>
      <c r="V86" s="1137"/>
      <c r="W86" s="1121"/>
      <c r="X86" s="1137"/>
      <c r="Y86" s="1121"/>
      <c r="Z86" s="1126"/>
      <c r="AA86" s="1121"/>
      <c r="AB86" s="1137"/>
      <c r="AC86" s="1121"/>
      <c r="AD86" s="1137"/>
      <c r="AE86" s="1121"/>
      <c r="AF86" s="1120"/>
      <c r="AG86" s="1121"/>
      <c r="AH86" s="1137"/>
      <c r="AI86" s="1121"/>
      <c r="AJ86" s="1120"/>
      <c r="AK86" s="1121"/>
      <c r="AL86" s="1126"/>
      <c r="AM86" s="1121"/>
      <c r="AN86" s="1120"/>
      <c r="AO86" s="1138"/>
      <c r="AP86" s="1126"/>
      <c r="AQ86" s="1138"/>
      <c r="AR86" s="1120"/>
      <c r="AS86" s="1121"/>
      <c r="AT86" s="1126"/>
      <c r="AU86" s="1121"/>
      <c r="AV86" s="1126"/>
      <c r="AW86" s="1121"/>
      <c r="AX86" s="1126"/>
      <c r="AY86" s="1121"/>
      <c r="AZ86" s="1141"/>
      <c r="BA86" s="1305"/>
      <c r="BB86" s="1141"/>
      <c r="BC86" s="1305"/>
      <c r="BD86" s="1141"/>
      <c r="BE86" s="1305"/>
      <c r="BF86" s="1141"/>
      <c r="BG86" s="1305"/>
      <c r="BH86" s="1126"/>
      <c r="BI86" s="1131"/>
      <c r="BJ86" s="1126"/>
      <c r="BK86" s="1131"/>
      <c r="BL86" s="1513"/>
      <c r="BM86" s="1138"/>
      <c r="BN86" s="1087"/>
      <c r="BO86" s="1138"/>
      <c r="BP86" s="783">
        <f t="shared" si="43"/>
        <v>1</v>
      </c>
      <c r="BQ86" s="1405">
        <f t="shared" si="44"/>
        <v>0</v>
      </c>
      <c r="BR86" s="711">
        <f t="shared" si="45"/>
        <v>0</v>
      </c>
      <c r="BS86" s="784">
        <f t="shared" si="46"/>
        <v>0</v>
      </c>
      <c r="BT86" s="684"/>
      <c r="BU86" s="1545"/>
    </row>
    <row r="87" ht="16.5" customHeight="1">
      <c r="A87" s="1565" t="s">
        <v>145</v>
      </c>
      <c r="B87" s="1567">
        <v>654.0</v>
      </c>
      <c r="C87" s="1567">
        <v>187.0</v>
      </c>
      <c r="D87" s="1650" t="s">
        <v>79</v>
      </c>
      <c r="E87" s="733" t="str">
        <f>'Матрица 4 недели'!S60</f>
        <v>Сэндвич с бужениной и соусом Релиш</v>
      </c>
      <c r="F87" s="1151">
        <v>9.0</v>
      </c>
      <c r="G87" s="1135">
        <v>9.0</v>
      </c>
      <c r="H87" s="1151">
        <v>4.0</v>
      </c>
      <c r="I87" s="1135">
        <v>4.0</v>
      </c>
      <c r="J87" s="1151"/>
      <c r="K87" s="1135"/>
      <c r="L87" s="1151">
        <v>3.0</v>
      </c>
      <c r="M87" s="1135">
        <v>3.0</v>
      </c>
      <c r="N87" s="1151">
        <v>7.0</v>
      </c>
      <c r="O87" s="1135">
        <v>7.0</v>
      </c>
      <c r="P87" s="1151">
        <v>2.0</v>
      </c>
      <c r="Q87" s="1135">
        <v>2.0</v>
      </c>
      <c r="R87" s="1760">
        <v>2.0</v>
      </c>
      <c r="S87" s="1135">
        <v>2.0</v>
      </c>
      <c r="T87" s="1151">
        <v>3.0</v>
      </c>
      <c r="U87" s="1772">
        <v>3.0</v>
      </c>
      <c r="V87" s="1151">
        <v>3.0</v>
      </c>
      <c r="W87" s="1135">
        <v>3.0</v>
      </c>
      <c r="X87" s="1769">
        <v>6.0</v>
      </c>
      <c r="Y87" s="1135">
        <v>6.0</v>
      </c>
      <c r="Z87" s="1760"/>
      <c r="AA87" s="1135"/>
      <c r="AB87" s="1769">
        <v>5.0</v>
      </c>
      <c r="AC87" s="1173">
        <v>5.0</v>
      </c>
      <c r="AD87" s="1760">
        <v>2.0</v>
      </c>
      <c r="AE87" s="1173">
        <v>2.0</v>
      </c>
      <c r="AF87" s="1769">
        <v>5.0</v>
      </c>
      <c r="AG87" s="1173">
        <v>5.0</v>
      </c>
      <c r="AH87" s="1760">
        <v>3.0</v>
      </c>
      <c r="AI87" s="1173">
        <v>3.0</v>
      </c>
      <c r="AJ87" s="1760">
        <v>3.0</v>
      </c>
      <c r="AK87" s="1173">
        <v>3.0</v>
      </c>
      <c r="AL87" s="1802">
        <v>4.0</v>
      </c>
      <c r="AM87" s="1135">
        <v>4.0</v>
      </c>
      <c r="AN87" s="1769">
        <v>2.0</v>
      </c>
      <c r="AO87" s="1173">
        <v>2.0</v>
      </c>
      <c r="AP87" s="1769">
        <v>3.0</v>
      </c>
      <c r="AQ87" s="1173">
        <v>3.0</v>
      </c>
      <c r="AR87" s="1802">
        <v>6.0</v>
      </c>
      <c r="AS87" s="1803">
        <v>6.0</v>
      </c>
      <c r="AT87" s="1802">
        <v>2.0</v>
      </c>
      <c r="AU87" s="1803">
        <v>2.0</v>
      </c>
      <c r="AV87" s="1802">
        <v>2.0</v>
      </c>
      <c r="AW87" s="1803">
        <v>2.0</v>
      </c>
      <c r="AX87" s="1802">
        <v>2.0</v>
      </c>
      <c r="AY87" s="1803">
        <v>2.0</v>
      </c>
      <c r="AZ87" s="1141">
        <v>3.0</v>
      </c>
      <c r="BA87" s="1803">
        <v>3.0</v>
      </c>
      <c r="BB87" s="1802">
        <v>10.0</v>
      </c>
      <c r="BC87" s="1803">
        <v>10.0</v>
      </c>
      <c r="BD87" s="1802">
        <v>2.0</v>
      </c>
      <c r="BE87" s="1803">
        <v>2.0</v>
      </c>
      <c r="BF87" s="1802">
        <v>5.0</v>
      </c>
      <c r="BG87" s="1803">
        <v>5.0</v>
      </c>
      <c r="BH87" s="1802">
        <v>3.0</v>
      </c>
      <c r="BI87" s="1803">
        <v>3.0</v>
      </c>
      <c r="BJ87" s="1141">
        <v>6.0</v>
      </c>
      <c r="BK87" s="1307">
        <v>6.0</v>
      </c>
      <c r="BL87" s="1513"/>
      <c r="BM87" s="1138"/>
      <c r="BN87" s="1087"/>
      <c r="BO87" s="1138"/>
      <c r="BP87" s="783">
        <f t="shared" si="43"/>
        <v>108</v>
      </c>
      <c r="BQ87" s="1405">
        <f t="shared" si="44"/>
        <v>107</v>
      </c>
      <c r="BR87" s="711">
        <f t="shared" si="45"/>
        <v>20009</v>
      </c>
      <c r="BS87" s="784">
        <f t="shared" si="46"/>
        <v>20196</v>
      </c>
      <c r="BT87" s="684"/>
      <c r="BU87" s="1807"/>
    </row>
    <row r="88" ht="16.5" customHeight="1">
      <c r="A88" s="1565" t="s">
        <v>145</v>
      </c>
      <c r="B88" s="1567">
        <v>2904.0</v>
      </c>
      <c r="C88" s="1567">
        <v>190.0</v>
      </c>
      <c r="D88" s="1650" t="s">
        <v>79</v>
      </c>
      <c r="E88" s="733" t="str">
        <f>'Матрица 4 недели'!S61</f>
        <v>Ассорти сэндвич (пепперони/ветчина)</v>
      </c>
      <c r="F88" s="1151">
        <v>11.0</v>
      </c>
      <c r="G88" s="1173">
        <v>12.0</v>
      </c>
      <c r="H88" s="1151">
        <v>4.0</v>
      </c>
      <c r="I88" s="1173">
        <v>4.0</v>
      </c>
      <c r="J88" s="1151"/>
      <c r="K88" s="1173"/>
      <c r="L88" s="1151">
        <v>3.0</v>
      </c>
      <c r="M88" s="1173">
        <v>3.0</v>
      </c>
      <c r="N88" s="1151">
        <v>4.0</v>
      </c>
      <c r="O88" s="1173">
        <v>4.0</v>
      </c>
      <c r="P88" s="1151">
        <v>5.0</v>
      </c>
      <c r="Q88" s="1173">
        <v>5.0</v>
      </c>
      <c r="R88" s="1760">
        <v>4.0</v>
      </c>
      <c r="S88" s="1135">
        <v>4.0</v>
      </c>
      <c r="T88" s="1769">
        <v>4.0</v>
      </c>
      <c r="U88" s="1135">
        <v>4.0</v>
      </c>
      <c r="V88" s="1769">
        <v>4.0</v>
      </c>
      <c r="W88" s="1135">
        <v>4.0</v>
      </c>
      <c r="X88" s="1769">
        <v>6.0</v>
      </c>
      <c r="Y88" s="1135">
        <v>6.0</v>
      </c>
      <c r="Z88" s="1769"/>
      <c r="AA88" s="1173"/>
      <c r="AB88" s="1760">
        <v>5.0</v>
      </c>
      <c r="AC88" s="1173">
        <v>5.0</v>
      </c>
      <c r="AD88" s="1760">
        <v>5.0</v>
      </c>
      <c r="AE88" s="1173">
        <v>5.0</v>
      </c>
      <c r="AF88" s="1760">
        <v>4.0</v>
      </c>
      <c r="AG88" s="1173">
        <v>4.0</v>
      </c>
      <c r="AH88" s="1760">
        <v>6.0</v>
      </c>
      <c r="AI88" s="1173">
        <v>6.0</v>
      </c>
      <c r="AJ88" s="1760">
        <v>3.0</v>
      </c>
      <c r="AK88" s="1173">
        <v>3.0</v>
      </c>
      <c r="AL88" s="1151">
        <v>2.0</v>
      </c>
      <c r="AM88" s="1173">
        <v>2.0</v>
      </c>
      <c r="AN88" s="1760">
        <v>3.0</v>
      </c>
      <c r="AO88" s="1135">
        <v>3.0</v>
      </c>
      <c r="AP88" s="1760">
        <v>3.0</v>
      </c>
      <c r="AQ88" s="1173">
        <v>3.0</v>
      </c>
      <c r="AR88" s="1760">
        <v>11.0</v>
      </c>
      <c r="AS88" s="1173">
        <v>11.0</v>
      </c>
      <c r="AT88" s="1151">
        <v>4.0</v>
      </c>
      <c r="AU88" s="1173">
        <v>4.0</v>
      </c>
      <c r="AV88" s="1151">
        <v>5.0</v>
      </c>
      <c r="AW88" s="1809">
        <v>5.0</v>
      </c>
      <c r="AX88" s="1151">
        <v>7.0</v>
      </c>
      <c r="AY88" s="1809">
        <v>7.0</v>
      </c>
      <c r="AZ88" s="1126">
        <v>3.0</v>
      </c>
      <c r="BA88" s="1809">
        <v>3.0</v>
      </c>
      <c r="BB88" s="1151">
        <v>10.0</v>
      </c>
      <c r="BC88" s="1809">
        <v>10.0</v>
      </c>
      <c r="BD88" s="1151">
        <v>2.0</v>
      </c>
      <c r="BE88" s="1809">
        <v>2.0</v>
      </c>
      <c r="BF88" s="1151">
        <v>7.0</v>
      </c>
      <c r="BG88" s="1809">
        <v>7.0</v>
      </c>
      <c r="BH88" s="1151">
        <v>2.0</v>
      </c>
      <c r="BI88" s="1809">
        <v>2.0</v>
      </c>
      <c r="BJ88" s="1126">
        <v>5.0</v>
      </c>
      <c r="BK88" s="1138">
        <v>5.0</v>
      </c>
      <c r="BL88" s="1139"/>
      <c r="BM88" s="1138"/>
      <c r="BN88" s="1087"/>
      <c r="BO88" s="1138"/>
      <c r="BP88" s="783">
        <f t="shared" si="43"/>
        <v>133</v>
      </c>
      <c r="BQ88" s="1405">
        <f t="shared" si="44"/>
        <v>133</v>
      </c>
      <c r="BR88" s="711">
        <f t="shared" si="45"/>
        <v>25270</v>
      </c>
      <c r="BS88" s="784">
        <f t="shared" si="46"/>
        <v>25270</v>
      </c>
      <c r="BT88" s="684"/>
      <c r="BU88" s="1807"/>
    </row>
    <row r="89" ht="16.5" customHeight="1">
      <c r="A89" s="1565" t="s">
        <v>145</v>
      </c>
      <c r="B89" s="1567">
        <v>4115.0</v>
      </c>
      <c r="C89" s="1567">
        <v>212.0</v>
      </c>
      <c r="D89" s="1612" t="s">
        <v>80</v>
      </c>
      <c r="E89" s="1812" t="str">
        <f>'Матрица 4 недели'!V60</f>
        <v>Хот-дог  </v>
      </c>
      <c r="F89" s="1137">
        <v>5.0</v>
      </c>
      <c r="G89" s="1121">
        <v>4.0</v>
      </c>
      <c r="H89" s="1126"/>
      <c r="I89" s="1121"/>
      <c r="J89" s="1126"/>
      <c r="K89" s="1121"/>
      <c r="L89" s="1126"/>
      <c r="M89" s="1127"/>
      <c r="N89" s="1126">
        <v>3.0</v>
      </c>
      <c r="O89" s="1127">
        <v>3.0</v>
      </c>
      <c r="P89" s="1126">
        <v>3.0</v>
      </c>
      <c r="Q89" s="1121">
        <v>3.0</v>
      </c>
      <c r="R89" s="1126"/>
      <c r="S89" s="1291"/>
      <c r="T89" s="1126"/>
      <c r="U89" s="1138"/>
      <c r="V89" s="1137"/>
      <c r="W89" s="1138"/>
      <c r="X89" s="1137">
        <v>3.0</v>
      </c>
      <c r="Y89" s="1138">
        <v>3.0</v>
      </c>
      <c r="Z89" s="1137"/>
      <c r="AA89" s="1138"/>
      <c r="AB89" s="1137"/>
      <c r="AC89" s="1138"/>
      <c r="AD89" s="1120">
        <v>3.0</v>
      </c>
      <c r="AE89" s="1138">
        <v>3.0</v>
      </c>
      <c r="AF89" s="1120">
        <v>3.0</v>
      </c>
      <c r="AG89" s="1138">
        <v>3.0</v>
      </c>
      <c r="AH89" s="1137"/>
      <c r="AI89" s="1138"/>
      <c r="AJ89" s="1137"/>
      <c r="AK89" s="1138"/>
      <c r="AL89" s="1137"/>
      <c r="AM89" s="1138"/>
      <c r="AN89" s="1137"/>
      <c r="AO89" s="1138"/>
      <c r="AP89" s="1137"/>
      <c r="AQ89" s="1131"/>
      <c r="AR89" s="1137">
        <v>3.0</v>
      </c>
      <c r="AS89" s="1138">
        <v>3.0</v>
      </c>
      <c r="AT89" s="1126"/>
      <c r="AU89" s="1138"/>
      <c r="AV89" s="1126"/>
      <c r="AW89" s="1138"/>
      <c r="AX89" s="1126">
        <v>3.0</v>
      </c>
      <c r="AY89" s="1138">
        <v>3.0</v>
      </c>
      <c r="AZ89" s="1126"/>
      <c r="BA89" s="1138"/>
      <c r="BB89" s="1126"/>
      <c r="BC89" s="1138"/>
      <c r="BD89" s="1126"/>
      <c r="BE89" s="1138"/>
      <c r="BF89" s="1126"/>
      <c r="BG89" s="1138"/>
      <c r="BH89" s="1126"/>
      <c r="BI89" s="1138"/>
      <c r="BJ89" s="1126">
        <v>3.0</v>
      </c>
      <c r="BK89" s="1138">
        <v>3.0</v>
      </c>
      <c r="BL89" s="1139"/>
      <c r="BM89" s="1138"/>
      <c r="BN89" s="1087"/>
      <c r="BO89" s="1138"/>
      <c r="BP89" s="783">
        <f t="shared" si="43"/>
        <v>30</v>
      </c>
      <c r="BQ89" s="1405">
        <f t="shared" si="44"/>
        <v>28</v>
      </c>
      <c r="BR89" s="711">
        <f t="shared" si="45"/>
        <v>5936</v>
      </c>
      <c r="BS89" s="784">
        <f t="shared" si="46"/>
        <v>6360</v>
      </c>
      <c r="BT89" s="684"/>
      <c r="BU89" s="1807"/>
    </row>
    <row r="90" ht="15.75" customHeight="1">
      <c r="A90" s="1565" t="s">
        <v>145</v>
      </c>
      <c r="B90" s="1567">
        <v>3999.0</v>
      </c>
      <c r="C90" s="1567">
        <v>98.0</v>
      </c>
      <c r="D90" s="1612" t="s">
        <v>80</v>
      </c>
      <c r="E90" s="1812" t="str">
        <f>'Матрица 4 недели'!V61</f>
        <v>Морс ягодный 0,5 л</v>
      </c>
      <c r="F90" s="1137">
        <v>18.0</v>
      </c>
      <c r="G90" s="1121">
        <v>23.0</v>
      </c>
      <c r="H90" s="1126">
        <v>5.0</v>
      </c>
      <c r="I90" s="1121">
        <v>5.0</v>
      </c>
      <c r="J90" s="1126"/>
      <c r="K90" s="1121"/>
      <c r="L90" s="1126">
        <v>0.0</v>
      </c>
      <c r="M90" s="1121">
        <v>0.0</v>
      </c>
      <c r="N90" s="1126">
        <v>0.0</v>
      </c>
      <c r="O90" s="1127">
        <v>0.0</v>
      </c>
      <c r="P90" s="1126">
        <v>8.0</v>
      </c>
      <c r="Q90" s="1121">
        <v>15.0</v>
      </c>
      <c r="R90" s="1126">
        <v>0.0</v>
      </c>
      <c r="S90" s="1291">
        <v>0.0</v>
      </c>
      <c r="T90" s="1126">
        <v>6.0</v>
      </c>
      <c r="U90" s="1138">
        <v>0.0</v>
      </c>
      <c r="V90" s="1137">
        <v>0.0</v>
      </c>
      <c r="W90" s="1138">
        <v>0.0</v>
      </c>
      <c r="X90" s="1137">
        <v>0.0</v>
      </c>
      <c r="Y90" s="1138">
        <v>0.0</v>
      </c>
      <c r="Z90" s="1137"/>
      <c r="AA90" s="1138"/>
      <c r="AB90" s="1137">
        <v>0.0</v>
      </c>
      <c r="AC90" s="1138">
        <v>0.0</v>
      </c>
      <c r="AD90" s="1120">
        <v>0.0</v>
      </c>
      <c r="AE90" s="1138">
        <v>0.0</v>
      </c>
      <c r="AF90" s="1120">
        <v>10.0</v>
      </c>
      <c r="AG90" s="1138">
        <v>25.0</v>
      </c>
      <c r="AH90" s="1137">
        <v>0.0</v>
      </c>
      <c r="AI90" s="1138">
        <v>0.0</v>
      </c>
      <c r="AJ90" s="1137">
        <v>0.0</v>
      </c>
      <c r="AK90" s="1138">
        <v>0.0</v>
      </c>
      <c r="AL90" s="1137">
        <v>0.0</v>
      </c>
      <c r="AM90" s="1138">
        <v>0.0</v>
      </c>
      <c r="AN90" s="1137">
        <v>10.0</v>
      </c>
      <c r="AO90" s="1138">
        <v>17.0</v>
      </c>
      <c r="AP90" s="1137">
        <v>0.0</v>
      </c>
      <c r="AQ90" s="1131">
        <v>0.0</v>
      </c>
      <c r="AR90" s="1137">
        <v>27.0</v>
      </c>
      <c r="AS90" s="1138">
        <v>30.0</v>
      </c>
      <c r="AT90" s="1126">
        <v>10.0</v>
      </c>
      <c r="AU90" s="1138">
        <v>16.0</v>
      </c>
      <c r="AV90" s="1126">
        <v>8.0</v>
      </c>
      <c r="AW90" s="1138">
        <v>16.0</v>
      </c>
      <c r="AX90" s="1126">
        <v>16.0</v>
      </c>
      <c r="AY90" s="1138">
        <v>16.0</v>
      </c>
      <c r="AZ90" s="1126">
        <v>0.0</v>
      </c>
      <c r="BA90" s="1138">
        <v>0.0</v>
      </c>
      <c r="BB90" s="1126"/>
      <c r="BC90" s="1138">
        <v>20.0</v>
      </c>
      <c r="BD90" s="1126">
        <v>10.0</v>
      </c>
      <c r="BE90" s="1138">
        <v>10.0</v>
      </c>
      <c r="BF90" s="1126">
        <v>20.0</v>
      </c>
      <c r="BG90" s="1138">
        <v>28.0</v>
      </c>
      <c r="BH90" s="1126">
        <v>8.0</v>
      </c>
      <c r="BI90" s="1138">
        <v>17.0</v>
      </c>
      <c r="BJ90" s="1126">
        <v>12.0</v>
      </c>
      <c r="BK90" s="1138">
        <v>19.0</v>
      </c>
      <c r="BL90" s="1139"/>
      <c r="BM90" s="1138"/>
      <c r="BN90" s="1087"/>
      <c r="BO90" s="1138"/>
      <c r="BP90" s="783">
        <f t="shared" si="43"/>
        <v>169</v>
      </c>
      <c r="BQ90" s="1405">
        <f t="shared" si="44"/>
        <v>257</v>
      </c>
      <c r="BR90" s="711">
        <f t="shared" si="45"/>
        <v>25186</v>
      </c>
      <c r="BS90" s="784">
        <f t="shared" si="46"/>
        <v>16562</v>
      </c>
      <c r="BT90" s="684"/>
      <c r="BU90" s="1807"/>
    </row>
    <row r="91" ht="15.75" customHeight="1">
      <c r="A91" s="1565"/>
      <c r="B91" s="1567"/>
      <c r="C91" s="1567"/>
      <c r="D91" s="1568"/>
      <c r="E91" s="1819" t="str">
        <f>'Матрица 4 недели'!V62</f>
        <v/>
      </c>
      <c r="F91" s="1137"/>
      <c r="G91" s="1138"/>
      <c r="H91" s="1126"/>
      <c r="I91" s="1140"/>
      <c r="J91" s="1126"/>
      <c r="K91" s="1405"/>
      <c r="L91" s="1161"/>
      <c r="M91" s="1405"/>
      <c r="N91" s="1126"/>
      <c r="O91" s="1138"/>
      <c r="P91" s="1126"/>
      <c r="Q91" s="1142"/>
      <c r="R91" s="1126"/>
      <c r="S91" s="1121"/>
      <c r="T91" s="1137"/>
      <c r="U91" s="1121"/>
      <c r="V91" s="1137"/>
      <c r="W91" s="1121"/>
      <c r="X91" s="1137"/>
      <c r="Y91" s="1121"/>
      <c r="Z91" s="1126"/>
      <c r="AA91" s="1121"/>
      <c r="AB91" s="1120"/>
      <c r="AC91" s="1121"/>
      <c r="AD91" s="1120"/>
      <c r="AE91" s="1121"/>
      <c r="AF91" s="1137"/>
      <c r="AG91" s="1121"/>
      <c r="AH91" s="1120"/>
      <c r="AI91" s="1121"/>
      <c r="AJ91" s="1120"/>
      <c r="AK91" s="1121"/>
      <c r="AL91" s="1137"/>
      <c r="AM91" s="1121"/>
      <c r="AN91" s="1137"/>
      <c r="AO91" s="1138"/>
      <c r="AP91" s="1137"/>
      <c r="AQ91" s="1138"/>
      <c r="AR91" s="1137"/>
      <c r="AS91" s="1121"/>
      <c r="AT91" s="1126"/>
      <c r="AU91" s="1121"/>
      <c r="AV91" s="1126"/>
      <c r="AW91" s="1138"/>
      <c r="AX91" s="1126"/>
      <c r="AY91" s="1138"/>
      <c r="AZ91" s="1126"/>
      <c r="BA91" s="1138"/>
      <c r="BB91" s="1126"/>
      <c r="BC91" s="1138"/>
      <c r="BD91" s="1126"/>
      <c r="BE91" s="1138"/>
      <c r="BF91" s="1126"/>
      <c r="BG91" s="1138"/>
      <c r="BH91" s="1126"/>
      <c r="BI91" s="1138"/>
      <c r="BJ91" s="1126"/>
      <c r="BK91" s="1138"/>
      <c r="BL91" s="1134"/>
      <c r="BM91" s="1138"/>
      <c r="BN91" s="1087"/>
      <c r="BO91" s="1138"/>
      <c r="BP91" s="783">
        <f t="shared" si="43"/>
        <v>1</v>
      </c>
      <c r="BQ91" s="1774">
        <f t="shared" si="44"/>
        <v>0</v>
      </c>
      <c r="BR91" s="711">
        <f t="shared" si="45"/>
        <v>0</v>
      </c>
      <c r="BS91" s="784">
        <f t="shared" si="46"/>
        <v>0</v>
      </c>
      <c r="BT91" s="684"/>
      <c r="BU91" s="1807"/>
    </row>
    <row r="92" ht="15.75" customHeight="1">
      <c r="A92" s="1565" t="s">
        <v>145</v>
      </c>
      <c r="B92" s="1567">
        <v>822.0</v>
      </c>
      <c r="C92" s="1567">
        <v>5.0</v>
      </c>
      <c r="D92" s="1612" t="s">
        <v>74</v>
      </c>
      <c r="E92" s="733" t="str">
        <f>'Матрица 4 недели'!J52</f>
        <v>Хлеб пшеничный</v>
      </c>
      <c r="F92" s="1120">
        <v>11.0</v>
      </c>
      <c r="G92" s="1121">
        <v>11.0</v>
      </c>
      <c r="H92" s="1120">
        <v>3.0</v>
      </c>
      <c r="I92" s="1121">
        <v>3.0</v>
      </c>
      <c r="J92" s="1120"/>
      <c r="K92" s="1138"/>
      <c r="L92" s="1126">
        <v>6.0</v>
      </c>
      <c r="M92" s="1138">
        <v>6.0</v>
      </c>
      <c r="N92" s="1126">
        <v>4.0</v>
      </c>
      <c r="O92" s="1138">
        <v>4.0</v>
      </c>
      <c r="P92" s="1120">
        <v>5.0</v>
      </c>
      <c r="Q92" s="1138">
        <v>5.0</v>
      </c>
      <c r="R92" s="1120">
        <v>3.0</v>
      </c>
      <c r="S92" s="1138">
        <v>3.0</v>
      </c>
      <c r="T92" s="1126">
        <v>4.0</v>
      </c>
      <c r="U92" s="1138">
        <v>4.0</v>
      </c>
      <c r="V92" s="1126">
        <v>3.0</v>
      </c>
      <c r="W92" s="1138">
        <v>3.0</v>
      </c>
      <c r="X92" s="1126">
        <v>0.0</v>
      </c>
      <c r="Y92" s="1138">
        <v>0.0</v>
      </c>
      <c r="Z92" s="1126"/>
      <c r="AA92" s="1138"/>
      <c r="AB92" s="1126">
        <v>4.0</v>
      </c>
      <c r="AC92" s="1138">
        <v>4.0</v>
      </c>
      <c r="AD92" s="1126">
        <v>4.0</v>
      </c>
      <c r="AE92" s="1138">
        <v>4.0</v>
      </c>
      <c r="AF92" s="1126">
        <v>3.0</v>
      </c>
      <c r="AG92" s="1138">
        <v>3.0</v>
      </c>
      <c r="AH92" s="1126"/>
      <c r="AI92" s="1138"/>
      <c r="AJ92" s="1126">
        <v>3.0</v>
      </c>
      <c r="AK92" s="1138">
        <v>3.0</v>
      </c>
      <c r="AL92" s="1126">
        <v>3.0</v>
      </c>
      <c r="AM92" s="1138">
        <v>3.0</v>
      </c>
      <c r="AN92" s="1126"/>
      <c r="AO92" s="1138"/>
      <c r="AP92" s="1126"/>
      <c r="AQ92" s="1138"/>
      <c r="AR92" s="1120"/>
      <c r="AS92" s="1138"/>
      <c r="AT92" s="1141">
        <v>4.0</v>
      </c>
      <c r="AU92" s="1307">
        <v>4.0</v>
      </c>
      <c r="AV92" s="1126">
        <v>3.0</v>
      </c>
      <c r="AW92" s="1131">
        <v>3.0</v>
      </c>
      <c r="AX92" s="1126">
        <v>4.0</v>
      </c>
      <c r="AY92" s="1131">
        <v>4.0</v>
      </c>
      <c r="AZ92" s="1126">
        <v>20.0</v>
      </c>
      <c r="BA92" s="1131">
        <v>20.0</v>
      </c>
      <c r="BB92" s="1126">
        <v>5.0</v>
      </c>
      <c r="BC92" s="1131">
        <v>5.0</v>
      </c>
      <c r="BD92" s="1126"/>
      <c r="BE92" s="1131"/>
      <c r="BF92" s="1126">
        <v>3.0</v>
      </c>
      <c r="BG92" s="1131">
        <v>3.0</v>
      </c>
      <c r="BH92" s="1126">
        <v>4.0</v>
      </c>
      <c r="BI92" s="1131">
        <v>4.0</v>
      </c>
      <c r="BJ92" s="1126">
        <v>4.0</v>
      </c>
      <c r="BK92" s="1131">
        <v>4.0</v>
      </c>
      <c r="BL92" s="1134">
        <v>130.0</v>
      </c>
      <c r="BM92" s="1121">
        <v>130.0</v>
      </c>
      <c r="BN92" s="1087"/>
      <c r="BO92" s="1138"/>
      <c r="BP92" s="783">
        <f t="shared" si="43"/>
        <v>234</v>
      </c>
      <c r="BQ92" s="1405">
        <f t="shared" si="44"/>
        <v>233</v>
      </c>
      <c r="BR92" s="711">
        <f t="shared" si="45"/>
        <v>1165</v>
      </c>
      <c r="BS92" s="784">
        <f t="shared" si="46"/>
        <v>1170</v>
      </c>
      <c r="BT92" s="684"/>
      <c r="BU92" s="1807"/>
    </row>
    <row r="93" ht="15.75" customHeight="1">
      <c r="A93" s="1565"/>
      <c r="B93" s="1567"/>
      <c r="C93" s="1567"/>
      <c r="D93" s="1568"/>
      <c r="E93" s="1172"/>
      <c r="F93" s="1120"/>
      <c r="G93" s="1121"/>
      <c r="H93" s="1120"/>
      <c r="I93" s="1121"/>
      <c r="J93" s="1120"/>
      <c r="K93" s="1121"/>
      <c r="L93" s="1820"/>
      <c r="M93" s="1121"/>
      <c r="N93" s="1120"/>
      <c r="O93" s="1121"/>
      <c r="P93" s="1120"/>
      <c r="Q93" s="1121"/>
      <c r="R93" s="1120"/>
      <c r="S93" s="1121"/>
      <c r="T93" s="1120"/>
      <c r="U93" s="1121"/>
      <c r="V93" s="1120"/>
      <c r="W93" s="1121"/>
      <c r="X93" s="1120"/>
      <c r="Y93" s="1121"/>
      <c r="Z93" s="1120"/>
      <c r="AA93" s="1121"/>
      <c r="AB93" s="1120"/>
      <c r="AC93" s="1121"/>
      <c r="AD93" s="1120"/>
      <c r="AE93" s="1121"/>
      <c r="AF93" s="1120"/>
      <c r="AG93" s="1121"/>
      <c r="AH93" s="1120"/>
      <c r="AI93" s="1121"/>
      <c r="AJ93" s="1120"/>
      <c r="AK93" s="1121"/>
      <c r="AL93" s="1120"/>
      <c r="AM93" s="1121"/>
      <c r="AN93" s="1120"/>
      <c r="AO93" s="1131"/>
      <c r="AP93" s="1120"/>
      <c r="AQ93" s="1131"/>
      <c r="AR93" s="1120"/>
      <c r="AS93" s="1517"/>
      <c r="AT93" s="1306"/>
      <c r="AU93" s="1517"/>
      <c r="AV93" s="1306"/>
      <c r="AW93" s="1517"/>
      <c r="AX93" s="1306"/>
      <c r="AY93" s="1517"/>
      <c r="AZ93" s="1306"/>
      <c r="BA93" s="1517"/>
      <c r="BB93" s="1306"/>
      <c r="BC93" s="1517"/>
      <c r="BD93" s="1306"/>
      <c r="BE93" s="1517"/>
      <c r="BF93" s="1306"/>
      <c r="BG93" s="1517"/>
      <c r="BH93" s="1306"/>
      <c r="BI93" s="1517"/>
      <c r="BJ93" s="1306"/>
      <c r="BK93" s="1517"/>
      <c r="BL93" s="1134"/>
      <c r="BM93" s="1121"/>
      <c r="BN93" s="1087"/>
      <c r="BO93" s="1138"/>
      <c r="BP93" s="783">
        <f t="shared" si="43"/>
        <v>1</v>
      </c>
      <c r="BQ93" s="1405">
        <f t="shared" si="44"/>
        <v>0</v>
      </c>
      <c r="BR93" s="711">
        <f t="shared" si="45"/>
        <v>0</v>
      </c>
      <c r="BS93" s="784">
        <f t="shared" si="46"/>
        <v>0</v>
      </c>
      <c r="BT93" s="1610" t="s">
        <v>3104</v>
      </c>
      <c r="BU93" s="541"/>
    </row>
    <row r="94" ht="15.75" customHeight="1">
      <c r="A94" s="1679"/>
      <c r="B94" s="1822"/>
      <c r="C94" s="1668"/>
      <c r="D94" s="1669"/>
      <c r="E94" s="1671"/>
      <c r="F94" s="1419"/>
      <c r="G94" s="1573"/>
      <c r="H94" s="1419"/>
      <c r="I94" s="1573"/>
      <c r="J94" s="1419"/>
      <c r="K94" s="1573"/>
      <c r="L94" s="1823"/>
      <c r="M94" s="1573"/>
      <c r="N94" s="1419"/>
      <c r="O94" s="1573"/>
      <c r="P94" s="1419"/>
      <c r="Q94" s="1573"/>
      <c r="R94" s="1419"/>
      <c r="S94" s="1573"/>
      <c r="T94" s="1419"/>
      <c r="U94" s="1573"/>
      <c r="V94" s="1419"/>
      <c r="W94" s="1573"/>
      <c r="X94" s="1419"/>
      <c r="Y94" s="1573"/>
      <c r="Z94" s="1419"/>
      <c r="AA94" s="1573"/>
      <c r="AB94" s="1419"/>
      <c r="AC94" s="1573"/>
      <c r="AD94" s="1419"/>
      <c r="AE94" s="1573"/>
      <c r="AF94" s="1419"/>
      <c r="AG94" s="1573"/>
      <c r="AH94" s="1419"/>
      <c r="AI94" s="1573"/>
      <c r="AJ94" s="1419"/>
      <c r="AK94" s="1573"/>
      <c r="AL94" s="1419"/>
      <c r="AM94" s="1573"/>
      <c r="AN94" s="1823"/>
      <c r="AO94" s="1807"/>
      <c r="AP94" s="1823"/>
      <c r="AQ94" s="1807"/>
      <c r="AR94" s="1807"/>
      <c r="AS94" s="1573"/>
      <c r="AT94" s="1573"/>
      <c r="AU94" s="1573"/>
      <c r="AV94" s="1573"/>
      <c r="AW94" s="1573"/>
      <c r="AX94" s="1186"/>
      <c r="AY94" s="1573"/>
      <c r="AZ94" s="683"/>
      <c r="BA94" s="1573"/>
      <c r="BB94" s="1165"/>
      <c r="BC94" s="1573"/>
      <c r="BD94" s="1165"/>
      <c r="BE94" s="1573"/>
      <c r="BF94" s="1165"/>
      <c r="BG94" s="1573"/>
      <c r="BH94" s="1165"/>
      <c r="BI94" s="1573"/>
      <c r="BJ94" s="1165"/>
      <c r="BK94" s="1573"/>
      <c r="BL94" s="1120" t="s">
        <v>1365</v>
      </c>
      <c r="BM94" s="1573"/>
      <c r="BN94" s="1186"/>
      <c r="BO94" s="1186"/>
      <c r="BP94" s="1675">
        <f t="shared" ref="BP94:BS94" si="47">SUM(BP67:BP93)</f>
        <v>2475</v>
      </c>
      <c r="BQ94" s="1714">
        <f t="shared" si="47"/>
        <v>2481</v>
      </c>
      <c r="BR94" s="1825">
        <f t="shared" si="47"/>
        <v>318522</v>
      </c>
      <c r="BS94" s="1826">
        <f t="shared" si="47"/>
        <v>319434</v>
      </c>
      <c r="BT94" s="1678">
        <f>BR94-BS94</f>
        <v>-912</v>
      </c>
      <c r="BU94" s="541"/>
    </row>
    <row r="95" ht="15.75" customHeight="1">
      <c r="A95" s="1827" t="s">
        <v>1354</v>
      </c>
      <c r="C95" s="1828">
        <v>46237.0</v>
      </c>
      <c r="E95" s="908" t="s">
        <v>3106</v>
      </c>
      <c r="F95" s="1573"/>
      <c r="G95" s="726" t="s">
        <v>1356</v>
      </c>
      <c r="V95" s="1573"/>
      <c r="W95" s="1573"/>
      <c r="X95" s="1573"/>
      <c r="Y95" s="1573"/>
      <c r="Z95" s="1573"/>
      <c r="AA95" s="1573"/>
      <c r="AB95" s="1573"/>
      <c r="AC95" s="1573"/>
      <c r="AD95" s="1573"/>
      <c r="AE95" s="1573"/>
      <c r="AF95" s="1573"/>
      <c r="AG95" s="1573"/>
      <c r="AH95" s="1573"/>
      <c r="AI95" s="1573"/>
      <c r="AJ95" s="1573"/>
      <c r="AK95" s="1573"/>
      <c r="AL95" s="1573"/>
      <c r="AM95" s="1573"/>
      <c r="AN95" s="1807"/>
      <c r="AO95" s="1807"/>
      <c r="AP95" s="1807"/>
      <c r="AQ95" s="1807"/>
      <c r="AR95" s="1807"/>
      <c r="AS95" s="1573"/>
      <c r="AT95" s="1573"/>
      <c r="AU95" s="1573"/>
      <c r="AV95" s="1573"/>
      <c r="AW95" s="1573"/>
      <c r="AX95" s="1186"/>
      <c r="AY95" s="1573"/>
      <c r="AZ95" s="683"/>
      <c r="BA95" s="1573"/>
      <c r="BB95" s="1165"/>
      <c r="BC95" s="1573"/>
      <c r="BD95" s="1165"/>
      <c r="BE95" s="1573"/>
      <c r="BF95" s="1165"/>
      <c r="BG95" s="1573"/>
      <c r="BH95" s="1165"/>
      <c r="BI95" s="1573"/>
      <c r="BJ95" s="1165"/>
      <c r="BK95" s="1573"/>
      <c r="BL95" s="1573"/>
      <c r="BM95" s="1573"/>
      <c r="BN95" s="1186"/>
      <c r="BO95" s="1186"/>
      <c r="BP95" s="1573"/>
      <c r="BQ95" s="633"/>
      <c r="BR95" s="541"/>
      <c r="BS95" s="1829"/>
      <c r="BT95" s="541"/>
      <c r="BU95" s="541"/>
    </row>
    <row r="96" ht="19.5" customHeight="1">
      <c r="A96" s="1808" t="s">
        <v>3116</v>
      </c>
      <c r="B96" s="1603" t="s">
        <v>3097</v>
      </c>
      <c r="C96" s="1603" t="s">
        <v>19</v>
      </c>
      <c r="D96" s="1603" t="s">
        <v>3070</v>
      </c>
      <c r="E96" s="1559" t="str">
        <f t="shared" ref="E96:E123" si="48">E66</f>
        <v>Название блюда</v>
      </c>
      <c r="F96" s="1606" t="s">
        <v>1357</v>
      </c>
      <c r="G96" s="69"/>
      <c r="H96" s="1487" t="s">
        <v>1287</v>
      </c>
      <c r="I96" s="69"/>
      <c r="J96" s="1606" t="s">
        <v>1358</v>
      </c>
      <c r="K96" s="69"/>
      <c r="L96" s="1606" t="s">
        <v>1359</v>
      </c>
      <c r="M96" s="69"/>
      <c r="N96" s="1606" t="s">
        <v>1360</v>
      </c>
      <c r="O96" s="69"/>
      <c r="P96" s="1606" t="s">
        <v>1361</v>
      </c>
      <c r="Q96" s="69"/>
      <c r="R96" s="1487" t="s">
        <v>1362</v>
      </c>
      <c r="S96" s="69"/>
      <c r="T96" s="1487" t="s">
        <v>1299</v>
      </c>
      <c r="U96" s="69"/>
      <c r="V96" s="1487" t="s">
        <v>1301</v>
      </c>
      <c r="W96" s="69"/>
      <c r="X96" s="1487" t="s">
        <v>1363</v>
      </c>
      <c r="Y96" s="69"/>
      <c r="Z96" s="1487" t="s">
        <v>1305</v>
      </c>
      <c r="AA96" s="69"/>
      <c r="AB96" s="1487" t="s">
        <v>1307</v>
      </c>
      <c r="AC96" s="69"/>
      <c r="AD96" s="1487" t="s">
        <v>1309</v>
      </c>
      <c r="AE96" s="69"/>
      <c r="AF96" s="1487" t="s">
        <v>1311</v>
      </c>
      <c r="AG96" s="69"/>
      <c r="AH96" s="1487" t="s">
        <v>1313</v>
      </c>
      <c r="AI96" s="69"/>
      <c r="AJ96" s="1487" t="s">
        <v>1315</v>
      </c>
      <c r="AK96" s="69"/>
      <c r="AL96" s="1487" t="s">
        <v>1317</v>
      </c>
      <c r="AM96" s="69"/>
      <c r="AN96" s="1487" t="s">
        <v>1319</v>
      </c>
      <c r="AO96" s="69"/>
      <c r="AP96" s="1487" t="s">
        <v>1321</v>
      </c>
      <c r="AQ96" s="69"/>
      <c r="AR96" s="1487" t="str">
        <f>AR66</f>
        <v>Т20</v>
      </c>
      <c r="AS96" s="69"/>
      <c r="AT96" s="1487" t="str">
        <f>AT66</f>
        <v>Т21</v>
      </c>
      <c r="AU96" s="69"/>
      <c r="AV96" s="1487" t="str">
        <f>AV66</f>
        <v>Т22</v>
      </c>
      <c r="AW96" s="69"/>
      <c r="AX96" s="1485" t="s">
        <v>3076</v>
      </c>
      <c r="AY96" s="69"/>
      <c r="AZ96" s="1485" t="s">
        <v>3078</v>
      </c>
      <c r="BA96" s="69"/>
      <c r="BB96" s="1485" t="str">
        <f t="shared" ref="BB96:BB122" si="49">BC66</f>
        <v>Ф25</v>
      </c>
      <c r="BC96" s="69"/>
      <c r="BD96" s="1485" t="str">
        <f t="shared" ref="BD96:BD122" si="50">BE66</f>
        <v>Ф26</v>
      </c>
      <c r="BE96" s="69"/>
      <c r="BF96" s="1485" t="str">
        <f t="shared" ref="BF96:BF122" si="51">BG66</f>
        <v>Ф27</v>
      </c>
      <c r="BG96" s="69"/>
      <c r="BH96" s="1485" t="str">
        <f t="shared" ref="BH96:BH122" si="52">BI66</f>
        <v>Ф28</v>
      </c>
      <c r="BI96" s="69"/>
      <c r="BJ96" s="1485" t="str">
        <f t="shared" ref="BJ96:BJ122" si="53">BK66</f>
        <v>Ф29</v>
      </c>
      <c r="BK96" s="69"/>
      <c r="BL96" s="1487" t="s">
        <v>297</v>
      </c>
      <c r="BM96" s="69"/>
      <c r="BN96" s="1487" t="s">
        <v>3117</v>
      </c>
      <c r="BO96" s="69"/>
      <c r="BP96" s="1487" t="s">
        <v>5</v>
      </c>
      <c r="BQ96" s="69"/>
      <c r="BR96" s="1691"/>
      <c r="BS96" s="1830"/>
      <c r="BT96" s="1691"/>
      <c r="BU96" s="1691"/>
    </row>
    <row r="97" ht="20.25" customHeight="1">
      <c r="A97" s="1698" t="str">
        <f t="shared" ref="A97:A123" si="54">A67</f>
        <v>Да</v>
      </c>
      <c r="B97" s="1831">
        <v>1550.0</v>
      </c>
      <c r="C97" s="1693">
        <v>158.0</v>
      </c>
      <c r="D97" s="1720"/>
      <c r="E97" s="721" t="str">
        <f t="shared" si="48"/>
        <v>Омлет с овощами и сыром </v>
      </c>
      <c r="F97" s="1721">
        <f t="shared" ref="F97:F122" si="55">G67</f>
        <v>5</v>
      </c>
      <c r="G97" s="69"/>
      <c r="H97" s="1721">
        <f t="shared" ref="H97:H122" si="56">I67</f>
        <v>4</v>
      </c>
      <c r="I97" s="69"/>
      <c r="J97" s="1721" t="str">
        <f t="shared" ref="J97:J122" si="57">K67</f>
        <v/>
      </c>
      <c r="K97" s="69"/>
      <c r="L97" s="1721">
        <f t="shared" ref="L97:L122" si="58">M67</f>
        <v>6</v>
      </c>
      <c r="M97" s="69"/>
      <c r="N97" s="1722">
        <f t="shared" ref="N97:N122" si="59">O67</f>
        <v>8</v>
      </c>
      <c r="O97" s="69"/>
      <c r="P97" s="1721">
        <f t="shared" ref="P97:P122" si="60">Q67</f>
        <v>4</v>
      </c>
      <c r="Q97" s="69"/>
      <c r="R97" s="1721">
        <f t="shared" ref="R97:R122" si="61">S67</f>
        <v>2</v>
      </c>
      <c r="S97" s="69"/>
      <c r="T97" s="1721">
        <f t="shared" ref="T97:T122" si="62">U67</f>
        <v>6</v>
      </c>
      <c r="U97" s="69"/>
      <c r="V97" s="1721">
        <f t="shared" ref="V97:V122" si="63">W67</f>
        <v>4</v>
      </c>
      <c r="W97" s="69"/>
      <c r="X97" s="1721">
        <f t="shared" ref="X97:X122" si="64">Y67</f>
        <v>7</v>
      </c>
      <c r="Y97" s="69"/>
      <c r="Z97" s="1721" t="str">
        <f t="shared" ref="Z97:Z122" si="65">AA67</f>
        <v/>
      </c>
      <c r="AA97" s="69"/>
      <c r="AB97" s="1721">
        <f t="shared" ref="AB97:AB122" si="66">AC67</f>
        <v>4</v>
      </c>
      <c r="AC97" s="69"/>
      <c r="AD97" s="1722">
        <f t="shared" ref="AD97:AD122" si="67">AE67</f>
        <v>4</v>
      </c>
      <c r="AE97" s="69"/>
      <c r="AF97" s="1722">
        <f t="shared" ref="AF97:AF122" si="68">AG67</f>
        <v>10</v>
      </c>
      <c r="AG97" s="69"/>
      <c r="AH97" s="1722">
        <f t="shared" ref="AH97:AH122" si="69">AI67</f>
        <v>7</v>
      </c>
      <c r="AI97" s="69"/>
      <c r="AJ97" s="1722">
        <f t="shared" ref="AJ97:AJ122" si="70">AK67</f>
        <v>8</v>
      </c>
      <c r="AK97" s="69"/>
      <c r="AL97" s="1722">
        <f t="shared" ref="AL97:AL122" si="71">AM67</f>
        <v>3</v>
      </c>
      <c r="AM97" s="69"/>
      <c r="AN97" s="1722">
        <f t="shared" ref="AN97:AN122" si="72">AO67</f>
        <v>4</v>
      </c>
      <c r="AO97" s="69"/>
      <c r="AP97" s="1722">
        <f t="shared" ref="AP97:AP122" si="73">AQ67</f>
        <v>3</v>
      </c>
      <c r="AQ97" s="69"/>
      <c r="AR97" s="1722">
        <f t="shared" ref="AR97:AR122" si="74">AS67</f>
        <v>15</v>
      </c>
      <c r="AS97" s="69"/>
      <c r="AT97" s="1722">
        <f t="shared" ref="AT97:AT122" si="75">AU67</f>
        <v>3</v>
      </c>
      <c r="AU97" s="69"/>
      <c r="AV97" s="1722">
        <f t="shared" ref="AV97:AV122" si="76">AW67</f>
        <v>3</v>
      </c>
      <c r="AW97" s="69"/>
      <c r="AX97" s="1723">
        <f t="shared" ref="AX97:AX122" si="77">AY67</f>
        <v>5</v>
      </c>
      <c r="AY97" s="69"/>
      <c r="AZ97" s="1723">
        <f t="shared" ref="AZ97:AZ122" si="78">BA67</f>
        <v>4</v>
      </c>
      <c r="BA97" s="69"/>
      <c r="BB97" s="1723">
        <f t="shared" si="49"/>
        <v>10</v>
      </c>
      <c r="BC97" s="69"/>
      <c r="BD97" s="1723">
        <f t="shared" si="50"/>
        <v>2</v>
      </c>
      <c r="BE97" s="69"/>
      <c r="BF97" s="1723">
        <f t="shared" si="51"/>
        <v>6</v>
      </c>
      <c r="BG97" s="69"/>
      <c r="BH97" s="1723">
        <f t="shared" si="52"/>
        <v>5</v>
      </c>
      <c r="BI97" s="69"/>
      <c r="BJ97" s="1723">
        <f t="shared" si="53"/>
        <v>7</v>
      </c>
      <c r="BK97" s="69"/>
      <c r="BL97" s="1723" t="str">
        <f t="shared" ref="BL97:BL122" si="79">BM67</f>
        <v/>
      </c>
      <c r="BM97" s="69"/>
      <c r="BN97" s="1485" t="str">
        <f t="shared" ref="BN97:BN124" si="80">BO67</f>
        <v/>
      </c>
      <c r="BO97" s="69"/>
      <c r="BP97" s="1204">
        <f t="shared" ref="BP97:BP123" si="81">SUM(F97:BM97)</f>
        <v>149</v>
      </c>
      <c r="BQ97" s="69"/>
      <c r="BR97" s="541"/>
      <c r="BS97" s="1829"/>
      <c r="BT97" s="541"/>
      <c r="BU97" s="541"/>
    </row>
    <row r="98" ht="20.25" customHeight="1">
      <c r="A98" s="1698" t="str">
        <f t="shared" si="54"/>
        <v>Да</v>
      </c>
      <c r="B98" s="1831">
        <v>2847.0</v>
      </c>
      <c r="C98" s="1693">
        <v>185.0</v>
      </c>
      <c r="D98" s="1720"/>
      <c r="E98" s="721" t="str">
        <f t="shared" si="48"/>
        <v>Запеканка творожная</v>
      </c>
      <c r="F98" s="1721">
        <f t="shared" si="55"/>
        <v>4</v>
      </c>
      <c r="G98" s="69"/>
      <c r="H98" s="1721">
        <f t="shared" si="56"/>
        <v>2</v>
      </c>
      <c r="I98" s="69"/>
      <c r="J98" s="1721" t="str">
        <f t="shared" si="57"/>
        <v/>
      </c>
      <c r="K98" s="69"/>
      <c r="L98" s="1721">
        <f t="shared" si="58"/>
        <v>5</v>
      </c>
      <c r="M98" s="69"/>
      <c r="N98" s="1722">
        <f t="shared" si="59"/>
        <v>8</v>
      </c>
      <c r="O98" s="69"/>
      <c r="P98" s="1721">
        <f t="shared" si="60"/>
        <v>2</v>
      </c>
      <c r="Q98" s="69"/>
      <c r="R98" s="1721">
        <f t="shared" si="61"/>
        <v>2</v>
      </c>
      <c r="S98" s="69"/>
      <c r="T98" s="1721">
        <f t="shared" si="62"/>
        <v>3</v>
      </c>
      <c r="U98" s="69"/>
      <c r="V98" s="1721">
        <f t="shared" si="63"/>
        <v>5</v>
      </c>
      <c r="W98" s="69"/>
      <c r="X98" s="1721">
        <f t="shared" si="64"/>
        <v>6</v>
      </c>
      <c r="Y98" s="69"/>
      <c r="Z98" s="1721" t="str">
        <f t="shared" si="65"/>
        <v/>
      </c>
      <c r="AA98" s="69"/>
      <c r="AB98" s="1721">
        <f t="shared" si="66"/>
        <v>2</v>
      </c>
      <c r="AC98" s="69"/>
      <c r="AD98" s="1722">
        <f t="shared" si="67"/>
        <v>2</v>
      </c>
      <c r="AE98" s="69"/>
      <c r="AF98" s="1722">
        <f t="shared" si="68"/>
        <v>6</v>
      </c>
      <c r="AG98" s="69"/>
      <c r="AH98" s="1722">
        <f t="shared" si="69"/>
        <v>4</v>
      </c>
      <c r="AI98" s="69"/>
      <c r="AJ98" s="1722">
        <f t="shared" si="70"/>
        <v>4</v>
      </c>
      <c r="AK98" s="69"/>
      <c r="AL98" s="1722">
        <f t="shared" si="71"/>
        <v>3</v>
      </c>
      <c r="AM98" s="69"/>
      <c r="AN98" s="1722">
        <f t="shared" si="72"/>
        <v>4</v>
      </c>
      <c r="AO98" s="69"/>
      <c r="AP98" s="1722">
        <f t="shared" si="73"/>
        <v>2</v>
      </c>
      <c r="AQ98" s="69"/>
      <c r="AR98" s="1722">
        <f t="shared" si="74"/>
        <v>6</v>
      </c>
      <c r="AS98" s="69"/>
      <c r="AT98" s="1722">
        <f t="shared" si="75"/>
        <v>3</v>
      </c>
      <c r="AU98" s="69"/>
      <c r="AV98" s="1722">
        <f t="shared" si="76"/>
        <v>2</v>
      </c>
      <c r="AW98" s="69"/>
      <c r="AX98" s="1723">
        <f t="shared" si="77"/>
        <v>5</v>
      </c>
      <c r="AY98" s="69"/>
      <c r="AZ98" s="1723">
        <f t="shared" si="78"/>
        <v>3</v>
      </c>
      <c r="BA98" s="69"/>
      <c r="BB98" s="1723">
        <f t="shared" si="49"/>
        <v>10</v>
      </c>
      <c r="BC98" s="69"/>
      <c r="BD98" s="1723">
        <f t="shared" si="50"/>
        <v>3</v>
      </c>
      <c r="BE98" s="69"/>
      <c r="BF98" s="1723">
        <f t="shared" si="51"/>
        <v>3</v>
      </c>
      <c r="BG98" s="69"/>
      <c r="BH98" s="1723">
        <f t="shared" si="52"/>
        <v>4</v>
      </c>
      <c r="BI98" s="69"/>
      <c r="BJ98" s="1723">
        <f t="shared" si="53"/>
        <v>4</v>
      </c>
      <c r="BK98" s="69"/>
      <c r="BL98" s="1723" t="str">
        <f t="shared" si="79"/>
        <v/>
      </c>
      <c r="BM98" s="69"/>
      <c r="BN98" s="1723" t="str">
        <f t="shared" si="80"/>
        <v/>
      </c>
      <c r="BO98" s="69"/>
      <c r="BP98" s="1204">
        <f t="shared" si="81"/>
        <v>107</v>
      </c>
      <c r="BQ98" s="69"/>
      <c r="BR98" s="541"/>
      <c r="BS98" s="1829"/>
      <c r="BT98" s="541"/>
      <c r="BU98" s="541"/>
    </row>
    <row r="99" ht="20.25" customHeight="1">
      <c r="A99" s="1698" t="str">
        <f t="shared" si="54"/>
        <v>Да</v>
      </c>
      <c r="B99" s="1831">
        <v>3014.0</v>
      </c>
      <c r="C99" s="1693">
        <v>168.0</v>
      </c>
      <c r="D99" s="1720"/>
      <c r="E99" s="721" t="str">
        <f t="shared" si="48"/>
        <v>Драники картофельные с цукини со сметаной</v>
      </c>
      <c r="F99" s="1721">
        <f t="shared" si="55"/>
        <v>5</v>
      </c>
      <c r="G99" s="69"/>
      <c r="H99" s="1721">
        <f t="shared" si="56"/>
        <v>2</v>
      </c>
      <c r="I99" s="69"/>
      <c r="J99" s="1721" t="str">
        <f t="shared" si="57"/>
        <v/>
      </c>
      <c r="K99" s="69"/>
      <c r="L99" s="1721">
        <f t="shared" si="58"/>
        <v>3</v>
      </c>
      <c r="M99" s="69"/>
      <c r="N99" s="1722">
        <f t="shared" si="59"/>
        <v>5</v>
      </c>
      <c r="O99" s="69"/>
      <c r="P99" s="1721">
        <f t="shared" si="60"/>
        <v>1</v>
      </c>
      <c r="Q99" s="69"/>
      <c r="R99" s="1721">
        <f t="shared" si="61"/>
        <v>1</v>
      </c>
      <c r="S99" s="69"/>
      <c r="T99" s="1721">
        <f t="shared" si="62"/>
        <v>4</v>
      </c>
      <c r="U99" s="69"/>
      <c r="V99" s="1721">
        <f t="shared" si="63"/>
        <v>3</v>
      </c>
      <c r="W99" s="69"/>
      <c r="X99" s="1721">
        <f t="shared" si="64"/>
        <v>4</v>
      </c>
      <c r="Y99" s="69"/>
      <c r="Z99" s="1721" t="str">
        <f t="shared" si="65"/>
        <v/>
      </c>
      <c r="AA99" s="69"/>
      <c r="AB99" s="1721">
        <f t="shared" si="66"/>
        <v>1</v>
      </c>
      <c r="AC99" s="69"/>
      <c r="AD99" s="1722">
        <f t="shared" si="67"/>
        <v>1</v>
      </c>
      <c r="AE99" s="69"/>
      <c r="AF99" s="1722">
        <f t="shared" si="68"/>
        <v>3</v>
      </c>
      <c r="AG99" s="69"/>
      <c r="AH99" s="1722">
        <f t="shared" si="69"/>
        <v>2</v>
      </c>
      <c r="AI99" s="69"/>
      <c r="AJ99" s="1722">
        <f t="shared" si="70"/>
        <v>3</v>
      </c>
      <c r="AK99" s="69"/>
      <c r="AL99" s="1722">
        <f t="shared" si="71"/>
        <v>2</v>
      </c>
      <c r="AM99" s="69"/>
      <c r="AN99" s="1722">
        <f t="shared" si="72"/>
        <v>1</v>
      </c>
      <c r="AO99" s="69"/>
      <c r="AP99" s="1722">
        <f t="shared" si="73"/>
        <v>2</v>
      </c>
      <c r="AQ99" s="69"/>
      <c r="AR99" s="1722">
        <f t="shared" si="74"/>
        <v>4</v>
      </c>
      <c r="AS99" s="69"/>
      <c r="AT99" s="1722">
        <f t="shared" si="75"/>
        <v>1</v>
      </c>
      <c r="AU99" s="69"/>
      <c r="AV99" s="1722">
        <f t="shared" si="76"/>
        <v>2</v>
      </c>
      <c r="AW99" s="69"/>
      <c r="AX99" s="1723">
        <f t="shared" si="77"/>
        <v>4</v>
      </c>
      <c r="AY99" s="69"/>
      <c r="AZ99" s="1723">
        <f t="shared" si="78"/>
        <v>4</v>
      </c>
      <c r="BA99" s="69"/>
      <c r="BB99" s="1723">
        <f t="shared" si="49"/>
        <v>10</v>
      </c>
      <c r="BC99" s="69"/>
      <c r="BD99" s="1723">
        <f t="shared" si="50"/>
        <v>2</v>
      </c>
      <c r="BE99" s="69"/>
      <c r="BF99" s="1723">
        <f t="shared" si="51"/>
        <v>2</v>
      </c>
      <c r="BG99" s="69"/>
      <c r="BH99" s="1723">
        <f t="shared" si="52"/>
        <v>4</v>
      </c>
      <c r="BI99" s="69"/>
      <c r="BJ99" s="1723">
        <f t="shared" si="53"/>
        <v>4</v>
      </c>
      <c r="BK99" s="69"/>
      <c r="BL99" s="1722" t="str">
        <f t="shared" si="79"/>
        <v/>
      </c>
      <c r="BM99" s="69"/>
      <c r="BN99" s="1487" t="str">
        <f t="shared" si="80"/>
        <v/>
      </c>
      <c r="BO99" s="69"/>
      <c r="BP99" s="1204">
        <f t="shared" si="81"/>
        <v>80</v>
      </c>
      <c r="BQ99" s="69"/>
      <c r="BR99" s="541"/>
      <c r="BS99" s="1829"/>
      <c r="BT99" s="541"/>
      <c r="BU99" s="541"/>
    </row>
    <row r="100" ht="20.25" customHeight="1">
      <c r="A100" s="1698" t="str">
        <f t="shared" si="54"/>
        <v>Да</v>
      </c>
      <c r="B100" s="1831">
        <v>3189.0</v>
      </c>
      <c r="C100" s="1693">
        <v>98.0</v>
      </c>
      <c r="D100" s="1720"/>
      <c r="E100" s="721" t="str">
        <f t="shared" si="48"/>
        <v>Салат Свекла с сыром и чесноком 120гр</v>
      </c>
      <c r="F100" s="1721">
        <f t="shared" si="55"/>
        <v>7</v>
      </c>
      <c r="G100" s="69"/>
      <c r="H100" s="1721">
        <f t="shared" si="56"/>
        <v>3</v>
      </c>
      <c r="I100" s="69"/>
      <c r="J100" s="1721" t="str">
        <f t="shared" si="57"/>
        <v/>
      </c>
      <c r="K100" s="69"/>
      <c r="L100" s="1721">
        <f t="shared" si="58"/>
        <v>3</v>
      </c>
      <c r="M100" s="69"/>
      <c r="N100" s="1722">
        <f t="shared" si="59"/>
        <v>8</v>
      </c>
      <c r="O100" s="69"/>
      <c r="P100" s="1721">
        <f t="shared" si="60"/>
        <v>5</v>
      </c>
      <c r="Q100" s="69"/>
      <c r="R100" s="1721">
        <f t="shared" si="61"/>
        <v>2</v>
      </c>
      <c r="S100" s="69"/>
      <c r="T100" s="1721">
        <f t="shared" si="62"/>
        <v>2</v>
      </c>
      <c r="U100" s="69"/>
      <c r="V100" s="1721">
        <f t="shared" si="63"/>
        <v>7</v>
      </c>
      <c r="W100" s="69"/>
      <c r="X100" s="1721">
        <f t="shared" si="64"/>
        <v>2</v>
      </c>
      <c r="Y100" s="69"/>
      <c r="Z100" s="1721" t="str">
        <f t="shared" si="65"/>
        <v/>
      </c>
      <c r="AA100" s="69"/>
      <c r="AB100" s="1721">
        <f t="shared" si="66"/>
        <v>2</v>
      </c>
      <c r="AC100" s="69"/>
      <c r="AD100" s="1722">
        <f t="shared" si="67"/>
        <v>4</v>
      </c>
      <c r="AE100" s="69"/>
      <c r="AF100" s="1722">
        <f t="shared" si="68"/>
        <v>6</v>
      </c>
      <c r="AG100" s="69"/>
      <c r="AH100" s="1722">
        <f t="shared" si="69"/>
        <v>7</v>
      </c>
      <c r="AI100" s="69"/>
      <c r="AJ100" s="1722">
        <f t="shared" si="70"/>
        <v>4</v>
      </c>
      <c r="AK100" s="69"/>
      <c r="AL100" s="1722">
        <f t="shared" si="71"/>
        <v>5</v>
      </c>
      <c r="AM100" s="69"/>
      <c r="AN100" s="1722">
        <f t="shared" si="72"/>
        <v>2</v>
      </c>
      <c r="AO100" s="69"/>
      <c r="AP100" s="1722">
        <f t="shared" si="73"/>
        <v>2</v>
      </c>
      <c r="AQ100" s="69"/>
      <c r="AR100" s="1722">
        <f t="shared" si="74"/>
        <v>8</v>
      </c>
      <c r="AS100" s="69"/>
      <c r="AT100" s="1722">
        <f t="shared" si="75"/>
        <v>3</v>
      </c>
      <c r="AU100" s="69"/>
      <c r="AV100" s="1722">
        <f t="shared" si="76"/>
        <v>3</v>
      </c>
      <c r="AW100" s="69"/>
      <c r="AX100" s="1723">
        <f t="shared" si="77"/>
        <v>2</v>
      </c>
      <c r="AY100" s="69"/>
      <c r="AZ100" s="1723">
        <f t="shared" si="78"/>
        <v>4</v>
      </c>
      <c r="BA100" s="69"/>
      <c r="BB100" s="1723">
        <f t="shared" si="49"/>
        <v>10</v>
      </c>
      <c r="BC100" s="69"/>
      <c r="BD100" s="1723">
        <f t="shared" si="50"/>
        <v>3</v>
      </c>
      <c r="BE100" s="69"/>
      <c r="BF100" s="1723">
        <f t="shared" si="51"/>
        <v>5</v>
      </c>
      <c r="BG100" s="69"/>
      <c r="BH100" s="1723">
        <f t="shared" si="52"/>
        <v>4</v>
      </c>
      <c r="BI100" s="69"/>
      <c r="BJ100" s="1723">
        <f t="shared" si="53"/>
        <v>4</v>
      </c>
      <c r="BK100" s="69"/>
      <c r="BL100" s="1722">
        <f t="shared" si="79"/>
        <v>46</v>
      </c>
      <c r="BM100" s="69"/>
      <c r="BN100" s="1487">
        <f t="shared" si="80"/>
        <v>10</v>
      </c>
      <c r="BO100" s="69"/>
      <c r="BP100" s="1204">
        <f t="shared" si="81"/>
        <v>163</v>
      </c>
      <c r="BQ100" s="69"/>
      <c r="BR100" s="541"/>
      <c r="BS100" s="1829"/>
      <c r="BT100" s="541"/>
      <c r="BU100" s="541"/>
    </row>
    <row r="101" ht="20.25" customHeight="1">
      <c r="A101" s="1698" t="str">
        <f t="shared" si="54"/>
        <v>Да</v>
      </c>
      <c r="B101" s="1831">
        <v>3301.0</v>
      </c>
      <c r="C101" s="1693">
        <v>98.0</v>
      </c>
      <c r="D101" s="1720"/>
      <c r="E101" s="721" t="str">
        <f t="shared" si="48"/>
        <v>Салат ''Блинный'' (ветчина куриная)</v>
      </c>
      <c r="F101" s="1721">
        <f t="shared" si="55"/>
        <v>5</v>
      </c>
      <c r="G101" s="69"/>
      <c r="H101" s="1721">
        <f t="shared" si="56"/>
        <v>1</v>
      </c>
      <c r="I101" s="69"/>
      <c r="J101" s="1721" t="str">
        <f t="shared" si="57"/>
        <v/>
      </c>
      <c r="K101" s="69"/>
      <c r="L101" s="1721">
        <f t="shared" si="58"/>
        <v>3</v>
      </c>
      <c r="M101" s="69"/>
      <c r="N101" s="1722">
        <f t="shared" si="59"/>
        <v>5</v>
      </c>
      <c r="O101" s="69"/>
      <c r="P101" s="1721">
        <f t="shared" si="60"/>
        <v>9</v>
      </c>
      <c r="Q101" s="69"/>
      <c r="R101" s="1721">
        <f t="shared" si="61"/>
        <v>3</v>
      </c>
      <c r="S101" s="69"/>
      <c r="T101" s="1721">
        <f t="shared" si="62"/>
        <v>3</v>
      </c>
      <c r="U101" s="69"/>
      <c r="V101" s="1721">
        <f t="shared" si="63"/>
        <v>4</v>
      </c>
      <c r="W101" s="69"/>
      <c r="X101" s="1721">
        <f t="shared" si="64"/>
        <v>2</v>
      </c>
      <c r="Y101" s="69"/>
      <c r="Z101" s="1721" t="str">
        <f t="shared" si="65"/>
        <v/>
      </c>
      <c r="AA101" s="69"/>
      <c r="AB101" s="1721">
        <f t="shared" si="66"/>
        <v>0</v>
      </c>
      <c r="AC101" s="69"/>
      <c r="AD101" s="1722">
        <f t="shared" si="67"/>
        <v>3</v>
      </c>
      <c r="AE101" s="69"/>
      <c r="AF101" s="1722">
        <f t="shared" si="68"/>
        <v>1</v>
      </c>
      <c r="AG101" s="69"/>
      <c r="AH101" s="1722">
        <f t="shared" si="69"/>
        <v>0</v>
      </c>
      <c r="AI101" s="69"/>
      <c r="AJ101" s="1722">
        <f t="shared" si="70"/>
        <v>2</v>
      </c>
      <c r="AK101" s="69"/>
      <c r="AL101" s="1722">
        <f t="shared" si="71"/>
        <v>1</v>
      </c>
      <c r="AM101" s="69"/>
      <c r="AN101" s="1722">
        <f t="shared" si="72"/>
        <v>1</v>
      </c>
      <c r="AO101" s="69"/>
      <c r="AP101" s="1722">
        <f t="shared" si="73"/>
        <v>2</v>
      </c>
      <c r="AQ101" s="69"/>
      <c r="AR101" s="1722">
        <f t="shared" si="74"/>
        <v>9</v>
      </c>
      <c r="AS101" s="69"/>
      <c r="AT101" s="1722">
        <f t="shared" si="75"/>
        <v>2</v>
      </c>
      <c r="AU101" s="69"/>
      <c r="AV101" s="1722">
        <f t="shared" si="76"/>
        <v>2</v>
      </c>
      <c r="AW101" s="69"/>
      <c r="AX101" s="1723">
        <f t="shared" si="77"/>
        <v>2</v>
      </c>
      <c r="AY101" s="69"/>
      <c r="AZ101" s="1723">
        <f t="shared" si="78"/>
        <v>2</v>
      </c>
      <c r="BA101" s="69"/>
      <c r="BB101" s="1723">
        <f t="shared" si="49"/>
        <v>10</v>
      </c>
      <c r="BC101" s="69"/>
      <c r="BD101" s="1723">
        <f t="shared" si="50"/>
        <v>0</v>
      </c>
      <c r="BE101" s="69"/>
      <c r="BF101" s="1723">
        <f t="shared" si="51"/>
        <v>3</v>
      </c>
      <c r="BG101" s="69"/>
      <c r="BH101" s="1723">
        <f t="shared" si="52"/>
        <v>1</v>
      </c>
      <c r="BI101" s="69"/>
      <c r="BJ101" s="1723">
        <f t="shared" si="53"/>
        <v>5</v>
      </c>
      <c r="BK101" s="69"/>
      <c r="BL101" s="1722">
        <f t="shared" si="79"/>
        <v>45</v>
      </c>
      <c r="BM101" s="69"/>
      <c r="BN101" s="1487" t="str">
        <f t="shared" si="80"/>
        <v/>
      </c>
      <c r="BO101" s="69"/>
      <c r="BP101" s="1204">
        <f t="shared" si="81"/>
        <v>126</v>
      </c>
      <c r="BQ101" s="69"/>
      <c r="BR101" s="541"/>
      <c r="BS101" s="1829"/>
      <c r="BT101" s="541"/>
      <c r="BU101" s="541"/>
    </row>
    <row r="102" ht="20.25" customHeight="1">
      <c r="A102" s="1698" t="str">
        <f t="shared" si="54"/>
        <v>Да</v>
      </c>
      <c r="B102" s="1831">
        <v>3260.0</v>
      </c>
      <c r="C102" s="1693">
        <v>98.0</v>
      </c>
      <c r="D102" s="1720"/>
      <c r="E102" s="721" t="str">
        <f t="shared" si="48"/>
        <v>Салат ''Купеческий'' (филе кур., шампиньоны)</v>
      </c>
      <c r="F102" s="1726">
        <f t="shared" si="55"/>
        <v>4</v>
      </c>
      <c r="G102" s="69"/>
      <c r="H102" s="1726">
        <f t="shared" si="56"/>
        <v>3</v>
      </c>
      <c r="I102" s="69"/>
      <c r="J102" s="1726" t="str">
        <f t="shared" si="57"/>
        <v/>
      </c>
      <c r="K102" s="69"/>
      <c r="L102" s="1726">
        <f t="shared" si="58"/>
        <v>1</v>
      </c>
      <c r="M102" s="69"/>
      <c r="N102" s="1837">
        <f t="shared" si="59"/>
        <v>5</v>
      </c>
      <c r="O102" s="69"/>
      <c r="P102" s="1726">
        <f t="shared" si="60"/>
        <v>4</v>
      </c>
      <c r="Q102" s="69"/>
      <c r="R102" s="1726">
        <f t="shared" si="61"/>
        <v>3</v>
      </c>
      <c r="S102" s="69"/>
      <c r="T102" s="1726">
        <f t="shared" si="62"/>
        <v>3</v>
      </c>
      <c r="U102" s="69"/>
      <c r="V102" s="1726">
        <f t="shared" si="63"/>
        <v>2</v>
      </c>
      <c r="W102" s="69"/>
      <c r="X102" s="1726">
        <f t="shared" si="64"/>
        <v>5</v>
      </c>
      <c r="Y102" s="69"/>
      <c r="Z102" s="1726" t="str">
        <f t="shared" si="65"/>
        <v/>
      </c>
      <c r="AA102" s="69"/>
      <c r="AB102" s="1726">
        <f t="shared" si="66"/>
        <v>2</v>
      </c>
      <c r="AC102" s="69"/>
      <c r="AD102" s="1837">
        <f t="shared" si="67"/>
        <v>1</v>
      </c>
      <c r="AE102" s="69"/>
      <c r="AF102" s="1837">
        <f t="shared" si="68"/>
        <v>3</v>
      </c>
      <c r="AG102" s="69"/>
      <c r="AH102" s="1722">
        <f t="shared" si="69"/>
        <v>4</v>
      </c>
      <c r="AI102" s="69"/>
      <c r="AJ102" s="1837">
        <f t="shared" si="70"/>
        <v>4</v>
      </c>
      <c r="AK102" s="69"/>
      <c r="AL102" s="1722">
        <f t="shared" si="71"/>
        <v>2</v>
      </c>
      <c r="AM102" s="69"/>
      <c r="AN102" s="1722">
        <f t="shared" si="72"/>
        <v>3</v>
      </c>
      <c r="AO102" s="69"/>
      <c r="AP102" s="1722">
        <f t="shared" si="73"/>
        <v>2</v>
      </c>
      <c r="AQ102" s="69"/>
      <c r="AR102" s="1722">
        <f t="shared" si="74"/>
        <v>11</v>
      </c>
      <c r="AS102" s="69"/>
      <c r="AT102" s="1722">
        <f t="shared" si="75"/>
        <v>3</v>
      </c>
      <c r="AU102" s="69"/>
      <c r="AV102" s="1722">
        <f t="shared" si="76"/>
        <v>3</v>
      </c>
      <c r="AW102" s="69"/>
      <c r="AX102" s="1723">
        <f t="shared" si="77"/>
        <v>2</v>
      </c>
      <c r="AY102" s="69"/>
      <c r="AZ102" s="1723">
        <f t="shared" si="78"/>
        <v>7</v>
      </c>
      <c r="BA102" s="69"/>
      <c r="BB102" s="1723">
        <f t="shared" si="49"/>
        <v>10</v>
      </c>
      <c r="BC102" s="69"/>
      <c r="BD102" s="1723">
        <f t="shared" si="50"/>
        <v>2</v>
      </c>
      <c r="BE102" s="69"/>
      <c r="BF102" s="1723">
        <f t="shared" si="51"/>
        <v>4</v>
      </c>
      <c r="BG102" s="69"/>
      <c r="BH102" s="1723">
        <f t="shared" si="52"/>
        <v>3</v>
      </c>
      <c r="BI102" s="69"/>
      <c r="BJ102" s="1723">
        <f t="shared" si="53"/>
        <v>7</v>
      </c>
      <c r="BK102" s="69"/>
      <c r="BL102" s="1722">
        <f t="shared" si="79"/>
        <v>44</v>
      </c>
      <c r="BM102" s="69"/>
      <c r="BN102" s="1487">
        <f t="shared" si="80"/>
        <v>6</v>
      </c>
      <c r="BO102" s="69"/>
      <c r="BP102" s="1838">
        <f t="shared" si="81"/>
        <v>147</v>
      </c>
      <c r="BQ102" s="69"/>
      <c r="BR102" s="541"/>
      <c r="BS102" s="1829"/>
      <c r="BT102" s="541"/>
      <c r="BU102" s="541"/>
    </row>
    <row r="103" ht="20.25" customHeight="1">
      <c r="A103" s="1698" t="str">
        <f t="shared" si="54"/>
        <v>Да</v>
      </c>
      <c r="B103" s="1831">
        <v>3430.0</v>
      </c>
      <c r="C103" s="1693">
        <v>230.0</v>
      </c>
      <c r="D103" s="1720"/>
      <c r="E103" s="721" t="str">
        <f t="shared" si="48"/>
        <v>Боул с крабом, бобами эдамаме и овощами</v>
      </c>
      <c r="F103" s="1721">
        <f t="shared" si="55"/>
        <v>7</v>
      </c>
      <c r="G103" s="69"/>
      <c r="H103" s="1721">
        <f t="shared" si="56"/>
        <v>1</v>
      </c>
      <c r="I103" s="69"/>
      <c r="J103" s="1721" t="str">
        <f t="shared" si="57"/>
        <v/>
      </c>
      <c r="K103" s="69"/>
      <c r="L103" s="1721" t="str">
        <f t="shared" si="58"/>
        <v/>
      </c>
      <c r="M103" s="69"/>
      <c r="N103" s="1722">
        <f t="shared" si="59"/>
        <v>3</v>
      </c>
      <c r="O103" s="69"/>
      <c r="P103" s="1721">
        <f t="shared" si="60"/>
        <v>2</v>
      </c>
      <c r="Q103" s="69"/>
      <c r="R103" s="1721" t="str">
        <f t="shared" si="61"/>
        <v/>
      </c>
      <c r="S103" s="69"/>
      <c r="T103" s="1721">
        <f t="shared" si="62"/>
        <v>2</v>
      </c>
      <c r="U103" s="69"/>
      <c r="V103" s="1721">
        <f t="shared" si="63"/>
        <v>1</v>
      </c>
      <c r="W103" s="69"/>
      <c r="X103" s="1721">
        <f t="shared" si="64"/>
        <v>2</v>
      </c>
      <c r="Y103" s="69"/>
      <c r="Z103" s="1721" t="str">
        <f t="shared" si="65"/>
        <v/>
      </c>
      <c r="AA103" s="69"/>
      <c r="AB103" s="1721">
        <f t="shared" si="66"/>
        <v>1</v>
      </c>
      <c r="AC103" s="69"/>
      <c r="AD103" s="1722">
        <f t="shared" si="67"/>
        <v>1</v>
      </c>
      <c r="AE103" s="69"/>
      <c r="AF103" s="1722">
        <f t="shared" si="68"/>
        <v>3</v>
      </c>
      <c r="AG103" s="69"/>
      <c r="AH103" s="1722">
        <f t="shared" si="69"/>
        <v>2</v>
      </c>
      <c r="AI103" s="69"/>
      <c r="AJ103" s="1722">
        <f t="shared" si="70"/>
        <v>1</v>
      </c>
      <c r="AK103" s="69"/>
      <c r="AL103" s="1722">
        <f t="shared" si="71"/>
        <v>0</v>
      </c>
      <c r="AM103" s="69"/>
      <c r="AN103" s="1722">
        <f t="shared" si="72"/>
        <v>0</v>
      </c>
      <c r="AO103" s="69"/>
      <c r="AP103" s="1722">
        <f t="shared" si="73"/>
        <v>1</v>
      </c>
      <c r="AQ103" s="69"/>
      <c r="AR103" s="1722">
        <f t="shared" si="74"/>
        <v>4</v>
      </c>
      <c r="AS103" s="69"/>
      <c r="AT103" s="1722">
        <f t="shared" si="75"/>
        <v>1</v>
      </c>
      <c r="AU103" s="69"/>
      <c r="AV103" s="1722">
        <f t="shared" si="76"/>
        <v>3</v>
      </c>
      <c r="AW103" s="69"/>
      <c r="AX103" s="1723">
        <f t="shared" si="77"/>
        <v>7</v>
      </c>
      <c r="AY103" s="69"/>
      <c r="AZ103" s="1723">
        <f t="shared" si="78"/>
        <v>1</v>
      </c>
      <c r="BA103" s="69"/>
      <c r="BB103" s="1723">
        <f t="shared" si="49"/>
        <v>5</v>
      </c>
      <c r="BC103" s="69"/>
      <c r="BD103" s="1723">
        <f t="shared" si="50"/>
        <v>1</v>
      </c>
      <c r="BE103" s="69"/>
      <c r="BF103" s="1723">
        <f t="shared" si="51"/>
        <v>4</v>
      </c>
      <c r="BG103" s="69"/>
      <c r="BH103" s="1723">
        <f t="shared" si="52"/>
        <v>3</v>
      </c>
      <c r="BI103" s="69"/>
      <c r="BJ103" s="1723">
        <f t="shared" si="53"/>
        <v>4</v>
      </c>
      <c r="BK103" s="69"/>
      <c r="BL103" s="1722" t="str">
        <f t="shared" si="79"/>
        <v/>
      </c>
      <c r="BM103" s="69"/>
      <c r="BN103" s="1487" t="str">
        <f t="shared" si="80"/>
        <v/>
      </c>
      <c r="BO103" s="69"/>
      <c r="BP103" s="1204">
        <f t="shared" si="81"/>
        <v>60</v>
      </c>
      <c r="BQ103" s="69"/>
      <c r="BR103" s="541"/>
      <c r="BS103" s="1829"/>
      <c r="BT103" s="541"/>
      <c r="BU103" s="541"/>
    </row>
    <row r="104" ht="20.25" customHeight="1">
      <c r="A104" s="1698" t="str">
        <f t="shared" si="54"/>
        <v/>
      </c>
      <c r="B104" s="1831">
        <v>386.0</v>
      </c>
      <c r="C104" s="1693">
        <v>88.0</v>
      </c>
      <c r="D104" s="1720"/>
      <c r="E104" s="721" t="str">
        <f t="shared" si="48"/>
        <v>Суп ''Харчо'' с курицей</v>
      </c>
      <c r="F104" s="1721" t="str">
        <f t="shared" si="55"/>
        <v/>
      </c>
      <c r="G104" s="69"/>
      <c r="H104" s="1721" t="str">
        <f t="shared" si="56"/>
        <v/>
      </c>
      <c r="I104" s="69"/>
      <c r="J104" s="1721" t="str">
        <f t="shared" si="57"/>
        <v/>
      </c>
      <c r="K104" s="69"/>
      <c r="L104" s="1721" t="str">
        <f t="shared" si="58"/>
        <v/>
      </c>
      <c r="M104" s="69"/>
      <c r="N104" s="1722" t="str">
        <f t="shared" si="59"/>
        <v/>
      </c>
      <c r="O104" s="69"/>
      <c r="P104" s="1726" t="str">
        <f t="shared" si="60"/>
        <v/>
      </c>
      <c r="Q104" s="69"/>
      <c r="R104" s="1721" t="str">
        <f t="shared" si="61"/>
        <v/>
      </c>
      <c r="S104" s="69"/>
      <c r="T104" s="1721" t="str">
        <f t="shared" si="62"/>
        <v/>
      </c>
      <c r="U104" s="69"/>
      <c r="V104" s="1721" t="str">
        <f t="shared" si="63"/>
        <v/>
      </c>
      <c r="W104" s="69"/>
      <c r="X104" s="1721" t="str">
        <f t="shared" si="64"/>
        <v/>
      </c>
      <c r="Y104" s="69"/>
      <c r="Z104" s="1721" t="str">
        <f t="shared" si="65"/>
        <v/>
      </c>
      <c r="AA104" s="69"/>
      <c r="AB104" s="1721" t="str">
        <f t="shared" si="66"/>
        <v/>
      </c>
      <c r="AC104" s="69"/>
      <c r="AD104" s="1722" t="str">
        <f t="shared" si="67"/>
        <v/>
      </c>
      <c r="AE104" s="69"/>
      <c r="AF104" s="1722" t="str">
        <f t="shared" si="68"/>
        <v/>
      </c>
      <c r="AG104" s="69"/>
      <c r="AH104" s="1722" t="str">
        <f t="shared" si="69"/>
        <v/>
      </c>
      <c r="AI104" s="69"/>
      <c r="AJ104" s="1722" t="str">
        <f t="shared" si="70"/>
        <v/>
      </c>
      <c r="AK104" s="69"/>
      <c r="AL104" s="1722" t="str">
        <f t="shared" si="71"/>
        <v/>
      </c>
      <c r="AM104" s="69"/>
      <c r="AN104" s="1722" t="str">
        <f t="shared" si="72"/>
        <v/>
      </c>
      <c r="AO104" s="69"/>
      <c r="AP104" s="1722" t="str">
        <f t="shared" si="73"/>
        <v/>
      </c>
      <c r="AQ104" s="69"/>
      <c r="AR104" s="1722" t="str">
        <f t="shared" si="74"/>
        <v/>
      </c>
      <c r="AS104" s="69"/>
      <c r="AT104" s="1722" t="str">
        <f t="shared" si="75"/>
        <v/>
      </c>
      <c r="AU104" s="69"/>
      <c r="AV104" s="1722" t="str">
        <f t="shared" si="76"/>
        <v/>
      </c>
      <c r="AW104" s="69"/>
      <c r="AX104" s="1723" t="str">
        <f t="shared" si="77"/>
        <v/>
      </c>
      <c r="AY104" s="69"/>
      <c r="AZ104" s="1723" t="str">
        <f t="shared" si="78"/>
        <v/>
      </c>
      <c r="BA104" s="69"/>
      <c r="BB104" s="1723" t="str">
        <f t="shared" si="49"/>
        <v/>
      </c>
      <c r="BC104" s="69"/>
      <c r="BD104" s="1723" t="str">
        <f t="shared" si="50"/>
        <v/>
      </c>
      <c r="BE104" s="69"/>
      <c r="BF104" s="1723" t="str">
        <f t="shared" si="51"/>
        <v/>
      </c>
      <c r="BG104" s="69"/>
      <c r="BH104" s="1723" t="str">
        <f t="shared" si="52"/>
        <v/>
      </c>
      <c r="BI104" s="69"/>
      <c r="BJ104" s="1723" t="str">
        <f t="shared" si="53"/>
        <v/>
      </c>
      <c r="BK104" s="69"/>
      <c r="BL104" s="1722">
        <f t="shared" si="79"/>
        <v>115</v>
      </c>
      <c r="BM104" s="69"/>
      <c r="BN104" s="1487" t="str">
        <f t="shared" si="80"/>
        <v/>
      </c>
      <c r="BO104" s="69"/>
      <c r="BP104" s="1204">
        <f t="shared" si="81"/>
        <v>115</v>
      </c>
      <c r="BQ104" s="69"/>
      <c r="BR104" s="541"/>
      <c r="BS104" s="1829"/>
      <c r="BT104" s="541"/>
      <c r="BU104" s="541"/>
    </row>
    <row r="105" ht="20.25" customHeight="1">
      <c r="A105" s="1698" t="str">
        <f t="shared" si="54"/>
        <v>Да</v>
      </c>
      <c r="B105" s="1831"/>
      <c r="C105" s="1693"/>
      <c r="D105" s="1720"/>
      <c r="E105" s="721" t="str">
        <f t="shared" si="48"/>
        <v/>
      </c>
      <c r="F105" s="1721">
        <f t="shared" si="55"/>
        <v>2</v>
      </c>
      <c r="G105" s="69"/>
      <c r="H105" s="1721">
        <f t="shared" si="56"/>
        <v>2</v>
      </c>
      <c r="I105" s="69"/>
      <c r="J105" s="1721" t="str">
        <f t="shared" si="57"/>
        <v/>
      </c>
      <c r="K105" s="69"/>
      <c r="L105" s="1721">
        <f t="shared" si="58"/>
        <v>2</v>
      </c>
      <c r="M105" s="69"/>
      <c r="N105" s="1722">
        <f t="shared" si="59"/>
        <v>4</v>
      </c>
      <c r="O105" s="69"/>
      <c r="P105" s="1726">
        <f t="shared" si="60"/>
        <v>2</v>
      </c>
      <c r="Q105" s="69"/>
      <c r="R105" s="1721">
        <f t="shared" si="61"/>
        <v>0</v>
      </c>
      <c r="S105" s="69"/>
      <c r="T105" s="1721">
        <f t="shared" si="62"/>
        <v>2</v>
      </c>
      <c r="U105" s="69"/>
      <c r="V105" s="1721">
        <f t="shared" si="63"/>
        <v>3</v>
      </c>
      <c r="W105" s="69"/>
      <c r="X105" s="1721">
        <f t="shared" si="64"/>
        <v>2</v>
      </c>
      <c r="Y105" s="69"/>
      <c r="Z105" s="1721" t="str">
        <f t="shared" si="65"/>
        <v/>
      </c>
      <c r="AA105" s="69"/>
      <c r="AB105" s="1721">
        <f t="shared" si="66"/>
        <v>0</v>
      </c>
      <c r="AC105" s="69"/>
      <c r="AD105" s="1722">
        <f t="shared" si="67"/>
        <v>2</v>
      </c>
      <c r="AE105" s="69"/>
      <c r="AF105" s="1722">
        <f t="shared" si="68"/>
        <v>3</v>
      </c>
      <c r="AG105" s="69"/>
      <c r="AH105" s="1722">
        <f t="shared" si="69"/>
        <v>3</v>
      </c>
      <c r="AI105" s="69"/>
      <c r="AJ105" s="1722">
        <f t="shared" si="70"/>
        <v>1</v>
      </c>
      <c r="AK105" s="69"/>
      <c r="AL105" s="1722">
        <f t="shared" si="71"/>
        <v>0</v>
      </c>
      <c r="AM105" s="69"/>
      <c r="AN105" s="1722">
        <f t="shared" si="72"/>
        <v>2</v>
      </c>
      <c r="AO105" s="69"/>
      <c r="AP105" s="1722">
        <f t="shared" si="73"/>
        <v>2</v>
      </c>
      <c r="AQ105" s="69"/>
      <c r="AR105" s="1722">
        <f t="shared" si="74"/>
        <v>5</v>
      </c>
      <c r="AS105" s="69"/>
      <c r="AT105" s="1722">
        <f t="shared" si="75"/>
        <v>3</v>
      </c>
      <c r="AU105" s="69"/>
      <c r="AV105" s="1722">
        <f t="shared" si="76"/>
        <v>1</v>
      </c>
      <c r="AW105" s="69"/>
      <c r="AX105" s="1723">
        <f t="shared" si="77"/>
        <v>1</v>
      </c>
      <c r="AY105" s="69"/>
      <c r="AZ105" s="1723">
        <f t="shared" si="78"/>
        <v>4</v>
      </c>
      <c r="BA105" s="69"/>
      <c r="BB105" s="1723">
        <f t="shared" si="49"/>
        <v>5</v>
      </c>
      <c r="BC105" s="69"/>
      <c r="BD105" s="1723" t="str">
        <f t="shared" si="50"/>
        <v/>
      </c>
      <c r="BE105" s="69"/>
      <c r="BF105" s="1723">
        <f t="shared" si="51"/>
        <v>3</v>
      </c>
      <c r="BG105" s="69"/>
      <c r="BH105" s="1723">
        <f t="shared" si="52"/>
        <v>4</v>
      </c>
      <c r="BI105" s="69"/>
      <c r="BJ105" s="1723">
        <f t="shared" si="53"/>
        <v>2</v>
      </c>
      <c r="BK105" s="69"/>
      <c r="BL105" s="1722" t="str">
        <f t="shared" si="79"/>
        <v/>
      </c>
      <c r="BM105" s="69"/>
      <c r="BN105" s="1487" t="str">
        <f t="shared" si="80"/>
        <v/>
      </c>
      <c r="BO105" s="69"/>
      <c r="BP105" s="1204">
        <f t="shared" si="81"/>
        <v>60</v>
      </c>
      <c r="BQ105" s="69"/>
      <c r="BR105" s="541"/>
      <c r="BS105" s="1829"/>
      <c r="BT105" s="541"/>
      <c r="BU105" s="541"/>
    </row>
    <row r="106" ht="20.25" customHeight="1">
      <c r="A106" s="1698" t="str">
        <f t="shared" si="54"/>
        <v>Да</v>
      </c>
      <c r="B106" s="1831"/>
      <c r="C106" s="1693"/>
      <c r="D106" s="1720"/>
      <c r="E106" s="721" t="str">
        <f t="shared" si="48"/>
        <v>Мясные гнёзда с овощами и картофелем </v>
      </c>
      <c r="F106" s="1721">
        <f t="shared" si="55"/>
        <v>7</v>
      </c>
      <c r="G106" s="69"/>
      <c r="H106" s="1721">
        <f t="shared" si="56"/>
        <v>5</v>
      </c>
      <c r="I106" s="69"/>
      <c r="J106" s="1721" t="str">
        <f t="shared" si="57"/>
        <v/>
      </c>
      <c r="K106" s="69"/>
      <c r="L106" s="1721">
        <f t="shared" si="58"/>
        <v>5</v>
      </c>
      <c r="M106" s="69"/>
      <c r="N106" s="1722">
        <f t="shared" si="59"/>
        <v>7</v>
      </c>
      <c r="O106" s="69"/>
      <c r="P106" s="1721">
        <f t="shared" si="60"/>
        <v>9</v>
      </c>
      <c r="Q106" s="69"/>
      <c r="R106" s="1721">
        <f t="shared" si="61"/>
        <v>5</v>
      </c>
      <c r="S106" s="69"/>
      <c r="T106" s="1721">
        <f t="shared" si="62"/>
        <v>2</v>
      </c>
      <c r="U106" s="69"/>
      <c r="V106" s="1721">
        <f t="shared" si="63"/>
        <v>3</v>
      </c>
      <c r="W106" s="69"/>
      <c r="X106" s="1721">
        <f t="shared" si="64"/>
        <v>5</v>
      </c>
      <c r="Y106" s="69"/>
      <c r="Z106" s="1721" t="str">
        <f t="shared" si="65"/>
        <v/>
      </c>
      <c r="AA106" s="69"/>
      <c r="AB106" s="1721">
        <f t="shared" si="66"/>
        <v>2</v>
      </c>
      <c r="AC106" s="69"/>
      <c r="AD106" s="1722">
        <f t="shared" si="67"/>
        <v>4</v>
      </c>
      <c r="AE106" s="69"/>
      <c r="AF106" s="1722">
        <f t="shared" si="68"/>
        <v>5</v>
      </c>
      <c r="AG106" s="69"/>
      <c r="AH106" s="1722">
        <f t="shared" si="69"/>
        <v>6</v>
      </c>
      <c r="AI106" s="69"/>
      <c r="AJ106" s="1722">
        <f t="shared" si="70"/>
        <v>2</v>
      </c>
      <c r="AK106" s="69"/>
      <c r="AL106" s="1722">
        <f t="shared" si="71"/>
        <v>3</v>
      </c>
      <c r="AM106" s="69"/>
      <c r="AN106" s="1722">
        <f t="shared" si="72"/>
        <v>3</v>
      </c>
      <c r="AO106" s="69"/>
      <c r="AP106" s="1722">
        <f t="shared" si="73"/>
        <v>4</v>
      </c>
      <c r="AQ106" s="69"/>
      <c r="AR106" s="1722">
        <f t="shared" si="74"/>
        <v>6</v>
      </c>
      <c r="AS106" s="69"/>
      <c r="AT106" s="1722">
        <f t="shared" si="75"/>
        <v>5</v>
      </c>
      <c r="AU106" s="69"/>
      <c r="AV106" s="1722">
        <f t="shared" si="76"/>
        <v>3</v>
      </c>
      <c r="AW106" s="69"/>
      <c r="AX106" s="1723">
        <f t="shared" si="77"/>
        <v>3</v>
      </c>
      <c r="AY106" s="69"/>
      <c r="AZ106" s="1723">
        <f t="shared" si="78"/>
        <v>3</v>
      </c>
      <c r="BA106" s="69"/>
      <c r="BB106" s="1723">
        <f t="shared" si="49"/>
        <v>10</v>
      </c>
      <c r="BC106" s="69"/>
      <c r="BD106" s="1723">
        <f t="shared" si="50"/>
        <v>4</v>
      </c>
      <c r="BE106" s="69"/>
      <c r="BF106" s="1723">
        <f t="shared" si="51"/>
        <v>5</v>
      </c>
      <c r="BG106" s="69"/>
      <c r="BH106" s="1723">
        <f t="shared" si="52"/>
        <v>0</v>
      </c>
      <c r="BI106" s="69"/>
      <c r="BJ106" s="1723">
        <f t="shared" si="53"/>
        <v>6</v>
      </c>
      <c r="BK106" s="69"/>
      <c r="BL106" s="1722">
        <f t="shared" si="79"/>
        <v>70</v>
      </c>
      <c r="BM106" s="69"/>
      <c r="BN106" s="1487">
        <f t="shared" si="80"/>
        <v>10</v>
      </c>
      <c r="BO106" s="69"/>
      <c r="BP106" s="1204">
        <f t="shared" si="81"/>
        <v>192</v>
      </c>
      <c r="BQ106" s="69"/>
      <c r="BR106" s="541"/>
      <c r="BS106" s="1829"/>
      <c r="BT106" s="541"/>
      <c r="BU106" s="541"/>
    </row>
    <row r="107" ht="20.25" customHeight="1">
      <c r="A107" s="1698" t="str">
        <f t="shared" si="54"/>
        <v>Да</v>
      </c>
      <c r="B107" s="1831">
        <v>4259.0</v>
      </c>
      <c r="C107" s="1693">
        <v>265.0</v>
      </c>
      <c r="D107" s="1720"/>
      <c r="E107" s="721" t="str">
        <f t="shared" si="48"/>
        <v>Котлета из щуки с овощным гарниром</v>
      </c>
      <c r="F107" s="1721">
        <f t="shared" si="55"/>
        <v>9</v>
      </c>
      <c r="G107" s="69"/>
      <c r="H107" s="1721">
        <f t="shared" si="56"/>
        <v>5</v>
      </c>
      <c r="I107" s="69"/>
      <c r="J107" s="1721" t="str">
        <f t="shared" si="57"/>
        <v/>
      </c>
      <c r="K107" s="69"/>
      <c r="L107" s="1721">
        <f t="shared" si="58"/>
        <v>3</v>
      </c>
      <c r="M107" s="69"/>
      <c r="N107" s="1722">
        <f t="shared" si="59"/>
        <v>3</v>
      </c>
      <c r="O107" s="69"/>
      <c r="P107" s="1726">
        <f t="shared" si="60"/>
        <v>3</v>
      </c>
      <c r="Q107" s="69"/>
      <c r="R107" s="1721">
        <f t="shared" si="61"/>
        <v>3</v>
      </c>
      <c r="S107" s="69"/>
      <c r="T107" s="1721">
        <f t="shared" si="62"/>
        <v>0</v>
      </c>
      <c r="U107" s="69"/>
      <c r="V107" s="1721">
        <f t="shared" si="63"/>
        <v>4</v>
      </c>
      <c r="W107" s="69"/>
      <c r="X107" s="1721">
        <f t="shared" si="64"/>
        <v>5</v>
      </c>
      <c r="Y107" s="69"/>
      <c r="Z107" s="1721" t="str">
        <f t="shared" si="65"/>
        <v/>
      </c>
      <c r="AA107" s="69"/>
      <c r="AB107" s="1721">
        <f t="shared" si="66"/>
        <v>3</v>
      </c>
      <c r="AC107" s="69"/>
      <c r="AD107" s="1722">
        <f t="shared" si="67"/>
        <v>2</v>
      </c>
      <c r="AE107" s="69"/>
      <c r="AF107" s="1722">
        <f t="shared" si="68"/>
        <v>4</v>
      </c>
      <c r="AG107" s="69"/>
      <c r="AH107" s="1722">
        <f t="shared" si="69"/>
        <v>4</v>
      </c>
      <c r="AI107" s="69"/>
      <c r="AJ107" s="1722">
        <f t="shared" si="70"/>
        <v>3</v>
      </c>
      <c r="AK107" s="69"/>
      <c r="AL107" s="1722">
        <f t="shared" si="71"/>
        <v>2</v>
      </c>
      <c r="AM107" s="69"/>
      <c r="AN107" s="1722">
        <f t="shared" si="72"/>
        <v>1</v>
      </c>
      <c r="AO107" s="69"/>
      <c r="AP107" s="1722">
        <f t="shared" si="73"/>
        <v>4</v>
      </c>
      <c r="AQ107" s="69"/>
      <c r="AR107" s="1722">
        <f t="shared" si="74"/>
        <v>6</v>
      </c>
      <c r="AS107" s="69"/>
      <c r="AT107" s="1722">
        <f t="shared" si="75"/>
        <v>3</v>
      </c>
      <c r="AU107" s="69"/>
      <c r="AV107" s="1722">
        <f t="shared" si="76"/>
        <v>2</v>
      </c>
      <c r="AW107" s="69"/>
      <c r="AX107" s="1723">
        <f t="shared" si="77"/>
        <v>3</v>
      </c>
      <c r="AY107" s="69"/>
      <c r="AZ107" s="1723">
        <f t="shared" si="78"/>
        <v>5</v>
      </c>
      <c r="BA107" s="69"/>
      <c r="BB107" s="1723">
        <f t="shared" si="49"/>
        <v>10</v>
      </c>
      <c r="BC107" s="69"/>
      <c r="BD107" s="1723">
        <f t="shared" si="50"/>
        <v>2</v>
      </c>
      <c r="BE107" s="69"/>
      <c r="BF107" s="1723">
        <f t="shared" si="51"/>
        <v>7</v>
      </c>
      <c r="BG107" s="69"/>
      <c r="BH107" s="1723">
        <f t="shared" si="52"/>
        <v>3</v>
      </c>
      <c r="BI107" s="69"/>
      <c r="BJ107" s="1723">
        <f t="shared" si="53"/>
        <v>5</v>
      </c>
      <c r="BK107" s="69"/>
      <c r="BL107" s="1722" t="str">
        <f t="shared" si="79"/>
        <v/>
      </c>
      <c r="BM107" s="69"/>
      <c r="BN107" s="1487">
        <f t="shared" si="80"/>
        <v>10</v>
      </c>
      <c r="BO107" s="69"/>
      <c r="BP107" s="1204">
        <f t="shared" si="81"/>
        <v>104</v>
      </c>
      <c r="BQ107" s="69"/>
      <c r="BR107" s="541"/>
      <c r="BS107" s="1829"/>
      <c r="BT107" s="541"/>
      <c r="BU107" s="541"/>
    </row>
    <row r="108" ht="20.25" customHeight="1">
      <c r="A108" s="1698" t="str">
        <f t="shared" si="54"/>
        <v>Да</v>
      </c>
      <c r="B108" s="1831">
        <v>1982.0</v>
      </c>
      <c r="C108" s="1693">
        <v>214.0</v>
      </c>
      <c r="D108" s="1720"/>
      <c r="E108" s="721" t="str">
        <f t="shared" si="48"/>
        <v>Вок с курицей и рисом</v>
      </c>
      <c r="F108" s="1726">
        <f t="shared" si="55"/>
        <v>7</v>
      </c>
      <c r="G108" s="69"/>
      <c r="H108" s="1726">
        <f t="shared" si="56"/>
        <v>6</v>
      </c>
      <c r="I108" s="69"/>
      <c r="J108" s="1726" t="str">
        <f t="shared" si="57"/>
        <v/>
      </c>
      <c r="K108" s="69"/>
      <c r="L108" s="1726">
        <f t="shared" si="58"/>
        <v>4</v>
      </c>
      <c r="M108" s="69"/>
      <c r="N108" s="1837">
        <f t="shared" si="59"/>
        <v>9</v>
      </c>
      <c r="O108" s="69"/>
      <c r="P108" s="1726">
        <f t="shared" si="60"/>
        <v>6</v>
      </c>
      <c r="Q108" s="69"/>
      <c r="R108" s="1726">
        <f t="shared" si="61"/>
        <v>6</v>
      </c>
      <c r="S108" s="69"/>
      <c r="T108" s="1726">
        <f t="shared" si="62"/>
        <v>9</v>
      </c>
      <c r="U108" s="69"/>
      <c r="V108" s="1726">
        <f t="shared" si="63"/>
        <v>9</v>
      </c>
      <c r="W108" s="69"/>
      <c r="X108" s="1726">
        <f t="shared" si="64"/>
        <v>4</v>
      </c>
      <c r="Y108" s="69"/>
      <c r="Z108" s="1726" t="str">
        <f t="shared" si="65"/>
        <v/>
      </c>
      <c r="AA108" s="69"/>
      <c r="AB108" s="1726">
        <f t="shared" si="66"/>
        <v>3</v>
      </c>
      <c r="AC108" s="69"/>
      <c r="AD108" s="1837">
        <f t="shared" si="67"/>
        <v>2</v>
      </c>
      <c r="AE108" s="69"/>
      <c r="AF108" s="1837">
        <f t="shared" si="68"/>
        <v>6</v>
      </c>
      <c r="AG108" s="69"/>
      <c r="AH108" s="1837">
        <f t="shared" si="69"/>
        <v>8</v>
      </c>
      <c r="AI108" s="69"/>
      <c r="AJ108" s="1837">
        <f t="shared" si="70"/>
        <v>3</v>
      </c>
      <c r="AK108" s="69"/>
      <c r="AL108" s="1837">
        <f t="shared" si="71"/>
        <v>4</v>
      </c>
      <c r="AM108" s="69"/>
      <c r="AN108" s="1722">
        <f t="shared" si="72"/>
        <v>4</v>
      </c>
      <c r="AO108" s="69"/>
      <c r="AP108" s="1722">
        <f t="shared" si="73"/>
        <v>5</v>
      </c>
      <c r="AQ108" s="69"/>
      <c r="AR108" s="1722">
        <f t="shared" si="74"/>
        <v>5</v>
      </c>
      <c r="AS108" s="69"/>
      <c r="AT108" s="1722">
        <f t="shared" si="75"/>
        <v>7</v>
      </c>
      <c r="AU108" s="69"/>
      <c r="AV108" s="1722">
        <f t="shared" si="76"/>
        <v>5</v>
      </c>
      <c r="AW108" s="69"/>
      <c r="AX108" s="1723">
        <f t="shared" si="77"/>
        <v>4</v>
      </c>
      <c r="AY108" s="69"/>
      <c r="AZ108" s="1723">
        <f t="shared" si="78"/>
        <v>4</v>
      </c>
      <c r="BA108" s="69"/>
      <c r="BB108" s="1723">
        <f t="shared" si="49"/>
        <v>10</v>
      </c>
      <c r="BC108" s="69"/>
      <c r="BD108" s="1723">
        <f t="shared" si="50"/>
        <v>5</v>
      </c>
      <c r="BE108" s="69"/>
      <c r="BF108" s="1723">
        <f t="shared" si="51"/>
        <v>8</v>
      </c>
      <c r="BG108" s="69"/>
      <c r="BH108" s="1723">
        <f t="shared" si="52"/>
        <v>6</v>
      </c>
      <c r="BI108" s="69"/>
      <c r="BJ108" s="1723">
        <f t="shared" si="53"/>
        <v>2</v>
      </c>
      <c r="BK108" s="69"/>
      <c r="BL108" s="1722" t="str">
        <f t="shared" si="79"/>
        <v/>
      </c>
      <c r="BM108" s="69"/>
      <c r="BN108" s="1487">
        <f t="shared" si="80"/>
        <v>0</v>
      </c>
      <c r="BO108" s="69"/>
      <c r="BP108" s="1838">
        <f t="shared" si="81"/>
        <v>151</v>
      </c>
      <c r="BQ108" s="69"/>
      <c r="BR108" s="541"/>
      <c r="BS108" s="1829"/>
      <c r="BT108" s="541"/>
      <c r="BU108" s="541"/>
    </row>
    <row r="109" ht="20.25" customHeight="1">
      <c r="A109" s="1698" t="str">
        <f t="shared" si="54"/>
        <v>Да</v>
      </c>
      <c r="B109" s="1831">
        <v>1267.0</v>
      </c>
      <c r="C109" s="1693">
        <v>198.0</v>
      </c>
      <c r="D109" s="1720"/>
      <c r="E109" s="721" t="str">
        <f t="shared" si="48"/>
        <v>Печень куриная с овощами с гречкой</v>
      </c>
      <c r="F109" s="1721">
        <f t="shared" si="55"/>
        <v>3</v>
      </c>
      <c r="G109" s="69"/>
      <c r="H109" s="1721">
        <f t="shared" si="56"/>
        <v>3</v>
      </c>
      <c r="I109" s="69"/>
      <c r="J109" s="1721" t="str">
        <f t="shared" si="57"/>
        <v/>
      </c>
      <c r="K109" s="69"/>
      <c r="L109" s="1721">
        <f t="shared" si="58"/>
        <v>5</v>
      </c>
      <c r="M109" s="69"/>
      <c r="N109" s="1722">
        <f t="shared" si="59"/>
        <v>9</v>
      </c>
      <c r="O109" s="69"/>
      <c r="P109" s="1721">
        <f t="shared" si="60"/>
        <v>6</v>
      </c>
      <c r="Q109" s="69"/>
      <c r="R109" s="1721">
        <f t="shared" si="61"/>
        <v>4</v>
      </c>
      <c r="S109" s="69"/>
      <c r="T109" s="1721">
        <f t="shared" si="62"/>
        <v>3</v>
      </c>
      <c r="U109" s="69"/>
      <c r="V109" s="1721">
        <f t="shared" si="63"/>
        <v>4</v>
      </c>
      <c r="W109" s="69"/>
      <c r="X109" s="1721">
        <f t="shared" si="64"/>
        <v>3</v>
      </c>
      <c r="Y109" s="69"/>
      <c r="Z109" s="1721" t="str">
        <f t="shared" si="65"/>
        <v/>
      </c>
      <c r="AA109" s="69"/>
      <c r="AB109" s="1721">
        <f t="shared" si="66"/>
        <v>2</v>
      </c>
      <c r="AC109" s="69"/>
      <c r="AD109" s="1722">
        <f t="shared" si="67"/>
        <v>5</v>
      </c>
      <c r="AE109" s="69"/>
      <c r="AF109" s="1722">
        <f t="shared" si="68"/>
        <v>4</v>
      </c>
      <c r="AG109" s="69"/>
      <c r="AH109" s="1722">
        <f t="shared" si="69"/>
        <v>1</v>
      </c>
      <c r="AI109" s="69"/>
      <c r="AJ109" s="1722">
        <f t="shared" si="70"/>
        <v>3</v>
      </c>
      <c r="AK109" s="69"/>
      <c r="AL109" s="1722">
        <f t="shared" si="71"/>
        <v>0</v>
      </c>
      <c r="AM109" s="69"/>
      <c r="AN109" s="1722">
        <f t="shared" si="72"/>
        <v>1</v>
      </c>
      <c r="AO109" s="69"/>
      <c r="AP109" s="1722">
        <f t="shared" si="73"/>
        <v>4</v>
      </c>
      <c r="AQ109" s="69"/>
      <c r="AR109" s="1722">
        <f t="shared" si="74"/>
        <v>6</v>
      </c>
      <c r="AS109" s="69"/>
      <c r="AT109" s="1722">
        <f t="shared" si="75"/>
        <v>2</v>
      </c>
      <c r="AU109" s="69"/>
      <c r="AV109" s="1722">
        <f t="shared" si="76"/>
        <v>3</v>
      </c>
      <c r="AW109" s="69"/>
      <c r="AX109" s="1723">
        <f t="shared" si="77"/>
        <v>3</v>
      </c>
      <c r="AY109" s="69"/>
      <c r="AZ109" s="1723">
        <f t="shared" si="78"/>
        <v>3</v>
      </c>
      <c r="BA109" s="69"/>
      <c r="BB109" s="1723">
        <f t="shared" si="49"/>
        <v>10</v>
      </c>
      <c r="BC109" s="69"/>
      <c r="BD109" s="1723">
        <f t="shared" si="50"/>
        <v>1</v>
      </c>
      <c r="BE109" s="69"/>
      <c r="BF109" s="1723">
        <f t="shared" si="51"/>
        <v>2</v>
      </c>
      <c r="BG109" s="69"/>
      <c r="BH109" s="1723">
        <f t="shared" si="52"/>
        <v>5</v>
      </c>
      <c r="BI109" s="69"/>
      <c r="BJ109" s="1723">
        <f t="shared" si="53"/>
        <v>9</v>
      </c>
      <c r="BK109" s="69"/>
      <c r="BL109" s="1722">
        <f t="shared" si="79"/>
        <v>30</v>
      </c>
      <c r="BM109" s="69"/>
      <c r="BN109" s="1487">
        <f t="shared" si="80"/>
        <v>10</v>
      </c>
      <c r="BO109" s="69"/>
      <c r="BP109" s="1204">
        <f t="shared" si="81"/>
        <v>134</v>
      </c>
      <c r="BQ109" s="69"/>
      <c r="BR109" s="541"/>
      <c r="BS109" s="1829"/>
      <c r="BT109" s="541"/>
      <c r="BU109" s="541"/>
    </row>
    <row r="110" ht="20.25" customHeight="1">
      <c r="A110" s="1698" t="str">
        <f t="shared" si="54"/>
        <v/>
      </c>
      <c r="B110" s="1831">
        <v>2976.0</v>
      </c>
      <c r="C110" s="1693">
        <v>195.0</v>
      </c>
      <c r="D110" s="1720"/>
      <c r="E110" s="721" t="str">
        <f t="shared" si="48"/>
        <v>Курочка в томатном соусе с рисом</v>
      </c>
      <c r="F110" s="1721" t="str">
        <f t="shared" si="55"/>
        <v/>
      </c>
      <c r="G110" s="69"/>
      <c r="H110" s="1721" t="str">
        <f t="shared" si="56"/>
        <v/>
      </c>
      <c r="I110" s="69"/>
      <c r="J110" s="1721" t="str">
        <f t="shared" si="57"/>
        <v/>
      </c>
      <c r="K110" s="69"/>
      <c r="L110" s="1721" t="str">
        <f t="shared" si="58"/>
        <v/>
      </c>
      <c r="M110" s="69"/>
      <c r="N110" s="1722" t="str">
        <f t="shared" si="59"/>
        <v/>
      </c>
      <c r="O110" s="69"/>
      <c r="P110" s="1721" t="str">
        <f t="shared" si="60"/>
        <v/>
      </c>
      <c r="Q110" s="69"/>
      <c r="R110" s="1721" t="str">
        <f t="shared" si="61"/>
        <v/>
      </c>
      <c r="S110" s="69"/>
      <c r="T110" s="1721" t="str">
        <f t="shared" si="62"/>
        <v/>
      </c>
      <c r="U110" s="69"/>
      <c r="V110" s="1721" t="str">
        <f t="shared" si="63"/>
        <v/>
      </c>
      <c r="W110" s="69"/>
      <c r="X110" s="1721" t="str">
        <f t="shared" si="64"/>
        <v/>
      </c>
      <c r="Y110" s="69"/>
      <c r="Z110" s="1721" t="str">
        <f t="shared" si="65"/>
        <v/>
      </c>
      <c r="AA110" s="69"/>
      <c r="AB110" s="1721" t="str">
        <f t="shared" si="66"/>
        <v/>
      </c>
      <c r="AC110" s="69"/>
      <c r="AD110" s="1722" t="str">
        <f t="shared" si="67"/>
        <v/>
      </c>
      <c r="AE110" s="69"/>
      <c r="AF110" s="1722" t="str">
        <f t="shared" si="68"/>
        <v/>
      </c>
      <c r="AG110" s="69"/>
      <c r="AH110" s="1722" t="str">
        <f t="shared" si="69"/>
        <v/>
      </c>
      <c r="AI110" s="69"/>
      <c r="AJ110" s="1722" t="str">
        <f t="shared" si="70"/>
        <v/>
      </c>
      <c r="AK110" s="69"/>
      <c r="AL110" s="1722" t="str">
        <f t="shared" si="71"/>
        <v/>
      </c>
      <c r="AM110" s="69"/>
      <c r="AN110" s="1722" t="str">
        <f t="shared" si="72"/>
        <v/>
      </c>
      <c r="AO110" s="69"/>
      <c r="AP110" s="1722" t="str">
        <f t="shared" si="73"/>
        <v/>
      </c>
      <c r="AQ110" s="69"/>
      <c r="AR110" s="1722" t="str">
        <f t="shared" si="74"/>
        <v/>
      </c>
      <c r="AS110" s="69"/>
      <c r="AT110" s="1722" t="str">
        <f t="shared" si="75"/>
        <v/>
      </c>
      <c r="AU110" s="69"/>
      <c r="AV110" s="1722" t="str">
        <f t="shared" si="76"/>
        <v/>
      </c>
      <c r="AW110" s="69"/>
      <c r="AX110" s="1723" t="str">
        <f t="shared" si="77"/>
        <v/>
      </c>
      <c r="AY110" s="69"/>
      <c r="AZ110" s="1723" t="str">
        <f t="shared" si="78"/>
        <v/>
      </c>
      <c r="BA110" s="69"/>
      <c r="BB110" s="1723" t="str">
        <f t="shared" si="49"/>
        <v/>
      </c>
      <c r="BC110" s="69"/>
      <c r="BD110" s="1723" t="str">
        <f t="shared" si="50"/>
        <v/>
      </c>
      <c r="BE110" s="69"/>
      <c r="BF110" s="1723" t="str">
        <f t="shared" si="51"/>
        <v/>
      </c>
      <c r="BG110" s="69"/>
      <c r="BH110" s="1723" t="str">
        <f t="shared" si="52"/>
        <v/>
      </c>
      <c r="BI110" s="69"/>
      <c r="BJ110" s="1723" t="str">
        <f t="shared" si="53"/>
        <v/>
      </c>
      <c r="BK110" s="69"/>
      <c r="BL110" s="1722">
        <f t="shared" si="79"/>
        <v>35</v>
      </c>
      <c r="BM110" s="69"/>
      <c r="BN110" s="1487" t="str">
        <f t="shared" si="80"/>
        <v/>
      </c>
      <c r="BO110" s="69"/>
      <c r="BP110" s="1204">
        <f t="shared" si="81"/>
        <v>35</v>
      </c>
      <c r="BQ110" s="69"/>
      <c r="BR110" s="684"/>
      <c r="BS110" s="1829"/>
      <c r="BT110" s="541"/>
      <c r="BU110" s="541"/>
    </row>
    <row r="111" ht="20.25" customHeight="1">
      <c r="A111" s="1698" t="str">
        <f t="shared" si="54"/>
        <v/>
      </c>
      <c r="B111" s="1831"/>
      <c r="C111" s="1693"/>
      <c r="D111" s="1720"/>
      <c r="E111" s="721" t="str">
        <f t="shared" si="48"/>
        <v/>
      </c>
      <c r="F111" s="1721" t="str">
        <f t="shared" si="55"/>
        <v/>
      </c>
      <c r="G111" s="69"/>
      <c r="H111" s="1721" t="str">
        <f t="shared" si="56"/>
        <v/>
      </c>
      <c r="I111" s="69"/>
      <c r="J111" s="1721" t="str">
        <f t="shared" si="57"/>
        <v/>
      </c>
      <c r="K111" s="69"/>
      <c r="L111" s="1721" t="str">
        <f t="shared" si="58"/>
        <v/>
      </c>
      <c r="M111" s="69"/>
      <c r="N111" s="1722" t="str">
        <f t="shared" si="59"/>
        <v/>
      </c>
      <c r="O111" s="69"/>
      <c r="P111" s="1721" t="str">
        <f t="shared" si="60"/>
        <v/>
      </c>
      <c r="Q111" s="69"/>
      <c r="R111" s="1721" t="str">
        <f t="shared" si="61"/>
        <v/>
      </c>
      <c r="S111" s="69"/>
      <c r="T111" s="1721" t="str">
        <f t="shared" si="62"/>
        <v/>
      </c>
      <c r="U111" s="69"/>
      <c r="V111" s="1721" t="str">
        <f t="shared" si="63"/>
        <v/>
      </c>
      <c r="W111" s="69"/>
      <c r="X111" s="1721" t="str">
        <f t="shared" si="64"/>
        <v/>
      </c>
      <c r="Y111" s="69"/>
      <c r="Z111" s="1721" t="str">
        <f t="shared" si="65"/>
        <v/>
      </c>
      <c r="AA111" s="69"/>
      <c r="AB111" s="1721" t="str">
        <f t="shared" si="66"/>
        <v/>
      </c>
      <c r="AC111" s="69"/>
      <c r="AD111" s="1722" t="str">
        <f t="shared" si="67"/>
        <v/>
      </c>
      <c r="AE111" s="69"/>
      <c r="AF111" s="1722" t="str">
        <f t="shared" si="68"/>
        <v/>
      </c>
      <c r="AG111" s="69"/>
      <c r="AH111" s="1722" t="str">
        <f t="shared" si="69"/>
        <v/>
      </c>
      <c r="AI111" s="69"/>
      <c r="AJ111" s="1722" t="str">
        <f t="shared" si="70"/>
        <v/>
      </c>
      <c r="AK111" s="69"/>
      <c r="AL111" s="1722" t="str">
        <f t="shared" si="71"/>
        <v/>
      </c>
      <c r="AM111" s="69"/>
      <c r="AN111" s="1722" t="str">
        <f t="shared" si="72"/>
        <v/>
      </c>
      <c r="AO111" s="69"/>
      <c r="AP111" s="1722" t="str">
        <f t="shared" si="73"/>
        <v/>
      </c>
      <c r="AQ111" s="69"/>
      <c r="AR111" s="1722" t="str">
        <f t="shared" si="74"/>
        <v/>
      </c>
      <c r="AS111" s="69"/>
      <c r="AT111" s="1722" t="str">
        <f t="shared" si="75"/>
        <v/>
      </c>
      <c r="AU111" s="69"/>
      <c r="AV111" s="1722" t="str">
        <f t="shared" si="76"/>
        <v/>
      </c>
      <c r="AW111" s="69"/>
      <c r="AX111" s="1723" t="str">
        <f t="shared" si="77"/>
        <v/>
      </c>
      <c r="AY111" s="69"/>
      <c r="AZ111" s="1723" t="str">
        <f t="shared" si="78"/>
        <v/>
      </c>
      <c r="BA111" s="69"/>
      <c r="BB111" s="1723" t="str">
        <f t="shared" si="49"/>
        <v/>
      </c>
      <c r="BC111" s="69"/>
      <c r="BD111" s="1723" t="str">
        <f t="shared" si="50"/>
        <v/>
      </c>
      <c r="BE111" s="69"/>
      <c r="BF111" s="1723" t="str">
        <f t="shared" si="51"/>
        <v/>
      </c>
      <c r="BG111" s="69"/>
      <c r="BH111" s="1723" t="str">
        <f t="shared" si="52"/>
        <v/>
      </c>
      <c r="BI111" s="69"/>
      <c r="BJ111" s="1723" t="str">
        <f t="shared" si="53"/>
        <v/>
      </c>
      <c r="BK111" s="69"/>
      <c r="BL111" s="1722" t="str">
        <f t="shared" si="79"/>
        <v/>
      </c>
      <c r="BM111" s="69"/>
      <c r="BN111" s="1487" t="str">
        <f t="shared" si="80"/>
        <v/>
      </c>
      <c r="BO111" s="69"/>
      <c r="BP111" s="1204">
        <f t="shared" si="81"/>
        <v>0</v>
      </c>
      <c r="BQ111" s="69"/>
      <c r="BR111" s="684"/>
      <c r="BS111" s="1829"/>
      <c r="BT111" s="541"/>
      <c r="BU111" s="541"/>
    </row>
    <row r="112" ht="20.25" customHeight="1">
      <c r="A112" s="1698" t="str">
        <f t="shared" si="54"/>
        <v>Да</v>
      </c>
      <c r="B112" s="1831">
        <v>3759.0</v>
      </c>
      <c r="C112" s="1693">
        <v>243.0</v>
      </c>
      <c r="D112" s="1720"/>
      <c r="E112" s="721" t="str">
        <f t="shared" si="48"/>
        <v>Грудка су-вид с кус-кусом</v>
      </c>
      <c r="F112" s="1721">
        <f t="shared" si="55"/>
        <v>6</v>
      </c>
      <c r="G112" s="69"/>
      <c r="H112" s="1721">
        <f t="shared" si="56"/>
        <v>3</v>
      </c>
      <c r="I112" s="69"/>
      <c r="J112" s="1721" t="str">
        <f t="shared" si="57"/>
        <v/>
      </c>
      <c r="K112" s="69"/>
      <c r="L112" s="1721">
        <f t="shared" si="58"/>
        <v>5</v>
      </c>
      <c r="M112" s="69"/>
      <c r="N112" s="1722">
        <f t="shared" si="59"/>
        <v>5</v>
      </c>
      <c r="O112" s="69"/>
      <c r="P112" s="1721">
        <f t="shared" si="60"/>
        <v>6</v>
      </c>
      <c r="Q112" s="69"/>
      <c r="R112" s="1721">
        <f t="shared" si="61"/>
        <v>2</v>
      </c>
      <c r="S112" s="69"/>
      <c r="T112" s="1721">
        <f t="shared" si="62"/>
        <v>3</v>
      </c>
      <c r="U112" s="69"/>
      <c r="V112" s="1721">
        <f t="shared" si="63"/>
        <v>4</v>
      </c>
      <c r="W112" s="69"/>
      <c r="X112" s="1721">
        <f t="shared" si="64"/>
        <v>2</v>
      </c>
      <c r="Y112" s="69"/>
      <c r="Z112" s="1721" t="str">
        <f t="shared" si="65"/>
        <v/>
      </c>
      <c r="AA112" s="69"/>
      <c r="AB112" s="1721">
        <f t="shared" si="66"/>
        <v>2</v>
      </c>
      <c r="AC112" s="69"/>
      <c r="AD112" s="1722">
        <f t="shared" si="67"/>
        <v>4</v>
      </c>
      <c r="AE112" s="69"/>
      <c r="AF112" s="1722">
        <f t="shared" si="68"/>
        <v>2</v>
      </c>
      <c r="AG112" s="69"/>
      <c r="AH112" s="1722">
        <f t="shared" si="69"/>
        <v>3</v>
      </c>
      <c r="AI112" s="69"/>
      <c r="AJ112" s="1722">
        <f t="shared" si="70"/>
        <v>2</v>
      </c>
      <c r="AK112" s="69"/>
      <c r="AL112" s="1722">
        <f t="shared" si="71"/>
        <v>2</v>
      </c>
      <c r="AM112" s="69"/>
      <c r="AN112" s="1722">
        <f t="shared" si="72"/>
        <v>2</v>
      </c>
      <c r="AO112" s="69"/>
      <c r="AP112" s="1722">
        <f t="shared" si="73"/>
        <v>3</v>
      </c>
      <c r="AQ112" s="69"/>
      <c r="AR112" s="1722">
        <f t="shared" si="74"/>
        <v>5</v>
      </c>
      <c r="AS112" s="69"/>
      <c r="AT112" s="1722">
        <f t="shared" si="75"/>
        <v>3</v>
      </c>
      <c r="AU112" s="69"/>
      <c r="AV112" s="1722">
        <f t="shared" si="76"/>
        <v>3</v>
      </c>
      <c r="AW112" s="69"/>
      <c r="AX112" s="1723">
        <f t="shared" si="77"/>
        <v>4</v>
      </c>
      <c r="AY112" s="69"/>
      <c r="AZ112" s="1723">
        <f t="shared" si="78"/>
        <v>0</v>
      </c>
      <c r="BA112" s="69"/>
      <c r="BB112" s="1723">
        <f t="shared" si="49"/>
        <v>10</v>
      </c>
      <c r="BC112" s="69"/>
      <c r="BD112" s="1723">
        <f t="shared" si="50"/>
        <v>2</v>
      </c>
      <c r="BE112" s="69"/>
      <c r="BF112" s="1723">
        <f t="shared" si="51"/>
        <v>6</v>
      </c>
      <c r="BG112" s="69"/>
      <c r="BH112" s="1723">
        <f t="shared" si="52"/>
        <v>4</v>
      </c>
      <c r="BI112" s="69"/>
      <c r="BJ112" s="1723">
        <f t="shared" si="53"/>
        <v>7</v>
      </c>
      <c r="BK112" s="69"/>
      <c r="BL112" s="1722" t="str">
        <f t="shared" si="79"/>
        <v/>
      </c>
      <c r="BM112" s="69"/>
      <c r="BN112" s="1487">
        <f t="shared" si="80"/>
        <v>0</v>
      </c>
      <c r="BO112" s="69"/>
      <c r="BP112" s="1204">
        <f t="shared" si="81"/>
        <v>100</v>
      </c>
      <c r="BQ112" s="69"/>
      <c r="BR112" s="684"/>
      <c r="BS112" s="1829"/>
      <c r="BT112" s="541"/>
      <c r="BU112" s="541"/>
    </row>
    <row r="113" ht="20.25" customHeight="1">
      <c r="A113" s="1698" t="str">
        <f t="shared" si="54"/>
        <v/>
      </c>
      <c r="B113" s="1831"/>
      <c r="C113" s="1693"/>
      <c r="D113" s="1720"/>
      <c r="E113" s="721" t="str">
        <f t="shared" si="48"/>
        <v/>
      </c>
      <c r="F113" s="1721" t="str">
        <f t="shared" si="55"/>
        <v/>
      </c>
      <c r="G113" s="69"/>
      <c r="H113" s="1721" t="str">
        <f t="shared" si="56"/>
        <v/>
      </c>
      <c r="I113" s="69"/>
      <c r="J113" s="1721" t="str">
        <f t="shared" si="57"/>
        <v/>
      </c>
      <c r="K113" s="69"/>
      <c r="L113" s="1721" t="str">
        <f t="shared" si="58"/>
        <v/>
      </c>
      <c r="M113" s="69"/>
      <c r="N113" s="1722" t="str">
        <f t="shared" si="59"/>
        <v/>
      </c>
      <c r="O113" s="69"/>
      <c r="P113" s="1721" t="str">
        <f t="shared" si="60"/>
        <v/>
      </c>
      <c r="Q113" s="69"/>
      <c r="R113" s="1721" t="str">
        <f t="shared" si="61"/>
        <v/>
      </c>
      <c r="S113" s="69"/>
      <c r="T113" s="1721" t="str">
        <f t="shared" si="62"/>
        <v/>
      </c>
      <c r="U113" s="69"/>
      <c r="V113" s="1721" t="str">
        <f t="shared" si="63"/>
        <v/>
      </c>
      <c r="W113" s="69"/>
      <c r="X113" s="1721" t="str">
        <f t="shared" si="64"/>
        <v/>
      </c>
      <c r="Y113" s="69"/>
      <c r="Z113" s="1721" t="str">
        <f t="shared" si="65"/>
        <v/>
      </c>
      <c r="AA113" s="69"/>
      <c r="AB113" s="1721" t="str">
        <f t="shared" si="66"/>
        <v/>
      </c>
      <c r="AC113" s="69"/>
      <c r="AD113" s="1722" t="str">
        <f t="shared" si="67"/>
        <v/>
      </c>
      <c r="AE113" s="69"/>
      <c r="AF113" s="1722" t="str">
        <f t="shared" si="68"/>
        <v/>
      </c>
      <c r="AG113" s="69"/>
      <c r="AH113" s="1722" t="str">
        <f t="shared" si="69"/>
        <v/>
      </c>
      <c r="AI113" s="69"/>
      <c r="AJ113" s="1722" t="str">
        <f t="shared" si="70"/>
        <v/>
      </c>
      <c r="AK113" s="69"/>
      <c r="AL113" s="1722" t="str">
        <f t="shared" si="71"/>
        <v/>
      </c>
      <c r="AM113" s="69"/>
      <c r="AN113" s="1722" t="str">
        <f t="shared" si="72"/>
        <v/>
      </c>
      <c r="AO113" s="69"/>
      <c r="AP113" s="1722" t="str">
        <f t="shared" si="73"/>
        <v/>
      </c>
      <c r="AQ113" s="69"/>
      <c r="AR113" s="1722" t="str">
        <f t="shared" si="74"/>
        <v/>
      </c>
      <c r="AS113" s="69"/>
      <c r="AT113" s="1722" t="str">
        <f t="shared" si="75"/>
        <v/>
      </c>
      <c r="AU113" s="69"/>
      <c r="AV113" s="1722" t="str">
        <f t="shared" si="76"/>
        <v/>
      </c>
      <c r="AW113" s="69"/>
      <c r="AX113" s="1723" t="str">
        <f t="shared" si="77"/>
        <v/>
      </c>
      <c r="AY113" s="69"/>
      <c r="AZ113" s="1723" t="str">
        <f t="shared" si="78"/>
        <v/>
      </c>
      <c r="BA113" s="69"/>
      <c r="BB113" s="1723" t="str">
        <f t="shared" si="49"/>
        <v/>
      </c>
      <c r="BC113" s="69"/>
      <c r="BD113" s="1723" t="str">
        <f t="shared" si="50"/>
        <v/>
      </c>
      <c r="BE113" s="69"/>
      <c r="BF113" s="1723" t="str">
        <f t="shared" si="51"/>
        <v/>
      </c>
      <c r="BG113" s="69"/>
      <c r="BH113" s="1723" t="str">
        <f t="shared" si="52"/>
        <v/>
      </c>
      <c r="BI113" s="69"/>
      <c r="BJ113" s="1723" t="str">
        <f t="shared" si="53"/>
        <v/>
      </c>
      <c r="BK113" s="69"/>
      <c r="BL113" s="1722" t="str">
        <f t="shared" si="79"/>
        <v/>
      </c>
      <c r="BM113" s="69"/>
      <c r="BN113" s="1487" t="str">
        <f t="shared" si="80"/>
        <v/>
      </c>
      <c r="BO113" s="69"/>
      <c r="BP113" s="1204">
        <f t="shared" si="81"/>
        <v>0</v>
      </c>
      <c r="BQ113" s="69"/>
      <c r="BR113" s="684"/>
      <c r="BS113" s="1829"/>
      <c r="BT113" s="541"/>
      <c r="BU113" s="541"/>
    </row>
    <row r="114" ht="20.25" customHeight="1">
      <c r="A114" s="1698" t="str">
        <f t="shared" si="54"/>
        <v/>
      </c>
      <c r="B114" s="1831"/>
      <c r="C114" s="1693"/>
      <c r="D114" s="1720"/>
      <c r="E114" s="721" t="str">
        <f t="shared" si="48"/>
        <v/>
      </c>
      <c r="F114" s="1721" t="str">
        <f t="shared" si="55"/>
        <v/>
      </c>
      <c r="G114" s="69"/>
      <c r="H114" s="1721" t="str">
        <f t="shared" si="56"/>
        <v/>
      </c>
      <c r="I114" s="69"/>
      <c r="J114" s="1721" t="str">
        <f t="shared" si="57"/>
        <v/>
      </c>
      <c r="K114" s="69"/>
      <c r="L114" s="1721" t="str">
        <f t="shared" si="58"/>
        <v/>
      </c>
      <c r="M114" s="69"/>
      <c r="N114" s="1721" t="str">
        <f t="shared" si="59"/>
        <v/>
      </c>
      <c r="O114" s="69"/>
      <c r="P114" s="1721" t="str">
        <f t="shared" si="60"/>
        <v/>
      </c>
      <c r="Q114" s="69"/>
      <c r="R114" s="1721" t="str">
        <f t="shared" si="61"/>
        <v/>
      </c>
      <c r="S114" s="69"/>
      <c r="T114" s="1721" t="str">
        <f t="shared" si="62"/>
        <v/>
      </c>
      <c r="U114" s="69"/>
      <c r="V114" s="1721" t="str">
        <f t="shared" si="63"/>
        <v/>
      </c>
      <c r="W114" s="69"/>
      <c r="X114" s="1721" t="str">
        <f t="shared" si="64"/>
        <v/>
      </c>
      <c r="Y114" s="69"/>
      <c r="Z114" s="1721" t="str">
        <f t="shared" si="65"/>
        <v/>
      </c>
      <c r="AA114" s="69"/>
      <c r="AB114" s="1721" t="str">
        <f t="shared" si="66"/>
        <v/>
      </c>
      <c r="AC114" s="69"/>
      <c r="AD114" s="1721" t="str">
        <f t="shared" si="67"/>
        <v/>
      </c>
      <c r="AE114" s="69"/>
      <c r="AF114" s="1721" t="str">
        <f t="shared" si="68"/>
        <v/>
      </c>
      <c r="AG114" s="69"/>
      <c r="AH114" s="1721" t="str">
        <f t="shared" si="69"/>
        <v/>
      </c>
      <c r="AI114" s="69"/>
      <c r="AJ114" s="1721" t="str">
        <f t="shared" si="70"/>
        <v/>
      </c>
      <c r="AK114" s="69"/>
      <c r="AL114" s="1721" t="str">
        <f t="shared" si="71"/>
        <v/>
      </c>
      <c r="AM114" s="69"/>
      <c r="AN114" s="1721" t="str">
        <f t="shared" si="72"/>
        <v/>
      </c>
      <c r="AO114" s="69"/>
      <c r="AP114" s="1721" t="str">
        <f t="shared" si="73"/>
        <v/>
      </c>
      <c r="AQ114" s="69"/>
      <c r="AR114" s="1721" t="str">
        <f t="shared" si="74"/>
        <v/>
      </c>
      <c r="AS114" s="69"/>
      <c r="AT114" s="1721" t="str">
        <f t="shared" si="75"/>
        <v/>
      </c>
      <c r="AU114" s="69"/>
      <c r="AV114" s="1721" t="str">
        <f t="shared" si="76"/>
        <v/>
      </c>
      <c r="AW114" s="69"/>
      <c r="AX114" s="1723" t="str">
        <f t="shared" si="77"/>
        <v/>
      </c>
      <c r="AY114" s="69"/>
      <c r="AZ114" s="1723" t="str">
        <f t="shared" si="78"/>
        <v/>
      </c>
      <c r="BA114" s="69"/>
      <c r="BB114" s="1723" t="str">
        <f t="shared" si="49"/>
        <v/>
      </c>
      <c r="BC114" s="69"/>
      <c r="BD114" s="1723" t="str">
        <f t="shared" si="50"/>
        <v/>
      </c>
      <c r="BE114" s="69"/>
      <c r="BF114" s="1723" t="str">
        <f t="shared" si="51"/>
        <v/>
      </c>
      <c r="BG114" s="69"/>
      <c r="BH114" s="1723" t="str">
        <f t="shared" si="52"/>
        <v/>
      </c>
      <c r="BI114" s="69"/>
      <c r="BJ114" s="1723" t="str">
        <f t="shared" si="53"/>
        <v/>
      </c>
      <c r="BK114" s="69"/>
      <c r="BL114" s="1721" t="str">
        <f t="shared" si="79"/>
        <v/>
      </c>
      <c r="BM114" s="69"/>
      <c r="BN114" s="1487" t="str">
        <f t="shared" si="80"/>
        <v/>
      </c>
      <c r="BO114" s="69"/>
      <c r="BP114" s="1204">
        <f t="shared" si="81"/>
        <v>0</v>
      </c>
      <c r="BQ114" s="69"/>
      <c r="BR114" s="684"/>
      <c r="BS114" s="1829"/>
      <c r="BT114" s="541"/>
      <c r="BU114" s="541"/>
    </row>
    <row r="115" ht="20.25" customHeight="1">
      <c r="A115" s="1698" t="str">
        <f t="shared" si="54"/>
        <v/>
      </c>
      <c r="B115" s="1831"/>
      <c r="C115" s="1693"/>
      <c r="D115" s="1720"/>
      <c r="E115" s="721" t="str">
        <f t="shared" si="48"/>
        <v/>
      </c>
      <c r="F115" s="1721" t="str">
        <f t="shared" si="55"/>
        <v/>
      </c>
      <c r="G115" s="69"/>
      <c r="H115" s="1721" t="str">
        <f t="shared" si="56"/>
        <v/>
      </c>
      <c r="I115" s="69"/>
      <c r="J115" s="1721" t="str">
        <f t="shared" si="57"/>
        <v/>
      </c>
      <c r="K115" s="69"/>
      <c r="L115" s="1721" t="str">
        <f t="shared" si="58"/>
        <v/>
      </c>
      <c r="M115" s="69"/>
      <c r="N115" s="1721" t="str">
        <f t="shared" si="59"/>
        <v/>
      </c>
      <c r="O115" s="69"/>
      <c r="P115" s="1721" t="str">
        <f t="shared" si="60"/>
        <v/>
      </c>
      <c r="Q115" s="69"/>
      <c r="R115" s="1721" t="str">
        <f t="shared" si="61"/>
        <v/>
      </c>
      <c r="S115" s="69"/>
      <c r="T115" s="1721" t="str">
        <f t="shared" si="62"/>
        <v/>
      </c>
      <c r="U115" s="69"/>
      <c r="V115" s="1721" t="str">
        <f t="shared" si="63"/>
        <v/>
      </c>
      <c r="W115" s="69"/>
      <c r="X115" s="1721" t="str">
        <f t="shared" si="64"/>
        <v/>
      </c>
      <c r="Y115" s="69"/>
      <c r="Z115" s="1721" t="str">
        <f t="shared" si="65"/>
        <v/>
      </c>
      <c r="AA115" s="69"/>
      <c r="AB115" s="1721" t="str">
        <f t="shared" si="66"/>
        <v/>
      </c>
      <c r="AC115" s="69"/>
      <c r="AD115" s="1721" t="str">
        <f t="shared" si="67"/>
        <v/>
      </c>
      <c r="AE115" s="69"/>
      <c r="AF115" s="1721" t="str">
        <f t="shared" si="68"/>
        <v/>
      </c>
      <c r="AG115" s="69"/>
      <c r="AH115" s="1721" t="str">
        <f t="shared" si="69"/>
        <v/>
      </c>
      <c r="AI115" s="69"/>
      <c r="AJ115" s="1721" t="str">
        <f t="shared" si="70"/>
        <v/>
      </c>
      <c r="AK115" s="69"/>
      <c r="AL115" s="1721" t="str">
        <f t="shared" si="71"/>
        <v/>
      </c>
      <c r="AM115" s="69"/>
      <c r="AN115" s="1721" t="str">
        <f t="shared" si="72"/>
        <v/>
      </c>
      <c r="AO115" s="69"/>
      <c r="AP115" s="1721" t="str">
        <f t="shared" si="73"/>
        <v/>
      </c>
      <c r="AQ115" s="69"/>
      <c r="AR115" s="1721" t="str">
        <f t="shared" si="74"/>
        <v/>
      </c>
      <c r="AS115" s="69"/>
      <c r="AT115" s="1721" t="str">
        <f t="shared" si="75"/>
        <v/>
      </c>
      <c r="AU115" s="69"/>
      <c r="AV115" s="1721" t="str">
        <f t="shared" si="76"/>
        <v/>
      </c>
      <c r="AW115" s="69"/>
      <c r="AX115" s="1723" t="str">
        <f t="shared" si="77"/>
        <v/>
      </c>
      <c r="AY115" s="69"/>
      <c r="AZ115" s="1723" t="str">
        <f t="shared" si="78"/>
        <v/>
      </c>
      <c r="BA115" s="69"/>
      <c r="BB115" s="1723" t="str">
        <f t="shared" si="49"/>
        <v/>
      </c>
      <c r="BC115" s="69"/>
      <c r="BD115" s="1723" t="str">
        <f t="shared" si="50"/>
        <v/>
      </c>
      <c r="BE115" s="69"/>
      <c r="BF115" s="1723" t="str">
        <f t="shared" si="51"/>
        <v/>
      </c>
      <c r="BG115" s="69"/>
      <c r="BH115" s="1723" t="str">
        <f t="shared" si="52"/>
        <v/>
      </c>
      <c r="BI115" s="69"/>
      <c r="BJ115" s="1723" t="str">
        <f t="shared" si="53"/>
        <v/>
      </c>
      <c r="BK115" s="69"/>
      <c r="BL115" s="1721" t="str">
        <f t="shared" si="79"/>
        <v/>
      </c>
      <c r="BM115" s="69"/>
      <c r="BN115" s="1487" t="str">
        <f t="shared" si="80"/>
        <v/>
      </c>
      <c r="BO115" s="69"/>
      <c r="BP115" s="1204">
        <f t="shared" si="81"/>
        <v>0</v>
      </c>
      <c r="BQ115" s="69"/>
      <c r="BR115" s="684"/>
      <c r="BS115" s="1829"/>
      <c r="BT115" s="541"/>
      <c r="BU115" s="541"/>
    </row>
    <row r="116" ht="20.25" customHeight="1">
      <c r="A116" s="1698" t="str">
        <f t="shared" si="54"/>
        <v/>
      </c>
      <c r="B116" s="1831"/>
      <c r="C116" s="1693"/>
      <c r="D116" s="1720"/>
      <c r="E116" s="721" t="str">
        <f t="shared" si="48"/>
        <v/>
      </c>
      <c r="F116" s="1721" t="str">
        <f t="shared" si="55"/>
        <v/>
      </c>
      <c r="G116" s="69"/>
      <c r="H116" s="1721" t="str">
        <f t="shared" si="56"/>
        <v/>
      </c>
      <c r="I116" s="69"/>
      <c r="J116" s="1721" t="str">
        <f t="shared" si="57"/>
        <v/>
      </c>
      <c r="K116" s="69"/>
      <c r="L116" s="1721" t="str">
        <f t="shared" si="58"/>
        <v/>
      </c>
      <c r="M116" s="69"/>
      <c r="N116" s="1722" t="str">
        <f t="shared" si="59"/>
        <v/>
      </c>
      <c r="O116" s="69"/>
      <c r="P116" s="1721" t="str">
        <f t="shared" si="60"/>
        <v/>
      </c>
      <c r="Q116" s="69"/>
      <c r="R116" s="1721" t="str">
        <f t="shared" si="61"/>
        <v/>
      </c>
      <c r="S116" s="69"/>
      <c r="T116" s="1721" t="str">
        <f t="shared" si="62"/>
        <v/>
      </c>
      <c r="U116" s="69"/>
      <c r="V116" s="1721" t="str">
        <f t="shared" si="63"/>
        <v/>
      </c>
      <c r="W116" s="69"/>
      <c r="X116" s="1721" t="str">
        <f t="shared" si="64"/>
        <v/>
      </c>
      <c r="Y116" s="69"/>
      <c r="Z116" s="1721" t="str">
        <f t="shared" si="65"/>
        <v/>
      </c>
      <c r="AA116" s="69"/>
      <c r="AB116" s="1721" t="str">
        <f t="shared" si="66"/>
        <v/>
      </c>
      <c r="AC116" s="69"/>
      <c r="AD116" s="1722" t="str">
        <f t="shared" si="67"/>
        <v/>
      </c>
      <c r="AE116" s="69"/>
      <c r="AF116" s="1722" t="str">
        <f t="shared" si="68"/>
        <v/>
      </c>
      <c r="AG116" s="69"/>
      <c r="AH116" s="1722" t="str">
        <f t="shared" si="69"/>
        <v/>
      </c>
      <c r="AI116" s="69"/>
      <c r="AJ116" s="1722" t="str">
        <f t="shared" si="70"/>
        <v/>
      </c>
      <c r="AK116" s="69"/>
      <c r="AL116" s="1722" t="str">
        <f t="shared" si="71"/>
        <v/>
      </c>
      <c r="AM116" s="69"/>
      <c r="AN116" s="1722" t="str">
        <f t="shared" si="72"/>
        <v/>
      </c>
      <c r="AO116" s="69"/>
      <c r="AP116" s="1722" t="str">
        <f t="shared" si="73"/>
        <v/>
      </c>
      <c r="AQ116" s="69"/>
      <c r="AR116" s="1722" t="str">
        <f t="shared" si="74"/>
        <v/>
      </c>
      <c r="AS116" s="69"/>
      <c r="AT116" s="1722" t="str">
        <f t="shared" si="75"/>
        <v/>
      </c>
      <c r="AU116" s="69"/>
      <c r="AV116" s="1722" t="str">
        <f t="shared" si="76"/>
        <v/>
      </c>
      <c r="AW116" s="69"/>
      <c r="AX116" s="1723" t="str">
        <f t="shared" si="77"/>
        <v/>
      </c>
      <c r="AY116" s="69"/>
      <c r="AZ116" s="1723" t="str">
        <f t="shared" si="78"/>
        <v/>
      </c>
      <c r="BA116" s="69"/>
      <c r="BB116" s="1723" t="str">
        <f t="shared" si="49"/>
        <v/>
      </c>
      <c r="BC116" s="69"/>
      <c r="BD116" s="1723" t="str">
        <f t="shared" si="50"/>
        <v/>
      </c>
      <c r="BE116" s="69"/>
      <c r="BF116" s="1723" t="str">
        <f t="shared" si="51"/>
        <v/>
      </c>
      <c r="BG116" s="69"/>
      <c r="BH116" s="1723" t="str">
        <f t="shared" si="52"/>
        <v/>
      </c>
      <c r="BI116" s="69"/>
      <c r="BJ116" s="1723" t="str">
        <f t="shared" si="53"/>
        <v/>
      </c>
      <c r="BK116" s="69"/>
      <c r="BL116" s="1722" t="str">
        <f t="shared" si="79"/>
        <v/>
      </c>
      <c r="BM116" s="69"/>
      <c r="BN116" s="1487" t="str">
        <f t="shared" si="80"/>
        <v/>
      </c>
      <c r="BO116" s="69"/>
      <c r="BP116" s="1204">
        <f t="shared" si="81"/>
        <v>0</v>
      </c>
      <c r="BQ116" s="69"/>
      <c r="BR116" s="684"/>
      <c r="BS116" s="1829"/>
      <c r="BT116" s="541"/>
      <c r="BU116" s="541"/>
    </row>
    <row r="117" ht="20.25" customHeight="1">
      <c r="A117" s="1698" t="str">
        <f t="shared" si="54"/>
        <v>Да</v>
      </c>
      <c r="B117" s="1831">
        <v>654.0</v>
      </c>
      <c r="C117" s="1693">
        <v>187.0</v>
      </c>
      <c r="D117" s="1720"/>
      <c r="E117" s="721" t="str">
        <f t="shared" si="48"/>
        <v>Сэндвич с бужениной и соусом Релиш</v>
      </c>
      <c r="F117" s="1721">
        <f t="shared" si="55"/>
        <v>9</v>
      </c>
      <c r="G117" s="69"/>
      <c r="H117" s="1721">
        <f t="shared" si="56"/>
        <v>4</v>
      </c>
      <c r="I117" s="69"/>
      <c r="J117" s="1721" t="str">
        <f t="shared" si="57"/>
        <v/>
      </c>
      <c r="K117" s="69"/>
      <c r="L117" s="1721">
        <f t="shared" si="58"/>
        <v>3</v>
      </c>
      <c r="M117" s="69"/>
      <c r="N117" s="1722">
        <f t="shared" si="59"/>
        <v>7</v>
      </c>
      <c r="O117" s="69"/>
      <c r="P117" s="1721">
        <f t="shared" si="60"/>
        <v>2</v>
      </c>
      <c r="Q117" s="69"/>
      <c r="R117" s="1721">
        <f t="shared" si="61"/>
        <v>2</v>
      </c>
      <c r="S117" s="69"/>
      <c r="T117" s="1721">
        <f t="shared" si="62"/>
        <v>3</v>
      </c>
      <c r="U117" s="69"/>
      <c r="V117" s="1721">
        <f t="shared" si="63"/>
        <v>3</v>
      </c>
      <c r="W117" s="69"/>
      <c r="X117" s="1721">
        <f t="shared" si="64"/>
        <v>6</v>
      </c>
      <c r="Y117" s="69"/>
      <c r="Z117" s="1721" t="str">
        <f t="shared" si="65"/>
        <v/>
      </c>
      <c r="AA117" s="69"/>
      <c r="AB117" s="1721">
        <f t="shared" si="66"/>
        <v>5</v>
      </c>
      <c r="AC117" s="69"/>
      <c r="AD117" s="1722">
        <f t="shared" si="67"/>
        <v>2</v>
      </c>
      <c r="AE117" s="69"/>
      <c r="AF117" s="1722">
        <f t="shared" si="68"/>
        <v>5</v>
      </c>
      <c r="AG117" s="69"/>
      <c r="AH117" s="1722">
        <f t="shared" si="69"/>
        <v>3</v>
      </c>
      <c r="AI117" s="69"/>
      <c r="AJ117" s="1722">
        <f t="shared" si="70"/>
        <v>3</v>
      </c>
      <c r="AK117" s="69"/>
      <c r="AL117" s="1722">
        <f t="shared" si="71"/>
        <v>4</v>
      </c>
      <c r="AM117" s="69"/>
      <c r="AN117" s="1722">
        <f t="shared" si="72"/>
        <v>2</v>
      </c>
      <c r="AO117" s="69"/>
      <c r="AP117" s="1722">
        <f t="shared" si="73"/>
        <v>3</v>
      </c>
      <c r="AQ117" s="69"/>
      <c r="AR117" s="1722">
        <f t="shared" si="74"/>
        <v>6</v>
      </c>
      <c r="AS117" s="69"/>
      <c r="AT117" s="1722">
        <f t="shared" si="75"/>
        <v>2</v>
      </c>
      <c r="AU117" s="69"/>
      <c r="AV117" s="1722">
        <f t="shared" si="76"/>
        <v>2</v>
      </c>
      <c r="AW117" s="69"/>
      <c r="AX117" s="1723">
        <f t="shared" si="77"/>
        <v>2</v>
      </c>
      <c r="AY117" s="69"/>
      <c r="AZ117" s="1723">
        <f t="shared" si="78"/>
        <v>3</v>
      </c>
      <c r="BA117" s="69"/>
      <c r="BB117" s="1723">
        <f t="shared" si="49"/>
        <v>10</v>
      </c>
      <c r="BC117" s="69"/>
      <c r="BD117" s="1723">
        <f t="shared" si="50"/>
        <v>2</v>
      </c>
      <c r="BE117" s="69"/>
      <c r="BF117" s="1723">
        <f t="shared" si="51"/>
        <v>5</v>
      </c>
      <c r="BG117" s="69"/>
      <c r="BH117" s="1723">
        <f t="shared" si="52"/>
        <v>3</v>
      </c>
      <c r="BI117" s="69"/>
      <c r="BJ117" s="1723">
        <f t="shared" si="53"/>
        <v>6</v>
      </c>
      <c r="BK117" s="69"/>
      <c r="BL117" s="1722" t="str">
        <f t="shared" si="79"/>
        <v/>
      </c>
      <c r="BM117" s="69"/>
      <c r="BN117" s="1487" t="str">
        <f t="shared" si="80"/>
        <v/>
      </c>
      <c r="BO117" s="69"/>
      <c r="BP117" s="1204">
        <f t="shared" si="81"/>
        <v>107</v>
      </c>
      <c r="BQ117" s="69"/>
      <c r="BR117" s="684"/>
      <c r="BS117" s="1829"/>
      <c r="BT117" s="541"/>
      <c r="BU117" s="541"/>
    </row>
    <row r="118" ht="20.25" customHeight="1">
      <c r="A118" s="1698" t="str">
        <f t="shared" si="54"/>
        <v>Да</v>
      </c>
      <c r="B118" s="1831">
        <v>2904.0</v>
      </c>
      <c r="C118" s="1693">
        <v>190.0</v>
      </c>
      <c r="D118" s="1720"/>
      <c r="E118" s="721" t="str">
        <f t="shared" si="48"/>
        <v>Ассорти сэндвич (пепперони/ветчина)</v>
      </c>
      <c r="F118" s="1721">
        <f t="shared" si="55"/>
        <v>12</v>
      </c>
      <c r="G118" s="69"/>
      <c r="H118" s="1721">
        <f t="shared" si="56"/>
        <v>4</v>
      </c>
      <c r="I118" s="69"/>
      <c r="J118" s="1721" t="str">
        <f t="shared" si="57"/>
        <v/>
      </c>
      <c r="K118" s="69"/>
      <c r="L118" s="1721">
        <f t="shared" si="58"/>
        <v>3</v>
      </c>
      <c r="M118" s="69"/>
      <c r="N118" s="1722">
        <f t="shared" si="59"/>
        <v>4</v>
      </c>
      <c r="O118" s="69"/>
      <c r="P118" s="1721">
        <f t="shared" si="60"/>
        <v>5</v>
      </c>
      <c r="Q118" s="69"/>
      <c r="R118" s="1721">
        <f t="shared" si="61"/>
        <v>4</v>
      </c>
      <c r="S118" s="69"/>
      <c r="T118" s="1721">
        <f t="shared" si="62"/>
        <v>4</v>
      </c>
      <c r="U118" s="69"/>
      <c r="V118" s="1721">
        <f t="shared" si="63"/>
        <v>4</v>
      </c>
      <c r="W118" s="69"/>
      <c r="X118" s="1721">
        <f t="shared" si="64"/>
        <v>6</v>
      </c>
      <c r="Y118" s="69"/>
      <c r="Z118" s="1721" t="str">
        <f t="shared" si="65"/>
        <v/>
      </c>
      <c r="AA118" s="69"/>
      <c r="AB118" s="1721">
        <f t="shared" si="66"/>
        <v>5</v>
      </c>
      <c r="AC118" s="69"/>
      <c r="AD118" s="1722">
        <f t="shared" si="67"/>
        <v>5</v>
      </c>
      <c r="AE118" s="69"/>
      <c r="AF118" s="1722">
        <f t="shared" si="68"/>
        <v>4</v>
      </c>
      <c r="AG118" s="69"/>
      <c r="AH118" s="1722">
        <f t="shared" si="69"/>
        <v>6</v>
      </c>
      <c r="AI118" s="69"/>
      <c r="AJ118" s="1722">
        <f t="shared" si="70"/>
        <v>3</v>
      </c>
      <c r="AK118" s="69"/>
      <c r="AL118" s="1722">
        <f t="shared" si="71"/>
        <v>2</v>
      </c>
      <c r="AM118" s="69"/>
      <c r="AN118" s="1722">
        <f t="shared" si="72"/>
        <v>3</v>
      </c>
      <c r="AO118" s="69"/>
      <c r="AP118" s="1722">
        <f t="shared" si="73"/>
        <v>3</v>
      </c>
      <c r="AQ118" s="69"/>
      <c r="AR118" s="1722">
        <f t="shared" si="74"/>
        <v>11</v>
      </c>
      <c r="AS118" s="69"/>
      <c r="AT118" s="1722">
        <f t="shared" si="75"/>
        <v>4</v>
      </c>
      <c r="AU118" s="69"/>
      <c r="AV118" s="1722">
        <f t="shared" si="76"/>
        <v>5</v>
      </c>
      <c r="AW118" s="69"/>
      <c r="AX118" s="1723">
        <f t="shared" si="77"/>
        <v>7</v>
      </c>
      <c r="AY118" s="69"/>
      <c r="AZ118" s="1723">
        <f t="shared" si="78"/>
        <v>3</v>
      </c>
      <c r="BA118" s="69"/>
      <c r="BB118" s="1723">
        <f t="shared" si="49"/>
        <v>10</v>
      </c>
      <c r="BC118" s="69"/>
      <c r="BD118" s="1723">
        <f t="shared" si="50"/>
        <v>2</v>
      </c>
      <c r="BE118" s="69"/>
      <c r="BF118" s="1723">
        <f t="shared" si="51"/>
        <v>7</v>
      </c>
      <c r="BG118" s="69"/>
      <c r="BH118" s="1723">
        <f t="shared" si="52"/>
        <v>2</v>
      </c>
      <c r="BI118" s="69"/>
      <c r="BJ118" s="1723">
        <f t="shared" si="53"/>
        <v>5</v>
      </c>
      <c r="BK118" s="69"/>
      <c r="BL118" s="1722" t="str">
        <f t="shared" si="79"/>
        <v/>
      </c>
      <c r="BM118" s="69"/>
      <c r="BN118" s="1487" t="str">
        <f t="shared" si="80"/>
        <v/>
      </c>
      <c r="BO118" s="69"/>
      <c r="BP118" s="1204">
        <f t="shared" si="81"/>
        <v>133</v>
      </c>
      <c r="BQ118" s="69"/>
      <c r="BR118" s="684"/>
      <c r="BS118" s="1829"/>
      <c r="BT118" s="541"/>
      <c r="BU118" s="541"/>
    </row>
    <row r="119" ht="20.25" customHeight="1">
      <c r="A119" s="1698" t="str">
        <f t="shared" si="54"/>
        <v>Да</v>
      </c>
      <c r="B119" s="1831">
        <v>4115.0</v>
      </c>
      <c r="C119" s="1693">
        <v>212.0</v>
      </c>
      <c r="D119" s="1720"/>
      <c r="E119" s="721" t="str">
        <f t="shared" si="48"/>
        <v>Хот-дог  </v>
      </c>
      <c r="F119" s="1721">
        <f t="shared" si="55"/>
        <v>4</v>
      </c>
      <c r="G119" s="69"/>
      <c r="H119" s="1721" t="str">
        <f t="shared" si="56"/>
        <v/>
      </c>
      <c r="I119" s="69"/>
      <c r="J119" s="1721" t="str">
        <f t="shared" si="57"/>
        <v/>
      </c>
      <c r="K119" s="69"/>
      <c r="L119" s="1721" t="str">
        <f t="shared" si="58"/>
        <v/>
      </c>
      <c r="M119" s="69"/>
      <c r="N119" s="1722">
        <f t="shared" si="59"/>
        <v>3</v>
      </c>
      <c r="O119" s="69"/>
      <c r="P119" s="1721">
        <f t="shared" si="60"/>
        <v>3</v>
      </c>
      <c r="Q119" s="69"/>
      <c r="R119" s="1721" t="str">
        <f t="shared" si="61"/>
        <v/>
      </c>
      <c r="S119" s="69"/>
      <c r="T119" s="1721" t="str">
        <f t="shared" si="62"/>
        <v/>
      </c>
      <c r="U119" s="69"/>
      <c r="V119" s="1721" t="str">
        <f t="shared" si="63"/>
        <v/>
      </c>
      <c r="W119" s="69"/>
      <c r="X119" s="1721">
        <f t="shared" si="64"/>
        <v>3</v>
      </c>
      <c r="Y119" s="69"/>
      <c r="Z119" s="1721" t="str">
        <f t="shared" si="65"/>
        <v/>
      </c>
      <c r="AA119" s="69"/>
      <c r="AB119" s="1721" t="str">
        <f t="shared" si="66"/>
        <v/>
      </c>
      <c r="AC119" s="69"/>
      <c r="AD119" s="1722">
        <f t="shared" si="67"/>
        <v>3</v>
      </c>
      <c r="AE119" s="69"/>
      <c r="AF119" s="1722">
        <f t="shared" si="68"/>
        <v>3</v>
      </c>
      <c r="AG119" s="69"/>
      <c r="AH119" s="1722" t="str">
        <f t="shared" si="69"/>
        <v/>
      </c>
      <c r="AI119" s="69"/>
      <c r="AJ119" s="1722" t="str">
        <f t="shared" si="70"/>
        <v/>
      </c>
      <c r="AK119" s="69"/>
      <c r="AL119" s="1722" t="str">
        <f t="shared" si="71"/>
        <v/>
      </c>
      <c r="AM119" s="69"/>
      <c r="AN119" s="1722" t="str">
        <f t="shared" si="72"/>
        <v/>
      </c>
      <c r="AO119" s="69"/>
      <c r="AP119" s="1722" t="str">
        <f t="shared" si="73"/>
        <v/>
      </c>
      <c r="AQ119" s="69"/>
      <c r="AR119" s="1722">
        <f t="shared" si="74"/>
        <v>3</v>
      </c>
      <c r="AS119" s="69"/>
      <c r="AT119" s="1722" t="str">
        <f t="shared" si="75"/>
        <v/>
      </c>
      <c r="AU119" s="69"/>
      <c r="AV119" s="1722" t="str">
        <f t="shared" si="76"/>
        <v/>
      </c>
      <c r="AW119" s="69"/>
      <c r="AX119" s="1723">
        <f t="shared" si="77"/>
        <v>3</v>
      </c>
      <c r="AY119" s="69"/>
      <c r="AZ119" s="1723" t="str">
        <f t="shared" si="78"/>
        <v/>
      </c>
      <c r="BA119" s="69"/>
      <c r="BB119" s="1723" t="str">
        <f t="shared" si="49"/>
        <v/>
      </c>
      <c r="BC119" s="69"/>
      <c r="BD119" s="1723" t="str">
        <f t="shared" si="50"/>
        <v/>
      </c>
      <c r="BE119" s="69"/>
      <c r="BF119" s="1723" t="str">
        <f t="shared" si="51"/>
        <v/>
      </c>
      <c r="BG119" s="69"/>
      <c r="BH119" s="1723" t="str">
        <f t="shared" si="52"/>
        <v/>
      </c>
      <c r="BI119" s="69"/>
      <c r="BJ119" s="1723">
        <f t="shared" si="53"/>
        <v>3</v>
      </c>
      <c r="BK119" s="69"/>
      <c r="BL119" s="1722" t="str">
        <f t="shared" si="79"/>
        <v/>
      </c>
      <c r="BM119" s="69"/>
      <c r="BN119" s="1487" t="str">
        <f t="shared" si="80"/>
        <v/>
      </c>
      <c r="BO119" s="69"/>
      <c r="BP119" s="1204">
        <f t="shared" si="81"/>
        <v>28</v>
      </c>
      <c r="BQ119" s="69"/>
      <c r="BR119" s="684"/>
      <c r="BS119" s="1829"/>
      <c r="BT119" s="541"/>
      <c r="BU119" s="541"/>
    </row>
    <row r="120" ht="20.25" customHeight="1">
      <c r="A120" s="1698" t="str">
        <f t="shared" si="54"/>
        <v>Да</v>
      </c>
      <c r="B120" s="1831">
        <v>3999.0</v>
      </c>
      <c r="C120" s="1693">
        <v>98.0</v>
      </c>
      <c r="D120" s="1720"/>
      <c r="E120" s="721" t="str">
        <f t="shared" si="48"/>
        <v>Морс ягодный 0,5 л</v>
      </c>
      <c r="F120" s="1721">
        <f t="shared" si="55"/>
        <v>23</v>
      </c>
      <c r="G120" s="69"/>
      <c r="H120" s="1721">
        <f t="shared" si="56"/>
        <v>5</v>
      </c>
      <c r="I120" s="69"/>
      <c r="J120" s="1721" t="str">
        <f t="shared" si="57"/>
        <v/>
      </c>
      <c r="K120" s="69"/>
      <c r="L120" s="1721">
        <f t="shared" si="58"/>
        <v>0</v>
      </c>
      <c r="M120" s="69"/>
      <c r="N120" s="1722">
        <f t="shared" si="59"/>
        <v>0</v>
      </c>
      <c r="O120" s="69"/>
      <c r="P120" s="1721">
        <f t="shared" si="60"/>
        <v>15</v>
      </c>
      <c r="Q120" s="69"/>
      <c r="R120" s="1721">
        <f t="shared" si="61"/>
        <v>0</v>
      </c>
      <c r="S120" s="69"/>
      <c r="T120" s="1721">
        <f t="shared" si="62"/>
        <v>0</v>
      </c>
      <c r="U120" s="69"/>
      <c r="V120" s="1721">
        <f t="shared" si="63"/>
        <v>0</v>
      </c>
      <c r="W120" s="69"/>
      <c r="X120" s="1721">
        <f t="shared" si="64"/>
        <v>0</v>
      </c>
      <c r="Y120" s="69"/>
      <c r="Z120" s="1721" t="str">
        <f t="shared" si="65"/>
        <v/>
      </c>
      <c r="AA120" s="69"/>
      <c r="AB120" s="1721">
        <f t="shared" si="66"/>
        <v>0</v>
      </c>
      <c r="AC120" s="69"/>
      <c r="AD120" s="1722">
        <f t="shared" si="67"/>
        <v>0</v>
      </c>
      <c r="AE120" s="69"/>
      <c r="AF120" s="1722">
        <f t="shared" si="68"/>
        <v>25</v>
      </c>
      <c r="AG120" s="69"/>
      <c r="AH120" s="1722">
        <f t="shared" si="69"/>
        <v>0</v>
      </c>
      <c r="AI120" s="69"/>
      <c r="AJ120" s="1722">
        <f t="shared" si="70"/>
        <v>0</v>
      </c>
      <c r="AK120" s="69"/>
      <c r="AL120" s="1722">
        <f t="shared" si="71"/>
        <v>0</v>
      </c>
      <c r="AM120" s="69"/>
      <c r="AN120" s="1722">
        <f t="shared" si="72"/>
        <v>17</v>
      </c>
      <c r="AO120" s="69"/>
      <c r="AP120" s="1722">
        <f t="shared" si="73"/>
        <v>0</v>
      </c>
      <c r="AQ120" s="69"/>
      <c r="AR120" s="1722">
        <f t="shared" si="74"/>
        <v>30</v>
      </c>
      <c r="AS120" s="69"/>
      <c r="AT120" s="1722">
        <f t="shared" si="75"/>
        <v>16</v>
      </c>
      <c r="AU120" s="69"/>
      <c r="AV120" s="1722">
        <f t="shared" si="76"/>
        <v>16</v>
      </c>
      <c r="AW120" s="69"/>
      <c r="AX120" s="1723">
        <f t="shared" si="77"/>
        <v>16</v>
      </c>
      <c r="AY120" s="69"/>
      <c r="AZ120" s="1723">
        <f t="shared" si="78"/>
        <v>0</v>
      </c>
      <c r="BA120" s="69"/>
      <c r="BB120" s="1723">
        <f t="shared" si="49"/>
        <v>20</v>
      </c>
      <c r="BC120" s="69"/>
      <c r="BD120" s="1723">
        <f t="shared" si="50"/>
        <v>10</v>
      </c>
      <c r="BE120" s="69"/>
      <c r="BF120" s="1723">
        <f t="shared" si="51"/>
        <v>28</v>
      </c>
      <c r="BG120" s="69"/>
      <c r="BH120" s="1723">
        <f t="shared" si="52"/>
        <v>17</v>
      </c>
      <c r="BI120" s="69"/>
      <c r="BJ120" s="1723">
        <f t="shared" si="53"/>
        <v>19</v>
      </c>
      <c r="BK120" s="69"/>
      <c r="BL120" s="1722" t="str">
        <f t="shared" si="79"/>
        <v/>
      </c>
      <c r="BM120" s="69"/>
      <c r="BN120" s="1487" t="str">
        <f t="shared" si="80"/>
        <v/>
      </c>
      <c r="BO120" s="69"/>
      <c r="BP120" s="1204">
        <f t="shared" si="81"/>
        <v>257</v>
      </c>
      <c r="BQ120" s="69"/>
      <c r="BR120" s="684"/>
      <c r="BS120" s="1829"/>
      <c r="BT120" s="541"/>
      <c r="BU120" s="541"/>
    </row>
    <row r="121" ht="20.25" customHeight="1">
      <c r="A121" s="1698" t="str">
        <f t="shared" si="54"/>
        <v/>
      </c>
      <c r="B121" s="1831"/>
      <c r="C121" s="1693"/>
      <c r="D121" s="1720"/>
      <c r="E121" s="721" t="str">
        <f t="shared" si="48"/>
        <v/>
      </c>
      <c r="F121" s="1721" t="str">
        <f t="shared" si="55"/>
        <v/>
      </c>
      <c r="G121" s="69"/>
      <c r="H121" s="1726" t="str">
        <f t="shared" si="56"/>
        <v/>
      </c>
      <c r="I121" s="69"/>
      <c r="J121" s="1721" t="str">
        <f t="shared" si="57"/>
        <v/>
      </c>
      <c r="K121" s="69"/>
      <c r="L121" s="1721" t="str">
        <f t="shared" si="58"/>
        <v/>
      </c>
      <c r="M121" s="69"/>
      <c r="N121" s="1722" t="str">
        <f t="shared" si="59"/>
        <v/>
      </c>
      <c r="O121" s="69"/>
      <c r="P121" s="1726" t="str">
        <f t="shared" si="60"/>
        <v/>
      </c>
      <c r="Q121" s="69"/>
      <c r="R121" s="1721" t="str">
        <f t="shared" si="61"/>
        <v/>
      </c>
      <c r="S121" s="69"/>
      <c r="T121" s="1721" t="str">
        <f t="shared" si="62"/>
        <v/>
      </c>
      <c r="U121" s="69"/>
      <c r="V121" s="1721" t="str">
        <f t="shared" si="63"/>
        <v/>
      </c>
      <c r="W121" s="69"/>
      <c r="X121" s="1721" t="str">
        <f t="shared" si="64"/>
        <v/>
      </c>
      <c r="Y121" s="69"/>
      <c r="Z121" s="1721" t="str">
        <f t="shared" si="65"/>
        <v/>
      </c>
      <c r="AA121" s="69"/>
      <c r="AB121" s="1721" t="str">
        <f t="shared" si="66"/>
        <v/>
      </c>
      <c r="AC121" s="69"/>
      <c r="AD121" s="1722" t="str">
        <f t="shared" si="67"/>
        <v/>
      </c>
      <c r="AE121" s="69"/>
      <c r="AF121" s="1722" t="str">
        <f t="shared" si="68"/>
        <v/>
      </c>
      <c r="AG121" s="69"/>
      <c r="AH121" s="1722" t="str">
        <f t="shared" si="69"/>
        <v/>
      </c>
      <c r="AI121" s="69"/>
      <c r="AJ121" s="1722" t="str">
        <f t="shared" si="70"/>
        <v/>
      </c>
      <c r="AK121" s="69"/>
      <c r="AL121" s="1722" t="str">
        <f t="shared" si="71"/>
        <v/>
      </c>
      <c r="AM121" s="69"/>
      <c r="AN121" s="1722" t="str">
        <f t="shared" si="72"/>
        <v/>
      </c>
      <c r="AO121" s="69"/>
      <c r="AP121" s="1722" t="str">
        <f t="shared" si="73"/>
        <v/>
      </c>
      <c r="AQ121" s="69"/>
      <c r="AR121" s="1722" t="str">
        <f t="shared" si="74"/>
        <v/>
      </c>
      <c r="AS121" s="69"/>
      <c r="AT121" s="1722" t="str">
        <f t="shared" si="75"/>
        <v/>
      </c>
      <c r="AU121" s="69"/>
      <c r="AV121" s="1722" t="str">
        <f t="shared" si="76"/>
        <v/>
      </c>
      <c r="AW121" s="69"/>
      <c r="AX121" s="1723" t="str">
        <f t="shared" si="77"/>
        <v/>
      </c>
      <c r="AY121" s="69"/>
      <c r="AZ121" s="1723" t="str">
        <f t="shared" si="78"/>
        <v/>
      </c>
      <c r="BA121" s="69"/>
      <c r="BB121" s="1723" t="str">
        <f t="shared" si="49"/>
        <v/>
      </c>
      <c r="BC121" s="69"/>
      <c r="BD121" s="1723" t="str">
        <f t="shared" si="50"/>
        <v/>
      </c>
      <c r="BE121" s="69"/>
      <c r="BF121" s="1723" t="str">
        <f t="shared" si="51"/>
        <v/>
      </c>
      <c r="BG121" s="69"/>
      <c r="BH121" s="1723" t="str">
        <f t="shared" si="52"/>
        <v/>
      </c>
      <c r="BI121" s="69"/>
      <c r="BJ121" s="1723" t="str">
        <f t="shared" si="53"/>
        <v/>
      </c>
      <c r="BK121" s="69"/>
      <c r="BL121" s="1722" t="str">
        <f t="shared" si="79"/>
        <v/>
      </c>
      <c r="BM121" s="69"/>
      <c r="BN121" s="1487" t="str">
        <f t="shared" si="80"/>
        <v/>
      </c>
      <c r="BO121" s="69"/>
      <c r="BP121" s="1204">
        <f t="shared" si="81"/>
        <v>0</v>
      </c>
      <c r="BQ121" s="69"/>
      <c r="BR121" s="684"/>
      <c r="BS121" s="1829"/>
      <c r="BT121" s="541"/>
      <c r="BU121" s="541"/>
    </row>
    <row r="122" ht="20.25" customHeight="1">
      <c r="A122" s="1698" t="str">
        <f t="shared" si="54"/>
        <v>Да</v>
      </c>
      <c r="B122" s="1831">
        <v>822.0</v>
      </c>
      <c r="C122" s="1693">
        <v>5.0</v>
      </c>
      <c r="D122" s="1720"/>
      <c r="E122" s="721" t="str">
        <f t="shared" si="48"/>
        <v>Хлеб пшеничный</v>
      </c>
      <c r="F122" s="1721">
        <f t="shared" si="55"/>
        <v>11</v>
      </c>
      <c r="G122" s="69"/>
      <c r="H122" s="1721">
        <f t="shared" si="56"/>
        <v>3</v>
      </c>
      <c r="I122" s="69"/>
      <c r="J122" s="1721" t="str">
        <f t="shared" si="57"/>
        <v/>
      </c>
      <c r="K122" s="69"/>
      <c r="L122" s="1721">
        <f t="shared" si="58"/>
        <v>6</v>
      </c>
      <c r="M122" s="69"/>
      <c r="N122" s="1722">
        <f t="shared" si="59"/>
        <v>4</v>
      </c>
      <c r="O122" s="69"/>
      <c r="P122" s="1721">
        <f t="shared" si="60"/>
        <v>5</v>
      </c>
      <c r="Q122" s="69"/>
      <c r="R122" s="1721">
        <f t="shared" si="61"/>
        <v>3</v>
      </c>
      <c r="S122" s="69"/>
      <c r="T122" s="1721">
        <f t="shared" si="62"/>
        <v>4</v>
      </c>
      <c r="U122" s="69"/>
      <c r="V122" s="1721">
        <f t="shared" si="63"/>
        <v>3</v>
      </c>
      <c r="W122" s="69"/>
      <c r="X122" s="1721">
        <f t="shared" si="64"/>
        <v>0</v>
      </c>
      <c r="Y122" s="69"/>
      <c r="Z122" s="1721" t="str">
        <f t="shared" si="65"/>
        <v/>
      </c>
      <c r="AA122" s="69"/>
      <c r="AB122" s="1721">
        <f t="shared" si="66"/>
        <v>4</v>
      </c>
      <c r="AC122" s="69"/>
      <c r="AD122" s="1722">
        <f t="shared" si="67"/>
        <v>4</v>
      </c>
      <c r="AE122" s="69"/>
      <c r="AF122" s="1722">
        <f t="shared" si="68"/>
        <v>3</v>
      </c>
      <c r="AG122" s="69"/>
      <c r="AH122" s="1722" t="str">
        <f t="shared" si="69"/>
        <v/>
      </c>
      <c r="AI122" s="69"/>
      <c r="AJ122" s="1722">
        <f t="shared" si="70"/>
        <v>3</v>
      </c>
      <c r="AK122" s="69"/>
      <c r="AL122" s="1722">
        <f t="shared" si="71"/>
        <v>3</v>
      </c>
      <c r="AM122" s="69"/>
      <c r="AN122" s="1722" t="str">
        <f t="shared" si="72"/>
        <v/>
      </c>
      <c r="AO122" s="69"/>
      <c r="AP122" s="1722" t="str">
        <f t="shared" si="73"/>
        <v/>
      </c>
      <c r="AQ122" s="69"/>
      <c r="AR122" s="1722" t="str">
        <f t="shared" si="74"/>
        <v/>
      </c>
      <c r="AS122" s="69"/>
      <c r="AT122" s="1722">
        <f t="shared" si="75"/>
        <v>4</v>
      </c>
      <c r="AU122" s="69"/>
      <c r="AV122" s="1722">
        <f t="shared" si="76"/>
        <v>3</v>
      </c>
      <c r="AW122" s="69"/>
      <c r="AX122" s="1723">
        <f t="shared" si="77"/>
        <v>4</v>
      </c>
      <c r="AY122" s="69"/>
      <c r="AZ122" s="1723">
        <f t="shared" si="78"/>
        <v>20</v>
      </c>
      <c r="BA122" s="69"/>
      <c r="BB122" s="1723">
        <f t="shared" si="49"/>
        <v>5</v>
      </c>
      <c r="BC122" s="69"/>
      <c r="BD122" s="1723" t="str">
        <f t="shared" si="50"/>
        <v/>
      </c>
      <c r="BE122" s="69"/>
      <c r="BF122" s="1723">
        <f t="shared" si="51"/>
        <v>3</v>
      </c>
      <c r="BG122" s="69"/>
      <c r="BH122" s="1723">
        <f t="shared" si="52"/>
        <v>4</v>
      </c>
      <c r="BI122" s="69"/>
      <c r="BJ122" s="1723">
        <f t="shared" si="53"/>
        <v>4</v>
      </c>
      <c r="BK122" s="69"/>
      <c r="BL122" s="1722">
        <f t="shared" si="79"/>
        <v>130</v>
      </c>
      <c r="BM122" s="69"/>
      <c r="BN122" s="1487" t="str">
        <f t="shared" si="80"/>
        <v/>
      </c>
      <c r="BO122" s="69"/>
      <c r="BP122" s="1204">
        <f t="shared" si="81"/>
        <v>233</v>
      </c>
      <c r="BQ122" s="69"/>
      <c r="BR122" s="684"/>
      <c r="BS122" s="1829"/>
      <c r="BT122" s="541"/>
      <c r="BU122" s="541"/>
    </row>
    <row r="123" ht="20.25" customHeight="1">
      <c r="A123" s="1698" t="str">
        <f t="shared" si="54"/>
        <v/>
      </c>
      <c r="B123" s="1736"/>
      <c r="C123" s="1849"/>
      <c r="D123" s="1720"/>
      <c r="E123" s="721" t="str">
        <f t="shared" si="48"/>
        <v/>
      </c>
      <c r="F123" s="1721">
        <f>SUM(F97:G122)</f>
        <v>130</v>
      </c>
      <c r="G123" s="69"/>
      <c r="H123" s="1721">
        <f>SUM(H97:I122)</f>
        <v>56</v>
      </c>
      <c r="I123" s="69"/>
      <c r="J123" s="1721">
        <f>SUM(J97:K122)</f>
        <v>0</v>
      </c>
      <c r="K123" s="69"/>
      <c r="L123" s="1721">
        <f>SUM(L97:M122)</f>
        <v>57</v>
      </c>
      <c r="M123" s="69"/>
      <c r="N123" s="1721">
        <f>SUM(N97:O122)</f>
        <v>97</v>
      </c>
      <c r="O123" s="69"/>
      <c r="P123" s="1721">
        <f>SUM(P97:Q122)</f>
        <v>89</v>
      </c>
      <c r="Q123" s="69"/>
      <c r="R123" s="1721">
        <f>SUM(R97:S122)</f>
        <v>42</v>
      </c>
      <c r="S123" s="69"/>
      <c r="T123" s="1721">
        <f>SUM(T97:U122)</f>
        <v>53</v>
      </c>
      <c r="U123" s="69"/>
      <c r="V123" s="1721">
        <f>SUM(V97:W122)</f>
        <v>63</v>
      </c>
      <c r="W123" s="69"/>
      <c r="X123" s="1721">
        <f>SUM(X97:Y122)</f>
        <v>64</v>
      </c>
      <c r="Y123" s="69"/>
      <c r="Z123" s="1721">
        <f>SUM(Z97:AA122)</f>
        <v>0</v>
      </c>
      <c r="AA123" s="69"/>
      <c r="AB123" s="1721">
        <f>SUM(AB97:AC122)</f>
        <v>38</v>
      </c>
      <c r="AC123" s="69"/>
      <c r="AD123" s="1721">
        <f>SUM(AD97:AE122)</f>
        <v>49</v>
      </c>
      <c r="AE123" s="69"/>
      <c r="AF123" s="1721">
        <f>SUM(AF97:AG122)</f>
        <v>96</v>
      </c>
      <c r="AG123" s="69"/>
      <c r="AH123" s="1721">
        <f>SUM(AH97:AI122)</f>
        <v>60</v>
      </c>
      <c r="AI123" s="69"/>
      <c r="AJ123" s="1721">
        <f>SUM(AJ97:AK122)</f>
        <v>49</v>
      </c>
      <c r="AK123" s="69"/>
      <c r="AL123" s="1721">
        <f>SUM(AL97:AM122)</f>
        <v>36</v>
      </c>
      <c r="AM123" s="69"/>
      <c r="AN123" s="1721">
        <f>SUM(AN97:AO122)</f>
        <v>50</v>
      </c>
      <c r="AO123" s="69"/>
      <c r="AP123" s="1721">
        <f>SUM(AP97:AQ122)</f>
        <v>42</v>
      </c>
      <c r="AQ123" s="69"/>
      <c r="AR123" s="1721">
        <f>SUM(AR97:AS122)</f>
        <v>140</v>
      </c>
      <c r="AS123" s="69"/>
      <c r="AT123" s="1721">
        <f>SUM(AT97:AU122)</f>
        <v>65</v>
      </c>
      <c r="AU123" s="69"/>
      <c r="AV123" s="1721">
        <f>SUM(AV97:AW122)</f>
        <v>61</v>
      </c>
      <c r="AW123" s="69"/>
      <c r="AX123" s="1721">
        <f>SUM(AX97:AY122)</f>
        <v>77</v>
      </c>
      <c r="AY123" s="69"/>
      <c r="AZ123" s="1721">
        <f>SUM(AZ97:BA122)</f>
        <v>70</v>
      </c>
      <c r="BA123" s="69"/>
      <c r="BB123" s="1721">
        <f>SUM(BB97:BC122)</f>
        <v>165</v>
      </c>
      <c r="BC123" s="69"/>
      <c r="BD123" s="1721">
        <f>SUM(BD97:BE122)</f>
        <v>41</v>
      </c>
      <c r="BE123" s="69"/>
      <c r="BF123" s="1721">
        <f>SUM(BF97:BG122)</f>
        <v>101</v>
      </c>
      <c r="BG123" s="69"/>
      <c r="BH123" s="1721">
        <f>SUM(BH97:BI122)</f>
        <v>72</v>
      </c>
      <c r="BI123" s="69"/>
      <c r="BJ123" s="1721">
        <f>SUM(BJ97:BK122)</f>
        <v>103</v>
      </c>
      <c r="BK123" s="69"/>
      <c r="BL123" s="1721">
        <f>SUM(BL97:BM122)</f>
        <v>515</v>
      </c>
      <c r="BM123" s="69"/>
      <c r="BN123" s="1487" t="str">
        <f t="shared" si="80"/>
        <v/>
      </c>
      <c r="BO123" s="69"/>
      <c r="BP123" s="1204">
        <f t="shared" si="81"/>
        <v>2481</v>
      </c>
      <c r="BQ123" s="69"/>
      <c r="BR123" s="684"/>
      <c r="BS123" s="1829"/>
      <c r="BT123" s="541"/>
      <c r="BU123" s="541"/>
    </row>
    <row r="124" ht="20.25" customHeight="1">
      <c r="A124" s="1863"/>
      <c r="B124" s="1863"/>
      <c r="C124" s="1863"/>
      <c r="D124" s="1720"/>
      <c r="E124" s="1864"/>
      <c r="F124" s="1865"/>
      <c r="G124" s="69"/>
      <c r="H124" s="1865"/>
      <c r="I124" s="69"/>
      <c r="J124" s="1865"/>
      <c r="K124" s="69"/>
      <c r="L124" s="1865"/>
      <c r="M124" s="69"/>
      <c r="N124" s="1865"/>
      <c r="O124" s="69"/>
      <c r="P124" s="1865"/>
      <c r="Q124" s="69"/>
      <c r="R124" s="1865"/>
      <c r="S124" s="69"/>
      <c r="T124" s="1865"/>
      <c r="U124" s="69"/>
      <c r="V124" s="1865"/>
      <c r="W124" s="69"/>
      <c r="X124" s="1865"/>
      <c r="Y124" s="69"/>
      <c r="Z124" s="1865"/>
      <c r="AA124" s="69"/>
      <c r="AB124" s="1865"/>
      <c r="AC124" s="69"/>
      <c r="AD124" s="1865"/>
      <c r="AE124" s="69"/>
      <c r="AF124" s="1865"/>
      <c r="AG124" s="69"/>
      <c r="AH124" s="1865"/>
      <c r="AI124" s="69"/>
      <c r="AJ124" s="1865"/>
      <c r="AK124" s="69"/>
      <c r="AL124" s="1865"/>
      <c r="AM124" s="69"/>
      <c r="AN124" s="1865"/>
      <c r="AO124" s="69"/>
      <c r="AP124" s="1865"/>
      <c r="AQ124" s="69"/>
      <c r="AR124" s="1865"/>
      <c r="AS124" s="69"/>
      <c r="AT124" s="1865"/>
      <c r="AU124" s="69"/>
      <c r="AV124" s="1865"/>
      <c r="AW124" s="69"/>
      <c r="AX124" s="1201"/>
      <c r="AY124" s="69"/>
      <c r="AZ124" s="1485" t="str">
        <f>BA94</f>
        <v/>
      </c>
      <c r="BA124" s="69"/>
      <c r="BB124" s="1485" t="str">
        <f>BC94</f>
        <v/>
      </c>
      <c r="BC124" s="69"/>
      <c r="BD124" s="1485" t="str">
        <f>BE94</f>
        <v/>
      </c>
      <c r="BE124" s="69"/>
      <c r="BF124" s="1485" t="str">
        <f>BG94</f>
        <v/>
      </c>
      <c r="BG124" s="69"/>
      <c r="BH124" s="1485" t="str">
        <f>BI94</f>
        <v/>
      </c>
      <c r="BI124" s="69"/>
      <c r="BJ124" s="1485" t="str">
        <f>BK94</f>
        <v/>
      </c>
      <c r="BK124" s="69"/>
      <c r="BL124" s="1865" t="s">
        <v>1365</v>
      </c>
      <c r="BM124" s="69"/>
      <c r="BN124" s="1487" t="str">
        <f t="shared" si="80"/>
        <v/>
      </c>
      <c r="BO124" s="69"/>
      <c r="BP124" s="1204">
        <f>SUM(BP97:BQ123)</f>
        <v>4962</v>
      </c>
      <c r="BQ124" s="69"/>
      <c r="BR124" s="1866"/>
      <c r="BS124" s="1867"/>
      <c r="BT124" s="541"/>
      <c r="BU124" s="541"/>
    </row>
    <row r="125" ht="15.75" customHeight="1">
      <c r="A125" s="1591"/>
      <c r="B125" s="1591"/>
      <c r="C125" s="1591"/>
      <c r="D125" s="1541"/>
      <c r="E125" s="906"/>
      <c r="F125" s="541"/>
      <c r="G125" s="541"/>
      <c r="H125" s="541"/>
      <c r="I125" s="541"/>
      <c r="J125" s="541"/>
      <c r="K125" s="541"/>
      <c r="L125" s="1748"/>
      <c r="M125" s="541"/>
      <c r="N125" s="541"/>
      <c r="O125" s="541"/>
      <c r="P125" s="541"/>
      <c r="Q125" s="541"/>
      <c r="R125" s="541"/>
      <c r="S125" s="541"/>
      <c r="T125" s="541"/>
      <c r="U125" s="541"/>
      <c r="V125" s="541"/>
      <c r="W125" s="541"/>
      <c r="X125" s="541"/>
      <c r="Y125" s="541"/>
      <c r="Z125" s="541"/>
      <c r="AA125" s="541"/>
      <c r="AB125" s="541"/>
      <c r="AC125" s="541"/>
      <c r="AD125" s="541"/>
      <c r="AE125" s="541"/>
      <c r="AF125" s="541"/>
      <c r="AG125" s="541"/>
      <c r="AH125" s="541"/>
      <c r="AI125" s="541"/>
      <c r="AJ125" s="541"/>
      <c r="AK125" s="541"/>
      <c r="AL125" s="541"/>
      <c r="AM125" s="541"/>
      <c r="AN125" s="1748"/>
      <c r="AO125" s="1748"/>
      <c r="AP125" s="1748"/>
      <c r="AQ125" s="1748"/>
      <c r="AR125" s="1748"/>
      <c r="AS125" s="541"/>
      <c r="AT125" s="541"/>
      <c r="AU125" s="541"/>
      <c r="AV125" s="541"/>
      <c r="AW125" s="541"/>
      <c r="AY125" s="541"/>
      <c r="AZ125" s="633"/>
      <c r="BA125" s="541"/>
      <c r="BB125" s="1190"/>
      <c r="BC125" s="541"/>
      <c r="BD125" s="1190"/>
      <c r="BE125" s="541"/>
      <c r="BF125" s="1190"/>
      <c r="BG125" s="541"/>
      <c r="BH125" s="1190"/>
      <c r="BI125" s="541"/>
      <c r="BJ125" s="1190"/>
      <c r="BK125" s="541"/>
      <c r="BL125" s="541"/>
      <c r="BM125" s="541"/>
      <c r="BP125" s="541"/>
      <c r="BQ125" s="633"/>
      <c r="BR125" s="541"/>
      <c r="BS125" s="541"/>
      <c r="BT125" s="541"/>
      <c r="BU125" s="541"/>
    </row>
    <row r="126" ht="15.75" customHeight="1">
      <c r="A126" s="1591"/>
      <c r="B126" s="1591"/>
      <c r="C126" s="1591"/>
      <c r="D126" s="1541"/>
      <c r="E126" s="906"/>
      <c r="F126" s="620"/>
      <c r="G126" s="541"/>
      <c r="H126" s="620"/>
      <c r="I126" s="541"/>
      <c r="J126" s="620"/>
      <c r="K126" s="541"/>
      <c r="L126" s="1730"/>
      <c r="M126" s="541"/>
      <c r="N126" s="620"/>
      <c r="O126" s="541"/>
      <c r="P126" s="620"/>
      <c r="Q126" s="541"/>
      <c r="R126" s="620"/>
      <c r="S126" s="541"/>
      <c r="T126" s="620"/>
      <c r="U126" s="541"/>
      <c r="V126" s="620"/>
      <c r="W126" s="541"/>
      <c r="X126" s="620"/>
      <c r="Y126" s="541"/>
      <c r="Z126" s="620"/>
      <c r="AA126" s="541"/>
      <c r="AB126" s="620"/>
      <c r="AC126" s="541"/>
      <c r="AD126" s="620"/>
      <c r="AE126" s="541"/>
      <c r="AF126" s="620"/>
      <c r="AG126" s="541"/>
      <c r="AH126" s="620"/>
      <c r="AI126" s="541"/>
      <c r="AJ126" s="620"/>
      <c r="AK126" s="541"/>
      <c r="AL126" s="620"/>
      <c r="AM126" s="541"/>
      <c r="AN126" s="1748"/>
      <c r="AO126" s="1748"/>
      <c r="AP126" s="1748"/>
      <c r="AQ126" s="1748"/>
      <c r="AR126" s="1748"/>
      <c r="AS126" s="541"/>
      <c r="AT126" s="541"/>
      <c r="AU126" s="541"/>
      <c r="AV126" s="541"/>
      <c r="AW126" s="541"/>
      <c r="AY126" s="541"/>
      <c r="AZ126" s="633"/>
      <c r="BA126" s="541"/>
      <c r="BB126" s="1190"/>
      <c r="BC126" s="541"/>
      <c r="BD126" s="1190"/>
      <c r="BE126" s="541"/>
      <c r="BF126" s="1190"/>
      <c r="BG126" s="541"/>
      <c r="BH126" s="1190"/>
      <c r="BI126" s="541"/>
      <c r="BJ126" s="1190"/>
      <c r="BK126" s="541"/>
      <c r="BL126" s="541"/>
      <c r="BM126" s="541"/>
      <c r="BP126" s="541"/>
      <c r="BQ126" s="633"/>
      <c r="BR126" s="541"/>
      <c r="BS126" s="541"/>
      <c r="BT126" s="541"/>
      <c r="BU126" s="541"/>
    </row>
    <row r="127" ht="19.5" customHeight="1">
      <c r="A127" s="1593" t="s">
        <v>1279</v>
      </c>
      <c r="B127" s="1548"/>
      <c r="C127" s="1868"/>
      <c r="D127" s="1222">
        <v>46238.0</v>
      </c>
      <c r="E127" s="1869" t="s">
        <v>3119</v>
      </c>
      <c r="F127" s="1596"/>
      <c r="G127" s="1870"/>
      <c r="H127" s="1596"/>
      <c r="I127" s="1596"/>
      <c r="J127" s="1596"/>
      <c r="K127" s="1596"/>
      <c r="L127" s="1553" t="s">
        <v>3120</v>
      </c>
      <c r="M127" s="1596"/>
      <c r="N127" s="1596"/>
      <c r="O127" s="1596"/>
      <c r="P127" s="1597"/>
      <c r="Q127" s="1596"/>
      <c r="R127" s="1596"/>
      <c r="S127" s="1596"/>
      <c r="T127" s="1596"/>
      <c r="U127" s="1596"/>
      <c r="V127" s="1596"/>
      <c r="W127" s="1596"/>
      <c r="X127" s="1596"/>
      <c r="Y127" s="1596"/>
      <c r="Z127" s="1596"/>
      <c r="AA127" s="1596"/>
      <c r="AB127" s="1596"/>
      <c r="AC127" s="1596"/>
      <c r="AD127" s="1596"/>
      <c r="AE127" s="1596"/>
      <c r="AF127" s="1596"/>
      <c r="AG127" s="1596"/>
      <c r="AH127" s="1596"/>
      <c r="AI127" s="1596"/>
      <c r="AJ127" s="1596"/>
      <c r="AK127" s="1596"/>
      <c r="AL127" s="1596"/>
      <c r="AM127" s="1596"/>
      <c r="AN127" s="1552"/>
      <c r="AO127" s="1552"/>
      <c r="AP127" s="1552"/>
      <c r="AQ127" s="1552"/>
      <c r="AR127" s="1552"/>
      <c r="AS127" s="1596"/>
      <c r="AT127" s="1596"/>
      <c r="AU127" s="1596"/>
      <c r="AV127" s="1597" t="s">
        <v>3120</v>
      </c>
      <c r="AW127" s="1596"/>
      <c r="AX127" s="1596"/>
      <c r="AY127" s="1596"/>
      <c r="AZ127" s="1599"/>
      <c r="BA127" s="1596"/>
      <c r="BB127" s="1553" t="s">
        <v>3120</v>
      </c>
      <c r="BC127" s="1596"/>
      <c r="BD127" s="1552"/>
      <c r="BE127" s="1596"/>
      <c r="BF127" s="1552"/>
      <c r="BG127" s="1596"/>
      <c r="BH127" s="1552"/>
      <c r="BI127" s="1596"/>
      <c r="BJ127" s="1552"/>
      <c r="BK127" s="1596"/>
      <c r="BL127" s="1596"/>
      <c r="BM127" s="1596"/>
      <c r="BN127" s="1596"/>
      <c r="BO127" s="1596"/>
      <c r="BP127" s="1871"/>
      <c r="BQ127" s="1872"/>
      <c r="BR127" s="1601"/>
      <c r="BS127" s="1751"/>
      <c r="BT127" s="1596"/>
      <c r="BU127" s="1596"/>
    </row>
    <row r="128" ht="19.5" customHeight="1">
      <c r="A128" s="1693" t="s">
        <v>3069</v>
      </c>
      <c r="B128" s="1603" t="s">
        <v>3097</v>
      </c>
      <c r="C128" s="1873" t="s">
        <v>19</v>
      </c>
      <c r="D128" s="1873" t="s">
        <v>3070</v>
      </c>
      <c r="E128" s="1874" t="s">
        <v>471</v>
      </c>
      <c r="F128" s="1075" t="s">
        <v>1357</v>
      </c>
      <c r="G128" s="1409" t="s">
        <v>3071</v>
      </c>
      <c r="H128" s="1075" t="s">
        <v>1287</v>
      </c>
      <c r="I128" s="1409" t="s">
        <v>1288</v>
      </c>
      <c r="J128" s="1075" t="s">
        <v>1358</v>
      </c>
      <c r="K128" s="1409" t="s">
        <v>3072</v>
      </c>
      <c r="L128" s="1075" t="s">
        <v>1359</v>
      </c>
      <c r="M128" s="1409" t="s">
        <v>3073</v>
      </c>
      <c r="N128" s="1075" t="s">
        <v>1360</v>
      </c>
      <c r="O128" s="1409" t="s">
        <v>3074</v>
      </c>
      <c r="P128" s="1075" t="s">
        <v>1361</v>
      </c>
      <c r="Q128" s="1409" t="s">
        <v>3075</v>
      </c>
      <c r="R128" s="1485" t="s">
        <v>1362</v>
      </c>
      <c r="S128" s="1560" t="s">
        <v>1298</v>
      </c>
      <c r="T128" s="1427" t="s">
        <v>1299</v>
      </c>
      <c r="U128" s="1560" t="s">
        <v>1300</v>
      </c>
      <c r="V128" s="1487" t="s">
        <v>1301</v>
      </c>
      <c r="W128" s="1560" t="s">
        <v>1302</v>
      </c>
      <c r="X128" s="1427" t="s">
        <v>1363</v>
      </c>
      <c r="Y128" s="1560" t="s">
        <v>1304</v>
      </c>
      <c r="Z128" s="1487" t="s">
        <v>1305</v>
      </c>
      <c r="AA128" s="1560" t="s">
        <v>1306</v>
      </c>
      <c r="AB128" s="1487" t="s">
        <v>1307</v>
      </c>
      <c r="AC128" s="1560" t="s">
        <v>1308</v>
      </c>
      <c r="AD128" s="1487" t="s">
        <v>1309</v>
      </c>
      <c r="AE128" s="1560" t="s">
        <v>1310</v>
      </c>
      <c r="AF128" s="1427" t="s">
        <v>1311</v>
      </c>
      <c r="AG128" s="1560" t="s">
        <v>1312</v>
      </c>
      <c r="AH128" s="1487" t="s">
        <v>1313</v>
      </c>
      <c r="AI128" s="1560" t="s">
        <v>1314</v>
      </c>
      <c r="AJ128" s="1487" t="s">
        <v>1315</v>
      </c>
      <c r="AK128" s="1560" t="s">
        <v>1316</v>
      </c>
      <c r="AL128" s="1487" t="s">
        <v>1317</v>
      </c>
      <c r="AM128" s="1560" t="s">
        <v>1318</v>
      </c>
      <c r="AN128" s="1487" t="s">
        <v>1319</v>
      </c>
      <c r="AO128" s="1560" t="s">
        <v>1320</v>
      </c>
      <c r="AP128" s="1487" t="s">
        <v>1321</v>
      </c>
      <c r="AQ128" s="1486" t="s">
        <v>1322</v>
      </c>
      <c r="AR128" s="1427" t="s">
        <v>1323</v>
      </c>
      <c r="AS128" s="1486" t="s">
        <v>1324</v>
      </c>
      <c r="AT128" s="1485" t="s">
        <v>1325</v>
      </c>
      <c r="AU128" s="1486" t="s">
        <v>1326</v>
      </c>
      <c r="AV128" s="1485" t="s">
        <v>1327</v>
      </c>
      <c r="AW128" s="1486" t="s">
        <v>1328</v>
      </c>
      <c r="AX128" s="1485" t="s">
        <v>3076</v>
      </c>
      <c r="AY128" s="1486" t="s">
        <v>3077</v>
      </c>
      <c r="AZ128" s="1485" t="s">
        <v>3078</v>
      </c>
      <c r="BA128" s="1486" t="s">
        <v>3079</v>
      </c>
      <c r="BB128" s="1485" t="s">
        <v>3080</v>
      </c>
      <c r="BC128" s="1486" t="s">
        <v>3081</v>
      </c>
      <c r="BD128" s="1485" t="s">
        <v>3082</v>
      </c>
      <c r="BE128" s="1486" t="s">
        <v>3083</v>
      </c>
      <c r="BF128" s="1485" t="s">
        <v>3084</v>
      </c>
      <c r="BG128" s="1486" t="s">
        <v>3085</v>
      </c>
      <c r="BH128" s="1485" t="s">
        <v>3086</v>
      </c>
      <c r="BI128" s="1486" t="s">
        <v>3087</v>
      </c>
      <c r="BJ128" s="1485" t="s">
        <v>3088</v>
      </c>
      <c r="BK128" s="1486" t="s">
        <v>3089</v>
      </c>
      <c r="BL128" s="1120" t="s">
        <v>1425</v>
      </c>
      <c r="BM128" s="1131" t="s">
        <v>3045</v>
      </c>
      <c r="BN128" s="1562" t="s">
        <v>3090</v>
      </c>
      <c r="BO128" s="1563" t="s">
        <v>3091</v>
      </c>
      <c r="BP128" s="1606" t="s">
        <v>1331</v>
      </c>
      <c r="BQ128" s="1168" t="s">
        <v>3092</v>
      </c>
      <c r="BR128" s="1075" t="s">
        <v>3093</v>
      </c>
      <c r="BS128" s="1075" t="s">
        <v>3094</v>
      </c>
      <c r="BT128" s="1686"/>
      <c r="BU128" s="629"/>
    </row>
    <row r="129" ht="19.5" customHeight="1">
      <c r="A129" s="1565" t="s">
        <v>145</v>
      </c>
      <c r="B129" s="1611">
        <v>1287.0</v>
      </c>
      <c r="C129" s="1567">
        <v>85.0</v>
      </c>
      <c r="D129" s="1612" t="s">
        <v>3095</v>
      </c>
      <c r="E129" s="1613" t="str">
        <f>'Матрица 4 недели'!D69</f>
        <v>Блины со сметаной</v>
      </c>
      <c r="F129" s="1120">
        <v>7.0</v>
      </c>
      <c r="G129" s="1121">
        <v>7.0</v>
      </c>
      <c r="H129" s="1120">
        <v>4.0</v>
      </c>
      <c r="I129" s="1121">
        <v>4.0</v>
      </c>
      <c r="J129" s="1120">
        <v>10.0</v>
      </c>
      <c r="K129" s="1121">
        <v>10.0</v>
      </c>
      <c r="L129" s="1126">
        <v>5.0</v>
      </c>
      <c r="M129" s="1121">
        <v>5.0</v>
      </c>
      <c r="N129" s="1126">
        <v>7.0</v>
      </c>
      <c r="O129" s="1121">
        <v>7.0</v>
      </c>
      <c r="P129" s="1120">
        <v>3.0</v>
      </c>
      <c r="Q129" s="1121">
        <v>3.0</v>
      </c>
      <c r="R129" s="1120">
        <v>4.0</v>
      </c>
      <c r="S129" s="1121">
        <v>4.0</v>
      </c>
      <c r="T129" s="1120">
        <v>2.0</v>
      </c>
      <c r="U129" s="1121">
        <v>2.0</v>
      </c>
      <c r="V129" s="1120">
        <v>7.0</v>
      </c>
      <c r="W129" s="1121">
        <v>7.0</v>
      </c>
      <c r="X129" s="1120">
        <v>5.0</v>
      </c>
      <c r="Y129" s="1121">
        <v>5.0</v>
      </c>
      <c r="Z129" s="1126"/>
      <c r="AA129" s="1121"/>
      <c r="AB129" s="1120">
        <v>2.0</v>
      </c>
      <c r="AC129" s="1121">
        <v>2.0</v>
      </c>
      <c r="AD129" s="1120">
        <v>3.0</v>
      </c>
      <c r="AE129" s="1121">
        <v>3.0</v>
      </c>
      <c r="AF129" s="1120">
        <v>9.0</v>
      </c>
      <c r="AG129" s="1121">
        <v>9.0</v>
      </c>
      <c r="AH129" s="1120">
        <v>4.0</v>
      </c>
      <c r="AI129" s="1121">
        <v>4.0</v>
      </c>
      <c r="AJ129" s="1120">
        <v>4.0</v>
      </c>
      <c r="AK129" s="1121">
        <v>4.0</v>
      </c>
      <c r="AL129" s="1126">
        <v>3.0</v>
      </c>
      <c r="AM129" s="1121">
        <v>3.0</v>
      </c>
      <c r="AN129" s="1120">
        <v>2.0</v>
      </c>
      <c r="AO129" s="1121">
        <v>2.0</v>
      </c>
      <c r="AP129" s="1126">
        <v>5.0</v>
      </c>
      <c r="AQ129" s="1121">
        <v>5.0</v>
      </c>
      <c r="AR129" s="1137">
        <v>4.0</v>
      </c>
      <c r="AS129" s="1138">
        <v>4.0</v>
      </c>
      <c r="AT129" s="1120">
        <v>6.0</v>
      </c>
      <c r="AU129" s="1138">
        <v>6.0</v>
      </c>
      <c r="AV129" s="1126">
        <v>4.0</v>
      </c>
      <c r="AW129" s="1138">
        <v>4.0</v>
      </c>
      <c r="AX129" s="1126">
        <v>3.0</v>
      </c>
      <c r="AY129" s="1138">
        <v>3.0</v>
      </c>
      <c r="AZ129" s="1126">
        <v>5.0</v>
      </c>
      <c r="BA129" s="1138">
        <v>5.0</v>
      </c>
      <c r="BB129" s="1126">
        <v>10.0</v>
      </c>
      <c r="BC129" s="1138">
        <v>11.0</v>
      </c>
      <c r="BD129" s="1126">
        <v>2.0</v>
      </c>
      <c r="BE129" s="1138">
        <v>2.0</v>
      </c>
      <c r="BF129" s="1126">
        <v>6.0</v>
      </c>
      <c r="BG129" s="1138">
        <v>6.0</v>
      </c>
      <c r="BH129" s="1126">
        <v>4.0</v>
      </c>
      <c r="BI129" s="1138">
        <v>4.0</v>
      </c>
      <c r="BJ129" s="1126">
        <v>6.0</v>
      </c>
      <c r="BK129" s="1138"/>
      <c r="BL129" s="1152"/>
      <c r="BM129" s="1138"/>
      <c r="BN129" s="1087"/>
      <c r="BO129" s="1138"/>
      <c r="BP129" s="783">
        <f t="shared" ref="BP129:BP155" si="82">(F129+H129+J129+L129+N129+P129+R129+T129+V129+X129+Z129+AB129+AD129+AF129+AH129+AJ129+AL129+AR129+BL129+AN129+AP129+AT129+AV129+AX129+AZ129+BB129+BD129+BF129+BH129+BJ129)+1</f>
        <v>137</v>
      </c>
      <c r="BQ129" s="1571">
        <f t="shared" ref="BQ129:BQ155" si="83">G129+I129+K129+M129+O129+Q129+S129+U129+W129+Y129+AA129+BM129+AC129+AE129+AG129+AI129+AK129+AM129+AS129+AO129+AQ129+AU129+AW129+AY129+BA129+BC129+BE129+BG129+BI129+BK129</f>
        <v>131</v>
      </c>
      <c r="BR129" s="1572">
        <f t="shared" ref="BR129:BR155" si="84">BQ129*C129</f>
        <v>11135</v>
      </c>
      <c r="BS129" s="784">
        <f t="shared" ref="BS129:BS155" si="85">BP129*C129</f>
        <v>11645</v>
      </c>
      <c r="BT129" s="1544"/>
      <c r="BU129" s="1545"/>
    </row>
    <row r="130" ht="19.5" customHeight="1">
      <c r="A130" s="1565" t="s">
        <v>145</v>
      </c>
      <c r="B130" s="1611">
        <v>3970.0</v>
      </c>
      <c r="C130" s="1567">
        <v>93.0</v>
      </c>
      <c r="D130" s="1612" t="s">
        <v>3095</v>
      </c>
      <c r="E130" s="1613" t="str">
        <f>'Матрица 4 недели'!D70</f>
        <v>Каша овсяная (на молоке)</v>
      </c>
      <c r="F130" s="1120">
        <v>2.0</v>
      </c>
      <c r="G130" s="1138">
        <v>2.0</v>
      </c>
      <c r="H130" s="1120">
        <v>2.0</v>
      </c>
      <c r="I130" s="1138">
        <v>2.0</v>
      </c>
      <c r="J130" s="1120">
        <v>4.0</v>
      </c>
      <c r="K130" s="1138">
        <v>4.0</v>
      </c>
      <c r="L130" s="1126">
        <v>1.0</v>
      </c>
      <c r="M130" s="1138">
        <v>1.0</v>
      </c>
      <c r="N130" s="1126">
        <v>8.0</v>
      </c>
      <c r="O130" s="1138">
        <v>8.0</v>
      </c>
      <c r="P130" s="1120">
        <v>8.0</v>
      </c>
      <c r="Q130" s="1138">
        <v>8.0</v>
      </c>
      <c r="R130" s="1120">
        <v>3.0</v>
      </c>
      <c r="S130" s="1138">
        <v>3.0</v>
      </c>
      <c r="T130" s="1120">
        <v>2.0</v>
      </c>
      <c r="U130" s="1138">
        <v>2.0</v>
      </c>
      <c r="V130" s="1120">
        <v>3.0</v>
      </c>
      <c r="W130" s="1138">
        <v>3.0</v>
      </c>
      <c r="X130" s="1120">
        <v>2.0</v>
      </c>
      <c r="Y130" s="1138">
        <v>2.0</v>
      </c>
      <c r="Z130" s="1126"/>
      <c r="AA130" s="1138"/>
      <c r="AB130" s="1120">
        <v>2.0</v>
      </c>
      <c r="AC130" s="1138">
        <v>2.0</v>
      </c>
      <c r="AD130" s="1120">
        <v>3.0</v>
      </c>
      <c r="AE130" s="1138">
        <v>3.0</v>
      </c>
      <c r="AF130" s="1120">
        <v>7.0</v>
      </c>
      <c r="AG130" s="1138">
        <v>7.0</v>
      </c>
      <c r="AH130" s="1120">
        <v>6.0</v>
      </c>
      <c r="AI130" s="1138">
        <v>6.0</v>
      </c>
      <c r="AJ130" s="1120">
        <v>4.0</v>
      </c>
      <c r="AK130" s="1138">
        <v>4.0</v>
      </c>
      <c r="AL130" s="1126"/>
      <c r="AM130" s="1138"/>
      <c r="AN130" s="1120">
        <v>8.0</v>
      </c>
      <c r="AO130" s="1138">
        <v>8.0</v>
      </c>
      <c r="AP130" s="1126">
        <v>2.0</v>
      </c>
      <c r="AQ130" s="1138">
        <v>2.0</v>
      </c>
      <c r="AR130" s="1120">
        <v>2.0</v>
      </c>
      <c r="AS130" s="1138">
        <v>2.0</v>
      </c>
      <c r="AT130" s="1120">
        <v>2.0</v>
      </c>
      <c r="AU130" s="1138">
        <v>2.0</v>
      </c>
      <c r="AV130" s="1126">
        <v>2.0</v>
      </c>
      <c r="AW130" s="1138">
        <v>2.0</v>
      </c>
      <c r="AX130" s="1126">
        <v>1.0</v>
      </c>
      <c r="AY130" s="1138">
        <v>1.0</v>
      </c>
      <c r="AZ130" s="1126">
        <v>1.0</v>
      </c>
      <c r="BA130" s="1138">
        <v>1.0</v>
      </c>
      <c r="BB130" s="1126">
        <v>10.0</v>
      </c>
      <c r="BC130" s="1138">
        <v>10.0</v>
      </c>
      <c r="BD130" s="1126">
        <v>2.0</v>
      </c>
      <c r="BE130" s="1138">
        <v>2.0</v>
      </c>
      <c r="BF130" s="1126">
        <v>1.0</v>
      </c>
      <c r="BG130" s="1138">
        <v>1.0</v>
      </c>
      <c r="BH130" s="1126">
        <v>1.0</v>
      </c>
      <c r="BI130" s="1138">
        <v>1.0</v>
      </c>
      <c r="BJ130" s="1126">
        <v>2.0</v>
      </c>
      <c r="BK130" s="1138">
        <v>2.0</v>
      </c>
      <c r="BL130" s="1152"/>
      <c r="BM130" s="1138"/>
      <c r="BN130" s="1087"/>
      <c r="BO130" s="1138"/>
      <c r="BP130" s="783">
        <f t="shared" si="82"/>
        <v>92</v>
      </c>
      <c r="BQ130" s="1571">
        <f t="shared" si="83"/>
        <v>91</v>
      </c>
      <c r="BR130" s="1572">
        <f t="shared" si="84"/>
        <v>8463</v>
      </c>
      <c r="BS130" s="784">
        <f t="shared" si="85"/>
        <v>8556</v>
      </c>
      <c r="BT130" s="1544"/>
      <c r="BU130" s="1545"/>
    </row>
    <row r="131" ht="19.5" customHeight="1">
      <c r="A131" s="1565" t="s">
        <v>145</v>
      </c>
      <c r="B131" s="1611">
        <v>4226.0</v>
      </c>
      <c r="C131" s="1567">
        <v>139.0</v>
      </c>
      <c r="D131" s="1612" t="s">
        <v>3095</v>
      </c>
      <c r="E131" s="1613" t="str">
        <f>'Матрица 4 недели'!D71</f>
        <v>Курник  (курица, картофель) </v>
      </c>
      <c r="F131" s="1137">
        <v>10.0</v>
      </c>
      <c r="G131" s="1138">
        <v>10.0</v>
      </c>
      <c r="H131" s="1126">
        <v>3.0</v>
      </c>
      <c r="I131" s="1138">
        <v>3.0</v>
      </c>
      <c r="J131" s="1126">
        <v>4.0</v>
      </c>
      <c r="K131" s="1138">
        <v>4.0</v>
      </c>
      <c r="L131" s="1126">
        <v>4.0</v>
      </c>
      <c r="M131" s="1138">
        <v>4.0</v>
      </c>
      <c r="N131" s="1126">
        <v>11.0</v>
      </c>
      <c r="O131" s="1138">
        <v>11.0</v>
      </c>
      <c r="P131" s="1126">
        <v>2.0</v>
      </c>
      <c r="Q131" s="1121">
        <v>2.0</v>
      </c>
      <c r="R131" s="1126">
        <v>6.0</v>
      </c>
      <c r="S131" s="1121">
        <v>6.0</v>
      </c>
      <c r="T131" s="1137">
        <v>5.0</v>
      </c>
      <c r="U131" s="1121">
        <v>5.0</v>
      </c>
      <c r="V131" s="1137">
        <v>9.0</v>
      </c>
      <c r="W131" s="1121">
        <v>9.0</v>
      </c>
      <c r="X131" s="1137">
        <v>5.0</v>
      </c>
      <c r="Y131" s="1121">
        <v>5.0</v>
      </c>
      <c r="Z131" s="1126"/>
      <c r="AA131" s="1121"/>
      <c r="AB131" s="1120">
        <v>2.0</v>
      </c>
      <c r="AC131" s="1121">
        <v>2.0</v>
      </c>
      <c r="AD131" s="1120">
        <v>2.0</v>
      </c>
      <c r="AE131" s="1121">
        <v>2.0</v>
      </c>
      <c r="AF131" s="1137">
        <v>8.0</v>
      </c>
      <c r="AG131" s="1121">
        <v>8.0</v>
      </c>
      <c r="AH131" s="1120">
        <v>6.0</v>
      </c>
      <c r="AI131" s="1121">
        <v>6.0</v>
      </c>
      <c r="AJ131" s="1120">
        <v>9.0</v>
      </c>
      <c r="AK131" s="1121">
        <v>9.0</v>
      </c>
      <c r="AL131" s="1126">
        <v>3.0</v>
      </c>
      <c r="AM131" s="1121">
        <v>3.0</v>
      </c>
      <c r="AN131" s="1137">
        <v>4.0</v>
      </c>
      <c r="AO131" s="1138">
        <v>4.0</v>
      </c>
      <c r="AP131" s="1126">
        <v>5.0</v>
      </c>
      <c r="AQ131" s="1138">
        <v>5.0</v>
      </c>
      <c r="AR131" s="1137">
        <v>12.0</v>
      </c>
      <c r="AS131" s="1138">
        <v>12.0</v>
      </c>
      <c r="AT131" s="1126">
        <v>3.0</v>
      </c>
      <c r="AU131" s="1138">
        <v>3.0</v>
      </c>
      <c r="AV131" s="1126">
        <v>2.0</v>
      </c>
      <c r="AW131" s="1138">
        <v>2.0</v>
      </c>
      <c r="AX131" s="1126">
        <v>6.0</v>
      </c>
      <c r="AY131" s="1138">
        <v>6.0</v>
      </c>
      <c r="AZ131" s="1126">
        <v>3.0</v>
      </c>
      <c r="BA131" s="1138">
        <v>3.0</v>
      </c>
      <c r="BB131" s="1126">
        <v>10.0</v>
      </c>
      <c r="BC131" s="1138">
        <v>10.0</v>
      </c>
      <c r="BD131" s="1126">
        <v>2.0</v>
      </c>
      <c r="BE131" s="1138">
        <v>2.0</v>
      </c>
      <c r="BF131" s="1126">
        <v>4.0</v>
      </c>
      <c r="BG131" s="1138">
        <v>4.0</v>
      </c>
      <c r="BH131" s="1126">
        <v>7.0</v>
      </c>
      <c r="BI131" s="1138">
        <v>7.0</v>
      </c>
      <c r="BJ131" s="1126">
        <v>11.0</v>
      </c>
      <c r="BK131" s="1138">
        <v>11.0</v>
      </c>
      <c r="BL131" s="1152"/>
      <c r="BM131" s="1138"/>
      <c r="BN131" s="1087"/>
      <c r="BO131" s="1138"/>
      <c r="BP131" s="783">
        <f t="shared" si="82"/>
        <v>159</v>
      </c>
      <c r="BQ131" s="1571">
        <f t="shared" si="83"/>
        <v>158</v>
      </c>
      <c r="BR131" s="1572">
        <f t="shared" si="84"/>
        <v>21962</v>
      </c>
      <c r="BS131" s="784">
        <f t="shared" si="85"/>
        <v>22101</v>
      </c>
      <c r="BT131" s="1544"/>
      <c r="BU131" s="1545"/>
    </row>
    <row r="132" ht="19.5" customHeight="1">
      <c r="A132" s="1565" t="s">
        <v>145</v>
      </c>
      <c r="B132" s="1611">
        <v>4319.0</v>
      </c>
      <c r="C132" s="1567">
        <v>98.0</v>
      </c>
      <c r="D132" s="1612" t="s">
        <v>70</v>
      </c>
      <c r="E132" s="1613" t="str">
        <f>'Матрица 4 недели'!G69</f>
        <v>Салат "Морковный с изюмом" </v>
      </c>
      <c r="F132" s="1120">
        <v>12.0</v>
      </c>
      <c r="G132" s="1121">
        <v>12.0</v>
      </c>
      <c r="H132" s="1120">
        <v>2.0</v>
      </c>
      <c r="I132" s="1121">
        <v>2.0</v>
      </c>
      <c r="J132" s="1120">
        <v>6.0</v>
      </c>
      <c r="K132" s="1121">
        <v>6.0</v>
      </c>
      <c r="L132" s="1120">
        <v>3.0</v>
      </c>
      <c r="M132" s="1121">
        <v>3.0</v>
      </c>
      <c r="N132" s="1120">
        <v>8.0</v>
      </c>
      <c r="O132" s="1121">
        <v>10.0</v>
      </c>
      <c r="P132" s="1120">
        <v>6.0</v>
      </c>
      <c r="Q132" s="1121">
        <v>8.0</v>
      </c>
      <c r="R132" s="1120">
        <v>2.0</v>
      </c>
      <c r="S132" s="1121">
        <v>3.0</v>
      </c>
      <c r="T132" s="1120">
        <v>6.0</v>
      </c>
      <c r="U132" s="1121">
        <v>6.0</v>
      </c>
      <c r="V132" s="1120">
        <v>6.0</v>
      </c>
      <c r="W132" s="1121">
        <v>6.0</v>
      </c>
      <c r="X132" s="1120">
        <v>3.0</v>
      </c>
      <c r="Y132" s="1121">
        <v>3.0</v>
      </c>
      <c r="Z132" s="1120"/>
      <c r="AA132" s="1121"/>
      <c r="AB132" s="1120">
        <v>2.0</v>
      </c>
      <c r="AC132" s="1121">
        <v>2.0</v>
      </c>
      <c r="AD132" s="1120">
        <v>4.0</v>
      </c>
      <c r="AE132" s="1121">
        <v>6.0</v>
      </c>
      <c r="AF132" s="1126">
        <v>6.0</v>
      </c>
      <c r="AG132" s="1121">
        <v>6.0</v>
      </c>
      <c r="AH132" s="1120">
        <v>7.0</v>
      </c>
      <c r="AI132" s="1121">
        <v>7.0</v>
      </c>
      <c r="AJ132" s="1120">
        <v>6.0</v>
      </c>
      <c r="AK132" s="1121">
        <v>6.0</v>
      </c>
      <c r="AL132" s="1126">
        <v>4.0</v>
      </c>
      <c r="AM132" s="1121">
        <v>4.0</v>
      </c>
      <c r="AN132" s="1120">
        <v>4.0</v>
      </c>
      <c r="AO132" s="1138">
        <v>6.0</v>
      </c>
      <c r="AP132" s="1126">
        <v>3.0</v>
      </c>
      <c r="AQ132" s="1121">
        <v>3.0</v>
      </c>
      <c r="AR132" s="1126">
        <v>14.0</v>
      </c>
      <c r="AS132" s="1121">
        <v>14.0</v>
      </c>
      <c r="AT132" s="1126">
        <v>6.0</v>
      </c>
      <c r="AU132" s="1121">
        <v>6.0</v>
      </c>
      <c r="AV132" s="1126">
        <v>2.0</v>
      </c>
      <c r="AW132" s="1121">
        <v>2.0</v>
      </c>
      <c r="AX132" s="1126">
        <v>2.0</v>
      </c>
      <c r="AY132" s="1121">
        <v>2.0</v>
      </c>
      <c r="AZ132" s="1126">
        <v>4.0</v>
      </c>
      <c r="BA132" s="1121">
        <v>5.0</v>
      </c>
      <c r="BB132" s="1126">
        <v>8.0</v>
      </c>
      <c r="BC132" s="1121">
        <v>13.0</v>
      </c>
      <c r="BD132" s="1126">
        <v>2.0</v>
      </c>
      <c r="BE132" s="1121">
        <v>2.0</v>
      </c>
      <c r="BF132" s="1126">
        <v>3.0</v>
      </c>
      <c r="BG132" s="1121">
        <v>3.0</v>
      </c>
      <c r="BH132" s="1126">
        <v>6.0</v>
      </c>
      <c r="BI132" s="1121">
        <v>6.0</v>
      </c>
      <c r="BJ132" s="1126">
        <v>5.0</v>
      </c>
      <c r="BK132" s="1121">
        <v>5.0</v>
      </c>
      <c r="BL132" s="1152">
        <v>44.0</v>
      </c>
      <c r="BM132" s="1138">
        <v>44.0</v>
      </c>
      <c r="BN132" s="1087"/>
      <c r="BO132" s="1138"/>
      <c r="BP132" s="783">
        <f t="shared" si="82"/>
        <v>187</v>
      </c>
      <c r="BQ132" s="1571">
        <f t="shared" si="83"/>
        <v>201</v>
      </c>
      <c r="BR132" s="1572">
        <f t="shared" si="84"/>
        <v>19698</v>
      </c>
      <c r="BS132" s="784">
        <f t="shared" si="85"/>
        <v>18326</v>
      </c>
      <c r="BT132" s="1544"/>
      <c r="BU132" s="1545"/>
    </row>
    <row r="133" ht="19.5" customHeight="1">
      <c r="A133" s="1565" t="s">
        <v>145</v>
      </c>
      <c r="B133" s="1611"/>
      <c r="C133" s="1567"/>
      <c r="D133" s="1612" t="s">
        <v>70</v>
      </c>
      <c r="E133" s="1613" t="str">
        <f>'Матрица 4 недели'!G70</f>
        <v>Салат ''Таврия'' (колбаса вареная)</v>
      </c>
      <c r="F133" s="1137">
        <v>4.0</v>
      </c>
      <c r="G133" s="1121">
        <v>4.0</v>
      </c>
      <c r="H133" s="1126">
        <v>1.0</v>
      </c>
      <c r="I133" s="1121">
        <v>1.0</v>
      </c>
      <c r="J133" s="1126">
        <v>4.0</v>
      </c>
      <c r="K133" s="1121">
        <v>4.0</v>
      </c>
      <c r="L133" s="1126">
        <v>3.0</v>
      </c>
      <c r="M133" s="1121">
        <v>3.0</v>
      </c>
      <c r="N133" s="1126">
        <v>6.0</v>
      </c>
      <c r="O133" s="1121">
        <v>6.0</v>
      </c>
      <c r="P133" s="1126">
        <v>6.0</v>
      </c>
      <c r="Q133" s="1121">
        <v>6.0</v>
      </c>
      <c r="R133" s="1126">
        <v>4.0</v>
      </c>
      <c r="S133" s="1121">
        <v>4.0</v>
      </c>
      <c r="T133" s="1126">
        <v>3.0</v>
      </c>
      <c r="U133" s="1138">
        <v>3.0</v>
      </c>
      <c r="V133" s="1137">
        <v>6.0</v>
      </c>
      <c r="W133" s="1138">
        <v>6.0</v>
      </c>
      <c r="X133" s="1137">
        <v>3.0</v>
      </c>
      <c r="Y133" s="1138">
        <v>3.0</v>
      </c>
      <c r="Z133" s="1126"/>
      <c r="AA133" s="1121"/>
      <c r="AB133" s="1137">
        <v>4.0</v>
      </c>
      <c r="AC133" s="1138">
        <v>4.0</v>
      </c>
      <c r="AD133" s="1137">
        <v>0.0</v>
      </c>
      <c r="AE133" s="1138">
        <v>0.0</v>
      </c>
      <c r="AF133" s="1126">
        <v>7.0</v>
      </c>
      <c r="AG133" s="1138">
        <v>7.0</v>
      </c>
      <c r="AH133" s="1120">
        <v>3.0</v>
      </c>
      <c r="AI133" s="1138">
        <v>3.0</v>
      </c>
      <c r="AJ133" s="1137">
        <v>3.0</v>
      </c>
      <c r="AK133" s="1138">
        <v>3.0</v>
      </c>
      <c r="AL133" s="1126">
        <v>3.0</v>
      </c>
      <c r="AM133" s="1121">
        <v>3.0</v>
      </c>
      <c r="AN133" s="1126">
        <v>3.0</v>
      </c>
      <c r="AO133" s="1121">
        <v>3.0</v>
      </c>
      <c r="AP133" s="1126">
        <v>7.0</v>
      </c>
      <c r="AQ133" s="1121">
        <v>7.0</v>
      </c>
      <c r="AR133" s="1126">
        <v>10.0</v>
      </c>
      <c r="AS133" s="1121">
        <v>10.0</v>
      </c>
      <c r="AT133" s="1126">
        <v>5.0</v>
      </c>
      <c r="AU133" s="1121">
        <v>5.0</v>
      </c>
      <c r="AV133" s="1126">
        <v>2.0</v>
      </c>
      <c r="AW133" s="1121">
        <v>2.0</v>
      </c>
      <c r="AX133" s="1126">
        <v>3.0</v>
      </c>
      <c r="AY133" s="1121">
        <v>3.0</v>
      </c>
      <c r="AZ133" s="1126">
        <v>0.0</v>
      </c>
      <c r="BA133" s="1121">
        <v>0.0</v>
      </c>
      <c r="BB133" s="1126">
        <v>8.0</v>
      </c>
      <c r="BC133" s="1121">
        <v>8.0</v>
      </c>
      <c r="BD133" s="1126">
        <v>2.0</v>
      </c>
      <c r="BE133" s="1121">
        <v>2.0</v>
      </c>
      <c r="BF133" s="1126">
        <v>2.0</v>
      </c>
      <c r="BG133" s="1121">
        <v>2.0</v>
      </c>
      <c r="BH133" s="1126">
        <v>7.0</v>
      </c>
      <c r="BI133" s="1121">
        <v>7.0</v>
      </c>
      <c r="BJ133" s="1126">
        <v>3.0</v>
      </c>
      <c r="BK133" s="1121">
        <v>3.0</v>
      </c>
      <c r="BL133" s="1152">
        <v>43.0</v>
      </c>
      <c r="BM133" s="1138">
        <v>43.0</v>
      </c>
      <c r="BN133" s="1087"/>
      <c r="BO133" s="1138"/>
      <c r="BP133" s="783">
        <f t="shared" si="82"/>
        <v>156</v>
      </c>
      <c r="BQ133" s="1571">
        <f t="shared" si="83"/>
        <v>155</v>
      </c>
      <c r="BR133" s="1572">
        <f t="shared" si="84"/>
        <v>0</v>
      </c>
      <c r="BS133" s="784">
        <f t="shared" si="85"/>
        <v>0</v>
      </c>
      <c r="BT133" s="1544"/>
      <c r="BU133" s="1545"/>
    </row>
    <row r="134" ht="19.5" customHeight="1">
      <c r="A134" s="1565" t="s">
        <v>145</v>
      </c>
      <c r="B134" s="1611">
        <v>2303.0</v>
      </c>
      <c r="C134" s="1567">
        <v>98.0</v>
      </c>
      <c r="D134" s="1612" t="s">
        <v>70</v>
      </c>
      <c r="E134" s="1613" t="str">
        <f>'Матрица 4 недели'!G71</f>
        <v>Салат ''Жар-птица'' (филе кур)</v>
      </c>
      <c r="F134" s="1120">
        <v>7.0</v>
      </c>
      <c r="G134" s="1121">
        <v>7.0</v>
      </c>
      <c r="H134" s="1126">
        <v>2.0</v>
      </c>
      <c r="I134" s="1121">
        <v>2.0</v>
      </c>
      <c r="J134" s="1126">
        <v>6.0</v>
      </c>
      <c r="K134" s="1121">
        <v>6.0</v>
      </c>
      <c r="L134" s="1126">
        <v>2.0</v>
      </c>
      <c r="M134" s="1121">
        <v>2.0</v>
      </c>
      <c r="N134" s="1126">
        <v>4.0</v>
      </c>
      <c r="O134" s="1121">
        <v>4.0</v>
      </c>
      <c r="P134" s="1126">
        <v>3.0</v>
      </c>
      <c r="Q134" s="1121">
        <v>3.0</v>
      </c>
      <c r="R134" s="1126">
        <v>2.0</v>
      </c>
      <c r="S134" s="1121">
        <v>2.0</v>
      </c>
      <c r="T134" s="1120">
        <v>3.0</v>
      </c>
      <c r="U134" s="1138">
        <v>3.0</v>
      </c>
      <c r="V134" s="1120">
        <v>2.0</v>
      </c>
      <c r="W134" s="1138">
        <v>2.0</v>
      </c>
      <c r="X134" s="1137">
        <v>1.0</v>
      </c>
      <c r="Y134" s="1138">
        <v>1.0</v>
      </c>
      <c r="Z134" s="1120"/>
      <c r="AA134" s="1138"/>
      <c r="AB134" s="1120">
        <v>0.0</v>
      </c>
      <c r="AC134" s="1138">
        <v>0.0</v>
      </c>
      <c r="AD134" s="1120">
        <v>2.0</v>
      </c>
      <c r="AE134" s="1138">
        <v>2.0</v>
      </c>
      <c r="AF134" s="1126">
        <v>2.0</v>
      </c>
      <c r="AG134" s="1138">
        <v>2.0</v>
      </c>
      <c r="AH134" s="1120">
        <v>1.0</v>
      </c>
      <c r="AI134" s="1138">
        <v>1.0</v>
      </c>
      <c r="AJ134" s="1137">
        <v>2.0</v>
      </c>
      <c r="AK134" s="1138">
        <v>2.0</v>
      </c>
      <c r="AL134" s="1126">
        <v>2.0</v>
      </c>
      <c r="AM134" s="1138">
        <v>2.0</v>
      </c>
      <c r="AN134" s="1126">
        <v>2.0</v>
      </c>
      <c r="AO134" s="1138">
        <v>2.0</v>
      </c>
      <c r="AP134" s="1126">
        <v>3.0</v>
      </c>
      <c r="AQ134" s="1138">
        <v>3.0</v>
      </c>
      <c r="AR134" s="1126">
        <v>10.0</v>
      </c>
      <c r="AS134" s="1138">
        <v>10.0</v>
      </c>
      <c r="AT134" s="1126">
        <v>2.0</v>
      </c>
      <c r="AU134" s="1138">
        <v>2.0</v>
      </c>
      <c r="AV134" s="1126">
        <v>2.0</v>
      </c>
      <c r="AW134" s="1138">
        <v>2.0</v>
      </c>
      <c r="AX134" s="1126">
        <v>2.0</v>
      </c>
      <c r="AY134" s="1138">
        <v>2.0</v>
      </c>
      <c r="AZ134" s="1126">
        <v>4.0</v>
      </c>
      <c r="BA134" s="1138">
        <v>4.0</v>
      </c>
      <c r="BB134" s="1126">
        <v>8.0</v>
      </c>
      <c r="BC134" s="1138">
        <v>8.0</v>
      </c>
      <c r="BD134" s="1126">
        <v>0.0</v>
      </c>
      <c r="BE134" s="1138">
        <v>0.0</v>
      </c>
      <c r="BF134" s="1126">
        <v>2.0</v>
      </c>
      <c r="BG134" s="1138">
        <v>2.0</v>
      </c>
      <c r="BH134" s="1126">
        <v>2.0</v>
      </c>
      <c r="BI134" s="1138">
        <v>2.0</v>
      </c>
      <c r="BJ134" s="1126">
        <v>3.0</v>
      </c>
      <c r="BK134" s="1138">
        <v>3.0</v>
      </c>
      <c r="BL134" s="1152">
        <v>43.0</v>
      </c>
      <c r="BM134" s="1138">
        <v>43.0</v>
      </c>
      <c r="BN134" s="1087">
        <v>10.0</v>
      </c>
      <c r="BO134" s="1138"/>
      <c r="BP134" s="783">
        <f t="shared" si="82"/>
        <v>125</v>
      </c>
      <c r="BQ134" s="1571">
        <f t="shared" si="83"/>
        <v>124</v>
      </c>
      <c r="BR134" s="1572">
        <f t="shared" si="84"/>
        <v>12152</v>
      </c>
      <c r="BS134" s="784">
        <f t="shared" si="85"/>
        <v>12250</v>
      </c>
      <c r="BT134" s="1544"/>
      <c r="BU134" s="1545"/>
    </row>
    <row r="135" ht="19.5" customHeight="1">
      <c r="A135" s="1565" t="s">
        <v>145</v>
      </c>
      <c r="B135" s="1611">
        <v>2067.0</v>
      </c>
      <c r="C135" s="1567">
        <v>187.0</v>
      </c>
      <c r="D135" s="1640" t="s">
        <v>537</v>
      </c>
      <c r="E135" s="1613" t="str">
        <f>'Матрица 4 недели'!G72</f>
        <v>Салат "Греческий''</v>
      </c>
      <c r="F135" s="1120">
        <v>5.0</v>
      </c>
      <c r="G135" s="1121">
        <v>5.0</v>
      </c>
      <c r="H135" s="1120">
        <v>2.0</v>
      </c>
      <c r="I135" s="1121">
        <v>2.0</v>
      </c>
      <c r="J135" s="1120">
        <v>5.0</v>
      </c>
      <c r="K135" s="1121">
        <v>5.0</v>
      </c>
      <c r="L135" s="1120">
        <v>3.0</v>
      </c>
      <c r="M135" s="1121">
        <v>3.0</v>
      </c>
      <c r="N135" s="1120">
        <v>6.0</v>
      </c>
      <c r="O135" s="1121">
        <v>6.0</v>
      </c>
      <c r="P135" s="1120">
        <v>5.0</v>
      </c>
      <c r="Q135" s="1121">
        <v>5.0</v>
      </c>
      <c r="R135" s="1120">
        <v>0.0</v>
      </c>
      <c r="S135" s="1121">
        <v>0.0</v>
      </c>
      <c r="T135" s="1120">
        <v>2.0</v>
      </c>
      <c r="U135" s="1121">
        <v>2.0</v>
      </c>
      <c r="V135" s="1120">
        <v>3.0</v>
      </c>
      <c r="W135" s="1121">
        <v>3.0</v>
      </c>
      <c r="X135" s="1120">
        <v>1.0</v>
      </c>
      <c r="Y135" s="1121">
        <v>1.0</v>
      </c>
      <c r="Z135" s="1120"/>
      <c r="AA135" s="1121"/>
      <c r="AB135" s="1120">
        <v>2.0</v>
      </c>
      <c r="AC135" s="1121">
        <v>2.0</v>
      </c>
      <c r="AD135" s="1120">
        <v>2.0</v>
      </c>
      <c r="AE135" s="1121">
        <v>2.0</v>
      </c>
      <c r="AF135" s="1126">
        <v>3.0</v>
      </c>
      <c r="AG135" s="1121">
        <v>3.0</v>
      </c>
      <c r="AH135" s="1120">
        <v>2.0</v>
      </c>
      <c r="AI135" s="1121">
        <v>2.0</v>
      </c>
      <c r="AJ135" s="1120">
        <v>3.0</v>
      </c>
      <c r="AK135" s="1121">
        <v>3.0</v>
      </c>
      <c r="AL135" s="1126">
        <v>2.0</v>
      </c>
      <c r="AM135" s="1121">
        <v>2.0</v>
      </c>
      <c r="AN135" s="1120">
        <v>0.0</v>
      </c>
      <c r="AO135" s="1121">
        <v>0.0</v>
      </c>
      <c r="AP135" s="1126">
        <v>1.0</v>
      </c>
      <c r="AQ135" s="1121">
        <v>1.0</v>
      </c>
      <c r="AR135" s="1126">
        <v>5.0</v>
      </c>
      <c r="AS135" s="1121">
        <v>5.0</v>
      </c>
      <c r="AT135" s="1126">
        <v>1.0</v>
      </c>
      <c r="AU135" s="1121">
        <v>1.0</v>
      </c>
      <c r="AV135" s="1126">
        <v>4.0</v>
      </c>
      <c r="AW135" s="1121">
        <v>4.0</v>
      </c>
      <c r="AX135" s="1126">
        <v>7.0</v>
      </c>
      <c r="AY135" s="1121">
        <v>7.0</v>
      </c>
      <c r="AZ135" s="1126">
        <v>1.0</v>
      </c>
      <c r="BA135" s="1121">
        <v>1.0</v>
      </c>
      <c r="BB135" s="1126">
        <v>5.0</v>
      </c>
      <c r="BC135" s="1121">
        <v>5.0</v>
      </c>
      <c r="BD135" s="1126">
        <v>4.0</v>
      </c>
      <c r="BE135" s="1121">
        <v>4.0</v>
      </c>
      <c r="BF135" s="1126">
        <v>4.0</v>
      </c>
      <c r="BG135" s="1121">
        <v>4.0</v>
      </c>
      <c r="BH135" s="1126">
        <v>3.0</v>
      </c>
      <c r="BI135" s="1121">
        <v>3.0</v>
      </c>
      <c r="BJ135" s="1126">
        <v>6.0</v>
      </c>
      <c r="BK135" s="1121">
        <v>6.0</v>
      </c>
      <c r="BL135" s="1152"/>
      <c r="BM135" s="1138"/>
      <c r="BN135" s="1087"/>
      <c r="BO135" s="1138"/>
      <c r="BP135" s="783">
        <f t="shared" si="82"/>
        <v>88</v>
      </c>
      <c r="BQ135" s="1571">
        <f t="shared" si="83"/>
        <v>87</v>
      </c>
      <c r="BR135" s="1572">
        <f t="shared" si="84"/>
        <v>16269</v>
      </c>
      <c r="BS135" s="784">
        <f t="shared" si="85"/>
        <v>16456</v>
      </c>
      <c r="BT135" s="1544"/>
      <c r="BU135" s="1545"/>
    </row>
    <row r="136" ht="19.5" customHeight="1">
      <c r="A136" s="1565"/>
      <c r="B136" s="1611">
        <v>2288.0</v>
      </c>
      <c r="C136" s="1567">
        <v>88.0</v>
      </c>
      <c r="D136" s="1612" t="s">
        <v>74</v>
      </c>
      <c r="E136" s="1882" t="str">
        <f>'Матрица 4 недели'!J69</f>
        <v>Суп картофельный с курицей</v>
      </c>
      <c r="F136" s="1126"/>
      <c r="G136" s="1121"/>
      <c r="H136" s="1120"/>
      <c r="I136" s="1121"/>
      <c r="J136" s="1120"/>
      <c r="K136" s="1121"/>
      <c r="L136" s="1126"/>
      <c r="M136" s="1121"/>
      <c r="N136" s="1126"/>
      <c r="O136" s="1121"/>
      <c r="P136" s="1120"/>
      <c r="Q136" s="1121"/>
      <c r="R136" s="1126"/>
      <c r="S136" s="1121"/>
      <c r="T136" s="1120"/>
      <c r="U136" s="1121"/>
      <c r="V136" s="1120"/>
      <c r="W136" s="1121"/>
      <c r="X136" s="1126"/>
      <c r="Y136" s="1121"/>
      <c r="Z136" s="1126"/>
      <c r="AA136" s="1121"/>
      <c r="AB136" s="1120"/>
      <c r="AC136" s="1121"/>
      <c r="AD136" s="1120"/>
      <c r="AE136" s="1121"/>
      <c r="AF136" s="1120"/>
      <c r="AG136" s="1121"/>
      <c r="AH136" s="1120"/>
      <c r="AI136" s="1121"/>
      <c r="AJ136" s="1120"/>
      <c r="AK136" s="1121"/>
      <c r="AL136" s="1126"/>
      <c r="AM136" s="1121"/>
      <c r="AN136" s="1120"/>
      <c r="AO136" s="1121"/>
      <c r="AP136" s="1126"/>
      <c r="AQ136" s="1121"/>
      <c r="AR136" s="1120"/>
      <c r="AS136" s="1121"/>
      <c r="AT136" s="1120"/>
      <c r="AU136" s="1121"/>
      <c r="AV136" s="1126"/>
      <c r="AW136" s="1121"/>
      <c r="AX136" s="1126"/>
      <c r="AY136" s="1121"/>
      <c r="AZ136" s="1126"/>
      <c r="BA136" s="1121"/>
      <c r="BB136" s="1126"/>
      <c r="BC136" s="1121"/>
      <c r="BD136" s="1126"/>
      <c r="BE136" s="1121"/>
      <c r="BF136" s="1126"/>
      <c r="BG136" s="1121"/>
      <c r="BH136" s="1126"/>
      <c r="BI136" s="1121"/>
      <c r="BJ136" s="1126"/>
      <c r="BK136" s="1121"/>
      <c r="BL136" s="1152">
        <v>120.0</v>
      </c>
      <c r="BM136" s="1653">
        <v>120.0</v>
      </c>
      <c r="BN136" s="1785">
        <v>20.0</v>
      </c>
      <c r="BO136" s="1784"/>
      <c r="BP136" s="783">
        <f t="shared" si="82"/>
        <v>121</v>
      </c>
      <c r="BQ136" s="1571">
        <f t="shared" si="83"/>
        <v>120</v>
      </c>
      <c r="BR136" s="1572">
        <f t="shared" si="84"/>
        <v>10560</v>
      </c>
      <c r="BS136" s="784">
        <f t="shared" si="85"/>
        <v>10648</v>
      </c>
      <c r="BT136" s="1544"/>
      <c r="BU136" s="1545"/>
    </row>
    <row r="137" ht="19.5" customHeight="1">
      <c r="A137" s="1565" t="s">
        <v>145</v>
      </c>
      <c r="B137" s="1611">
        <v>4274.0</v>
      </c>
      <c r="C137" s="1567">
        <v>139.0</v>
      </c>
      <c r="D137" s="1612" t="s">
        <v>74</v>
      </c>
      <c r="E137" s="1613" t="str">
        <f>'Матрица 4 недели'!J70</f>
        <v>Крем-суп из брокколи</v>
      </c>
      <c r="F137" s="1137">
        <v>2.0</v>
      </c>
      <c r="G137" s="1138">
        <v>2.0</v>
      </c>
      <c r="H137" s="1126">
        <v>4.0</v>
      </c>
      <c r="I137" s="1138">
        <v>4.0</v>
      </c>
      <c r="J137" s="1126">
        <v>2.0</v>
      </c>
      <c r="K137" s="1138">
        <v>2.0</v>
      </c>
      <c r="L137" s="1126"/>
      <c r="M137" s="1138"/>
      <c r="N137" s="1126">
        <v>4.0</v>
      </c>
      <c r="O137" s="1138">
        <v>4.0</v>
      </c>
      <c r="P137" s="1126">
        <v>2.0</v>
      </c>
      <c r="Q137" s="1121">
        <v>2.0</v>
      </c>
      <c r="R137" s="1120"/>
      <c r="S137" s="1121"/>
      <c r="T137" s="1137">
        <v>2.0</v>
      </c>
      <c r="U137" s="1121">
        <v>2.0</v>
      </c>
      <c r="V137" s="1137">
        <v>3.0</v>
      </c>
      <c r="W137" s="1121">
        <v>3.0</v>
      </c>
      <c r="X137" s="1137">
        <v>2.0</v>
      </c>
      <c r="Y137" s="1121">
        <v>2.0</v>
      </c>
      <c r="Z137" s="1126"/>
      <c r="AA137" s="1121"/>
      <c r="AB137" s="1120">
        <v>1.0</v>
      </c>
      <c r="AC137" s="1121">
        <v>1.0</v>
      </c>
      <c r="AD137" s="1120">
        <v>2.0</v>
      </c>
      <c r="AE137" s="1121">
        <v>2.0</v>
      </c>
      <c r="AF137" s="1137">
        <v>3.0</v>
      </c>
      <c r="AG137" s="1121">
        <v>3.0</v>
      </c>
      <c r="AH137" s="1120">
        <v>3.0</v>
      </c>
      <c r="AI137" s="1121">
        <v>3.0</v>
      </c>
      <c r="AJ137" s="1120">
        <v>1.0</v>
      </c>
      <c r="AK137" s="1121">
        <v>1.0</v>
      </c>
      <c r="AL137" s="1126"/>
      <c r="AM137" s="1121"/>
      <c r="AN137" s="1137">
        <v>1.0</v>
      </c>
      <c r="AO137" s="1138">
        <v>1.0</v>
      </c>
      <c r="AP137" s="1137">
        <v>2.0</v>
      </c>
      <c r="AQ137" s="1138">
        <v>2.0</v>
      </c>
      <c r="AR137" s="1137">
        <v>1.0</v>
      </c>
      <c r="AS137" s="1138">
        <v>2.0</v>
      </c>
      <c r="AT137" s="1126">
        <v>3.0</v>
      </c>
      <c r="AU137" s="1138">
        <v>4.0</v>
      </c>
      <c r="AV137" s="1126">
        <v>1.0</v>
      </c>
      <c r="AW137" s="1138">
        <v>1.0</v>
      </c>
      <c r="AX137" s="1126">
        <v>1.0</v>
      </c>
      <c r="AY137" s="1138">
        <v>1.0</v>
      </c>
      <c r="AZ137" s="1126">
        <v>4.0</v>
      </c>
      <c r="BA137" s="1138">
        <v>5.0</v>
      </c>
      <c r="BB137" s="1126">
        <v>5.0</v>
      </c>
      <c r="BC137" s="1138">
        <v>6.0</v>
      </c>
      <c r="BD137" s="1126">
        <v>2.0</v>
      </c>
      <c r="BE137" s="1138">
        <v>2.0</v>
      </c>
      <c r="BF137" s="1126">
        <v>2.0</v>
      </c>
      <c r="BG137" s="1138">
        <v>2.0</v>
      </c>
      <c r="BH137" s="1126">
        <v>3.0</v>
      </c>
      <c r="BI137" s="1138">
        <v>4.0</v>
      </c>
      <c r="BJ137" s="1126">
        <v>2.0</v>
      </c>
      <c r="BK137" s="1138">
        <v>3.0</v>
      </c>
      <c r="BL137" s="1152"/>
      <c r="BM137" s="1653"/>
      <c r="BN137" s="1785"/>
      <c r="BO137" s="1784"/>
      <c r="BP137" s="783">
        <f t="shared" si="82"/>
        <v>59</v>
      </c>
      <c r="BQ137" s="1571">
        <f t="shared" si="83"/>
        <v>64</v>
      </c>
      <c r="BR137" s="1572">
        <f t="shared" si="84"/>
        <v>8896</v>
      </c>
      <c r="BS137" s="784">
        <f t="shared" si="85"/>
        <v>8201</v>
      </c>
      <c r="BT137" s="1544"/>
      <c r="BU137" s="1545"/>
    </row>
    <row r="138" ht="19.5" customHeight="1">
      <c r="A138" s="1565" t="s">
        <v>145</v>
      </c>
      <c r="B138" s="1611">
        <v>813.0</v>
      </c>
      <c r="C138" s="1567">
        <v>227.0</v>
      </c>
      <c r="D138" s="1612" t="s">
        <v>77</v>
      </c>
      <c r="E138" s="1613" t="str">
        <f>'Матрица 4 недели'!M69</f>
        <v>Котлета по-киевски с макаронами</v>
      </c>
      <c r="F138" s="1126">
        <v>12.0</v>
      </c>
      <c r="G138" s="1121">
        <v>12.0</v>
      </c>
      <c r="H138" s="1126">
        <v>4.0</v>
      </c>
      <c r="I138" s="1121">
        <v>4.0</v>
      </c>
      <c r="J138" s="1126">
        <v>5.0</v>
      </c>
      <c r="K138" s="1121">
        <v>5.0</v>
      </c>
      <c r="L138" s="1126">
        <v>3.0</v>
      </c>
      <c r="M138" s="1121">
        <v>3.0</v>
      </c>
      <c r="N138" s="1126">
        <v>4.0</v>
      </c>
      <c r="O138" s="1121">
        <v>4.0</v>
      </c>
      <c r="P138" s="1126">
        <v>7.0</v>
      </c>
      <c r="Q138" s="1121">
        <v>7.0</v>
      </c>
      <c r="R138" s="1126">
        <v>5.0</v>
      </c>
      <c r="S138" s="1121">
        <v>5.0</v>
      </c>
      <c r="T138" s="1126">
        <v>3.0</v>
      </c>
      <c r="U138" s="1138">
        <v>3.0</v>
      </c>
      <c r="V138" s="1126">
        <v>9.0</v>
      </c>
      <c r="W138" s="1138">
        <v>9.0</v>
      </c>
      <c r="X138" s="1137">
        <v>6.0</v>
      </c>
      <c r="Y138" s="1138">
        <v>6.0</v>
      </c>
      <c r="Z138" s="1126"/>
      <c r="AA138" s="1138"/>
      <c r="AB138" s="1126">
        <v>3.0</v>
      </c>
      <c r="AC138" s="1138">
        <v>3.0</v>
      </c>
      <c r="AD138" s="1137">
        <v>5.0</v>
      </c>
      <c r="AE138" s="1138">
        <v>5.0</v>
      </c>
      <c r="AF138" s="1137">
        <v>8.0</v>
      </c>
      <c r="AG138" s="1138">
        <v>8.0</v>
      </c>
      <c r="AH138" s="1120">
        <v>8.0</v>
      </c>
      <c r="AI138" s="1138">
        <v>8.0</v>
      </c>
      <c r="AJ138" s="1137">
        <v>3.0</v>
      </c>
      <c r="AK138" s="1138">
        <v>3.0</v>
      </c>
      <c r="AL138" s="1126">
        <v>2.0</v>
      </c>
      <c r="AM138" s="1138">
        <v>2.0</v>
      </c>
      <c r="AN138" s="1126">
        <v>2.0</v>
      </c>
      <c r="AO138" s="1138">
        <v>2.0</v>
      </c>
      <c r="AP138" s="1126">
        <v>2.0</v>
      </c>
      <c r="AQ138" s="1138">
        <v>2.0</v>
      </c>
      <c r="AR138" s="1126">
        <v>11.0</v>
      </c>
      <c r="AS138" s="1138">
        <v>11.0</v>
      </c>
      <c r="AT138" s="1126">
        <v>8.0</v>
      </c>
      <c r="AU138" s="1138">
        <v>8.0</v>
      </c>
      <c r="AV138" s="1126">
        <v>2.0</v>
      </c>
      <c r="AW138" s="1138">
        <v>2.0</v>
      </c>
      <c r="AX138" s="1126">
        <v>3.0</v>
      </c>
      <c r="AY138" s="1138">
        <v>3.0</v>
      </c>
      <c r="AZ138" s="1126">
        <v>3.0</v>
      </c>
      <c r="BA138" s="1138">
        <v>3.0</v>
      </c>
      <c r="BB138" s="1126">
        <v>9.0</v>
      </c>
      <c r="BC138" s="1138">
        <v>9.0</v>
      </c>
      <c r="BD138" s="1126">
        <v>4.0</v>
      </c>
      <c r="BE138" s="1138">
        <v>4.0</v>
      </c>
      <c r="BF138" s="1126">
        <v>8.0</v>
      </c>
      <c r="BG138" s="1138">
        <v>8.0</v>
      </c>
      <c r="BH138" s="1126">
        <v>5.0</v>
      </c>
      <c r="BI138" s="1138">
        <v>5.0</v>
      </c>
      <c r="BJ138" s="1126">
        <v>6.0</v>
      </c>
      <c r="BK138" s="1138">
        <v>6.0</v>
      </c>
      <c r="BL138" s="1152"/>
      <c r="BM138" s="1138"/>
      <c r="BN138" s="1087"/>
      <c r="BO138" s="1138"/>
      <c r="BP138" s="783">
        <f t="shared" si="82"/>
        <v>151</v>
      </c>
      <c r="BQ138" s="1571">
        <f t="shared" si="83"/>
        <v>150</v>
      </c>
      <c r="BR138" s="1572">
        <f t="shared" si="84"/>
        <v>34050</v>
      </c>
      <c r="BS138" s="784">
        <f t="shared" si="85"/>
        <v>34277</v>
      </c>
      <c r="BT138" s="1544"/>
      <c r="BU138" s="1545"/>
    </row>
    <row r="139" ht="19.5" customHeight="1">
      <c r="A139" s="1565" t="s">
        <v>145</v>
      </c>
      <c r="B139" s="1611">
        <v>4105.0</v>
      </c>
      <c r="C139" s="1567">
        <v>234.0</v>
      </c>
      <c r="D139" s="1612" t="s">
        <v>77</v>
      </c>
      <c r="E139" s="1613" t="str">
        <f>'Матрица 4 недели'!M70</f>
        <v>Свинина по-гавайски с картофелем</v>
      </c>
      <c r="F139" s="1126">
        <v>5.0</v>
      </c>
      <c r="G139" s="1138">
        <v>5.0</v>
      </c>
      <c r="H139" s="1126">
        <v>2.0</v>
      </c>
      <c r="I139" s="1138">
        <v>2.0</v>
      </c>
      <c r="J139" s="1126">
        <v>4.0</v>
      </c>
      <c r="K139" s="1138">
        <v>4.0</v>
      </c>
      <c r="L139" s="1141">
        <v>3.0</v>
      </c>
      <c r="M139" s="1138">
        <v>3.0</v>
      </c>
      <c r="N139" s="1126">
        <v>7.0</v>
      </c>
      <c r="O139" s="1138">
        <v>7.0</v>
      </c>
      <c r="P139" s="1126">
        <v>7.0</v>
      </c>
      <c r="Q139" s="1142">
        <v>7.0</v>
      </c>
      <c r="R139" s="1126">
        <v>2.0</v>
      </c>
      <c r="S139" s="1121">
        <v>2.0</v>
      </c>
      <c r="T139" s="1137">
        <v>4.0</v>
      </c>
      <c r="U139" s="1121">
        <v>4.0</v>
      </c>
      <c r="V139" s="1126">
        <v>3.0</v>
      </c>
      <c r="W139" s="1121">
        <v>3.0</v>
      </c>
      <c r="X139" s="1137">
        <v>3.0</v>
      </c>
      <c r="Y139" s="1121">
        <v>3.0</v>
      </c>
      <c r="Z139" s="1126"/>
      <c r="AA139" s="1121"/>
      <c r="AB139" s="1126">
        <v>2.0</v>
      </c>
      <c r="AC139" s="1121">
        <v>2.0</v>
      </c>
      <c r="AD139" s="1120">
        <v>4.0</v>
      </c>
      <c r="AE139" s="1121">
        <v>4.0</v>
      </c>
      <c r="AF139" s="1137">
        <v>2.0</v>
      </c>
      <c r="AG139" s="1121">
        <v>2.0</v>
      </c>
      <c r="AH139" s="1120">
        <v>3.0</v>
      </c>
      <c r="AI139" s="1121">
        <v>3.0</v>
      </c>
      <c r="AJ139" s="1120">
        <v>3.0</v>
      </c>
      <c r="AK139" s="1121">
        <v>3.0</v>
      </c>
      <c r="AL139" s="1126">
        <v>2.0</v>
      </c>
      <c r="AM139" s="1121">
        <v>2.0</v>
      </c>
      <c r="AN139" s="1126">
        <v>2.0</v>
      </c>
      <c r="AO139" s="1121">
        <v>2.0</v>
      </c>
      <c r="AP139" s="1126">
        <v>3.0</v>
      </c>
      <c r="AQ139" s="1121">
        <v>3.0</v>
      </c>
      <c r="AR139" s="1126">
        <v>4.0</v>
      </c>
      <c r="AS139" s="1121">
        <v>4.0</v>
      </c>
      <c r="AT139" s="1126">
        <v>3.0</v>
      </c>
      <c r="AU139" s="1121">
        <v>3.0</v>
      </c>
      <c r="AV139" s="1126">
        <v>2.0</v>
      </c>
      <c r="AW139" s="1121">
        <v>2.0</v>
      </c>
      <c r="AX139" s="1126">
        <v>2.0</v>
      </c>
      <c r="AY139" s="1121">
        <v>2.0</v>
      </c>
      <c r="AZ139" s="1126">
        <v>3.0</v>
      </c>
      <c r="BA139" s="1121">
        <v>3.0</v>
      </c>
      <c r="BB139" s="1126">
        <v>6.0</v>
      </c>
      <c r="BC139" s="1121">
        <v>6.0</v>
      </c>
      <c r="BD139" s="1126">
        <v>2.0</v>
      </c>
      <c r="BE139" s="1121">
        <v>2.0</v>
      </c>
      <c r="BF139" s="1126">
        <v>2.0</v>
      </c>
      <c r="BG139" s="1121">
        <v>2.0</v>
      </c>
      <c r="BH139" s="1126">
        <v>2.0</v>
      </c>
      <c r="BI139" s="1121">
        <v>2.0</v>
      </c>
      <c r="BJ139" s="1126">
        <v>3.0</v>
      </c>
      <c r="BK139" s="1121">
        <v>3.0</v>
      </c>
      <c r="BL139" s="1152"/>
      <c r="BM139" s="1138"/>
      <c r="BN139" s="1087">
        <v>5.0</v>
      </c>
      <c r="BO139" s="1138">
        <v>5.0</v>
      </c>
      <c r="BP139" s="783">
        <f t="shared" si="82"/>
        <v>91</v>
      </c>
      <c r="BQ139" s="1589">
        <f t="shared" si="83"/>
        <v>90</v>
      </c>
      <c r="BR139" s="1572">
        <f t="shared" si="84"/>
        <v>21060</v>
      </c>
      <c r="BS139" s="784">
        <f t="shared" si="85"/>
        <v>21294</v>
      </c>
      <c r="BT139" s="1544"/>
      <c r="BU139" s="1545"/>
    </row>
    <row r="140" ht="19.5" customHeight="1">
      <c r="A140" s="1565" t="s">
        <v>145</v>
      </c>
      <c r="B140" s="1611">
        <v>26.0</v>
      </c>
      <c r="C140" s="1567">
        <v>190.0</v>
      </c>
      <c r="D140" s="1612" t="s">
        <v>77</v>
      </c>
      <c r="E140" s="1613" t="str">
        <f>'Матрица 4 недели'!M71</f>
        <v>Плов по-узбекски с цыпленком б/250гр</v>
      </c>
      <c r="F140" s="1126">
        <v>10.0</v>
      </c>
      <c r="G140" s="1138">
        <v>9.0</v>
      </c>
      <c r="H140" s="1126">
        <v>6.0</v>
      </c>
      <c r="I140" s="1138">
        <v>5.0</v>
      </c>
      <c r="J140" s="1126">
        <v>4.0</v>
      </c>
      <c r="K140" s="1138">
        <v>4.0</v>
      </c>
      <c r="L140" s="1141">
        <v>3.0</v>
      </c>
      <c r="M140" s="1138">
        <v>3.0</v>
      </c>
      <c r="N140" s="1126">
        <v>9.0</v>
      </c>
      <c r="O140" s="1138">
        <v>9.0</v>
      </c>
      <c r="P140" s="1126">
        <v>3.0</v>
      </c>
      <c r="Q140" s="1142">
        <v>3.0</v>
      </c>
      <c r="R140" s="1126">
        <v>1.0</v>
      </c>
      <c r="S140" s="1121">
        <v>1.0</v>
      </c>
      <c r="T140" s="1137">
        <v>4.0</v>
      </c>
      <c r="U140" s="1121">
        <v>4.0</v>
      </c>
      <c r="V140" s="1126">
        <v>2.0</v>
      </c>
      <c r="W140" s="1121">
        <v>2.0</v>
      </c>
      <c r="X140" s="1137">
        <v>2.0</v>
      </c>
      <c r="Y140" s="1121">
        <v>2.0</v>
      </c>
      <c r="Z140" s="1126"/>
      <c r="AA140" s="1121"/>
      <c r="AB140" s="1126">
        <v>5.0</v>
      </c>
      <c r="AC140" s="1121">
        <v>5.0</v>
      </c>
      <c r="AD140" s="1120">
        <v>3.0</v>
      </c>
      <c r="AE140" s="1121">
        <v>3.0</v>
      </c>
      <c r="AF140" s="1137">
        <v>4.0</v>
      </c>
      <c r="AG140" s="1121">
        <v>3.0</v>
      </c>
      <c r="AH140" s="1120">
        <v>4.0</v>
      </c>
      <c r="AI140" s="1121">
        <v>4.0</v>
      </c>
      <c r="AJ140" s="1120">
        <v>5.0</v>
      </c>
      <c r="AK140" s="1121">
        <v>4.0</v>
      </c>
      <c r="AL140" s="1126">
        <v>5.0</v>
      </c>
      <c r="AM140" s="1121">
        <v>4.0</v>
      </c>
      <c r="AN140" s="1126">
        <v>3.0</v>
      </c>
      <c r="AO140" s="1121">
        <v>3.0</v>
      </c>
      <c r="AP140" s="1126">
        <v>2.0</v>
      </c>
      <c r="AQ140" s="1121">
        <v>2.0</v>
      </c>
      <c r="AR140" s="1126">
        <v>4.0</v>
      </c>
      <c r="AS140" s="1121">
        <v>4.0</v>
      </c>
      <c r="AT140" s="1126">
        <v>6.0</v>
      </c>
      <c r="AU140" s="1121">
        <v>6.0</v>
      </c>
      <c r="AV140" s="1126">
        <v>2.0</v>
      </c>
      <c r="AW140" s="1121">
        <v>2.0</v>
      </c>
      <c r="AX140" s="1126">
        <v>4.0</v>
      </c>
      <c r="AY140" s="1121">
        <v>4.0</v>
      </c>
      <c r="AZ140" s="1126">
        <v>4.0</v>
      </c>
      <c r="BA140" s="1121">
        <v>4.0</v>
      </c>
      <c r="BB140" s="1126">
        <v>9.0</v>
      </c>
      <c r="BC140" s="1121">
        <v>9.0</v>
      </c>
      <c r="BD140" s="1126">
        <v>2.0</v>
      </c>
      <c r="BE140" s="1121">
        <v>2.0</v>
      </c>
      <c r="BF140" s="1126">
        <v>6.0</v>
      </c>
      <c r="BG140" s="1121">
        <v>6.0</v>
      </c>
      <c r="BH140" s="1126">
        <v>4.0</v>
      </c>
      <c r="BI140" s="1121">
        <v>4.0</v>
      </c>
      <c r="BJ140" s="1126">
        <v>9.0</v>
      </c>
      <c r="BK140" s="1121">
        <v>9.0</v>
      </c>
      <c r="BL140" s="1152">
        <v>25.0</v>
      </c>
      <c r="BM140" s="1653">
        <v>25.0</v>
      </c>
      <c r="BN140" s="1785"/>
      <c r="BO140" s="1784"/>
      <c r="BP140" s="783">
        <f t="shared" si="82"/>
        <v>151</v>
      </c>
      <c r="BQ140" s="1589">
        <f t="shared" si="83"/>
        <v>145</v>
      </c>
      <c r="BR140" s="1572">
        <f t="shared" si="84"/>
        <v>27550</v>
      </c>
      <c r="BS140" s="784">
        <f t="shared" si="85"/>
        <v>28690</v>
      </c>
      <c r="BT140" s="1544"/>
      <c r="BU140" s="1545"/>
    </row>
    <row r="141" ht="19.5" customHeight="1">
      <c r="A141" s="1565" t="s">
        <v>145</v>
      </c>
      <c r="B141" s="1611">
        <v>4100.0</v>
      </c>
      <c r="C141" s="1567">
        <v>198.0</v>
      </c>
      <c r="D141" s="1612" t="s">
        <v>77</v>
      </c>
      <c r="E141" s="1613" t="str">
        <f>'Матрица 4 недели'!M72</f>
        <v>Курочка по-купечески с гречкой </v>
      </c>
      <c r="F141" s="1126">
        <v>8.0</v>
      </c>
      <c r="G141" s="1121">
        <v>8.0</v>
      </c>
      <c r="H141" s="1126">
        <v>7.0</v>
      </c>
      <c r="I141" s="1121">
        <v>7.0</v>
      </c>
      <c r="J141" s="1126">
        <v>4.0</v>
      </c>
      <c r="K141" s="1121">
        <v>4.0</v>
      </c>
      <c r="L141" s="1126">
        <v>9.0</v>
      </c>
      <c r="M141" s="1121">
        <v>9.0</v>
      </c>
      <c r="N141" s="1126">
        <v>15.0</v>
      </c>
      <c r="O141" s="1121">
        <v>15.0</v>
      </c>
      <c r="P141" s="1126">
        <v>9.0</v>
      </c>
      <c r="Q141" s="1121">
        <v>9.0</v>
      </c>
      <c r="R141" s="1126">
        <v>4.0</v>
      </c>
      <c r="S141" s="1121">
        <v>4.0</v>
      </c>
      <c r="T141" s="1126">
        <v>2.0</v>
      </c>
      <c r="U141" s="1138">
        <v>2.0</v>
      </c>
      <c r="V141" s="1126">
        <v>5.0</v>
      </c>
      <c r="W141" s="1138">
        <v>5.0</v>
      </c>
      <c r="X141" s="1137">
        <v>6.0</v>
      </c>
      <c r="Y141" s="1138">
        <v>6.0</v>
      </c>
      <c r="Z141" s="1126"/>
      <c r="AA141" s="1138"/>
      <c r="AB141" s="1126">
        <v>2.0</v>
      </c>
      <c r="AC141" s="1138">
        <v>2.0</v>
      </c>
      <c r="AD141" s="1137">
        <v>3.0</v>
      </c>
      <c r="AE141" s="1138">
        <v>3.0</v>
      </c>
      <c r="AF141" s="1137">
        <v>9.0</v>
      </c>
      <c r="AG141" s="1138">
        <v>9.0</v>
      </c>
      <c r="AH141" s="1120">
        <v>5.0</v>
      </c>
      <c r="AI141" s="1138">
        <v>5.0</v>
      </c>
      <c r="AJ141" s="1137">
        <v>5.0</v>
      </c>
      <c r="AK141" s="1138">
        <v>5.0</v>
      </c>
      <c r="AL141" s="1126">
        <v>4.0</v>
      </c>
      <c r="AM141" s="1138">
        <v>4.0</v>
      </c>
      <c r="AN141" s="1126">
        <v>2.0</v>
      </c>
      <c r="AO141" s="1138">
        <v>2.0</v>
      </c>
      <c r="AP141" s="1126">
        <v>2.0</v>
      </c>
      <c r="AQ141" s="1138">
        <v>2.0</v>
      </c>
      <c r="AR141" s="1126">
        <v>5.0</v>
      </c>
      <c r="AS141" s="1138">
        <v>5.0</v>
      </c>
      <c r="AT141" s="1126">
        <v>4.0</v>
      </c>
      <c r="AU141" s="1138">
        <v>4.0</v>
      </c>
      <c r="AV141" s="1126">
        <v>5.0</v>
      </c>
      <c r="AW141" s="1138">
        <v>5.0</v>
      </c>
      <c r="AX141" s="1126">
        <v>2.0</v>
      </c>
      <c r="AY141" s="1138">
        <v>2.0</v>
      </c>
      <c r="AZ141" s="1126">
        <v>2.0</v>
      </c>
      <c r="BA141" s="1138">
        <v>2.0</v>
      </c>
      <c r="BB141" s="1126">
        <v>9.0</v>
      </c>
      <c r="BC141" s="1138">
        <v>9.0</v>
      </c>
      <c r="BD141" s="1126">
        <v>2.0</v>
      </c>
      <c r="BE141" s="1138">
        <v>2.0</v>
      </c>
      <c r="BF141" s="1126">
        <v>4.0</v>
      </c>
      <c r="BG141" s="1138">
        <v>4.0</v>
      </c>
      <c r="BH141" s="1126">
        <v>6.0</v>
      </c>
      <c r="BI141" s="1138">
        <v>6.0</v>
      </c>
      <c r="BJ141" s="1126">
        <v>8.0</v>
      </c>
      <c r="BK141" s="1138">
        <v>8.0</v>
      </c>
      <c r="BL141" s="1152">
        <v>80.0</v>
      </c>
      <c r="BM141" s="1784">
        <v>80.0</v>
      </c>
      <c r="BN141" s="1785">
        <v>15.0</v>
      </c>
      <c r="BO141" s="1784">
        <v>15.0</v>
      </c>
      <c r="BP141" s="783">
        <f t="shared" si="82"/>
        <v>229</v>
      </c>
      <c r="BQ141" s="1571">
        <f t="shared" si="83"/>
        <v>228</v>
      </c>
      <c r="BR141" s="1572">
        <f t="shared" si="84"/>
        <v>45144</v>
      </c>
      <c r="BS141" s="784">
        <f t="shared" si="85"/>
        <v>45342</v>
      </c>
      <c r="BT141" s="1544"/>
      <c r="BU141" s="1545"/>
    </row>
    <row r="142" ht="19.5" customHeight="1">
      <c r="A142" s="1565"/>
      <c r="B142" s="1611">
        <v>3474.0</v>
      </c>
      <c r="C142" s="1567">
        <v>198.0</v>
      </c>
      <c r="D142" s="1612" t="s">
        <v>77</v>
      </c>
      <c r="E142" s="1613" t="str">
        <f>'Матрица 4 недели'!M73</f>
        <v>Свинина в томатном соусе с макаронами</v>
      </c>
      <c r="F142" s="1137"/>
      <c r="G142" s="1121"/>
      <c r="H142" s="1126"/>
      <c r="I142" s="1121"/>
      <c r="J142" s="1126"/>
      <c r="K142" s="1121"/>
      <c r="L142" s="1126"/>
      <c r="M142" s="1121"/>
      <c r="N142" s="1126"/>
      <c r="O142" s="1121"/>
      <c r="P142" s="1126"/>
      <c r="Q142" s="1121"/>
      <c r="R142" s="1126"/>
      <c r="S142" s="1121"/>
      <c r="T142" s="1126"/>
      <c r="U142" s="1138"/>
      <c r="V142" s="1137"/>
      <c r="W142" s="1138"/>
      <c r="X142" s="1137"/>
      <c r="Y142" s="1138"/>
      <c r="Z142" s="1126"/>
      <c r="AA142" s="1138"/>
      <c r="AB142" s="1126"/>
      <c r="AC142" s="1138"/>
      <c r="AD142" s="1137"/>
      <c r="AE142" s="1138"/>
      <c r="AF142" s="1126"/>
      <c r="AG142" s="1138"/>
      <c r="AH142" s="1120"/>
      <c r="AI142" s="1138"/>
      <c r="AJ142" s="1120"/>
      <c r="AK142" s="1138"/>
      <c r="AL142" s="1126"/>
      <c r="AM142" s="1138"/>
      <c r="AN142" s="1126"/>
      <c r="AO142" s="1138"/>
      <c r="AP142" s="1137"/>
      <c r="AQ142" s="1138"/>
      <c r="AR142" s="1137"/>
      <c r="AS142" s="1138"/>
      <c r="AT142" s="1126"/>
      <c r="AU142" s="1138"/>
      <c r="AV142" s="1126"/>
      <c r="AW142" s="1138"/>
      <c r="AX142" s="1126"/>
      <c r="AY142" s="1138"/>
      <c r="AZ142" s="1141"/>
      <c r="BA142" s="1138"/>
      <c r="BB142" s="1126"/>
      <c r="BC142" s="1138"/>
      <c r="BD142" s="1126"/>
      <c r="BE142" s="1138"/>
      <c r="BF142" s="1126"/>
      <c r="BG142" s="1138"/>
      <c r="BH142" s="1126"/>
      <c r="BI142" s="1138"/>
      <c r="BJ142" s="1126"/>
      <c r="BK142" s="1138"/>
      <c r="BL142" s="1152">
        <v>25.0</v>
      </c>
      <c r="BM142" s="1784">
        <v>25.0</v>
      </c>
      <c r="BN142" s="1785"/>
      <c r="BO142" s="1784"/>
      <c r="BP142" s="783">
        <f t="shared" si="82"/>
        <v>26</v>
      </c>
      <c r="BQ142" s="1571">
        <f t="shared" si="83"/>
        <v>25</v>
      </c>
      <c r="BR142" s="1572">
        <f t="shared" si="84"/>
        <v>4950</v>
      </c>
      <c r="BS142" s="784">
        <f t="shared" si="85"/>
        <v>5148</v>
      </c>
      <c r="BT142" s="1544"/>
      <c r="BU142" s="1545"/>
    </row>
    <row r="143" ht="19.5" customHeight="1">
      <c r="A143" s="1565"/>
      <c r="B143" s="1611"/>
      <c r="C143" s="1567"/>
      <c r="D143" s="1885"/>
      <c r="E143" s="1886" t="str">
        <f>'Матрица 4 недели'!M74</f>
        <v/>
      </c>
      <c r="F143" s="1620"/>
      <c r="G143" s="1621"/>
      <c r="H143" s="1622"/>
      <c r="I143" s="1621"/>
      <c r="J143" s="1622"/>
      <c r="K143" s="1138"/>
      <c r="L143" s="1126"/>
      <c r="M143" s="1138"/>
      <c r="N143" s="1622"/>
      <c r="O143" s="1621"/>
      <c r="P143" s="1622"/>
      <c r="Q143" s="1623"/>
      <c r="R143" s="1622"/>
      <c r="S143" s="1624"/>
      <c r="T143" s="1622"/>
      <c r="U143" s="1624"/>
      <c r="V143" s="1622"/>
      <c r="W143" s="1624"/>
      <c r="X143" s="1622"/>
      <c r="Y143" s="1624"/>
      <c r="Z143" s="1622"/>
      <c r="AA143" s="1624"/>
      <c r="AB143" s="1622"/>
      <c r="AC143" s="1624"/>
      <c r="AD143" s="1622"/>
      <c r="AE143" s="1624"/>
      <c r="AF143" s="1622"/>
      <c r="AG143" s="1624"/>
      <c r="AH143" s="1622"/>
      <c r="AI143" s="1624"/>
      <c r="AJ143" s="1622"/>
      <c r="AK143" s="1624"/>
      <c r="AL143" s="1622"/>
      <c r="AM143" s="1624"/>
      <c r="AN143" s="1622"/>
      <c r="AO143" s="1621"/>
      <c r="AP143" s="1622"/>
      <c r="AQ143" s="1621"/>
      <c r="AR143" s="1625"/>
      <c r="AS143" s="1621"/>
      <c r="AT143" s="1622"/>
      <c r="AU143" s="1621"/>
      <c r="AV143" s="1622"/>
      <c r="AW143" s="1621"/>
      <c r="AX143" s="1622"/>
      <c r="AY143" s="1621"/>
      <c r="AZ143" s="1141"/>
      <c r="BA143" s="1621"/>
      <c r="BB143" s="1622"/>
      <c r="BC143" s="1621"/>
      <c r="BD143" s="1622"/>
      <c r="BE143" s="1621"/>
      <c r="BF143" s="1622"/>
      <c r="BG143" s="1621"/>
      <c r="BH143" s="1622"/>
      <c r="BI143" s="1621"/>
      <c r="BJ143" s="1622"/>
      <c r="BK143" s="1621"/>
      <c r="BL143" s="1152"/>
      <c r="BM143" s="1784"/>
      <c r="BN143" s="1785"/>
      <c r="BO143" s="1784"/>
      <c r="BP143" s="783">
        <f t="shared" si="82"/>
        <v>1</v>
      </c>
      <c r="BQ143" s="1589">
        <f t="shared" si="83"/>
        <v>0</v>
      </c>
      <c r="BR143" s="1572">
        <f t="shared" si="84"/>
        <v>0</v>
      </c>
      <c r="BS143" s="784">
        <f t="shared" si="85"/>
        <v>0</v>
      </c>
      <c r="BT143" s="1544"/>
      <c r="BU143" s="1545"/>
    </row>
    <row r="144" ht="19.5" customHeight="1">
      <c r="A144" s="1565" t="s">
        <v>145</v>
      </c>
      <c r="B144" s="1611">
        <v>3751.0</v>
      </c>
      <c r="C144" s="1567">
        <v>280.0</v>
      </c>
      <c r="D144" s="1612" t="s">
        <v>537</v>
      </c>
      <c r="E144" s="1613" t="str">
        <f>'Матрица 4 недели'!M75</f>
        <v>Томленая говядина с птитим</v>
      </c>
      <c r="F144" s="1137">
        <v>7.0</v>
      </c>
      <c r="G144" s="1121">
        <v>6.0</v>
      </c>
      <c r="H144" s="1126">
        <v>4.0</v>
      </c>
      <c r="I144" s="1121">
        <v>4.0</v>
      </c>
      <c r="J144" s="1126">
        <v>4.0</v>
      </c>
      <c r="K144" s="1600">
        <v>4.0</v>
      </c>
      <c r="L144" s="1161">
        <v>2.0</v>
      </c>
      <c r="M144" s="1600">
        <v>2.0</v>
      </c>
      <c r="N144" s="1126">
        <v>6.0</v>
      </c>
      <c r="O144" s="1121">
        <v>6.0</v>
      </c>
      <c r="P144" s="1126">
        <v>4.0</v>
      </c>
      <c r="Q144" s="1121">
        <v>4.0</v>
      </c>
      <c r="R144" s="1126">
        <v>2.0</v>
      </c>
      <c r="S144" s="1121">
        <v>2.0</v>
      </c>
      <c r="T144" s="1126">
        <v>3.0</v>
      </c>
      <c r="U144" s="1138">
        <v>3.0</v>
      </c>
      <c r="V144" s="1137">
        <v>5.0</v>
      </c>
      <c r="W144" s="1138">
        <v>5.0</v>
      </c>
      <c r="X144" s="1137">
        <v>3.0</v>
      </c>
      <c r="Y144" s="1138">
        <v>3.0</v>
      </c>
      <c r="Z144" s="1137"/>
      <c r="AA144" s="1138"/>
      <c r="AB144" s="1137">
        <v>0.0</v>
      </c>
      <c r="AC144" s="1138">
        <v>0.0</v>
      </c>
      <c r="AD144" s="1137">
        <v>2.0</v>
      </c>
      <c r="AE144" s="1138">
        <v>2.0</v>
      </c>
      <c r="AF144" s="1137">
        <v>3.0</v>
      </c>
      <c r="AG144" s="1138">
        <v>3.0</v>
      </c>
      <c r="AH144" s="1137">
        <v>3.0</v>
      </c>
      <c r="AI144" s="1138">
        <v>3.0</v>
      </c>
      <c r="AJ144" s="1137">
        <v>3.0</v>
      </c>
      <c r="AK144" s="1138">
        <v>3.0</v>
      </c>
      <c r="AL144" s="1120">
        <v>2.0</v>
      </c>
      <c r="AM144" s="1138">
        <v>1.0</v>
      </c>
      <c r="AN144" s="1120">
        <v>2.0</v>
      </c>
      <c r="AO144" s="1131">
        <v>2.0</v>
      </c>
      <c r="AP144" s="1120">
        <v>2.0</v>
      </c>
      <c r="AQ144" s="1131">
        <v>2.0</v>
      </c>
      <c r="AR144" s="1120">
        <v>2.0</v>
      </c>
      <c r="AS144" s="1121">
        <v>2.0</v>
      </c>
      <c r="AT144" s="1126">
        <v>2.0</v>
      </c>
      <c r="AU144" s="1121">
        <v>2.0</v>
      </c>
      <c r="AV144" s="1126">
        <v>2.0</v>
      </c>
      <c r="AW144" s="1121">
        <v>2.0</v>
      </c>
      <c r="AX144" s="1126">
        <v>4.0</v>
      </c>
      <c r="AY144" s="1121">
        <v>4.0</v>
      </c>
      <c r="AZ144" s="1141">
        <v>2.0</v>
      </c>
      <c r="BA144" s="1121">
        <v>2.0</v>
      </c>
      <c r="BB144" s="1126">
        <v>9.0</v>
      </c>
      <c r="BC144" s="1121">
        <v>9.0</v>
      </c>
      <c r="BD144" s="1126">
        <v>2.0</v>
      </c>
      <c r="BE144" s="1121">
        <v>2.0</v>
      </c>
      <c r="BF144" s="1126">
        <v>5.0</v>
      </c>
      <c r="BG144" s="1121">
        <v>5.0</v>
      </c>
      <c r="BH144" s="1126">
        <v>4.0</v>
      </c>
      <c r="BI144" s="1121">
        <v>4.0</v>
      </c>
      <c r="BJ144" s="1126">
        <v>5.0</v>
      </c>
      <c r="BK144" s="1121">
        <v>5.0</v>
      </c>
      <c r="BL144" s="1152"/>
      <c r="BM144" s="1784"/>
      <c r="BN144" s="1785"/>
      <c r="BO144" s="1784"/>
      <c r="BP144" s="783">
        <f t="shared" si="82"/>
        <v>95</v>
      </c>
      <c r="BQ144" s="1571">
        <f t="shared" si="83"/>
        <v>92</v>
      </c>
      <c r="BR144" s="1572">
        <f t="shared" si="84"/>
        <v>25760</v>
      </c>
      <c r="BS144" s="784">
        <f t="shared" si="85"/>
        <v>26600</v>
      </c>
      <c r="BT144" s="1544"/>
      <c r="BU144" s="1545"/>
    </row>
    <row r="145" ht="19.5" customHeight="1">
      <c r="A145" s="1565"/>
      <c r="B145" s="1611">
        <v>2483.0</v>
      </c>
      <c r="C145" s="1567">
        <v>80.0</v>
      </c>
      <c r="D145" s="1612" t="s">
        <v>78</v>
      </c>
      <c r="E145" s="1690" t="str">
        <f>'Матрица 4 недели'!P69</f>
        <v>Самса с курицей 110 грамм</v>
      </c>
      <c r="F145" s="1126"/>
      <c r="G145" s="1138"/>
      <c r="H145" s="1126"/>
      <c r="I145" s="1138"/>
      <c r="J145" s="1126"/>
      <c r="K145" s="1138"/>
      <c r="L145" s="1126"/>
      <c r="M145" s="1138"/>
      <c r="N145" s="1126"/>
      <c r="O145" s="1138"/>
      <c r="P145" s="1126"/>
      <c r="Q145" s="1138"/>
      <c r="R145" s="1120"/>
      <c r="S145" s="1138"/>
      <c r="T145" s="1137"/>
      <c r="U145" s="1138"/>
      <c r="V145" s="1137"/>
      <c r="W145" s="1138"/>
      <c r="X145" s="1137"/>
      <c r="Y145" s="1138"/>
      <c r="Z145" s="1126"/>
      <c r="AA145" s="1138"/>
      <c r="AB145" s="1120"/>
      <c r="AC145" s="1138"/>
      <c r="AD145" s="1137"/>
      <c r="AE145" s="1138"/>
      <c r="AF145" s="1137"/>
      <c r="AG145" s="1121"/>
      <c r="AH145" s="1120"/>
      <c r="AI145" s="1121"/>
      <c r="AJ145" s="1120"/>
      <c r="AK145" s="1121"/>
      <c r="AL145" s="1126"/>
      <c r="AM145" s="1121"/>
      <c r="AN145" s="1137"/>
      <c r="AO145" s="1121"/>
      <c r="AP145" s="1137"/>
      <c r="AQ145" s="1121"/>
      <c r="AR145" s="1137"/>
      <c r="AS145" s="1138"/>
      <c r="AT145" s="1126"/>
      <c r="AU145" s="1138"/>
      <c r="AV145" s="1126"/>
      <c r="AW145" s="1138"/>
      <c r="AX145" s="1126"/>
      <c r="AY145" s="1138"/>
      <c r="AZ145" s="1126"/>
      <c r="BA145" s="1138"/>
      <c r="BB145" s="1126"/>
      <c r="BC145" s="1138"/>
      <c r="BD145" s="1126"/>
      <c r="BE145" s="1138"/>
      <c r="BF145" s="1126"/>
      <c r="BG145" s="1138"/>
      <c r="BH145" s="1126"/>
      <c r="BI145" s="1138"/>
      <c r="BJ145" s="1126"/>
      <c r="BK145" s="1138"/>
      <c r="BL145" s="1152">
        <v>11.0</v>
      </c>
      <c r="BM145" s="1138">
        <v>15.0</v>
      </c>
      <c r="BN145" s="1087"/>
      <c r="BO145" s="1138"/>
      <c r="BP145" s="783">
        <f t="shared" si="82"/>
        <v>12</v>
      </c>
      <c r="BQ145" s="1571">
        <f t="shared" si="83"/>
        <v>15</v>
      </c>
      <c r="BR145" s="1572">
        <f t="shared" si="84"/>
        <v>1200</v>
      </c>
      <c r="BS145" s="784">
        <f t="shared" si="85"/>
        <v>960</v>
      </c>
      <c r="BT145" s="1544"/>
      <c r="BU145" s="1545"/>
    </row>
    <row r="146" ht="19.5" customHeight="1">
      <c r="A146" s="1565"/>
      <c r="B146" s="1611"/>
      <c r="C146" s="1567"/>
      <c r="D146" s="1568"/>
      <c r="E146" s="1682" t="str">
        <f>'Матрица 4 недели'!P70</f>
        <v/>
      </c>
      <c r="F146" s="1137"/>
      <c r="G146" s="1121"/>
      <c r="H146" s="1126"/>
      <c r="I146" s="1121"/>
      <c r="J146" s="1126"/>
      <c r="K146" s="1160"/>
      <c r="L146" s="1161"/>
      <c r="M146" s="1162"/>
      <c r="N146" s="1126"/>
      <c r="O146" s="1121"/>
      <c r="P146" s="1126"/>
      <c r="Q146" s="1121"/>
      <c r="R146" s="1126"/>
      <c r="S146" s="1121"/>
      <c r="T146" s="1126"/>
      <c r="U146" s="1121"/>
      <c r="V146" s="1137"/>
      <c r="W146" s="1121"/>
      <c r="X146" s="1137"/>
      <c r="Y146" s="1121"/>
      <c r="Z146" s="1126"/>
      <c r="AA146" s="1121"/>
      <c r="AB146" s="1137"/>
      <c r="AC146" s="1121"/>
      <c r="AD146" s="1137"/>
      <c r="AE146" s="1121"/>
      <c r="AF146" s="1120"/>
      <c r="AG146" s="1121"/>
      <c r="AH146" s="1137"/>
      <c r="AI146" s="1121"/>
      <c r="AJ146" s="1120"/>
      <c r="AK146" s="1121"/>
      <c r="AL146" s="1126"/>
      <c r="AM146" s="1121"/>
      <c r="AN146" s="1120"/>
      <c r="AO146" s="1138"/>
      <c r="AP146" s="1126"/>
      <c r="AQ146" s="1138"/>
      <c r="AR146" s="1120"/>
      <c r="AS146" s="1121"/>
      <c r="AT146" s="1126"/>
      <c r="AU146" s="1121"/>
      <c r="AV146" s="1126"/>
      <c r="AW146" s="1121"/>
      <c r="AX146" s="1126"/>
      <c r="AY146" s="1121"/>
      <c r="AZ146" s="1126"/>
      <c r="BA146" s="1121"/>
      <c r="BB146" s="1126"/>
      <c r="BC146" s="1121"/>
      <c r="BD146" s="1126"/>
      <c r="BE146" s="1121"/>
      <c r="BF146" s="1126"/>
      <c r="BG146" s="1121"/>
      <c r="BH146" s="1126"/>
      <c r="BI146" s="1121"/>
      <c r="BJ146" s="1126"/>
      <c r="BK146" s="1121"/>
      <c r="BL146" s="1152"/>
      <c r="BM146" s="1138"/>
      <c r="BN146" s="1087"/>
      <c r="BO146" s="1138"/>
      <c r="BP146" s="783">
        <f t="shared" si="82"/>
        <v>1</v>
      </c>
      <c r="BQ146" s="1571">
        <f t="shared" si="83"/>
        <v>0</v>
      </c>
      <c r="BR146" s="1572">
        <f t="shared" si="84"/>
        <v>0</v>
      </c>
      <c r="BS146" s="784">
        <f t="shared" si="85"/>
        <v>0</v>
      </c>
      <c r="BT146" s="1544"/>
      <c r="BU146" s="1545"/>
    </row>
    <row r="147" ht="19.5" customHeight="1">
      <c r="A147" s="1565" t="s">
        <v>145</v>
      </c>
      <c r="B147" s="1611">
        <v>3.0</v>
      </c>
      <c r="C147" s="1567">
        <v>172.0</v>
      </c>
      <c r="D147" s="1612" t="s">
        <v>79</v>
      </c>
      <c r="E147" s="1887" t="str">
        <f>'Матрица 4 недели'!S69</f>
        <v>Сэндвич с курочкой и скремблом</v>
      </c>
      <c r="F147" s="1137">
        <v>10.0</v>
      </c>
      <c r="G147" s="1121">
        <v>10.0</v>
      </c>
      <c r="H147" s="1126">
        <v>3.0</v>
      </c>
      <c r="I147" s="1121">
        <v>3.0</v>
      </c>
      <c r="J147" s="1126">
        <v>3.0</v>
      </c>
      <c r="K147" s="1160">
        <v>3.0</v>
      </c>
      <c r="L147" s="1161">
        <v>4.0</v>
      </c>
      <c r="M147" s="1160">
        <v>4.0</v>
      </c>
      <c r="N147" s="1126">
        <v>6.0</v>
      </c>
      <c r="O147" s="1121">
        <v>8.0</v>
      </c>
      <c r="P147" s="1126">
        <v>6.0</v>
      </c>
      <c r="Q147" s="1121">
        <v>7.0</v>
      </c>
      <c r="R147" s="1120">
        <v>3.0</v>
      </c>
      <c r="S147" s="1121">
        <v>3.0</v>
      </c>
      <c r="T147" s="1126">
        <v>4.0</v>
      </c>
      <c r="U147" s="1138">
        <v>4.0</v>
      </c>
      <c r="V147" s="1137">
        <v>5.0</v>
      </c>
      <c r="W147" s="1138">
        <v>5.0</v>
      </c>
      <c r="X147" s="1137">
        <v>3.0</v>
      </c>
      <c r="Y147" s="1138">
        <v>3.0</v>
      </c>
      <c r="Z147" s="1137"/>
      <c r="AA147" s="1138"/>
      <c r="AB147" s="1137">
        <v>3.0</v>
      </c>
      <c r="AC147" s="1138">
        <v>3.0</v>
      </c>
      <c r="AD147" s="1137">
        <v>6.0</v>
      </c>
      <c r="AE147" s="1138">
        <v>6.0</v>
      </c>
      <c r="AF147" s="1137">
        <v>2.0</v>
      </c>
      <c r="AG147" s="1138">
        <v>2.0</v>
      </c>
      <c r="AH147" s="1137">
        <v>5.0</v>
      </c>
      <c r="AI147" s="1138">
        <v>5.0</v>
      </c>
      <c r="AJ147" s="1137">
        <v>4.0</v>
      </c>
      <c r="AK147" s="1138">
        <v>4.0</v>
      </c>
      <c r="AL147" s="1126">
        <v>4.0</v>
      </c>
      <c r="AM147" s="1138">
        <v>4.0</v>
      </c>
      <c r="AN147" s="1120">
        <v>3.0</v>
      </c>
      <c r="AO147" s="1307">
        <v>3.0</v>
      </c>
      <c r="AP147" s="1141">
        <v>5.0</v>
      </c>
      <c r="AQ147" s="1305">
        <v>5.0</v>
      </c>
      <c r="AR147" s="1126">
        <v>8.0</v>
      </c>
      <c r="AS147" s="1138">
        <v>9.0</v>
      </c>
      <c r="AT147" s="1126">
        <v>4.0</v>
      </c>
      <c r="AU147" s="1138">
        <v>4.0</v>
      </c>
      <c r="AV147" s="1126">
        <v>3.0</v>
      </c>
      <c r="AW147" s="1138">
        <v>3.0</v>
      </c>
      <c r="AX147" s="1126">
        <v>1.0</v>
      </c>
      <c r="AY147" s="1138">
        <v>1.0</v>
      </c>
      <c r="AZ147" s="1126">
        <v>3.0</v>
      </c>
      <c r="BA147" s="1138">
        <v>3.0</v>
      </c>
      <c r="BB147" s="1126">
        <v>6.0</v>
      </c>
      <c r="BC147" s="1138">
        <v>12.0</v>
      </c>
      <c r="BD147" s="1126">
        <v>2.0</v>
      </c>
      <c r="BE147" s="1138">
        <v>2.0</v>
      </c>
      <c r="BF147" s="1126">
        <v>4.0</v>
      </c>
      <c r="BG147" s="1138">
        <v>4.0</v>
      </c>
      <c r="BH147" s="1126">
        <v>3.0</v>
      </c>
      <c r="BI147" s="1138">
        <v>3.0</v>
      </c>
      <c r="BJ147" s="1126">
        <v>5.0</v>
      </c>
      <c r="BK147" s="1138">
        <v>5.0</v>
      </c>
      <c r="BL147" s="1152"/>
      <c r="BM147" s="1653"/>
      <c r="BN147" s="1785"/>
      <c r="BO147" s="1784"/>
      <c r="BP147" s="783">
        <f t="shared" si="82"/>
        <v>119</v>
      </c>
      <c r="BQ147" s="1571">
        <f t="shared" si="83"/>
        <v>128</v>
      </c>
      <c r="BR147" s="1572">
        <f t="shared" si="84"/>
        <v>22016</v>
      </c>
      <c r="BS147" s="784">
        <f t="shared" si="85"/>
        <v>20468</v>
      </c>
      <c r="BT147" s="1544"/>
      <c r="BU147" s="1545"/>
    </row>
    <row r="148" ht="19.5" customHeight="1">
      <c r="A148" s="1565" t="s">
        <v>145</v>
      </c>
      <c r="B148" s="1611">
        <v>54.0</v>
      </c>
      <c r="C148" s="1567">
        <v>188.0</v>
      </c>
      <c r="D148" s="1612" t="s">
        <v>79</v>
      </c>
      <c r="E148" s="1887" t="str">
        <f>'Матрица 4 недели'!S70</f>
        <v>Сэндвич с тунцом с соусом Том Ям</v>
      </c>
      <c r="F148" s="1137">
        <v>7.0</v>
      </c>
      <c r="G148" s="1121">
        <v>7.0</v>
      </c>
      <c r="H148" s="1126">
        <v>2.0</v>
      </c>
      <c r="I148" s="1121">
        <v>2.0</v>
      </c>
      <c r="J148" s="1126">
        <v>3.0</v>
      </c>
      <c r="K148" s="1160">
        <v>3.0</v>
      </c>
      <c r="L148" s="1161">
        <v>3.0</v>
      </c>
      <c r="M148" s="1162">
        <v>3.0</v>
      </c>
      <c r="N148" s="1126">
        <v>2.0</v>
      </c>
      <c r="O148" s="1121">
        <v>2.0</v>
      </c>
      <c r="P148" s="1126">
        <v>7.0</v>
      </c>
      <c r="Q148" s="1121">
        <v>7.0</v>
      </c>
      <c r="R148" s="1120">
        <v>3.0</v>
      </c>
      <c r="S148" s="1121">
        <v>3.0</v>
      </c>
      <c r="T148" s="1126">
        <v>3.0</v>
      </c>
      <c r="U148" s="1121">
        <v>3.0</v>
      </c>
      <c r="V148" s="1137">
        <v>4.0</v>
      </c>
      <c r="W148" s="1121">
        <v>4.0</v>
      </c>
      <c r="X148" s="1137">
        <v>6.0</v>
      </c>
      <c r="Y148" s="1121">
        <v>6.0</v>
      </c>
      <c r="Z148" s="1137"/>
      <c r="AA148" s="1121"/>
      <c r="AB148" s="1137">
        <v>4.0</v>
      </c>
      <c r="AC148" s="1121">
        <v>4.0</v>
      </c>
      <c r="AD148" s="1137">
        <v>7.0</v>
      </c>
      <c r="AE148" s="1121">
        <v>7.0</v>
      </c>
      <c r="AF148" s="1120">
        <v>4.0</v>
      </c>
      <c r="AG148" s="1121">
        <v>4.0</v>
      </c>
      <c r="AH148" s="1137">
        <v>5.0</v>
      </c>
      <c r="AI148" s="1121">
        <v>5.0</v>
      </c>
      <c r="AJ148" s="1120">
        <v>3.0</v>
      </c>
      <c r="AK148" s="1121">
        <v>3.0</v>
      </c>
      <c r="AL148" s="1126">
        <v>4.0</v>
      </c>
      <c r="AM148" s="1121">
        <v>4.0</v>
      </c>
      <c r="AN148" s="1120">
        <v>1.0</v>
      </c>
      <c r="AO148" s="1307">
        <v>1.0</v>
      </c>
      <c r="AP148" s="1141">
        <v>5.0</v>
      </c>
      <c r="AQ148" s="1307">
        <v>5.0</v>
      </c>
      <c r="AR148" s="1126">
        <v>10.0</v>
      </c>
      <c r="AS148" s="1138">
        <v>10.0</v>
      </c>
      <c r="AT148" s="1126">
        <v>3.0</v>
      </c>
      <c r="AU148" s="1138">
        <v>3.0</v>
      </c>
      <c r="AV148" s="1126">
        <v>3.0</v>
      </c>
      <c r="AW148" s="1138">
        <v>3.0</v>
      </c>
      <c r="AX148" s="1126">
        <v>7.0</v>
      </c>
      <c r="AY148" s="1138">
        <v>7.0</v>
      </c>
      <c r="AZ148" s="1126">
        <v>2.0</v>
      </c>
      <c r="BA148" s="1138">
        <v>2.0</v>
      </c>
      <c r="BB148" s="1126">
        <v>6.0</v>
      </c>
      <c r="BC148" s="1138">
        <v>6.0</v>
      </c>
      <c r="BD148" s="1126">
        <v>2.0</v>
      </c>
      <c r="BE148" s="1138">
        <v>2.0</v>
      </c>
      <c r="BF148" s="1126">
        <v>5.0</v>
      </c>
      <c r="BG148" s="1138">
        <v>5.0</v>
      </c>
      <c r="BH148" s="1126">
        <v>5.0</v>
      </c>
      <c r="BI148" s="1138">
        <v>5.0</v>
      </c>
      <c r="BJ148" s="1126">
        <v>7.0</v>
      </c>
      <c r="BK148" s="1138">
        <v>7.0</v>
      </c>
      <c r="BL148" s="1152"/>
      <c r="BM148" s="1138"/>
      <c r="BN148" s="1087"/>
      <c r="BO148" s="1138"/>
      <c r="BP148" s="783">
        <f t="shared" si="82"/>
        <v>124</v>
      </c>
      <c r="BQ148" s="1571">
        <f t="shared" si="83"/>
        <v>123</v>
      </c>
      <c r="BR148" s="1572">
        <f t="shared" si="84"/>
        <v>23124</v>
      </c>
      <c r="BS148" s="784">
        <f t="shared" si="85"/>
        <v>23312</v>
      </c>
      <c r="BT148" s="1544"/>
      <c r="BU148" s="1545"/>
    </row>
    <row r="149" ht="19.5" customHeight="1">
      <c r="A149" s="1565" t="s">
        <v>145</v>
      </c>
      <c r="B149" s="1567">
        <v>2943.0</v>
      </c>
      <c r="C149" s="1567">
        <v>152.0</v>
      </c>
      <c r="D149" s="1612" t="s">
        <v>80</v>
      </c>
      <c r="E149" s="1887" t="str">
        <f>'Матрица 4 недели'!V69</f>
        <v>Онигири с куриным филе в соусе спайси</v>
      </c>
      <c r="F149" s="1888">
        <v>15.0</v>
      </c>
      <c r="G149" s="1889">
        <v>15.0</v>
      </c>
      <c r="H149" s="1890">
        <v>6.0</v>
      </c>
      <c r="I149" s="1891">
        <v>6.0</v>
      </c>
      <c r="J149" s="1890">
        <v>5.0</v>
      </c>
      <c r="K149" s="1892">
        <v>5.0</v>
      </c>
      <c r="L149" s="1893"/>
      <c r="M149" s="1892"/>
      <c r="N149" s="1890">
        <v>5.0</v>
      </c>
      <c r="O149" s="1889">
        <v>5.0</v>
      </c>
      <c r="P149" s="1890">
        <v>2.0</v>
      </c>
      <c r="Q149" s="1894">
        <v>2.0</v>
      </c>
      <c r="R149" s="1895"/>
      <c r="S149" s="1896"/>
      <c r="T149" s="1897"/>
      <c r="U149" s="1896"/>
      <c r="V149" s="1888">
        <v>2.0</v>
      </c>
      <c r="W149" s="1896">
        <v>2.0</v>
      </c>
      <c r="X149" s="1888"/>
      <c r="Y149" s="1896"/>
      <c r="Z149" s="1895"/>
      <c r="AA149" s="1896"/>
      <c r="AB149" s="1888">
        <v>1.0</v>
      </c>
      <c r="AC149" s="1896">
        <v>1.0</v>
      </c>
      <c r="AD149" s="1888"/>
      <c r="AE149" s="1896"/>
      <c r="AF149" s="1888">
        <v>2.0</v>
      </c>
      <c r="AG149" s="1896">
        <v>2.0</v>
      </c>
      <c r="AH149" s="1888">
        <v>2.0</v>
      </c>
      <c r="AI149" s="1896">
        <v>2.0</v>
      </c>
      <c r="AJ149" s="1888">
        <v>4.0</v>
      </c>
      <c r="AK149" s="1896">
        <v>4.0</v>
      </c>
      <c r="AL149" s="1897"/>
      <c r="AM149" s="1896"/>
      <c r="AN149" s="1897"/>
      <c r="AO149" s="1889"/>
      <c r="AP149" s="1897"/>
      <c r="AQ149" s="1889"/>
      <c r="AR149" s="1888"/>
      <c r="AS149" s="1898"/>
      <c r="AT149" s="1895"/>
      <c r="AU149" s="1896"/>
      <c r="AV149" s="1890">
        <v>6.0</v>
      </c>
      <c r="AW149" s="1889">
        <v>6.0</v>
      </c>
      <c r="AX149" s="1890"/>
      <c r="AY149" s="1889"/>
      <c r="AZ149" s="1890"/>
      <c r="BA149" s="1889"/>
      <c r="BB149" s="1895"/>
      <c r="BC149" s="1889"/>
      <c r="BD149" s="1895"/>
      <c r="BE149" s="1889"/>
      <c r="BF149" s="1890">
        <v>4.0</v>
      </c>
      <c r="BG149" s="1889">
        <v>4.0</v>
      </c>
      <c r="BH149" s="1890">
        <v>1.0</v>
      </c>
      <c r="BI149" s="1138">
        <v>1.0</v>
      </c>
      <c r="BJ149" s="1126">
        <v>4.0</v>
      </c>
      <c r="BK149" s="1138">
        <v>4.0</v>
      </c>
      <c r="BL149" s="1152"/>
      <c r="BM149" s="1138"/>
      <c r="BN149" s="1087"/>
      <c r="BO149" s="1138"/>
      <c r="BP149" s="783">
        <f t="shared" si="82"/>
        <v>60</v>
      </c>
      <c r="BQ149" s="1589">
        <f t="shared" si="83"/>
        <v>59</v>
      </c>
      <c r="BR149" s="1572">
        <f t="shared" si="84"/>
        <v>8968</v>
      </c>
      <c r="BS149" s="784">
        <f t="shared" si="85"/>
        <v>9120</v>
      </c>
      <c r="BT149" s="1544"/>
      <c r="BU149" s="1807"/>
    </row>
    <row r="150" ht="19.5" customHeight="1">
      <c r="A150" s="1565" t="s">
        <v>145</v>
      </c>
      <c r="B150" s="1567">
        <v>4000.0</v>
      </c>
      <c r="C150" s="1567">
        <v>98.0</v>
      </c>
      <c r="D150" s="1612" t="s">
        <v>80</v>
      </c>
      <c r="E150" s="733" t="str">
        <f>'Матрица 4 недели'!V70</f>
        <v>Компот из сухофруктов 0,5 л</v>
      </c>
      <c r="F150" s="1126">
        <v>12.0</v>
      </c>
      <c r="G150" s="1138">
        <v>15.0</v>
      </c>
      <c r="H150" s="1126">
        <v>3.0</v>
      </c>
      <c r="I150" s="1138">
        <v>3.0</v>
      </c>
      <c r="J150" s="1126">
        <v>10.0</v>
      </c>
      <c r="K150" s="1138">
        <v>12.0</v>
      </c>
      <c r="L150" s="1126">
        <v>5.0</v>
      </c>
      <c r="M150" s="1138">
        <v>10.0</v>
      </c>
      <c r="N150" s="1126">
        <v>0.0</v>
      </c>
      <c r="O150" s="1138">
        <v>0.0</v>
      </c>
      <c r="P150" s="1126">
        <v>12.0</v>
      </c>
      <c r="Q150" s="1138">
        <v>14.0</v>
      </c>
      <c r="R150" s="1120">
        <v>0.0</v>
      </c>
      <c r="S150" s="1138">
        <v>0.0</v>
      </c>
      <c r="T150" s="1137">
        <v>12.0</v>
      </c>
      <c r="U150" s="1138">
        <v>14.0</v>
      </c>
      <c r="V150" s="1126">
        <v>0.0</v>
      </c>
      <c r="W150" s="1138">
        <v>0.0</v>
      </c>
      <c r="X150" s="1126">
        <v>0.0</v>
      </c>
      <c r="Y150" s="1138">
        <v>0.0</v>
      </c>
      <c r="Z150" s="1126"/>
      <c r="AA150" s="1138"/>
      <c r="AB150" s="1120">
        <v>0.0</v>
      </c>
      <c r="AC150" s="1138">
        <v>0.0</v>
      </c>
      <c r="AD150" s="1137">
        <v>0.0</v>
      </c>
      <c r="AE150" s="1138">
        <v>0.0</v>
      </c>
      <c r="AF150" s="1137">
        <v>5.0</v>
      </c>
      <c r="AG150" s="1138">
        <v>7.0</v>
      </c>
      <c r="AH150" s="1137">
        <v>0.0</v>
      </c>
      <c r="AI150" s="1138">
        <v>0.0</v>
      </c>
      <c r="AJ150" s="1137">
        <v>0.0</v>
      </c>
      <c r="AK150" s="1138">
        <v>0.0</v>
      </c>
      <c r="AL150" s="1120">
        <v>0.0</v>
      </c>
      <c r="AM150" s="1138">
        <v>0.0</v>
      </c>
      <c r="AN150" s="1137">
        <v>10.0</v>
      </c>
      <c r="AO150" s="1138">
        <v>12.0</v>
      </c>
      <c r="AP150" s="1126">
        <v>0.0</v>
      </c>
      <c r="AQ150" s="1121">
        <v>0.0</v>
      </c>
      <c r="AR150" s="1126">
        <v>30.0</v>
      </c>
      <c r="AS150" s="1121">
        <v>33.0</v>
      </c>
      <c r="AT150" s="1126">
        <v>8.0</v>
      </c>
      <c r="AU150" s="1121">
        <v>10.0</v>
      </c>
      <c r="AV150" s="1126">
        <v>15.0</v>
      </c>
      <c r="AW150" s="1121">
        <v>17.0</v>
      </c>
      <c r="AX150" s="1126">
        <v>20.0</v>
      </c>
      <c r="AY150" s="1121">
        <v>22.0</v>
      </c>
      <c r="AZ150" s="1126">
        <v>0.0</v>
      </c>
      <c r="BA150" s="1121">
        <v>0.0</v>
      </c>
      <c r="BB150" s="1126">
        <v>10.0</v>
      </c>
      <c r="BC150" s="1121">
        <v>11.0</v>
      </c>
      <c r="BD150" s="1126">
        <v>8.0</v>
      </c>
      <c r="BE150" s="1121">
        <v>8.0</v>
      </c>
      <c r="BF150" s="1126">
        <v>17.0</v>
      </c>
      <c r="BG150" s="1121">
        <v>17.0</v>
      </c>
      <c r="BH150" s="1126">
        <v>5.0</v>
      </c>
      <c r="BI150" s="1121">
        <v>5.0</v>
      </c>
      <c r="BJ150" s="1126">
        <v>13.0</v>
      </c>
      <c r="BK150" s="1121">
        <v>13.0</v>
      </c>
      <c r="BL150" s="1152"/>
      <c r="BM150" s="1653"/>
      <c r="BN150" s="1785"/>
      <c r="BO150" s="1784"/>
      <c r="BP150" s="783">
        <f t="shared" si="82"/>
        <v>196</v>
      </c>
      <c r="BQ150" s="1571">
        <f t="shared" si="83"/>
        <v>223</v>
      </c>
      <c r="BR150" s="1572">
        <f t="shared" si="84"/>
        <v>21854</v>
      </c>
      <c r="BS150" s="784">
        <f t="shared" si="85"/>
        <v>19208</v>
      </c>
      <c r="BT150" s="1544"/>
      <c r="BU150" s="1807"/>
    </row>
    <row r="151" ht="19.5" customHeight="1">
      <c r="A151" s="1565" t="s">
        <v>145</v>
      </c>
      <c r="B151" s="1567">
        <v>822.0</v>
      </c>
      <c r="C151" s="1567">
        <v>5.0</v>
      </c>
      <c r="D151" s="1612" t="s">
        <v>74</v>
      </c>
      <c r="E151" s="733" t="str">
        <f>'Матрица 4 недели'!J52</f>
        <v>Хлеб пшеничный</v>
      </c>
      <c r="F151" s="1126">
        <v>7.0</v>
      </c>
      <c r="G151" s="1138">
        <v>5.0</v>
      </c>
      <c r="H151" s="1126">
        <v>3.0</v>
      </c>
      <c r="I151" s="1138">
        <v>2.0</v>
      </c>
      <c r="J151" s="1126"/>
      <c r="K151" s="1138"/>
      <c r="L151" s="1126">
        <v>3.0</v>
      </c>
      <c r="M151" s="1138">
        <v>3.0</v>
      </c>
      <c r="N151" s="1126">
        <v>4.0</v>
      </c>
      <c r="O151" s="1138">
        <v>3.0</v>
      </c>
      <c r="P151" s="1120">
        <v>4.0</v>
      </c>
      <c r="Q151" s="1131">
        <v>3.0</v>
      </c>
      <c r="R151" s="1126">
        <v>3.0</v>
      </c>
      <c r="S151" s="1138">
        <v>3.0</v>
      </c>
      <c r="T151" s="1126">
        <v>3.0</v>
      </c>
      <c r="U151" s="1138">
        <v>3.0</v>
      </c>
      <c r="V151" s="1126">
        <v>7.0</v>
      </c>
      <c r="W151" s="1138">
        <v>5.0</v>
      </c>
      <c r="X151" s="1126">
        <v>4.0</v>
      </c>
      <c r="Y151" s="1138">
        <v>3.0</v>
      </c>
      <c r="Z151" s="1126"/>
      <c r="AA151" s="1138"/>
      <c r="AB151" s="1126">
        <v>3.0</v>
      </c>
      <c r="AC151" s="1138">
        <v>3.0</v>
      </c>
      <c r="AD151" s="1126">
        <v>4.0</v>
      </c>
      <c r="AE151" s="1138">
        <v>4.0</v>
      </c>
      <c r="AF151" s="1126">
        <v>7.0</v>
      </c>
      <c r="AG151" s="1138">
        <v>7.0</v>
      </c>
      <c r="AH151" s="1126"/>
      <c r="AI151" s="1138"/>
      <c r="AJ151" s="1126">
        <v>3.0</v>
      </c>
      <c r="AK151" s="1138">
        <v>3.0</v>
      </c>
      <c r="AL151" s="1126">
        <v>8.0</v>
      </c>
      <c r="AM151" s="1138">
        <v>6.0</v>
      </c>
      <c r="AN151" s="1126"/>
      <c r="AO151" s="1138"/>
      <c r="AP151" s="1126">
        <v>3.0</v>
      </c>
      <c r="AQ151" s="1138">
        <v>3.0</v>
      </c>
      <c r="AR151" s="1126"/>
      <c r="AS151" s="1138"/>
      <c r="AT151" s="1126">
        <v>5.0</v>
      </c>
      <c r="AU151" s="1138">
        <v>4.0</v>
      </c>
      <c r="AV151" s="1126">
        <v>3.0</v>
      </c>
      <c r="AW151" s="1138">
        <v>3.0</v>
      </c>
      <c r="AX151" s="1126">
        <v>4.0</v>
      </c>
      <c r="AY151" s="1138">
        <v>4.0</v>
      </c>
      <c r="AZ151" s="1126">
        <v>20.0</v>
      </c>
      <c r="BA151" s="1138">
        <v>20.0</v>
      </c>
      <c r="BB151" s="1126">
        <v>5.0</v>
      </c>
      <c r="BC151" s="1138">
        <v>5.0</v>
      </c>
      <c r="BD151" s="1126">
        <v>3.0</v>
      </c>
      <c r="BE151" s="1138">
        <v>3.0</v>
      </c>
      <c r="BF151" s="1126">
        <v>6.0</v>
      </c>
      <c r="BG151" s="1138">
        <v>4.0</v>
      </c>
      <c r="BH151" s="1126">
        <v>0.0</v>
      </c>
      <c r="BI151" s="1138">
        <v>0.0</v>
      </c>
      <c r="BJ151" s="1126">
        <v>3.0</v>
      </c>
      <c r="BK151" s="1138">
        <v>3.0</v>
      </c>
      <c r="BL151" s="1152">
        <v>110.0</v>
      </c>
      <c r="BM151" s="1784">
        <v>110.0</v>
      </c>
      <c r="BN151" s="1785"/>
      <c r="BO151" s="1784"/>
      <c r="BP151" s="783">
        <f t="shared" si="82"/>
        <v>226</v>
      </c>
      <c r="BQ151" s="1571">
        <f t="shared" si="83"/>
        <v>212</v>
      </c>
      <c r="BR151" s="1572">
        <f t="shared" si="84"/>
        <v>1060</v>
      </c>
      <c r="BS151" s="784">
        <f t="shared" si="85"/>
        <v>1130</v>
      </c>
      <c r="BT151" s="1544"/>
      <c r="BU151" s="1807"/>
    </row>
    <row r="152" ht="19.5" customHeight="1">
      <c r="A152" s="1565" t="s">
        <v>145</v>
      </c>
      <c r="B152" s="1567">
        <v>4318.0</v>
      </c>
      <c r="C152" s="1567">
        <v>189.0</v>
      </c>
      <c r="D152" s="1903"/>
      <c r="E152" s="733" t="s">
        <v>3121</v>
      </c>
      <c r="F152" s="1137">
        <v>4.0</v>
      </c>
      <c r="G152" s="1138">
        <v>4.0</v>
      </c>
      <c r="H152" s="1126"/>
      <c r="I152" s="1140">
        <v>1.0</v>
      </c>
      <c r="J152" s="1126">
        <v>4.0</v>
      </c>
      <c r="K152" s="1405">
        <v>3.0</v>
      </c>
      <c r="L152" s="1161"/>
      <c r="M152" s="1405"/>
      <c r="N152" s="1126">
        <v>5.0</v>
      </c>
      <c r="O152" s="1138">
        <v>5.0</v>
      </c>
      <c r="P152" s="1120"/>
      <c r="Q152" s="1142"/>
      <c r="R152" s="1126"/>
      <c r="S152" s="1121"/>
      <c r="T152" s="1137"/>
      <c r="U152" s="1121"/>
      <c r="V152" s="1137">
        <v>5.0</v>
      </c>
      <c r="W152" s="1121">
        <v>5.0</v>
      </c>
      <c r="X152" s="1137"/>
      <c r="Y152" s="1121"/>
      <c r="Z152" s="1120"/>
      <c r="AA152" s="1121"/>
      <c r="AB152" s="1120">
        <v>5.0</v>
      </c>
      <c r="AC152" s="1121">
        <v>5.0</v>
      </c>
      <c r="AD152" s="1120">
        <v>4.0</v>
      </c>
      <c r="AE152" s="1121">
        <v>4.0</v>
      </c>
      <c r="AF152" s="1137">
        <v>6.0</v>
      </c>
      <c r="AG152" s="1121">
        <v>6.0</v>
      </c>
      <c r="AH152" s="1120"/>
      <c r="AI152" s="1121"/>
      <c r="AJ152" s="1120"/>
      <c r="AK152" s="1121"/>
      <c r="AL152" s="1137">
        <v>4.0</v>
      </c>
      <c r="AM152" s="1121">
        <v>4.0</v>
      </c>
      <c r="AN152" s="1126"/>
      <c r="AO152" s="1121"/>
      <c r="AP152" s="1126"/>
      <c r="AQ152" s="1121"/>
      <c r="AR152" s="1126">
        <v>6.0</v>
      </c>
      <c r="AS152" s="1121">
        <v>6.0</v>
      </c>
      <c r="AT152" s="1120"/>
      <c r="AU152" s="1121"/>
      <c r="AV152" s="1126">
        <v>4.0</v>
      </c>
      <c r="AW152" s="1121">
        <v>4.0</v>
      </c>
      <c r="AX152" s="1126">
        <v>4.0</v>
      </c>
      <c r="AY152" s="1121">
        <v>4.0</v>
      </c>
      <c r="AZ152" s="1126"/>
      <c r="BA152" s="1121"/>
      <c r="BB152" s="1126"/>
      <c r="BC152" s="1121"/>
      <c r="BD152" s="1126"/>
      <c r="BE152" s="1121"/>
      <c r="BF152" s="1126"/>
      <c r="BG152" s="1121"/>
      <c r="BH152" s="1126"/>
      <c r="BI152" s="1121"/>
      <c r="BJ152" s="1126"/>
      <c r="BK152" s="1121"/>
      <c r="BL152" s="1152"/>
      <c r="BM152" s="1138"/>
      <c r="BN152" s="1087"/>
      <c r="BO152" s="1138"/>
      <c r="BP152" s="783">
        <f t="shared" si="82"/>
        <v>52</v>
      </c>
      <c r="BQ152" s="1589">
        <f t="shared" si="83"/>
        <v>51</v>
      </c>
      <c r="BR152" s="1572">
        <f t="shared" si="84"/>
        <v>9639</v>
      </c>
      <c r="BS152" s="784">
        <f t="shared" si="85"/>
        <v>9828</v>
      </c>
      <c r="BT152" s="1544"/>
      <c r="BU152" s="1807"/>
    </row>
    <row r="153" ht="19.5" customHeight="1">
      <c r="A153" s="1565"/>
      <c r="B153" s="1567"/>
      <c r="C153" s="1567"/>
      <c r="D153" s="1568"/>
      <c r="E153" s="1172"/>
      <c r="F153" s="1137"/>
      <c r="G153" s="1138"/>
      <c r="H153" s="1126"/>
      <c r="I153" s="1140"/>
      <c r="J153" s="1126"/>
      <c r="K153" s="1405"/>
      <c r="L153" s="1161"/>
      <c r="M153" s="1405"/>
      <c r="N153" s="1126"/>
      <c r="O153" s="1138"/>
      <c r="P153" s="1120"/>
      <c r="Q153" s="1142"/>
      <c r="R153" s="1126"/>
      <c r="S153" s="1121"/>
      <c r="T153" s="1137"/>
      <c r="U153" s="1121"/>
      <c r="V153" s="1137"/>
      <c r="W153" s="1121"/>
      <c r="X153" s="1137"/>
      <c r="Y153" s="1121"/>
      <c r="Z153" s="1120"/>
      <c r="AA153" s="1121"/>
      <c r="AB153" s="1120"/>
      <c r="AC153" s="1121"/>
      <c r="AD153" s="1120"/>
      <c r="AE153" s="1121"/>
      <c r="AF153" s="1137"/>
      <c r="AG153" s="1121"/>
      <c r="AH153" s="1120"/>
      <c r="AI153" s="1121"/>
      <c r="AJ153" s="1120"/>
      <c r="AK153" s="1121"/>
      <c r="AL153" s="1137"/>
      <c r="AM153" s="1121"/>
      <c r="AN153" s="1126"/>
      <c r="AO153" s="1121"/>
      <c r="AP153" s="1126"/>
      <c r="AQ153" s="1121"/>
      <c r="AR153" s="1126"/>
      <c r="AS153" s="1121"/>
      <c r="AT153" s="1120"/>
      <c r="AU153" s="1121"/>
      <c r="AV153" s="1126"/>
      <c r="AW153" s="1121"/>
      <c r="AX153" s="1126"/>
      <c r="AY153" s="1121"/>
      <c r="AZ153" s="1126"/>
      <c r="BA153" s="1121"/>
      <c r="BB153" s="1126"/>
      <c r="BC153" s="1121"/>
      <c r="BD153" s="1126"/>
      <c r="BE153" s="1121"/>
      <c r="BF153" s="1126"/>
      <c r="BG153" s="1121"/>
      <c r="BH153" s="1126"/>
      <c r="BI153" s="1121"/>
      <c r="BJ153" s="1126"/>
      <c r="BK153" s="1121"/>
      <c r="BL153" s="1152"/>
      <c r="BM153" s="1121"/>
      <c r="BN153" s="1087"/>
      <c r="BO153" s="1138"/>
      <c r="BP153" s="783">
        <f t="shared" si="82"/>
        <v>1</v>
      </c>
      <c r="BQ153" s="1589">
        <f t="shared" si="83"/>
        <v>0</v>
      </c>
      <c r="BR153" s="1572">
        <f t="shared" si="84"/>
        <v>0</v>
      </c>
      <c r="BS153" s="784">
        <f t="shared" si="85"/>
        <v>0</v>
      </c>
      <c r="BT153" s="1544"/>
      <c r="BU153" s="1807"/>
    </row>
    <row r="154" ht="19.5" customHeight="1">
      <c r="A154" s="1565"/>
      <c r="B154" s="1567"/>
      <c r="C154" s="1567"/>
      <c r="D154" s="1568"/>
      <c r="E154" s="1655"/>
      <c r="F154" s="1126"/>
      <c r="G154" s="1138"/>
      <c r="H154" s="1126"/>
      <c r="I154" s="1138"/>
      <c r="J154" s="1126"/>
      <c r="K154" s="1138"/>
      <c r="L154" s="1126"/>
      <c r="M154" s="1138"/>
      <c r="N154" s="1126"/>
      <c r="O154" s="1138"/>
      <c r="P154" s="1126"/>
      <c r="Q154" s="1138"/>
      <c r="R154" s="1120"/>
      <c r="S154" s="1138"/>
      <c r="T154" s="1137"/>
      <c r="U154" s="1138"/>
      <c r="V154" s="1126"/>
      <c r="W154" s="1138"/>
      <c r="X154" s="1126"/>
      <c r="Y154" s="1138"/>
      <c r="Z154" s="1126"/>
      <c r="AA154" s="1138"/>
      <c r="AB154" s="1120"/>
      <c r="AC154" s="1138"/>
      <c r="AD154" s="1137"/>
      <c r="AE154" s="1138"/>
      <c r="AF154" s="1137"/>
      <c r="AG154" s="1138"/>
      <c r="AH154" s="1137"/>
      <c r="AI154" s="1138"/>
      <c r="AJ154" s="1137"/>
      <c r="AK154" s="1138"/>
      <c r="AL154" s="1120"/>
      <c r="AM154" s="1138"/>
      <c r="AN154" s="1137"/>
      <c r="AO154" s="1138"/>
      <c r="AP154" s="1137"/>
      <c r="AQ154" s="1138"/>
      <c r="AR154" s="1137"/>
      <c r="AS154" s="1138"/>
      <c r="AT154" s="1126"/>
      <c r="AU154" s="1138"/>
      <c r="AV154" s="1126"/>
      <c r="AW154" s="1138"/>
      <c r="AX154" s="1126"/>
      <c r="AY154" s="1138"/>
      <c r="AZ154" s="1126"/>
      <c r="BA154" s="1138"/>
      <c r="BB154" s="1126"/>
      <c r="BC154" s="1138"/>
      <c r="BD154" s="1126"/>
      <c r="BE154" s="1138"/>
      <c r="BF154" s="1126"/>
      <c r="BG154" s="1138"/>
      <c r="BH154" s="1126"/>
      <c r="BI154" s="1138"/>
      <c r="BJ154" s="1126"/>
      <c r="BK154" s="1138"/>
      <c r="BL154" s="1152"/>
      <c r="BM154" s="1170"/>
      <c r="BN154" s="900"/>
      <c r="BO154" s="1170"/>
      <c r="BP154" s="783">
        <f t="shared" si="82"/>
        <v>1</v>
      </c>
      <c r="BQ154" s="1571">
        <f t="shared" si="83"/>
        <v>0</v>
      </c>
      <c r="BR154" s="1572">
        <f t="shared" si="84"/>
        <v>0</v>
      </c>
      <c r="BS154" s="784">
        <f t="shared" si="85"/>
        <v>0</v>
      </c>
      <c r="BT154" s="1544"/>
      <c r="BU154" s="1807"/>
    </row>
    <row r="155" ht="19.5" customHeight="1">
      <c r="A155" s="1708"/>
      <c r="B155" s="1567"/>
      <c r="C155" s="1567"/>
      <c r="D155" s="1568"/>
      <c r="E155" s="1655"/>
      <c r="F155" s="1126"/>
      <c r="G155" s="1138"/>
      <c r="H155" s="1126"/>
      <c r="I155" s="1138"/>
      <c r="J155" s="1126"/>
      <c r="K155" s="1138"/>
      <c r="L155" s="1126"/>
      <c r="M155" s="1138"/>
      <c r="N155" s="1126"/>
      <c r="O155" s="1138"/>
      <c r="P155" s="1126"/>
      <c r="Q155" s="1138"/>
      <c r="R155" s="1120"/>
      <c r="S155" s="1138"/>
      <c r="T155" s="1126"/>
      <c r="U155" s="1138"/>
      <c r="V155" s="1126"/>
      <c r="W155" s="1138"/>
      <c r="X155" s="1126"/>
      <c r="Y155" s="1138"/>
      <c r="Z155" s="1126"/>
      <c r="AA155" s="1138"/>
      <c r="AB155" s="1126"/>
      <c r="AC155" s="1138"/>
      <c r="AD155" s="1137"/>
      <c r="AE155" s="1138"/>
      <c r="AF155" s="1137"/>
      <c r="AG155" s="1138"/>
      <c r="AH155" s="1137"/>
      <c r="AI155" s="1138"/>
      <c r="AJ155" s="1137"/>
      <c r="AK155" s="1138"/>
      <c r="AL155" s="1120"/>
      <c r="AM155" s="1138"/>
      <c r="AN155" s="1126"/>
      <c r="AO155" s="1138"/>
      <c r="AP155" s="1126"/>
      <c r="AQ155" s="1138"/>
      <c r="AR155" s="1126"/>
      <c r="AS155" s="1138"/>
      <c r="AT155" s="1126"/>
      <c r="AU155" s="1138"/>
      <c r="AV155" s="1126"/>
      <c r="AW155" s="1138"/>
      <c r="AX155" s="1126"/>
      <c r="AY155" s="1138"/>
      <c r="AZ155" s="1126"/>
      <c r="BA155" s="1138"/>
      <c r="BB155" s="1126"/>
      <c r="BC155" s="1138"/>
      <c r="BD155" s="1126"/>
      <c r="BE155" s="1138"/>
      <c r="BF155" s="1126"/>
      <c r="BG155" s="1138"/>
      <c r="BH155" s="1126"/>
      <c r="BI155" s="1138"/>
      <c r="BJ155" s="1126"/>
      <c r="BK155" s="1138"/>
      <c r="BL155" s="1152"/>
      <c r="BM155" s="1170"/>
      <c r="BN155" s="900"/>
      <c r="BO155" s="1170"/>
      <c r="BP155" s="783">
        <f t="shared" si="82"/>
        <v>1</v>
      </c>
      <c r="BQ155" s="1571">
        <f t="shared" si="83"/>
        <v>0</v>
      </c>
      <c r="BR155" s="1572">
        <f t="shared" si="84"/>
        <v>0</v>
      </c>
      <c r="BS155" s="784">
        <f t="shared" si="85"/>
        <v>0</v>
      </c>
      <c r="BT155" s="1610" t="s">
        <v>3104</v>
      </c>
      <c r="BU155" s="1807"/>
    </row>
    <row r="156" ht="15.75" customHeight="1">
      <c r="A156" s="1679"/>
      <c r="B156" s="1668"/>
      <c r="C156" s="1668"/>
      <c r="D156" s="1669"/>
      <c r="E156" s="1179"/>
      <c r="F156" s="1907"/>
      <c r="G156" s="1908"/>
      <c r="H156" s="1907"/>
      <c r="I156" s="1908"/>
      <c r="J156" s="1907"/>
      <c r="K156" s="1908"/>
      <c r="L156" s="1909"/>
      <c r="M156" s="1908"/>
      <c r="N156" s="1907"/>
      <c r="O156" s="1908"/>
      <c r="P156" s="1907"/>
      <c r="Q156" s="1908"/>
      <c r="R156" s="1907"/>
      <c r="S156" s="1908"/>
      <c r="T156" s="1907"/>
      <c r="U156" s="1908"/>
      <c r="V156" s="1907"/>
      <c r="W156" s="1908"/>
      <c r="X156" s="1907"/>
      <c r="Y156" s="1908"/>
      <c r="Z156" s="1907"/>
      <c r="AA156" s="1908"/>
      <c r="AB156" s="1907"/>
      <c r="AC156" s="1908"/>
      <c r="AD156" s="1907"/>
      <c r="AE156" s="1908"/>
      <c r="AF156" s="1907"/>
      <c r="AG156" s="1908"/>
      <c r="AH156" s="1907"/>
      <c r="AI156" s="977"/>
      <c r="AJ156" s="1907"/>
      <c r="AK156" s="977"/>
      <c r="AL156" s="1907"/>
      <c r="AM156" s="977"/>
      <c r="AN156" s="1907"/>
      <c r="AO156" s="977"/>
      <c r="AP156" s="1907"/>
      <c r="AQ156" s="977"/>
      <c r="AR156" s="1910"/>
      <c r="AS156" s="977"/>
      <c r="AT156" s="1907"/>
      <c r="AU156" s="977"/>
      <c r="AV156" s="1907"/>
      <c r="AW156" s="1179"/>
      <c r="AX156" s="1179"/>
      <c r="AY156" s="1179"/>
      <c r="AZ156" s="540"/>
      <c r="BA156" s="1179"/>
      <c r="BB156" s="1674"/>
      <c r="BC156" s="1179"/>
      <c r="BD156" s="1674"/>
      <c r="BE156" s="1179"/>
      <c r="BF156" s="1674"/>
      <c r="BG156" s="1179"/>
      <c r="BH156" s="1674"/>
      <c r="BI156" s="1179"/>
      <c r="BJ156" s="1674"/>
      <c r="BK156" s="1179"/>
      <c r="BL156" s="678" t="s">
        <v>1365</v>
      </c>
      <c r="BM156" s="977"/>
      <c r="BN156" s="977"/>
      <c r="BO156" s="977"/>
      <c r="BP156" s="1712">
        <f t="shared" ref="BP156:BS156" si="86">SUM(BP129:BP155)</f>
        <v>2661</v>
      </c>
      <c r="BQ156" s="1714">
        <f t="shared" si="86"/>
        <v>2672</v>
      </c>
      <c r="BR156" s="1911">
        <f t="shared" si="86"/>
        <v>355510</v>
      </c>
      <c r="BS156" s="1912">
        <f t="shared" si="86"/>
        <v>353560</v>
      </c>
      <c r="BT156" s="1678">
        <f>BR156-BS156</f>
        <v>1950</v>
      </c>
      <c r="BU156" s="1807"/>
    </row>
    <row r="157" ht="15.75" customHeight="1">
      <c r="A157" s="1679"/>
      <c r="B157" s="1668"/>
      <c r="C157" s="1668"/>
      <c r="D157" s="1669"/>
      <c r="E157" s="1913"/>
      <c r="F157" s="1672"/>
      <c r="G157" s="1681"/>
      <c r="H157" s="1681"/>
      <c r="I157" s="1672"/>
      <c r="J157" s="1681"/>
      <c r="K157" s="1672"/>
      <c r="L157" s="1681"/>
      <c r="M157" s="1672"/>
      <c r="N157" s="1672"/>
      <c r="O157" s="1672"/>
      <c r="P157" s="1673"/>
      <c r="Q157" s="1681"/>
      <c r="R157" s="1672"/>
      <c r="S157" s="1672"/>
      <c r="T157" s="1672"/>
      <c r="U157" s="1681"/>
      <c r="V157" s="1681"/>
      <c r="W157" s="1673"/>
      <c r="X157" s="1672"/>
      <c r="Y157" s="1672"/>
      <c r="Z157" s="1672"/>
      <c r="AA157" s="1672"/>
      <c r="AB157" s="1672"/>
      <c r="AC157" s="1672"/>
      <c r="AD157" s="1681"/>
      <c r="AE157" s="1672"/>
      <c r="AF157" s="1672"/>
      <c r="AG157" s="1672"/>
      <c r="AH157" s="1681"/>
      <c r="AI157" s="1914"/>
      <c r="AJ157" s="1914"/>
      <c r="AK157" s="1914"/>
      <c r="AL157" s="1914"/>
      <c r="AM157" s="1914"/>
      <c r="AN157" s="1914"/>
      <c r="AO157" s="1914"/>
      <c r="AP157" s="1914"/>
      <c r="AQ157" s="1914"/>
      <c r="AR157" s="1914"/>
      <c r="AS157" s="1914"/>
      <c r="AT157" s="1914"/>
      <c r="AU157" s="1915"/>
      <c r="AV157" s="1915"/>
      <c r="AW157" s="1915"/>
      <c r="AX157" s="1914"/>
      <c r="AY157" s="1915"/>
      <c r="AZ157" s="1917"/>
      <c r="BA157" s="1915"/>
      <c r="BB157" s="1918"/>
      <c r="BC157" s="1915"/>
      <c r="BD157" s="1918"/>
      <c r="BE157" s="1915"/>
      <c r="BF157" s="1918"/>
      <c r="BG157" s="1915"/>
      <c r="BH157" s="1918"/>
      <c r="BI157" s="1915"/>
      <c r="BJ157" s="1918"/>
      <c r="BK157" s="1915"/>
      <c r="BL157" s="1915"/>
      <c r="BM157" s="1915"/>
      <c r="BN157" s="1914"/>
      <c r="BO157" s="1914"/>
      <c r="BP157" s="541"/>
      <c r="BQ157" s="633"/>
      <c r="BR157" s="541"/>
      <c r="BS157" s="1829"/>
      <c r="BT157" s="541"/>
      <c r="BU157" s="541"/>
    </row>
    <row r="158" ht="15.75" customHeight="1">
      <c r="A158" s="1679"/>
      <c r="B158" s="1668"/>
      <c r="C158" s="1668"/>
      <c r="D158" s="1669"/>
      <c r="E158" s="1671"/>
      <c r="F158" s="1710"/>
      <c r="G158" s="1710"/>
      <c r="H158" s="1710"/>
      <c r="I158" s="1710"/>
      <c r="J158" s="1710"/>
      <c r="K158" s="1710"/>
      <c r="L158" s="1710"/>
      <c r="M158" s="1710"/>
      <c r="N158" s="1710"/>
      <c r="O158" s="1710"/>
      <c r="P158" s="1710"/>
      <c r="Q158" s="1710"/>
      <c r="R158" s="1710"/>
      <c r="S158" s="1710"/>
      <c r="T158" s="1710"/>
      <c r="U158" s="1710"/>
      <c r="V158" s="1710"/>
      <c r="W158" s="1710"/>
      <c r="X158" s="1710"/>
      <c r="Y158" s="1710"/>
      <c r="Z158" s="1710"/>
      <c r="AA158" s="1710"/>
      <c r="AB158" s="1710"/>
      <c r="AC158" s="1710"/>
      <c r="AD158" s="1710"/>
      <c r="AE158" s="1710"/>
      <c r="AF158" s="1710"/>
      <c r="AG158" s="1710"/>
      <c r="AH158" s="1915"/>
      <c r="AI158" s="1915"/>
      <c r="AJ158" s="1915"/>
      <c r="AK158" s="1915"/>
      <c r="AL158" s="1915"/>
      <c r="AM158" s="1915"/>
      <c r="AN158" s="1919"/>
      <c r="AO158" s="1919"/>
      <c r="AP158" s="1919"/>
      <c r="AQ158" s="1919"/>
      <c r="AR158" s="1919"/>
      <c r="AS158" s="1915"/>
      <c r="AT158" s="1915"/>
      <c r="AU158" s="1915"/>
      <c r="AV158" s="1915"/>
      <c r="AW158" s="1915"/>
      <c r="AX158" s="1914"/>
      <c r="AY158" s="1915"/>
      <c r="AZ158" s="1917"/>
      <c r="BA158" s="1915"/>
      <c r="BB158" s="1918"/>
      <c r="BC158" s="1915"/>
      <c r="BD158" s="1918"/>
      <c r="BE158" s="1915"/>
      <c r="BF158" s="1918"/>
      <c r="BG158" s="1915"/>
      <c r="BH158" s="1918"/>
      <c r="BI158" s="1915"/>
      <c r="BJ158" s="1918"/>
      <c r="BK158" s="1915"/>
      <c r="BL158" s="1915"/>
      <c r="BM158" s="1915"/>
      <c r="BN158" s="1914"/>
      <c r="BO158" s="1914"/>
      <c r="BP158" s="1684"/>
      <c r="BQ158" s="629"/>
      <c r="BR158" s="541"/>
      <c r="BS158" s="1829"/>
      <c r="BT158" s="541"/>
      <c r="BU158" s="541"/>
    </row>
    <row r="159" ht="15.75" customHeight="1">
      <c r="A159" s="1715" t="s">
        <v>3067</v>
      </c>
      <c r="B159" s="1548"/>
      <c r="C159" s="1716">
        <v>46238.0</v>
      </c>
      <c r="D159" s="1548"/>
      <c r="E159" s="908" t="s">
        <v>3106</v>
      </c>
      <c r="F159" s="1920"/>
      <c r="G159" s="1920"/>
      <c r="H159" s="1920"/>
      <c r="I159" s="1920"/>
      <c r="J159" s="1920" t="s">
        <v>1356</v>
      </c>
      <c r="K159" s="1920"/>
      <c r="L159" s="1921"/>
      <c r="M159" s="1920"/>
      <c r="N159" s="1920"/>
      <c r="O159" s="1920"/>
      <c r="P159" s="1920"/>
      <c r="Q159" s="1920"/>
      <c r="R159" s="1920"/>
      <c r="S159" s="1920"/>
      <c r="T159" s="1920"/>
      <c r="U159" s="1920"/>
      <c r="V159" s="1920"/>
      <c r="W159" s="1920"/>
      <c r="X159" s="1920"/>
      <c r="Y159" s="1920"/>
      <c r="Z159" s="1920"/>
      <c r="AA159" s="1920"/>
      <c r="AB159" s="1920"/>
      <c r="AC159" s="1920"/>
      <c r="AD159" s="1920"/>
      <c r="AE159" s="1920"/>
      <c r="AF159" s="1920"/>
      <c r="AG159" s="1920"/>
      <c r="AH159" s="1920"/>
      <c r="AI159" s="1920"/>
      <c r="AJ159" s="1920"/>
      <c r="AK159" s="1920"/>
      <c r="AL159" s="1920"/>
      <c r="AM159" s="1920"/>
      <c r="AN159" s="1921"/>
      <c r="AO159" s="1921"/>
      <c r="AP159" s="1921"/>
      <c r="AQ159" s="1921"/>
      <c r="AR159" s="1921"/>
      <c r="AS159" s="1920"/>
      <c r="AT159" s="1920"/>
      <c r="AU159" s="1920"/>
      <c r="AV159" s="1920"/>
      <c r="AW159" s="1920"/>
      <c r="AX159" s="1922"/>
      <c r="AY159" s="1920"/>
      <c r="AZ159" s="807"/>
      <c r="BA159" s="1920"/>
      <c r="BB159" s="1923"/>
      <c r="BC159" s="1920"/>
      <c r="BD159" s="1923"/>
      <c r="BE159" s="1920"/>
      <c r="BF159" s="1923"/>
      <c r="BG159" s="1920"/>
      <c r="BH159" s="1923"/>
      <c r="BI159" s="1920"/>
      <c r="BJ159" s="1923"/>
      <c r="BK159" s="1920"/>
      <c r="BL159" s="1920"/>
      <c r="BM159" s="1920"/>
      <c r="BN159" s="1922"/>
      <c r="BO159" s="1922"/>
      <c r="BP159" s="845"/>
      <c r="BQ159" s="1924"/>
      <c r="BR159" s="541"/>
      <c r="BS159" s="1829"/>
      <c r="BT159" s="541"/>
      <c r="BU159" s="541"/>
    </row>
    <row r="160" ht="22.5" customHeight="1">
      <c r="A160" s="1808" t="s">
        <v>3069</v>
      </c>
      <c r="B160" s="1603" t="s">
        <v>3097</v>
      </c>
      <c r="C160" s="1603" t="s">
        <v>19</v>
      </c>
      <c r="D160" s="1603" t="s">
        <v>3070</v>
      </c>
      <c r="E160" s="1925" t="s">
        <v>471</v>
      </c>
      <c r="F160" s="1738" t="s">
        <v>1357</v>
      </c>
      <c r="G160" s="69"/>
      <c r="H160" s="1724" t="s">
        <v>1287</v>
      </c>
      <c r="I160" s="69"/>
      <c r="J160" s="1738" t="s">
        <v>1358</v>
      </c>
      <c r="K160" s="69"/>
      <c r="L160" s="1738" t="s">
        <v>1359</v>
      </c>
      <c r="M160" s="69"/>
      <c r="N160" s="1738" t="s">
        <v>1360</v>
      </c>
      <c r="O160" s="69"/>
      <c r="P160" s="1738" t="s">
        <v>1361</v>
      </c>
      <c r="Q160" s="69"/>
      <c r="R160" s="1724" t="s">
        <v>1362</v>
      </c>
      <c r="S160" s="69"/>
      <c r="T160" s="1724" t="s">
        <v>1299</v>
      </c>
      <c r="U160" s="69"/>
      <c r="V160" s="1724" t="s">
        <v>1301</v>
      </c>
      <c r="W160" s="69"/>
      <c r="X160" s="1724" t="s">
        <v>1363</v>
      </c>
      <c r="Y160" s="69"/>
      <c r="Z160" s="1724" t="s">
        <v>1305</v>
      </c>
      <c r="AA160" s="69"/>
      <c r="AB160" s="1724" t="s">
        <v>1307</v>
      </c>
      <c r="AC160" s="69"/>
      <c r="AD160" s="1724" t="s">
        <v>1309</v>
      </c>
      <c r="AE160" s="69"/>
      <c r="AF160" s="1724" t="s">
        <v>1311</v>
      </c>
      <c r="AG160" s="69"/>
      <c r="AH160" s="1724" t="s">
        <v>1313</v>
      </c>
      <c r="AI160" s="69"/>
      <c r="AJ160" s="1724" t="s">
        <v>1315</v>
      </c>
      <c r="AK160" s="69"/>
      <c r="AL160" s="1724" t="s">
        <v>1317</v>
      </c>
      <c r="AM160" s="69"/>
      <c r="AN160" s="1724" t="s">
        <v>1319</v>
      </c>
      <c r="AO160" s="69"/>
      <c r="AP160" s="1724" t="s">
        <v>1321</v>
      </c>
      <c r="AQ160" s="69"/>
      <c r="AR160" s="1724" t="s">
        <v>1323</v>
      </c>
      <c r="AS160" s="69"/>
      <c r="AT160" s="1724" t="s">
        <v>1325</v>
      </c>
      <c r="AU160" s="69"/>
      <c r="AV160" s="1724" t="s">
        <v>1327</v>
      </c>
      <c r="AW160" s="69"/>
      <c r="AX160" s="1724" t="s">
        <v>3076</v>
      </c>
      <c r="AY160" s="69"/>
      <c r="AZ160" s="1724" t="s">
        <v>3078</v>
      </c>
      <c r="BA160" s="69"/>
      <c r="BB160" s="1724" t="s">
        <v>3080</v>
      </c>
      <c r="BC160" s="69"/>
      <c r="BD160" s="1724" t="s">
        <v>3082</v>
      </c>
      <c r="BE160" s="69"/>
      <c r="BF160" s="1724" t="s">
        <v>3084</v>
      </c>
      <c r="BG160" s="69"/>
      <c r="BH160" s="1724" t="s">
        <v>3086</v>
      </c>
      <c r="BI160" s="69"/>
      <c r="BJ160" s="1724" t="s">
        <v>3088</v>
      </c>
      <c r="BK160" s="69"/>
      <c r="BL160" s="1724" t="s">
        <v>297</v>
      </c>
      <c r="BM160" s="69"/>
      <c r="BN160" s="1321" t="str">
        <f t="shared" ref="BN160:BN187" si="87">BO128</f>
        <v>Ф.Стол</v>
      </c>
      <c r="BO160" s="69"/>
      <c r="BP160" s="1724" t="s">
        <v>5</v>
      </c>
      <c r="BQ160" s="69"/>
      <c r="BR160" s="1927"/>
      <c r="BS160" s="1928"/>
      <c r="BT160" s="1927"/>
      <c r="BU160" s="1927"/>
    </row>
    <row r="161" ht="24.0" customHeight="1">
      <c r="A161" s="1698" t="str">
        <f t="shared" ref="A161:A187" si="88">A129</f>
        <v>Да</v>
      </c>
      <c r="B161" s="1916">
        <v>1287.0</v>
      </c>
      <c r="C161" s="1700">
        <v>85.0</v>
      </c>
      <c r="D161" s="1720"/>
      <c r="E161" s="721" t="str">
        <f t="shared" ref="E161:E187" si="89">E129</f>
        <v>Блины со сметаной</v>
      </c>
      <c r="F161" s="1721">
        <f t="shared" ref="F161:F184" si="90">G129</f>
        <v>7</v>
      </c>
      <c r="G161" s="69"/>
      <c r="H161" s="1721">
        <f t="shared" ref="H161:H184" si="91">I129</f>
        <v>4</v>
      </c>
      <c r="I161" s="69"/>
      <c r="J161" s="1721">
        <f t="shared" ref="J161:J184" si="92">K129</f>
        <v>10</v>
      </c>
      <c r="K161" s="69"/>
      <c r="L161" s="1721">
        <f t="shared" ref="L161:L184" si="93">M129</f>
        <v>5</v>
      </c>
      <c r="M161" s="69"/>
      <c r="N161" s="1721">
        <f t="shared" ref="N161:N184" si="94">O129</f>
        <v>7</v>
      </c>
      <c r="O161" s="69"/>
      <c r="P161" s="1721">
        <f t="shared" ref="P161:P184" si="95">Q129</f>
        <v>3</v>
      </c>
      <c r="Q161" s="69"/>
      <c r="R161" s="1721">
        <f t="shared" ref="R161:R184" si="96">S129</f>
        <v>4</v>
      </c>
      <c r="S161" s="69"/>
      <c r="T161" s="1721">
        <f t="shared" ref="T161:T184" si="97">U129</f>
        <v>2</v>
      </c>
      <c r="U161" s="69"/>
      <c r="V161" s="1721">
        <f t="shared" ref="V161:V184" si="98">W129</f>
        <v>7</v>
      </c>
      <c r="W161" s="69"/>
      <c r="X161" s="1721">
        <f t="shared" ref="X161:X184" si="99">Y129</f>
        <v>5</v>
      </c>
      <c r="Y161" s="69"/>
      <c r="Z161" s="1721" t="str">
        <f t="shared" ref="Z161:Z184" si="100">AA129</f>
        <v/>
      </c>
      <c r="AA161" s="69"/>
      <c r="AB161" s="1721">
        <f t="shared" ref="AB161:AB184" si="101">AC129</f>
        <v>2</v>
      </c>
      <c r="AC161" s="69"/>
      <c r="AD161" s="1722">
        <f t="shared" ref="AD161:AD184" si="102">AE129</f>
        <v>3</v>
      </c>
      <c r="AE161" s="69"/>
      <c r="AF161" s="1722">
        <f t="shared" ref="AF161:AF184" si="103">AG129</f>
        <v>9</v>
      </c>
      <c r="AG161" s="69"/>
      <c r="AH161" s="1722">
        <f t="shared" ref="AH161:AH184" si="104">AI129</f>
        <v>4</v>
      </c>
      <c r="AI161" s="69"/>
      <c r="AJ161" s="1722">
        <f t="shared" ref="AJ161:AJ184" si="105">AK129</f>
        <v>4</v>
      </c>
      <c r="AK161" s="69"/>
      <c r="AL161" s="1722">
        <f t="shared" ref="AL161:AL184" si="106">AM129</f>
        <v>3</v>
      </c>
      <c r="AM161" s="69"/>
      <c r="AN161" s="1722">
        <f t="shared" ref="AN161:AN184" si="107">AO129</f>
        <v>2</v>
      </c>
      <c r="AO161" s="69"/>
      <c r="AP161" s="1722">
        <f t="shared" ref="AP161:AP184" si="108">AQ129</f>
        <v>5</v>
      </c>
      <c r="AQ161" s="69"/>
      <c r="AR161" s="1722">
        <f t="shared" ref="AR161:AR184" si="109">AS129</f>
        <v>4</v>
      </c>
      <c r="AS161" s="69"/>
      <c r="AT161" s="1722">
        <f t="shared" ref="AT161:AT184" si="110">AU129</f>
        <v>6</v>
      </c>
      <c r="AU161" s="69"/>
      <c r="AV161" s="1722">
        <f t="shared" ref="AV161:AV184" si="111">AW129</f>
        <v>4</v>
      </c>
      <c r="AW161" s="69"/>
      <c r="AX161" s="1722">
        <f t="shared" ref="AX161:AX184" si="112">AY129</f>
        <v>3</v>
      </c>
      <c r="AY161" s="69"/>
      <c r="AZ161" s="1722">
        <f t="shared" ref="AZ161:AZ184" si="113">BA129</f>
        <v>5</v>
      </c>
      <c r="BA161" s="69"/>
      <c r="BB161" s="1722">
        <f t="shared" ref="BB161:BB184" si="114">BC129</f>
        <v>11</v>
      </c>
      <c r="BC161" s="69"/>
      <c r="BD161" s="1722">
        <f t="shared" ref="BD161:BD184" si="115">BE129</f>
        <v>2</v>
      </c>
      <c r="BE161" s="69"/>
      <c r="BF161" s="1722">
        <f t="shared" ref="BF161:BF184" si="116">BG129</f>
        <v>6</v>
      </c>
      <c r="BG161" s="69"/>
      <c r="BH161" s="1722">
        <f t="shared" ref="BH161:BH184" si="117">BI129</f>
        <v>4</v>
      </c>
      <c r="BI161" s="69"/>
      <c r="BJ161" s="1722" t="str">
        <f t="shared" ref="BJ161:BJ184" si="118">BK129</f>
        <v/>
      </c>
      <c r="BK161" s="69"/>
      <c r="BL161" s="1722" t="str">
        <f t="shared" ref="BL161:BL184" si="119">BM129</f>
        <v/>
      </c>
      <c r="BM161" s="69"/>
      <c r="BN161" s="1722" t="str">
        <f t="shared" si="87"/>
        <v/>
      </c>
      <c r="BO161" s="69"/>
      <c r="BP161" s="1722">
        <f t="shared" ref="BP161:BP187" si="120">SUM(F161:BM161)</f>
        <v>131</v>
      </c>
      <c r="BQ161" s="69"/>
      <c r="BR161" s="541"/>
      <c r="BS161" s="1829"/>
      <c r="BT161" s="541"/>
      <c r="BU161" s="541"/>
    </row>
    <row r="162" ht="24.0" customHeight="1">
      <c r="A162" s="1698" t="str">
        <f t="shared" si="88"/>
        <v>Да</v>
      </c>
      <c r="B162" s="1916">
        <v>3970.0</v>
      </c>
      <c r="C162" s="1700">
        <v>93.0</v>
      </c>
      <c r="D162" s="1720"/>
      <c r="E162" s="721" t="str">
        <f t="shared" si="89"/>
        <v>Каша овсяная (на молоке)</v>
      </c>
      <c r="F162" s="1721">
        <f t="shared" si="90"/>
        <v>2</v>
      </c>
      <c r="G162" s="69"/>
      <c r="H162" s="1721">
        <f t="shared" si="91"/>
        <v>2</v>
      </c>
      <c r="I162" s="69"/>
      <c r="J162" s="1721">
        <f t="shared" si="92"/>
        <v>4</v>
      </c>
      <c r="K162" s="69"/>
      <c r="L162" s="1721">
        <f t="shared" si="93"/>
        <v>1</v>
      </c>
      <c r="M162" s="69"/>
      <c r="N162" s="1721">
        <f t="shared" si="94"/>
        <v>8</v>
      </c>
      <c r="O162" s="69"/>
      <c r="P162" s="1721">
        <f t="shared" si="95"/>
        <v>8</v>
      </c>
      <c r="Q162" s="69"/>
      <c r="R162" s="1721">
        <f t="shared" si="96"/>
        <v>3</v>
      </c>
      <c r="S162" s="69"/>
      <c r="T162" s="1721">
        <f t="shared" si="97"/>
        <v>2</v>
      </c>
      <c r="U162" s="69"/>
      <c r="V162" s="1721">
        <f t="shared" si="98"/>
        <v>3</v>
      </c>
      <c r="W162" s="69"/>
      <c r="X162" s="1721">
        <f t="shared" si="99"/>
        <v>2</v>
      </c>
      <c r="Y162" s="69"/>
      <c r="Z162" s="1721" t="str">
        <f t="shared" si="100"/>
        <v/>
      </c>
      <c r="AA162" s="69"/>
      <c r="AB162" s="1721">
        <f t="shared" si="101"/>
        <v>2</v>
      </c>
      <c r="AC162" s="69"/>
      <c r="AD162" s="1722">
        <f t="shared" si="102"/>
        <v>3</v>
      </c>
      <c r="AE162" s="69"/>
      <c r="AF162" s="1722">
        <f t="shared" si="103"/>
        <v>7</v>
      </c>
      <c r="AG162" s="69"/>
      <c r="AH162" s="1722">
        <f t="shared" si="104"/>
        <v>6</v>
      </c>
      <c r="AI162" s="69"/>
      <c r="AJ162" s="1722">
        <f t="shared" si="105"/>
        <v>4</v>
      </c>
      <c r="AK162" s="69"/>
      <c r="AL162" s="1722" t="str">
        <f t="shared" si="106"/>
        <v/>
      </c>
      <c r="AM162" s="69"/>
      <c r="AN162" s="1722">
        <f t="shared" si="107"/>
        <v>8</v>
      </c>
      <c r="AO162" s="69"/>
      <c r="AP162" s="1722">
        <f t="shared" si="108"/>
        <v>2</v>
      </c>
      <c r="AQ162" s="69"/>
      <c r="AR162" s="1722">
        <f t="shared" si="109"/>
        <v>2</v>
      </c>
      <c r="AS162" s="69"/>
      <c r="AT162" s="1722">
        <f t="shared" si="110"/>
        <v>2</v>
      </c>
      <c r="AU162" s="69"/>
      <c r="AV162" s="1722">
        <f t="shared" si="111"/>
        <v>2</v>
      </c>
      <c r="AW162" s="69"/>
      <c r="AX162" s="1722">
        <f t="shared" si="112"/>
        <v>1</v>
      </c>
      <c r="AY162" s="69"/>
      <c r="AZ162" s="1722">
        <f t="shared" si="113"/>
        <v>1</v>
      </c>
      <c r="BA162" s="69"/>
      <c r="BB162" s="1722">
        <f t="shared" si="114"/>
        <v>10</v>
      </c>
      <c r="BC162" s="69"/>
      <c r="BD162" s="1722">
        <f t="shared" si="115"/>
        <v>2</v>
      </c>
      <c r="BE162" s="69"/>
      <c r="BF162" s="1722">
        <f t="shared" si="116"/>
        <v>1</v>
      </c>
      <c r="BG162" s="69"/>
      <c r="BH162" s="1722">
        <f t="shared" si="117"/>
        <v>1</v>
      </c>
      <c r="BI162" s="69"/>
      <c r="BJ162" s="1722">
        <f t="shared" si="118"/>
        <v>2</v>
      </c>
      <c r="BK162" s="69"/>
      <c r="BL162" s="1722" t="str">
        <f t="shared" si="119"/>
        <v/>
      </c>
      <c r="BM162" s="69"/>
      <c r="BN162" s="1722" t="str">
        <f t="shared" si="87"/>
        <v/>
      </c>
      <c r="BO162" s="69"/>
      <c r="BP162" s="1722">
        <f t="shared" si="120"/>
        <v>91</v>
      </c>
      <c r="BQ162" s="69"/>
      <c r="BR162" s="541"/>
      <c r="BS162" s="1829"/>
      <c r="BT162" s="541"/>
      <c r="BU162" s="541"/>
    </row>
    <row r="163" ht="24.0" customHeight="1">
      <c r="A163" s="1698" t="str">
        <f t="shared" si="88"/>
        <v>Да</v>
      </c>
      <c r="B163" s="1916">
        <v>4226.0</v>
      </c>
      <c r="C163" s="1700">
        <v>139.0</v>
      </c>
      <c r="D163" s="1720"/>
      <c r="E163" s="721" t="str">
        <f t="shared" si="89"/>
        <v>Курник  (курица, картофель) </v>
      </c>
      <c r="F163" s="1721">
        <f t="shared" si="90"/>
        <v>10</v>
      </c>
      <c r="G163" s="69"/>
      <c r="H163" s="1721">
        <f t="shared" si="91"/>
        <v>3</v>
      </c>
      <c r="I163" s="69"/>
      <c r="J163" s="1721">
        <f t="shared" si="92"/>
        <v>4</v>
      </c>
      <c r="K163" s="69"/>
      <c r="L163" s="1721">
        <f t="shared" si="93"/>
        <v>4</v>
      </c>
      <c r="M163" s="69"/>
      <c r="N163" s="1721">
        <f t="shared" si="94"/>
        <v>11</v>
      </c>
      <c r="O163" s="69"/>
      <c r="P163" s="1721">
        <f t="shared" si="95"/>
        <v>2</v>
      </c>
      <c r="Q163" s="69"/>
      <c r="R163" s="1721">
        <f t="shared" si="96"/>
        <v>6</v>
      </c>
      <c r="S163" s="69"/>
      <c r="T163" s="1721">
        <f t="shared" si="97"/>
        <v>5</v>
      </c>
      <c r="U163" s="69"/>
      <c r="V163" s="1721">
        <f t="shared" si="98"/>
        <v>9</v>
      </c>
      <c r="W163" s="69"/>
      <c r="X163" s="1721">
        <f t="shared" si="99"/>
        <v>5</v>
      </c>
      <c r="Y163" s="69"/>
      <c r="Z163" s="1721" t="str">
        <f t="shared" si="100"/>
        <v/>
      </c>
      <c r="AA163" s="69"/>
      <c r="AB163" s="1721">
        <f t="shared" si="101"/>
        <v>2</v>
      </c>
      <c r="AC163" s="69"/>
      <c r="AD163" s="1721">
        <f t="shared" si="102"/>
        <v>2</v>
      </c>
      <c r="AE163" s="69"/>
      <c r="AF163" s="1721">
        <f t="shared" si="103"/>
        <v>8</v>
      </c>
      <c r="AG163" s="69"/>
      <c r="AH163" s="1721">
        <f t="shared" si="104"/>
        <v>6</v>
      </c>
      <c r="AI163" s="69"/>
      <c r="AJ163" s="1721">
        <f t="shared" si="105"/>
        <v>9</v>
      </c>
      <c r="AK163" s="69"/>
      <c r="AL163" s="1721">
        <f t="shared" si="106"/>
        <v>3</v>
      </c>
      <c r="AM163" s="69"/>
      <c r="AN163" s="1721">
        <f t="shared" si="107"/>
        <v>4</v>
      </c>
      <c r="AO163" s="69"/>
      <c r="AP163" s="1721">
        <f t="shared" si="108"/>
        <v>5</v>
      </c>
      <c r="AQ163" s="69"/>
      <c r="AR163" s="1722">
        <f t="shared" si="109"/>
        <v>12</v>
      </c>
      <c r="AS163" s="69"/>
      <c r="AT163" s="1722">
        <f t="shared" si="110"/>
        <v>3</v>
      </c>
      <c r="AU163" s="69"/>
      <c r="AV163" s="1722">
        <f t="shared" si="111"/>
        <v>2</v>
      </c>
      <c r="AW163" s="69"/>
      <c r="AX163" s="1722">
        <f t="shared" si="112"/>
        <v>6</v>
      </c>
      <c r="AY163" s="69"/>
      <c r="AZ163" s="1722">
        <f t="shared" si="113"/>
        <v>3</v>
      </c>
      <c r="BA163" s="69"/>
      <c r="BB163" s="1722">
        <f t="shared" si="114"/>
        <v>10</v>
      </c>
      <c r="BC163" s="69"/>
      <c r="BD163" s="1722">
        <f t="shared" si="115"/>
        <v>2</v>
      </c>
      <c r="BE163" s="69"/>
      <c r="BF163" s="1722">
        <f t="shared" si="116"/>
        <v>4</v>
      </c>
      <c r="BG163" s="69"/>
      <c r="BH163" s="1722">
        <f t="shared" si="117"/>
        <v>7</v>
      </c>
      <c r="BI163" s="69"/>
      <c r="BJ163" s="1722">
        <f t="shared" si="118"/>
        <v>11</v>
      </c>
      <c r="BK163" s="69"/>
      <c r="BL163" s="1721" t="str">
        <f t="shared" si="119"/>
        <v/>
      </c>
      <c r="BM163" s="69"/>
      <c r="BN163" s="1721" t="str">
        <f t="shared" si="87"/>
        <v/>
      </c>
      <c r="BO163" s="69"/>
      <c r="BP163" s="1722">
        <f t="shared" si="120"/>
        <v>158</v>
      </c>
      <c r="BQ163" s="69"/>
      <c r="BR163" s="541"/>
      <c r="BS163" s="1829"/>
      <c r="BT163" s="541"/>
      <c r="BU163" s="541"/>
    </row>
    <row r="164" ht="24.0" customHeight="1">
      <c r="A164" s="1698" t="str">
        <f t="shared" si="88"/>
        <v>Да</v>
      </c>
      <c r="B164" s="1916">
        <v>4319.0</v>
      </c>
      <c r="C164" s="1700">
        <v>98.0</v>
      </c>
      <c r="D164" s="1720"/>
      <c r="E164" s="721" t="str">
        <f t="shared" si="89"/>
        <v>Салат "Морковный с изюмом" </v>
      </c>
      <c r="F164" s="1721">
        <f t="shared" si="90"/>
        <v>12</v>
      </c>
      <c r="G164" s="69"/>
      <c r="H164" s="1721">
        <f t="shared" si="91"/>
        <v>2</v>
      </c>
      <c r="I164" s="69"/>
      <c r="J164" s="1721">
        <f t="shared" si="92"/>
        <v>6</v>
      </c>
      <c r="K164" s="69"/>
      <c r="L164" s="1721">
        <f t="shared" si="93"/>
        <v>3</v>
      </c>
      <c r="M164" s="69"/>
      <c r="N164" s="1721">
        <f t="shared" si="94"/>
        <v>10</v>
      </c>
      <c r="O164" s="69"/>
      <c r="P164" s="1721">
        <f t="shared" si="95"/>
        <v>8</v>
      </c>
      <c r="Q164" s="69"/>
      <c r="R164" s="1721">
        <f t="shared" si="96"/>
        <v>3</v>
      </c>
      <c r="S164" s="69"/>
      <c r="T164" s="1721">
        <f t="shared" si="97"/>
        <v>6</v>
      </c>
      <c r="U164" s="69"/>
      <c r="V164" s="1721">
        <f t="shared" si="98"/>
        <v>6</v>
      </c>
      <c r="W164" s="69"/>
      <c r="X164" s="1721">
        <f t="shared" si="99"/>
        <v>3</v>
      </c>
      <c r="Y164" s="69"/>
      <c r="Z164" s="1721" t="str">
        <f t="shared" si="100"/>
        <v/>
      </c>
      <c r="AA164" s="69"/>
      <c r="AB164" s="1721">
        <f t="shared" si="101"/>
        <v>2</v>
      </c>
      <c r="AC164" s="69"/>
      <c r="AD164" s="1721">
        <f t="shared" si="102"/>
        <v>6</v>
      </c>
      <c r="AE164" s="69"/>
      <c r="AF164" s="1721">
        <f t="shared" si="103"/>
        <v>6</v>
      </c>
      <c r="AG164" s="69"/>
      <c r="AH164" s="1721">
        <f t="shared" si="104"/>
        <v>7</v>
      </c>
      <c r="AI164" s="69"/>
      <c r="AJ164" s="1721">
        <f t="shared" si="105"/>
        <v>6</v>
      </c>
      <c r="AK164" s="69"/>
      <c r="AL164" s="1721">
        <f t="shared" si="106"/>
        <v>4</v>
      </c>
      <c r="AM164" s="69"/>
      <c r="AN164" s="1721">
        <f t="shared" si="107"/>
        <v>6</v>
      </c>
      <c r="AO164" s="69"/>
      <c r="AP164" s="1721">
        <f t="shared" si="108"/>
        <v>3</v>
      </c>
      <c r="AQ164" s="69"/>
      <c r="AR164" s="1722">
        <f t="shared" si="109"/>
        <v>14</v>
      </c>
      <c r="AS164" s="69"/>
      <c r="AT164" s="1722">
        <f t="shared" si="110"/>
        <v>6</v>
      </c>
      <c r="AU164" s="69"/>
      <c r="AV164" s="1722">
        <f t="shared" si="111"/>
        <v>2</v>
      </c>
      <c r="AW164" s="69"/>
      <c r="AX164" s="1722">
        <f t="shared" si="112"/>
        <v>2</v>
      </c>
      <c r="AY164" s="69"/>
      <c r="AZ164" s="1722">
        <f t="shared" si="113"/>
        <v>5</v>
      </c>
      <c r="BA164" s="69"/>
      <c r="BB164" s="1722">
        <f t="shared" si="114"/>
        <v>13</v>
      </c>
      <c r="BC164" s="69"/>
      <c r="BD164" s="1722">
        <f t="shared" si="115"/>
        <v>2</v>
      </c>
      <c r="BE164" s="69"/>
      <c r="BF164" s="1722">
        <f t="shared" si="116"/>
        <v>3</v>
      </c>
      <c r="BG164" s="69"/>
      <c r="BH164" s="1722">
        <f t="shared" si="117"/>
        <v>6</v>
      </c>
      <c r="BI164" s="69"/>
      <c r="BJ164" s="1722">
        <f t="shared" si="118"/>
        <v>5</v>
      </c>
      <c r="BK164" s="69"/>
      <c r="BL164" s="1721">
        <f t="shared" si="119"/>
        <v>44</v>
      </c>
      <c r="BM164" s="69"/>
      <c r="BN164" s="1721" t="str">
        <f t="shared" si="87"/>
        <v/>
      </c>
      <c r="BO164" s="69"/>
      <c r="BP164" s="1722">
        <f t="shared" si="120"/>
        <v>201</v>
      </c>
      <c r="BQ164" s="69"/>
      <c r="BR164" s="541"/>
      <c r="BS164" s="1829"/>
      <c r="BT164" s="541"/>
      <c r="BU164" s="541"/>
    </row>
    <row r="165" ht="24.0" customHeight="1">
      <c r="A165" s="1698" t="str">
        <f t="shared" si="88"/>
        <v>Да</v>
      </c>
      <c r="B165" s="1916"/>
      <c r="C165" s="1700"/>
      <c r="D165" s="1720"/>
      <c r="E165" s="721" t="str">
        <f t="shared" si="89"/>
        <v>Салат ''Таврия'' (колбаса вареная)</v>
      </c>
      <c r="F165" s="1721">
        <f t="shared" si="90"/>
        <v>4</v>
      </c>
      <c r="G165" s="69"/>
      <c r="H165" s="1721">
        <f t="shared" si="91"/>
        <v>1</v>
      </c>
      <c r="I165" s="69"/>
      <c r="J165" s="1721">
        <f t="shared" si="92"/>
        <v>4</v>
      </c>
      <c r="K165" s="69"/>
      <c r="L165" s="1721">
        <f t="shared" si="93"/>
        <v>3</v>
      </c>
      <c r="M165" s="69"/>
      <c r="N165" s="1721">
        <f t="shared" si="94"/>
        <v>6</v>
      </c>
      <c r="O165" s="69"/>
      <c r="P165" s="1721">
        <f t="shared" si="95"/>
        <v>6</v>
      </c>
      <c r="Q165" s="69"/>
      <c r="R165" s="1721">
        <f t="shared" si="96"/>
        <v>4</v>
      </c>
      <c r="S165" s="69"/>
      <c r="T165" s="1721">
        <f t="shared" si="97"/>
        <v>3</v>
      </c>
      <c r="U165" s="69"/>
      <c r="V165" s="1721">
        <f t="shared" si="98"/>
        <v>6</v>
      </c>
      <c r="W165" s="69"/>
      <c r="X165" s="1721">
        <f t="shared" si="99"/>
        <v>3</v>
      </c>
      <c r="Y165" s="69"/>
      <c r="Z165" s="1721" t="str">
        <f t="shared" si="100"/>
        <v/>
      </c>
      <c r="AA165" s="69"/>
      <c r="AB165" s="1721">
        <f t="shared" si="101"/>
        <v>4</v>
      </c>
      <c r="AC165" s="69"/>
      <c r="AD165" s="1721">
        <f t="shared" si="102"/>
        <v>0</v>
      </c>
      <c r="AE165" s="69"/>
      <c r="AF165" s="1721">
        <f t="shared" si="103"/>
        <v>7</v>
      </c>
      <c r="AG165" s="69"/>
      <c r="AH165" s="1721">
        <f t="shared" si="104"/>
        <v>3</v>
      </c>
      <c r="AI165" s="69"/>
      <c r="AJ165" s="1721">
        <f t="shared" si="105"/>
        <v>3</v>
      </c>
      <c r="AK165" s="69"/>
      <c r="AL165" s="1721">
        <f t="shared" si="106"/>
        <v>3</v>
      </c>
      <c r="AM165" s="69"/>
      <c r="AN165" s="1721">
        <f t="shared" si="107"/>
        <v>3</v>
      </c>
      <c r="AO165" s="69"/>
      <c r="AP165" s="1721">
        <f t="shared" si="108"/>
        <v>7</v>
      </c>
      <c r="AQ165" s="69"/>
      <c r="AR165" s="1722">
        <f t="shared" si="109"/>
        <v>10</v>
      </c>
      <c r="AS165" s="69"/>
      <c r="AT165" s="1722">
        <f t="shared" si="110"/>
        <v>5</v>
      </c>
      <c r="AU165" s="69"/>
      <c r="AV165" s="1722">
        <f t="shared" si="111"/>
        <v>2</v>
      </c>
      <c r="AW165" s="69"/>
      <c r="AX165" s="1722">
        <f t="shared" si="112"/>
        <v>3</v>
      </c>
      <c r="AY165" s="69"/>
      <c r="AZ165" s="1722">
        <f t="shared" si="113"/>
        <v>0</v>
      </c>
      <c r="BA165" s="69"/>
      <c r="BB165" s="1722">
        <f t="shared" si="114"/>
        <v>8</v>
      </c>
      <c r="BC165" s="69"/>
      <c r="BD165" s="1722">
        <f t="shared" si="115"/>
        <v>2</v>
      </c>
      <c r="BE165" s="69"/>
      <c r="BF165" s="1722">
        <f t="shared" si="116"/>
        <v>2</v>
      </c>
      <c r="BG165" s="69"/>
      <c r="BH165" s="1722">
        <f t="shared" si="117"/>
        <v>7</v>
      </c>
      <c r="BI165" s="69"/>
      <c r="BJ165" s="1722">
        <f t="shared" si="118"/>
        <v>3</v>
      </c>
      <c r="BK165" s="69"/>
      <c r="BL165" s="1721">
        <f t="shared" si="119"/>
        <v>43</v>
      </c>
      <c r="BM165" s="69"/>
      <c r="BN165" s="1721" t="str">
        <f t="shared" si="87"/>
        <v/>
      </c>
      <c r="BO165" s="69"/>
      <c r="BP165" s="1722">
        <f t="shared" si="120"/>
        <v>155</v>
      </c>
      <c r="BQ165" s="69"/>
      <c r="BR165" s="541"/>
      <c r="BS165" s="1829"/>
      <c r="BT165" s="541"/>
      <c r="BU165" s="541"/>
    </row>
    <row r="166" ht="24.0" customHeight="1">
      <c r="A166" s="1698" t="str">
        <f t="shared" si="88"/>
        <v>Да</v>
      </c>
      <c r="B166" s="1916">
        <v>2303.0</v>
      </c>
      <c r="C166" s="1700">
        <v>98.0</v>
      </c>
      <c r="D166" s="1720"/>
      <c r="E166" s="721" t="str">
        <f t="shared" si="89"/>
        <v>Салат ''Жар-птица'' (филе кур)</v>
      </c>
      <c r="F166" s="1721">
        <f t="shared" si="90"/>
        <v>7</v>
      </c>
      <c r="G166" s="69"/>
      <c r="H166" s="1721">
        <f t="shared" si="91"/>
        <v>2</v>
      </c>
      <c r="I166" s="69"/>
      <c r="J166" s="1721">
        <f t="shared" si="92"/>
        <v>6</v>
      </c>
      <c r="K166" s="69"/>
      <c r="L166" s="1721">
        <f t="shared" si="93"/>
        <v>2</v>
      </c>
      <c r="M166" s="69"/>
      <c r="N166" s="1721">
        <f t="shared" si="94"/>
        <v>4</v>
      </c>
      <c r="O166" s="69"/>
      <c r="P166" s="1721">
        <f t="shared" si="95"/>
        <v>3</v>
      </c>
      <c r="Q166" s="69"/>
      <c r="R166" s="1721">
        <f t="shared" si="96"/>
        <v>2</v>
      </c>
      <c r="S166" s="69"/>
      <c r="T166" s="1721">
        <f t="shared" si="97"/>
        <v>3</v>
      </c>
      <c r="U166" s="69"/>
      <c r="V166" s="1721">
        <f t="shared" si="98"/>
        <v>2</v>
      </c>
      <c r="W166" s="69"/>
      <c r="X166" s="1721">
        <f t="shared" si="99"/>
        <v>1</v>
      </c>
      <c r="Y166" s="69"/>
      <c r="Z166" s="1721" t="str">
        <f t="shared" si="100"/>
        <v/>
      </c>
      <c r="AA166" s="69"/>
      <c r="AB166" s="1721">
        <f t="shared" si="101"/>
        <v>0</v>
      </c>
      <c r="AC166" s="69"/>
      <c r="AD166" s="1721">
        <f t="shared" si="102"/>
        <v>2</v>
      </c>
      <c r="AE166" s="69"/>
      <c r="AF166" s="1721">
        <f t="shared" si="103"/>
        <v>2</v>
      </c>
      <c r="AG166" s="69"/>
      <c r="AH166" s="1721">
        <f t="shared" si="104"/>
        <v>1</v>
      </c>
      <c r="AI166" s="69"/>
      <c r="AJ166" s="1721">
        <f t="shared" si="105"/>
        <v>2</v>
      </c>
      <c r="AK166" s="69"/>
      <c r="AL166" s="1721">
        <f t="shared" si="106"/>
        <v>2</v>
      </c>
      <c r="AM166" s="69"/>
      <c r="AN166" s="1721">
        <f t="shared" si="107"/>
        <v>2</v>
      </c>
      <c r="AO166" s="69"/>
      <c r="AP166" s="1721">
        <f t="shared" si="108"/>
        <v>3</v>
      </c>
      <c r="AQ166" s="69"/>
      <c r="AR166" s="1722">
        <f t="shared" si="109"/>
        <v>10</v>
      </c>
      <c r="AS166" s="69"/>
      <c r="AT166" s="1722">
        <f t="shared" si="110"/>
        <v>2</v>
      </c>
      <c r="AU166" s="69"/>
      <c r="AV166" s="1722">
        <f t="shared" si="111"/>
        <v>2</v>
      </c>
      <c r="AW166" s="69"/>
      <c r="AX166" s="1722">
        <f t="shared" si="112"/>
        <v>2</v>
      </c>
      <c r="AY166" s="69"/>
      <c r="AZ166" s="1722">
        <f t="shared" si="113"/>
        <v>4</v>
      </c>
      <c r="BA166" s="69"/>
      <c r="BB166" s="1722">
        <f t="shared" si="114"/>
        <v>8</v>
      </c>
      <c r="BC166" s="69"/>
      <c r="BD166" s="1722">
        <f t="shared" si="115"/>
        <v>0</v>
      </c>
      <c r="BE166" s="69"/>
      <c r="BF166" s="1722">
        <f t="shared" si="116"/>
        <v>2</v>
      </c>
      <c r="BG166" s="69"/>
      <c r="BH166" s="1722">
        <f t="shared" si="117"/>
        <v>2</v>
      </c>
      <c r="BI166" s="69"/>
      <c r="BJ166" s="1722">
        <f t="shared" si="118"/>
        <v>3</v>
      </c>
      <c r="BK166" s="69"/>
      <c r="BL166" s="1721">
        <f t="shared" si="119"/>
        <v>43</v>
      </c>
      <c r="BM166" s="69"/>
      <c r="BN166" s="1721" t="str">
        <f t="shared" si="87"/>
        <v/>
      </c>
      <c r="BO166" s="69"/>
      <c r="BP166" s="1722">
        <f t="shared" si="120"/>
        <v>124</v>
      </c>
      <c r="BQ166" s="69"/>
      <c r="BR166" s="541"/>
      <c r="BS166" s="1829"/>
      <c r="BT166" s="541"/>
      <c r="BU166" s="541"/>
    </row>
    <row r="167" ht="24.0" customHeight="1">
      <c r="A167" s="1698" t="str">
        <f t="shared" si="88"/>
        <v>Да</v>
      </c>
      <c r="B167" s="1916">
        <v>2067.0</v>
      </c>
      <c r="C167" s="1700">
        <v>187.0</v>
      </c>
      <c r="D167" s="1720"/>
      <c r="E167" s="721" t="str">
        <f t="shared" si="89"/>
        <v>Салат "Греческий''</v>
      </c>
      <c r="F167" s="1721">
        <f t="shared" si="90"/>
        <v>5</v>
      </c>
      <c r="G167" s="69"/>
      <c r="H167" s="1721">
        <f t="shared" si="91"/>
        <v>2</v>
      </c>
      <c r="I167" s="69"/>
      <c r="J167" s="1721">
        <f t="shared" si="92"/>
        <v>5</v>
      </c>
      <c r="K167" s="69"/>
      <c r="L167" s="1721">
        <f t="shared" si="93"/>
        <v>3</v>
      </c>
      <c r="M167" s="69"/>
      <c r="N167" s="1721">
        <f t="shared" si="94"/>
        <v>6</v>
      </c>
      <c r="O167" s="69"/>
      <c r="P167" s="1721">
        <f t="shared" si="95"/>
        <v>5</v>
      </c>
      <c r="Q167" s="69"/>
      <c r="R167" s="1721">
        <f t="shared" si="96"/>
        <v>0</v>
      </c>
      <c r="S167" s="69"/>
      <c r="T167" s="1721">
        <f t="shared" si="97"/>
        <v>2</v>
      </c>
      <c r="U167" s="69"/>
      <c r="V167" s="1721">
        <f t="shared" si="98"/>
        <v>3</v>
      </c>
      <c r="W167" s="69"/>
      <c r="X167" s="1721">
        <f t="shared" si="99"/>
        <v>1</v>
      </c>
      <c r="Y167" s="69"/>
      <c r="Z167" s="1721" t="str">
        <f t="shared" si="100"/>
        <v/>
      </c>
      <c r="AA167" s="69"/>
      <c r="AB167" s="1721">
        <f t="shared" si="101"/>
        <v>2</v>
      </c>
      <c r="AC167" s="69"/>
      <c r="AD167" s="1721">
        <f t="shared" si="102"/>
        <v>2</v>
      </c>
      <c r="AE167" s="69"/>
      <c r="AF167" s="1721">
        <f t="shared" si="103"/>
        <v>3</v>
      </c>
      <c r="AG167" s="69"/>
      <c r="AH167" s="1721">
        <f t="shared" si="104"/>
        <v>2</v>
      </c>
      <c r="AI167" s="69"/>
      <c r="AJ167" s="1721">
        <f t="shared" si="105"/>
        <v>3</v>
      </c>
      <c r="AK167" s="69"/>
      <c r="AL167" s="1721">
        <f t="shared" si="106"/>
        <v>2</v>
      </c>
      <c r="AM167" s="69"/>
      <c r="AN167" s="1721">
        <f t="shared" si="107"/>
        <v>0</v>
      </c>
      <c r="AO167" s="69"/>
      <c r="AP167" s="1721">
        <f t="shared" si="108"/>
        <v>1</v>
      </c>
      <c r="AQ167" s="69"/>
      <c r="AR167" s="1722">
        <f t="shared" si="109"/>
        <v>5</v>
      </c>
      <c r="AS167" s="69"/>
      <c r="AT167" s="1722">
        <f t="shared" si="110"/>
        <v>1</v>
      </c>
      <c r="AU167" s="69"/>
      <c r="AV167" s="1722">
        <f t="shared" si="111"/>
        <v>4</v>
      </c>
      <c r="AW167" s="69"/>
      <c r="AX167" s="1722">
        <f t="shared" si="112"/>
        <v>7</v>
      </c>
      <c r="AY167" s="69"/>
      <c r="AZ167" s="1722">
        <f t="shared" si="113"/>
        <v>1</v>
      </c>
      <c r="BA167" s="69"/>
      <c r="BB167" s="1722">
        <f t="shared" si="114"/>
        <v>5</v>
      </c>
      <c r="BC167" s="69"/>
      <c r="BD167" s="1722">
        <f t="shared" si="115"/>
        <v>4</v>
      </c>
      <c r="BE167" s="69"/>
      <c r="BF167" s="1722">
        <f t="shared" si="116"/>
        <v>4</v>
      </c>
      <c r="BG167" s="69"/>
      <c r="BH167" s="1722">
        <f t="shared" si="117"/>
        <v>3</v>
      </c>
      <c r="BI167" s="69"/>
      <c r="BJ167" s="1722">
        <f t="shared" si="118"/>
        <v>6</v>
      </c>
      <c r="BK167" s="69"/>
      <c r="BL167" s="1721" t="str">
        <f t="shared" si="119"/>
        <v/>
      </c>
      <c r="BM167" s="69"/>
      <c r="BN167" s="1721" t="str">
        <f t="shared" si="87"/>
        <v/>
      </c>
      <c r="BO167" s="69"/>
      <c r="BP167" s="1722">
        <f t="shared" si="120"/>
        <v>87</v>
      </c>
      <c r="BQ167" s="69"/>
      <c r="BR167" s="541"/>
      <c r="BS167" s="1829"/>
      <c r="BT167" s="541"/>
      <c r="BU167" s="541"/>
    </row>
    <row r="168" ht="24.0" customHeight="1">
      <c r="A168" s="1698" t="str">
        <f t="shared" si="88"/>
        <v/>
      </c>
      <c r="B168" s="1916">
        <v>2288.0</v>
      </c>
      <c r="C168" s="1700">
        <v>88.0</v>
      </c>
      <c r="D168" s="1720"/>
      <c r="E168" s="721" t="str">
        <f t="shared" si="89"/>
        <v>Суп картофельный с курицей</v>
      </c>
      <c r="F168" s="1721" t="str">
        <f t="shared" si="90"/>
        <v/>
      </c>
      <c r="G168" s="69"/>
      <c r="H168" s="1721" t="str">
        <f t="shared" si="91"/>
        <v/>
      </c>
      <c r="I168" s="69"/>
      <c r="J168" s="1721" t="str">
        <f t="shared" si="92"/>
        <v/>
      </c>
      <c r="K168" s="69"/>
      <c r="L168" s="1721" t="str">
        <f t="shared" si="93"/>
        <v/>
      </c>
      <c r="M168" s="69"/>
      <c r="N168" s="1721" t="str">
        <f t="shared" si="94"/>
        <v/>
      </c>
      <c r="O168" s="69"/>
      <c r="P168" s="1721" t="str">
        <f t="shared" si="95"/>
        <v/>
      </c>
      <c r="Q168" s="69"/>
      <c r="R168" s="1721" t="str">
        <f t="shared" si="96"/>
        <v/>
      </c>
      <c r="S168" s="69"/>
      <c r="T168" s="1721" t="str">
        <f t="shared" si="97"/>
        <v/>
      </c>
      <c r="U168" s="69"/>
      <c r="V168" s="1721" t="str">
        <f t="shared" si="98"/>
        <v/>
      </c>
      <c r="W168" s="69"/>
      <c r="X168" s="1721" t="str">
        <f t="shared" si="99"/>
        <v/>
      </c>
      <c r="Y168" s="69"/>
      <c r="Z168" s="1721" t="str">
        <f t="shared" si="100"/>
        <v/>
      </c>
      <c r="AA168" s="69"/>
      <c r="AB168" s="1721" t="str">
        <f t="shared" si="101"/>
        <v/>
      </c>
      <c r="AC168" s="69"/>
      <c r="AD168" s="1721" t="str">
        <f t="shared" si="102"/>
        <v/>
      </c>
      <c r="AE168" s="69"/>
      <c r="AF168" s="1721" t="str">
        <f t="shared" si="103"/>
        <v/>
      </c>
      <c r="AG168" s="69"/>
      <c r="AH168" s="1721" t="str">
        <f t="shared" si="104"/>
        <v/>
      </c>
      <c r="AI168" s="69"/>
      <c r="AJ168" s="1721" t="str">
        <f t="shared" si="105"/>
        <v/>
      </c>
      <c r="AK168" s="69"/>
      <c r="AL168" s="1721" t="str">
        <f t="shared" si="106"/>
        <v/>
      </c>
      <c r="AM168" s="69"/>
      <c r="AN168" s="1721" t="str">
        <f t="shared" si="107"/>
        <v/>
      </c>
      <c r="AO168" s="69"/>
      <c r="AP168" s="1721" t="str">
        <f t="shared" si="108"/>
        <v/>
      </c>
      <c r="AQ168" s="69"/>
      <c r="AR168" s="1722" t="str">
        <f t="shared" si="109"/>
        <v/>
      </c>
      <c r="AS168" s="69"/>
      <c r="AT168" s="1722" t="str">
        <f t="shared" si="110"/>
        <v/>
      </c>
      <c r="AU168" s="69"/>
      <c r="AV168" s="1722" t="str">
        <f t="shared" si="111"/>
        <v/>
      </c>
      <c r="AW168" s="69"/>
      <c r="AX168" s="1722" t="str">
        <f t="shared" si="112"/>
        <v/>
      </c>
      <c r="AY168" s="69"/>
      <c r="AZ168" s="1722" t="str">
        <f t="shared" si="113"/>
        <v/>
      </c>
      <c r="BA168" s="69"/>
      <c r="BB168" s="1722" t="str">
        <f t="shared" si="114"/>
        <v/>
      </c>
      <c r="BC168" s="69"/>
      <c r="BD168" s="1722" t="str">
        <f t="shared" si="115"/>
        <v/>
      </c>
      <c r="BE168" s="69"/>
      <c r="BF168" s="1722" t="str">
        <f t="shared" si="116"/>
        <v/>
      </c>
      <c r="BG168" s="69"/>
      <c r="BH168" s="1722" t="str">
        <f t="shared" si="117"/>
        <v/>
      </c>
      <c r="BI168" s="69"/>
      <c r="BJ168" s="1722" t="str">
        <f t="shared" si="118"/>
        <v/>
      </c>
      <c r="BK168" s="69"/>
      <c r="BL168" s="1721">
        <f t="shared" si="119"/>
        <v>120</v>
      </c>
      <c r="BM168" s="69"/>
      <c r="BN168" s="1721" t="str">
        <f t="shared" si="87"/>
        <v/>
      </c>
      <c r="BO168" s="69"/>
      <c r="BP168" s="1722">
        <f t="shared" si="120"/>
        <v>120</v>
      </c>
      <c r="BQ168" s="69"/>
      <c r="BR168" s="541"/>
      <c r="BS168" s="1829"/>
      <c r="BT168" s="541"/>
      <c r="BU168" s="541"/>
    </row>
    <row r="169" ht="24.0" customHeight="1">
      <c r="A169" s="1698" t="str">
        <f t="shared" si="88"/>
        <v>Да</v>
      </c>
      <c r="B169" s="1916">
        <v>4274.0</v>
      </c>
      <c r="C169" s="1700">
        <v>139.0</v>
      </c>
      <c r="D169" s="1720"/>
      <c r="E169" s="721" t="str">
        <f t="shared" si="89"/>
        <v>Крем-суп из брокколи</v>
      </c>
      <c r="F169" s="1721">
        <f t="shared" si="90"/>
        <v>2</v>
      </c>
      <c r="G169" s="69"/>
      <c r="H169" s="1721">
        <f t="shared" si="91"/>
        <v>4</v>
      </c>
      <c r="I169" s="69"/>
      <c r="J169" s="1721">
        <f t="shared" si="92"/>
        <v>2</v>
      </c>
      <c r="K169" s="69"/>
      <c r="L169" s="1721" t="str">
        <f t="shared" si="93"/>
        <v/>
      </c>
      <c r="M169" s="69"/>
      <c r="N169" s="1721">
        <f t="shared" si="94"/>
        <v>4</v>
      </c>
      <c r="O169" s="69"/>
      <c r="P169" s="1721">
        <f t="shared" si="95"/>
        <v>2</v>
      </c>
      <c r="Q169" s="69"/>
      <c r="R169" s="1721" t="str">
        <f t="shared" si="96"/>
        <v/>
      </c>
      <c r="S169" s="69"/>
      <c r="T169" s="1721">
        <f t="shared" si="97"/>
        <v>2</v>
      </c>
      <c r="U169" s="69"/>
      <c r="V169" s="1721">
        <f t="shared" si="98"/>
        <v>3</v>
      </c>
      <c r="W169" s="69"/>
      <c r="X169" s="1721">
        <f t="shared" si="99"/>
        <v>2</v>
      </c>
      <c r="Y169" s="69"/>
      <c r="Z169" s="1721" t="str">
        <f t="shared" si="100"/>
        <v/>
      </c>
      <c r="AA169" s="69"/>
      <c r="AB169" s="1721">
        <f t="shared" si="101"/>
        <v>1</v>
      </c>
      <c r="AC169" s="69"/>
      <c r="AD169" s="1721">
        <f t="shared" si="102"/>
        <v>2</v>
      </c>
      <c r="AE169" s="69"/>
      <c r="AF169" s="1721">
        <f t="shared" si="103"/>
        <v>3</v>
      </c>
      <c r="AG169" s="69"/>
      <c r="AH169" s="1721">
        <f t="shared" si="104"/>
        <v>3</v>
      </c>
      <c r="AI169" s="69"/>
      <c r="AJ169" s="1721">
        <f t="shared" si="105"/>
        <v>1</v>
      </c>
      <c r="AK169" s="69"/>
      <c r="AL169" s="1721" t="str">
        <f t="shared" si="106"/>
        <v/>
      </c>
      <c r="AM169" s="69"/>
      <c r="AN169" s="1721">
        <f t="shared" si="107"/>
        <v>1</v>
      </c>
      <c r="AO169" s="69"/>
      <c r="AP169" s="1721">
        <f t="shared" si="108"/>
        <v>2</v>
      </c>
      <c r="AQ169" s="69"/>
      <c r="AR169" s="1722">
        <f t="shared" si="109"/>
        <v>2</v>
      </c>
      <c r="AS169" s="69"/>
      <c r="AT169" s="1722">
        <f t="shared" si="110"/>
        <v>4</v>
      </c>
      <c r="AU169" s="69"/>
      <c r="AV169" s="1722">
        <f t="shared" si="111"/>
        <v>1</v>
      </c>
      <c r="AW169" s="69"/>
      <c r="AX169" s="1722">
        <f t="shared" si="112"/>
        <v>1</v>
      </c>
      <c r="AY169" s="69"/>
      <c r="AZ169" s="1722">
        <f t="shared" si="113"/>
        <v>5</v>
      </c>
      <c r="BA169" s="69"/>
      <c r="BB169" s="1722">
        <f t="shared" si="114"/>
        <v>6</v>
      </c>
      <c r="BC169" s="69"/>
      <c r="BD169" s="1722">
        <f t="shared" si="115"/>
        <v>2</v>
      </c>
      <c r="BE169" s="69"/>
      <c r="BF169" s="1722">
        <f t="shared" si="116"/>
        <v>2</v>
      </c>
      <c r="BG169" s="69"/>
      <c r="BH169" s="1722">
        <f t="shared" si="117"/>
        <v>4</v>
      </c>
      <c r="BI169" s="69"/>
      <c r="BJ169" s="1722">
        <f t="shared" si="118"/>
        <v>3</v>
      </c>
      <c r="BK169" s="69"/>
      <c r="BL169" s="1721" t="str">
        <f t="shared" si="119"/>
        <v/>
      </c>
      <c r="BM169" s="69"/>
      <c r="BN169" s="1721" t="str">
        <f t="shared" si="87"/>
        <v/>
      </c>
      <c r="BO169" s="69"/>
      <c r="BP169" s="1722">
        <f t="shared" si="120"/>
        <v>64</v>
      </c>
      <c r="BQ169" s="69"/>
      <c r="BR169" s="541"/>
      <c r="BS169" s="1829"/>
      <c r="BT169" s="541"/>
      <c r="BU169" s="541"/>
    </row>
    <row r="170" ht="24.0" customHeight="1">
      <c r="A170" s="1698" t="str">
        <f t="shared" si="88"/>
        <v>Да</v>
      </c>
      <c r="B170" s="1916">
        <v>813.0</v>
      </c>
      <c r="C170" s="1700">
        <v>227.0</v>
      </c>
      <c r="D170" s="1720"/>
      <c r="E170" s="721" t="str">
        <f t="shared" si="89"/>
        <v>Котлета по-киевски с макаронами</v>
      </c>
      <c r="F170" s="1721">
        <f t="shared" si="90"/>
        <v>12</v>
      </c>
      <c r="G170" s="69"/>
      <c r="H170" s="1721">
        <f t="shared" si="91"/>
        <v>4</v>
      </c>
      <c r="I170" s="69"/>
      <c r="J170" s="1721">
        <f t="shared" si="92"/>
        <v>5</v>
      </c>
      <c r="K170" s="69"/>
      <c r="L170" s="1721">
        <f t="shared" si="93"/>
        <v>3</v>
      </c>
      <c r="M170" s="69"/>
      <c r="N170" s="1721">
        <f t="shared" si="94"/>
        <v>4</v>
      </c>
      <c r="O170" s="69"/>
      <c r="P170" s="1721">
        <f t="shared" si="95"/>
        <v>7</v>
      </c>
      <c r="Q170" s="69"/>
      <c r="R170" s="1721">
        <f t="shared" si="96"/>
        <v>5</v>
      </c>
      <c r="S170" s="69"/>
      <c r="T170" s="1721">
        <f t="shared" si="97"/>
        <v>3</v>
      </c>
      <c r="U170" s="69"/>
      <c r="V170" s="1721">
        <f t="shared" si="98"/>
        <v>9</v>
      </c>
      <c r="W170" s="69"/>
      <c r="X170" s="1721">
        <f t="shared" si="99"/>
        <v>6</v>
      </c>
      <c r="Y170" s="69"/>
      <c r="Z170" s="1721" t="str">
        <f t="shared" si="100"/>
        <v/>
      </c>
      <c r="AA170" s="69"/>
      <c r="AB170" s="1721">
        <f t="shared" si="101"/>
        <v>3</v>
      </c>
      <c r="AC170" s="69"/>
      <c r="AD170" s="1721">
        <f t="shared" si="102"/>
        <v>5</v>
      </c>
      <c r="AE170" s="69"/>
      <c r="AF170" s="1721">
        <f t="shared" si="103"/>
        <v>8</v>
      </c>
      <c r="AG170" s="69"/>
      <c r="AH170" s="1721">
        <f t="shared" si="104"/>
        <v>8</v>
      </c>
      <c r="AI170" s="69"/>
      <c r="AJ170" s="1721">
        <f t="shared" si="105"/>
        <v>3</v>
      </c>
      <c r="AK170" s="69"/>
      <c r="AL170" s="1721">
        <f t="shared" si="106"/>
        <v>2</v>
      </c>
      <c r="AM170" s="69"/>
      <c r="AN170" s="1721">
        <f t="shared" si="107"/>
        <v>2</v>
      </c>
      <c r="AO170" s="69"/>
      <c r="AP170" s="1721">
        <f t="shared" si="108"/>
        <v>2</v>
      </c>
      <c r="AQ170" s="69"/>
      <c r="AR170" s="1722">
        <f t="shared" si="109"/>
        <v>11</v>
      </c>
      <c r="AS170" s="69"/>
      <c r="AT170" s="1722">
        <f t="shared" si="110"/>
        <v>8</v>
      </c>
      <c r="AU170" s="69"/>
      <c r="AV170" s="1722">
        <f t="shared" si="111"/>
        <v>2</v>
      </c>
      <c r="AW170" s="69"/>
      <c r="AX170" s="1722">
        <f t="shared" si="112"/>
        <v>3</v>
      </c>
      <c r="AY170" s="69"/>
      <c r="AZ170" s="1722">
        <f t="shared" si="113"/>
        <v>3</v>
      </c>
      <c r="BA170" s="69"/>
      <c r="BB170" s="1722">
        <f t="shared" si="114"/>
        <v>9</v>
      </c>
      <c r="BC170" s="69"/>
      <c r="BD170" s="1722">
        <f t="shared" si="115"/>
        <v>4</v>
      </c>
      <c r="BE170" s="69"/>
      <c r="BF170" s="1722">
        <f t="shared" si="116"/>
        <v>8</v>
      </c>
      <c r="BG170" s="69"/>
      <c r="BH170" s="1722">
        <f t="shared" si="117"/>
        <v>5</v>
      </c>
      <c r="BI170" s="69"/>
      <c r="BJ170" s="1722">
        <f t="shared" si="118"/>
        <v>6</v>
      </c>
      <c r="BK170" s="69"/>
      <c r="BL170" s="1721" t="str">
        <f t="shared" si="119"/>
        <v/>
      </c>
      <c r="BM170" s="69"/>
      <c r="BN170" s="1721" t="str">
        <f t="shared" si="87"/>
        <v/>
      </c>
      <c r="BO170" s="69"/>
      <c r="BP170" s="1722">
        <f t="shared" si="120"/>
        <v>150</v>
      </c>
      <c r="BQ170" s="69"/>
      <c r="BR170" s="541"/>
      <c r="BS170" s="1829"/>
      <c r="BT170" s="541"/>
      <c r="BU170" s="541"/>
    </row>
    <row r="171" ht="24.0" customHeight="1">
      <c r="A171" s="1698" t="str">
        <f t="shared" si="88"/>
        <v>Да</v>
      </c>
      <c r="B171" s="1916">
        <v>4105.0</v>
      </c>
      <c r="C171" s="1700">
        <v>234.0</v>
      </c>
      <c r="D171" s="1720"/>
      <c r="E171" s="721" t="str">
        <f t="shared" si="89"/>
        <v>Свинина по-гавайски с картофелем</v>
      </c>
      <c r="F171" s="1721">
        <f t="shared" si="90"/>
        <v>5</v>
      </c>
      <c r="G171" s="69"/>
      <c r="H171" s="1721">
        <f t="shared" si="91"/>
        <v>2</v>
      </c>
      <c r="I171" s="69"/>
      <c r="J171" s="1721">
        <f t="shared" si="92"/>
        <v>4</v>
      </c>
      <c r="K171" s="69"/>
      <c r="L171" s="1721">
        <f t="shared" si="93"/>
        <v>3</v>
      </c>
      <c r="M171" s="69"/>
      <c r="N171" s="1721">
        <f t="shared" si="94"/>
        <v>7</v>
      </c>
      <c r="O171" s="69"/>
      <c r="P171" s="1726">
        <f t="shared" si="95"/>
        <v>7</v>
      </c>
      <c r="Q171" s="69"/>
      <c r="R171" s="1721">
        <f t="shared" si="96"/>
        <v>2</v>
      </c>
      <c r="S171" s="69"/>
      <c r="T171" s="1721">
        <f t="shared" si="97"/>
        <v>4</v>
      </c>
      <c r="U171" s="69"/>
      <c r="V171" s="1721">
        <f t="shared" si="98"/>
        <v>3</v>
      </c>
      <c r="W171" s="69"/>
      <c r="X171" s="1721">
        <f t="shared" si="99"/>
        <v>3</v>
      </c>
      <c r="Y171" s="69"/>
      <c r="Z171" s="1721" t="str">
        <f t="shared" si="100"/>
        <v/>
      </c>
      <c r="AA171" s="69"/>
      <c r="AB171" s="1721">
        <f t="shared" si="101"/>
        <v>2</v>
      </c>
      <c r="AC171" s="69"/>
      <c r="AD171" s="1721">
        <f t="shared" si="102"/>
        <v>4</v>
      </c>
      <c r="AE171" s="69"/>
      <c r="AF171" s="1721">
        <f t="shared" si="103"/>
        <v>2</v>
      </c>
      <c r="AG171" s="69"/>
      <c r="AH171" s="1721">
        <f t="shared" si="104"/>
        <v>3</v>
      </c>
      <c r="AI171" s="69"/>
      <c r="AJ171" s="1721">
        <f t="shared" si="105"/>
        <v>3</v>
      </c>
      <c r="AK171" s="69"/>
      <c r="AL171" s="1721">
        <f t="shared" si="106"/>
        <v>2</v>
      </c>
      <c r="AM171" s="69"/>
      <c r="AN171" s="1721">
        <f t="shared" si="107"/>
        <v>2</v>
      </c>
      <c r="AO171" s="69"/>
      <c r="AP171" s="1721">
        <f t="shared" si="108"/>
        <v>3</v>
      </c>
      <c r="AQ171" s="69"/>
      <c r="AR171" s="1722">
        <f t="shared" si="109"/>
        <v>4</v>
      </c>
      <c r="AS171" s="69"/>
      <c r="AT171" s="1722">
        <f t="shared" si="110"/>
        <v>3</v>
      </c>
      <c r="AU171" s="69"/>
      <c r="AV171" s="1722">
        <f t="shared" si="111"/>
        <v>2</v>
      </c>
      <c r="AW171" s="69"/>
      <c r="AX171" s="1722">
        <f t="shared" si="112"/>
        <v>2</v>
      </c>
      <c r="AY171" s="69"/>
      <c r="AZ171" s="1722">
        <f t="shared" si="113"/>
        <v>3</v>
      </c>
      <c r="BA171" s="69"/>
      <c r="BB171" s="1722">
        <f t="shared" si="114"/>
        <v>6</v>
      </c>
      <c r="BC171" s="69"/>
      <c r="BD171" s="1722">
        <f t="shared" si="115"/>
        <v>2</v>
      </c>
      <c r="BE171" s="69"/>
      <c r="BF171" s="1722">
        <f t="shared" si="116"/>
        <v>2</v>
      </c>
      <c r="BG171" s="69"/>
      <c r="BH171" s="1722">
        <f t="shared" si="117"/>
        <v>2</v>
      </c>
      <c r="BI171" s="69"/>
      <c r="BJ171" s="1722">
        <f t="shared" si="118"/>
        <v>3</v>
      </c>
      <c r="BK171" s="69"/>
      <c r="BL171" s="1721" t="str">
        <f t="shared" si="119"/>
        <v/>
      </c>
      <c r="BM171" s="69"/>
      <c r="BN171" s="1721">
        <f t="shared" si="87"/>
        <v>5</v>
      </c>
      <c r="BO171" s="69"/>
      <c r="BP171" s="1722">
        <f t="shared" si="120"/>
        <v>90</v>
      </c>
      <c r="BQ171" s="69"/>
      <c r="BR171" s="541"/>
      <c r="BS171" s="1829"/>
      <c r="BT171" s="541"/>
      <c r="BU171" s="541"/>
    </row>
    <row r="172" ht="24.0" customHeight="1">
      <c r="A172" s="1698" t="str">
        <f t="shared" si="88"/>
        <v>Да</v>
      </c>
      <c r="B172" s="1916">
        <v>26.0</v>
      </c>
      <c r="C172" s="1700">
        <v>190.0</v>
      </c>
      <c r="D172" s="1720"/>
      <c r="E172" s="721" t="str">
        <f t="shared" si="89"/>
        <v>Плов по-узбекски с цыпленком б/250гр</v>
      </c>
      <c r="F172" s="1721">
        <f t="shared" si="90"/>
        <v>9</v>
      </c>
      <c r="G172" s="69"/>
      <c r="H172" s="1721">
        <f t="shared" si="91"/>
        <v>5</v>
      </c>
      <c r="I172" s="69"/>
      <c r="J172" s="1721">
        <f t="shared" si="92"/>
        <v>4</v>
      </c>
      <c r="K172" s="69"/>
      <c r="L172" s="1721">
        <f t="shared" si="93"/>
        <v>3</v>
      </c>
      <c r="M172" s="69"/>
      <c r="N172" s="1721">
        <f t="shared" si="94"/>
        <v>9</v>
      </c>
      <c r="O172" s="69"/>
      <c r="P172" s="1726">
        <f t="shared" si="95"/>
        <v>3</v>
      </c>
      <c r="Q172" s="69"/>
      <c r="R172" s="1721">
        <f t="shared" si="96"/>
        <v>1</v>
      </c>
      <c r="S172" s="69"/>
      <c r="T172" s="1721">
        <f t="shared" si="97"/>
        <v>4</v>
      </c>
      <c r="U172" s="69"/>
      <c r="V172" s="1721">
        <f t="shared" si="98"/>
        <v>2</v>
      </c>
      <c r="W172" s="69"/>
      <c r="X172" s="1721">
        <f t="shared" si="99"/>
        <v>2</v>
      </c>
      <c r="Y172" s="69"/>
      <c r="Z172" s="1721" t="str">
        <f t="shared" si="100"/>
        <v/>
      </c>
      <c r="AA172" s="69"/>
      <c r="AB172" s="1721">
        <f t="shared" si="101"/>
        <v>5</v>
      </c>
      <c r="AC172" s="69"/>
      <c r="AD172" s="1721">
        <f t="shared" si="102"/>
        <v>3</v>
      </c>
      <c r="AE172" s="69"/>
      <c r="AF172" s="1721">
        <f t="shared" si="103"/>
        <v>3</v>
      </c>
      <c r="AG172" s="69"/>
      <c r="AH172" s="1721">
        <f t="shared" si="104"/>
        <v>4</v>
      </c>
      <c r="AI172" s="69"/>
      <c r="AJ172" s="1721">
        <f t="shared" si="105"/>
        <v>4</v>
      </c>
      <c r="AK172" s="69"/>
      <c r="AL172" s="1721">
        <f t="shared" si="106"/>
        <v>4</v>
      </c>
      <c r="AM172" s="69"/>
      <c r="AN172" s="1721">
        <f t="shared" si="107"/>
        <v>3</v>
      </c>
      <c r="AO172" s="69"/>
      <c r="AP172" s="1721">
        <f t="shared" si="108"/>
        <v>2</v>
      </c>
      <c r="AQ172" s="69"/>
      <c r="AR172" s="1722">
        <f t="shared" si="109"/>
        <v>4</v>
      </c>
      <c r="AS172" s="69"/>
      <c r="AT172" s="1722">
        <f t="shared" si="110"/>
        <v>6</v>
      </c>
      <c r="AU172" s="69"/>
      <c r="AV172" s="1722">
        <f t="shared" si="111"/>
        <v>2</v>
      </c>
      <c r="AW172" s="69"/>
      <c r="AX172" s="1722">
        <f t="shared" si="112"/>
        <v>4</v>
      </c>
      <c r="AY172" s="69"/>
      <c r="AZ172" s="1722">
        <f t="shared" si="113"/>
        <v>4</v>
      </c>
      <c r="BA172" s="69"/>
      <c r="BB172" s="1722">
        <f t="shared" si="114"/>
        <v>9</v>
      </c>
      <c r="BC172" s="69"/>
      <c r="BD172" s="1722">
        <f t="shared" si="115"/>
        <v>2</v>
      </c>
      <c r="BE172" s="69"/>
      <c r="BF172" s="1722">
        <f t="shared" si="116"/>
        <v>6</v>
      </c>
      <c r="BG172" s="69"/>
      <c r="BH172" s="1722">
        <f t="shared" si="117"/>
        <v>4</v>
      </c>
      <c r="BI172" s="69"/>
      <c r="BJ172" s="1722">
        <f t="shared" si="118"/>
        <v>9</v>
      </c>
      <c r="BK172" s="69"/>
      <c r="BL172" s="1721">
        <f t="shared" si="119"/>
        <v>25</v>
      </c>
      <c r="BM172" s="69"/>
      <c r="BN172" s="1721" t="str">
        <f t="shared" si="87"/>
        <v/>
      </c>
      <c r="BO172" s="69"/>
      <c r="BP172" s="1722">
        <f t="shared" si="120"/>
        <v>145</v>
      </c>
      <c r="BQ172" s="69"/>
      <c r="BR172" s="684"/>
      <c r="BS172" s="1829"/>
      <c r="BT172" s="541"/>
      <c r="BU172" s="541"/>
    </row>
    <row r="173" ht="24.0" customHeight="1">
      <c r="A173" s="1698" t="str">
        <f t="shared" si="88"/>
        <v>Да</v>
      </c>
      <c r="B173" s="1916">
        <v>4100.0</v>
      </c>
      <c r="C173" s="1700">
        <v>198.0</v>
      </c>
      <c r="D173" s="1720"/>
      <c r="E173" s="721" t="str">
        <f t="shared" si="89"/>
        <v>Курочка по-купечески с гречкой </v>
      </c>
      <c r="F173" s="1721">
        <f t="shared" si="90"/>
        <v>8</v>
      </c>
      <c r="G173" s="69"/>
      <c r="H173" s="1721">
        <f t="shared" si="91"/>
        <v>7</v>
      </c>
      <c r="I173" s="69"/>
      <c r="J173" s="1721">
        <f t="shared" si="92"/>
        <v>4</v>
      </c>
      <c r="K173" s="69"/>
      <c r="L173" s="1721">
        <f t="shared" si="93"/>
        <v>9</v>
      </c>
      <c r="M173" s="69"/>
      <c r="N173" s="1721">
        <f t="shared" si="94"/>
        <v>15</v>
      </c>
      <c r="O173" s="69"/>
      <c r="P173" s="1721">
        <f t="shared" si="95"/>
        <v>9</v>
      </c>
      <c r="Q173" s="69"/>
      <c r="R173" s="1721">
        <f t="shared" si="96"/>
        <v>4</v>
      </c>
      <c r="S173" s="69"/>
      <c r="T173" s="1721">
        <f t="shared" si="97"/>
        <v>2</v>
      </c>
      <c r="U173" s="69"/>
      <c r="V173" s="1721">
        <f t="shared" si="98"/>
        <v>5</v>
      </c>
      <c r="W173" s="69"/>
      <c r="X173" s="1721">
        <f t="shared" si="99"/>
        <v>6</v>
      </c>
      <c r="Y173" s="69"/>
      <c r="Z173" s="1721" t="str">
        <f t="shared" si="100"/>
        <v/>
      </c>
      <c r="AA173" s="69"/>
      <c r="AB173" s="1721">
        <f t="shared" si="101"/>
        <v>2</v>
      </c>
      <c r="AC173" s="69"/>
      <c r="AD173" s="1721">
        <f t="shared" si="102"/>
        <v>3</v>
      </c>
      <c r="AE173" s="69"/>
      <c r="AF173" s="1721">
        <f t="shared" si="103"/>
        <v>9</v>
      </c>
      <c r="AG173" s="69"/>
      <c r="AH173" s="1721">
        <f t="shared" si="104"/>
        <v>5</v>
      </c>
      <c r="AI173" s="69"/>
      <c r="AJ173" s="1721">
        <f t="shared" si="105"/>
        <v>5</v>
      </c>
      <c r="AK173" s="69"/>
      <c r="AL173" s="1721">
        <f t="shared" si="106"/>
        <v>4</v>
      </c>
      <c r="AM173" s="69"/>
      <c r="AN173" s="1721">
        <f t="shared" si="107"/>
        <v>2</v>
      </c>
      <c r="AO173" s="69"/>
      <c r="AP173" s="1721">
        <f t="shared" si="108"/>
        <v>2</v>
      </c>
      <c r="AQ173" s="69"/>
      <c r="AR173" s="1722">
        <f t="shared" si="109"/>
        <v>5</v>
      </c>
      <c r="AS173" s="69"/>
      <c r="AT173" s="1722">
        <f t="shared" si="110"/>
        <v>4</v>
      </c>
      <c r="AU173" s="69"/>
      <c r="AV173" s="1722">
        <f t="shared" si="111"/>
        <v>5</v>
      </c>
      <c r="AW173" s="69"/>
      <c r="AX173" s="1722">
        <f t="shared" si="112"/>
        <v>2</v>
      </c>
      <c r="AY173" s="69"/>
      <c r="AZ173" s="1722">
        <f t="shared" si="113"/>
        <v>2</v>
      </c>
      <c r="BA173" s="69"/>
      <c r="BB173" s="1722">
        <f t="shared" si="114"/>
        <v>9</v>
      </c>
      <c r="BC173" s="69"/>
      <c r="BD173" s="1722">
        <f t="shared" si="115"/>
        <v>2</v>
      </c>
      <c r="BE173" s="69"/>
      <c r="BF173" s="1722">
        <f t="shared" si="116"/>
        <v>4</v>
      </c>
      <c r="BG173" s="69"/>
      <c r="BH173" s="1722">
        <f t="shared" si="117"/>
        <v>6</v>
      </c>
      <c r="BI173" s="69"/>
      <c r="BJ173" s="1722">
        <f t="shared" si="118"/>
        <v>8</v>
      </c>
      <c r="BK173" s="69"/>
      <c r="BL173" s="1721">
        <f t="shared" si="119"/>
        <v>80</v>
      </c>
      <c r="BM173" s="69"/>
      <c r="BN173" s="1721">
        <f t="shared" si="87"/>
        <v>15</v>
      </c>
      <c r="BO173" s="69"/>
      <c r="BP173" s="1722">
        <f t="shared" si="120"/>
        <v>228</v>
      </c>
      <c r="BQ173" s="69"/>
      <c r="BR173" s="684"/>
      <c r="BS173" s="1829"/>
      <c r="BT173" s="541"/>
      <c r="BU173" s="541"/>
    </row>
    <row r="174" ht="24.0" customHeight="1">
      <c r="A174" s="1698" t="str">
        <f t="shared" si="88"/>
        <v/>
      </c>
      <c r="B174" s="1916">
        <v>3474.0</v>
      </c>
      <c r="C174" s="1700">
        <v>198.0</v>
      </c>
      <c r="D174" s="1720"/>
      <c r="E174" s="721" t="str">
        <f t="shared" si="89"/>
        <v>Свинина в томатном соусе с макаронами</v>
      </c>
      <c r="F174" s="1721" t="str">
        <f t="shared" si="90"/>
        <v/>
      </c>
      <c r="G174" s="69"/>
      <c r="H174" s="1721" t="str">
        <f t="shared" si="91"/>
        <v/>
      </c>
      <c r="I174" s="69"/>
      <c r="J174" s="1721" t="str">
        <f t="shared" si="92"/>
        <v/>
      </c>
      <c r="K174" s="69"/>
      <c r="L174" s="1721" t="str">
        <f t="shared" si="93"/>
        <v/>
      </c>
      <c r="M174" s="69"/>
      <c r="N174" s="1721" t="str">
        <f t="shared" si="94"/>
        <v/>
      </c>
      <c r="O174" s="69"/>
      <c r="P174" s="1721" t="str">
        <f t="shared" si="95"/>
        <v/>
      </c>
      <c r="Q174" s="69"/>
      <c r="R174" s="1721" t="str">
        <f t="shared" si="96"/>
        <v/>
      </c>
      <c r="S174" s="69"/>
      <c r="T174" s="1721" t="str">
        <f t="shared" si="97"/>
        <v/>
      </c>
      <c r="U174" s="69"/>
      <c r="V174" s="1721" t="str">
        <f t="shared" si="98"/>
        <v/>
      </c>
      <c r="W174" s="69"/>
      <c r="X174" s="1721" t="str">
        <f t="shared" si="99"/>
        <v/>
      </c>
      <c r="Y174" s="69"/>
      <c r="Z174" s="1721" t="str">
        <f t="shared" si="100"/>
        <v/>
      </c>
      <c r="AA174" s="69"/>
      <c r="AB174" s="1721" t="str">
        <f t="shared" si="101"/>
        <v/>
      </c>
      <c r="AC174" s="69"/>
      <c r="AD174" s="1721" t="str">
        <f t="shared" si="102"/>
        <v/>
      </c>
      <c r="AE174" s="69"/>
      <c r="AF174" s="1721" t="str">
        <f t="shared" si="103"/>
        <v/>
      </c>
      <c r="AG174" s="69"/>
      <c r="AH174" s="1721" t="str">
        <f t="shared" si="104"/>
        <v/>
      </c>
      <c r="AI174" s="69"/>
      <c r="AJ174" s="1721" t="str">
        <f t="shared" si="105"/>
        <v/>
      </c>
      <c r="AK174" s="69"/>
      <c r="AL174" s="1721" t="str">
        <f t="shared" si="106"/>
        <v/>
      </c>
      <c r="AM174" s="69"/>
      <c r="AN174" s="1721" t="str">
        <f t="shared" si="107"/>
        <v/>
      </c>
      <c r="AO174" s="69"/>
      <c r="AP174" s="1721" t="str">
        <f t="shared" si="108"/>
        <v/>
      </c>
      <c r="AQ174" s="69"/>
      <c r="AR174" s="1722" t="str">
        <f t="shared" si="109"/>
        <v/>
      </c>
      <c r="AS174" s="69"/>
      <c r="AT174" s="1722" t="str">
        <f t="shared" si="110"/>
        <v/>
      </c>
      <c r="AU174" s="69"/>
      <c r="AV174" s="1722" t="str">
        <f t="shared" si="111"/>
        <v/>
      </c>
      <c r="AW174" s="69"/>
      <c r="AX174" s="1722" t="str">
        <f t="shared" si="112"/>
        <v/>
      </c>
      <c r="AY174" s="69"/>
      <c r="AZ174" s="1722" t="str">
        <f t="shared" si="113"/>
        <v/>
      </c>
      <c r="BA174" s="69"/>
      <c r="BB174" s="1722" t="str">
        <f t="shared" si="114"/>
        <v/>
      </c>
      <c r="BC174" s="69"/>
      <c r="BD174" s="1722" t="str">
        <f t="shared" si="115"/>
        <v/>
      </c>
      <c r="BE174" s="69"/>
      <c r="BF174" s="1722" t="str">
        <f t="shared" si="116"/>
        <v/>
      </c>
      <c r="BG174" s="69"/>
      <c r="BH174" s="1722" t="str">
        <f t="shared" si="117"/>
        <v/>
      </c>
      <c r="BI174" s="69"/>
      <c r="BJ174" s="1722" t="str">
        <f t="shared" si="118"/>
        <v/>
      </c>
      <c r="BK174" s="69"/>
      <c r="BL174" s="1721">
        <f t="shared" si="119"/>
        <v>25</v>
      </c>
      <c r="BM174" s="69"/>
      <c r="BN174" s="1721" t="str">
        <f t="shared" si="87"/>
        <v/>
      </c>
      <c r="BO174" s="69"/>
      <c r="BP174" s="1722">
        <f t="shared" si="120"/>
        <v>25</v>
      </c>
      <c r="BQ174" s="69"/>
      <c r="BR174" s="684"/>
      <c r="BS174" s="1829"/>
      <c r="BT174" s="541"/>
      <c r="BU174" s="541"/>
    </row>
    <row r="175" ht="24.0" customHeight="1">
      <c r="A175" s="1698" t="str">
        <f t="shared" si="88"/>
        <v/>
      </c>
      <c r="B175" s="1916"/>
      <c r="C175" s="1700"/>
      <c r="D175" s="1720"/>
      <c r="E175" s="721" t="str">
        <f t="shared" si="89"/>
        <v/>
      </c>
      <c r="F175" s="1721" t="str">
        <f t="shared" si="90"/>
        <v/>
      </c>
      <c r="G175" s="69"/>
      <c r="H175" s="1721" t="str">
        <f t="shared" si="91"/>
        <v/>
      </c>
      <c r="I175" s="69"/>
      <c r="J175" s="1721" t="str">
        <f t="shared" si="92"/>
        <v/>
      </c>
      <c r="K175" s="69"/>
      <c r="L175" s="1721" t="str">
        <f t="shared" si="93"/>
        <v/>
      </c>
      <c r="M175" s="69"/>
      <c r="N175" s="1721" t="str">
        <f t="shared" si="94"/>
        <v/>
      </c>
      <c r="O175" s="69"/>
      <c r="P175" s="1726" t="str">
        <f t="shared" si="95"/>
        <v/>
      </c>
      <c r="Q175" s="69"/>
      <c r="R175" s="1721" t="str">
        <f t="shared" si="96"/>
        <v/>
      </c>
      <c r="S175" s="69"/>
      <c r="T175" s="1721" t="str">
        <f t="shared" si="97"/>
        <v/>
      </c>
      <c r="U175" s="69"/>
      <c r="V175" s="1721" t="str">
        <f t="shared" si="98"/>
        <v/>
      </c>
      <c r="W175" s="69"/>
      <c r="X175" s="1721" t="str">
        <f t="shared" si="99"/>
        <v/>
      </c>
      <c r="Y175" s="69"/>
      <c r="Z175" s="1721" t="str">
        <f t="shared" si="100"/>
        <v/>
      </c>
      <c r="AA175" s="69"/>
      <c r="AB175" s="1721" t="str">
        <f t="shared" si="101"/>
        <v/>
      </c>
      <c r="AC175" s="69"/>
      <c r="AD175" s="1721" t="str">
        <f t="shared" si="102"/>
        <v/>
      </c>
      <c r="AE175" s="69"/>
      <c r="AF175" s="1721" t="str">
        <f t="shared" si="103"/>
        <v/>
      </c>
      <c r="AG175" s="69"/>
      <c r="AH175" s="1721" t="str">
        <f t="shared" si="104"/>
        <v/>
      </c>
      <c r="AI175" s="69"/>
      <c r="AJ175" s="1721" t="str">
        <f t="shared" si="105"/>
        <v/>
      </c>
      <c r="AK175" s="69"/>
      <c r="AL175" s="1721" t="str">
        <f t="shared" si="106"/>
        <v/>
      </c>
      <c r="AM175" s="69"/>
      <c r="AN175" s="1721" t="str">
        <f t="shared" si="107"/>
        <v/>
      </c>
      <c r="AO175" s="69"/>
      <c r="AP175" s="1721" t="str">
        <f t="shared" si="108"/>
        <v/>
      </c>
      <c r="AQ175" s="69"/>
      <c r="AR175" s="1722" t="str">
        <f t="shared" si="109"/>
        <v/>
      </c>
      <c r="AS175" s="69"/>
      <c r="AT175" s="1722" t="str">
        <f t="shared" si="110"/>
        <v/>
      </c>
      <c r="AU175" s="69"/>
      <c r="AV175" s="1722" t="str">
        <f t="shared" si="111"/>
        <v/>
      </c>
      <c r="AW175" s="69"/>
      <c r="AX175" s="1722" t="str">
        <f t="shared" si="112"/>
        <v/>
      </c>
      <c r="AY175" s="69"/>
      <c r="AZ175" s="1722" t="str">
        <f t="shared" si="113"/>
        <v/>
      </c>
      <c r="BA175" s="69"/>
      <c r="BB175" s="1722" t="str">
        <f t="shared" si="114"/>
        <v/>
      </c>
      <c r="BC175" s="69"/>
      <c r="BD175" s="1722" t="str">
        <f t="shared" si="115"/>
        <v/>
      </c>
      <c r="BE175" s="69"/>
      <c r="BF175" s="1722" t="str">
        <f t="shared" si="116"/>
        <v/>
      </c>
      <c r="BG175" s="69"/>
      <c r="BH175" s="1722" t="str">
        <f t="shared" si="117"/>
        <v/>
      </c>
      <c r="BI175" s="69"/>
      <c r="BJ175" s="1722" t="str">
        <f t="shared" si="118"/>
        <v/>
      </c>
      <c r="BK175" s="69"/>
      <c r="BL175" s="1721" t="str">
        <f t="shared" si="119"/>
        <v/>
      </c>
      <c r="BM175" s="69"/>
      <c r="BN175" s="1721" t="str">
        <f t="shared" si="87"/>
        <v/>
      </c>
      <c r="BO175" s="69"/>
      <c r="BP175" s="1722">
        <f t="shared" si="120"/>
        <v>0</v>
      </c>
      <c r="BQ175" s="69"/>
      <c r="BR175" s="684"/>
      <c r="BS175" s="1829"/>
      <c r="BT175" s="541"/>
      <c r="BU175" s="541"/>
    </row>
    <row r="176" ht="24.0" customHeight="1">
      <c r="A176" s="1698" t="str">
        <f t="shared" si="88"/>
        <v>Да</v>
      </c>
      <c r="B176" s="1916">
        <v>3751.0</v>
      </c>
      <c r="C176" s="1700">
        <v>280.0</v>
      </c>
      <c r="D176" s="1720"/>
      <c r="E176" s="721" t="str">
        <f t="shared" si="89"/>
        <v>Томленая говядина с птитим</v>
      </c>
      <c r="F176" s="1721">
        <f t="shared" si="90"/>
        <v>6</v>
      </c>
      <c r="G176" s="69"/>
      <c r="H176" s="1721">
        <f t="shared" si="91"/>
        <v>4</v>
      </c>
      <c r="I176" s="69"/>
      <c r="J176" s="1721">
        <f t="shared" si="92"/>
        <v>4</v>
      </c>
      <c r="K176" s="69"/>
      <c r="L176" s="1721">
        <f t="shared" si="93"/>
        <v>2</v>
      </c>
      <c r="M176" s="69"/>
      <c r="N176" s="1721">
        <f t="shared" si="94"/>
        <v>6</v>
      </c>
      <c r="O176" s="69"/>
      <c r="P176" s="1721">
        <f t="shared" si="95"/>
        <v>4</v>
      </c>
      <c r="Q176" s="69"/>
      <c r="R176" s="1721">
        <f t="shared" si="96"/>
        <v>2</v>
      </c>
      <c r="S176" s="69"/>
      <c r="T176" s="1721">
        <f t="shared" si="97"/>
        <v>3</v>
      </c>
      <c r="U176" s="69"/>
      <c r="V176" s="1721">
        <f t="shared" si="98"/>
        <v>5</v>
      </c>
      <c r="W176" s="69"/>
      <c r="X176" s="1721">
        <f t="shared" si="99"/>
        <v>3</v>
      </c>
      <c r="Y176" s="69"/>
      <c r="Z176" s="1721" t="str">
        <f t="shared" si="100"/>
        <v/>
      </c>
      <c r="AA176" s="69"/>
      <c r="AB176" s="1721">
        <f t="shared" si="101"/>
        <v>0</v>
      </c>
      <c r="AC176" s="69"/>
      <c r="AD176" s="1721">
        <f t="shared" si="102"/>
        <v>2</v>
      </c>
      <c r="AE176" s="69"/>
      <c r="AF176" s="1721">
        <f t="shared" si="103"/>
        <v>3</v>
      </c>
      <c r="AG176" s="69"/>
      <c r="AH176" s="1721">
        <f t="shared" si="104"/>
        <v>3</v>
      </c>
      <c r="AI176" s="69"/>
      <c r="AJ176" s="1721">
        <f t="shared" si="105"/>
        <v>3</v>
      </c>
      <c r="AK176" s="69"/>
      <c r="AL176" s="1721">
        <f t="shared" si="106"/>
        <v>1</v>
      </c>
      <c r="AM176" s="69"/>
      <c r="AN176" s="1721">
        <f t="shared" si="107"/>
        <v>2</v>
      </c>
      <c r="AO176" s="69"/>
      <c r="AP176" s="1721">
        <f t="shared" si="108"/>
        <v>2</v>
      </c>
      <c r="AQ176" s="69"/>
      <c r="AR176" s="1722">
        <f t="shared" si="109"/>
        <v>2</v>
      </c>
      <c r="AS176" s="69"/>
      <c r="AT176" s="1722">
        <f t="shared" si="110"/>
        <v>2</v>
      </c>
      <c r="AU176" s="69"/>
      <c r="AV176" s="1722">
        <f t="shared" si="111"/>
        <v>2</v>
      </c>
      <c r="AW176" s="69"/>
      <c r="AX176" s="1722">
        <f t="shared" si="112"/>
        <v>4</v>
      </c>
      <c r="AY176" s="69"/>
      <c r="AZ176" s="1722">
        <f t="shared" si="113"/>
        <v>2</v>
      </c>
      <c r="BA176" s="69"/>
      <c r="BB176" s="1722">
        <f t="shared" si="114"/>
        <v>9</v>
      </c>
      <c r="BC176" s="69"/>
      <c r="BD176" s="1722">
        <f t="shared" si="115"/>
        <v>2</v>
      </c>
      <c r="BE176" s="69"/>
      <c r="BF176" s="1722">
        <f t="shared" si="116"/>
        <v>5</v>
      </c>
      <c r="BG176" s="69"/>
      <c r="BH176" s="1722">
        <f t="shared" si="117"/>
        <v>4</v>
      </c>
      <c r="BI176" s="69"/>
      <c r="BJ176" s="1722">
        <f t="shared" si="118"/>
        <v>5</v>
      </c>
      <c r="BK176" s="69"/>
      <c r="BL176" s="1721" t="str">
        <f t="shared" si="119"/>
        <v/>
      </c>
      <c r="BM176" s="69"/>
      <c r="BN176" s="1721" t="str">
        <f t="shared" si="87"/>
        <v/>
      </c>
      <c r="BO176" s="69"/>
      <c r="BP176" s="1722">
        <f t="shared" si="120"/>
        <v>92</v>
      </c>
      <c r="BQ176" s="69"/>
      <c r="BR176" s="684"/>
      <c r="BS176" s="1829"/>
      <c r="BT176" s="541"/>
      <c r="BU176" s="541"/>
    </row>
    <row r="177" ht="24.0" customHeight="1">
      <c r="A177" s="1698" t="str">
        <f t="shared" si="88"/>
        <v/>
      </c>
      <c r="B177" s="1916">
        <v>2483.0</v>
      </c>
      <c r="C177" s="1700">
        <v>80.0</v>
      </c>
      <c r="D177" s="1720"/>
      <c r="E177" s="721" t="str">
        <f t="shared" si="89"/>
        <v>Самса с курицей 110 грамм</v>
      </c>
      <c r="F177" s="1721" t="str">
        <f t="shared" si="90"/>
        <v/>
      </c>
      <c r="G177" s="69"/>
      <c r="H177" s="1721" t="str">
        <f t="shared" si="91"/>
        <v/>
      </c>
      <c r="I177" s="69"/>
      <c r="J177" s="1721" t="str">
        <f t="shared" si="92"/>
        <v/>
      </c>
      <c r="K177" s="69"/>
      <c r="L177" s="1721" t="str">
        <f t="shared" si="93"/>
        <v/>
      </c>
      <c r="M177" s="69"/>
      <c r="N177" s="1721" t="str">
        <f t="shared" si="94"/>
        <v/>
      </c>
      <c r="O177" s="69"/>
      <c r="P177" s="1721" t="str">
        <f t="shared" si="95"/>
        <v/>
      </c>
      <c r="Q177" s="69"/>
      <c r="R177" s="1721" t="str">
        <f t="shared" si="96"/>
        <v/>
      </c>
      <c r="S177" s="69"/>
      <c r="T177" s="1721" t="str">
        <f t="shared" si="97"/>
        <v/>
      </c>
      <c r="U177" s="69"/>
      <c r="V177" s="1721" t="str">
        <f t="shared" si="98"/>
        <v/>
      </c>
      <c r="W177" s="69"/>
      <c r="X177" s="1721" t="str">
        <f t="shared" si="99"/>
        <v/>
      </c>
      <c r="Y177" s="69"/>
      <c r="Z177" s="1721" t="str">
        <f t="shared" si="100"/>
        <v/>
      </c>
      <c r="AA177" s="69"/>
      <c r="AB177" s="1721" t="str">
        <f t="shared" si="101"/>
        <v/>
      </c>
      <c r="AC177" s="69"/>
      <c r="AD177" s="1721" t="str">
        <f t="shared" si="102"/>
        <v/>
      </c>
      <c r="AE177" s="69"/>
      <c r="AF177" s="1721" t="str">
        <f t="shared" si="103"/>
        <v/>
      </c>
      <c r="AG177" s="69"/>
      <c r="AH177" s="1721" t="str">
        <f t="shared" si="104"/>
        <v/>
      </c>
      <c r="AI177" s="69"/>
      <c r="AJ177" s="1721" t="str">
        <f t="shared" si="105"/>
        <v/>
      </c>
      <c r="AK177" s="69"/>
      <c r="AL177" s="1721" t="str">
        <f t="shared" si="106"/>
        <v/>
      </c>
      <c r="AM177" s="69"/>
      <c r="AN177" s="1721" t="str">
        <f t="shared" si="107"/>
        <v/>
      </c>
      <c r="AO177" s="69"/>
      <c r="AP177" s="1721" t="str">
        <f t="shared" si="108"/>
        <v/>
      </c>
      <c r="AQ177" s="69"/>
      <c r="AR177" s="1722" t="str">
        <f t="shared" si="109"/>
        <v/>
      </c>
      <c r="AS177" s="69"/>
      <c r="AT177" s="1722" t="str">
        <f t="shared" si="110"/>
        <v/>
      </c>
      <c r="AU177" s="69"/>
      <c r="AV177" s="1722" t="str">
        <f t="shared" si="111"/>
        <v/>
      </c>
      <c r="AW177" s="69"/>
      <c r="AX177" s="1722" t="str">
        <f t="shared" si="112"/>
        <v/>
      </c>
      <c r="AY177" s="69"/>
      <c r="AZ177" s="1722" t="str">
        <f t="shared" si="113"/>
        <v/>
      </c>
      <c r="BA177" s="69"/>
      <c r="BB177" s="1722" t="str">
        <f t="shared" si="114"/>
        <v/>
      </c>
      <c r="BC177" s="69"/>
      <c r="BD177" s="1722" t="str">
        <f t="shared" si="115"/>
        <v/>
      </c>
      <c r="BE177" s="69"/>
      <c r="BF177" s="1722" t="str">
        <f t="shared" si="116"/>
        <v/>
      </c>
      <c r="BG177" s="69"/>
      <c r="BH177" s="1722" t="str">
        <f t="shared" si="117"/>
        <v/>
      </c>
      <c r="BI177" s="69"/>
      <c r="BJ177" s="1722" t="str">
        <f t="shared" si="118"/>
        <v/>
      </c>
      <c r="BK177" s="69"/>
      <c r="BL177" s="1721">
        <f t="shared" si="119"/>
        <v>15</v>
      </c>
      <c r="BM177" s="69"/>
      <c r="BN177" s="1721" t="str">
        <f t="shared" si="87"/>
        <v/>
      </c>
      <c r="BO177" s="69"/>
      <c r="BP177" s="1722">
        <f t="shared" si="120"/>
        <v>15</v>
      </c>
      <c r="BQ177" s="69"/>
      <c r="BR177" s="684"/>
      <c r="BS177" s="1829"/>
      <c r="BT177" s="541"/>
      <c r="BU177" s="541"/>
    </row>
    <row r="178" ht="24.0" customHeight="1">
      <c r="A178" s="1698" t="str">
        <f t="shared" si="88"/>
        <v/>
      </c>
      <c r="B178" s="1916"/>
      <c r="C178" s="1700"/>
      <c r="D178" s="1720"/>
      <c r="E178" s="721" t="str">
        <f t="shared" si="89"/>
        <v/>
      </c>
      <c r="F178" s="1721" t="str">
        <f t="shared" si="90"/>
        <v/>
      </c>
      <c r="G178" s="69"/>
      <c r="H178" s="1721" t="str">
        <f t="shared" si="91"/>
        <v/>
      </c>
      <c r="I178" s="69"/>
      <c r="J178" s="1721" t="str">
        <f t="shared" si="92"/>
        <v/>
      </c>
      <c r="K178" s="69"/>
      <c r="L178" s="1721" t="str">
        <f t="shared" si="93"/>
        <v/>
      </c>
      <c r="M178" s="69"/>
      <c r="N178" s="1721" t="str">
        <f t="shared" si="94"/>
        <v/>
      </c>
      <c r="O178" s="69"/>
      <c r="P178" s="1721" t="str">
        <f t="shared" si="95"/>
        <v/>
      </c>
      <c r="Q178" s="69"/>
      <c r="R178" s="1721" t="str">
        <f t="shared" si="96"/>
        <v/>
      </c>
      <c r="S178" s="69"/>
      <c r="T178" s="1721" t="str">
        <f t="shared" si="97"/>
        <v/>
      </c>
      <c r="U178" s="69"/>
      <c r="V178" s="1721" t="str">
        <f t="shared" si="98"/>
        <v/>
      </c>
      <c r="W178" s="69"/>
      <c r="X178" s="1721" t="str">
        <f t="shared" si="99"/>
        <v/>
      </c>
      <c r="Y178" s="69"/>
      <c r="Z178" s="1721" t="str">
        <f t="shared" si="100"/>
        <v/>
      </c>
      <c r="AA178" s="69"/>
      <c r="AB178" s="1721" t="str">
        <f t="shared" si="101"/>
        <v/>
      </c>
      <c r="AC178" s="69"/>
      <c r="AD178" s="1721" t="str">
        <f t="shared" si="102"/>
        <v/>
      </c>
      <c r="AE178" s="69"/>
      <c r="AF178" s="1721" t="str">
        <f t="shared" si="103"/>
        <v/>
      </c>
      <c r="AG178" s="69"/>
      <c r="AH178" s="1721" t="str">
        <f t="shared" si="104"/>
        <v/>
      </c>
      <c r="AI178" s="69"/>
      <c r="AJ178" s="1721" t="str">
        <f t="shared" si="105"/>
        <v/>
      </c>
      <c r="AK178" s="69"/>
      <c r="AL178" s="1721" t="str">
        <f t="shared" si="106"/>
        <v/>
      </c>
      <c r="AM178" s="69"/>
      <c r="AN178" s="1721" t="str">
        <f t="shared" si="107"/>
        <v/>
      </c>
      <c r="AO178" s="69"/>
      <c r="AP178" s="1721" t="str">
        <f t="shared" si="108"/>
        <v/>
      </c>
      <c r="AQ178" s="69"/>
      <c r="AR178" s="1722" t="str">
        <f t="shared" si="109"/>
        <v/>
      </c>
      <c r="AS178" s="69"/>
      <c r="AT178" s="1722" t="str">
        <f t="shared" si="110"/>
        <v/>
      </c>
      <c r="AU178" s="69"/>
      <c r="AV178" s="1722" t="str">
        <f t="shared" si="111"/>
        <v/>
      </c>
      <c r="AW178" s="69"/>
      <c r="AX178" s="1722" t="str">
        <f t="shared" si="112"/>
        <v/>
      </c>
      <c r="AY178" s="69"/>
      <c r="AZ178" s="1722" t="str">
        <f t="shared" si="113"/>
        <v/>
      </c>
      <c r="BA178" s="69"/>
      <c r="BB178" s="1722" t="str">
        <f t="shared" si="114"/>
        <v/>
      </c>
      <c r="BC178" s="69"/>
      <c r="BD178" s="1722" t="str">
        <f t="shared" si="115"/>
        <v/>
      </c>
      <c r="BE178" s="69"/>
      <c r="BF178" s="1722" t="str">
        <f t="shared" si="116"/>
        <v/>
      </c>
      <c r="BG178" s="69"/>
      <c r="BH178" s="1722" t="str">
        <f t="shared" si="117"/>
        <v/>
      </c>
      <c r="BI178" s="69"/>
      <c r="BJ178" s="1722" t="str">
        <f t="shared" si="118"/>
        <v/>
      </c>
      <c r="BK178" s="69"/>
      <c r="BL178" s="1721" t="str">
        <f t="shared" si="119"/>
        <v/>
      </c>
      <c r="BM178" s="69"/>
      <c r="BN178" s="1721" t="str">
        <f t="shared" si="87"/>
        <v/>
      </c>
      <c r="BO178" s="69"/>
      <c r="BP178" s="1722">
        <f t="shared" si="120"/>
        <v>0</v>
      </c>
      <c r="BQ178" s="69"/>
      <c r="BR178" s="684"/>
      <c r="BS178" s="1829"/>
      <c r="BT178" s="541"/>
      <c r="BU178" s="541"/>
    </row>
    <row r="179" ht="24.0" customHeight="1">
      <c r="A179" s="1698" t="str">
        <f t="shared" si="88"/>
        <v>Да</v>
      </c>
      <c r="B179" s="1916">
        <v>3.0</v>
      </c>
      <c r="C179" s="1700">
        <v>172.0</v>
      </c>
      <c r="D179" s="1720"/>
      <c r="E179" s="721" t="str">
        <f t="shared" si="89"/>
        <v>Сэндвич с курочкой и скремблом</v>
      </c>
      <c r="F179" s="1721">
        <f t="shared" si="90"/>
        <v>10</v>
      </c>
      <c r="G179" s="69"/>
      <c r="H179" s="1721">
        <f t="shared" si="91"/>
        <v>3</v>
      </c>
      <c r="I179" s="69"/>
      <c r="J179" s="1721">
        <f t="shared" si="92"/>
        <v>3</v>
      </c>
      <c r="K179" s="69"/>
      <c r="L179" s="1721">
        <f t="shared" si="93"/>
        <v>4</v>
      </c>
      <c r="M179" s="69"/>
      <c r="N179" s="1721">
        <f t="shared" si="94"/>
        <v>8</v>
      </c>
      <c r="O179" s="69"/>
      <c r="P179" s="1721">
        <f t="shared" si="95"/>
        <v>7</v>
      </c>
      <c r="Q179" s="69"/>
      <c r="R179" s="1721">
        <f t="shared" si="96"/>
        <v>3</v>
      </c>
      <c r="S179" s="69"/>
      <c r="T179" s="1721">
        <f t="shared" si="97"/>
        <v>4</v>
      </c>
      <c r="U179" s="69"/>
      <c r="V179" s="1721">
        <f t="shared" si="98"/>
        <v>5</v>
      </c>
      <c r="W179" s="69"/>
      <c r="X179" s="1721">
        <f t="shared" si="99"/>
        <v>3</v>
      </c>
      <c r="Y179" s="69"/>
      <c r="Z179" s="1721" t="str">
        <f t="shared" si="100"/>
        <v/>
      </c>
      <c r="AA179" s="69"/>
      <c r="AB179" s="1721">
        <f t="shared" si="101"/>
        <v>3</v>
      </c>
      <c r="AC179" s="69"/>
      <c r="AD179" s="1721">
        <f t="shared" si="102"/>
        <v>6</v>
      </c>
      <c r="AE179" s="69"/>
      <c r="AF179" s="1721">
        <f t="shared" si="103"/>
        <v>2</v>
      </c>
      <c r="AG179" s="69"/>
      <c r="AH179" s="1721">
        <f t="shared" si="104"/>
        <v>5</v>
      </c>
      <c r="AI179" s="69"/>
      <c r="AJ179" s="1721">
        <f t="shared" si="105"/>
        <v>4</v>
      </c>
      <c r="AK179" s="69"/>
      <c r="AL179" s="1721">
        <f t="shared" si="106"/>
        <v>4</v>
      </c>
      <c r="AM179" s="69"/>
      <c r="AN179" s="1721">
        <f t="shared" si="107"/>
        <v>3</v>
      </c>
      <c r="AO179" s="69"/>
      <c r="AP179" s="1721">
        <f t="shared" si="108"/>
        <v>5</v>
      </c>
      <c r="AQ179" s="69"/>
      <c r="AR179" s="1722">
        <f t="shared" si="109"/>
        <v>9</v>
      </c>
      <c r="AS179" s="69"/>
      <c r="AT179" s="1722">
        <f t="shared" si="110"/>
        <v>4</v>
      </c>
      <c r="AU179" s="69"/>
      <c r="AV179" s="1722">
        <f t="shared" si="111"/>
        <v>3</v>
      </c>
      <c r="AW179" s="69"/>
      <c r="AX179" s="1722">
        <f t="shared" si="112"/>
        <v>1</v>
      </c>
      <c r="AY179" s="69"/>
      <c r="AZ179" s="1722">
        <f t="shared" si="113"/>
        <v>3</v>
      </c>
      <c r="BA179" s="69"/>
      <c r="BB179" s="1722">
        <f t="shared" si="114"/>
        <v>12</v>
      </c>
      <c r="BC179" s="69"/>
      <c r="BD179" s="1722">
        <f t="shared" si="115"/>
        <v>2</v>
      </c>
      <c r="BE179" s="69"/>
      <c r="BF179" s="1722">
        <f t="shared" si="116"/>
        <v>4</v>
      </c>
      <c r="BG179" s="69"/>
      <c r="BH179" s="1722">
        <f t="shared" si="117"/>
        <v>3</v>
      </c>
      <c r="BI179" s="69"/>
      <c r="BJ179" s="1722">
        <f t="shared" si="118"/>
        <v>5</v>
      </c>
      <c r="BK179" s="69"/>
      <c r="BL179" s="1721" t="str">
        <f t="shared" si="119"/>
        <v/>
      </c>
      <c r="BM179" s="69"/>
      <c r="BN179" s="1721" t="str">
        <f t="shared" si="87"/>
        <v/>
      </c>
      <c r="BO179" s="69"/>
      <c r="BP179" s="1722">
        <f t="shared" si="120"/>
        <v>128</v>
      </c>
      <c r="BQ179" s="69"/>
      <c r="BR179" s="684"/>
      <c r="BS179" s="1829"/>
      <c r="BT179" s="541"/>
      <c r="BU179" s="541"/>
    </row>
    <row r="180" ht="24.0" customHeight="1">
      <c r="A180" s="1698" t="str">
        <f t="shared" si="88"/>
        <v>Да</v>
      </c>
      <c r="B180" s="1916">
        <v>54.0</v>
      </c>
      <c r="C180" s="1700">
        <v>188.0</v>
      </c>
      <c r="D180" s="1720"/>
      <c r="E180" s="721" t="str">
        <f t="shared" si="89"/>
        <v>Сэндвич с тунцом с соусом Том Ям</v>
      </c>
      <c r="F180" s="1721">
        <f t="shared" si="90"/>
        <v>7</v>
      </c>
      <c r="G180" s="69"/>
      <c r="H180" s="1721">
        <f t="shared" si="91"/>
        <v>2</v>
      </c>
      <c r="I180" s="69"/>
      <c r="J180" s="1721">
        <f t="shared" si="92"/>
        <v>3</v>
      </c>
      <c r="K180" s="69"/>
      <c r="L180" s="1721">
        <f t="shared" si="93"/>
        <v>3</v>
      </c>
      <c r="M180" s="69"/>
      <c r="N180" s="1721">
        <f t="shared" si="94"/>
        <v>2</v>
      </c>
      <c r="O180" s="69"/>
      <c r="P180" s="1721">
        <f t="shared" si="95"/>
        <v>7</v>
      </c>
      <c r="Q180" s="69"/>
      <c r="R180" s="1721">
        <f t="shared" si="96"/>
        <v>3</v>
      </c>
      <c r="S180" s="69"/>
      <c r="T180" s="1721">
        <f t="shared" si="97"/>
        <v>3</v>
      </c>
      <c r="U180" s="69"/>
      <c r="V180" s="1721">
        <f t="shared" si="98"/>
        <v>4</v>
      </c>
      <c r="W180" s="69"/>
      <c r="X180" s="1721">
        <f t="shared" si="99"/>
        <v>6</v>
      </c>
      <c r="Y180" s="69"/>
      <c r="Z180" s="1721" t="str">
        <f t="shared" si="100"/>
        <v/>
      </c>
      <c r="AA180" s="69"/>
      <c r="AB180" s="1721">
        <f t="shared" si="101"/>
        <v>4</v>
      </c>
      <c r="AC180" s="69"/>
      <c r="AD180" s="1721">
        <f t="shared" si="102"/>
        <v>7</v>
      </c>
      <c r="AE180" s="69"/>
      <c r="AF180" s="1721">
        <f t="shared" si="103"/>
        <v>4</v>
      </c>
      <c r="AG180" s="69"/>
      <c r="AH180" s="1721">
        <f t="shared" si="104"/>
        <v>5</v>
      </c>
      <c r="AI180" s="69"/>
      <c r="AJ180" s="1721">
        <f t="shared" si="105"/>
        <v>3</v>
      </c>
      <c r="AK180" s="69"/>
      <c r="AL180" s="1721">
        <f t="shared" si="106"/>
        <v>4</v>
      </c>
      <c r="AM180" s="69"/>
      <c r="AN180" s="1721">
        <f t="shared" si="107"/>
        <v>1</v>
      </c>
      <c r="AO180" s="69"/>
      <c r="AP180" s="1721">
        <f t="shared" si="108"/>
        <v>5</v>
      </c>
      <c r="AQ180" s="69"/>
      <c r="AR180" s="1722">
        <f t="shared" si="109"/>
        <v>10</v>
      </c>
      <c r="AS180" s="69"/>
      <c r="AT180" s="1722">
        <f t="shared" si="110"/>
        <v>3</v>
      </c>
      <c r="AU180" s="69"/>
      <c r="AV180" s="1722">
        <f t="shared" si="111"/>
        <v>3</v>
      </c>
      <c r="AW180" s="69"/>
      <c r="AX180" s="1722">
        <f t="shared" si="112"/>
        <v>7</v>
      </c>
      <c r="AY180" s="69"/>
      <c r="AZ180" s="1722">
        <f t="shared" si="113"/>
        <v>2</v>
      </c>
      <c r="BA180" s="69"/>
      <c r="BB180" s="1722">
        <f t="shared" si="114"/>
        <v>6</v>
      </c>
      <c r="BC180" s="69"/>
      <c r="BD180" s="1722">
        <f t="shared" si="115"/>
        <v>2</v>
      </c>
      <c r="BE180" s="69"/>
      <c r="BF180" s="1722">
        <f t="shared" si="116"/>
        <v>5</v>
      </c>
      <c r="BG180" s="69"/>
      <c r="BH180" s="1722">
        <f t="shared" si="117"/>
        <v>5</v>
      </c>
      <c r="BI180" s="69"/>
      <c r="BJ180" s="1722">
        <f t="shared" si="118"/>
        <v>7</v>
      </c>
      <c r="BK180" s="69"/>
      <c r="BL180" s="1722" t="str">
        <f t="shared" si="119"/>
        <v/>
      </c>
      <c r="BM180" s="69"/>
      <c r="BN180" s="1722" t="str">
        <f t="shared" si="87"/>
        <v/>
      </c>
      <c r="BO180" s="69"/>
      <c r="BP180" s="1722">
        <f t="shared" si="120"/>
        <v>123</v>
      </c>
      <c r="BQ180" s="69"/>
      <c r="BR180" s="684"/>
      <c r="BS180" s="1829"/>
      <c r="BT180" s="541"/>
      <c r="BU180" s="541"/>
    </row>
    <row r="181" ht="24.0" customHeight="1">
      <c r="A181" s="1698" t="str">
        <f t="shared" si="88"/>
        <v>Да</v>
      </c>
      <c r="B181" s="1916">
        <v>2943.0</v>
      </c>
      <c r="C181" s="1700">
        <v>152.0</v>
      </c>
      <c r="D181" s="1720"/>
      <c r="E181" s="721" t="str">
        <f t="shared" si="89"/>
        <v>Онигири с куриным филе в соусе спайси</v>
      </c>
      <c r="F181" s="1721">
        <f t="shared" si="90"/>
        <v>15</v>
      </c>
      <c r="G181" s="69"/>
      <c r="H181" s="1726">
        <f t="shared" si="91"/>
        <v>6</v>
      </c>
      <c r="I181" s="69"/>
      <c r="J181" s="1721">
        <f t="shared" si="92"/>
        <v>5</v>
      </c>
      <c r="K181" s="69"/>
      <c r="L181" s="1721" t="str">
        <f t="shared" si="93"/>
        <v/>
      </c>
      <c r="M181" s="69"/>
      <c r="N181" s="1721">
        <f t="shared" si="94"/>
        <v>5</v>
      </c>
      <c r="O181" s="69"/>
      <c r="P181" s="1726">
        <f t="shared" si="95"/>
        <v>2</v>
      </c>
      <c r="Q181" s="69"/>
      <c r="R181" s="1721" t="str">
        <f t="shared" si="96"/>
        <v/>
      </c>
      <c r="S181" s="69"/>
      <c r="T181" s="1721" t="str">
        <f t="shared" si="97"/>
        <v/>
      </c>
      <c r="U181" s="69"/>
      <c r="V181" s="1721">
        <f t="shared" si="98"/>
        <v>2</v>
      </c>
      <c r="W181" s="69"/>
      <c r="X181" s="1721" t="str">
        <f t="shared" si="99"/>
        <v/>
      </c>
      <c r="Y181" s="69"/>
      <c r="Z181" s="1721" t="str">
        <f t="shared" si="100"/>
        <v/>
      </c>
      <c r="AA181" s="69"/>
      <c r="AB181" s="1721">
        <f t="shared" si="101"/>
        <v>1</v>
      </c>
      <c r="AC181" s="69"/>
      <c r="AD181" s="1721" t="str">
        <f t="shared" si="102"/>
        <v/>
      </c>
      <c r="AE181" s="69"/>
      <c r="AF181" s="1721">
        <f t="shared" si="103"/>
        <v>2</v>
      </c>
      <c r="AG181" s="69"/>
      <c r="AH181" s="1721">
        <f t="shared" si="104"/>
        <v>2</v>
      </c>
      <c r="AI181" s="69"/>
      <c r="AJ181" s="1721">
        <f t="shared" si="105"/>
        <v>4</v>
      </c>
      <c r="AK181" s="69"/>
      <c r="AL181" s="1721" t="str">
        <f t="shared" si="106"/>
        <v/>
      </c>
      <c r="AM181" s="69"/>
      <c r="AN181" s="1721" t="str">
        <f t="shared" si="107"/>
        <v/>
      </c>
      <c r="AO181" s="69"/>
      <c r="AP181" s="1721" t="str">
        <f t="shared" si="108"/>
        <v/>
      </c>
      <c r="AQ181" s="69"/>
      <c r="AR181" s="1722" t="str">
        <f t="shared" si="109"/>
        <v/>
      </c>
      <c r="AS181" s="69"/>
      <c r="AT181" s="1722" t="str">
        <f t="shared" si="110"/>
        <v/>
      </c>
      <c r="AU181" s="69"/>
      <c r="AV181" s="1722">
        <f t="shared" si="111"/>
        <v>6</v>
      </c>
      <c r="AW181" s="69"/>
      <c r="AX181" s="1722" t="str">
        <f t="shared" si="112"/>
        <v/>
      </c>
      <c r="AY181" s="69"/>
      <c r="AZ181" s="1722" t="str">
        <f t="shared" si="113"/>
        <v/>
      </c>
      <c r="BA181" s="69"/>
      <c r="BB181" s="1722" t="str">
        <f t="shared" si="114"/>
        <v/>
      </c>
      <c r="BC181" s="69"/>
      <c r="BD181" s="1722" t="str">
        <f t="shared" si="115"/>
        <v/>
      </c>
      <c r="BE181" s="69"/>
      <c r="BF181" s="1722">
        <f t="shared" si="116"/>
        <v>4</v>
      </c>
      <c r="BG181" s="69"/>
      <c r="BH181" s="1722">
        <f t="shared" si="117"/>
        <v>1</v>
      </c>
      <c r="BI181" s="69"/>
      <c r="BJ181" s="1722">
        <f t="shared" si="118"/>
        <v>4</v>
      </c>
      <c r="BK181" s="69"/>
      <c r="BL181" s="1721" t="str">
        <f t="shared" si="119"/>
        <v/>
      </c>
      <c r="BM181" s="69"/>
      <c r="BN181" s="1721" t="str">
        <f t="shared" si="87"/>
        <v/>
      </c>
      <c r="BO181" s="69"/>
      <c r="BP181" s="1722">
        <f t="shared" si="120"/>
        <v>59</v>
      </c>
      <c r="BQ181" s="69"/>
      <c r="BR181" s="684"/>
      <c r="BS181" s="1829"/>
      <c r="BT181" s="541"/>
      <c r="BU181" s="541"/>
    </row>
    <row r="182" ht="24.0" customHeight="1">
      <c r="A182" s="1698" t="str">
        <f t="shared" si="88"/>
        <v>Да</v>
      </c>
      <c r="B182" s="1916">
        <v>4000.0</v>
      </c>
      <c r="C182" s="1700">
        <v>98.0</v>
      </c>
      <c r="D182" s="1720"/>
      <c r="E182" s="721" t="str">
        <f t="shared" si="89"/>
        <v>Компот из сухофруктов 0,5 л</v>
      </c>
      <c r="F182" s="1721">
        <f t="shared" si="90"/>
        <v>15</v>
      </c>
      <c r="G182" s="69"/>
      <c r="H182" s="1721">
        <f t="shared" si="91"/>
        <v>3</v>
      </c>
      <c r="I182" s="69"/>
      <c r="J182" s="1721">
        <f t="shared" si="92"/>
        <v>12</v>
      </c>
      <c r="K182" s="69"/>
      <c r="L182" s="1721">
        <f t="shared" si="93"/>
        <v>10</v>
      </c>
      <c r="M182" s="69"/>
      <c r="N182" s="1721">
        <f t="shared" si="94"/>
        <v>0</v>
      </c>
      <c r="O182" s="69"/>
      <c r="P182" s="1721">
        <f t="shared" si="95"/>
        <v>14</v>
      </c>
      <c r="Q182" s="69"/>
      <c r="R182" s="1721">
        <f t="shared" si="96"/>
        <v>0</v>
      </c>
      <c r="S182" s="69"/>
      <c r="T182" s="1721">
        <f t="shared" si="97"/>
        <v>14</v>
      </c>
      <c r="U182" s="69"/>
      <c r="V182" s="1721">
        <f t="shared" si="98"/>
        <v>0</v>
      </c>
      <c r="W182" s="69"/>
      <c r="X182" s="1721">
        <f t="shared" si="99"/>
        <v>0</v>
      </c>
      <c r="Y182" s="69"/>
      <c r="Z182" s="1721" t="str">
        <f t="shared" si="100"/>
        <v/>
      </c>
      <c r="AA182" s="69"/>
      <c r="AB182" s="1721">
        <f t="shared" si="101"/>
        <v>0</v>
      </c>
      <c r="AC182" s="69"/>
      <c r="AD182" s="1722">
        <f t="shared" si="102"/>
        <v>0</v>
      </c>
      <c r="AE182" s="69"/>
      <c r="AF182" s="1722">
        <f t="shared" si="103"/>
        <v>7</v>
      </c>
      <c r="AG182" s="69"/>
      <c r="AH182" s="1722">
        <f t="shared" si="104"/>
        <v>0</v>
      </c>
      <c r="AI182" s="69"/>
      <c r="AJ182" s="1722">
        <f t="shared" si="105"/>
        <v>0</v>
      </c>
      <c r="AK182" s="69"/>
      <c r="AL182" s="1722">
        <f t="shared" si="106"/>
        <v>0</v>
      </c>
      <c r="AM182" s="69"/>
      <c r="AN182" s="1721">
        <f t="shared" si="107"/>
        <v>12</v>
      </c>
      <c r="AO182" s="69"/>
      <c r="AP182" s="1721">
        <f t="shared" si="108"/>
        <v>0</v>
      </c>
      <c r="AQ182" s="69"/>
      <c r="AR182" s="1722">
        <f t="shared" si="109"/>
        <v>33</v>
      </c>
      <c r="AS182" s="69"/>
      <c r="AT182" s="1722">
        <f t="shared" si="110"/>
        <v>10</v>
      </c>
      <c r="AU182" s="69"/>
      <c r="AV182" s="1722">
        <f t="shared" si="111"/>
        <v>17</v>
      </c>
      <c r="AW182" s="69"/>
      <c r="AX182" s="1722">
        <f t="shared" si="112"/>
        <v>22</v>
      </c>
      <c r="AY182" s="69"/>
      <c r="AZ182" s="1722">
        <f t="shared" si="113"/>
        <v>0</v>
      </c>
      <c r="BA182" s="69"/>
      <c r="BB182" s="1722">
        <f t="shared" si="114"/>
        <v>11</v>
      </c>
      <c r="BC182" s="69"/>
      <c r="BD182" s="1722">
        <f t="shared" si="115"/>
        <v>8</v>
      </c>
      <c r="BE182" s="69"/>
      <c r="BF182" s="1722">
        <f t="shared" si="116"/>
        <v>17</v>
      </c>
      <c r="BG182" s="69"/>
      <c r="BH182" s="1722">
        <f t="shared" si="117"/>
        <v>5</v>
      </c>
      <c r="BI182" s="69"/>
      <c r="BJ182" s="1722">
        <f t="shared" si="118"/>
        <v>13</v>
      </c>
      <c r="BK182" s="69"/>
      <c r="BL182" s="1722" t="str">
        <f t="shared" si="119"/>
        <v/>
      </c>
      <c r="BM182" s="69"/>
      <c r="BN182" s="1722" t="str">
        <f t="shared" si="87"/>
        <v/>
      </c>
      <c r="BO182" s="69"/>
      <c r="BP182" s="1722">
        <f t="shared" si="120"/>
        <v>223</v>
      </c>
      <c r="BQ182" s="69"/>
      <c r="BR182" s="684"/>
      <c r="BS182" s="1829"/>
      <c r="BT182" s="541"/>
      <c r="BU182" s="541"/>
    </row>
    <row r="183" ht="24.0" customHeight="1">
      <c r="A183" s="1698" t="str">
        <f t="shared" si="88"/>
        <v>Да</v>
      </c>
      <c r="B183" s="1916">
        <v>822.0</v>
      </c>
      <c r="C183" s="1700">
        <v>5.0</v>
      </c>
      <c r="D183" s="1720"/>
      <c r="E183" s="721" t="str">
        <f t="shared" si="89"/>
        <v>Хлеб пшеничный</v>
      </c>
      <c r="F183" s="1721">
        <f t="shared" si="90"/>
        <v>5</v>
      </c>
      <c r="G183" s="69"/>
      <c r="H183" s="1721">
        <f t="shared" si="91"/>
        <v>2</v>
      </c>
      <c r="I183" s="69"/>
      <c r="J183" s="1721" t="str">
        <f t="shared" si="92"/>
        <v/>
      </c>
      <c r="K183" s="69"/>
      <c r="L183" s="1721">
        <f t="shared" si="93"/>
        <v>3</v>
      </c>
      <c r="M183" s="69"/>
      <c r="N183" s="1721">
        <f t="shared" si="94"/>
        <v>3</v>
      </c>
      <c r="O183" s="69"/>
      <c r="P183" s="1721">
        <f t="shared" si="95"/>
        <v>3</v>
      </c>
      <c r="Q183" s="69"/>
      <c r="R183" s="1721">
        <f t="shared" si="96"/>
        <v>3</v>
      </c>
      <c r="S183" s="69"/>
      <c r="T183" s="1721">
        <f t="shared" si="97"/>
        <v>3</v>
      </c>
      <c r="U183" s="69"/>
      <c r="V183" s="1721">
        <f t="shared" si="98"/>
        <v>5</v>
      </c>
      <c r="W183" s="69"/>
      <c r="X183" s="1721">
        <f t="shared" si="99"/>
        <v>3</v>
      </c>
      <c r="Y183" s="69"/>
      <c r="Z183" s="1721" t="str">
        <f t="shared" si="100"/>
        <v/>
      </c>
      <c r="AA183" s="69"/>
      <c r="AB183" s="1721">
        <f t="shared" si="101"/>
        <v>3</v>
      </c>
      <c r="AC183" s="69"/>
      <c r="AD183" s="1721">
        <f t="shared" si="102"/>
        <v>4</v>
      </c>
      <c r="AE183" s="69"/>
      <c r="AF183" s="1721">
        <f t="shared" si="103"/>
        <v>7</v>
      </c>
      <c r="AG183" s="69"/>
      <c r="AH183" s="1721" t="str">
        <f t="shared" si="104"/>
        <v/>
      </c>
      <c r="AI183" s="69"/>
      <c r="AJ183" s="1721">
        <f t="shared" si="105"/>
        <v>3</v>
      </c>
      <c r="AK183" s="69"/>
      <c r="AL183" s="1721">
        <f t="shared" si="106"/>
        <v>6</v>
      </c>
      <c r="AM183" s="69"/>
      <c r="AN183" s="1721" t="str">
        <f t="shared" si="107"/>
        <v/>
      </c>
      <c r="AO183" s="69"/>
      <c r="AP183" s="1721">
        <f t="shared" si="108"/>
        <v>3</v>
      </c>
      <c r="AQ183" s="69"/>
      <c r="AR183" s="1721" t="str">
        <f t="shared" si="109"/>
        <v/>
      </c>
      <c r="AS183" s="69"/>
      <c r="AT183" s="1721">
        <f t="shared" si="110"/>
        <v>4</v>
      </c>
      <c r="AU183" s="69"/>
      <c r="AV183" s="1722">
        <f t="shared" si="111"/>
        <v>3</v>
      </c>
      <c r="AW183" s="69"/>
      <c r="AX183" s="1722">
        <f t="shared" si="112"/>
        <v>4</v>
      </c>
      <c r="AY183" s="69"/>
      <c r="AZ183" s="1722">
        <f t="shared" si="113"/>
        <v>20</v>
      </c>
      <c r="BA183" s="69"/>
      <c r="BB183" s="1722">
        <f t="shared" si="114"/>
        <v>5</v>
      </c>
      <c r="BC183" s="69"/>
      <c r="BD183" s="1722">
        <f t="shared" si="115"/>
        <v>3</v>
      </c>
      <c r="BE183" s="69"/>
      <c r="BF183" s="1722">
        <f t="shared" si="116"/>
        <v>4</v>
      </c>
      <c r="BG183" s="69"/>
      <c r="BH183" s="1722">
        <f t="shared" si="117"/>
        <v>0</v>
      </c>
      <c r="BI183" s="69"/>
      <c r="BJ183" s="1722">
        <f t="shared" si="118"/>
        <v>3</v>
      </c>
      <c r="BK183" s="69"/>
      <c r="BL183" s="1721">
        <f t="shared" si="119"/>
        <v>110</v>
      </c>
      <c r="BM183" s="69"/>
      <c r="BN183" s="1721" t="str">
        <f t="shared" si="87"/>
        <v/>
      </c>
      <c r="BO183" s="69"/>
      <c r="BP183" s="1722">
        <f t="shared" si="120"/>
        <v>212</v>
      </c>
      <c r="BQ183" s="69"/>
      <c r="BR183" s="684"/>
      <c r="BS183" s="1829"/>
      <c r="BT183" s="541"/>
      <c r="BU183" s="541"/>
    </row>
    <row r="184" ht="24.0" customHeight="1">
      <c r="A184" s="1698" t="str">
        <f t="shared" si="88"/>
        <v>Да</v>
      </c>
      <c r="B184" s="1831">
        <v>4318.0</v>
      </c>
      <c r="C184" s="1700">
        <v>189.0</v>
      </c>
      <c r="D184" s="1720"/>
      <c r="E184" s="721" t="str">
        <f t="shared" si="89"/>
        <v>Ватрушка Царская</v>
      </c>
      <c r="F184" s="1721">
        <f t="shared" si="90"/>
        <v>4</v>
      </c>
      <c r="G184" s="69"/>
      <c r="H184" s="1726">
        <f t="shared" si="91"/>
        <v>1</v>
      </c>
      <c r="I184" s="69"/>
      <c r="J184" s="1721">
        <f t="shared" si="92"/>
        <v>3</v>
      </c>
      <c r="K184" s="69"/>
      <c r="L184" s="1721" t="str">
        <f t="shared" si="93"/>
        <v/>
      </c>
      <c r="M184" s="69"/>
      <c r="N184" s="1721">
        <f t="shared" si="94"/>
        <v>5</v>
      </c>
      <c r="O184" s="69"/>
      <c r="P184" s="1726" t="str">
        <f t="shared" si="95"/>
        <v/>
      </c>
      <c r="Q184" s="69"/>
      <c r="R184" s="1721" t="str">
        <f t="shared" si="96"/>
        <v/>
      </c>
      <c r="S184" s="69"/>
      <c r="T184" s="1721" t="str">
        <f t="shared" si="97"/>
        <v/>
      </c>
      <c r="U184" s="69"/>
      <c r="V184" s="1721">
        <f t="shared" si="98"/>
        <v>5</v>
      </c>
      <c r="W184" s="69"/>
      <c r="X184" s="1721" t="str">
        <f t="shared" si="99"/>
        <v/>
      </c>
      <c r="Y184" s="69"/>
      <c r="Z184" s="1721" t="str">
        <f t="shared" si="100"/>
        <v/>
      </c>
      <c r="AA184" s="69"/>
      <c r="AB184" s="1721">
        <f t="shared" si="101"/>
        <v>5</v>
      </c>
      <c r="AC184" s="69"/>
      <c r="AD184" s="1721">
        <f t="shared" si="102"/>
        <v>4</v>
      </c>
      <c r="AE184" s="69"/>
      <c r="AF184" s="1721">
        <f t="shared" si="103"/>
        <v>6</v>
      </c>
      <c r="AG184" s="69"/>
      <c r="AH184" s="1721" t="str">
        <f t="shared" si="104"/>
        <v/>
      </c>
      <c r="AI184" s="69"/>
      <c r="AJ184" s="1721" t="str">
        <f t="shared" si="105"/>
        <v/>
      </c>
      <c r="AK184" s="69"/>
      <c r="AL184" s="1721">
        <f t="shared" si="106"/>
        <v>4</v>
      </c>
      <c r="AM184" s="69"/>
      <c r="AN184" s="1721" t="str">
        <f t="shared" si="107"/>
        <v/>
      </c>
      <c r="AO184" s="69"/>
      <c r="AP184" s="1721" t="str">
        <f t="shared" si="108"/>
        <v/>
      </c>
      <c r="AQ184" s="69"/>
      <c r="AR184" s="1722">
        <f t="shared" si="109"/>
        <v>6</v>
      </c>
      <c r="AS184" s="69"/>
      <c r="AT184" s="1722" t="str">
        <f t="shared" si="110"/>
        <v/>
      </c>
      <c r="AU184" s="69"/>
      <c r="AV184" s="1722">
        <f t="shared" si="111"/>
        <v>4</v>
      </c>
      <c r="AW184" s="69"/>
      <c r="AX184" s="1722">
        <f t="shared" si="112"/>
        <v>4</v>
      </c>
      <c r="AY184" s="69"/>
      <c r="AZ184" s="1722" t="str">
        <f t="shared" si="113"/>
        <v/>
      </c>
      <c r="BA184" s="69"/>
      <c r="BB184" s="1722" t="str">
        <f t="shared" si="114"/>
        <v/>
      </c>
      <c r="BC184" s="69"/>
      <c r="BD184" s="1722" t="str">
        <f t="shared" si="115"/>
        <v/>
      </c>
      <c r="BE184" s="69"/>
      <c r="BF184" s="1722" t="str">
        <f t="shared" si="116"/>
        <v/>
      </c>
      <c r="BG184" s="69"/>
      <c r="BH184" s="1722" t="str">
        <f t="shared" si="117"/>
        <v/>
      </c>
      <c r="BI184" s="69"/>
      <c r="BJ184" s="1722" t="str">
        <f t="shared" si="118"/>
        <v/>
      </c>
      <c r="BK184" s="69"/>
      <c r="BL184" s="1721" t="str">
        <f t="shared" si="119"/>
        <v/>
      </c>
      <c r="BM184" s="69"/>
      <c r="BN184" s="1721" t="str">
        <f t="shared" si="87"/>
        <v/>
      </c>
      <c r="BO184" s="69"/>
      <c r="BP184" s="1722">
        <f t="shared" si="120"/>
        <v>51</v>
      </c>
      <c r="BQ184" s="69"/>
      <c r="BR184" s="684"/>
      <c r="BS184" s="1829"/>
      <c r="BT184" s="541"/>
      <c r="BU184" s="541"/>
    </row>
    <row r="185" ht="24.0" customHeight="1">
      <c r="A185" s="1698" t="str">
        <f t="shared" si="88"/>
        <v/>
      </c>
      <c r="B185" s="1736"/>
      <c r="C185" s="1863"/>
      <c r="D185" s="1720"/>
      <c r="E185" s="721" t="str">
        <f t="shared" si="89"/>
        <v/>
      </c>
      <c r="F185" s="1721">
        <f>SUM(F161:G184)</f>
        <v>145</v>
      </c>
      <c r="G185" s="69"/>
      <c r="H185" s="1721">
        <f>SUM(H161:I184)</f>
        <v>59</v>
      </c>
      <c r="I185" s="69"/>
      <c r="J185" s="1721">
        <f>SUM(J161:K184)</f>
        <v>88</v>
      </c>
      <c r="K185" s="69"/>
      <c r="L185" s="1721">
        <f>SUM(L161:M184)</f>
        <v>61</v>
      </c>
      <c r="M185" s="69"/>
      <c r="N185" s="1721">
        <f>SUM(N161:O184)</f>
        <v>120</v>
      </c>
      <c r="O185" s="69"/>
      <c r="P185" s="1721">
        <f>SUM(P161:Q184)</f>
        <v>100</v>
      </c>
      <c r="Q185" s="69"/>
      <c r="R185" s="1721">
        <f>SUM(R161:S184)</f>
        <v>45</v>
      </c>
      <c r="S185" s="69"/>
      <c r="T185" s="1721">
        <f>SUM(T161:U184)</f>
        <v>65</v>
      </c>
      <c r="U185" s="69"/>
      <c r="V185" s="1721">
        <f>SUM(V161:W184)</f>
        <v>84</v>
      </c>
      <c r="W185" s="69"/>
      <c r="X185" s="1721">
        <f>SUM(X161:Y184)</f>
        <v>54</v>
      </c>
      <c r="Y185" s="69"/>
      <c r="Z185" s="1721">
        <f>SUM(Z161:AA184)</f>
        <v>0</v>
      </c>
      <c r="AA185" s="69"/>
      <c r="AB185" s="1721">
        <f>SUM(AB161:AC184)</f>
        <v>43</v>
      </c>
      <c r="AC185" s="69"/>
      <c r="AD185" s="1721">
        <f>SUM(AD161:AE184)</f>
        <v>58</v>
      </c>
      <c r="AE185" s="69"/>
      <c r="AF185" s="1721">
        <f>SUM(AF161:AG184)</f>
        <v>98</v>
      </c>
      <c r="AG185" s="69"/>
      <c r="AH185" s="1721">
        <f>SUM(AH161:AI184)</f>
        <v>67</v>
      </c>
      <c r="AI185" s="69"/>
      <c r="AJ185" s="1721">
        <f>SUM(AJ161:AK184)</f>
        <v>64</v>
      </c>
      <c r="AK185" s="69"/>
      <c r="AL185" s="1721">
        <f>SUM(AL161:AM184)</f>
        <v>48</v>
      </c>
      <c r="AM185" s="69"/>
      <c r="AN185" s="1721">
        <f>SUM(AN161:AO184)</f>
        <v>53</v>
      </c>
      <c r="AO185" s="69"/>
      <c r="AP185" s="1721">
        <f>SUM(AP161:AQ184)</f>
        <v>52</v>
      </c>
      <c r="AQ185" s="69"/>
      <c r="AR185" s="1721">
        <f>SUM(AR161:AS184)</f>
        <v>143</v>
      </c>
      <c r="AS185" s="69"/>
      <c r="AT185" s="1721">
        <f>SUM(AT161:AU184)</f>
        <v>73</v>
      </c>
      <c r="AU185" s="69"/>
      <c r="AV185" s="1721">
        <f>SUM(AV161:AW184)</f>
        <v>68</v>
      </c>
      <c r="AW185" s="69"/>
      <c r="AX185" s="1721">
        <f>SUM(AX161:AY184)</f>
        <v>78</v>
      </c>
      <c r="AY185" s="69"/>
      <c r="AZ185" s="1721">
        <f>SUM(AZ161:BA184)</f>
        <v>63</v>
      </c>
      <c r="BA185" s="69"/>
      <c r="BB185" s="1721">
        <f>SUM(BB161:BC184)</f>
        <v>147</v>
      </c>
      <c r="BC185" s="69"/>
      <c r="BD185" s="1721">
        <f>SUM(BD161:BE184)</f>
        <v>43</v>
      </c>
      <c r="BE185" s="69"/>
      <c r="BF185" s="1721">
        <f>SUM(BF161:BG184)</f>
        <v>83</v>
      </c>
      <c r="BG185" s="69"/>
      <c r="BH185" s="1721">
        <f>SUM(BH161:BI184)</f>
        <v>69</v>
      </c>
      <c r="BI185" s="69"/>
      <c r="BJ185" s="1721">
        <f>SUM(BJ161:BK184)</f>
        <v>96</v>
      </c>
      <c r="BK185" s="69"/>
      <c r="BL185" s="1721">
        <f>SUM(BL161:BM184)</f>
        <v>505</v>
      </c>
      <c r="BM185" s="69"/>
      <c r="BN185" s="1721" t="str">
        <f t="shared" si="87"/>
        <v/>
      </c>
      <c r="BO185" s="69"/>
      <c r="BP185" s="1722">
        <f t="shared" si="120"/>
        <v>2672</v>
      </c>
      <c r="BQ185" s="69"/>
      <c r="BR185" s="684"/>
      <c r="BS185" s="1829"/>
      <c r="BT185" s="541"/>
      <c r="BU185" s="541"/>
    </row>
    <row r="186" ht="22.5" customHeight="1">
      <c r="A186" s="1698" t="str">
        <f t="shared" si="88"/>
        <v/>
      </c>
      <c r="B186" s="1736"/>
      <c r="C186" s="1863"/>
      <c r="D186" s="1720"/>
      <c r="E186" s="721" t="str">
        <f t="shared" si="89"/>
        <v/>
      </c>
      <c r="F186" s="1738" t="str">
        <f t="shared" ref="F186:F187" si="121">G154</f>
        <v/>
      </c>
      <c r="G186" s="69"/>
      <c r="H186" s="1738" t="str">
        <f t="shared" ref="H186:H187" si="122">I154</f>
        <v/>
      </c>
      <c r="I186" s="69"/>
      <c r="J186" s="1738" t="str">
        <f t="shared" ref="J186:J187" si="123">K154</f>
        <v/>
      </c>
      <c r="K186" s="69"/>
      <c r="L186" s="1738" t="str">
        <f t="shared" ref="L186:L187" si="124">M154</f>
        <v/>
      </c>
      <c r="M186" s="69"/>
      <c r="N186" s="1738" t="str">
        <f t="shared" ref="N186:N187" si="125">O154</f>
        <v/>
      </c>
      <c r="O186" s="69"/>
      <c r="P186" s="1738" t="str">
        <f t="shared" ref="P186:P187" si="126">Q154</f>
        <v/>
      </c>
      <c r="Q186" s="69"/>
      <c r="R186" s="1738" t="str">
        <f t="shared" ref="R186:R187" si="127">S154</f>
        <v/>
      </c>
      <c r="S186" s="69"/>
      <c r="T186" s="1738" t="str">
        <f t="shared" ref="T186:T187" si="128">U154</f>
        <v/>
      </c>
      <c r="U186" s="69"/>
      <c r="V186" s="1738" t="str">
        <f t="shared" ref="V186:V187" si="129">W154</f>
        <v/>
      </c>
      <c r="W186" s="69"/>
      <c r="X186" s="1738" t="str">
        <f t="shared" ref="X186:X187" si="130">Y154</f>
        <v/>
      </c>
      <c r="Y186" s="69"/>
      <c r="Z186" s="1738" t="str">
        <f t="shared" ref="Z186:Z187" si="131">AA154</f>
        <v/>
      </c>
      <c r="AA186" s="69"/>
      <c r="AB186" s="1738" t="str">
        <f t="shared" ref="AB186:AB187" si="132">AC154</f>
        <v/>
      </c>
      <c r="AC186" s="69"/>
      <c r="AD186" s="1724" t="str">
        <f t="shared" ref="AD186:AD187" si="133">AE154</f>
        <v/>
      </c>
      <c r="AE186" s="69"/>
      <c r="AF186" s="1724" t="str">
        <f t="shared" ref="AF186:AF187" si="134">AG154</f>
        <v/>
      </c>
      <c r="AG186" s="69"/>
      <c r="AH186" s="1724" t="str">
        <f t="shared" ref="AH186:AH187" si="135">AI154</f>
        <v/>
      </c>
      <c r="AI186" s="69"/>
      <c r="AJ186" s="1724" t="str">
        <f t="shared" ref="AJ186:AJ187" si="136">AK154</f>
        <v/>
      </c>
      <c r="AK186" s="69"/>
      <c r="AL186" s="1724" t="str">
        <f t="shared" ref="AL186:AL187" si="137">AM154</f>
        <v/>
      </c>
      <c r="AM186" s="69"/>
      <c r="AN186" s="1738" t="str">
        <f t="shared" ref="AN186:AN187" si="138">AO154</f>
        <v/>
      </c>
      <c r="AO186" s="69"/>
      <c r="AP186" s="1738" t="str">
        <f t="shared" ref="AP186:AP187" si="139">AQ154</f>
        <v/>
      </c>
      <c r="AQ186" s="69"/>
      <c r="AR186" s="1724" t="str">
        <f t="shared" ref="AR186:AR187" si="140">AS154</f>
        <v/>
      </c>
      <c r="AS186" s="69"/>
      <c r="AT186" s="1724" t="str">
        <f t="shared" ref="AT186:AT187" si="141">AU154</f>
        <v/>
      </c>
      <c r="AU186" s="69"/>
      <c r="AV186" s="1724" t="str">
        <f t="shared" ref="AV186:AV187" si="142">AW154</f>
        <v/>
      </c>
      <c r="AW186" s="69"/>
      <c r="AX186" s="1724" t="str">
        <f t="shared" ref="AX186:AX187" si="143">AY154</f>
        <v/>
      </c>
      <c r="AY186" s="69"/>
      <c r="AZ186" s="1724" t="str">
        <f t="shared" ref="AZ186:AZ187" si="144">BA154</f>
        <v/>
      </c>
      <c r="BA186" s="69"/>
      <c r="BB186" s="1724" t="str">
        <f t="shared" ref="BB186:BB187" si="145">BC154</f>
        <v/>
      </c>
      <c r="BC186" s="69"/>
      <c r="BD186" s="1724" t="str">
        <f t="shared" ref="BD186:BD187" si="146">BE154</f>
        <v/>
      </c>
      <c r="BE186" s="69"/>
      <c r="BF186" s="1724" t="str">
        <f t="shared" ref="BF186:BF187" si="147">BG154</f>
        <v/>
      </c>
      <c r="BG186" s="69"/>
      <c r="BH186" s="1724" t="str">
        <f t="shared" ref="BH186:BH187" si="148">BI154</f>
        <v/>
      </c>
      <c r="BI186" s="69"/>
      <c r="BJ186" s="1724" t="str">
        <f t="shared" ref="BJ186:BJ187" si="149">BK154</f>
        <v/>
      </c>
      <c r="BK186" s="69"/>
      <c r="BL186" s="1724" t="str">
        <f t="shared" ref="BL186:BL187" si="150">BM154</f>
        <v/>
      </c>
      <c r="BM186" s="69"/>
      <c r="BN186" s="1724" t="str">
        <f t="shared" si="87"/>
        <v/>
      </c>
      <c r="BO186" s="69"/>
      <c r="BP186" s="1724">
        <f t="shared" si="120"/>
        <v>0</v>
      </c>
      <c r="BQ186" s="69"/>
      <c r="BR186" s="684"/>
      <c r="BS186" s="1829"/>
      <c r="BT186" s="541"/>
      <c r="BU186" s="541"/>
    </row>
    <row r="187" ht="22.5" customHeight="1">
      <c r="A187" s="1698" t="str">
        <f t="shared" si="88"/>
        <v/>
      </c>
      <c r="B187" s="1736"/>
      <c r="C187" s="1863"/>
      <c r="D187" s="1720"/>
      <c r="E187" s="721" t="str">
        <f t="shared" si="89"/>
        <v/>
      </c>
      <c r="F187" s="1738" t="str">
        <f t="shared" si="121"/>
        <v/>
      </c>
      <c r="G187" s="69"/>
      <c r="H187" s="1738" t="str">
        <f t="shared" si="122"/>
        <v/>
      </c>
      <c r="I187" s="69"/>
      <c r="J187" s="1738" t="str">
        <f t="shared" si="123"/>
        <v/>
      </c>
      <c r="K187" s="69"/>
      <c r="L187" s="1738" t="str">
        <f t="shared" si="124"/>
        <v/>
      </c>
      <c r="M187" s="69"/>
      <c r="N187" s="1738" t="str">
        <f t="shared" si="125"/>
        <v/>
      </c>
      <c r="O187" s="69"/>
      <c r="P187" s="1738" t="str">
        <f t="shared" si="126"/>
        <v/>
      </c>
      <c r="Q187" s="69"/>
      <c r="R187" s="1738" t="str">
        <f t="shared" si="127"/>
        <v/>
      </c>
      <c r="S187" s="69"/>
      <c r="T187" s="1738" t="str">
        <f t="shared" si="128"/>
        <v/>
      </c>
      <c r="U187" s="69"/>
      <c r="V187" s="1738" t="str">
        <f t="shared" si="129"/>
        <v/>
      </c>
      <c r="W187" s="69"/>
      <c r="X187" s="1738" t="str">
        <f t="shared" si="130"/>
        <v/>
      </c>
      <c r="Y187" s="69"/>
      <c r="Z187" s="1738" t="str">
        <f t="shared" si="131"/>
        <v/>
      </c>
      <c r="AA187" s="69"/>
      <c r="AB187" s="1738" t="str">
        <f t="shared" si="132"/>
        <v/>
      </c>
      <c r="AC187" s="69"/>
      <c r="AD187" s="1738" t="str">
        <f t="shared" si="133"/>
        <v/>
      </c>
      <c r="AE187" s="69"/>
      <c r="AF187" s="1738" t="str">
        <f t="shared" si="134"/>
        <v/>
      </c>
      <c r="AG187" s="69"/>
      <c r="AH187" s="1738" t="str">
        <f t="shared" si="135"/>
        <v/>
      </c>
      <c r="AI187" s="69"/>
      <c r="AJ187" s="1738" t="str">
        <f t="shared" si="136"/>
        <v/>
      </c>
      <c r="AK187" s="69"/>
      <c r="AL187" s="1738" t="str">
        <f t="shared" si="137"/>
        <v/>
      </c>
      <c r="AM187" s="69"/>
      <c r="AN187" s="1738" t="str">
        <f t="shared" si="138"/>
        <v/>
      </c>
      <c r="AO187" s="69"/>
      <c r="AP187" s="1738" t="str">
        <f t="shared" si="139"/>
        <v/>
      </c>
      <c r="AQ187" s="69"/>
      <c r="AR187" s="1724" t="str">
        <f t="shared" si="140"/>
        <v/>
      </c>
      <c r="AS187" s="69"/>
      <c r="AT187" s="1724" t="str">
        <f t="shared" si="141"/>
        <v/>
      </c>
      <c r="AU187" s="69"/>
      <c r="AV187" s="1724" t="str">
        <f t="shared" si="142"/>
        <v/>
      </c>
      <c r="AW187" s="69"/>
      <c r="AX187" s="1724" t="str">
        <f t="shared" si="143"/>
        <v/>
      </c>
      <c r="AY187" s="69"/>
      <c r="AZ187" s="1724" t="str">
        <f t="shared" si="144"/>
        <v/>
      </c>
      <c r="BA187" s="69"/>
      <c r="BB187" s="1724" t="str">
        <f t="shared" si="145"/>
        <v/>
      </c>
      <c r="BC187" s="69"/>
      <c r="BD187" s="1724" t="str">
        <f t="shared" si="146"/>
        <v/>
      </c>
      <c r="BE187" s="69"/>
      <c r="BF187" s="1724" t="str">
        <f t="shared" si="147"/>
        <v/>
      </c>
      <c r="BG187" s="69"/>
      <c r="BH187" s="1724" t="str">
        <f t="shared" si="148"/>
        <v/>
      </c>
      <c r="BI187" s="69"/>
      <c r="BJ187" s="1724" t="str">
        <f t="shared" si="149"/>
        <v/>
      </c>
      <c r="BK187" s="69"/>
      <c r="BL187" s="1738" t="str">
        <f t="shared" si="150"/>
        <v/>
      </c>
      <c r="BM187" s="69"/>
      <c r="BN187" s="1738" t="str">
        <f t="shared" si="87"/>
        <v/>
      </c>
      <c r="BO187" s="69"/>
      <c r="BP187" s="1724">
        <f t="shared" si="120"/>
        <v>0</v>
      </c>
      <c r="BQ187" s="69"/>
      <c r="BR187" s="684"/>
      <c r="BS187" s="1829"/>
      <c r="BT187" s="541"/>
      <c r="BU187" s="541"/>
    </row>
    <row r="188" ht="15.75" customHeight="1">
      <c r="A188" s="1591"/>
      <c r="B188" s="1591"/>
      <c r="C188" s="1591"/>
      <c r="D188" s="1541"/>
      <c r="E188" s="1987"/>
      <c r="F188" s="1989"/>
      <c r="G188" s="1989"/>
      <c r="H188" s="1989"/>
      <c r="I188" s="1989"/>
      <c r="J188" s="1989"/>
      <c r="K188" s="1989"/>
      <c r="L188" s="1990"/>
      <c r="M188" s="1989"/>
      <c r="N188" s="1989"/>
      <c r="O188" s="1989"/>
      <c r="P188" s="1989"/>
      <c r="Q188" s="1989"/>
      <c r="R188" s="1989"/>
      <c r="S188" s="1989"/>
      <c r="T188" s="1989"/>
      <c r="U188" s="1989"/>
      <c r="V188" s="1989"/>
      <c r="W188" s="1989"/>
      <c r="X188" s="1989"/>
      <c r="Y188" s="1989"/>
      <c r="Z188" s="1989"/>
      <c r="AA188" s="1989"/>
      <c r="AB188" s="1989"/>
      <c r="AC188" s="1989"/>
      <c r="AD188" s="1989"/>
      <c r="AE188" s="1989"/>
      <c r="AF188" s="1989"/>
      <c r="AG188" s="1989"/>
      <c r="AH188" s="1989"/>
      <c r="AI188" s="1989"/>
      <c r="AJ188" s="1989"/>
      <c r="AK188" s="1989"/>
      <c r="AL188" s="1989"/>
      <c r="AM188" s="1989"/>
      <c r="AN188" s="1990"/>
      <c r="AO188" s="1990"/>
      <c r="AP188" s="1990"/>
      <c r="AQ188" s="1990"/>
      <c r="AR188" s="1990"/>
      <c r="AS188" s="1989"/>
      <c r="AT188" s="1989"/>
      <c r="AU188" s="1989"/>
      <c r="AV188" s="1989"/>
      <c r="AW188" s="1989"/>
      <c r="AX188" s="844"/>
      <c r="AY188" s="1989"/>
      <c r="AZ188" s="1991"/>
      <c r="BB188" s="1374"/>
      <c r="BC188" s="1991"/>
      <c r="BD188" s="1374"/>
      <c r="BE188" s="1991"/>
      <c r="BF188" s="1374"/>
      <c r="BG188" s="1991"/>
      <c r="BH188" s="1374"/>
      <c r="BI188" s="1991"/>
      <c r="BJ188" s="1374"/>
      <c r="BK188" s="1991"/>
      <c r="BL188" s="1989"/>
      <c r="BM188" s="1992" t="s">
        <v>3125</v>
      </c>
      <c r="BN188" s="1993"/>
      <c r="BO188" s="1993"/>
      <c r="BP188" s="1724">
        <f>SUM(BP161:BQ187)</f>
        <v>5344</v>
      </c>
      <c r="BQ188" s="69"/>
      <c r="BR188" s="541"/>
      <c r="BS188" s="541"/>
      <c r="BT188" s="541"/>
      <c r="BU188" s="541"/>
    </row>
    <row r="189" ht="15.75" customHeight="1">
      <c r="A189" s="1591"/>
      <c r="B189" s="1591"/>
      <c r="C189" s="1591"/>
      <c r="D189" s="1541"/>
      <c r="E189" s="906"/>
      <c r="F189" s="701"/>
      <c r="G189" s="701"/>
      <c r="H189" s="701"/>
      <c r="I189" s="701"/>
      <c r="J189" s="701"/>
      <c r="K189" s="701"/>
      <c r="L189" s="1189"/>
      <c r="M189" s="701"/>
      <c r="N189" s="701"/>
      <c r="O189" s="701"/>
      <c r="P189" s="701"/>
      <c r="Q189" s="701"/>
      <c r="R189" s="701"/>
      <c r="S189" s="701"/>
      <c r="T189" s="701"/>
      <c r="U189" s="701"/>
      <c r="V189" s="701"/>
      <c r="W189" s="701"/>
      <c r="X189" s="701"/>
      <c r="Y189" s="701"/>
      <c r="Z189" s="701"/>
      <c r="AA189" s="701"/>
      <c r="AB189" s="701"/>
      <c r="AC189" s="701"/>
      <c r="AD189" s="701"/>
      <c r="AE189" s="701"/>
      <c r="AF189" s="701"/>
      <c r="AG189" s="701"/>
      <c r="AH189" s="701"/>
      <c r="AI189" s="701"/>
      <c r="AJ189" s="701"/>
      <c r="AK189" s="701"/>
      <c r="AL189" s="701"/>
      <c r="AM189" s="701"/>
      <c r="AN189" s="1189"/>
      <c r="AO189" s="1189"/>
      <c r="AP189" s="1189"/>
      <c r="AQ189" s="1189"/>
      <c r="AR189" s="1189"/>
      <c r="AS189" s="701"/>
      <c r="AT189" s="701"/>
      <c r="AU189" s="701"/>
      <c r="AV189" s="701"/>
      <c r="AW189" s="701"/>
      <c r="AY189" s="701"/>
      <c r="AZ189" s="702"/>
      <c r="BB189" s="1355"/>
      <c r="BC189" s="702"/>
      <c r="BD189" s="1355"/>
      <c r="BE189" s="702"/>
      <c r="BF189" s="1355"/>
      <c r="BG189" s="702"/>
      <c r="BH189" s="1355"/>
      <c r="BI189" s="702"/>
      <c r="BJ189" s="1355"/>
      <c r="BK189" s="702"/>
      <c r="BL189" s="701"/>
      <c r="BM189" s="701"/>
      <c r="BP189" s="701"/>
      <c r="BQ189" s="633"/>
      <c r="BR189" s="541"/>
      <c r="BS189" s="541"/>
      <c r="BT189" s="541"/>
      <c r="BU189" s="541"/>
    </row>
    <row r="190" ht="15.75" customHeight="1">
      <c r="A190" s="1591"/>
      <c r="B190" s="1591"/>
      <c r="C190" s="1591"/>
      <c r="D190" s="1541"/>
      <c r="E190" s="906"/>
      <c r="F190" s="1994"/>
      <c r="G190" s="998"/>
      <c r="H190" s="1994"/>
      <c r="I190" s="998"/>
      <c r="J190" s="1994"/>
      <c r="K190" s="998"/>
      <c r="L190" s="1994"/>
      <c r="M190" s="998"/>
      <c r="N190" s="1994"/>
      <c r="O190" s="998"/>
      <c r="P190" s="1994"/>
      <c r="Q190" s="998"/>
      <c r="R190" s="1994"/>
      <c r="S190" s="998"/>
      <c r="T190" s="1994"/>
      <c r="U190" s="998"/>
      <c r="V190" s="1994"/>
      <c r="W190" s="998"/>
      <c r="X190" s="1994"/>
      <c r="Y190" s="998"/>
      <c r="Z190" s="1994"/>
      <c r="AA190" s="998"/>
      <c r="AB190" s="1994"/>
      <c r="AC190" s="998"/>
      <c r="AD190" s="1994"/>
      <c r="AE190" s="998"/>
      <c r="AF190" s="1994"/>
      <c r="AG190" s="998"/>
      <c r="AH190" s="1994"/>
      <c r="AI190" s="998"/>
      <c r="AJ190" s="1994"/>
      <c r="AK190" s="998"/>
      <c r="AL190" s="1994"/>
      <c r="AM190" s="998"/>
      <c r="AN190" s="1994"/>
      <c r="AO190" s="1994"/>
      <c r="AP190" s="1994"/>
      <c r="AQ190" s="1994"/>
      <c r="AR190" s="1994"/>
      <c r="AS190" s="998"/>
      <c r="AT190" s="998"/>
      <c r="AU190" s="998"/>
      <c r="AV190" s="998"/>
      <c r="AW190" s="998"/>
      <c r="AX190" s="1318"/>
      <c r="AY190" s="998"/>
      <c r="AZ190" s="998"/>
      <c r="BB190" s="1317"/>
      <c r="BC190" s="998"/>
      <c r="BD190" s="1317"/>
      <c r="BE190" s="998"/>
      <c r="BF190" s="1317"/>
      <c r="BG190" s="998"/>
      <c r="BH190" s="1317"/>
      <c r="BI190" s="998"/>
      <c r="BJ190" s="1317"/>
      <c r="BK190" s="998"/>
      <c r="BL190" s="1994"/>
      <c r="BM190" s="1575"/>
      <c r="BN190" s="547"/>
      <c r="BO190" s="547"/>
      <c r="BP190" s="701"/>
      <c r="BQ190" s="633"/>
      <c r="BR190" s="541"/>
      <c r="BS190" s="541"/>
      <c r="BT190" s="541"/>
      <c r="BU190" s="541"/>
    </row>
    <row r="191" ht="18.0" customHeight="1">
      <c r="A191" s="1929" t="s">
        <v>1279</v>
      </c>
      <c r="B191" s="1930"/>
      <c r="C191" s="1995"/>
      <c r="D191" s="1222">
        <v>46239.0</v>
      </c>
      <c r="E191" s="1996" t="s">
        <v>3126</v>
      </c>
      <c r="F191" s="1596"/>
      <c r="G191" s="1997"/>
      <c r="H191" s="1596"/>
      <c r="I191" s="1596"/>
      <c r="J191" s="1596"/>
      <c r="K191" s="1596"/>
      <c r="L191" s="1552"/>
      <c r="M191" s="1596"/>
      <c r="N191" s="1596"/>
      <c r="O191" s="1596"/>
      <c r="P191" s="1596"/>
      <c r="Q191" s="1596"/>
      <c r="R191" s="1596"/>
      <c r="S191" s="1596"/>
      <c r="T191" s="1596"/>
      <c r="U191" s="1596"/>
      <c r="V191" s="1596"/>
      <c r="W191" s="1596"/>
      <c r="X191" s="1596"/>
      <c r="Y191" s="1596"/>
      <c r="Z191" s="1596"/>
      <c r="AA191" s="1596"/>
      <c r="AB191" s="1596"/>
      <c r="AC191" s="1596"/>
      <c r="AD191" s="1596"/>
      <c r="AE191" s="1596"/>
      <c r="AF191" s="1596"/>
      <c r="AG191" s="1596"/>
      <c r="AH191" s="1596"/>
      <c r="AI191" s="1596"/>
      <c r="AJ191" s="1596"/>
      <c r="AK191" s="1596"/>
      <c r="AL191" s="1597"/>
      <c r="AM191" s="1596"/>
      <c r="AN191" s="1552"/>
      <c r="AO191" s="1552"/>
      <c r="AP191" s="1552"/>
      <c r="AQ191" s="1552"/>
      <c r="AR191" s="1552"/>
      <c r="AS191" s="1596"/>
      <c r="AT191" s="1596"/>
      <c r="AU191" s="1596"/>
      <c r="AV191" s="1596"/>
      <c r="AW191" s="1596"/>
      <c r="AX191" s="1596"/>
      <c r="AY191" s="1596"/>
      <c r="AZ191" s="1599"/>
      <c r="BB191" s="1554"/>
      <c r="BC191" s="1599"/>
      <c r="BD191" s="1554"/>
      <c r="BE191" s="1599"/>
      <c r="BF191" s="1554"/>
      <c r="BG191" s="1599"/>
      <c r="BH191" s="1554"/>
      <c r="BI191" s="1599"/>
      <c r="BJ191" s="1554"/>
      <c r="BK191" s="1599"/>
      <c r="BL191" s="1596"/>
      <c r="BM191" s="1596"/>
      <c r="BN191" s="1596"/>
      <c r="BO191" s="1596"/>
      <c r="BP191" s="1596"/>
      <c r="BQ191" s="1599"/>
      <c r="BR191" s="1998"/>
      <c r="BS191" s="1999"/>
      <c r="BT191" s="1596"/>
      <c r="BU191" s="1596"/>
    </row>
    <row r="192" ht="18.0" customHeight="1">
      <c r="A192" s="1986" t="s">
        <v>3069</v>
      </c>
      <c r="B192" s="1603" t="s">
        <v>3097</v>
      </c>
      <c r="C192" s="1873" t="s">
        <v>19</v>
      </c>
      <c r="D192" s="1873" t="s">
        <v>3070</v>
      </c>
      <c r="E192" s="2000" t="s">
        <v>471</v>
      </c>
      <c r="F192" s="1075" t="s">
        <v>1357</v>
      </c>
      <c r="G192" s="1409" t="s">
        <v>3071</v>
      </c>
      <c r="H192" s="1075" t="s">
        <v>1287</v>
      </c>
      <c r="I192" s="1409" t="s">
        <v>1288</v>
      </c>
      <c r="J192" s="1075" t="s">
        <v>1358</v>
      </c>
      <c r="K192" s="1409" t="s">
        <v>3072</v>
      </c>
      <c r="L192" s="1075" t="s">
        <v>1359</v>
      </c>
      <c r="M192" s="1409" t="s">
        <v>3073</v>
      </c>
      <c r="N192" s="1075" t="s">
        <v>1360</v>
      </c>
      <c r="O192" s="1409" t="s">
        <v>3074</v>
      </c>
      <c r="P192" s="1075" t="s">
        <v>1361</v>
      </c>
      <c r="Q192" s="1409" t="s">
        <v>3075</v>
      </c>
      <c r="R192" s="1485" t="s">
        <v>1362</v>
      </c>
      <c r="S192" s="1560" t="s">
        <v>1298</v>
      </c>
      <c r="T192" s="1427" t="s">
        <v>1299</v>
      </c>
      <c r="U192" s="1560" t="s">
        <v>1300</v>
      </c>
      <c r="V192" s="1487" t="s">
        <v>1301</v>
      </c>
      <c r="W192" s="1560" t="s">
        <v>1302</v>
      </c>
      <c r="X192" s="1427" t="s">
        <v>1363</v>
      </c>
      <c r="Y192" s="1560" t="s">
        <v>1304</v>
      </c>
      <c r="Z192" s="1487" t="s">
        <v>1305</v>
      </c>
      <c r="AA192" s="1560" t="s">
        <v>1306</v>
      </c>
      <c r="AB192" s="1487" t="s">
        <v>1307</v>
      </c>
      <c r="AC192" s="1560" t="s">
        <v>1308</v>
      </c>
      <c r="AD192" s="1487" t="s">
        <v>1309</v>
      </c>
      <c r="AE192" s="1560" t="s">
        <v>1310</v>
      </c>
      <c r="AF192" s="1427" t="s">
        <v>1311</v>
      </c>
      <c r="AG192" s="1560" t="s">
        <v>1312</v>
      </c>
      <c r="AH192" s="1487" t="s">
        <v>1313</v>
      </c>
      <c r="AI192" s="1560" t="s">
        <v>1314</v>
      </c>
      <c r="AJ192" s="1487" t="s">
        <v>1315</v>
      </c>
      <c r="AK192" s="1560" t="s">
        <v>1316</v>
      </c>
      <c r="AL192" s="1487" t="s">
        <v>1317</v>
      </c>
      <c r="AM192" s="1560" t="s">
        <v>1318</v>
      </c>
      <c r="AN192" s="1487" t="s">
        <v>1319</v>
      </c>
      <c r="AO192" s="1560" t="s">
        <v>1320</v>
      </c>
      <c r="AP192" s="1487" t="s">
        <v>1321</v>
      </c>
      <c r="AQ192" s="1486" t="s">
        <v>1322</v>
      </c>
      <c r="AR192" s="1427" t="s">
        <v>1323</v>
      </c>
      <c r="AS192" s="1486" t="s">
        <v>1324</v>
      </c>
      <c r="AT192" s="1485" t="s">
        <v>1325</v>
      </c>
      <c r="AU192" s="1486" t="s">
        <v>1326</v>
      </c>
      <c r="AV192" s="1485" t="s">
        <v>1327</v>
      </c>
      <c r="AW192" s="1486" t="s">
        <v>1328</v>
      </c>
      <c r="AX192" s="1485" t="s">
        <v>3076</v>
      </c>
      <c r="AY192" s="1486" t="s">
        <v>3077</v>
      </c>
      <c r="AZ192" s="1485" t="s">
        <v>3078</v>
      </c>
      <c r="BA192" s="1486" t="s">
        <v>3079</v>
      </c>
      <c r="BB192" s="1485" t="s">
        <v>3080</v>
      </c>
      <c r="BC192" s="1486" t="s">
        <v>3081</v>
      </c>
      <c r="BD192" s="1485" t="s">
        <v>3082</v>
      </c>
      <c r="BE192" s="1486" t="s">
        <v>3083</v>
      </c>
      <c r="BF192" s="1485" t="s">
        <v>3084</v>
      </c>
      <c r="BG192" s="1486" t="s">
        <v>3085</v>
      </c>
      <c r="BH192" s="1485" t="s">
        <v>3086</v>
      </c>
      <c r="BI192" s="1486" t="s">
        <v>3087</v>
      </c>
      <c r="BJ192" s="1485" t="s">
        <v>3088</v>
      </c>
      <c r="BK192" s="1486" t="s">
        <v>3089</v>
      </c>
      <c r="BL192" s="1120" t="s">
        <v>1425</v>
      </c>
      <c r="BM192" s="2001" t="s">
        <v>3045</v>
      </c>
      <c r="BN192" s="1562" t="s">
        <v>3090</v>
      </c>
      <c r="BO192" s="1563" t="s">
        <v>3091</v>
      </c>
      <c r="BP192" s="2002" t="s">
        <v>1331</v>
      </c>
      <c r="BQ192" s="1131" t="s">
        <v>3092</v>
      </c>
      <c r="BR192" s="1126" t="s">
        <v>3093</v>
      </c>
      <c r="BS192" s="1075" t="s">
        <v>3094</v>
      </c>
      <c r="BT192" s="2003"/>
      <c r="BU192" s="544"/>
    </row>
    <row r="193" ht="18.0" customHeight="1">
      <c r="A193" s="1565" t="s">
        <v>145</v>
      </c>
      <c r="B193" s="1611">
        <v>3196.0</v>
      </c>
      <c r="C193" s="1567">
        <v>97.0</v>
      </c>
      <c r="D193" s="1612" t="s">
        <v>3095</v>
      </c>
      <c r="E193" s="1613" t="str">
        <f>'Матрица 4 недели'!D78</f>
        <v>Манник ''Маковый''</v>
      </c>
      <c r="F193" s="1120">
        <v>4.0</v>
      </c>
      <c r="G193" s="1138">
        <v>4.0</v>
      </c>
      <c r="H193" s="1120">
        <v>3.0</v>
      </c>
      <c r="I193" s="1138">
        <v>3.0</v>
      </c>
      <c r="J193" s="1120">
        <v>3.0</v>
      </c>
      <c r="K193" s="1138">
        <v>3.0</v>
      </c>
      <c r="L193" s="1120">
        <v>2.0</v>
      </c>
      <c r="M193" s="1138">
        <v>2.0</v>
      </c>
      <c r="N193" s="1120">
        <v>8.0</v>
      </c>
      <c r="O193" s="1138">
        <v>8.0</v>
      </c>
      <c r="P193" s="1120">
        <v>3.0</v>
      </c>
      <c r="Q193" s="1138">
        <v>3.0</v>
      </c>
      <c r="R193" s="1126">
        <v>4.0</v>
      </c>
      <c r="S193" s="1138">
        <v>4.0</v>
      </c>
      <c r="T193" s="1120">
        <v>2.0</v>
      </c>
      <c r="U193" s="1138">
        <v>2.0</v>
      </c>
      <c r="V193" s="1126">
        <v>4.0</v>
      </c>
      <c r="W193" s="1138">
        <v>4.0</v>
      </c>
      <c r="X193" s="1126">
        <v>5.0</v>
      </c>
      <c r="Y193" s="1138">
        <v>5.0</v>
      </c>
      <c r="Z193" s="1120"/>
      <c r="AA193" s="1138"/>
      <c r="AB193" s="1126">
        <v>4.0</v>
      </c>
      <c r="AC193" s="1138">
        <v>4.0</v>
      </c>
      <c r="AD193" s="1126">
        <v>3.0</v>
      </c>
      <c r="AE193" s="1138">
        <v>3.0</v>
      </c>
      <c r="AF193" s="1120">
        <v>3.0</v>
      </c>
      <c r="AG193" s="1138">
        <v>3.0</v>
      </c>
      <c r="AH193" s="1126">
        <v>4.0</v>
      </c>
      <c r="AI193" s="1138">
        <v>4.0</v>
      </c>
      <c r="AJ193" s="1120">
        <v>3.0</v>
      </c>
      <c r="AK193" s="1138">
        <v>3.0</v>
      </c>
      <c r="AL193" s="1120">
        <v>2.0</v>
      </c>
      <c r="AM193" s="1138">
        <v>2.0</v>
      </c>
      <c r="AN193" s="1126">
        <v>3.0</v>
      </c>
      <c r="AO193" s="1138">
        <v>3.0</v>
      </c>
      <c r="AP193" s="1120">
        <v>5.0</v>
      </c>
      <c r="AQ193" s="1138">
        <v>5.0</v>
      </c>
      <c r="AR193" s="1126">
        <v>11.0</v>
      </c>
      <c r="AS193" s="1138">
        <v>11.0</v>
      </c>
      <c r="AT193" s="1126">
        <v>5.0</v>
      </c>
      <c r="AU193" s="1138">
        <v>5.0</v>
      </c>
      <c r="AV193" s="1126">
        <v>3.0</v>
      </c>
      <c r="AW193" s="1138">
        <v>3.0</v>
      </c>
      <c r="AX193" s="1126">
        <v>6.0</v>
      </c>
      <c r="AY193" s="1138">
        <v>6.0</v>
      </c>
      <c r="AZ193" s="1126">
        <v>2.0</v>
      </c>
      <c r="BA193" s="1138">
        <v>2.0</v>
      </c>
      <c r="BB193" s="1126">
        <v>7.0</v>
      </c>
      <c r="BC193" s="1138">
        <v>7.0</v>
      </c>
      <c r="BD193" s="1126">
        <v>4.0</v>
      </c>
      <c r="BE193" s="1138">
        <v>4.0</v>
      </c>
      <c r="BF193" s="1126">
        <v>3.0</v>
      </c>
      <c r="BG193" s="1138">
        <v>3.0</v>
      </c>
      <c r="BH193" s="1126">
        <v>4.0</v>
      </c>
      <c r="BI193" s="1138">
        <v>4.0</v>
      </c>
      <c r="BJ193" s="1126">
        <v>5.0</v>
      </c>
      <c r="BK193" s="1138">
        <v>5.0</v>
      </c>
      <c r="BL193" s="1134"/>
      <c r="BM193" s="1305"/>
      <c r="BN193" s="2004">
        <v>10.0</v>
      </c>
      <c r="BO193" s="1307"/>
      <c r="BP193" s="783">
        <f t="shared" ref="BP193:BP219" si="151">(F193+H193+J193+L193+N193+P193+R193+T193+V193+X193+Z193+AB193+AD193+AF193+AH193+AJ193+AL193+AR193+BL193+AN193+AP193+AT193+AV193+AX193+AZ193+BB193+BD193+BF193+BH193+BJ193)+1</f>
        <v>116</v>
      </c>
      <c r="BQ193" s="1571">
        <f t="shared" ref="BQ193:BQ219" si="152">G193+I193+K193+M193+O193+Q193+S193+U193+W193+Y193+AA193+AC193+AE193+AG193+AI193+AK193+AM193+AS193+BM193+AO193+AQ193+AU193+AW193+AY193+BA193+BC193+BE193+BG193+BI193+BK193</f>
        <v>115</v>
      </c>
      <c r="BR193" s="2005">
        <f t="shared" ref="BR193:BR219" si="153">BQ193*C193</f>
        <v>11155</v>
      </c>
      <c r="BS193" s="784">
        <f t="shared" ref="BS193:BS219" si="154">BP193*C193</f>
        <v>11252</v>
      </c>
      <c r="BT193" s="1545"/>
      <c r="BU193" s="1545"/>
    </row>
    <row r="194" ht="18.0" customHeight="1">
      <c r="A194" s="1565" t="s">
        <v>145</v>
      </c>
      <c r="B194" s="1567">
        <v>3645.0</v>
      </c>
      <c r="C194" s="1567">
        <v>219.0</v>
      </c>
      <c r="D194" s="1612" t="s">
        <v>3095</v>
      </c>
      <c r="E194" s="1613" t="str">
        <f>'Матрица 4 недели'!D79</f>
        <v>Драники с рыбой и творожным сыром</v>
      </c>
      <c r="F194" s="1120">
        <v>2.0</v>
      </c>
      <c r="G194" s="1138">
        <v>2.0</v>
      </c>
      <c r="H194" s="1120">
        <v>3.0</v>
      </c>
      <c r="I194" s="1138">
        <v>2.0</v>
      </c>
      <c r="J194" s="1120">
        <v>5.0</v>
      </c>
      <c r="K194" s="1138">
        <v>5.0</v>
      </c>
      <c r="L194" s="1120">
        <v>4.0</v>
      </c>
      <c r="M194" s="1138">
        <v>4.0</v>
      </c>
      <c r="N194" s="1126">
        <v>8.0</v>
      </c>
      <c r="O194" s="1138">
        <v>8.0</v>
      </c>
      <c r="P194" s="1120">
        <v>3.0</v>
      </c>
      <c r="Q194" s="1138">
        <v>3.0</v>
      </c>
      <c r="R194" s="1126">
        <v>2.0</v>
      </c>
      <c r="S194" s="1138">
        <v>2.0</v>
      </c>
      <c r="T194" s="1120">
        <v>2.0</v>
      </c>
      <c r="U194" s="1138">
        <v>2.0</v>
      </c>
      <c r="V194" s="1120">
        <v>4.0</v>
      </c>
      <c r="W194" s="1138">
        <v>4.0</v>
      </c>
      <c r="X194" s="1120">
        <v>0.0</v>
      </c>
      <c r="Y194" s="1138">
        <v>0.0</v>
      </c>
      <c r="Z194" s="1126"/>
      <c r="AA194" s="1138"/>
      <c r="AB194" s="1126">
        <v>3.0</v>
      </c>
      <c r="AC194" s="1138">
        <v>3.0</v>
      </c>
      <c r="AD194" s="1120">
        <v>3.0</v>
      </c>
      <c r="AE194" s="1138">
        <v>3.0</v>
      </c>
      <c r="AF194" s="1120">
        <v>3.0</v>
      </c>
      <c r="AG194" s="1138">
        <v>3.0</v>
      </c>
      <c r="AH194" s="1120">
        <v>4.0</v>
      </c>
      <c r="AI194" s="1138">
        <v>4.0</v>
      </c>
      <c r="AJ194" s="1120">
        <v>3.0</v>
      </c>
      <c r="AK194" s="1138">
        <v>3.0</v>
      </c>
      <c r="AL194" s="1126">
        <v>2.0</v>
      </c>
      <c r="AM194" s="1138">
        <v>2.0</v>
      </c>
      <c r="AN194" s="1120">
        <v>3.0</v>
      </c>
      <c r="AO194" s="1138">
        <v>3.0</v>
      </c>
      <c r="AP194" s="1126">
        <v>5.0</v>
      </c>
      <c r="AQ194" s="1138">
        <v>5.0</v>
      </c>
      <c r="AR194" s="1126">
        <v>8.0</v>
      </c>
      <c r="AS194" s="1138">
        <v>8.0</v>
      </c>
      <c r="AT194" s="1126">
        <v>1.0</v>
      </c>
      <c r="AU194" s="1138">
        <v>1.0</v>
      </c>
      <c r="AV194" s="1126">
        <v>3.0</v>
      </c>
      <c r="AW194" s="1138">
        <v>3.0</v>
      </c>
      <c r="AX194" s="1126">
        <v>6.0</v>
      </c>
      <c r="AY194" s="1138">
        <v>6.0</v>
      </c>
      <c r="AZ194" s="1126">
        <v>2.0</v>
      </c>
      <c r="BA194" s="1138">
        <v>2.0</v>
      </c>
      <c r="BB194" s="1126">
        <v>7.0</v>
      </c>
      <c r="BC194" s="1138">
        <v>7.0</v>
      </c>
      <c r="BD194" s="1126">
        <v>2.0</v>
      </c>
      <c r="BE194" s="1138">
        <v>2.0</v>
      </c>
      <c r="BF194" s="1126">
        <v>1.0</v>
      </c>
      <c r="BG194" s="1138">
        <v>1.0</v>
      </c>
      <c r="BH194" s="1126">
        <v>2.0</v>
      </c>
      <c r="BI194" s="1138">
        <v>2.0</v>
      </c>
      <c r="BJ194" s="1126">
        <v>3.0</v>
      </c>
      <c r="BK194" s="2001">
        <v>2.0</v>
      </c>
      <c r="BL194" s="1139"/>
      <c r="BM194" s="1138"/>
      <c r="BN194" s="1087"/>
      <c r="BO194" s="1138"/>
      <c r="BP194" s="783">
        <f t="shared" si="151"/>
        <v>95</v>
      </c>
      <c r="BQ194" s="1571">
        <f t="shared" si="152"/>
        <v>92</v>
      </c>
      <c r="BR194" s="2005">
        <f t="shared" si="153"/>
        <v>20148</v>
      </c>
      <c r="BS194" s="784">
        <f t="shared" si="154"/>
        <v>20805</v>
      </c>
      <c r="BT194" s="1545"/>
      <c r="BU194" s="1545"/>
    </row>
    <row r="195" ht="18.0" customHeight="1">
      <c r="A195" s="1565" t="s">
        <v>145</v>
      </c>
      <c r="B195" s="1611">
        <v>758.0</v>
      </c>
      <c r="C195" s="1567">
        <v>110.0</v>
      </c>
      <c r="D195" s="1612" t="s">
        <v>3095</v>
      </c>
      <c r="E195" s="1613" t="str">
        <f>'Матрица 4 недели'!D80</f>
        <v>Блинчики с творогом и вишней</v>
      </c>
      <c r="F195" s="1120">
        <v>8.0</v>
      </c>
      <c r="G195" s="1121">
        <v>8.0</v>
      </c>
      <c r="H195" s="1120">
        <v>2.0</v>
      </c>
      <c r="I195" s="1121">
        <v>2.0</v>
      </c>
      <c r="J195" s="1120">
        <v>6.0</v>
      </c>
      <c r="K195" s="1121">
        <v>6.0</v>
      </c>
      <c r="L195" s="1120">
        <v>2.0</v>
      </c>
      <c r="M195" s="1121">
        <v>2.0</v>
      </c>
      <c r="N195" s="1120">
        <v>6.0</v>
      </c>
      <c r="O195" s="1121">
        <v>6.0</v>
      </c>
      <c r="P195" s="1120">
        <v>3.0</v>
      </c>
      <c r="Q195" s="1121">
        <v>3.0</v>
      </c>
      <c r="R195" s="1120">
        <v>2.0</v>
      </c>
      <c r="S195" s="1121">
        <v>2.0</v>
      </c>
      <c r="T195" s="1120">
        <v>2.0</v>
      </c>
      <c r="U195" s="1121">
        <v>2.0</v>
      </c>
      <c r="V195" s="1120">
        <v>2.0</v>
      </c>
      <c r="W195" s="1121">
        <v>2.0</v>
      </c>
      <c r="X195" s="1120">
        <v>7.0</v>
      </c>
      <c r="Y195" s="1121">
        <v>7.0</v>
      </c>
      <c r="Z195" s="1126"/>
      <c r="AA195" s="1121"/>
      <c r="AB195" s="1120">
        <v>4.0</v>
      </c>
      <c r="AC195" s="1121">
        <v>4.0</v>
      </c>
      <c r="AD195" s="1120">
        <v>4.0</v>
      </c>
      <c r="AE195" s="1121">
        <v>4.0</v>
      </c>
      <c r="AF195" s="1120">
        <v>5.0</v>
      </c>
      <c r="AG195" s="1121">
        <v>5.0</v>
      </c>
      <c r="AH195" s="1120">
        <v>4.0</v>
      </c>
      <c r="AI195" s="1121">
        <v>4.0</v>
      </c>
      <c r="AJ195" s="1120">
        <v>8.0</v>
      </c>
      <c r="AK195" s="1121">
        <v>8.0</v>
      </c>
      <c r="AL195" s="1126">
        <v>2.0</v>
      </c>
      <c r="AM195" s="1121">
        <v>2.0</v>
      </c>
      <c r="AN195" s="1120">
        <v>2.0</v>
      </c>
      <c r="AO195" s="1138">
        <v>2.0</v>
      </c>
      <c r="AP195" s="1126">
        <v>3.0</v>
      </c>
      <c r="AQ195" s="1121">
        <v>3.0</v>
      </c>
      <c r="AR195" s="1137">
        <v>9.0</v>
      </c>
      <c r="AS195" s="1138">
        <v>9.0</v>
      </c>
      <c r="AT195" s="1126">
        <v>2.0</v>
      </c>
      <c r="AU195" s="1138">
        <v>2.0</v>
      </c>
      <c r="AV195" s="1126">
        <v>3.0</v>
      </c>
      <c r="AW195" s="1138">
        <v>3.0</v>
      </c>
      <c r="AX195" s="1126">
        <v>5.0</v>
      </c>
      <c r="AY195" s="1138">
        <v>5.0</v>
      </c>
      <c r="AZ195" s="1126">
        <v>2.0</v>
      </c>
      <c r="BA195" s="2001">
        <v>2.0</v>
      </c>
      <c r="BB195" s="1126">
        <v>7.0</v>
      </c>
      <c r="BC195" s="2001">
        <v>7.0</v>
      </c>
      <c r="BD195" s="1126">
        <v>2.0</v>
      </c>
      <c r="BE195" s="2001">
        <v>2.0</v>
      </c>
      <c r="BF195" s="1126">
        <v>4.0</v>
      </c>
      <c r="BG195" s="2001">
        <v>4.0</v>
      </c>
      <c r="BH195" s="1126">
        <v>2.0</v>
      </c>
      <c r="BI195" s="2001">
        <v>2.0</v>
      </c>
      <c r="BJ195" s="1126">
        <v>5.0</v>
      </c>
      <c r="BK195" s="2001">
        <v>5.0</v>
      </c>
      <c r="BL195" s="1139"/>
      <c r="BM195" s="1784"/>
      <c r="BN195" s="1785"/>
      <c r="BO195" s="1784"/>
      <c r="BP195" s="783">
        <f t="shared" si="151"/>
        <v>114</v>
      </c>
      <c r="BQ195" s="1571">
        <f t="shared" si="152"/>
        <v>113</v>
      </c>
      <c r="BR195" s="2005">
        <f t="shared" si="153"/>
        <v>12430</v>
      </c>
      <c r="BS195" s="784">
        <f t="shared" si="154"/>
        <v>12540</v>
      </c>
      <c r="BT195" s="1545"/>
      <c r="BU195" s="1545"/>
    </row>
    <row r="196" ht="18.0" customHeight="1">
      <c r="A196" s="1565" t="s">
        <v>145</v>
      </c>
      <c r="B196" s="1611">
        <v>3398.0</v>
      </c>
      <c r="C196" s="1567">
        <v>98.0</v>
      </c>
      <c r="D196" s="1612" t="s">
        <v>70</v>
      </c>
      <c r="E196" s="1613" t="str">
        <f>'Матрица 4 недели'!G78</f>
        <v>Салат ''Витаминный'' 120 г</v>
      </c>
      <c r="F196" s="1126">
        <v>2.0</v>
      </c>
      <c r="G196" s="1121">
        <v>2.0</v>
      </c>
      <c r="H196" s="1126">
        <v>2.0</v>
      </c>
      <c r="I196" s="1121">
        <v>2.0</v>
      </c>
      <c r="J196" s="1126">
        <v>2.0</v>
      </c>
      <c r="K196" s="1121">
        <v>2.0</v>
      </c>
      <c r="L196" s="1126">
        <v>2.0</v>
      </c>
      <c r="M196" s="1121">
        <v>2.0</v>
      </c>
      <c r="N196" s="1126">
        <v>8.0</v>
      </c>
      <c r="O196" s="1121">
        <v>8.0</v>
      </c>
      <c r="P196" s="1126">
        <v>5.0</v>
      </c>
      <c r="Q196" s="1121">
        <v>5.0</v>
      </c>
      <c r="R196" s="1126">
        <v>5.0</v>
      </c>
      <c r="S196" s="1121">
        <v>5.0</v>
      </c>
      <c r="T196" s="1126">
        <v>2.0</v>
      </c>
      <c r="U196" s="1138">
        <v>2.0</v>
      </c>
      <c r="V196" s="1137">
        <v>1.0</v>
      </c>
      <c r="W196" s="1138">
        <v>1.0</v>
      </c>
      <c r="X196" s="1137">
        <v>3.0</v>
      </c>
      <c r="Y196" s="1138">
        <v>3.0</v>
      </c>
      <c r="Z196" s="1137"/>
      <c r="AA196" s="1138"/>
      <c r="AB196" s="1137">
        <v>0.0</v>
      </c>
      <c r="AC196" s="1138">
        <v>0.0</v>
      </c>
      <c r="AD196" s="1137">
        <v>0.0</v>
      </c>
      <c r="AE196" s="1138">
        <v>0.0</v>
      </c>
      <c r="AF196" s="1137">
        <v>2.0</v>
      </c>
      <c r="AG196" s="1138">
        <v>2.0</v>
      </c>
      <c r="AH196" s="1120">
        <v>2.0</v>
      </c>
      <c r="AI196" s="1138">
        <v>2.0</v>
      </c>
      <c r="AJ196" s="1137">
        <v>4.0</v>
      </c>
      <c r="AK196" s="1138">
        <v>4.0</v>
      </c>
      <c r="AL196" s="1126">
        <v>2.0</v>
      </c>
      <c r="AM196" s="1138">
        <v>2.0</v>
      </c>
      <c r="AN196" s="1120">
        <v>2.0</v>
      </c>
      <c r="AO196" s="1138">
        <v>2.0</v>
      </c>
      <c r="AP196" s="1126">
        <v>2.0</v>
      </c>
      <c r="AQ196" s="1138">
        <v>2.0</v>
      </c>
      <c r="AR196" s="1126">
        <v>3.0</v>
      </c>
      <c r="AS196" s="1138">
        <v>3.0</v>
      </c>
      <c r="AT196" s="1126">
        <v>2.0</v>
      </c>
      <c r="AU196" s="1138">
        <v>2.0</v>
      </c>
      <c r="AV196" s="1126">
        <v>2.0</v>
      </c>
      <c r="AW196" s="1138">
        <v>2.0</v>
      </c>
      <c r="AX196" s="1126">
        <v>1.0</v>
      </c>
      <c r="AY196" s="1138">
        <v>1.0</v>
      </c>
      <c r="AZ196" s="1126">
        <v>4.0</v>
      </c>
      <c r="BA196" s="1138">
        <v>4.0</v>
      </c>
      <c r="BB196" s="1126">
        <v>9.0</v>
      </c>
      <c r="BC196" s="1138">
        <v>9.0</v>
      </c>
      <c r="BD196" s="1126">
        <v>0.0</v>
      </c>
      <c r="BE196" s="1138">
        <v>0.0</v>
      </c>
      <c r="BF196" s="1126">
        <v>0.0</v>
      </c>
      <c r="BG196" s="1138">
        <v>0.0</v>
      </c>
      <c r="BH196" s="1126">
        <v>2.0</v>
      </c>
      <c r="BI196" s="1138">
        <v>2.0</v>
      </c>
      <c r="BJ196" s="1126">
        <v>3.0</v>
      </c>
      <c r="BK196" s="2001">
        <v>3.0</v>
      </c>
      <c r="BL196" s="1134">
        <v>44.0</v>
      </c>
      <c r="BM196" s="1653">
        <v>44.0</v>
      </c>
      <c r="BN196" s="1785">
        <v>5.0</v>
      </c>
      <c r="BO196" s="1784"/>
      <c r="BP196" s="783">
        <f t="shared" si="151"/>
        <v>117</v>
      </c>
      <c r="BQ196" s="1571">
        <f t="shared" si="152"/>
        <v>116</v>
      </c>
      <c r="BR196" s="2005">
        <f t="shared" si="153"/>
        <v>11368</v>
      </c>
      <c r="BS196" s="784">
        <f t="shared" si="154"/>
        <v>11466</v>
      </c>
      <c r="BT196" s="1545"/>
      <c r="BU196" s="1545"/>
    </row>
    <row r="197" ht="18.0" customHeight="1">
      <c r="A197" s="1565" t="s">
        <v>145</v>
      </c>
      <c r="B197" s="1611">
        <v>1160.0</v>
      </c>
      <c r="C197" s="1567">
        <v>98.0</v>
      </c>
      <c r="D197" s="1612" t="s">
        <v>70</v>
      </c>
      <c r="E197" s="1613" t="str">
        <f>'Матрица 4 недели'!G79</f>
        <v>Салат ''Пикник'' (печень)</v>
      </c>
      <c r="F197" s="1126">
        <v>5.0</v>
      </c>
      <c r="G197" s="1138">
        <v>5.0</v>
      </c>
      <c r="H197" s="1126">
        <v>4.0</v>
      </c>
      <c r="I197" s="1138">
        <v>4.0</v>
      </c>
      <c r="J197" s="1126">
        <v>2.0</v>
      </c>
      <c r="K197" s="1138">
        <v>2.0</v>
      </c>
      <c r="L197" s="1126">
        <v>2.0</v>
      </c>
      <c r="M197" s="1138">
        <v>2.0</v>
      </c>
      <c r="N197" s="1126">
        <v>9.0</v>
      </c>
      <c r="O197" s="1138">
        <v>9.0</v>
      </c>
      <c r="P197" s="1126">
        <v>10.0</v>
      </c>
      <c r="Q197" s="1121">
        <v>10.0</v>
      </c>
      <c r="R197" s="1126">
        <v>3.0</v>
      </c>
      <c r="S197" s="1121">
        <v>3.0</v>
      </c>
      <c r="T197" s="1137">
        <v>2.0</v>
      </c>
      <c r="U197" s="1121">
        <v>2.0</v>
      </c>
      <c r="V197" s="1137">
        <v>2.0</v>
      </c>
      <c r="W197" s="1121">
        <v>2.0</v>
      </c>
      <c r="X197" s="1137">
        <v>3.0</v>
      </c>
      <c r="Y197" s="1121">
        <v>3.0</v>
      </c>
      <c r="Z197" s="1120"/>
      <c r="AA197" s="1121"/>
      <c r="AB197" s="1120">
        <v>2.0</v>
      </c>
      <c r="AC197" s="1121">
        <v>2.0</v>
      </c>
      <c r="AD197" s="1120">
        <v>4.0</v>
      </c>
      <c r="AE197" s="1121">
        <v>4.0</v>
      </c>
      <c r="AF197" s="1137">
        <v>2.0</v>
      </c>
      <c r="AG197" s="1121">
        <v>2.0</v>
      </c>
      <c r="AH197" s="1120">
        <v>2.0</v>
      </c>
      <c r="AI197" s="1121">
        <v>2.0</v>
      </c>
      <c r="AJ197" s="1120">
        <v>4.0</v>
      </c>
      <c r="AK197" s="1121">
        <v>4.0</v>
      </c>
      <c r="AL197" s="1126">
        <v>2.0</v>
      </c>
      <c r="AM197" s="1121">
        <v>2.0</v>
      </c>
      <c r="AN197" s="1120">
        <v>2.0</v>
      </c>
      <c r="AO197" s="1138">
        <v>2.0</v>
      </c>
      <c r="AP197" s="1126">
        <v>3.0</v>
      </c>
      <c r="AQ197" s="1138">
        <v>3.0</v>
      </c>
      <c r="AR197" s="1126">
        <v>7.0</v>
      </c>
      <c r="AS197" s="1138">
        <v>7.0</v>
      </c>
      <c r="AT197" s="1126">
        <v>3.0</v>
      </c>
      <c r="AU197" s="1138">
        <v>3.0</v>
      </c>
      <c r="AV197" s="1126">
        <v>2.0</v>
      </c>
      <c r="AW197" s="1138">
        <v>2.0</v>
      </c>
      <c r="AX197" s="1126">
        <v>4.0</v>
      </c>
      <c r="AY197" s="1138">
        <v>4.0</v>
      </c>
      <c r="AZ197" s="1126">
        <v>3.0</v>
      </c>
      <c r="BA197" s="1138">
        <v>3.0</v>
      </c>
      <c r="BB197" s="1126">
        <v>9.0</v>
      </c>
      <c r="BC197" s="1138">
        <v>9.0</v>
      </c>
      <c r="BD197" s="1126">
        <v>0.0</v>
      </c>
      <c r="BE197" s="1138">
        <v>0.0</v>
      </c>
      <c r="BF197" s="1126">
        <v>9.0</v>
      </c>
      <c r="BG197" s="1138">
        <v>9.0</v>
      </c>
      <c r="BH197" s="1126">
        <v>7.0</v>
      </c>
      <c r="BI197" s="1138">
        <v>7.0</v>
      </c>
      <c r="BJ197" s="1126">
        <v>6.0</v>
      </c>
      <c r="BK197" s="2007">
        <v>6.0</v>
      </c>
      <c r="BL197" s="1134">
        <v>43.0</v>
      </c>
      <c r="BM197" s="1653">
        <v>43.0</v>
      </c>
      <c r="BN197" s="1785">
        <v>10.0</v>
      </c>
      <c r="BO197" s="1784"/>
      <c r="BP197" s="783">
        <f t="shared" si="151"/>
        <v>157</v>
      </c>
      <c r="BQ197" s="1571">
        <f t="shared" si="152"/>
        <v>156</v>
      </c>
      <c r="BR197" s="2005">
        <f t="shared" si="153"/>
        <v>15288</v>
      </c>
      <c r="BS197" s="784">
        <f t="shared" si="154"/>
        <v>15386</v>
      </c>
      <c r="BT197" s="1545"/>
      <c r="BU197" s="1545"/>
    </row>
    <row r="198" ht="18.0" customHeight="1">
      <c r="A198" s="1565" t="s">
        <v>145</v>
      </c>
      <c r="B198" s="1611">
        <v>31.0</v>
      </c>
      <c r="C198" s="1567">
        <v>98.0</v>
      </c>
      <c r="D198" s="1612" t="s">
        <v>70</v>
      </c>
      <c r="E198" s="1613" t="str">
        <f>'Матрица 4 недели'!G80</f>
        <v>Салат ''Прага'' (ветчина кур.)</v>
      </c>
      <c r="F198" s="1126">
        <v>8.0</v>
      </c>
      <c r="G198" s="1121">
        <v>8.0</v>
      </c>
      <c r="H198" s="1126">
        <v>0.0</v>
      </c>
      <c r="I198" s="1121">
        <v>0.0</v>
      </c>
      <c r="J198" s="1126">
        <v>4.0</v>
      </c>
      <c r="K198" s="1121">
        <v>4.0</v>
      </c>
      <c r="L198" s="1126">
        <v>2.0</v>
      </c>
      <c r="M198" s="1121">
        <v>2.0</v>
      </c>
      <c r="N198" s="1126">
        <v>9.0</v>
      </c>
      <c r="O198" s="1121">
        <v>9.0</v>
      </c>
      <c r="P198" s="1126">
        <v>9.0</v>
      </c>
      <c r="Q198" s="1121">
        <v>9.0</v>
      </c>
      <c r="R198" s="1126">
        <v>4.0</v>
      </c>
      <c r="S198" s="1121">
        <v>4.0</v>
      </c>
      <c r="T198" s="1120">
        <v>4.0</v>
      </c>
      <c r="U198" s="1138">
        <v>4.0</v>
      </c>
      <c r="V198" s="1120">
        <v>2.0</v>
      </c>
      <c r="W198" s="1138">
        <v>2.0</v>
      </c>
      <c r="X198" s="1137">
        <v>3.0</v>
      </c>
      <c r="Y198" s="1138">
        <v>3.0</v>
      </c>
      <c r="Z198" s="1120"/>
      <c r="AA198" s="1138"/>
      <c r="AB198" s="1120">
        <v>2.0</v>
      </c>
      <c r="AC198" s="1138">
        <v>2.0</v>
      </c>
      <c r="AD198" s="1120">
        <v>4.0</v>
      </c>
      <c r="AE198" s="1138">
        <v>4.0</v>
      </c>
      <c r="AF198" s="1120">
        <v>5.0</v>
      </c>
      <c r="AG198" s="1138">
        <v>5.0</v>
      </c>
      <c r="AH198" s="1120">
        <v>3.0</v>
      </c>
      <c r="AI198" s="1138">
        <v>3.0</v>
      </c>
      <c r="AJ198" s="1137">
        <v>4.0</v>
      </c>
      <c r="AK198" s="1138">
        <v>4.0</v>
      </c>
      <c r="AL198" s="1126">
        <v>3.0</v>
      </c>
      <c r="AM198" s="1138">
        <v>3.0</v>
      </c>
      <c r="AN198" s="1120">
        <v>4.0</v>
      </c>
      <c r="AO198" s="1138">
        <v>4.0</v>
      </c>
      <c r="AP198" s="1126">
        <v>4.0</v>
      </c>
      <c r="AQ198" s="1138">
        <v>4.0</v>
      </c>
      <c r="AR198" s="1126">
        <v>15.0</v>
      </c>
      <c r="AS198" s="1138">
        <v>15.0</v>
      </c>
      <c r="AT198" s="1126">
        <v>7.0</v>
      </c>
      <c r="AU198" s="1138">
        <v>7.0</v>
      </c>
      <c r="AV198" s="1126">
        <v>2.0</v>
      </c>
      <c r="AW198" s="1138">
        <v>2.0</v>
      </c>
      <c r="AX198" s="1126">
        <v>6.0</v>
      </c>
      <c r="AY198" s="1138">
        <v>6.0</v>
      </c>
      <c r="AZ198" s="1126">
        <v>5.0</v>
      </c>
      <c r="BA198" s="1138">
        <v>5.0</v>
      </c>
      <c r="BB198" s="1126">
        <v>9.0</v>
      </c>
      <c r="BC198" s="1138">
        <v>9.0</v>
      </c>
      <c r="BD198" s="1126">
        <v>4.0</v>
      </c>
      <c r="BE198" s="1138">
        <v>4.0</v>
      </c>
      <c r="BF198" s="1126">
        <v>4.0</v>
      </c>
      <c r="BG198" s="1138">
        <v>4.0</v>
      </c>
      <c r="BH198" s="1126">
        <v>2.0</v>
      </c>
      <c r="BI198" s="1138">
        <v>2.0</v>
      </c>
      <c r="BJ198" s="1126">
        <v>7.0</v>
      </c>
      <c r="BK198" s="2007">
        <v>7.0</v>
      </c>
      <c r="BL198" s="1134">
        <v>43.0</v>
      </c>
      <c r="BM198" s="1653">
        <v>43.0</v>
      </c>
      <c r="BN198" s="1785"/>
      <c r="BO198" s="1784"/>
      <c r="BP198" s="783">
        <f t="shared" si="151"/>
        <v>179</v>
      </c>
      <c r="BQ198" s="1571">
        <f t="shared" si="152"/>
        <v>178</v>
      </c>
      <c r="BR198" s="2005">
        <f t="shared" si="153"/>
        <v>17444</v>
      </c>
      <c r="BS198" s="784">
        <f t="shared" si="154"/>
        <v>17542</v>
      </c>
      <c r="BT198" s="1545"/>
      <c r="BU198" s="1545"/>
    </row>
    <row r="199" ht="18.0" customHeight="1">
      <c r="A199" s="1565" t="s">
        <v>145</v>
      </c>
      <c r="B199" s="1611">
        <v>4260.0</v>
      </c>
      <c r="C199" s="1567">
        <v>238.0</v>
      </c>
      <c r="D199" s="2008" t="s">
        <v>537</v>
      </c>
      <c r="E199" s="1613" t="str">
        <f>'Матрица 4 недели'!G81</f>
        <v>Зеленый боул с курицей и овощами</v>
      </c>
      <c r="F199" s="1126">
        <v>6.0</v>
      </c>
      <c r="G199" s="1121">
        <v>6.0</v>
      </c>
      <c r="H199" s="1120">
        <v>2.0</v>
      </c>
      <c r="I199" s="1121">
        <v>2.0</v>
      </c>
      <c r="J199" s="1120">
        <v>4.0</v>
      </c>
      <c r="K199" s="1121">
        <v>4.0</v>
      </c>
      <c r="L199" s="1120"/>
      <c r="M199" s="1121"/>
      <c r="N199" s="1120">
        <v>3.0</v>
      </c>
      <c r="O199" s="1121">
        <v>3.0</v>
      </c>
      <c r="P199" s="1120">
        <v>3.0</v>
      </c>
      <c r="Q199" s="1121">
        <v>3.0</v>
      </c>
      <c r="R199" s="1120">
        <v>0.0</v>
      </c>
      <c r="S199" s="1121">
        <v>0.0</v>
      </c>
      <c r="T199" s="1120">
        <v>2.0</v>
      </c>
      <c r="U199" s="1121">
        <v>2.0</v>
      </c>
      <c r="V199" s="1120">
        <v>2.0</v>
      </c>
      <c r="W199" s="1121">
        <v>2.0</v>
      </c>
      <c r="X199" s="1120">
        <v>2.0</v>
      </c>
      <c r="Y199" s="1121">
        <v>2.0</v>
      </c>
      <c r="Z199" s="1120"/>
      <c r="AA199" s="1121"/>
      <c r="AB199" s="1120">
        <v>2.0</v>
      </c>
      <c r="AC199" s="1121">
        <v>2.0</v>
      </c>
      <c r="AD199" s="1120">
        <v>0.0</v>
      </c>
      <c r="AE199" s="1121">
        <v>0.0</v>
      </c>
      <c r="AF199" s="1120">
        <v>2.0</v>
      </c>
      <c r="AG199" s="1121">
        <v>2.0</v>
      </c>
      <c r="AH199" s="1120">
        <v>4.0</v>
      </c>
      <c r="AI199" s="1121">
        <v>4.0</v>
      </c>
      <c r="AJ199" s="1120">
        <v>2.0</v>
      </c>
      <c r="AK199" s="1121">
        <v>2.0</v>
      </c>
      <c r="AL199" s="1126">
        <v>3.0</v>
      </c>
      <c r="AM199" s="1121">
        <v>3.0</v>
      </c>
      <c r="AN199" s="1120"/>
      <c r="AO199" s="1138"/>
      <c r="AP199" s="1126">
        <v>3.0</v>
      </c>
      <c r="AQ199" s="1121">
        <v>3.0</v>
      </c>
      <c r="AR199" s="1126">
        <v>4.0</v>
      </c>
      <c r="AS199" s="1121">
        <v>4.0</v>
      </c>
      <c r="AT199" s="1126">
        <v>3.0</v>
      </c>
      <c r="AU199" s="1121">
        <v>3.0</v>
      </c>
      <c r="AV199" s="1126">
        <v>2.0</v>
      </c>
      <c r="AW199" s="1121">
        <v>2.0</v>
      </c>
      <c r="AX199" s="1126">
        <v>10.0</v>
      </c>
      <c r="AY199" s="1121">
        <v>10.0</v>
      </c>
      <c r="AZ199" s="1126">
        <v>3.0</v>
      </c>
      <c r="BA199" s="1121">
        <v>3.0</v>
      </c>
      <c r="BB199" s="1126">
        <v>5.0</v>
      </c>
      <c r="BC199" s="1121">
        <v>5.0</v>
      </c>
      <c r="BD199" s="1126">
        <v>2.0</v>
      </c>
      <c r="BE199" s="1121">
        <v>2.0</v>
      </c>
      <c r="BF199" s="1126">
        <v>2.0</v>
      </c>
      <c r="BG199" s="1121">
        <v>2.0</v>
      </c>
      <c r="BH199" s="1126">
        <v>5.0</v>
      </c>
      <c r="BI199" s="1121">
        <v>5.0</v>
      </c>
      <c r="BJ199" s="1126">
        <v>5.0</v>
      </c>
      <c r="BK199" s="2001">
        <v>5.0</v>
      </c>
      <c r="BL199" s="1134"/>
      <c r="BM199" s="1653"/>
      <c r="BN199" s="1785"/>
      <c r="BO199" s="1784"/>
      <c r="BP199" s="783">
        <f t="shared" si="151"/>
        <v>82</v>
      </c>
      <c r="BQ199" s="1571">
        <f t="shared" si="152"/>
        <v>81</v>
      </c>
      <c r="BR199" s="2005">
        <f t="shared" si="153"/>
        <v>19278</v>
      </c>
      <c r="BS199" s="784">
        <f t="shared" si="154"/>
        <v>19516</v>
      </c>
      <c r="BT199" s="1545"/>
      <c r="BU199" s="1545"/>
    </row>
    <row r="200" ht="18.0" customHeight="1">
      <c r="A200" s="1565"/>
      <c r="B200" s="1611">
        <v>380.0</v>
      </c>
      <c r="C200" s="2009">
        <v>114.0</v>
      </c>
      <c r="D200" s="2010" t="s">
        <v>74</v>
      </c>
      <c r="E200" s="1613" t="str">
        <f>'Матрица 4 недели'!J78</f>
        <v>Солянка</v>
      </c>
      <c r="F200" s="1120"/>
      <c r="G200" s="1624"/>
      <c r="H200" s="1120"/>
      <c r="I200" s="1121"/>
      <c r="J200" s="1120"/>
      <c r="K200" s="1121"/>
      <c r="L200" s="1120"/>
      <c r="M200" s="1121"/>
      <c r="N200" s="1120"/>
      <c r="O200" s="1121"/>
      <c r="P200" s="1120"/>
      <c r="Q200" s="1121"/>
      <c r="R200" s="1120"/>
      <c r="S200" s="1121"/>
      <c r="T200" s="1120"/>
      <c r="U200" s="1121"/>
      <c r="V200" s="1120"/>
      <c r="W200" s="1121"/>
      <c r="X200" s="1120"/>
      <c r="Y200" s="1121"/>
      <c r="Z200" s="1126"/>
      <c r="AA200" s="1121"/>
      <c r="AB200" s="1120"/>
      <c r="AC200" s="1121"/>
      <c r="AD200" s="1120"/>
      <c r="AE200" s="1121"/>
      <c r="AF200" s="1120"/>
      <c r="AG200" s="1121"/>
      <c r="AH200" s="1120"/>
      <c r="AI200" s="1121"/>
      <c r="AJ200" s="1120"/>
      <c r="AK200" s="1121"/>
      <c r="AL200" s="1126"/>
      <c r="AM200" s="1121"/>
      <c r="AN200" s="1120"/>
      <c r="AO200" s="1138"/>
      <c r="AP200" s="1120"/>
      <c r="AQ200" s="1138"/>
      <c r="AR200" s="1120"/>
      <c r="AS200" s="1121"/>
      <c r="AT200" s="1126"/>
      <c r="AU200" s="1121"/>
      <c r="AV200" s="1126"/>
      <c r="AW200" s="1121"/>
      <c r="AX200" s="1126"/>
      <c r="AY200" s="1121"/>
      <c r="AZ200" s="1126"/>
      <c r="BA200" s="2001"/>
      <c r="BB200" s="1126"/>
      <c r="BC200" s="2001"/>
      <c r="BD200" s="1126"/>
      <c r="BE200" s="2001"/>
      <c r="BF200" s="1126"/>
      <c r="BG200" s="2001"/>
      <c r="BH200" s="1126"/>
      <c r="BI200" s="2001"/>
      <c r="BJ200" s="1126"/>
      <c r="BK200" s="2001"/>
      <c r="BL200" s="1134">
        <v>110.0</v>
      </c>
      <c r="BM200" s="1653">
        <v>110.0</v>
      </c>
      <c r="BN200" s="1785">
        <v>20.0</v>
      </c>
      <c r="BO200" s="1784"/>
      <c r="BP200" s="783">
        <f t="shared" si="151"/>
        <v>111</v>
      </c>
      <c r="BQ200" s="1571">
        <f t="shared" si="152"/>
        <v>110</v>
      </c>
      <c r="BR200" s="2005">
        <f t="shared" si="153"/>
        <v>12540</v>
      </c>
      <c r="BS200" s="784">
        <f t="shared" si="154"/>
        <v>12654</v>
      </c>
      <c r="BT200" s="1545"/>
      <c r="BU200" s="1545"/>
    </row>
    <row r="201" ht="18.0" customHeight="1">
      <c r="A201" s="1565"/>
      <c r="B201" s="1611"/>
      <c r="C201" s="2011"/>
      <c r="D201" s="1836"/>
      <c r="E201" s="1886" t="str">
        <f>'Матрица 4 недели'!J79</f>
        <v/>
      </c>
      <c r="F201" s="1137"/>
      <c r="G201" s="1138"/>
      <c r="H201" s="1126"/>
      <c r="I201" s="1138"/>
      <c r="J201" s="1126"/>
      <c r="K201" s="1138"/>
      <c r="L201" s="1126"/>
      <c r="M201" s="1138"/>
      <c r="N201" s="1126"/>
      <c r="O201" s="1138"/>
      <c r="P201" s="1126"/>
      <c r="Q201" s="1121"/>
      <c r="R201" s="1120"/>
      <c r="S201" s="1121"/>
      <c r="T201" s="1137"/>
      <c r="U201" s="1121"/>
      <c r="V201" s="1137"/>
      <c r="W201" s="1121"/>
      <c r="X201" s="1137"/>
      <c r="Y201" s="1121"/>
      <c r="Z201" s="1126"/>
      <c r="AA201" s="1121"/>
      <c r="AB201" s="1120"/>
      <c r="AC201" s="1121"/>
      <c r="AD201" s="1120"/>
      <c r="AE201" s="1121"/>
      <c r="AF201" s="1137"/>
      <c r="AG201" s="1121"/>
      <c r="AH201" s="1120"/>
      <c r="AI201" s="1121"/>
      <c r="AJ201" s="1120"/>
      <c r="AK201" s="1121"/>
      <c r="AL201" s="1126"/>
      <c r="AM201" s="1121"/>
      <c r="AN201" s="1137"/>
      <c r="AO201" s="1138"/>
      <c r="AP201" s="1137"/>
      <c r="AQ201" s="1138"/>
      <c r="AR201" s="1137"/>
      <c r="AS201" s="1138"/>
      <c r="AT201" s="1126"/>
      <c r="AU201" s="1138"/>
      <c r="AV201" s="1126"/>
      <c r="AW201" s="1138"/>
      <c r="AX201" s="1126"/>
      <c r="AY201" s="1138"/>
      <c r="AZ201" s="1126"/>
      <c r="BA201" s="2001"/>
      <c r="BB201" s="1126"/>
      <c r="BC201" s="2001"/>
      <c r="BD201" s="1126"/>
      <c r="BE201" s="2001"/>
      <c r="BF201" s="1126"/>
      <c r="BG201" s="2001"/>
      <c r="BH201" s="1126"/>
      <c r="BI201" s="2001"/>
      <c r="BJ201" s="1126"/>
      <c r="BK201" s="2001"/>
      <c r="BL201" s="1134"/>
      <c r="BM201" s="1653"/>
      <c r="BN201" s="1785"/>
      <c r="BO201" s="1784"/>
      <c r="BP201" s="783">
        <f t="shared" si="151"/>
        <v>1</v>
      </c>
      <c r="BQ201" s="1571">
        <f t="shared" si="152"/>
        <v>0</v>
      </c>
      <c r="BR201" s="2005">
        <f t="shared" si="153"/>
        <v>0</v>
      </c>
      <c r="BS201" s="784">
        <f t="shared" si="154"/>
        <v>0</v>
      </c>
      <c r="BT201" s="1545"/>
      <c r="BU201" s="1545"/>
    </row>
    <row r="202" ht="18.0" customHeight="1">
      <c r="A202" s="1565" t="s">
        <v>145</v>
      </c>
      <c r="B202" s="1611">
        <v>3889.0</v>
      </c>
      <c r="C202" s="1567">
        <v>264.0</v>
      </c>
      <c r="D202" s="2012" t="s">
        <v>77</v>
      </c>
      <c r="E202" s="1613" t="str">
        <f>'Матрица 4 недели'!M78</f>
        <v>Купаты куриные с овощным гарниром</v>
      </c>
      <c r="F202" s="1137">
        <v>6.0</v>
      </c>
      <c r="G202" s="1121">
        <v>6.0</v>
      </c>
      <c r="H202" s="1137">
        <v>3.0</v>
      </c>
      <c r="I202" s="1121">
        <v>3.0</v>
      </c>
      <c r="J202" s="1137">
        <v>5.0</v>
      </c>
      <c r="K202" s="1121">
        <v>5.0</v>
      </c>
      <c r="L202" s="1141">
        <v>5.0</v>
      </c>
      <c r="M202" s="1121">
        <v>5.0</v>
      </c>
      <c r="N202" s="1141">
        <v>8.0</v>
      </c>
      <c r="O202" s="1121">
        <v>8.0</v>
      </c>
      <c r="P202" s="1126">
        <v>9.0</v>
      </c>
      <c r="Q202" s="1121">
        <v>9.0</v>
      </c>
      <c r="R202" s="1120">
        <v>6.0</v>
      </c>
      <c r="S202" s="1121">
        <v>6.0</v>
      </c>
      <c r="T202" s="1126">
        <v>4.0</v>
      </c>
      <c r="U202" s="1291">
        <v>4.0</v>
      </c>
      <c r="V202" s="1141">
        <v>5.0</v>
      </c>
      <c r="W202" s="1121">
        <v>5.0</v>
      </c>
      <c r="X202" s="1141">
        <v>4.0</v>
      </c>
      <c r="Y202" s="1121">
        <v>4.0</v>
      </c>
      <c r="Z202" s="1120"/>
      <c r="AA202" s="1121"/>
      <c r="AB202" s="1137">
        <v>4.0</v>
      </c>
      <c r="AC202" s="1138">
        <v>4.0</v>
      </c>
      <c r="AD202" s="1141">
        <v>4.0</v>
      </c>
      <c r="AE202" s="1138">
        <v>4.0</v>
      </c>
      <c r="AF202" s="1141">
        <v>2.0</v>
      </c>
      <c r="AG202" s="1138">
        <v>2.0</v>
      </c>
      <c r="AH202" s="1120">
        <v>4.0</v>
      </c>
      <c r="AI202" s="1138">
        <v>4.0</v>
      </c>
      <c r="AJ202" s="1137">
        <v>7.0</v>
      </c>
      <c r="AK202" s="1138">
        <v>7.0</v>
      </c>
      <c r="AL202" s="1126">
        <v>3.0</v>
      </c>
      <c r="AM202" s="1138">
        <v>3.0</v>
      </c>
      <c r="AN202" s="1120">
        <v>2.0</v>
      </c>
      <c r="AO202" s="1138">
        <v>2.0</v>
      </c>
      <c r="AP202" s="1126">
        <v>2.0</v>
      </c>
      <c r="AQ202" s="1138">
        <v>2.0</v>
      </c>
      <c r="AR202" s="1126">
        <v>3.0</v>
      </c>
      <c r="AS202" s="1138">
        <v>3.0</v>
      </c>
      <c r="AT202" s="1126">
        <v>4.0</v>
      </c>
      <c r="AU202" s="1138">
        <v>4.0</v>
      </c>
      <c r="AV202" s="1126">
        <v>3.0</v>
      </c>
      <c r="AW202" s="1138">
        <v>3.0</v>
      </c>
      <c r="AX202" s="1126">
        <v>5.0</v>
      </c>
      <c r="AY202" s="1138">
        <v>5.0</v>
      </c>
      <c r="AZ202" s="1126">
        <v>3.0</v>
      </c>
      <c r="BA202" s="1138">
        <v>3.0</v>
      </c>
      <c r="BB202" s="1126">
        <v>9.0</v>
      </c>
      <c r="BC202" s="1138">
        <v>9.0</v>
      </c>
      <c r="BD202" s="1126">
        <v>3.0</v>
      </c>
      <c r="BE202" s="1138">
        <v>3.0</v>
      </c>
      <c r="BF202" s="1126">
        <v>3.0</v>
      </c>
      <c r="BG202" s="1138">
        <v>3.0</v>
      </c>
      <c r="BH202" s="1126">
        <v>5.0</v>
      </c>
      <c r="BI202" s="1138">
        <v>5.0</v>
      </c>
      <c r="BJ202" s="1075">
        <v>5.0</v>
      </c>
      <c r="BK202" s="2007">
        <v>5.0</v>
      </c>
      <c r="BL202" s="1134"/>
      <c r="BM202" s="1653"/>
      <c r="BN202" s="1785">
        <v>10.0</v>
      </c>
      <c r="BO202" s="1784"/>
      <c r="BP202" s="783">
        <f t="shared" si="151"/>
        <v>127</v>
      </c>
      <c r="BQ202" s="1571">
        <f t="shared" si="152"/>
        <v>126</v>
      </c>
      <c r="BR202" s="2005">
        <f t="shared" si="153"/>
        <v>33264</v>
      </c>
      <c r="BS202" s="784">
        <f t="shared" si="154"/>
        <v>33528</v>
      </c>
      <c r="BT202" s="1545"/>
      <c r="BU202" s="1545"/>
    </row>
    <row r="203" ht="18.0" customHeight="1">
      <c r="A203" s="1565" t="s">
        <v>145</v>
      </c>
      <c r="B203" s="1611">
        <v>1899.0</v>
      </c>
      <c r="C203" s="1567">
        <v>278.0</v>
      </c>
      <c r="D203" s="1612" t="s">
        <v>77</v>
      </c>
      <c r="E203" s="1613" t="str">
        <f>'Матрица 4 недели'!M79</f>
        <v>Горбуша в сырной корочке с картофелем</v>
      </c>
      <c r="F203" s="1137">
        <v>4.0</v>
      </c>
      <c r="G203" s="1121">
        <v>2.0</v>
      </c>
      <c r="H203" s="1137">
        <v>3.0</v>
      </c>
      <c r="I203" s="1121">
        <v>2.0</v>
      </c>
      <c r="J203" s="1137">
        <v>4.0</v>
      </c>
      <c r="K203" s="1121">
        <v>3.0</v>
      </c>
      <c r="L203" s="1141">
        <v>5.0</v>
      </c>
      <c r="M203" s="1121">
        <v>4.0</v>
      </c>
      <c r="N203" s="1141">
        <v>8.0</v>
      </c>
      <c r="O203" s="1121">
        <v>5.0</v>
      </c>
      <c r="P203" s="1126">
        <v>9.0</v>
      </c>
      <c r="Q203" s="1121">
        <v>6.0</v>
      </c>
      <c r="R203" s="1120">
        <v>2.0</v>
      </c>
      <c r="S203" s="1121">
        <v>2.0</v>
      </c>
      <c r="T203" s="1126">
        <v>4.0</v>
      </c>
      <c r="U203" s="1291">
        <v>4.0</v>
      </c>
      <c r="V203" s="1141">
        <v>7.0</v>
      </c>
      <c r="W203" s="1121">
        <v>7.0</v>
      </c>
      <c r="X203" s="1141">
        <v>6.0</v>
      </c>
      <c r="Y203" s="1121">
        <v>4.0</v>
      </c>
      <c r="Z203" s="1120"/>
      <c r="AA203" s="1121"/>
      <c r="AB203" s="1137">
        <v>4.0</v>
      </c>
      <c r="AC203" s="1138">
        <v>3.0</v>
      </c>
      <c r="AD203" s="1141">
        <v>0.0</v>
      </c>
      <c r="AE203" s="1138">
        <v>0.0</v>
      </c>
      <c r="AF203" s="1141">
        <v>3.0</v>
      </c>
      <c r="AG203" s="1138">
        <v>2.0</v>
      </c>
      <c r="AH203" s="1120">
        <v>3.0</v>
      </c>
      <c r="AI203" s="1138">
        <v>2.0</v>
      </c>
      <c r="AJ203" s="1137">
        <v>7.0</v>
      </c>
      <c r="AK203" s="1138">
        <v>6.0</v>
      </c>
      <c r="AL203" s="1126">
        <v>4.0</v>
      </c>
      <c r="AM203" s="1138">
        <v>3.0</v>
      </c>
      <c r="AN203" s="1120">
        <v>2.0</v>
      </c>
      <c r="AO203" s="1138">
        <v>2.0</v>
      </c>
      <c r="AP203" s="1126">
        <v>2.0</v>
      </c>
      <c r="AQ203" s="1138">
        <v>1.0</v>
      </c>
      <c r="AR203" s="1126">
        <v>4.0</v>
      </c>
      <c r="AS203" s="1138">
        <v>3.0</v>
      </c>
      <c r="AT203" s="1126">
        <v>4.0</v>
      </c>
      <c r="AU203" s="1138">
        <v>3.0</v>
      </c>
      <c r="AV203" s="1126">
        <v>3.0</v>
      </c>
      <c r="AW203" s="1138">
        <v>2.0</v>
      </c>
      <c r="AX203" s="1126">
        <v>4.0</v>
      </c>
      <c r="AY203" s="1138">
        <v>3.0</v>
      </c>
      <c r="AZ203" s="1126">
        <v>3.0</v>
      </c>
      <c r="BA203" s="1138">
        <v>2.0</v>
      </c>
      <c r="BB203" s="1126">
        <v>9.0</v>
      </c>
      <c r="BC203" s="1138">
        <v>9.0</v>
      </c>
      <c r="BD203" s="1126">
        <v>3.0</v>
      </c>
      <c r="BE203" s="1138">
        <v>2.0</v>
      </c>
      <c r="BF203" s="1126">
        <v>3.0</v>
      </c>
      <c r="BG203" s="1138">
        <v>2.0</v>
      </c>
      <c r="BH203" s="1126">
        <v>6.0</v>
      </c>
      <c r="BI203" s="1138">
        <v>5.0</v>
      </c>
      <c r="BJ203" s="1075">
        <v>5.0</v>
      </c>
      <c r="BK203" s="2007">
        <v>4.0</v>
      </c>
      <c r="BL203" s="1134"/>
      <c r="BM203" s="1653"/>
      <c r="BN203" s="1785"/>
      <c r="BO203" s="1784"/>
      <c r="BP203" s="783">
        <f t="shared" si="151"/>
        <v>122</v>
      </c>
      <c r="BQ203" s="1571">
        <f t="shared" si="152"/>
        <v>93</v>
      </c>
      <c r="BR203" s="2005">
        <f t="shared" si="153"/>
        <v>25854</v>
      </c>
      <c r="BS203" s="784">
        <f t="shared" si="154"/>
        <v>33916</v>
      </c>
      <c r="BT203" s="1545"/>
      <c r="BU203" s="1545"/>
    </row>
    <row r="204" ht="18.0" customHeight="1">
      <c r="A204" s="1565" t="s">
        <v>145</v>
      </c>
      <c r="B204" s="1611">
        <v>965.0</v>
      </c>
      <c r="C204" s="1567">
        <v>195.0</v>
      </c>
      <c r="D204" s="1612" t="s">
        <v>77</v>
      </c>
      <c r="E204" s="1613" t="str">
        <f>'Матрица 4 недели'!M80</f>
        <v>Гуляш из свинины с макаронами</v>
      </c>
      <c r="F204" s="1137">
        <v>3.0</v>
      </c>
      <c r="G204" s="1121">
        <v>3.0</v>
      </c>
      <c r="H204" s="1137">
        <v>7.0</v>
      </c>
      <c r="I204" s="1121">
        <v>7.0</v>
      </c>
      <c r="J204" s="1137">
        <v>4.0</v>
      </c>
      <c r="K204" s="1121">
        <v>4.0</v>
      </c>
      <c r="L204" s="1141">
        <v>5.0</v>
      </c>
      <c r="M204" s="1121">
        <v>5.0</v>
      </c>
      <c r="N204" s="1141">
        <v>13.0</v>
      </c>
      <c r="O204" s="1121">
        <v>13.0</v>
      </c>
      <c r="P204" s="1126">
        <v>9.0</v>
      </c>
      <c r="Q204" s="1121">
        <v>9.0</v>
      </c>
      <c r="R204" s="1120">
        <v>0.0</v>
      </c>
      <c r="S204" s="1121">
        <v>0.0</v>
      </c>
      <c r="T204" s="1126">
        <v>2.0</v>
      </c>
      <c r="U204" s="1291">
        <v>2.0</v>
      </c>
      <c r="V204" s="1141">
        <v>5.0</v>
      </c>
      <c r="W204" s="1121">
        <v>5.0</v>
      </c>
      <c r="X204" s="1141">
        <v>2.0</v>
      </c>
      <c r="Y204" s="1121">
        <v>2.0</v>
      </c>
      <c r="Z204" s="1120"/>
      <c r="AA204" s="1121"/>
      <c r="AB204" s="1137">
        <v>2.0</v>
      </c>
      <c r="AC204" s="1138">
        <v>2.0</v>
      </c>
      <c r="AD204" s="1141">
        <v>6.0</v>
      </c>
      <c r="AE204" s="1138">
        <v>6.0</v>
      </c>
      <c r="AF204" s="1141">
        <v>3.0</v>
      </c>
      <c r="AG204" s="1138">
        <v>3.0</v>
      </c>
      <c r="AH204" s="1120">
        <v>3.0</v>
      </c>
      <c r="AI204" s="1138">
        <v>3.0</v>
      </c>
      <c r="AJ204" s="1137">
        <v>4.0</v>
      </c>
      <c r="AK204" s="1138">
        <v>4.0</v>
      </c>
      <c r="AL204" s="1126">
        <v>4.0</v>
      </c>
      <c r="AM204" s="1138">
        <v>4.0</v>
      </c>
      <c r="AN204" s="1120">
        <v>2.0</v>
      </c>
      <c r="AO204" s="1138">
        <v>2.0</v>
      </c>
      <c r="AP204" s="1126">
        <v>0.0</v>
      </c>
      <c r="AQ204" s="1138">
        <v>0.0</v>
      </c>
      <c r="AR204" s="1126">
        <v>7.0</v>
      </c>
      <c r="AS204" s="1138">
        <v>7.0</v>
      </c>
      <c r="AT204" s="1126">
        <v>7.0</v>
      </c>
      <c r="AU204" s="1138">
        <v>7.0</v>
      </c>
      <c r="AV204" s="1126">
        <v>2.0</v>
      </c>
      <c r="AW204" s="1138">
        <v>2.0</v>
      </c>
      <c r="AX204" s="1126">
        <v>3.0</v>
      </c>
      <c r="AY204" s="1138">
        <v>3.0</v>
      </c>
      <c r="AZ204" s="1126">
        <v>3.0</v>
      </c>
      <c r="BA204" s="1138">
        <v>3.0</v>
      </c>
      <c r="BB204" s="1126">
        <v>9.0</v>
      </c>
      <c r="BC204" s="1138">
        <v>9.0</v>
      </c>
      <c r="BD204" s="1126">
        <v>0.0</v>
      </c>
      <c r="BE204" s="1138"/>
      <c r="BF204" s="1126">
        <v>9.0</v>
      </c>
      <c r="BG204" s="1138">
        <v>9.0</v>
      </c>
      <c r="BH204" s="1126">
        <v>3.0</v>
      </c>
      <c r="BI204" s="1138">
        <v>3.0</v>
      </c>
      <c r="BJ204" s="1075">
        <v>3.0</v>
      </c>
      <c r="BK204" s="2007">
        <v>3.0</v>
      </c>
      <c r="BL204" s="1134">
        <v>25.0</v>
      </c>
      <c r="BM204" s="1653">
        <v>25.0</v>
      </c>
      <c r="BN204" s="1785"/>
      <c r="BO204" s="1784"/>
      <c r="BP204" s="783">
        <f t="shared" si="151"/>
        <v>146</v>
      </c>
      <c r="BQ204" s="1571">
        <f t="shared" si="152"/>
        <v>145</v>
      </c>
      <c r="BR204" s="2005">
        <f t="shared" si="153"/>
        <v>28275</v>
      </c>
      <c r="BS204" s="784">
        <f t="shared" si="154"/>
        <v>28470</v>
      </c>
      <c r="BT204" s="1545"/>
      <c r="BU204" s="1545"/>
    </row>
    <row r="205" ht="18.0" customHeight="1">
      <c r="A205" s="1565"/>
      <c r="B205" s="1611">
        <v>4176.0</v>
      </c>
      <c r="C205" s="1567">
        <v>221.0</v>
      </c>
      <c r="D205" s="1612" t="s">
        <v>77</v>
      </c>
      <c r="E205" s="1613" t="str">
        <f>'Матрица 4 недели'!M81</f>
        <v>Курочка в сырном соусе с картофелем</v>
      </c>
      <c r="F205" s="1126"/>
      <c r="G205" s="1138"/>
      <c r="H205" s="1126"/>
      <c r="I205" s="1138"/>
      <c r="J205" s="1126"/>
      <c r="K205" s="1138"/>
      <c r="L205" s="1126"/>
      <c r="M205" s="1138"/>
      <c r="N205" s="1126"/>
      <c r="O205" s="1138"/>
      <c r="P205" s="1126"/>
      <c r="Q205" s="1138"/>
      <c r="R205" s="1120"/>
      <c r="S205" s="1121"/>
      <c r="T205" s="1137"/>
      <c r="U205" s="1121"/>
      <c r="V205" s="1137"/>
      <c r="W205" s="1121"/>
      <c r="X205" s="1137"/>
      <c r="Y205" s="1121"/>
      <c r="Z205" s="1137"/>
      <c r="AA205" s="1138"/>
      <c r="AB205" s="1120"/>
      <c r="AC205" s="1138"/>
      <c r="AD205" s="1120"/>
      <c r="AE205" s="1138"/>
      <c r="AF205" s="1120"/>
      <c r="AG205" s="1138"/>
      <c r="AH205" s="1120"/>
      <c r="AI205" s="1138"/>
      <c r="AJ205" s="1120"/>
      <c r="AK205" s="1138"/>
      <c r="AL205" s="1126"/>
      <c r="AM205" s="1138"/>
      <c r="AN205" s="1120"/>
      <c r="AO205" s="1121"/>
      <c r="AP205" s="1120"/>
      <c r="AQ205" s="1138"/>
      <c r="AR205" s="1120"/>
      <c r="AS205" s="1138"/>
      <c r="AT205" s="1126"/>
      <c r="AU205" s="1138"/>
      <c r="AV205" s="1126"/>
      <c r="AW205" s="1138"/>
      <c r="AX205" s="1126"/>
      <c r="AY205" s="1138"/>
      <c r="AZ205" s="1126"/>
      <c r="BA205" s="1138"/>
      <c r="BB205" s="1126"/>
      <c r="BC205" s="1138"/>
      <c r="BD205" s="1126"/>
      <c r="BE205" s="1138"/>
      <c r="BF205" s="1126"/>
      <c r="BG205" s="1138"/>
      <c r="BH205" s="1126"/>
      <c r="BI205" s="1138"/>
      <c r="BJ205" s="1126"/>
      <c r="BK205" s="1291"/>
      <c r="BL205" s="1134">
        <v>25.0</v>
      </c>
      <c r="BM205" s="1653">
        <v>25.0</v>
      </c>
      <c r="BN205" s="1785"/>
      <c r="BO205" s="1784"/>
      <c r="BP205" s="783">
        <f t="shared" si="151"/>
        <v>26</v>
      </c>
      <c r="BQ205" s="1571">
        <f t="shared" si="152"/>
        <v>25</v>
      </c>
      <c r="BR205" s="2005">
        <f t="shared" si="153"/>
        <v>5525</v>
      </c>
      <c r="BS205" s="784">
        <f t="shared" si="154"/>
        <v>5746</v>
      </c>
      <c r="BT205" s="1545"/>
      <c r="BU205" s="1545"/>
    </row>
    <row r="206" ht="18.0" customHeight="1">
      <c r="A206" s="1565" t="s">
        <v>145</v>
      </c>
      <c r="B206" s="1611">
        <v>4099.0</v>
      </c>
      <c r="C206" s="1567">
        <v>221.0</v>
      </c>
      <c r="D206" s="1612" t="s">
        <v>77</v>
      </c>
      <c r="E206" s="1613" t="str">
        <f>'Матрица 4 недели'!M82</f>
        <v>Курочка в сырном соусе со спагетти </v>
      </c>
      <c r="F206" s="1120">
        <v>8.0</v>
      </c>
      <c r="G206" s="1121">
        <v>8.0</v>
      </c>
      <c r="H206" s="1120">
        <v>5.0</v>
      </c>
      <c r="I206" s="1121">
        <v>5.0</v>
      </c>
      <c r="J206" s="1120">
        <v>3.0</v>
      </c>
      <c r="K206" s="1121">
        <v>3.0</v>
      </c>
      <c r="L206" s="1120">
        <v>5.0</v>
      </c>
      <c r="M206" s="1121">
        <v>5.0</v>
      </c>
      <c r="N206" s="1126">
        <v>9.0</v>
      </c>
      <c r="O206" s="1121">
        <v>9.0</v>
      </c>
      <c r="P206" s="1120">
        <v>7.0</v>
      </c>
      <c r="Q206" s="1121">
        <v>7.0</v>
      </c>
      <c r="R206" s="1120">
        <v>7.0</v>
      </c>
      <c r="S206" s="1121">
        <v>7.0</v>
      </c>
      <c r="T206" s="1120">
        <v>4.0</v>
      </c>
      <c r="U206" s="1121">
        <v>4.0</v>
      </c>
      <c r="V206" s="1120">
        <v>6.0</v>
      </c>
      <c r="W206" s="1121">
        <v>6.0</v>
      </c>
      <c r="X206" s="1120">
        <v>3.0</v>
      </c>
      <c r="Y206" s="1121">
        <v>3.0</v>
      </c>
      <c r="Z206" s="1120"/>
      <c r="AA206" s="1121"/>
      <c r="AB206" s="1120">
        <v>3.0</v>
      </c>
      <c r="AC206" s="1121">
        <v>3.0</v>
      </c>
      <c r="AD206" s="1120">
        <v>6.0</v>
      </c>
      <c r="AE206" s="1121">
        <v>6.0</v>
      </c>
      <c r="AF206" s="1120">
        <v>3.0</v>
      </c>
      <c r="AG206" s="1121">
        <v>3.0</v>
      </c>
      <c r="AH206" s="1120">
        <v>6.0</v>
      </c>
      <c r="AI206" s="1138">
        <v>6.0</v>
      </c>
      <c r="AJ206" s="1120">
        <v>4.0</v>
      </c>
      <c r="AK206" s="1138">
        <v>4.0</v>
      </c>
      <c r="AL206" s="1126">
        <v>3.0</v>
      </c>
      <c r="AM206" s="1138">
        <v>3.0</v>
      </c>
      <c r="AN206" s="1137">
        <v>2.0</v>
      </c>
      <c r="AO206" s="1138">
        <v>2.0</v>
      </c>
      <c r="AP206" s="1126">
        <v>2.0</v>
      </c>
      <c r="AQ206" s="1138">
        <v>2.0</v>
      </c>
      <c r="AR206" s="1126">
        <v>8.0</v>
      </c>
      <c r="AS206" s="1138">
        <v>8.0</v>
      </c>
      <c r="AT206" s="1126">
        <v>8.0</v>
      </c>
      <c r="AU206" s="1138">
        <v>8.0</v>
      </c>
      <c r="AV206" s="1126">
        <v>3.0</v>
      </c>
      <c r="AW206" s="1138">
        <v>3.0</v>
      </c>
      <c r="AX206" s="1126">
        <v>5.0</v>
      </c>
      <c r="AY206" s="1138">
        <v>5.0</v>
      </c>
      <c r="AZ206" s="1126">
        <v>3.0</v>
      </c>
      <c r="BA206" s="1138">
        <v>3.0</v>
      </c>
      <c r="BB206" s="1126">
        <v>9.0</v>
      </c>
      <c r="BC206" s="1138">
        <v>9.0</v>
      </c>
      <c r="BD206" s="1126">
        <v>3.0</v>
      </c>
      <c r="BE206" s="1138">
        <v>3.0</v>
      </c>
      <c r="BF206" s="1126">
        <v>7.0</v>
      </c>
      <c r="BG206" s="1138">
        <v>7.0</v>
      </c>
      <c r="BH206" s="1126">
        <v>4.0</v>
      </c>
      <c r="BI206" s="1138">
        <v>4.0</v>
      </c>
      <c r="BJ206" s="1126">
        <v>7.0</v>
      </c>
      <c r="BK206" s="1291">
        <v>7.0</v>
      </c>
      <c r="BL206" s="1134"/>
      <c r="BM206" s="1653"/>
      <c r="BN206" s="1785">
        <v>10.0</v>
      </c>
      <c r="BO206" s="1784"/>
      <c r="BP206" s="783">
        <f t="shared" si="151"/>
        <v>144</v>
      </c>
      <c r="BQ206" s="1571">
        <f t="shared" si="152"/>
        <v>143</v>
      </c>
      <c r="BR206" s="2005">
        <f t="shared" si="153"/>
        <v>31603</v>
      </c>
      <c r="BS206" s="784">
        <f t="shared" si="154"/>
        <v>31824</v>
      </c>
      <c r="BT206" s="1545"/>
      <c r="BU206" s="1545"/>
    </row>
    <row r="207" ht="18.0" customHeight="1">
      <c r="A207" s="1565"/>
      <c r="B207" s="1611">
        <v>2022.0</v>
      </c>
      <c r="C207" s="1567">
        <v>216.0</v>
      </c>
      <c r="D207" s="1612" t="s">
        <v>77</v>
      </c>
      <c r="E207" s="1613" t="str">
        <f>'Матрица 4 недели'!M83</f>
        <v>Горбуша в томатном соусе с рисом</v>
      </c>
      <c r="F207" s="1126"/>
      <c r="G207" s="1121"/>
      <c r="H207" s="1120"/>
      <c r="I207" s="1121"/>
      <c r="J207" s="1120"/>
      <c r="K207" s="1121"/>
      <c r="L207" s="1120"/>
      <c r="M207" s="1121"/>
      <c r="N207" s="1126"/>
      <c r="O207" s="1121"/>
      <c r="P207" s="1126"/>
      <c r="Q207" s="1121"/>
      <c r="R207" s="1120"/>
      <c r="S207" s="1121"/>
      <c r="T207" s="1120"/>
      <c r="U207" s="1121"/>
      <c r="V207" s="1120"/>
      <c r="W207" s="1121"/>
      <c r="X207" s="1120"/>
      <c r="Y207" s="1121"/>
      <c r="Z207" s="1126"/>
      <c r="AA207" s="1121"/>
      <c r="AB207" s="1120"/>
      <c r="AC207" s="1121"/>
      <c r="AD207" s="1120"/>
      <c r="AE207" s="1121"/>
      <c r="AF207" s="1120"/>
      <c r="AG207" s="1121"/>
      <c r="AH207" s="1120"/>
      <c r="AI207" s="1121"/>
      <c r="AJ207" s="1120"/>
      <c r="AK207" s="1121"/>
      <c r="AL207" s="1126"/>
      <c r="AM207" s="1121"/>
      <c r="AN207" s="1120"/>
      <c r="AO207" s="1138"/>
      <c r="AP207" s="1120"/>
      <c r="AQ207" s="1138"/>
      <c r="AR207" s="1120"/>
      <c r="AS207" s="1121"/>
      <c r="AT207" s="1120"/>
      <c r="AU207" s="1121"/>
      <c r="AV207" s="1126"/>
      <c r="AW207" s="1121"/>
      <c r="AX207" s="1126"/>
      <c r="AY207" s="1121"/>
      <c r="AZ207" s="1126"/>
      <c r="BA207" s="2001"/>
      <c r="BB207" s="1126"/>
      <c r="BC207" s="2001"/>
      <c r="BD207" s="1126"/>
      <c r="BE207" s="2001"/>
      <c r="BF207" s="1126"/>
      <c r="BG207" s="2001"/>
      <c r="BH207" s="1126"/>
      <c r="BI207" s="2001"/>
      <c r="BJ207" s="1126"/>
      <c r="BK207" s="2001"/>
      <c r="BL207" s="1134">
        <v>80.0</v>
      </c>
      <c r="BM207" s="1653">
        <v>78.0</v>
      </c>
      <c r="BN207" s="1785"/>
      <c r="BO207" s="1784"/>
      <c r="BP207" s="783">
        <f t="shared" si="151"/>
        <v>81</v>
      </c>
      <c r="BQ207" s="1571">
        <f t="shared" si="152"/>
        <v>78</v>
      </c>
      <c r="BR207" s="2005">
        <f t="shared" si="153"/>
        <v>16848</v>
      </c>
      <c r="BS207" s="784">
        <f t="shared" si="154"/>
        <v>17496</v>
      </c>
      <c r="BT207" s="1545"/>
      <c r="BU207" s="1545"/>
    </row>
    <row r="208" ht="18.0" customHeight="1">
      <c r="A208" s="1565" t="s">
        <v>145</v>
      </c>
      <c r="B208" s="1611">
        <v>4257.0</v>
      </c>
      <c r="C208" s="1567">
        <v>237.0</v>
      </c>
      <c r="D208" s="2008" t="s">
        <v>537</v>
      </c>
      <c r="E208" s="1613" t="str">
        <f>'Матрица 4 недели'!M84</f>
        <v>Куриный биточек с цукини и овощами</v>
      </c>
      <c r="F208" s="1137">
        <v>7.0</v>
      </c>
      <c r="G208" s="1121">
        <v>7.0</v>
      </c>
      <c r="H208" s="1126">
        <v>3.0</v>
      </c>
      <c r="I208" s="1121">
        <v>3.0</v>
      </c>
      <c r="J208" s="1126">
        <v>3.0</v>
      </c>
      <c r="K208" s="1600">
        <v>3.0</v>
      </c>
      <c r="L208" s="1161">
        <v>2.0</v>
      </c>
      <c r="M208" s="1600">
        <v>2.0</v>
      </c>
      <c r="N208" s="1126">
        <v>5.0</v>
      </c>
      <c r="O208" s="1121">
        <v>5.0</v>
      </c>
      <c r="P208" s="1126">
        <v>4.0</v>
      </c>
      <c r="Q208" s="1121">
        <v>4.0</v>
      </c>
      <c r="R208" s="1126">
        <v>5.0</v>
      </c>
      <c r="S208" s="1121">
        <v>5.0</v>
      </c>
      <c r="T208" s="1126">
        <v>4.0</v>
      </c>
      <c r="U208" s="1138">
        <v>4.0</v>
      </c>
      <c r="V208" s="1137">
        <v>3.0</v>
      </c>
      <c r="W208" s="1138">
        <v>3.0</v>
      </c>
      <c r="X208" s="1137">
        <v>3.0</v>
      </c>
      <c r="Y208" s="1138">
        <v>3.0</v>
      </c>
      <c r="Z208" s="1137"/>
      <c r="AA208" s="1138"/>
      <c r="AB208" s="1137">
        <v>4.0</v>
      </c>
      <c r="AC208" s="1138">
        <v>4.0</v>
      </c>
      <c r="AD208" s="1137">
        <v>5.0</v>
      </c>
      <c r="AE208" s="1138">
        <v>5.0</v>
      </c>
      <c r="AF208" s="1137">
        <v>2.0</v>
      </c>
      <c r="AG208" s="1138">
        <v>2.0</v>
      </c>
      <c r="AH208" s="1137">
        <v>2.0</v>
      </c>
      <c r="AI208" s="1138">
        <v>2.0</v>
      </c>
      <c r="AJ208" s="1137">
        <v>4.0</v>
      </c>
      <c r="AK208" s="1138">
        <v>4.0</v>
      </c>
      <c r="AL208" s="1120">
        <v>0.0</v>
      </c>
      <c r="AM208" s="1138">
        <v>0.0</v>
      </c>
      <c r="AN208" s="1120">
        <v>2.0</v>
      </c>
      <c r="AO208" s="1131">
        <v>2.0</v>
      </c>
      <c r="AP208" s="1120">
        <v>2.0</v>
      </c>
      <c r="AQ208" s="1131">
        <v>2.0</v>
      </c>
      <c r="AR208" s="1120">
        <v>2.0</v>
      </c>
      <c r="AS208" s="1305">
        <v>2.0</v>
      </c>
      <c r="AT208" s="1141">
        <v>5.0</v>
      </c>
      <c r="AU208" s="1305">
        <v>5.0</v>
      </c>
      <c r="AV208" s="1141">
        <v>3.0</v>
      </c>
      <c r="AW208" s="1305">
        <v>3.0</v>
      </c>
      <c r="AX208" s="1141">
        <v>2.0</v>
      </c>
      <c r="AY208" s="1305">
        <v>2.0</v>
      </c>
      <c r="AZ208" s="1126">
        <v>3.0</v>
      </c>
      <c r="BA208" s="2001">
        <v>3.0</v>
      </c>
      <c r="BB208" s="1126">
        <v>9.0</v>
      </c>
      <c r="BC208" s="2001">
        <v>9.0</v>
      </c>
      <c r="BD208" s="1126">
        <v>0.0</v>
      </c>
      <c r="BE208" s="2001"/>
      <c r="BF208" s="1126">
        <v>2.0</v>
      </c>
      <c r="BG208" s="2001">
        <v>2.0</v>
      </c>
      <c r="BH208" s="1126">
        <v>4.0</v>
      </c>
      <c r="BI208" s="2001">
        <v>4.0</v>
      </c>
      <c r="BJ208" s="1126">
        <v>2.0</v>
      </c>
      <c r="BK208" s="2001">
        <v>2.0</v>
      </c>
      <c r="BL208" s="1134"/>
      <c r="BM208" s="1121"/>
      <c r="BN208" s="1087"/>
      <c r="BO208" s="1138"/>
      <c r="BP208" s="783">
        <f t="shared" si="151"/>
        <v>93</v>
      </c>
      <c r="BQ208" s="1571">
        <f t="shared" si="152"/>
        <v>92</v>
      </c>
      <c r="BR208" s="2005">
        <f t="shared" si="153"/>
        <v>21804</v>
      </c>
      <c r="BS208" s="784">
        <f t="shared" si="154"/>
        <v>22041</v>
      </c>
      <c r="BT208" s="1545"/>
      <c r="BU208" s="1545"/>
    </row>
    <row r="209" ht="18.0" customHeight="1">
      <c r="A209" s="1565"/>
      <c r="B209" s="1611">
        <v>1826.0</v>
      </c>
      <c r="C209" s="1567">
        <v>243.0</v>
      </c>
      <c r="D209" s="1612" t="s">
        <v>77</v>
      </c>
      <c r="E209" s="1652" t="str">
        <f>'Матрица 4 недели'!M85</f>
        <v>Купаты куриные с картофелем</v>
      </c>
      <c r="F209" s="1120"/>
      <c r="G209" s="1138">
        <v>1.0</v>
      </c>
      <c r="H209" s="1120"/>
      <c r="I209" s="1138"/>
      <c r="J209" s="1120"/>
      <c r="K209" s="1138">
        <v>1.0</v>
      </c>
      <c r="L209" s="1120"/>
      <c r="M209" s="1138">
        <v>1.0</v>
      </c>
      <c r="N209" s="1120"/>
      <c r="O209" s="1138">
        <v>3.0</v>
      </c>
      <c r="P209" s="1120"/>
      <c r="Q209" s="1138">
        <v>3.0</v>
      </c>
      <c r="R209" s="1120"/>
      <c r="S209" s="1138"/>
      <c r="T209" s="1120"/>
      <c r="U209" s="1138"/>
      <c r="V209" s="1120"/>
      <c r="W209" s="1138"/>
      <c r="X209" s="1120"/>
      <c r="Y209" s="1138">
        <v>2.0</v>
      </c>
      <c r="Z209" s="1120"/>
      <c r="AA209" s="1138"/>
      <c r="AB209" s="1120"/>
      <c r="AC209" s="1138">
        <v>1.0</v>
      </c>
      <c r="AD209" s="1120"/>
      <c r="AE209" s="1138"/>
      <c r="AF209" s="1120"/>
      <c r="AG209" s="1138">
        <v>1.0</v>
      </c>
      <c r="AH209" s="1120"/>
      <c r="AI209" s="1138">
        <v>1.0</v>
      </c>
      <c r="AJ209" s="1120"/>
      <c r="AK209" s="1138">
        <v>1.0</v>
      </c>
      <c r="AL209" s="1120"/>
      <c r="AM209" s="1138"/>
      <c r="AN209" s="1120"/>
      <c r="AO209" s="1138"/>
      <c r="AP209" s="1120"/>
      <c r="AQ209" s="1138"/>
      <c r="AR209" s="1120"/>
      <c r="AS209" s="1138"/>
      <c r="AT209" s="1126"/>
      <c r="AU209" s="1138"/>
      <c r="AV209" s="1126"/>
      <c r="AW209" s="1138"/>
      <c r="AX209" s="1126"/>
      <c r="AY209" s="1138"/>
      <c r="AZ209" s="1126"/>
      <c r="BA209" s="2001"/>
      <c r="BB209" s="1126"/>
      <c r="BC209" s="2001"/>
      <c r="BD209" s="1126"/>
      <c r="BE209" s="2001"/>
      <c r="BF209" s="1126"/>
      <c r="BG209" s="2001"/>
      <c r="BH209" s="1126"/>
      <c r="BI209" s="2001"/>
      <c r="BJ209" s="1126"/>
      <c r="BK209" s="2001"/>
      <c r="BL209" s="1134"/>
      <c r="BM209" s="1138"/>
      <c r="BN209" s="1087"/>
      <c r="BO209" s="1138"/>
      <c r="BP209" s="783">
        <f t="shared" si="151"/>
        <v>1</v>
      </c>
      <c r="BQ209" s="1571">
        <f t="shared" si="152"/>
        <v>15</v>
      </c>
      <c r="BR209" s="2005">
        <f t="shared" si="153"/>
        <v>3645</v>
      </c>
      <c r="BS209" s="784">
        <f t="shared" si="154"/>
        <v>243</v>
      </c>
      <c r="BT209" s="1545"/>
      <c r="BU209" s="1545"/>
    </row>
    <row r="210" ht="18.0" customHeight="1">
      <c r="A210" s="1565"/>
      <c r="B210" s="1611">
        <v>3454.0</v>
      </c>
      <c r="C210" s="1567">
        <v>67.0</v>
      </c>
      <c r="D210" s="1612" t="s">
        <v>78</v>
      </c>
      <c r="E210" s="1652" t="str">
        <f>'Матрица 4 недели'!P78</f>
        <v>Рулетик с корицей 100 гр</v>
      </c>
      <c r="F210" s="1120"/>
      <c r="G210" s="1138"/>
      <c r="H210" s="1120"/>
      <c r="I210" s="1138"/>
      <c r="J210" s="1120"/>
      <c r="K210" s="1138"/>
      <c r="L210" s="1120"/>
      <c r="M210" s="1138"/>
      <c r="N210" s="1120"/>
      <c r="O210" s="1138"/>
      <c r="P210" s="1120"/>
      <c r="Q210" s="1138"/>
      <c r="R210" s="1120"/>
      <c r="S210" s="1138"/>
      <c r="T210" s="1120"/>
      <c r="U210" s="1138"/>
      <c r="V210" s="1120"/>
      <c r="W210" s="1138"/>
      <c r="X210" s="1120"/>
      <c r="Y210" s="1138"/>
      <c r="Z210" s="1120"/>
      <c r="AA210" s="1138"/>
      <c r="AB210" s="1120"/>
      <c r="AC210" s="1138"/>
      <c r="AD210" s="1120"/>
      <c r="AE210" s="1138"/>
      <c r="AF210" s="1120"/>
      <c r="AG210" s="1138"/>
      <c r="AH210" s="1120"/>
      <c r="AI210" s="1138"/>
      <c r="AJ210" s="1120"/>
      <c r="AK210" s="1138"/>
      <c r="AL210" s="1120"/>
      <c r="AM210" s="1138"/>
      <c r="AN210" s="1120"/>
      <c r="AO210" s="1138"/>
      <c r="AP210" s="1120"/>
      <c r="AQ210" s="1138"/>
      <c r="AR210" s="1120"/>
      <c r="AS210" s="1138"/>
      <c r="AT210" s="1126"/>
      <c r="AU210" s="1138"/>
      <c r="AV210" s="1126"/>
      <c r="AW210" s="1138"/>
      <c r="AX210" s="1126"/>
      <c r="AY210" s="1138"/>
      <c r="AZ210" s="1126"/>
      <c r="BA210" s="2001"/>
      <c r="BB210" s="1126"/>
      <c r="BC210" s="2001"/>
      <c r="BD210" s="1126"/>
      <c r="BE210" s="2001"/>
      <c r="BF210" s="1126"/>
      <c r="BG210" s="2001"/>
      <c r="BH210" s="1126"/>
      <c r="BI210" s="2001"/>
      <c r="BJ210" s="1126"/>
      <c r="BK210" s="2001"/>
      <c r="BL210" s="1134">
        <v>11.0</v>
      </c>
      <c r="BM210" s="1138">
        <v>15.0</v>
      </c>
      <c r="BN210" s="1087"/>
      <c r="BO210" s="1138"/>
      <c r="BP210" s="783">
        <f t="shared" si="151"/>
        <v>12</v>
      </c>
      <c r="BQ210" s="1571">
        <f t="shared" si="152"/>
        <v>15</v>
      </c>
      <c r="BR210" s="2005">
        <f t="shared" si="153"/>
        <v>1005</v>
      </c>
      <c r="BS210" s="784">
        <f t="shared" si="154"/>
        <v>804</v>
      </c>
      <c r="BT210" s="1545"/>
      <c r="BU210" s="1545"/>
    </row>
    <row r="211" ht="18.0" customHeight="1">
      <c r="A211" s="1565"/>
      <c r="B211" s="1611">
        <v>3527.0</v>
      </c>
      <c r="C211" s="1567">
        <v>96.0</v>
      </c>
      <c r="D211" s="1612" t="s">
        <v>78</v>
      </c>
      <c r="E211" s="1758" t="str">
        <f>'Матрица 4 недели'!P79</f>
        <v>Хачапури 100 гр</v>
      </c>
      <c r="F211" s="1120"/>
      <c r="G211" s="1121"/>
      <c r="H211" s="1120"/>
      <c r="I211" s="1121"/>
      <c r="J211" s="1120"/>
      <c r="K211" s="1138"/>
      <c r="L211" s="1120"/>
      <c r="M211" s="1138"/>
      <c r="N211" s="1120"/>
      <c r="O211" s="1138"/>
      <c r="P211" s="1120"/>
      <c r="Q211" s="1138"/>
      <c r="R211" s="1120"/>
      <c r="S211" s="1138"/>
      <c r="T211" s="1120"/>
      <c r="U211" s="1138"/>
      <c r="V211" s="1120"/>
      <c r="W211" s="1138"/>
      <c r="X211" s="1120"/>
      <c r="Y211" s="1138"/>
      <c r="Z211" s="1126"/>
      <c r="AA211" s="1138"/>
      <c r="AB211" s="1120"/>
      <c r="AC211" s="1138"/>
      <c r="AD211" s="1120"/>
      <c r="AE211" s="1138"/>
      <c r="AF211" s="1120"/>
      <c r="AG211" s="1138"/>
      <c r="AH211" s="1120"/>
      <c r="AI211" s="1138"/>
      <c r="AJ211" s="1120"/>
      <c r="AK211" s="1138"/>
      <c r="AL211" s="1126"/>
      <c r="AM211" s="1138"/>
      <c r="AN211" s="1120"/>
      <c r="AO211" s="1138"/>
      <c r="AP211" s="1120"/>
      <c r="AQ211" s="1138"/>
      <c r="AR211" s="1120"/>
      <c r="AS211" s="1305"/>
      <c r="AT211" s="1141"/>
      <c r="AU211" s="1305"/>
      <c r="AV211" s="1141"/>
      <c r="AW211" s="1305"/>
      <c r="AX211" s="1141"/>
      <c r="AY211" s="1305"/>
      <c r="AZ211" s="1126"/>
      <c r="BA211" s="2001"/>
      <c r="BB211" s="1126"/>
      <c r="BC211" s="2001"/>
      <c r="BD211" s="1126"/>
      <c r="BE211" s="2001"/>
      <c r="BF211" s="1126"/>
      <c r="BG211" s="2001"/>
      <c r="BH211" s="1126"/>
      <c r="BI211" s="2001"/>
      <c r="BJ211" s="1126"/>
      <c r="BK211" s="2001"/>
      <c r="BL211" s="1513">
        <v>12.0</v>
      </c>
      <c r="BM211" s="1138">
        <v>20.0</v>
      </c>
      <c r="BN211" s="1087"/>
      <c r="BO211" s="1138"/>
      <c r="BP211" s="783">
        <f t="shared" si="151"/>
        <v>13</v>
      </c>
      <c r="BQ211" s="1571">
        <f t="shared" si="152"/>
        <v>20</v>
      </c>
      <c r="BR211" s="2005">
        <f t="shared" si="153"/>
        <v>1920</v>
      </c>
      <c r="BS211" s="784">
        <f t="shared" si="154"/>
        <v>1248</v>
      </c>
      <c r="BT211" s="1545"/>
      <c r="BU211" s="1545"/>
    </row>
    <row r="212" ht="18.0" customHeight="1">
      <c r="A212" s="1565" t="s">
        <v>145</v>
      </c>
      <c r="B212" s="1567">
        <v>2079.0</v>
      </c>
      <c r="C212" s="1567">
        <v>105.0</v>
      </c>
      <c r="D212" s="1612" t="s">
        <v>78</v>
      </c>
      <c r="E212" s="1758" t="str">
        <f>'Матрица 4 недели'!P80</f>
        <v>Вафельная трубочка с вареной сгущенкой</v>
      </c>
      <c r="F212" s="1137">
        <v>36.0</v>
      </c>
      <c r="G212" s="1121">
        <v>36.0</v>
      </c>
      <c r="H212" s="1126">
        <v>3.0</v>
      </c>
      <c r="I212" s="1121">
        <v>3.0</v>
      </c>
      <c r="J212" s="1126">
        <v>6.0</v>
      </c>
      <c r="K212" s="1160">
        <v>6.0</v>
      </c>
      <c r="L212" s="1161">
        <v>6.0</v>
      </c>
      <c r="M212" s="1162">
        <v>6.0</v>
      </c>
      <c r="N212" s="1126">
        <v>6.0</v>
      </c>
      <c r="O212" s="1121">
        <v>6.0</v>
      </c>
      <c r="P212" s="1126">
        <v>6.0</v>
      </c>
      <c r="Q212" s="1121">
        <v>6.0</v>
      </c>
      <c r="R212" s="1126">
        <v>6.0</v>
      </c>
      <c r="S212" s="1121">
        <v>6.0</v>
      </c>
      <c r="T212" s="1126">
        <v>7.0</v>
      </c>
      <c r="U212" s="1121">
        <v>7.0</v>
      </c>
      <c r="V212" s="1137">
        <v>16.0</v>
      </c>
      <c r="W212" s="1121">
        <v>16.0</v>
      </c>
      <c r="X212" s="1137">
        <v>6.0</v>
      </c>
      <c r="Y212" s="1121">
        <v>6.0</v>
      </c>
      <c r="Z212" s="1126"/>
      <c r="AA212" s="1121"/>
      <c r="AB212" s="1137">
        <v>9.0</v>
      </c>
      <c r="AC212" s="1121">
        <v>9.0</v>
      </c>
      <c r="AD212" s="1137">
        <v>18.0</v>
      </c>
      <c r="AE212" s="1121">
        <v>18.0</v>
      </c>
      <c r="AF212" s="1120">
        <v>23.0</v>
      </c>
      <c r="AG212" s="1121">
        <v>23.0</v>
      </c>
      <c r="AH212" s="1137">
        <v>8.0</v>
      </c>
      <c r="AI212" s="1121">
        <v>8.0</v>
      </c>
      <c r="AJ212" s="1120">
        <v>9.0</v>
      </c>
      <c r="AK212" s="1121">
        <v>9.0</v>
      </c>
      <c r="AL212" s="1126">
        <v>4.0</v>
      </c>
      <c r="AM212" s="1121">
        <v>4.0</v>
      </c>
      <c r="AN212" s="1120">
        <v>6.0</v>
      </c>
      <c r="AO212" s="1138">
        <v>6.0</v>
      </c>
      <c r="AP212" s="1126">
        <v>19.0</v>
      </c>
      <c r="AQ212" s="1138">
        <v>19.0</v>
      </c>
      <c r="AR212" s="1120">
        <v>5.0</v>
      </c>
      <c r="AS212" s="1121">
        <v>5.0</v>
      </c>
      <c r="AT212" s="1126">
        <v>8.0</v>
      </c>
      <c r="AU212" s="1121">
        <v>8.0</v>
      </c>
      <c r="AV212" s="1126">
        <v>7.0</v>
      </c>
      <c r="AW212" s="1121">
        <v>7.0</v>
      </c>
      <c r="AX212" s="1126">
        <v>9.0</v>
      </c>
      <c r="AY212" s="1121">
        <v>9.0</v>
      </c>
      <c r="AZ212" s="1141">
        <v>16.0</v>
      </c>
      <c r="BA212" s="1305">
        <v>16.0</v>
      </c>
      <c r="BB212" s="1141">
        <v>6.0</v>
      </c>
      <c r="BC212" s="1305">
        <v>6.0</v>
      </c>
      <c r="BD212" s="1141">
        <v>3.0</v>
      </c>
      <c r="BE212" s="1305">
        <v>3.0</v>
      </c>
      <c r="BF212" s="1141">
        <v>11.0</v>
      </c>
      <c r="BG212" s="1305">
        <v>11.0</v>
      </c>
      <c r="BH212" s="1126">
        <v>6.0</v>
      </c>
      <c r="BI212" s="1131">
        <v>6.0</v>
      </c>
      <c r="BJ212" s="1126">
        <v>5.0</v>
      </c>
      <c r="BK212" s="1305">
        <v>5.0</v>
      </c>
      <c r="BL212" s="1513"/>
      <c r="BM212" s="1138"/>
      <c r="BN212" s="1087"/>
      <c r="BO212" s="1138"/>
      <c r="BP212" s="783">
        <f t="shared" si="151"/>
        <v>271</v>
      </c>
      <c r="BQ212" s="1571">
        <f t="shared" si="152"/>
        <v>270</v>
      </c>
      <c r="BR212" s="2005">
        <f t="shared" si="153"/>
        <v>28350</v>
      </c>
      <c r="BS212" s="784">
        <f t="shared" si="154"/>
        <v>28455</v>
      </c>
      <c r="BT212" s="1545"/>
      <c r="BU212" s="1823"/>
    </row>
    <row r="213" ht="18.0" customHeight="1">
      <c r="A213" s="1565" t="s">
        <v>145</v>
      </c>
      <c r="B213" s="1567">
        <v>2083.0</v>
      </c>
      <c r="C213" s="1567">
        <v>158.0</v>
      </c>
      <c r="D213" s="1612" t="s">
        <v>79</v>
      </c>
      <c r="E213" s="1758" t="str">
        <f>'Матрица 4 недели'!S78</f>
        <v>Сэндвич ''Цезарь''</v>
      </c>
      <c r="F213" s="1126">
        <v>9.0</v>
      </c>
      <c r="G213" s="1138">
        <v>9.0</v>
      </c>
      <c r="H213" s="1126">
        <v>3.0</v>
      </c>
      <c r="I213" s="1138">
        <v>3.0</v>
      </c>
      <c r="J213" s="1126">
        <v>4.0</v>
      </c>
      <c r="K213" s="1138">
        <v>4.0</v>
      </c>
      <c r="L213" s="1126">
        <v>6.0</v>
      </c>
      <c r="M213" s="1138">
        <v>6.0</v>
      </c>
      <c r="N213" s="1126">
        <v>8.0</v>
      </c>
      <c r="O213" s="1138">
        <v>8.0</v>
      </c>
      <c r="P213" s="1126">
        <v>8.0</v>
      </c>
      <c r="Q213" s="1138">
        <v>8.0</v>
      </c>
      <c r="R213" s="1120">
        <v>3.0</v>
      </c>
      <c r="S213" s="1121">
        <v>3.0</v>
      </c>
      <c r="T213" s="1137">
        <v>2.0</v>
      </c>
      <c r="U213" s="1121">
        <v>2.0</v>
      </c>
      <c r="V213" s="1137">
        <v>3.0</v>
      </c>
      <c r="W213" s="1121">
        <v>3.0</v>
      </c>
      <c r="X213" s="1137">
        <v>4.0</v>
      </c>
      <c r="Y213" s="1121">
        <v>4.0</v>
      </c>
      <c r="Z213" s="1137"/>
      <c r="AA213" s="1138"/>
      <c r="AB213" s="1120">
        <v>3.0</v>
      </c>
      <c r="AC213" s="1138">
        <v>3.0</v>
      </c>
      <c r="AD213" s="1120">
        <v>4.0</v>
      </c>
      <c r="AE213" s="1138">
        <v>4.0</v>
      </c>
      <c r="AF213" s="1120">
        <v>4.0</v>
      </c>
      <c r="AG213" s="1138">
        <v>4.0</v>
      </c>
      <c r="AH213" s="1120">
        <v>3.0</v>
      </c>
      <c r="AI213" s="1138">
        <v>3.0</v>
      </c>
      <c r="AJ213" s="1120">
        <v>2.0</v>
      </c>
      <c r="AK213" s="1138">
        <v>2.0</v>
      </c>
      <c r="AL213" s="1126">
        <v>3.0</v>
      </c>
      <c r="AM213" s="1138">
        <v>3.0</v>
      </c>
      <c r="AN213" s="1120">
        <v>2.0</v>
      </c>
      <c r="AO213" s="1121">
        <v>2.0</v>
      </c>
      <c r="AP213" s="1120">
        <v>6.0</v>
      </c>
      <c r="AQ213" s="1138">
        <v>6.0</v>
      </c>
      <c r="AR213" s="1120">
        <v>9.0</v>
      </c>
      <c r="AS213" s="1138">
        <v>9.0</v>
      </c>
      <c r="AT213" s="1126">
        <v>5.0</v>
      </c>
      <c r="AU213" s="1138">
        <v>5.0</v>
      </c>
      <c r="AV213" s="1126">
        <v>5.0</v>
      </c>
      <c r="AW213" s="1138">
        <v>5.0</v>
      </c>
      <c r="AX213" s="1126">
        <v>5.0</v>
      </c>
      <c r="AY213" s="1138">
        <v>5.0</v>
      </c>
      <c r="AZ213" s="1126">
        <v>3.0</v>
      </c>
      <c r="BA213" s="1138">
        <v>3.0</v>
      </c>
      <c r="BB213" s="1126">
        <v>10.0</v>
      </c>
      <c r="BC213" s="1138">
        <v>10.0</v>
      </c>
      <c r="BD213" s="1126">
        <v>2.0</v>
      </c>
      <c r="BE213" s="1138">
        <v>2.0</v>
      </c>
      <c r="BF213" s="1126">
        <v>2.0</v>
      </c>
      <c r="BG213" s="1138">
        <v>2.0</v>
      </c>
      <c r="BH213" s="1126">
        <v>2.0</v>
      </c>
      <c r="BI213" s="1138">
        <v>2.0</v>
      </c>
      <c r="BJ213" s="1126">
        <v>3.0</v>
      </c>
      <c r="BK213" s="1138">
        <v>3.0</v>
      </c>
      <c r="BL213" s="1169"/>
      <c r="BM213" s="1653"/>
      <c r="BN213" s="1785"/>
      <c r="BO213" s="1784"/>
      <c r="BP213" s="783">
        <f t="shared" si="151"/>
        <v>124</v>
      </c>
      <c r="BQ213" s="1571">
        <f t="shared" si="152"/>
        <v>123</v>
      </c>
      <c r="BR213" s="2005">
        <f t="shared" si="153"/>
        <v>19434</v>
      </c>
      <c r="BS213" s="784">
        <f t="shared" si="154"/>
        <v>19592</v>
      </c>
      <c r="BT213" s="1545"/>
      <c r="BU213" s="1807"/>
    </row>
    <row r="214" ht="18.0" customHeight="1">
      <c r="A214" s="1565" t="s">
        <v>145</v>
      </c>
      <c r="B214" s="1567">
        <v>2782.0</v>
      </c>
      <c r="C214" s="1734">
        <v>170.0</v>
      </c>
      <c r="D214" s="1612" t="s">
        <v>79</v>
      </c>
      <c r="E214" s="733" t="str">
        <f>'Матрица 4 недели'!S79</f>
        <v>Сэндвич с пепперони и сыром</v>
      </c>
      <c r="F214" s="1120">
        <v>11.0</v>
      </c>
      <c r="G214" s="1138">
        <v>11.0</v>
      </c>
      <c r="H214" s="1120">
        <v>3.0</v>
      </c>
      <c r="I214" s="1138">
        <v>3.0</v>
      </c>
      <c r="J214" s="1120">
        <v>4.0</v>
      </c>
      <c r="K214" s="1138">
        <v>4.0</v>
      </c>
      <c r="L214" s="1126">
        <v>3.0</v>
      </c>
      <c r="M214" s="1138">
        <v>3.0</v>
      </c>
      <c r="N214" s="1120">
        <v>6.0</v>
      </c>
      <c r="O214" s="1138">
        <v>6.0</v>
      </c>
      <c r="P214" s="1120">
        <v>6.0</v>
      </c>
      <c r="Q214" s="1138">
        <v>6.0</v>
      </c>
      <c r="R214" s="1120">
        <v>3.0</v>
      </c>
      <c r="S214" s="1138">
        <v>3.0</v>
      </c>
      <c r="T214" s="1120">
        <v>2.0</v>
      </c>
      <c r="U214" s="1138">
        <v>2.0</v>
      </c>
      <c r="V214" s="1120">
        <v>7.0</v>
      </c>
      <c r="W214" s="1138">
        <v>7.0</v>
      </c>
      <c r="X214" s="1120">
        <v>6.0</v>
      </c>
      <c r="Y214" s="1138">
        <v>6.0</v>
      </c>
      <c r="Z214" s="1126"/>
      <c r="AA214" s="1138"/>
      <c r="AB214" s="1120">
        <v>3.0</v>
      </c>
      <c r="AC214" s="1138">
        <v>3.0</v>
      </c>
      <c r="AD214" s="1120">
        <v>5.0</v>
      </c>
      <c r="AE214" s="1138">
        <v>5.0</v>
      </c>
      <c r="AF214" s="1120">
        <v>5.0</v>
      </c>
      <c r="AG214" s="1138">
        <v>5.0</v>
      </c>
      <c r="AH214" s="1120">
        <v>5.0</v>
      </c>
      <c r="AI214" s="1138">
        <v>5.0</v>
      </c>
      <c r="AJ214" s="1120">
        <v>3.0</v>
      </c>
      <c r="AK214" s="1138">
        <v>3.0</v>
      </c>
      <c r="AL214" s="1120">
        <v>4.0</v>
      </c>
      <c r="AM214" s="1138">
        <v>4.0</v>
      </c>
      <c r="AN214" s="1120">
        <v>2.0</v>
      </c>
      <c r="AO214" s="1138">
        <v>2.0</v>
      </c>
      <c r="AP214" s="1120">
        <v>3.0</v>
      </c>
      <c r="AQ214" s="1138">
        <v>3.0</v>
      </c>
      <c r="AR214" s="1120">
        <v>7.0</v>
      </c>
      <c r="AS214" s="1138">
        <v>7.0</v>
      </c>
      <c r="AT214" s="1126">
        <v>3.0</v>
      </c>
      <c r="AU214" s="1138">
        <v>3.0</v>
      </c>
      <c r="AV214" s="1126">
        <v>5.0</v>
      </c>
      <c r="AW214" s="1138">
        <v>5.0</v>
      </c>
      <c r="AX214" s="1126">
        <v>6.0</v>
      </c>
      <c r="AY214" s="1138">
        <v>6.0</v>
      </c>
      <c r="AZ214" s="1126">
        <v>3.0</v>
      </c>
      <c r="BA214" s="1138">
        <v>3.0</v>
      </c>
      <c r="BB214" s="1126">
        <v>10.0</v>
      </c>
      <c r="BC214" s="1127">
        <v>10.0</v>
      </c>
      <c r="BD214" s="1126">
        <v>2.0</v>
      </c>
      <c r="BE214" s="1127">
        <v>2.0</v>
      </c>
      <c r="BF214" s="1126">
        <v>6.0</v>
      </c>
      <c r="BG214" s="1127">
        <v>6.0</v>
      </c>
      <c r="BH214" s="1126">
        <v>4.0</v>
      </c>
      <c r="BI214" s="1127">
        <v>4.0</v>
      </c>
      <c r="BJ214" s="1126">
        <v>3.0</v>
      </c>
      <c r="BK214" s="1138">
        <v>3.0</v>
      </c>
      <c r="BL214" s="1134"/>
      <c r="BM214" s="1138"/>
      <c r="BN214" s="1087"/>
      <c r="BO214" s="1138"/>
      <c r="BP214" s="783">
        <f t="shared" si="151"/>
        <v>131</v>
      </c>
      <c r="BQ214" s="1571">
        <f t="shared" si="152"/>
        <v>130</v>
      </c>
      <c r="BR214" s="2005">
        <f t="shared" si="153"/>
        <v>22100</v>
      </c>
      <c r="BS214" s="784">
        <f t="shared" si="154"/>
        <v>22270</v>
      </c>
      <c r="BT214" s="1545"/>
      <c r="BU214" s="1807"/>
    </row>
    <row r="215" ht="18.0" customHeight="1">
      <c r="A215" s="1565"/>
      <c r="B215" s="1567">
        <v>4265.0</v>
      </c>
      <c r="C215" s="1567">
        <v>128.0</v>
      </c>
      <c r="D215" s="1612" t="s">
        <v>80</v>
      </c>
      <c r="E215" s="733" t="str">
        <f>'Матрица 4 недели'!V78</f>
        <v>Трайфл "Маковый"</v>
      </c>
      <c r="F215" s="1137"/>
      <c r="G215" s="1138">
        <v>3.0</v>
      </c>
      <c r="H215" s="1126"/>
      <c r="I215" s="1140"/>
      <c r="J215" s="1126"/>
      <c r="K215" s="1405">
        <v>2.0</v>
      </c>
      <c r="L215" s="1161"/>
      <c r="M215" s="1405"/>
      <c r="N215" s="1126"/>
      <c r="O215" s="1138">
        <v>2.0</v>
      </c>
      <c r="P215" s="1126"/>
      <c r="Q215" s="1142">
        <v>2.0</v>
      </c>
      <c r="R215" s="1126"/>
      <c r="S215" s="1121"/>
      <c r="T215" s="1137"/>
      <c r="U215" s="1121"/>
      <c r="V215" s="1137"/>
      <c r="W215" s="1121">
        <v>3.0</v>
      </c>
      <c r="X215" s="1137"/>
      <c r="Y215" s="1121">
        <v>2.0</v>
      </c>
      <c r="Z215" s="1126"/>
      <c r="AA215" s="1121"/>
      <c r="AB215" s="1120"/>
      <c r="AC215" s="1121"/>
      <c r="AD215" s="1120"/>
      <c r="AE215" s="1121"/>
      <c r="AF215" s="1137"/>
      <c r="AG215" s="1121"/>
      <c r="AH215" s="1120"/>
      <c r="AI215" s="1121">
        <v>2.0</v>
      </c>
      <c r="AJ215" s="1120"/>
      <c r="AK215" s="1121"/>
      <c r="AL215" s="1137"/>
      <c r="AM215" s="1121"/>
      <c r="AN215" s="1137"/>
      <c r="AO215" s="1138">
        <v>2.0</v>
      </c>
      <c r="AP215" s="1137"/>
      <c r="AQ215" s="1138"/>
      <c r="AR215" s="1137"/>
      <c r="AS215" s="1121"/>
      <c r="AT215" s="1126"/>
      <c r="AU215" s="1121"/>
      <c r="AV215" s="1126"/>
      <c r="AW215" s="1138">
        <v>2.0</v>
      </c>
      <c r="AX215" s="1126"/>
      <c r="AY215" s="1138">
        <v>2.0</v>
      </c>
      <c r="AZ215" s="1126"/>
      <c r="BA215" s="1138"/>
      <c r="BB215" s="1126"/>
      <c r="BC215" s="1138">
        <v>1.0</v>
      </c>
      <c r="BD215" s="1126"/>
      <c r="BE215" s="1138"/>
      <c r="BF215" s="1126"/>
      <c r="BG215" s="1138"/>
      <c r="BH215" s="1126"/>
      <c r="BI215" s="1138"/>
      <c r="BJ215" s="1126"/>
      <c r="BK215" s="1138"/>
      <c r="BL215" s="1134"/>
      <c r="BM215" s="1138"/>
      <c r="BN215" s="1087"/>
      <c r="BO215" s="1138"/>
      <c r="BP215" s="783">
        <f t="shared" si="151"/>
        <v>1</v>
      </c>
      <c r="BQ215" s="1589">
        <f t="shared" si="152"/>
        <v>23</v>
      </c>
      <c r="BR215" s="2005">
        <f t="shared" si="153"/>
        <v>2944</v>
      </c>
      <c r="BS215" s="784">
        <f t="shared" si="154"/>
        <v>128</v>
      </c>
      <c r="BT215" s="1545"/>
      <c r="BU215" s="1807"/>
    </row>
    <row r="216" ht="18.0" customHeight="1">
      <c r="A216" s="1565" t="s">
        <v>145</v>
      </c>
      <c r="B216" s="1567">
        <v>4173.0</v>
      </c>
      <c r="C216" s="1567">
        <v>98.0</v>
      </c>
      <c r="D216" s="1612" t="s">
        <v>80</v>
      </c>
      <c r="E216" s="733" t="str">
        <f>'Матрица 4 недели'!V79</f>
        <v>Морс клюквенный 0,5 л</v>
      </c>
      <c r="F216" s="1137">
        <v>10.0</v>
      </c>
      <c r="G216" s="1121">
        <v>13.0</v>
      </c>
      <c r="H216" s="1126">
        <v>3.0</v>
      </c>
      <c r="I216" s="1121">
        <v>3.0</v>
      </c>
      <c r="J216" s="1126">
        <v>10.0</v>
      </c>
      <c r="K216" s="1160">
        <v>15.0</v>
      </c>
      <c r="L216" s="1161">
        <v>5.0</v>
      </c>
      <c r="M216" s="1162">
        <v>10.0</v>
      </c>
      <c r="N216" s="1126">
        <v>0.0</v>
      </c>
      <c r="O216" s="1121">
        <v>0.0</v>
      </c>
      <c r="P216" s="1126">
        <v>15.0</v>
      </c>
      <c r="Q216" s="1121">
        <v>18.0</v>
      </c>
      <c r="R216" s="1126">
        <v>0.0</v>
      </c>
      <c r="S216" s="1121">
        <v>0.0</v>
      </c>
      <c r="T216" s="1126">
        <v>9.0</v>
      </c>
      <c r="U216" s="1121">
        <v>9.0</v>
      </c>
      <c r="V216" s="1137">
        <v>0.0</v>
      </c>
      <c r="W216" s="1121">
        <v>0.0</v>
      </c>
      <c r="X216" s="1137">
        <v>0.0</v>
      </c>
      <c r="Y216" s="1121">
        <v>0.0</v>
      </c>
      <c r="Z216" s="1126"/>
      <c r="AA216" s="1121"/>
      <c r="AB216" s="1126">
        <v>0.0</v>
      </c>
      <c r="AC216" s="1121">
        <v>0.0</v>
      </c>
      <c r="AD216" s="1126">
        <v>0.0</v>
      </c>
      <c r="AE216" s="1121">
        <v>0.0</v>
      </c>
      <c r="AF216" s="1120">
        <v>4.0</v>
      </c>
      <c r="AG216" s="1121">
        <v>10.0</v>
      </c>
      <c r="AH216" s="1137">
        <v>0.0</v>
      </c>
      <c r="AI216" s="1121">
        <v>0.0</v>
      </c>
      <c r="AJ216" s="1120">
        <v>0.0</v>
      </c>
      <c r="AK216" s="1121">
        <v>0.0</v>
      </c>
      <c r="AL216" s="1126">
        <v>0.0</v>
      </c>
      <c r="AM216" s="1121">
        <v>0.0</v>
      </c>
      <c r="AN216" s="1120">
        <v>4.0</v>
      </c>
      <c r="AO216" s="1138">
        <v>10.0</v>
      </c>
      <c r="AP216" s="1126">
        <v>0.0</v>
      </c>
      <c r="AQ216" s="1138">
        <v>0.0</v>
      </c>
      <c r="AR216" s="1120">
        <v>0.0</v>
      </c>
      <c r="AS216" s="1121">
        <v>30.0</v>
      </c>
      <c r="AT216" s="1126">
        <v>8.0</v>
      </c>
      <c r="AU216" s="1121">
        <v>10.0</v>
      </c>
      <c r="AV216" s="1126">
        <v>10.0</v>
      </c>
      <c r="AW216" s="1121">
        <v>15.0</v>
      </c>
      <c r="AX216" s="1126">
        <v>11.0</v>
      </c>
      <c r="AY216" s="1121">
        <v>15.0</v>
      </c>
      <c r="AZ216" s="1141">
        <v>0.0</v>
      </c>
      <c r="BA216" s="1305">
        <v>0.0</v>
      </c>
      <c r="BB216" s="1141">
        <v>20.0</v>
      </c>
      <c r="BC216" s="1305">
        <v>25.0</v>
      </c>
      <c r="BD216" s="1141">
        <v>0.0</v>
      </c>
      <c r="BE216" s="1305">
        <v>0.0</v>
      </c>
      <c r="BF216" s="1141">
        <v>11.0</v>
      </c>
      <c r="BG216" s="1305">
        <v>15.0</v>
      </c>
      <c r="BH216" s="1126">
        <v>5.0</v>
      </c>
      <c r="BI216" s="1131">
        <v>10.0</v>
      </c>
      <c r="BJ216" s="1126">
        <v>10.0</v>
      </c>
      <c r="BK216" s="1131">
        <v>15.0</v>
      </c>
      <c r="BL216" s="1134"/>
      <c r="BM216" s="1138"/>
      <c r="BN216" s="1087"/>
      <c r="BO216" s="1138"/>
      <c r="BP216" s="783">
        <f t="shared" si="151"/>
        <v>136</v>
      </c>
      <c r="BQ216" s="1571">
        <f t="shared" si="152"/>
        <v>223</v>
      </c>
      <c r="BR216" s="2005">
        <f t="shared" si="153"/>
        <v>21854</v>
      </c>
      <c r="BS216" s="784">
        <f t="shared" si="154"/>
        <v>13328</v>
      </c>
      <c r="BT216" s="1545"/>
      <c r="BU216" s="1807"/>
    </row>
    <row r="217" ht="18.0" customHeight="1">
      <c r="A217" s="1565" t="s">
        <v>145</v>
      </c>
      <c r="B217" s="1567">
        <v>822.0</v>
      </c>
      <c r="C217" s="1734">
        <v>5.0</v>
      </c>
      <c r="D217" s="1612" t="s">
        <v>74</v>
      </c>
      <c r="E217" s="733" t="str">
        <f>'Матрица 4 недели'!J52</f>
        <v>Хлеб пшеничный</v>
      </c>
      <c r="F217" s="1126">
        <v>8.0</v>
      </c>
      <c r="G217" s="1138">
        <v>8.0</v>
      </c>
      <c r="H217" s="1126">
        <v>3.0</v>
      </c>
      <c r="I217" s="1138">
        <v>3.0</v>
      </c>
      <c r="J217" s="1126"/>
      <c r="K217" s="1138"/>
      <c r="L217" s="1126"/>
      <c r="M217" s="1138"/>
      <c r="N217" s="1126">
        <v>4.0</v>
      </c>
      <c r="O217" s="1138">
        <v>4.0</v>
      </c>
      <c r="P217" s="1126">
        <v>3.0</v>
      </c>
      <c r="Q217" s="1138">
        <v>3.0</v>
      </c>
      <c r="R217" s="1120"/>
      <c r="S217" s="1121"/>
      <c r="T217" s="1137">
        <v>3.0</v>
      </c>
      <c r="U217" s="1121">
        <v>3.0</v>
      </c>
      <c r="V217" s="1137">
        <v>4.0</v>
      </c>
      <c r="W217" s="1121">
        <v>4.0</v>
      </c>
      <c r="X217" s="1137">
        <v>3.0</v>
      </c>
      <c r="Y217" s="1121">
        <v>3.0</v>
      </c>
      <c r="Z217" s="1126"/>
      <c r="AA217" s="1138"/>
      <c r="AB217" s="1120">
        <v>3.0</v>
      </c>
      <c r="AC217" s="1138">
        <v>3.0</v>
      </c>
      <c r="AD217" s="1120">
        <v>3.0</v>
      </c>
      <c r="AE217" s="1138">
        <v>3.0</v>
      </c>
      <c r="AF217" s="1120">
        <v>10.0</v>
      </c>
      <c r="AG217" s="1138">
        <v>10.0</v>
      </c>
      <c r="AH217" s="1120"/>
      <c r="AI217" s="1138"/>
      <c r="AJ217" s="1120">
        <v>3.0</v>
      </c>
      <c r="AK217" s="1138">
        <v>3.0</v>
      </c>
      <c r="AL217" s="1126">
        <v>4.0</v>
      </c>
      <c r="AM217" s="1138">
        <v>4.0</v>
      </c>
      <c r="AN217" s="1120"/>
      <c r="AO217" s="1127"/>
      <c r="AP217" s="1120"/>
      <c r="AQ217" s="1138"/>
      <c r="AR217" s="1120"/>
      <c r="AS217" s="1131"/>
      <c r="AT217" s="1137">
        <v>4.0</v>
      </c>
      <c r="AU217" s="1138">
        <v>4.0</v>
      </c>
      <c r="AV217" s="1126"/>
      <c r="AW217" s="1138"/>
      <c r="AX217" s="1126">
        <v>3.0</v>
      </c>
      <c r="AY217" s="1138">
        <v>3.0</v>
      </c>
      <c r="AZ217" s="1126">
        <v>20.0</v>
      </c>
      <c r="BA217" s="1138">
        <v>20.0</v>
      </c>
      <c r="BB217" s="1126"/>
      <c r="BC217" s="1138"/>
      <c r="BD217" s="1126"/>
      <c r="BE217" s="1138"/>
      <c r="BF217" s="1126">
        <v>4.0</v>
      </c>
      <c r="BG217" s="1138">
        <v>4.0</v>
      </c>
      <c r="BH217" s="1126">
        <v>4.0</v>
      </c>
      <c r="BI217" s="1138">
        <v>4.0</v>
      </c>
      <c r="BJ217" s="1126">
        <v>3.0</v>
      </c>
      <c r="BK217" s="1138">
        <v>3.0</v>
      </c>
      <c r="BL217" s="1134">
        <v>120.0</v>
      </c>
      <c r="BM217" s="1138">
        <v>120.0</v>
      </c>
      <c r="BN217" s="900"/>
      <c r="BO217" s="1170"/>
      <c r="BP217" s="783">
        <f t="shared" si="151"/>
        <v>210</v>
      </c>
      <c r="BQ217" s="1571">
        <f t="shared" si="152"/>
        <v>209</v>
      </c>
      <c r="BR217" s="2005">
        <f t="shared" si="153"/>
        <v>1045</v>
      </c>
      <c r="BS217" s="784">
        <f t="shared" si="154"/>
        <v>1050</v>
      </c>
      <c r="BT217" s="1545"/>
      <c r="BU217" s="1807"/>
    </row>
    <row r="218" ht="18.0" customHeight="1">
      <c r="A218" s="1565"/>
      <c r="B218" s="2020"/>
      <c r="C218" s="1734"/>
      <c r="D218" s="1568"/>
      <c r="E218" s="1172"/>
      <c r="F218" s="1120"/>
      <c r="G218" s="1121"/>
      <c r="H218" s="1120"/>
      <c r="I218" s="1121"/>
      <c r="J218" s="1120"/>
      <c r="K218" s="1138"/>
      <c r="L218" s="1120"/>
      <c r="M218" s="1138"/>
      <c r="N218" s="1120"/>
      <c r="O218" s="1138"/>
      <c r="P218" s="1120"/>
      <c r="Q218" s="1138"/>
      <c r="R218" s="1120"/>
      <c r="S218" s="1138"/>
      <c r="T218" s="1120"/>
      <c r="U218" s="1138"/>
      <c r="V218" s="1120"/>
      <c r="W218" s="1138"/>
      <c r="X218" s="1120"/>
      <c r="Y218" s="1138"/>
      <c r="Z218" s="1120"/>
      <c r="AA218" s="1138"/>
      <c r="AB218" s="1120"/>
      <c r="AC218" s="1138"/>
      <c r="AD218" s="1120"/>
      <c r="AE218" s="1138"/>
      <c r="AF218" s="1120"/>
      <c r="AG218" s="1138"/>
      <c r="AH218" s="1120"/>
      <c r="AI218" s="1138"/>
      <c r="AJ218" s="1120"/>
      <c r="AK218" s="1138"/>
      <c r="AL218" s="1120"/>
      <c r="AM218" s="1138"/>
      <c r="AN218" s="1120"/>
      <c r="AO218" s="1138"/>
      <c r="AP218" s="1120"/>
      <c r="AQ218" s="1138"/>
      <c r="AR218" s="1120"/>
      <c r="AS218" s="1305"/>
      <c r="AT218" s="1141"/>
      <c r="AU218" s="1305"/>
      <c r="AV218" s="1141"/>
      <c r="AW218" s="1305"/>
      <c r="AX218" s="1141"/>
      <c r="AY218" s="1305"/>
      <c r="AZ218" s="1141"/>
      <c r="BA218" s="1305"/>
      <c r="BB218" s="1141"/>
      <c r="BC218" s="1305"/>
      <c r="BD218" s="1141"/>
      <c r="BE218" s="1305"/>
      <c r="BF218" s="1141"/>
      <c r="BG218" s="1305"/>
      <c r="BH218" s="1141"/>
      <c r="BI218" s="1305"/>
      <c r="BJ218" s="1141"/>
      <c r="BK218" s="1305"/>
      <c r="BL218" s="1134"/>
      <c r="BM218" s="1138"/>
      <c r="BN218" s="1087"/>
      <c r="BO218" s="1138"/>
      <c r="BP218" s="783">
        <f t="shared" si="151"/>
        <v>1</v>
      </c>
      <c r="BQ218" s="1571">
        <f t="shared" si="152"/>
        <v>0</v>
      </c>
      <c r="BR218" s="2005">
        <f t="shared" si="153"/>
        <v>0</v>
      </c>
      <c r="BS218" s="784">
        <f t="shared" si="154"/>
        <v>0</v>
      </c>
      <c r="BT218" s="1545"/>
      <c r="BU218" s="1807"/>
    </row>
    <row r="219" ht="18.0" customHeight="1">
      <c r="A219" s="1708"/>
      <c r="B219" s="2020"/>
      <c r="C219" s="1734"/>
      <c r="D219" s="1568"/>
      <c r="E219" s="1172"/>
      <c r="F219" s="1120"/>
      <c r="G219" s="1138"/>
      <c r="H219" s="1120"/>
      <c r="I219" s="1138"/>
      <c r="J219" s="1120"/>
      <c r="K219" s="1138"/>
      <c r="L219" s="1120"/>
      <c r="M219" s="1138"/>
      <c r="N219" s="1120"/>
      <c r="O219" s="1138"/>
      <c r="P219" s="1120"/>
      <c r="Q219" s="1138"/>
      <c r="R219" s="1120"/>
      <c r="S219" s="1138"/>
      <c r="T219" s="1120"/>
      <c r="U219" s="1138"/>
      <c r="V219" s="1120"/>
      <c r="W219" s="1138"/>
      <c r="X219" s="1120"/>
      <c r="Y219" s="1138"/>
      <c r="Z219" s="1120"/>
      <c r="AA219" s="1138"/>
      <c r="AB219" s="1120"/>
      <c r="AC219" s="1138"/>
      <c r="AD219" s="1120"/>
      <c r="AE219" s="1138"/>
      <c r="AF219" s="1120"/>
      <c r="AG219" s="1138"/>
      <c r="AH219" s="1120"/>
      <c r="AI219" s="1138"/>
      <c r="AJ219" s="1120"/>
      <c r="AK219" s="1138"/>
      <c r="AL219" s="1120"/>
      <c r="AM219" s="1138"/>
      <c r="AN219" s="1120"/>
      <c r="AO219" s="1138"/>
      <c r="AP219" s="1120"/>
      <c r="AQ219" s="1138"/>
      <c r="AR219" s="1120"/>
      <c r="AS219" s="1138"/>
      <c r="AT219" s="1126"/>
      <c r="AU219" s="1138"/>
      <c r="AV219" s="1126"/>
      <c r="AW219" s="1138"/>
      <c r="AX219" s="1126"/>
      <c r="AY219" s="1138"/>
      <c r="AZ219" s="1126"/>
      <c r="BA219" s="1138"/>
      <c r="BB219" s="1126"/>
      <c r="BC219" s="1138"/>
      <c r="BD219" s="1126"/>
      <c r="BE219" s="1138"/>
      <c r="BF219" s="1126"/>
      <c r="BG219" s="1138"/>
      <c r="BH219" s="1126"/>
      <c r="BI219" s="1138"/>
      <c r="BJ219" s="1126"/>
      <c r="BK219" s="1138"/>
      <c r="BL219" s="1134"/>
      <c r="BM219" s="1138"/>
      <c r="BN219" s="1087"/>
      <c r="BO219" s="1138"/>
      <c r="BP219" s="783">
        <f t="shared" si="151"/>
        <v>1</v>
      </c>
      <c r="BQ219" s="1571">
        <f t="shared" si="152"/>
        <v>0</v>
      </c>
      <c r="BR219" s="2005">
        <f t="shared" si="153"/>
        <v>0</v>
      </c>
      <c r="BS219" s="784">
        <f t="shared" si="154"/>
        <v>0</v>
      </c>
      <c r="BT219" s="1610" t="s">
        <v>3104</v>
      </c>
      <c r="BU219" s="1807"/>
    </row>
    <row r="220" ht="21.75" customHeight="1">
      <c r="A220" s="1679"/>
      <c r="B220" s="1668"/>
      <c r="C220" s="1668"/>
      <c r="D220" s="1669"/>
      <c r="E220" s="1922"/>
      <c r="F220" s="908"/>
      <c r="G220" s="908"/>
      <c r="H220" s="908"/>
      <c r="I220" s="908"/>
      <c r="J220" s="908"/>
      <c r="K220" s="908"/>
      <c r="L220" s="908"/>
      <c r="M220" s="908"/>
      <c r="N220" s="908"/>
      <c r="O220" s="908"/>
      <c r="P220" s="908"/>
      <c r="Q220" s="908"/>
      <c r="R220" s="908"/>
      <c r="S220" s="908"/>
      <c r="T220" s="908"/>
      <c r="U220" s="908"/>
      <c r="V220" s="908"/>
      <c r="W220" s="908"/>
      <c r="X220" s="908"/>
      <c r="Y220" s="908"/>
      <c r="Z220" s="908"/>
      <c r="AA220" s="908"/>
      <c r="AB220" s="908"/>
      <c r="AC220" s="908"/>
      <c r="AD220" s="908"/>
      <c r="AE220" s="908"/>
      <c r="AF220" s="908"/>
      <c r="AG220" s="908"/>
      <c r="AH220" s="908"/>
      <c r="AI220" s="908"/>
      <c r="AJ220" s="908"/>
      <c r="AK220" s="908"/>
      <c r="AL220" s="908"/>
      <c r="AM220" s="908"/>
      <c r="AN220" s="908"/>
      <c r="AO220" s="908"/>
      <c r="AP220" s="908"/>
      <c r="AQ220" s="908"/>
      <c r="AR220" s="908"/>
      <c r="AS220" s="908"/>
      <c r="AT220" s="908"/>
      <c r="AU220" s="908"/>
      <c r="AV220" s="908"/>
      <c r="AW220" s="908"/>
      <c r="AX220" s="1317"/>
      <c r="AY220" s="908"/>
      <c r="AZ220" s="908"/>
      <c r="BA220" s="908"/>
      <c r="BB220" s="1317"/>
      <c r="BC220" s="908"/>
      <c r="BD220" s="1317"/>
      <c r="BE220" s="908"/>
      <c r="BF220" s="1317"/>
      <c r="BG220" s="908"/>
      <c r="BH220" s="1317"/>
      <c r="BI220" s="908"/>
      <c r="BJ220" s="1317"/>
      <c r="BK220" s="908"/>
      <c r="BL220" s="2023" t="s">
        <v>3123</v>
      </c>
      <c r="BM220" s="2024"/>
      <c r="BN220" s="1654"/>
      <c r="BO220" s="1654"/>
      <c r="BP220" s="2025">
        <f t="shared" ref="BP220:BS220" si="155">SUM(BP193:BP219)</f>
        <v>2612</v>
      </c>
      <c r="BQ220" s="2026">
        <f t="shared" si="155"/>
        <v>2691</v>
      </c>
      <c r="BR220" s="2027">
        <f t="shared" si="155"/>
        <v>385121</v>
      </c>
      <c r="BS220" s="2028">
        <f t="shared" si="155"/>
        <v>381300</v>
      </c>
      <c r="BT220" s="1678">
        <f>BR220-BS220</f>
        <v>3821</v>
      </c>
      <c r="BU220" s="1807"/>
    </row>
    <row r="221" ht="15.75" customHeight="1">
      <c r="A221" s="1679"/>
      <c r="B221" s="1668"/>
      <c r="C221" s="1668"/>
      <c r="D221" s="1669"/>
      <c r="E221" s="2029"/>
      <c r="F221" s="1672"/>
      <c r="G221" s="1672"/>
      <c r="H221" s="1672"/>
      <c r="I221" s="1672"/>
      <c r="J221" s="1672"/>
      <c r="K221" s="1672"/>
      <c r="L221" s="1672"/>
      <c r="M221" s="1672"/>
      <c r="N221" s="1672"/>
      <c r="O221" s="1672"/>
      <c r="P221" s="1673"/>
      <c r="Q221" s="1672"/>
      <c r="R221" s="1672"/>
      <c r="S221" s="1672"/>
      <c r="T221" s="1672"/>
      <c r="U221" s="1672"/>
      <c r="V221" s="1672"/>
      <c r="W221" s="1672"/>
      <c r="X221" s="1672"/>
      <c r="Y221" s="1672"/>
      <c r="Z221" s="1672"/>
      <c r="AA221" s="1672"/>
      <c r="AB221" s="1672"/>
      <c r="AC221" s="1672"/>
      <c r="AD221" s="1672"/>
      <c r="AE221" s="1681"/>
      <c r="AF221" s="1672"/>
      <c r="AG221" s="1672"/>
      <c r="AH221" s="1681"/>
      <c r="AI221" s="1920"/>
      <c r="AJ221" s="1920"/>
      <c r="AK221" s="1920"/>
      <c r="AL221" s="1920"/>
      <c r="AM221" s="1920"/>
      <c r="AN221" s="1921"/>
      <c r="AO221" s="1921"/>
      <c r="AP221" s="1921"/>
      <c r="AQ221" s="1921"/>
      <c r="AR221" s="1921"/>
      <c r="AS221" s="1920"/>
      <c r="AT221" s="1920"/>
      <c r="AU221" s="1920"/>
      <c r="AV221" s="1920"/>
      <c r="AW221" s="1920"/>
      <c r="AX221" s="1922"/>
      <c r="AY221" s="1920"/>
      <c r="AZ221" s="807"/>
      <c r="BA221" s="1920"/>
      <c r="BB221" s="1923"/>
      <c r="BC221" s="1920"/>
      <c r="BD221" s="1923"/>
      <c r="BE221" s="1920"/>
      <c r="BF221" s="1923"/>
      <c r="BG221" s="1920"/>
      <c r="BH221" s="1923"/>
      <c r="BI221" s="1920"/>
      <c r="BJ221" s="1923"/>
      <c r="BK221" s="1920"/>
      <c r="BL221" s="1920"/>
      <c r="BM221" s="870"/>
      <c r="BN221" s="803"/>
      <c r="BO221" s="803"/>
      <c r="BP221" s="2030"/>
      <c r="BQ221" s="2031"/>
      <c r="BR221" s="2030"/>
      <c r="BS221" s="2032"/>
      <c r="BT221" s="541"/>
      <c r="BU221" s="541"/>
    </row>
    <row r="222" ht="15.75" customHeight="1">
      <c r="A222" s="1679"/>
      <c r="B222" s="1668"/>
      <c r="C222" s="1668"/>
      <c r="D222" s="1669"/>
      <c r="E222" s="1671"/>
      <c r="F222" s="1672"/>
      <c r="G222" s="1673"/>
      <c r="H222" s="1673"/>
      <c r="I222" s="1673"/>
      <c r="J222" s="1672"/>
      <c r="K222" s="1672"/>
      <c r="L222" s="1673"/>
      <c r="M222" s="1673"/>
      <c r="N222" s="1672"/>
      <c r="O222" s="1672"/>
      <c r="P222" s="1673"/>
      <c r="Q222" s="1673"/>
      <c r="R222" s="1673"/>
      <c r="S222" s="1672"/>
      <c r="T222" s="1672"/>
      <c r="U222" s="1673"/>
      <c r="V222" s="1673"/>
      <c r="W222" s="1673"/>
      <c r="X222" s="1673"/>
      <c r="Y222" s="1672"/>
      <c r="Z222" s="1672"/>
      <c r="AA222" s="1673"/>
      <c r="AB222" s="1673"/>
      <c r="AC222" s="1672"/>
      <c r="AD222" s="1673"/>
      <c r="AE222" s="1673"/>
      <c r="AF222" s="1672"/>
      <c r="AG222" s="1672"/>
      <c r="AH222" s="1673"/>
      <c r="AI222" s="1920"/>
      <c r="AJ222" s="1920"/>
      <c r="AK222" s="1920"/>
      <c r="AL222" s="1920"/>
      <c r="AM222" s="1920"/>
      <c r="AN222" s="1921"/>
      <c r="AO222" s="1921"/>
      <c r="AP222" s="1921"/>
      <c r="AQ222" s="1921"/>
      <c r="AR222" s="1921"/>
      <c r="AS222" s="1920"/>
      <c r="AT222" s="1920"/>
      <c r="AU222" s="1920"/>
      <c r="AV222" s="1920"/>
      <c r="AW222" s="1920"/>
      <c r="AX222" s="1922"/>
      <c r="AY222" s="1920"/>
      <c r="AZ222" s="807"/>
      <c r="BA222" s="1920"/>
      <c r="BB222" s="1923"/>
      <c r="BC222" s="1920"/>
      <c r="BD222" s="1923"/>
      <c r="BE222" s="1920"/>
      <c r="BF222" s="1923"/>
      <c r="BG222" s="1920"/>
      <c r="BH222" s="1923"/>
      <c r="BI222" s="1920"/>
      <c r="BJ222" s="1923"/>
      <c r="BK222" s="1920"/>
      <c r="BL222" s="1920"/>
      <c r="BM222" s="726"/>
      <c r="BN222" s="1188"/>
      <c r="BO222" s="1188"/>
      <c r="BP222" s="1684"/>
      <c r="BQ222" s="629"/>
      <c r="BR222" s="541"/>
      <c r="BS222" s="1829"/>
      <c r="BT222" s="541"/>
      <c r="BU222" s="541"/>
    </row>
    <row r="223" ht="18.75" customHeight="1">
      <c r="A223" s="1715" t="s">
        <v>3067</v>
      </c>
      <c r="B223" s="1548"/>
      <c r="C223" s="1716">
        <v>46239.0</v>
      </c>
      <c r="D223" s="1548"/>
      <c r="E223" s="908" t="s">
        <v>3106</v>
      </c>
      <c r="F223" s="1920"/>
      <c r="G223" s="1920"/>
      <c r="H223" s="1920"/>
      <c r="I223" s="1920"/>
      <c r="J223" s="1920" t="s">
        <v>1356</v>
      </c>
      <c r="K223" s="1920"/>
      <c r="L223" s="1921"/>
      <c r="M223" s="1920"/>
      <c r="N223" s="1920"/>
      <c r="O223" s="1920"/>
      <c r="P223" s="1920"/>
      <c r="Q223" s="1920"/>
      <c r="R223" s="1920"/>
      <c r="S223" s="1920"/>
      <c r="T223" s="1920"/>
      <c r="U223" s="1920"/>
      <c r="V223" s="1920"/>
      <c r="W223" s="1920"/>
      <c r="X223" s="1920"/>
      <c r="Y223" s="1920"/>
      <c r="Z223" s="1920"/>
      <c r="AA223" s="1920"/>
      <c r="AB223" s="1920"/>
      <c r="AC223" s="1920"/>
      <c r="AD223" s="1920"/>
      <c r="AE223" s="1920"/>
      <c r="AF223" s="1920"/>
      <c r="AG223" s="1920"/>
      <c r="AH223" s="1920"/>
      <c r="AI223" s="1920"/>
      <c r="AJ223" s="1920"/>
      <c r="AK223" s="1920"/>
      <c r="AL223" s="1920"/>
      <c r="AM223" s="1920"/>
      <c r="AN223" s="1921"/>
      <c r="AO223" s="1921"/>
      <c r="AP223" s="1921"/>
      <c r="AQ223" s="1921"/>
      <c r="AR223" s="1921"/>
      <c r="AS223" s="1920"/>
      <c r="AT223" s="1920"/>
      <c r="AU223" s="1920"/>
      <c r="AV223" s="1920"/>
      <c r="AW223" s="1920"/>
      <c r="AX223" s="1922"/>
      <c r="AY223" s="1920"/>
      <c r="AZ223" s="807"/>
      <c r="BA223" s="1920"/>
      <c r="BB223" s="1923"/>
      <c r="BC223" s="1920"/>
      <c r="BD223" s="1923"/>
      <c r="BE223" s="1920"/>
      <c r="BF223" s="1923"/>
      <c r="BG223" s="1920"/>
      <c r="BH223" s="1923"/>
      <c r="BI223" s="1920"/>
      <c r="BJ223" s="1923"/>
      <c r="BK223" s="1920"/>
      <c r="BL223" s="1920"/>
      <c r="BM223" s="684"/>
      <c r="BN223" s="677"/>
      <c r="BO223" s="677"/>
      <c r="BP223" s="1193"/>
      <c r="BQ223" s="748"/>
      <c r="BR223" s="1193"/>
      <c r="BS223" s="1829"/>
      <c r="BT223" s="1193"/>
      <c r="BU223" s="1193"/>
    </row>
    <row r="224" ht="17.25" customHeight="1">
      <c r="A224" s="2033" t="s">
        <v>3069</v>
      </c>
      <c r="B224" s="1603" t="s">
        <v>3097</v>
      </c>
      <c r="C224" s="1603" t="s">
        <v>19</v>
      </c>
      <c r="D224" s="1603" t="s">
        <v>3070</v>
      </c>
      <c r="E224" s="1559" t="s">
        <v>471</v>
      </c>
      <c r="F224" s="1842" t="s">
        <v>1357</v>
      </c>
      <c r="G224" s="69"/>
      <c r="H224" s="1842" t="s">
        <v>1287</v>
      </c>
      <c r="I224" s="69"/>
      <c r="J224" s="1842" t="s">
        <v>1358</v>
      </c>
      <c r="K224" s="69"/>
      <c r="L224" s="1842" t="s">
        <v>1359</v>
      </c>
      <c r="M224" s="69"/>
      <c r="N224" s="1842" t="s">
        <v>1360</v>
      </c>
      <c r="O224" s="69"/>
      <c r="P224" s="1842" t="s">
        <v>1361</v>
      </c>
      <c r="Q224" s="69"/>
      <c r="R224" s="1842" t="s">
        <v>1362</v>
      </c>
      <c r="S224" s="69"/>
      <c r="T224" s="1842" t="s">
        <v>1299</v>
      </c>
      <c r="U224" s="69"/>
      <c r="V224" s="1842" t="s">
        <v>1301</v>
      </c>
      <c r="W224" s="69"/>
      <c r="X224" s="1842" t="s">
        <v>1363</v>
      </c>
      <c r="Y224" s="69"/>
      <c r="Z224" s="1842" t="s">
        <v>1305</v>
      </c>
      <c r="AA224" s="69"/>
      <c r="AB224" s="1842" t="s">
        <v>1307</v>
      </c>
      <c r="AC224" s="69"/>
      <c r="AD224" s="1842" t="s">
        <v>1309</v>
      </c>
      <c r="AE224" s="69"/>
      <c r="AF224" s="1842" t="s">
        <v>1311</v>
      </c>
      <c r="AG224" s="69"/>
      <c r="AH224" s="1842" t="s">
        <v>1313</v>
      </c>
      <c r="AI224" s="69"/>
      <c r="AJ224" s="1842" t="s">
        <v>1315</v>
      </c>
      <c r="AK224" s="69"/>
      <c r="AL224" s="1842" t="s">
        <v>1317</v>
      </c>
      <c r="AM224" s="69"/>
      <c r="AN224" s="1842" t="s">
        <v>1319</v>
      </c>
      <c r="AO224" s="69"/>
      <c r="AP224" s="1842" t="s">
        <v>1321</v>
      </c>
      <c r="AQ224" s="69"/>
      <c r="AR224" s="1842" t="s">
        <v>1323</v>
      </c>
      <c r="AS224" s="69"/>
      <c r="AT224" s="1842" t="s">
        <v>1325</v>
      </c>
      <c r="AU224" s="69"/>
      <c r="AV224" s="1842" t="s">
        <v>1327</v>
      </c>
      <c r="AW224" s="69"/>
      <c r="AX224" s="2034" t="s">
        <v>3076</v>
      </c>
      <c r="AY224" s="69"/>
      <c r="AZ224" s="2034" t="s">
        <v>3078</v>
      </c>
      <c r="BA224" s="69"/>
      <c r="BB224" s="2034" t="s">
        <v>3080</v>
      </c>
      <c r="BC224" s="69"/>
      <c r="BD224" s="2034" t="s">
        <v>3082</v>
      </c>
      <c r="BE224" s="69"/>
      <c r="BF224" s="2034" t="s">
        <v>3084</v>
      </c>
      <c r="BG224" s="69"/>
      <c r="BH224" s="2034" t="s">
        <v>3086</v>
      </c>
      <c r="BI224" s="69"/>
      <c r="BJ224" s="2034" t="s">
        <v>3088</v>
      </c>
      <c r="BK224" s="69"/>
      <c r="BL224" s="1842" t="s">
        <v>297</v>
      </c>
      <c r="BM224" s="69"/>
      <c r="BN224" s="2034" t="str">
        <f t="shared" ref="BN224:BN250" si="156">BO192</f>
        <v>Ф.Стол</v>
      </c>
      <c r="BO224" s="69"/>
      <c r="BP224" s="1842" t="s">
        <v>5</v>
      </c>
      <c r="BQ224" s="69"/>
      <c r="BR224" s="2035"/>
      <c r="BS224" s="2036"/>
      <c r="BT224" s="2035"/>
      <c r="BU224" s="2035"/>
    </row>
    <row r="225" ht="24.0" customHeight="1">
      <c r="A225" s="1698" t="str">
        <f t="shared" ref="A225:A250" si="157">A193</f>
        <v>Да</v>
      </c>
      <c r="B225" s="1719">
        <v>3196.0</v>
      </c>
      <c r="C225" s="1734">
        <v>97.0</v>
      </c>
      <c r="D225" s="1720"/>
      <c r="E225" s="1702" t="str">
        <f t="shared" ref="E225:E250" si="158">E193</f>
        <v>Манник ''Маковый''</v>
      </c>
      <c r="F225" s="2002">
        <f t="shared" ref="F225:F249" si="159">G193</f>
        <v>4</v>
      </c>
      <c r="G225" s="69"/>
      <c r="H225" s="2002">
        <f t="shared" ref="H225:H249" si="160">I193</f>
        <v>3</v>
      </c>
      <c r="I225" s="69"/>
      <c r="J225" s="2002">
        <f t="shared" ref="J225:J249" si="161">K193</f>
        <v>3</v>
      </c>
      <c r="K225" s="69"/>
      <c r="L225" s="2002">
        <f t="shared" ref="L225:L249" si="162">M193</f>
        <v>2</v>
      </c>
      <c r="M225" s="69"/>
      <c r="N225" s="2002">
        <f t="shared" ref="N225:N249" si="163">O193</f>
        <v>8</v>
      </c>
      <c r="O225" s="69"/>
      <c r="P225" s="2002">
        <f t="shared" ref="P225:P249" si="164">Q193</f>
        <v>3</v>
      </c>
      <c r="Q225" s="69"/>
      <c r="R225" s="2002">
        <f t="shared" ref="R225:R249" si="165">S193</f>
        <v>4</v>
      </c>
      <c r="S225" s="69"/>
      <c r="T225" s="2002">
        <f t="shared" ref="T225:T249" si="166">U193</f>
        <v>2</v>
      </c>
      <c r="U225" s="69"/>
      <c r="V225" s="2002">
        <f t="shared" ref="V225:V249" si="167">W193</f>
        <v>4</v>
      </c>
      <c r="W225" s="69"/>
      <c r="X225" s="2002">
        <f t="shared" ref="X225:X249" si="168">Y193</f>
        <v>5</v>
      </c>
      <c r="Y225" s="69"/>
      <c r="Z225" s="2002" t="str">
        <f t="shared" ref="Z225:Z249" si="169">AA193</f>
        <v/>
      </c>
      <c r="AA225" s="69"/>
      <c r="AB225" s="2002">
        <f t="shared" ref="AB225:AB249" si="170">AC193</f>
        <v>4</v>
      </c>
      <c r="AC225" s="69"/>
      <c r="AD225" s="2002">
        <f t="shared" ref="AD225:AD249" si="171">AE193</f>
        <v>3</v>
      </c>
      <c r="AE225" s="69"/>
      <c r="AF225" s="2002">
        <f t="shared" ref="AF225:AF249" si="172">AG193</f>
        <v>3</v>
      </c>
      <c r="AG225" s="69"/>
      <c r="AH225" s="2002">
        <f t="shared" ref="AH225:AH249" si="173">AI193</f>
        <v>4</v>
      </c>
      <c r="AI225" s="69"/>
      <c r="AJ225" s="2002">
        <f t="shared" ref="AJ225:AJ249" si="174">AK193</f>
        <v>3</v>
      </c>
      <c r="AK225" s="69"/>
      <c r="AL225" s="2002">
        <f t="shared" ref="AL225:AL249" si="175">AM193</f>
        <v>2</v>
      </c>
      <c r="AM225" s="69"/>
      <c r="AN225" s="2002">
        <f t="shared" ref="AN225:AN249" si="176">AO193</f>
        <v>3</v>
      </c>
      <c r="AO225" s="69"/>
      <c r="AP225" s="2002">
        <f t="shared" ref="AP225:AP249" si="177">AQ193</f>
        <v>5</v>
      </c>
      <c r="AQ225" s="69"/>
      <c r="AR225" s="2002">
        <f t="shared" ref="AR225:AR249" si="178">AS193</f>
        <v>11</v>
      </c>
      <c r="AS225" s="69"/>
      <c r="AT225" s="2002">
        <f t="shared" ref="AT225:AT249" si="179">AU193</f>
        <v>5</v>
      </c>
      <c r="AU225" s="69"/>
      <c r="AV225" s="2002">
        <f t="shared" ref="AV225:AV249" si="180">AW193</f>
        <v>3</v>
      </c>
      <c r="AW225" s="69"/>
      <c r="AX225" s="2037">
        <f t="shared" ref="AX225:AX249" si="181">AY193</f>
        <v>6</v>
      </c>
      <c r="AY225" s="69"/>
      <c r="AZ225" s="2037">
        <f t="shared" ref="AZ225:AZ249" si="182">BA193</f>
        <v>2</v>
      </c>
      <c r="BA225" s="69"/>
      <c r="BB225" s="2037">
        <f t="shared" ref="BB225:BB249" si="183">BC193</f>
        <v>7</v>
      </c>
      <c r="BC225" s="69"/>
      <c r="BD225" s="2037">
        <f t="shared" ref="BD225:BD249" si="184">BE193</f>
        <v>4</v>
      </c>
      <c r="BE225" s="69"/>
      <c r="BF225" s="2037">
        <f t="shared" ref="BF225:BF249" si="185">BG193</f>
        <v>3</v>
      </c>
      <c r="BG225" s="69"/>
      <c r="BH225" s="2037">
        <f t="shared" ref="BH225:BH249" si="186">BI193</f>
        <v>4</v>
      </c>
      <c r="BI225" s="69"/>
      <c r="BJ225" s="2037">
        <f t="shared" ref="BJ225:BJ249" si="187">BK193</f>
        <v>5</v>
      </c>
      <c r="BK225" s="69"/>
      <c r="BL225" s="2002" t="str">
        <f t="shared" ref="BL225:BL249" si="188">BM193</f>
        <v/>
      </c>
      <c r="BM225" s="69"/>
      <c r="BN225" s="2002" t="str">
        <f t="shared" si="156"/>
        <v/>
      </c>
      <c r="BO225" s="69"/>
      <c r="BP225" s="2038">
        <f t="shared" ref="BP225:BP250" si="189">SUM(F225:BM225)</f>
        <v>115</v>
      </c>
      <c r="BQ225" s="69"/>
      <c r="BR225" s="541"/>
      <c r="BS225" s="1829"/>
      <c r="BT225" s="541"/>
      <c r="BU225" s="541"/>
    </row>
    <row r="226" ht="24.0" customHeight="1">
      <c r="A226" s="1698" t="str">
        <f t="shared" si="157"/>
        <v>Да</v>
      </c>
      <c r="B226" s="1719">
        <v>3645.0</v>
      </c>
      <c r="C226" s="1734">
        <v>219.0</v>
      </c>
      <c r="D226" s="1720"/>
      <c r="E226" s="1702" t="str">
        <f t="shared" si="158"/>
        <v>Драники с рыбой и творожным сыром</v>
      </c>
      <c r="F226" s="2002">
        <f t="shared" si="159"/>
        <v>2</v>
      </c>
      <c r="G226" s="69"/>
      <c r="H226" s="2002">
        <f t="shared" si="160"/>
        <v>2</v>
      </c>
      <c r="I226" s="69"/>
      <c r="J226" s="2002">
        <f t="shared" si="161"/>
        <v>5</v>
      </c>
      <c r="K226" s="69"/>
      <c r="L226" s="2002">
        <f t="shared" si="162"/>
        <v>4</v>
      </c>
      <c r="M226" s="69"/>
      <c r="N226" s="2002">
        <f t="shared" si="163"/>
        <v>8</v>
      </c>
      <c r="O226" s="69"/>
      <c r="P226" s="2002">
        <f t="shared" si="164"/>
        <v>3</v>
      </c>
      <c r="Q226" s="69"/>
      <c r="R226" s="2002">
        <f t="shared" si="165"/>
        <v>2</v>
      </c>
      <c r="S226" s="69"/>
      <c r="T226" s="2002">
        <f t="shared" si="166"/>
        <v>2</v>
      </c>
      <c r="U226" s="69"/>
      <c r="V226" s="2002">
        <f t="shared" si="167"/>
        <v>4</v>
      </c>
      <c r="W226" s="69"/>
      <c r="X226" s="2002">
        <f t="shared" si="168"/>
        <v>0</v>
      </c>
      <c r="Y226" s="69"/>
      <c r="Z226" s="2002" t="str">
        <f t="shared" si="169"/>
        <v/>
      </c>
      <c r="AA226" s="69"/>
      <c r="AB226" s="2002">
        <f t="shared" si="170"/>
        <v>3</v>
      </c>
      <c r="AC226" s="69"/>
      <c r="AD226" s="2002">
        <f t="shared" si="171"/>
        <v>3</v>
      </c>
      <c r="AE226" s="69"/>
      <c r="AF226" s="2002">
        <f t="shared" si="172"/>
        <v>3</v>
      </c>
      <c r="AG226" s="69"/>
      <c r="AH226" s="2002">
        <f t="shared" si="173"/>
        <v>4</v>
      </c>
      <c r="AI226" s="69"/>
      <c r="AJ226" s="2002">
        <f t="shared" si="174"/>
        <v>3</v>
      </c>
      <c r="AK226" s="69"/>
      <c r="AL226" s="2002">
        <f t="shared" si="175"/>
        <v>2</v>
      </c>
      <c r="AM226" s="69"/>
      <c r="AN226" s="2002">
        <f t="shared" si="176"/>
        <v>3</v>
      </c>
      <c r="AO226" s="69"/>
      <c r="AP226" s="2002">
        <f t="shared" si="177"/>
        <v>5</v>
      </c>
      <c r="AQ226" s="69"/>
      <c r="AR226" s="2002">
        <f t="shared" si="178"/>
        <v>8</v>
      </c>
      <c r="AS226" s="69"/>
      <c r="AT226" s="2002">
        <f t="shared" si="179"/>
        <v>1</v>
      </c>
      <c r="AU226" s="69"/>
      <c r="AV226" s="2002">
        <f t="shared" si="180"/>
        <v>3</v>
      </c>
      <c r="AW226" s="69"/>
      <c r="AX226" s="2037">
        <f t="shared" si="181"/>
        <v>6</v>
      </c>
      <c r="AY226" s="69"/>
      <c r="AZ226" s="2037">
        <f t="shared" si="182"/>
        <v>2</v>
      </c>
      <c r="BA226" s="69"/>
      <c r="BB226" s="2037">
        <f t="shared" si="183"/>
        <v>7</v>
      </c>
      <c r="BC226" s="69"/>
      <c r="BD226" s="2037">
        <f t="shared" si="184"/>
        <v>2</v>
      </c>
      <c r="BE226" s="69"/>
      <c r="BF226" s="2037">
        <f t="shared" si="185"/>
        <v>1</v>
      </c>
      <c r="BG226" s="69"/>
      <c r="BH226" s="2037">
        <f t="shared" si="186"/>
        <v>2</v>
      </c>
      <c r="BI226" s="69"/>
      <c r="BJ226" s="2037">
        <f t="shared" si="187"/>
        <v>2</v>
      </c>
      <c r="BK226" s="69"/>
      <c r="BL226" s="2002" t="str">
        <f t="shared" si="188"/>
        <v/>
      </c>
      <c r="BM226" s="69"/>
      <c r="BN226" s="2002" t="str">
        <f t="shared" si="156"/>
        <v/>
      </c>
      <c r="BO226" s="69"/>
      <c r="BP226" s="2038">
        <f t="shared" si="189"/>
        <v>92</v>
      </c>
      <c r="BQ226" s="69"/>
      <c r="BR226" s="541"/>
      <c r="BS226" s="1829"/>
      <c r="BT226" s="541"/>
      <c r="BU226" s="541"/>
    </row>
    <row r="227" ht="24.0" customHeight="1">
      <c r="A227" s="1698" t="str">
        <f t="shared" si="157"/>
        <v>Да</v>
      </c>
      <c r="B227" s="1719">
        <v>758.0</v>
      </c>
      <c r="C227" s="1734">
        <v>110.0</v>
      </c>
      <c r="D227" s="1720"/>
      <c r="E227" s="1702" t="str">
        <f t="shared" si="158"/>
        <v>Блинчики с творогом и вишней</v>
      </c>
      <c r="F227" s="2002">
        <f t="shared" si="159"/>
        <v>8</v>
      </c>
      <c r="G227" s="69"/>
      <c r="H227" s="2002">
        <f t="shared" si="160"/>
        <v>2</v>
      </c>
      <c r="I227" s="69"/>
      <c r="J227" s="2002">
        <f t="shared" si="161"/>
        <v>6</v>
      </c>
      <c r="K227" s="69"/>
      <c r="L227" s="2002">
        <f t="shared" si="162"/>
        <v>2</v>
      </c>
      <c r="M227" s="69"/>
      <c r="N227" s="2002">
        <f t="shared" si="163"/>
        <v>6</v>
      </c>
      <c r="O227" s="69"/>
      <c r="P227" s="2002">
        <f t="shared" si="164"/>
        <v>3</v>
      </c>
      <c r="Q227" s="69"/>
      <c r="R227" s="2002">
        <f t="shared" si="165"/>
        <v>2</v>
      </c>
      <c r="S227" s="69"/>
      <c r="T227" s="2002">
        <f t="shared" si="166"/>
        <v>2</v>
      </c>
      <c r="U227" s="69"/>
      <c r="V227" s="2002">
        <f t="shared" si="167"/>
        <v>2</v>
      </c>
      <c r="W227" s="69"/>
      <c r="X227" s="2002">
        <f t="shared" si="168"/>
        <v>7</v>
      </c>
      <c r="Y227" s="69"/>
      <c r="Z227" s="2002" t="str">
        <f t="shared" si="169"/>
        <v/>
      </c>
      <c r="AA227" s="69"/>
      <c r="AB227" s="2002">
        <f t="shared" si="170"/>
        <v>4</v>
      </c>
      <c r="AC227" s="69"/>
      <c r="AD227" s="2002">
        <f t="shared" si="171"/>
        <v>4</v>
      </c>
      <c r="AE227" s="69"/>
      <c r="AF227" s="2002">
        <f t="shared" si="172"/>
        <v>5</v>
      </c>
      <c r="AG227" s="69"/>
      <c r="AH227" s="2002">
        <f t="shared" si="173"/>
        <v>4</v>
      </c>
      <c r="AI227" s="69"/>
      <c r="AJ227" s="2002">
        <f t="shared" si="174"/>
        <v>8</v>
      </c>
      <c r="AK227" s="69"/>
      <c r="AL227" s="2002">
        <f t="shared" si="175"/>
        <v>2</v>
      </c>
      <c r="AM227" s="69"/>
      <c r="AN227" s="2002">
        <f t="shared" si="176"/>
        <v>2</v>
      </c>
      <c r="AO227" s="69"/>
      <c r="AP227" s="2002">
        <f t="shared" si="177"/>
        <v>3</v>
      </c>
      <c r="AQ227" s="69"/>
      <c r="AR227" s="2002">
        <f t="shared" si="178"/>
        <v>9</v>
      </c>
      <c r="AS227" s="69"/>
      <c r="AT227" s="2002">
        <f t="shared" si="179"/>
        <v>2</v>
      </c>
      <c r="AU227" s="69"/>
      <c r="AV227" s="2002">
        <f t="shared" si="180"/>
        <v>3</v>
      </c>
      <c r="AW227" s="69"/>
      <c r="AX227" s="2037">
        <f t="shared" si="181"/>
        <v>5</v>
      </c>
      <c r="AY227" s="69"/>
      <c r="AZ227" s="2037">
        <f t="shared" si="182"/>
        <v>2</v>
      </c>
      <c r="BA227" s="69"/>
      <c r="BB227" s="2037">
        <f t="shared" si="183"/>
        <v>7</v>
      </c>
      <c r="BC227" s="69"/>
      <c r="BD227" s="2037">
        <f t="shared" si="184"/>
        <v>2</v>
      </c>
      <c r="BE227" s="69"/>
      <c r="BF227" s="2037">
        <f t="shared" si="185"/>
        <v>4</v>
      </c>
      <c r="BG227" s="69"/>
      <c r="BH227" s="2037">
        <f t="shared" si="186"/>
        <v>2</v>
      </c>
      <c r="BI227" s="69"/>
      <c r="BJ227" s="2037">
        <f t="shared" si="187"/>
        <v>5</v>
      </c>
      <c r="BK227" s="69"/>
      <c r="BL227" s="2002" t="str">
        <f t="shared" si="188"/>
        <v/>
      </c>
      <c r="BM227" s="69"/>
      <c r="BN227" s="2002" t="str">
        <f t="shared" si="156"/>
        <v/>
      </c>
      <c r="BO227" s="69"/>
      <c r="BP227" s="2038">
        <f t="shared" si="189"/>
        <v>113</v>
      </c>
      <c r="BQ227" s="69"/>
      <c r="BR227" s="541"/>
      <c r="BS227" s="1829"/>
      <c r="BT227" s="541"/>
      <c r="BU227" s="541"/>
    </row>
    <row r="228" ht="24.0" customHeight="1">
      <c r="A228" s="1698" t="str">
        <f t="shared" si="157"/>
        <v>Да</v>
      </c>
      <c r="B228" s="1719">
        <v>3398.0</v>
      </c>
      <c r="C228" s="1734">
        <v>98.0</v>
      </c>
      <c r="D228" s="1720"/>
      <c r="E228" s="1702" t="str">
        <f t="shared" si="158"/>
        <v>Салат ''Витаминный'' 120 г</v>
      </c>
      <c r="F228" s="2002">
        <f t="shared" si="159"/>
        <v>2</v>
      </c>
      <c r="G228" s="69"/>
      <c r="H228" s="2002">
        <f t="shared" si="160"/>
        <v>2</v>
      </c>
      <c r="I228" s="69"/>
      <c r="J228" s="2002">
        <f t="shared" si="161"/>
        <v>2</v>
      </c>
      <c r="K228" s="69"/>
      <c r="L228" s="2002">
        <f t="shared" si="162"/>
        <v>2</v>
      </c>
      <c r="M228" s="69"/>
      <c r="N228" s="2002">
        <f t="shared" si="163"/>
        <v>8</v>
      </c>
      <c r="O228" s="69"/>
      <c r="P228" s="2002">
        <f t="shared" si="164"/>
        <v>5</v>
      </c>
      <c r="Q228" s="69"/>
      <c r="R228" s="2002">
        <f t="shared" si="165"/>
        <v>5</v>
      </c>
      <c r="S228" s="69"/>
      <c r="T228" s="2002">
        <f t="shared" si="166"/>
        <v>2</v>
      </c>
      <c r="U228" s="69"/>
      <c r="V228" s="2002">
        <f t="shared" si="167"/>
        <v>1</v>
      </c>
      <c r="W228" s="69"/>
      <c r="X228" s="2002">
        <f t="shared" si="168"/>
        <v>3</v>
      </c>
      <c r="Y228" s="69"/>
      <c r="Z228" s="2002" t="str">
        <f t="shared" si="169"/>
        <v/>
      </c>
      <c r="AA228" s="69"/>
      <c r="AB228" s="2002">
        <f t="shared" si="170"/>
        <v>0</v>
      </c>
      <c r="AC228" s="69"/>
      <c r="AD228" s="2002">
        <f t="shared" si="171"/>
        <v>0</v>
      </c>
      <c r="AE228" s="69"/>
      <c r="AF228" s="2002">
        <f t="shared" si="172"/>
        <v>2</v>
      </c>
      <c r="AG228" s="69"/>
      <c r="AH228" s="2002">
        <f t="shared" si="173"/>
        <v>2</v>
      </c>
      <c r="AI228" s="69"/>
      <c r="AJ228" s="2002">
        <f t="shared" si="174"/>
        <v>4</v>
      </c>
      <c r="AK228" s="69"/>
      <c r="AL228" s="2002">
        <f t="shared" si="175"/>
        <v>2</v>
      </c>
      <c r="AM228" s="69"/>
      <c r="AN228" s="2002">
        <f t="shared" si="176"/>
        <v>2</v>
      </c>
      <c r="AO228" s="69"/>
      <c r="AP228" s="2002">
        <f t="shared" si="177"/>
        <v>2</v>
      </c>
      <c r="AQ228" s="69"/>
      <c r="AR228" s="2002">
        <f t="shared" si="178"/>
        <v>3</v>
      </c>
      <c r="AS228" s="69"/>
      <c r="AT228" s="2002">
        <f t="shared" si="179"/>
        <v>2</v>
      </c>
      <c r="AU228" s="69"/>
      <c r="AV228" s="2002">
        <f t="shared" si="180"/>
        <v>2</v>
      </c>
      <c r="AW228" s="69"/>
      <c r="AX228" s="2037">
        <f t="shared" si="181"/>
        <v>1</v>
      </c>
      <c r="AY228" s="69"/>
      <c r="AZ228" s="2037">
        <f t="shared" si="182"/>
        <v>4</v>
      </c>
      <c r="BA228" s="69"/>
      <c r="BB228" s="2037">
        <f t="shared" si="183"/>
        <v>9</v>
      </c>
      <c r="BC228" s="69"/>
      <c r="BD228" s="2037">
        <f t="shared" si="184"/>
        <v>0</v>
      </c>
      <c r="BE228" s="69"/>
      <c r="BF228" s="2037">
        <f t="shared" si="185"/>
        <v>0</v>
      </c>
      <c r="BG228" s="69"/>
      <c r="BH228" s="2037">
        <f t="shared" si="186"/>
        <v>2</v>
      </c>
      <c r="BI228" s="69"/>
      <c r="BJ228" s="2037">
        <f t="shared" si="187"/>
        <v>3</v>
      </c>
      <c r="BK228" s="69"/>
      <c r="BL228" s="2002">
        <f t="shared" si="188"/>
        <v>44</v>
      </c>
      <c r="BM228" s="69"/>
      <c r="BN228" s="2002" t="str">
        <f t="shared" si="156"/>
        <v/>
      </c>
      <c r="BO228" s="69"/>
      <c r="BP228" s="2038">
        <f t="shared" si="189"/>
        <v>116</v>
      </c>
      <c r="BQ228" s="69"/>
      <c r="BR228" s="541"/>
      <c r="BS228" s="1829"/>
      <c r="BT228" s="541"/>
      <c r="BU228" s="541"/>
    </row>
    <row r="229" ht="24.0" customHeight="1">
      <c r="A229" s="1698" t="str">
        <f t="shared" si="157"/>
        <v>Да</v>
      </c>
      <c r="B229" s="1719">
        <v>1160.0</v>
      </c>
      <c r="C229" s="1734">
        <v>98.0</v>
      </c>
      <c r="D229" s="1720"/>
      <c r="E229" s="1702" t="str">
        <f t="shared" si="158"/>
        <v>Салат ''Пикник'' (печень)</v>
      </c>
      <c r="F229" s="2002">
        <f t="shared" si="159"/>
        <v>5</v>
      </c>
      <c r="G229" s="69"/>
      <c r="H229" s="2002">
        <f t="shared" si="160"/>
        <v>4</v>
      </c>
      <c r="I229" s="69"/>
      <c r="J229" s="2002">
        <f t="shared" si="161"/>
        <v>2</v>
      </c>
      <c r="K229" s="69"/>
      <c r="L229" s="2002">
        <f t="shared" si="162"/>
        <v>2</v>
      </c>
      <c r="M229" s="69"/>
      <c r="N229" s="2002">
        <f t="shared" si="163"/>
        <v>9</v>
      </c>
      <c r="O229" s="69"/>
      <c r="P229" s="2002">
        <f t="shared" si="164"/>
        <v>10</v>
      </c>
      <c r="Q229" s="69"/>
      <c r="R229" s="2002">
        <f t="shared" si="165"/>
        <v>3</v>
      </c>
      <c r="S229" s="69"/>
      <c r="T229" s="2002">
        <f t="shared" si="166"/>
        <v>2</v>
      </c>
      <c r="U229" s="69"/>
      <c r="V229" s="2002">
        <f t="shared" si="167"/>
        <v>2</v>
      </c>
      <c r="W229" s="69"/>
      <c r="X229" s="2002">
        <f t="shared" si="168"/>
        <v>3</v>
      </c>
      <c r="Y229" s="69"/>
      <c r="Z229" s="2002" t="str">
        <f t="shared" si="169"/>
        <v/>
      </c>
      <c r="AA229" s="69"/>
      <c r="AB229" s="2002">
        <f t="shared" si="170"/>
        <v>2</v>
      </c>
      <c r="AC229" s="69"/>
      <c r="AD229" s="2002">
        <f t="shared" si="171"/>
        <v>4</v>
      </c>
      <c r="AE229" s="69"/>
      <c r="AF229" s="2002">
        <f t="shared" si="172"/>
        <v>2</v>
      </c>
      <c r="AG229" s="69"/>
      <c r="AH229" s="2002">
        <f t="shared" si="173"/>
        <v>2</v>
      </c>
      <c r="AI229" s="69"/>
      <c r="AJ229" s="2002">
        <f t="shared" si="174"/>
        <v>4</v>
      </c>
      <c r="AK229" s="69"/>
      <c r="AL229" s="2002">
        <f t="shared" si="175"/>
        <v>2</v>
      </c>
      <c r="AM229" s="69"/>
      <c r="AN229" s="2002">
        <f t="shared" si="176"/>
        <v>2</v>
      </c>
      <c r="AO229" s="69"/>
      <c r="AP229" s="2002">
        <f t="shared" si="177"/>
        <v>3</v>
      </c>
      <c r="AQ229" s="69"/>
      <c r="AR229" s="2002">
        <f t="shared" si="178"/>
        <v>7</v>
      </c>
      <c r="AS229" s="69"/>
      <c r="AT229" s="2002">
        <f t="shared" si="179"/>
        <v>3</v>
      </c>
      <c r="AU229" s="69"/>
      <c r="AV229" s="2002">
        <f t="shared" si="180"/>
        <v>2</v>
      </c>
      <c r="AW229" s="69"/>
      <c r="AX229" s="2037">
        <f t="shared" si="181"/>
        <v>4</v>
      </c>
      <c r="AY229" s="69"/>
      <c r="AZ229" s="2037">
        <f t="shared" si="182"/>
        <v>3</v>
      </c>
      <c r="BA229" s="69"/>
      <c r="BB229" s="2037">
        <f t="shared" si="183"/>
        <v>9</v>
      </c>
      <c r="BC229" s="69"/>
      <c r="BD229" s="2037">
        <f t="shared" si="184"/>
        <v>0</v>
      </c>
      <c r="BE229" s="69"/>
      <c r="BF229" s="2037">
        <f t="shared" si="185"/>
        <v>9</v>
      </c>
      <c r="BG229" s="69"/>
      <c r="BH229" s="2037">
        <f t="shared" si="186"/>
        <v>7</v>
      </c>
      <c r="BI229" s="69"/>
      <c r="BJ229" s="2037">
        <f t="shared" si="187"/>
        <v>6</v>
      </c>
      <c r="BK229" s="69"/>
      <c r="BL229" s="2002">
        <f t="shared" si="188"/>
        <v>43</v>
      </c>
      <c r="BM229" s="69"/>
      <c r="BN229" s="2002" t="str">
        <f t="shared" si="156"/>
        <v/>
      </c>
      <c r="BO229" s="69"/>
      <c r="BP229" s="2038">
        <f t="shared" si="189"/>
        <v>156</v>
      </c>
      <c r="BQ229" s="69"/>
      <c r="BR229" s="541"/>
      <c r="BS229" s="1829"/>
      <c r="BT229" s="541"/>
      <c r="BU229" s="541"/>
    </row>
    <row r="230" ht="24.0" customHeight="1">
      <c r="A230" s="1698" t="str">
        <f t="shared" si="157"/>
        <v>Да</v>
      </c>
      <c r="B230" s="1719">
        <v>31.0</v>
      </c>
      <c r="C230" s="1734">
        <v>98.0</v>
      </c>
      <c r="D230" s="1720"/>
      <c r="E230" s="1702" t="str">
        <f t="shared" si="158"/>
        <v>Салат ''Прага'' (ветчина кур.)</v>
      </c>
      <c r="F230" s="2002">
        <f t="shared" si="159"/>
        <v>8</v>
      </c>
      <c r="G230" s="69"/>
      <c r="H230" s="2002">
        <f t="shared" si="160"/>
        <v>0</v>
      </c>
      <c r="I230" s="69"/>
      <c r="J230" s="2002">
        <f t="shared" si="161"/>
        <v>4</v>
      </c>
      <c r="K230" s="69"/>
      <c r="L230" s="2002">
        <f t="shared" si="162"/>
        <v>2</v>
      </c>
      <c r="M230" s="69"/>
      <c r="N230" s="2002">
        <f t="shared" si="163"/>
        <v>9</v>
      </c>
      <c r="O230" s="69"/>
      <c r="P230" s="2002">
        <f t="shared" si="164"/>
        <v>9</v>
      </c>
      <c r="Q230" s="69"/>
      <c r="R230" s="2002">
        <f t="shared" si="165"/>
        <v>4</v>
      </c>
      <c r="S230" s="69"/>
      <c r="T230" s="2002">
        <f t="shared" si="166"/>
        <v>4</v>
      </c>
      <c r="U230" s="69"/>
      <c r="V230" s="2002">
        <f t="shared" si="167"/>
        <v>2</v>
      </c>
      <c r="W230" s="69"/>
      <c r="X230" s="2002">
        <f t="shared" si="168"/>
        <v>3</v>
      </c>
      <c r="Y230" s="69"/>
      <c r="Z230" s="2002" t="str">
        <f t="shared" si="169"/>
        <v/>
      </c>
      <c r="AA230" s="69"/>
      <c r="AB230" s="2002">
        <f t="shared" si="170"/>
        <v>2</v>
      </c>
      <c r="AC230" s="69"/>
      <c r="AD230" s="2002">
        <f t="shared" si="171"/>
        <v>4</v>
      </c>
      <c r="AE230" s="69"/>
      <c r="AF230" s="2002">
        <f t="shared" si="172"/>
        <v>5</v>
      </c>
      <c r="AG230" s="69"/>
      <c r="AH230" s="2002">
        <f t="shared" si="173"/>
        <v>3</v>
      </c>
      <c r="AI230" s="69"/>
      <c r="AJ230" s="2002">
        <f t="shared" si="174"/>
        <v>4</v>
      </c>
      <c r="AK230" s="69"/>
      <c r="AL230" s="2002">
        <f t="shared" si="175"/>
        <v>3</v>
      </c>
      <c r="AM230" s="69"/>
      <c r="AN230" s="2002">
        <f t="shared" si="176"/>
        <v>4</v>
      </c>
      <c r="AO230" s="69"/>
      <c r="AP230" s="2002">
        <f t="shared" si="177"/>
        <v>4</v>
      </c>
      <c r="AQ230" s="69"/>
      <c r="AR230" s="2002">
        <f t="shared" si="178"/>
        <v>15</v>
      </c>
      <c r="AS230" s="69"/>
      <c r="AT230" s="2002">
        <f t="shared" si="179"/>
        <v>7</v>
      </c>
      <c r="AU230" s="69"/>
      <c r="AV230" s="2002">
        <f t="shared" si="180"/>
        <v>2</v>
      </c>
      <c r="AW230" s="69"/>
      <c r="AX230" s="2037">
        <f t="shared" si="181"/>
        <v>6</v>
      </c>
      <c r="AY230" s="69"/>
      <c r="AZ230" s="2037">
        <f t="shared" si="182"/>
        <v>5</v>
      </c>
      <c r="BA230" s="69"/>
      <c r="BB230" s="2037">
        <f t="shared" si="183"/>
        <v>9</v>
      </c>
      <c r="BC230" s="69"/>
      <c r="BD230" s="2037">
        <f t="shared" si="184"/>
        <v>4</v>
      </c>
      <c r="BE230" s="69"/>
      <c r="BF230" s="2037">
        <f t="shared" si="185"/>
        <v>4</v>
      </c>
      <c r="BG230" s="69"/>
      <c r="BH230" s="2037">
        <f t="shared" si="186"/>
        <v>2</v>
      </c>
      <c r="BI230" s="69"/>
      <c r="BJ230" s="2037">
        <f t="shared" si="187"/>
        <v>7</v>
      </c>
      <c r="BK230" s="69"/>
      <c r="BL230" s="2002">
        <f t="shared" si="188"/>
        <v>43</v>
      </c>
      <c r="BM230" s="69"/>
      <c r="BN230" s="2002" t="str">
        <f t="shared" si="156"/>
        <v/>
      </c>
      <c r="BO230" s="69"/>
      <c r="BP230" s="2038">
        <f t="shared" si="189"/>
        <v>178</v>
      </c>
      <c r="BQ230" s="69"/>
      <c r="BR230" s="541"/>
      <c r="BS230" s="1829"/>
      <c r="BT230" s="541"/>
      <c r="BU230" s="541"/>
    </row>
    <row r="231" ht="24.0" customHeight="1">
      <c r="A231" s="1698" t="str">
        <f t="shared" si="157"/>
        <v>Да</v>
      </c>
      <c r="B231" s="1719">
        <v>4260.0</v>
      </c>
      <c r="C231" s="1734">
        <v>238.0</v>
      </c>
      <c r="D231" s="1720"/>
      <c r="E231" s="1702" t="str">
        <f t="shared" si="158"/>
        <v>Зеленый боул с курицей и овощами</v>
      </c>
      <c r="F231" s="2002">
        <f t="shared" si="159"/>
        <v>6</v>
      </c>
      <c r="G231" s="69"/>
      <c r="H231" s="2002">
        <f t="shared" si="160"/>
        <v>2</v>
      </c>
      <c r="I231" s="69"/>
      <c r="J231" s="2002">
        <f t="shared" si="161"/>
        <v>4</v>
      </c>
      <c r="K231" s="69"/>
      <c r="L231" s="2002" t="str">
        <f t="shared" si="162"/>
        <v/>
      </c>
      <c r="M231" s="69"/>
      <c r="N231" s="2002">
        <f t="shared" si="163"/>
        <v>3</v>
      </c>
      <c r="O231" s="69"/>
      <c r="P231" s="2002">
        <f t="shared" si="164"/>
        <v>3</v>
      </c>
      <c r="Q231" s="69"/>
      <c r="R231" s="2002">
        <f t="shared" si="165"/>
        <v>0</v>
      </c>
      <c r="S231" s="69"/>
      <c r="T231" s="2002">
        <f t="shared" si="166"/>
        <v>2</v>
      </c>
      <c r="U231" s="69"/>
      <c r="V231" s="2002">
        <f t="shared" si="167"/>
        <v>2</v>
      </c>
      <c r="W231" s="69"/>
      <c r="X231" s="2002">
        <f t="shared" si="168"/>
        <v>2</v>
      </c>
      <c r="Y231" s="69"/>
      <c r="Z231" s="2002" t="str">
        <f t="shared" si="169"/>
        <v/>
      </c>
      <c r="AA231" s="69"/>
      <c r="AB231" s="2002">
        <f t="shared" si="170"/>
        <v>2</v>
      </c>
      <c r="AC231" s="69"/>
      <c r="AD231" s="2002">
        <f t="shared" si="171"/>
        <v>0</v>
      </c>
      <c r="AE231" s="69"/>
      <c r="AF231" s="2002">
        <f t="shared" si="172"/>
        <v>2</v>
      </c>
      <c r="AG231" s="69"/>
      <c r="AH231" s="2002">
        <f t="shared" si="173"/>
        <v>4</v>
      </c>
      <c r="AI231" s="69"/>
      <c r="AJ231" s="2002">
        <f t="shared" si="174"/>
        <v>2</v>
      </c>
      <c r="AK231" s="69"/>
      <c r="AL231" s="2002">
        <f t="shared" si="175"/>
        <v>3</v>
      </c>
      <c r="AM231" s="69"/>
      <c r="AN231" s="2002" t="str">
        <f t="shared" si="176"/>
        <v/>
      </c>
      <c r="AO231" s="69"/>
      <c r="AP231" s="2002">
        <f t="shared" si="177"/>
        <v>3</v>
      </c>
      <c r="AQ231" s="69"/>
      <c r="AR231" s="2002">
        <f t="shared" si="178"/>
        <v>4</v>
      </c>
      <c r="AS231" s="69"/>
      <c r="AT231" s="2002">
        <f t="shared" si="179"/>
        <v>3</v>
      </c>
      <c r="AU231" s="69"/>
      <c r="AV231" s="2002">
        <f t="shared" si="180"/>
        <v>2</v>
      </c>
      <c r="AW231" s="69"/>
      <c r="AX231" s="2037">
        <f t="shared" si="181"/>
        <v>10</v>
      </c>
      <c r="AY231" s="69"/>
      <c r="AZ231" s="2037">
        <f t="shared" si="182"/>
        <v>3</v>
      </c>
      <c r="BA231" s="69"/>
      <c r="BB231" s="2037">
        <f t="shared" si="183"/>
        <v>5</v>
      </c>
      <c r="BC231" s="69"/>
      <c r="BD231" s="2037">
        <f t="shared" si="184"/>
        <v>2</v>
      </c>
      <c r="BE231" s="69"/>
      <c r="BF231" s="2037">
        <f t="shared" si="185"/>
        <v>2</v>
      </c>
      <c r="BG231" s="69"/>
      <c r="BH231" s="2037">
        <f t="shared" si="186"/>
        <v>5</v>
      </c>
      <c r="BI231" s="69"/>
      <c r="BJ231" s="2037">
        <f t="shared" si="187"/>
        <v>5</v>
      </c>
      <c r="BK231" s="69"/>
      <c r="BL231" s="2002" t="str">
        <f t="shared" si="188"/>
        <v/>
      </c>
      <c r="BM231" s="69"/>
      <c r="BN231" s="2002" t="str">
        <f t="shared" si="156"/>
        <v/>
      </c>
      <c r="BO231" s="69"/>
      <c r="BP231" s="2038">
        <f t="shared" si="189"/>
        <v>81</v>
      </c>
      <c r="BQ231" s="69"/>
      <c r="BR231" s="541"/>
      <c r="BS231" s="1829"/>
      <c r="BT231" s="541"/>
      <c r="BU231" s="541"/>
    </row>
    <row r="232" ht="24.0" customHeight="1">
      <c r="A232" s="1698" t="str">
        <f t="shared" si="157"/>
        <v/>
      </c>
      <c r="B232" s="1719">
        <v>380.0</v>
      </c>
      <c r="C232" s="1734">
        <v>114.0</v>
      </c>
      <c r="D232" s="1720"/>
      <c r="E232" s="1702" t="str">
        <f t="shared" si="158"/>
        <v>Солянка</v>
      </c>
      <c r="F232" s="2002" t="str">
        <f t="shared" si="159"/>
        <v/>
      </c>
      <c r="G232" s="69"/>
      <c r="H232" s="2002" t="str">
        <f t="shared" si="160"/>
        <v/>
      </c>
      <c r="I232" s="69"/>
      <c r="J232" s="2002" t="str">
        <f t="shared" si="161"/>
        <v/>
      </c>
      <c r="K232" s="69"/>
      <c r="L232" s="2002" t="str">
        <f t="shared" si="162"/>
        <v/>
      </c>
      <c r="M232" s="69"/>
      <c r="N232" s="2002" t="str">
        <f t="shared" si="163"/>
        <v/>
      </c>
      <c r="O232" s="69"/>
      <c r="P232" s="2002" t="str">
        <f t="shared" si="164"/>
        <v/>
      </c>
      <c r="Q232" s="69"/>
      <c r="R232" s="2002" t="str">
        <f t="shared" si="165"/>
        <v/>
      </c>
      <c r="S232" s="69"/>
      <c r="T232" s="2002" t="str">
        <f t="shared" si="166"/>
        <v/>
      </c>
      <c r="U232" s="69"/>
      <c r="V232" s="2002" t="str">
        <f t="shared" si="167"/>
        <v/>
      </c>
      <c r="W232" s="69"/>
      <c r="X232" s="2002" t="str">
        <f t="shared" si="168"/>
        <v/>
      </c>
      <c r="Y232" s="69"/>
      <c r="Z232" s="2002" t="str">
        <f t="shared" si="169"/>
        <v/>
      </c>
      <c r="AA232" s="69"/>
      <c r="AB232" s="2002" t="str">
        <f t="shared" si="170"/>
        <v/>
      </c>
      <c r="AC232" s="69"/>
      <c r="AD232" s="2002" t="str">
        <f t="shared" si="171"/>
        <v/>
      </c>
      <c r="AE232" s="69"/>
      <c r="AF232" s="2002" t="str">
        <f t="shared" si="172"/>
        <v/>
      </c>
      <c r="AG232" s="69"/>
      <c r="AH232" s="2002" t="str">
        <f t="shared" si="173"/>
        <v/>
      </c>
      <c r="AI232" s="69"/>
      <c r="AJ232" s="2002" t="str">
        <f t="shared" si="174"/>
        <v/>
      </c>
      <c r="AK232" s="69"/>
      <c r="AL232" s="2002" t="str">
        <f t="shared" si="175"/>
        <v/>
      </c>
      <c r="AM232" s="69"/>
      <c r="AN232" s="2002" t="str">
        <f t="shared" si="176"/>
        <v/>
      </c>
      <c r="AO232" s="69"/>
      <c r="AP232" s="2002" t="str">
        <f t="shared" si="177"/>
        <v/>
      </c>
      <c r="AQ232" s="69"/>
      <c r="AR232" s="2002" t="str">
        <f t="shared" si="178"/>
        <v/>
      </c>
      <c r="AS232" s="69"/>
      <c r="AT232" s="2002" t="str">
        <f t="shared" si="179"/>
        <v/>
      </c>
      <c r="AU232" s="69"/>
      <c r="AV232" s="2002" t="str">
        <f t="shared" si="180"/>
        <v/>
      </c>
      <c r="AW232" s="69"/>
      <c r="AX232" s="2037" t="str">
        <f t="shared" si="181"/>
        <v/>
      </c>
      <c r="AY232" s="69"/>
      <c r="AZ232" s="2037" t="str">
        <f t="shared" si="182"/>
        <v/>
      </c>
      <c r="BA232" s="69"/>
      <c r="BB232" s="2037" t="str">
        <f t="shared" si="183"/>
        <v/>
      </c>
      <c r="BC232" s="69"/>
      <c r="BD232" s="2037" t="str">
        <f t="shared" si="184"/>
        <v/>
      </c>
      <c r="BE232" s="69"/>
      <c r="BF232" s="2037" t="str">
        <f t="shared" si="185"/>
        <v/>
      </c>
      <c r="BG232" s="69"/>
      <c r="BH232" s="2037" t="str">
        <f t="shared" si="186"/>
        <v/>
      </c>
      <c r="BI232" s="69"/>
      <c r="BJ232" s="2037" t="str">
        <f t="shared" si="187"/>
        <v/>
      </c>
      <c r="BK232" s="69"/>
      <c r="BL232" s="2002">
        <f t="shared" si="188"/>
        <v>110</v>
      </c>
      <c r="BM232" s="69"/>
      <c r="BN232" s="2002" t="str">
        <f t="shared" si="156"/>
        <v/>
      </c>
      <c r="BO232" s="69"/>
      <c r="BP232" s="2038">
        <f t="shared" si="189"/>
        <v>110</v>
      </c>
      <c r="BQ232" s="69"/>
      <c r="BR232" s="541"/>
      <c r="BS232" s="1829"/>
      <c r="BT232" s="541"/>
      <c r="BU232" s="541"/>
    </row>
    <row r="233" ht="24.0" customHeight="1">
      <c r="A233" s="1698" t="str">
        <f t="shared" si="157"/>
        <v/>
      </c>
      <c r="B233" s="1719"/>
      <c r="C233" s="1734"/>
      <c r="D233" s="1720"/>
      <c r="E233" s="1702" t="str">
        <f t="shared" si="158"/>
        <v/>
      </c>
      <c r="F233" s="2002" t="str">
        <f t="shared" si="159"/>
        <v/>
      </c>
      <c r="G233" s="69"/>
      <c r="H233" s="2002" t="str">
        <f t="shared" si="160"/>
        <v/>
      </c>
      <c r="I233" s="69"/>
      <c r="J233" s="2002" t="str">
        <f t="shared" si="161"/>
        <v/>
      </c>
      <c r="K233" s="69"/>
      <c r="L233" s="2002" t="str">
        <f t="shared" si="162"/>
        <v/>
      </c>
      <c r="M233" s="69"/>
      <c r="N233" s="2002" t="str">
        <f t="shared" si="163"/>
        <v/>
      </c>
      <c r="O233" s="69"/>
      <c r="P233" s="2002" t="str">
        <f t="shared" si="164"/>
        <v/>
      </c>
      <c r="Q233" s="69"/>
      <c r="R233" s="2002" t="str">
        <f t="shared" si="165"/>
        <v/>
      </c>
      <c r="S233" s="69"/>
      <c r="T233" s="2002" t="str">
        <f t="shared" si="166"/>
        <v/>
      </c>
      <c r="U233" s="69"/>
      <c r="V233" s="2002" t="str">
        <f t="shared" si="167"/>
        <v/>
      </c>
      <c r="W233" s="69"/>
      <c r="X233" s="2002" t="str">
        <f t="shared" si="168"/>
        <v/>
      </c>
      <c r="Y233" s="69"/>
      <c r="Z233" s="2002" t="str">
        <f t="shared" si="169"/>
        <v/>
      </c>
      <c r="AA233" s="69"/>
      <c r="AB233" s="2002" t="str">
        <f t="shared" si="170"/>
        <v/>
      </c>
      <c r="AC233" s="69"/>
      <c r="AD233" s="2002" t="str">
        <f t="shared" si="171"/>
        <v/>
      </c>
      <c r="AE233" s="69"/>
      <c r="AF233" s="2002" t="str">
        <f t="shared" si="172"/>
        <v/>
      </c>
      <c r="AG233" s="69"/>
      <c r="AH233" s="2002" t="str">
        <f t="shared" si="173"/>
        <v/>
      </c>
      <c r="AI233" s="69"/>
      <c r="AJ233" s="2002" t="str">
        <f t="shared" si="174"/>
        <v/>
      </c>
      <c r="AK233" s="69"/>
      <c r="AL233" s="2002" t="str">
        <f t="shared" si="175"/>
        <v/>
      </c>
      <c r="AM233" s="69"/>
      <c r="AN233" s="2002" t="str">
        <f t="shared" si="176"/>
        <v/>
      </c>
      <c r="AO233" s="69"/>
      <c r="AP233" s="2002" t="str">
        <f t="shared" si="177"/>
        <v/>
      </c>
      <c r="AQ233" s="69"/>
      <c r="AR233" s="2002" t="str">
        <f t="shared" si="178"/>
        <v/>
      </c>
      <c r="AS233" s="69"/>
      <c r="AT233" s="2002" t="str">
        <f t="shared" si="179"/>
        <v/>
      </c>
      <c r="AU233" s="69"/>
      <c r="AV233" s="2002" t="str">
        <f t="shared" si="180"/>
        <v/>
      </c>
      <c r="AW233" s="69"/>
      <c r="AX233" s="2037" t="str">
        <f t="shared" si="181"/>
        <v/>
      </c>
      <c r="AY233" s="69"/>
      <c r="AZ233" s="2037" t="str">
        <f t="shared" si="182"/>
        <v/>
      </c>
      <c r="BA233" s="69"/>
      <c r="BB233" s="2037" t="str">
        <f t="shared" si="183"/>
        <v/>
      </c>
      <c r="BC233" s="69"/>
      <c r="BD233" s="2037" t="str">
        <f t="shared" si="184"/>
        <v/>
      </c>
      <c r="BE233" s="69"/>
      <c r="BF233" s="2037" t="str">
        <f t="shared" si="185"/>
        <v/>
      </c>
      <c r="BG233" s="69"/>
      <c r="BH233" s="2037" t="str">
        <f t="shared" si="186"/>
        <v/>
      </c>
      <c r="BI233" s="69"/>
      <c r="BJ233" s="2037" t="str">
        <f t="shared" si="187"/>
        <v/>
      </c>
      <c r="BK233" s="69"/>
      <c r="BL233" s="2002" t="str">
        <f t="shared" si="188"/>
        <v/>
      </c>
      <c r="BM233" s="69"/>
      <c r="BN233" s="2002" t="str">
        <f t="shared" si="156"/>
        <v/>
      </c>
      <c r="BO233" s="69"/>
      <c r="BP233" s="2038">
        <f t="shared" si="189"/>
        <v>0</v>
      </c>
      <c r="BQ233" s="69"/>
      <c r="BR233" s="541"/>
      <c r="BS233" s="1829"/>
      <c r="BT233" s="541"/>
      <c r="BU233" s="541"/>
    </row>
    <row r="234" ht="24.0" customHeight="1">
      <c r="A234" s="1698" t="str">
        <f t="shared" si="157"/>
        <v>Да</v>
      </c>
      <c r="B234" s="1719">
        <v>3889.0</v>
      </c>
      <c r="C234" s="1734">
        <v>264.0</v>
      </c>
      <c r="D234" s="1720"/>
      <c r="E234" s="1702" t="str">
        <f t="shared" si="158"/>
        <v>Купаты куриные с овощным гарниром</v>
      </c>
      <c r="F234" s="2002">
        <f t="shared" si="159"/>
        <v>6</v>
      </c>
      <c r="G234" s="69"/>
      <c r="H234" s="2002">
        <f t="shared" si="160"/>
        <v>3</v>
      </c>
      <c r="I234" s="69"/>
      <c r="J234" s="2002">
        <f t="shared" si="161"/>
        <v>5</v>
      </c>
      <c r="K234" s="69"/>
      <c r="L234" s="2002">
        <f t="shared" si="162"/>
        <v>5</v>
      </c>
      <c r="M234" s="69"/>
      <c r="N234" s="2002">
        <f t="shared" si="163"/>
        <v>8</v>
      </c>
      <c r="O234" s="69"/>
      <c r="P234" s="2002">
        <f t="shared" si="164"/>
        <v>9</v>
      </c>
      <c r="Q234" s="69"/>
      <c r="R234" s="2002">
        <f t="shared" si="165"/>
        <v>6</v>
      </c>
      <c r="S234" s="69"/>
      <c r="T234" s="2002">
        <f t="shared" si="166"/>
        <v>4</v>
      </c>
      <c r="U234" s="69"/>
      <c r="V234" s="2002">
        <f t="shared" si="167"/>
        <v>5</v>
      </c>
      <c r="W234" s="69"/>
      <c r="X234" s="2002">
        <f t="shared" si="168"/>
        <v>4</v>
      </c>
      <c r="Y234" s="69"/>
      <c r="Z234" s="2002" t="str">
        <f t="shared" si="169"/>
        <v/>
      </c>
      <c r="AA234" s="69"/>
      <c r="AB234" s="2002">
        <f t="shared" si="170"/>
        <v>4</v>
      </c>
      <c r="AC234" s="69"/>
      <c r="AD234" s="2002">
        <f t="shared" si="171"/>
        <v>4</v>
      </c>
      <c r="AE234" s="69"/>
      <c r="AF234" s="2002">
        <f t="shared" si="172"/>
        <v>2</v>
      </c>
      <c r="AG234" s="69"/>
      <c r="AH234" s="2002">
        <f t="shared" si="173"/>
        <v>4</v>
      </c>
      <c r="AI234" s="69"/>
      <c r="AJ234" s="2002">
        <f t="shared" si="174"/>
        <v>7</v>
      </c>
      <c r="AK234" s="69"/>
      <c r="AL234" s="2002">
        <f t="shared" si="175"/>
        <v>3</v>
      </c>
      <c r="AM234" s="69"/>
      <c r="AN234" s="2002">
        <f t="shared" si="176"/>
        <v>2</v>
      </c>
      <c r="AO234" s="69"/>
      <c r="AP234" s="2002">
        <f t="shared" si="177"/>
        <v>2</v>
      </c>
      <c r="AQ234" s="69"/>
      <c r="AR234" s="2002">
        <f t="shared" si="178"/>
        <v>3</v>
      </c>
      <c r="AS234" s="69"/>
      <c r="AT234" s="2002">
        <f t="shared" si="179"/>
        <v>4</v>
      </c>
      <c r="AU234" s="69"/>
      <c r="AV234" s="2002">
        <f t="shared" si="180"/>
        <v>3</v>
      </c>
      <c r="AW234" s="69"/>
      <c r="AX234" s="2037">
        <f t="shared" si="181"/>
        <v>5</v>
      </c>
      <c r="AY234" s="69"/>
      <c r="AZ234" s="2037">
        <f t="shared" si="182"/>
        <v>3</v>
      </c>
      <c r="BA234" s="69"/>
      <c r="BB234" s="2037">
        <f t="shared" si="183"/>
        <v>9</v>
      </c>
      <c r="BC234" s="69"/>
      <c r="BD234" s="2037">
        <f t="shared" si="184"/>
        <v>3</v>
      </c>
      <c r="BE234" s="69"/>
      <c r="BF234" s="2037">
        <f t="shared" si="185"/>
        <v>3</v>
      </c>
      <c r="BG234" s="69"/>
      <c r="BH234" s="2037">
        <f t="shared" si="186"/>
        <v>5</v>
      </c>
      <c r="BI234" s="69"/>
      <c r="BJ234" s="2037">
        <f t="shared" si="187"/>
        <v>5</v>
      </c>
      <c r="BK234" s="69"/>
      <c r="BL234" s="2002" t="str">
        <f t="shared" si="188"/>
        <v/>
      </c>
      <c r="BM234" s="69"/>
      <c r="BN234" s="2002" t="str">
        <f t="shared" si="156"/>
        <v/>
      </c>
      <c r="BO234" s="69"/>
      <c r="BP234" s="2038">
        <f t="shared" si="189"/>
        <v>126</v>
      </c>
      <c r="BQ234" s="69"/>
      <c r="BR234" s="541"/>
      <c r="BS234" s="1829"/>
      <c r="BT234" s="541"/>
      <c r="BU234" s="541"/>
    </row>
    <row r="235" ht="24.0" customHeight="1">
      <c r="A235" s="1698" t="str">
        <f t="shared" si="157"/>
        <v>Да</v>
      </c>
      <c r="B235" s="1719">
        <v>1899.0</v>
      </c>
      <c r="C235" s="1734">
        <v>278.0</v>
      </c>
      <c r="D235" s="1720"/>
      <c r="E235" s="1702" t="str">
        <f t="shared" si="158"/>
        <v>Горбуша в сырной корочке с картофелем</v>
      </c>
      <c r="F235" s="2002">
        <f t="shared" si="159"/>
        <v>2</v>
      </c>
      <c r="G235" s="69"/>
      <c r="H235" s="2002">
        <f t="shared" si="160"/>
        <v>2</v>
      </c>
      <c r="I235" s="69"/>
      <c r="J235" s="2002">
        <f t="shared" si="161"/>
        <v>3</v>
      </c>
      <c r="K235" s="69"/>
      <c r="L235" s="2002">
        <f t="shared" si="162"/>
        <v>4</v>
      </c>
      <c r="M235" s="69"/>
      <c r="N235" s="2002">
        <f t="shared" si="163"/>
        <v>5</v>
      </c>
      <c r="O235" s="69"/>
      <c r="P235" s="2002">
        <f t="shared" si="164"/>
        <v>6</v>
      </c>
      <c r="Q235" s="69"/>
      <c r="R235" s="2002">
        <f t="shared" si="165"/>
        <v>2</v>
      </c>
      <c r="S235" s="69"/>
      <c r="T235" s="2002">
        <f t="shared" si="166"/>
        <v>4</v>
      </c>
      <c r="U235" s="69"/>
      <c r="V235" s="2002">
        <f t="shared" si="167"/>
        <v>7</v>
      </c>
      <c r="W235" s="69"/>
      <c r="X235" s="2002">
        <f t="shared" si="168"/>
        <v>4</v>
      </c>
      <c r="Y235" s="69"/>
      <c r="Z235" s="2002" t="str">
        <f t="shared" si="169"/>
        <v/>
      </c>
      <c r="AA235" s="69"/>
      <c r="AB235" s="2002">
        <f t="shared" si="170"/>
        <v>3</v>
      </c>
      <c r="AC235" s="69"/>
      <c r="AD235" s="2002">
        <f t="shared" si="171"/>
        <v>0</v>
      </c>
      <c r="AE235" s="69"/>
      <c r="AF235" s="2002">
        <f t="shared" si="172"/>
        <v>2</v>
      </c>
      <c r="AG235" s="69"/>
      <c r="AH235" s="2002">
        <f t="shared" si="173"/>
        <v>2</v>
      </c>
      <c r="AI235" s="69"/>
      <c r="AJ235" s="2002">
        <f t="shared" si="174"/>
        <v>6</v>
      </c>
      <c r="AK235" s="69"/>
      <c r="AL235" s="2002">
        <f t="shared" si="175"/>
        <v>3</v>
      </c>
      <c r="AM235" s="69"/>
      <c r="AN235" s="2002">
        <f t="shared" si="176"/>
        <v>2</v>
      </c>
      <c r="AO235" s="69"/>
      <c r="AP235" s="2002">
        <f t="shared" si="177"/>
        <v>1</v>
      </c>
      <c r="AQ235" s="69"/>
      <c r="AR235" s="2002">
        <f t="shared" si="178"/>
        <v>3</v>
      </c>
      <c r="AS235" s="69"/>
      <c r="AT235" s="2002">
        <f t="shared" si="179"/>
        <v>3</v>
      </c>
      <c r="AU235" s="69"/>
      <c r="AV235" s="2002">
        <f t="shared" si="180"/>
        <v>2</v>
      </c>
      <c r="AW235" s="69"/>
      <c r="AX235" s="2037">
        <f t="shared" si="181"/>
        <v>3</v>
      </c>
      <c r="AY235" s="69"/>
      <c r="AZ235" s="2037">
        <f t="shared" si="182"/>
        <v>2</v>
      </c>
      <c r="BA235" s="69"/>
      <c r="BB235" s="2037">
        <f t="shared" si="183"/>
        <v>9</v>
      </c>
      <c r="BC235" s="69"/>
      <c r="BD235" s="2037">
        <f t="shared" si="184"/>
        <v>2</v>
      </c>
      <c r="BE235" s="69"/>
      <c r="BF235" s="2037">
        <f t="shared" si="185"/>
        <v>2</v>
      </c>
      <c r="BG235" s="69"/>
      <c r="BH235" s="2037">
        <f t="shared" si="186"/>
        <v>5</v>
      </c>
      <c r="BI235" s="69"/>
      <c r="BJ235" s="2037">
        <f t="shared" si="187"/>
        <v>4</v>
      </c>
      <c r="BK235" s="69"/>
      <c r="BL235" s="2002" t="str">
        <f t="shared" si="188"/>
        <v/>
      </c>
      <c r="BM235" s="69"/>
      <c r="BN235" s="2002" t="str">
        <f t="shared" si="156"/>
        <v/>
      </c>
      <c r="BO235" s="69"/>
      <c r="BP235" s="2038">
        <f t="shared" si="189"/>
        <v>93</v>
      </c>
      <c r="BQ235" s="69"/>
      <c r="BR235" s="541"/>
      <c r="BS235" s="1829"/>
      <c r="BT235" s="541"/>
      <c r="BU235" s="541"/>
    </row>
    <row r="236" ht="24.0" customHeight="1">
      <c r="A236" s="1698" t="str">
        <f t="shared" si="157"/>
        <v>Да</v>
      </c>
      <c r="B236" s="1719">
        <v>965.0</v>
      </c>
      <c r="C236" s="1734">
        <v>195.0</v>
      </c>
      <c r="D236" s="1720"/>
      <c r="E236" s="1702" t="str">
        <f t="shared" si="158"/>
        <v>Гуляш из свинины с макаронами</v>
      </c>
      <c r="F236" s="2002">
        <f t="shared" si="159"/>
        <v>3</v>
      </c>
      <c r="G236" s="69"/>
      <c r="H236" s="2002">
        <f t="shared" si="160"/>
        <v>7</v>
      </c>
      <c r="I236" s="69"/>
      <c r="J236" s="2002">
        <f t="shared" si="161"/>
        <v>4</v>
      </c>
      <c r="K236" s="69"/>
      <c r="L236" s="2002">
        <f t="shared" si="162"/>
        <v>5</v>
      </c>
      <c r="M236" s="69"/>
      <c r="N236" s="2002">
        <f t="shared" si="163"/>
        <v>13</v>
      </c>
      <c r="O236" s="69"/>
      <c r="P236" s="2002">
        <f t="shared" si="164"/>
        <v>9</v>
      </c>
      <c r="Q236" s="69"/>
      <c r="R236" s="2002">
        <f t="shared" si="165"/>
        <v>0</v>
      </c>
      <c r="S236" s="69"/>
      <c r="T236" s="2002">
        <f t="shared" si="166"/>
        <v>2</v>
      </c>
      <c r="U236" s="69"/>
      <c r="V236" s="2002">
        <f t="shared" si="167"/>
        <v>5</v>
      </c>
      <c r="W236" s="69"/>
      <c r="X236" s="2002">
        <f t="shared" si="168"/>
        <v>2</v>
      </c>
      <c r="Y236" s="69"/>
      <c r="Z236" s="2002" t="str">
        <f t="shared" si="169"/>
        <v/>
      </c>
      <c r="AA236" s="69"/>
      <c r="AB236" s="2002">
        <f t="shared" si="170"/>
        <v>2</v>
      </c>
      <c r="AC236" s="69"/>
      <c r="AD236" s="2002">
        <f t="shared" si="171"/>
        <v>6</v>
      </c>
      <c r="AE236" s="69"/>
      <c r="AF236" s="2002">
        <f t="shared" si="172"/>
        <v>3</v>
      </c>
      <c r="AG236" s="69"/>
      <c r="AH236" s="2002">
        <f t="shared" si="173"/>
        <v>3</v>
      </c>
      <c r="AI236" s="69"/>
      <c r="AJ236" s="2002">
        <f t="shared" si="174"/>
        <v>4</v>
      </c>
      <c r="AK236" s="69"/>
      <c r="AL236" s="2002">
        <f t="shared" si="175"/>
        <v>4</v>
      </c>
      <c r="AM236" s="69"/>
      <c r="AN236" s="2002">
        <f t="shared" si="176"/>
        <v>2</v>
      </c>
      <c r="AO236" s="69"/>
      <c r="AP236" s="2002">
        <f t="shared" si="177"/>
        <v>0</v>
      </c>
      <c r="AQ236" s="69"/>
      <c r="AR236" s="2002">
        <f t="shared" si="178"/>
        <v>7</v>
      </c>
      <c r="AS236" s="69"/>
      <c r="AT236" s="2002">
        <f t="shared" si="179"/>
        <v>7</v>
      </c>
      <c r="AU236" s="69"/>
      <c r="AV236" s="2002">
        <f t="shared" si="180"/>
        <v>2</v>
      </c>
      <c r="AW236" s="69"/>
      <c r="AX236" s="2037">
        <f t="shared" si="181"/>
        <v>3</v>
      </c>
      <c r="AY236" s="69"/>
      <c r="AZ236" s="2037">
        <f t="shared" si="182"/>
        <v>3</v>
      </c>
      <c r="BA236" s="69"/>
      <c r="BB236" s="2037">
        <f t="shared" si="183"/>
        <v>9</v>
      </c>
      <c r="BC236" s="69"/>
      <c r="BD236" s="2037" t="str">
        <f t="shared" si="184"/>
        <v/>
      </c>
      <c r="BE236" s="69"/>
      <c r="BF236" s="2037">
        <f t="shared" si="185"/>
        <v>9</v>
      </c>
      <c r="BG236" s="69"/>
      <c r="BH236" s="2037">
        <f t="shared" si="186"/>
        <v>3</v>
      </c>
      <c r="BI236" s="69"/>
      <c r="BJ236" s="2037">
        <f t="shared" si="187"/>
        <v>3</v>
      </c>
      <c r="BK236" s="69"/>
      <c r="BL236" s="2002">
        <f t="shared" si="188"/>
        <v>25</v>
      </c>
      <c r="BM236" s="69"/>
      <c r="BN236" s="2002" t="str">
        <f t="shared" si="156"/>
        <v/>
      </c>
      <c r="BO236" s="69"/>
      <c r="BP236" s="2038">
        <f t="shared" si="189"/>
        <v>145</v>
      </c>
      <c r="BQ236" s="69"/>
      <c r="BR236" s="684"/>
      <c r="BS236" s="1829"/>
      <c r="BT236" s="541"/>
      <c r="BU236" s="541"/>
    </row>
    <row r="237" ht="24.0" customHeight="1">
      <c r="A237" s="1698" t="str">
        <f t="shared" si="157"/>
        <v/>
      </c>
      <c r="B237" s="1719">
        <v>4176.0</v>
      </c>
      <c r="C237" s="1734">
        <v>221.0</v>
      </c>
      <c r="D237" s="1720"/>
      <c r="E237" s="1702" t="str">
        <f t="shared" si="158"/>
        <v>Курочка в сырном соусе с картофелем</v>
      </c>
      <c r="F237" s="2002" t="str">
        <f t="shared" si="159"/>
        <v/>
      </c>
      <c r="G237" s="69"/>
      <c r="H237" s="2002" t="str">
        <f t="shared" si="160"/>
        <v/>
      </c>
      <c r="I237" s="69"/>
      <c r="J237" s="2002" t="str">
        <f t="shared" si="161"/>
        <v/>
      </c>
      <c r="K237" s="69"/>
      <c r="L237" s="2002" t="str">
        <f t="shared" si="162"/>
        <v/>
      </c>
      <c r="M237" s="69"/>
      <c r="N237" s="2002" t="str">
        <f t="shared" si="163"/>
        <v/>
      </c>
      <c r="O237" s="69"/>
      <c r="P237" s="2002" t="str">
        <f t="shared" si="164"/>
        <v/>
      </c>
      <c r="Q237" s="69"/>
      <c r="R237" s="2002" t="str">
        <f t="shared" si="165"/>
        <v/>
      </c>
      <c r="S237" s="69"/>
      <c r="T237" s="2002" t="str">
        <f t="shared" si="166"/>
        <v/>
      </c>
      <c r="U237" s="69"/>
      <c r="V237" s="2002" t="str">
        <f t="shared" si="167"/>
        <v/>
      </c>
      <c r="W237" s="69"/>
      <c r="X237" s="2002" t="str">
        <f t="shared" si="168"/>
        <v/>
      </c>
      <c r="Y237" s="69"/>
      <c r="Z237" s="2002" t="str">
        <f t="shared" si="169"/>
        <v/>
      </c>
      <c r="AA237" s="69"/>
      <c r="AB237" s="2002" t="str">
        <f t="shared" si="170"/>
        <v/>
      </c>
      <c r="AC237" s="69"/>
      <c r="AD237" s="2002" t="str">
        <f t="shared" si="171"/>
        <v/>
      </c>
      <c r="AE237" s="69"/>
      <c r="AF237" s="2002" t="str">
        <f t="shared" si="172"/>
        <v/>
      </c>
      <c r="AG237" s="69"/>
      <c r="AH237" s="2002" t="str">
        <f t="shared" si="173"/>
        <v/>
      </c>
      <c r="AI237" s="69"/>
      <c r="AJ237" s="2002" t="str">
        <f t="shared" si="174"/>
        <v/>
      </c>
      <c r="AK237" s="69"/>
      <c r="AL237" s="2002" t="str">
        <f t="shared" si="175"/>
        <v/>
      </c>
      <c r="AM237" s="69"/>
      <c r="AN237" s="2002" t="str">
        <f t="shared" si="176"/>
        <v/>
      </c>
      <c r="AO237" s="69"/>
      <c r="AP237" s="2002" t="str">
        <f t="shared" si="177"/>
        <v/>
      </c>
      <c r="AQ237" s="69"/>
      <c r="AR237" s="2002" t="str">
        <f t="shared" si="178"/>
        <v/>
      </c>
      <c r="AS237" s="69"/>
      <c r="AT237" s="2002" t="str">
        <f t="shared" si="179"/>
        <v/>
      </c>
      <c r="AU237" s="69"/>
      <c r="AV237" s="2002" t="str">
        <f t="shared" si="180"/>
        <v/>
      </c>
      <c r="AW237" s="69"/>
      <c r="AX237" s="2037" t="str">
        <f t="shared" si="181"/>
        <v/>
      </c>
      <c r="AY237" s="69"/>
      <c r="AZ237" s="2037" t="str">
        <f t="shared" si="182"/>
        <v/>
      </c>
      <c r="BA237" s="69"/>
      <c r="BB237" s="2037" t="str">
        <f t="shared" si="183"/>
        <v/>
      </c>
      <c r="BC237" s="69"/>
      <c r="BD237" s="2037" t="str">
        <f t="shared" si="184"/>
        <v/>
      </c>
      <c r="BE237" s="69"/>
      <c r="BF237" s="2037" t="str">
        <f t="shared" si="185"/>
        <v/>
      </c>
      <c r="BG237" s="69"/>
      <c r="BH237" s="2037" t="str">
        <f t="shared" si="186"/>
        <v/>
      </c>
      <c r="BI237" s="69"/>
      <c r="BJ237" s="2037" t="str">
        <f t="shared" si="187"/>
        <v/>
      </c>
      <c r="BK237" s="69"/>
      <c r="BL237" s="2002">
        <f t="shared" si="188"/>
        <v>25</v>
      </c>
      <c r="BM237" s="69"/>
      <c r="BN237" s="2002" t="str">
        <f t="shared" si="156"/>
        <v/>
      </c>
      <c r="BO237" s="69"/>
      <c r="BP237" s="2038">
        <f t="shared" si="189"/>
        <v>25</v>
      </c>
      <c r="BQ237" s="69"/>
      <c r="BR237" s="684"/>
      <c r="BS237" s="1829"/>
      <c r="BT237" s="541"/>
      <c r="BU237" s="541"/>
    </row>
    <row r="238" ht="24.0" customHeight="1">
      <c r="A238" s="1698" t="str">
        <f t="shared" si="157"/>
        <v>Да</v>
      </c>
      <c r="B238" s="1719">
        <v>4099.0</v>
      </c>
      <c r="C238" s="1734">
        <v>221.0</v>
      </c>
      <c r="D238" s="1720"/>
      <c r="E238" s="1702" t="str">
        <f t="shared" si="158"/>
        <v>Курочка в сырном соусе со спагетти </v>
      </c>
      <c r="F238" s="2002">
        <f t="shared" si="159"/>
        <v>8</v>
      </c>
      <c r="G238" s="69"/>
      <c r="H238" s="2002">
        <f t="shared" si="160"/>
        <v>5</v>
      </c>
      <c r="I238" s="69"/>
      <c r="J238" s="2002">
        <f t="shared" si="161"/>
        <v>3</v>
      </c>
      <c r="K238" s="69"/>
      <c r="L238" s="2002">
        <f t="shared" si="162"/>
        <v>5</v>
      </c>
      <c r="M238" s="69"/>
      <c r="N238" s="2002">
        <f t="shared" si="163"/>
        <v>9</v>
      </c>
      <c r="O238" s="69"/>
      <c r="P238" s="2002">
        <f t="shared" si="164"/>
        <v>7</v>
      </c>
      <c r="Q238" s="69"/>
      <c r="R238" s="2002">
        <f t="shared" si="165"/>
        <v>7</v>
      </c>
      <c r="S238" s="69"/>
      <c r="T238" s="2002">
        <f t="shared" si="166"/>
        <v>4</v>
      </c>
      <c r="U238" s="69"/>
      <c r="V238" s="2002">
        <f t="shared" si="167"/>
        <v>6</v>
      </c>
      <c r="W238" s="69"/>
      <c r="X238" s="2002">
        <f t="shared" si="168"/>
        <v>3</v>
      </c>
      <c r="Y238" s="69"/>
      <c r="Z238" s="2002" t="str">
        <f t="shared" si="169"/>
        <v/>
      </c>
      <c r="AA238" s="69"/>
      <c r="AB238" s="2002">
        <f t="shared" si="170"/>
        <v>3</v>
      </c>
      <c r="AC238" s="69"/>
      <c r="AD238" s="2002">
        <f t="shared" si="171"/>
        <v>6</v>
      </c>
      <c r="AE238" s="69"/>
      <c r="AF238" s="2002">
        <f t="shared" si="172"/>
        <v>3</v>
      </c>
      <c r="AG238" s="69"/>
      <c r="AH238" s="2002">
        <f t="shared" si="173"/>
        <v>6</v>
      </c>
      <c r="AI238" s="69"/>
      <c r="AJ238" s="2002">
        <f t="shared" si="174"/>
        <v>4</v>
      </c>
      <c r="AK238" s="69"/>
      <c r="AL238" s="2002">
        <f t="shared" si="175"/>
        <v>3</v>
      </c>
      <c r="AM238" s="69"/>
      <c r="AN238" s="2002">
        <f t="shared" si="176"/>
        <v>2</v>
      </c>
      <c r="AO238" s="69"/>
      <c r="AP238" s="2002">
        <f t="shared" si="177"/>
        <v>2</v>
      </c>
      <c r="AQ238" s="69"/>
      <c r="AR238" s="2002">
        <f t="shared" si="178"/>
        <v>8</v>
      </c>
      <c r="AS238" s="69"/>
      <c r="AT238" s="2002">
        <f t="shared" si="179"/>
        <v>8</v>
      </c>
      <c r="AU238" s="69"/>
      <c r="AV238" s="2002">
        <f t="shared" si="180"/>
        <v>3</v>
      </c>
      <c r="AW238" s="69"/>
      <c r="AX238" s="2037">
        <f t="shared" si="181"/>
        <v>5</v>
      </c>
      <c r="AY238" s="69"/>
      <c r="AZ238" s="2037">
        <f t="shared" si="182"/>
        <v>3</v>
      </c>
      <c r="BA238" s="69"/>
      <c r="BB238" s="2037">
        <f t="shared" si="183"/>
        <v>9</v>
      </c>
      <c r="BC238" s="69"/>
      <c r="BD238" s="2037">
        <f t="shared" si="184"/>
        <v>3</v>
      </c>
      <c r="BE238" s="69"/>
      <c r="BF238" s="2037">
        <f t="shared" si="185"/>
        <v>7</v>
      </c>
      <c r="BG238" s="69"/>
      <c r="BH238" s="2037">
        <f t="shared" si="186"/>
        <v>4</v>
      </c>
      <c r="BI238" s="69"/>
      <c r="BJ238" s="2037">
        <f t="shared" si="187"/>
        <v>7</v>
      </c>
      <c r="BK238" s="69"/>
      <c r="BL238" s="2002" t="str">
        <f t="shared" si="188"/>
        <v/>
      </c>
      <c r="BM238" s="69"/>
      <c r="BN238" s="2002" t="str">
        <f t="shared" si="156"/>
        <v/>
      </c>
      <c r="BO238" s="69"/>
      <c r="BP238" s="2038">
        <f t="shared" si="189"/>
        <v>143</v>
      </c>
      <c r="BQ238" s="69"/>
      <c r="BR238" s="684"/>
      <c r="BS238" s="1829"/>
      <c r="BT238" s="541"/>
      <c r="BU238" s="541"/>
    </row>
    <row r="239" ht="24.0" customHeight="1">
      <c r="A239" s="1698" t="str">
        <f t="shared" si="157"/>
        <v/>
      </c>
      <c r="B239" s="1719">
        <v>2022.0</v>
      </c>
      <c r="C239" s="1734">
        <v>216.0</v>
      </c>
      <c r="D239" s="1720"/>
      <c r="E239" s="1702" t="str">
        <f t="shared" si="158"/>
        <v>Горбуша в томатном соусе с рисом</v>
      </c>
      <c r="F239" s="2002" t="str">
        <f t="shared" si="159"/>
        <v/>
      </c>
      <c r="G239" s="69"/>
      <c r="H239" s="2002" t="str">
        <f t="shared" si="160"/>
        <v/>
      </c>
      <c r="I239" s="69"/>
      <c r="J239" s="2002" t="str">
        <f t="shared" si="161"/>
        <v/>
      </c>
      <c r="K239" s="69"/>
      <c r="L239" s="2002" t="str">
        <f t="shared" si="162"/>
        <v/>
      </c>
      <c r="M239" s="69"/>
      <c r="N239" s="2002" t="str">
        <f t="shared" si="163"/>
        <v/>
      </c>
      <c r="O239" s="69"/>
      <c r="P239" s="2002" t="str">
        <f t="shared" si="164"/>
        <v/>
      </c>
      <c r="Q239" s="69"/>
      <c r="R239" s="2002" t="str">
        <f t="shared" si="165"/>
        <v/>
      </c>
      <c r="S239" s="69"/>
      <c r="T239" s="2002" t="str">
        <f t="shared" si="166"/>
        <v/>
      </c>
      <c r="U239" s="69"/>
      <c r="V239" s="2002" t="str">
        <f t="shared" si="167"/>
        <v/>
      </c>
      <c r="W239" s="69"/>
      <c r="X239" s="2002" t="str">
        <f t="shared" si="168"/>
        <v/>
      </c>
      <c r="Y239" s="69"/>
      <c r="Z239" s="2002" t="str">
        <f t="shared" si="169"/>
        <v/>
      </c>
      <c r="AA239" s="69"/>
      <c r="AB239" s="2002" t="str">
        <f t="shared" si="170"/>
        <v/>
      </c>
      <c r="AC239" s="69"/>
      <c r="AD239" s="2002" t="str">
        <f t="shared" si="171"/>
        <v/>
      </c>
      <c r="AE239" s="69"/>
      <c r="AF239" s="2002" t="str">
        <f t="shared" si="172"/>
        <v/>
      </c>
      <c r="AG239" s="69"/>
      <c r="AH239" s="2002" t="str">
        <f t="shared" si="173"/>
        <v/>
      </c>
      <c r="AI239" s="69"/>
      <c r="AJ239" s="2002" t="str">
        <f t="shared" si="174"/>
        <v/>
      </c>
      <c r="AK239" s="69"/>
      <c r="AL239" s="2002" t="str">
        <f t="shared" si="175"/>
        <v/>
      </c>
      <c r="AM239" s="69"/>
      <c r="AN239" s="2002" t="str">
        <f t="shared" si="176"/>
        <v/>
      </c>
      <c r="AO239" s="69"/>
      <c r="AP239" s="2002" t="str">
        <f t="shared" si="177"/>
        <v/>
      </c>
      <c r="AQ239" s="69"/>
      <c r="AR239" s="2002" t="str">
        <f t="shared" si="178"/>
        <v/>
      </c>
      <c r="AS239" s="69"/>
      <c r="AT239" s="2002" t="str">
        <f t="shared" si="179"/>
        <v/>
      </c>
      <c r="AU239" s="69"/>
      <c r="AV239" s="2002" t="str">
        <f t="shared" si="180"/>
        <v/>
      </c>
      <c r="AW239" s="69"/>
      <c r="AX239" s="2037" t="str">
        <f t="shared" si="181"/>
        <v/>
      </c>
      <c r="AY239" s="69"/>
      <c r="AZ239" s="2037" t="str">
        <f t="shared" si="182"/>
        <v/>
      </c>
      <c r="BA239" s="69"/>
      <c r="BB239" s="2037" t="str">
        <f t="shared" si="183"/>
        <v/>
      </c>
      <c r="BC239" s="69"/>
      <c r="BD239" s="2037" t="str">
        <f t="shared" si="184"/>
        <v/>
      </c>
      <c r="BE239" s="69"/>
      <c r="BF239" s="2037" t="str">
        <f t="shared" si="185"/>
        <v/>
      </c>
      <c r="BG239" s="69"/>
      <c r="BH239" s="2037" t="str">
        <f t="shared" si="186"/>
        <v/>
      </c>
      <c r="BI239" s="69"/>
      <c r="BJ239" s="2037" t="str">
        <f t="shared" si="187"/>
        <v/>
      </c>
      <c r="BK239" s="69"/>
      <c r="BL239" s="2002">
        <f t="shared" si="188"/>
        <v>78</v>
      </c>
      <c r="BM239" s="69"/>
      <c r="BN239" s="2002" t="str">
        <f t="shared" si="156"/>
        <v/>
      </c>
      <c r="BO239" s="69"/>
      <c r="BP239" s="2038">
        <f t="shared" si="189"/>
        <v>78</v>
      </c>
      <c r="BQ239" s="69"/>
      <c r="BR239" s="684"/>
      <c r="BS239" s="1829"/>
      <c r="BT239" s="541"/>
      <c r="BU239" s="541"/>
    </row>
    <row r="240" ht="24.0" customHeight="1">
      <c r="A240" s="1698" t="str">
        <f t="shared" si="157"/>
        <v>Да</v>
      </c>
      <c r="B240" s="1719">
        <v>4257.0</v>
      </c>
      <c r="C240" s="1734">
        <v>237.0</v>
      </c>
      <c r="D240" s="1720"/>
      <c r="E240" s="1702" t="str">
        <f t="shared" si="158"/>
        <v>Куриный биточек с цукини и овощами</v>
      </c>
      <c r="F240" s="2002">
        <f t="shared" si="159"/>
        <v>7</v>
      </c>
      <c r="G240" s="69"/>
      <c r="H240" s="2002">
        <f t="shared" si="160"/>
        <v>3</v>
      </c>
      <c r="I240" s="69"/>
      <c r="J240" s="2002">
        <f t="shared" si="161"/>
        <v>3</v>
      </c>
      <c r="K240" s="69"/>
      <c r="L240" s="2002">
        <f t="shared" si="162"/>
        <v>2</v>
      </c>
      <c r="M240" s="69"/>
      <c r="N240" s="2002">
        <f t="shared" si="163"/>
        <v>5</v>
      </c>
      <c r="O240" s="69"/>
      <c r="P240" s="2002">
        <f t="shared" si="164"/>
        <v>4</v>
      </c>
      <c r="Q240" s="69"/>
      <c r="R240" s="2002">
        <f t="shared" si="165"/>
        <v>5</v>
      </c>
      <c r="S240" s="69"/>
      <c r="T240" s="2002">
        <f t="shared" si="166"/>
        <v>4</v>
      </c>
      <c r="U240" s="69"/>
      <c r="V240" s="2002">
        <f t="shared" si="167"/>
        <v>3</v>
      </c>
      <c r="W240" s="69"/>
      <c r="X240" s="2002">
        <f t="shared" si="168"/>
        <v>3</v>
      </c>
      <c r="Y240" s="69"/>
      <c r="Z240" s="2002" t="str">
        <f t="shared" si="169"/>
        <v/>
      </c>
      <c r="AA240" s="69"/>
      <c r="AB240" s="2002">
        <f t="shared" si="170"/>
        <v>4</v>
      </c>
      <c r="AC240" s="69"/>
      <c r="AD240" s="2002">
        <f t="shared" si="171"/>
        <v>5</v>
      </c>
      <c r="AE240" s="69"/>
      <c r="AF240" s="2002">
        <f t="shared" si="172"/>
        <v>2</v>
      </c>
      <c r="AG240" s="69"/>
      <c r="AH240" s="2002">
        <f t="shared" si="173"/>
        <v>2</v>
      </c>
      <c r="AI240" s="69"/>
      <c r="AJ240" s="2002">
        <f t="shared" si="174"/>
        <v>4</v>
      </c>
      <c r="AK240" s="69"/>
      <c r="AL240" s="2002">
        <f t="shared" si="175"/>
        <v>0</v>
      </c>
      <c r="AM240" s="69"/>
      <c r="AN240" s="2002">
        <f t="shared" si="176"/>
        <v>2</v>
      </c>
      <c r="AO240" s="69"/>
      <c r="AP240" s="2002">
        <f t="shared" si="177"/>
        <v>2</v>
      </c>
      <c r="AQ240" s="69"/>
      <c r="AR240" s="2002">
        <f t="shared" si="178"/>
        <v>2</v>
      </c>
      <c r="AS240" s="69"/>
      <c r="AT240" s="2002">
        <f t="shared" si="179"/>
        <v>5</v>
      </c>
      <c r="AU240" s="69"/>
      <c r="AV240" s="2002">
        <f t="shared" si="180"/>
        <v>3</v>
      </c>
      <c r="AW240" s="69"/>
      <c r="AX240" s="2037">
        <f t="shared" si="181"/>
        <v>2</v>
      </c>
      <c r="AY240" s="69"/>
      <c r="AZ240" s="2037">
        <f t="shared" si="182"/>
        <v>3</v>
      </c>
      <c r="BA240" s="69"/>
      <c r="BB240" s="2037">
        <f t="shared" si="183"/>
        <v>9</v>
      </c>
      <c r="BC240" s="69"/>
      <c r="BD240" s="2037" t="str">
        <f t="shared" si="184"/>
        <v/>
      </c>
      <c r="BE240" s="69"/>
      <c r="BF240" s="2037">
        <f t="shared" si="185"/>
        <v>2</v>
      </c>
      <c r="BG240" s="69"/>
      <c r="BH240" s="2037">
        <f t="shared" si="186"/>
        <v>4</v>
      </c>
      <c r="BI240" s="69"/>
      <c r="BJ240" s="2037">
        <f t="shared" si="187"/>
        <v>2</v>
      </c>
      <c r="BK240" s="69"/>
      <c r="BL240" s="2002" t="str">
        <f t="shared" si="188"/>
        <v/>
      </c>
      <c r="BM240" s="69"/>
      <c r="BN240" s="2002" t="str">
        <f t="shared" si="156"/>
        <v/>
      </c>
      <c r="BO240" s="69"/>
      <c r="BP240" s="2038">
        <f t="shared" si="189"/>
        <v>92</v>
      </c>
      <c r="BQ240" s="69"/>
      <c r="BR240" s="684"/>
      <c r="BS240" s="1829"/>
      <c r="BT240" s="541"/>
      <c r="BU240" s="541"/>
    </row>
    <row r="241" ht="24.0" customHeight="1">
      <c r="A241" s="1698" t="str">
        <f t="shared" si="157"/>
        <v/>
      </c>
      <c r="B241" s="1719">
        <v>1826.0</v>
      </c>
      <c r="C241" s="1734">
        <v>243.0</v>
      </c>
      <c r="D241" s="1720"/>
      <c r="E241" s="1702" t="str">
        <f t="shared" si="158"/>
        <v>Купаты куриные с картофелем</v>
      </c>
      <c r="F241" s="2002">
        <f t="shared" si="159"/>
        <v>1</v>
      </c>
      <c r="G241" s="69"/>
      <c r="H241" s="2002" t="str">
        <f t="shared" si="160"/>
        <v/>
      </c>
      <c r="I241" s="69"/>
      <c r="J241" s="2002">
        <f t="shared" si="161"/>
        <v>1</v>
      </c>
      <c r="K241" s="69"/>
      <c r="L241" s="2002">
        <f t="shared" si="162"/>
        <v>1</v>
      </c>
      <c r="M241" s="69"/>
      <c r="N241" s="2002">
        <f t="shared" si="163"/>
        <v>3</v>
      </c>
      <c r="O241" s="69"/>
      <c r="P241" s="2002">
        <f t="shared" si="164"/>
        <v>3</v>
      </c>
      <c r="Q241" s="69"/>
      <c r="R241" s="2002" t="str">
        <f t="shared" si="165"/>
        <v/>
      </c>
      <c r="S241" s="69"/>
      <c r="T241" s="2002" t="str">
        <f t="shared" si="166"/>
        <v/>
      </c>
      <c r="U241" s="69"/>
      <c r="V241" s="2002" t="str">
        <f t="shared" si="167"/>
        <v/>
      </c>
      <c r="W241" s="69"/>
      <c r="X241" s="2002">
        <f t="shared" si="168"/>
        <v>2</v>
      </c>
      <c r="Y241" s="69"/>
      <c r="Z241" s="2002" t="str">
        <f t="shared" si="169"/>
        <v/>
      </c>
      <c r="AA241" s="69"/>
      <c r="AB241" s="2002">
        <f t="shared" si="170"/>
        <v>1</v>
      </c>
      <c r="AC241" s="69"/>
      <c r="AD241" s="2002" t="str">
        <f t="shared" si="171"/>
        <v/>
      </c>
      <c r="AE241" s="69"/>
      <c r="AF241" s="2002">
        <f t="shared" si="172"/>
        <v>1</v>
      </c>
      <c r="AG241" s="69"/>
      <c r="AH241" s="2002">
        <f t="shared" si="173"/>
        <v>1</v>
      </c>
      <c r="AI241" s="69"/>
      <c r="AJ241" s="2002">
        <f t="shared" si="174"/>
        <v>1</v>
      </c>
      <c r="AK241" s="69"/>
      <c r="AL241" s="2002" t="str">
        <f t="shared" si="175"/>
        <v/>
      </c>
      <c r="AM241" s="69"/>
      <c r="AN241" s="2002" t="str">
        <f t="shared" si="176"/>
        <v/>
      </c>
      <c r="AO241" s="69"/>
      <c r="AP241" s="2002" t="str">
        <f t="shared" si="177"/>
        <v/>
      </c>
      <c r="AQ241" s="69"/>
      <c r="AR241" s="2002" t="str">
        <f t="shared" si="178"/>
        <v/>
      </c>
      <c r="AS241" s="69"/>
      <c r="AT241" s="2002" t="str">
        <f t="shared" si="179"/>
        <v/>
      </c>
      <c r="AU241" s="69"/>
      <c r="AV241" s="2002" t="str">
        <f t="shared" si="180"/>
        <v/>
      </c>
      <c r="AW241" s="69"/>
      <c r="AX241" s="2037" t="str">
        <f t="shared" si="181"/>
        <v/>
      </c>
      <c r="AY241" s="69"/>
      <c r="AZ241" s="2037" t="str">
        <f t="shared" si="182"/>
        <v/>
      </c>
      <c r="BA241" s="69"/>
      <c r="BB241" s="2037" t="str">
        <f t="shared" si="183"/>
        <v/>
      </c>
      <c r="BC241" s="69"/>
      <c r="BD241" s="2037" t="str">
        <f t="shared" si="184"/>
        <v/>
      </c>
      <c r="BE241" s="69"/>
      <c r="BF241" s="2037" t="str">
        <f t="shared" si="185"/>
        <v/>
      </c>
      <c r="BG241" s="69"/>
      <c r="BH241" s="2037" t="str">
        <f t="shared" si="186"/>
        <v/>
      </c>
      <c r="BI241" s="69"/>
      <c r="BJ241" s="2037" t="str">
        <f t="shared" si="187"/>
        <v/>
      </c>
      <c r="BK241" s="69"/>
      <c r="BL241" s="2002" t="str">
        <f t="shared" si="188"/>
        <v/>
      </c>
      <c r="BM241" s="69"/>
      <c r="BN241" s="2002" t="str">
        <f t="shared" si="156"/>
        <v/>
      </c>
      <c r="BO241" s="69"/>
      <c r="BP241" s="2038">
        <f t="shared" si="189"/>
        <v>15</v>
      </c>
      <c r="BQ241" s="69"/>
      <c r="BR241" s="684"/>
      <c r="BS241" s="1829"/>
      <c r="BT241" s="541"/>
      <c r="BU241" s="541"/>
    </row>
    <row r="242" ht="24.0" customHeight="1">
      <c r="A242" s="1698" t="str">
        <f t="shared" si="157"/>
        <v/>
      </c>
      <c r="B242" s="1719">
        <v>3454.0</v>
      </c>
      <c r="C242" s="1734">
        <v>67.0</v>
      </c>
      <c r="D242" s="1720"/>
      <c r="E242" s="1702" t="str">
        <f t="shared" si="158"/>
        <v>Рулетик с корицей 100 гр</v>
      </c>
      <c r="F242" s="2002" t="str">
        <f t="shared" si="159"/>
        <v/>
      </c>
      <c r="G242" s="69"/>
      <c r="H242" s="2002" t="str">
        <f t="shared" si="160"/>
        <v/>
      </c>
      <c r="I242" s="69"/>
      <c r="J242" s="2002" t="str">
        <f t="shared" si="161"/>
        <v/>
      </c>
      <c r="K242" s="69"/>
      <c r="L242" s="2002" t="str">
        <f t="shared" si="162"/>
        <v/>
      </c>
      <c r="M242" s="69"/>
      <c r="N242" s="2002" t="str">
        <f t="shared" si="163"/>
        <v/>
      </c>
      <c r="O242" s="69"/>
      <c r="P242" s="2002" t="str">
        <f t="shared" si="164"/>
        <v/>
      </c>
      <c r="Q242" s="69"/>
      <c r="R242" s="2002" t="str">
        <f t="shared" si="165"/>
        <v/>
      </c>
      <c r="S242" s="69"/>
      <c r="T242" s="2002" t="str">
        <f t="shared" si="166"/>
        <v/>
      </c>
      <c r="U242" s="69"/>
      <c r="V242" s="2002" t="str">
        <f t="shared" si="167"/>
        <v/>
      </c>
      <c r="W242" s="69"/>
      <c r="X242" s="2002" t="str">
        <f t="shared" si="168"/>
        <v/>
      </c>
      <c r="Y242" s="69"/>
      <c r="Z242" s="2002" t="str">
        <f t="shared" si="169"/>
        <v/>
      </c>
      <c r="AA242" s="69"/>
      <c r="AB242" s="2002" t="str">
        <f t="shared" si="170"/>
        <v/>
      </c>
      <c r="AC242" s="69"/>
      <c r="AD242" s="2002" t="str">
        <f t="shared" si="171"/>
        <v/>
      </c>
      <c r="AE242" s="69"/>
      <c r="AF242" s="2002" t="str">
        <f t="shared" si="172"/>
        <v/>
      </c>
      <c r="AG242" s="69"/>
      <c r="AH242" s="2002" t="str">
        <f t="shared" si="173"/>
        <v/>
      </c>
      <c r="AI242" s="69"/>
      <c r="AJ242" s="2002" t="str">
        <f t="shared" si="174"/>
        <v/>
      </c>
      <c r="AK242" s="69"/>
      <c r="AL242" s="2002" t="str">
        <f t="shared" si="175"/>
        <v/>
      </c>
      <c r="AM242" s="69"/>
      <c r="AN242" s="2002" t="str">
        <f t="shared" si="176"/>
        <v/>
      </c>
      <c r="AO242" s="69"/>
      <c r="AP242" s="2002" t="str">
        <f t="shared" si="177"/>
        <v/>
      </c>
      <c r="AQ242" s="69"/>
      <c r="AR242" s="2002" t="str">
        <f t="shared" si="178"/>
        <v/>
      </c>
      <c r="AS242" s="69"/>
      <c r="AT242" s="2002" t="str">
        <f t="shared" si="179"/>
        <v/>
      </c>
      <c r="AU242" s="69"/>
      <c r="AV242" s="2002" t="str">
        <f t="shared" si="180"/>
        <v/>
      </c>
      <c r="AW242" s="69"/>
      <c r="AX242" s="2037" t="str">
        <f t="shared" si="181"/>
        <v/>
      </c>
      <c r="AY242" s="69"/>
      <c r="AZ242" s="2037" t="str">
        <f t="shared" si="182"/>
        <v/>
      </c>
      <c r="BA242" s="69"/>
      <c r="BB242" s="2037" t="str">
        <f t="shared" si="183"/>
        <v/>
      </c>
      <c r="BC242" s="69"/>
      <c r="BD242" s="2037" t="str">
        <f t="shared" si="184"/>
        <v/>
      </c>
      <c r="BE242" s="69"/>
      <c r="BF242" s="2037" t="str">
        <f t="shared" si="185"/>
        <v/>
      </c>
      <c r="BG242" s="69"/>
      <c r="BH242" s="2037" t="str">
        <f t="shared" si="186"/>
        <v/>
      </c>
      <c r="BI242" s="69"/>
      <c r="BJ242" s="2037" t="str">
        <f t="shared" si="187"/>
        <v/>
      </c>
      <c r="BK242" s="69"/>
      <c r="BL242" s="2002">
        <f t="shared" si="188"/>
        <v>15</v>
      </c>
      <c r="BM242" s="69"/>
      <c r="BN242" s="2002" t="str">
        <f t="shared" si="156"/>
        <v/>
      </c>
      <c r="BO242" s="69"/>
      <c r="BP242" s="2038">
        <f t="shared" si="189"/>
        <v>15</v>
      </c>
      <c r="BQ242" s="69"/>
      <c r="BR242" s="684"/>
      <c r="BS242" s="1829"/>
      <c r="BT242" s="541"/>
      <c r="BU242" s="541"/>
    </row>
    <row r="243" ht="24.0" customHeight="1">
      <c r="A243" s="1698" t="str">
        <f t="shared" si="157"/>
        <v/>
      </c>
      <c r="B243" s="1719">
        <v>3527.0</v>
      </c>
      <c r="C243" s="1734">
        <v>96.0</v>
      </c>
      <c r="D243" s="1720"/>
      <c r="E243" s="1702" t="str">
        <f t="shared" si="158"/>
        <v>Хачапури 100 гр</v>
      </c>
      <c r="F243" s="2002" t="str">
        <f t="shared" si="159"/>
        <v/>
      </c>
      <c r="G243" s="69"/>
      <c r="H243" s="2002" t="str">
        <f t="shared" si="160"/>
        <v/>
      </c>
      <c r="I243" s="69"/>
      <c r="J243" s="2002" t="str">
        <f t="shared" si="161"/>
        <v/>
      </c>
      <c r="K243" s="69"/>
      <c r="L243" s="2002" t="str">
        <f t="shared" si="162"/>
        <v/>
      </c>
      <c r="M243" s="69"/>
      <c r="N243" s="2002" t="str">
        <f t="shared" si="163"/>
        <v/>
      </c>
      <c r="O243" s="69"/>
      <c r="P243" s="2002" t="str">
        <f t="shared" si="164"/>
        <v/>
      </c>
      <c r="Q243" s="69"/>
      <c r="R243" s="2002" t="str">
        <f t="shared" si="165"/>
        <v/>
      </c>
      <c r="S243" s="69"/>
      <c r="T243" s="2002" t="str">
        <f t="shared" si="166"/>
        <v/>
      </c>
      <c r="U243" s="69"/>
      <c r="V243" s="2002" t="str">
        <f t="shared" si="167"/>
        <v/>
      </c>
      <c r="W243" s="69"/>
      <c r="X243" s="2002" t="str">
        <f t="shared" si="168"/>
        <v/>
      </c>
      <c r="Y243" s="69"/>
      <c r="Z243" s="2002" t="str">
        <f t="shared" si="169"/>
        <v/>
      </c>
      <c r="AA243" s="69"/>
      <c r="AB243" s="2002" t="str">
        <f t="shared" si="170"/>
        <v/>
      </c>
      <c r="AC243" s="69"/>
      <c r="AD243" s="2002" t="str">
        <f t="shared" si="171"/>
        <v/>
      </c>
      <c r="AE243" s="69"/>
      <c r="AF243" s="2002" t="str">
        <f t="shared" si="172"/>
        <v/>
      </c>
      <c r="AG243" s="69"/>
      <c r="AH243" s="2002" t="str">
        <f t="shared" si="173"/>
        <v/>
      </c>
      <c r="AI243" s="69"/>
      <c r="AJ243" s="2002" t="str">
        <f t="shared" si="174"/>
        <v/>
      </c>
      <c r="AK243" s="69"/>
      <c r="AL243" s="2002" t="str">
        <f t="shared" si="175"/>
        <v/>
      </c>
      <c r="AM243" s="69"/>
      <c r="AN243" s="2002" t="str">
        <f t="shared" si="176"/>
        <v/>
      </c>
      <c r="AO243" s="69"/>
      <c r="AP243" s="2002" t="str">
        <f t="shared" si="177"/>
        <v/>
      </c>
      <c r="AQ243" s="69"/>
      <c r="AR243" s="2002" t="str">
        <f t="shared" si="178"/>
        <v/>
      </c>
      <c r="AS243" s="69"/>
      <c r="AT243" s="2002" t="str">
        <f t="shared" si="179"/>
        <v/>
      </c>
      <c r="AU243" s="69"/>
      <c r="AV243" s="2002" t="str">
        <f t="shared" si="180"/>
        <v/>
      </c>
      <c r="AW243" s="69"/>
      <c r="AX243" s="2037" t="str">
        <f t="shared" si="181"/>
        <v/>
      </c>
      <c r="AY243" s="69"/>
      <c r="AZ243" s="2037" t="str">
        <f t="shared" si="182"/>
        <v/>
      </c>
      <c r="BA243" s="69"/>
      <c r="BB243" s="2037" t="str">
        <f t="shared" si="183"/>
        <v/>
      </c>
      <c r="BC243" s="69"/>
      <c r="BD243" s="2037" t="str">
        <f t="shared" si="184"/>
        <v/>
      </c>
      <c r="BE243" s="69"/>
      <c r="BF243" s="2037" t="str">
        <f t="shared" si="185"/>
        <v/>
      </c>
      <c r="BG243" s="69"/>
      <c r="BH243" s="2037" t="str">
        <f t="shared" si="186"/>
        <v/>
      </c>
      <c r="BI243" s="69"/>
      <c r="BJ243" s="2037" t="str">
        <f t="shared" si="187"/>
        <v/>
      </c>
      <c r="BK243" s="69"/>
      <c r="BL243" s="2002">
        <f t="shared" si="188"/>
        <v>20</v>
      </c>
      <c r="BM243" s="69"/>
      <c r="BN243" s="2002" t="str">
        <f t="shared" si="156"/>
        <v/>
      </c>
      <c r="BO243" s="69"/>
      <c r="BP243" s="2038">
        <f t="shared" si="189"/>
        <v>20</v>
      </c>
      <c r="BQ243" s="69"/>
      <c r="BR243" s="684"/>
      <c r="BS243" s="1829"/>
      <c r="BT243" s="541"/>
      <c r="BU243" s="541"/>
    </row>
    <row r="244" ht="24.0" customHeight="1">
      <c r="A244" s="1698" t="str">
        <f t="shared" si="157"/>
        <v>Да</v>
      </c>
      <c r="B244" s="1719">
        <v>2079.0</v>
      </c>
      <c r="C244" s="1734">
        <v>105.0</v>
      </c>
      <c r="D244" s="1720"/>
      <c r="E244" s="1702" t="str">
        <f t="shared" si="158"/>
        <v>Вафельная трубочка с вареной сгущенкой</v>
      </c>
      <c r="F244" s="2002">
        <f t="shared" si="159"/>
        <v>36</v>
      </c>
      <c r="G244" s="69"/>
      <c r="H244" s="2002">
        <f t="shared" si="160"/>
        <v>3</v>
      </c>
      <c r="I244" s="69"/>
      <c r="J244" s="2002">
        <f t="shared" si="161"/>
        <v>6</v>
      </c>
      <c r="K244" s="69"/>
      <c r="L244" s="2002">
        <f t="shared" si="162"/>
        <v>6</v>
      </c>
      <c r="M244" s="69"/>
      <c r="N244" s="2002">
        <f t="shared" si="163"/>
        <v>6</v>
      </c>
      <c r="O244" s="69"/>
      <c r="P244" s="2002">
        <f t="shared" si="164"/>
        <v>6</v>
      </c>
      <c r="Q244" s="69"/>
      <c r="R244" s="2002">
        <f t="shared" si="165"/>
        <v>6</v>
      </c>
      <c r="S244" s="69"/>
      <c r="T244" s="2002">
        <f t="shared" si="166"/>
        <v>7</v>
      </c>
      <c r="U244" s="69"/>
      <c r="V244" s="2002">
        <f t="shared" si="167"/>
        <v>16</v>
      </c>
      <c r="W244" s="69"/>
      <c r="X244" s="2002">
        <f t="shared" si="168"/>
        <v>6</v>
      </c>
      <c r="Y244" s="69"/>
      <c r="Z244" s="2002" t="str">
        <f t="shared" si="169"/>
        <v/>
      </c>
      <c r="AA244" s="69"/>
      <c r="AB244" s="2002">
        <f t="shared" si="170"/>
        <v>9</v>
      </c>
      <c r="AC244" s="69"/>
      <c r="AD244" s="2002">
        <f t="shared" si="171"/>
        <v>18</v>
      </c>
      <c r="AE244" s="69"/>
      <c r="AF244" s="2002">
        <f t="shared" si="172"/>
        <v>23</v>
      </c>
      <c r="AG244" s="69"/>
      <c r="AH244" s="2002">
        <f t="shared" si="173"/>
        <v>8</v>
      </c>
      <c r="AI244" s="69"/>
      <c r="AJ244" s="2002">
        <f t="shared" si="174"/>
        <v>9</v>
      </c>
      <c r="AK244" s="69"/>
      <c r="AL244" s="2002">
        <f t="shared" si="175"/>
        <v>4</v>
      </c>
      <c r="AM244" s="69"/>
      <c r="AN244" s="2002">
        <f t="shared" si="176"/>
        <v>6</v>
      </c>
      <c r="AO244" s="69"/>
      <c r="AP244" s="2002">
        <f t="shared" si="177"/>
        <v>19</v>
      </c>
      <c r="AQ244" s="69"/>
      <c r="AR244" s="2002">
        <f t="shared" si="178"/>
        <v>5</v>
      </c>
      <c r="AS244" s="69"/>
      <c r="AT244" s="2002">
        <f t="shared" si="179"/>
        <v>8</v>
      </c>
      <c r="AU244" s="69"/>
      <c r="AV244" s="2002">
        <f t="shared" si="180"/>
        <v>7</v>
      </c>
      <c r="AW244" s="69"/>
      <c r="AX244" s="2037">
        <f t="shared" si="181"/>
        <v>9</v>
      </c>
      <c r="AY244" s="69"/>
      <c r="AZ244" s="2037">
        <f t="shared" si="182"/>
        <v>16</v>
      </c>
      <c r="BA244" s="69"/>
      <c r="BB244" s="2037">
        <f t="shared" si="183"/>
        <v>6</v>
      </c>
      <c r="BC244" s="69"/>
      <c r="BD244" s="2037">
        <f t="shared" si="184"/>
        <v>3</v>
      </c>
      <c r="BE244" s="69"/>
      <c r="BF244" s="2037">
        <f t="shared" si="185"/>
        <v>11</v>
      </c>
      <c r="BG244" s="69"/>
      <c r="BH244" s="2037">
        <f t="shared" si="186"/>
        <v>6</v>
      </c>
      <c r="BI244" s="69"/>
      <c r="BJ244" s="2037">
        <f t="shared" si="187"/>
        <v>5</v>
      </c>
      <c r="BK244" s="69"/>
      <c r="BL244" s="2002" t="str">
        <f t="shared" si="188"/>
        <v/>
      </c>
      <c r="BM244" s="69"/>
      <c r="BN244" s="2002" t="str">
        <f t="shared" si="156"/>
        <v/>
      </c>
      <c r="BO244" s="69"/>
      <c r="BP244" s="2038">
        <f t="shared" si="189"/>
        <v>270</v>
      </c>
      <c r="BQ244" s="69"/>
      <c r="BR244" s="684"/>
      <c r="BS244" s="1829"/>
      <c r="BT244" s="541"/>
      <c r="BU244" s="541"/>
    </row>
    <row r="245" ht="24.0" customHeight="1">
      <c r="A245" s="1698" t="str">
        <f t="shared" si="157"/>
        <v>Да</v>
      </c>
      <c r="B245" s="1719">
        <v>2083.0</v>
      </c>
      <c r="C245" s="1734">
        <v>158.0</v>
      </c>
      <c r="D245" s="1720"/>
      <c r="E245" s="1702" t="str">
        <f t="shared" si="158"/>
        <v>Сэндвич ''Цезарь''</v>
      </c>
      <c r="F245" s="2002">
        <f t="shared" si="159"/>
        <v>9</v>
      </c>
      <c r="G245" s="69"/>
      <c r="H245" s="2002">
        <f t="shared" si="160"/>
        <v>3</v>
      </c>
      <c r="I245" s="69"/>
      <c r="J245" s="2002">
        <f t="shared" si="161"/>
        <v>4</v>
      </c>
      <c r="K245" s="69"/>
      <c r="L245" s="2002">
        <f t="shared" si="162"/>
        <v>6</v>
      </c>
      <c r="M245" s="69"/>
      <c r="N245" s="2002">
        <f t="shared" si="163"/>
        <v>8</v>
      </c>
      <c r="O245" s="69"/>
      <c r="P245" s="2002">
        <f t="shared" si="164"/>
        <v>8</v>
      </c>
      <c r="Q245" s="69"/>
      <c r="R245" s="2002">
        <f t="shared" si="165"/>
        <v>3</v>
      </c>
      <c r="S245" s="69"/>
      <c r="T245" s="2002">
        <f t="shared" si="166"/>
        <v>2</v>
      </c>
      <c r="U245" s="69"/>
      <c r="V245" s="2002">
        <f t="shared" si="167"/>
        <v>3</v>
      </c>
      <c r="W245" s="69"/>
      <c r="X245" s="2002">
        <f t="shared" si="168"/>
        <v>4</v>
      </c>
      <c r="Y245" s="69"/>
      <c r="Z245" s="2002" t="str">
        <f t="shared" si="169"/>
        <v/>
      </c>
      <c r="AA245" s="69"/>
      <c r="AB245" s="2002">
        <f t="shared" si="170"/>
        <v>3</v>
      </c>
      <c r="AC245" s="69"/>
      <c r="AD245" s="2002">
        <f t="shared" si="171"/>
        <v>4</v>
      </c>
      <c r="AE245" s="69"/>
      <c r="AF245" s="2002">
        <f t="shared" si="172"/>
        <v>4</v>
      </c>
      <c r="AG245" s="69"/>
      <c r="AH245" s="2002">
        <f t="shared" si="173"/>
        <v>3</v>
      </c>
      <c r="AI245" s="69"/>
      <c r="AJ245" s="2002">
        <f t="shared" si="174"/>
        <v>2</v>
      </c>
      <c r="AK245" s="69"/>
      <c r="AL245" s="2002">
        <f t="shared" si="175"/>
        <v>3</v>
      </c>
      <c r="AM245" s="69"/>
      <c r="AN245" s="2002">
        <f t="shared" si="176"/>
        <v>2</v>
      </c>
      <c r="AO245" s="69"/>
      <c r="AP245" s="2002">
        <f t="shared" si="177"/>
        <v>6</v>
      </c>
      <c r="AQ245" s="69"/>
      <c r="AR245" s="2002">
        <f t="shared" si="178"/>
        <v>9</v>
      </c>
      <c r="AS245" s="69"/>
      <c r="AT245" s="2002">
        <f t="shared" si="179"/>
        <v>5</v>
      </c>
      <c r="AU245" s="69"/>
      <c r="AV245" s="2002">
        <f t="shared" si="180"/>
        <v>5</v>
      </c>
      <c r="AW245" s="69"/>
      <c r="AX245" s="2037">
        <f t="shared" si="181"/>
        <v>5</v>
      </c>
      <c r="AY245" s="69"/>
      <c r="AZ245" s="2037">
        <f t="shared" si="182"/>
        <v>3</v>
      </c>
      <c r="BA245" s="69"/>
      <c r="BB245" s="2037">
        <f t="shared" si="183"/>
        <v>10</v>
      </c>
      <c r="BC245" s="69"/>
      <c r="BD245" s="2037">
        <f t="shared" si="184"/>
        <v>2</v>
      </c>
      <c r="BE245" s="69"/>
      <c r="BF245" s="2037">
        <f t="shared" si="185"/>
        <v>2</v>
      </c>
      <c r="BG245" s="69"/>
      <c r="BH245" s="2037">
        <f t="shared" si="186"/>
        <v>2</v>
      </c>
      <c r="BI245" s="69"/>
      <c r="BJ245" s="2037">
        <f t="shared" si="187"/>
        <v>3</v>
      </c>
      <c r="BK245" s="69"/>
      <c r="BL245" s="2002" t="str">
        <f t="shared" si="188"/>
        <v/>
      </c>
      <c r="BM245" s="69"/>
      <c r="BN245" s="2002" t="str">
        <f t="shared" si="156"/>
        <v/>
      </c>
      <c r="BO245" s="69"/>
      <c r="BP245" s="2038">
        <f t="shared" si="189"/>
        <v>123</v>
      </c>
      <c r="BQ245" s="69"/>
      <c r="BR245" s="684"/>
      <c r="BS245" s="1829"/>
      <c r="BT245" s="541"/>
      <c r="BU245" s="541"/>
    </row>
    <row r="246" ht="24.0" customHeight="1">
      <c r="A246" s="1698" t="str">
        <f t="shared" si="157"/>
        <v>Да</v>
      </c>
      <c r="B246" s="1719">
        <v>2782.0</v>
      </c>
      <c r="C246" s="1734">
        <v>170.0</v>
      </c>
      <c r="D246" s="1720"/>
      <c r="E246" s="1702" t="str">
        <f t="shared" si="158"/>
        <v>Сэндвич с пепперони и сыром</v>
      </c>
      <c r="F246" s="2002">
        <f t="shared" si="159"/>
        <v>11</v>
      </c>
      <c r="G246" s="69"/>
      <c r="H246" s="2002">
        <f t="shared" si="160"/>
        <v>3</v>
      </c>
      <c r="I246" s="69"/>
      <c r="J246" s="2002">
        <f t="shared" si="161"/>
        <v>4</v>
      </c>
      <c r="K246" s="69"/>
      <c r="L246" s="2002">
        <f t="shared" si="162"/>
        <v>3</v>
      </c>
      <c r="M246" s="69"/>
      <c r="N246" s="2002">
        <f t="shared" si="163"/>
        <v>6</v>
      </c>
      <c r="O246" s="69"/>
      <c r="P246" s="2002">
        <f t="shared" si="164"/>
        <v>6</v>
      </c>
      <c r="Q246" s="69"/>
      <c r="R246" s="2002">
        <f t="shared" si="165"/>
        <v>3</v>
      </c>
      <c r="S246" s="69"/>
      <c r="T246" s="2002">
        <f t="shared" si="166"/>
        <v>2</v>
      </c>
      <c r="U246" s="69"/>
      <c r="V246" s="2002">
        <f t="shared" si="167"/>
        <v>7</v>
      </c>
      <c r="W246" s="69"/>
      <c r="X246" s="2002">
        <f t="shared" si="168"/>
        <v>6</v>
      </c>
      <c r="Y246" s="69"/>
      <c r="Z246" s="2002" t="str">
        <f t="shared" si="169"/>
        <v/>
      </c>
      <c r="AA246" s="69"/>
      <c r="AB246" s="2002">
        <f t="shared" si="170"/>
        <v>3</v>
      </c>
      <c r="AC246" s="69"/>
      <c r="AD246" s="2002">
        <f t="shared" si="171"/>
        <v>5</v>
      </c>
      <c r="AE246" s="69"/>
      <c r="AF246" s="2002">
        <f t="shared" si="172"/>
        <v>5</v>
      </c>
      <c r="AG246" s="69"/>
      <c r="AH246" s="2002">
        <f t="shared" si="173"/>
        <v>5</v>
      </c>
      <c r="AI246" s="69"/>
      <c r="AJ246" s="2002">
        <f t="shared" si="174"/>
        <v>3</v>
      </c>
      <c r="AK246" s="69"/>
      <c r="AL246" s="2002">
        <f t="shared" si="175"/>
        <v>4</v>
      </c>
      <c r="AM246" s="69"/>
      <c r="AN246" s="2002">
        <f t="shared" si="176"/>
        <v>2</v>
      </c>
      <c r="AO246" s="69"/>
      <c r="AP246" s="2002">
        <f t="shared" si="177"/>
        <v>3</v>
      </c>
      <c r="AQ246" s="69"/>
      <c r="AR246" s="2002">
        <f t="shared" si="178"/>
        <v>7</v>
      </c>
      <c r="AS246" s="69"/>
      <c r="AT246" s="2002">
        <f t="shared" si="179"/>
        <v>3</v>
      </c>
      <c r="AU246" s="69"/>
      <c r="AV246" s="2002">
        <f t="shared" si="180"/>
        <v>5</v>
      </c>
      <c r="AW246" s="69"/>
      <c r="AX246" s="2037">
        <f t="shared" si="181"/>
        <v>6</v>
      </c>
      <c r="AY246" s="69"/>
      <c r="AZ246" s="2037">
        <f t="shared" si="182"/>
        <v>3</v>
      </c>
      <c r="BA246" s="69"/>
      <c r="BB246" s="2037">
        <f t="shared" si="183"/>
        <v>10</v>
      </c>
      <c r="BC246" s="69"/>
      <c r="BD246" s="2037">
        <f t="shared" si="184"/>
        <v>2</v>
      </c>
      <c r="BE246" s="69"/>
      <c r="BF246" s="2037">
        <f t="shared" si="185"/>
        <v>6</v>
      </c>
      <c r="BG246" s="69"/>
      <c r="BH246" s="2037">
        <f t="shared" si="186"/>
        <v>4</v>
      </c>
      <c r="BI246" s="69"/>
      <c r="BJ246" s="2037">
        <f t="shared" si="187"/>
        <v>3</v>
      </c>
      <c r="BK246" s="69"/>
      <c r="BL246" s="2093" t="str">
        <f t="shared" si="188"/>
        <v/>
      </c>
      <c r="BM246" s="69"/>
      <c r="BN246" s="2093" t="str">
        <f t="shared" si="156"/>
        <v/>
      </c>
      <c r="BO246" s="69"/>
      <c r="BP246" s="2038">
        <f t="shared" si="189"/>
        <v>130</v>
      </c>
      <c r="BQ246" s="69"/>
      <c r="BR246" s="684"/>
      <c r="BS246" s="1829"/>
      <c r="BT246" s="541"/>
      <c r="BU246" s="541"/>
    </row>
    <row r="247" ht="24.0" customHeight="1">
      <c r="A247" s="1698" t="str">
        <f t="shared" si="157"/>
        <v/>
      </c>
      <c r="B247" s="1719">
        <v>4265.0</v>
      </c>
      <c r="C247" s="1734">
        <v>128.0</v>
      </c>
      <c r="D247" s="1720"/>
      <c r="E247" s="1702" t="str">
        <f t="shared" si="158"/>
        <v>Трайфл "Маковый"</v>
      </c>
      <c r="F247" s="2002">
        <f t="shared" si="159"/>
        <v>3</v>
      </c>
      <c r="G247" s="69"/>
      <c r="H247" s="2095" t="str">
        <f t="shared" si="160"/>
        <v/>
      </c>
      <c r="I247" s="69"/>
      <c r="J247" s="2002">
        <f t="shared" si="161"/>
        <v>2</v>
      </c>
      <c r="K247" s="69"/>
      <c r="L247" s="2002" t="str">
        <f t="shared" si="162"/>
        <v/>
      </c>
      <c r="M247" s="69"/>
      <c r="N247" s="2002">
        <f t="shared" si="163"/>
        <v>2</v>
      </c>
      <c r="O247" s="69"/>
      <c r="P247" s="2095">
        <f t="shared" si="164"/>
        <v>2</v>
      </c>
      <c r="Q247" s="69"/>
      <c r="R247" s="2002" t="str">
        <f t="shared" si="165"/>
        <v/>
      </c>
      <c r="S247" s="69"/>
      <c r="T247" s="2002" t="str">
        <f t="shared" si="166"/>
        <v/>
      </c>
      <c r="U247" s="69"/>
      <c r="V247" s="2002">
        <f t="shared" si="167"/>
        <v>3</v>
      </c>
      <c r="W247" s="69"/>
      <c r="X247" s="2002">
        <f t="shared" si="168"/>
        <v>2</v>
      </c>
      <c r="Y247" s="69"/>
      <c r="Z247" s="2002" t="str">
        <f t="shared" si="169"/>
        <v/>
      </c>
      <c r="AA247" s="69"/>
      <c r="AB247" s="2002" t="str">
        <f t="shared" si="170"/>
        <v/>
      </c>
      <c r="AC247" s="69"/>
      <c r="AD247" s="2002" t="str">
        <f t="shared" si="171"/>
        <v/>
      </c>
      <c r="AE247" s="69"/>
      <c r="AF247" s="2002" t="str">
        <f t="shared" si="172"/>
        <v/>
      </c>
      <c r="AG247" s="69"/>
      <c r="AH247" s="2002">
        <f t="shared" si="173"/>
        <v>2</v>
      </c>
      <c r="AI247" s="69"/>
      <c r="AJ247" s="2002" t="str">
        <f t="shared" si="174"/>
        <v/>
      </c>
      <c r="AK247" s="69"/>
      <c r="AL247" s="2002" t="str">
        <f t="shared" si="175"/>
        <v/>
      </c>
      <c r="AM247" s="69"/>
      <c r="AN247" s="2002">
        <f t="shared" si="176"/>
        <v>2</v>
      </c>
      <c r="AO247" s="69"/>
      <c r="AP247" s="2002" t="str">
        <f t="shared" si="177"/>
        <v/>
      </c>
      <c r="AQ247" s="69"/>
      <c r="AR247" s="2002" t="str">
        <f t="shared" si="178"/>
        <v/>
      </c>
      <c r="AS247" s="69"/>
      <c r="AT247" s="2002" t="str">
        <f t="shared" si="179"/>
        <v/>
      </c>
      <c r="AU247" s="69"/>
      <c r="AV247" s="2002">
        <f t="shared" si="180"/>
        <v>2</v>
      </c>
      <c r="AW247" s="69"/>
      <c r="AX247" s="2037">
        <f t="shared" si="181"/>
        <v>2</v>
      </c>
      <c r="AY247" s="69"/>
      <c r="AZ247" s="2037" t="str">
        <f t="shared" si="182"/>
        <v/>
      </c>
      <c r="BA247" s="69"/>
      <c r="BB247" s="2037">
        <f t="shared" si="183"/>
        <v>1</v>
      </c>
      <c r="BC247" s="69"/>
      <c r="BD247" s="2037" t="str">
        <f t="shared" si="184"/>
        <v/>
      </c>
      <c r="BE247" s="69"/>
      <c r="BF247" s="2037" t="str">
        <f t="shared" si="185"/>
        <v/>
      </c>
      <c r="BG247" s="69"/>
      <c r="BH247" s="2037" t="str">
        <f t="shared" si="186"/>
        <v/>
      </c>
      <c r="BI247" s="69"/>
      <c r="BJ247" s="2037" t="str">
        <f t="shared" si="187"/>
        <v/>
      </c>
      <c r="BK247" s="69"/>
      <c r="BL247" s="2002" t="str">
        <f t="shared" si="188"/>
        <v/>
      </c>
      <c r="BM247" s="69"/>
      <c r="BN247" s="2002" t="str">
        <f t="shared" si="156"/>
        <v/>
      </c>
      <c r="BO247" s="69"/>
      <c r="BP247" s="2038">
        <f t="shared" si="189"/>
        <v>23</v>
      </c>
      <c r="BQ247" s="69"/>
      <c r="BR247" s="684"/>
      <c r="BS247" s="1829"/>
      <c r="BT247" s="541"/>
      <c r="BU247" s="541"/>
    </row>
    <row r="248" ht="24.0" customHeight="1">
      <c r="A248" s="1698" t="str">
        <f t="shared" si="157"/>
        <v>Да</v>
      </c>
      <c r="B248" s="1719">
        <v>4173.0</v>
      </c>
      <c r="C248" s="1734">
        <v>98.0</v>
      </c>
      <c r="D248" s="1720"/>
      <c r="E248" s="1702" t="str">
        <f t="shared" si="158"/>
        <v>Морс клюквенный 0,5 л</v>
      </c>
      <c r="F248" s="2002">
        <f t="shared" si="159"/>
        <v>13</v>
      </c>
      <c r="G248" s="69"/>
      <c r="H248" s="2002">
        <f t="shared" si="160"/>
        <v>3</v>
      </c>
      <c r="I248" s="69"/>
      <c r="J248" s="2002">
        <f t="shared" si="161"/>
        <v>15</v>
      </c>
      <c r="K248" s="69"/>
      <c r="L248" s="2002">
        <f t="shared" si="162"/>
        <v>10</v>
      </c>
      <c r="M248" s="69"/>
      <c r="N248" s="2002">
        <f t="shared" si="163"/>
        <v>0</v>
      </c>
      <c r="O248" s="69"/>
      <c r="P248" s="2002">
        <f t="shared" si="164"/>
        <v>18</v>
      </c>
      <c r="Q248" s="69"/>
      <c r="R248" s="2002">
        <f t="shared" si="165"/>
        <v>0</v>
      </c>
      <c r="S248" s="69"/>
      <c r="T248" s="2002">
        <f t="shared" si="166"/>
        <v>9</v>
      </c>
      <c r="U248" s="69"/>
      <c r="V248" s="2002">
        <f t="shared" si="167"/>
        <v>0</v>
      </c>
      <c r="W248" s="69"/>
      <c r="X248" s="2002">
        <f t="shared" si="168"/>
        <v>0</v>
      </c>
      <c r="Y248" s="69"/>
      <c r="Z248" s="2002" t="str">
        <f t="shared" si="169"/>
        <v/>
      </c>
      <c r="AA248" s="69"/>
      <c r="AB248" s="2002">
        <f t="shared" si="170"/>
        <v>0</v>
      </c>
      <c r="AC248" s="69"/>
      <c r="AD248" s="2002">
        <f t="shared" si="171"/>
        <v>0</v>
      </c>
      <c r="AE248" s="69"/>
      <c r="AF248" s="2002">
        <f t="shared" si="172"/>
        <v>10</v>
      </c>
      <c r="AG248" s="69"/>
      <c r="AH248" s="2002">
        <f t="shared" si="173"/>
        <v>0</v>
      </c>
      <c r="AI248" s="69"/>
      <c r="AJ248" s="2002">
        <f t="shared" si="174"/>
        <v>0</v>
      </c>
      <c r="AK248" s="69"/>
      <c r="AL248" s="2002">
        <f t="shared" si="175"/>
        <v>0</v>
      </c>
      <c r="AM248" s="69"/>
      <c r="AN248" s="2002">
        <f t="shared" si="176"/>
        <v>10</v>
      </c>
      <c r="AO248" s="69"/>
      <c r="AP248" s="2002">
        <f t="shared" si="177"/>
        <v>0</v>
      </c>
      <c r="AQ248" s="69"/>
      <c r="AR248" s="2002">
        <f t="shared" si="178"/>
        <v>30</v>
      </c>
      <c r="AS248" s="69"/>
      <c r="AT248" s="2002">
        <f t="shared" si="179"/>
        <v>10</v>
      </c>
      <c r="AU248" s="69"/>
      <c r="AV248" s="2002">
        <f t="shared" si="180"/>
        <v>15</v>
      </c>
      <c r="AW248" s="69"/>
      <c r="AX248" s="2037">
        <f t="shared" si="181"/>
        <v>15</v>
      </c>
      <c r="AY248" s="69"/>
      <c r="AZ248" s="2037">
        <f t="shared" si="182"/>
        <v>0</v>
      </c>
      <c r="BA248" s="69"/>
      <c r="BB248" s="2037">
        <f t="shared" si="183"/>
        <v>25</v>
      </c>
      <c r="BC248" s="69"/>
      <c r="BD248" s="2037">
        <f t="shared" si="184"/>
        <v>0</v>
      </c>
      <c r="BE248" s="69"/>
      <c r="BF248" s="2037">
        <f t="shared" si="185"/>
        <v>15</v>
      </c>
      <c r="BG248" s="69"/>
      <c r="BH248" s="2037">
        <f t="shared" si="186"/>
        <v>10</v>
      </c>
      <c r="BI248" s="69"/>
      <c r="BJ248" s="2037">
        <f t="shared" si="187"/>
        <v>15</v>
      </c>
      <c r="BK248" s="69"/>
      <c r="BL248" s="2002" t="str">
        <f t="shared" si="188"/>
        <v/>
      </c>
      <c r="BM248" s="69"/>
      <c r="BN248" s="2002" t="str">
        <f t="shared" si="156"/>
        <v/>
      </c>
      <c r="BO248" s="69"/>
      <c r="BP248" s="2038">
        <f t="shared" si="189"/>
        <v>223</v>
      </c>
      <c r="BQ248" s="69"/>
      <c r="BR248" s="684"/>
      <c r="BS248" s="1829"/>
      <c r="BT248" s="541"/>
      <c r="BU248" s="541"/>
    </row>
    <row r="249" ht="24.0" customHeight="1">
      <c r="A249" s="1698" t="str">
        <f t="shared" si="157"/>
        <v>Да</v>
      </c>
      <c r="B249" s="1719">
        <v>822.0</v>
      </c>
      <c r="C249" s="1734">
        <v>5.0</v>
      </c>
      <c r="D249" s="1720"/>
      <c r="E249" s="1702" t="str">
        <f t="shared" si="158"/>
        <v>Хлеб пшеничный</v>
      </c>
      <c r="F249" s="2002">
        <f t="shared" si="159"/>
        <v>8</v>
      </c>
      <c r="G249" s="69"/>
      <c r="H249" s="2002">
        <f t="shared" si="160"/>
        <v>3</v>
      </c>
      <c r="I249" s="69"/>
      <c r="J249" s="2002" t="str">
        <f t="shared" si="161"/>
        <v/>
      </c>
      <c r="K249" s="69"/>
      <c r="L249" s="2002" t="str">
        <f t="shared" si="162"/>
        <v/>
      </c>
      <c r="M249" s="69"/>
      <c r="N249" s="2002">
        <f t="shared" si="163"/>
        <v>4</v>
      </c>
      <c r="O249" s="69"/>
      <c r="P249" s="2002">
        <f t="shared" si="164"/>
        <v>3</v>
      </c>
      <c r="Q249" s="69"/>
      <c r="R249" s="2002" t="str">
        <f t="shared" si="165"/>
        <v/>
      </c>
      <c r="S249" s="69"/>
      <c r="T249" s="2002">
        <f t="shared" si="166"/>
        <v>3</v>
      </c>
      <c r="U249" s="69"/>
      <c r="V249" s="2002">
        <f t="shared" si="167"/>
        <v>4</v>
      </c>
      <c r="W249" s="69"/>
      <c r="X249" s="2002">
        <f t="shared" si="168"/>
        <v>3</v>
      </c>
      <c r="Y249" s="69"/>
      <c r="Z249" s="2002" t="str">
        <f t="shared" si="169"/>
        <v/>
      </c>
      <c r="AA249" s="69"/>
      <c r="AB249" s="2002">
        <f t="shared" si="170"/>
        <v>3</v>
      </c>
      <c r="AC249" s="69"/>
      <c r="AD249" s="2002">
        <f t="shared" si="171"/>
        <v>3</v>
      </c>
      <c r="AE249" s="69"/>
      <c r="AF249" s="2002">
        <f t="shared" si="172"/>
        <v>10</v>
      </c>
      <c r="AG249" s="69"/>
      <c r="AH249" s="2002" t="str">
        <f t="shared" si="173"/>
        <v/>
      </c>
      <c r="AI249" s="69"/>
      <c r="AJ249" s="2002">
        <f t="shared" si="174"/>
        <v>3</v>
      </c>
      <c r="AK249" s="69"/>
      <c r="AL249" s="2002">
        <f t="shared" si="175"/>
        <v>4</v>
      </c>
      <c r="AM249" s="69"/>
      <c r="AN249" s="2002" t="str">
        <f t="shared" si="176"/>
        <v/>
      </c>
      <c r="AO249" s="69"/>
      <c r="AP249" s="2002" t="str">
        <f t="shared" si="177"/>
        <v/>
      </c>
      <c r="AQ249" s="69"/>
      <c r="AR249" s="2002" t="str">
        <f t="shared" si="178"/>
        <v/>
      </c>
      <c r="AS249" s="69"/>
      <c r="AT249" s="2002">
        <f t="shared" si="179"/>
        <v>4</v>
      </c>
      <c r="AU249" s="69"/>
      <c r="AV249" s="2002" t="str">
        <f t="shared" si="180"/>
        <v/>
      </c>
      <c r="AW249" s="69"/>
      <c r="AX249" s="2037">
        <f t="shared" si="181"/>
        <v>3</v>
      </c>
      <c r="AY249" s="69"/>
      <c r="AZ249" s="2037">
        <f t="shared" si="182"/>
        <v>20</v>
      </c>
      <c r="BA249" s="69"/>
      <c r="BB249" s="2037" t="str">
        <f t="shared" si="183"/>
        <v/>
      </c>
      <c r="BC249" s="69"/>
      <c r="BD249" s="2037" t="str">
        <f t="shared" si="184"/>
        <v/>
      </c>
      <c r="BE249" s="69"/>
      <c r="BF249" s="2037">
        <f t="shared" si="185"/>
        <v>4</v>
      </c>
      <c r="BG249" s="69"/>
      <c r="BH249" s="2037">
        <f t="shared" si="186"/>
        <v>4</v>
      </c>
      <c r="BI249" s="69"/>
      <c r="BJ249" s="2037">
        <f t="shared" si="187"/>
        <v>3</v>
      </c>
      <c r="BK249" s="69"/>
      <c r="BL249" s="2002">
        <f t="shared" si="188"/>
        <v>120</v>
      </c>
      <c r="BM249" s="69"/>
      <c r="BN249" s="2002" t="str">
        <f t="shared" si="156"/>
        <v/>
      </c>
      <c r="BO249" s="69"/>
      <c r="BP249" s="2038">
        <f t="shared" si="189"/>
        <v>209</v>
      </c>
      <c r="BQ249" s="69"/>
      <c r="BR249" s="684"/>
      <c r="BS249" s="1829"/>
      <c r="BT249" s="541"/>
      <c r="BU249" s="541"/>
    </row>
    <row r="250" ht="24.0" customHeight="1">
      <c r="A250" s="1698" t="str">
        <f t="shared" si="157"/>
        <v/>
      </c>
      <c r="B250" s="1736"/>
      <c r="C250" s="1734"/>
      <c r="D250" s="1720"/>
      <c r="E250" s="1702" t="str">
        <f t="shared" si="158"/>
        <v/>
      </c>
      <c r="F250" s="2109">
        <f>SUM(F225:G249)</f>
        <v>142</v>
      </c>
      <c r="G250" s="69"/>
      <c r="H250" s="2109">
        <f>SUM(H225:I249)</f>
        <v>50</v>
      </c>
      <c r="I250" s="69"/>
      <c r="J250" s="2109">
        <f>SUM(J225:K249)</f>
        <v>76</v>
      </c>
      <c r="K250" s="69"/>
      <c r="L250" s="2109">
        <f>SUM(L225:M249)</f>
        <v>61</v>
      </c>
      <c r="M250" s="69"/>
      <c r="N250" s="2109">
        <f>SUM(N225:O249)</f>
        <v>120</v>
      </c>
      <c r="O250" s="69"/>
      <c r="P250" s="2109">
        <f>SUM(P225:Q249)</f>
        <v>117</v>
      </c>
      <c r="Q250" s="69"/>
      <c r="R250" s="2109">
        <f>SUM(R225:S249)</f>
        <v>52</v>
      </c>
      <c r="S250" s="69"/>
      <c r="T250" s="2109">
        <f>SUM(T225:U249)</f>
        <v>57</v>
      </c>
      <c r="U250" s="69"/>
      <c r="V250" s="2109">
        <f>SUM(V225:W249)</f>
        <v>76</v>
      </c>
      <c r="W250" s="69"/>
      <c r="X250" s="2109">
        <f>SUM(X225:Y249)</f>
        <v>62</v>
      </c>
      <c r="Y250" s="69"/>
      <c r="Z250" s="2109">
        <f>SUM(Z225:AA249)</f>
        <v>0</v>
      </c>
      <c r="AA250" s="69"/>
      <c r="AB250" s="2109">
        <f>SUM(AB225:AC249)</f>
        <v>52</v>
      </c>
      <c r="AC250" s="69"/>
      <c r="AD250" s="2109">
        <f>SUM(AD225:AE249)</f>
        <v>69</v>
      </c>
      <c r="AE250" s="69"/>
      <c r="AF250" s="2109">
        <f>SUM(AF225:AG249)</f>
        <v>87</v>
      </c>
      <c r="AG250" s="69"/>
      <c r="AH250" s="2109">
        <f>SUM(AH225:AI249)</f>
        <v>59</v>
      </c>
      <c r="AI250" s="69"/>
      <c r="AJ250" s="2109">
        <f>SUM(AJ225:AK249)</f>
        <v>71</v>
      </c>
      <c r="AK250" s="69"/>
      <c r="AL250" s="2109">
        <f>SUM(AL225:AM249)</f>
        <v>44</v>
      </c>
      <c r="AM250" s="69"/>
      <c r="AN250" s="2109">
        <f>SUM(AN225:AO249)</f>
        <v>48</v>
      </c>
      <c r="AO250" s="69"/>
      <c r="AP250" s="2109">
        <f>SUM(AP225:AQ249)</f>
        <v>60</v>
      </c>
      <c r="AQ250" s="69"/>
      <c r="AR250" s="2109">
        <f>SUM(AR225:AS249)</f>
        <v>131</v>
      </c>
      <c r="AS250" s="69"/>
      <c r="AT250" s="2109">
        <f>SUM(AT225:AU249)</f>
        <v>80</v>
      </c>
      <c r="AU250" s="69"/>
      <c r="AV250" s="2109">
        <f>SUM(AV225:AW249)</f>
        <v>64</v>
      </c>
      <c r="AW250" s="69"/>
      <c r="AX250" s="2109">
        <f>SUM(AX225:AY249)</f>
        <v>96</v>
      </c>
      <c r="AY250" s="69"/>
      <c r="AZ250" s="2109">
        <f>SUM(AZ225:BA249)</f>
        <v>77</v>
      </c>
      <c r="BA250" s="69"/>
      <c r="BB250" s="2109">
        <f>SUM(BB225:BC249)</f>
        <v>150</v>
      </c>
      <c r="BC250" s="69"/>
      <c r="BD250" s="2109">
        <f>SUM(BD225:BE249)</f>
        <v>29</v>
      </c>
      <c r="BE250" s="69"/>
      <c r="BF250" s="2109">
        <f>SUM(BF225:BG249)</f>
        <v>84</v>
      </c>
      <c r="BG250" s="69"/>
      <c r="BH250" s="2109">
        <f>SUM(BH225:BI249)</f>
        <v>71</v>
      </c>
      <c r="BI250" s="69"/>
      <c r="BJ250" s="2109">
        <f>SUM(BJ225:BK249)</f>
        <v>83</v>
      </c>
      <c r="BK250" s="69"/>
      <c r="BL250" s="2109">
        <f>SUM(BL225:BM249)</f>
        <v>523</v>
      </c>
      <c r="BM250" s="69"/>
      <c r="BN250" s="2109" t="str">
        <f t="shared" si="156"/>
        <v/>
      </c>
      <c r="BO250" s="69"/>
      <c r="BP250" s="2118">
        <f t="shared" si="189"/>
        <v>2691</v>
      </c>
      <c r="BQ250" s="69"/>
      <c r="BR250" s="684"/>
      <c r="BS250" s="1829"/>
      <c r="BT250" s="541"/>
      <c r="BU250" s="541"/>
    </row>
    <row r="251" ht="17.25" customHeight="1">
      <c r="A251" s="1591"/>
      <c r="B251" s="1591"/>
      <c r="C251" s="1591"/>
      <c r="D251" s="1541"/>
      <c r="E251" s="906"/>
      <c r="F251" s="541"/>
      <c r="G251" s="541"/>
      <c r="H251" s="541"/>
      <c r="I251" s="541"/>
      <c r="J251" s="541"/>
      <c r="K251" s="541"/>
      <c r="L251" s="1748"/>
      <c r="M251" s="541"/>
      <c r="N251" s="541"/>
      <c r="O251" s="541"/>
      <c r="P251" s="541"/>
      <c r="Q251" s="541"/>
      <c r="R251" s="541"/>
      <c r="S251" s="541"/>
      <c r="T251" s="541"/>
      <c r="U251" s="541"/>
      <c r="V251" s="541"/>
      <c r="W251" s="541"/>
      <c r="X251" s="541"/>
      <c r="Y251" s="541"/>
      <c r="Z251" s="541"/>
      <c r="AA251" s="541"/>
      <c r="AB251" s="541"/>
      <c r="AC251" s="541"/>
      <c r="AD251" s="541"/>
      <c r="AE251" s="541"/>
      <c r="AF251" s="541"/>
      <c r="AG251" s="541"/>
      <c r="AH251" s="541"/>
      <c r="AI251" s="541"/>
      <c r="AJ251" s="541"/>
      <c r="AK251" s="541"/>
      <c r="AL251" s="541"/>
      <c r="AM251" s="541"/>
      <c r="AN251" s="1748"/>
      <c r="AO251" s="1748"/>
      <c r="AP251" s="1748"/>
      <c r="AQ251" s="1748"/>
      <c r="AR251" s="1748"/>
      <c r="AS251" s="541"/>
      <c r="AT251" s="541"/>
      <c r="AU251" s="541"/>
      <c r="AV251" s="541"/>
      <c r="AW251" s="541"/>
      <c r="AY251" s="541"/>
      <c r="AZ251" s="633"/>
      <c r="BA251" s="541"/>
      <c r="BB251" s="1190"/>
      <c r="BC251" s="541"/>
      <c r="BD251" s="1190"/>
      <c r="BE251" s="541"/>
      <c r="BF251" s="1190"/>
      <c r="BG251" s="541"/>
      <c r="BH251" s="1190"/>
      <c r="BI251" s="541"/>
      <c r="BJ251" s="1190"/>
      <c r="BK251" s="541"/>
      <c r="BL251" s="541"/>
      <c r="BM251" s="684"/>
      <c r="BN251" s="677"/>
      <c r="BO251" s="677"/>
      <c r="BP251" s="541"/>
      <c r="BQ251" s="633"/>
      <c r="BR251" s="541"/>
      <c r="BS251" s="541"/>
      <c r="BT251" s="541"/>
      <c r="BU251" s="541"/>
    </row>
    <row r="252" ht="15.75" customHeight="1">
      <c r="A252" s="1591"/>
      <c r="B252" s="1591"/>
      <c r="C252" s="1591"/>
      <c r="D252" s="1541"/>
      <c r="E252" s="1899"/>
      <c r="F252" s="1014"/>
      <c r="G252" s="701"/>
      <c r="H252" s="1014"/>
      <c r="I252" s="701"/>
      <c r="J252" s="1014"/>
      <c r="K252" s="701"/>
      <c r="L252" s="1012"/>
      <c r="M252" s="701"/>
      <c r="N252" s="1014"/>
      <c r="O252" s="701"/>
      <c r="P252" s="1014"/>
      <c r="Q252" s="701"/>
      <c r="R252" s="1014"/>
      <c r="S252" s="701"/>
      <c r="T252" s="1014"/>
      <c r="U252" s="701"/>
      <c r="V252" s="1014"/>
      <c r="W252" s="701"/>
      <c r="X252" s="701"/>
      <c r="Y252" s="701"/>
      <c r="Z252" s="701"/>
      <c r="AA252" s="701"/>
      <c r="AB252" s="701"/>
      <c r="AC252" s="701"/>
      <c r="AD252" s="701"/>
      <c r="AE252" s="701"/>
      <c r="AF252" s="701"/>
      <c r="AG252" s="701"/>
      <c r="AH252" s="701"/>
      <c r="AI252" s="701"/>
      <c r="AJ252" s="701"/>
      <c r="AK252" s="701"/>
      <c r="AL252" s="701"/>
      <c r="AM252" s="701"/>
      <c r="AN252" s="1189"/>
      <c r="AO252" s="1189"/>
      <c r="AP252" s="1189"/>
      <c r="AQ252" s="1189"/>
      <c r="AR252" s="1012"/>
      <c r="AS252" s="701"/>
      <c r="AT252" s="701"/>
      <c r="AU252" s="701"/>
      <c r="AV252" s="701"/>
      <c r="AW252" s="701"/>
      <c r="AX252" s="701"/>
      <c r="AY252" s="701"/>
      <c r="AZ252" s="702"/>
      <c r="BA252" s="701"/>
      <c r="BB252" s="1189"/>
      <c r="BC252" s="701"/>
      <c r="BD252" s="1189"/>
      <c r="BE252" s="701"/>
      <c r="BF252" s="1189"/>
      <c r="BG252" s="701"/>
      <c r="BH252" s="1189"/>
      <c r="BI252" s="541"/>
      <c r="BJ252" s="1190"/>
      <c r="BK252" s="541"/>
      <c r="BL252" s="541"/>
      <c r="BM252" s="684"/>
      <c r="BN252" s="677"/>
      <c r="BO252" s="677"/>
      <c r="BP252" s="541"/>
      <c r="BQ252" s="633"/>
      <c r="BR252" s="541"/>
      <c r="BS252" s="541"/>
      <c r="BT252" s="541"/>
      <c r="BU252" s="541"/>
    </row>
    <row r="253" ht="21.75" customHeight="1">
      <c r="A253" s="2120" t="s">
        <v>1279</v>
      </c>
      <c r="B253" s="1548"/>
      <c r="C253" s="2121"/>
      <c r="D253" s="2122">
        <v>46240.0</v>
      </c>
      <c r="E253" s="2123" t="s">
        <v>3128</v>
      </c>
      <c r="F253" s="1597"/>
      <c r="G253" s="1596"/>
      <c r="H253" s="1596"/>
      <c r="I253" s="1596"/>
      <c r="J253" s="1596"/>
      <c r="K253" s="1596"/>
      <c r="L253" s="1552"/>
      <c r="M253" s="1596"/>
      <c r="N253" s="1596"/>
      <c r="O253" s="1596"/>
      <c r="P253" s="1596"/>
      <c r="Q253" s="1596"/>
      <c r="R253" s="1596"/>
      <c r="S253" s="1596"/>
      <c r="T253" s="1596"/>
      <c r="U253" s="1596"/>
      <c r="V253" s="1596"/>
      <c r="W253" s="1596"/>
      <c r="X253" s="1596"/>
      <c r="Y253" s="1596"/>
      <c r="Z253" s="1596"/>
      <c r="AA253" s="1596"/>
      <c r="AB253" s="1596"/>
      <c r="AC253" s="1596"/>
      <c r="AD253" s="1596"/>
      <c r="AE253" s="1596"/>
      <c r="AF253" s="1596"/>
      <c r="AG253" s="1596"/>
      <c r="AH253" s="1596"/>
      <c r="AI253" s="1596"/>
      <c r="AJ253" s="1596"/>
      <c r="AK253" s="1596"/>
      <c r="AL253" s="1596"/>
      <c r="AM253" s="1596"/>
      <c r="AN253" s="1552"/>
      <c r="AO253" s="1552"/>
      <c r="AP253" s="1552"/>
      <c r="AQ253" s="1552"/>
      <c r="AR253" s="1553"/>
      <c r="AS253" s="1596"/>
      <c r="AT253" s="1596"/>
      <c r="AU253" s="1596"/>
      <c r="AV253" s="1596"/>
      <c r="AW253" s="1596"/>
      <c r="AX253" s="1596"/>
      <c r="AY253" s="1596"/>
      <c r="AZ253" s="1599"/>
      <c r="BA253" s="1596"/>
      <c r="BB253" s="1552"/>
      <c r="BC253" s="1596"/>
      <c r="BD253" s="1552"/>
      <c r="BE253" s="1596"/>
      <c r="BF253" s="1552"/>
      <c r="BG253" s="1596"/>
      <c r="BH253" s="1552"/>
      <c r="BI253" s="1596"/>
      <c r="BJ253" s="1552"/>
      <c r="BK253" s="1596"/>
      <c r="BL253" s="1596"/>
      <c r="BM253" s="1596"/>
      <c r="BN253" s="1596"/>
      <c r="BO253" s="1596"/>
      <c r="BP253" s="1596"/>
      <c r="BQ253" s="2056"/>
      <c r="BR253" s="1601"/>
      <c r="BS253" s="1751"/>
      <c r="BT253" s="1596"/>
      <c r="BU253" s="1596"/>
    </row>
    <row r="254" ht="18.0" customHeight="1">
      <c r="A254" s="1734" t="s">
        <v>3069</v>
      </c>
      <c r="B254" s="1603" t="s">
        <v>3097</v>
      </c>
      <c r="C254" s="1603" t="s">
        <v>19</v>
      </c>
      <c r="D254" s="1603" t="s">
        <v>3070</v>
      </c>
      <c r="E254" s="783" t="s">
        <v>471</v>
      </c>
      <c r="F254" s="1075" t="s">
        <v>1357</v>
      </c>
      <c r="G254" s="1409" t="s">
        <v>3071</v>
      </c>
      <c r="H254" s="1075" t="s">
        <v>1287</v>
      </c>
      <c r="I254" s="1409" t="s">
        <v>1288</v>
      </c>
      <c r="J254" s="1075" t="s">
        <v>1358</v>
      </c>
      <c r="K254" s="1409" t="s">
        <v>3072</v>
      </c>
      <c r="L254" s="1075" t="s">
        <v>1359</v>
      </c>
      <c r="M254" s="1409" t="s">
        <v>3073</v>
      </c>
      <c r="N254" s="1075" t="s">
        <v>1360</v>
      </c>
      <c r="O254" s="1409" t="s">
        <v>3074</v>
      </c>
      <c r="P254" s="1075" t="s">
        <v>1361</v>
      </c>
      <c r="Q254" s="1409" t="s">
        <v>3075</v>
      </c>
      <c r="R254" s="1485" t="s">
        <v>1362</v>
      </c>
      <c r="S254" s="1560" t="s">
        <v>1298</v>
      </c>
      <c r="T254" s="1427" t="s">
        <v>1299</v>
      </c>
      <c r="U254" s="1560" t="s">
        <v>1300</v>
      </c>
      <c r="V254" s="1487" t="s">
        <v>1301</v>
      </c>
      <c r="W254" s="1560" t="s">
        <v>1302</v>
      </c>
      <c r="X254" s="1427" t="s">
        <v>1363</v>
      </c>
      <c r="Y254" s="1560" t="s">
        <v>1304</v>
      </c>
      <c r="Z254" s="1487" t="s">
        <v>1305</v>
      </c>
      <c r="AA254" s="1560" t="s">
        <v>1306</v>
      </c>
      <c r="AB254" s="1487" t="s">
        <v>1307</v>
      </c>
      <c r="AC254" s="1560" t="s">
        <v>1308</v>
      </c>
      <c r="AD254" s="1487" t="s">
        <v>1309</v>
      </c>
      <c r="AE254" s="1560" t="s">
        <v>1310</v>
      </c>
      <c r="AF254" s="1427" t="s">
        <v>1311</v>
      </c>
      <c r="AG254" s="1560" t="s">
        <v>1312</v>
      </c>
      <c r="AH254" s="1487" t="s">
        <v>1313</v>
      </c>
      <c r="AI254" s="1560" t="s">
        <v>1314</v>
      </c>
      <c r="AJ254" s="1487" t="s">
        <v>1315</v>
      </c>
      <c r="AK254" s="1560" t="s">
        <v>1316</v>
      </c>
      <c r="AL254" s="1487" t="s">
        <v>1317</v>
      </c>
      <c r="AM254" s="1560" t="s">
        <v>1318</v>
      </c>
      <c r="AN254" s="1487" t="s">
        <v>1319</v>
      </c>
      <c r="AO254" s="1560" t="s">
        <v>1320</v>
      </c>
      <c r="AP254" s="1487" t="s">
        <v>1321</v>
      </c>
      <c r="AQ254" s="1486" t="s">
        <v>1322</v>
      </c>
      <c r="AR254" s="1427" t="s">
        <v>1323</v>
      </c>
      <c r="AS254" s="1486" t="s">
        <v>1324</v>
      </c>
      <c r="AT254" s="1485" t="s">
        <v>1325</v>
      </c>
      <c r="AU254" s="1486" t="s">
        <v>1326</v>
      </c>
      <c r="AV254" s="1485" t="s">
        <v>1327</v>
      </c>
      <c r="AW254" s="1486" t="s">
        <v>1328</v>
      </c>
      <c r="AX254" s="1485" t="s">
        <v>3076</v>
      </c>
      <c r="AY254" s="1486" t="s">
        <v>3077</v>
      </c>
      <c r="AZ254" s="1485" t="s">
        <v>3078</v>
      </c>
      <c r="BA254" s="1486" t="s">
        <v>3079</v>
      </c>
      <c r="BB254" s="1485" t="s">
        <v>3080</v>
      </c>
      <c r="BC254" s="1486" t="s">
        <v>3081</v>
      </c>
      <c r="BD254" s="1485" t="s">
        <v>3082</v>
      </c>
      <c r="BE254" s="1486" t="s">
        <v>3083</v>
      </c>
      <c r="BF254" s="1485" t="s">
        <v>3084</v>
      </c>
      <c r="BG254" s="1486" t="s">
        <v>3085</v>
      </c>
      <c r="BH254" s="1485" t="s">
        <v>3086</v>
      </c>
      <c r="BI254" s="1486" t="s">
        <v>3087</v>
      </c>
      <c r="BJ254" s="1485" t="s">
        <v>3088</v>
      </c>
      <c r="BK254" s="1486" t="s">
        <v>3089</v>
      </c>
      <c r="BL254" s="1120" t="s">
        <v>1425</v>
      </c>
      <c r="BM254" s="2001" t="s">
        <v>3045</v>
      </c>
      <c r="BN254" s="1562" t="s">
        <v>3090</v>
      </c>
      <c r="BO254" s="1563" t="s">
        <v>3091</v>
      </c>
      <c r="BP254" s="1564" t="s">
        <v>1331</v>
      </c>
      <c r="BQ254" s="1168" t="s">
        <v>3092</v>
      </c>
      <c r="BR254" s="1120" t="s">
        <v>3093</v>
      </c>
      <c r="BS254" s="1075" t="s">
        <v>3094</v>
      </c>
      <c r="BT254" s="544"/>
      <c r="BU254" s="544"/>
    </row>
    <row r="255" ht="18.0" customHeight="1">
      <c r="A255" s="1565" t="s">
        <v>145</v>
      </c>
      <c r="B255" s="1736">
        <v>89.0</v>
      </c>
      <c r="C255" s="1700">
        <v>135.0</v>
      </c>
      <c r="D255" s="2125" t="s">
        <v>3095</v>
      </c>
      <c r="E255" s="1613" t="str">
        <f>'Матрица 4 недели'!D87</f>
        <v>Блин с ветчиной и сыром</v>
      </c>
      <c r="F255" s="1287">
        <v>25.0</v>
      </c>
      <c r="G255" s="2126">
        <v>25.0</v>
      </c>
      <c r="H255" s="1284">
        <v>3.0</v>
      </c>
      <c r="I255" s="2126">
        <v>3.0</v>
      </c>
      <c r="J255" s="1287">
        <v>10.0</v>
      </c>
      <c r="K255" s="2126">
        <v>10.0</v>
      </c>
      <c r="L255" s="2127">
        <v>5.0</v>
      </c>
      <c r="M255" s="2126">
        <v>5.0</v>
      </c>
      <c r="N255" s="1287">
        <v>14.0</v>
      </c>
      <c r="O255" s="2126">
        <v>14.0</v>
      </c>
      <c r="P255" s="2127">
        <v>3.0</v>
      </c>
      <c r="Q255" s="1140">
        <v>3.0</v>
      </c>
      <c r="R255" s="1290">
        <v>2.0</v>
      </c>
      <c r="S255" s="1140">
        <v>2.0</v>
      </c>
      <c r="T255" s="1290">
        <v>5.0</v>
      </c>
      <c r="U255" s="1140">
        <v>5.0</v>
      </c>
      <c r="V255" s="1287">
        <v>2.0</v>
      </c>
      <c r="W255" s="2129">
        <v>2.0</v>
      </c>
      <c r="X255" s="1290">
        <v>10.0</v>
      </c>
      <c r="Y255" s="1140">
        <v>10.0</v>
      </c>
      <c r="Z255" s="1767"/>
      <c r="AA255" s="1140"/>
      <c r="AB255" s="1290">
        <v>2.0</v>
      </c>
      <c r="AC255" s="1140">
        <v>2.0</v>
      </c>
      <c r="AD255" s="1290">
        <v>0.0</v>
      </c>
      <c r="AE255" s="1140">
        <v>0.0</v>
      </c>
      <c r="AF255" s="1290">
        <v>5.0</v>
      </c>
      <c r="AG255" s="1140">
        <v>5.0</v>
      </c>
      <c r="AH255" s="1137">
        <v>2.0</v>
      </c>
      <c r="AI255" s="1140">
        <v>2.0</v>
      </c>
      <c r="AJ255" s="1290">
        <v>3.0</v>
      </c>
      <c r="AK255" s="1140">
        <v>3.0</v>
      </c>
      <c r="AL255" s="1143">
        <v>6.0</v>
      </c>
      <c r="AM255" s="1138">
        <v>6.0</v>
      </c>
      <c r="AN255" s="1137">
        <v>2.0</v>
      </c>
      <c r="AO255" s="1138">
        <v>2.0</v>
      </c>
      <c r="AP255" s="1137">
        <v>4.0</v>
      </c>
      <c r="AQ255" s="1138">
        <v>4.0</v>
      </c>
      <c r="AR255" s="1137">
        <v>17.0</v>
      </c>
      <c r="AS255" s="1138">
        <v>17.0</v>
      </c>
      <c r="AT255" s="1137">
        <v>5.0</v>
      </c>
      <c r="AU255" s="1138">
        <v>5.0</v>
      </c>
      <c r="AV255" s="1137">
        <v>8.0</v>
      </c>
      <c r="AW255" s="1138">
        <v>8.0</v>
      </c>
      <c r="AX255" s="1137">
        <v>3.0</v>
      </c>
      <c r="AY255" s="1138">
        <v>3.0</v>
      </c>
      <c r="AZ255" s="1137">
        <v>2.0</v>
      </c>
      <c r="BA255" s="1138">
        <v>2.0</v>
      </c>
      <c r="BB255" s="1137">
        <v>3.0</v>
      </c>
      <c r="BC255" s="1138">
        <v>3.0</v>
      </c>
      <c r="BD255" s="1137">
        <v>3.0</v>
      </c>
      <c r="BE255" s="1138">
        <v>3.0</v>
      </c>
      <c r="BF255" s="1137">
        <v>5.0</v>
      </c>
      <c r="BG255" s="1138">
        <v>5.0</v>
      </c>
      <c r="BH255" s="1137">
        <v>2.0</v>
      </c>
      <c r="BI255" s="1138">
        <v>2.0</v>
      </c>
      <c r="BJ255" s="1137">
        <v>3.0</v>
      </c>
      <c r="BK255" s="1138">
        <v>3.0</v>
      </c>
      <c r="BL255" s="1134"/>
      <c r="BM255" s="1289"/>
      <c r="BN255" s="2130"/>
      <c r="BO255" s="1140"/>
      <c r="BP255" s="2069">
        <f t="shared" ref="BP255:BP280" si="190">(F255+H255+J255+L255+N255+P255+R255+T255+V255+X255+Z255+AB255+AD255+AF255+AH255+AJ255+AL255+AR255+BL255+AN255+AP255+AT255+AV255+AX255+AZ255+BB255+BD255+BF255+BH255+BJ255)+1</f>
        <v>155</v>
      </c>
      <c r="BQ255" s="2133">
        <f t="shared" ref="BQ255:BQ280" si="191">G255+I255+K255+M255+O255+Q255+S255+W255+Y255+U255+AA255+BM255+AG255+AI255+AK255+AS255+AC255+AM255+AE255+AO255+AQ255+AU255+AW255+AY255+BA255+BC255+BE255+BG255+BI255+BK255</f>
        <v>154</v>
      </c>
      <c r="BR255" s="1572">
        <f t="shared" ref="BR255:BR280" si="192">BQ255*C255</f>
        <v>20790</v>
      </c>
      <c r="BS255" s="2134">
        <f t="shared" ref="BS255:BS280" si="193">C255*BP255</f>
        <v>20925</v>
      </c>
      <c r="BT255" s="1545"/>
      <c r="BU255" s="1545"/>
    </row>
    <row r="256" ht="18.0" customHeight="1">
      <c r="A256" s="1565" t="s">
        <v>145</v>
      </c>
      <c r="B256" s="1736">
        <v>385.0</v>
      </c>
      <c r="C256" s="1700">
        <v>83.0</v>
      </c>
      <c r="D256" s="2125" t="s">
        <v>3095</v>
      </c>
      <c r="E256" s="1613" t="str">
        <f>'Матрица 4 недели'!D88</f>
        <v>Омлет воздушный</v>
      </c>
      <c r="F256" s="1120">
        <v>15.0</v>
      </c>
      <c r="G256" s="1121">
        <v>15.0</v>
      </c>
      <c r="H256" s="1120">
        <v>2.0</v>
      </c>
      <c r="I256" s="1121">
        <v>2.0</v>
      </c>
      <c r="J256" s="1120">
        <v>4.0</v>
      </c>
      <c r="K256" s="1121">
        <v>4.0</v>
      </c>
      <c r="L256" s="1137">
        <v>2.0</v>
      </c>
      <c r="M256" s="1121">
        <v>2.0</v>
      </c>
      <c r="N256" s="1137">
        <v>9.0</v>
      </c>
      <c r="O256" s="1121">
        <v>9.0</v>
      </c>
      <c r="P256" s="1126">
        <v>2.0</v>
      </c>
      <c r="Q256" s="1121">
        <v>2.0</v>
      </c>
      <c r="R256" s="1120">
        <v>2.0</v>
      </c>
      <c r="S256" s="1121">
        <v>2.0</v>
      </c>
      <c r="T256" s="1126">
        <v>4.0</v>
      </c>
      <c r="U256" s="1121">
        <v>4.0</v>
      </c>
      <c r="V256" s="1126">
        <v>2.0</v>
      </c>
      <c r="W256" s="1121">
        <v>2.0</v>
      </c>
      <c r="X256" s="1126">
        <v>4.0</v>
      </c>
      <c r="Y256" s="1121">
        <v>4.0</v>
      </c>
      <c r="Z256" s="1126"/>
      <c r="AA256" s="1121"/>
      <c r="AB256" s="1120">
        <v>4.0</v>
      </c>
      <c r="AC256" s="1121">
        <v>4.0</v>
      </c>
      <c r="AD256" s="1126">
        <v>3.0</v>
      </c>
      <c r="AE256" s="1121">
        <v>3.0</v>
      </c>
      <c r="AF256" s="1126">
        <v>7.0</v>
      </c>
      <c r="AG256" s="1121">
        <v>7.0</v>
      </c>
      <c r="AH256" s="1126">
        <v>3.0</v>
      </c>
      <c r="AI256" s="1121">
        <v>3.0</v>
      </c>
      <c r="AJ256" s="1126">
        <v>4.0</v>
      </c>
      <c r="AK256" s="1121">
        <v>4.0</v>
      </c>
      <c r="AL256" s="1120">
        <v>4.0</v>
      </c>
      <c r="AM256" s="1121">
        <v>4.0</v>
      </c>
      <c r="AN256" s="1126">
        <v>2.0</v>
      </c>
      <c r="AO256" s="1121">
        <v>2.0</v>
      </c>
      <c r="AP256" s="1126">
        <v>4.0</v>
      </c>
      <c r="AQ256" s="1138">
        <v>4.0</v>
      </c>
      <c r="AR256" s="1126">
        <v>13.0</v>
      </c>
      <c r="AS256" s="1138">
        <v>13.0</v>
      </c>
      <c r="AT256" s="1126">
        <v>6.0</v>
      </c>
      <c r="AU256" s="1138">
        <v>6.0</v>
      </c>
      <c r="AV256" s="1126">
        <v>5.0</v>
      </c>
      <c r="AW256" s="1138">
        <v>5.0</v>
      </c>
      <c r="AX256" s="1126">
        <v>3.0</v>
      </c>
      <c r="AY256" s="1138">
        <v>3.0</v>
      </c>
      <c r="AZ256" s="1126">
        <v>2.0</v>
      </c>
      <c r="BA256" s="1138">
        <v>2.0</v>
      </c>
      <c r="BB256" s="1126">
        <v>3.0</v>
      </c>
      <c r="BC256" s="1138">
        <v>3.0</v>
      </c>
      <c r="BD256" s="1126">
        <v>2.0</v>
      </c>
      <c r="BE256" s="1138">
        <v>2.0</v>
      </c>
      <c r="BF256" s="1126">
        <v>7.0</v>
      </c>
      <c r="BG256" s="1138">
        <v>7.0</v>
      </c>
      <c r="BH256" s="1126">
        <v>2.0</v>
      </c>
      <c r="BI256" s="1138">
        <v>2.0</v>
      </c>
      <c r="BJ256" s="1126">
        <v>3.0</v>
      </c>
      <c r="BK256" s="1138">
        <v>3.0</v>
      </c>
      <c r="BL256" s="1134"/>
      <c r="BM256" s="1140"/>
      <c r="BN256" s="2130"/>
      <c r="BO256" s="1140"/>
      <c r="BP256" s="80">
        <f t="shared" si="190"/>
        <v>124</v>
      </c>
      <c r="BQ256" s="2133">
        <f t="shared" si="191"/>
        <v>123</v>
      </c>
      <c r="BR256" s="1572">
        <f t="shared" si="192"/>
        <v>10209</v>
      </c>
      <c r="BS256" s="2134">
        <f t="shared" si="193"/>
        <v>10292</v>
      </c>
      <c r="BT256" s="1545"/>
      <c r="BU256" s="1545"/>
    </row>
    <row r="257" ht="18.0" customHeight="1">
      <c r="A257" s="1565" t="s">
        <v>145</v>
      </c>
      <c r="B257" s="1736">
        <v>138.0</v>
      </c>
      <c r="C257" s="1700">
        <v>83.0</v>
      </c>
      <c r="D257" s="2125" t="s">
        <v>3095</v>
      </c>
      <c r="E257" s="1613" t="str">
        <f>'Матрица 4 недели'!D89</f>
        <v>Каша рисовая (на молоке)</v>
      </c>
      <c r="F257" s="1126">
        <v>7.0</v>
      </c>
      <c r="G257" s="1138">
        <v>7.0</v>
      </c>
      <c r="H257" s="1120">
        <v>3.0</v>
      </c>
      <c r="I257" s="1138">
        <v>3.0</v>
      </c>
      <c r="J257" s="1120">
        <v>3.0</v>
      </c>
      <c r="K257" s="1405">
        <v>3.0</v>
      </c>
      <c r="L257" s="1161">
        <v>2.0</v>
      </c>
      <c r="M257" s="1405">
        <v>2.0</v>
      </c>
      <c r="N257" s="1126">
        <v>6.0</v>
      </c>
      <c r="O257" s="1138">
        <v>6.0</v>
      </c>
      <c r="P257" s="1126">
        <v>10.0</v>
      </c>
      <c r="Q257" s="1138">
        <v>10.0</v>
      </c>
      <c r="R257" s="1120">
        <v>2.0</v>
      </c>
      <c r="S257" s="1138">
        <v>2.0</v>
      </c>
      <c r="T257" s="1126">
        <v>3.0</v>
      </c>
      <c r="U257" s="1138">
        <v>3.0</v>
      </c>
      <c r="V257" s="1126">
        <v>3.0</v>
      </c>
      <c r="W257" s="1138">
        <v>3.0</v>
      </c>
      <c r="X257" s="1126">
        <v>2.0</v>
      </c>
      <c r="Y257" s="1138">
        <v>2.0</v>
      </c>
      <c r="Z257" s="1769"/>
      <c r="AA257" s="1138"/>
      <c r="AB257" s="1126">
        <v>2.0</v>
      </c>
      <c r="AC257" s="1138">
        <v>2.0</v>
      </c>
      <c r="AD257" s="1126">
        <v>2.0</v>
      </c>
      <c r="AE257" s="1138">
        <v>2.0</v>
      </c>
      <c r="AF257" s="1120">
        <v>3.0</v>
      </c>
      <c r="AG257" s="1138">
        <v>3.0</v>
      </c>
      <c r="AH257" s="1120">
        <v>2.0</v>
      </c>
      <c r="AI257" s="1138">
        <v>2.0</v>
      </c>
      <c r="AJ257" s="1120">
        <v>2.0</v>
      </c>
      <c r="AK257" s="1138">
        <v>2.0</v>
      </c>
      <c r="AL257" s="1126">
        <v>3.0</v>
      </c>
      <c r="AM257" s="1138">
        <v>3.0</v>
      </c>
      <c r="AN257" s="1120">
        <v>6.0</v>
      </c>
      <c r="AO257" s="1138">
        <v>6.0</v>
      </c>
      <c r="AP257" s="1120">
        <v>2.0</v>
      </c>
      <c r="AQ257" s="1138">
        <v>2.0</v>
      </c>
      <c r="AR257" s="1126">
        <v>4.0</v>
      </c>
      <c r="AS257" s="1138">
        <v>4.0</v>
      </c>
      <c r="AT257" s="1126">
        <v>2.0</v>
      </c>
      <c r="AU257" s="1138">
        <v>2.0</v>
      </c>
      <c r="AV257" s="1126">
        <v>2.0</v>
      </c>
      <c r="AW257" s="1138">
        <v>2.0</v>
      </c>
      <c r="AX257" s="1126">
        <v>3.0</v>
      </c>
      <c r="AY257" s="1138">
        <v>3.0</v>
      </c>
      <c r="AZ257" s="1126">
        <v>3.0</v>
      </c>
      <c r="BA257" s="1138">
        <v>3.0</v>
      </c>
      <c r="BB257" s="1126">
        <v>3.0</v>
      </c>
      <c r="BC257" s="1138">
        <v>3.0</v>
      </c>
      <c r="BD257" s="1126">
        <v>1.0</v>
      </c>
      <c r="BE257" s="1138">
        <v>1.0</v>
      </c>
      <c r="BF257" s="1126">
        <v>2.0</v>
      </c>
      <c r="BG257" s="1138">
        <v>2.0</v>
      </c>
      <c r="BH257" s="1126">
        <v>2.0</v>
      </c>
      <c r="BI257" s="1138">
        <v>2.0</v>
      </c>
      <c r="BJ257" s="1126">
        <v>3.0</v>
      </c>
      <c r="BK257" s="1138">
        <v>3.0</v>
      </c>
      <c r="BL257" s="1134"/>
      <c r="BM257" s="1140"/>
      <c r="BN257" s="2130"/>
      <c r="BO257" s="1140"/>
      <c r="BP257" s="80">
        <f t="shared" si="190"/>
        <v>89</v>
      </c>
      <c r="BQ257" s="2133">
        <f t="shared" si="191"/>
        <v>88</v>
      </c>
      <c r="BR257" s="1572">
        <f t="shared" si="192"/>
        <v>7304</v>
      </c>
      <c r="BS257" s="2134">
        <f t="shared" si="193"/>
        <v>7387</v>
      </c>
      <c r="BT257" s="1545"/>
      <c r="BU257" s="1545"/>
    </row>
    <row r="258" ht="18.0" customHeight="1">
      <c r="A258" s="1565" t="s">
        <v>145</v>
      </c>
      <c r="B258" s="1736">
        <v>3433.0</v>
      </c>
      <c r="C258" s="1700">
        <v>98.0</v>
      </c>
      <c r="D258" s="2125" t="s">
        <v>70</v>
      </c>
      <c r="E258" s="733" t="str">
        <f>'Матрица 4 недели'!G87</f>
        <v>Салат ''Спаржа с курицей' 110 гр</v>
      </c>
      <c r="F258" s="1126">
        <v>31.0</v>
      </c>
      <c r="G258" s="1138">
        <v>31.0</v>
      </c>
      <c r="H258" s="1126">
        <v>3.0</v>
      </c>
      <c r="I258" s="1138">
        <v>3.0</v>
      </c>
      <c r="J258" s="1126">
        <v>3.0</v>
      </c>
      <c r="K258" s="1138">
        <v>3.0</v>
      </c>
      <c r="L258" s="1137">
        <v>4.0</v>
      </c>
      <c r="M258" s="1138">
        <v>4.0</v>
      </c>
      <c r="N258" s="1126">
        <v>8.0</v>
      </c>
      <c r="O258" s="1138">
        <v>8.0</v>
      </c>
      <c r="P258" s="1126">
        <v>9.0</v>
      </c>
      <c r="Q258" s="1138">
        <v>9.0</v>
      </c>
      <c r="R258" s="1126">
        <v>3.0</v>
      </c>
      <c r="S258" s="1138">
        <v>3.0</v>
      </c>
      <c r="T258" s="1126">
        <v>2.0</v>
      </c>
      <c r="U258" s="1138">
        <v>2.0</v>
      </c>
      <c r="V258" s="1137">
        <v>2.0</v>
      </c>
      <c r="W258" s="1138">
        <v>2.0</v>
      </c>
      <c r="X258" s="1137">
        <v>8.0</v>
      </c>
      <c r="Y258" s="1138">
        <v>8.0</v>
      </c>
      <c r="Z258" s="1769"/>
      <c r="AA258" s="1138"/>
      <c r="AB258" s="1137">
        <v>2.0</v>
      </c>
      <c r="AC258" s="1138">
        <v>2.0</v>
      </c>
      <c r="AD258" s="1137">
        <v>3.0</v>
      </c>
      <c r="AE258" s="1138">
        <v>3.0</v>
      </c>
      <c r="AF258" s="1137">
        <v>2.0</v>
      </c>
      <c r="AG258" s="1138">
        <v>2.0</v>
      </c>
      <c r="AH258" s="1137">
        <v>2.0</v>
      </c>
      <c r="AI258" s="1138">
        <v>2.0</v>
      </c>
      <c r="AJ258" s="1120">
        <v>2.0</v>
      </c>
      <c r="AK258" s="1138">
        <v>2.0</v>
      </c>
      <c r="AL258" s="1126">
        <v>1.0</v>
      </c>
      <c r="AM258" s="1138">
        <v>1.0</v>
      </c>
      <c r="AN258" s="1120">
        <v>4.0</v>
      </c>
      <c r="AO258" s="1138">
        <v>4.0</v>
      </c>
      <c r="AP258" s="1120">
        <v>2.0</v>
      </c>
      <c r="AQ258" s="1138">
        <v>2.0</v>
      </c>
      <c r="AR258" s="1126">
        <v>8.0</v>
      </c>
      <c r="AS258" s="1138">
        <v>8.0</v>
      </c>
      <c r="AT258" s="1126">
        <v>7.0</v>
      </c>
      <c r="AU258" s="1138">
        <v>7.0</v>
      </c>
      <c r="AV258" s="1126">
        <v>6.0</v>
      </c>
      <c r="AW258" s="1138">
        <v>6.0</v>
      </c>
      <c r="AX258" s="1126">
        <v>7.0</v>
      </c>
      <c r="AY258" s="1138">
        <v>7.0</v>
      </c>
      <c r="AZ258" s="1126">
        <v>2.0</v>
      </c>
      <c r="BA258" s="1138">
        <v>2.0</v>
      </c>
      <c r="BB258" s="1126">
        <v>3.0</v>
      </c>
      <c r="BC258" s="1138">
        <v>3.0</v>
      </c>
      <c r="BD258" s="1126">
        <v>2.0</v>
      </c>
      <c r="BE258" s="1138">
        <v>2.0</v>
      </c>
      <c r="BF258" s="1126">
        <v>10.0</v>
      </c>
      <c r="BG258" s="1138">
        <v>10.0</v>
      </c>
      <c r="BH258" s="1126">
        <v>3.0</v>
      </c>
      <c r="BI258" s="1138">
        <v>3.0</v>
      </c>
      <c r="BJ258" s="1126">
        <v>10.0</v>
      </c>
      <c r="BK258" s="1138">
        <v>10.0</v>
      </c>
      <c r="BL258" s="1134">
        <v>44.0</v>
      </c>
      <c r="BM258" s="1138">
        <v>44.0</v>
      </c>
      <c r="BN258" s="1087"/>
      <c r="BO258" s="1138"/>
      <c r="BP258" s="80">
        <f t="shared" si="190"/>
        <v>194</v>
      </c>
      <c r="BQ258" s="2137">
        <f t="shared" si="191"/>
        <v>193</v>
      </c>
      <c r="BR258" s="1572">
        <f t="shared" si="192"/>
        <v>18914</v>
      </c>
      <c r="BS258" s="2134">
        <f t="shared" si="193"/>
        <v>19012</v>
      </c>
      <c r="BT258" s="1545"/>
      <c r="BU258" s="1545"/>
    </row>
    <row r="259" ht="18.0" customHeight="1">
      <c r="A259" s="1565" t="s">
        <v>145</v>
      </c>
      <c r="B259" s="1736">
        <v>3180.0</v>
      </c>
      <c r="C259" s="1700">
        <v>98.0</v>
      </c>
      <c r="D259" s="2125" t="s">
        <v>70</v>
      </c>
      <c r="E259" s="733" t="str">
        <f>'Матрица 4 недели'!G88</f>
        <v>Салат ''Морковь по-корейски'' 120 г</v>
      </c>
      <c r="F259" s="1126">
        <v>19.0</v>
      </c>
      <c r="G259" s="1138">
        <v>19.0</v>
      </c>
      <c r="H259" s="1120">
        <v>3.0</v>
      </c>
      <c r="I259" s="1138">
        <v>3.0</v>
      </c>
      <c r="J259" s="1120">
        <v>3.0</v>
      </c>
      <c r="K259" s="1138">
        <v>3.0</v>
      </c>
      <c r="L259" s="1137">
        <v>7.0</v>
      </c>
      <c r="M259" s="1138">
        <v>7.0</v>
      </c>
      <c r="N259" s="1120">
        <v>10.0</v>
      </c>
      <c r="O259" s="1138">
        <v>10.0</v>
      </c>
      <c r="P259" s="1120">
        <v>4.0</v>
      </c>
      <c r="Q259" s="1138">
        <v>4.0</v>
      </c>
      <c r="R259" s="1120">
        <v>4.0</v>
      </c>
      <c r="S259" s="1138">
        <v>4.0</v>
      </c>
      <c r="T259" s="1120">
        <v>5.0</v>
      </c>
      <c r="U259" s="1138">
        <v>5.0</v>
      </c>
      <c r="V259" s="1120">
        <v>2.0</v>
      </c>
      <c r="W259" s="1138">
        <v>2.0</v>
      </c>
      <c r="X259" s="1120">
        <v>5.0</v>
      </c>
      <c r="Y259" s="1138">
        <v>5.0</v>
      </c>
      <c r="Z259" s="1769"/>
      <c r="AA259" s="1138"/>
      <c r="AB259" s="1120">
        <v>2.0</v>
      </c>
      <c r="AC259" s="1138">
        <v>2.0</v>
      </c>
      <c r="AD259" s="1120">
        <v>2.0</v>
      </c>
      <c r="AE259" s="1138">
        <v>2.0</v>
      </c>
      <c r="AF259" s="1120">
        <v>5.0</v>
      </c>
      <c r="AG259" s="1138">
        <v>5.0</v>
      </c>
      <c r="AH259" s="1120">
        <v>4.0</v>
      </c>
      <c r="AI259" s="1138">
        <v>4.0</v>
      </c>
      <c r="AJ259" s="1120">
        <v>2.0</v>
      </c>
      <c r="AK259" s="1138">
        <v>2.0</v>
      </c>
      <c r="AL259" s="1126">
        <v>3.0</v>
      </c>
      <c r="AM259" s="1138">
        <v>3.0</v>
      </c>
      <c r="AN259" s="1120">
        <v>4.0</v>
      </c>
      <c r="AO259" s="1138">
        <v>4.0</v>
      </c>
      <c r="AP259" s="1120">
        <v>2.0</v>
      </c>
      <c r="AQ259" s="1138">
        <v>2.0</v>
      </c>
      <c r="AR259" s="1126">
        <v>9.0</v>
      </c>
      <c r="AS259" s="1138">
        <v>9.0</v>
      </c>
      <c r="AT259" s="1126">
        <v>5.0</v>
      </c>
      <c r="AU259" s="1138">
        <v>5.0</v>
      </c>
      <c r="AV259" s="1126">
        <v>7.0</v>
      </c>
      <c r="AW259" s="1138">
        <v>7.0</v>
      </c>
      <c r="AX259" s="1126">
        <v>2.0</v>
      </c>
      <c r="AY259" s="1138">
        <v>2.0</v>
      </c>
      <c r="AZ259" s="1126">
        <v>3.0</v>
      </c>
      <c r="BA259" s="1138">
        <v>3.0</v>
      </c>
      <c r="BB259" s="1126">
        <v>3.0</v>
      </c>
      <c r="BC259" s="1138">
        <v>3.0</v>
      </c>
      <c r="BD259" s="1126">
        <v>0.0</v>
      </c>
      <c r="BE259" s="1138"/>
      <c r="BF259" s="1126">
        <v>9.0</v>
      </c>
      <c r="BG259" s="1138">
        <v>9.0</v>
      </c>
      <c r="BH259" s="1126">
        <v>3.0</v>
      </c>
      <c r="BI259" s="1138">
        <v>3.0</v>
      </c>
      <c r="BJ259" s="1126">
        <v>6.0</v>
      </c>
      <c r="BK259" s="1138">
        <v>6.0</v>
      </c>
      <c r="BL259" s="1134">
        <v>43.0</v>
      </c>
      <c r="BM259" s="1140">
        <v>43.0</v>
      </c>
      <c r="BN259" s="2130">
        <v>10.0</v>
      </c>
      <c r="BO259" s="1140"/>
      <c r="BP259" s="80">
        <f t="shared" si="190"/>
        <v>177</v>
      </c>
      <c r="BQ259" s="2133">
        <f t="shared" si="191"/>
        <v>176</v>
      </c>
      <c r="BR259" s="1572">
        <f t="shared" si="192"/>
        <v>17248</v>
      </c>
      <c r="BS259" s="2134">
        <f t="shared" si="193"/>
        <v>17346</v>
      </c>
      <c r="BT259" s="1545"/>
      <c r="BU259" s="1545"/>
    </row>
    <row r="260" ht="18.0" customHeight="1">
      <c r="A260" s="1708"/>
      <c r="B260" s="1736">
        <v>41.0</v>
      </c>
      <c r="C260" s="1700">
        <v>98.0</v>
      </c>
      <c r="D260" s="2125" t="s">
        <v>70</v>
      </c>
      <c r="E260" s="733" t="str">
        <f>'Матрица 4 недели'!G89</f>
        <v>Закуска с селёдкой 120 г</v>
      </c>
      <c r="F260" s="1126"/>
      <c r="G260" s="1138"/>
      <c r="H260" s="1120"/>
      <c r="I260" s="1138"/>
      <c r="J260" s="1120"/>
      <c r="K260" s="1138"/>
      <c r="L260" s="1137"/>
      <c r="M260" s="1138"/>
      <c r="N260" s="1120"/>
      <c r="O260" s="1138"/>
      <c r="P260" s="1126"/>
      <c r="Q260" s="1138"/>
      <c r="R260" s="1120"/>
      <c r="S260" s="1138"/>
      <c r="T260" s="1120"/>
      <c r="U260" s="1138"/>
      <c r="V260" s="1120"/>
      <c r="W260" s="1138"/>
      <c r="X260" s="1120"/>
      <c r="Y260" s="1138"/>
      <c r="Z260" s="1769"/>
      <c r="AA260" s="1138"/>
      <c r="AB260" s="1120"/>
      <c r="AC260" s="1138"/>
      <c r="AD260" s="1120"/>
      <c r="AE260" s="1138"/>
      <c r="AF260" s="1120"/>
      <c r="AG260" s="1138"/>
      <c r="AH260" s="1120"/>
      <c r="AI260" s="1138"/>
      <c r="AJ260" s="1120"/>
      <c r="AK260" s="1138"/>
      <c r="AL260" s="1126"/>
      <c r="AM260" s="1138"/>
      <c r="AN260" s="1120"/>
      <c r="AO260" s="1138"/>
      <c r="AP260" s="1120"/>
      <c r="AQ260" s="1138"/>
      <c r="AR260" s="1126"/>
      <c r="AS260" s="1138"/>
      <c r="AT260" s="1126"/>
      <c r="AU260" s="1138"/>
      <c r="AV260" s="1126"/>
      <c r="AW260" s="1138"/>
      <c r="AX260" s="1126"/>
      <c r="AY260" s="1138"/>
      <c r="AZ260" s="1126"/>
      <c r="BA260" s="1138"/>
      <c r="BB260" s="1126"/>
      <c r="BC260" s="1138"/>
      <c r="BD260" s="1126"/>
      <c r="BE260" s="1138"/>
      <c r="BF260" s="1126"/>
      <c r="BG260" s="1138"/>
      <c r="BH260" s="1126"/>
      <c r="BI260" s="1138"/>
      <c r="BJ260" s="1126"/>
      <c r="BK260" s="1138"/>
      <c r="BL260" s="1134">
        <v>43.0</v>
      </c>
      <c r="BM260" s="1140">
        <v>43.0</v>
      </c>
      <c r="BN260" s="2130">
        <v>10.0</v>
      </c>
      <c r="BO260" s="1140"/>
      <c r="BP260" s="80">
        <f t="shared" si="190"/>
        <v>44</v>
      </c>
      <c r="BQ260" s="2133">
        <f t="shared" si="191"/>
        <v>43</v>
      </c>
      <c r="BR260" s="1572">
        <f t="shared" si="192"/>
        <v>4214</v>
      </c>
      <c r="BS260" s="2134">
        <f t="shared" si="193"/>
        <v>4312</v>
      </c>
      <c r="BT260" s="1545"/>
      <c r="BU260" s="1545"/>
    </row>
    <row r="261" ht="18.0" customHeight="1">
      <c r="A261" s="1565" t="s">
        <v>145</v>
      </c>
      <c r="B261" s="1736">
        <v>4089.0</v>
      </c>
      <c r="C261" s="1700">
        <v>210.0</v>
      </c>
      <c r="D261" s="2140" t="s">
        <v>537</v>
      </c>
      <c r="E261" s="733" t="str">
        <f>'Матрица 4 недели'!G90</f>
        <v>Салат "Генеральский" (курица, грецкий орех) 220гр</v>
      </c>
      <c r="F261" s="1126">
        <v>4.0</v>
      </c>
      <c r="G261" s="1121">
        <v>5.0</v>
      </c>
      <c r="H261" s="1120">
        <v>3.0</v>
      </c>
      <c r="I261" s="1121">
        <v>3.0</v>
      </c>
      <c r="J261" s="1120">
        <v>4.0</v>
      </c>
      <c r="K261" s="1121">
        <v>4.0</v>
      </c>
      <c r="L261" s="1120">
        <v>3.0</v>
      </c>
      <c r="M261" s="1121">
        <v>3.0</v>
      </c>
      <c r="N261" s="1120">
        <v>4.0</v>
      </c>
      <c r="O261" s="1121">
        <v>5.0</v>
      </c>
      <c r="P261" s="1120">
        <v>4.0</v>
      </c>
      <c r="Q261" s="1121">
        <v>5.0</v>
      </c>
      <c r="R261" s="1120">
        <v>0.0</v>
      </c>
      <c r="S261" s="1121">
        <v>0.0</v>
      </c>
      <c r="T261" s="1120">
        <v>2.0</v>
      </c>
      <c r="U261" s="1121">
        <v>2.0</v>
      </c>
      <c r="V261" s="1120">
        <v>2.0</v>
      </c>
      <c r="W261" s="1121">
        <v>2.0</v>
      </c>
      <c r="X261" s="1120">
        <v>3.0</v>
      </c>
      <c r="Y261" s="1121">
        <v>3.0</v>
      </c>
      <c r="Z261" s="1120"/>
      <c r="AA261" s="1121"/>
      <c r="AB261" s="1120">
        <v>2.0</v>
      </c>
      <c r="AC261" s="1121">
        <v>2.0</v>
      </c>
      <c r="AD261" s="1120">
        <v>1.0</v>
      </c>
      <c r="AE261" s="1121">
        <v>1.0</v>
      </c>
      <c r="AF261" s="1120">
        <v>3.0</v>
      </c>
      <c r="AG261" s="1121">
        <v>3.0</v>
      </c>
      <c r="AH261" s="1120">
        <v>4.0</v>
      </c>
      <c r="AI261" s="1121">
        <v>4.0</v>
      </c>
      <c r="AJ261" s="1120">
        <v>2.0</v>
      </c>
      <c r="AK261" s="1121">
        <v>2.0</v>
      </c>
      <c r="AL261" s="1126">
        <v>3.0</v>
      </c>
      <c r="AM261" s="1121">
        <v>3.0</v>
      </c>
      <c r="AN261" s="1120">
        <v>2.0</v>
      </c>
      <c r="AO261" s="1138">
        <v>2.0</v>
      </c>
      <c r="AP261" s="1126">
        <v>2.0</v>
      </c>
      <c r="AQ261" s="1121">
        <v>2.0</v>
      </c>
      <c r="AR261" s="1126">
        <v>5.0</v>
      </c>
      <c r="AS261" s="1121">
        <v>5.0</v>
      </c>
      <c r="AT261" s="1126">
        <v>2.0</v>
      </c>
      <c r="AU261" s="1121">
        <v>2.0</v>
      </c>
      <c r="AV261" s="1126">
        <v>3.0</v>
      </c>
      <c r="AW261" s="1121">
        <v>3.0</v>
      </c>
      <c r="AX261" s="1126">
        <v>3.0</v>
      </c>
      <c r="AY261" s="1121">
        <v>3.0</v>
      </c>
      <c r="AZ261" s="1126">
        <v>2.0</v>
      </c>
      <c r="BA261" s="1121">
        <v>2.0</v>
      </c>
      <c r="BB261" s="1126">
        <v>4.0</v>
      </c>
      <c r="BC261" s="1121">
        <v>4.0</v>
      </c>
      <c r="BD261" s="1126">
        <v>2.0</v>
      </c>
      <c r="BE261" s="1121">
        <v>2.0</v>
      </c>
      <c r="BF261" s="1126">
        <v>5.0</v>
      </c>
      <c r="BG261" s="1121">
        <v>5.0</v>
      </c>
      <c r="BH261" s="1126">
        <v>2.0</v>
      </c>
      <c r="BI261" s="1121">
        <v>2.0</v>
      </c>
      <c r="BJ261" s="1075">
        <v>5.0</v>
      </c>
      <c r="BK261" s="2007">
        <v>5.0</v>
      </c>
      <c r="BL261" s="533"/>
      <c r="BM261" s="1140"/>
      <c r="BN261" s="2130"/>
      <c r="BO261" s="1140"/>
      <c r="BP261" s="80">
        <f t="shared" si="190"/>
        <v>82</v>
      </c>
      <c r="BQ261" s="2133">
        <f t="shared" si="191"/>
        <v>84</v>
      </c>
      <c r="BR261" s="1572">
        <f t="shared" si="192"/>
        <v>17640</v>
      </c>
      <c r="BS261" s="2134">
        <f t="shared" si="193"/>
        <v>17220</v>
      </c>
      <c r="BT261" s="1545"/>
      <c r="BU261" s="1545"/>
    </row>
    <row r="262" ht="18.0" customHeight="1">
      <c r="A262" s="1708"/>
      <c r="B262" s="1736">
        <v>8.0</v>
      </c>
      <c r="C262" s="1700">
        <v>104.0</v>
      </c>
      <c r="D262" s="2142" t="s">
        <v>74</v>
      </c>
      <c r="E262" s="1613" t="str">
        <f>'Матрица 4 недели'!J87</f>
        <v>Суп гороховый 250 мл</v>
      </c>
      <c r="F262" s="1120"/>
      <c r="G262" s="1138"/>
      <c r="H262" s="1120"/>
      <c r="I262" s="1138"/>
      <c r="J262" s="1120"/>
      <c r="K262" s="1138"/>
      <c r="L262" s="1520"/>
      <c r="M262" s="1138"/>
      <c r="N262" s="1120"/>
      <c r="O262" s="1138"/>
      <c r="P262" s="1126"/>
      <c r="Q262" s="1138"/>
      <c r="R262" s="1120"/>
      <c r="S262" s="1138"/>
      <c r="T262" s="1120"/>
      <c r="U262" s="1138"/>
      <c r="V262" s="1120"/>
      <c r="W262" s="1138"/>
      <c r="X262" s="1120"/>
      <c r="Y262" s="1138"/>
      <c r="Z262" s="1769"/>
      <c r="AA262" s="1138"/>
      <c r="AB262" s="1120"/>
      <c r="AC262" s="1138"/>
      <c r="AD262" s="1120"/>
      <c r="AE262" s="1138"/>
      <c r="AF262" s="1120"/>
      <c r="AG262" s="1138"/>
      <c r="AH262" s="1120"/>
      <c r="AI262" s="1138"/>
      <c r="AJ262" s="1120"/>
      <c r="AK262" s="1138"/>
      <c r="AL262" s="1126"/>
      <c r="AM262" s="1138"/>
      <c r="AN262" s="1120"/>
      <c r="AO262" s="1138"/>
      <c r="AP262" s="1120"/>
      <c r="AQ262" s="1138"/>
      <c r="AR262" s="1120"/>
      <c r="AS262" s="1138"/>
      <c r="AT262" s="1126"/>
      <c r="AU262" s="1138"/>
      <c r="AV262" s="1126"/>
      <c r="AW262" s="1138"/>
      <c r="AX262" s="1126"/>
      <c r="AY262" s="1138"/>
      <c r="AZ262" s="1126"/>
      <c r="BA262" s="1138"/>
      <c r="BB262" s="1126"/>
      <c r="BC262" s="1138"/>
      <c r="BD262" s="1126"/>
      <c r="BE262" s="1138"/>
      <c r="BF262" s="1126"/>
      <c r="BG262" s="1138"/>
      <c r="BH262" s="1126"/>
      <c r="BI262" s="1138"/>
      <c r="BJ262" s="1126"/>
      <c r="BK262" s="1138"/>
      <c r="BL262" s="1134">
        <v>120.0</v>
      </c>
      <c r="BM262" s="1140">
        <v>125.0</v>
      </c>
      <c r="BN262" s="2130">
        <v>30.0</v>
      </c>
      <c r="BO262" s="1140"/>
      <c r="BP262" s="80">
        <f t="shared" si="190"/>
        <v>121</v>
      </c>
      <c r="BQ262" s="2133">
        <f t="shared" si="191"/>
        <v>125</v>
      </c>
      <c r="BR262" s="1572">
        <f t="shared" si="192"/>
        <v>13000</v>
      </c>
      <c r="BS262" s="2134">
        <f t="shared" si="193"/>
        <v>12584</v>
      </c>
      <c r="BT262" s="1545"/>
      <c r="BU262" s="1545"/>
    </row>
    <row r="263" ht="18.0" customHeight="1">
      <c r="A263" s="1565" t="s">
        <v>145</v>
      </c>
      <c r="B263" s="1736">
        <v>372.0</v>
      </c>
      <c r="C263" s="1700">
        <v>198.0</v>
      </c>
      <c r="D263" s="2125" t="s">
        <v>77</v>
      </c>
      <c r="E263" s="1613" t="str">
        <f>'Матрица 4 недели'!M94</f>
        <v>Бедро запеченное с картофелем</v>
      </c>
      <c r="F263" s="1120">
        <v>21.0</v>
      </c>
      <c r="G263" s="1138">
        <v>21.0</v>
      </c>
      <c r="H263" s="1120">
        <v>7.0</v>
      </c>
      <c r="I263" s="1138">
        <v>7.0</v>
      </c>
      <c r="J263" s="1120">
        <v>4.0</v>
      </c>
      <c r="K263" s="1138">
        <v>4.0</v>
      </c>
      <c r="L263" s="1137">
        <v>5.0</v>
      </c>
      <c r="M263" s="1138">
        <v>5.0</v>
      </c>
      <c r="N263" s="1120">
        <v>6.0</v>
      </c>
      <c r="O263" s="1138">
        <v>6.0</v>
      </c>
      <c r="P263" s="1126">
        <v>10.0</v>
      </c>
      <c r="Q263" s="1138">
        <v>10.0</v>
      </c>
      <c r="R263" s="1120">
        <v>2.0</v>
      </c>
      <c r="S263" s="1138">
        <v>2.0</v>
      </c>
      <c r="T263" s="1120">
        <v>3.0</v>
      </c>
      <c r="U263" s="1138">
        <v>3.0</v>
      </c>
      <c r="V263" s="1120">
        <v>3.0</v>
      </c>
      <c r="W263" s="1138">
        <v>3.0</v>
      </c>
      <c r="X263" s="1120">
        <v>2.0</v>
      </c>
      <c r="Y263" s="1138">
        <v>2.0</v>
      </c>
      <c r="Z263" s="1769"/>
      <c r="AA263" s="1138"/>
      <c r="AB263" s="1120">
        <v>2.0</v>
      </c>
      <c r="AC263" s="1138">
        <v>2.0</v>
      </c>
      <c r="AD263" s="1120">
        <v>3.0</v>
      </c>
      <c r="AE263" s="1138">
        <v>3.0</v>
      </c>
      <c r="AF263" s="1120">
        <v>2.0</v>
      </c>
      <c r="AG263" s="1138">
        <v>2.0</v>
      </c>
      <c r="AH263" s="1120">
        <v>2.0</v>
      </c>
      <c r="AI263" s="1138">
        <v>2.0</v>
      </c>
      <c r="AJ263" s="1120">
        <v>1.0</v>
      </c>
      <c r="AK263" s="1737">
        <v>1.0</v>
      </c>
      <c r="AL263" s="1126">
        <v>2.0</v>
      </c>
      <c r="AM263" s="1138">
        <v>2.0</v>
      </c>
      <c r="AN263" s="1120">
        <v>2.0</v>
      </c>
      <c r="AO263" s="1138">
        <v>2.0</v>
      </c>
      <c r="AP263" s="1120">
        <v>3.0</v>
      </c>
      <c r="AQ263" s="1138">
        <v>3.0</v>
      </c>
      <c r="AR263" s="1120">
        <v>3.0</v>
      </c>
      <c r="AS263" s="1138">
        <v>3.0</v>
      </c>
      <c r="AT263" s="1126">
        <v>4.0</v>
      </c>
      <c r="AU263" s="1138">
        <v>4.0</v>
      </c>
      <c r="AV263" s="1126">
        <v>2.0</v>
      </c>
      <c r="AW263" s="1138">
        <v>2.0</v>
      </c>
      <c r="AX263" s="1126">
        <v>3.0</v>
      </c>
      <c r="AY263" s="1138">
        <v>3.0</v>
      </c>
      <c r="AZ263" s="1126">
        <v>5.0</v>
      </c>
      <c r="BA263" s="1138">
        <v>5.0</v>
      </c>
      <c r="BB263" s="1126">
        <v>2.0</v>
      </c>
      <c r="BC263" s="1138">
        <v>2.0</v>
      </c>
      <c r="BD263" s="1126">
        <v>2.0</v>
      </c>
      <c r="BE263" s="1138">
        <v>2.0</v>
      </c>
      <c r="BF263" s="1126">
        <v>3.0</v>
      </c>
      <c r="BG263" s="1138">
        <v>3.0</v>
      </c>
      <c r="BH263" s="1126">
        <v>2.0</v>
      </c>
      <c r="BI263" s="1138">
        <v>2.0</v>
      </c>
      <c r="BJ263" s="1126">
        <v>2.0</v>
      </c>
      <c r="BK263" s="1138">
        <v>2.0</v>
      </c>
      <c r="BL263" s="1134"/>
      <c r="BM263" s="1140"/>
      <c r="BN263" s="2130"/>
      <c r="BO263" s="1140"/>
      <c r="BP263" s="80">
        <f t="shared" si="190"/>
        <v>109</v>
      </c>
      <c r="BQ263" s="2133">
        <f t="shared" si="191"/>
        <v>108</v>
      </c>
      <c r="BR263" s="1572">
        <f t="shared" si="192"/>
        <v>21384</v>
      </c>
      <c r="BS263" s="2134">
        <f t="shared" si="193"/>
        <v>21582</v>
      </c>
      <c r="BT263" s="1545"/>
      <c r="BU263" s="1545"/>
    </row>
    <row r="264" ht="18.0" customHeight="1">
      <c r="A264" s="1708"/>
      <c r="B264" s="1736">
        <v>3768.0</v>
      </c>
      <c r="C264" s="1700">
        <v>240.0</v>
      </c>
      <c r="D264" s="2125" t="s">
        <v>77</v>
      </c>
      <c r="E264" s="1613" t="str">
        <f>'Матрица 4 недели'!M87</f>
        <v>Паприкаш из говядины с гречкой</v>
      </c>
      <c r="F264" s="1137"/>
      <c r="G264" s="1138"/>
      <c r="H264" s="1126"/>
      <c r="I264" s="1138"/>
      <c r="J264" s="1126"/>
      <c r="K264" s="1138"/>
      <c r="L264" s="1137"/>
      <c r="M264" s="1138"/>
      <c r="N264" s="1126"/>
      <c r="O264" s="1138"/>
      <c r="P264" s="1126"/>
      <c r="Q264" s="1121"/>
      <c r="R264" s="1126"/>
      <c r="S264" s="1121"/>
      <c r="T264" s="1137"/>
      <c r="U264" s="1121"/>
      <c r="V264" s="1137"/>
      <c r="W264" s="1121"/>
      <c r="X264" s="1137"/>
      <c r="Y264" s="1121"/>
      <c r="Z264" s="1769"/>
      <c r="AA264" s="1121"/>
      <c r="AB264" s="1120"/>
      <c r="AC264" s="1121"/>
      <c r="AD264" s="1120"/>
      <c r="AE264" s="1121"/>
      <c r="AF264" s="1137"/>
      <c r="AG264" s="1121"/>
      <c r="AH264" s="1120"/>
      <c r="AI264" s="1121"/>
      <c r="AJ264" s="1120"/>
      <c r="AK264" s="1121"/>
      <c r="AL264" s="1120"/>
      <c r="AM264" s="1121"/>
      <c r="AN264" s="1137"/>
      <c r="AO264" s="1138"/>
      <c r="AP264" s="1126"/>
      <c r="AQ264" s="1138"/>
      <c r="AR264" s="1137"/>
      <c r="AS264" s="1138"/>
      <c r="AT264" s="1126"/>
      <c r="AU264" s="1138"/>
      <c r="AV264" s="1126"/>
      <c r="AW264" s="1138"/>
      <c r="AX264" s="1126"/>
      <c r="AY264" s="1138"/>
      <c r="AZ264" s="1126"/>
      <c r="BA264" s="1138"/>
      <c r="BB264" s="1126"/>
      <c r="BC264" s="1138"/>
      <c r="BD264" s="1126"/>
      <c r="BE264" s="1138"/>
      <c r="BF264" s="1126"/>
      <c r="BG264" s="1138"/>
      <c r="BH264" s="1126"/>
      <c r="BI264" s="1138"/>
      <c r="BJ264" s="1126"/>
      <c r="BK264" s="1138"/>
      <c r="BL264" s="1134">
        <v>25.0</v>
      </c>
      <c r="BM264" s="1140">
        <v>25.0</v>
      </c>
      <c r="BN264" s="2130"/>
      <c r="BO264" s="1140"/>
      <c r="BP264" s="80">
        <f t="shared" si="190"/>
        <v>26</v>
      </c>
      <c r="BQ264" s="2133">
        <f t="shared" si="191"/>
        <v>25</v>
      </c>
      <c r="BR264" s="1572">
        <f t="shared" si="192"/>
        <v>6000</v>
      </c>
      <c r="BS264" s="2134">
        <f t="shared" si="193"/>
        <v>6240</v>
      </c>
      <c r="BT264" s="1545"/>
      <c r="BU264" s="1545"/>
    </row>
    <row r="265" ht="18.0" customHeight="1">
      <c r="A265" s="1708"/>
      <c r="B265" s="1736">
        <v>3770.0</v>
      </c>
      <c r="C265" s="1700">
        <v>240.0</v>
      </c>
      <c r="D265" s="2125" t="s">
        <v>77</v>
      </c>
      <c r="E265" s="1613" t="str">
        <f>'Матрица 4 недели'!M88</f>
        <v>Паприкаш из говядины с картофельным пюре</v>
      </c>
      <c r="F265" s="1765"/>
      <c r="G265" s="1782"/>
      <c r="H265" s="1765"/>
      <c r="I265" s="1782"/>
      <c r="J265" s="1765"/>
      <c r="K265" s="1782"/>
      <c r="L265" s="1771"/>
      <c r="M265" s="1782"/>
      <c r="N265" s="1765"/>
      <c r="O265" s="1782"/>
      <c r="P265" s="1765"/>
      <c r="Q265" s="1766"/>
      <c r="R265" s="1765"/>
      <c r="S265" s="1766"/>
      <c r="T265" s="1783"/>
      <c r="U265" s="1766"/>
      <c r="V265" s="1783"/>
      <c r="W265" s="1766"/>
      <c r="X265" s="1783"/>
      <c r="Y265" s="1766"/>
      <c r="Z265" s="1771"/>
      <c r="AA265" s="1766"/>
      <c r="AB265" s="1783"/>
      <c r="AC265" s="1766"/>
      <c r="AD265" s="1783"/>
      <c r="AE265" s="1766"/>
      <c r="AF265" s="1783"/>
      <c r="AG265" s="1766"/>
      <c r="AH265" s="1760"/>
      <c r="AI265" s="1766"/>
      <c r="AJ265" s="1783"/>
      <c r="AK265" s="1766"/>
      <c r="AL265" s="1760"/>
      <c r="AM265" s="2143"/>
      <c r="AN265" s="1760"/>
      <c r="AO265" s="1173"/>
      <c r="AP265" s="1151"/>
      <c r="AQ265" s="1173"/>
      <c r="AR265" s="1760"/>
      <c r="AS265" s="1173"/>
      <c r="AT265" s="1151"/>
      <c r="AU265" s="1173"/>
      <c r="AV265" s="1151"/>
      <c r="AW265" s="1173"/>
      <c r="AX265" s="1151"/>
      <c r="AY265" s="2144"/>
      <c r="AZ265" s="1151"/>
      <c r="BA265" s="1173"/>
      <c r="BB265" s="1151"/>
      <c r="BC265" s="1173"/>
      <c r="BD265" s="1151"/>
      <c r="BE265" s="1173"/>
      <c r="BF265" s="1151"/>
      <c r="BG265" s="1173"/>
      <c r="BH265" s="1151"/>
      <c r="BI265" s="1173"/>
      <c r="BJ265" s="1151"/>
      <c r="BK265" s="1173"/>
      <c r="BL265" s="1134">
        <v>25.0</v>
      </c>
      <c r="BM265" s="1140">
        <v>27.0</v>
      </c>
      <c r="BN265" s="2130"/>
      <c r="BO265" s="1140"/>
      <c r="BP265" s="2069">
        <f t="shared" si="190"/>
        <v>26</v>
      </c>
      <c r="BQ265" s="2133">
        <f t="shared" si="191"/>
        <v>27</v>
      </c>
      <c r="BR265" s="1572">
        <f t="shared" si="192"/>
        <v>6480</v>
      </c>
      <c r="BS265" s="2134">
        <f t="shared" si="193"/>
        <v>6240</v>
      </c>
      <c r="BT265" s="1545"/>
      <c r="BU265" s="1545"/>
    </row>
    <row r="266" ht="18.0" customHeight="1">
      <c r="A266" s="1708"/>
      <c r="B266" s="1736">
        <v>3769.0</v>
      </c>
      <c r="C266" s="1700">
        <v>240.0</v>
      </c>
      <c r="D266" s="2125" t="s">
        <v>77</v>
      </c>
      <c r="E266" s="1613" t="str">
        <f>'Матрица 4 недели'!M89</f>
        <v>Паприкаш из говядины с макаронами</v>
      </c>
      <c r="F266" s="1137"/>
      <c r="G266" s="1138"/>
      <c r="H266" s="1126"/>
      <c r="I266" s="1138"/>
      <c r="J266" s="1126"/>
      <c r="K266" s="1138"/>
      <c r="L266" s="1137"/>
      <c r="M266" s="1138"/>
      <c r="N266" s="1126"/>
      <c r="O266" s="1138"/>
      <c r="P266" s="1126"/>
      <c r="Q266" s="1121"/>
      <c r="R266" s="1126"/>
      <c r="S266" s="1121"/>
      <c r="T266" s="1137"/>
      <c r="U266" s="1121"/>
      <c r="V266" s="1137"/>
      <c r="W266" s="1121"/>
      <c r="X266" s="1137"/>
      <c r="Y266" s="1121"/>
      <c r="Z266" s="1769"/>
      <c r="AA266" s="1121"/>
      <c r="AB266" s="1120"/>
      <c r="AC266" s="1121"/>
      <c r="AD266" s="1120"/>
      <c r="AE266" s="1121"/>
      <c r="AF266" s="1137"/>
      <c r="AG266" s="1121"/>
      <c r="AH266" s="1120"/>
      <c r="AI266" s="1121"/>
      <c r="AJ266" s="1120"/>
      <c r="AK266" s="1121"/>
      <c r="AL266" s="1120"/>
      <c r="AM266" s="1121"/>
      <c r="AN266" s="1137"/>
      <c r="AO266" s="1138"/>
      <c r="AP266" s="1126"/>
      <c r="AQ266" s="1138"/>
      <c r="AR266" s="1137"/>
      <c r="AS266" s="1138"/>
      <c r="AT266" s="1126"/>
      <c r="AU266" s="1138"/>
      <c r="AV266" s="1126"/>
      <c r="AW266" s="1138"/>
      <c r="AX266" s="1126"/>
      <c r="AY266" s="1138"/>
      <c r="AZ266" s="1126"/>
      <c r="BA266" s="1138"/>
      <c r="BB266" s="1126"/>
      <c r="BC266" s="1138"/>
      <c r="BD266" s="1126"/>
      <c r="BE266" s="1138"/>
      <c r="BF266" s="1126"/>
      <c r="BG266" s="1138"/>
      <c r="BH266" s="1126"/>
      <c r="BI266" s="1138"/>
      <c r="BJ266" s="1126"/>
      <c r="BK266" s="1138"/>
      <c r="BL266" s="1134">
        <v>80.0</v>
      </c>
      <c r="BM266" s="1140">
        <v>80.0</v>
      </c>
      <c r="BN266" s="2130"/>
      <c r="BO266" s="1140"/>
      <c r="BP266" s="80">
        <f t="shared" si="190"/>
        <v>81</v>
      </c>
      <c r="BQ266" s="2133">
        <f t="shared" si="191"/>
        <v>80</v>
      </c>
      <c r="BR266" s="1572">
        <f t="shared" si="192"/>
        <v>19200</v>
      </c>
      <c r="BS266" s="2134">
        <f t="shared" si="193"/>
        <v>19440</v>
      </c>
      <c r="BT266" s="1545"/>
      <c r="BU266" s="1545"/>
    </row>
    <row r="267" ht="19.5" customHeight="1">
      <c r="A267" s="1565" t="s">
        <v>145</v>
      </c>
      <c r="B267" s="2146">
        <v>3437.0</v>
      </c>
      <c r="C267" s="2147">
        <v>198.0</v>
      </c>
      <c r="D267" s="2148" t="s">
        <v>77</v>
      </c>
      <c r="E267" s="1613" t="str">
        <f>'Матрица 4 недели'!M90</f>
        <v>Макароны по-флотски</v>
      </c>
      <c r="F267" s="1151">
        <v>26.0</v>
      </c>
      <c r="G267" s="1173">
        <v>26.0</v>
      </c>
      <c r="H267" s="1151">
        <v>2.0</v>
      </c>
      <c r="I267" s="1173">
        <v>2.0</v>
      </c>
      <c r="J267" s="1151">
        <v>4.0</v>
      </c>
      <c r="K267" s="1173">
        <v>4.0</v>
      </c>
      <c r="L267" s="2149">
        <v>5.0</v>
      </c>
      <c r="M267" s="1173">
        <v>5.0</v>
      </c>
      <c r="N267" s="1802">
        <v>5.0</v>
      </c>
      <c r="O267" s="1173">
        <v>5.0</v>
      </c>
      <c r="P267" s="1151">
        <v>12.0</v>
      </c>
      <c r="Q267" s="1173">
        <v>12.0</v>
      </c>
      <c r="R267" s="1769">
        <v>2.0</v>
      </c>
      <c r="S267" s="1173">
        <v>2.0</v>
      </c>
      <c r="T267" s="1151">
        <v>2.0</v>
      </c>
      <c r="U267" s="1173">
        <v>2.0</v>
      </c>
      <c r="V267" s="2149">
        <v>4.0</v>
      </c>
      <c r="W267" s="1173">
        <v>4.0</v>
      </c>
      <c r="X267" s="1151">
        <v>2.0</v>
      </c>
      <c r="Y267" s="1173">
        <v>2.0</v>
      </c>
      <c r="Z267" s="1769"/>
      <c r="AA267" s="1173"/>
      <c r="AB267" s="1151">
        <v>3.0</v>
      </c>
      <c r="AC267" s="1173">
        <v>3.0</v>
      </c>
      <c r="AD267" s="1151">
        <v>2.0</v>
      </c>
      <c r="AE267" s="1173">
        <v>2.0</v>
      </c>
      <c r="AF267" s="1769">
        <v>2.0</v>
      </c>
      <c r="AG267" s="1173">
        <v>2.0</v>
      </c>
      <c r="AH267" s="1760">
        <v>2.0</v>
      </c>
      <c r="AI267" s="1173">
        <v>2.0</v>
      </c>
      <c r="AJ267" s="1760">
        <v>2.0</v>
      </c>
      <c r="AK267" s="1173">
        <v>2.0</v>
      </c>
      <c r="AL267" s="1151">
        <v>0.0</v>
      </c>
      <c r="AM267" s="1173">
        <v>0.0</v>
      </c>
      <c r="AN267" s="1151">
        <v>2.0</v>
      </c>
      <c r="AO267" s="1173">
        <v>2.0</v>
      </c>
      <c r="AP267" s="1760">
        <v>2.0</v>
      </c>
      <c r="AQ267" s="1173">
        <v>2.0</v>
      </c>
      <c r="AR267" s="1151">
        <v>4.0</v>
      </c>
      <c r="AS267" s="1173">
        <v>4.0</v>
      </c>
      <c r="AT267" s="1151">
        <v>2.0</v>
      </c>
      <c r="AU267" s="1173">
        <v>2.0</v>
      </c>
      <c r="AV267" s="1151">
        <v>6.0</v>
      </c>
      <c r="AW267" s="1173">
        <v>6.0</v>
      </c>
      <c r="AX267" s="1151">
        <v>5.0</v>
      </c>
      <c r="AY267" s="1173">
        <v>5.0</v>
      </c>
      <c r="AZ267" s="1151">
        <v>6.0</v>
      </c>
      <c r="BA267" s="1173">
        <v>6.0</v>
      </c>
      <c r="BB267" s="1151">
        <v>2.0</v>
      </c>
      <c r="BC267" s="1173">
        <v>2.0</v>
      </c>
      <c r="BD267" s="1151">
        <v>2.0</v>
      </c>
      <c r="BE267" s="1173">
        <v>2.0</v>
      </c>
      <c r="BF267" s="1151">
        <v>3.0</v>
      </c>
      <c r="BG267" s="1173">
        <v>3.0</v>
      </c>
      <c r="BH267" s="1151">
        <v>2.0</v>
      </c>
      <c r="BI267" s="1173">
        <v>2.0</v>
      </c>
      <c r="BJ267" s="1151">
        <v>2.0</v>
      </c>
      <c r="BK267" s="1173">
        <v>2.0</v>
      </c>
      <c r="BL267" s="1139"/>
      <c r="BM267" s="1782"/>
      <c r="BN267" s="2150"/>
      <c r="BO267" s="1782"/>
      <c r="BP267" s="80">
        <f t="shared" si="190"/>
        <v>114</v>
      </c>
      <c r="BQ267" s="2133">
        <f t="shared" si="191"/>
        <v>113</v>
      </c>
      <c r="BR267" s="1572">
        <f t="shared" si="192"/>
        <v>22374</v>
      </c>
      <c r="BS267" s="2134">
        <f t="shared" si="193"/>
        <v>22572</v>
      </c>
      <c r="BT267" s="2151"/>
      <c r="BU267" s="2151"/>
    </row>
    <row r="268" ht="18.0" customHeight="1">
      <c r="A268" s="1565" t="s">
        <v>145</v>
      </c>
      <c r="B268" s="1736">
        <v>657.0</v>
      </c>
      <c r="C268" s="1700">
        <v>212.0</v>
      </c>
      <c r="D268" s="2125" t="s">
        <v>77</v>
      </c>
      <c r="E268" s="1613" t="str">
        <f>'Матрица 4 недели'!M91</f>
        <v>Перец фаршированный с пюре</v>
      </c>
      <c r="F268" s="1126">
        <v>16.0</v>
      </c>
      <c r="G268" s="1138">
        <v>16.0</v>
      </c>
      <c r="H268" s="1126">
        <v>6.0</v>
      </c>
      <c r="I268" s="1138">
        <v>6.0</v>
      </c>
      <c r="J268" s="1126">
        <v>4.0</v>
      </c>
      <c r="K268" s="1138">
        <v>4.0</v>
      </c>
      <c r="L268" s="1143">
        <v>8.0</v>
      </c>
      <c r="M268" s="1138">
        <v>8.0</v>
      </c>
      <c r="N268" s="1126">
        <v>5.0</v>
      </c>
      <c r="O268" s="1138">
        <v>5.0</v>
      </c>
      <c r="P268" s="1126">
        <v>12.0</v>
      </c>
      <c r="Q268" s="1138">
        <v>12.0</v>
      </c>
      <c r="R268" s="1137">
        <v>2.0</v>
      </c>
      <c r="S268" s="1138">
        <v>2.0</v>
      </c>
      <c r="T268" s="1126">
        <v>2.0</v>
      </c>
      <c r="U268" s="1138">
        <v>2.0</v>
      </c>
      <c r="V268" s="1137">
        <v>2.0</v>
      </c>
      <c r="W268" s="1138">
        <v>2.0</v>
      </c>
      <c r="X268" s="1126">
        <v>2.0</v>
      </c>
      <c r="Y268" s="1138">
        <v>2.0</v>
      </c>
      <c r="Z268" s="1769"/>
      <c r="AA268" s="1138"/>
      <c r="AB268" s="1126">
        <v>3.0</v>
      </c>
      <c r="AC268" s="1138">
        <v>3.0</v>
      </c>
      <c r="AD268" s="1126">
        <v>3.0</v>
      </c>
      <c r="AE268" s="1138">
        <v>3.0</v>
      </c>
      <c r="AF268" s="1137">
        <v>2.0</v>
      </c>
      <c r="AG268" s="1138">
        <v>2.0</v>
      </c>
      <c r="AH268" s="1120">
        <v>2.0</v>
      </c>
      <c r="AI268" s="1138">
        <v>2.0</v>
      </c>
      <c r="AJ268" s="1120">
        <v>4.0</v>
      </c>
      <c r="AK268" s="1138">
        <v>4.0</v>
      </c>
      <c r="AL268" s="1126">
        <v>4.0</v>
      </c>
      <c r="AM268" s="1138">
        <v>4.0</v>
      </c>
      <c r="AN268" s="1126">
        <v>2.0</v>
      </c>
      <c r="AO268" s="1138">
        <v>2.0</v>
      </c>
      <c r="AP268" s="1120">
        <v>3.0</v>
      </c>
      <c r="AQ268" s="1138">
        <v>3.0</v>
      </c>
      <c r="AR268" s="1126">
        <v>2.0</v>
      </c>
      <c r="AS268" s="1138">
        <v>2.0</v>
      </c>
      <c r="AT268" s="1126">
        <v>4.0</v>
      </c>
      <c r="AU268" s="1138">
        <v>4.0</v>
      </c>
      <c r="AV268" s="1126">
        <v>4.0</v>
      </c>
      <c r="AW268" s="1138">
        <v>4.0</v>
      </c>
      <c r="AX268" s="1126">
        <v>2.0</v>
      </c>
      <c r="AY268" s="1138">
        <v>2.0</v>
      </c>
      <c r="AZ268" s="1126">
        <v>5.0</v>
      </c>
      <c r="BA268" s="1138">
        <v>5.0</v>
      </c>
      <c r="BB268" s="1126">
        <v>2.0</v>
      </c>
      <c r="BC268" s="1138">
        <v>2.0</v>
      </c>
      <c r="BD268" s="1126">
        <v>2.0</v>
      </c>
      <c r="BE268" s="1138">
        <v>2.0</v>
      </c>
      <c r="BF268" s="1126">
        <v>3.0</v>
      </c>
      <c r="BG268" s="1138">
        <v>3.0</v>
      </c>
      <c r="BH268" s="1126">
        <v>2.0</v>
      </c>
      <c r="BI268" s="1138">
        <v>2.0</v>
      </c>
      <c r="BJ268" s="1126">
        <v>2.0</v>
      </c>
      <c r="BK268" s="1138">
        <v>2.0</v>
      </c>
      <c r="BL268" s="1139"/>
      <c r="BM268" s="1140"/>
      <c r="BN268" s="2130">
        <v>10.0</v>
      </c>
      <c r="BO268" s="1140">
        <v>10.0</v>
      </c>
      <c r="BP268" s="80">
        <f t="shared" si="190"/>
        <v>111</v>
      </c>
      <c r="BQ268" s="2133">
        <f t="shared" si="191"/>
        <v>110</v>
      </c>
      <c r="BR268" s="1572">
        <f t="shared" si="192"/>
        <v>23320</v>
      </c>
      <c r="BS268" s="2134">
        <f t="shared" si="193"/>
        <v>23532</v>
      </c>
      <c r="BT268" s="1545"/>
      <c r="BU268" s="1545"/>
    </row>
    <row r="269" ht="18.0" customHeight="1">
      <c r="A269" s="1565" t="s">
        <v>145</v>
      </c>
      <c r="B269" s="1736">
        <v>3122.0</v>
      </c>
      <c r="C269" s="1700">
        <v>261.0</v>
      </c>
      <c r="D269" s="2125" t="s">
        <v>77</v>
      </c>
      <c r="E269" s="1613" t="str">
        <f>'Матрица 4 недели'!M92</f>
        <v>Люля-кебаб куриный с овощным соте</v>
      </c>
      <c r="F269" s="1286">
        <v>10.0</v>
      </c>
      <c r="G269" s="2153">
        <v>10.0</v>
      </c>
      <c r="H269" s="1284">
        <v>6.0</v>
      </c>
      <c r="I269" s="2153">
        <v>6.0</v>
      </c>
      <c r="J269" s="1284">
        <v>3.0</v>
      </c>
      <c r="K269" s="2153">
        <v>3.0</v>
      </c>
      <c r="L269" s="1290">
        <v>8.0</v>
      </c>
      <c r="M269" s="2153">
        <v>8.0</v>
      </c>
      <c r="N269" s="1284">
        <v>4.0</v>
      </c>
      <c r="O269" s="2153">
        <v>4.0</v>
      </c>
      <c r="P269" s="1284">
        <v>6.0</v>
      </c>
      <c r="Q269" s="1140">
        <v>6.0</v>
      </c>
      <c r="R269" s="1286">
        <v>2.0</v>
      </c>
      <c r="S269" s="1140">
        <v>2.0</v>
      </c>
      <c r="T269" s="1286">
        <v>2.0</v>
      </c>
      <c r="U269" s="1140">
        <v>2.0</v>
      </c>
      <c r="V269" s="1290">
        <v>2.0</v>
      </c>
      <c r="W269" s="1140">
        <v>2.0</v>
      </c>
      <c r="X269" s="1284">
        <v>0.0</v>
      </c>
      <c r="Y269" s="2155">
        <v>0.0</v>
      </c>
      <c r="Z269" s="1771"/>
      <c r="AA269" s="1140"/>
      <c r="AB269" s="1295"/>
      <c r="AC269" s="1140"/>
      <c r="AD269" s="1295">
        <v>2.0</v>
      </c>
      <c r="AE269" s="1140">
        <v>2.0</v>
      </c>
      <c r="AF269" s="1290">
        <v>2.0</v>
      </c>
      <c r="AG269" s="1140">
        <v>2.0</v>
      </c>
      <c r="AH269" s="1120">
        <v>2.0</v>
      </c>
      <c r="AI269" s="1140">
        <v>2.0</v>
      </c>
      <c r="AJ269" s="1290"/>
      <c r="AK269" s="1140"/>
      <c r="AL269" s="1126">
        <v>2.0</v>
      </c>
      <c r="AM269" s="1138">
        <v>2.0</v>
      </c>
      <c r="AN269" s="1120">
        <v>2.0</v>
      </c>
      <c r="AO269" s="1138">
        <v>2.0</v>
      </c>
      <c r="AP269" s="1120">
        <v>2.0</v>
      </c>
      <c r="AQ269" s="1138">
        <v>2.0</v>
      </c>
      <c r="AR269" s="1126">
        <v>7.0</v>
      </c>
      <c r="AS269" s="1138">
        <v>7.0</v>
      </c>
      <c r="AT269" s="1126">
        <v>5.0</v>
      </c>
      <c r="AU269" s="1138">
        <v>5.0</v>
      </c>
      <c r="AV269" s="1126">
        <v>2.0</v>
      </c>
      <c r="AW269" s="1138">
        <v>2.0</v>
      </c>
      <c r="AX269" s="1126"/>
      <c r="AY269" s="1138"/>
      <c r="AZ269" s="1126"/>
      <c r="BA269" s="1138"/>
      <c r="BB269" s="1126"/>
      <c r="BC269" s="1138"/>
      <c r="BD269" s="1126">
        <v>2.0</v>
      </c>
      <c r="BE269" s="1138">
        <v>2.0</v>
      </c>
      <c r="BF269" s="1126">
        <v>2.0</v>
      </c>
      <c r="BG269" s="1138">
        <v>2.0</v>
      </c>
      <c r="BH269" s="1126">
        <v>2.0</v>
      </c>
      <c r="BI269" s="1138">
        <v>2.0</v>
      </c>
      <c r="BJ269" s="1126">
        <v>2.0</v>
      </c>
      <c r="BK269" s="1138">
        <v>2.0</v>
      </c>
      <c r="BL269" s="1134"/>
      <c r="BM269" s="1140"/>
      <c r="BN269" s="2130">
        <v>10.0</v>
      </c>
      <c r="BO269" s="1140">
        <v>10.0</v>
      </c>
      <c r="BP269" s="2069">
        <f t="shared" si="190"/>
        <v>78</v>
      </c>
      <c r="BQ269" s="2133">
        <f t="shared" si="191"/>
        <v>77</v>
      </c>
      <c r="BR269" s="1572">
        <f t="shared" si="192"/>
        <v>20097</v>
      </c>
      <c r="BS269" s="2134">
        <f t="shared" si="193"/>
        <v>20358</v>
      </c>
      <c r="BT269" s="1545"/>
      <c r="BU269" s="1545"/>
    </row>
    <row r="270" ht="18.0" customHeight="1">
      <c r="A270" s="1565" t="s">
        <v>145</v>
      </c>
      <c r="B270" s="1736">
        <v>1896.0</v>
      </c>
      <c r="C270" s="1700">
        <v>247.0</v>
      </c>
      <c r="D270" s="2125" t="s">
        <v>77</v>
      </c>
      <c r="E270" s="1613" t="str">
        <f>'Матрица 4 недели'!M93</f>
        <v>Манты со сметаной </v>
      </c>
      <c r="F270" s="1120">
        <v>16.0</v>
      </c>
      <c r="G270" s="1138">
        <v>16.0</v>
      </c>
      <c r="H270" s="1120">
        <v>0.0</v>
      </c>
      <c r="I270" s="1138">
        <v>0.0</v>
      </c>
      <c r="J270" s="1120">
        <v>3.0</v>
      </c>
      <c r="K270" s="1138">
        <v>3.0</v>
      </c>
      <c r="L270" s="1137">
        <v>0.0</v>
      </c>
      <c r="M270" s="1138">
        <v>0.0</v>
      </c>
      <c r="N270" s="1120">
        <v>7.0</v>
      </c>
      <c r="O270" s="1138">
        <v>7.0</v>
      </c>
      <c r="P270" s="1126">
        <v>8.0</v>
      </c>
      <c r="Q270" s="1138">
        <v>8.0</v>
      </c>
      <c r="R270" s="1120">
        <v>2.0</v>
      </c>
      <c r="S270" s="1138">
        <v>2.0</v>
      </c>
      <c r="T270" s="1120">
        <v>2.0</v>
      </c>
      <c r="U270" s="1138">
        <v>2.0</v>
      </c>
      <c r="V270" s="1120">
        <v>2.0</v>
      </c>
      <c r="W270" s="1138">
        <v>2.0</v>
      </c>
      <c r="X270" s="1120">
        <v>2.0</v>
      </c>
      <c r="Y270" s="1138">
        <v>2.0</v>
      </c>
      <c r="Z270" s="1769"/>
      <c r="AA270" s="1138"/>
      <c r="AB270" s="1120">
        <v>2.0</v>
      </c>
      <c r="AC270" s="1138">
        <v>2.0</v>
      </c>
      <c r="AD270" s="1120">
        <v>2.0</v>
      </c>
      <c r="AE270" s="1138">
        <v>2.0</v>
      </c>
      <c r="AF270" s="1120">
        <v>2.0</v>
      </c>
      <c r="AG270" s="1138">
        <v>2.0</v>
      </c>
      <c r="AH270" s="1120">
        <v>2.0</v>
      </c>
      <c r="AI270" s="1138">
        <v>2.0</v>
      </c>
      <c r="AJ270" s="1120">
        <v>3.0</v>
      </c>
      <c r="AK270" s="1737">
        <v>3.0</v>
      </c>
      <c r="AL270" s="1126">
        <v>4.0</v>
      </c>
      <c r="AM270" s="1138">
        <v>4.0</v>
      </c>
      <c r="AN270" s="1120">
        <v>2.0</v>
      </c>
      <c r="AO270" s="1138">
        <v>2.0</v>
      </c>
      <c r="AP270" s="1120">
        <v>2.0</v>
      </c>
      <c r="AQ270" s="1138">
        <v>2.0</v>
      </c>
      <c r="AR270" s="1120">
        <v>2.0</v>
      </c>
      <c r="AS270" s="1138">
        <v>2.0</v>
      </c>
      <c r="AT270" s="1126">
        <v>2.0</v>
      </c>
      <c r="AU270" s="1138">
        <v>2.0</v>
      </c>
      <c r="AV270" s="1126">
        <v>2.0</v>
      </c>
      <c r="AW270" s="1138">
        <v>2.0</v>
      </c>
      <c r="AX270" s="1126">
        <v>6.0</v>
      </c>
      <c r="AY270" s="1138">
        <v>6.0</v>
      </c>
      <c r="AZ270" s="1126">
        <v>1.0</v>
      </c>
      <c r="BA270" s="1138">
        <v>1.0</v>
      </c>
      <c r="BB270" s="1126">
        <v>2.0</v>
      </c>
      <c r="BC270" s="1138">
        <v>2.0</v>
      </c>
      <c r="BD270" s="1126">
        <v>2.0</v>
      </c>
      <c r="BE270" s="1138">
        <v>2.0</v>
      </c>
      <c r="BF270" s="1126">
        <v>2.0</v>
      </c>
      <c r="BG270" s="1138">
        <v>2.0</v>
      </c>
      <c r="BH270" s="1126">
        <v>0.0</v>
      </c>
      <c r="BI270" s="1138">
        <v>0.0</v>
      </c>
      <c r="BJ270" s="1126">
        <v>2.0</v>
      </c>
      <c r="BK270" s="1138">
        <v>2.0</v>
      </c>
      <c r="BL270" s="1134"/>
      <c r="BM270" s="1140"/>
      <c r="BN270" s="2130">
        <v>10.0</v>
      </c>
      <c r="BO270" s="1140"/>
      <c r="BP270" s="80">
        <f t="shared" si="190"/>
        <v>83</v>
      </c>
      <c r="BQ270" s="2133">
        <f t="shared" si="191"/>
        <v>82</v>
      </c>
      <c r="BR270" s="1572">
        <f t="shared" si="192"/>
        <v>20254</v>
      </c>
      <c r="BS270" s="2134">
        <f t="shared" si="193"/>
        <v>20501</v>
      </c>
      <c r="BT270" s="1545"/>
      <c r="BU270" s="1545"/>
    </row>
    <row r="271" ht="18.0" customHeight="1">
      <c r="A271" s="1708"/>
      <c r="B271" s="1736">
        <v>3528.0</v>
      </c>
      <c r="C271" s="1700">
        <v>56.0</v>
      </c>
      <c r="D271" s="2125" t="s">
        <v>78</v>
      </c>
      <c r="E271" s="733" t="str">
        <f>'Матрица 4 недели'!P87</f>
        <v>Сырная палочка 80 гр</v>
      </c>
      <c r="F271" s="1286"/>
      <c r="G271" s="2153"/>
      <c r="H271" s="1284"/>
      <c r="I271" s="2153"/>
      <c r="J271" s="1284"/>
      <c r="K271" s="2153"/>
      <c r="L271" s="1290"/>
      <c r="M271" s="2153"/>
      <c r="N271" s="1284"/>
      <c r="O271" s="2153"/>
      <c r="P271" s="1284"/>
      <c r="Q271" s="1140"/>
      <c r="R271" s="1286"/>
      <c r="S271" s="1140"/>
      <c r="T271" s="1286"/>
      <c r="U271" s="1140"/>
      <c r="V271" s="1290"/>
      <c r="W271" s="1140"/>
      <c r="X271" s="1284"/>
      <c r="Y271" s="2155"/>
      <c r="Z271" s="1771"/>
      <c r="AA271" s="1140"/>
      <c r="AB271" s="1295"/>
      <c r="AC271" s="1140"/>
      <c r="AD271" s="1295"/>
      <c r="AE271" s="1140"/>
      <c r="AF271" s="1290"/>
      <c r="AG271" s="1140"/>
      <c r="AH271" s="1120"/>
      <c r="AI271" s="1140"/>
      <c r="AJ271" s="1290"/>
      <c r="AK271" s="1140"/>
      <c r="AL271" s="1126"/>
      <c r="AM271" s="1138"/>
      <c r="AN271" s="1120"/>
      <c r="AO271" s="1138"/>
      <c r="AP271" s="1120"/>
      <c r="AQ271" s="1138"/>
      <c r="AR271" s="1126"/>
      <c r="AS271" s="1138"/>
      <c r="AT271" s="1126"/>
      <c r="AU271" s="1138"/>
      <c r="AV271" s="1126"/>
      <c r="AW271" s="1138"/>
      <c r="AX271" s="1126"/>
      <c r="AY271" s="1138"/>
      <c r="AZ271" s="1126"/>
      <c r="BA271" s="1138"/>
      <c r="BB271" s="1126"/>
      <c r="BC271" s="1138"/>
      <c r="BD271" s="1126"/>
      <c r="BE271" s="1138"/>
      <c r="BF271" s="1126"/>
      <c r="BG271" s="1138"/>
      <c r="BH271" s="1126"/>
      <c r="BI271" s="1138"/>
      <c r="BJ271" s="1126"/>
      <c r="BK271" s="1138"/>
      <c r="BL271" s="1134">
        <v>11.0</v>
      </c>
      <c r="BM271" s="1138">
        <v>10.0</v>
      </c>
      <c r="BN271" s="1087">
        <v>9.0</v>
      </c>
      <c r="BO271" s="1138"/>
      <c r="BP271" s="2069">
        <f t="shared" si="190"/>
        <v>12</v>
      </c>
      <c r="BQ271" s="2133">
        <f t="shared" si="191"/>
        <v>10</v>
      </c>
      <c r="BR271" s="1572">
        <f t="shared" si="192"/>
        <v>560</v>
      </c>
      <c r="BS271" s="2134">
        <f t="shared" si="193"/>
        <v>672</v>
      </c>
      <c r="BT271" s="1807"/>
      <c r="BU271" s="1807"/>
    </row>
    <row r="272" ht="18.0" customHeight="1">
      <c r="A272" s="1565" t="s">
        <v>145</v>
      </c>
      <c r="B272" s="1700">
        <v>5.0</v>
      </c>
      <c r="C272" s="1700">
        <v>155.0</v>
      </c>
      <c r="D272" s="2125" t="s">
        <v>79</v>
      </c>
      <c r="E272" s="733" t="str">
        <f>'Матрица 4 недели'!S87</f>
        <v>Сэндвич с ветчиной и сыром</v>
      </c>
      <c r="F272" s="1126">
        <v>45.0</v>
      </c>
      <c r="G272" s="1121">
        <v>45.0</v>
      </c>
      <c r="H272" s="1120">
        <v>5.0</v>
      </c>
      <c r="I272" s="1121">
        <v>5.0</v>
      </c>
      <c r="J272" s="1120">
        <v>4.0</v>
      </c>
      <c r="K272" s="1138">
        <v>4.0</v>
      </c>
      <c r="L272" s="1137">
        <v>7.0</v>
      </c>
      <c r="M272" s="1138">
        <v>7.0</v>
      </c>
      <c r="N272" s="1120">
        <v>6.0</v>
      </c>
      <c r="O272" s="1138">
        <v>6.0</v>
      </c>
      <c r="P272" s="1120">
        <v>20.0</v>
      </c>
      <c r="Q272" s="1138">
        <v>20.0</v>
      </c>
      <c r="R272" s="1120">
        <v>2.0</v>
      </c>
      <c r="S272" s="1138">
        <v>2.0</v>
      </c>
      <c r="T272" s="1120">
        <v>2.0</v>
      </c>
      <c r="U272" s="1138">
        <v>2.0</v>
      </c>
      <c r="V272" s="1120">
        <v>6.0</v>
      </c>
      <c r="W272" s="1138">
        <v>6.0</v>
      </c>
      <c r="X272" s="1120">
        <v>20.0</v>
      </c>
      <c r="Y272" s="1138">
        <v>20.0</v>
      </c>
      <c r="Z272" s="1328"/>
      <c r="AA272" s="1138"/>
      <c r="AB272" s="1120">
        <v>5.0</v>
      </c>
      <c r="AC272" s="1138">
        <v>5.0</v>
      </c>
      <c r="AD272" s="1328">
        <v>6.0</v>
      </c>
      <c r="AE272" s="1138">
        <v>6.0</v>
      </c>
      <c r="AF272" s="1120">
        <v>3.0</v>
      </c>
      <c r="AG272" s="1138">
        <v>3.0</v>
      </c>
      <c r="AH272" s="1120">
        <v>7.0</v>
      </c>
      <c r="AI272" s="1138">
        <v>7.0</v>
      </c>
      <c r="AJ272" s="1120">
        <v>5.0</v>
      </c>
      <c r="AK272" s="1138">
        <v>5.0</v>
      </c>
      <c r="AL272" s="1126">
        <v>7.0</v>
      </c>
      <c r="AM272" s="1138">
        <v>7.0</v>
      </c>
      <c r="AN272" s="1120">
        <v>3.0</v>
      </c>
      <c r="AO272" s="1138">
        <v>3.0</v>
      </c>
      <c r="AP272" s="1120">
        <v>4.0</v>
      </c>
      <c r="AQ272" s="1138">
        <v>4.0</v>
      </c>
      <c r="AR272" s="1126">
        <v>13.0</v>
      </c>
      <c r="AS272" s="1138">
        <v>13.0</v>
      </c>
      <c r="AT272" s="1120">
        <v>3.0</v>
      </c>
      <c r="AU272" s="1138">
        <v>3.0</v>
      </c>
      <c r="AV272" s="1126">
        <v>14.0</v>
      </c>
      <c r="AW272" s="1138">
        <v>14.0</v>
      </c>
      <c r="AX272" s="1126">
        <v>9.0</v>
      </c>
      <c r="AY272" s="1138">
        <v>9.0</v>
      </c>
      <c r="AZ272" s="1126">
        <v>8.0</v>
      </c>
      <c r="BA272" s="1138">
        <v>8.0</v>
      </c>
      <c r="BB272" s="1126">
        <v>10.0</v>
      </c>
      <c r="BC272" s="1138">
        <v>10.0</v>
      </c>
      <c r="BD272" s="1126">
        <v>3.0</v>
      </c>
      <c r="BE272" s="1138">
        <v>3.0</v>
      </c>
      <c r="BF272" s="1126">
        <v>16.0</v>
      </c>
      <c r="BG272" s="1138">
        <v>16.0</v>
      </c>
      <c r="BH272" s="1126">
        <v>3.0</v>
      </c>
      <c r="BI272" s="1138">
        <v>3.0</v>
      </c>
      <c r="BJ272" s="1126">
        <v>6.0</v>
      </c>
      <c r="BK272" s="1138">
        <v>6.0</v>
      </c>
      <c r="BL272" s="1134"/>
      <c r="BM272" s="1138"/>
      <c r="BN272" s="1087"/>
      <c r="BO272" s="1138"/>
      <c r="BP272" s="80">
        <f t="shared" si="190"/>
        <v>243</v>
      </c>
      <c r="BQ272" s="2137">
        <f t="shared" si="191"/>
        <v>242</v>
      </c>
      <c r="BR272" s="1572">
        <f t="shared" si="192"/>
        <v>37510</v>
      </c>
      <c r="BS272" s="2134">
        <f t="shared" si="193"/>
        <v>37665</v>
      </c>
      <c r="BT272" s="1807"/>
      <c r="BU272" s="1807"/>
    </row>
    <row r="273" ht="18.0" customHeight="1">
      <c r="A273" s="1565" t="s">
        <v>145</v>
      </c>
      <c r="B273" s="1700">
        <v>3330.0</v>
      </c>
      <c r="C273" s="1700">
        <v>172.0</v>
      </c>
      <c r="D273" s="2161" t="s">
        <v>79</v>
      </c>
      <c r="E273" s="733" t="str">
        <f>'Матрица 4 недели'!S88</f>
        <v>Сэндвич с курицей и соусом Барбекю</v>
      </c>
      <c r="F273" s="1126">
        <v>15.0</v>
      </c>
      <c r="G273" s="1138">
        <v>15.0</v>
      </c>
      <c r="H273" s="1120">
        <v>2.0</v>
      </c>
      <c r="I273" s="1138">
        <v>2.0</v>
      </c>
      <c r="J273" s="1120">
        <v>4.0</v>
      </c>
      <c r="K273" s="1138">
        <v>4.0</v>
      </c>
      <c r="L273" s="1137">
        <v>3.0</v>
      </c>
      <c r="M273" s="1138">
        <v>3.0</v>
      </c>
      <c r="N273" s="1120">
        <v>5.0</v>
      </c>
      <c r="O273" s="1138">
        <v>5.0</v>
      </c>
      <c r="P273" s="1120">
        <v>6.0</v>
      </c>
      <c r="Q273" s="1138">
        <v>6.0</v>
      </c>
      <c r="R273" s="1120">
        <v>4.0</v>
      </c>
      <c r="S273" s="1138">
        <v>4.0</v>
      </c>
      <c r="T273" s="1120">
        <v>1.0</v>
      </c>
      <c r="U273" s="1138">
        <v>1.0</v>
      </c>
      <c r="V273" s="1120">
        <v>2.0</v>
      </c>
      <c r="W273" s="1138">
        <v>2.0</v>
      </c>
      <c r="X273" s="1120">
        <v>6.0</v>
      </c>
      <c r="Y273" s="1138">
        <v>6.0</v>
      </c>
      <c r="Z273" s="1769"/>
      <c r="AA273" s="1138"/>
      <c r="AB273" s="1120">
        <v>2.0</v>
      </c>
      <c r="AC273" s="1138">
        <v>2.0</v>
      </c>
      <c r="AD273" s="1120">
        <v>2.0</v>
      </c>
      <c r="AE273" s="1138">
        <v>2.0</v>
      </c>
      <c r="AF273" s="1120">
        <v>4.0</v>
      </c>
      <c r="AG273" s="1138">
        <v>4.0</v>
      </c>
      <c r="AH273" s="1120">
        <v>2.0</v>
      </c>
      <c r="AI273" s="1138">
        <v>2.0</v>
      </c>
      <c r="AJ273" s="1120">
        <v>2.0</v>
      </c>
      <c r="AK273" s="1138">
        <v>2.0</v>
      </c>
      <c r="AL273" s="1126">
        <v>2.0</v>
      </c>
      <c r="AM273" s="1138">
        <v>2.0</v>
      </c>
      <c r="AN273" s="1120">
        <v>1.0</v>
      </c>
      <c r="AO273" s="1138">
        <v>1.0</v>
      </c>
      <c r="AP273" s="1120">
        <v>2.0</v>
      </c>
      <c r="AQ273" s="1138">
        <v>2.0</v>
      </c>
      <c r="AR273" s="1126">
        <v>3.0</v>
      </c>
      <c r="AS273" s="1138">
        <v>3.0</v>
      </c>
      <c r="AT273" s="1126">
        <v>4.0</v>
      </c>
      <c r="AU273" s="1138">
        <v>4.0</v>
      </c>
      <c r="AV273" s="1126">
        <v>3.0</v>
      </c>
      <c r="AW273" s="1138">
        <v>3.0</v>
      </c>
      <c r="AX273" s="1126">
        <v>4.0</v>
      </c>
      <c r="AY273" s="1138">
        <v>4.0</v>
      </c>
      <c r="AZ273" s="1126">
        <v>3.0</v>
      </c>
      <c r="BA273" s="1138">
        <v>3.0</v>
      </c>
      <c r="BB273" s="1126">
        <v>10.0</v>
      </c>
      <c r="BC273" s="1138">
        <v>10.0</v>
      </c>
      <c r="BD273" s="1126">
        <v>1.0</v>
      </c>
      <c r="BE273" s="1138">
        <v>1.0</v>
      </c>
      <c r="BF273" s="1126">
        <v>4.0</v>
      </c>
      <c r="BG273" s="1138">
        <v>3.0</v>
      </c>
      <c r="BH273" s="1126">
        <v>3.0</v>
      </c>
      <c r="BI273" s="1138">
        <v>3.0</v>
      </c>
      <c r="BJ273" s="1126">
        <v>2.0</v>
      </c>
      <c r="BK273" s="1138">
        <v>2.0</v>
      </c>
      <c r="BL273" s="1134"/>
      <c r="BM273" s="1138"/>
      <c r="BN273" s="1087"/>
      <c r="BO273" s="1138"/>
      <c r="BP273" s="80">
        <f t="shared" si="190"/>
        <v>103</v>
      </c>
      <c r="BQ273" s="2137">
        <f t="shared" si="191"/>
        <v>101</v>
      </c>
      <c r="BR273" s="1572">
        <f t="shared" si="192"/>
        <v>17372</v>
      </c>
      <c r="BS273" s="2134">
        <f t="shared" si="193"/>
        <v>17716</v>
      </c>
      <c r="BT273" s="1807"/>
      <c r="BU273" s="1807"/>
    </row>
    <row r="274" ht="18.0" customHeight="1">
      <c r="A274" s="1565" t="s">
        <v>145</v>
      </c>
      <c r="B274" s="1700">
        <v>4327.0</v>
      </c>
      <c r="C274" s="1700">
        <v>98.0</v>
      </c>
      <c r="D274" s="2125" t="s">
        <v>80</v>
      </c>
      <c r="E274" s="733" t="str">
        <f>'Матрица 4 недели'!V87</f>
        <v>Морс вишня/клубника 0,5 л</v>
      </c>
      <c r="F274" s="1126">
        <v>40.0</v>
      </c>
      <c r="G274" s="1138">
        <v>40.0</v>
      </c>
      <c r="H274" s="1126">
        <v>0.0</v>
      </c>
      <c r="I274" s="1138">
        <v>0.0</v>
      </c>
      <c r="J274" s="1126"/>
      <c r="K274" s="1138"/>
      <c r="L274" s="1126">
        <v>5.0</v>
      </c>
      <c r="M274" s="1138">
        <v>5.0</v>
      </c>
      <c r="N274" s="1126">
        <v>0.0</v>
      </c>
      <c r="O274" s="1138">
        <v>0.0</v>
      </c>
      <c r="P274" s="1126">
        <v>22.0</v>
      </c>
      <c r="Q274" s="1138">
        <v>27.0</v>
      </c>
      <c r="R274" s="1120">
        <v>0.0</v>
      </c>
      <c r="S274" s="1138">
        <v>0.0</v>
      </c>
      <c r="T274" s="1137">
        <v>0.0</v>
      </c>
      <c r="U274" s="1138">
        <v>0.0</v>
      </c>
      <c r="V274" s="1137">
        <v>0.0</v>
      </c>
      <c r="W274" s="1138">
        <v>0.0</v>
      </c>
      <c r="X274" s="1137">
        <v>0.0</v>
      </c>
      <c r="Y274" s="1138">
        <v>0.0</v>
      </c>
      <c r="Z274" s="1769"/>
      <c r="AA274" s="1138"/>
      <c r="AB274" s="1120">
        <v>0.0</v>
      </c>
      <c r="AC274" s="1138">
        <v>0.0</v>
      </c>
      <c r="AD274" s="1137">
        <v>0.0</v>
      </c>
      <c r="AE274" s="1138">
        <v>0.0</v>
      </c>
      <c r="AF274" s="1137">
        <v>5.0</v>
      </c>
      <c r="AG274" s="1138">
        <v>5.0</v>
      </c>
      <c r="AH274" s="1120">
        <v>0.0</v>
      </c>
      <c r="AI274" s="1138">
        <v>0.0</v>
      </c>
      <c r="AJ274" s="1120">
        <v>0.0</v>
      </c>
      <c r="AK274" s="1138">
        <v>0.0</v>
      </c>
      <c r="AL274" s="1137">
        <v>0.0</v>
      </c>
      <c r="AM274" s="1138">
        <v>0.0</v>
      </c>
      <c r="AN274" s="1137">
        <v>0.0</v>
      </c>
      <c r="AO274" s="1138">
        <v>0.0</v>
      </c>
      <c r="AP274" s="1137">
        <v>0.0</v>
      </c>
      <c r="AQ274" s="1138">
        <v>0.0</v>
      </c>
      <c r="AR274" s="1137">
        <v>40.0</v>
      </c>
      <c r="AS274" s="1138">
        <v>40.0</v>
      </c>
      <c r="AT274" s="1126">
        <v>5.0</v>
      </c>
      <c r="AU274" s="1138">
        <v>5.0</v>
      </c>
      <c r="AV274" s="1126">
        <v>15.0</v>
      </c>
      <c r="AW274" s="1138">
        <v>10.0</v>
      </c>
      <c r="AX274" s="1126">
        <v>6.0</v>
      </c>
      <c r="AY274" s="1138">
        <v>6.0</v>
      </c>
      <c r="AZ274" s="1126">
        <v>0.0</v>
      </c>
      <c r="BA274" s="1138">
        <v>0.0</v>
      </c>
      <c r="BB274" s="1126">
        <v>25.0</v>
      </c>
      <c r="BC274" s="1138">
        <v>30.0</v>
      </c>
      <c r="BD274" s="1126">
        <v>3.0</v>
      </c>
      <c r="BE274" s="1138">
        <v>3.0</v>
      </c>
      <c r="BF274" s="1126">
        <v>35.0</v>
      </c>
      <c r="BG274" s="1138">
        <v>37.0</v>
      </c>
      <c r="BH274" s="1126">
        <v>3.0</v>
      </c>
      <c r="BI274" s="1138">
        <v>6.0</v>
      </c>
      <c r="BJ274" s="1126">
        <v>7.0</v>
      </c>
      <c r="BK274" s="1138">
        <v>7.0</v>
      </c>
      <c r="BL274" s="1134"/>
      <c r="BM274" s="1296"/>
      <c r="BN274" s="1286"/>
      <c r="BO274" s="1296"/>
      <c r="BP274" s="80">
        <f t="shared" si="190"/>
        <v>212</v>
      </c>
      <c r="BQ274" s="2133">
        <f t="shared" si="191"/>
        <v>221</v>
      </c>
      <c r="BR274" s="1572">
        <f t="shared" si="192"/>
        <v>21658</v>
      </c>
      <c r="BS274" s="2134">
        <f t="shared" si="193"/>
        <v>20776</v>
      </c>
      <c r="BT274" s="1807"/>
      <c r="BU274" s="1807"/>
    </row>
    <row r="275" ht="18.0" customHeight="1">
      <c r="A275" s="1708"/>
      <c r="B275" s="1700">
        <v>4197.0</v>
      </c>
      <c r="C275" s="1693">
        <v>208.0</v>
      </c>
      <c r="D275" s="1603" t="s">
        <v>80</v>
      </c>
      <c r="E275" s="1900" t="str">
        <f>'Матрица 4 недели'!V88</f>
        <v>Хот-дог датский </v>
      </c>
      <c r="F275" s="1126"/>
      <c r="G275" s="1138"/>
      <c r="H275" s="1126"/>
      <c r="I275" s="1138"/>
      <c r="J275" s="1126"/>
      <c r="K275" s="1138"/>
      <c r="L275" s="1126"/>
      <c r="M275" s="1138"/>
      <c r="N275" s="1126"/>
      <c r="O275" s="1138"/>
      <c r="P275" s="1126"/>
      <c r="Q275" s="1138"/>
      <c r="R275" s="1120"/>
      <c r="S275" s="1138"/>
      <c r="T275" s="1137"/>
      <c r="U275" s="1138"/>
      <c r="V275" s="1137"/>
      <c r="W275" s="1138"/>
      <c r="X275" s="1137"/>
      <c r="Y275" s="1138"/>
      <c r="Z275" s="1769"/>
      <c r="AA275" s="1138"/>
      <c r="AB275" s="1120"/>
      <c r="AC275" s="1138"/>
      <c r="AD275" s="1137"/>
      <c r="AE275" s="1138"/>
      <c r="AF275" s="1137"/>
      <c r="AG275" s="1138"/>
      <c r="AH275" s="1120"/>
      <c r="AI275" s="1138"/>
      <c r="AJ275" s="1120"/>
      <c r="AK275" s="1138"/>
      <c r="AL275" s="1137"/>
      <c r="AM275" s="1138"/>
      <c r="AN275" s="1137"/>
      <c r="AO275" s="1138"/>
      <c r="AP275" s="1137"/>
      <c r="AQ275" s="1138"/>
      <c r="AR275" s="1137"/>
      <c r="AS275" s="1138"/>
      <c r="AT275" s="1126"/>
      <c r="AU275" s="1138"/>
      <c r="AV275" s="1126"/>
      <c r="AW275" s="1138"/>
      <c r="AX275" s="1126"/>
      <c r="AY275" s="1138"/>
      <c r="AZ275" s="1126"/>
      <c r="BA275" s="1138"/>
      <c r="BB275" s="1126"/>
      <c r="BC275" s="1138"/>
      <c r="BD275" s="1126"/>
      <c r="BE275" s="1138"/>
      <c r="BF275" s="1126"/>
      <c r="BG275" s="1138"/>
      <c r="BH275" s="1126"/>
      <c r="BI275" s="1138"/>
      <c r="BJ275" s="1126"/>
      <c r="BK275" s="1138"/>
      <c r="BL275" s="1139"/>
      <c r="BM275" s="1138"/>
      <c r="BN275" s="1087"/>
      <c r="BO275" s="1138"/>
      <c r="BP275" s="80">
        <f t="shared" si="190"/>
        <v>1</v>
      </c>
      <c r="BQ275" s="2137">
        <f t="shared" si="191"/>
        <v>0</v>
      </c>
      <c r="BR275" s="1572">
        <f t="shared" si="192"/>
        <v>0</v>
      </c>
      <c r="BS275" s="2134">
        <f t="shared" si="193"/>
        <v>208</v>
      </c>
      <c r="BT275" s="1807"/>
      <c r="BU275" s="1807"/>
    </row>
    <row r="276" ht="18.0" customHeight="1">
      <c r="A276" s="1565" t="s">
        <v>145</v>
      </c>
      <c r="B276" s="1700">
        <v>822.0</v>
      </c>
      <c r="C276" s="1971">
        <v>5.0</v>
      </c>
      <c r="D276" s="2125" t="s">
        <v>74</v>
      </c>
      <c r="E276" s="733" t="str">
        <f>'Матрица 4 недели'!J52</f>
        <v>Хлеб пшеничный</v>
      </c>
      <c r="F276" s="1126">
        <v>45.0</v>
      </c>
      <c r="G276" s="1138">
        <v>45.0</v>
      </c>
      <c r="H276" s="1126">
        <v>3.0</v>
      </c>
      <c r="I276" s="1138">
        <v>3.0</v>
      </c>
      <c r="J276" s="1126"/>
      <c r="K276" s="1138"/>
      <c r="L276" s="1126">
        <v>8.0</v>
      </c>
      <c r="M276" s="1138">
        <v>8.0</v>
      </c>
      <c r="N276" s="1126">
        <v>5.0</v>
      </c>
      <c r="O276" s="1138">
        <v>5.0</v>
      </c>
      <c r="P276" s="1126">
        <v>7.0</v>
      </c>
      <c r="Q276" s="1138">
        <v>7.0</v>
      </c>
      <c r="R276" s="1120">
        <v>6.0</v>
      </c>
      <c r="S276" s="1138">
        <v>6.0</v>
      </c>
      <c r="T276" s="1137">
        <v>3.0</v>
      </c>
      <c r="U276" s="1138">
        <v>3.0</v>
      </c>
      <c r="V276" s="1137">
        <v>4.0</v>
      </c>
      <c r="W276" s="1138">
        <v>4.0</v>
      </c>
      <c r="X276" s="1137">
        <v>12.0</v>
      </c>
      <c r="Y276" s="1138">
        <v>12.0</v>
      </c>
      <c r="Z276" s="1769"/>
      <c r="AA276" s="1138"/>
      <c r="AB276" s="1120">
        <v>3.0</v>
      </c>
      <c r="AC276" s="1138">
        <v>3.0</v>
      </c>
      <c r="AD276" s="1137">
        <v>5.0</v>
      </c>
      <c r="AE276" s="1138">
        <v>5.0</v>
      </c>
      <c r="AF276" s="1137">
        <v>7.0</v>
      </c>
      <c r="AG276" s="1138">
        <v>7.0</v>
      </c>
      <c r="AH276" s="1120"/>
      <c r="AI276" s="1138"/>
      <c r="AJ276" s="1120"/>
      <c r="AK276" s="1138"/>
      <c r="AL276" s="1137">
        <v>5.0</v>
      </c>
      <c r="AM276" s="1138">
        <v>5.0</v>
      </c>
      <c r="AN276" s="1137">
        <v>3.0</v>
      </c>
      <c r="AO276" s="1138">
        <v>3.0</v>
      </c>
      <c r="AP276" s="1137">
        <v>3.0</v>
      </c>
      <c r="AQ276" s="1138">
        <v>3.0</v>
      </c>
      <c r="AR276" s="1137"/>
      <c r="AS276" s="1138"/>
      <c r="AT276" s="1126">
        <v>3.0</v>
      </c>
      <c r="AU276" s="1138">
        <v>3.0</v>
      </c>
      <c r="AV276" s="1126">
        <v>6.0</v>
      </c>
      <c r="AW276" s="1138">
        <v>6.0</v>
      </c>
      <c r="AX276" s="1126">
        <v>3.0</v>
      </c>
      <c r="AY276" s="1138">
        <v>3.0</v>
      </c>
      <c r="AZ276" s="1126">
        <v>20.0</v>
      </c>
      <c r="BA276" s="1138">
        <v>20.0</v>
      </c>
      <c r="BB276" s="1126">
        <v>5.0</v>
      </c>
      <c r="BC276" s="1138">
        <v>5.0</v>
      </c>
      <c r="BD276" s="1126"/>
      <c r="BE276" s="1138"/>
      <c r="BF276" s="1126">
        <v>8.0</v>
      </c>
      <c r="BG276" s="1138">
        <v>8.0</v>
      </c>
      <c r="BH276" s="1126">
        <v>4.0</v>
      </c>
      <c r="BI276" s="1138">
        <v>4.0</v>
      </c>
      <c r="BJ276" s="1126">
        <v>6.0</v>
      </c>
      <c r="BK276" s="1138">
        <v>6.0</v>
      </c>
      <c r="BL276" s="1139">
        <v>127.0</v>
      </c>
      <c r="BM276" s="1138">
        <v>127.0</v>
      </c>
      <c r="BN276" s="1087">
        <v>10.0</v>
      </c>
      <c r="BO276" s="1138">
        <v>10.0</v>
      </c>
      <c r="BP276" s="80">
        <f t="shared" si="190"/>
        <v>302</v>
      </c>
      <c r="BQ276" s="2137">
        <f t="shared" si="191"/>
        <v>301</v>
      </c>
      <c r="BR276" s="1572">
        <f t="shared" si="192"/>
        <v>1505</v>
      </c>
      <c r="BS276" s="2134">
        <f t="shared" si="193"/>
        <v>1510</v>
      </c>
      <c r="BT276" s="1807"/>
      <c r="BU276" s="1807"/>
    </row>
    <row r="277" ht="18.0" customHeight="1">
      <c r="A277" s="1708"/>
      <c r="B277" s="1700"/>
      <c r="C277" s="1693"/>
      <c r="D277" s="1603"/>
      <c r="E277" s="1014" t="str">
        <f>'Матрица 4 недели'!V89</f>
        <v/>
      </c>
      <c r="F277" s="1126"/>
      <c r="G277" s="1121"/>
      <c r="H277" s="1120"/>
      <c r="I277" s="1121"/>
      <c r="J277" s="1120"/>
      <c r="K277" s="1138"/>
      <c r="L277" s="1120"/>
      <c r="M277" s="1138"/>
      <c r="N277" s="1120"/>
      <c r="O277" s="1138"/>
      <c r="P277" s="1120"/>
      <c r="Q277" s="1138"/>
      <c r="R277" s="1120"/>
      <c r="S277" s="1138"/>
      <c r="T277" s="1120"/>
      <c r="U277" s="1138"/>
      <c r="V277" s="1120"/>
      <c r="W277" s="1138"/>
      <c r="X277" s="1120"/>
      <c r="Y277" s="1138"/>
      <c r="Z277" s="1328"/>
      <c r="AA277" s="1138"/>
      <c r="AB277" s="1120"/>
      <c r="AC277" s="1138"/>
      <c r="AD277" s="1328"/>
      <c r="AE277" s="1138"/>
      <c r="AF277" s="1120"/>
      <c r="AG277" s="1138"/>
      <c r="AH277" s="1120"/>
      <c r="AI277" s="1138"/>
      <c r="AJ277" s="1120"/>
      <c r="AK277" s="1138"/>
      <c r="AL277" s="1126"/>
      <c r="AM277" s="1138"/>
      <c r="AN277" s="1120"/>
      <c r="AO277" s="1138"/>
      <c r="AP277" s="1120"/>
      <c r="AQ277" s="1138"/>
      <c r="AR277" s="1126"/>
      <c r="AS277" s="1138"/>
      <c r="AT277" s="1120"/>
      <c r="AU277" s="1138"/>
      <c r="AV277" s="1126"/>
      <c r="AW277" s="1138"/>
      <c r="AX277" s="1126"/>
      <c r="AY277" s="1138"/>
      <c r="AZ277" s="1126"/>
      <c r="BA277" s="1138"/>
      <c r="BB277" s="1126"/>
      <c r="BC277" s="1138"/>
      <c r="BD277" s="1126"/>
      <c r="BE277" s="1138"/>
      <c r="BF277" s="1126"/>
      <c r="BG277" s="1138"/>
      <c r="BH277" s="1126"/>
      <c r="BI277" s="1138"/>
      <c r="BJ277" s="1126"/>
      <c r="BK277" s="1138"/>
      <c r="BL277" s="1134"/>
      <c r="BM277" s="1138"/>
      <c r="BN277" s="1087"/>
      <c r="BO277" s="1138"/>
      <c r="BP277" s="80">
        <f t="shared" si="190"/>
        <v>1</v>
      </c>
      <c r="BQ277" s="2137">
        <f t="shared" si="191"/>
        <v>0</v>
      </c>
      <c r="BR277" s="1572">
        <f t="shared" si="192"/>
        <v>0</v>
      </c>
      <c r="BS277" s="2134">
        <f t="shared" si="193"/>
        <v>0</v>
      </c>
      <c r="BT277" s="1807"/>
      <c r="BU277" s="1807"/>
    </row>
    <row r="278" ht="18.0" customHeight="1">
      <c r="A278" s="1565" t="s">
        <v>145</v>
      </c>
      <c r="B278" s="1700">
        <v>4266.0</v>
      </c>
      <c r="C278" s="1693">
        <v>131.0</v>
      </c>
      <c r="D278" s="2125" t="s">
        <v>80</v>
      </c>
      <c r="E278" s="733" t="str">
        <f>'Матрица 4 недели'!V90</f>
        <v>Закуска с селёдкой 170гр </v>
      </c>
      <c r="F278" s="1126">
        <v>10.0</v>
      </c>
      <c r="G278" s="1138">
        <v>10.0</v>
      </c>
      <c r="H278" s="1120">
        <v>1.0</v>
      </c>
      <c r="I278" s="1138">
        <v>1.0</v>
      </c>
      <c r="J278" s="1120">
        <v>1.0</v>
      </c>
      <c r="K278" s="1138">
        <v>1.0</v>
      </c>
      <c r="L278" s="1137"/>
      <c r="M278" s="1138"/>
      <c r="N278" s="1120">
        <v>2.0</v>
      </c>
      <c r="O278" s="1138">
        <v>2.0</v>
      </c>
      <c r="P278" s="1126">
        <v>6.0</v>
      </c>
      <c r="Q278" s="1138">
        <v>6.0</v>
      </c>
      <c r="R278" s="1120">
        <v>0.0</v>
      </c>
      <c r="S278" s="1138">
        <v>0.0</v>
      </c>
      <c r="T278" s="1120">
        <v>2.0</v>
      </c>
      <c r="U278" s="1138">
        <v>2.0</v>
      </c>
      <c r="V278" s="1120">
        <v>2.0</v>
      </c>
      <c r="W278" s="1138">
        <v>2.0</v>
      </c>
      <c r="X278" s="1120">
        <v>2.0</v>
      </c>
      <c r="Y278" s="1138">
        <v>2.0</v>
      </c>
      <c r="Z278" s="1769"/>
      <c r="AA278" s="1138"/>
      <c r="AB278" s="1120">
        <v>0.0</v>
      </c>
      <c r="AC278" s="1138">
        <v>0.0</v>
      </c>
      <c r="AD278" s="1120">
        <v>0.0</v>
      </c>
      <c r="AE278" s="1138">
        <v>0.0</v>
      </c>
      <c r="AF278" s="1120">
        <v>2.0</v>
      </c>
      <c r="AG278" s="1138">
        <v>2.0</v>
      </c>
      <c r="AH278" s="1120">
        <v>0.0</v>
      </c>
      <c r="AI278" s="1138">
        <v>0.0</v>
      </c>
      <c r="AJ278" s="1120">
        <v>0.0</v>
      </c>
      <c r="AK278" s="1138">
        <v>0.0</v>
      </c>
      <c r="AL278" s="1126">
        <v>3.0</v>
      </c>
      <c r="AM278" s="1138">
        <v>3.0</v>
      </c>
      <c r="AN278" s="1120">
        <v>0.0</v>
      </c>
      <c r="AO278" s="1138">
        <v>0.0</v>
      </c>
      <c r="AP278" s="1120">
        <v>1.0</v>
      </c>
      <c r="AQ278" s="1138">
        <v>1.0</v>
      </c>
      <c r="AR278" s="1126">
        <v>7.0</v>
      </c>
      <c r="AS278" s="1138">
        <v>7.0</v>
      </c>
      <c r="AT278" s="1126">
        <v>0.0</v>
      </c>
      <c r="AU278" s="1138">
        <v>0.0</v>
      </c>
      <c r="AV278" s="1126">
        <v>4.0</v>
      </c>
      <c r="AW278" s="1138">
        <v>4.0</v>
      </c>
      <c r="AX278" s="1126">
        <v>2.0</v>
      </c>
      <c r="AY278" s="1138">
        <v>2.0</v>
      </c>
      <c r="AZ278" s="1126">
        <v>2.0</v>
      </c>
      <c r="BA278" s="1138">
        <v>2.0</v>
      </c>
      <c r="BB278" s="1126">
        <v>3.0</v>
      </c>
      <c r="BC278" s="1138">
        <v>3.0</v>
      </c>
      <c r="BD278" s="1126">
        <v>2.0</v>
      </c>
      <c r="BE278" s="1138">
        <v>2.0</v>
      </c>
      <c r="BF278" s="1126">
        <v>2.0</v>
      </c>
      <c r="BG278" s="1138">
        <v>2.0</v>
      </c>
      <c r="BH278" s="1126">
        <v>2.0</v>
      </c>
      <c r="BI278" s="1138">
        <v>2.0</v>
      </c>
      <c r="BJ278" s="1126">
        <v>2.0</v>
      </c>
      <c r="BK278" s="1138">
        <v>2.0</v>
      </c>
      <c r="BL278" s="1134"/>
      <c r="BM278" s="1170"/>
      <c r="BN278" s="900"/>
      <c r="BO278" s="1170"/>
      <c r="BP278" s="80">
        <f t="shared" si="190"/>
        <v>59</v>
      </c>
      <c r="BQ278" s="2137">
        <f t="shared" si="191"/>
        <v>58</v>
      </c>
      <c r="BR278" s="1572">
        <f t="shared" si="192"/>
        <v>7598</v>
      </c>
      <c r="BS278" s="2134">
        <f t="shared" si="193"/>
        <v>7729</v>
      </c>
      <c r="BT278" s="1807"/>
      <c r="BU278" s="1807"/>
    </row>
    <row r="279" ht="18.0" customHeight="1">
      <c r="A279" s="1708"/>
      <c r="B279" s="1700"/>
      <c r="C279" s="1693"/>
      <c r="D279" s="1603"/>
      <c r="E279" s="1900"/>
      <c r="F279" s="1141"/>
      <c r="G279" s="1303"/>
      <c r="H279" s="1141"/>
      <c r="I279" s="1303"/>
      <c r="J279" s="1141"/>
      <c r="K279" s="1303"/>
      <c r="L279" s="1141"/>
      <c r="M279" s="1303"/>
      <c r="N279" s="1141"/>
      <c r="O279" s="1303"/>
      <c r="P279" s="1141"/>
      <c r="Q279" s="1303"/>
      <c r="R279" s="1141"/>
      <c r="S279" s="1959"/>
      <c r="T279" s="1141"/>
      <c r="U279" s="1307"/>
      <c r="V279" s="1143"/>
      <c r="W279" s="1307"/>
      <c r="X279" s="1137"/>
      <c r="Y279" s="1138"/>
      <c r="Z279" s="1769"/>
      <c r="AA279" s="1138"/>
      <c r="AB279" s="1120"/>
      <c r="AC279" s="1138"/>
      <c r="AD279" s="1120"/>
      <c r="AE279" s="1138"/>
      <c r="AF279" s="1120"/>
      <c r="AG279" s="1138"/>
      <c r="AH279" s="1120"/>
      <c r="AI279" s="1138"/>
      <c r="AJ279" s="1120"/>
      <c r="AK279" s="1138"/>
      <c r="AL279" s="1120"/>
      <c r="AM279" s="1138"/>
      <c r="AN279" s="1120"/>
      <c r="AO279" s="1138"/>
      <c r="AP279" s="1126"/>
      <c r="AQ279" s="1138"/>
      <c r="AR279" s="1126"/>
      <c r="AS279" s="1138"/>
      <c r="AT279" s="1120"/>
      <c r="AU279" s="1138"/>
      <c r="AV279" s="1126"/>
      <c r="AW279" s="1138"/>
      <c r="AX279" s="1126"/>
      <c r="AY279" s="1138"/>
      <c r="AZ279" s="1126"/>
      <c r="BA279" s="1138"/>
      <c r="BB279" s="1126"/>
      <c r="BC279" s="1138"/>
      <c r="BD279" s="1126"/>
      <c r="BE279" s="1138"/>
      <c r="BF279" s="1126"/>
      <c r="BG279" s="1138"/>
      <c r="BH279" s="1126"/>
      <c r="BI279" s="1138"/>
      <c r="BJ279" s="1126"/>
      <c r="BK279" s="1138"/>
      <c r="BL279" s="1134"/>
      <c r="BM279" s="1170"/>
      <c r="BN279" s="1087"/>
      <c r="BO279" s="1170"/>
      <c r="BP279" s="80">
        <f t="shared" si="190"/>
        <v>1</v>
      </c>
      <c r="BQ279" s="2137">
        <f t="shared" si="191"/>
        <v>0</v>
      </c>
      <c r="BR279" s="1572">
        <f t="shared" si="192"/>
        <v>0</v>
      </c>
      <c r="BS279" s="2134">
        <f t="shared" si="193"/>
        <v>0</v>
      </c>
      <c r="BT279" s="1807"/>
      <c r="BU279" s="1807"/>
    </row>
    <row r="280" ht="18.0" customHeight="1">
      <c r="A280" s="1708"/>
      <c r="B280" s="1700"/>
      <c r="C280" s="1693"/>
      <c r="D280" s="1603"/>
      <c r="E280" s="1900"/>
      <c r="F280" s="1126"/>
      <c r="G280" s="1121"/>
      <c r="H280" s="1120"/>
      <c r="I280" s="1121"/>
      <c r="J280" s="1120"/>
      <c r="K280" s="1138"/>
      <c r="L280" s="1120"/>
      <c r="M280" s="1138"/>
      <c r="N280" s="1120"/>
      <c r="O280" s="1138"/>
      <c r="P280" s="1120"/>
      <c r="Q280" s="1138"/>
      <c r="R280" s="1120"/>
      <c r="S280" s="1138"/>
      <c r="T280" s="1120"/>
      <c r="U280" s="1138"/>
      <c r="V280" s="1120"/>
      <c r="W280" s="1138"/>
      <c r="X280" s="1120"/>
      <c r="Y280" s="1138"/>
      <c r="Z280" s="2165"/>
      <c r="AA280" s="1138"/>
      <c r="AB280" s="1120"/>
      <c r="AC280" s="1138"/>
      <c r="AD280" s="2165"/>
      <c r="AE280" s="1138"/>
      <c r="AF280" s="1120"/>
      <c r="AG280" s="1138"/>
      <c r="AH280" s="1120"/>
      <c r="AI280" s="1138"/>
      <c r="AJ280" s="1120"/>
      <c r="AK280" s="1138"/>
      <c r="AL280" s="1126"/>
      <c r="AM280" s="1138"/>
      <c r="AN280" s="1120"/>
      <c r="AO280" s="1138"/>
      <c r="AP280" s="1120"/>
      <c r="AQ280" s="1138"/>
      <c r="AR280" s="1126"/>
      <c r="AS280" s="1138"/>
      <c r="AT280" s="1120"/>
      <c r="AU280" s="1138"/>
      <c r="AV280" s="1126"/>
      <c r="AW280" s="1138"/>
      <c r="AX280" s="1126"/>
      <c r="AY280" s="1138"/>
      <c r="AZ280" s="1126"/>
      <c r="BA280" s="1138"/>
      <c r="BB280" s="1126"/>
      <c r="BC280" s="1138"/>
      <c r="BD280" s="1126"/>
      <c r="BE280" s="1138"/>
      <c r="BF280" s="1126"/>
      <c r="BG280" s="1138"/>
      <c r="BH280" s="1126"/>
      <c r="BI280" s="1138"/>
      <c r="BJ280" s="1126"/>
      <c r="BK280" s="1138"/>
      <c r="BL280" s="1134"/>
      <c r="BM280" s="1170"/>
      <c r="BN280" s="1087"/>
      <c r="BO280" s="1170"/>
      <c r="BP280" s="80">
        <f t="shared" si="190"/>
        <v>1</v>
      </c>
      <c r="BQ280" s="2137">
        <f t="shared" si="191"/>
        <v>0</v>
      </c>
      <c r="BR280" s="1572">
        <f t="shared" si="192"/>
        <v>0</v>
      </c>
      <c r="BS280" s="2134">
        <f t="shared" si="193"/>
        <v>0</v>
      </c>
      <c r="BT280" s="1610" t="s">
        <v>3104</v>
      </c>
      <c r="BU280" s="1807"/>
    </row>
    <row r="281" ht="15.75" customHeight="1">
      <c r="A281" s="1668"/>
      <c r="B281" s="1668"/>
      <c r="C281" s="1668"/>
      <c r="D281" s="1669"/>
      <c r="E281" s="2167"/>
      <c r="F281" s="907"/>
      <c r="G281" s="907"/>
      <c r="H281" s="907"/>
      <c r="I281" s="907"/>
      <c r="J281" s="907"/>
      <c r="K281" s="907"/>
      <c r="L281" s="2169"/>
      <c r="M281" s="907"/>
      <c r="N281" s="907"/>
      <c r="O281" s="907"/>
      <c r="P281" s="907"/>
      <c r="Q281" s="907"/>
      <c r="R281" s="907"/>
      <c r="S281" s="907"/>
      <c r="T281" s="907"/>
      <c r="U281" s="907"/>
      <c r="V281" s="907"/>
      <c r="W281" s="907"/>
      <c r="X281" s="907"/>
      <c r="Y281" s="907"/>
      <c r="Z281" s="907"/>
      <c r="AA281" s="907"/>
      <c r="AB281" s="907"/>
      <c r="AC281" s="907"/>
      <c r="AD281" s="907"/>
      <c r="AE281" s="907"/>
      <c r="AF281" s="907"/>
      <c r="AG281" s="907"/>
      <c r="AH281" s="907"/>
      <c r="AI281" s="907"/>
      <c r="AJ281" s="907"/>
      <c r="AK281" s="907"/>
      <c r="AL281" s="907"/>
      <c r="AM281" s="907"/>
      <c r="AN281" s="2169"/>
      <c r="AO281" s="2169"/>
      <c r="AP281" s="2169"/>
      <c r="AQ281" s="2169"/>
      <c r="AR281" s="2169"/>
      <c r="AS281" s="907"/>
      <c r="AT281" s="907"/>
      <c r="AU281" s="907"/>
      <c r="AV281" s="907"/>
      <c r="AW281" s="907"/>
      <c r="AX281" s="907"/>
      <c r="AY281" s="907"/>
      <c r="AZ281" s="1318"/>
      <c r="BA281" s="907"/>
      <c r="BB281" s="2169"/>
      <c r="BC281" s="907"/>
      <c r="BD281" s="2169"/>
      <c r="BE281" s="907"/>
      <c r="BF281" s="2169"/>
      <c r="BG281" s="907"/>
      <c r="BH281" s="2169"/>
      <c r="BI281" s="907"/>
      <c r="BJ281" s="2169"/>
      <c r="BK281" s="907"/>
      <c r="BL281" s="2171" t="s">
        <v>1365</v>
      </c>
      <c r="BM281" s="69"/>
      <c r="BN281" s="1172"/>
      <c r="BO281" s="1172"/>
      <c r="BP281" s="2172">
        <f t="shared" ref="BP281:BS281" si="194">SUM(BP255:BP280)</f>
        <v>2549</v>
      </c>
      <c r="BQ281" s="2173">
        <f t="shared" si="194"/>
        <v>2541</v>
      </c>
      <c r="BR281" s="2174">
        <f t="shared" si="194"/>
        <v>334631</v>
      </c>
      <c r="BS281" s="2174">
        <f t="shared" si="194"/>
        <v>335819</v>
      </c>
      <c r="BT281" s="1678">
        <f>BR281-BS281</f>
        <v>-1188</v>
      </c>
      <c r="BU281" s="1807"/>
    </row>
    <row r="282" ht="15.75" customHeight="1">
      <c r="A282" s="1668"/>
      <c r="B282" s="1668"/>
      <c r="C282" s="1668"/>
      <c r="D282" s="1669"/>
      <c r="E282" s="1671"/>
      <c r="F282" s="1672"/>
      <c r="G282" s="1672"/>
      <c r="H282" s="1681"/>
      <c r="I282" s="1681"/>
      <c r="J282" s="1672"/>
      <c r="K282" s="1672"/>
      <c r="L282" s="1672"/>
      <c r="M282" s="1672"/>
      <c r="N282" s="1672"/>
      <c r="O282" s="1672"/>
      <c r="P282" s="1681"/>
      <c r="Q282" s="1672"/>
      <c r="R282" s="1672"/>
      <c r="S282" s="1672"/>
      <c r="T282" s="1672"/>
      <c r="U282" s="1672"/>
      <c r="V282" s="1672"/>
      <c r="W282" s="1681"/>
      <c r="X282" s="1672"/>
      <c r="Y282" s="1672"/>
      <c r="Z282" s="1672"/>
      <c r="AA282" s="1672"/>
      <c r="AB282" s="1672"/>
      <c r="AC282" s="1672"/>
      <c r="AD282" s="1672"/>
      <c r="AE282" s="1672"/>
      <c r="AF282" s="1672"/>
      <c r="AG282" s="1672"/>
      <c r="AH282" s="907"/>
      <c r="AI282" s="907"/>
      <c r="AJ282" s="907"/>
      <c r="AK282" s="907"/>
      <c r="AL282" s="907"/>
      <c r="AM282" s="907"/>
      <c r="AN282" s="2169"/>
      <c r="AO282" s="2169"/>
      <c r="AP282" s="2169"/>
      <c r="AQ282" s="2169"/>
      <c r="AR282" s="2169"/>
      <c r="AS282" s="907"/>
      <c r="AT282" s="907"/>
      <c r="AU282" s="907"/>
      <c r="AV282" s="907"/>
      <c r="AW282" s="907"/>
      <c r="AX282" s="907"/>
      <c r="AY282" s="907"/>
      <c r="AZ282" s="1318"/>
      <c r="BA282" s="907"/>
      <c r="BB282" s="2169"/>
      <c r="BC282" s="907"/>
      <c r="BD282" s="2169"/>
      <c r="BE282" s="907"/>
      <c r="BF282" s="2169"/>
      <c r="BG282" s="907"/>
      <c r="BH282" s="2169"/>
      <c r="BI282" s="907"/>
      <c r="BJ282" s="2169"/>
      <c r="BK282" s="907"/>
      <c r="BL282" s="678"/>
      <c r="BM282" s="678"/>
      <c r="BN282" s="907"/>
      <c r="BO282" s="907"/>
      <c r="BP282" s="1684"/>
      <c r="BQ282" s="629"/>
      <c r="BR282" s="541"/>
      <c r="BS282" s="684"/>
      <c r="BT282" s="541"/>
      <c r="BU282" s="541"/>
    </row>
    <row r="283" ht="15.75" customHeight="1">
      <c r="A283" s="1668"/>
      <c r="B283" s="1668"/>
      <c r="C283" s="1668"/>
      <c r="D283" s="1669"/>
      <c r="E283" s="1671"/>
      <c r="F283" s="678"/>
      <c r="G283" s="678"/>
      <c r="H283" s="678"/>
      <c r="I283" s="678"/>
      <c r="J283" s="678"/>
      <c r="K283" s="678"/>
      <c r="L283" s="1798"/>
      <c r="M283" s="678"/>
      <c r="N283" s="678"/>
      <c r="O283" s="678"/>
      <c r="P283" s="678"/>
      <c r="Q283" s="678"/>
      <c r="R283" s="678"/>
      <c r="S283" s="678"/>
      <c r="T283" s="678"/>
      <c r="U283" s="678"/>
      <c r="V283" s="678"/>
      <c r="W283" s="678"/>
      <c r="X283" s="678"/>
      <c r="Y283" s="678"/>
      <c r="Z283" s="678"/>
      <c r="AA283" s="678"/>
      <c r="AB283" s="678"/>
      <c r="AC283" s="678"/>
      <c r="AD283" s="678"/>
      <c r="AE283" s="678"/>
      <c r="AF283" s="678"/>
      <c r="AG283" s="678"/>
      <c r="AH283" s="678"/>
      <c r="AI283" s="678"/>
      <c r="AJ283" s="678"/>
      <c r="AK283" s="678"/>
      <c r="AL283" s="678"/>
      <c r="AM283" s="678"/>
      <c r="AN283" s="1798"/>
      <c r="AO283" s="1798"/>
      <c r="AP283" s="1798"/>
      <c r="AQ283" s="1798"/>
      <c r="AR283" s="1798"/>
      <c r="AS283" s="678"/>
      <c r="AT283" s="678"/>
      <c r="AU283" s="678"/>
      <c r="AV283" s="678"/>
      <c r="AW283" s="678"/>
      <c r="AX283" s="907"/>
      <c r="AY283" s="678"/>
      <c r="AZ283" s="753"/>
      <c r="BA283" s="678"/>
      <c r="BB283" s="2169"/>
      <c r="BC283" s="678"/>
      <c r="BD283" s="2169"/>
      <c r="BE283" s="678"/>
      <c r="BF283" s="2169"/>
      <c r="BG283" s="678"/>
      <c r="BH283" s="2169"/>
      <c r="BI283" s="678"/>
      <c r="BJ283" s="2169"/>
      <c r="BK283" s="678"/>
      <c r="BL283" s="678"/>
      <c r="BM283" s="678"/>
      <c r="BN283" s="907"/>
      <c r="BO283" s="907"/>
      <c r="BP283" s="1684"/>
      <c r="BQ283" s="629"/>
      <c r="BR283" s="541"/>
      <c r="BS283" s="684"/>
      <c r="BT283" s="541"/>
      <c r="BU283" s="541"/>
    </row>
    <row r="284" ht="25.5" customHeight="1">
      <c r="A284" s="1715" t="s">
        <v>3067</v>
      </c>
      <c r="B284" s="1548"/>
      <c r="C284" s="1716">
        <v>46240.0</v>
      </c>
      <c r="D284" s="1548"/>
      <c r="E284" s="908" t="s">
        <v>3106</v>
      </c>
      <c r="F284" s="1798"/>
      <c r="G284" s="1798"/>
      <c r="H284" s="1798"/>
      <c r="I284" s="1798"/>
      <c r="J284" s="1798" t="s">
        <v>1356</v>
      </c>
      <c r="K284" s="1798"/>
      <c r="L284" s="1798"/>
      <c r="M284" s="1798"/>
      <c r="N284" s="1798"/>
      <c r="O284" s="1798"/>
      <c r="P284" s="1798"/>
      <c r="Q284" s="1798"/>
      <c r="R284" s="1798"/>
      <c r="S284" s="1798"/>
      <c r="T284" s="1798"/>
      <c r="U284" s="1798"/>
      <c r="V284" s="1798"/>
      <c r="W284" s="1798"/>
      <c r="X284" s="1798"/>
      <c r="Y284" s="1798"/>
      <c r="Z284" s="1798"/>
      <c r="AA284" s="1798"/>
      <c r="AB284" s="1798"/>
      <c r="AC284" s="1798"/>
      <c r="AD284" s="1798"/>
      <c r="AE284" s="1798"/>
      <c r="AF284" s="1798"/>
      <c r="AG284" s="1798"/>
      <c r="AH284" s="1798"/>
      <c r="AI284" s="1798"/>
      <c r="AJ284" s="1798"/>
      <c r="AK284" s="1798"/>
      <c r="AL284" s="1798"/>
      <c r="AM284" s="1798"/>
      <c r="AN284" s="1798"/>
      <c r="AO284" s="1798"/>
      <c r="AP284" s="1798"/>
      <c r="AQ284" s="1798"/>
      <c r="AR284" s="1798"/>
      <c r="AS284" s="1798"/>
      <c r="AT284" s="1798"/>
      <c r="AU284" s="1798"/>
      <c r="AV284" s="1798"/>
      <c r="AW284" s="1798"/>
      <c r="AX284" s="2169"/>
      <c r="AY284" s="1798"/>
      <c r="AZ284" s="908"/>
      <c r="BA284" s="1798"/>
      <c r="BB284" s="2169"/>
      <c r="BC284" s="1798"/>
      <c r="BD284" s="2169"/>
      <c r="BE284" s="1798"/>
      <c r="BF284" s="2169"/>
      <c r="BG284" s="1798"/>
      <c r="BH284" s="2169"/>
      <c r="BI284" s="1798"/>
      <c r="BJ284" s="2169"/>
      <c r="BK284" s="1798"/>
      <c r="BL284" s="1798"/>
      <c r="BM284" s="1798"/>
      <c r="BN284" s="2169"/>
      <c r="BO284" s="2169"/>
      <c r="BP284" s="2162"/>
      <c r="BQ284" s="1691"/>
      <c r="BR284" s="541"/>
      <c r="BS284" s="684"/>
      <c r="BT284" s="541"/>
      <c r="BU284" s="541"/>
    </row>
    <row r="285" ht="25.5" customHeight="1">
      <c r="A285" s="1734" t="s">
        <v>3069</v>
      </c>
      <c r="B285" s="1603" t="s">
        <v>3097</v>
      </c>
      <c r="C285" s="1603" t="s">
        <v>19</v>
      </c>
      <c r="D285" s="1603" t="s">
        <v>3070</v>
      </c>
      <c r="E285" s="1559" t="s">
        <v>471</v>
      </c>
      <c r="F285" s="1842" t="s">
        <v>1357</v>
      </c>
      <c r="G285" s="69"/>
      <c r="H285" s="1842" t="s">
        <v>1287</v>
      </c>
      <c r="I285" s="69"/>
      <c r="J285" s="1842" t="s">
        <v>1358</v>
      </c>
      <c r="K285" s="69"/>
      <c r="L285" s="1842" t="s">
        <v>1359</v>
      </c>
      <c r="M285" s="69"/>
      <c r="N285" s="1842" t="s">
        <v>1360</v>
      </c>
      <c r="O285" s="69"/>
      <c r="P285" s="1842" t="s">
        <v>1361</v>
      </c>
      <c r="Q285" s="69"/>
      <c r="R285" s="1842" t="s">
        <v>1362</v>
      </c>
      <c r="S285" s="69"/>
      <c r="T285" s="1842" t="s">
        <v>1299</v>
      </c>
      <c r="U285" s="69"/>
      <c r="V285" s="1842" t="s">
        <v>1301</v>
      </c>
      <c r="W285" s="69"/>
      <c r="X285" s="1842" t="s">
        <v>1363</v>
      </c>
      <c r="Y285" s="69"/>
      <c r="Z285" s="1842" t="s">
        <v>1305</v>
      </c>
      <c r="AA285" s="69"/>
      <c r="AB285" s="1842" t="s">
        <v>1307</v>
      </c>
      <c r="AC285" s="69"/>
      <c r="AD285" s="1842" t="s">
        <v>1309</v>
      </c>
      <c r="AE285" s="69"/>
      <c r="AF285" s="1842" t="s">
        <v>1311</v>
      </c>
      <c r="AG285" s="69"/>
      <c r="AH285" s="1842" t="s">
        <v>1313</v>
      </c>
      <c r="AI285" s="69"/>
      <c r="AJ285" s="1842" t="s">
        <v>1315</v>
      </c>
      <c r="AK285" s="69"/>
      <c r="AL285" s="1842" t="s">
        <v>1317</v>
      </c>
      <c r="AM285" s="69"/>
      <c r="AN285" s="1842" t="s">
        <v>1319</v>
      </c>
      <c r="AO285" s="69"/>
      <c r="AP285" s="1842" t="s">
        <v>1321</v>
      </c>
      <c r="AQ285" s="69"/>
      <c r="AR285" s="1842" t="s">
        <v>1323</v>
      </c>
      <c r="AS285" s="69"/>
      <c r="AT285" s="1842" t="s">
        <v>1325</v>
      </c>
      <c r="AU285" s="69"/>
      <c r="AV285" s="1842" t="s">
        <v>1327</v>
      </c>
      <c r="AW285" s="69"/>
      <c r="AX285" s="2034" t="s">
        <v>3076</v>
      </c>
      <c r="AY285" s="69"/>
      <c r="AZ285" s="2034" t="s">
        <v>3078</v>
      </c>
      <c r="BA285" s="69"/>
      <c r="BB285" s="2034" t="s">
        <v>3080</v>
      </c>
      <c r="BC285" s="69"/>
      <c r="BD285" s="2034" t="s">
        <v>3082</v>
      </c>
      <c r="BE285" s="69"/>
      <c r="BF285" s="2034" t="s">
        <v>3084</v>
      </c>
      <c r="BG285" s="69"/>
      <c r="BH285" s="2034" t="s">
        <v>3086</v>
      </c>
      <c r="BI285" s="69"/>
      <c r="BJ285" s="2034" t="s">
        <v>3088</v>
      </c>
      <c r="BK285" s="69"/>
      <c r="BL285" s="1564" t="s">
        <v>297</v>
      </c>
      <c r="BM285" s="69"/>
      <c r="BN285" s="2034" t="s">
        <v>3115</v>
      </c>
      <c r="BO285" s="69"/>
      <c r="BP285" s="2175" t="s">
        <v>5</v>
      </c>
      <c r="BQ285" s="69"/>
      <c r="BR285" s="2176"/>
      <c r="BS285" s="2177" t="s">
        <v>3129</v>
      </c>
      <c r="BT285" s="2176"/>
      <c r="BU285" s="2176"/>
    </row>
    <row r="286" ht="30.75" customHeight="1">
      <c r="A286" s="1718"/>
      <c r="B286" s="2178">
        <v>89.0</v>
      </c>
      <c r="C286" s="1567">
        <v>135.0</v>
      </c>
      <c r="D286" s="1720"/>
      <c r="E286" s="1702" t="str">
        <f t="shared" ref="E286:E311" si="195">E255</f>
        <v>Блин с ветчиной и сыром</v>
      </c>
      <c r="F286" s="2179">
        <f t="shared" ref="F286:F309" si="196">G255</f>
        <v>25</v>
      </c>
      <c r="G286" s="532"/>
      <c r="H286" s="2180">
        <f t="shared" ref="H286:H309" si="197">I255</f>
        <v>3</v>
      </c>
      <c r="I286" s="532"/>
      <c r="J286" s="2179">
        <f t="shared" ref="J286:J309" si="198">K255</f>
        <v>10</v>
      </c>
      <c r="K286" s="532"/>
      <c r="L286" s="2179">
        <f t="shared" ref="L286:L309" si="199">M255</f>
        <v>5</v>
      </c>
      <c r="M286" s="532"/>
      <c r="N286" s="2179">
        <f t="shared" ref="N286:N309" si="200">O255</f>
        <v>14</v>
      </c>
      <c r="O286" s="532"/>
      <c r="P286" s="2179">
        <f t="shared" ref="P286:P309" si="201">Q255</f>
        <v>3</v>
      </c>
      <c r="Q286" s="532"/>
      <c r="R286" s="2180">
        <f t="shared" ref="R286:R309" si="202">S255</f>
        <v>2</v>
      </c>
      <c r="S286" s="532"/>
      <c r="T286" s="2180">
        <f t="shared" ref="T286:T309" si="203">U255</f>
        <v>5</v>
      </c>
      <c r="U286" s="532"/>
      <c r="V286" s="2180">
        <f t="shared" ref="V286:V309" si="204">W255</f>
        <v>2</v>
      </c>
      <c r="W286" s="532"/>
      <c r="X286" s="2180">
        <f t="shared" ref="X286:X309" si="205">Y255</f>
        <v>10</v>
      </c>
      <c r="Y286" s="532"/>
      <c r="Z286" s="2180" t="str">
        <f t="shared" ref="Z286:Z309" si="206">AA255</f>
        <v/>
      </c>
      <c r="AA286" s="532"/>
      <c r="AB286" s="2180">
        <f t="shared" ref="AB286:AB309" si="207">AC255</f>
        <v>2</v>
      </c>
      <c r="AC286" s="532"/>
      <c r="AD286" s="2180">
        <f t="shared" ref="AD286:AD309" si="208">AE255</f>
        <v>0</v>
      </c>
      <c r="AE286" s="532"/>
      <c r="AF286" s="2180">
        <f t="shared" ref="AF286:AF309" si="209">AG255</f>
        <v>5</v>
      </c>
      <c r="AG286" s="532"/>
      <c r="AH286" s="2181">
        <f t="shared" ref="AH286:AH309" si="210">AI255</f>
        <v>2</v>
      </c>
      <c r="AI286" s="69"/>
      <c r="AJ286" s="2181">
        <f t="shared" ref="AJ286:AJ309" si="211">AK255</f>
        <v>3</v>
      </c>
      <c r="AK286" s="69"/>
      <c r="AL286" s="2182">
        <f t="shared" ref="AL286:AL309" si="212">AM255</f>
        <v>6</v>
      </c>
      <c r="AM286" s="532"/>
      <c r="AN286" s="2182">
        <f t="shared" ref="AN286:AN309" si="213">AO255</f>
        <v>2</v>
      </c>
      <c r="AO286" s="532"/>
      <c r="AP286" s="2182">
        <f t="shared" ref="AP286:AP309" si="214">AQ255</f>
        <v>4</v>
      </c>
      <c r="AQ286" s="532"/>
      <c r="AR286" s="2182">
        <f t="shared" ref="AR286:AR309" si="215">AS255</f>
        <v>17</v>
      </c>
      <c r="AS286" s="532"/>
      <c r="AT286" s="2182">
        <f t="shared" ref="AT286:AT309" si="216">AU255</f>
        <v>5</v>
      </c>
      <c r="AU286" s="532"/>
      <c r="AV286" s="2183">
        <f t="shared" ref="AV286:AV309" si="217">AW255</f>
        <v>8</v>
      </c>
      <c r="AW286" s="69"/>
      <c r="AX286" s="2184">
        <f t="shared" ref="AX286:AX309" si="218">AY255</f>
        <v>3</v>
      </c>
      <c r="AY286" s="69"/>
      <c r="AZ286" s="2184">
        <f t="shared" ref="AZ286:AZ309" si="219">BA255</f>
        <v>2</v>
      </c>
      <c r="BA286" s="69"/>
      <c r="BB286" s="2184">
        <f t="shared" ref="BB286:BB309" si="220">BC255</f>
        <v>3</v>
      </c>
      <c r="BC286" s="69"/>
      <c r="BD286" s="2184">
        <f t="shared" ref="BD286:BD309" si="221">BE255</f>
        <v>3</v>
      </c>
      <c r="BE286" s="69"/>
      <c r="BF286" s="2184">
        <f t="shared" ref="BF286:BF309" si="222">BG255</f>
        <v>5</v>
      </c>
      <c r="BG286" s="69"/>
      <c r="BH286" s="2184">
        <f t="shared" ref="BH286:BH309" si="223">BI255</f>
        <v>2</v>
      </c>
      <c r="BI286" s="69"/>
      <c r="BJ286" s="2184">
        <f t="shared" ref="BJ286:BJ309" si="224">BK255</f>
        <v>3</v>
      </c>
      <c r="BK286" s="69"/>
      <c r="BL286" s="2179" t="str">
        <f t="shared" ref="BL286:BL309" si="225">BM255</f>
        <v/>
      </c>
      <c r="BM286" s="532"/>
      <c r="BN286" s="2179" t="str">
        <f t="shared" ref="BN286:BN311" si="226">BO255</f>
        <v/>
      </c>
      <c r="BO286" s="532"/>
      <c r="BP286" s="2185">
        <f t="shared" ref="BP286:BP311" si="227">SUM(F286:BM286)</f>
        <v>154</v>
      </c>
      <c r="BQ286" s="532"/>
      <c r="BR286" s="541"/>
      <c r="BS286" s="2186" t="str">
        <f>BT32+BT94+BT156+BT220+BT281</f>
        <v>#REF!</v>
      </c>
      <c r="BU286" s="541"/>
    </row>
    <row r="287" ht="30.75" customHeight="1">
      <c r="A287" s="1718"/>
      <c r="B287" s="2178">
        <v>385.0</v>
      </c>
      <c r="C287" s="1567">
        <v>83.0</v>
      </c>
      <c r="D287" s="1720"/>
      <c r="E287" s="1569" t="str">
        <f t="shared" si="195"/>
        <v>Омлет воздушный</v>
      </c>
      <c r="F287" s="2187">
        <f t="shared" si="196"/>
        <v>15</v>
      </c>
      <c r="G287" s="532"/>
      <c r="H287" s="2188">
        <f t="shared" si="197"/>
        <v>2</v>
      </c>
      <c r="I287" s="532"/>
      <c r="J287" s="2187">
        <f t="shared" si="198"/>
        <v>4</v>
      </c>
      <c r="K287" s="532"/>
      <c r="L287" s="2187">
        <f t="shared" si="199"/>
        <v>2</v>
      </c>
      <c r="M287" s="532"/>
      <c r="N287" s="2187">
        <f t="shared" si="200"/>
        <v>9</v>
      </c>
      <c r="O287" s="532"/>
      <c r="P287" s="2187">
        <f t="shared" si="201"/>
        <v>2</v>
      </c>
      <c r="Q287" s="532"/>
      <c r="R287" s="2188">
        <f t="shared" si="202"/>
        <v>2</v>
      </c>
      <c r="S287" s="532"/>
      <c r="T287" s="2188">
        <f t="shared" si="203"/>
        <v>4</v>
      </c>
      <c r="U287" s="532"/>
      <c r="V287" s="2188">
        <f t="shared" si="204"/>
        <v>2</v>
      </c>
      <c r="W287" s="532"/>
      <c r="X287" s="2188">
        <f t="shared" si="205"/>
        <v>4</v>
      </c>
      <c r="Y287" s="532"/>
      <c r="Z287" s="2188" t="str">
        <f t="shared" si="206"/>
        <v/>
      </c>
      <c r="AA287" s="532"/>
      <c r="AB287" s="2188">
        <f t="shared" si="207"/>
        <v>4</v>
      </c>
      <c r="AC287" s="532"/>
      <c r="AD287" s="2188">
        <f t="shared" si="208"/>
        <v>3</v>
      </c>
      <c r="AE287" s="532"/>
      <c r="AF287" s="2188">
        <f t="shared" si="209"/>
        <v>7</v>
      </c>
      <c r="AG287" s="532"/>
      <c r="AH287" s="2184">
        <f t="shared" si="210"/>
        <v>3</v>
      </c>
      <c r="AI287" s="69"/>
      <c r="AJ287" s="2184">
        <f t="shared" si="211"/>
        <v>4</v>
      </c>
      <c r="AK287" s="69"/>
      <c r="AL287" s="2188">
        <f t="shared" si="212"/>
        <v>4</v>
      </c>
      <c r="AM287" s="532"/>
      <c r="AN287" s="2188">
        <f t="shared" si="213"/>
        <v>2</v>
      </c>
      <c r="AO287" s="532"/>
      <c r="AP287" s="2188">
        <f t="shared" si="214"/>
        <v>4</v>
      </c>
      <c r="AQ287" s="532"/>
      <c r="AR287" s="2188">
        <f t="shared" si="215"/>
        <v>13</v>
      </c>
      <c r="AS287" s="532"/>
      <c r="AT287" s="2188">
        <f t="shared" si="216"/>
        <v>6</v>
      </c>
      <c r="AU287" s="532"/>
      <c r="AV287" s="2184">
        <f t="shared" si="217"/>
        <v>5</v>
      </c>
      <c r="AW287" s="69"/>
      <c r="AX287" s="2184">
        <f t="shared" si="218"/>
        <v>3</v>
      </c>
      <c r="AY287" s="69"/>
      <c r="AZ287" s="2184">
        <f t="shared" si="219"/>
        <v>2</v>
      </c>
      <c r="BA287" s="69"/>
      <c r="BB287" s="2184">
        <f t="shared" si="220"/>
        <v>3</v>
      </c>
      <c r="BC287" s="69"/>
      <c r="BD287" s="2184">
        <f t="shared" si="221"/>
        <v>2</v>
      </c>
      <c r="BE287" s="69"/>
      <c r="BF287" s="2184">
        <f t="shared" si="222"/>
        <v>7</v>
      </c>
      <c r="BG287" s="69"/>
      <c r="BH287" s="2184">
        <f t="shared" si="223"/>
        <v>2</v>
      </c>
      <c r="BI287" s="69"/>
      <c r="BJ287" s="2184">
        <f t="shared" si="224"/>
        <v>3</v>
      </c>
      <c r="BK287" s="69"/>
      <c r="BL287" s="2189" t="str">
        <f t="shared" si="225"/>
        <v/>
      </c>
      <c r="BM287" s="532"/>
      <c r="BN287" s="2189" t="str">
        <f t="shared" si="226"/>
        <v/>
      </c>
      <c r="BO287" s="532"/>
      <c r="BP287" s="2190">
        <f t="shared" si="227"/>
        <v>123</v>
      </c>
      <c r="BQ287" s="532"/>
      <c r="BR287" s="541"/>
      <c r="BS287" s="684"/>
      <c r="BT287" s="541"/>
      <c r="BU287" s="541"/>
    </row>
    <row r="288" ht="30.75" customHeight="1">
      <c r="A288" s="1718"/>
      <c r="B288" s="2178">
        <v>138.0</v>
      </c>
      <c r="C288" s="1567">
        <v>83.0</v>
      </c>
      <c r="D288" s="1720"/>
      <c r="E288" s="1702" t="str">
        <f t="shared" si="195"/>
        <v>Каша рисовая (на молоке)</v>
      </c>
      <c r="F288" s="2191">
        <f t="shared" si="196"/>
        <v>7</v>
      </c>
      <c r="G288" s="532"/>
      <c r="H288" s="2182">
        <f t="shared" si="197"/>
        <v>3</v>
      </c>
      <c r="I288" s="532"/>
      <c r="J288" s="2191">
        <f t="shared" si="198"/>
        <v>3</v>
      </c>
      <c r="K288" s="532"/>
      <c r="L288" s="2191">
        <f t="shared" si="199"/>
        <v>2</v>
      </c>
      <c r="M288" s="532"/>
      <c r="N288" s="2191">
        <f t="shared" si="200"/>
        <v>6</v>
      </c>
      <c r="O288" s="532"/>
      <c r="P288" s="2191">
        <f t="shared" si="201"/>
        <v>10</v>
      </c>
      <c r="Q288" s="532"/>
      <c r="R288" s="2182">
        <f t="shared" si="202"/>
        <v>2</v>
      </c>
      <c r="S288" s="532"/>
      <c r="T288" s="2182">
        <f t="shared" si="203"/>
        <v>3</v>
      </c>
      <c r="U288" s="532"/>
      <c r="V288" s="2182">
        <f t="shared" si="204"/>
        <v>3</v>
      </c>
      <c r="W288" s="532"/>
      <c r="X288" s="2182">
        <f t="shared" si="205"/>
        <v>2</v>
      </c>
      <c r="Y288" s="532"/>
      <c r="Z288" s="2182" t="str">
        <f t="shared" si="206"/>
        <v/>
      </c>
      <c r="AA288" s="532"/>
      <c r="AB288" s="2182">
        <f t="shared" si="207"/>
        <v>2</v>
      </c>
      <c r="AC288" s="532"/>
      <c r="AD288" s="2182">
        <f t="shared" si="208"/>
        <v>2</v>
      </c>
      <c r="AE288" s="532"/>
      <c r="AF288" s="2182">
        <f t="shared" si="209"/>
        <v>3</v>
      </c>
      <c r="AG288" s="532"/>
      <c r="AH288" s="2183">
        <f t="shared" si="210"/>
        <v>2</v>
      </c>
      <c r="AI288" s="69"/>
      <c r="AJ288" s="2183">
        <f t="shared" si="211"/>
        <v>2</v>
      </c>
      <c r="AK288" s="69"/>
      <c r="AL288" s="2182">
        <f t="shared" si="212"/>
        <v>3</v>
      </c>
      <c r="AM288" s="532"/>
      <c r="AN288" s="2182">
        <f t="shared" si="213"/>
        <v>6</v>
      </c>
      <c r="AO288" s="532"/>
      <c r="AP288" s="2182">
        <f t="shared" si="214"/>
        <v>2</v>
      </c>
      <c r="AQ288" s="532"/>
      <c r="AR288" s="2182">
        <f t="shared" si="215"/>
        <v>4</v>
      </c>
      <c r="AS288" s="532"/>
      <c r="AT288" s="2182">
        <f t="shared" si="216"/>
        <v>2</v>
      </c>
      <c r="AU288" s="532"/>
      <c r="AV288" s="2183">
        <f t="shared" si="217"/>
        <v>2</v>
      </c>
      <c r="AW288" s="69"/>
      <c r="AX288" s="2184">
        <f t="shared" si="218"/>
        <v>3</v>
      </c>
      <c r="AY288" s="69"/>
      <c r="AZ288" s="2184">
        <f t="shared" si="219"/>
        <v>3</v>
      </c>
      <c r="BA288" s="69"/>
      <c r="BB288" s="2184">
        <f t="shared" si="220"/>
        <v>3</v>
      </c>
      <c r="BC288" s="69"/>
      <c r="BD288" s="2184">
        <f t="shared" si="221"/>
        <v>1</v>
      </c>
      <c r="BE288" s="69"/>
      <c r="BF288" s="2184">
        <f t="shared" si="222"/>
        <v>2</v>
      </c>
      <c r="BG288" s="69"/>
      <c r="BH288" s="2184">
        <f t="shared" si="223"/>
        <v>2</v>
      </c>
      <c r="BI288" s="69"/>
      <c r="BJ288" s="2184">
        <f t="shared" si="224"/>
        <v>3</v>
      </c>
      <c r="BK288" s="69"/>
      <c r="BL288" s="2179" t="str">
        <f t="shared" si="225"/>
        <v/>
      </c>
      <c r="BM288" s="532"/>
      <c r="BN288" s="2179" t="str">
        <f t="shared" si="226"/>
        <v/>
      </c>
      <c r="BO288" s="532"/>
      <c r="BP288" s="2190">
        <f t="shared" si="227"/>
        <v>88</v>
      </c>
      <c r="BQ288" s="532"/>
      <c r="BR288" s="541"/>
      <c r="BS288" s="684"/>
      <c r="BT288" s="541"/>
      <c r="BU288" s="541"/>
    </row>
    <row r="289" ht="30.75" customHeight="1">
      <c r="A289" s="1718"/>
      <c r="B289" s="2178">
        <v>3433.0</v>
      </c>
      <c r="C289" s="1567">
        <v>98.0</v>
      </c>
      <c r="D289" s="1720"/>
      <c r="E289" s="1702" t="str">
        <f t="shared" si="195"/>
        <v>Салат ''Спаржа с курицей' 110 гр</v>
      </c>
      <c r="F289" s="2191">
        <f t="shared" si="196"/>
        <v>31</v>
      </c>
      <c r="G289" s="532"/>
      <c r="H289" s="2182">
        <f t="shared" si="197"/>
        <v>3</v>
      </c>
      <c r="I289" s="532"/>
      <c r="J289" s="2191">
        <f t="shared" si="198"/>
        <v>3</v>
      </c>
      <c r="K289" s="532"/>
      <c r="L289" s="2191">
        <f t="shared" si="199"/>
        <v>4</v>
      </c>
      <c r="M289" s="532"/>
      <c r="N289" s="2191">
        <f t="shared" si="200"/>
        <v>8</v>
      </c>
      <c r="O289" s="532"/>
      <c r="P289" s="2191">
        <f t="shared" si="201"/>
        <v>9</v>
      </c>
      <c r="Q289" s="532"/>
      <c r="R289" s="2182">
        <f t="shared" si="202"/>
        <v>3</v>
      </c>
      <c r="S289" s="532"/>
      <c r="T289" s="2182">
        <f t="shared" si="203"/>
        <v>2</v>
      </c>
      <c r="U289" s="532"/>
      <c r="V289" s="2182">
        <f t="shared" si="204"/>
        <v>2</v>
      </c>
      <c r="W289" s="532"/>
      <c r="X289" s="2182">
        <f t="shared" si="205"/>
        <v>8</v>
      </c>
      <c r="Y289" s="532"/>
      <c r="Z289" s="2182" t="str">
        <f t="shared" si="206"/>
        <v/>
      </c>
      <c r="AA289" s="532"/>
      <c r="AB289" s="2182">
        <f t="shared" si="207"/>
        <v>2</v>
      </c>
      <c r="AC289" s="532"/>
      <c r="AD289" s="2182">
        <f t="shared" si="208"/>
        <v>3</v>
      </c>
      <c r="AE289" s="532"/>
      <c r="AF289" s="2182">
        <f t="shared" si="209"/>
        <v>2</v>
      </c>
      <c r="AG289" s="532"/>
      <c r="AH289" s="2183">
        <f t="shared" si="210"/>
        <v>2</v>
      </c>
      <c r="AI289" s="69"/>
      <c r="AJ289" s="2183">
        <f t="shared" si="211"/>
        <v>2</v>
      </c>
      <c r="AK289" s="69"/>
      <c r="AL289" s="2182">
        <f t="shared" si="212"/>
        <v>1</v>
      </c>
      <c r="AM289" s="532"/>
      <c r="AN289" s="2182">
        <f t="shared" si="213"/>
        <v>4</v>
      </c>
      <c r="AO289" s="532"/>
      <c r="AP289" s="2182">
        <f t="shared" si="214"/>
        <v>2</v>
      </c>
      <c r="AQ289" s="532"/>
      <c r="AR289" s="2182">
        <f t="shared" si="215"/>
        <v>8</v>
      </c>
      <c r="AS289" s="532"/>
      <c r="AT289" s="2182">
        <f t="shared" si="216"/>
        <v>7</v>
      </c>
      <c r="AU289" s="532"/>
      <c r="AV289" s="2183">
        <f t="shared" si="217"/>
        <v>6</v>
      </c>
      <c r="AW289" s="69"/>
      <c r="AX289" s="2184">
        <f t="shared" si="218"/>
        <v>7</v>
      </c>
      <c r="AY289" s="69"/>
      <c r="AZ289" s="2184">
        <f t="shared" si="219"/>
        <v>2</v>
      </c>
      <c r="BA289" s="69"/>
      <c r="BB289" s="2184">
        <f t="shared" si="220"/>
        <v>3</v>
      </c>
      <c r="BC289" s="69"/>
      <c r="BD289" s="2184">
        <f t="shared" si="221"/>
        <v>2</v>
      </c>
      <c r="BE289" s="69"/>
      <c r="BF289" s="2184">
        <f t="shared" si="222"/>
        <v>10</v>
      </c>
      <c r="BG289" s="69"/>
      <c r="BH289" s="2184">
        <f t="shared" si="223"/>
        <v>3</v>
      </c>
      <c r="BI289" s="69"/>
      <c r="BJ289" s="2184">
        <f t="shared" si="224"/>
        <v>10</v>
      </c>
      <c r="BK289" s="69"/>
      <c r="BL289" s="2191">
        <f t="shared" si="225"/>
        <v>44</v>
      </c>
      <c r="BM289" s="532"/>
      <c r="BN289" s="2191" t="str">
        <f t="shared" si="226"/>
        <v/>
      </c>
      <c r="BO289" s="532"/>
      <c r="BP289" s="2190">
        <f t="shared" si="227"/>
        <v>193</v>
      </c>
      <c r="BQ289" s="532"/>
      <c r="BR289" s="541"/>
      <c r="BS289" s="684"/>
      <c r="BT289" s="541"/>
      <c r="BU289" s="541"/>
    </row>
    <row r="290" ht="30.75" customHeight="1">
      <c r="A290" s="1718"/>
      <c r="B290" s="2178">
        <v>3180.0</v>
      </c>
      <c r="C290" s="1567">
        <v>98.0</v>
      </c>
      <c r="D290" s="1720"/>
      <c r="E290" s="1702" t="str">
        <f t="shared" si="195"/>
        <v>Салат ''Морковь по-корейски'' 120 г</v>
      </c>
      <c r="F290" s="2191">
        <f t="shared" si="196"/>
        <v>19</v>
      </c>
      <c r="G290" s="532"/>
      <c r="H290" s="2182">
        <f t="shared" si="197"/>
        <v>3</v>
      </c>
      <c r="I290" s="532"/>
      <c r="J290" s="2191">
        <f t="shared" si="198"/>
        <v>3</v>
      </c>
      <c r="K290" s="532"/>
      <c r="L290" s="2191">
        <f t="shared" si="199"/>
        <v>7</v>
      </c>
      <c r="M290" s="532"/>
      <c r="N290" s="2191">
        <f t="shared" si="200"/>
        <v>10</v>
      </c>
      <c r="O290" s="532"/>
      <c r="P290" s="2191">
        <f t="shared" si="201"/>
        <v>4</v>
      </c>
      <c r="Q290" s="532"/>
      <c r="R290" s="2182">
        <f t="shared" si="202"/>
        <v>4</v>
      </c>
      <c r="S290" s="532"/>
      <c r="T290" s="2182">
        <f t="shared" si="203"/>
        <v>5</v>
      </c>
      <c r="U290" s="532"/>
      <c r="V290" s="2182">
        <f t="shared" si="204"/>
        <v>2</v>
      </c>
      <c r="W290" s="532"/>
      <c r="X290" s="2182">
        <f t="shared" si="205"/>
        <v>5</v>
      </c>
      <c r="Y290" s="532"/>
      <c r="Z290" s="2182" t="str">
        <f t="shared" si="206"/>
        <v/>
      </c>
      <c r="AA290" s="532"/>
      <c r="AB290" s="2182">
        <f t="shared" si="207"/>
        <v>2</v>
      </c>
      <c r="AC290" s="532"/>
      <c r="AD290" s="2182">
        <f t="shared" si="208"/>
        <v>2</v>
      </c>
      <c r="AE290" s="532"/>
      <c r="AF290" s="2182">
        <f t="shared" si="209"/>
        <v>5</v>
      </c>
      <c r="AG290" s="532"/>
      <c r="AH290" s="2183">
        <f t="shared" si="210"/>
        <v>4</v>
      </c>
      <c r="AI290" s="69"/>
      <c r="AJ290" s="2183">
        <f t="shared" si="211"/>
        <v>2</v>
      </c>
      <c r="AK290" s="69"/>
      <c r="AL290" s="2182">
        <f t="shared" si="212"/>
        <v>3</v>
      </c>
      <c r="AM290" s="532"/>
      <c r="AN290" s="2182">
        <f t="shared" si="213"/>
        <v>4</v>
      </c>
      <c r="AO290" s="532"/>
      <c r="AP290" s="2182">
        <f t="shared" si="214"/>
        <v>2</v>
      </c>
      <c r="AQ290" s="532"/>
      <c r="AR290" s="2182">
        <f t="shared" si="215"/>
        <v>9</v>
      </c>
      <c r="AS290" s="532"/>
      <c r="AT290" s="2182">
        <f t="shared" si="216"/>
        <v>5</v>
      </c>
      <c r="AU290" s="532"/>
      <c r="AV290" s="2183">
        <f t="shared" si="217"/>
        <v>7</v>
      </c>
      <c r="AW290" s="69"/>
      <c r="AX290" s="2184">
        <f t="shared" si="218"/>
        <v>2</v>
      </c>
      <c r="AY290" s="69"/>
      <c r="AZ290" s="2184">
        <f t="shared" si="219"/>
        <v>3</v>
      </c>
      <c r="BA290" s="69"/>
      <c r="BB290" s="2184">
        <f t="shared" si="220"/>
        <v>3</v>
      </c>
      <c r="BC290" s="69"/>
      <c r="BD290" s="2184" t="str">
        <f t="shared" si="221"/>
        <v/>
      </c>
      <c r="BE290" s="69"/>
      <c r="BF290" s="2184">
        <f t="shared" si="222"/>
        <v>9</v>
      </c>
      <c r="BG290" s="69"/>
      <c r="BH290" s="2184">
        <f t="shared" si="223"/>
        <v>3</v>
      </c>
      <c r="BI290" s="69"/>
      <c r="BJ290" s="2184">
        <f t="shared" si="224"/>
        <v>6</v>
      </c>
      <c r="BK290" s="69"/>
      <c r="BL290" s="2179">
        <f t="shared" si="225"/>
        <v>43</v>
      </c>
      <c r="BM290" s="532"/>
      <c r="BN290" s="2179" t="str">
        <f t="shared" si="226"/>
        <v/>
      </c>
      <c r="BO290" s="532"/>
      <c r="BP290" s="2190">
        <f t="shared" si="227"/>
        <v>176</v>
      </c>
      <c r="BQ290" s="532"/>
      <c r="BR290" s="541"/>
      <c r="BS290" s="684"/>
      <c r="BT290" s="541"/>
      <c r="BU290" s="541"/>
    </row>
    <row r="291" ht="30.75" customHeight="1">
      <c r="A291" s="1718"/>
      <c r="B291" s="2178">
        <v>41.0</v>
      </c>
      <c r="C291" s="1567">
        <v>98.0</v>
      </c>
      <c r="D291" s="1720"/>
      <c r="E291" s="1702" t="str">
        <f t="shared" si="195"/>
        <v>Закуска с селёдкой 120 г</v>
      </c>
      <c r="F291" s="2191" t="str">
        <f t="shared" si="196"/>
        <v/>
      </c>
      <c r="G291" s="532"/>
      <c r="H291" s="2182" t="str">
        <f t="shared" si="197"/>
        <v/>
      </c>
      <c r="I291" s="532"/>
      <c r="J291" s="2191" t="str">
        <f t="shared" si="198"/>
        <v/>
      </c>
      <c r="K291" s="532"/>
      <c r="L291" s="2191" t="str">
        <f t="shared" si="199"/>
        <v/>
      </c>
      <c r="M291" s="532"/>
      <c r="N291" s="2191" t="str">
        <f t="shared" si="200"/>
        <v/>
      </c>
      <c r="O291" s="532"/>
      <c r="P291" s="2191" t="str">
        <f t="shared" si="201"/>
        <v/>
      </c>
      <c r="Q291" s="532"/>
      <c r="R291" s="2182" t="str">
        <f t="shared" si="202"/>
        <v/>
      </c>
      <c r="S291" s="532"/>
      <c r="T291" s="2182" t="str">
        <f t="shared" si="203"/>
        <v/>
      </c>
      <c r="U291" s="532"/>
      <c r="V291" s="2182" t="str">
        <f t="shared" si="204"/>
        <v/>
      </c>
      <c r="W291" s="532"/>
      <c r="X291" s="2182" t="str">
        <f t="shared" si="205"/>
        <v/>
      </c>
      <c r="Y291" s="532"/>
      <c r="Z291" s="2182" t="str">
        <f t="shared" si="206"/>
        <v/>
      </c>
      <c r="AA291" s="532"/>
      <c r="AB291" s="2182" t="str">
        <f t="shared" si="207"/>
        <v/>
      </c>
      <c r="AC291" s="532"/>
      <c r="AD291" s="2182" t="str">
        <f t="shared" si="208"/>
        <v/>
      </c>
      <c r="AE291" s="532"/>
      <c r="AF291" s="2182" t="str">
        <f t="shared" si="209"/>
        <v/>
      </c>
      <c r="AG291" s="532"/>
      <c r="AH291" s="2183" t="str">
        <f t="shared" si="210"/>
        <v/>
      </c>
      <c r="AI291" s="69"/>
      <c r="AJ291" s="2183" t="str">
        <f t="shared" si="211"/>
        <v/>
      </c>
      <c r="AK291" s="69"/>
      <c r="AL291" s="2182" t="str">
        <f t="shared" si="212"/>
        <v/>
      </c>
      <c r="AM291" s="532"/>
      <c r="AN291" s="2182" t="str">
        <f t="shared" si="213"/>
        <v/>
      </c>
      <c r="AO291" s="532"/>
      <c r="AP291" s="2182" t="str">
        <f t="shared" si="214"/>
        <v/>
      </c>
      <c r="AQ291" s="532"/>
      <c r="AR291" s="2182" t="str">
        <f t="shared" si="215"/>
        <v/>
      </c>
      <c r="AS291" s="532"/>
      <c r="AT291" s="2182" t="str">
        <f t="shared" si="216"/>
        <v/>
      </c>
      <c r="AU291" s="532"/>
      <c r="AV291" s="2183" t="str">
        <f t="shared" si="217"/>
        <v/>
      </c>
      <c r="AW291" s="69"/>
      <c r="AX291" s="2184" t="str">
        <f t="shared" si="218"/>
        <v/>
      </c>
      <c r="AY291" s="69"/>
      <c r="AZ291" s="2184" t="str">
        <f t="shared" si="219"/>
        <v/>
      </c>
      <c r="BA291" s="69"/>
      <c r="BB291" s="2184" t="str">
        <f t="shared" si="220"/>
        <v/>
      </c>
      <c r="BC291" s="69"/>
      <c r="BD291" s="2184" t="str">
        <f t="shared" si="221"/>
        <v/>
      </c>
      <c r="BE291" s="69"/>
      <c r="BF291" s="2184" t="str">
        <f t="shared" si="222"/>
        <v/>
      </c>
      <c r="BG291" s="69"/>
      <c r="BH291" s="2184" t="str">
        <f t="shared" si="223"/>
        <v/>
      </c>
      <c r="BI291" s="69"/>
      <c r="BJ291" s="2184" t="str">
        <f t="shared" si="224"/>
        <v/>
      </c>
      <c r="BK291" s="69"/>
      <c r="BL291" s="2179">
        <f t="shared" si="225"/>
        <v>43</v>
      </c>
      <c r="BM291" s="532"/>
      <c r="BN291" s="2179" t="str">
        <f t="shared" si="226"/>
        <v/>
      </c>
      <c r="BO291" s="532"/>
      <c r="BP291" s="2190">
        <f t="shared" si="227"/>
        <v>43</v>
      </c>
      <c r="BQ291" s="532"/>
      <c r="BR291" s="541"/>
      <c r="BS291" s="684"/>
      <c r="BT291" s="541"/>
      <c r="BU291" s="541"/>
    </row>
    <row r="292" ht="30.75" customHeight="1">
      <c r="A292" s="1718"/>
      <c r="B292" s="2178">
        <v>4089.0</v>
      </c>
      <c r="C292" s="1567">
        <v>210.0</v>
      </c>
      <c r="D292" s="1720"/>
      <c r="E292" s="1702" t="str">
        <f t="shared" si="195"/>
        <v>Салат "Генеральский" (курица, грецкий орех) 220гр</v>
      </c>
      <c r="F292" s="2191">
        <f t="shared" si="196"/>
        <v>5</v>
      </c>
      <c r="G292" s="532"/>
      <c r="H292" s="2182">
        <f t="shared" si="197"/>
        <v>3</v>
      </c>
      <c r="I292" s="532"/>
      <c r="J292" s="2191">
        <f t="shared" si="198"/>
        <v>4</v>
      </c>
      <c r="K292" s="532"/>
      <c r="L292" s="2191">
        <f t="shared" si="199"/>
        <v>3</v>
      </c>
      <c r="M292" s="532"/>
      <c r="N292" s="2191">
        <f t="shared" si="200"/>
        <v>5</v>
      </c>
      <c r="O292" s="532"/>
      <c r="P292" s="2191">
        <f t="shared" si="201"/>
        <v>5</v>
      </c>
      <c r="Q292" s="532"/>
      <c r="R292" s="2182">
        <f t="shared" si="202"/>
        <v>0</v>
      </c>
      <c r="S292" s="532"/>
      <c r="T292" s="2182">
        <f t="shared" si="203"/>
        <v>2</v>
      </c>
      <c r="U292" s="532"/>
      <c r="V292" s="2182">
        <f t="shared" si="204"/>
        <v>2</v>
      </c>
      <c r="W292" s="532"/>
      <c r="X292" s="2182">
        <f t="shared" si="205"/>
        <v>3</v>
      </c>
      <c r="Y292" s="532"/>
      <c r="Z292" s="2182" t="str">
        <f t="shared" si="206"/>
        <v/>
      </c>
      <c r="AA292" s="532"/>
      <c r="AB292" s="2182">
        <f t="shared" si="207"/>
        <v>2</v>
      </c>
      <c r="AC292" s="532"/>
      <c r="AD292" s="2182">
        <f t="shared" si="208"/>
        <v>1</v>
      </c>
      <c r="AE292" s="532"/>
      <c r="AF292" s="2182">
        <f t="shared" si="209"/>
        <v>3</v>
      </c>
      <c r="AG292" s="532"/>
      <c r="AH292" s="2183">
        <f t="shared" si="210"/>
        <v>4</v>
      </c>
      <c r="AI292" s="69"/>
      <c r="AJ292" s="2183">
        <f t="shared" si="211"/>
        <v>2</v>
      </c>
      <c r="AK292" s="69"/>
      <c r="AL292" s="2182">
        <f t="shared" si="212"/>
        <v>3</v>
      </c>
      <c r="AM292" s="532"/>
      <c r="AN292" s="2182">
        <f t="shared" si="213"/>
        <v>2</v>
      </c>
      <c r="AO292" s="532"/>
      <c r="AP292" s="2182">
        <f t="shared" si="214"/>
        <v>2</v>
      </c>
      <c r="AQ292" s="532"/>
      <c r="AR292" s="2182">
        <f t="shared" si="215"/>
        <v>5</v>
      </c>
      <c r="AS292" s="532"/>
      <c r="AT292" s="2182">
        <f t="shared" si="216"/>
        <v>2</v>
      </c>
      <c r="AU292" s="532"/>
      <c r="AV292" s="2183">
        <f t="shared" si="217"/>
        <v>3</v>
      </c>
      <c r="AW292" s="69"/>
      <c r="AX292" s="2184">
        <f t="shared" si="218"/>
        <v>3</v>
      </c>
      <c r="AY292" s="69"/>
      <c r="AZ292" s="2184">
        <f t="shared" si="219"/>
        <v>2</v>
      </c>
      <c r="BA292" s="69"/>
      <c r="BB292" s="2184">
        <f t="shared" si="220"/>
        <v>4</v>
      </c>
      <c r="BC292" s="69"/>
      <c r="BD292" s="2184">
        <f t="shared" si="221"/>
        <v>2</v>
      </c>
      <c r="BE292" s="69"/>
      <c r="BF292" s="2184">
        <f t="shared" si="222"/>
        <v>5</v>
      </c>
      <c r="BG292" s="69"/>
      <c r="BH292" s="2184">
        <f t="shared" si="223"/>
        <v>2</v>
      </c>
      <c r="BI292" s="69"/>
      <c r="BJ292" s="2184">
        <f t="shared" si="224"/>
        <v>5</v>
      </c>
      <c r="BK292" s="69"/>
      <c r="BL292" s="2179" t="str">
        <f t="shared" si="225"/>
        <v/>
      </c>
      <c r="BM292" s="532"/>
      <c r="BN292" s="2179" t="str">
        <f t="shared" si="226"/>
        <v/>
      </c>
      <c r="BO292" s="532"/>
      <c r="BP292" s="2190">
        <f t="shared" si="227"/>
        <v>84</v>
      </c>
      <c r="BQ292" s="532"/>
      <c r="BR292" s="541"/>
      <c r="BS292" s="684"/>
      <c r="BT292" s="541"/>
      <c r="BU292" s="541"/>
    </row>
    <row r="293" ht="30.75" customHeight="1">
      <c r="A293" s="1718"/>
      <c r="B293" s="2178">
        <v>8.0</v>
      </c>
      <c r="C293" s="1567">
        <v>104.0</v>
      </c>
      <c r="D293" s="1720"/>
      <c r="E293" s="1702" t="str">
        <f t="shared" si="195"/>
        <v>Суп гороховый 250 мл</v>
      </c>
      <c r="F293" s="2191" t="str">
        <f t="shared" si="196"/>
        <v/>
      </c>
      <c r="G293" s="532"/>
      <c r="H293" s="2182" t="str">
        <f t="shared" si="197"/>
        <v/>
      </c>
      <c r="I293" s="532"/>
      <c r="J293" s="2191" t="str">
        <f t="shared" si="198"/>
        <v/>
      </c>
      <c r="K293" s="532"/>
      <c r="L293" s="2191" t="str">
        <f t="shared" si="199"/>
        <v/>
      </c>
      <c r="M293" s="532"/>
      <c r="N293" s="2191" t="str">
        <f t="shared" si="200"/>
        <v/>
      </c>
      <c r="O293" s="532"/>
      <c r="P293" s="2191" t="str">
        <f t="shared" si="201"/>
        <v/>
      </c>
      <c r="Q293" s="532"/>
      <c r="R293" s="2182" t="str">
        <f t="shared" si="202"/>
        <v/>
      </c>
      <c r="S293" s="532"/>
      <c r="T293" s="2182" t="str">
        <f t="shared" si="203"/>
        <v/>
      </c>
      <c r="U293" s="532"/>
      <c r="V293" s="2182" t="str">
        <f t="shared" si="204"/>
        <v/>
      </c>
      <c r="W293" s="532"/>
      <c r="X293" s="2182" t="str">
        <f t="shared" si="205"/>
        <v/>
      </c>
      <c r="Y293" s="532"/>
      <c r="Z293" s="2182" t="str">
        <f t="shared" si="206"/>
        <v/>
      </c>
      <c r="AA293" s="532"/>
      <c r="AB293" s="2182" t="str">
        <f t="shared" si="207"/>
        <v/>
      </c>
      <c r="AC293" s="532"/>
      <c r="AD293" s="2182" t="str">
        <f t="shared" si="208"/>
        <v/>
      </c>
      <c r="AE293" s="532"/>
      <c r="AF293" s="2182" t="str">
        <f t="shared" si="209"/>
        <v/>
      </c>
      <c r="AG293" s="532"/>
      <c r="AH293" s="2183" t="str">
        <f t="shared" si="210"/>
        <v/>
      </c>
      <c r="AI293" s="69"/>
      <c r="AJ293" s="2183" t="str">
        <f t="shared" si="211"/>
        <v/>
      </c>
      <c r="AK293" s="69"/>
      <c r="AL293" s="2182" t="str">
        <f t="shared" si="212"/>
        <v/>
      </c>
      <c r="AM293" s="532"/>
      <c r="AN293" s="2182" t="str">
        <f t="shared" si="213"/>
        <v/>
      </c>
      <c r="AO293" s="532"/>
      <c r="AP293" s="2182" t="str">
        <f t="shared" si="214"/>
        <v/>
      </c>
      <c r="AQ293" s="532"/>
      <c r="AR293" s="2182" t="str">
        <f t="shared" si="215"/>
        <v/>
      </c>
      <c r="AS293" s="532"/>
      <c r="AT293" s="2182" t="str">
        <f t="shared" si="216"/>
        <v/>
      </c>
      <c r="AU293" s="532"/>
      <c r="AV293" s="2183" t="str">
        <f t="shared" si="217"/>
        <v/>
      </c>
      <c r="AW293" s="69"/>
      <c r="AX293" s="2184" t="str">
        <f t="shared" si="218"/>
        <v/>
      </c>
      <c r="AY293" s="69"/>
      <c r="AZ293" s="2184" t="str">
        <f t="shared" si="219"/>
        <v/>
      </c>
      <c r="BA293" s="69"/>
      <c r="BB293" s="2184" t="str">
        <f t="shared" si="220"/>
        <v/>
      </c>
      <c r="BC293" s="69"/>
      <c r="BD293" s="2184" t="str">
        <f t="shared" si="221"/>
        <v/>
      </c>
      <c r="BE293" s="69"/>
      <c r="BF293" s="2184" t="str">
        <f t="shared" si="222"/>
        <v/>
      </c>
      <c r="BG293" s="69"/>
      <c r="BH293" s="2184" t="str">
        <f t="shared" si="223"/>
        <v/>
      </c>
      <c r="BI293" s="69"/>
      <c r="BJ293" s="2184" t="str">
        <f t="shared" si="224"/>
        <v/>
      </c>
      <c r="BK293" s="69"/>
      <c r="BL293" s="2179">
        <f t="shared" si="225"/>
        <v>125</v>
      </c>
      <c r="BM293" s="532"/>
      <c r="BN293" s="2179" t="str">
        <f t="shared" si="226"/>
        <v/>
      </c>
      <c r="BO293" s="532"/>
      <c r="BP293" s="2190">
        <f t="shared" si="227"/>
        <v>125</v>
      </c>
      <c r="BQ293" s="532"/>
      <c r="BR293" s="541"/>
      <c r="BS293" s="684"/>
      <c r="BT293" s="541"/>
      <c r="BU293" s="541"/>
    </row>
    <row r="294" ht="30.75" customHeight="1">
      <c r="A294" s="1718"/>
      <c r="B294" s="2178">
        <v>372.0</v>
      </c>
      <c r="C294" s="1567">
        <v>198.0</v>
      </c>
      <c r="D294" s="1720"/>
      <c r="E294" s="1702" t="str">
        <f t="shared" si="195"/>
        <v>Бедро запеченное с картофелем</v>
      </c>
      <c r="F294" s="2191">
        <f t="shared" si="196"/>
        <v>21</v>
      </c>
      <c r="G294" s="532"/>
      <c r="H294" s="2182">
        <f t="shared" si="197"/>
        <v>7</v>
      </c>
      <c r="I294" s="532"/>
      <c r="J294" s="2191">
        <f t="shared" si="198"/>
        <v>4</v>
      </c>
      <c r="K294" s="532"/>
      <c r="L294" s="2191">
        <f t="shared" si="199"/>
        <v>5</v>
      </c>
      <c r="M294" s="532"/>
      <c r="N294" s="2191">
        <f t="shared" si="200"/>
        <v>6</v>
      </c>
      <c r="O294" s="532"/>
      <c r="P294" s="2191">
        <f t="shared" si="201"/>
        <v>10</v>
      </c>
      <c r="Q294" s="532"/>
      <c r="R294" s="2182">
        <f t="shared" si="202"/>
        <v>2</v>
      </c>
      <c r="S294" s="532"/>
      <c r="T294" s="2182">
        <f t="shared" si="203"/>
        <v>3</v>
      </c>
      <c r="U294" s="532"/>
      <c r="V294" s="2182">
        <f t="shared" si="204"/>
        <v>3</v>
      </c>
      <c r="W294" s="532"/>
      <c r="X294" s="2182">
        <f t="shared" si="205"/>
        <v>2</v>
      </c>
      <c r="Y294" s="532"/>
      <c r="Z294" s="2182" t="str">
        <f t="shared" si="206"/>
        <v/>
      </c>
      <c r="AA294" s="532"/>
      <c r="AB294" s="2182">
        <f t="shared" si="207"/>
        <v>2</v>
      </c>
      <c r="AC294" s="532"/>
      <c r="AD294" s="2182">
        <f t="shared" si="208"/>
        <v>3</v>
      </c>
      <c r="AE294" s="532"/>
      <c r="AF294" s="2182">
        <f t="shared" si="209"/>
        <v>2</v>
      </c>
      <c r="AG294" s="532"/>
      <c r="AH294" s="2183">
        <f t="shared" si="210"/>
        <v>2</v>
      </c>
      <c r="AI294" s="69"/>
      <c r="AJ294" s="2183">
        <f t="shared" si="211"/>
        <v>1</v>
      </c>
      <c r="AK294" s="69"/>
      <c r="AL294" s="2182">
        <f t="shared" si="212"/>
        <v>2</v>
      </c>
      <c r="AM294" s="532"/>
      <c r="AN294" s="2182">
        <f t="shared" si="213"/>
        <v>2</v>
      </c>
      <c r="AO294" s="532"/>
      <c r="AP294" s="2182">
        <f t="shared" si="214"/>
        <v>3</v>
      </c>
      <c r="AQ294" s="532"/>
      <c r="AR294" s="2182">
        <f t="shared" si="215"/>
        <v>3</v>
      </c>
      <c r="AS294" s="532"/>
      <c r="AT294" s="2182">
        <f t="shared" si="216"/>
        <v>4</v>
      </c>
      <c r="AU294" s="532"/>
      <c r="AV294" s="2183">
        <f t="shared" si="217"/>
        <v>2</v>
      </c>
      <c r="AW294" s="69"/>
      <c r="AX294" s="2184">
        <f t="shared" si="218"/>
        <v>3</v>
      </c>
      <c r="AY294" s="69"/>
      <c r="AZ294" s="2184">
        <f t="shared" si="219"/>
        <v>5</v>
      </c>
      <c r="BA294" s="69"/>
      <c r="BB294" s="2184">
        <f t="shared" si="220"/>
        <v>2</v>
      </c>
      <c r="BC294" s="69"/>
      <c r="BD294" s="2184">
        <f t="shared" si="221"/>
        <v>2</v>
      </c>
      <c r="BE294" s="69"/>
      <c r="BF294" s="2184">
        <f t="shared" si="222"/>
        <v>3</v>
      </c>
      <c r="BG294" s="69"/>
      <c r="BH294" s="2184">
        <f t="shared" si="223"/>
        <v>2</v>
      </c>
      <c r="BI294" s="69"/>
      <c r="BJ294" s="2184">
        <f t="shared" si="224"/>
        <v>2</v>
      </c>
      <c r="BK294" s="69"/>
      <c r="BL294" s="2179" t="str">
        <f t="shared" si="225"/>
        <v/>
      </c>
      <c r="BM294" s="532"/>
      <c r="BN294" s="2179" t="str">
        <f t="shared" si="226"/>
        <v/>
      </c>
      <c r="BO294" s="532"/>
      <c r="BP294" s="2190">
        <f t="shared" si="227"/>
        <v>108</v>
      </c>
      <c r="BQ294" s="532"/>
      <c r="BR294" s="541"/>
      <c r="BS294" s="684"/>
      <c r="BT294" s="541"/>
      <c r="BU294" s="541"/>
    </row>
    <row r="295" ht="30.75" customHeight="1">
      <c r="A295" s="1718"/>
      <c r="B295" s="2178">
        <v>3768.0</v>
      </c>
      <c r="C295" s="1567">
        <v>240.0</v>
      </c>
      <c r="D295" s="1720"/>
      <c r="E295" s="1702" t="str">
        <f t="shared" si="195"/>
        <v>Паприкаш из говядины с гречкой</v>
      </c>
      <c r="F295" s="2191" t="str">
        <f t="shared" si="196"/>
        <v/>
      </c>
      <c r="G295" s="532"/>
      <c r="H295" s="2182" t="str">
        <f t="shared" si="197"/>
        <v/>
      </c>
      <c r="I295" s="532"/>
      <c r="J295" s="2191" t="str">
        <f t="shared" si="198"/>
        <v/>
      </c>
      <c r="K295" s="532"/>
      <c r="L295" s="2191" t="str">
        <f t="shared" si="199"/>
        <v/>
      </c>
      <c r="M295" s="532"/>
      <c r="N295" s="2191" t="str">
        <f t="shared" si="200"/>
        <v/>
      </c>
      <c r="O295" s="532"/>
      <c r="P295" s="2191" t="str">
        <f t="shared" si="201"/>
        <v/>
      </c>
      <c r="Q295" s="532"/>
      <c r="R295" s="2182" t="str">
        <f t="shared" si="202"/>
        <v/>
      </c>
      <c r="S295" s="532"/>
      <c r="T295" s="2182" t="str">
        <f t="shared" si="203"/>
        <v/>
      </c>
      <c r="U295" s="532"/>
      <c r="V295" s="2182" t="str">
        <f t="shared" si="204"/>
        <v/>
      </c>
      <c r="W295" s="532"/>
      <c r="X295" s="2182" t="str">
        <f t="shared" si="205"/>
        <v/>
      </c>
      <c r="Y295" s="532"/>
      <c r="Z295" s="2182" t="str">
        <f t="shared" si="206"/>
        <v/>
      </c>
      <c r="AA295" s="532"/>
      <c r="AB295" s="2182" t="str">
        <f t="shared" si="207"/>
        <v/>
      </c>
      <c r="AC295" s="532"/>
      <c r="AD295" s="2182" t="str">
        <f t="shared" si="208"/>
        <v/>
      </c>
      <c r="AE295" s="532"/>
      <c r="AF295" s="2182" t="str">
        <f t="shared" si="209"/>
        <v/>
      </c>
      <c r="AG295" s="532"/>
      <c r="AH295" s="2183" t="str">
        <f t="shared" si="210"/>
        <v/>
      </c>
      <c r="AI295" s="69"/>
      <c r="AJ295" s="2183" t="str">
        <f t="shared" si="211"/>
        <v/>
      </c>
      <c r="AK295" s="69"/>
      <c r="AL295" s="2182" t="str">
        <f t="shared" si="212"/>
        <v/>
      </c>
      <c r="AM295" s="532"/>
      <c r="AN295" s="2182" t="str">
        <f t="shared" si="213"/>
        <v/>
      </c>
      <c r="AO295" s="532"/>
      <c r="AP295" s="2182" t="str">
        <f t="shared" si="214"/>
        <v/>
      </c>
      <c r="AQ295" s="532"/>
      <c r="AR295" s="2182" t="str">
        <f t="shared" si="215"/>
        <v/>
      </c>
      <c r="AS295" s="532"/>
      <c r="AT295" s="2182" t="str">
        <f t="shared" si="216"/>
        <v/>
      </c>
      <c r="AU295" s="532"/>
      <c r="AV295" s="2183" t="str">
        <f t="shared" si="217"/>
        <v/>
      </c>
      <c r="AW295" s="69"/>
      <c r="AX295" s="2184" t="str">
        <f t="shared" si="218"/>
        <v/>
      </c>
      <c r="AY295" s="69"/>
      <c r="AZ295" s="2184" t="str">
        <f t="shared" si="219"/>
        <v/>
      </c>
      <c r="BA295" s="69"/>
      <c r="BB295" s="2184" t="str">
        <f t="shared" si="220"/>
        <v/>
      </c>
      <c r="BC295" s="69"/>
      <c r="BD295" s="2184" t="str">
        <f t="shared" si="221"/>
        <v/>
      </c>
      <c r="BE295" s="69"/>
      <c r="BF295" s="2184" t="str">
        <f t="shared" si="222"/>
        <v/>
      </c>
      <c r="BG295" s="69"/>
      <c r="BH295" s="2184" t="str">
        <f t="shared" si="223"/>
        <v/>
      </c>
      <c r="BI295" s="69"/>
      <c r="BJ295" s="2184" t="str">
        <f t="shared" si="224"/>
        <v/>
      </c>
      <c r="BK295" s="69"/>
      <c r="BL295" s="2179">
        <f t="shared" si="225"/>
        <v>25</v>
      </c>
      <c r="BM295" s="532"/>
      <c r="BN295" s="2179" t="str">
        <f t="shared" si="226"/>
        <v/>
      </c>
      <c r="BO295" s="532"/>
      <c r="BP295" s="2190">
        <f t="shared" si="227"/>
        <v>25</v>
      </c>
      <c r="BQ295" s="532"/>
      <c r="BR295" s="541"/>
      <c r="BS295" s="684"/>
      <c r="BT295" s="541"/>
      <c r="BU295" s="541"/>
    </row>
    <row r="296" ht="30.75" customHeight="1">
      <c r="A296" s="1718"/>
      <c r="B296" s="2178">
        <v>3770.0</v>
      </c>
      <c r="C296" s="1567">
        <v>240.0</v>
      </c>
      <c r="D296" s="1720"/>
      <c r="E296" s="1702" t="str">
        <f t="shared" si="195"/>
        <v>Паприкаш из говядины с картофельным пюре</v>
      </c>
      <c r="F296" s="2179" t="str">
        <f t="shared" si="196"/>
        <v/>
      </c>
      <c r="G296" s="532"/>
      <c r="H296" s="2180" t="str">
        <f t="shared" si="197"/>
        <v/>
      </c>
      <c r="I296" s="532"/>
      <c r="J296" s="2179" t="str">
        <f t="shared" si="198"/>
        <v/>
      </c>
      <c r="K296" s="532"/>
      <c r="L296" s="2179" t="str">
        <f t="shared" si="199"/>
        <v/>
      </c>
      <c r="M296" s="532"/>
      <c r="N296" s="2179" t="str">
        <f t="shared" si="200"/>
        <v/>
      </c>
      <c r="O296" s="532"/>
      <c r="P296" s="2179" t="str">
        <f t="shared" si="201"/>
        <v/>
      </c>
      <c r="Q296" s="532"/>
      <c r="R296" s="2180" t="str">
        <f t="shared" si="202"/>
        <v/>
      </c>
      <c r="S296" s="532"/>
      <c r="T296" s="2180" t="str">
        <f t="shared" si="203"/>
        <v/>
      </c>
      <c r="U296" s="532"/>
      <c r="V296" s="2180" t="str">
        <f t="shared" si="204"/>
        <v/>
      </c>
      <c r="W296" s="532"/>
      <c r="X296" s="2180" t="str">
        <f t="shared" si="205"/>
        <v/>
      </c>
      <c r="Y296" s="532"/>
      <c r="Z296" s="2180" t="str">
        <f t="shared" si="206"/>
        <v/>
      </c>
      <c r="AA296" s="532"/>
      <c r="AB296" s="2180" t="str">
        <f t="shared" si="207"/>
        <v/>
      </c>
      <c r="AC296" s="532"/>
      <c r="AD296" s="2180" t="str">
        <f t="shared" si="208"/>
        <v/>
      </c>
      <c r="AE296" s="532"/>
      <c r="AF296" s="2180" t="str">
        <f t="shared" si="209"/>
        <v/>
      </c>
      <c r="AG296" s="532"/>
      <c r="AH296" s="2181" t="str">
        <f t="shared" si="210"/>
        <v/>
      </c>
      <c r="AI296" s="69"/>
      <c r="AJ296" s="2181" t="str">
        <f t="shared" si="211"/>
        <v/>
      </c>
      <c r="AK296" s="69"/>
      <c r="AL296" s="2182" t="str">
        <f t="shared" si="212"/>
        <v/>
      </c>
      <c r="AM296" s="532"/>
      <c r="AN296" s="2182" t="str">
        <f t="shared" si="213"/>
        <v/>
      </c>
      <c r="AO296" s="532"/>
      <c r="AP296" s="2182" t="str">
        <f t="shared" si="214"/>
        <v/>
      </c>
      <c r="AQ296" s="532"/>
      <c r="AR296" s="2182" t="str">
        <f t="shared" si="215"/>
        <v/>
      </c>
      <c r="AS296" s="532"/>
      <c r="AT296" s="2182" t="str">
        <f t="shared" si="216"/>
        <v/>
      </c>
      <c r="AU296" s="532"/>
      <c r="AV296" s="2183" t="str">
        <f t="shared" si="217"/>
        <v/>
      </c>
      <c r="AW296" s="69"/>
      <c r="AX296" s="2184" t="str">
        <f t="shared" si="218"/>
        <v/>
      </c>
      <c r="AY296" s="69"/>
      <c r="AZ296" s="2184" t="str">
        <f t="shared" si="219"/>
        <v/>
      </c>
      <c r="BA296" s="69"/>
      <c r="BB296" s="2184" t="str">
        <f t="shared" si="220"/>
        <v/>
      </c>
      <c r="BC296" s="69"/>
      <c r="BD296" s="2184" t="str">
        <f t="shared" si="221"/>
        <v/>
      </c>
      <c r="BE296" s="69"/>
      <c r="BF296" s="2184" t="str">
        <f t="shared" si="222"/>
        <v/>
      </c>
      <c r="BG296" s="69"/>
      <c r="BH296" s="2184" t="str">
        <f t="shared" si="223"/>
        <v/>
      </c>
      <c r="BI296" s="69"/>
      <c r="BJ296" s="2184" t="str">
        <f t="shared" si="224"/>
        <v/>
      </c>
      <c r="BK296" s="69"/>
      <c r="BL296" s="2179">
        <f t="shared" si="225"/>
        <v>27</v>
      </c>
      <c r="BM296" s="532"/>
      <c r="BN296" s="2179" t="str">
        <f t="shared" si="226"/>
        <v/>
      </c>
      <c r="BO296" s="532"/>
      <c r="BP296" s="2185">
        <f t="shared" si="227"/>
        <v>27</v>
      </c>
      <c r="BQ296" s="532"/>
      <c r="BR296" s="541"/>
      <c r="BS296" s="684"/>
      <c r="BT296" s="541"/>
      <c r="BU296" s="541"/>
    </row>
    <row r="297" ht="30.75" customHeight="1">
      <c r="A297" s="1718"/>
      <c r="B297" s="2178">
        <v>3769.0</v>
      </c>
      <c r="C297" s="1567">
        <v>240.0</v>
      </c>
      <c r="D297" s="1720"/>
      <c r="E297" s="1702" t="str">
        <f t="shared" si="195"/>
        <v>Паприкаш из говядины с макаронами</v>
      </c>
      <c r="F297" s="2191" t="str">
        <f t="shared" si="196"/>
        <v/>
      </c>
      <c r="G297" s="532"/>
      <c r="H297" s="2182" t="str">
        <f t="shared" si="197"/>
        <v/>
      </c>
      <c r="I297" s="532"/>
      <c r="J297" s="2191" t="str">
        <f t="shared" si="198"/>
        <v/>
      </c>
      <c r="K297" s="532"/>
      <c r="L297" s="2191" t="str">
        <f t="shared" si="199"/>
        <v/>
      </c>
      <c r="M297" s="532"/>
      <c r="N297" s="2191" t="str">
        <f t="shared" si="200"/>
        <v/>
      </c>
      <c r="O297" s="532"/>
      <c r="P297" s="2191" t="str">
        <f t="shared" si="201"/>
        <v/>
      </c>
      <c r="Q297" s="532"/>
      <c r="R297" s="2182" t="str">
        <f t="shared" si="202"/>
        <v/>
      </c>
      <c r="S297" s="532"/>
      <c r="T297" s="2182" t="str">
        <f t="shared" si="203"/>
        <v/>
      </c>
      <c r="U297" s="532"/>
      <c r="V297" s="2182" t="str">
        <f t="shared" si="204"/>
        <v/>
      </c>
      <c r="W297" s="532"/>
      <c r="X297" s="2182" t="str">
        <f t="shared" si="205"/>
        <v/>
      </c>
      <c r="Y297" s="532"/>
      <c r="Z297" s="2182" t="str">
        <f t="shared" si="206"/>
        <v/>
      </c>
      <c r="AA297" s="532"/>
      <c r="AB297" s="2182" t="str">
        <f t="shared" si="207"/>
        <v/>
      </c>
      <c r="AC297" s="532"/>
      <c r="AD297" s="2182" t="str">
        <f t="shared" si="208"/>
        <v/>
      </c>
      <c r="AE297" s="532"/>
      <c r="AF297" s="2182" t="str">
        <f t="shared" si="209"/>
        <v/>
      </c>
      <c r="AG297" s="532"/>
      <c r="AH297" s="2183" t="str">
        <f t="shared" si="210"/>
        <v/>
      </c>
      <c r="AI297" s="69"/>
      <c r="AJ297" s="2183" t="str">
        <f t="shared" si="211"/>
        <v/>
      </c>
      <c r="AK297" s="69"/>
      <c r="AL297" s="2182" t="str">
        <f t="shared" si="212"/>
        <v/>
      </c>
      <c r="AM297" s="532"/>
      <c r="AN297" s="2182" t="str">
        <f t="shared" si="213"/>
        <v/>
      </c>
      <c r="AO297" s="532"/>
      <c r="AP297" s="2182" t="str">
        <f t="shared" si="214"/>
        <v/>
      </c>
      <c r="AQ297" s="532"/>
      <c r="AR297" s="2182" t="str">
        <f t="shared" si="215"/>
        <v/>
      </c>
      <c r="AS297" s="532"/>
      <c r="AT297" s="2182" t="str">
        <f t="shared" si="216"/>
        <v/>
      </c>
      <c r="AU297" s="532"/>
      <c r="AV297" s="2183" t="str">
        <f t="shared" si="217"/>
        <v/>
      </c>
      <c r="AW297" s="69"/>
      <c r="AX297" s="2184" t="str">
        <f t="shared" si="218"/>
        <v/>
      </c>
      <c r="AY297" s="69"/>
      <c r="AZ297" s="2184" t="str">
        <f t="shared" si="219"/>
        <v/>
      </c>
      <c r="BA297" s="69"/>
      <c r="BB297" s="2184" t="str">
        <f t="shared" si="220"/>
        <v/>
      </c>
      <c r="BC297" s="69"/>
      <c r="BD297" s="2184" t="str">
        <f t="shared" si="221"/>
        <v/>
      </c>
      <c r="BE297" s="69"/>
      <c r="BF297" s="2184" t="str">
        <f t="shared" si="222"/>
        <v/>
      </c>
      <c r="BG297" s="69"/>
      <c r="BH297" s="2184" t="str">
        <f t="shared" si="223"/>
        <v/>
      </c>
      <c r="BI297" s="69"/>
      <c r="BJ297" s="2184" t="str">
        <f t="shared" si="224"/>
        <v/>
      </c>
      <c r="BK297" s="69"/>
      <c r="BL297" s="2179">
        <f t="shared" si="225"/>
        <v>80</v>
      </c>
      <c r="BM297" s="532"/>
      <c r="BN297" s="2179" t="str">
        <f t="shared" si="226"/>
        <v/>
      </c>
      <c r="BO297" s="532"/>
      <c r="BP297" s="2190">
        <f t="shared" si="227"/>
        <v>80</v>
      </c>
      <c r="BQ297" s="532"/>
      <c r="BR297" s="541"/>
      <c r="BS297" s="684"/>
      <c r="BT297" s="541"/>
      <c r="BU297" s="541"/>
    </row>
    <row r="298" ht="30.75" customHeight="1">
      <c r="A298" s="1718"/>
      <c r="B298" s="2178">
        <v>3437.0</v>
      </c>
      <c r="C298" s="1567">
        <v>198.0</v>
      </c>
      <c r="D298" s="1720"/>
      <c r="E298" s="1702" t="str">
        <f t="shared" si="195"/>
        <v>Макароны по-флотски</v>
      </c>
      <c r="F298" s="2191">
        <f t="shared" si="196"/>
        <v>26</v>
      </c>
      <c r="G298" s="532"/>
      <c r="H298" s="2182">
        <f t="shared" si="197"/>
        <v>2</v>
      </c>
      <c r="I298" s="532"/>
      <c r="J298" s="2191">
        <f t="shared" si="198"/>
        <v>4</v>
      </c>
      <c r="K298" s="532"/>
      <c r="L298" s="2191">
        <f t="shared" si="199"/>
        <v>5</v>
      </c>
      <c r="M298" s="532"/>
      <c r="N298" s="2191">
        <f t="shared" si="200"/>
        <v>5</v>
      </c>
      <c r="O298" s="532"/>
      <c r="P298" s="2191">
        <f t="shared" si="201"/>
        <v>12</v>
      </c>
      <c r="Q298" s="532"/>
      <c r="R298" s="2182">
        <f t="shared" si="202"/>
        <v>2</v>
      </c>
      <c r="S298" s="532"/>
      <c r="T298" s="2182">
        <f t="shared" si="203"/>
        <v>2</v>
      </c>
      <c r="U298" s="532"/>
      <c r="V298" s="2182">
        <f t="shared" si="204"/>
        <v>4</v>
      </c>
      <c r="W298" s="532"/>
      <c r="X298" s="2182">
        <f t="shared" si="205"/>
        <v>2</v>
      </c>
      <c r="Y298" s="532"/>
      <c r="Z298" s="2182" t="str">
        <f t="shared" si="206"/>
        <v/>
      </c>
      <c r="AA298" s="532"/>
      <c r="AB298" s="2182">
        <f t="shared" si="207"/>
        <v>3</v>
      </c>
      <c r="AC298" s="532"/>
      <c r="AD298" s="2182">
        <f t="shared" si="208"/>
        <v>2</v>
      </c>
      <c r="AE298" s="532"/>
      <c r="AF298" s="2182">
        <f t="shared" si="209"/>
        <v>2</v>
      </c>
      <c r="AG298" s="532"/>
      <c r="AH298" s="2183">
        <f t="shared" si="210"/>
        <v>2</v>
      </c>
      <c r="AI298" s="69"/>
      <c r="AJ298" s="2183">
        <f t="shared" si="211"/>
        <v>2</v>
      </c>
      <c r="AK298" s="69"/>
      <c r="AL298" s="2182">
        <f t="shared" si="212"/>
        <v>0</v>
      </c>
      <c r="AM298" s="532"/>
      <c r="AN298" s="2182">
        <f t="shared" si="213"/>
        <v>2</v>
      </c>
      <c r="AO298" s="532"/>
      <c r="AP298" s="2182">
        <f t="shared" si="214"/>
        <v>2</v>
      </c>
      <c r="AQ298" s="532"/>
      <c r="AR298" s="2182">
        <f t="shared" si="215"/>
        <v>4</v>
      </c>
      <c r="AS298" s="532"/>
      <c r="AT298" s="2182">
        <f t="shared" si="216"/>
        <v>2</v>
      </c>
      <c r="AU298" s="532"/>
      <c r="AV298" s="2183">
        <f t="shared" si="217"/>
        <v>6</v>
      </c>
      <c r="AW298" s="69"/>
      <c r="AX298" s="2184">
        <f t="shared" si="218"/>
        <v>5</v>
      </c>
      <c r="AY298" s="69"/>
      <c r="AZ298" s="2184">
        <f t="shared" si="219"/>
        <v>6</v>
      </c>
      <c r="BA298" s="69"/>
      <c r="BB298" s="2184">
        <f t="shared" si="220"/>
        <v>2</v>
      </c>
      <c r="BC298" s="69"/>
      <c r="BD298" s="2184">
        <f t="shared" si="221"/>
        <v>2</v>
      </c>
      <c r="BE298" s="69"/>
      <c r="BF298" s="2184">
        <f t="shared" si="222"/>
        <v>3</v>
      </c>
      <c r="BG298" s="69"/>
      <c r="BH298" s="2184">
        <f t="shared" si="223"/>
        <v>2</v>
      </c>
      <c r="BI298" s="69"/>
      <c r="BJ298" s="2184">
        <f t="shared" si="224"/>
        <v>2</v>
      </c>
      <c r="BK298" s="69"/>
      <c r="BL298" s="2179" t="str">
        <f t="shared" si="225"/>
        <v/>
      </c>
      <c r="BM298" s="532"/>
      <c r="BN298" s="2179" t="str">
        <f t="shared" si="226"/>
        <v/>
      </c>
      <c r="BO298" s="532"/>
      <c r="BP298" s="2190">
        <f t="shared" si="227"/>
        <v>113</v>
      </c>
      <c r="BQ298" s="532"/>
      <c r="BR298" s="684"/>
      <c r="BS298" s="684"/>
      <c r="BT298" s="541"/>
      <c r="BU298" s="541"/>
    </row>
    <row r="299" ht="30.75" customHeight="1">
      <c r="A299" s="1718"/>
      <c r="B299" s="2178">
        <v>657.0</v>
      </c>
      <c r="C299" s="1567">
        <v>212.0</v>
      </c>
      <c r="D299" s="1720"/>
      <c r="E299" s="1702" t="str">
        <f t="shared" si="195"/>
        <v>Перец фаршированный с пюре</v>
      </c>
      <c r="F299" s="2191">
        <f t="shared" si="196"/>
        <v>16</v>
      </c>
      <c r="G299" s="532"/>
      <c r="H299" s="2182">
        <f t="shared" si="197"/>
        <v>6</v>
      </c>
      <c r="I299" s="532"/>
      <c r="J299" s="2191">
        <f t="shared" si="198"/>
        <v>4</v>
      </c>
      <c r="K299" s="532"/>
      <c r="L299" s="2191">
        <f t="shared" si="199"/>
        <v>8</v>
      </c>
      <c r="M299" s="532"/>
      <c r="N299" s="2191">
        <f t="shared" si="200"/>
        <v>5</v>
      </c>
      <c r="O299" s="532"/>
      <c r="P299" s="2191">
        <f t="shared" si="201"/>
        <v>12</v>
      </c>
      <c r="Q299" s="532"/>
      <c r="R299" s="2182">
        <f t="shared" si="202"/>
        <v>2</v>
      </c>
      <c r="S299" s="532"/>
      <c r="T299" s="2182">
        <f t="shared" si="203"/>
        <v>2</v>
      </c>
      <c r="U299" s="532"/>
      <c r="V299" s="2182">
        <f t="shared" si="204"/>
        <v>2</v>
      </c>
      <c r="W299" s="532"/>
      <c r="X299" s="2182">
        <f t="shared" si="205"/>
        <v>2</v>
      </c>
      <c r="Y299" s="532"/>
      <c r="Z299" s="2182" t="str">
        <f t="shared" si="206"/>
        <v/>
      </c>
      <c r="AA299" s="532"/>
      <c r="AB299" s="2182">
        <f t="shared" si="207"/>
        <v>3</v>
      </c>
      <c r="AC299" s="532"/>
      <c r="AD299" s="2182">
        <f t="shared" si="208"/>
        <v>3</v>
      </c>
      <c r="AE299" s="532"/>
      <c r="AF299" s="2182">
        <f t="shared" si="209"/>
        <v>2</v>
      </c>
      <c r="AG299" s="532"/>
      <c r="AH299" s="2183">
        <f t="shared" si="210"/>
        <v>2</v>
      </c>
      <c r="AI299" s="69"/>
      <c r="AJ299" s="2183">
        <f t="shared" si="211"/>
        <v>4</v>
      </c>
      <c r="AK299" s="69"/>
      <c r="AL299" s="2182">
        <f t="shared" si="212"/>
        <v>4</v>
      </c>
      <c r="AM299" s="532"/>
      <c r="AN299" s="2182">
        <f t="shared" si="213"/>
        <v>2</v>
      </c>
      <c r="AO299" s="532"/>
      <c r="AP299" s="2182">
        <f t="shared" si="214"/>
        <v>3</v>
      </c>
      <c r="AQ299" s="532"/>
      <c r="AR299" s="2182">
        <f t="shared" si="215"/>
        <v>2</v>
      </c>
      <c r="AS299" s="532"/>
      <c r="AT299" s="2182">
        <f t="shared" si="216"/>
        <v>4</v>
      </c>
      <c r="AU299" s="532"/>
      <c r="AV299" s="2183">
        <f t="shared" si="217"/>
        <v>4</v>
      </c>
      <c r="AW299" s="69"/>
      <c r="AX299" s="2184">
        <f t="shared" si="218"/>
        <v>2</v>
      </c>
      <c r="AY299" s="69"/>
      <c r="AZ299" s="2184">
        <f t="shared" si="219"/>
        <v>5</v>
      </c>
      <c r="BA299" s="69"/>
      <c r="BB299" s="2184">
        <f t="shared" si="220"/>
        <v>2</v>
      </c>
      <c r="BC299" s="69"/>
      <c r="BD299" s="2184">
        <f t="shared" si="221"/>
        <v>2</v>
      </c>
      <c r="BE299" s="69"/>
      <c r="BF299" s="2184">
        <f t="shared" si="222"/>
        <v>3</v>
      </c>
      <c r="BG299" s="69"/>
      <c r="BH299" s="2184">
        <f t="shared" si="223"/>
        <v>2</v>
      </c>
      <c r="BI299" s="69"/>
      <c r="BJ299" s="2184">
        <f t="shared" si="224"/>
        <v>2</v>
      </c>
      <c r="BK299" s="69"/>
      <c r="BL299" s="2179" t="str">
        <f t="shared" si="225"/>
        <v/>
      </c>
      <c r="BM299" s="532"/>
      <c r="BN299" s="2179">
        <f t="shared" si="226"/>
        <v>10</v>
      </c>
      <c r="BO299" s="532"/>
      <c r="BP299" s="2190">
        <f t="shared" si="227"/>
        <v>110</v>
      </c>
      <c r="BQ299" s="532"/>
      <c r="BR299" s="541"/>
      <c r="BS299" s="541"/>
      <c r="BT299" s="541"/>
      <c r="BU299" s="541"/>
    </row>
    <row r="300" ht="30.75" customHeight="1">
      <c r="A300" s="1718"/>
      <c r="B300" s="2178">
        <v>3122.0</v>
      </c>
      <c r="C300" s="1567">
        <v>261.0</v>
      </c>
      <c r="D300" s="1720"/>
      <c r="E300" s="1702" t="str">
        <f t="shared" si="195"/>
        <v>Люля-кебаб куриный с овощным соте</v>
      </c>
      <c r="F300" s="2179">
        <f t="shared" si="196"/>
        <v>10</v>
      </c>
      <c r="G300" s="532"/>
      <c r="H300" s="2180">
        <f t="shared" si="197"/>
        <v>6</v>
      </c>
      <c r="I300" s="532"/>
      <c r="J300" s="2179">
        <f t="shared" si="198"/>
        <v>3</v>
      </c>
      <c r="K300" s="532"/>
      <c r="L300" s="2179">
        <f t="shared" si="199"/>
        <v>8</v>
      </c>
      <c r="M300" s="532"/>
      <c r="N300" s="2179">
        <f t="shared" si="200"/>
        <v>4</v>
      </c>
      <c r="O300" s="532"/>
      <c r="P300" s="2179">
        <f t="shared" si="201"/>
        <v>6</v>
      </c>
      <c r="Q300" s="532"/>
      <c r="R300" s="2180">
        <f t="shared" si="202"/>
        <v>2</v>
      </c>
      <c r="S300" s="532"/>
      <c r="T300" s="2180">
        <f t="shared" si="203"/>
        <v>2</v>
      </c>
      <c r="U300" s="532"/>
      <c r="V300" s="2180">
        <f t="shared" si="204"/>
        <v>2</v>
      </c>
      <c r="W300" s="532"/>
      <c r="X300" s="2180">
        <f t="shared" si="205"/>
        <v>0</v>
      </c>
      <c r="Y300" s="532"/>
      <c r="Z300" s="2180" t="str">
        <f t="shared" si="206"/>
        <v/>
      </c>
      <c r="AA300" s="532"/>
      <c r="AB300" s="2180" t="str">
        <f t="shared" si="207"/>
        <v/>
      </c>
      <c r="AC300" s="532"/>
      <c r="AD300" s="2180">
        <f t="shared" si="208"/>
        <v>2</v>
      </c>
      <c r="AE300" s="532"/>
      <c r="AF300" s="2180">
        <f t="shared" si="209"/>
        <v>2</v>
      </c>
      <c r="AG300" s="532"/>
      <c r="AH300" s="2181">
        <f t="shared" si="210"/>
        <v>2</v>
      </c>
      <c r="AI300" s="69"/>
      <c r="AJ300" s="2181" t="str">
        <f t="shared" si="211"/>
        <v/>
      </c>
      <c r="AK300" s="69"/>
      <c r="AL300" s="2182">
        <f t="shared" si="212"/>
        <v>2</v>
      </c>
      <c r="AM300" s="532"/>
      <c r="AN300" s="2182">
        <f t="shared" si="213"/>
        <v>2</v>
      </c>
      <c r="AO300" s="532"/>
      <c r="AP300" s="2182">
        <f t="shared" si="214"/>
        <v>2</v>
      </c>
      <c r="AQ300" s="532"/>
      <c r="AR300" s="2182">
        <f t="shared" si="215"/>
        <v>7</v>
      </c>
      <c r="AS300" s="532"/>
      <c r="AT300" s="2182">
        <f t="shared" si="216"/>
        <v>5</v>
      </c>
      <c r="AU300" s="532"/>
      <c r="AV300" s="2183">
        <f t="shared" si="217"/>
        <v>2</v>
      </c>
      <c r="AW300" s="69"/>
      <c r="AX300" s="2184" t="str">
        <f t="shared" si="218"/>
        <v/>
      </c>
      <c r="AY300" s="69"/>
      <c r="AZ300" s="2184" t="str">
        <f t="shared" si="219"/>
        <v/>
      </c>
      <c r="BA300" s="69"/>
      <c r="BB300" s="2184" t="str">
        <f t="shared" si="220"/>
        <v/>
      </c>
      <c r="BC300" s="69"/>
      <c r="BD300" s="2184">
        <f t="shared" si="221"/>
        <v>2</v>
      </c>
      <c r="BE300" s="69"/>
      <c r="BF300" s="2184">
        <f t="shared" si="222"/>
        <v>2</v>
      </c>
      <c r="BG300" s="69"/>
      <c r="BH300" s="2184">
        <f t="shared" si="223"/>
        <v>2</v>
      </c>
      <c r="BI300" s="69"/>
      <c r="BJ300" s="2184">
        <f t="shared" si="224"/>
        <v>2</v>
      </c>
      <c r="BK300" s="69"/>
      <c r="BL300" s="2179" t="str">
        <f t="shared" si="225"/>
        <v/>
      </c>
      <c r="BM300" s="532"/>
      <c r="BN300" s="2179">
        <f t="shared" si="226"/>
        <v>10</v>
      </c>
      <c r="BO300" s="532"/>
      <c r="BP300" s="2185">
        <f t="shared" si="227"/>
        <v>77</v>
      </c>
      <c r="BQ300" s="532"/>
      <c r="BR300" s="541"/>
      <c r="BS300" s="541"/>
      <c r="BT300" s="541"/>
      <c r="BU300" s="541"/>
    </row>
    <row r="301" ht="30.75" customHeight="1">
      <c r="A301" s="1718"/>
      <c r="B301" s="2178">
        <v>1896.0</v>
      </c>
      <c r="C301" s="1567">
        <v>247.0</v>
      </c>
      <c r="D301" s="1720"/>
      <c r="E301" s="1702" t="str">
        <f t="shared" si="195"/>
        <v>Манты со сметаной </v>
      </c>
      <c r="F301" s="2191">
        <f t="shared" si="196"/>
        <v>16</v>
      </c>
      <c r="G301" s="532"/>
      <c r="H301" s="2182">
        <f t="shared" si="197"/>
        <v>0</v>
      </c>
      <c r="I301" s="532"/>
      <c r="J301" s="2191">
        <f t="shared" si="198"/>
        <v>3</v>
      </c>
      <c r="K301" s="532"/>
      <c r="L301" s="2191">
        <f t="shared" si="199"/>
        <v>0</v>
      </c>
      <c r="M301" s="532"/>
      <c r="N301" s="2191">
        <f t="shared" si="200"/>
        <v>7</v>
      </c>
      <c r="O301" s="532"/>
      <c r="P301" s="2191">
        <f t="shared" si="201"/>
        <v>8</v>
      </c>
      <c r="Q301" s="532"/>
      <c r="R301" s="2182">
        <f t="shared" si="202"/>
        <v>2</v>
      </c>
      <c r="S301" s="532"/>
      <c r="T301" s="2182">
        <f t="shared" si="203"/>
        <v>2</v>
      </c>
      <c r="U301" s="532"/>
      <c r="V301" s="2182">
        <f t="shared" si="204"/>
        <v>2</v>
      </c>
      <c r="W301" s="532"/>
      <c r="X301" s="2182">
        <f t="shared" si="205"/>
        <v>2</v>
      </c>
      <c r="Y301" s="532"/>
      <c r="Z301" s="2182" t="str">
        <f t="shared" si="206"/>
        <v/>
      </c>
      <c r="AA301" s="532"/>
      <c r="AB301" s="2182">
        <f t="shared" si="207"/>
        <v>2</v>
      </c>
      <c r="AC301" s="532"/>
      <c r="AD301" s="2182">
        <f t="shared" si="208"/>
        <v>2</v>
      </c>
      <c r="AE301" s="532"/>
      <c r="AF301" s="2182">
        <f t="shared" si="209"/>
        <v>2</v>
      </c>
      <c r="AG301" s="532"/>
      <c r="AH301" s="2183">
        <f t="shared" si="210"/>
        <v>2</v>
      </c>
      <c r="AI301" s="69"/>
      <c r="AJ301" s="2183">
        <f t="shared" si="211"/>
        <v>3</v>
      </c>
      <c r="AK301" s="69"/>
      <c r="AL301" s="2182">
        <f t="shared" si="212"/>
        <v>4</v>
      </c>
      <c r="AM301" s="532"/>
      <c r="AN301" s="2182">
        <f t="shared" si="213"/>
        <v>2</v>
      </c>
      <c r="AO301" s="532"/>
      <c r="AP301" s="2182">
        <f t="shared" si="214"/>
        <v>2</v>
      </c>
      <c r="AQ301" s="532"/>
      <c r="AR301" s="2182">
        <f t="shared" si="215"/>
        <v>2</v>
      </c>
      <c r="AS301" s="532"/>
      <c r="AT301" s="2182">
        <f t="shared" si="216"/>
        <v>2</v>
      </c>
      <c r="AU301" s="532"/>
      <c r="AV301" s="2183">
        <f t="shared" si="217"/>
        <v>2</v>
      </c>
      <c r="AW301" s="69"/>
      <c r="AX301" s="2184">
        <f t="shared" si="218"/>
        <v>6</v>
      </c>
      <c r="AY301" s="69"/>
      <c r="AZ301" s="2184">
        <f t="shared" si="219"/>
        <v>1</v>
      </c>
      <c r="BA301" s="69"/>
      <c r="BB301" s="2184">
        <f t="shared" si="220"/>
        <v>2</v>
      </c>
      <c r="BC301" s="69"/>
      <c r="BD301" s="2184">
        <f t="shared" si="221"/>
        <v>2</v>
      </c>
      <c r="BE301" s="69"/>
      <c r="BF301" s="2184">
        <f t="shared" si="222"/>
        <v>2</v>
      </c>
      <c r="BG301" s="69"/>
      <c r="BH301" s="2184">
        <f t="shared" si="223"/>
        <v>0</v>
      </c>
      <c r="BI301" s="69"/>
      <c r="BJ301" s="2184">
        <f t="shared" si="224"/>
        <v>2</v>
      </c>
      <c r="BK301" s="69"/>
      <c r="BL301" s="2179" t="str">
        <f t="shared" si="225"/>
        <v/>
      </c>
      <c r="BM301" s="532"/>
      <c r="BN301" s="2179" t="str">
        <f t="shared" si="226"/>
        <v/>
      </c>
      <c r="BO301" s="532"/>
      <c r="BP301" s="2190">
        <f t="shared" si="227"/>
        <v>82</v>
      </c>
      <c r="BQ301" s="532"/>
      <c r="BR301" s="541"/>
      <c r="BS301" s="541"/>
      <c r="BT301" s="541"/>
      <c r="BU301" s="541"/>
    </row>
    <row r="302" ht="30.75" customHeight="1">
      <c r="A302" s="1718"/>
      <c r="B302" s="2178">
        <v>3528.0</v>
      </c>
      <c r="C302" s="1567">
        <v>56.0</v>
      </c>
      <c r="D302" s="1720"/>
      <c r="E302" s="1702" t="str">
        <f t="shared" si="195"/>
        <v>Сырная палочка 80 гр</v>
      </c>
      <c r="F302" s="2179" t="str">
        <f t="shared" si="196"/>
        <v/>
      </c>
      <c r="G302" s="532"/>
      <c r="H302" s="2180" t="str">
        <f t="shared" si="197"/>
        <v/>
      </c>
      <c r="I302" s="532"/>
      <c r="J302" s="2179" t="str">
        <f t="shared" si="198"/>
        <v/>
      </c>
      <c r="K302" s="532"/>
      <c r="L302" s="2179" t="str">
        <f t="shared" si="199"/>
        <v/>
      </c>
      <c r="M302" s="532"/>
      <c r="N302" s="2179" t="str">
        <f t="shared" si="200"/>
        <v/>
      </c>
      <c r="O302" s="532"/>
      <c r="P302" s="2179" t="str">
        <f t="shared" si="201"/>
        <v/>
      </c>
      <c r="Q302" s="532"/>
      <c r="R302" s="2180" t="str">
        <f t="shared" si="202"/>
        <v/>
      </c>
      <c r="S302" s="532"/>
      <c r="T302" s="2180" t="str">
        <f t="shared" si="203"/>
        <v/>
      </c>
      <c r="U302" s="532"/>
      <c r="V302" s="2180" t="str">
        <f t="shared" si="204"/>
        <v/>
      </c>
      <c r="W302" s="532"/>
      <c r="X302" s="2180" t="str">
        <f t="shared" si="205"/>
        <v/>
      </c>
      <c r="Y302" s="532"/>
      <c r="Z302" s="2180" t="str">
        <f t="shared" si="206"/>
        <v/>
      </c>
      <c r="AA302" s="532"/>
      <c r="AB302" s="2180" t="str">
        <f t="shared" si="207"/>
        <v/>
      </c>
      <c r="AC302" s="532"/>
      <c r="AD302" s="2180" t="str">
        <f t="shared" si="208"/>
        <v/>
      </c>
      <c r="AE302" s="532"/>
      <c r="AF302" s="2180" t="str">
        <f t="shared" si="209"/>
        <v/>
      </c>
      <c r="AG302" s="532"/>
      <c r="AH302" s="2181" t="str">
        <f t="shared" si="210"/>
        <v/>
      </c>
      <c r="AI302" s="69"/>
      <c r="AJ302" s="2181" t="str">
        <f t="shared" si="211"/>
        <v/>
      </c>
      <c r="AK302" s="69"/>
      <c r="AL302" s="2182" t="str">
        <f t="shared" si="212"/>
        <v/>
      </c>
      <c r="AM302" s="532"/>
      <c r="AN302" s="2182" t="str">
        <f t="shared" si="213"/>
        <v/>
      </c>
      <c r="AO302" s="532"/>
      <c r="AP302" s="2182" t="str">
        <f t="shared" si="214"/>
        <v/>
      </c>
      <c r="AQ302" s="532"/>
      <c r="AR302" s="2182" t="str">
        <f t="shared" si="215"/>
        <v/>
      </c>
      <c r="AS302" s="532"/>
      <c r="AT302" s="2182" t="str">
        <f t="shared" si="216"/>
        <v/>
      </c>
      <c r="AU302" s="532"/>
      <c r="AV302" s="2183" t="str">
        <f t="shared" si="217"/>
        <v/>
      </c>
      <c r="AW302" s="69"/>
      <c r="AX302" s="2184" t="str">
        <f t="shared" si="218"/>
        <v/>
      </c>
      <c r="AY302" s="69"/>
      <c r="AZ302" s="2184" t="str">
        <f t="shared" si="219"/>
        <v/>
      </c>
      <c r="BA302" s="69"/>
      <c r="BB302" s="2184" t="str">
        <f t="shared" si="220"/>
        <v/>
      </c>
      <c r="BC302" s="69"/>
      <c r="BD302" s="2184" t="str">
        <f t="shared" si="221"/>
        <v/>
      </c>
      <c r="BE302" s="69"/>
      <c r="BF302" s="2184" t="str">
        <f t="shared" si="222"/>
        <v/>
      </c>
      <c r="BG302" s="69"/>
      <c r="BH302" s="2184" t="str">
        <f t="shared" si="223"/>
        <v/>
      </c>
      <c r="BI302" s="69"/>
      <c r="BJ302" s="2184" t="str">
        <f t="shared" si="224"/>
        <v/>
      </c>
      <c r="BK302" s="69"/>
      <c r="BL302" s="2191">
        <f t="shared" si="225"/>
        <v>10</v>
      </c>
      <c r="BM302" s="532"/>
      <c r="BN302" s="2191" t="str">
        <f t="shared" si="226"/>
        <v/>
      </c>
      <c r="BO302" s="532"/>
      <c r="BP302" s="2185">
        <f t="shared" si="227"/>
        <v>10</v>
      </c>
      <c r="BQ302" s="532"/>
      <c r="BR302" s="541"/>
      <c r="BS302" s="541"/>
      <c r="BT302" s="541"/>
      <c r="BU302" s="541"/>
    </row>
    <row r="303" ht="30.75" customHeight="1">
      <c r="A303" s="1718"/>
      <c r="B303" s="2178">
        <v>5.0</v>
      </c>
      <c r="C303" s="1567">
        <v>155.0</v>
      </c>
      <c r="D303" s="1720"/>
      <c r="E303" s="1702" t="str">
        <f t="shared" si="195"/>
        <v>Сэндвич с ветчиной и сыром</v>
      </c>
      <c r="F303" s="2191">
        <f t="shared" si="196"/>
        <v>45</v>
      </c>
      <c r="G303" s="532"/>
      <c r="H303" s="2182">
        <f t="shared" si="197"/>
        <v>5</v>
      </c>
      <c r="I303" s="532"/>
      <c r="J303" s="2191">
        <f t="shared" si="198"/>
        <v>4</v>
      </c>
      <c r="K303" s="532"/>
      <c r="L303" s="2191">
        <f t="shared" si="199"/>
        <v>7</v>
      </c>
      <c r="M303" s="532"/>
      <c r="N303" s="2191">
        <f t="shared" si="200"/>
        <v>6</v>
      </c>
      <c r="O303" s="532"/>
      <c r="P303" s="2191">
        <f t="shared" si="201"/>
        <v>20</v>
      </c>
      <c r="Q303" s="532"/>
      <c r="R303" s="2182">
        <f t="shared" si="202"/>
        <v>2</v>
      </c>
      <c r="S303" s="532"/>
      <c r="T303" s="2182">
        <f t="shared" si="203"/>
        <v>2</v>
      </c>
      <c r="U303" s="532"/>
      <c r="V303" s="2182">
        <f t="shared" si="204"/>
        <v>6</v>
      </c>
      <c r="W303" s="532"/>
      <c r="X303" s="2182">
        <f t="shared" si="205"/>
        <v>20</v>
      </c>
      <c r="Y303" s="532"/>
      <c r="Z303" s="2182" t="str">
        <f t="shared" si="206"/>
        <v/>
      </c>
      <c r="AA303" s="532"/>
      <c r="AB303" s="2182">
        <f t="shared" si="207"/>
        <v>5</v>
      </c>
      <c r="AC303" s="532"/>
      <c r="AD303" s="2182">
        <f t="shared" si="208"/>
        <v>6</v>
      </c>
      <c r="AE303" s="532"/>
      <c r="AF303" s="2182">
        <f t="shared" si="209"/>
        <v>3</v>
      </c>
      <c r="AG303" s="532"/>
      <c r="AH303" s="2183">
        <f t="shared" si="210"/>
        <v>7</v>
      </c>
      <c r="AI303" s="69"/>
      <c r="AJ303" s="2183">
        <f t="shared" si="211"/>
        <v>5</v>
      </c>
      <c r="AK303" s="69"/>
      <c r="AL303" s="2182">
        <f t="shared" si="212"/>
        <v>7</v>
      </c>
      <c r="AM303" s="532"/>
      <c r="AN303" s="2182">
        <f t="shared" si="213"/>
        <v>3</v>
      </c>
      <c r="AO303" s="532"/>
      <c r="AP303" s="2182">
        <f t="shared" si="214"/>
        <v>4</v>
      </c>
      <c r="AQ303" s="532"/>
      <c r="AR303" s="2182">
        <f t="shared" si="215"/>
        <v>13</v>
      </c>
      <c r="AS303" s="532"/>
      <c r="AT303" s="2182">
        <f t="shared" si="216"/>
        <v>3</v>
      </c>
      <c r="AU303" s="532"/>
      <c r="AV303" s="2183">
        <f t="shared" si="217"/>
        <v>14</v>
      </c>
      <c r="AW303" s="69"/>
      <c r="AX303" s="2184">
        <f t="shared" si="218"/>
        <v>9</v>
      </c>
      <c r="AY303" s="69"/>
      <c r="AZ303" s="2184">
        <f t="shared" si="219"/>
        <v>8</v>
      </c>
      <c r="BA303" s="69"/>
      <c r="BB303" s="2184">
        <f t="shared" si="220"/>
        <v>10</v>
      </c>
      <c r="BC303" s="69"/>
      <c r="BD303" s="2184">
        <f t="shared" si="221"/>
        <v>3</v>
      </c>
      <c r="BE303" s="69"/>
      <c r="BF303" s="2184">
        <f t="shared" si="222"/>
        <v>16</v>
      </c>
      <c r="BG303" s="69"/>
      <c r="BH303" s="2184">
        <f t="shared" si="223"/>
        <v>3</v>
      </c>
      <c r="BI303" s="69"/>
      <c r="BJ303" s="2184">
        <f t="shared" si="224"/>
        <v>6</v>
      </c>
      <c r="BK303" s="69"/>
      <c r="BL303" s="2191" t="str">
        <f t="shared" si="225"/>
        <v/>
      </c>
      <c r="BM303" s="532"/>
      <c r="BN303" s="2191" t="str">
        <f t="shared" si="226"/>
        <v/>
      </c>
      <c r="BO303" s="532"/>
      <c r="BP303" s="2190">
        <f t="shared" si="227"/>
        <v>242</v>
      </c>
      <c r="BQ303" s="532"/>
      <c r="BR303" s="541"/>
      <c r="BS303" s="541"/>
      <c r="BT303" s="541"/>
      <c r="BU303" s="541"/>
    </row>
    <row r="304" ht="30.75" customHeight="1">
      <c r="A304" s="1718"/>
      <c r="B304" s="2178">
        <v>3330.0</v>
      </c>
      <c r="C304" s="1567">
        <v>172.0</v>
      </c>
      <c r="D304" s="1720"/>
      <c r="E304" s="1702" t="str">
        <f t="shared" si="195"/>
        <v>Сэндвич с курицей и соусом Барбекю</v>
      </c>
      <c r="F304" s="2191">
        <f t="shared" si="196"/>
        <v>15</v>
      </c>
      <c r="G304" s="532"/>
      <c r="H304" s="2182">
        <f t="shared" si="197"/>
        <v>2</v>
      </c>
      <c r="I304" s="532"/>
      <c r="J304" s="2191">
        <f t="shared" si="198"/>
        <v>4</v>
      </c>
      <c r="K304" s="532"/>
      <c r="L304" s="2191">
        <f t="shared" si="199"/>
        <v>3</v>
      </c>
      <c r="M304" s="532"/>
      <c r="N304" s="2191">
        <f t="shared" si="200"/>
        <v>5</v>
      </c>
      <c r="O304" s="532"/>
      <c r="P304" s="2191">
        <f t="shared" si="201"/>
        <v>6</v>
      </c>
      <c r="Q304" s="532"/>
      <c r="R304" s="2182">
        <f t="shared" si="202"/>
        <v>4</v>
      </c>
      <c r="S304" s="532"/>
      <c r="T304" s="2182">
        <f t="shared" si="203"/>
        <v>1</v>
      </c>
      <c r="U304" s="532"/>
      <c r="V304" s="2182">
        <f t="shared" si="204"/>
        <v>2</v>
      </c>
      <c r="W304" s="532"/>
      <c r="X304" s="2182">
        <f t="shared" si="205"/>
        <v>6</v>
      </c>
      <c r="Y304" s="532"/>
      <c r="Z304" s="2182" t="str">
        <f t="shared" si="206"/>
        <v/>
      </c>
      <c r="AA304" s="532"/>
      <c r="AB304" s="2182">
        <f t="shared" si="207"/>
        <v>2</v>
      </c>
      <c r="AC304" s="532"/>
      <c r="AD304" s="2182">
        <f t="shared" si="208"/>
        <v>2</v>
      </c>
      <c r="AE304" s="532"/>
      <c r="AF304" s="2182">
        <f t="shared" si="209"/>
        <v>4</v>
      </c>
      <c r="AG304" s="532"/>
      <c r="AH304" s="2183">
        <f t="shared" si="210"/>
        <v>2</v>
      </c>
      <c r="AI304" s="69"/>
      <c r="AJ304" s="2183">
        <f t="shared" si="211"/>
        <v>2</v>
      </c>
      <c r="AK304" s="69"/>
      <c r="AL304" s="2182">
        <f t="shared" si="212"/>
        <v>2</v>
      </c>
      <c r="AM304" s="532"/>
      <c r="AN304" s="2182">
        <f t="shared" si="213"/>
        <v>1</v>
      </c>
      <c r="AO304" s="532"/>
      <c r="AP304" s="2182">
        <f t="shared" si="214"/>
        <v>2</v>
      </c>
      <c r="AQ304" s="532"/>
      <c r="AR304" s="2182">
        <f t="shared" si="215"/>
        <v>3</v>
      </c>
      <c r="AS304" s="532"/>
      <c r="AT304" s="2182">
        <f t="shared" si="216"/>
        <v>4</v>
      </c>
      <c r="AU304" s="532"/>
      <c r="AV304" s="2183">
        <f t="shared" si="217"/>
        <v>3</v>
      </c>
      <c r="AW304" s="69"/>
      <c r="AX304" s="2184">
        <f t="shared" si="218"/>
        <v>4</v>
      </c>
      <c r="AY304" s="69"/>
      <c r="AZ304" s="2184">
        <f t="shared" si="219"/>
        <v>3</v>
      </c>
      <c r="BA304" s="69"/>
      <c r="BB304" s="2184">
        <f t="shared" si="220"/>
        <v>10</v>
      </c>
      <c r="BC304" s="69"/>
      <c r="BD304" s="2184">
        <f t="shared" si="221"/>
        <v>1</v>
      </c>
      <c r="BE304" s="69"/>
      <c r="BF304" s="2184">
        <f t="shared" si="222"/>
        <v>3</v>
      </c>
      <c r="BG304" s="69"/>
      <c r="BH304" s="2184">
        <f t="shared" si="223"/>
        <v>3</v>
      </c>
      <c r="BI304" s="69"/>
      <c r="BJ304" s="2184">
        <f t="shared" si="224"/>
        <v>2</v>
      </c>
      <c r="BK304" s="69"/>
      <c r="BL304" s="2191" t="str">
        <f t="shared" si="225"/>
        <v/>
      </c>
      <c r="BM304" s="532"/>
      <c r="BN304" s="2191" t="str">
        <f t="shared" si="226"/>
        <v/>
      </c>
      <c r="BO304" s="532"/>
      <c r="BP304" s="2190">
        <f t="shared" si="227"/>
        <v>101</v>
      </c>
      <c r="BQ304" s="532"/>
      <c r="BR304" s="541"/>
      <c r="BS304" s="541"/>
      <c r="BT304" s="541"/>
      <c r="BU304" s="541"/>
    </row>
    <row r="305" ht="30.75" customHeight="1">
      <c r="A305" s="1718"/>
      <c r="B305" s="2178">
        <v>4327.0</v>
      </c>
      <c r="C305" s="1567">
        <v>98.0</v>
      </c>
      <c r="D305" s="1720"/>
      <c r="E305" s="1702" t="str">
        <f t="shared" si="195"/>
        <v>Морс вишня/клубника 0,5 л</v>
      </c>
      <c r="F305" s="2191">
        <f t="shared" si="196"/>
        <v>40</v>
      </c>
      <c r="G305" s="532"/>
      <c r="H305" s="2182">
        <f t="shared" si="197"/>
        <v>0</v>
      </c>
      <c r="I305" s="532"/>
      <c r="J305" s="2191" t="str">
        <f t="shared" si="198"/>
        <v/>
      </c>
      <c r="K305" s="532"/>
      <c r="L305" s="2191">
        <f t="shared" si="199"/>
        <v>5</v>
      </c>
      <c r="M305" s="532"/>
      <c r="N305" s="2191">
        <f t="shared" si="200"/>
        <v>0</v>
      </c>
      <c r="O305" s="532"/>
      <c r="P305" s="2191">
        <f t="shared" si="201"/>
        <v>27</v>
      </c>
      <c r="Q305" s="532"/>
      <c r="R305" s="2182">
        <f t="shared" si="202"/>
        <v>0</v>
      </c>
      <c r="S305" s="532"/>
      <c r="T305" s="2182">
        <f t="shared" si="203"/>
        <v>0</v>
      </c>
      <c r="U305" s="532"/>
      <c r="V305" s="2182">
        <f t="shared" si="204"/>
        <v>0</v>
      </c>
      <c r="W305" s="532"/>
      <c r="X305" s="2182">
        <f t="shared" si="205"/>
        <v>0</v>
      </c>
      <c r="Y305" s="532"/>
      <c r="Z305" s="2182" t="str">
        <f t="shared" si="206"/>
        <v/>
      </c>
      <c r="AA305" s="532"/>
      <c r="AB305" s="2182">
        <f t="shared" si="207"/>
        <v>0</v>
      </c>
      <c r="AC305" s="532"/>
      <c r="AD305" s="2182">
        <f t="shared" si="208"/>
        <v>0</v>
      </c>
      <c r="AE305" s="532"/>
      <c r="AF305" s="2182">
        <f t="shared" si="209"/>
        <v>5</v>
      </c>
      <c r="AG305" s="532"/>
      <c r="AH305" s="2183">
        <f t="shared" si="210"/>
        <v>0</v>
      </c>
      <c r="AI305" s="69"/>
      <c r="AJ305" s="2183">
        <f t="shared" si="211"/>
        <v>0</v>
      </c>
      <c r="AK305" s="69"/>
      <c r="AL305" s="2182">
        <f t="shared" si="212"/>
        <v>0</v>
      </c>
      <c r="AM305" s="532"/>
      <c r="AN305" s="2182">
        <f t="shared" si="213"/>
        <v>0</v>
      </c>
      <c r="AO305" s="532"/>
      <c r="AP305" s="2182">
        <f t="shared" si="214"/>
        <v>0</v>
      </c>
      <c r="AQ305" s="532"/>
      <c r="AR305" s="2182">
        <f t="shared" si="215"/>
        <v>40</v>
      </c>
      <c r="AS305" s="532"/>
      <c r="AT305" s="2182">
        <f t="shared" si="216"/>
        <v>5</v>
      </c>
      <c r="AU305" s="532"/>
      <c r="AV305" s="2183">
        <f t="shared" si="217"/>
        <v>10</v>
      </c>
      <c r="AW305" s="69"/>
      <c r="AX305" s="2184">
        <f t="shared" si="218"/>
        <v>6</v>
      </c>
      <c r="AY305" s="69"/>
      <c r="AZ305" s="2184">
        <f t="shared" si="219"/>
        <v>0</v>
      </c>
      <c r="BA305" s="69"/>
      <c r="BB305" s="2184">
        <f t="shared" si="220"/>
        <v>30</v>
      </c>
      <c r="BC305" s="69"/>
      <c r="BD305" s="2184">
        <f t="shared" si="221"/>
        <v>3</v>
      </c>
      <c r="BE305" s="69"/>
      <c r="BF305" s="2184">
        <f t="shared" si="222"/>
        <v>37</v>
      </c>
      <c r="BG305" s="69"/>
      <c r="BH305" s="2184">
        <f t="shared" si="223"/>
        <v>6</v>
      </c>
      <c r="BI305" s="69"/>
      <c r="BJ305" s="2184">
        <f t="shared" si="224"/>
        <v>7</v>
      </c>
      <c r="BK305" s="69"/>
      <c r="BL305" s="2179" t="str">
        <f t="shared" si="225"/>
        <v/>
      </c>
      <c r="BM305" s="532"/>
      <c r="BN305" s="2179" t="str">
        <f t="shared" si="226"/>
        <v/>
      </c>
      <c r="BO305" s="532"/>
      <c r="BP305" s="2190">
        <f t="shared" si="227"/>
        <v>221</v>
      </c>
      <c r="BQ305" s="532"/>
      <c r="BR305" s="541"/>
      <c r="BS305" s="541"/>
      <c r="BT305" s="541"/>
      <c r="BU305" s="541"/>
    </row>
    <row r="306" ht="30.75" customHeight="1">
      <c r="A306" s="1718"/>
      <c r="B306" s="2178">
        <v>4197.0</v>
      </c>
      <c r="C306" s="1567">
        <v>208.0</v>
      </c>
      <c r="D306" s="1720"/>
      <c r="E306" s="1702" t="str">
        <f t="shared" si="195"/>
        <v>Хот-дог датский </v>
      </c>
      <c r="F306" s="2191" t="str">
        <f t="shared" si="196"/>
        <v/>
      </c>
      <c r="G306" s="532"/>
      <c r="H306" s="2182" t="str">
        <f t="shared" si="197"/>
        <v/>
      </c>
      <c r="I306" s="532"/>
      <c r="J306" s="2191" t="str">
        <f t="shared" si="198"/>
        <v/>
      </c>
      <c r="K306" s="532"/>
      <c r="L306" s="2191" t="str">
        <f t="shared" si="199"/>
        <v/>
      </c>
      <c r="M306" s="532"/>
      <c r="N306" s="2191" t="str">
        <f t="shared" si="200"/>
        <v/>
      </c>
      <c r="O306" s="532"/>
      <c r="P306" s="2191" t="str">
        <f t="shared" si="201"/>
        <v/>
      </c>
      <c r="Q306" s="532"/>
      <c r="R306" s="2182" t="str">
        <f t="shared" si="202"/>
        <v/>
      </c>
      <c r="S306" s="532"/>
      <c r="T306" s="2182" t="str">
        <f t="shared" si="203"/>
        <v/>
      </c>
      <c r="U306" s="532"/>
      <c r="V306" s="2182" t="str">
        <f t="shared" si="204"/>
        <v/>
      </c>
      <c r="W306" s="532"/>
      <c r="X306" s="2182" t="str">
        <f t="shared" si="205"/>
        <v/>
      </c>
      <c r="Y306" s="532"/>
      <c r="Z306" s="2182" t="str">
        <f t="shared" si="206"/>
        <v/>
      </c>
      <c r="AA306" s="532"/>
      <c r="AB306" s="2182" t="str">
        <f t="shared" si="207"/>
        <v/>
      </c>
      <c r="AC306" s="532"/>
      <c r="AD306" s="2182" t="str">
        <f t="shared" si="208"/>
        <v/>
      </c>
      <c r="AE306" s="532"/>
      <c r="AF306" s="2182" t="str">
        <f t="shared" si="209"/>
        <v/>
      </c>
      <c r="AG306" s="532"/>
      <c r="AH306" s="2183" t="str">
        <f t="shared" si="210"/>
        <v/>
      </c>
      <c r="AI306" s="69"/>
      <c r="AJ306" s="2183" t="str">
        <f t="shared" si="211"/>
        <v/>
      </c>
      <c r="AK306" s="69"/>
      <c r="AL306" s="2182" t="str">
        <f t="shared" si="212"/>
        <v/>
      </c>
      <c r="AM306" s="532"/>
      <c r="AN306" s="2182" t="str">
        <f t="shared" si="213"/>
        <v/>
      </c>
      <c r="AO306" s="532"/>
      <c r="AP306" s="2182" t="str">
        <f t="shared" si="214"/>
        <v/>
      </c>
      <c r="AQ306" s="532"/>
      <c r="AR306" s="2182" t="str">
        <f t="shared" si="215"/>
        <v/>
      </c>
      <c r="AS306" s="532"/>
      <c r="AT306" s="2182" t="str">
        <f t="shared" si="216"/>
        <v/>
      </c>
      <c r="AU306" s="532"/>
      <c r="AV306" s="2183" t="str">
        <f t="shared" si="217"/>
        <v/>
      </c>
      <c r="AW306" s="69"/>
      <c r="AX306" s="2184" t="str">
        <f t="shared" si="218"/>
        <v/>
      </c>
      <c r="AY306" s="69"/>
      <c r="AZ306" s="2184" t="str">
        <f t="shared" si="219"/>
        <v/>
      </c>
      <c r="BA306" s="69"/>
      <c r="BB306" s="2184" t="str">
        <f t="shared" si="220"/>
        <v/>
      </c>
      <c r="BC306" s="69"/>
      <c r="BD306" s="2184" t="str">
        <f t="shared" si="221"/>
        <v/>
      </c>
      <c r="BE306" s="69"/>
      <c r="BF306" s="2184" t="str">
        <f t="shared" si="222"/>
        <v/>
      </c>
      <c r="BG306" s="69"/>
      <c r="BH306" s="2184" t="str">
        <f t="shared" si="223"/>
        <v/>
      </c>
      <c r="BI306" s="69"/>
      <c r="BJ306" s="2184" t="str">
        <f t="shared" si="224"/>
        <v/>
      </c>
      <c r="BK306" s="69"/>
      <c r="BL306" s="2191" t="str">
        <f t="shared" si="225"/>
        <v/>
      </c>
      <c r="BM306" s="532"/>
      <c r="BN306" s="2191" t="str">
        <f t="shared" si="226"/>
        <v/>
      </c>
      <c r="BO306" s="532"/>
      <c r="BP306" s="2190">
        <f t="shared" si="227"/>
        <v>0</v>
      </c>
      <c r="BQ306" s="532"/>
      <c r="BR306" s="541"/>
      <c r="BS306" s="541"/>
      <c r="BT306" s="541"/>
      <c r="BU306" s="541"/>
    </row>
    <row r="307" ht="30.75" customHeight="1">
      <c r="A307" s="1718"/>
      <c r="B307" s="2178">
        <v>822.0</v>
      </c>
      <c r="C307" s="1567">
        <v>5.0</v>
      </c>
      <c r="D307" s="1720"/>
      <c r="E307" s="1702" t="str">
        <f t="shared" si="195"/>
        <v>Хлеб пшеничный</v>
      </c>
      <c r="F307" s="2191">
        <f t="shared" si="196"/>
        <v>45</v>
      </c>
      <c r="G307" s="532"/>
      <c r="H307" s="2182">
        <f t="shared" si="197"/>
        <v>3</v>
      </c>
      <c r="I307" s="532"/>
      <c r="J307" s="2191" t="str">
        <f t="shared" si="198"/>
        <v/>
      </c>
      <c r="K307" s="532"/>
      <c r="L307" s="2191">
        <f t="shared" si="199"/>
        <v>8</v>
      </c>
      <c r="M307" s="532"/>
      <c r="N307" s="2191">
        <f t="shared" si="200"/>
        <v>5</v>
      </c>
      <c r="O307" s="532"/>
      <c r="P307" s="2191">
        <f t="shared" si="201"/>
        <v>7</v>
      </c>
      <c r="Q307" s="532"/>
      <c r="R307" s="2182">
        <f t="shared" si="202"/>
        <v>6</v>
      </c>
      <c r="S307" s="532"/>
      <c r="T307" s="2182">
        <f t="shared" si="203"/>
        <v>3</v>
      </c>
      <c r="U307" s="532"/>
      <c r="V307" s="2182">
        <f t="shared" si="204"/>
        <v>4</v>
      </c>
      <c r="W307" s="532"/>
      <c r="X307" s="2182">
        <f t="shared" si="205"/>
        <v>12</v>
      </c>
      <c r="Y307" s="532"/>
      <c r="Z307" s="2182" t="str">
        <f t="shared" si="206"/>
        <v/>
      </c>
      <c r="AA307" s="532"/>
      <c r="AB307" s="2182">
        <f t="shared" si="207"/>
        <v>3</v>
      </c>
      <c r="AC307" s="532"/>
      <c r="AD307" s="2182">
        <f t="shared" si="208"/>
        <v>5</v>
      </c>
      <c r="AE307" s="532"/>
      <c r="AF307" s="2182">
        <f t="shared" si="209"/>
        <v>7</v>
      </c>
      <c r="AG307" s="532"/>
      <c r="AH307" s="2183" t="str">
        <f t="shared" si="210"/>
        <v/>
      </c>
      <c r="AI307" s="69"/>
      <c r="AJ307" s="2183" t="str">
        <f t="shared" si="211"/>
        <v/>
      </c>
      <c r="AK307" s="69"/>
      <c r="AL307" s="2182">
        <f t="shared" si="212"/>
        <v>5</v>
      </c>
      <c r="AM307" s="532"/>
      <c r="AN307" s="2182">
        <f t="shared" si="213"/>
        <v>3</v>
      </c>
      <c r="AO307" s="532"/>
      <c r="AP307" s="2182">
        <f t="shared" si="214"/>
        <v>3</v>
      </c>
      <c r="AQ307" s="532"/>
      <c r="AR307" s="2182" t="str">
        <f t="shared" si="215"/>
        <v/>
      </c>
      <c r="AS307" s="532"/>
      <c r="AT307" s="2182">
        <f t="shared" si="216"/>
        <v>3</v>
      </c>
      <c r="AU307" s="532"/>
      <c r="AV307" s="2183">
        <f t="shared" si="217"/>
        <v>6</v>
      </c>
      <c r="AW307" s="69"/>
      <c r="AX307" s="2184">
        <f t="shared" si="218"/>
        <v>3</v>
      </c>
      <c r="AY307" s="69"/>
      <c r="AZ307" s="2184">
        <f t="shared" si="219"/>
        <v>20</v>
      </c>
      <c r="BA307" s="69"/>
      <c r="BB307" s="2184">
        <f t="shared" si="220"/>
        <v>5</v>
      </c>
      <c r="BC307" s="69"/>
      <c r="BD307" s="2184" t="str">
        <f t="shared" si="221"/>
        <v/>
      </c>
      <c r="BE307" s="69"/>
      <c r="BF307" s="2184">
        <f t="shared" si="222"/>
        <v>8</v>
      </c>
      <c r="BG307" s="69"/>
      <c r="BH307" s="2184">
        <f t="shared" si="223"/>
        <v>4</v>
      </c>
      <c r="BI307" s="69"/>
      <c r="BJ307" s="2184">
        <f t="shared" si="224"/>
        <v>6</v>
      </c>
      <c r="BK307" s="69"/>
      <c r="BL307" s="2191">
        <f t="shared" si="225"/>
        <v>127</v>
      </c>
      <c r="BM307" s="532"/>
      <c r="BN307" s="2191">
        <f t="shared" si="226"/>
        <v>10</v>
      </c>
      <c r="BO307" s="532"/>
      <c r="BP307" s="2190">
        <f t="shared" si="227"/>
        <v>301</v>
      </c>
      <c r="BQ307" s="532"/>
      <c r="BR307" s="541"/>
      <c r="BS307" s="541"/>
      <c r="BT307" s="541"/>
      <c r="BU307" s="541"/>
    </row>
    <row r="308" ht="30.75" customHeight="1">
      <c r="A308" s="1718"/>
      <c r="B308" s="2178"/>
      <c r="C308" s="1734"/>
      <c r="D308" s="1720"/>
      <c r="E308" s="1702" t="str">
        <f t="shared" si="195"/>
        <v/>
      </c>
      <c r="F308" s="2191" t="str">
        <f t="shared" si="196"/>
        <v/>
      </c>
      <c r="G308" s="532"/>
      <c r="H308" s="2182" t="str">
        <f t="shared" si="197"/>
        <v/>
      </c>
      <c r="I308" s="532"/>
      <c r="J308" s="2191" t="str">
        <f t="shared" si="198"/>
        <v/>
      </c>
      <c r="K308" s="532"/>
      <c r="L308" s="2191" t="str">
        <f t="shared" si="199"/>
        <v/>
      </c>
      <c r="M308" s="532"/>
      <c r="N308" s="2191" t="str">
        <f t="shared" si="200"/>
        <v/>
      </c>
      <c r="O308" s="532"/>
      <c r="P308" s="2191" t="str">
        <f t="shared" si="201"/>
        <v/>
      </c>
      <c r="Q308" s="532"/>
      <c r="R308" s="2182" t="str">
        <f t="shared" si="202"/>
        <v/>
      </c>
      <c r="S308" s="532"/>
      <c r="T308" s="2182" t="str">
        <f t="shared" si="203"/>
        <v/>
      </c>
      <c r="U308" s="532"/>
      <c r="V308" s="2182" t="str">
        <f t="shared" si="204"/>
        <v/>
      </c>
      <c r="W308" s="532"/>
      <c r="X308" s="2182" t="str">
        <f t="shared" si="205"/>
        <v/>
      </c>
      <c r="Y308" s="532"/>
      <c r="Z308" s="2182" t="str">
        <f t="shared" si="206"/>
        <v/>
      </c>
      <c r="AA308" s="532"/>
      <c r="AB308" s="2182" t="str">
        <f t="shared" si="207"/>
        <v/>
      </c>
      <c r="AC308" s="532"/>
      <c r="AD308" s="2182" t="str">
        <f t="shared" si="208"/>
        <v/>
      </c>
      <c r="AE308" s="532"/>
      <c r="AF308" s="2182" t="str">
        <f t="shared" si="209"/>
        <v/>
      </c>
      <c r="AG308" s="532"/>
      <c r="AH308" s="2183" t="str">
        <f t="shared" si="210"/>
        <v/>
      </c>
      <c r="AI308" s="69"/>
      <c r="AJ308" s="2183" t="str">
        <f t="shared" si="211"/>
        <v/>
      </c>
      <c r="AK308" s="69"/>
      <c r="AL308" s="2182" t="str">
        <f t="shared" si="212"/>
        <v/>
      </c>
      <c r="AM308" s="532"/>
      <c r="AN308" s="2182" t="str">
        <f t="shared" si="213"/>
        <v/>
      </c>
      <c r="AO308" s="532"/>
      <c r="AP308" s="2182" t="str">
        <f t="shared" si="214"/>
        <v/>
      </c>
      <c r="AQ308" s="532"/>
      <c r="AR308" s="2182" t="str">
        <f t="shared" si="215"/>
        <v/>
      </c>
      <c r="AS308" s="532"/>
      <c r="AT308" s="2182" t="str">
        <f t="shared" si="216"/>
        <v/>
      </c>
      <c r="AU308" s="532"/>
      <c r="AV308" s="2183" t="str">
        <f t="shared" si="217"/>
        <v/>
      </c>
      <c r="AW308" s="69"/>
      <c r="AX308" s="2184" t="str">
        <f t="shared" si="218"/>
        <v/>
      </c>
      <c r="AY308" s="69"/>
      <c r="AZ308" s="2184" t="str">
        <f t="shared" si="219"/>
        <v/>
      </c>
      <c r="BA308" s="69"/>
      <c r="BB308" s="2184" t="str">
        <f t="shared" si="220"/>
        <v/>
      </c>
      <c r="BC308" s="69"/>
      <c r="BD308" s="2184" t="str">
        <f t="shared" si="221"/>
        <v/>
      </c>
      <c r="BE308" s="69"/>
      <c r="BF308" s="2184" t="str">
        <f t="shared" si="222"/>
        <v/>
      </c>
      <c r="BG308" s="69"/>
      <c r="BH308" s="2184" t="str">
        <f t="shared" si="223"/>
        <v/>
      </c>
      <c r="BI308" s="69"/>
      <c r="BJ308" s="2184" t="str">
        <f t="shared" si="224"/>
        <v/>
      </c>
      <c r="BK308" s="69"/>
      <c r="BL308" s="2191" t="str">
        <f t="shared" si="225"/>
        <v/>
      </c>
      <c r="BM308" s="532"/>
      <c r="BN308" s="2191" t="str">
        <f t="shared" si="226"/>
        <v/>
      </c>
      <c r="BO308" s="532"/>
      <c r="BP308" s="2190">
        <f t="shared" si="227"/>
        <v>0</v>
      </c>
      <c r="BQ308" s="532"/>
      <c r="BR308" s="541"/>
      <c r="BS308" s="541"/>
      <c r="BT308" s="541"/>
      <c r="BU308" s="541"/>
    </row>
    <row r="309" ht="30.75" customHeight="1">
      <c r="A309" s="1718"/>
      <c r="B309" s="2178">
        <v>4266.0</v>
      </c>
      <c r="C309" s="1734">
        <v>131.0</v>
      </c>
      <c r="D309" s="1720"/>
      <c r="E309" s="1702" t="str">
        <f t="shared" si="195"/>
        <v>Закуска с селёдкой 170гр </v>
      </c>
      <c r="F309" s="2191">
        <f t="shared" si="196"/>
        <v>10</v>
      </c>
      <c r="G309" s="532"/>
      <c r="H309" s="2182">
        <f t="shared" si="197"/>
        <v>1</v>
      </c>
      <c r="I309" s="532"/>
      <c r="J309" s="2191">
        <f t="shared" si="198"/>
        <v>1</v>
      </c>
      <c r="K309" s="532"/>
      <c r="L309" s="2191" t="str">
        <f t="shared" si="199"/>
        <v/>
      </c>
      <c r="M309" s="532"/>
      <c r="N309" s="2191">
        <f t="shared" si="200"/>
        <v>2</v>
      </c>
      <c r="O309" s="532"/>
      <c r="P309" s="2191">
        <f t="shared" si="201"/>
        <v>6</v>
      </c>
      <c r="Q309" s="532"/>
      <c r="R309" s="2182">
        <f t="shared" si="202"/>
        <v>0</v>
      </c>
      <c r="S309" s="532"/>
      <c r="T309" s="2182">
        <f t="shared" si="203"/>
        <v>2</v>
      </c>
      <c r="U309" s="532"/>
      <c r="V309" s="2182">
        <f t="shared" si="204"/>
        <v>2</v>
      </c>
      <c r="W309" s="532"/>
      <c r="X309" s="2182">
        <f t="shared" si="205"/>
        <v>2</v>
      </c>
      <c r="Y309" s="532"/>
      <c r="Z309" s="2182" t="str">
        <f t="shared" si="206"/>
        <v/>
      </c>
      <c r="AA309" s="532"/>
      <c r="AB309" s="2182">
        <f t="shared" si="207"/>
        <v>0</v>
      </c>
      <c r="AC309" s="532"/>
      <c r="AD309" s="2182">
        <f t="shared" si="208"/>
        <v>0</v>
      </c>
      <c r="AE309" s="532"/>
      <c r="AF309" s="2182">
        <f t="shared" si="209"/>
        <v>2</v>
      </c>
      <c r="AG309" s="532"/>
      <c r="AH309" s="2183">
        <f t="shared" si="210"/>
        <v>0</v>
      </c>
      <c r="AI309" s="69"/>
      <c r="AJ309" s="2183">
        <f t="shared" si="211"/>
        <v>0</v>
      </c>
      <c r="AK309" s="69"/>
      <c r="AL309" s="2182">
        <f t="shared" si="212"/>
        <v>3</v>
      </c>
      <c r="AM309" s="532"/>
      <c r="AN309" s="2182">
        <f t="shared" si="213"/>
        <v>0</v>
      </c>
      <c r="AO309" s="532"/>
      <c r="AP309" s="2182">
        <f t="shared" si="214"/>
        <v>1</v>
      </c>
      <c r="AQ309" s="532"/>
      <c r="AR309" s="2182">
        <f t="shared" si="215"/>
        <v>7</v>
      </c>
      <c r="AS309" s="532"/>
      <c r="AT309" s="2182">
        <f t="shared" si="216"/>
        <v>0</v>
      </c>
      <c r="AU309" s="532"/>
      <c r="AV309" s="2183">
        <f t="shared" si="217"/>
        <v>4</v>
      </c>
      <c r="AW309" s="69"/>
      <c r="AX309" s="2184">
        <f t="shared" si="218"/>
        <v>2</v>
      </c>
      <c r="AY309" s="69"/>
      <c r="AZ309" s="2184">
        <f t="shared" si="219"/>
        <v>2</v>
      </c>
      <c r="BA309" s="69"/>
      <c r="BB309" s="2184">
        <f t="shared" si="220"/>
        <v>3</v>
      </c>
      <c r="BC309" s="69"/>
      <c r="BD309" s="2184">
        <f t="shared" si="221"/>
        <v>2</v>
      </c>
      <c r="BE309" s="69"/>
      <c r="BF309" s="2184">
        <f t="shared" si="222"/>
        <v>2</v>
      </c>
      <c r="BG309" s="69"/>
      <c r="BH309" s="2184">
        <f t="shared" si="223"/>
        <v>2</v>
      </c>
      <c r="BI309" s="69"/>
      <c r="BJ309" s="2184">
        <f t="shared" si="224"/>
        <v>2</v>
      </c>
      <c r="BK309" s="69"/>
      <c r="BL309" s="2191" t="str">
        <f t="shared" si="225"/>
        <v/>
      </c>
      <c r="BM309" s="532"/>
      <c r="BN309" s="2191" t="str">
        <f t="shared" si="226"/>
        <v/>
      </c>
      <c r="BO309" s="532"/>
      <c r="BP309" s="2190">
        <f t="shared" si="227"/>
        <v>58</v>
      </c>
      <c r="BQ309" s="532"/>
      <c r="BR309" s="541"/>
      <c r="BS309" s="541"/>
      <c r="BT309" s="541"/>
      <c r="BU309" s="541"/>
    </row>
    <row r="310" ht="30.75" customHeight="1">
      <c r="A310" s="1718"/>
      <c r="B310" s="2178"/>
      <c r="C310" s="1734"/>
      <c r="D310" s="1720"/>
      <c r="E310" s="1702" t="str">
        <f t="shared" si="195"/>
        <v/>
      </c>
      <c r="F310" s="2179">
        <f>SUM(F286:G309)</f>
        <v>346</v>
      </c>
      <c r="G310" s="532"/>
      <c r="H310" s="2179">
        <f>SUM(H286:I309)</f>
        <v>49</v>
      </c>
      <c r="I310" s="532"/>
      <c r="J310" s="2179">
        <f>SUM(J286:K309)</f>
        <v>54</v>
      </c>
      <c r="K310" s="532"/>
      <c r="L310" s="2179">
        <f>SUM(L286:M309)</f>
        <v>72</v>
      </c>
      <c r="M310" s="532"/>
      <c r="N310" s="2179">
        <f>SUM(N286:O309)</f>
        <v>97</v>
      </c>
      <c r="O310" s="532"/>
      <c r="P310" s="2179">
        <f>SUM(P286:Q309)</f>
        <v>147</v>
      </c>
      <c r="Q310" s="532"/>
      <c r="R310" s="2179">
        <f>SUM(R286:S309)</f>
        <v>35</v>
      </c>
      <c r="S310" s="532"/>
      <c r="T310" s="2179">
        <f>SUM(T286:U309)</f>
        <v>40</v>
      </c>
      <c r="U310" s="532"/>
      <c r="V310" s="2179">
        <f>SUM(V286:W309)</f>
        <v>40</v>
      </c>
      <c r="W310" s="532"/>
      <c r="X310" s="2179">
        <f>SUM(X286:Y309)</f>
        <v>80</v>
      </c>
      <c r="Y310" s="532"/>
      <c r="Z310" s="2179">
        <f>SUM(Z286:AA309)</f>
        <v>0</v>
      </c>
      <c r="AA310" s="532"/>
      <c r="AB310" s="2179">
        <f>SUM(AB286:AC309)</f>
        <v>34</v>
      </c>
      <c r="AC310" s="532"/>
      <c r="AD310" s="2179">
        <f>SUM(AD286:AE309)</f>
        <v>36</v>
      </c>
      <c r="AE310" s="532"/>
      <c r="AF310" s="2179">
        <f>SUM(AF286:AG309)</f>
        <v>56</v>
      </c>
      <c r="AG310" s="532"/>
      <c r="AH310" s="2179">
        <f>SUM(AH286:AI309)</f>
        <v>36</v>
      </c>
      <c r="AI310" s="532"/>
      <c r="AJ310" s="2179">
        <f>SUM(AJ286:AK309)</f>
        <v>32</v>
      </c>
      <c r="AK310" s="532"/>
      <c r="AL310" s="2191">
        <f>SUM(AL286:AM309)</f>
        <v>49</v>
      </c>
      <c r="AM310" s="532"/>
      <c r="AN310" s="2191">
        <f>SUM(AN286:AO309)</f>
        <v>37</v>
      </c>
      <c r="AO310" s="532"/>
      <c r="AP310" s="2191">
        <f>SUM(AP286:AQ309)</f>
        <v>38</v>
      </c>
      <c r="AQ310" s="532"/>
      <c r="AR310" s="2191">
        <f>SUM(AR286:AS309)</f>
        <v>137</v>
      </c>
      <c r="AS310" s="532"/>
      <c r="AT310" s="2191">
        <f>SUM(AT286:AU309)</f>
        <v>59</v>
      </c>
      <c r="AU310" s="532"/>
      <c r="AV310" s="2191">
        <f>SUM(AV286:AW309)</f>
        <v>84</v>
      </c>
      <c r="AW310" s="532"/>
      <c r="AX310" s="2191">
        <f>SUM(AX286:AY309)</f>
        <v>61</v>
      </c>
      <c r="AY310" s="532"/>
      <c r="AZ310" s="2191">
        <f>SUM(AZ286:BA309)</f>
        <v>64</v>
      </c>
      <c r="BA310" s="532"/>
      <c r="BB310" s="2191">
        <f>SUM(BB286:BC309)</f>
        <v>85</v>
      </c>
      <c r="BC310" s="532"/>
      <c r="BD310" s="2191">
        <f>SUM(BD286:BE309)</f>
        <v>29</v>
      </c>
      <c r="BE310" s="532"/>
      <c r="BF310" s="2191">
        <f>SUM(BF286:BG309)</f>
        <v>117</v>
      </c>
      <c r="BG310" s="532"/>
      <c r="BH310" s="2191">
        <f>SUM(BH286:BI309)</f>
        <v>40</v>
      </c>
      <c r="BI310" s="532"/>
      <c r="BJ310" s="2191">
        <f>SUM(BJ286:BK309)</f>
        <v>63</v>
      </c>
      <c r="BK310" s="532"/>
      <c r="BL310" s="2179">
        <f>SUM(BL286:BM309)</f>
        <v>524</v>
      </c>
      <c r="BM310" s="532"/>
      <c r="BN310" s="2191" t="str">
        <f t="shared" si="226"/>
        <v/>
      </c>
      <c r="BO310" s="532"/>
      <c r="BP310" s="2185">
        <f t="shared" si="227"/>
        <v>2541</v>
      </c>
      <c r="BQ310" s="532"/>
      <c r="BR310" s="541"/>
      <c r="BS310" s="541"/>
      <c r="BT310" s="541"/>
      <c r="BU310" s="541"/>
    </row>
    <row r="311" ht="30.75" customHeight="1">
      <c r="A311" s="1718"/>
      <c r="B311" s="2178"/>
      <c r="C311" s="1734"/>
      <c r="D311" s="1720"/>
      <c r="E311" s="1702" t="str">
        <f t="shared" si="195"/>
        <v/>
      </c>
      <c r="F311" s="2191" t="str">
        <f>G280</f>
        <v/>
      </c>
      <c r="G311" s="532"/>
      <c r="H311" s="2182" t="str">
        <f>I280</f>
        <v/>
      </c>
      <c r="I311" s="532"/>
      <c r="J311" s="2191" t="str">
        <f>K280</f>
        <v/>
      </c>
      <c r="K311" s="532"/>
      <c r="L311" s="2191" t="str">
        <f>M280</f>
        <v/>
      </c>
      <c r="M311" s="532"/>
      <c r="N311" s="2191" t="str">
        <f>O280</f>
        <v/>
      </c>
      <c r="O311" s="532"/>
      <c r="P311" s="2191" t="str">
        <f>Q282</f>
        <v/>
      </c>
      <c r="Q311" s="532"/>
      <c r="R311" s="2182" t="str">
        <f>S280</f>
        <v/>
      </c>
      <c r="S311" s="532"/>
      <c r="T311" s="2182" t="str">
        <f>U280</f>
        <v/>
      </c>
      <c r="U311" s="532"/>
      <c r="V311" s="2182" t="str">
        <f>W280</f>
        <v/>
      </c>
      <c r="W311" s="532"/>
      <c r="X311" s="2182" t="str">
        <f>Y280</f>
        <v/>
      </c>
      <c r="Y311" s="532"/>
      <c r="Z311" s="2182" t="str">
        <f>AA280</f>
        <v/>
      </c>
      <c r="AA311" s="532"/>
      <c r="AB311" s="2182" t="str">
        <f>AC280</f>
        <v/>
      </c>
      <c r="AC311" s="532"/>
      <c r="AD311" s="2182" t="str">
        <f>AE280</f>
        <v/>
      </c>
      <c r="AE311" s="532"/>
      <c r="AF311" s="2182" t="str">
        <f>AG280</f>
        <v/>
      </c>
      <c r="AG311" s="532"/>
      <c r="AH311" s="2183" t="str">
        <f>AI280</f>
        <v/>
      </c>
      <c r="AI311" s="69"/>
      <c r="AJ311" s="2183" t="str">
        <f>AK280</f>
        <v/>
      </c>
      <c r="AK311" s="69"/>
      <c r="AL311" s="2182" t="str">
        <f>AM280</f>
        <v/>
      </c>
      <c r="AM311" s="532"/>
      <c r="AN311" s="2182" t="str">
        <f>AO280</f>
        <v/>
      </c>
      <c r="AO311" s="532"/>
      <c r="AP311" s="2182" t="str">
        <f>AQ280</f>
        <v/>
      </c>
      <c r="AQ311" s="532"/>
      <c r="AR311" s="2182" t="str">
        <f>AS280</f>
        <v/>
      </c>
      <c r="AS311" s="532"/>
      <c r="AT311" s="2182" t="str">
        <f>AU280</f>
        <v/>
      </c>
      <c r="AU311" s="532"/>
      <c r="AV311" s="2183" t="str">
        <f>AW280</f>
        <v/>
      </c>
      <c r="AW311" s="69"/>
      <c r="AX311" s="2184"/>
      <c r="AY311" s="69"/>
      <c r="AZ311" s="2184" t="str">
        <f>BA280</f>
        <v/>
      </c>
      <c r="BA311" s="69"/>
      <c r="BB311" s="2184" t="str">
        <f>BC280</f>
        <v/>
      </c>
      <c r="BC311" s="69"/>
      <c r="BD311" s="2184" t="str">
        <f>BE280</f>
        <v/>
      </c>
      <c r="BE311" s="69"/>
      <c r="BF311" s="2184" t="str">
        <f>BG280</f>
        <v/>
      </c>
      <c r="BG311" s="69"/>
      <c r="BH311" s="2184" t="str">
        <f>BI280</f>
        <v/>
      </c>
      <c r="BI311" s="69"/>
      <c r="BJ311" s="2184" t="str">
        <f>BK280</f>
        <v/>
      </c>
      <c r="BK311" s="69"/>
      <c r="BL311" s="2191" t="str">
        <f>BM280</f>
        <v/>
      </c>
      <c r="BM311" s="532"/>
      <c r="BN311" s="2191" t="str">
        <f t="shared" si="226"/>
        <v/>
      </c>
      <c r="BO311" s="532"/>
      <c r="BP311" s="2190">
        <f t="shared" si="227"/>
        <v>0</v>
      </c>
      <c r="BQ311" s="532"/>
      <c r="BR311" s="541"/>
      <c r="BS311" s="541"/>
      <c r="BT311" s="541"/>
      <c r="BU311" s="541"/>
    </row>
    <row r="312" ht="15.75" customHeight="1">
      <c r="A312" s="1591"/>
      <c r="B312" s="1591"/>
      <c r="C312" s="2217"/>
      <c r="D312" s="1541"/>
      <c r="E312" s="906"/>
      <c r="F312" s="1545"/>
      <c r="G312" s="684"/>
      <c r="H312" s="1545"/>
      <c r="I312" s="684"/>
      <c r="J312" s="1545"/>
      <c r="K312" s="684"/>
      <c r="L312" s="1545"/>
      <c r="M312" s="684"/>
      <c r="N312" s="1545"/>
      <c r="O312" s="684"/>
      <c r="P312" s="1545"/>
      <c r="Q312" s="684"/>
      <c r="R312" s="1545"/>
      <c r="S312" s="684"/>
      <c r="T312" s="1545"/>
      <c r="U312" s="684"/>
      <c r="V312" s="1545"/>
      <c r="W312" s="684"/>
      <c r="X312" s="1545"/>
      <c r="Y312" s="1545"/>
      <c r="Z312" s="1545"/>
      <c r="AA312" s="684"/>
      <c r="AB312" s="1545"/>
      <c r="AC312" s="684"/>
      <c r="AD312" s="684"/>
      <c r="AE312" s="684"/>
      <c r="AF312" s="684"/>
      <c r="AH312" s="684"/>
      <c r="AI312" s="684"/>
      <c r="AJ312" s="684"/>
      <c r="AK312" s="684"/>
      <c r="AL312" s="684"/>
      <c r="AM312" s="684"/>
      <c r="AN312" s="1545"/>
      <c r="AO312" s="1545"/>
      <c r="AP312" s="1545"/>
      <c r="AQ312" s="1545"/>
      <c r="AR312" s="1545"/>
      <c r="AS312" s="684"/>
      <c r="AT312" s="684"/>
      <c r="AU312" s="684"/>
      <c r="AV312" s="684"/>
      <c r="AW312" s="684"/>
      <c r="AX312" s="677"/>
      <c r="AY312" s="684"/>
      <c r="AZ312" s="683"/>
      <c r="BA312" s="684"/>
      <c r="BB312" s="13"/>
      <c r="BC312" s="684"/>
      <c r="BD312" s="13"/>
      <c r="BE312" s="684"/>
      <c r="BF312" s="13"/>
      <c r="BG312" s="684"/>
      <c r="BH312" s="13"/>
      <c r="BI312" s="684"/>
      <c r="BJ312" s="13"/>
      <c r="BK312" s="684"/>
      <c r="BL312" s="684"/>
      <c r="BM312" s="684"/>
      <c r="BN312" s="677"/>
      <c r="BO312" s="677"/>
      <c r="BP312" s="541"/>
      <c r="BQ312" s="633"/>
      <c r="BR312" s="541"/>
      <c r="BS312" s="541"/>
      <c r="BT312" s="541"/>
      <c r="BU312" s="541"/>
    </row>
    <row r="313" ht="15.75" customHeight="1">
      <c r="A313" s="1591"/>
      <c r="B313" s="1591"/>
      <c r="C313" s="2217"/>
      <c r="D313" s="1541"/>
      <c r="E313" s="906"/>
      <c r="F313" s="1544"/>
      <c r="G313" s="684"/>
      <c r="H313" s="1545"/>
      <c r="I313" s="684"/>
      <c r="J313" s="1545"/>
      <c r="K313" s="684"/>
      <c r="L313" s="1545"/>
      <c r="M313" s="684"/>
      <c r="N313" s="1545"/>
      <c r="O313" s="684"/>
      <c r="P313" s="1545"/>
      <c r="Q313" s="684"/>
      <c r="R313" s="1545"/>
      <c r="S313" s="684"/>
      <c r="T313" s="1545"/>
      <c r="U313" s="684"/>
      <c r="V313" s="1545"/>
      <c r="W313" s="684"/>
      <c r="X313" s="1545"/>
      <c r="Y313" s="1545"/>
      <c r="Z313" s="1545"/>
      <c r="AA313" s="684"/>
      <c r="AB313" s="1545"/>
      <c r="AC313" s="684"/>
      <c r="AD313" s="684"/>
      <c r="AE313" s="684"/>
      <c r="AF313" s="684"/>
      <c r="AH313" s="684"/>
      <c r="AI313" s="684"/>
      <c r="AJ313" s="684"/>
      <c r="AK313" s="684"/>
      <c r="AL313" s="684"/>
      <c r="AM313" s="684"/>
      <c r="AN313" s="1545"/>
      <c r="AO313" s="1545"/>
      <c r="AP313" s="1545"/>
      <c r="AQ313" s="1545"/>
      <c r="AR313" s="1545"/>
      <c r="AS313" s="684"/>
      <c r="AT313" s="684"/>
      <c r="AU313" s="684"/>
      <c r="AV313" s="684"/>
      <c r="AW313" s="684"/>
      <c r="AX313" s="677"/>
      <c r="AY313" s="684"/>
      <c r="AZ313" s="683"/>
      <c r="BA313" s="684"/>
      <c r="BB313" s="13"/>
      <c r="BC313" s="684"/>
      <c r="BD313" s="13"/>
      <c r="BE313" s="684"/>
      <c r="BF313" s="13"/>
      <c r="BG313" s="684"/>
      <c r="BH313" s="13"/>
      <c r="BI313" s="684"/>
      <c r="BJ313" s="13"/>
      <c r="BK313" s="684"/>
      <c r="BL313" s="684"/>
      <c r="BM313" s="684"/>
      <c r="BN313" s="677"/>
      <c r="BO313" s="677"/>
      <c r="BP313" s="541"/>
      <c r="BQ313" s="633"/>
      <c r="BR313" s="541"/>
      <c r="BS313" s="541"/>
      <c r="BT313" s="541"/>
      <c r="BU313" s="541"/>
    </row>
    <row r="314" ht="15.75" customHeight="1">
      <c r="A314" s="1591"/>
      <c r="B314" s="1591"/>
      <c r="C314" s="2217"/>
      <c r="D314" s="1541"/>
      <c r="E314" s="906"/>
      <c r="F314" s="1545"/>
      <c r="G314" s="684"/>
      <c r="H314" s="1545"/>
      <c r="I314" s="684"/>
      <c r="J314" s="1545"/>
      <c r="K314" s="684"/>
      <c r="L314" s="1545"/>
      <c r="M314" s="784"/>
      <c r="N314" s="1545"/>
      <c r="O314" s="684"/>
      <c r="P314" s="1545"/>
      <c r="Q314" s="684"/>
      <c r="R314" s="1545"/>
      <c r="S314" s="684"/>
      <c r="T314" s="1545"/>
      <c r="U314" s="684"/>
      <c r="V314" s="1545"/>
      <c r="W314" s="684"/>
      <c r="X314" s="1545"/>
      <c r="Y314" s="1545"/>
      <c r="Z314" s="1545"/>
      <c r="AA314" s="684"/>
      <c r="AB314" s="1545"/>
      <c r="AC314" s="684"/>
      <c r="AD314" s="684"/>
      <c r="AE314" s="684"/>
      <c r="AF314" s="684"/>
      <c r="AH314" s="684"/>
      <c r="AI314" s="684"/>
      <c r="AJ314" s="684"/>
      <c r="AK314" s="684"/>
      <c r="AL314" s="684"/>
      <c r="AM314" s="684"/>
      <c r="AN314" s="1545"/>
      <c r="AO314" s="1545"/>
      <c r="AP314" s="1545"/>
      <c r="AQ314" s="1545"/>
      <c r="AR314" s="1545"/>
      <c r="AS314" s="684"/>
      <c r="AT314" s="684"/>
      <c r="AU314" s="684"/>
      <c r="AV314" s="684"/>
      <c r="AW314" s="684"/>
      <c r="AX314" s="677"/>
      <c r="AY314" s="684"/>
      <c r="AZ314" s="683"/>
      <c r="BA314" s="684"/>
      <c r="BB314" s="13"/>
      <c r="BC314" s="684"/>
      <c r="BD314" s="13"/>
      <c r="BE314" s="684"/>
      <c r="BF314" s="13"/>
      <c r="BG314" s="684"/>
      <c r="BH314" s="13"/>
      <c r="BI314" s="684"/>
      <c r="BJ314" s="13"/>
      <c r="BK314" s="684"/>
      <c r="BL314" s="684"/>
      <c r="BM314" s="684"/>
      <c r="BN314" s="677"/>
      <c r="BO314" s="677"/>
      <c r="BP314" s="541"/>
      <c r="BQ314" s="633"/>
      <c r="BR314" s="541"/>
      <c r="BS314" s="541"/>
      <c r="BT314" s="541"/>
      <c r="BU314" s="541"/>
    </row>
    <row r="315" ht="15.75" customHeight="1">
      <c r="A315" s="1591"/>
      <c r="B315" s="1591"/>
      <c r="C315" s="2217"/>
      <c r="D315" s="1541"/>
      <c r="E315" s="906"/>
      <c r="F315" s="1545"/>
      <c r="G315" s="684"/>
      <c r="H315" s="1545"/>
      <c r="I315" s="684"/>
      <c r="J315" s="1545"/>
      <c r="K315" s="684"/>
      <c r="L315" s="1545"/>
      <c r="M315" s="684"/>
      <c r="N315" s="1545"/>
      <c r="O315" s="684"/>
      <c r="P315" s="1545"/>
      <c r="Q315" s="684"/>
      <c r="R315" s="1545"/>
      <c r="S315" s="684"/>
      <c r="T315" s="1545"/>
      <c r="U315" s="684"/>
      <c r="V315" s="1545"/>
      <c r="W315" s="684"/>
      <c r="X315" s="1545"/>
      <c r="Y315" s="1545"/>
      <c r="Z315" s="1545"/>
      <c r="AA315" s="684"/>
      <c r="AB315" s="1545"/>
      <c r="AC315" s="684"/>
      <c r="AD315" s="684"/>
      <c r="AE315" s="684"/>
      <c r="AF315" s="684"/>
      <c r="AH315" s="684"/>
      <c r="AI315" s="684"/>
      <c r="AJ315" s="684"/>
      <c r="AK315" s="684"/>
      <c r="AL315" s="684"/>
      <c r="AM315" s="684"/>
      <c r="AN315" s="1545"/>
      <c r="AO315" s="1545"/>
      <c r="AP315" s="1545"/>
      <c r="AQ315" s="1545"/>
      <c r="AR315" s="1545"/>
      <c r="AS315" s="684"/>
      <c r="AT315" s="684"/>
      <c r="AU315" s="684"/>
      <c r="AV315" s="684"/>
      <c r="AW315" s="684"/>
      <c r="AX315" s="677"/>
      <c r="AY315" s="684"/>
      <c r="AZ315" s="683"/>
      <c r="BA315" s="684"/>
      <c r="BB315" s="13"/>
      <c r="BC315" s="684"/>
      <c r="BD315" s="13"/>
      <c r="BE315" s="684"/>
      <c r="BF315" s="13"/>
      <c r="BG315" s="684"/>
      <c r="BH315" s="13"/>
      <c r="BI315" s="684"/>
      <c r="BJ315" s="13"/>
      <c r="BK315" s="684"/>
      <c r="BL315" s="684"/>
      <c r="BM315" s="684"/>
      <c r="BN315" s="677"/>
      <c r="BO315" s="677"/>
      <c r="BP315" s="541"/>
      <c r="BQ315" s="633"/>
      <c r="BR315" s="541"/>
      <c r="BS315" s="541"/>
      <c r="BT315" s="541"/>
      <c r="BU315" s="541"/>
    </row>
    <row r="316" ht="15.75" customHeight="1">
      <c r="A316" s="1591"/>
      <c r="B316" s="1591"/>
      <c r="C316" s="2217"/>
      <c r="D316" s="1541"/>
      <c r="E316" s="906"/>
      <c r="F316" s="1545"/>
      <c r="G316" s="684"/>
      <c r="H316" s="1545"/>
      <c r="I316" s="684"/>
      <c r="J316" s="1545"/>
      <c r="K316" s="684"/>
      <c r="L316" s="1545"/>
      <c r="M316" s="684"/>
      <c r="N316" s="1545"/>
      <c r="O316" s="684"/>
      <c r="P316" s="1545"/>
      <c r="Q316" s="684"/>
      <c r="R316" s="1545"/>
      <c r="S316" s="684"/>
      <c r="T316" s="1545"/>
      <c r="U316" s="684"/>
      <c r="V316" s="1545"/>
      <c r="W316" s="684"/>
      <c r="X316" s="1545"/>
      <c r="Y316" s="1545"/>
      <c r="Z316" s="1545"/>
      <c r="AA316" s="684"/>
      <c r="AB316" s="1545"/>
      <c r="AC316" s="684"/>
      <c r="AD316" s="684"/>
      <c r="AE316" s="684"/>
      <c r="AF316" s="684"/>
      <c r="AH316" s="684"/>
      <c r="AI316" s="684"/>
      <c r="AJ316" s="684"/>
      <c r="AK316" s="684"/>
      <c r="AL316" s="684"/>
      <c r="AM316" s="684"/>
      <c r="AN316" s="1545"/>
      <c r="AO316" s="1545"/>
      <c r="AP316" s="1545"/>
      <c r="AQ316" s="1545"/>
      <c r="AR316" s="1545"/>
      <c r="AS316" s="684"/>
      <c r="AT316" s="684"/>
      <c r="AU316" s="684"/>
      <c r="AV316" s="684"/>
      <c r="AW316" s="684"/>
      <c r="AX316" s="677"/>
      <c r="AY316" s="684"/>
      <c r="AZ316" s="683"/>
      <c r="BA316" s="684"/>
      <c r="BB316" s="13"/>
      <c r="BC316" s="684"/>
      <c r="BD316" s="13"/>
      <c r="BE316" s="684"/>
      <c r="BF316" s="13"/>
      <c r="BG316" s="684"/>
      <c r="BH316" s="13"/>
      <c r="BI316" s="684"/>
      <c r="BJ316" s="13"/>
      <c r="BK316" s="684"/>
      <c r="BL316" s="684"/>
      <c r="BM316" s="684"/>
      <c r="BN316" s="677"/>
      <c r="BO316" s="677"/>
      <c r="BP316" s="541"/>
      <c r="BQ316" s="633"/>
      <c r="BR316" s="541"/>
      <c r="BS316" s="541"/>
      <c r="BT316" s="541"/>
      <c r="BU316" s="541"/>
    </row>
    <row r="317" ht="15.75" customHeight="1">
      <c r="A317" s="1591"/>
      <c r="B317" s="1591"/>
      <c r="C317" s="2217"/>
      <c r="D317" s="1541"/>
      <c r="E317" s="906"/>
      <c r="F317" s="1545"/>
      <c r="G317" s="684"/>
      <c r="H317" s="1545"/>
      <c r="I317" s="684"/>
      <c r="J317" s="1545"/>
      <c r="K317" s="684"/>
      <c r="L317" s="1545"/>
      <c r="M317" s="684"/>
      <c r="N317" s="1545"/>
      <c r="O317" s="684"/>
      <c r="P317" s="1545"/>
      <c r="Q317" s="684"/>
      <c r="R317" s="1545"/>
      <c r="S317" s="684"/>
      <c r="T317" s="1545"/>
      <c r="U317" s="684"/>
      <c r="V317" s="1545"/>
      <c r="W317" s="684"/>
      <c r="X317" s="1545"/>
      <c r="Y317" s="1545"/>
      <c r="Z317" s="1545"/>
      <c r="AA317" s="684"/>
      <c r="AB317" s="1545"/>
      <c r="AC317" s="684"/>
      <c r="AD317" s="684"/>
      <c r="AE317" s="684"/>
      <c r="AF317" s="684"/>
      <c r="AH317" s="684"/>
      <c r="AI317" s="684"/>
      <c r="AJ317" s="684"/>
      <c r="AK317" s="684"/>
      <c r="AL317" s="684"/>
      <c r="AM317" s="684"/>
      <c r="AN317" s="1545"/>
      <c r="AO317" s="1545"/>
      <c r="AP317" s="1545"/>
      <c r="AQ317" s="1545"/>
      <c r="AR317" s="1545"/>
      <c r="AS317" s="684"/>
      <c r="AT317" s="684"/>
      <c r="AU317" s="684"/>
      <c r="AV317" s="684"/>
      <c r="AW317" s="684"/>
      <c r="AX317" s="677"/>
      <c r="AY317" s="684"/>
      <c r="AZ317" s="683"/>
      <c r="BA317" s="684"/>
      <c r="BB317" s="13"/>
      <c r="BC317" s="684"/>
      <c r="BD317" s="13"/>
      <c r="BE317" s="684"/>
      <c r="BF317" s="13"/>
      <c r="BG317" s="684"/>
      <c r="BH317" s="13"/>
      <c r="BI317" s="684"/>
      <c r="BJ317" s="13"/>
      <c r="BK317" s="684"/>
      <c r="BL317" s="684"/>
      <c r="BM317" s="684"/>
      <c r="BN317" s="677"/>
      <c r="BO317" s="677"/>
      <c r="BP317" s="541"/>
      <c r="BQ317" s="633"/>
      <c r="BR317" s="541"/>
      <c r="BS317" s="541"/>
      <c r="BT317" s="541"/>
      <c r="BU317" s="541"/>
    </row>
    <row r="318" ht="15.75" customHeight="1">
      <c r="A318" s="1591"/>
      <c r="B318" s="1591"/>
      <c r="C318" s="2217"/>
      <c r="D318" s="1541"/>
      <c r="E318" s="906"/>
      <c r="F318" s="1545"/>
      <c r="G318" s="684"/>
      <c r="H318" s="1545"/>
      <c r="I318" s="684"/>
      <c r="J318" s="1545"/>
      <c r="K318" s="684"/>
      <c r="L318" s="1545"/>
      <c r="M318" s="684"/>
      <c r="N318" s="1545"/>
      <c r="O318" s="684"/>
      <c r="P318" s="1545"/>
      <c r="Q318" s="684"/>
      <c r="R318" s="1545"/>
      <c r="S318" s="684"/>
      <c r="T318" s="1545"/>
      <c r="U318" s="684"/>
      <c r="V318" s="1545"/>
      <c r="W318" s="684"/>
      <c r="X318" s="1545"/>
      <c r="Y318" s="1545"/>
      <c r="Z318" s="1545"/>
      <c r="AA318" s="684"/>
      <c r="AB318" s="1545"/>
      <c r="AC318" s="684"/>
      <c r="AD318" s="684"/>
      <c r="AE318" s="684"/>
      <c r="AF318" s="684"/>
      <c r="AH318" s="684"/>
      <c r="AI318" s="684"/>
      <c r="AJ318" s="684"/>
      <c r="AK318" s="684"/>
      <c r="AL318" s="684"/>
      <c r="AM318" s="684"/>
      <c r="AN318" s="1545"/>
      <c r="AO318" s="1545"/>
      <c r="AP318" s="1545"/>
      <c r="AQ318" s="1545"/>
      <c r="AR318" s="1545"/>
      <c r="AS318" s="684"/>
      <c r="AT318" s="684"/>
      <c r="AU318" s="684"/>
      <c r="AV318" s="684"/>
      <c r="AW318" s="684"/>
      <c r="AX318" s="677"/>
      <c r="AY318" s="684"/>
      <c r="AZ318" s="683"/>
      <c r="BA318" s="684"/>
      <c r="BB318" s="13"/>
      <c r="BC318" s="684"/>
      <c r="BD318" s="13"/>
      <c r="BE318" s="684"/>
      <c r="BF318" s="13"/>
      <c r="BG318" s="684"/>
      <c r="BH318" s="13"/>
      <c r="BI318" s="684"/>
      <c r="BJ318" s="13"/>
      <c r="BK318" s="684"/>
      <c r="BL318" s="684"/>
      <c r="BM318" s="684"/>
      <c r="BN318" s="677"/>
      <c r="BO318" s="677"/>
      <c r="BP318" s="541"/>
      <c r="BQ318" s="633"/>
      <c r="BR318" s="541"/>
      <c r="BS318" s="541"/>
      <c r="BT318" s="541"/>
      <c r="BU318" s="541"/>
    </row>
    <row r="319" ht="15.75" customHeight="1">
      <c r="A319" s="1591"/>
      <c r="B319" s="1591"/>
      <c r="C319" s="2217"/>
      <c r="D319" s="1541"/>
      <c r="E319" s="906"/>
      <c r="F319" s="1545"/>
      <c r="G319" s="684"/>
      <c r="H319" s="1545"/>
      <c r="I319" s="684"/>
      <c r="J319" s="1545"/>
      <c r="K319" s="684"/>
      <c r="L319" s="1545"/>
      <c r="M319" s="684"/>
      <c r="N319" s="1545"/>
      <c r="O319" s="684"/>
      <c r="P319" s="1545"/>
      <c r="Q319" s="684"/>
      <c r="R319" s="1545"/>
      <c r="S319" s="684"/>
      <c r="T319" s="1545"/>
      <c r="U319" s="684"/>
      <c r="V319" s="1545"/>
      <c r="W319" s="684"/>
      <c r="X319" s="1545"/>
      <c r="Y319" s="1545"/>
      <c r="Z319" s="1545"/>
      <c r="AA319" s="684"/>
      <c r="AB319" s="1545"/>
      <c r="AC319" s="684"/>
      <c r="AD319" s="684"/>
      <c r="AE319" s="684"/>
      <c r="AF319" s="684"/>
      <c r="AH319" s="684"/>
      <c r="AI319" s="684"/>
      <c r="AJ319" s="684"/>
      <c r="AK319" s="684"/>
      <c r="AL319" s="684"/>
      <c r="AM319" s="684"/>
      <c r="AN319" s="1545"/>
      <c r="AO319" s="1545"/>
      <c r="AP319" s="1545"/>
      <c r="AQ319" s="1545"/>
      <c r="AR319" s="1545"/>
      <c r="AS319" s="684"/>
      <c r="AT319" s="684"/>
      <c r="AU319" s="684"/>
      <c r="AV319" s="684"/>
      <c r="AW319" s="684"/>
      <c r="AX319" s="677"/>
      <c r="AY319" s="684"/>
      <c r="AZ319" s="683"/>
      <c r="BA319" s="684"/>
      <c r="BB319" s="13"/>
      <c r="BC319" s="684"/>
      <c r="BD319" s="13"/>
      <c r="BE319" s="684"/>
      <c r="BF319" s="13"/>
      <c r="BG319" s="684"/>
      <c r="BH319" s="13"/>
      <c r="BI319" s="684"/>
      <c r="BJ319" s="13"/>
      <c r="BK319" s="684"/>
      <c r="BL319" s="684"/>
      <c r="BM319" s="684"/>
      <c r="BN319" s="677"/>
      <c r="BO319" s="677"/>
      <c r="BP319" s="541"/>
      <c r="BQ319" s="633"/>
      <c r="BR319" s="541"/>
      <c r="BS319" s="541"/>
      <c r="BT319" s="541"/>
      <c r="BU319" s="541"/>
    </row>
    <row r="320" ht="15.75" customHeight="1">
      <c r="A320" s="1591"/>
      <c r="B320" s="1591"/>
      <c r="C320" s="2217"/>
      <c r="D320" s="1541"/>
      <c r="E320" s="906"/>
      <c r="F320" s="1545"/>
      <c r="G320" s="684"/>
      <c r="H320" s="1545"/>
      <c r="I320" s="684"/>
      <c r="J320" s="1545"/>
      <c r="K320" s="684"/>
      <c r="L320" s="1545"/>
      <c r="M320" s="684"/>
      <c r="N320" s="1545"/>
      <c r="O320" s="684"/>
      <c r="P320" s="1545"/>
      <c r="Q320" s="684"/>
      <c r="R320" s="1545"/>
      <c r="S320" s="684"/>
      <c r="T320" s="1545"/>
      <c r="U320" s="684"/>
      <c r="V320" s="1545"/>
      <c r="W320" s="684"/>
      <c r="X320" s="1545"/>
      <c r="Y320" s="1545"/>
      <c r="Z320" s="1545"/>
      <c r="AA320" s="684"/>
      <c r="AB320" s="1545"/>
      <c r="AC320" s="684"/>
      <c r="AD320" s="684"/>
      <c r="AE320" s="684"/>
      <c r="AF320" s="684"/>
      <c r="AG320" s="684"/>
      <c r="AH320" s="684"/>
      <c r="AI320" s="684"/>
      <c r="AJ320" s="684"/>
      <c r="AK320" s="684"/>
      <c r="AL320" s="684"/>
      <c r="AM320" s="684"/>
      <c r="AN320" s="1545"/>
      <c r="AO320" s="1545"/>
      <c r="AP320" s="1545"/>
      <c r="AQ320" s="1545"/>
      <c r="AR320" s="1545"/>
      <c r="AS320" s="684"/>
      <c r="AT320" s="684"/>
      <c r="AU320" s="684"/>
      <c r="AV320" s="684"/>
      <c r="AW320" s="684"/>
      <c r="AX320" s="677"/>
      <c r="AY320" s="684"/>
      <c r="AZ320" s="683"/>
      <c r="BA320" s="684"/>
      <c r="BB320" s="13"/>
      <c r="BC320" s="684"/>
      <c r="BD320" s="13"/>
      <c r="BE320" s="684"/>
      <c r="BF320" s="13"/>
      <c r="BG320" s="684"/>
      <c r="BH320" s="13"/>
      <c r="BI320" s="684"/>
      <c r="BJ320" s="13"/>
      <c r="BK320" s="684"/>
      <c r="BL320" s="684"/>
      <c r="BM320" s="684"/>
      <c r="BN320" s="677"/>
      <c r="BO320" s="677"/>
      <c r="BP320" s="541"/>
      <c r="BQ320" s="633"/>
      <c r="BR320" s="541"/>
      <c r="BS320" s="541"/>
      <c r="BT320" s="541"/>
      <c r="BU320" s="541"/>
    </row>
    <row r="321" ht="15.75" customHeight="1">
      <c r="A321" s="1591"/>
      <c r="B321" s="1591"/>
      <c r="C321" s="2217"/>
      <c r="D321" s="1541"/>
      <c r="E321" s="906"/>
      <c r="F321" s="1545"/>
      <c r="G321" s="684"/>
      <c r="H321" s="1545"/>
      <c r="I321" s="684"/>
      <c r="J321" s="1545"/>
      <c r="K321" s="684"/>
      <c r="L321" s="1545"/>
      <c r="M321" s="684"/>
      <c r="N321" s="1545"/>
      <c r="O321" s="684"/>
      <c r="P321" s="1545"/>
      <c r="Q321" s="684"/>
      <c r="R321" s="1545"/>
      <c r="S321" s="684"/>
      <c r="T321" s="1545"/>
      <c r="U321" s="684"/>
      <c r="V321" s="1545"/>
      <c r="W321" s="684"/>
      <c r="X321" s="1545"/>
      <c r="Y321" s="1545"/>
      <c r="Z321" s="1545"/>
      <c r="AA321" s="684"/>
      <c r="AB321" s="1545"/>
      <c r="AC321" s="684"/>
      <c r="AD321" s="684"/>
      <c r="AE321" s="684"/>
      <c r="AF321" s="684"/>
      <c r="AG321" s="684"/>
      <c r="AH321" s="684"/>
      <c r="AI321" s="684"/>
      <c r="AJ321" s="684"/>
      <c r="AK321" s="684"/>
      <c r="AL321" s="684"/>
      <c r="AM321" s="684"/>
      <c r="AN321" s="1545"/>
      <c r="AO321" s="1545"/>
      <c r="AP321" s="1545"/>
      <c r="AQ321" s="1545"/>
      <c r="AR321" s="1545"/>
      <c r="AS321" s="684"/>
      <c r="AT321" s="684"/>
      <c r="AU321" s="684"/>
      <c r="AV321" s="684"/>
      <c r="AW321" s="684"/>
      <c r="AX321" s="677"/>
      <c r="AY321" s="684"/>
      <c r="AZ321" s="683"/>
      <c r="BA321" s="684"/>
      <c r="BB321" s="13"/>
      <c r="BC321" s="684"/>
      <c r="BD321" s="13"/>
      <c r="BE321" s="684"/>
      <c r="BF321" s="13"/>
      <c r="BG321" s="684"/>
      <c r="BH321" s="13"/>
      <c r="BI321" s="684"/>
      <c r="BJ321" s="13"/>
      <c r="BK321" s="684"/>
      <c r="BL321" s="684"/>
      <c r="BM321" s="684"/>
      <c r="BN321" s="677"/>
      <c r="BO321" s="677"/>
      <c r="BP321" s="541"/>
      <c r="BQ321" s="633"/>
      <c r="BR321" s="541"/>
      <c r="BS321" s="541"/>
      <c r="BT321" s="541"/>
      <c r="BU321" s="541"/>
    </row>
    <row r="322" ht="15.75" customHeight="1">
      <c r="A322" s="1591"/>
      <c r="B322" s="1591"/>
      <c r="C322" s="2217"/>
      <c r="D322" s="1541"/>
      <c r="E322" s="906"/>
      <c r="F322" s="1545"/>
      <c r="G322" s="684"/>
      <c r="H322" s="1545"/>
      <c r="I322" s="684"/>
      <c r="J322" s="1545"/>
      <c r="K322" s="684"/>
      <c r="L322" s="1545"/>
      <c r="M322" s="684"/>
      <c r="N322" s="1545"/>
      <c r="O322" s="684"/>
      <c r="P322" s="1545"/>
      <c r="Q322" s="684"/>
      <c r="R322" s="1545"/>
      <c r="S322" s="684"/>
      <c r="T322" s="1545"/>
      <c r="U322" s="684"/>
      <c r="V322" s="1545"/>
      <c r="W322" s="684"/>
      <c r="X322" s="1545"/>
      <c r="Y322" s="1545"/>
      <c r="Z322" s="1545"/>
      <c r="AA322" s="684"/>
      <c r="AB322" s="1545"/>
      <c r="AC322" s="684"/>
      <c r="AD322" s="684"/>
      <c r="AE322" s="684"/>
      <c r="AF322" s="684"/>
      <c r="AG322" s="684"/>
      <c r="AH322" s="684"/>
      <c r="AI322" s="684"/>
      <c r="AJ322" s="684"/>
      <c r="AK322" s="684"/>
      <c r="AL322" s="684"/>
      <c r="AM322" s="684"/>
      <c r="AN322" s="1545"/>
      <c r="AO322" s="1545"/>
      <c r="AP322" s="1545"/>
      <c r="AQ322" s="1545"/>
      <c r="AR322" s="1545"/>
      <c r="AS322" s="684"/>
      <c r="AT322" s="684"/>
      <c r="AU322" s="684"/>
      <c r="AV322" s="684"/>
      <c r="AW322" s="684"/>
      <c r="AX322" s="677"/>
      <c r="AY322" s="684"/>
      <c r="AZ322" s="683"/>
      <c r="BA322" s="684"/>
      <c r="BB322" s="13"/>
      <c r="BC322" s="684"/>
      <c r="BD322" s="13"/>
      <c r="BE322" s="684"/>
      <c r="BF322" s="13"/>
      <c r="BG322" s="684"/>
      <c r="BH322" s="13"/>
      <c r="BI322" s="684"/>
      <c r="BJ322" s="13"/>
      <c r="BK322" s="684"/>
      <c r="BL322" s="684"/>
      <c r="BM322" s="684"/>
      <c r="BN322" s="677"/>
      <c r="BO322" s="677"/>
      <c r="BP322" s="541"/>
      <c r="BQ322" s="633"/>
      <c r="BR322" s="541"/>
      <c r="BS322" s="541"/>
      <c r="BT322" s="541"/>
      <c r="BU322" s="541"/>
    </row>
    <row r="323" ht="15.75" customHeight="1">
      <c r="A323" s="1591"/>
      <c r="B323" s="1591"/>
      <c r="C323" s="2217"/>
      <c r="D323" s="1541"/>
      <c r="E323" s="906"/>
      <c r="F323" s="1545"/>
      <c r="G323" s="684"/>
      <c r="H323" s="1545"/>
      <c r="I323" s="684"/>
      <c r="J323" s="1545"/>
      <c r="K323" s="684"/>
      <c r="L323" s="1545"/>
      <c r="M323" s="684"/>
      <c r="N323" s="1545"/>
      <c r="O323" s="684"/>
      <c r="P323" s="1545"/>
      <c r="Q323" s="684"/>
      <c r="R323" s="1545"/>
      <c r="S323" s="684"/>
      <c r="T323" s="1545"/>
      <c r="U323" s="684"/>
      <c r="V323" s="1545"/>
      <c r="W323" s="684"/>
      <c r="X323" s="1545"/>
      <c r="Y323" s="1545"/>
      <c r="Z323" s="1545"/>
      <c r="AA323" s="684"/>
      <c r="AB323" s="1545"/>
      <c r="AC323" s="684"/>
      <c r="AD323" s="684"/>
      <c r="AE323" s="684"/>
      <c r="AF323" s="684"/>
      <c r="AG323" s="684"/>
      <c r="AH323" s="684"/>
      <c r="AI323" s="684"/>
      <c r="AJ323" s="684"/>
      <c r="AK323" s="684"/>
      <c r="AL323" s="684"/>
      <c r="AM323" s="684"/>
      <c r="AN323" s="1545"/>
      <c r="AO323" s="1545"/>
      <c r="AP323" s="1545"/>
      <c r="AQ323" s="1545"/>
      <c r="AR323" s="1545"/>
      <c r="AS323" s="684"/>
      <c r="AT323" s="684"/>
      <c r="AU323" s="684"/>
      <c r="AV323" s="684"/>
      <c r="AW323" s="684"/>
      <c r="AX323" s="677"/>
      <c r="AY323" s="684"/>
      <c r="AZ323" s="683"/>
      <c r="BA323" s="684"/>
      <c r="BB323" s="13"/>
      <c r="BC323" s="684"/>
      <c r="BD323" s="13"/>
      <c r="BE323" s="684"/>
      <c r="BF323" s="13"/>
      <c r="BG323" s="684"/>
      <c r="BH323" s="13"/>
      <c r="BI323" s="684"/>
      <c r="BJ323" s="13"/>
      <c r="BK323" s="684"/>
      <c r="BL323" s="684"/>
      <c r="BM323" s="684"/>
      <c r="BN323" s="677"/>
      <c r="BO323" s="677"/>
      <c r="BP323" s="541"/>
      <c r="BQ323" s="633"/>
      <c r="BR323" s="541"/>
      <c r="BS323" s="541"/>
      <c r="BT323" s="541"/>
      <c r="BU323" s="541"/>
    </row>
    <row r="324" ht="15.75" customHeight="1">
      <c r="A324" s="1591"/>
      <c r="B324" s="1591"/>
      <c r="C324" s="2217"/>
      <c r="D324" s="1541"/>
      <c r="E324" s="906"/>
      <c r="F324" s="1545"/>
      <c r="G324" s="684"/>
      <c r="H324" s="1545"/>
      <c r="I324" s="684"/>
      <c r="J324" s="1545"/>
      <c r="K324" s="684"/>
      <c r="L324" s="1545"/>
      <c r="M324" s="684"/>
      <c r="N324" s="1545"/>
      <c r="O324" s="684"/>
      <c r="P324" s="1545"/>
      <c r="Q324" s="684"/>
      <c r="R324" s="1545"/>
      <c r="S324" s="684"/>
      <c r="T324" s="1545"/>
      <c r="U324" s="684"/>
      <c r="V324" s="1545"/>
      <c r="W324" s="684"/>
      <c r="X324" s="1545"/>
      <c r="Y324" s="1545"/>
      <c r="Z324" s="1545"/>
      <c r="AA324" s="684"/>
      <c r="AB324" s="1545"/>
      <c r="AC324" s="684"/>
      <c r="AD324" s="684"/>
      <c r="AE324" s="684"/>
      <c r="AF324" s="684"/>
      <c r="AG324" s="684"/>
      <c r="AH324" s="684"/>
      <c r="AI324" s="684"/>
      <c r="AJ324" s="684"/>
      <c r="AK324" s="684"/>
      <c r="AL324" s="684"/>
      <c r="AM324" s="684"/>
      <c r="AN324" s="1545"/>
      <c r="AO324" s="1545"/>
      <c r="AP324" s="1545"/>
      <c r="AQ324" s="1545"/>
      <c r="AR324" s="1545"/>
      <c r="AS324" s="684"/>
      <c r="AT324" s="684"/>
      <c r="AU324" s="684"/>
      <c r="AV324" s="684"/>
      <c r="AW324" s="684"/>
      <c r="AX324" s="677"/>
      <c r="AY324" s="684"/>
      <c r="AZ324" s="683"/>
      <c r="BA324" s="684"/>
      <c r="BB324" s="13"/>
      <c r="BC324" s="684"/>
      <c r="BD324" s="13"/>
      <c r="BE324" s="684"/>
      <c r="BF324" s="13"/>
      <c r="BG324" s="684"/>
      <c r="BH324" s="13"/>
      <c r="BI324" s="684"/>
      <c r="BJ324" s="13"/>
      <c r="BK324" s="684"/>
      <c r="BL324" s="684"/>
      <c r="BM324" s="684"/>
      <c r="BN324" s="677"/>
      <c r="BO324" s="677"/>
      <c r="BP324" s="541"/>
      <c r="BQ324" s="633"/>
      <c r="BR324" s="541"/>
      <c r="BS324" s="541"/>
      <c r="BT324" s="541"/>
      <c r="BU324" s="541"/>
    </row>
    <row r="325" ht="15.75" customHeight="1">
      <c r="A325" s="1591"/>
      <c r="B325" s="1591"/>
      <c r="C325" s="2217"/>
      <c r="D325" s="1541"/>
      <c r="E325" s="906"/>
      <c r="F325" s="1545"/>
      <c r="G325" s="684"/>
      <c r="H325" s="1545"/>
      <c r="I325" s="684"/>
      <c r="J325" s="1545"/>
      <c r="K325" s="684"/>
      <c r="L325" s="1545"/>
      <c r="M325" s="684"/>
      <c r="N325" s="1545"/>
      <c r="O325" s="684"/>
      <c r="P325" s="1545"/>
      <c r="Q325" s="684"/>
      <c r="R325" s="1545"/>
      <c r="S325" s="684"/>
      <c r="T325" s="1545"/>
      <c r="U325" s="684"/>
      <c r="V325" s="1545"/>
      <c r="W325" s="684"/>
      <c r="X325" s="1545"/>
      <c r="Y325" s="1545"/>
      <c r="Z325" s="1545"/>
      <c r="AA325" s="684"/>
      <c r="AB325" s="1545"/>
      <c r="AC325" s="684"/>
      <c r="AD325" s="684"/>
      <c r="AE325" s="684"/>
      <c r="AF325" s="684"/>
      <c r="AG325" s="684"/>
      <c r="AH325" s="684"/>
      <c r="AI325" s="684"/>
      <c r="AJ325" s="684"/>
      <c r="AK325" s="684"/>
      <c r="AL325" s="684"/>
      <c r="AM325" s="684"/>
      <c r="AN325" s="1545"/>
      <c r="AO325" s="1545"/>
      <c r="AP325" s="1545"/>
      <c r="AQ325" s="1545"/>
      <c r="AR325" s="1545"/>
      <c r="AS325" s="684"/>
      <c r="AT325" s="684"/>
      <c r="AU325" s="684"/>
      <c r="AV325" s="684"/>
      <c r="AW325" s="684"/>
      <c r="AX325" s="677"/>
      <c r="AY325" s="684"/>
      <c r="AZ325" s="683"/>
      <c r="BA325" s="684"/>
      <c r="BB325" s="13"/>
      <c r="BC325" s="684"/>
      <c r="BD325" s="13"/>
      <c r="BE325" s="684"/>
      <c r="BF325" s="13"/>
      <c r="BG325" s="684"/>
      <c r="BH325" s="13"/>
      <c r="BI325" s="684"/>
      <c r="BJ325" s="13"/>
      <c r="BK325" s="684"/>
      <c r="BL325" s="684"/>
      <c r="BM325" s="684"/>
      <c r="BN325" s="677"/>
      <c r="BO325" s="677"/>
      <c r="BP325" s="541"/>
      <c r="BQ325" s="633"/>
      <c r="BR325" s="541"/>
      <c r="BS325" s="541"/>
      <c r="BT325" s="541"/>
      <c r="BU325" s="541"/>
    </row>
    <row r="326" ht="15.75" customHeight="1">
      <c r="A326" s="1591"/>
      <c r="B326" s="1591"/>
      <c r="C326" s="2217"/>
      <c r="D326" s="1541"/>
      <c r="E326" s="906"/>
      <c r="F326" s="1545"/>
      <c r="G326" s="684"/>
      <c r="H326" s="1545"/>
      <c r="I326" s="684"/>
      <c r="J326" s="1545"/>
      <c r="K326" s="684"/>
      <c r="L326" s="1545"/>
      <c r="M326" s="684"/>
      <c r="N326" s="1545"/>
      <c r="O326" s="684"/>
      <c r="P326" s="1545"/>
      <c r="Q326" s="684"/>
      <c r="R326" s="1545"/>
      <c r="S326" s="684"/>
      <c r="T326" s="1545"/>
      <c r="U326" s="684"/>
      <c r="V326" s="1545"/>
      <c r="W326" s="684"/>
      <c r="X326" s="1545"/>
      <c r="Y326" s="1545"/>
      <c r="Z326" s="1545"/>
      <c r="AA326" s="684"/>
      <c r="AB326" s="1545"/>
      <c r="AC326" s="684"/>
      <c r="AD326" s="684"/>
      <c r="AE326" s="684"/>
      <c r="AF326" s="684"/>
      <c r="AG326" s="684"/>
      <c r="AH326" s="684"/>
      <c r="AI326" s="684"/>
      <c r="AJ326" s="684"/>
      <c r="AK326" s="684"/>
      <c r="AL326" s="684"/>
      <c r="AM326" s="684"/>
      <c r="AN326" s="1545"/>
      <c r="AO326" s="1545"/>
      <c r="AP326" s="1545"/>
      <c r="AQ326" s="1545"/>
      <c r="AR326" s="1545"/>
      <c r="AS326" s="684"/>
      <c r="AT326" s="684"/>
      <c r="AU326" s="684"/>
      <c r="AV326" s="684"/>
      <c r="AW326" s="684"/>
      <c r="AX326" s="677"/>
      <c r="AY326" s="684"/>
      <c r="AZ326" s="683"/>
      <c r="BA326" s="684"/>
      <c r="BB326" s="13"/>
      <c r="BC326" s="684"/>
      <c r="BD326" s="13"/>
      <c r="BE326" s="684"/>
      <c r="BF326" s="13"/>
      <c r="BG326" s="684"/>
      <c r="BH326" s="13"/>
      <c r="BI326" s="684"/>
      <c r="BJ326" s="13"/>
      <c r="BK326" s="684"/>
      <c r="BL326" s="684"/>
      <c r="BM326" s="684"/>
      <c r="BN326" s="677"/>
      <c r="BO326" s="677"/>
      <c r="BP326" s="541"/>
      <c r="BQ326" s="633"/>
      <c r="BR326" s="541"/>
      <c r="BS326" s="541"/>
      <c r="BT326" s="541"/>
      <c r="BU326" s="541"/>
    </row>
    <row r="327" ht="15.75" customHeight="1">
      <c r="A327" s="1591"/>
      <c r="B327" s="1591"/>
      <c r="C327" s="2217"/>
      <c r="D327" s="1541"/>
      <c r="E327" s="906"/>
      <c r="F327" s="1545"/>
      <c r="G327" s="684"/>
      <c r="H327" s="1545"/>
      <c r="I327" s="684"/>
      <c r="J327" s="1545"/>
      <c r="K327" s="684"/>
      <c r="L327" s="1545"/>
      <c r="M327" s="684"/>
      <c r="N327" s="1545"/>
      <c r="O327" s="684"/>
      <c r="P327" s="1545"/>
      <c r="Q327" s="684"/>
      <c r="R327" s="1545"/>
      <c r="S327" s="684"/>
      <c r="T327" s="1545"/>
      <c r="U327" s="684"/>
      <c r="V327" s="1545"/>
      <c r="W327" s="684"/>
      <c r="X327" s="1545"/>
      <c r="Y327" s="1545"/>
      <c r="Z327" s="1545"/>
      <c r="AA327" s="684"/>
      <c r="AB327" s="1545"/>
      <c r="AC327" s="684"/>
      <c r="AD327" s="684"/>
      <c r="AE327" s="684"/>
      <c r="AF327" s="684"/>
      <c r="AG327" s="684"/>
      <c r="AH327" s="684"/>
      <c r="AI327" s="684"/>
      <c r="AJ327" s="684"/>
      <c r="AK327" s="684"/>
      <c r="AL327" s="684"/>
      <c r="AM327" s="684"/>
      <c r="AN327" s="1545"/>
      <c r="AO327" s="1545"/>
      <c r="AP327" s="1545"/>
      <c r="AQ327" s="1545"/>
      <c r="AR327" s="1545"/>
      <c r="AS327" s="684"/>
      <c r="AT327" s="684"/>
      <c r="AU327" s="684"/>
      <c r="AV327" s="684"/>
      <c r="AW327" s="684"/>
      <c r="AX327" s="677"/>
      <c r="AY327" s="684"/>
      <c r="AZ327" s="683"/>
      <c r="BA327" s="684"/>
      <c r="BB327" s="13"/>
      <c r="BC327" s="684"/>
      <c r="BD327" s="13"/>
      <c r="BE327" s="684"/>
      <c r="BF327" s="13"/>
      <c r="BG327" s="684"/>
      <c r="BH327" s="13"/>
      <c r="BI327" s="684"/>
      <c r="BJ327" s="13"/>
      <c r="BK327" s="684"/>
      <c r="BL327" s="684"/>
      <c r="BM327" s="684"/>
      <c r="BN327" s="677"/>
      <c r="BO327" s="677"/>
      <c r="BP327" s="541"/>
      <c r="BQ327" s="633"/>
      <c r="BR327" s="541"/>
      <c r="BS327" s="541"/>
      <c r="BT327" s="541"/>
      <c r="BU327" s="541"/>
    </row>
    <row r="328" ht="15.75" customHeight="1">
      <c r="A328" s="1591"/>
      <c r="B328" s="1591"/>
      <c r="C328" s="2217"/>
      <c r="D328" s="1541"/>
      <c r="E328" s="906"/>
      <c r="F328" s="1545"/>
      <c r="G328" s="684"/>
      <c r="H328" s="1545"/>
      <c r="I328" s="684"/>
      <c r="J328" s="1545"/>
      <c r="K328" s="684"/>
      <c r="L328" s="1545"/>
      <c r="M328" s="684"/>
      <c r="N328" s="1545"/>
      <c r="O328" s="684"/>
      <c r="P328" s="1545"/>
      <c r="Q328" s="684"/>
      <c r="R328" s="1545"/>
      <c r="S328" s="684"/>
      <c r="T328" s="1545"/>
      <c r="U328" s="684"/>
      <c r="V328" s="1545"/>
      <c r="W328" s="684"/>
      <c r="X328" s="1545"/>
      <c r="Y328" s="1545"/>
      <c r="Z328" s="1545"/>
      <c r="AA328" s="684"/>
      <c r="AB328" s="1545"/>
      <c r="AC328" s="684"/>
      <c r="AD328" s="684"/>
      <c r="AE328" s="684"/>
      <c r="AF328" s="684"/>
      <c r="AG328" s="684"/>
      <c r="AH328" s="684"/>
      <c r="AI328" s="684"/>
      <c r="AJ328" s="684"/>
      <c r="AK328" s="684"/>
      <c r="AL328" s="684"/>
      <c r="AM328" s="684"/>
      <c r="AN328" s="1545"/>
      <c r="AO328" s="1545"/>
      <c r="AP328" s="1545"/>
      <c r="AQ328" s="1545"/>
      <c r="AR328" s="1545"/>
      <c r="AS328" s="684"/>
      <c r="AT328" s="684"/>
      <c r="AU328" s="684"/>
      <c r="AV328" s="684"/>
      <c r="AW328" s="684"/>
      <c r="AX328" s="677"/>
      <c r="AY328" s="684"/>
      <c r="AZ328" s="683"/>
      <c r="BA328" s="684"/>
      <c r="BB328" s="13"/>
      <c r="BC328" s="684"/>
      <c r="BD328" s="13"/>
      <c r="BE328" s="684"/>
      <c r="BF328" s="13"/>
      <c r="BG328" s="684"/>
      <c r="BH328" s="13"/>
      <c r="BI328" s="684"/>
      <c r="BJ328" s="13"/>
      <c r="BK328" s="684"/>
      <c r="BL328" s="684"/>
      <c r="BM328" s="684"/>
      <c r="BN328" s="677"/>
      <c r="BO328" s="677"/>
      <c r="BP328" s="541"/>
      <c r="BQ328" s="633"/>
      <c r="BR328" s="541"/>
      <c r="BS328" s="541"/>
      <c r="BT328" s="541"/>
      <c r="BU328" s="541"/>
    </row>
    <row r="329" ht="15.75" customHeight="1">
      <c r="A329" s="1591"/>
      <c r="B329" s="1591"/>
      <c r="C329" s="2217"/>
      <c r="D329" s="1541"/>
      <c r="E329" s="906"/>
      <c r="F329" s="1545"/>
      <c r="G329" s="684"/>
      <c r="H329" s="1545"/>
      <c r="I329" s="684"/>
      <c r="J329" s="1545"/>
      <c r="K329" s="684"/>
      <c r="L329" s="1545"/>
      <c r="M329" s="684"/>
      <c r="N329" s="1545"/>
      <c r="O329" s="684"/>
      <c r="P329" s="1545"/>
      <c r="Q329" s="684"/>
      <c r="R329" s="1545"/>
      <c r="S329" s="684"/>
      <c r="T329" s="1545"/>
      <c r="U329" s="684"/>
      <c r="V329" s="1545"/>
      <c r="W329" s="684"/>
      <c r="X329" s="1545"/>
      <c r="Y329" s="1545"/>
      <c r="Z329" s="1545"/>
      <c r="AA329" s="684"/>
      <c r="AB329" s="1545"/>
      <c r="AC329" s="684"/>
      <c r="AD329" s="684"/>
      <c r="AE329" s="684"/>
      <c r="AF329" s="684"/>
      <c r="AG329" s="684"/>
      <c r="AH329" s="684"/>
      <c r="AI329" s="684"/>
      <c r="AJ329" s="684"/>
      <c r="AK329" s="684"/>
      <c r="AL329" s="684"/>
      <c r="AM329" s="684"/>
      <c r="AN329" s="1545"/>
      <c r="AO329" s="1545"/>
      <c r="AP329" s="1545"/>
      <c r="AQ329" s="1545"/>
      <c r="AR329" s="1545"/>
      <c r="AS329" s="684"/>
      <c r="AT329" s="684"/>
      <c r="AU329" s="684"/>
      <c r="AV329" s="684"/>
      <c r="AW329" s="684"/>
      <c r="AX329" s="677"/>
      <c r="AY329" s="684"/>
      <c r="AZ329" s="683"/>
      <c r="BA329" s="684"/>
      <c r="BB329" s="13"/>
      <c r="BC329" s="684"/>
      <c r="BD329" s="13"/>
      <c r="BE329" s="684"/>
      <c r="BF329" s="13"/>
      <c r="BG329" s="684"/>
      <c r="BH329" s="13"/>
      <c r="BI329" s="684"/>
      <c r="BJ329" s="13"/>
      <c r="BK329" s="684"/>
      <c r="BL329" s="684"/>
      <c r="BM329" s="684"/>
      <c r="BN329" s="677"/>
      <c r="BO329" s="677"/>
      <c r="BP329" s="541"/>
      <c r="BQ329" s="633"/>
      <c r="BR329" s="541"/>
      <c r="BS329" s="541"/>
      <c r="BT329" s="541"/>
      <c r="BU329" s="541"/>
    </row>
    <row r="330" ht="15.75" customHeight="1">
      <c r="A330" s="1591"/>
      <c r="B330" s="1591"/>
      <c r="C330" s="2217"/>
      <c r="D330" s="1541"/>
      <c r="E330" s="906"/>
      <c r="F330" s="1545"/>
      <c r="G330" s="684"/>
      <c r="H330" s="1545"/>
      <c r="I330" s="684"/>
      <c r="J330" s="1545"/>
      <c r="K330" s="684"/>
      <c r="L330" s="1545"/>
      <c r="M330" s="684"/>
      <c r="N330" s="1545"/>
      <c r="O330" s="684"/>
      <c r="P330" s="1545"/>
      <c r="Q330" s="684"/>
      <c r="R330" s="1545"/>
      <c r="S330" s="684"/>
      <c r="T330" s="1545"/>
      <c r="U330" s="684"/>
      <c r="V330" s="1545"/>
      <c r="W330" s="684"/>
      <c r="X330" s="1545"/>
      <c r="Y330" s="1545"/>
      <c r="Z330" s="1545"/>
      <c r="AA330" s="684"/>
      <c r="AB330" s="1545"/>
      <c r="AC330" s="684"/>
      <c r="AD330" s="684"/>
      <c r="AE330" s="684"/>
      <c r="AF330" s="684"/>
      <c r="AG330" s="684"/>
      <c r="AH330" s="684"/>
      <c r="AI330" s="684"/>
      <c r="AJ330" s="684"/>
      <c r="AK330" s="684"/>
      <c r="AL330" s="684"/>
      <c r="AM330" s="684"/>
      <c r="AN330" s="1545"/>
      <c r="AO330" s="1545"/>
      <c r="AP330" s="1545"/>
      <c r="AQ330" s="1545"/>
      <c r="AR330" s="1545"/>
      <c r="AS330" s="684"/>
      <c r="AT330" s="684"/>
      <c r="AU330" s="684"/>
      <c r="AV330" s="684"/>
      <c r="AW330" s="684"/>
      <c r="AX330" s="677"/>
      <c r="AY330" s="684"/>
      <c r="AZ330" s="683"/>
      <c r="BA330" s="684"/>
      <c r="BB330" s="13"/>
      <c r="BC330" s="684"/>
      <c r="BD330" s="13"/>
      <c r="BE330" s="684"/>
      <c r="BF330" s="13"/>
      <c r="BG330" s="684"/>
      <c r="BH330" s="13"/>
      <c r="BI330" s="684"/>
      <c r="BJ330" s="13"/>
      <c r="BK330" s="684"/>
      <c r="BL330" s="684"/>
      <c r="BM330" s="684"/>
      <c r="BN330" s="677"/>
      <c r="BO330" s="677"/>
      <c r="BP330" s="541"/>
      <c r="BQ330" s="633"/>
      <c r="BR330" s="541"/>
      <c r="BS330" s="541"/>
      <c r="BT330" s="541"/>
      <c r="BU330" s="541"/>
    </row>
    <row r="331" ht="15.75" customHeight="1">
      <c r="A331" s="1591"/>
      <c r="B331" s="1591"/>
      <c r="C331" s="2217"/>
      <c r="D331" s="1541"/>
      <c r="E331" s="906"/>
      <c r="F331" s="1545"/>
      <c r="G331" s="684"/>
      <c r="H331" s="1545"/>
      <c r="I331" s="684"/>
      <c r="J331" s="1545"/>
      <c r="K331" s="684"/>
      <c r="L331" s="1545"/>
      <c r="M331" s="684"/>
      <c r="N331" s="1545"/>
      <c r="O331" s="684"/>
      <c r="P331" s="1545"/>
      <c r="Q331" s="684"/>
      <c r="R331" s="1545"/>
      <c r="S331" s="684"/>
      <c r="T331" s="1545"/>
      <c r="U331" s="684"/>
      <c r="V331" s="1545"/>
      <c r="W331" s="684"/>
      <c r="X331" s="1545"/>
      <c r="Y331" s="1545"/>
      <c r="Z331" s="1545"/>
      <c r="AA331" s="684"/>
      <c r="AB331" s="1545"/>
      <c r="AC331" s="684"/>
      <c r="AD331" s="684"/>
      <c r="AE331" s="684"/>
      <c r="AF331" s="684"/>
      <c r="AG331" s="684"/>
      <c r="AH331" s="684"/>
      <c r="AI331" s="684"/>
      <c r="AJ331" s="684"/>
      <c r="AK331" s="684"/>
      <c r="AL331" s="684"/>
      <c r="AM331" s="684"/>
      <c r="AN331" s="1545"/>
      <c r="AO331" s="1545"/>
      <c r="AP331" s="1545"/>
      <c r="AQ331" s="1545"/>
      <c r="AR331" s="1545"/>
      <c r="AS331" s="684"/>
      <c r="AT331" s="684"/>
      <c r="AU331" s="684"/>
      <c r="AV331" s="684"/>
      <c r="AW331" s="684"/>
      <c r="AX331" s="677"/>
      <c r="AY331" s="684"/>
      <c r="AZ331" s="683"/>
      <c r="BA331" s="684"/>
      <c r="BB331" s="13"/>
      <c r="BC331" s="684"/>
      <c r="BD331" s="13"/>
      <c r="BE331" s="684"/>
      <c r="BF331" s="13"/>
      <c r="BG331" s="684"/>
      <c r="BH331" s="13"/>
      <c r="BI331" s="684"/>
      <c r="BJ331" s="13"/>
      <c r="BK331" s="684"/>
      <c r="BL331" s="684"/>
      <c r="BM331" s="684"/>
      <c r="BN331" s="677"/>
      <c r="BO331" s="677"/>
      <c r="BP331" s="541"/>
      <c r="BQ331" s="633"/>
      <c r="BR331" s="541"/>
      <c r="BS331" s="541"/>
      <c r="BT331" s="541"/>
      <c r="BU331" s="541"/>
    </row>
    <row r="332" ht="15.75" customHeight="1">
      <c r="A332" s="1591"/>
      <c r="B332" s="1591"/>
      <c r="C332" s="2217"/>
      <c r="D332" s="1541"/>
      <c r="E332" s="906"/>
      <c r="F332" s="1545"/>
      <c r="G332" s="684"/>
      <c r="H332" s="1545"/>
      <c r="I332" s="684"/>
      <c r="J332" s="1545"/>
      <c r="K332" s="684"/>
      <c r="L332" s="1545"/>
      <c r="M332" s="684"/>
      <c r="N332" s="1545"/>
      <c r="O332" s="684"/>
      <c r="P332" s="1545"/>
      <c r="Q332" s="684"/>
      <c r="R332" s="1545"/>
      <c r="S332" s="684"/>
      <c r="T332" s="1545"/>
      <c r="U332" s="684"/>
      <c r="V332" s="1545"/>
      <c r="W332" s="684"/>
      <c r="X332" s="1545"/>
      <c r="Y332" s="1545"/>
      <c r="Z332" s="1545"/>
      <c r="AA332" s="684"/>
      <c r="AB332" s="1545"/>
      <c r="AC332" s="684"/>
      <c r="AD332" s="684"/>
      <c r="AE332" s="684"/>
      <c r="AF332" s="684"/>
      <c r="AG332" s="684"/>
      <c r="AH332" s="684"/>
      <c r="AI332" s="684"/>
      <c r="AJ332" s="684"/>
      <c r="AK332" s="684"/>
      <c r="AL332" s="684"/>
      <c r="AM332" s="684"/>
      <c r="AN332" s="1545"/>
      <c r="AO332" s="1545"/>
      <c r="AP332" s="1545"/>
      <c r="AQ332" s="1545"/>
      <c r="AR332" s="1545"/>
      <c r="AS332" s="684"/>
      <c r="AT332" s="684"/>
      <c r="AU332" s="684"/>
      <c r="AV332" s="684"/>
      <c r="AW332" s="684"/>
      <c r="AX332" s="677"/>
      <c r="AY332" s="684"/>
      <c r="AZ332" s="683"/>
      <c r="BA332" s="684"/>
      <c r="BB332" s="13"/>
      <c r="BC332" s="684"/>
      <c r="BD332" s="13"/>
      <c r="BE332" s="684"/>
      <c r="BF332" s="13"/>
      <c r="BG332" s="684"/>
      <c r="BH332" s="13"/>
      <c r="BI332" s="684"/>
      <c r="BJ332" s="13"/>
      <c r="BK332" s="684"/>
      <c r="BL332" s="684"/>
      <c r="BM332" s="684"/>
      <c r="BN332" s="677"/>
      <c r="BO332" s="677"/>
      <c r="BP332" s="541"/>
      <c r="BQ332" s="633"/>
      <c r="BR332" s="541"/>
      <c r="BS332" s="541"/>
      <c r="BT332" s="541"/>
      <c r="BU332" s="541"/>
    </row>
    <row r="333" ht="15.75" customHeight="1">
      <c r="A333" s="1591"/>
      <c r="B333" s="1591"/>
      <c r="C333" s="2217"/>
      <c r="D333" s="1541"/>
      <c r="E333" s="906"/>
      <c r="F333" s="1545"/>
      <c r="G333" s="684"/>
      <c r="H333" s="1545"/>
      <c r="I333" s="684"/>
      <c r="J333" s="1545"/>
      <c r="K333" s="684"/>
      <c r="L333" s="1545"/>
      <c r="M333" s="684"/>
      <c r="N333" s="1545"/>
      <c r="O333" s="684"/>
      <c r="P333" s="1545"/>
      <c r="Q333" s="684"/>
      <c r="R333" s="1545"/>
      <c r="S333" s="684"/>
      <c r="T333" s="1545"/>
      <c r="U333" s="684"/>
      <c r="V333" s="1545"/>
      <c r="W333" s="684"/>
      <c r="X333" s="1545"/>
      <c r="Y333" s="1545"/>
      <c r="Z333" s="1545"/>
      <c r="AA333" s="684"/>
      <c r="AB333" s="1545"/>
      <c r="AC333" s="684"/>
      <c r="AD333" s="684"/>
      <c r="AE333" s="684"/>
      <c r="AF333" s="684"/>
      <c r="AG333" s="684"/>
      <c r="AH333" s="684"/>
      <c r="AI333" s="684"/>
      <c r="AJ333" s="684"/>
      <c r="AK333" s="684"/>
      <c r="AL333" s="684"/>
      <c r="AM333" s="684"/>
      <c r="AN333" s="1545"/>
      <c r="AO333" s="1545"/>
      <c r="AP333" s="1545"/>
      <c r="AQ333" s="1545"/>
      <c r="AR333" s="1545"/>
      <c r="AS333" s="684"/>
      <c r="AT333" s="684"/>
      <c r="AU333" s="684"/>
      <c r="AV333" s="684"/>
      <c r="AW333" s="684"/>
      <c r="AX333" s="677"/>
      <c r="AY333" s="684"/>
      <c r="AZ333" s="683"/>
      <c r="BA333" s="684"/>
      <c r="BB333" s="13"/>
      <c r="BC333" s="684"/>
      <c r="BD333" s="13"/>
      <c r="BE333" s="684"/>
      <c r="BF333" s="13"/>
      <c r="BG333" s="684"/>
      <c r="BH333" s="13"/>
      <c r="BI333" s="684"/>
      <c r="BJ333" s="13"/>
      <c r="BK333" s="684"/>
      <c r="BL333" s="684"/>
      <c r="BM333" s="684"/>
      <c r="BN333" s="677"/>
      <c r="BO333" s="677"/>
      <c r="BP333" s="541"/>
      <c r="BQ333" s="633"/>
      <c r="BR333" s="541"/>
      <c r="BS333" s="541"/>
      <c r="BT333" s="541"/>
      <c r="BU333" s="541"/>
    </row>
    <row r="334" ht="15.75" customHeight="1">
      <c r="A334" s="1591"/>
      <c r="B334" s="1591"/>
      <c r="C334" s="2217"/>
      <c r="D334" s="1541"/>
      <c r="E334" s="906"/>
      <c r="F334" s="1545"/>
      <c r="G334" s="684"/>
      <c r="H334" s="1545"/>
      <c r="I334" s="684"/>
      <c r="J334" s="1545"/>
      <c r="K334" s="684"/>
      <c r="L334" s="1545"/>
      <c r="M334" s="684"/>
      <c r="N334" s="1545"/>
      <c r="O334" s="684"/>
      <c r="P334" s="1545"/>
      <c r="Q334" s="684"/>
      <c r="R334" s="1545"/>
      <c r="S334" s="684"/>
      <c r="T334" s="1545"/>
      <c r="U334" s="684"/>
      <c r="V334" s="1545"/>
      <c r="W334" s="684"/>
      <c r="X334" s="1545"/>
      <c r="Y334" s="1545"/>
      <c r="Z334" s="1545"/>
      <c r="AA334" s="684"/>
      <c r="AB334" s="1545"/>
      <c r="AC334" s="684"/>
      <c r="AD334" s="684"/>
      <c r="AE334" s="684"/>
      <c r="AF334" s="684"/>
      <c r="AG334" s="684"/>
      <c r="AH334" s="684"/>
      <c r="AI334" s="684"/>
      <c r="AJ334" s="684"/>
      <c r="AK334" s="684"/>
      <c r="AL334" s="684"/>
      <c r="AM334" s="684"/>
      <c r="AN334" s="1545"/>
      <c r="AO334" s="1545"/>
      <c r="AP334" s="1545"/>
      <c r="AQ334" s="1545"/>
      <c r="AR334" s="1545"/>
      <c r="AS334" s="684"/>
      <c r="AT334" s="684"/>
      <c r="AU334" s="684"/>
      <c r="AV334" s="684"/>
      <c r="AW334" s="684"/>
      <c r="AX334" s="677"/>
      <c r="AY334" s="684"/>
      <c r="AZ334" s="683"/>
      <c r="BA334" s="684"/>
      <c r="BB334" s="13"/>
      <c r="BC334" s="684"/>
      <c r="BD334" s="13"/>
      <c r="BE334" s="684"/>
      <c r="BF334" s="13"/>
      <c r="BG334" s="684"/>
      <c r="BH334" s="13"/>
      <c r="BI334" s="684"/>
      <c r="BJ334" s="13"/>
      <c r="BK334" s="684"/>
      <c r="BL334" s="684"/>
      <c r="BM334" s="684"/>
      <c r="BN334" s="677"/>
      <c r="BO334" s="677"/>
      <c r="BP334" s="541"/>
      <c r="BQ334" s="633"/>
      <c r="BR334" s="541"/>
      <c r="BS334" s="541"/>
      <c r="BT334" s="541"/>
      <c r="BU334" s="541"/>
    </row>
    <row r="335" ht="15.75" customHeight="1">
      <c r="A335" s="1591"/>
      <c r="B335" s="1591"/>
      <c r="C335" s="2217"/>
      <c r="D335" s="1541"/>
      <c r="E335" s="906"/>
      <c r="F335" s="1545"/>
      <c r="G335" s="684"/>
      <c r="H335" s="1545"/>
      <c r="I335" s="684"/>
      <c r="J335" s="1545"/>
      <c r="K335" s="684"/>
      <c r="L335" s="1545"/>
      <c r="M335" s="684"/>
      <c r="N335" s="1545"/>
      <c r="O335" s="684"/>
      <c r="P335" s="1545"/>
      <c r="Q335" s="684"/>
      <c r="R335" s="1545"/>
      <c r="S335" s="684"/>
      <c r="T335" s="1545"/>
      <c r="U335" s="684"/>
      <c r="V335" s="1545"/>
      <c r="W335" s="684"/>
      <c r="X335" s="1545"/>
      <c r="Y335" s="1545"/>
      <c r="Z335" s="1545"/>
      <c r="AA335" s="684"/>
      <c r="AB335" s="1545"/>
      <c r="AC335" s="684"/>
      <c r="AD335" s="684"/>
      <c r="AE335" s="684"/>
      <c r="AF335" s="684"/>
      <c r="AG335" s="684"/>
      <c r="AH335" s="684"/>
      <c r="AI335" s="684"/>
      <c r="AJ335" s="684"/>
      <c r="AK335" s="684"/>
      <c r="AL335" s="684"/>
      <c r="AM335" s="684"/>
      <c r="AN335" s="1545"/>
      <c r="AO335" s="1545"/>
      <c r="AP335" s="1545"/>
      <c r="AQ335" s="1545"/>
      <c r="AR335" s="1545"/>
      <c r="AS335" s="684"/>
      <c r="AT335" s="684"/>
      <c r="AU335" s="684"/>
      <c r="AV335" s="684"/>
      <c r="AW335" s="684"/>
      <c r="AX335" s="677"/>
      <c r="AY335" s="684"/>
      <c r="AZ335" s="683"/>
      <c r="BA335" s="684"/>
      <c r="BB335" s="13"/>
      <c r="BC335" s="684"/>
      <c r="BD335" s="13"/>
      <c r="BE335" s="684"/>
      <c r="BF335" s="13"/>
      <c r="BG335" s="684"/>
      <c r="BH335" s="13"/>
      <c r="BI335" s="684"/>
      <c r="BJ335" s="13"/>
      <c r="BK335" s="684"/>
      <c r="BL335" s="684"/>
      <c r="BM335" s="684"/>
      <c r="BN335" s="677"/>
      <c r="BO335" s="677"/>
      <c r="BP335" s="541"/>
      <c r="BQ335" s="633"/>
      <c r="BR335" s="541"/>
      <c r="BS335" s="541"/>
      <c r="BT335" s="541"/>
      <c r="BU335" s="541"/>
    </row>
    <row r="336" ht="15.75" customHeight="1">
      <c r="A336" s="1591"/>
      <c r="B336" s="1591"/>
      <c r="C336" s="2217"/>
      <c r="D336" s="1541"/>
      <c r="E336" s="906"/>
      <c r="F336" s="1545"/>
      <c r="G336" s="684"/>
      <c r="H336" s="1545"/>
      <c r="I336" s="684"/>
      <c r="J336" s="1545"/>
      <c r="K336" s="684"/>
      <c r="L336" s="1545"/>
      <c r="M336" s="684"/>
      <c r="N336" s="1545"/>
      <c r="O336" s="684"/>
      <c r="P336" s="1545"/>
      <c r="Q336" s="684"/>
      <c r="R336" s="1545"/>
      <c r="S336" s="684"/>
      <c r="T336" s="1545"/>
      <c r="U336" s="684"/>
      <c r="V336" s="1545"/>
      <c r="W336" s="684"/>
      <c r="X336" s="1545"/>
      <c r="Y336" s="1545"/>
      <c r="Z336" s="1545"/>
      <c r="AA336" s="684"/>
      <c r="AB336" s="1545"/>
      <c r="AC336" s="684"/>
      <c r="AD336" s="684"/>
      <c r="AE336" s="684"/>
      <c r="AF336" s="684"/>
      <c r="AG336" s="684"/>
      <c r="AH336" s="684"/>
      <c r="AI336" s="684"/>
      <c r="AJ336" s="684"/>
      <c r="AK336" s="684"/>
      <c r="AL336" s="684"/>
      <c r="AM336" s="684"/>
      <c r="AN336" s="1545"/>
      <c r="AO336" s="1545"/>
      <c r="AP336" s="1545"/>
      <c r="AQ336" s="1545"/>
      <c r="AR336" s="1545"/>
      <c r="AS336" s="684"/>
      <c r="AT336" s="684"/>
      <c r="AU336" s="684"/>
      <c r="AV336" s="684"/>
      <c r="AW336" s="684"/>
      <c r="AX336" s="677"/>
      <c r="AY336" s="684"/>
      <c r="AZ336" s="683"/>
      <c r="BA336" s="684"/>
      <c r="BB336" s="13"/>
      <c r="BC336" s="684"/>
      <c r="BD336" s="13"/>
      <c r="BE336" s="684"/>
      <c r="BF336" s="13"/>
      <c r="BG336" s="684"/>
      <c r="BH336" s="13"/>
      <c r="BI336" s="684"/>
      <c r="BJ336" s="13"/>
      <c r="BK336" s="684"/>
      <c r="BL336" s="684"/>
      <c r="BM336" s="684"/>
      <c r="BN336" s="677"/>
      <c r="BO336" s="677"/>
      <c r="BP336" s="541"/>
      <c r="BQ336" s="633"/>
      <c r="BR336" s="541"/>
      <c r="BS336" s="541"/>
      <c r="BT336" s="541"/>
      <c r="BU336" s="541"/>
    </row>
    <row r="337" ht="15.75" customHeight="1">
      <c r="A337" s="1591"/>
      <c r="B337" s="1591"/>
      <c r="C337" s="2217"/>
      <c r="D337" s="1541"/>
      <c r="E337" s="906"/>
      <c r="F337" s="1545"/>
      <c r="G337" s="684"/>
      <c r="H337" s="1545"/>
      <c r="I337" s="684"/>
      <c r="J337" s="1545"/>
      <c r="K337" s="684"/>
      <c r="L337" s="1545"/>
      <c r="M337" s="684"/>
      <c r="N337" s="1545"/>
      <c r="O337" s="684"/>
      <c r="P337" s="1545"/>
      <c r="Q337" s="684"/>
      <c r="R337" s="1545"/>
      <c r="S337" s="684"/>
      <c r="T337" s="1545"/>
      <c r="U337" s="684"/>
      <c r="V337" s="1545"/>
      <c r="W337" s="684"/>
      <c r="X337" s="1545"/>
      <c r="Y337" s="1545"/>
      <c r="Z337" s="1545"/>
      <c r="AA337" s="684"/>
      <c r="AB337" s="1545"/>
      <c r="AC337" s="684"/>
      <c r="AD337" s="684"/>
      <c r="AE337" s="684"/>
      <c r="AF337" s="684"/>
      <c r="AG337" s="684"/>
      <c r="AH337" s="684"/>
      <c r="AI337" s="684"/>
      <c r="AJ337" s="684"/>
      <c r="AK337" s="684"/>
      <c r="AL337" s="684"/>
      <c r="AM337" s="684"/>
      <c r="AN337" s="1545"/>
      <c r="AO337" s="1545"/>
      <c r="AP337" s="1545"/>
      <c r="AQ337" s="1545"/>
      <c r="AR337" s="1545"/>
      <c r="AS337" s="684"/>
      <c r="AT337" s="684"/>
      <c r="AU337" s="684"/>
      <c r="AV337" s="684"/>
      <c r="AW337" s="684"/>
      <c r="AX337" s="677"/>
      <c r="AY337" s="684"/>
      <c r="AZ337" s="683"/>
      <c r="BA337" s="684"/>
      <c r="BB337" s="13"/>
      <c r="BC337" s="684"/>
      <c r="BD337" s="13"/>
      <c r="BE337" s="684"/>
      <c r="BF337" s="13"/>
      <c r="BG337" s="684"/>
      <c r="BH337" s="13"/>
      <c r="BI337" s="684"/>
      <c r="BJ337" s="13"/>
      <c r="BK337" s="684"/>
      <c r="BL337" s="684"/>
      <c r="BM337" s="684"/>
      <c r="BN337" s="677"/>
      <c r="BO337" s="677"/>
      <c r="BP337" s="541"/>
      <c r="BQ337" s="633"/>
      <c r="BR337" s="541"/>
      <c r="BS337" s="541"/>
      <c r="BT337" s="541"/>
      <c r="BU337" s="541"/>
    </row>
    <row r="338" ht="15.75" customHeight="1">
      <c r="A338" s="1591"/>
      <c r="B338" s="1591"/>
      <c r="C338" s="2217"/>
      <c r="D338" s="1541"/>
      <c r="E338" s="906"/>
      <c r="F338" s="1545"/>
      <c r="G338" s="684"/>
      <c r="H338" s="1545"/>
      <c r="I338" s="684"/>
      <c r="J338" s="1545"/>
      <c r="K338" s="684"/>
      <c r="L338" s="1545"/>
      <c r="M338" s="684"/>
      <c r="N338" s="1545"/>
      <c r="O338" s="684"/>
      <c r="P338" s="1545"/>
      <c r="Q338" s="684"/>
      <c r="R338" s="1545"/>
      <c r="S338" s="684"/>
      <c r="T338" s="1545"/>
      <c r="U338" s="684"/>
      <c r="V338" s="1545"/>
      <c r="W338" s="684"/>
      <c r="X338" s="1545"/>
      <c r="Y338" s="1545"/>
      <c r="Z338" s="1545"/>
      <c r="AA338" s="684"/>
      <c r="AB338" s="1545"/>
      <c r="AC338" s="684"/>
      <c r="AD338" s="684"/>
      <c r="AE338" s="684"/>
      <c r="AF338" s="684"/>
      <c r="AG338" s="684"/>
      <c r="AH338" s="684"/>
      <c r="AI338" s="684"/>
      <c r="AJ338" s="684"/>
      <c r="AK338" s="684"/>
      <c r="AL338" s="684"/>
      <c r="AM338" s="684"/>
      <c r="AN338" s="1545"/>
      <c r="AO338" s="1545"/>
      <c r="AP338" s="1545"/>
      <c r="AQ338" s="1545"/>
      <c r="AR338" s="1545"/>
      <c r="AS338" s="684"/>
      <c r="AT338" s="684"/>
      <c r="AU338" s="684"/>
      <c r="AV338" s="684"/>
      <c r="AW338" s="684"/>
      <c r="AX338" s="677"/>
      <c r="AY338" s="684"/>
      <c r="AZ338" s="683"/>
      <c r="BA338" s="684"/>
      <c r="BB338" s="13"/>
      <c r="BC338" s="684"/>
      <c r="BD338" s="13"/>
      <c r="BE338" s="684"/>
      <c r="BF338" s="13"/>
      <c r="BG338" s="684"/>
      <c r="BH338" s="13"/>
      <c r="BI338" s="684"/>
      <c r="BJ338" s="13"/>
      <c r="BK338" s="684"/>
      <c r="BL338" s="684"/>
      <c r="BM338" s="684"/>
      <c r="BN338" s="677"/>
      <c r="BO338" s="677"/>
      <c r="BP338" s="541"/>
      <c r="BQ338" s="633"/>
      <c r="BR338" s="541"/>
      <c r="BS338" s="541"/>
      <c r="BT338" s="541"/>
      <c r="BU338" s="541"/>
    </row>
    <row r="339" ht="15.75" customHeight="1">
      <c r="A339" s="1591"/>
      <c r="B339" s="1591"/>
      <c r="C339" s="2217"/>
      <c r="D339" s="1541"/>
      <c r="E339" s="906"/>
      <c r="F339" s="1545"/>
      <c r="G339" s="684"/>
      <c r="H339" s="1545"/>
      <c r="I339" s="684"/>
      <c r="J339" s="1545"/>
      <c r="K339" s="684"/>
      <c r="L339" s="1545"/>
      <c r="M339" s="684"/>
      <c r="N339" s="1545"/>
      <c r="O339" s="684"/>
      <c r="P339" s="1545"/>
      <c r="Q339" s="684"/>
      <c r="R339" s="1545"/>
      <c r="S339" s="684"/>
      <c r="T339" s="1545"/>
      <c r="U339" s="684"/>
      <c r="V339" s="1545"/>
      <c r="W339" s="684"/>
      <c r="X339" s="1545"/>
      <c r="Y339" s="1545"/>
      <c r="Z339" s="1545"/>
      <c r="AA339" s="684"/>
      <c r="AB339" s="1545"/>
      <c r="AC339" s="684"/>
      <c r="AD339" s="684"/>
      <c r="AE339" s="684"/>
      <c r="AF339" s="684"/>
      <c r="AG339" s="684"/>
      <c r="AH339" s="684"/>
      <c r="AI339" s="684"/>
      <c r="AJ339" s="684"/>
      <c r="AK339" s="684"/>
      <c r="AL339" s="684"/>
      <c r="AM339" s="684"/>
      <c r="AN339" s="1545"/>
      <c r="AO339" s="1545"/>
      <c r="AP339" s="1545"/>
      <c r="AQ339" s="1545"/>
      <c r="AR339" s="1545"/>
      <c r="AS339" s="684"/>
      <c r="AT339" s="684"/>
      <c r="AU339" s="684"/>
      <c r="AV339" s="684"/>
      <c r="AW339" s="684"/>
      <c r="AX339" s="677"/>
      <c r="AY339" s="684"/>
      <c r="AZ339" s="683"/>
      <c r="BA339" s="684"/>
      <c r="BB339" s="13"/>
      <c r="BC339" s="684"/>
      <c r="BD339" s="13"/>
      <c r="BE339" s="684"/>
      <c r="BF339" s="13"/>
      <c r="BG339" s="684"/>
      <c r="BH339" s="13"/>
      <c r="BI339" s="684"/>
      <c r="BJ339" s="13"/>
      <c r="BK339" s="684"/>
      <c r="BL339" s="684"/>
      <c r="BM339" s="684"/>
      <c r="BN339" s="677"/>
      <c r="BO339" s="677"/>
      <c r="BP339" s="541"/>
      <c r="BQ339" s="633"/>
      <c r="BR339" s="541"/>
      <c r="BS339" s="541"/>
      <c r="BT339" s="541"/>
      <c r="BU339" s="541"/>
    </row>
    <row r="340" ht="15.75" customHeight="1">
      <c r="A340" s="1591"/>
      <c r="B340" s="1591"/>
      <c r="C340" s="2217"/>
      <c r="D340" s="1541"/>
      <c r="E340" s="906"/>
      <c r="F340" s="1545"/>
      <c r="G340" s="684"/>
      <c r="H340" s="1545"/>
      <c r="I340" s="684"/>
      <c r="J340" s="1545"/>
      <c r="K340" s="684"/>
      <c r="L340" s="1545"/>
      <c r="M340" s="684"/>
      <c r="N340" s="1545"/>
      <c r="O340" s="684"/>
      <c r="P340" s="1545"/>
      <c r="Q340" s="684"/>
      <c r="R340" s="1545"/>
      <c r="S340" s="684"/>
      <c r="T340" s="1545"/>
      <c r="U340" s="684"/>
      <c r="V340" s="1545"/>
      <c r="W340" s="684"/>
      <c r="X340" s="1545"/>
      <c r="Y340" s="1545"/>
      <c r="Z340" s="1545"/>
      <c r="AA340" s="684"/>
      <c r="AB340" s="1545"/>
      <c r="AC340" s="684"/>
      <c r="AD340" s="684"/>
      <c r="AE340" s="684"/>
      <c r="AF340" s="684"/>
      <c r="AG340" s="684"/>
      <c r="AH340" s="684"/>
      <c r="AI340" s="684"/>
      <c r="AJ340" s="684"/>
      <c r="AK340" s="684"/>
      <c r="AL340" s="684"/>
      <c r="AM340" s="684"/>
      <c r="AN340" s="1545"/>
      <c r="AO340" s="1545"/>
      <c r="AP340" s="1545"/>
      <c r="AQ340" s="1545"/>
      <c r="AR340" s="1545"/>
      <c r="AS340" s="684"/>
      <c r="AT340" s="684"/>
      <c r="AU340" s="684"/>
      <c r="AV340" s="684"/>
      <c r="AW340" s="684"/>
      <c r="AX340" s="677"/>
      <c r="AY340" s="684"/>
      <c r="AZ340" s="683"/>
      <c r="BA340" s="684"/>
      <c r="BB340" s="13"/>
      <c r="BC340" s="684"/>
      <c r="BD340" s="13"/>
      <c r="BE340" s="684"/>
      <c r="BF340" s="13"/>
      <c r="BG340" s="684"/>
      <c r="BH340" s="13"/>
      <c r="BI340" s="684"/>
      <c r="BJ340" s="13"/>
      <c r="BK340" s="684"/>
      <c r="BL340" s="684"/>
      <c r="BM340" s="684"/>
      <c r="BN340" s="677"/>
      <c r="BO340" s="677"/>
      <c r="BP340" s="541"/>
      <c r="BQ340" s="633"/>
      <c r="BR340" s="541"/>
      <c r="BS340" s="541"/>
      <c r="BT340" s="541"/>
      <c r="BU340" s="541"/>
    </row>
    <row r="341" ht="15.75" customHeight="1">
      <c r="A341" s="1591"/>
      <c r="B341" s="1591"/>
      <c r="C341" s="2217"/>
      <c r="D341" s="1541"/>
      <c r="E341" s="906"/>
      <c r="F341" s="1545"/>
      <c r="G341" s="684"/>
      <c r="H341" s="1545"/>
      <c r="I341" s="684"/>
      <c r="J341" s="1545"/>
      <c r="K341" s="684"/>
      <c r="L341" s="1545"/>
      <c r="M341" s="684"/>
      <c r="N341" s="1545"/>
      <c r="O341" s="684"/>
      <c r="P341" s="1545"/>
      <c r="Q341" s="684"/>
      <c r="R341" s="1545"/>
      <c r="S341" s="684"/>
      <c r="T341" s="1545"/>
      <c r="U341" s="684"/>
      <c r="V341" s="1545"/>
      <c r="W341" s="684"/>
      <c r="X341" s="1545"/>
      <c r="Y341" s="1545"/>
      <c r="Z341" s="1545"/>
      <c r="AA341" s="684"/>
      <c r="AB341" s="1545"/>
      <c r="AC341" s="684"/>
      <c r="AD341" s="684"/>
      <c r="AE341" s="684"/>
      <c r="AF341" s="684"/>
      <c r="AG341" s="684"/>
      <c r="AH341" s="684"/>
      <c r="AI341" s="684"/>
      <c r="AJ341" s="684"/>
      <c r="AK341" s="684"/>
      <c r="AL341" s="684"/>
      <c r="AM341" s="684"/>
      <c r="AN341" s="1545"/>
      <c r="AO341" s="1545"/>
      <c r="AP341" s="1545"/>
      <c r="AQ341" s="1545"/>
      <c r="AR341" s="1545"/>
      <c r="AS341" s="684"/>
      <c r="AT341" s="684"/>
      <c r="AU341" s="684"/>
      <c r="AV341" s="684"/>
      <c r="AW341" s="684"/>
      <c r="AX341" s="677"/>
      <c r="AY341" s="684"/>
      <c r="AZ341" s="683"/>
      <c r="BA341" s="684"/>
      <c r="BB341" s="13"/>
      <c r="BC341" s="684"/>
      <c r="BD341" s="13"/>
      <c r="BE341" s="684"/>
      <c r="BF341" s="13"/>
      <c r="BG341" s="684"/>
      <c r="BH341" s="13"/>
      <c r="BI341" s="684"/>
      <c r="BJ341" s="13"/>
      <c r="BK341" s="684"/>
      <c r="BL341" s="684"/>
      <c r="BM341" s="684"/>
      <c r="BN341" s="677"/>
      <c r="BO341" s="677"/>
      <c r="BP341" s="541"/>
      <c r="BQ341" s="633"/>
      <c r="BR341" s="541"/>
      <c r="BS341" s="541"/>
      <c r="BT341" s="541"/>
      <c r="BU341" s="541"/>
    </row>
    <row r="342" ht="15.75" customHeight="1">
      <c r="A342" s="1591"/>
      <c r="B342" s="1591"/>
      <c r="C342" s="2217"/>
      <c r="D342" s="1541"/>
      <c r="E342" s="906"/>
      <c r="F342" s="1545"/>
      <c r="G342" s="684"/>
      <c r="H342" s="1545"/>
      <c r="I342" s="684"/>
      <c r="J342" s="1545"/>
      <c r="K342" s="684"/>
      <c r="L342" s="1545"/>
      <c r="M342" s="684"/>
      <c r="N342" s="1545"/>
      <c r="O342" s="684"/>
      <c r="P342" s="1545"/>
      <c r="Q342" s="684"/>
      <c r="R342" s="1545"/>
      <c r="S342" s="684"/>
      <c r="T342" s="1545"/>
      <c r="U342" s="684"/>
      <c r="V342" s="1545"/>
      <c r="W342" s="684"/>
      <c r="X342" s="1545"/>
      <c r="Y342" s="1545"/>
      <c r="Z342" s="1545"/>
      <c r="AA342" s="684"/>
      <c r="AB342" s="1545"/>
      <c r="AC342" s="684"/>
      <c r="AD342" s="684"/>
      <c r="AE342" s="684"/>
      <c r="AF342" s="684"/>
      <c r="AG342" s="684"/>
      <c r="AH342" s="684"/>
      <c r="AI342" s="684"/>
      <c r="AJ342" s="684"/>
      <c r="AK342" s="684"/>
      <c r="AL342" s="684"/>
      <c r="AM342" s="684"/>
      <c r="AN342" s="1545"/>
      <c r="AO342" s="1545"/>
      <c r="AP342" s="1545"/>
      <c r="AQ342" s="1545"/>
      <c r="AR342" s="1545"/>
      <c r="AS342" s="684"/>
      <c r="AT342" s="684"/>
      <c r="AU342" s="684"/>
      <c r="AV342" s="684"/>
      <c r="AW342" s="684"/>
      <c r="AX342" s="677"/>
      <c r="AY342" s="684"/>
      <c r="AZ342" s="683"/>
      <c r="BA342" s="684"/>
      <c r="BB342" s="13"/>
      <c r="BC342" s="684"/>
      <c r="BD342" s="13"/>
      <c r="BE342" s="684"/>
      <c r="BF342" s="13"/>
      <c r="BG342" s="684"/>
      <c r="BH342" s="13"/>
      <c r="BI342" s="684"/>
      <c r="BJ342" s="13"/>
      <c r="BK342" s="684"/>
      <c r="BL342" s="684"/>
      <c r="BM342" s="684"/>
      <c r="BN342" s="677"/>
      <c r="BO342" s="677"/>
      <c r="BP342" s="541"/>
      <c r="BQ342" s="633"/>
      <c r="BR342" s="541"/>
      <c r="BS342" s="541"/>
      <c r="BT342" s="541"/>
      <c r="BU342" s="541"/>
    </row>
    <row r="343" ht="15.75" customHeight="1">
      <c r="A343" s="1591"/>
      <c r="B343" s="1591"/>
      <c r="C343" s="2217"/>
      <c r="D343" s="1541"/>
      <c r="E343" s="906"/>
      <c r="F343" s="1545"/>
      <c r="G343" s="684"/>
      <c r="H343" s="1545"/>
      <c r="I343" s="684"/>
      <c r="J343" s="1545"/>
      <c r="K343" s="684"/>
      <c r="L343" s="1545"/>
      <c r="M343" s="684"/>
      <c r="N343" s="1545"/>
      <c r="O343" s="684"/>
      <c r="P343" s="1545"/>
      <c r="Q343" s="684"/>
      <c r="R343" s="1545"/>
      <c r="S343" s="684"/>
      <c r="T343" s="1545"/>
      <c r="U343" s="684"/>
      <c r="V343" s="1545"/>
      <c r="W343" s="684"/>
      <c r="X343" s="1545"/>
      <c r="Y343" s="1545"/>
      <c r="Z343" s="1545"/>
      <c r="AA343" s="684"/>
      <c r="AB343" s="1545"/>
      <c r="AC343" s="684"/>
      <c r="AD343" s="684"/>
      <c r="AE343" s="684"/>
      <c r="AF343" s="684"/>
      <c r="AG343" s="684"/>
      <c r="AH343" s="684"/>
      <c r="AI343" s="684"/>
      <c r="AJ343" s="684"/>
      <c r="AK343" s="684"/>
      <c r="AL343" s="684"/>
      <c r="AM343" s="684"/>
      <c r="AN343" s="1545"/>
      <c r="AO343" s="1545"/>
      <c r="AP343" s="1545"/>
      <c r="AQ343" s="1545"/>
      <c r="AR343" s="1545"/>
      <c r="AS343" s="684"/>
      <c r="AT343" s="684"/>
      <c r="AU343" s="684"/>
      <c r="AV343" s="684"/>
      <c r="AW343" s="684"/>
      <c r="AX343" s="677"/>
      <c r="AY343" s="684"/>
      <c r="AZ343" s="683"/>
      <c r="BA343" s="684"/>
      <c r="BB343" s="13"/>
      <c r="BC343" s="684"/>
      <c r="BD343" s="13"/>
      <c r="BE343" s="684"/>
      <c r="BF343" s="13"/>
      <c r="BG343" s="684"/>
      <c r="BH343" s="13"/>
      <c r="BI343" s="684"/>
      <c r="BJ343" s="13"/>
      <c r="BK343" s="684"/>
      <c r="BL343" s="684"/>
      <c r="BM343" s="684"/>
      <c r="BN343" s="677"/>
      <c r="BO343" s="677"/>
      <c r="BP343" s="541"/>
      <c r="BQ343" s="633"/>
      <c r="BR343" s="541"/>
      <c r="BS343" s="541"/>
      <c r="BT343" s="541"/>
      <c r="BU343" s="541"/>
    </row>
    <row r="344" ht="15.75" customHeight="1">
      <c r="A344" s="1591"/>
      <c r="B344" s="1591"/>
      <c r="C344" s="2217"/>
      <c r="D344" s="1541"/>
      <c r="E344" s="906"/>
      <c r="F344" s="1545"/>
      <c r="G344" s="684"/>
      <c r="H344" s="1545"/>
      <c r="I344" s="684"/>
      <c r="J344" s="1545"/>
      <c r="K344" s="684"/>
      <c r="L344" s="1545"/>
      <c r="M344" s="684"/>
      <c r="N344" s="1545"/>
      <c r="O344" s="684"/>
      <c r="P344" s="1545"/>
      <c r="Q344" s="684"/>
      <c r="R344" s="1545"/>
      <c r="S344" s="684"/>
      <c r="T344" s="1545"/>
      <c r="U344" s="684"/>
      <c r="V344" s="1545"/>
      <c r="W344" s="684"/>
      <c r="X344" s="1545"/>
      <c r="Y344" s="1545"/>
      <c r="Z344" s="1545"/>
      <c r="AA344" s="684"/>
      <c r="AB344" s="1545"/>
      <c r="AC344" s="684"/>
      <c r="AD344" s="684"/>
      <c r="AE344" s="684"/>
      <c r="AF344" s="684"/>
      <c r="AG344" s="684"/>
      <c r="AH344" s="684"/>
      <c r="AI344" s="684"/>
      <c r="AJ344" s="684"/>
      <c r="AK344" s="684"/>
      <c r="AL344" s="684"/>
      <c r="AM344" s="684"/>
      <c r="AN344" s="1545"/>
      <c r="AO344" s="1545"/>
      <c r="AP344" s="1545"/>
      <c r="AQ344" s="1545"/>
      <c r="AR344" s="1545"/>
      <c r="AS344" s="684"/>
      <c r="AT344" s="684"/>
      <c r="AU344" s="684"/>
      <c r="AV344" s="684"/>
      <c r="AW344" s="684"/>
      <c r="AX344" s="677"/>
      <c r="AY344" s="684"/>
      <c r="AZ344" s="683"/>
      <c r="BA344" s="684"/>
      <c r="BB344" s="13"/>
      <c r="BC344" s="684"/>
      <c r="BD344" s="13"/>
      <c r="BE344" s="684"/>
      <c r="BF344" s="13"/>
      <c r="BG344" s="684"/>
      <c r="BH344" s="13"/>
      <c r="BI344" s="684"/>
      <c r="BJ344" s="13"/>
      <c r="BK344" s="684"/>
      <c r="BL344" s="684"/>
      <c r="BM344" s="684"/>
      <c r="BN344" s="677"/>
      <c r="BO344" s="677"/>
      <c r="BP344" s="541"/>
      <c r="BQ344" s="633"/>
      <c r="BR344" s="541"/>
      <c r="BS344" s="541"/>
      <c r="BT344" s="541"/>
      <c r="BU344" s="541"/>
    </row>
    <row r="345" ht="15.75" customHeight="1">
      <c r="A345" s="1591"/>
      <c r="B345" s="1591"/>
      <c r="C345" s="2217"/>
      <c r="D345" s="1541"/>
      <c r="E345" s="906"/>
      <c r="F345" s="1545"/>
      <c r="G345" s="684"/>
      <c r="H345" s="1545"/>
      <c r="I345" s="684"/>
      <c r="J345" s="1545"/>
      <c r="K345" s="684"/>
      <c r="L345" s="1545"/>
      <c r="M345" s="684"/>
      <c r="N345" s="1545"/>
      <c r="O345" s="684"/>
      <c r="P345" s="1545"/>
      <c r="Q345" s="684"/>
      <c r="R345" s="1545"/>
      <c r="S345" s="684"/>
      <c r="T345" s="1545"/>
      <c r="U345" s="684"/>
      <c r="V345" s="1545"/>
      <c r="W345" s="684"/>
      <c r="X345" s="1545"/>
      <c r="Y345" s="1545"/>
      <c r="Z345" s="1545"/>
      <c r="AA345" s="684"/>
      <c r="AB345" s="1545"/>
      <c r="AC345" s="684"/>
      <c r="AD345" s="684"/>
      <c r="AE345" s="684"/>
      <c r="AF345" s="684"/>
      <c r="AG345" s="684"/>
      <c r="AH345" s="684"/>
      <c r="AI345" s="684"/>
      <c r="AJ345" s="684"/>
      <c r="AK345" s="684"/>
      <c r="AL345" s="684"/>
      <c r="AM345" s="684"/>
      <c r="AN345" s="1545"/>
      <c r="AO345" s="1545"/>
      <c r="AP345" s="1545"/>
      <c r="AQ345" s="1545"/>
      <c r="AR345" s="1545"/>
      <c r="AS345" s="684"/>
      <c r="AT345" s="684"/>
      <c r="AU345" s="684"/>
      <c r="AV345" s="684"/>
      <c r="AW345" s="684"/>
      <c r="AX345" s="677"/>
      <c r="AY345" s="684"/>
      <c r="AZ345" s="683"/>
      <c r="BA345" s="684"/>
      <c r="BB345" s="13"/>
      <c r="BC345" s="684"/>
      <c r="BD345" s="13"/>
      <c r="BE345" s="684"/>
      <c r="BF345" s="13"/>
      <c r="BG345" s="684"/>
      <c r="BH345" s="13"/>
      <c r="BI345" s="684"/>
      <c r="BJ345" s="13"/>
      <c r="BK345" s="684"/>
      <c r="BL345" s="684"/>
      <c r="BM345" s="684"/>
      <c r="BN345" s="677"/>
      <c r="BO345" s="677"/>
      <c r="BP345" s="541"/>
      <c r="BQ345" s="633"/>
      <c r="BR345" s="541"/>
      <c r="BS345" s="541"/>
      <c r="BT345" s="541"/>
      <c r="BU345" s="541"/>
    </row>
    <row r="346" ht="15.75" customHeight="1">
      <c r="A346" s="1591"/>
      <c r="B346" s="1591"/>
      <c r="C346" s="2217"/>
      <c r="D346" s="1541"/>
      <c r="E346" s="906"/>
      <c r="F346" s="1545"/>
      <c r="G346" s="684"/>
      <c r="H346" s="1545"/>
      <c r="I346" s="684"/>
      <c r="J346" s="1545"/>
      <c r="K346" s="684"/>
      <c r="L346" s="1545"/>
      <c r="M346" s="684"/>
      <c r="N346" s="1545"/>
      <c r="O346" s="684"/>
      <c r="P346" s="1545"/>
      <c r="Q346" s="684"/>
      <c r="R346" s="1545"/>
      <c r="S346" s="684"/>
      <c r="T346" s="1545"/>
      <c r="U346" s="684"/>
      <c r="V346" s="1545"/>
      <c r="W346" s="684"/>
      <c r="X346" s="1545"/>
      <c r="Y346" s="1545"/>
      <c r="Z346" s="1545"/>
      <c r="AA346" s="684"/>
      <c r="AB346" s="1545"/>
      <c r="AC346" s="684"/>
      <c r="AD346" s="684"/>
      <c r="AE346" s="684"/>
      <c r="AF346" s="684"/>
      <c r="AG346" s="684"/>
      <c r="AH346" s="684"/>
      <c r="AI346" s="684"/>
      <c r="AJ346" s="684"/>
      <c r="AK346" s="684"/>
      <c r="AL346" s="684"/>
      <c r="AM346" s="684"/>
      <c r="AN346" s="1545"/>
      <c r="AO346" s="1545"/>
      <c r="AP346" s="1545"/>
      <c r="AQ346" s="1545"/>
      <c r="AR346" s="1545"/>
      <c r="AS346" s="684"/>
      <c r="AT346" s="684"/>
      <c r="AU346" s="684"/>
      <c r="AV346" s="684"/>
      <c r="AW346" s="684"/>
      <c r="AX346" s="677"/>
      <c r="AY346" s="684"/>
      <c r="AZ346" s="683"/>
      <c r="BA346" s="684"/>
      <c r="BB346" s="13"/>
      <c r="BC346" s="684"/>
      <c r="BD346" s="13"/>
      <c r="BE346" s="684"/>
      <c r="BF346" s="13"/>
      <c r="BG346" s="684"/>
      <c r="BH346" s="13"/>
      <c r="BI346" s="684"/>
      <c r="BJ346" s="13"/>
      <c r="BK346" s="684"/>
      <c r="BL346" s="684"/>
      <c r="BM346" s="684"/>
      <c r="BN346" s="677"/>
      <c r="BO346" s="677"/>
      <c r="BP346" s="541"/>
      <c r="BQ346" s="633"/>
      <c r="BR346" s="541"/>
      <c r="BS346" s="541"/>
      <c r="BT346" s="541"/>
      <c r="BU346" s="541"/>
    </row>
    <row r="347" ht="15.75" customHeight="1">
      <c r="A347" s="1591"/>
      <c r="B347" s="1591"/>
      <c r="C347" s="2217"/>
      <c r="D347" s="1541"/>
      <c r="E347" s="906"/>
      <c r="F347" s="1545"/>
      <c r="G347" s="684"/>
      <c r="H347" s="1545"/>
      <c r="I347" s="684"/>
      <c r="J347" s="1545"/>
      <c r="K347" s="684"/>
      <c r="L347" s="1545"/>
      <c r="M347" s="684"/>
      <c r="N347" s="1545"/>
      <c r="O347" s="684"/>
      <c r="P347" s="1545"/>
      <c r="Q347" s="684"/>
      <c r="R347" s="1545"/>
      <c r="S347" s="684"/>
      <c r="T347" s="1545"/>
      <c r="U347" s="684"/>
      <c r="V347" s="1545"/>
      <c r="W347" s="684"/>
      <c r="X347" s="1545"/>
      <c r="Y347" s="1545"/>
      <c r="Z347" s="1545"/>
      <c r="AA347" s="684"/>
      <c r="AB347" s="1545"/>
      <c r="AC347" s="684"/>
      <c r="AD347" s="684"/>
      <c r="AE347" s="684"/>
      <c r="AF347" s="684"/>
      <c r="AG347" s="684"/>
      <c r="AH347" s="684"/>
      <c r="AI347" s="684"/>
      <c r="AJ347" s="684"/>
      <c r="AK347" s="684"/>
      <c r="AL347" s="684"/>
      <c r="AM347" s="684"/>
      <c r="AN347" s="1545"/>
      <c r="AO347" s="1545"/>
      <c r="AP347" s="1545"/>
      <c r="AQ347" s="1545"/>
      <c r="AR347" s="1545"/>
      <c r="AS347" s="684"/>
      <c r="AT347" s="684"/>
      <c r="AU347" s="684"/>
      <c r="AV347" s="684"/>
      <c r="AW347" s="684"/>
      <c r="AX347" s="677"/>
      <c r="AY347" s="684"/>
      <c r="AZ347" s="683"/>
      <c r="BA347" s="684"/>
      <c r="BB347" s="13"/>
      <c r="BC347" s="684"/>
      <c r="BD347" s="13"/>
      <c r="BE347" s="684"/>
      <c r="BF347" s="13"/>
      <c r="BG347" s="684"/>
      <c r="BH347" s="13"/>
      <c r="BI347" s="684"/>
      <c r="BJ347" s="13"/>
      <c r="BK347" s="684"/>
      <c r="BL347" s="684"/>
      <c r="BM347" s="684"/>
      <c r="BN347" s="677"/>
      <c r="BO347" s="677"/>
      <c r="BP347" s="541"/>
      <c r="BQ347" s="633"/>
      <c r="BR347" s="541"/>
      <c r="BS347" s="541"/>
      <c r="BT347" s="541"/>
      <c r="BU347" s="541"/>
    </row>
    <row r="348" ht="15.75" customHeight="1">
      <c r="A348" s="1591"/>
      <c r="B348" s="1591"/>
      <c r="C348" s="2217"/>
      <c r="D348" s="1541"/>
      <c r="E348" s="906"/>
      <c r="F348" s="1545"/>
      <c r="G348" s="684"/>
      <c r="H348" s="1545"/>
      <c r="I348" s="684"/>
      <c r="J348" s="1545"/>
      <c r="K348" s="684"/>
      <c r="L348" s="1545"/>
      <c r="M348" s="684"/>
      <c r="N348" s="1545"/>
      <c r="O348" s="684"/>
      <c r="P348" s="1545"/>
      <c r="Q348" s="684"/>
      <c r="R348" s="1545"/>
      <c r="S348" s="684"/>
      <c r="T348" s="1545"/>
      <c r="U348" s="684"/>
      <c r="V348" s="1545"/>
      <c r="W348" s="684"/>
      <c r="X348" s="1545"/>
      <c r="Y348" s="1545"/>
      <c r="Z348" s="1545"/>
      <c r="AA348" s="684"/>
      <c r="AB348" s="1545"/>
      <c r="AC348" s="684"/>
      <c r="AD348" s="684"/>
      <c r="AE348" s="684"/>
      <c r="AF348" s="684"/>
      <c r="AG348" s="684"/>
      <c r="AH348" s="684"/>
      <c r="AI348" s="684"/>
      <c r="AJ348" s="684"/>
      <c r="AK348" s="684"/>
      <c r="AL348" s="684"/>
      <c r="AM348" s="684"/>
      <c r="AN348" s="1545"/>
      <c r="AO348" s="1545"/>
      <c r="AP348" s="1545"/>
      <c r="AQ348" s="1545"/>
      <c r="AR348" s="1545"/>
      <c r="AS348" s="684"/>
      <c r="AT348" s="684"/>
      <c r="AU348" s="684"/>
      <c r="AV348" s="684"/>
      <c r="AW348" s="684"/>
      <c r="AX348" s="677"/>
      <c r="AY348" s="684"/>
      <c r="AZ348" s="683"/>
      <c r="BA348" s="684"/>
      <c r="BB348" s="13"/>
      <c r="BC348" s="684"/>
      <c r="BD348" s="13"/>
      <c r="BE348" s="684"/>
      <c r="BF348" s="13"/>
      <c r="BG348" s="684"/>
      <c r="BH348" s="13"/>
      <c r="BI348" s="684"/>
      <c r="BJ348" s="13"/>
      <c r="BK348" s="684"/>
      <c r="BL348" s="684"/>
      <c r="BM348" s="684"/>
      <c r="BN348" s="677"/>
      <c r="BO348" s="677"/>
      <c r="BP348" s="541"/>
      <c r="BQ348" s="633"/>
      <c r="BR348" s="541"/>
      <c r="BS348" s="541"/>
      <c r="BT348" s="541"/>
      <c r="BU348" s="541"/>
    </row>
    <row r="349" ht="15.75" customHeight="1">
      <c r="A349" s="1591"/>
      <c r="B349" s="1591"/>
      <c r="C349" s="2217"/>
      <c r="D349" s="1541"/>
      <c r="E349" s="906"/>
      <c r="F349" s="1545"/>
      <c r="G349" s="684"/>
      <c r="H349" s="1545"/>
      <c r="I349" s="684"/>
      <c r="J349" s="1545"/>
      <c r="K349" s="684"/>
      <c r="L349" s="1545"/>
      <c r="M349" s="684"/>
      <c r="N349" s="1545"/>
      <c r="O349" s="684"/>
      <c r="P349" s="1545"/>
      <c r="Q349" s="684"/>
      <c r="R349" s="1545"/>
      <c r="S349" s="684"/>
      <c r="T349" s="1545"/>
      <c r="U349" s="684"/>
      <c r="V349" s="1545"/>
      <c r="W349" s="684"/>
      <c r="X349" s="1545"/>
      <c r="Y349" s="1545"/>
      <c r="Z349" s="1545"/>
      <c r="AA349" s="684"/>
      <c r="AB349" s="1545"/>
      <c r="AC349" s="684"/>
      <c r="AD349" s="684"/>
      <c r="AE349" s="684"/>
      <c r="AF349" s="684"/>
      <c r="AG349" s="684"/>
      <c r="AH349" s="684"/>
      <c r="AI349" s="684"/>
      <c r="AJ349" s="684"/>
      <c r="AK349" s="684"/>
      <c r="AL349" s="684"/>
      <c r="AM349" s="684"/>
      <c r="AN349" s="1545"/>
      <c r="AO349" s="1545"/>
      <c r="AP349" s="1545"/>
      <c r="AQ349" s="1545"/>
      <c r="AR349" s="1545"/>
      <c r="AS349" s="684"/>
      <c r="AT349" s="684"/>
      <c r="AU349" s="684"/>
      <c r="AV349" s="684"/>
      <c r="AW349" s="684"/>
      <c r="AX349" s="677"/>
      <c r="AY349" s="684"/>
      <c r="AZ349" s="683"/>
      <c r="BA349" s="684"/>
      <c r="BB349" s="13"/>
      <c r="BC349" s="684"/>
      <c r="BD349" s="13"/>
      <c r="BE349" s="684"/>
      <c r="BF349" s="13"/>
      <c r="BG349" s="684"/>
      <c r="BH349" s="13"/>
      <c r="BI349" s="684"/>
      <c r="BJ349" s="13"/>
      <c r="BK349" s="684"/>
      <c r="BL349" s="684"/>
      <c r="BM349" s="684"/>
      <c r="BN349" s="677"/>
      <c r="BO349" s="677"/>
      <c r="BP349" s="541"/>
      <c r="BQ349" s="633"/>
      <c r="BR349" s="541"/>
      <c r="BS349" s="541"/>
      <c r="BT349" s="541"/>
      <c r="BU349" s="541"/>
    </row>
    <row r="350" ht="15.75" customHeight="1">
      <c r="A350" s="1591"/>
      <c r="B350" s="1591"/>
      <c r="C350" s="2217"/>
      <c r="D350" s="1541"/>
      <c r="E350" s="906"/>
      <c r="F350" s="1545"/>
      <c r="G350" s="684"/>
      <c r="H350" s="1545"/>
      <c r="I350" s="684"/>
      <c r="J350" s="1545"/>
      <c r="K350" s="684"/>
      <c r="L350" s="1545"/>
      <c r="M350" s="684"/>
      <c r="N350" s="1545"/>
      <c r="O350" s="684"/>
      <c r="P350" s="1545"/>
      <c r="Q350" s="684"/>
      <c r="R350" s="1545"/>
      <c r="S350" s="684"/>
      <c r="T350" s="1545"/>
      <c r="U350" s="684"/>
      <c r="V350" s="1545"/>
      <c r="W350" s="684"/>
      <c r="X350" s="1545"/>
      <c r="Y350" s="1545"/>
      <c r="Z350" s="1545"/>
      <c r="AA350" s="684"/>
      <c r="AB350" s="1545"/>
      <c r="AC350" s="684"/>
      <c r="AD350" s="684"/>
      <c r="AE350" s="684"/>
      <c r="AF350" s="684"/>
      <c r="AG350" s="684"/>
      <c r="AH350" s="684"/>
      <c r="AI350" s="684"/>
      <c r="AJ350" s="684"/>
      <c r="AK350" s="684"/>
      <c r="AL350" s="684"/>
      <c r="AM350" s="684"/>
      <c r="AN350" s="1545"/>
      <c r="AO350" s="1545"/>
      <c r="AP350" s="1545"/>
      <c r="AQ350" s="1545"/>
      <c r="AR350" s="1545"/>
      <c r="AS350" s="684"/>
      <c r="AT350" s="684"/>
      <c r="AU350" s="684"/>
      <c r="AV350" s="684"/>
      <c r="AW350" s="684"/>
      <c r="AX350" s="677"/>
      <c r="AY350" s="684"/>
      <c r="AZ350" s="683"/>
      <c r="BA350" s="684"/>
      <c r="BB350" s="13"/>
      <c r="BC350" s="684"/>
      <c r="BD350" s="13"/>
      <c r="BE350" s="684"/>
      <c r="BF350" s="13"/>
      <c r="BG350" s="684"/>
      <c r="BH350" s="13"/>
      <c r="BI350" s="684"/>
      <c r="BJ350" s="13"/>
      <c r="BK350" s="684"/>
      <c r="BL350" s="684"/>
      <c r="BM350" s="684"/>
      <c r="BN350" s="677"/>
      <c r="BO350" s="677"/>
      <c r="BP350" s="541"/>
      <c r="BQ350" s="633"/>
      <c r="BR350" s="541"/>
      <c r="BS350" s="541"/>
      <c r="BT350" s="541"/>
      <c r="BU350" s="541"/>
    </row>
    <row r="351" ht="15.75" customHeight="1">
      <c r="A351" s="1591"/>
      <c r="B351" s="1591"/>
      <c r="C351" s="2217"/>
      <c r="D351" s="1541"/>
      <c r="E351" s="906"/>
      <c r="F351" s="1545"/>
      <c r="G351" s="684"/>
      <c r="H351" s="1545"/>
      <c r="I351" s="684"/>
      <c r="J351" s="1545"/>
      <c r="K351" s="684"/>
      <c r="L351" s="1545"/>
      <c r="M351" s="684"/>
      <c r="N351" s="1545"/>
      <c r="O351" s="684"/>
      <c r="P351" s="1545"/>
      <c r="Q351" s="684"/>
      <c r="R351" s="1545"/>
      <c r="S351" s="684"/>
      <c r="T351" s="1545"/>
      <c r="U351" s="684"/>
      <c r="V351" s="1545"/>
      <c r="W351" s="684"/>
      <c r="X351" s="1545"/>
      <c r="Y351" s="1545"/>
      <c r="Z351" s="1545"/>
      <c r="AA351" s="684"/>
      <c r="AB351" s="1545"/>
      <c r="AC351" s="684"/>
      <c r="AD351" s="684"/>
      <c r="AE351" s="684"/>
      <c r="AF351" s="684"/>
      <c r="AG351" s="684"/>
      <c r="AH351" s="684"/>
      <c r="AI351" s="684"/>
      <c r="AJ351" s="684"/>
      <c r="AK351" s="684"/>
      <c r="AL351" s="684"/>
      <c r="AM351" s="684"/>
      <c r="AN351" s="1545"/>
      <c r="AO351" s="1545"/>
      <c r="AP351" s="1545"/>
      <c r="AQ351" s="1545"/>
      <c r="AR351" s="1545"/>
      <c r="AS351" s="684"/>
      <c r="AT351" s="684"/>
      <c r="AU351" s="684"/>
      <c r="AV351" s="684"/>
      <c r="AW351" s="684"/>
      <c r="AX351" s="677"/>
      <c r="AY351" s="684"/>
      <c r="AZ351" s="683"/>
      <c r="BA351" s="684"/>
      <c r="BB351" s="13"/>
      <c r="BC351" s="684"/>
      <c r="BD351" s="13"/>
      <c r="BE351" s="684"/>
      <c r="BF351" s="13"/>
      <c r="BG351" s="684"/>
      <c r="BH351" s="13"/>
      <c r="BI351" s="684"/>
      <c r="BJ351" s="13"/>
      <c r="BK351" s="684"/>
      <c r="BL351" s="684"/>
      <c r="BM351" s="684"/>
      <c r="BN351" s="677"/>
      <c r="BO351" s="677"/>
      <c r="BP351" s="541"/>
      <c r="BQ351" s="633"/>
      <c r="BR351" s="541"/>
      <c r="BS351" s="541"/>
      <c r="BT351" s="541"/>
      <c r="BU351" s="541"/>
    </row>
    <row r="352" ht="15.75" customHeight="1">
      <c r="A352" s="1591"/>
      <c r="B352" s="1591"/>
      <c r="C352" s="2217"/>
      <c r="D352" s="1541"/>
      <c r="E352" s="906"/>
      <c r="F352" s="1545"/>
      <c r="G352" s="684"/>
      <c r="H352" s="1545"/>
      <c r="I352" s="684"/>
      <c r="J352" s="1545"/>
      <c r="K352" s="684"/>
      <c r="L352" s="1545"/>
      <c r="M352" s="684"/>
      <c r="N352" s="1545"/>
      <c r="O352" s="684"/>
      <c r="P352" s="1545"/>
      <c r="Q352" s="684"/>
      <c r="R352" s="1545"/>
      <c r="S352" s="684"/>
      <c r="T352" s="1545"/>
      <c r="U352" s="684"/>
      <c r="V352" s="1545"/>
      <c r="W352" s="684"/>
      <c r="X352" s="1545"/>
      <c r="Y352" s="1545"/>
      <c r="Z352" s="1545"/>
      <c r="AA352" s="684"/>
      <c r="AB352" s="1545"/>
      <c r="AC352" s="684"/>
      <c r="AD352" s="684"/>
      <c r="AE352" s="684"/>
      <c r="AF352" s="684"/>
      <c r="AG352" s="684"/>
      <c r="AH352" s="684"/>
      <c r="AI352" s="684"/>
      <c r="AJ352" s="684"/>
      <c r="AK352" s="684"/>
      <c r="AL352" s="684"/>
      <c r="AM352" s="684"/>
      <c r="AN352" s="1545"/>
      <c r="AO352" s="1545"/>
      <c r="AP352" s="1545"/>
      <c r="AQ352" s="1545"/>
      <c r="AR352" s="1545"/>
      <c r="AS352" s="684"/>
      <c r="AT352" s="684"/>
      <c r="AU352" s="684"/>
      <c r="AV352" s="684"/>
      <c r="AW352" s="684"/>
      <c r="AX352" s="677"/>
      <c r="AY352" s="684"/>
      <c r="AZ352" s="683"/>
      <c r="BA352" s="684"/>
      <c r="BB352" s="13"/>
      <c r="BC352" s="684"/>
      <c r="BD352" s="13"/>
      <c r="BE352" s="684"/>
      <c r="BF352" s="13"/>
      <c r="BG352" s="684"/>
      <c r="BH352" s="13"/>
      <c r="BI352" s="684"/>
      <c r="BJ352" s="13"/>
      <c r="BK352" s="684"/>
      <c r="BL352" s="684"/>
      <c r="BM352" s="684"/>
      <c r="BN352" s="677"/>
      <c r="BO352" s="677"/>
      <c r="BP352" s="541"/>
      <c r="BQ352" s="633"/>
      <c r="BR352" s="541"/>
      <c r="BS352" s="541"/>
      <c r="BT352" s="541"/>
      <c r="BU352" s="541"/>
    </row>
    <row r="353" ht="15.75" customHeight="1">
      <c r="A353" s="1591"/>
      <c r="B353" s="1591"/>
      <c r="C353" s="2217"/>
      <c r="D353" s="1541"/>
      <c r="E353" s="906"/>
      <c r="F353" s="1545"/>
      <c r="G353" s="684"/>
      <c r="H353" s="1545"/>
      <c r="I353" s="684"/>
      <c r="J353" s="1545"/>
      <c r="K353" s="684"/>
      <c r="L353" s="1545"/>
      <c r="M353" s="684"/>
      <c r="N353" s="1545"/>
      <c r="O353" s="684"/>
      <c r="P353" s="1545"/>
      <c r="Q353" s="684"/>
      <c r="R353" s="1545"/>
      <c r="S353" s="684"/>
      <c r="T353" s="1545"/>
      <c r="U353" s="684"/>
      <c r="V353" s="1545"/>
      <c r="W353" s="684"/>
      <c r="X353" s="1545"/>
      <c r="Y353" s="1545"/>
      <c r="Z353" s="1545"/>
      <c r="AA353" s="684"/>
      <c r="AB353" s="1545"/>
      <c r="AC353" s="684"/>
      <c r="AD353" s="684"/>
      <c r="AE353" s="684"/>
      <c r="AF353" s="684"/>
      <c r="AG353" s="684"/>
      <c r="AH353" s="684"/>
      <c r="AI353" s="684"/>
      <c r="AJ353" s="684"/>
      <c r="AK353" s="684"/>
      <c r="AL353" s="684"/>
      <c r="AM353" s="684"/>
      <c r="AN353" s="1545"/>
      <c r="AO353" s="1545"/>
      <c r="AP353" s="1545"/>
      <c r="AQ353" s="1545"/>
      <c r="AR353" s="1545"/>
      <c r="AS353" s="684"/>
      <c r="AT353" s="684"/>
      <c r="AU353" s="684"/>
      <c r="AV353" s="684"/>
      <c r="AW353" s="684"/>
      <c r="AX353" s="677"/>
      <c r="AY353" s="684"/>
      <c r="AZ353" s="683"/>
      <c r="BA353" s="684"/>
      <c r="BB353" s="13"/>
      <c r="BC353" s="684"/>
      <c r="BD353" s="13"/>
      <c r="BE353" s="684"/>
      <c r="BF353" s="13"/>
      <c r="BG353" s="684"/>
      <c r="BH353" s="13"/>
      <c r="BI353" s="684"/>
      <c r="BJ353" s="13"/>
      <c r="BK353" s="684"/>
      <c r="BL353" s="684"/>
      <c r="BM353" s="684"/>
      <c r="BN353" s="677"/>
      <c r="BO353" s="677"/>
      <c r="BP353" s="541"/>
      <c r="BQ353" s="633"/>
      <c r="BR353" s="541"/>
      <c r="BS353" s="541"/>
      <c r="BT353" s="541"/>
      <c r="BU353" s="541"/>
    </row>
    <row r="354" ht="15.75" customHeight="1">
      <c r="A354" s="1591"/>
      <c r="B354" s="1591"/>
      <c r="C354" s="2217"/>
      <c r="D354" s="1541"/>
      <c r="E354" s="906"/>
      <c r="F354" s="1545"/>
      <c r="G354" s="684"/>
      <c r="H354" s="1545"/>
      <c r="I354" s="684"/>
      <c r="J354" s="1545"/>
      <c r="K354" s="684"/>
      <c r="L354" s="1545"/>
      <c r="M354" s="684"/>
      <c r="N354" s="1545"/>
      <c r="O354" s="684"/>
      <c r="P354" s="1545"/>
      <c r="Q354" s="684"/>
      <c r="R354" s="1545"/>
      <c r="S354" s="684"/>
      <c r="T354" s="1545"/>
      <c r="U354" s="684"/>
      <c r="V354" s="1545"/>
      <c r="W354" s="684"/>
      <c r="X354" s="1545"/>
      <c r="Y354" s="1545"/>
      <c r="Z354" s="1545"/>
      <c r="AA354" s="684"/>
      <c r="AB354" s="1545"/>
      <c r="AC354" s="684"/>
      <c r="AD354" s="684"/>
      <c r="AE354" s="684"/>
      <c r="AF354" s="684"/>
      <c r="AG354" s="684"/>
      <c r="AH354" s="684"/>
      <c r="AI354" s="684"/>
      <c r="AJ354" s="684"/>
      <c r="AK354" s="684"/>
      <c r="AL354" s="684"/>
      <c r="AM354" s="684"/>
      <c r="AN354" s="1545"/>
      <c r="AO354" s="1545"/>
      <c r="AP354" s="1545"/>
      <c r="AQ354" s="1545"/>
      <c r="AR354" s="1545"/>
      <c r="AS354" s="684"/>
      <c r="AT354" s="684"/>
      <c r="AU354" s="684"/>
      <c r="AV354" s="684"/>
      <c r="AW354" s="684"/>
      <c r="AX354" s="677"/>
      <c r="AY354" s="684"/>
      <c r="AZ354" s="683"/>
      <c r="BA354" s="684"/>
      <c r="BB354" s="13"/>
      <c r="BC354" s="684"/>
      <c r="BD354" s="13"/>
      <c r="BE354" s="684"/>
      <c r="BF354" s="13"/>
      <c r="BG354" s="684"/>
      <c r="BH354" s="13"/>
      <c r="BI354" s="684"/>
      <c r="BJ354" s="13"/>
      <c r="BK354" s="684"/>
      <c r="BL354" s="684"/>
      <c r="BM354" s="684"/>
      <c r="BN354" s="677"/>
      <c r="BO354" s="677"/>
      <c r="BP354" s="541"/>
      <c r="BQ354" s="633"/>
      <c r="BR354" s="541"/>
      <c r="BS354" s="541"/>
      <c r="BT354" s="541"/>
      <c r="BU354" s="541"/>
    </row>
    <row r="355" ht="15.75" customHeight="1">
      <c r="A355" s="1591"/>
      <c r="B355" s="1591"/>
      <c r="C355" s="2217"/>
      <c r="D355" s="1541"/>
      <c r="E355" s="906"/>
      <c r="F355" s="1545"/>
      <c r="G355" s="684"/>
      <c r="H355" s="1545"/>
      <c r="I355" s="684"/>
      <c r="J355" s="1545"/>
      <c r="K355" s="684"/>
      <c r="L355" s="1545"/>
      <c r="M355" s="684"/>
      <c r="N355" s="1545"/>
      <c r="O355" s="684"/>
      <c r="P355" s="1545"/>
      <c r="Q355" s="684"/>
      <c r="R355" s="1545"/>
      <c r="S355" s="684"/>
      <c r="T355" s="1545"/>
      <c r="U355" s="684"/>
      <c r="V355" s="1545"/>
      <c r="W355" s="684"/>
      <c r="X355" s="1545"/>
      <c r="Y355" s="1545"/>
      <c r="Z355" s="1545"/>
      <c r="AA355" s="684"/>
      <c r="AB355" s="1545"/>
      <c r="AC355" s="684"/>
      <c r="AD355" s="684"/>
      <c r="AE355" s="684"/>
      <c r="AF355" s="684"/>
      <c r="AG355" s="684"/>
      <c r="AH355" s="684"/>
      <c r="AI355" s="684"/>
      <c r="AJ355" s="684"/>
      <c r="AK355" s="684"/>
      <c r="AL355" s="684"/>
      <c r="AM355" s="684"/>
      <c r="AN355" s="1545"/>
      <c r="AO355" s="1545"/>
      <c r="AP355" s="1545"/>
      <c r="AQ355" s="1545"/>
      <c r="AR355" s="1545"/>
      <c r="AS355" s="684"/>
      <c r="AT355" s="684"/>
      <c r="AU355" s="684"/>
      <c r="AV355" s="684"/>
      <c r="AW355" s="684"/>
      <c r="AX355" s="677"/>
      <c r="AY355" s="684"/>
      <c r="AZ355" s="683"/>
      <c r="BA355" s="684"/>
      <c r="BB355" s="13"/>
      <c r="BC355" s="684"/>
      <c r="BD355" s="13"/>
      <c r="BE355" s="684"/>
      <c r="BF355" s="13"/>
      <c r="BG355" s="684"/>
      <c r="BH355" s="13"/>
      <c r="BI355" s="684"/>
      <c r="BJ355" s="13"/>
      <c r="BK355" s="684"/>
      <c r="BL355" s="684"/>
      <c r="BM355" s="684"/>
      <c r="BN355" s="677"/>
      <c r="BO355" s="677"/>
      <c r="BP355" s="541"/>
      <c r="BQ355" s="633"/>
      <c r="BR355" s="541"/>
      <c r="BS355" s="541"/>
      <c r="BT355" s="541"/>
      <c r="BU355" s="541"/>
    </row>
    <row r="356" ht="15.75" customHeight="1">
      <c r="A356" s="1591"/>
      <c r="B356" s="1591"/>
      <c r="C356" s="2217"/>
      <c r="D356" s="1541"/>
      <c r="E356" s="906"/>
      <c r="F356" s="1545"/>
      <c r="G356" s="684"/>
      <c r="H356" s="1545"/>
      <c r="I356" s="684"/>
      <c r="J356" s="1545"/>
      <c r="K356" s="684"/>
      <c r="L356" s="1545"/>
      <c r="M356" s="684"/>
      <c r="N356" s="1545"/>
      <c r="O356" s="684"/>
      <c r="P356" s="1545"/>
      <c r="Q356" s="684"/>
      <c r="R356" s="1545"/>
      <c r="S356" s="684"/>
      <c r="T356" s="1545"/>
      <c r="U356" s="684"/>
      <c r="V356" s="1545"/>
      <c r="W356" s="684"/>
      <c r="X356" s="1545"/>
      <c r="Y356" s="1545"/>
      <c r="Z356" s="1545"/>
      <c r="AA356" s="684"/>
      <c r="AB356" s="1545"/>
      <c r="AC356" s="684"/>
      <c r="AD356" s="684"/>
      <c r="AE356" s="684"/>
      <c r="AF356" s="684"/>
      <c r="AG356" s="684"/>
      <c r="AH356" s="684"/>
      <c r="AI356" s="684"/>
      <c r="AJ356" s="684"/>
      <c r="AK356" s="684"/>
      <c r="AL356" s="684"/>
      <c r="AM356" s="684"/>
      <c r="AN356" s="1545"/>
      <c r="AO356" s="1545"/>
      <c r="AP356" s="1545"/>
      <c r="AQ356" s="1545"/>
      <c r="AR356" s="1545"/>
      <c r="AS356" s="684"/>
      <c r="AT356" s="684"/>
      <c r="AU356" s="684"/>
      <c r="AV356" s="684"/>
      <c r="AW356" s="684"/>
      <c r="AX356" s="677"/>
      <c r="AY356" s="684"/>
      <c r="AZ356" s="683"/>
      <c r="BA356" s="684"/>
      <c r="BB356" s="13"/>
      <c r="BC356" s="684"/>
      <c r="BD356" s="13"/>
      <c r="BE356" s="684"/>
      <c r="BF356" s="13"/>
      <c r="BG356" s="684"/>
      <c r="BH356" s="13"/>
      <c r="BI356" s="684"/>
      <c r="BJ356" s="13"/>
      <c r="BK356" s="684"/>
      <c r="BL356" s="684"/>
      <c r="BM356" s="684"/>
      <c r="BN356" s="677"/>
      <c r="BO356" s="677"/>
      <c r="BP356" s="541"/>
      <c r="BQ356" s="633"/>
      <c r="BR356" s="541"/>
      <c r="BS356" s="541"/>
      <c r="BT356" s="541"/>
      <c r="BU356" s="541"/>
    </row>
    <row r="357" ht="15.75" customHeight="1">
      <c r="A357" s="1591"/>
      <c r="B357" s="1591"/>
      <c r="C357" s="2217"/>
      <c r="D357" s="1541"/>
      <c r="E357" s="906"/>
      <c r="F357" s="1545"/>
      <c r="G357" s="684"/>
      <c r="H357" s="1545"/>
      <c r="I357" s="684"/>
      <c r="J357" s="1545"/>
      <c r="K357" s="684"/>
      <c r="L357" s="1545"/>
      <c r="M357" s="684"/>
      <c r="N357" s="1545"/>
      <c r="O357" s="684"/>
      <c r="P357" s="1545"/>
      <c r="Q357" s="684"/>
      <c r="R357" s="1545"/>
      <c r="S357" s="684"/>
      <c r="T357" s="1545"/>
      <c r="U357" s="684"/>
      <c r="V357" s="1545"/>
      <c r="W357" s="684"/>
      <c r="X357" s="1545"/>
      <c r="Y357" s="1545"/>
      <c r="Z357" s="1545"/>
      <c r="AA357" s="684"/>
      <c r="AB357" s="1545"/>
      <c r="AC357" s="684"/>
      <c r="AD357" s="684"/>
      <c r="AE357" s="684"/>
      <c r="AF357" s="684"/>
      <c r="AG357" s="684"/>
      <c r="AH357" s="684"/>
      <c r="AI357" s="684"/>
      <c r="AJ357" s="684"/>
      <c r="AK357" s="684"/>
      <c r="AL357" s="684"/>
      <c r="AM357" s="684"/>
      <c r="AN357" s="1545"/>
      <c r="AO357" s="1545"/>
      <c r="AP357" s="1545"/>
      <c r="AQ357" s="1545"/>
      <c r="AR357" s="1545"/>
      <c r="AS357" s="684"/>
      <c r="AT357" s="684"/>
      <c r="AU357" s="684"/>
      <c r="AV357" s="684"/>
      <c r="AW357" s="684"/>
      <c r="AX357" s="677"/>
      <c r="AY357" s="684"/>
      <c r="AZ357" s="683"/>
      <c r="BA357" s="684"/>
      <c r="BB357" s="13"/>
      <c r="BC357" s="684"/>
      <c r="BD357" s="13"/>
      <c r="BE357" s="684"/>
      <c r="BF357" s="13"/>
      <c r="BG357" s="684"/>
      <c r="BH357" s="13"/>
      <c r="BI357" s="684"/>
      <c r="BJ357" s="13"/>
      <c r="BK357" s="684"/>
      <c r="BL357" s="684"/>
      <c r="BM357" s="684"/>
      <c r="BN357" s="677"/>
      <c r="BO357" s="677"/>
      <c r="BP357" s="541"/>
      <c r="BQ357" s="633"/>
      <c r="BR357" s="541"/>
      <c r="BS357" s="541"/>
      <c r="BT357" s="541"/>
      <c r="BU357" s="541"/>
    </row>
    <row r="358" ht="15.75" customHeight="1">
      <c r="A358" s="1591"/>
      <c r="B358" s="1591"/>
      <c r="C358" s="2217"/>
      <c r="D358" s="1541"/>
      <c r="E358" s="906"/>
      <c r="F358" s="1545"/>
      <c r="G358" s="684"/>
      <c r="H358" s="1545"/>
      <c r="I358" s="684"/>
      <c r="J358" s="1545"/>
      <c r="K358" s="684"/>
      <c r="L358" s="1545"/>
      <c r="M358" s="684"/>
      <c r="N358" s="1545"/>
      <c r="O358" s="684"/>
      <c r="P358" s="1545"/>
      <c r="Q358" s="684"/>
      <c r="R358" s="1545"/>
      <c r="S358" s="684"/>
      <c r="T358" s="1545"/>
      <c r="U358" s="684"/>
      <c r="V358" s="1545"/>
      <c r="W358" s="684"/>
      <c r="X358" s="1545"/>
      <c r="Y358" s="1545"/>
      <c r="Z358" s="1545"/>
      <c r="AA358" s="684"/>
      <c r="AB358" s="1545"/>
      <c r="AC358" s="684"/>
      <c r="AD358" s="684"/>
      <c r="AE358" s="684"/>
      <c r="AF358" s="684"/>
      <c r="AG358" s="684"/>
      <c r="AH358" s="684"/>
      <c r="AI358" s="684"/>
      <c r="AJ358" s="684"/>
      <c r="AK358" s="684"/>
      <c r="AL358" s="684"/>
      <c r="AM358" s="684"/>
      <c r="AN358" s="1545"/>
      <c r="AO358" s="1545"/>
      <c r="AP358" s="1545"/>
      <c r="AQ358" s="1545"/>
      <c r="AR358" s="1545"/>
      <c r="AS358" s="684"/>
      <c r="AT358" s="684"/>
      <c r="AU358" s="684"/>
      <c r="AV358" s="684"/>
      <c r="AW358" s="684"/>
      <c r="AX358" s="677"/>
      <c r="AY358" s="684"/>
      <c r="AZ358" s="683"/>
      <c r="BA358" s="684"/>
      <c r="BB358" s="13"/>
      <c r="BC358" s="684"/>
      <c r="BD358" s="13"/>
      <c r="BE358" s="684"/>
      <c r="BF358" s="13"/>
      <c r="BG358" s="684"/>
      <c r="BH358" s="13"/>
      <c r="BI358" s="684"/>
      <c r="BJ358" s="13"/>
      <c r="BK358" s="684"/>
      <c r="BL358" s="684"/>
      <c r="BM358" s="684"/>
      <c r="BN358" s="677"/>
      <c r="BO358" s="677"/>
      <c r="BP358" s="541"/>
      <c r="BQ358" s="633"/>
      <c r="BR358" s="541"/>
      <c r="BS358" s="541"/>
      <c r="BT358" s="541"/>
      <c r="BU358" s="541"/>
    </row>
    <row r="359" ht="15.75" customHeight="1">
      <c r="A359" s="1591"/>
      <c r="B359" s="1591"/>
      <c r="C359" s="2217"/>
      <c r="D359" s="1541"/>
      <c r="E359" s="906"/>
      <c r="F359" s="1545"/>
      <c r="G359" s="684"/>
      <c r="H359" s="1545"/>
      <c r="I359" s="684"/>
      <c r="J359" s="1545"/>
      <c r="K359" s="684"/>
      <c r="L359" s="1545"/>
      <c r="M359" s="684"/>
      <c r="N359" s="1545"/>
      <c r="O359" s="684"/>
      <c r="P359" s="1545"/>
      <c r="Q359" s="684"/>
      <c r="R359" s="1545"/>
      <c r="S359" s="684"/>
      <c r="T359" s="1545"/>
      <c r="U359" s="684"/>
      <c r="V359" s="1545"/>
      <c r="W359" s="684"/>
      <c r="X359" s="1545"/>
      <c r="Y359" s="1545"/>
      <c r="Z359" s="1545"/>
      <c r="AA359" s="684"/>
      <c r="AB359" s="1545"/>
      <c r="AC359" s="684"/>
      <c r="AD359" s="684"/>
      <c r="AE359" s="684"/>
      <c r="AF359" s="684"/>
      <c r="AG359" s="684"/>
      <c r="AH359" s="684"/>
      <c r="AI359" s="684"/>
      <c r="AJ359" s="684"/>
      <c r="AK359" s="684"/>
      <c r="AL359" s="684"/>
      <c r="AM359" s="684"/>
      <c r="AN359" s="1545"/>
      <c r="AO359" s="1545"/>
      <c r="AP359" s="1545"/>
      <c r="AQ359" s="1545"/>
      <c r="AR359" s="1545"/>
      <c r="AS359" s="684"/>
      <c r="AT359" s="684"/>
      <c r="AU359" s="684"/>
      <c r="AV359" s="684"/>
      <c r="AW359" s="684"/>
      <c r="AX359" s="677"/>
      <c r="AY359" s="684"/>
      <c r="AZ359" s="683"/>
      <c r="BA359" s="684"/>
      <c r="BB359" s="13"/>
      <c r="BC359" s="684"/>
      <c r="BD359" s="13"/>
      <c r="BE359" s="684"/>
      <c r="BF359" s="13"/>
      <c r="BG359" s="684"/>
      <c r="BH359" s="13"/>
      <c r="BI359" s="684"/>
      <c r="BJ359" s="13"/>
      <c r="BK359" s="684"/>
      <c r="BL359" s="684"/>
      <c r="BM359" s="684"/>
      <c r="BN359" s="677"/>
      <c r="BO359" s="677"/>
      <c r="BP359" s="541"/>
      <c r="BQ359" s="633"/>
      <c r="BR359" s="541"/>
      <c r="BS359" s="541"/>
      <c r="BT359" s="541"/>
      <c r="BU359" s="541"/>
    </row>
    <row r="360" ht="15.75" customHeight="1">
      <c r="A360" s="1591"/>
      <c r="B360" s="1591"/>
      <c r="C360" s="2217"/>
      <c r="D360" s="1541"/>
      <c r="E360" s="906"/>
      <c r="F360" s="1545"/>
      <c r="G360" s="684"/>
      <c r="H360" s="1545"/>
      <c r="I360" s="684"/>
      <c r="J360" s="1545"/>
      <c r="K360" s="684"/>
      <c r="L360" s="1545"/>
      <c r="M360" s="684"/>
      <c r="N360" s="1545"/>
      <c r="O360" s="684"/>
      <c r="P360" s="1545"/>
      <c r="Q360" s="684"/>
      <c r="R360" s="1545"/>
      <c r="S360" s="684"/>
      <c r="T360" s="1545"/>
      <c r="U360" s="684"/>
      <c r="V360" s="1545"/>
      <c r="W360" s="684"/>
      <c r="X360" s="1545"/>
      <c r="Y360" s="1545"/>
      <c r="Z360" s="1545"/>
      <c r="AA360" s="684"/>
      <c r="AB360" s="1545"/>
      <c r="AC360" s="684"/>
      <c r="AD360" s="684"/>
      <c r="AE360" s="684"/>
      <c r="AF360" s="684"/>
      <c r="AG360" s="684"/>
      <c r="AH360" s="684"/>
      <c r="AI360" s="684"/>
      <c r="AJ360" s="684"/>
      <c r="AK360" s="684"/>
      <c r="AL360" s="684"/>
      <c r="AM360" s="684"/>
      <c r="AN360" s="1545"/>
      <c r="AO360" s="1545"/>
      <c r="AP360" s="1545"/>
      <c r="AQ360" s="1545"/>
      <c r="AR360" s="1545"/>
      <c r="AS360" s="684"/>
      <c r="AT360" s="684"/>
      <c r="AU360" s="684"/>
      <c r="AV360" s="684"/>
      <c r="AW360" s="684"/>
      <c r="AX360" s="677"/>
      <c r="AY360" s="684"/>
      <c r="AZ360" s="683"/>
      <c r="BA360" s="684"/>
      <c r="BB360" s="13"/>
      <c r="BC360" s="684"/>
      <c r="BD360" s="13"/>
      <c r="BE360" s="684"/>
      <c r="BF360" s="13"/>
      <c r="BG360" s="684"/>
      <c r="BH360" s="13"/>
      <c r="BI360" s="684"/>
      <c r="BJ360" s="13"/>
      <c r="BK360" s="684"/>
      <c r="BL360" s="684"/>
      <c r="BM360" s="684"/>
      <c r="BN360" s="677"/>
      <c r="BO360" s="677"/>
      <c r="BP360" s="541"/>
      <c r="BQ360" s="633"/>
      <c r="BR360" s="541"/>
      <c r="BS360" s="541"/>
      <c r="BT360" s="541"/>
      <c r="BU360" s="541"/>
    </row>
    <row r="361" ht="15.75" customHeight="1">
      <c r="A361" s="1591"/>
      <c r="B361" s="1591"/>
      <c r="C361" s="2217"/>
      <c r="D361" s="1541"/>
      <c r="E361" s="906"/>
      <c r="F361" s="1545"/>
      <c r="G361" s="684"/>
      <c r="H361" s="1545"/>
      <c r="I361" s="684"/>
      <c r="J361" s="1545"/>
      <c r="K361" s="684"/>
      <c r="L361" s="1545"/>
      <c r="M361" s="684"/>
      <c r="N361" s="1545"/>
      <c r="O361" s="684"/>
      <c r="P361" s="1545"/>
      <c r="Q361" s="684"/>
      <c r="R361" s="1545"/>
      <c r="S361" s="684"/>
      <c r="T361" s="1545"/>
      <c r="U361" s="684"/>
      <c r="V361" s="1545"/>
      <c r="W361" s="684"/>
      <c r="X361" s="1545"/>
      <c r="Y361" s="1545"/>
      <c r="Z361" s="1545"/>
      <c r="AA361" s="684"/>
      <c r="AB361" s="1545"/>
      <c r="AC361" s="684"/>
      <c r="AD361" s="684"/>
      <c r="AE361" s="684"/>
      <c r="AF361" s="684"/>
      <c r="AG361" s="684"/>
      <c r="AH361" s="684"/>
      <c r="AI361" s="684"/>
      <c r="AJ361" s="684"/>
      <c r="AK361" s="684"/>
      <c r="AL361" s="684"/>
      <c r="AM361" s="684"/>
      <c r="AN361" s="1545"/>
      <c r="AO361" s="1545"/>
      <c r="AP361" s="1545"/>
      <c r="AQ361" s="1545"/>
      <c r="AR361" s="1545"/>
      <c r="AS361" s="684"/>
      <c r="AT361" s="684"/>
      <c r="AU361" s="684"/>
      <c r="AV361" s="684"/>
      <c r="AW361" s="684"/>
      <c r="AX361" s="677"/>
      <c r="AY361" s="684"/>
      <c r="AZ361" s="683"/>
      <c r="BA361" s="684"/>
      <c r="BB361" s="13"/>
      <c r="BC361" s="684"/>
      <c r="BD361" s="13"/>
      <c r="BE361" s="684"/>
      <c r="BF361" s="13"/>
      <c r="BG361" s="684"/>
      <c r="BH361" s="13"/>
      <c r="BI361" s="684"/>
      <c r="BJ361" s="13"/>
      <c r="BK361" s="684"/>
      <c r="BL361" s="684"/>
      <c r="BM361" s="684"/>
      <c r="BN361" s="677"/>
      <c r="BO361" s="677"/>
      <c r="BP361" s="541"/>
      <c r="BQ361" s="633"/>
      <c r="BR361" s="541"/>
      <c r="BS361" s="541"/>
      <c r="BT361" s="541"/>
      <c r="BU361" s="541"/>
    </row>
    <row r="362" ht="15.75" customHeight="1">
      <c r="A362" s="1591"/>
      <c r="B362" s="1591"/>
      <c r="C362" s="2217"/>
      <c r="D362" s="1541"/>
      <c r="E362" s="906"/>
      <c r="F362" s="1545"/>
      <c r="G362" s="684"/>
      <c r="H362" s="1545"/>
      <c r="I362" s="684"/>
      <c r="J362" s="1545"/>
      <c r="K362" s="684"/>
      <c r="L362" s="1545"/>
      <c r="M362" s="684"/>
      <c r="N362" s="1545"/>
      <c r="O362" s="684"/>
      <c r="P362" s="1545"/>
      <c r="Q362" s="684"/>
      <c r="R362" s="1545"/>
      <c r="S362" s="684"/>
      <c r="T362" s="1545"/>
      <c r="U362" s="684"/>
      <c r="V362" s="1545"/>
      <c r="W362" s="684"/>
      <c r="X362" s="1545"/>
      <c r="Y362" s="1545"/>
      <c r="Z362" s="1545"/>
      <c r="AA362" s="684"/>
      <c r="AB362" s="1545"/>
      <c r="AC362" s="684"/>
      <c r="AD362" s="684"/>
      <c r="AE362" s="684"/>
      <c r="AF362" s="684"/>
      <c r="AG362" s="684"/>
      <c r="AH362" s="684"/>
      <c r="AI362" s="684"/>
      <c r="AJ362" s="684"/>
      <c r="AK362" s="684"/>
      <c r="AL362" s="684"/>
      <c r="AM362" s="684"/>
      <c r="AN362" s="1545"/>
      <c r="AO362" s="1545"/>
      <c r="AP362" s="1545"/>
      <c r="AQ362" s="1545"/>
      <c r="AR362" s="1545"/>
      <c r="AS362" s="684"/>
      <c r="AT362" s="684"/>
      <c r="AU362" s="684"/>
      <c r="AV362" s="684"/>
      <c r="AW362" s="684"/>
      <c r="AX362" s="677"/>
      <c r="AY362" s="684"/>
      <c r="AZ362" s="683"/>
      <c r="BA362" s="684"/>
      <c r="BB362" s="13"/>
      <c r="BC362" s="684"/>
      <c r="BD362" s="13"/>
      <c r="BE362" s="684"/>
      <c r="BF362" s="13"/>
      <c r="BG362" s="684"/>
      <c r="BH362" s="13"/>
      <c r="BI362" s="684"/>
      <c r="BJ362" s="13"/>
      <c r="BK362" s="684"/>
      <c r="BL362" s="684"/>
      <c r="BM362" s="684"/>
      <c r="BN362" s="677"/>
      <c r="BO362" s="677"/>
      <c r="BP362" s="541"/>
      <c r="BQ362" s="633"/>
      <c r="BR362" s="541"/>
      <c r="BS362" s="541"/>
      <c r="BT362" s="541"/>
      <c r="BU362" s="541"/>
    </row>
    <row r="363" ht="15.75" customHeight="1">
      <c r="A363" s="1591"/>
      <c r="B363" s="1591"/>
      <c r="C363" s="2217"/>
      <c r="D363" s="1541"/>
      <c r="E363" s="906"/>
      <c r="F363" s="1545"/>
      <c r="G363" s="684"/>
      <c r="H363" s="1545"/>
      <c r="I363" s="684"/>
      <c r="J363" s="1545"/>
      <c r="K363" s="684"/>
      <c r="L363" s="1545"/>
      <c r="M363" s="684"/>
      <c r="N363" s="1545"/>
      <c r="O363" s="684"/>
      <c r="P363" s="1545"/>
      <c r="Q363" s="684"/>
      <c r="R363" s="1545"/>
      <c r="S363" s="684"/>
      <c r="T363" s="1545"/>
      <c r="U363" s="684"/>
      <c r="V363" s="1545"/>
      <c r="W363" s="684"/>
      <c r="X363" s="1545"/>
      <c r="Y363" s="1545"/>
      <c r="Z363" s="1545"/>
      <c r="AA363" s="684"/>
      <c r="AB363" s="1545"/>
      <c r="AC363" s="684"/>
      <c r="AD363" s="684"/>
      <c r="AE363" s="684"/>
      <c r="AF363" s="684"/>
      <c r="AG363" s="684"/>
      <c r="AH363" s="684"/>
      <c r="AI363" s="684"/>
      <c r="AJ363" s="684"/>
      <c r="AK363" s="684"/>
      <c r="AL363" s="684"/>
      <c r="AM363" s="684"/>
      <c r="AN363" s="1545"/>
      <c r="AO363" s="1545"/>
      <c r="AP363" s="1545"/>
      <c r="AQ363" s="1545"/>
      <c r="AR363" s="1545"/>
      <c r="AS363" s="684"/>
      <c r="AT363" s="684"/>
      <c r="AU363" s="684"/>
      <c r="AV363" s="684"/>
      <c r="AW363" s="684"/>
      <c r="AX363" s="677"/>
      <c r="AY363" s="684"/>
      <c r="AZ363" s="683"/>
      <c r="BA363" s="684"/>
      <c r="BB363" s="13"/>
      <c r="BC363" s="684"/>
      <c r="BD363" s="13"/>
      <c r="BE363" s="684"/>
      <c r="BF363" s="13"/>
      <c r="BG363" s="684"/>
      <c r="BH363" s="13"/>
      <c r="BI363" s="684"/>
      <c r="BJ363" s="13"/>
      <c r="BK363" s="684"/>
      <c r="BL363" s="684"/>
      <c r="BM363" s="684"/>
      <c r="BN363" s="677"/>
      <c r="BO363" s="677"/>
      <c r="BP363" s="541"/>
      <c r="BQ363" s="633"/>
      <c r="BR363" s="541"/>
      <c r="BS363" s="541"/>
      <c r="BT363" s="541"/>
      <c r="BU363" s="541"/>
    </row>
    <row r="364" ht="15.75" customHeight="1">
      <c r="A364" s="1591"/>
      <c r="B364" s="1591"/>
      <c r="C364" s="2217"/>
      <c r="D364" s="1541"/>
      <c r="E364" s="906"/>
      <c r="F364" s="1545"/>
      <c r="G364" s="684"/>
      <c r="H364" s="1545"/>
      <c r="I364" s="684"/>
      <c r="J364" s="1545"/>
      <c r="K364" s="684"/>
      <c r="L364" s="1545"/>
      <c r="M364" s="684"/>
      <c r="N364" s="1545"/>
      <c r="O364" s="684"/>
      <c r="P364" s="1545"/>
      <c r="Q364" s="684"/>
      <c r="R364" s="1545"/>
      <c r="S364" s="684"/>
      <c r="T364" s="1545"/>
      <c r="U364" s="684"/>
      <c r="V364" s="1545"/>
      <c r="W364" s="684"/>
      <c r="X364" s="1545"/>
      <c r="Y364" s="1545"/>
      <c r="Z364" s="1545"/>
      <c r="AA364" s="684"/>
      <c r="AB364" s="1545"/>
      <c r="AC364" s="684"/>
      <c r="AD364" s="684"/>
      <c r="AE364" s="684"/>
      <c r="AF364" s="684"/>
      <c r="AG364" s="684"/>
      <c r="AH364" s="684"/>
      <c r="AI364" s="684"/>
      <c r="AJ364" s="684"/>
      <c r="AK364" s="684"/>
      <c r="AL364" s="684"/>
      <c r="AM364" s="684"/>
      <c r="AN364" s="1545"/>
      <c r="AO364" s="1545"/>
      <c r="AP364" s="1545"/>
      <c r="AQ364" s="1545"/>
      <c r="AR364" s="1545"/>
      <c r="AS364" s="684"/>
      <c r="AT364" s="684"/>
      <c r="AU364" s="684"/>
      <c r="AV364" s="684"/>
      <c r="AW364" s="684"/>
      <c r="AX364" s="677"/>
      <c r="AY364" s="684"/>
      <c r="AZ364" s="683"/>
      <c r="BA364" s="684"/>
      <c r="BB364" s="13"/>
      <c r="BC364" s="684"/>
      <c r="BD364" s="13"/>
      <c r="BE364" s="684"/>
      <c r="BF364" s="13"/>
      <c r="BG364" s="684"/>
      <c r="BH364" s="13"/>
      <c r="BI364" s="684"/>
      <c r="BJ364" s="13"/>
      <c r="BK364" s="684"/>
      <c r="BL364" s="684"/>
      <c r="BM364" s="684"/>
      <c r="BN364" s="677"/>
      <c r="BO364" s="677"/>
      <c r="BP364" s="541"/>
      <c r="BQ364" s="633"/>
      <c r="BR364" s="541"/>
      <c r="BS364" s="541"/>
      <c r="BT364" s="541"/>
      <c r="BU364" s="541"/>
    </row>
    <row r="365" ht="15.75" customHeight="1">
      <c r="A365" s="1591"/>
      <c r="B365" s="1591"/>
      <c r="C365" s="2217"/>
      <c r="D365" s="1541"/>
      <c r="E365" s="906"/>
      <c r="F365" s="1545"/>
      <c r="G365" s="684"/>
      <c r="H365" s="1545"/>
      <c r="I365" s="684"/>
      <c r="J365" s="1545"/>
      <c r="K365" s="684"/>
      <c r="L365" s="1545"/>
      <c r="M365" s="684"/>
      <c r="N365" s="1545"/>
      <c r="O365" s="684"/>
      <c r="P365" s="1545"/>
      <c r="Q365" s="684"/>
      <c r="R365" s="1545"/>
      <c r="S365" s="684"/>
      <c r="T365" s="1545"/>
      <c r="U365" s="684"/>
      <c r="V365" s="1545"/>
      <c r="W365" s="684"/>
      <c r="X365" s="1545"/>
      <c r="Y365" s="1545"/>
      <c r="Z365" s="1545"/>
      <c r="AA365" s="684"/>
      <c r="AB365" s="1545"/>
      <c r="AC365" s="684"/>
      <c r="AD365" s="684"/>
      <c r="AE365" s="684"/>
      <c r="AF365" s="684"/>
      <c r="AG365" s="684"/>
      <c r="AH365" s="684"/>
      <c r="AI365" s="684"/>
      <c r="AJ365" s="684"/>
      <c r="AK365" s="684"/>
      <c r="AL365" s="684"/>
      <c r="AM365" s="684"/>
      <c r="AN365" s="1545"/>
      <c r="AO365" s="1545"/>
      <c r="AP365" s="1545"/>
      <c r="AQ365" s="1545"/>
      <c r="AR365" s="1545"/>
      <c r="AS365" s="684"/>
      <c r="AT365" s="684"/>
      <c r="AU365" s="684"/>
      <c r="AV365" s="684"/>
      <c r="AW365" s="684"/>
      <c r="AX365" s="677"/>
      <c r="AY365" s="684"/>
      <c r="AZ365" s="683"/>
      <c r="BA365" s="684"/>
      <c r="BB365" s="13"/>
      <c r="BC365" s="684"/>
      <c r="BD365" s="13"/>
      <c r="BE365" s="684"/>
      <c r="BF365" s="13"/>
      <c r="BG365" s="684"/>
      <c r="BH365" s="13"/>
      <c r="BI365" s="684"/>
      <c r="BJ365" s="13"/>
      <c r="BK365" s="684"/>
      <c r="BL365" s="684"/>
      <c r="BM365" s="684"/>
      <c r="BN365" s="677"/>
      <c r="BO365" s="677"/>
      <c r="BP365" s="541"/>
      <c r="BQ365" s="633"/>
      <c r="BR365" s="541"/>
      <c r="BS365" s="541"/>
      <c r="BT365" s="541"/>
      <c r="BU365" s="541"/>
    </row>
    <row r="366" ht="15.75" customHeight="1">
      <c r="A366" s="1591"/>
      <c r="B366" s="1591"/>
      <c r="C366" s="2217"/>
      <c r="D366" s="1541"/>
      <c r="E366" s="906"/>
      <c r="F366" s="1545"/>
      <c r="G366" s="684"/>
      <c r="H366" s="1545"/>
      <c r="I366" s="684"/>
      <c r="J366" s="1545"/>
      <c r="K366" s="684"/>
      <c r="L366" s="1545"/>
      <c r="M366" s="684"/>
      <c r="N366" s="1545"/>
      <c r="O366" s="684"/>
      <c r="P366" s="1545"/>
      <c r="Q366" s="684"/>
      <c r="R366" s="1545"/>
      <c r="S366" s="684"/>
      <c r="T366" s="1545"/>
      <c r="U366" s="684"/>
      <c r="V366" s="1545"/>
      <c r="W366" s="684"/>
      <c r="X366" s="1545"/>
      <c r="Y366" s="1545"/>
      <c r="Z366" s="1545"/>
      <c r="AA366" s="684"/>
      <c r="AB366" s="1545"/>
      <c r="AC366" s="684"/>
      <c r="AD366" s="684"/>
      <c r="AE366" s="684"/>
      <c r="AF366" s="684"/>
      <c r="AG366" s="684"/>
      <c r="AH366" s="684"/>
      <c r="AI366" s="684"/>
      <c r="AJ366" s="684"/>
      <c r="AK366" s="684"/>
      <c r="AL366" s="684"/>
      <c r="AM366" s="684"/>
      <c r="AN366" s="1545"/>
      <c r="AO366" s="1545"/>
      <c r="AP366" s="1545"/>
      <c r="AQ366" s="1545"/>
      <c r="AR366" s="1545"/>
      <c r="AS366" s="684"/>
      <c r="AT366" s="684"/>
      <c r="AU366" s="684"/>
      <c r="AV366" s="684"/>
      <c r="AW366" s="684"/>
      <c r="AX366" s="677"/>
      <c r="AY366" s="684"/>
      <c r="AZ366" s="683"/>
      <c r="BA366" s="684"/>
      <c r="BB366" s="13"/>
      <c r="BC366" s="684"/>
      <c r="BD366" s="13"/>
      <c r="BE366" s="684"/>
      <c r="BF366" s="13"/>
      <c r="BG366" s="684"/>
      <c r="BH366" s="13"/>
      <c r="BI366" s="684"/>
      <c r="BJ366" s="13"/>
      <c r="BK366" s="684"/>
      <c r="BL366" s="684"/>
      <c r="BM366" s="684"/>
      <c r="BN366" s="677"/>
      <c r="BO366" s="677"/>
      <c r="BP366" s="541"/>
      <c r="BQ366" s="633"/>
      <c r="BR366" s="541"/>
      <c r="BS366" s="541"/>
      <c r="BT366" s="541"/>
      <c r="BU366" s="541"/>
    </row>
    <row r="367" ht="15.75" customHeight="1">
      <c r="A367" s="1591"/>
      <c r="B367" s="1591"/>
      <c r="C367" s="2217"/>
      <c r="D367" s="1541"/>
      <c r="E367" s="906"/>
      <c r="F367" s="1545"/>
      <c r="G367" s="684"/>
      <c r="H367" s="1545"/>
      <c r="I367" s="684"/>
      <c r="J367" s="1545"/>
      <c r="K367" s="684"/>
      <c r="L367" s="1545"/>
      <c r="M367" s="684"/>
      <c r="N367" s="1545"/>
      <c r="O367" s="684"/>
      <c r="P367" s="1545"/>
      <c r="Q367" s="684"/>
      <c r="R367" s="1545"/>
      <c r="S367" s="684"/>
      <c r="T367" s="1545"/>
      <c r="U367" s="684"/>
      <c r="V367" s="1545"/>
      <c r="W367" s="684"/>
      <c r="X367" s="1545"/>
      <c r="Y367" s="1545"/>
      <c r="Z367" s="1545"/>
      <c r="AA367" s="684"/>
      <c r="AB367" s="1545"/>
      <c r="AC367" s="684"/>
      <c r="AD367" s="684"/>
      <c r="AE367" s="684"/>
      <c r="AF367" s="684"/>
      <c r="AG367" s="684"/>
      <c r="AH367" s="684"/>
      <c r="AI367" s="684"/>
      <c r="AJ367" s="684"/>
      <c r="AK367" s="684"/>
      <c r="AL367" s="684"/>
      <c r="AM367" s="684"/>
      <c r="AN367" s="1545"/>
      <c r="AO367" s="1545"/>
      <c r="AP367" s="1545"/>
      <c r="AQ367" s="1545"/>
      <c r="AR367" s="1545"/>
      <c r="AS367" s="684"/>
      <c r="AT367" s="684"/>
      <c r="AU367" s="684"/>
      <c r="AV367" s="684"/>
      <c r="AW367" s="684"/>
      <c r="AX367" s="677"/>
      <c r="AY367" s="684"/>
      <c r="AZ367" s="683"/>
      <c r="BA367" s="684"/>
      <c r="BB367" s="13"/>
      <c r="BC367" s="684"/>
      <c r="BD367" s="13"/>
      <c r="BE367" s="684"/>
      <c r="BF367" s="13"/>
      <c r="BG367" s="684"/>
      <c r="BH367" s="13"/>
      <c r="BI367" s="684"/>
      <c r="BJ367" s="13"/>
      <c r="BK367" s="684"/>
      <c r="BL367" s="684"/>
      <c r="BM367" s="684"/>
      <c r="BN367" s="677"/>
      <c r="BO367" s="677"/>
      <c r="BP367" s="541"/>
      <c r="BQ367" s="633"/>
      <c r="BR367" s="541"/>
      <c r="BS367" s="541"/>
      <c r="BT367" s="541"/>
      <c r="BU367" s="541"/>
    </row>
    <row r="368" ht="15.75" customHeight="1">
      <c r="A368" s="1591"/>
      <c r="B368" s="1591"/>
      <c r="C368" s="2217"/>
      <c r="D368" s="1541"/>
      <c r="E368" s="906"/>
      <c r="F368" s="1545"/>
      <c r="G368" s="684"/>
      <c r="H368" s="1545"/>
      <c r="I368" s="684"/>
      <c r="J368" s="1545"/>
      <c r="K368" s="684"/>
      <c r="L368" s="1545"/>
      <c r="M368" s="684"/>
      <c r="N368" s="1545"/>
      <c r="O368" s="684"/>
      <c r="P368" s="1545"/>
      <c r="Q368" s="684"/>
      <c r="R368" s="1545"/>
      <c r="S368" s="684"/>
      <c r="T368" s="1545"/>
      <c r="U368" s="684"/>
      <c r="V368" s="1545"/>
      <c r="W368" s="684"/>
      <c r="X368" s="1545"/>
      <c r="Y368" s="1545"/>
      <c r="Z368" s="1545"/>
      <c r="AA368" s="684"/>
      <c r="AB368" s="1545"/>
      <c r="AC368" s="684"/>
      <c r="AD368" s="684"/>
      <c r="AE368" s="684"/>
      <c r="AF368" s="684"/>
      <c r="AG368" s="684"/>
      <c r="AH368" s="684"/>
      <c r="AI368" s="684"/>
      <c r="AJ368" s="684"/>
      <c r="AK368" s="684"/>
      <c r="AL368" s="684"/>
      <c r="AM368" s="684"/>
      <c r="AN368" s="1545"/>
      <c r="AO368" s="1545"/>
      <c r="AP368" s="1545"/>
      <c r="AQ368" s="1545"/>
      <c r="AR368" s="1545"/>
      <c r="AS368" s="684"/>
      <c r="AT368" s="684"/>
      <c r="AU368" s="684"/>
      <c r="AV368" s="684"/>
      <c r="AW368" s="684"/>
      <c r="AX368" s="677"/>
      <c r="AY368" s="684"/>
      <c r="AZ368" s="683"/>
      <c r="BA368" s="684"/>
      <c r="BB368" s="13"/>
      <c r="BC368" s="684"/>
      <c r="BD368" s="13"/>
      <c r="BE368" s="684"/>
      <c r="BF368" s="13"/>
      <c r="BG368" s="684"/>
      <c r="BH368" s="13"/>
      <c r="BI368" s="684"/>
      <c r="BJ368" s="13"/>
      <c r="BK368" s="684"/>
      <c r="BL368" s="684"/>
      <c r="BM368" s="684"/>
      <c r="BN368" s="677"/>
      <c r="BO368" s="677"/>
      <c r="BP368" s="541"/>
      <c r="BQ368" s="633"/>
      <c r="BR368" s="541"/>
      <c r="BS368" s="541"/>
      <c r="BT368" s="541"/>
      <c r="BU368" s="541"/>
    </row>
    <row r="369" ht="15.75" customHeight="1">
      <c r="A369" s="1591"/>
      <c r="B369" s="1591"/>
      <c r="C369" s="2217"/>
      <c r="D369" s="1541"/>
      <c r="E369" s="906"/>
      <c r="F369" s="1545"/>
      <c r="G369" s="684"/>
      <c r="H369" s="1545"/>
      <c r="I369" s="684"/>
      <c r="J369" s="1545"/>
      <c r="K369" s="684"/>
      <c r="L369" s="1545"/>
      <c r="M369" s="684"/>
      <c r="N369" s="1545"/>
      <c r="O369" s="684"/>
      <c r="P369" s="1545"/>
      <c r="Q369" s="684"/>
      <c r="R369" s="1545"/>
      <c r="S369" s="684"/>
      <c r="T369" s="1545"/>
      <c r="U369" s="684"/>
      <c r="V369" s="1545"/>
      <c r="W369" s="684"/>
      <c r="X369" s="1545"/>
      <c r="Y369" s="1545"/>
      <c r="Z369" s="1545"/>
      <c r="AA369" s="684"/>
      <c r="AB369" s="1545"/>
      <c r="AC369" s="684"/>
      <c r="AD369" s="684"/>
      <c r="AE369" s="684"/>
      <c r="AF369" s="684"/>
      <c r="AG369" s="684"/>
      <c r="AH369" s="684"/>
      <c r="AI369" s="684"/>
      <c r="AJ369" s="684"/>
      <c r="AK369" s="684"/>
      <c r="AL369" s="684"/>
      <c r="AM369" s="684"/>
      <c r="AN369" s="1545"/>
      <c r="AO369" s="1545"/>
      <c r="AP369" s="1545"/>
      <c r="AQ369" s="1545"/>
      <c r="AR369" s="1545"/>
      <c r="AS369" s="684"/>
      <c r="AT369" s="684"/>
      <c r="AU369" s="684"/>
      <c r="AV369" s="684"/>
      <c r="AW369" s="684"/>
      <c r="AX369" s="677"/>
      <c r="AY369" s="684"/>
      <c r="AZ369" s="683"/>
      <c r="BA369" s="684"/>
      <c r="BB369" s="13"/>
      <c r="BC369" s="684"/>
      <c r="BD369" s="13"/>
      <c r="BE369" s="684"/>
      <c r="BF369" s="13"/>
      <c r="BG369" s="684"/>
      <c r="BH369" s="13"/>
      <c r="BI369" s="684"/>
      <c r="BJ369" s="13"/>
      <c r="BK369" s="684"/>
      <c r="BL369" s="684"/>
      <c r="BM369" s="684"/>
      <c r="BN369" s="677"/>
      <c r="BO369" s="677"/>
      <c r="BP369" s="541"/>
      <c r="BQ369" s="633"/>
      <c r="BR369" s="541"/>
      <c r="BS369" s="541"/>
      <c r="BT369" s="541"/>
      <c r="BU369" s="541"/>
    </row>
    <row r="370" ht="15.75" customHeight="1">
      <c r="A370" s="1591"/>
      <c r="B370" s="1591"/>
      <c r="C370" s="2217"/>
      <c r="D370" s="1541"/>
      <c r="E370" s="906"/>
      <c r="F370" s="1545"/>
      <c r="G370" s="684"/>
      <c r="H370" s="1545"/>
      <c r="I370" s="684"/>
      <c r="J370" s="1545"/>
      <c r="K370" s="684"/>
      <c r="L370" s="1545"/>
      <c r="M370" s="684"/>
      <c r="N370" s="1545"/>
      <c r="O370" s="684"/>
      <c r="P370" s="1545"/>
      <c r="Q370" s="684"/>
      <c r="R370" s="1545"/>
      <c r="S370" s="684"/>
      <c r="T370" s="1545"/>
      <c r="U370" s="684"/>
      <c r="V370" s="1545"/>
      <c r="W370" s="684"/>
      <c r="X370" s="1545"/>
      <c r="Y370" s="1545"/>
      <c r="Z370" s="1545"/>
      <c r="AA370" s="684"/>
      <c r="AB370" s="1545"/>
      <c r="AC370" s="684"/>
      <c r="AD370" s="684"/>
      <c r="AE370" s="684"/>
      <c r="AF370" s="684"/>
      <c r="AG370" s="684"/>
      <c r="AH370" s="684"/>
      <c r="AI370" s="684"/>
      <c r="AJ370" s="684"/>
      <c r="AK370" s="684"/>
      <c r="AL370" s="684"/>
      <c r="AM370" s="684"/>
      <c r="AN370" s="1545"/>
      <c r="AO370" s="1545"/>
      <c r="AP370" s="1545"/>
      <c r="AQ370" s="1545"/>
      <c r="AR370" s="1545"/>
      <c r="AS370" s="684"/>
      <c r="AT370" s="684"/>
      <c r="AU370" s="684"/>
      <c r="AV370" s="684"/>
      <c r="AW370" s="684"/>
      <c r="AX370" s="677"/>
      <c r="AY370" s="684"/>
      <c r="AZ370" s="683"/>
      <c r="BA370" s="684"/>
      <c r="BB370" s="13"/>
      <c r="BC370" s="684"/>
      <c r="BD370" s="13"/>
      <c r="BE370" s="684"/>
      <c r="BF370" s="13"/>
      <c r="BG370" s="684"/>
      <c r="BH370" s="13"/>
      <c r="BI370" s="684"/>
      <c r="BJ370" s="13"/>
      <c r="BK370" s="684"/>
      <c r="BL370" s="684"/>
      <c r="BM370" s="684"/>
      <c r="BN370" s="677"/>
      <c r="BO370" s="677"/>
      <c r="BP370" s="541"/>
      <c r="BQ370" s="633"/>
      <c r="BR370" s="541"/>
      <c r="BS370" s="541"/>
      <c r="BT370" s="541"/>
      <c r="BU370" s="541"/>
    </row>
    <row r="371" ht="15.75" customHeight="1">
      <c r="A371" s="1591"/>
      <c r="B371" s="1591"/>
      <c r="C371" s="2217"/>
      <c r="D371" s="1541"/>
      <c r="E371" s="906"/>
      <c r="F371" s="1545"/>
      <c r="G371" s="684"/>
      <c r="H371" s="1545"/>
      <c r="I371" s="684"/>
      <c r="J371" s="1545"/>
      <c r="K371" s="684"/>
      <c r="L371" s="1545"/>
      <c r="M371" s="684"/>
      <c r="N371" s="1545"/>
      <c r="O371" s="684"/>
      <c r="P371" s="1545"/>
      <c r="Q371" s="684"/>
      <c r="R371" s="1545"/>
      <c r="S371" s="684"/>
      <c r="T371" s="1545"/>
      <c r="U371" s="684"/>
      <c r="V371" s="1545"/>
      <c r="W371" s="684"/>
      <c r="X371" s="1545"/>
      <c r="Y371" s="1545"/>
      <c r="Z371" s="1545"/>
      <c r="AA371" s="684"/>
      <c r="AB371" s="1545"/>
      <c r="AC371" s="684"/>
      <c r="AD371" s="684"/>
      <c r="AE371" s="684"/>
      <c r="AF371" s="684"/>
      <c r="AG371" s="684"/>
      <c r="AH371" s="684"/>
      <c r="AI371" s="684"/>
      <c r="AJ371" s="684"/>
      <c r="AK371" s="684"/>
      <c r="AL371" s="684"/>
      <c r="AM371" s="684"/>
      <c r="AN371" s="1545"/>
      <c r="AO371" s="1545"/>
      <c r="AP371" s="1545"/>
      <c r="AQ371" s="1545"/>
      <c r="AR371" s="1545"/>
      <c r="AS371" s="684"/>
      <c r="AT371" s="684"/>
      <c r="AU371" s="684"/>
      <c r="AV371" s="684"/>
      <c r="AW371" s="684"/>
      <c r="AX371" s="677"/>
      <c r="AY371" s="684"/>
      <c r="AZ371" s="683"/>
      <c r="BA371" s="684"/>
      <c r="BB371" s="13"/>
      <c r="BC371" s="684"/>
      <c r="BD371" s="13"/>
      <c r="BE371" s="684"/>
      <c r="BF371" s="13"/>
      <c r="BG371" s="684"/>
      <c r="BH371" s="13"/>
      <c r="BI371" s="684"/>
      <c r="BJ371" s="13"/>
      <c r="BK371" s="684"/>
      <c r="BL371" s="684"/>
      <c r="BM371" s="684"/>
      <c r="BN371" s="677"/>
      <c r="BO371" s="677"/>
      <c r="BP371" s="541"/>
      <c r="BQ371" s="633"/>
      <c r="BR371" s="541"/>
      <c r="BS371" s="541"/>
      <c r="BT371" s="541"/>
      <c r="BU371" s="541"/>
    </row>
    <row r="372" ht="15.75" customHeight="1">
      <c r="A372" s="1591"/>
      <c r="B372" s="1591"/>
      <c r="C372" s="2217"/>
      <c r="D372" s="1541"/>
      <c r="E372" s="906"/>
      <c r="F372" s="1545"/>
      <c r="G372" s="684"/>
      <c r="H372" s="1545"/>
      <c r="I372" s="684"/>
      <c r="J372" s="1545"/>
      <c r="K372" s="684"/>
      <c r="L372" s="1545"/>
      <c r="M372" s="684"/>
      <c r="N372" s="1545"/>
      <c r="O372" s="684"/>
      <c r="P372" s="1545"/>
      <c r="Q372" s="684"/>
      <c r="R372" s="1545"/>
      <c r="S372" s="684"/>
      <c r="T372" s="1545"/>
      <c r="U372" s="684"/>
      <c r="V372" s="1545"/>
      <c r="W372" s="684"/>
      <c r="X372" s="1545"/>
      <c r="Y372" s="1545"/>
      <c r="Z372" s="1545"/>
      <c r="AA372" s="684"/>
      <c r="AB372" s="1545"/>
      <c r="AC372" s="684"/>
      <c r="AD372" s="684"/>
      <c r="AE372" s="684"/>
      <c r="AF372" s="684"/>
      <c r="AG372" s="684"/>
      <c r="AH372" s="684"/>
      <c r="AI372" s="684"/>
      <c r="AJ372" s="684"/>
      <c r="AK372" s="684"/>
      <c r="AL372" s="684"/>
      <c r="AM372" s="684"/>
      <c r="AN372" s="1545"/>
      <c r="AO372" s="1545"/>
      <c r="AP372" s="1545"/>
      <c r="AQ372" s="1545"/>
      <c r="AR372" s="1545"/>
      <c r="AS372" s="684"/>
      <c r="AT372" s="684"/>
      <c r="AU372" s="684"/>
      <c r="AV372" s="684"/>
      <c r="AW372" s="684"/>
      <c r="AX372" s="677"/>
      <c r="AY372" s="684"/>
      <c r="AZ372" s="683"/>
      <c r="BA372" s="684"/>
      <c r="BB372" s="13"/>
      <c r="BC372" s="684"/>
      <c r="BD372" s="13"/>
      <c r="BE372" s="684"/>
      <c r="BF372" s="13"/>
      <c r="BG372" s="684"/>
      <c r="BH372" s="13"/>
      <c r="BI372" s="684"/>
      <c r="BJ372" s="13"/>
      <c r="BK372" s="684"/>
      <c r="BL372" s="684"/>
      <c r="BM372" s="684"/>
      <c r="BN372" s="677"/>
      <c r="BO372" s="677"/>
      <c r="BP372" s="541"/>
      <c r="BQ372" s="633"/>
      <c r="BR372" s="541"/>
      <c r="BS372" s="541"/>
      <c r="BT372" s="541"/>
      <c r="BU372" s="541"/>
    </row>
    <row r="373" ht="15.75" customHeight="1">
      <c r="A373" s="1591"/>
      <c r="B373" s="1591"/>
      <c r="C373" s="2217"/>
      <c r="D373" s="1541"/>
      <c r="E373" s="906"/>
      <c r="F373" s="1545"/>
      <c r="G373" s="684"/>
      <c r="H373" s="1545"/>
      <c r="I373" s="684"/>
      <c r="J373" s="1545"/>
      <c r="K373" s="684"/>
      <c r="L373" s="1545"/>
      <c r="M373" s="684"/>
      <c r="N373" s="1545"/>
      <c r="O373" s="684"/>
      <c r="P373" s="1545"/>
      <c r="Q373" s="684"/>
      <c r="R373" s="1545"/>
      <c r="S373" s="684"/>
      <c r="T373" s="1545"/>
      <c r="U373" s="684"/>
      <c r="V373" s="1545"/>
      <c r="W373" s="684"/>
      <c r="X373" s="1545"/>
      <c r="Y373" s="1545"/>
      <c r="Z373" s="1545"/>
      <c r="AA373" s="684"/>
      <c r="AB373" s="1545"/>
      <c r="AC373" s="684"/>
      <c r="AD373" s="684"/>
      <c r="AE373" s="684"/>
      <c r="AF373" s="684"/>
      <c r="AG373" s="684"/>
      <c r="AH373" s="684"/>
      <c r="AI373" s="684"/>
      <c r="AJ373" s="684"/>
      <c r="AK373" s="684"/>
      <c r="AL373" s="684"/>
      <c r="AM373" s="684"/>
      <c r="AN373" s="1545"/>
      <c r="AO373" s="1545"/>
      <c r="AP373" s="1545"/>
      <c r="AQ373" s="1545"/>
      <c r="AR373" s="1545"/>
      <c r="AS373" s="684"/>
      <c r="AT373" s="684"/>
      <c r="AU373" s="684"/>
      <c r="AV373" s="684"/>
      <c r="AW373" s="684"/>
      <c r="AX373" s="677"/>
      <c r="AY373" s="684"/>
      <c r="AZ373" s="683"/>
      <c r="BA373" s="684"/>
      <c r="BB373" s="13"/>
      <c r="BC373" s="684"/>
      <c r="BD373" s="13"/>
      <c r="BE373" s="684"/>
      <c r="BF373" s="13"/>
      <c r="BG373" s="684"/>
      <c r="BH373" s="13"/>
      <c r="BI373" s="684"/>
      <c r="BJ373" s="13"/>
      <c r="BK373" s="684"/>
      <c r="BL373" s="684"/>
      <c r="BM373" s="684"/>
      <c r="BN373" s="677"/>
      <c r="BO373" s="677"/>
      <c r="BP373" s="541"/>
      <c r="BQ373" s="633"/>
      <c r="BR373" s="541"/>
      <c r="BS373" s="541"/>
      <c r="BT373" s="541"/>
      <c r="BU373" s="541"/>
    </row>
    <row r="374" ht="15.75" customHeight="1">
      <c r="A374" s="1591"/>
      <c r="B374" s="1591"/>
      <c r="C374" s="2217"/>
      <c r="D374" s="1541"/>
      <c r="E374" s="906"/>
      <c r="F374" s="1545"/>
      <c r="G374" s="684"/>
      <c r="H374" s="1545"/>
      <c r="I374" s="684"/>
      <c r="J374" s="1545"/>
      <c r="K374" s="684"/>
      <c r="L374" s="1545"/>
      <c r="M374" s="684"/>
      <c r="N374" s="1545"/>
      <c r="O374" s="684"/>
      <c r="P374" s="1545"/>
      <c r="Q374" s="684"/>
      <c r="R374" s="1545"/>
      <c r="S374" s="684"/>
      <c r="T374" s="1545"/>
      <c r="U374" s="684"/>
      <c r="V374" s="1545"/>
      <c r="W374" s="684"/>
      <c r="X374" s="1545"/>
      <c r="Y374" s="1545"/>
      <c r="Z374" s="1545"/>
      <c r="AA374" s="684"/>
      <c r="AB374" s="1545"/>
      <c r="AC374" s="684"/>
      <c r="AD374" s="684"/>
      <c r="AE374" s="684"/>
      <c r="AF374" s="684"/>
      <c r="AG374" s="684"/>
      <c r="AH374" s="684"/>
      <c r="AI374" s="684"/>
      <c r="AJ374" s="684"/>
      <c r="AK374" s="684"/>
      <c r="AL374" s="684"/>
      <c r="AM374" s="684"/>
      <c r="AN374" s="1545"/>
      <c r="AO374" s="1545"/>
      <c r="AP374" s="1545"/>
      <c r="AQ374" s="1545"/>
      <c r="AR374" s="1545"/>
      <c r="AS374" s="684"/>
      <c r="AT374" s="684"/>
      <c r="AU374" s="684"/>
      <c r="AV374" s="684"/>
      <c r="AW374" s="684"/>
      <c r="AX374" s="677"/>
      <c r="AY374" s="684"/>
      <c r="AZ374" s="683"/>
      <c r="BA374" s="684"/>
      <c r="BB374" s="13"/>
      <c r="BC374" s="684"/>
      <c r="BD374" s="13"/>
      <c r="BE374" s="684"/>
      <c r="BF374" s="13"/>
      <c r="BG374" s="684"/>
      <c r="BH374" s="13"/>
      <c r="BI374" s="684"/>
      <c r="BJ374" s="13"/>
      <c r="BK374" s="684"/>
      <c r="BL374" s="684"/>
      <c r="BM374" s="684"/>
      <c r="BN374" s="677"/>
      <c r="BO374" s="677"/>
      <c r="BP374" s="541"/>
      <c r="BQ374" s="633"/>
      <c r="BR374" s="541"/>
      <c r="BS374" s="541"/>
      <c r="BT374" s="541"/>
      <c r="BU374" s="541"/>
    </row>
    <row r="375" ht="15.75" customHeight="1">
      <c r="A375" s="1591"/>
      <c r="B375" s="1591"/>
      <c r="C375" s="2217"/>
      <c r="D375" s="1541"/>
      <c r="E375" s="906"/>
      <c r="F375" s="1545"/>
      <c r="G375" s="684"/>
      <c r="H375" s="1545"/>
      <c r="I375" s="684"/>
      <c r="J375" s="1545"/>
      <c r="K375" s="684"/>
      <c r="L375" s="1545"/>
      <c r="M375" s="684"/>
      <c r="N375" s="1545"/>
      <c r="O375" s="684"/>
      <c r="P375" s="1545"/>
      <c r="Q375" s="684"/>
      <c r="R375" s="1545"/>
      <c r="S375" s="684"/>
      <c r="T375" s="1545"/>
      <c r="U375" s="684"/>
      <c r="V375" s="1545"/>
      <c r="W375" s="684"/>
      <c r="X375" s="1545"/>
      <c r="Y375" s="1545"/>
      <c r="Z375" s="1545"/>
      <c r="AA375" s="684"/>
      <c r="AB375" s="1545"/>
      <c r="AC375" s="684"/>
      <c r="AD375" s="684"/>
      <c r="AE375" s="684"/>
      <c r="AF375" s="684"/>
      <c r="AG375" s="684"/>
      <c r="AH375" s="684"/>
      <c r="AI375" s="684"/>
      <c r="AJ375" s="684"/>
      <c r="AK375" s="684"/>
      <c r="AL375" s="684"/>
      <c r="AM375" s="684"/>
      <c r="AN375" s="1545"/>
      <c r="AO375" s="1545"/>
      <c r="AP375" s="1545"/>
      <c r="AQ375" s="1545"/>
      <c r="AR375" s="1545"/>
      <c r="AS375" s="684"/>
      <c r="AT375" s="684"/>
      <c r="AU375" s="684"/>
      <c r="AV375" s="684"/>
      <c r="AW375" s="684"/>
      <c r="AX375" s="677"/>
      <c r="AY375" s="684"/>
      <c r="AZ375" s="683"/>
      <c r="BA375" s="684"/>
      <c r="BB375" s="13"/>
      <c r="BC375" s="684"/>
      <c r="BD375" s="13"/>
      <c r="BE375" s="684"/>
      <c r="BF375" s="13"/>
      <c r="BG375" s="684"/>
      <c r="BH375" s="13"/>
      <c r="BI375" s="684"/>
      <c r="BJ375" s="13"/>
      <c r="BK375" s="684"/>
      <c r="BL375" s="684"/>
      <c r="BM375" s="684"/>
      <c r="BN375" s="677"/>
      <c r="BO375" s="677"/>
      <c r="BP375" s="541"/>
      <c r="BQ375" s="633"/>
      <c r="BR375" s="541"/>
      <c r="BS375" s="541"/>
      <c r="BT375" s="541"/>
      <c r="BU375" s="541"/>
    </row>
    <row r="376" ht="15.75" customHeight="1">
      <c r="A376" s="1591"/>
      <c r="B376" s="1591"/>
      <c r="C376" s="2217"/>
      <c r="D376" s="1541"/>
      <c r="E376" s="906"/>
      <c r="F376" s="1545"/>
      <c r="G376" s="684"/>
      <c r="H376" s="1545"/>
      <c r="I376" s="684"/>
      <c r="J376" s="1545"/>
      <c r="K376" s="684"/>
      <c r="L376" s="1545"/>
      <c r="M376" s="684"/>
      <c r="N376" s="1545"/>
      <c r="O376" s="684"/>
      <c r="P376" s="1545"/>
      <c r="Q376" s="684"/>
      <c r="R376" s="1545"/>
      <c r="S376" s="684"/>
      <c r="T376" s="1545"/>
      <c r="U376" s="684"/>
      <c r="V376" s="1545"/>
      <c r="W376" s="684"/>
      <c r="X376" s="1545"/>
      <c r="Y376" s="1545"/>
      <c r="Z376" s="1545"/>
      <c r="AA376" s="684"/>
      <c r="AB376" s="1545"/>
      <c r="AC376" s="684"/>
      <c r="AD376" s="684"/>
      <c r="AE376" s="684"/>
      <c r="AF376" s="684"/>
      <c r="AG376" s="684"/>
      <c r="AH376" s="684"/>
      <c r="AI376" s="684"/>
      <c r="AJ376" s="684"/>
      <c r="AK376" s="684"/>
      <c r="AL376" s="684"/>
      <c r="AM376" s="684"/>
      <c r="AN376" s="1545"/>
      <c r="AO376" s="1545"/>
      <c r="AP376" s="1545"/>
      <c r="AQ376" s="1545"/>
      <c r="AR376" s="1545"/>
      <c r="AS376" s="684"/>
      <c r="AT376" s="684"/>
      <c r="AU376" s="684"/>
      <c r="AV376" s="684"/>
      <c r="AW376" s="684"/>
      <c r="AX376" s="677"/>
      <c r="AY376" s="684"/>
      <c r="AZ376" s="683"/>
      <c r="BA376" s="684"/>
      <c r="BB376" s="13"/>
      <c r="BC376" s="684"/>
      <c r="BD376" s="13"/>
      <c r="BE376" s="684"/>
      <c r="BF376" s="13"/>
      <c r="BG376" s="684"/>
      <c r="BH376" s="13"/>
      <c r="BI376" s="684"/>
      <c r="BJ376" s="13"/>
      <c r="BK376" s="684"/>
      <c r="BL376" s="684"/>
      <c r="BM376" s="684"/>
      <c r="BN376" s="677"/>
      <c r="BO376" s="677"/>
      <c r="BP376" s="541"/>
      <c r="BQ376" s="633"/>
      <c r="BR376" s="541"/>
      <c r="BS376" s="541"/>
      <c r="BT376" s="541"/>
      <c r="BU376" s="541"/>
    </row>
    <row r="377" ht="15.75" customHeight="1">
      <c r="A377" s="1591"/>
      <c r="B377" s="1591"/>
      <c r="C377" s="2217"/>
      <c r="D377" s="1541"/>
      <c r="E377" s="906"/>
      <c r="F377" s="1545"/>
      <c r="G377" s="684"/>
      <c r="H377" s="1545"/>
      <c r="I377" s="684"/>
      <c r="J377" s="1545"/>
      <c r="K377" s="684"/>
      <c r="L377" s="1545"/>
      <c r="M377" s="684"/>
      <c r="N377" s="1545"/>
      <c r="O377" s="684"/>
      <c r="P377" s="1545"/>
      <c r="Q377" s="684"/>
      <c r="R377" s="1545"/>
      <c r="S377" s="684"/>
      <c r="T377" s="1545"/>
      <c r="U377" s="684"/>
      <c r="V377" s="1545"/>
      <c r="W377" s="684"/>
      <c r="X377" s="1545"/>
      <c r="Y377" s="1545"/>
      <c r="Z377" s="1545"/>
      <c r="AA377" s="684"/>
      <c r="AB377" s="1545"/>
      <c r="AC377" s="684"/>
      <c r="AD377" s="684"/>
      <c r="AE377" s="684"/>
      <c r="AF377" s="684"/>
      <c r="AG377" s="684"/>
      <c r="AH377" s="684"/>
      <c r="AI377" s="684"/>
      <c r="AJ377" s="684"/>
      <c r="AK377" s="684"/>
      <c r="AL377" s="684"/>
      <c r="AM377" s="684"/>
      <c r="AN377" s="1545"/>
      <c r="AO377" s="1545"/>
      <c r="AP377" s="1545"/>
      <c r="AQ377" s="1545"/>
      <c r="AR377" s="1545"/>
      <c r="AS377" s="684"/>
      <c r="AT377" s="684"/>
      <c r="AU377" s="684"/>
      <c r="AV377" s="684"/>
      <c r="AW377" s="684"/>
      <c r="AX377" s="677"/>
      <c r="AY377" s="684"/>
      <c r="AZ377" s="683"/>
      <c r="BA377" s="684"/>
      <c r="BB377" s="13"/>
      <c r="BC377" s="684"/>
      <c r="BD377" s="13"/>
      <c r="BE377" s="684"/>
      <c r="BF377" s="13"/>
      <c r="BG377" s="684"/>
      <c r="BH377" s="13"/>
      <c r="BI377" s="684"/>
      <c r="BJ377" s="13"/>
      <c r="BK377" s="684"/>
      <c r="BL377" s="684"/>
      <c r="BM377" s="684"/>
      <c r="BN377" s="677"/>
      <c r="BO377" s="677"/>
      <c r="BP377" s="541"/>
      <c r="BQ377" s="633"/>
      <c r="BR377" s="541"/>
      <c r="BS377" s="541"/>
      <c r="BT377" s="541"/>
      <c r="BU377" s="541"/>
    </row>
    <row r="378" ht="15.75" customHeight="1">
      <c r="A378" s="1591"/>
      <c r="B378" s="1591"/>
      <c r="C378" s="2217"/>
      <c r="D378" s="1541"/>
      <c r="E378" s="906"/>
      <c r="F378" s="1545"/>
      <c r="G378" s="684"/>
      <c r="H378" s="1545"/>
      <c r="I378" s="684"/>
      <c r="J378" s="1545"/>
      <c r="K378" s="684"/>
      <c r="L378" s="1545"/>
      <c r="M378" s="684"/>
      <c r="N378" s="1545"/>
      <c r="O378" s="684"/>
      <c r="P378" s="1545"/>
      <c r="Q378" s="684"/>
      <c r="R378" s="1545"/>
      <c r="S378" s="684"/>
      <c r="T378" s="1545"/>
      <c r="U378" s="684"/>
      <c r="V378" s="1545"/>
      <c r="W378" s="684"/>
      <c r="X378" s="1545"/>
      <c r="Y378" s="1545"/>
      <c r="Z378" s="1545"/>
      <c r="AA378" s="684"/>
      <c r="AB378" s="1545"/>
      <c r="AC378" s="684"/>
      <c r="AD378" s="684"/>
      <c r="AE378" s="684"/>
      <c r="AF378" s="684"/>
      <c r="AG378" s="684"/>
      <c r="AH378" s="684"/>
      <c r="AI378" s="684"/>
      <c r="AJ378" s="684"/>
      <c r="AK378" s="684"/>
      <c r="AL378" s="684"/>
      <c r="AM378" s="684"/>
      <c r="AN378" s="1545"/>
      <c r="AO378" s="1545"/>
      <c r="AP378" s="1545"/>
      <c r="AQ378" s="1545"/>
      <c r="AR378" s="1545"/>
      <c r="AS378" s="684"/>
      <c r="AT378" s="684"/>
      <c r="AU378" s="684"/>
      <c r="AV378" s="684"/>
      <c r="AW378" s="684"/>
      <c r="AX378" s="677"/>
      <c r="AY378" s="684"/>
      <c r="AZ378" s="683"/>
      <c r="BA378" s="684"/>
      <c r="BB378" s="13"/>
      <c r="BC378" s="684"/>
      <c r="BD378" s="13"/>
      <c r="BE378" s="684"/>
      <c r="BF378" s="13"/>
      <c r="BG378" s="684"/>
      <c r="BH378" s="13"/>
      <c r="BI378" s="684"/>
      <c r="BJ378" s="13"/>
      <c r="BK378" s="684"/>
      <c r="BL378" s="684"/>
      <c r="BM378" s="684"/>
      <c r="BN378" s="677"/>
      <c r="BO378" s="677"/>
      <c r="BP378" s="541"/>
      <c r="BQ378" s="633"/>
      <c r="BR378" s="541"/>
      <c r="BS378" s="541"/>
      <c r="BT378" s="541"/>
      <c r="BU378" s="541"/>
    </row>
    <row r="379" ht="15.75" customHeight="1">
      <c r="A379" s="1591"/>
      <c r="B379" s="1591"/>
      <c r="C379" s="2217"/>
      <c r="D379" s="1541"/>
      <c r="E379" s="906"/>
      <c r="F379" s="1545"/>
      <c r="G379" s="684"/>
      <c r="H379" s="1545"/>
      <c r="I379" s="684"/>
      <c r="J379" s="1545"/>
      <c r="K379" s="684"/>
      <c r="L379" s="1545"/>
      <c r="M379" s="684"/>
      <c r="N379" s="1545"/>
      <c r="O379" s="684"/>
      <c r="P379" s="1545"/>
      <c r="Q379" s="684"/>
      <c r="R379" s="1545"/>
      <c r="S379" s="684"/>
      <c r="T379" s="1545"/>
      <c r="U379" s="684"/>
      <c r="V379" s="1545"/>
      <c r="W379" s="684"/>
      <c r="X379" s="1545"/>
      <c r="Y379" s="1545"/>
      <c r="Z379" s="1545"/>
      <c r="AA379" s="684"/>
      <c r="AB379" s="1545"/>
      <c r="AC379" s="684"/>
      <c r="AD379" s="684"/>
      <c r="AE379" s="684"/>
      <c r="AF379" s="684"/>
      <c r="AG379" s="684"/>
      <c r="AH379" s="684"/>
      <c r="AI379" s="684"/>
      <c r="AJ379" s="684"/>
      <c r="AK379" s="684"/>
      <c r="AL379" s="684"/>
      <c r="AM379" s="684"/>
      <c r="AN379" s="1545"/>
      <c r="AO379" s="1545"/>
      <c r="AP379" s="1545"/>
      <c r="AQ379" s="1545"/>
      <c r="AR379" s="1545"/>
      <c r="AS379" s="684"/>
      <c r="AT379" s="684"/>
      <c r="AU379" s="684"/>
      <c r="AV379" s="684"/>
      <c r="AW379" s="684"/>
      <c r="AX379" s="677"/>
      <c r="AY379" s="684"/>
      <c r="AZ379" s="683"/>
      <c r="BA379" s="684"/>
      <c r="BB379" s="13"/>
      <c r="BC379" s="684"/>
      <c r="BD379" s="13"/>
      <c r="BE379" s="684"/>
      <c r="BF379" s="13"/>
      <c r="BG379" s="684"/>
      <c r="BH379" s="13"/>
      <c r="BI379" s="684"/>
      <c r="BJ379" s="13"/>
      <c r="BK379" s="684"/>
      <c r="BL379" s="684"/>
      <c r="BM379" s="684"/>
      <c r="BN379" s="677"/>
      <c r="BO379" s="677"/>
      <c r="BP379" s="541"/>
      <c r="BQ379" s="633"/>
      <c r="BR379" s="541"/>
      <c r="BS379" s="541"/>
      <c r="BT379" s="541"/>
      <c r="BU379" s="541"/>
    </row>
    <row r="380" ht="15.75" customHeight="1">
      <c r="A380" s="1591"/>
      <c r="B380" s="1591"/>
      <c r="C380" s="2217"/>
      <c r="D380" s="1541"/>
      <c r="E380" s="906"/>
      <c r="F380" s="1545"/>
      <c r="G380" s="684"/>
      <c r="H380" s="1545"/>
      <c r="I380" s="684"/>
      <c r="J380" s="1545"/>
      <c r="K380" s="684"/>
      <c r="L380" s="1545"/>
      <c r="M380" s="684"/>
      <c r="N380" s="1545"/>
      <c r="O380" s="684"/>
      <c r="P380" s="1545"/>
      <c r="Q380" s="684"/>
      <c r="R380" s="1545"/>
      <c r="S380" s="684"/>
      <c r="T380" s="1545"/>
      <c r="U380" s="684"/>
      <c r="V380" s="1545"/>
      <c r="W380" s="684"/>
      <c r="X380" s="1545"/>
      <c r="Y380" s="1545"/>
      <c r="Z380" s="1545"/>
      <c r="AA380" s="684"/>
      <c r="AB380" s="1545"/>
      <c r="AC380" s="684"/>
      <c r="AD380" s="684"/>
      <c r="AE380" s="684"/>
      <c r="AF380" s="684"/>
      <c r="AG380" s="684"/>
      <c r="AH380" s="684"/>
      <c r="AI380" s="684"/>
      <c r="AJ380" s="684"/>
      <c r="AK380" s="684"/>
      <c r="AL380" s="684"/>
      <c r="AM380" s="684"/>
      <c r="AN380" s="1545"/>
      <c r="AO380" s="1545"/>
      <c r="AP380" s="1545"/>
      <c r="AQ380" s="1545"/>
      <c r="AR380" s="1545"/>
      <c r="AS380" s="684"/>
      <c r="AT380" s="684"/>
      <c r="AU380" s="684"/>
      <c r="AV380" s="684"/>
      <c r="AW380" s="684"/>
      <c r="AX380" s="677"/>
      <c r="AY380" s="684"/>
      <c r="AZ380" s="683"/>
      <c r="BA380" s="684"/>
      <c r="BB380" s="13"/>
      <c r="BC380" s="684"/>
      <c r="BD380" s="13"/>
      <c r="BE380" s="684"/>
      <c r="BF380" s="13"/>
      <c r="BG380" s="684"/>
      <c r="BH380" s="13"/>
      <c r="BI380" s="684"/>
      <c r="BJ380" s="13"/>
      <c r="BK380" s="684"/>
      <c r="BL380" s="684"/>
      <c r="BM380" s="684"/>
      <c r="BN380" s="677"/>
      <c r="BO380" s="677"/>
      <c r="BP380" s="541"/>
      <c r="BQ380" s="633"/>
      <c r="BR380" s="541"/>
      <c r="BS380" s="541"/>
      <c r="BT380" s="541"/>
      <c r="BU380" s="541"/>
    </row>
    <row r="381" ht="15.75" customHeight="1">
      <c r="A381" s="1591"/>
      <c r="B381" s="1591"/>
      <c r="C381" s="2217"/>
      <c r="D381" s="1541"/>
      <c r="E381" s="906"/>
      <c r="F381" s="1545"/>
      <c r="G381" s="684"/>
      <c r="H381" s="1545"/>
      <c r="I381" s="684"/>
      <c r="J381" s="1545"/>
      <c r="K381" s="684"/>
      <c r="L381" s="1545"/>
      <c r="M381" s="684"/>
      <c r="N381" s="1545"/>
      <c r="O381" s="684"/>
      <c r="P381" s="1545"/>
      <c r="Q381" s="684"/>
      <c r="R381" s="1545"/>
      <c r="S381" s="684"/>
      <c r="T381" s="1545"/>
      <c r="U381" s="684"/>
      <c r="V381" s="1545"/>
      <c r="W381" s="684"/>
      <c r="X381" s="1545"/>
      <c r="Y381" s="1545"/>
      <c r="Z381" s="1545"/>
      <c r="AA381" s="684"/>
      <c r="AB381" s="1545"/>
      <c r="AC381" s="684"/>
      <c r="AD381" s="684"/>
      <c r="AE381" s="684"/>
      <c r="AF381" s="684"/>
      <c r="AG381" s="684"/>
      <c r="AH381" s="684"/>
      <c r="AI381" s="684"/>
      <c r="AJ381" s="684"/>
      <c r="AK381" s="684"/>
      <c r="AL381" s="684"/>
      <c r="AM381" s="684"/>
      <c r="AN381" s="1545"/>
      <c r="AO381" s="1545"/>
      <c r="AP381" s="1545"/>
      <c r="AQ381" s="1545"/>
      <c r="AR381" s="1545"/>
      <c r="AS381" s="684"/>
      <c r="AT381" s="684"/>
      <c r="AU381" s="684"/>
      <c r="AV381" s="684"/>
      <c r="AW381" s="684"/>
      <c r="AX381" s="677"/>
      <c r="AY381" s="684"/>
      <c r="AZ381" s="683"/>
      <c r="BA381" s="684"/>
      <c r="BB381" s="13"/>
      <c r="BC381" s="684"/>
      <c r="BD381" s="13"/>
      <c r="BE381" s="684"/>
      <c r="BF381" s="13"/>
      <c r="BG381" s="684"/>
      <c r="BH381" s="13"/>
      <c r="BI381" s="684"/>
      <c r="BJ381" s="13"/>
      <c r="BK381" s="684"/>
      <c r="BL381" s="684"/>
      <c r="BM381" s="684"/>
      <c r="BN381" s="677"/>
      <c r="BO381" s="677"/>
      <c r="BP381" s="541"/>
      <c r="BQ381" s="633"/>
      <c r="BR381" s="541"/>
      <c r="BS381" s="541"/>
      <c r="BT381" s="541"/>
      <c r="BU381" s="541"/>
    </row>
    <row r="382" ht="15.75" customHeight="1">
      <c r="A382" s="1591"/>
      <c r="B382" s="1591"/>
      <c r="C382" s="2217"/>
      <c r="D382" s="1541"/>
      <c r="E382" s="906"/>
      <c r="F382" s="1545"/>
      <c r="G382" s="2250"/>
      <c r="H382" s="1545"/>
      <c r="I382" s="2250"/>
      <c r="J382" s="1545"/>
      <c r="K382" s="2250"/>
      <c r="L382" s="1545"/>
      <c r="M382" s="2250"/>
      <c r="N382" s="1545"/>
      <c r="O382" s="2250"/>
      <c r="P382" s="1545"/>
      <c r="Q382" s="2250"/>
      <c r="R382" s="1545"/>
      <c r="S382" s="684"/>
      <c r="T382" s="1545"/>
      <c r="U382" s="684"/>
      <c r="V382" s="1545"/>
      <c r="W382" s="684"/>
      <c r="X382" s="1545"/>
      <c r="Y382" s="1545"/>
      <c r="Z382" s="1545"/>
      <c r="AA382" s="684"/>
      <c r="AB382" s="1545"/>
      <c r="AC382" s="684"/>
      <c r="AD382" s="684"/>
      <c r="AE382" s="684"/>
      <c r="AF382" s="684"/>
      <c r="AG382" s="684"/>
      <c r="AH382" s="684"/>
      <c r="AI382" s="684"/>
      <c r="AJ382" s="684"/>
      <c r="AK382" s="684"/>
      <c r="AL382" s="684"/>
      <c r="AM382" s="684"/>
      <c r="AN382" s="1545"/>
      <c r="AO382" s="1545"/>
      <c r="AP382" s="1545"/>
      <c r="AQ382" s="1545"/>
      <c r="AR382" s="1545"/>
      <c r="AS382" s="684"/>
      <c r="AT382" s="684"/>
      <c r="AU382" s="684"/>
      <c r="AV382" s="684"/>
      <c r="AW382" s="684"/>
      <c r="AX382" s="677"/>
      <c r="AY382" s="684"/>
      <c r="AZ382" s="683"/>
      <c r="BA382" s="684"/>
      <c r="BB382" s="13"/>
      <c r="BC382" s="684"/>
      <c r="BD382" s="13"/>
      <c r="BE382" s="684"/>
      <c r="BF382" s="13"/>
      <c r="BG382" s="684"/>
      <c r="BH382" s="13"/>
      <c r="BI382" s="684"/>
      <c r="BJ382" s="13"/>
      <c r="BK382" s="684"/>
      <c r="BL382" s="684"/>
      <c r="BM382" s="684"/>
      <c r="BN382" s="677"/>
      <c r="BO382" s="677"/>
      <c r="BP382" s="541"/>
      <c r="BQ382" s="633"/>
      <c r="BR382" s="541"/>
      <c r="BS382" s="541"/>
      <c r="BT382" s="541"/>
      <c r="BU382" s="541"/>
    </row>
    <row r="383" ht="15.75" customHeight="1">
      <c r="A383" s="1591"/>
      <c r="B383" s="1591"/>
      <c r="C383" s="2217"/>
      <c r="D383" s="1541"/>
      <c r="E383" s="906"/>
      <c r="F383" s="1545"/>
      <c r="G383" s="2250"/>
      <c r="H383" s="1545"/>
      <c r="I383" s="2250"/>
      <c r="J383" s="1545"/>
      <c r="K383" s="2250"/>
      <c r="L383" s="1545"/>
      <c r="M383" s="2250"/>
      <c r="N383" s="1545"/>
      <c r="O383" s="2250"/>
      <c r="P383" s="1545"/>
      <c r="Q383" s="2250"/>
      <c r="R383" s="1545"/>
      <c r="S383" s="684"/>
      <c r="T383" s="1545"/>
      <c r="U383" s="684"/>
      <c r="V383" s="1545"/>
      <c r="W383" s="684"/>
      <c r="X383" s="1545"/>
      <c r="Y383" s="1545"/>
      <c r="Z383" s="1545"/>
      <c r="AA383" s="684"/>
      <c r="AB383" s="1545"/>
      <c r="AC383" s="684"/>
      <c r="AD383" s="684"/>
      <c r="AE383" s="684"/>
      <c r="AF383" s="684"/>
      <c r="AG383" s="684"/>
      <c r="AH383" s="684"/>
      <c r="AI383" s="684"/>
      <c r="AJ383" s="684"/>
      <c r="AK383" s="684"/>
      <c r="AL383" s="684"/>
      <c r="AM383" s="684"/>
      <c r="AN383" s="1545"/>
      <c r="AO383" s="1545"/>
      <c r="AP383" s="1545"/>
      <c r="AQ383" s="1545"/>
      <c r="AR383" s="1545"/>
      <c r="AS383" s="684"/>
      <c r="AT383" s="684"/>
      <c r="AU383" s="684"/>
      <c r="AV383" s="684"/>
      <c r="AW383" s="684"/>
      <c r="AX383" s="677"/>
      <c r="AY383" s="684"/>
      <c r="AZ383" s="683"/>
      <c r="BA383" s="684"/>
      <c r="BB383" s="13"/>
      <c r="BC383" s="684"/>
      <c r="BD383" s="13"/>
      <c r="BE383" s="684"/>
      <c r="BF383" s="13"/>
      <c r="BG383" s="684"/>
      <c r="BH383" s="13"/>
      <c r="BI383" s="684"/>
      <c r="BJ383" s="13"/>
      <c r="BK383" s="684"/>
      <c r="BL383" s="684"/>
      <c r="BM383" s="684"/>
      <c r="BN383" s="677"/>
      <c r="BO383" s="677"/>
      <c r="BP383" s="541"/>
      <c r="BQ383" s="633"/>
      <c r="BR383" s="541"/>
      <c r="BS383" s="541"/>
      <c r="BT383" s="541"/>
      <c r="BU383" s="541"/>
    </row>
    <row r="384" ht="15.75" customHeight="1">
      <c r="A384" s="1591"/>
      <c r="B384" s="1591"/>
      <c r="C384" s="2217"/>
      <c r="D384" s="1541"/>
      <c r="E384" s="906"/>
      <c r="F384" s="1545"/>
      <c r="G384" s="2250"/>
      <c r="H384" s="1545"/>
      <c r="I384" s="2250"/>
      <c r="J384" s="1545"/>
      <c r="K384" s="2250"/>
      <c r="L384" s="1545"/>
      <c r="M384" s="2250"/>
      <c r="N384" s="1545"/>
      <c r="O384" s="2250"/>
      <c r="P384" s="1545"/>
      <c r="Q384" s="2250"/>
      <c r="R384" s="1545"/>
      <c r="S384" s="684"/>
      <c r="T384" s="1545"/>
      <c r="U384" s="684"/>
      <c r="V384" s="1545"/>
      <c r="W384" s="684"/>
      <c r="X384" s="1545"/>
      <c r="Y384" s="1545"/>
      <c r="Z384" s="1545"/>
      <c r="AA384" s="684"/>
      <c r="AB384" s="1545"/>
      <c r="AC384" s="684"/>
      <c r="AD384" s="684"/>
      <c r="AE384" s="684"/>
      <c r="AF384" s="684"/>
      <c r="AG384" s="684"/>
      <c r="AH384" s="684"/>
      <c r="AI384" s="684"/>
      <c r="AJ384" s="684"/>
      <c r="AK384" s="684"/>
      <c r="AL384" s="684"/>
      <c r="AM384" s="684"/>
      <c r="AN384" s="1545"/>
      <c r="AO384" s="1545"/>
      <c r="AP384" s="1545"/>
      <c r="AQ384" s="1545"/>
      <c r="AR384" s="1545"/>
      <c r="AS384" s="684"/>
      <c r="AT384" s="684"/>
      <c r="AU384" s="684"/>
      <c r="AV384" s="684"/>
      <c r="AW384" s="684"/>
      <c r="AX384" s="677"/>
      <c r="AY384" s="684"/>
      <c r="AZ384" s="683"/>
      <c r="BA384" s="684"/>
      <c r="BB384" s="13"/>
      <c r="BC384" s="684"/>
      <c r="BD384" s="13"/>
      <c r="BE384" s="684"/>
      <c r="BF384" s="13"/>
      <c r="BG384" s="684"/>
      <c r="BH384" s="13"/>
      <c r="BI384" s="684"/>
      <c r="BJ384" s="13"/>
      <c r="BK384" s="684"/>
      <c r="BL384" s="684"/>
      <c r="BM384" s="684"/>
      <c r="BN384" s="677"/>
      <c r="BO384" s="677"/>
      <c r="BP384" s="541"/>
      <c r="BQ384" s="633"/>
      <c r="BR384" s="541"/>
      <c r="BS384" s="541"/>
      <c r="BT384" s="541"/>
      <c r="BU384" s="541"/>
    </row>
    <row r="385" ht="15.75" customHeight="1">
      <c r="A385" s="1591"/>
      <c r="B385" s="1591"/>
      <c r="C385" s="2217"/>
      <c r="D385" s="1541"/>
      <c r="E385" s="906"/>
      <c r="F385" s="1545"/>
      <c r="G385" s="2250"/>
      <c r="H385" s="1545"/>
      <c r="I385" s="2250"/>
      <c r="J385" s="1545"/>
      <c r="K385" s="2250"/>
      <c r="L385" s="1545"/>
      <c r="M385" s="2250"/>
      <c r="N385" s="1545"/>
      <c r="O385" s="2250"/>
      <c r="P385" s="1545"/>
      <c r="Q385" s="2250"/>
      <c r="R385" s="1545"/>
      <c r="S385" s="684"/>
      <c r="T385" s="1545"/>
      <c r="U385" s="684"/>
      <c r="V385" s="1545"/>
      <c r="W385" s="684"/>
      <c r="X385" s="1545"/>
      <c r="Y385" s="1545"/>
      <c r="Z385" s="1545"/>
      <c r="AA385" s="684"/>
      <c r="AB385" s="1545"/>
      <c r="AC385" s="684"/>
      <c r="AD385" s="684"/>
      <c r="AE385" s="684"/>
      <c r="AF385" s="684"/>
      <c r="AG385" s="684"/>
      <c r="AH385" s="684"/>
      <c r="AI385" s="684"/>
      <c r="AJ385" s="684"/>
      <c r="AK385" s="684"/>
      <c r="AL385" s="684"/>
      <c r="AM385" s="684"/>
      <c r="AN385" s="1545"/>
      <c r="AO385" s="1545"/>
      <c r="AP385" s="1545"/>
      <c r="AQ385" s="1545"/>
      <c r="AR385" s="1545"/>
      <c r="AS385" s="684"/>
      <c r="AT385" s="684"/>
      <c r="AU385" s="684"/>
      <c r="AV385" s="684"/>
      <c r="AW385" s="684"/>
      <c r="AX385" s="677"/>
      <c r="AY385" s="684"/>
      <c r="AZ385" s="683"/>
      <c r="BA385" s="684"/>
      <c r="BB385" s="13"/>
      <c r="BC385" s="684"/>
      <c r="BD385" s="13"/>
      <c r="BE385" s="684"/>
      <c r="BF385" s="13"/>
      <c r="BG385" s="684"/>
      <c r="BH385" s="13"/>
      <c r="BI385" s="684"/>
      <c r="BJ385" s="13"/>
      <c r="BK385" s="684"/>
      <c r="BL385" s="684"/>
      <c r="BM385" s="684"/>
      <c r="BN385" s="677"/>
      <c r="BO385" s="677"/>
      <c r="BP385" s="541"/>
      <c r="BQ385" s="633"/>
      <c r="BR385" s="541"/>
      <c r="BS385" s="541"/>
      <c r="BT385" s="541"/>
      <c r="BU385" s="541"/>
    </row>
    <row r="386" ht="15.75" customHeight="1">
      <c r="A386" s="1591"/>
      <c r="B386" s="1591"/>
      <c r="C386" s="2217"/>
      <c r="D386" s="1541"/>
      <c r="E386" s="906"/>
      <c r="F386" s="1545"/>
      <c r="G386" s="2250"/>
      <c r="H386" s="1545"/>
      <c r="I386" s="2250"/>
      <c r="J386" s="1545"/>
      <c r="K386" s="2250"/>
      <c r="L386" s="1545"/>
      <c r="M386" s="2250"/>
      <c r="N386" s="1545"/>
      <c r="O386" s="2250"/>
      <c r="P386" s="1545"/>
      <c r="Q386" s="2250"/>
      <c r="R386" s="1545"/>
      <c r="S386" s="684"/>
      <c r="T386" s="1545"/>
      <c r="U386" s="684"/>
      <c r="V386" s="1545"/>
      <c r="W386" s="684"/>
      <c r="X386" s="1545"/>
      <c r="Y386" s="1545"/>
      <c r="Z386" s="1545"/>
      <c r="AA386" s="684"/>
      <c r="AB386" s="1545"/>
      <c r="AC386" s="684"/>
      <c r="AD386" s="684"/>
      <c r="AE386" s="684"/>
      <c r="AF386" s="684"/>
      <c r="AG386" s="684"/>
      <c r="AH386" s="684"/>
      <c r="AI386" s="684"/>
      <c r="AJ386" s="684"/>
      <c r="AK386" s="684"/>
      <c r="AL386" s="684"/>
      <c r="AM386" s="684"/>
      <c r="AN386" s="1545"/>
      <c r="AO386" s="1545"/>
      <c r="AP386" s="1545"/>
      <c r="AQ386" s="1545"/>
      <c r="AR386" s="1545"/>
      <c r="AS386" s="684"/>
      <c r="AT386" s="684"/>
      <c r="AU386" s="684"/>
      <c r="AV386" s="684"/>
      <c r="AW386" s="684"/>
      <c r="AX386" s="677"/>
      <c r="AY386" s="684"/>
      <c r="AZ386" s="683"/>
      <c r="BA386" s="684"/>
      <c r="BB386" s="13"/>
      <c r="BC386" s="684"/>
      <c r="BD386" s="13"/>
      <c r="BE386" s="684"/>
      <c r="BF386" s="13"/>
      <c r="BG386" s="684"/>
      <c r="BH386" s="13"/>
      <c r="BI386" s="684"/>
      <c r="BJ386" s="13"/>
      <c r="BK386" s="684"/>
      <c r="BL386" s="684"/>
      <c r="BM386" s="684"/>
      <c r="BN386" s="677"/>
      <c r="BO386" s="677"/>
      <c r="BP386" s="541"/>
      <c r="BQ386" s="633"/>
      <c r="BR386" s="541"/>
      <c r="BS386" s="541"/>
      <c r="BT386" s="541"/>
      <c r="BU386" s="541"/>
    </row>
    <row r="387" ht="15.75" customHeight="1">
      <c r="A387" s="1591"/>
      <c r="B387" s="1591"/>
      <c r="C387" s="2217"/>
      <c r="D387" s="1541"/>
      <c r="E387" s="906"/>
      <c r="F387" s="1545"/>
      <c r="G387" s="2250"/>
      <c r="H387" s="1545"/>
      <c r="I387" s="2250"/>
      <c r="J387" s="1545"/>
      <c r="K387" s="2250"/>
      <c r="L387" s="1545"/>
      <c r="M387" s="2250"/>
      <c r="N387" s="1545"/>
      <c r="O387" s="2250"/>
      <c r="P387" s="1545"/>
      <c r="Q387" s="2250"/>
      <c r="R387" s="1545"/>
      <c r="S387" s="684"/>
      <c r="T387" s="1545"/>
      <c r="U387" s="684"/>
      <c r="V387" s="1545"/>
      <c r="W387" s="684"/>
      <c r="X387" s="1545"/>
      <c r="Y387" s="1545"/>
      <c r="Z387" s="1545"/>
      <c r="AA387" s="684"/>
      <c r="AB387" s="1545"/>
      <c r="AC387" s="684"/>
      <c r="AD387" s="684"/>
      <c r="AE387" s="684"/>
      <c r="AF387" s="684"/>
      <c r="AG387" s="684"/>
      <c r="AH387" s="684"/>
      <c r="AI387" s="684"/>
      <c r="AJ387" s="684"/>
      <c r="AK387" s="684"/>
      <c r="AL387" s="684"/>
      <c r="AM387" s="684"/>
      <c r="AN387" s="1545"/>
      <c r="AO387" s="1545"/>
      <c r="AP387" s="1545"/>
      <c r="AQ387" s="1545"/>
      <c r="AR387" s="1545"/>
      <c r="AS387" s="684"/>
      <c r="AT387" s="684"/>
      <c r="AU387" s="684"/>
      <c r="AV387" s="684"/>
      <c r="AW387" s="684"/>
      <c r="AX387" s="677"/>
      <c r="AY387" s="684"/>
      <c r="AZ387" s="683"/>
      <c r="BA387" s="684"/>
      <c r="BB387" s="13"/>
      <c r="BC387" s="684"/>
      <c r="BD387" s="13"/>
      <c r="BE387" s="684"/>
      <c r="BF387" s="13"/>
      <c r="BG387" s="684"/>
      <c r="BH387" s="13"/>
      <c r="BI387" s="684"/>
      <c r="BJ387" s="13"/>
      <c r="BK387" s="684"/>
      <c r="BL387" s="684"/>
      <c r="BM387" s="684"/>
      <c r="BN387" s="677"/>
      <c r="BO387" s="677"/>
      <c r="BP387" s="541"/>
      <c r="BQ387" s="633"/>
      <c r="BR387" s="541"/>
      <c r="BS387" s="541"/>
      <c r="BT387" s="541"/>
      <c r="BU387" s="541"/>
    </row>
    <row r="388" ht="15.75" customHeight="1">
      <c r="A388" s="1591"/>
      <c r="B388" s="1591"/>
      <c r="C388" s="2217"/>
      <c r="D388" s="1541"/>
      <c r="E388" s="906"/>
      <c r="F388" s="1545"/>
      <c r="G388" s="2250"/>
      <c r="H388" s="1545"/>
      <c r="I388" s="2250"/>
      <c r="J388" s="1545"/>
      <c r="K388" s="2250"/>
      <c r="L388" s="1545"/>
      <c r="M388" s="2250"/>
      <c r="N388" s="1545"/>
      <c r="O388" s="2250"/>
      <c r="P388" s="1545"/>
      <c r="Q388" s="2250"/>
      <c r="R388" s="1545"/>
      <c r="S388" s="684"/>
      <c r="T388" s="1545"/>
      <c r="U388" s="684"/>
      <c r="V388" s="1545"/>
      <c r="W388" s="684"/>
      <c r="X388" s="1545"/>
      <c r="Y388" s="1545"/>
      <c r="Z388" s="1545"/>
      <c r="AA388" s="684"/>
      <c r="AB388" s="1545"/>
      <c r="AC388" s="684"/>
      <c r="AD388" s="684"/>
      <c r="AE388" s="684"/>
      <c r="AF388" s="684"/>
      <c r="AG388" s="684"/>
      <c r="AH388" s="684"/>
      <c r="AI388" s="684"/>
      <c r="AJ388" s="684"/>
      <c r="AK388" s="684"/>
      <c r="AL388" s="684"/>
      <c r="AM388" s="684"/>
      <c r="AN388" s="1545"/>
      <c r="AO388" s="1545"/>
      <c r="AP388" s="1545"/>
      <c r="AQ388" s="1545"/>
      <c r="AR388" s="1545"/>
      <c r="AS388" s="684"/>
      <c r="AT388" s="684"/>
      <c r="AU388" s="684"/>
      <c r="AV388" s="684"/>
      <c r="AW388" s="684"/>
      <c r="AX388" s="677"/>
      <c r="AY388" s="684"/>
      <c r="AZ388" s="683"/>
      <c r="BA388" s="684"/>
      <c r="BB388" s="13"/>
      <c r="BC388" s="684"/>
      <c r="BD388" s="13"/>
      <c r="BE388" s="684"/>
      <c r="BF388" s="13"/>
      <c r="BG388" s="684"/>
      <c r="BH388" s="13"/>
      <c r="BI388" s="684"/>
      <c r="BJ388" s="13"/>
      <c r="BK388" s="684"/>
      <c r="BL388" s="684"/>
      <c r="BM388" s="684"/>
      <c r="BN388" s="677"/>
      <c r="BO388" s="677"/>
      <c r="BP388" s="541"/>
      <c r="BQ388" s="633"/>
      <c r="BR388" s="541"/>
      <c r="BS388" s="541"/>
      <c r="BT388" s="541"/>
      <c r="BU388" s="541"/>
    </row>
    <row r="389" ht="15.75" customHeight="1">
      <c r="A389" s="1591"/>
      <c r="B389" s="1591"/>
      <c r="C389" s="2217"/>
      <c r="D389" s="1541"/>
      <c r="E389" s="906"/>
      <c r="F389" s="1545"/>
      <c r="G389" s="2250"/>
      <c r="H389" s="1545"/>
      <c r="I389" s="2250"/>
      <c r="J389" s="1545"/>
      <c r="K389" s="2250"/>
      <c r="L389" s="1545"/>
      <c r="M389" s="2250"/>
      <c r="N389" s="1545"/>
      <c r="O389" s="2250"/>
      <c r="P389" s="1545"/>
      <c r="Q389" s="2250"/>
      <c r="R389" s="1545"/>
      <c r="S389" s="684"/>
      <c r="T389" s="1545"/>
      <c r="U389" s="684"/>
      <c r="V389" s="1545"/>
      <c r="W389" s="684"/>
      <c r="X389" s="1545"/>
      <c r="Y389" s="1545"/>
      <c r="Z389" s="1545"/>
      <c r="AA389" s="684"/>
      <c r="AB389" s="1545"/>
      <c r="AC389" s="684"/>
      <c r="AD389" s="684"/>
      <c r="AE389" s="684"/>
      <c r="AF389" s="684"/>
      <c r="AG389" s="684"/>
      <c r="AH389" s="684"/>
      <c r="AI389" s="684"/>
      <c r="AJ389" s="684"/>
      <c r="AK389" s="684"/>
      <c r="AL389" s="684"/>
      <c r="AM389" s="684"/>
      <c r="AN389" s="1545"/>
      <c r="AO389" s="1545"/>
      <c r="AP389" s="1545"/>
      <c r="AQ389" s="1545"/>
      <c r="AR389" s="1545"/>
      <c r="AS389" s="684"/>
      <c r="AT389" s="684"/>
      <c r="AU389" s="684"/>
      <c r="AV389" s="684"/>
      <c r="AW389" s="684"/>
      <c r="AX389" s="677"/>
      <c r="AY389" s="684"/>
      <c r="AZ389" s="683"/>
      <c r="BA389" s="684"/>
      <c r="BB389" s="13"/>
      <c r="BC389" s="684"/>
      <c r="BD389" s="13"/>
      <c r="BE389" s="684"/>
      <c r="BF389" s="13"/>
      <c r="BG389" s="684"/>
      <c r="BH389" s="13"/>
      <c r="BI389" s="684"/>
      <c r="BJ389" s="13"/>
      <c r="BK389" s="684"/>
      <c r="BL389" s="684"/>
      <c r="BM389" s="684"/>
      <c r="BN389" s="677"/>
      <c r="BO389" s="677"/>
      <c r="BP389" s="541"/>
      <c r="BQ389" s="633"/>
      <c r="BR389" s="541"/>
      <c r="BS389" s="541"/>
      <c r="BT389" s="541"/>
      <c r="BU389" s="541"/>
    </row>
    <row r="390" ht="15.75" customHeight="1">
      <c r="A390" s="1591"/>
      <c r="B390" s="1591"/>
      <c r="C390" s="2217"/>
      <c r="D390" s="1541"/>
      <c r="E390" s="906"/>
      <c r="F390" s="1545"/>
      <c r="G390" s="2250"/>
      <c r="H390" s="1545"/>
      <c r="I390" s="2250"/>
      <c r="J390" s="1545"/>
      <c r="K390" s="2250"/>
      <c r="L390" s="1545"/>
      <c r="M390" s="2250"/>
      <c r="N390" s="1545"/>
      <c r="O390" s="2250"/>
      <c r="P390" s="1545"/>
      <c r="Q390" s="2250"/>
      <c r="R390" s="1545"/>
      <c r="S390" s="684"/>
      <c r="T390" s="1545"/>
      <c r="U390" s="684"/>
      <c r="V390" s="1545"/>
      <c r="W390" s="684"/>
      <c r="X390" s="1545"/>
      <c r="Y390" s="1545"/>
      <c r="Z390" s="1545"/>
      <c r="AA390" s="684"/>
      <c r="AB390" s="1545"/>
      <c r="AC390" s="684"/>
      <c r="AD390" s="684"/>
      <c r="AE390" s="684"/>
      <c r="AF390" s="684"/>
      <c r="AG390" s="684"/>
      <c r="AH390" s="684"/>
      <c r="AI390" s="684"/>
      <c r="AJ390" s="684"/>
      <c r="AK390" s="684"/>
      <c r="AL390" s="684"/>
      <c r="AM390" s="684"/>
      <c r="AN390" s="1545"/>
      <c r="AO390" s="1545"/>
      <c r="AP390" s="1545"/>
      <c r="AQ390" s="1545"/>
      <c r="AR390" s="1545"/>
      <c r="AS390" s="684"/>
      <c r="AT390" s="684"/>
      <c r="AU390" s="684"/>
      <c r="AV390" s="684"/>
      <c r="AW390" s="684"/>
      <c r="AX390" s="677"/>
      <c r="AY390" s="684"/>
      <c r="AZ390" s="683"/>
      <c r="BA390" s="684"/>
      <c r="BB390" s="13"/>
      <c r="BC390" s="684"/>
      <c r="BD390" s="13"/>
      <c r="BE390" s="684"/>
      <c r="BF390" s="13"/>
      <c r="BG390" s="684"/>
      <c r="BH390" s="13"/>
      <c r="BI390" s="684"/>
      <c r="BJ390" s="13"/>
      <c r="BK390" s="684"/>
      <c r="BL390" s="684"/>
      <c r="BM390" s="684"/>
      <c r="BN390" s="677"/>
      <c r="BO390" s="677"/>
      <c r="BP390" s="541"/>
      <c r="BQ390" s="633"/>
      <c r="BR390" s="541"/>
      <c r="BS390" s="541"/>
      <c r="BT390" s="541"/>
      <c r="BU390" s="541"/>
    </row>
    <row r="391" ht="15.75" customHeight="1">
      <c r="A391" s="1591"/>
      <c r="B391" s="1591"/>
      <c r="C391" s="2217"/>
      <c r="D391" s="1541"/>
      <c r="E391" s="906"/>
      <c r="F391" s="1545"/>
      <c r="G391" s="2250"/>
      <c r="H391" s="1545"/>
      <c r="I391" s="2250"/>
      <c r="J391" s="1545"/>
      <c r="K391" s="2250"/>
      <c r="L391" s="1545"/>
      <c r="M391" s="2250"/>
      <c r="N391" s="1545"/>
      <c r="O391" s="2250"/>
      <c r="P391" s="1545"/>
      <c r="Q391" s="2250"/>
      <c r="R391" s="1545"/>
      <c r="S391" s="684"/>
      <c r="T391" s="1545"/>
      <c r="U391" s="684"/>
      <c r="V391" s="1545"/>
      <c r="W391" s="684"/>
      <c r="X391" s="1545"/>
      <c r="Y391" s="1545"/>
      <c r="Z391" s="1545"/>
      <c r="AA391" s="684"/>
      <c r="AB391" s="1545"/>
      <c r="AC391" s="684"/>
      <c r="AD391" s="684"/>
      <c r="AE391" s="684"/>
      <c r="AF391" s="684"/>
      <c r="AG391" s="684"/>
      <c r="AH391" s="684"/>
      <c r="AI391" s="684"/>
      <c r="AJ391" s="684"/>
      <c r="AK391" s="684"/>
      <c r="AL391" s="684"/>
      <c r="AM391" s="684"/>
      <c r="AN391" s="1545"/>
      <c r="AO391" s="1545"/>
      <c r="AP391" s="1545"/>
      <c r="AQ391" s="1545"/>
      <c r="AR391" s="1545"/>
      <c r="AS391" s="684"/>
      <c r="AT391" s="684"/>
      <c r="AU391" s="684"/>
      <c r="AV391" s="684"/>
      <c r="AW391" s="684"/>
      <c r="AX391" s="677"/>
      <c r="AY391" s="684"/>
      <c r="AZ391" s="683"/>
      <c r="BA391" s="684"/>
      <c r="BB391" s="13"/>
      <c r="BC391" s="684"/>
      <c r="BD391" s="13"/>
      <c r="BE391" s="684"/>
      <c r="BF391" s="13"/>
      <c r="BG391" s="684"/>
      <c r="BH391" s="13"/>
      <c r="BI391" s="684"/>
      <c r="BJ391" s="13"/>
      <c r="BK391" s="684"/>
      <c r="BL391" s="684"/>
      <c r="BM391" s="684"/>
      <c r="BN391" s="677"/>
      <c r="BO391" s="677"/>
      <c r="BP391" s="541"/>
      <c r="BQ391" s="633"/>
      <c r="BR391" s="541"/>
      <c r="BS391" s="541"/>
      <c r="BT391" s="541"/>
      <c r="BU391" s="541"/>
    </row>
    <row r="392" ht="15.75" customHeight="1">
      <c r="A392" s="1591"/>
      <c r="B392" s="1591"/>
      <c r="C392" s="2217"/>
      <c r="D392" s="1541"/>
      <c r="E392" s="906"/>
      <c r="F392" s="1545"/>
      <c r="G392" s="2250"/>
      <c r="H392" s="1545"/>
      <c r="I392" s="2250"/>
      <c r="J392" s="1545"/>
      <c r="K392" s="2250"/>
      <c r="L392" s="1545"/>
      <c r="M392" s="2250"/>
      <c r="N392" s="1545"/>
      <c r="O392" s="2250"/>
      <c r="P392" s="1545"/>
      <c r="Q392" s="2250"/>
      <c r="R392" s="1545"/>
      <c r="S392" s="684"/>
      <c r="T392" s="1545"/>
      <c r="U392" s="684"/>
      <c r="V392" s="1545"/>
      <c r="W392" s="684"/>
      <c r="X392" s="1545"/>
      <c r="Y392" s="1545"/>
      <c r="Z392" s="1545"/>
      <c r="AA392" s="684"/>
      <c r="AB392" s="1545"/>
      <c r="AC392" s="684"/>
      <c r="AD392" s="684"/>
      <c r="AE392" s="684"/>
      <c r="AF392" s="684"/>
      <c r="AG392" s="684"/>
      <c r="AH392" s="684"/>
      <c r="AI392" s="684"/>
      <c r="AJ392" s="684"/>
      <c r="AK392" s="684"/>
      <c r="AL392" s="684"/>
      <c r="AM392" s="684"/>
      <c r="AN392" s="1545"/>
      <c r="AO392" s="1545"/>
      <c r="AP392" s="1545"/>
      <c r="AQ392" s="1545"/>
      <c r="AR392" s="1545"/>
      <c r="AS392" s="684"/>
      <c r="AT392" s="684"/>
      <c r="AU392" s="684"/>
      <c r="AV392" s="684"/>
      <c r="AW392" s="684"/>
      <c r="AX392" s="677"/>
      <c r="AY392" s="684"/>
      <c r="AZ392" s="683"/>
      <c r="BA392" s="684"/>
      <c r="BB392" s="13"/>
      <c r="BC392" s="684"/>
      <c r="BD392" s="13"/>
      <c r="BE392" s="684"/>
      <c r="BF392" s="13"/>
      <c r="BG392" s="684"/>
      <c r="BH392" s="13"/>
      <c r="BI392" s="684"/>
      <c r="BJ392" s="13"/>
      <c r="BK392" s="684"/>
      <c r="BL392" s="684"/>
      <c r="BM392" s="684"/>
      <c r="BN392" s="677"/>
      <c r="BO392" s="677"/>
      <c r="BP392" s="541"/>
      <c r="BQ392" s="633"/>
      <c r="BR392" s="541"/>
      <c r="BS392" s="541"/>
      <c r="BT392" s="541"/>
      <c r="BU392" s="541"/>
    </row>
    <row r="393" ht="15.75" customHeight="1">
      <c r="A393" s="1591"/>
      <c r="B393" s="1591"/>
      <c r="C393" s="2217"/>
      <c r="D393" s="1541"/>
      <c r="E393" s="906"/>
      <c r="F393" s="1545"/>
      <c r="G393" s="2250"/>
      <c r="H393" s="1545"/>
      <c r="I393" s="2250"/>
      <c r="J393" s="1545"/>
      <c r="K393" s="2250"/>
      <c r="L393" s="1545"/>
      <c r="M393" s="2250"/>
      <c r="N393" s="1545"/>
      <c r="O393" s="2250"/>
      <c r="P393" s="1545"/>
      <c r="Q393" s="2250"/>
      <c r="R393" s="1545"/>
      <c r="S393" s="684"/>
      <c r="T393" s="1545"/>
      <c r="U393" s="684"/>
      <c r="V393" s="1545"/>
      <c r="W393" s="684"/>
      <c r="X393" s="1545"/>
      <c r="Y393" s="1545"/>
      <c r="Z393" s="1545"/>
      <c r="AA393" s="684"/>
      <c r="AB393" s="1545"/>
      <c r="AC393" s="684"/>
      <c r="AD393" s="684"/>
      <c r="AE393" s="684"/>
      <c r="AF393" s="684"/>
      <c r="AG393" s="684"/>
      <c r="AH393" s="684"/>
      <c r="AI393" s="684"/>
      <c r="AJ393" s="684"/>
      <c r="AK393" s="684"/>
      <c r="AL393" s="684"/>
      <c r="AM393" s="684"/>
      <c r="AN393" s="1545"/>
      <c r="AO393" s="1545"/>
      <c r="AP393" s="1545"/>
      <c r="AQ393" s="1545"/>
      <c r="AR393" s="1545"/>
      <c r="AS393" s="684"/>
      <c r="AT393" s="684"/>
      <c r="AU393" s="684"/>
      <c r="AV393" s="684"/>
      <c r="AW393" s="684"/>
      <c r="AX393" s="677"/>
      <c r="AY393" s="684"/>
      <c r="AZ393" s="683"/>
      <c r="BA393" s="684"/>
      <c r="BB393" s="13"/>
      <c r="BC393" s="684"/>
      <c r="BD393" s="13"/>
      <c r="BE393" s="684"/>
      <c r="BF393" s="13"/>
      <c r="BG393" s="684"/>
      <c r="BH393" s="13"/>
      <c r="BI393" s="684"/>
      <c r="BJ393" s="13"/>
      <c r="BK393" s="684"/>
      <c r="BL393" s="684"/>
      <c r="BM393" s="684"/>
      <c r="BN393" s="677"/>
      <c r="BO393" s="677"/>
      <c r="BP393" s="541"/>
      <c r="BQ393" s="633"/>
      <c r="BR393" s="541"/>
      <c r="BS393" s="541"/>
      <c r="BT393" s="541"/>
      <c r="BU393" s="541"/>
    </row>
    <row r="394" ht="15.75" customHeight="1">
      <c r="A394" s="1591"/>
      <c r="B394" s="1591"/>
      <c r="C394" s="2217"/>
      <c r="D394" s="1541"/>
      <c r="E394" s="906"/>
      <c r="F394" s="1545"/>
      <c r="G394" s="2250"/>
      <c r="H394" s="1545"/>
      <c r="I394" s="2250"/>
      <c r="J394" s="1545"/>
      <c r="K394" s="2250"/>
      <c r="L394" s="1545"/>
      <c r="M394" s="2250"/>
      <c r="N394" s="1545"/>
      <c r="O394" s="2250"/>
      <c r="P394" s="1545"/>
      <c r="Q394" s="2250"/>
      <c r="R394" s="1545"/>
      <c r="S394" s="684"/>
      <c r="T394" s="1545"/>
      <c r="U394" s="684"/>
      <c r="V394" s="1545"/>
      <c r="W394" s="684"/>
      <c r="X394" s="1545"/>
      <c r="Y394" s="1545"/>
      <c r="Z394" s="1545"/>
      <c r="AA394" s="684"/>
      <c r="AB394" s="1545"/>
      <c r="AC394" s="684"/>
      <c r="AD394" s="684"/>
      <c r="AE394" s="684"/>
      <c r="AF394" s="684"/>
      <c r="AG394" s="684"/>
      <c r="AH394" s="684"/>
      <c r="AI394" s="684"/>
      <c r="AJ394" s="684"/>
      <c r="AK394" s="684"/>
      <c r="AL394" s="684"/>
      <c r="AM394" s="684"/>
      <c r="AN394" s="1545"/>
      <c r="AO394" s="1545"/>
      <c r="AP394" s="1545"/>
      <c r="AQ394" s="1545"/>
      <c r="AR394" s="1545"/>
      <c r="AS394" s="684"/>
      <c r="AT394" s="684"/>
      <c r="AU394" s="684"/>
      <c r="AV394" s="684"/>
      <c r="AW394" s="684"/>
      <c r="AX394" s="677"/>
      <c r="AY394" s="684"/>
      <c r="AZ394" s="683"/>
      <c r="BA394" s="684"/>
      <c r="BB394" s="13"/>
      <c r="BC394" s="684"/>
      <c r="BD394" s="13"/>
      <c r="BE394" s="684"/>
      <c r="BF394" s="13"/>
      <c r="BG394" s="684"/>
      <c r="BH394" s="13"/>
      <c r="BI394" s="684"/>
      <c r="BJ394" s="13"/>
      <c r="BK394" s="684"/>
      <c r="BL394" s="684"/>
      <c r="BM394" s="684"/>
      <c r="BN394" s="677"/>
      <c r="BO394" s="677"/>
      <c r="BP394" s="541"/>
      <c r="BQ394" s="633"/>
      <c r="BR394" s="541"/>
      <c r="BS394" s="541"/>
      <c r="BT394" s="541"/>
      <c r="BU394" s="541"/>
    </row>
    <row r="395" ht="15.75" customHeight="1">
      <c r="A395" s="1591"/>
      <c r="B395" s="1591"/>
      <c r="C395" s="2217"/>
      <c r="D395" s="1541"/>
      <c r="E395" s="906"/>
      <c r="F395" s="1545"/>
      <c r="G395" s="2250"/>
      <c r="H395" s="1545"/>
      <c r="I395" s="2250"/>
      <c r="J395" s="1545"/>
      <c r="K395" s="2250"/>
      <c r="L395" s="1545"/>
      <c r="M395" s="2250"/>
      <c r="N395" s="1545"/>
      <c r="O395" s="2250"/>
      <c r="P395" s="1545"/>
      <c r="Q395" s="2250"/>
      <c r="R395" s="1545"/>
      <c r="S395" s="684"/>
      <c r="T395" s="1545"/>
      <c r="U395" s="684"/>
      <c r="V395" s="1545"/>
      <c r="W395" s="684"/>
      <c r="X395" s="1545"/>
      <c r="Y395" s="1545"/>
      <c r="Z395" s="1545"/>
      <c r="AA395" s="684"/>
      <c r="AB395" s="1545"/>
      <c r="AC395" s="684"/>
      <c r="AD395" s="684"/>
      <c r="AE395" s="684"/>
      <c r="AF395" s="684"/>
      <c r="AG395" s="684"/>
      <c r="AH395" s="684"/>
      <c r="AI395" s="684"/>
      <c r="AJ395" s="684"/>
      <c r="AK395" s="684"/>
      <c r="AL395" s="684"/>
      <c r="AM395" s="684"/>
      <c r="AN395" s="1545"/>
      <c r="AO395" s="1545"/>
      <c r="AP395" s="1545"/>
      <c r="AQ395" s="1545"/>
      <c r="AR395" s="1545"/>
      <c r="AS395" s="684"/>
      <c r="AT395" s="684"/>
      <c r="AU395" s="684"/>
      <c r="AV395" s="684"/>
      <c r="AW395" s="684"/>
      <c r="AX395" s="677"/>
      <c r="AY395" s="684"/>
      <c r="AZ395" s="683"/>
      <c r="BA395" s="684"/>
      <c r="BB395" s="13"/>
      <c r="BC395" s="684"/>
      <c r="BD395" s="13"/>
      <c r="BE395" s="684"/>
      <c r="BF395" s="13"/>
      <c r="BG395" s="684"/>
      <c r="BH395" s="13"/>
      <c r="BI395" s="684"/>
      <c r="BJ395" s="13"/>
      <c r="BK395" s="684"/>
      <c r="BL395" s="684"/>
      <c r="BM395" s="684"/>
      <c r="BN395" s="677"/>
      <c r="BO395" s="677"/>
      <c r="BP395" s="541"/>
      <c r="BQ395" s="633"/>
      <c r="BR395" s="541"/>
      <c r="BS395" s="541"/>
      <c r="BT395" s="541"/>
      <c r="BU395" s="541"/>
    </row>
    <row r="396" ht="15.75" customHeight="1">
      <c r="A396" s="1591"/>
      <c r="B396" s="1591"/>
      <c r="C396" s="2217"/>
      <c r="D396" s="1541"/>
      <c r="E396" s="906"/>
      <c r="F396" s="1545"/>
      <c r="G396" s="2250"/>
      <c r="H396" s="1545"/>
      <c r="I396" s="2250"/>
      <c r="J396" s="1545"/>
      <c r="K396" s="2250"/>
      <c r="L396" s="1545"/>
      <c r="M396" s="2250"/>
      <c r="N396" s="1545"/>
      <c r="O396" s="2250"/>
      <c r="P396" s="1545"/>
      <c r="Q396" s="2250"/>
      <c r="R396" s="1545"/>
      <c r="S396" s="684"/>
      <c r="T396" s="1545"/>
      <c r="U396" s="684"/>
      <c r="V396" s="1545"/>
      <c r="W396" s="684"/>
      <c r="X396" s="1545"/>
      <c r="Y396" s="1545"/>
      <c r="Z396" s="1545"/>
      <c r="AA396" s="684"/>
      <c r="AB396" s="1545"/>
      <c r="AC396" s="684"/>
      <c r="AD396" s="684"/>
      <c r="AE396" s="684"/>
      <c r="AF396" s="684"/>
      <c r="AG396" s="684"/>
      <c r="AH396" s="684"/>
      <c r="AI396" s="684"/>
      <c r="AJ396" s="684"/>
      <c r="AK396" s="684"/>
      <c r="AL396" s="684"/>
      <c r="AM396" s="684"/>
      <c r="AN396" s="1545"/>
      <c r="AO396" s="1545"/>
      <c r="AP396" s="1545"/>
      <c r="AQ396" s="1545"/>
      <c r="AR396" s="1545"/>
      <c r="AS396" s="684"/>
      <c r="AT396" s="684"/>
      <c r="AU396" s="684"/>
      <c r="AV396" s="684"/>
      <c r="AW396" s="684"/>
      <c r="AX396" s="677"/>
      <c r="AY396" s="684"/>
      <c r="AZ396" s="683"/>
      <c r="BA396" s="684"/>
      <c r="BB396" s="13"/>
      <c r="BC396" s="684"/>
      <c r="BD396" s="13"/>
      <c r="BE396" s="684"/>
      <c r="BF396" s="13"/>
      <c r="BG396" s="684"/>
      <c r="BH396" s="13"/>
      <c r="BI396" s="684"/>
      <c r="BJ396" s="13"/>
      <c r="BK396" s="684"/>
      <c r="BL396" s="684"/>
      <c r="BM396" s="684"/>
      <c r="BN396" s="677"/>
      <c r="BO396" s="677"/>
      <c r="BP396" s="541"/>
      <c r="BQ396" s="633"/>
      <c r="BR396" s="541"/>
      <c r="BS396" s="541"/>
      <c r="BT396" s="541"/>
      <c r="BU396" s="541"/>
    </row>
    <row r="397" ht="15.75" customHeight="1">
      <c r="A397" s="1591"/>
      <c r="B397" s="1591"/>
      <c r="C397" s="2217"/>
      <c r="D397" s="1541"/>
      <c r="E397" s="906"/>
      <c r="F397" s="1545"/>
      <c r="G397" s="2250"/>
      <c r="H397" s="1545"/>
      <c r="I397" s="2250"/>
      <c r="J397" s="1545"/>
      <c r="K397" s="2250"/>
      <c r="L397" s="1545"/>
      <c r="M397" s="2250"/>
      <c r="N397" s="1545"/>
      <c r="O397" s="2250"/>
      <c r="P397" s="1545"/>
      <c r="Q397" s="2250"/>
      <c r="R397" s="1545"/>
      <c r="S397" s="684"/>
      <c r="T397" s="1545"/>
      <c r="U397" s="684"/>
      <c r="V397" s="1545"/>
      <c r="W397" s="684"/>
      <c r="X397" s="1545"/>
      <c r="Y397" s="1545"/>
      <c r="Z397" s="1545"/>
      <c r="AA397" s="684"/>
      <c r="AB397" s="1545"/>
      <c r="AC397" s="684"/>
      <c r="AD397" s="684"/>
      <c r="AE397" s="684"/>
      <c r="AF397" s="684"/>
      <c r="AG397" s="684"/>
      <c r="AH397" s="684"/>
      <c r="AI397" s="684"/>
      <c r="AJ397" s="684"/>
      <c r="AK397" s="684"/>
      <c r="AL397" s="684"/>
      <c r="AM397" s="684"/>
      <c r="AN397" s="1545"/>
      <c r="AO397" s="1545"/>
      <c r="AP397" s="1545"/>
      <c r="AQ397" s="1545"/>
      <c r="AR397" s="1545"/>
      <c r="AS397" s="684"/>
      <c r="AT397" s="684"/>
      <c r="AU397" s="684"/>
      <c r="AV397" s="684"/>
      <c r="AW397" s="684"/>
      <c r="AX397" s="677"/>
      <c r="AY397" s="684"/>
      <c r="AZ397" s="683"/>
      <c r="BA397" s="684"/>
      <c r="BB397" s="13"/>
      <c r="BC397" s="684"/>
      <c r="BD397" s="13"/>
      <c r="BE397" s="684"/>
      <c r="BF397" s="13"/>
      <c r="BG397" s="684"/>
      <c r="BH397" s="13"/>
      <c r="BI397" s="684"/>
      <c r="BJ397" s="13"/>
      <c r="BK397" s="684"/>
      <c r="BL397" s="684"/>
      <c r="BM397" s="684"/>
      <c r="BN397" s="677"/>
      <c r="BO397" s="677"/>
      <c r="BP397" s="541"/>
      <c r="BQ397" s="633"/>
      <c r="BR397" s="541"/>
      <c r="BS397" s="541"/>
      <c r="BT397" s="541"/>
      <c r="BU397" s="541"/>
    </row>
    <row r="398" ht="15.75" customHeight="1">
      <c r="A398" s="1591"/>
      <c r="B398" s="1591"/>
      <c r="C398" s="2217"/>
      <c r="D398" s="1541"/>
      <c r="E398" s="906"/>
      <c r="F398" s="1545"/>
      <c r="G398" s="2250"/>
      <c r="H398" s="1545"/>
      <c r="I398" s="2250"/>
      <c r="J398" s="1545"/>
      <c r="K398" s="2250"/>
      <c r="L398" s="1545"/>
      <c r="M398" s="2250"/>
      <c r="N398" s="1545"/>
      <c r="O398" s="2250"/>
      <c r="P398" s="1545"/>
      <c r="Q398" s="2250"/>
      <c r="R398" s="1545"/>
      <c r="S398" s="684"/>
      <c r="T398" s="1545"/>
      <c r="U398" s="684"/>
      <c r="V398" s="1545"/>
      <c r="W398" s="684"/>
      <c r="X398" s="1545"/>
      <c r="Y398" s="1545"/>
      <c r="Z398" s="1545"/>
      <c r="AA398" s="684"/>
      <c r="AB398" s="1545"/>
      <c r="AC398" s="684"/>
      <c r="AD398" s="684"/>
      <c r="AE398" s="684"/>
      <c r="AF398" s="684"/>
      <c r="AG398" s="684"/>
      <c r="AH398" s="684"/>
      <c r="AI398" s="684"/>
      <c r="AJ398" s="684"/>
      <c r="AK398" s="684"/>
      <c r="AL398" s="684"/>
      <c r="AM398" s="684"/>
      <c r="AN398" s="1545"/>
      <c r="AO398" s="1545"/>
      <c r="AP398" s="1545"/>
      <c r="AQ398" s="1545"/>
      <c r="AR398" s="1545"/>
      <c r="AS398" s="684"/>
      <c r="AT398" s="684"/>
      <c r="AU398" s="684"/>
      <c r="AV398" s="684"/>
      <c r="AW398" s="684"/>
      <c r="AX398" s="677"/>
      <c r="AY398" s="684"/>
      <c r="AZ398" s="683"/>
      <c r="BA398" s="684"/>
      <c r="BB398" s="13"/>
      <c r="BC398" s="684"/>
      <c r="BD398" s="13"/>
      <c r="BE398" s="684"/>
      <c r="BF398" s="13"/>
      <c r="BG398" s="684"/>
      <c r="BH398" s="13"/>
      <c r="BI398" s="684"/>
      <c r="BJ398" s="13"/>
      <c r="BK398" s="684"/>
      <c r="BL398" s="684"/>
      <c r="BM398" s="684"/>
      <c r="BN398" s="677"/>
      <c r="BO398" s="677"/>
      <c r="BP398" s="541"/>
      <c r="BQ398" s="633"/>
      <c r="BR398" s="541"/>
      <c r="BS398" s="541"/>
      <c r="BT398" s="541"/>
      <c r="BU398" s="541"/>
    </row>
    <row r="399" ht="15.75" customHeight="1">
      <c r="A399" s="1591"/>
      <c r="B399" s="1591"/>
      <c r="C399" s="2217"/>
      <c r="D399" s="1541"/>
      <c r="E399" s="906"/>
      <c r="F399" s="1545"/>
      <c r="G399" s="2250"/>
      <c r="H399" s="1545"/>
      <c r="I399" s="2250"/>
      <c r="J399" s="1545"/>
      <c r="K399" s="2250"/>
      <c r="L399" s="1545"/>
      <c r="M399" s="2250"/>
      <c r="N399" s="1545"/>
      <c r="O399" s="2250"/>
      <c r="P399" s="1545"/>
      <c r="Q399" s="2250"/>
      <c r="R399" s="1545"/>
      <c r="S399" s="684"/>
      <c r="T399" s="1545"/>
      <c r="U399" s="684"/>
      <c r="V399" s="1545"/>
      <c r="W399" s="684"/>
      <c r="X399" s="1545"/>
      <c r="Y399" s="1545"/>
      <c r="Z399" s="1545"/>
      <c r="AA399" s="684"/>
      <c r="AB399" s="1545"/>
      <c r="AC399" s="684"/>
      <c r="AD399" s="684"/>
      <c r="AE399" s="684"/>
      <c r="AF399" s="684"/>
      <c r="AG399" s="684"/>
      <c r="AH399" s="684"/>
      <c r="AI399" s="684"/>
      <c r="AJ399" s="684"/>
      <c r="AK399" s="684"/>
      <c r="AL399" s="684"/>
      <c r="AM399" s="684"/>
      <c r="AN399" s="1545"/>
      <c r="AO399" s="1545"/>
      <c r="AP399" s="1545"/>
      <c r="AQ399" s="1545"/>
      <c r="AR399" s="1545"/>
      <c r="AS399" s="684"/>
      <c r="AT399" s="684"/>
      <c r="AU399" s="684"/>
      <c r="AV399" s="684"/>
      <c r="AW399" s="684"/>
      <c r="AX399" s="677"/>
      <c r="AY399" s="684"/>
      <c r="AZ399" s="683"/>
      <c r="BA399" s="684"/>
      <c r="BB399" s="13"/>
      <c r="BC399" s="684"/>
      <c r="BD399" s="13"/>
      <c r="BE399" s="684"/>
      <c r="BF399" s="13"/>
      <c r="BG399" s="684"/>
      <c r="BH399" s="13"/>
      <c r="BI399" s="684"/>
      <c r="BJ399" s="13"/>
      <c r="BK399" s="684"/>
      <c r="BL399" s="684"/>
      <c r="BM399" s="684"/>
      <c r="BN399" s="677"/>
      <c r="BO399" s="677"/>
      <c r="BP399" s="541"/>
      <c r="BQ399" s="633"/>
      <c r="BR399" s="541"/>
      <c r="BS399" s="541"/>
      <c r="BT399" s="541"/>
      <c r="BU399" s="541"/>
    </row>
    <row r="400" ht="15.75" customHeight="1">
      <c r="A400" s="1591"/>
      <c r="B400" s="1591"/>
      <c r="C400" s="2217"/>
      <c r="D400" s="1541"/>
      <c r="E400" s="906"/>
      <c r="F400" s="1545"/>
      <c r="G400" s="2250"/>
      <c r="H400" s="1545"/>
      <c r="I400" s="2250"/>
      <c r="J400" s="1545"/>
      <c r="K400" s="2250"/>
      <c r="L400" s="1545"/>
      <c r="M400" s="2250"/>
      <c r="N400" s="1545"/>
      <c r="O400" s="2250"/>
      <c r="P400" s="1545"/>
      <c r="Q400" s="2250"/>
      <c r="R400" s="1545"/>
      <c r="S400" s="684"/>
      <c r="T400" s="1545"/>
      <c r="U400" s="684"/>
      <c r="V400" s="1545"/>
      <c r="W400" s="684"/>
      <c r="X400" s="1545"/>
      <c r="Y400" s="1545"/>
      <c r="Z400" s="1545"/>
      <c r="AA400" s="684"/>
      <c r="AB400" s="1545"/>
      <c r="AC400" s="684"/>
      <c r="AD400" s="684"/>
      <c r="AE400" s="684"/>
      <c r="AF400" s="684"/>
      <c r="AG400" s="684"/>
      <c r="AH400" s="684"/>
      <c r="AI400" s="684"/>
      <c r="AJ400" s="684"/>
      <c r="AK400" s="684"/>
      <c r="AL400" s="684"/>
      <c r="AM400" s="684"/>
      <c r="AN400" s="1545"/>
      <c r="AO400" s="1545"/>
      <c r="AP400" s="1545"/>
      <c r="AQ400" s="1545"/>
      <c r="AR400" s="1545"/>
      <c r="AS400" s="684"/>
      <c r="AT400" s="684"/>
      <c r="AU400" s="684"/>
      <c r="AV400" s="684"/>
      <c r="AW400" s="684"/>
      <c r="AX400" s="677"/>
      <c r="AY400" s="684"/>
      <c r="AZ400" s="683"/>
      <c r="BA400" s="684"/>
      <c r="BB400" s="13"/>
      <c r="BC400" s="684"/>
      <c r="BD400" s="13"/>
      <c r="BE400" s="684"/>
      <c r="BF400" s="13"/>
      <c r="BG400" s="684"/>
      <c r="BH400" s="13"/>
      <c r="BI400" s="684"/>
      <c r="BJ400" s="13"/>
      <c r="BK400" s="684"/>
      <c r="BL400" s="684"/>
      <c r="BM400" s="684"/>
      <c r="BN400" s="677"/>
      <c r="BO400" s="677"/>
      <c r="BP400" s="541"/>
      <c r="BQ400" s="633"/>
      <c r="BR400" s="541"/>
      <c r="BS400" s="541"/>
      <c r="BT400" s="541"/>
      <c r="BU400" s="541"/>
    </row>
    <row r="401" ht="15.75" customHeight="1">
      <c r="A401" s="1591"/>
      <c r="B401" s="1591"/>
      <c r="C401" s="2217"/>
      <c r="D401" s="1541"/>
      <c r="E401" s="906"/>
      <c r="F401" s="1545"/>
      <c r="G401" s="2250"/>
      <c r="H401" s="1545"/>
      <c r="I401" s="2250"/>
      <c r="J401" s="1545"/>
      <c r="K401" s="2250"/>
      <c r="L401" s="1545"/>
      <c r="M401" s="2250"/>
      <c r="N401" s="1545"/>
      <c r="O401" s="2250"/>
      <c r="P401" s="1545"/>
      <c r="Q401" s="2250"/>
      <c r="R401" s="1545"/>
      <c r="S401" s="684"/>
      <c r="T401" s="1545"/>
      <c r="U401" s="684"/>
      <c r="V401" s="1545"/>
      <c r="W401" s="684"/>
      <c r="X401" s="1545"/>
      <c r="Y401" s="1545"/>
      <c r="Z401" s="1545"/>
      <c r="AA401" s="684"/>
      <c r="AB401" s="1545"/>
      <c r="AC401" s="684"/>
      <c r="AD401" s="684"/>
      <c r="AE401" s="684"/>
      <c r="AF401" s="684"/>
      <c r="AG401" s="684"/>
      <c r="AH401" s="684"/>
      <c r="AI401" s="684"/>
      <c r="AJ401" s="684"/>
      <c r="AK401" s="684"/>
      <c r="AL401" s="684"/>
      <c r="AM401" s="684"/>
      <c r="AN401" s="1545"/>
      <c r="AO401" s="1545"/>
      <c r="AP401" s="1545"/>
      <c r="AQ401" s="1545"/>
      <c r="AR401" s="1545"/>
      <c r="AS401" s="684"/>
      <c r="AT401" s="684"/>
      <c r="AU401" s="684"/>
      <c r="AV401" s="684"/>
      <c r="AW401" s="684"/>
      <c r="AX401" s="677"/>
      <c r="AY401" s="684"/>
      <c r="AZ401" s="683"/>
      <c r="BA401" s="684"/>
      <c r="BB401" s="13"/>
      <c r="BC401" s="684"/>
      <c r="BD401" s="13"/>
      <c r="BE401" s="684"/>
      <c r="BF401" s="13"/>
      <c r="BG401" s="684"/>
      <c r="BH401" s="13"/>
      <c r="BI401" s="684"/>
      <c r="BJ401" s="13"/>
      <c r="BK401" s="684"/>
      <c r="BL401" s="684"/>
      <c r="BM401" s="684"/>
      <c r="BN401" s="677"/>
      <c r="BO401" s="677"/>
      <c r="BP401" s="541"/>
      <c r="BQ401" s="633"/>
      <c r="BR401" s="541"/>
      <c r="BS401" s="541"/>
      <c r="BT401" s="541"/>
      <c r="BU401" s="541"/>
    </row>
    <row r="402" ht="15.75" customHeight="1">
      <c r="A402" s="1591"/>
      <c r="B402" s="1591"/>
      <c r="C402" s="2217"/>
      <c r="D402" s="1541"/>
      <c r="E402" s="906"/>
      <c r="F402" s="1545"/>
      <c r="G402" s="2250"/>
      <c r="H402" s="1545"/>
      <c r="I402" s="2250"/>
      <c r="J402" s="1545"/>
      <c r="K402" s="2250"/>
      <c r="L402" s="1545"/>
      <c r="M402" s="2250"/>
      <c r="N402" s="1545"/>
      <c r="O402" s="2250"/>
      <c r="P402" s="1545"/>
      <c r="Q402" s="2250"/>
      <c r="R402" s="1545"/>
      <c r="S402" s="684"/>
      <c r="T402" s="1545"/>
      <c r="U402" s="684"/>
      <c r="V402" s="1545"/>
      <c r="W402" s="684"/>
      <c r="X402" s="1545"/>
      <c r="Y402" s="1545"/>
      <c r="Z402" s="1545"/>
      <c r="AA402" s="684"/>
      <c r="AB402" s="1545"/>
      <c r="AC402" s="684"/>
      <c r="AD402" s="684"/>
      <c r="AE402" s="684"/>
      <c r="AF402" s="684"/>
      <c r="AG402" s="684"/>
      <c r="AH402" s="684"/>
      <c r="AI402" s="684"/>
      <c r="AJ402" s="684"/>
      <c r="AK402" s="684"/>
      <c r="AL402" s="684"/>
      <c r="AM402" s="684"/>
      <c r="AN402" s="1545"/>
      <c r="AO402" s="1545"/>
      <c r="AP402" s="1545"/>
      <c r="AQ402" s="1545"/>
      <c r="AR402" s="1545"/>
      <c r="AS402" s="684"/>
      <c r="AT402" s="684"/>
      <c r="AU402" s="684"/>
      <c r="AV402" s="684"/>
      <c r="AW402" s="684"/>
      <c r="AX402" s="677"/>
      <c r="AY402" s="684"/>
      <c r="AZ402" s="683"/>
      <c r="BA402" s="684"/>
      <c r="BB402" s="13"/>
      <c r="BC402" s="684"/>
      <c r="BD402" s="13"/>
      <c r="BE402" s="684"/>
      <c r="BF402" s="13"/>
      <c r="BG402" s="684"/>
      <c r="BH402" s="13"/>
      <c r="BI402" s="684"/>
      <c r="BJ402" s="13"/>
      <c r="BK402" s="684"/>
      <c r="BL402" s="684"/>
      <c r="BM402" s="684"/>
      <c r="BN402" s="677"/>
      <c r="BO402" s="677"/>
      <c r="BP402" s="541"/>
      <c r="BQ402" s="633"/>
      <c r="BR402" s="541"/>
      <c r="BS402" s="541"/>
      <c r="BT402" s="541"/>
      <c r="BU402" s="541"/>
    </row>
    <row r="403" ht="15.75" customHeight="1">
      <c r="A403" s="1591"/>
      <c r="B403" s="1591"/>
      <c r="C403" s="2217"/>
      <c r="D403" s="1541"/>
      <c r="E403" s="906"/>
      <c r="F403" s="1545"/>
      <c r="G403" s="2250"/>
      <c r="H403" s="1545"/>
      <c r="I403" s="2250"/>
      <c r="J403" s="1545"/>
      <c r="K403" s="2250"/>
      <c r="L403" s="1545"/>
      <c r="M403" s="2250"/>
      <c r="N403" s="1545"/>
      <c r="O403" s="2250"/>
      <c r="P403" s="1545"/>
      <c r="Q403" s="2250"/>
      <c r="R403" s="1545"/>
      <c r="S403" s="684"/>
      <c r="T403" s="1545"/>
      <c r="U403" s="684"/>
      <c r="V403" s="1545"/>
      <c r="W403" s="684"/>
      <c r="X403" s="1545"/>
      <c r="Y403" s="1545"/>
      <c r="Z403" s="1545"/>
      <c r="AA403" s="684"/>
      <c r="AB403" s="1545"/>
      <c r="AC403" s="684"/>
      <c r="AD403" s="684"/>
      <c r="AE403" s="684"/>
      <c r="AF403" s="684"/>
      <c r="AG403" s="684"/>
      <c r="AH403" s="684"/>
      <c r="AI403" s="684"/>
      <c r="AJ403" s="684"/>
      <c r="AK403" s="684"/>
      <c r="AL403" s="684"/>
      <c r="AM403" s="684"/>
      <c r="AN403" s="1545"/>
      <c r="AO403" s="1545"/>
      <c r="AP403" s="1545"/>
      <c r="AQ403" s="1545"/>
      <c r="AR403" s="1545"/>
      <c r="AS403" s="684"/>
      <c r="AT403" s="684"/>
      <c r="AU403" s="684"/>
      <c r="AV403" s="684"/>
      <c r="AW403" s="684"/>
      <c r="AX403" s="677"/>
      <c r="AY403" s="684"/>
      <c r="AZ403" s="683"/>
      <c r="BA403" s="684"/>
      <c r="BB403" s="13"/>
      <c r="BC403" s="684"/>
      <c r="BD403" s="13"/>
      <c r="BE403" s="684"/>
      <c r="BF403" s="13"/>
      <c r="BG403" s="684"/>
      <c r="BH403" s="13"/>
      <c r="BI403" s="684"/>
      <c r="BJ403" s="13"/>
      <c r="BK403" s="684"/>
      <c r="BL403" s="684"/>
      <c r="BM403" s="684"/>
      <c r="BN403" s="677"/>
      <c r="BO403" s="677"/>
      <c r="BP403" s="541"/>
      <c r="BQ403" s="633"/>
      <c r="BR403" s="541"/>
      <c r="BS403" s="541"/>
      <c r="BT403" s="541"/>
      <c r="BU403" s="541"/>
    </row>
    <row r="404" ht="15.75" customHeight="1">
      <c r="A404" s="1591"/>
      <c r="B404" s="1591"/>
      <c r="C404" s="2217"/>
      <c r="D404" s="1541"/>
      <c r="E404" s="906"/>
      <c r="F404" s="1545"/>
      <c r="G404" s="2250"/>
      <c r="H404" s="1545"/>
      <c r="I404" s="2250"/>
      <c r="J404" s="1545"/>
      <c r="K404" s="2250"/>
      <c r="L404" s="1545"/>
      <c r="M404" s="2250"/>
      <c r="N404" s="1545"/>
      <c r="O404" s="2250"/>
      <c r="P404" s="1545"/>
      <c r="Q404" s="2250"/>
      <c r="R404" s="1545"/>
      <c r="S404" s="684"/>
      <c r="T404" s="1545"/>
      <c r="U404" s="684"/>
      <c r="V404" s="1545"/>
      <c r="W404" s="684"/>
      <c r="X404" s="1545"/>
      <c r="Y404" s="1545"/>
      <c r="Z404" s="1545"/>
      <c r="AA404" s="684"/>
      <c r="AB404" s="1545"/>
      <c r="AC404" s="684"/>
      <c r="AD404" s="684"/>
      <c r="AE404" s="684"/>
      <c r="AF404" s="684"/>
      <c r="AG404" s="684"/>
      <c r="AH404" s="684"/>
      <c r="AI404" s="684"/>
      <c r="AJ404" s="684"/>
      <c r="AK404" s="684"/>
      <c r="AL404" s="684"/>
      <c r="AM404" s="684"/>
      <c r="AN404" s="1545"/>
      <c r="AO404" s="1545"/>
      <c r="AP404" s="1545"/>
      <c r="AQ404" s="1545"/>
      <c r="AR404" s="1545"/>
      <c r="AS404" s="684"/>
      <c r="AT404" s="684"/>
      <c r="AU404" s="684"/>
      <c r="AV404" s="684"/>
      <c r="AW404" s="684"/>
      <c r="AX404" s="677"/>
      <c r="AY404" s="684"/>
      <c r="AZ404" s="683"/>
      <c r="BA404" s="684"/>
      <c r="BB404" s="13"/>
      <c r="BC404" s="684"/>
      <c r="BD404" s="13"/>
      <c r="BE404" s="684"/>
      <c r="BF404" s="13"/>
      <c r="BG404" s="684"/>
      <c r="BH404" s="13"/>
      <c r="BI404" s="684"/>
      <c r="BJ404" s="13"/>
      <c r="BK404" s="684"/>
      <c r="BL404" s="684"/>
      <c r="BM404" s="684"/>
      <c r="BN404" s="677"/>
      <c r="BO404" s="677"/>
      <c r="BP404" s="541"/>
      <c r="BQ404" s="633"/>
      <c r="BR404" s="541"/>
      <c r="BS404" s="541"/>
      <c r="BT404" s="541"/>
      <c r="BU404" s="541"/>
    </row>
    <row r="405" ht="15.75" customHeight="1">
      <c r="A405" s="1591"/>
      <c r="B405" s="1591"/>
      <c r="C405" s="2217"/>
      <c r="D405" s="1541"/>
      <c r="E405" s="906"/>
      <c r="F405" s="1545"/>
      <c r="G405" s="2250"/>
      <c r="H405" s="1545"/>
      <c r="I405" s="2250"/>
      <c r="J405" s="1545"/>
      <c r="K405" s="2250"/>
      <c r="L405" s="1545"/>
      <c r="M405" s="2250"/>
      <c r="N405" s="1545"/>
      <c r="O405" s="2250"/>
      <c r="P405" s="1545"/>
      <c r="Q405" s="2250"/>
      <c r="R405" s="1545"/>
      <c r="S405" s="684"/>
      <c r="T405" s="1545"/>
      <c r="U405" s="684"/>
      <c r="V405" s="1545"/>
      <c r="W405" s="684"/>
      <c r="X405" s="1545"/>
      <c r="Y405" s="1545"/>
      <c r="Z405" s="1545"/>
      <c r="AA405" s="684"/>
      <c r="AB405" s="1545"/>
      <c r="AC405" s="684"/>
      <c r="AD405" s="684"/>
      <c r="AE405" s="684"/>
      <c r="AF405" s="684"/>
      <c r="AG405" s="684"/>
      <c r="AH405" s="684"/>
      <c r="AI405" s="684"/>
      <c r="AJ405" s="684"/>
      <c r="AK405" s="684"/>
      <c r="AL405" s="684"/>
      <c r="AM405" s="684"/>
      <c r="AN405" s="1545"/>
      <c r="AO405" s="1545"/>
      <c r="AP405" s="1545"/>
      <c r="AQ405" s="1545"/>
      <c r="AR405" s="1545"/>
      <c r="AS405" s="684"/>
      <c r="AT405" s="684"/>
      <c r="AU405" s="684"/>
      <c r="AV405" s="684"/>
      <c r="AW405" s="684"/>
      <c r="AX405" s="677"/>
      <c r="AY405" s="684"/>
      <c r="AZ405" s="683"/>
      <c r="BA405" s="684"/>
      <c r="BB405" s="13"/>
      <c r="BC405" s="684"/>
      <c r="BD405" s="13"/>
      <c r="BE405" s="684"/>
      <c r="BF405" s="13"/>
      <c r="BG405" s="684"/>
      <c r="BH405" s="13"/>
      <c r="BI405" s="684"/>
      <c r="BJ405" s="13"/>
      <c r="BK405" s="684"/>
      <c r="BL405" s="684"/>
      <c r="BM405" s="684"/>
      <c r="BN405" s="677"/>
      <c r="BO405" s="677"/>
      <c r="BP405" s="541"/>
      <c r="BQ405" s="633"/>
      <c r="BR405" s="541"/>
      <c r="BS405" s="541"/>
      <c r="BT405" s="541"/>
      <c r="BU405" s="541"/>
    </row>
    <row r="406" ht="15.75" customHeight="1">
      <c r="A406" s="1591"/>
      <c r="B406" s="1591"/>
      <c r="C406" s="2217"/>
      <c r="D406" s="1541"/>
      <c r="E406" s="906"/>
      <c r="F406" s="1545"/>
      <c r="G406" s="2250"/>
      <c r="H406" s="1545"/>
      <c r="I406" s="2250"/>
      <c r="J406" s="1545"/>
      <c r="K406" s="2250"/>
      <c r="L406" s="1545"/>
      <c r="M406" s="2250"/>
      <c r="N406" s="1545"/>
      <c r="O406" s="2250"/>
      <c r="P406" s="1545"/>
      <c r="Q406" s="2250"/>
      <c r="R406" s="1545"/>
      <c r="S406" s="684"/>
      <c r="T406" s="1545"/>
      <c r="U406" s="684"/>
      <c r="V406" s="1545"/>
      <c r="W406" s="684"/>
      <c r="X406" s="1545"/>
      <c r="Y406" s="1545"/>
      <c r="Z406" s="1545"/>
      <c r="AA406" s="684"/>
      <c r="AB406" s="1545"/>
      <c r="AC406" s="684"/>
      <c r="AD406" s="684"/>
      <c r="AE406" s="684"/>
      <c r="AF406" s="684"/>
      <c r="AG406" s="684"/>
      <c r="AH406" s="684"/>
      <c r="AI406" s="684"/>
      <c r="AJ406" s="684"/>
      <c r="AK406" s="684"/>
      <c r="AL406" s="684"/>
      <c r="AM406" s="684"/>
      <c r="AN406" s="1545"/>
      <c r="AO406" s="1545"/>
      <c r="AP406" s="1545"/>
      <c r="AQ406" s="1545"/>
      <c r="AR406" s="1545"/>
      <c r="AS406" s="684"/>
      <c r="AT406" s="684"/>
      <c r="AU406" s="684"/>
      <c r="AV406" s="684"/>
      <c r="AW406" s="684"/>
      <c r="AX406" s="677"/>
      <c r="AY406" s="684"/>
      <c r="AZ406" s="683"/>
      <c r="BA406" s="684"/>
      <c r="BB406" s="13"/>
      <c r="BC406" s="684"/>
      <c r="BD406" s="13"/>
      <c r="BE406" s="684"/>
      <c r="BF406" s="13"/>
      <c r="BG406" s="684"/>
      <c r="BH406" s="13"/>
      <c r="BI406" s="684"/>
      <c r="BJ406" s="13"/>
      <c r="BK406" s="684"/>
      <c r="BL406" s="684"/>
      <c r="BM406" s="684"/>
      <c r="BN406" s="677"/>
      <c r="BO406" s="677"/>
      <c r="BP406" s="541"/>
      <c r="BQ406" s="633"/>
      <c r="BR406" s="541"/>
      <c r="BS406" s="541"/>
      <c r="BT406" s="541"/>
      <c r="BU406" s="541"/>
    </row>
    <row r="407" ht="15.75" customHeight="1">
      <c r="A407" s="1591"/>
      <c r="B407" s="1591"/>
      <c r="C407" s="2217"/>
      <c r="D407" s="1541"/>
      <c r="E407" s="906"/>
      <c r="F407" s="1545"/>
      <c r="G407" s="2250"/>
      <c r="H407" s="1545"/>
      <c r="I407" s="2250"/>
      <c r="J407" s="1545"/>
      <c r="K407" s="2250"/>
      <c r="L407" s="1545"/>
      <c r="M407" s="2250"/>
      <c r="N407" s="1545"/>
      <c r="O407" s="2250"/>
      <c r="P407" s="1545"/>
      <c r="Q407" s="2250"/>
      <c r="R407" s="1545"/>
      <c r="S407" s="684"/>
      <c r="T407" s="1545"/>
      <c r="U407" s="684"/>
      <c r="V407" s="1545"/>
      <c r="W407" s="684"/>
      <c r="X407" s="1545"/>
      <c r="Y407" s="1545"/>
      <c r="Z407" s="1545"/>
      <c r="AA407" s="684"/>
      <c r="AB407" s="1545"/>
      <c r="AC407" s="684"/>
      <c r="AD407" s="684"/>
      <c r="AE407" s="684"/>
      <c r="AF407" s="684"/>
      <c r="AG407" s="684"/>
      <c r="AH407" s="684"/>
      <c r="AI407" s="684"/>
      <c r="AJ407" s="684"/>
      <c r="AK407" s="684"/>
      <c r="AL407" s="684"/>
      <c r="AM407" s="684"/>
      <c r="AN407" s="1545"/>
      <c r="AO407" s="1545"/>
      <c r="AP407" s="1545"/>
      <c r="AQ407" s="1545"/>
      <c r="AR407" s="1545"/>
      <c r="AS407" s="684"/>
      <c r="AT407" s="684"/>
      <c r="AU407" s="684"/>
      <c r="AV407" s="684"/>
      <c r="AW407" s="684"/>
      <c r="AX407" s="677"/>
      <c r="AY407" s="684"/>
      <c r="AZ407" s="683"/>
      <c r="BA407" s="684"/>
      <c r="BB407" s="13"/>
      <c r="BC407" s="684"/>
      <c r="BD407" s="13"/>
      <c r="BE407" s="684"/>
      <c r="BF407" s="13"/>
      <c r="BG407" s="684"/>
      <c r="BH407" s="13"/>
      <c r="BI407" s="684"/>
      <c r="BJ407" s="13"/>
      <c r="BK407" s="684"/>
      <c r="BL407" s="684"/>
      <c r="BM407" s="684"/>
      <c r="BN407" s="677"/>
      <c r="BO407" s="677"/>
      <c r="BP407" s="541"/>
      <c r="BQ407" s="633"/>
      <c r="BR407" s="541"/>
      <c r="BS407" s="541"/>
      <c r="BT407" s="541"/>
      <c r="BU407" s="541"/>
    </row>
    <row r="408" ht="15.75" customHeight="1">
      <c r="A408" s="1591"/>
      <c r="B408" s="1591"/>
      <c r="C408" s="2217"/>
      <c r="D408" s="1541"/>
      <c r="E408" s="906"/>
      <c r="F408" s="1545"/>
      <c r="G408" s="2250"/>
      <c r="H408" s="1545"/>
      <c r="I408" s="2250"/>
      <c r="J408" s="1545"/>
      <c r="K408" s="2250"/>
      <c r="L408" s="1545"/>
      <c r="M408" s="2250"/>
      <c r="N408" s="1545"/>
      <c r="O408" s="2250"/>
      <c r="P408" s="1545"/>
      <c r="Q408" s="2250"/>
      <c r="R408" s="1545"/>
      <c r="S408" s="684"/>
      <c r="T408" s="1545"/>
      <c r="U408" s="684"/>
      <c r="V408" s="1545"/>
      <c r="W408" s="684"/>
      <c r="X408" s="1545"/>
      <c r="Y408" s="1545"/>
      <c r="Z408" s="1545"/>
      <c r="AA408" s="684"/>
      <c r="AB408" s="1545"/>
      <c r="AC408" s="684"/>
      <c r="AD408" s="684"/>
      <c r="AE408" s="684"/>
      <c r="AF408" s="684"/>
      <c r="AG408" s="684"/>
      <c r="AH408" s="684"/>
      <c r="AI408" s="684"/>
      <c r="AJ408" s="684"/>
      <c r="AK408" s="684"/>
      <c r="AL408" s="684"/>
      <c r="AM408" s="684"/>
      <c r="AN408" s="1545"/>
      <c r="AO408" s="1545"/>
      <c r="AP408" s="1545"/>
      <c r="AQ408" s="1545"/>
      <c r="AR408" s="1545"/>
      <c r="AS408" s="684"/>
      <c r="AT408" s="684"/>
      <c r="AU408" s="684"/>
      <c r="AV408" s="684"/>
      <c r="AW408" s="684"/>
      <c r="AX408" s="677"/>
      <c r="AY408" s="684"/>
      <c r="AZ408" s="683"/>
      <c r="BA408" s="684"/>
      <c r="BB408" s="13"/>
      <c r="BC408" s="684"/>
      <c r="BD408" s="13"/>
      <c r="BE408" s="684"/>
      <c r="BF408" s="13"/>
      <c r="BG408" s="684"/>
      <c r="BH408" s="13"/>
      <c r="BI408" s="684"/>
      <c r="BJ408" s="13"/>
      <c r="BK408" s="684"/>
      <c r="BL408" s="684"/>
      <c r="BM408" s="684"/>
      <c r="BN408" s="677"/>
      <c r="BO408" s="677"/>
      <c r="BP408" s="541"/>
      <c r="BQ408" s="633"/>
      <c r="BR408" s="541"/>
      <c r="BS408" s="541"/>
      <c r="BT408" s="541"/>
      <c r="BU408" s="541"/>
    </row>
    <row r="409" ht="15.75" customHeight="1">
      <c r="A409" s="1591"/>
      <c r="B409" s="1591"/>
      <c r="C409" s="2217"/>
      <c r="D409" s="1541"/>
      <c r="E409" s="906"/>
      <c r="F409" s="1545"/>
      <c r="G409" s="2250"/>
      <c r="H409" s="1545"/>
      <c r="I409" s="2250"/>
      <c r="J409" s="1545"/>
      <c r="K409" s="2250"/>
      <c r="L409" s="1545"/>
      <c r="M409" s="2250"/>
      <c r="N409" s="1545"/>
      <c r="O409" s="2250"/>
      <c r="P409" s="1545"/>
      <c r="Q409" s="2250"/>
      <c r="R409" s="1545"/>
      <c r="S409" s="684"/>
      <c r="T409" s="1545"/>
      <c r="U409" s="684"/>
      <c r="V409" s="1545"/>
      <c r="W409" s="684"/>
      <c r="X409" s="1545"/>
      <c r="Y409" s="1545"/>
      <c r="Z409" s="1545"/>
      <c r="AA409" s="684"/>
      <c r="AB409" s="1545"/>
      <c r="AC409" s="684"/>
      <c r="AD409" s="684"/>
      <c r="AE409" s="684"/>
      <c r="AF409" s="684"/>
      <c r="AG409" s="684"/>
      <c r="AH409" s="684"/>
      <c r="AI409" s="684"/>
      <c r="AJ409" s="684"/>
      <c r="AK409" s="684"/>
      <c r="AL409" s="684"/>
      <c r="AM409" s="684"/>
      <c r="AN409" s="1545"/>
      <c r="AO409" s="1545"/>
      <c r="AP409" s="1545"/>
      <c r="AQ409" s="1545"/>
      <c r="AR409" s="1545"/>
      <c r="AS409" s="684"/>
      <c r="AT409" s="684"/>
      <c r="AU409" s="684"/>
      <c r="AV409" s="684"/>
      <c r="AW409" s="684"/>
      <c r="AX409" s="677"/>
      <c r="AY409" s="684"/>
      <c r="AZ409" s="683"/>
      <c r="BA409" s="684"/>
      <c r="BB409" s="13"/>
      <c r="BC409" s="684"/>
      <c r="BD409" s="13"/>
      <c r="BE409" s="684"/>
      <c r="BF409" s="13"/>
      <c r="BG409" s="684"/>
      <c r="BH409" s="13"/>
      <c r="BI409" s="684"/>
      <c r="BJ409" s="13"/>
      <c r="BK409" s="684"/>
      <c r="BL409" s="684"/>
      <c r="BM409" s="684"/>
      <c r="BN409" s="677"/>
      <c r="BO409" s="677"/>
      <c r="BP409" s="541"/>
      <c r="BQ409" s="633"/>
      <c r="BR409" s="541"/>
      <c r="BS409" s="541"/>
      <c r="BT409" s="541"/>
      <c r="BU409" s="541"/>
    </row>
    <row r="410" ht="15.75" customHeight="1">
      <c r="A410" s="1591"/>
      <c r="B410" s="1591"/>
      <c r="C410" s="2217"/>
      <c r="D410" s="1541"/>
      <c r="E410" s="906"/>
      <c r="F410" s="1545"/>
      <c r="G410" s="2250"/>
      <c r="H410" s="1545"/>
      <c r="I410" s="2250"/>
      <c r="J410" s="1545"/>
      <c r="K410" s="2250"/>
      <c r="L410" s="1545"/>
      <c r="M410" s="2250"/>
      <c r="N410" s="1545"/>
      <c r="O410" s="2250"/>
      <c r="P410" s="1545"/>
      <c r="Q410" s="2250"/>
      <c r="R410" s="1545"/>
      <c r="S410" s="684"/>
      <c r="T410" s="1545"/>
      <c r="U410" s="684"/>
      <c r="V410" s="1545"/>
      <c r="W410" s="684"/>
      <c r="X410" s="1545"/>
      <c r="Y410" s="1545"/>
      <c r="Z410" s="1545"/>
      <c r="AA410" s="684"/>
      <c r="AB410" s="1545"/>
      <c r="AC410" s="684"/>
      <c r="AD410" s="684"/>
      <c r="AE410" s="684"/>
      <c r="AF410" s="684"/>
      <c r="AG410" s="684"/>
      <c r="AH410" s="684"/>
      <c r="AI410" s="684"/>
      <c r="AJ410" s="684"/>
      <c r="AK410" s="684"/>
      <c r="AL410" s="684"/>
      <c r="AM410" s="684"/>
      <c r="AN410" s="1545"/>
      <c r="AO410" s="1545"/>
      <c r="AP410" s="1545"/>
      <c r="AQ410" s="1545"/>
      <c r="AR410" s="1545"/>
      <c r="AS410" s="684"/>
      <c r="AT410" s="684"/>
      <c r="AU410" s="684"/>
      <c r="AV410" s="684"/>
      <c r="AW410" s="684"/>
      <c r="AX410" s="677"/>
      <c r="AY410" s="684"/>
      <c r="AZ410" s="683"/>
      <c r="BA410" s="684"/>
      <c r="BB410" s="13"/>
      <c r="BC410" s="684"/>
      <c r="BD410" s="13"/>
      <c r="BE410" s="684"/>
      <c r="BF410" s="13"/>
      <c r="BG410" s="684"/>
      <c r="BH410" s="13"/>
      <c r="BI410" s="684"/>
      <c r="BJ410" s="13"/>
      <c r="BK410" s="684"/>
      <c r="BL410" s="684"/>
      <c r="BM410" s="684"/>
      <c r="BN410" s="677"/>
      <c r="BO410" s="677"/>
      <c r="BP410" s="541"/>
      <c r="BQ410" s="633"/>
      <c r="BR410" s="541"/>
      <c r="BS410" s="541"/>
      <c r="BT410" s="541"/>
      <c r="BU410" s="541"/>
    </row>
    <row r="411" ht="15.75" customHeight="1">
      <c r="A411" s="1591"/>
      <c r="B411" s="1591"/>
      <c r="C411" s="2217"/>
      <c r="D411" s="1541"/>
      <c r="E411" s="906"/>
      <c r="F411" s="1545"/>
      <c r="G411" s="2250"/>
      <c r="H411" s="1545"/>
      <c r="I411" s="2250"/>
      <c r="J411" s="1545"/>
      <c r="K411" s="2250"/>
      <c r="L411" s="1545"/>
      <c r="M411" s="2250"/>
      <c r="N411" s="1545"/>
      <c r="O411" s="2250"/>
      <c r="P411" s="1545"/>
      <c r="Q411" s="2250"/>
      <c r="R411" s="1545"/>
      <c r="S411" s="684"/>
      <c r="T411" s="1545"/>
      <c r="U411" s="684"/>
      <c r="V411" s="1545"/>
      <c r="W411" s="684"/>
      <c r="X411" s="1545"/>
      <c r="Y411" s="1545"/>
      <c r="Z411" s="1545"/>
      <c r="AA411" s="684"/>
      <c r="AB411" s="1545"/>
      <c r="AC411" s="684"/>
      <c r="AD411" s="684"/>
      <c r="AE411" s="684"/>
      <c r="AF411" s="684"/>
      <c r="AG411" s="684"/>
      <c r="AH411" s="684"/>
      <c r="AI411" s="684"/>
      <c r="AJ411" s="684"/>
      <c r="AK411" s="684"/>
      <c r="AL411" s="684"/>
      <c r="AM411" s="684"/>
      <c r="AN411" s="1545"/>
      <c r="AO411" s="1545"/>
      <c r="AP411" s="1545"/>
      <c r="AQ411" s="1545"/>
      <c r="AR411" s="1545"/>
      <c r="AS411" s="684"/>
      <c r="AT411" s="684"/>
      <c r="AU411" s="684"/>
      <c r="AV411" s="684"/>
      <c r="AW411" s="684"/>
      <c r="AX411" s="677"/>
      <c r="AY411" s="684"/>
      <c r="AZ411" s="683"/>
      <c r="BA411" s="684"/>
      <c r="BB411" s="13"/>
      <c r="BC411" s="684"/>
      <c r="BD411" s="13"/>
      <c r="BE411" s="684"/>
      <c r="BF411" s="13"/>
      <c r="BG411" s="684"/>
      <c r="BH411" s="13"/>
      <c r="BI411" s="684"/>
      <c r="BJ411" s="13"/>
      <c r="BK411" s="684"/>
      <c r="BL411" s="684"/>
      <c r="BM411" s="684"/>
      <c r="BN411" s="677"/>
      <c r="BO411" s="677"/>
      <c r="BP411" s="541"/>
      <c r="BQ411" s="633"/>
      <c r="BR411" s="541"/>
      <c r="BS411" s="541"/>
      <c r="BT411" s="541"/>
      <c r="BU411" s="541"/>
    </row>
    <row r="412" ht="15.75" customHeight="1">
      <c r="A412" s="1591"/>
      <c r="B412" s="1591"/>
      <c r="C412" s="2217"/>
      <c r="D412" s="1541"/>
      <c r="E412" s="906"/>
      <c r="F412" s="1545"/>
      <c r="G412" s="2250"/>
      <c r="H412" s="1545"/>
      <c r="I412" s="2250"/>
      <c r="J412" s="1545"/>
      <c r="K412" s="2250"/>
      <c r="L412" s="1545"/>
      <c r="M412" s="2250"/>
      <c r="N412" s="1545"/>
      <c r="O412" s="2250"/>
      <c r="P412" s="1545"/>
      <c r="Q412" s="2250"/>
      <c r="R412" s="1545"/>
      <c r="S412" s="684"/>
      <c r="T412" s="1545"/>
      <c r="U412" s="684"/>
      <c r="V412" s="1545"/>
      <c r="W412" s="684"/>
      <c r="X412" s="1545"/>
      <c r="Y412" s="1545"/>
      <c r="Z412" s="1545"/>
      <c r="AA412" s="684"/>
      <c r="AB412" s="1545"/>
      <c r="AC412" s="684"/>
      <c r="AD412" s="684"/>
      <c r="AE412" s="684"/>
      <c r="AF412" s="684"/>
      <c r="AG412" s="684"/>
      <c r="AH412" s="684"/>
      <c r="AI412" s="684"/>
      <c r="AJ412" s="684"/>
      <c r="AK412" s="684"/>
      <c r="AL412" s="684"/>
      <c r="AM412" s="684"/>
      <c r="AN412" s="1545"/>
      <c r="AO412" s="1545"/>
      <c r="AP412" s="1545"/>
      <c r="AQ412" s="1545"/>
      <c r="AR412" s="1545"/>
      <c r="AS412" s="684"/>
      <c r="AT412" s="684"/>
      <c r="AU412" s="684"/>
      <c r="AV412" s="684"/>
      <c r="AW412" s="684"/>
      <c r="AX412" s="677"/>
      <c r="AY412" s="684"/>
      <c r="AZ412" s="683"/>
      <c r="BA412" s="684"/>
      <c r="BB412" s="13"/>
      <c r="BC412" s="684"/>
      <c r="BD412" s="13"/>
      <c r="BE412" s="684"/>
      <c r="BF412" s="13"/>
      <c r="BG412" s="684"/>
      <c r="BH412" s="13"/>
      <c r="BI412" s="684"/>
      <c r="BJ412" s="13"/>
      <c r="BK412" s="684"/>
      <c r="BL412" s="684"/>
      <c r="BM412" s="684"/>
      <c r="BN412" s="677"/>
      <c r="BO412" s="677"/>
      <c r="BP412" s="541"/>
      <c r="BQ412" s="633"/>
      <c r="BR412" s="541"/>
      <c r="BS412" s="541"/>
      <c r="BT412" s="541"/>
      <c r="BU412" s="541"/>
    </row>
    <row r="413" ht="15.75" customHeight="1">
      <c r="A413" s="1591"/>
      <c r="B413" s="1591"/>
      <c r="C413" s="2217"/>
      <c r="D413" s="1541"/>
      <c r="E413" s="906"/>
      <c r="F413" s="1545"/>
      <c r="G413" s="2250"/>
      <c r="H413" s="1545"/>
      <c r="I413" s="2250"/>
      <c r="J413" s="1545"/>
      <c r="K413" s="2250"/>
      <c r="L413" s="1545"/>
      <c r="M413" s="2250"/>
      <c r="N413" s="1545"/>
      <c r="O413" s="2250"/>
      <c r="P413" s="1545"/>
      <c r="Q413" s="2250"/>
      <c r="R413" s="1545"/>
      <c r="S413" s="684"/>
      <c r="T413" s="1545"/>
      <c r="U413" s="684"/>
      <c r="V413" s="1545"/>
      <c r="W413" s="684"/>
      <c r="X413" s="1545"/>
      <c r="Y413" s="1545"/>
      <c r="Z413" s="1545"/>
      <c r="AA413" s="684"/>
      <c r="AB413" s="1545"/>
      <c r="AC413" s="684"/>
      <c r="AD413" s="684"/>
      <c r="AE413" s="684"/>
      <c r="AF413" s="684"/>
      <c r="AG413" s="684"/>
      <c r="AH413" s="684"/>
      <c r="AI413" s="684"/>
      <c r="AJ413" s="684"/>
      <c r="AK413" s="684"/>
      <c r="AL413" s="684"/>
      <c r="AM413" s="684"/>
      <c r="AN413" s="1545"/>
      <c r="AO413" s="1545"/>
      <c r="AP413" s="1545"/>
      <c r="AQ413" s="1545"/>
      <c r="AR413" s="1545"/>
      <c r="AS413" s="684"/>
      <c r="AT413" s="684"/>
      <c r="AU413" s="684"/>
      <c r="AV413" s="684"/>
      <c r="AW413" s="684"/>
      <c r="AX413" s="677"/>
      <c r="AY413" s="684"/>
      <c r="AZ413" s="683"/>
      <c r="BA413" s="684"/>
      <c r="BB413" s="13"/>
      <c r="BC413" s="684"/>
      <c r="BD413" s="13"/>
      <c r="BE413" s="684"/>
      <c r="BF413" s="13"/>
      <c r="BG413" s="684"/>
      <c r="BH413" s="13"/>
      <c r="BI413" s="684"/>
      <c r="BJ413" s="13"/>
      <c r="BK413" s="684"/>
      <c r="BL413" s="684"/>
      <c r="BM413" s="684"/>
      <c r="BN413" s="677"/>
      <c r="BO413" s="677"/>
      <c r="BP413" s="541"/>
      <c r="BQ413" s="633"/>
      <c r="BR413" s="541"/>
      <c r="BS413" s="541"/>
      <c r="BT413" s="541"/>
      <c r="BU413" s="541"/>
    </row>
    <row r="414" ht="15.75" customHeight="1">
      <c r="A414" s="1591"/>
      <c r="B414" s="1591"/>
      <c r="C414" s="2217"/>
      <c r="D414" s="1541"/>
      <c r="E414" s="906"/>
      <c r="F414" s="1545"/>
      <c r="G414" s="2250"/>
      <c r="H414" s="1545"/>
      <c r="I414" s="2250"/>
      <c r="J414" s="1545"/>
      <c r="K414" s="2250"/>
      <c r="L414" s="1545"/>
      <c r="M414" s="2250"/>
      <c r="N414" s="1545"/>
      <c r="O414" s="2250"/>
      <c r="P414" s="1545"/>
      <c r="Q414" s="2250"/>
      <c r="R414" s="1545"/>
      <c r="S414" s="684"/>
      <c r="T414" s="1545"/>
      <c r="U414" s="684"/>
      <c r="V414" s="1545"/>
      <c r="W414" s="684"/>
      <c r="X414" s="1545"/>
      <c r="Y414" s="1545"/>
      <c r="Z414" s="1545"/>
      <c r="AA414" s="684"/>
      <c r="AB414" s="1545"/>
      <c r="AC414" s="684"/>
      <c r="AD414" s="684"/>
      <c r="AE414" s="684"/>
      <c r="AF414" s="684"/>
      <c r="AG414" s="684"/>
      <c r="AH414" s="684"/>
      <c r="AI414" s="684"/>
      <c r="AJ414" s="684"/>
      <c r="AK414" s="684"/>
      <c r="AL414" s="684"/>
      <c r="AM414" s="684"/>
      <c r="AN414" s="1545"/>
      <c r="AO414" s="1545"/>
      <c r="AP414" s="1545"/>
      <c r="AQ414" s="1545"/>
      <c r="AR414" s="1545"/>
      <c r="AS414" s="684"/>
      <c r="AT414" s="684"/>
      <c r="AU414" s="684"/>
      <c r="AV414" s="684"/>
      <c r="AW414" s="684"/>
      <c r="AX414" s="677"/>
      <c r="AY414" s="684"/>
      <c r="AZ414" s="683"/>
      <c r="BA414" s="684"/>
      <c r="BB414" s="13"/>
      <c r="BC414" s="684"/>
      <c r="BD414" s="13"/>
      <c r="BE414" s="684"/>
      <c r="BF414" s="13"/>
      <c r="BG414" s="684"/>
      <c r="BH414" s="13"/>
      <c r="BI414" s="684"/>
      <c r="BJ414" s="13"/>
      <c r="BK414" s="684"/>
      <c r="BL414" s="684"/>
      <c r="BM414" s="684"/>
      <c r="BN414" s="677"/>
      <c r="BO414" s="677"/>
      <c r="BP414" s="541"/>
      <c r="BQ414" s="633"/>
      <c r="BR414" s="541"/>
      <c r="BS414" s="541"/>
      <c r="BT414" s="541"/>
      <c r="BU414" s="541"/>
    </row>
    <row r="415" ht="15.75" customHeight="1">
      <c r="A415" s="1591"/>
      <c r="B415" s="1591"/>
      <c r="C415" s="2217"/>
      <c r="D415" s="1541"/>
      <c r="E415" s="906"/>
      <c r="F415" s="1545"/>
      <c r="G415" s="2250"/>
      <c r="H415" s="1545"/>
      <c r="I415" s="2250"/>
      <c r="J415" s="1545"/>
      <c r="K415" s="2250"/>
      <c r="L415" s="1545"/>
      <c r="M415" s="2250"/>
      <c r="N415" s="1545"/>
      <c r="O415" s="2250"/>
      <c r="P415" s="1545"/>
      <c r="Q415" s="2250"/>
      <c r="R415" s="1545"/>
      <c r="S415" s="684"/>
      <c r="T415" s="1545"/>
      <c r="U415" s="684"/>
      <c r="V415" s="1545"/>
      <c r="W415" s="684"/>
      <c r="X415" s="1545"/>
      <c r="Y415" s="1545"/>
      <c r="Z415" s="1545"/>
      <c r="AA415" s="684"/>
      <c r="AB415" s="1545"/>
      <c r="AC415" s="684"/>
      <c r="AD415" s="684"/>
      <c r="AE415" s="684"/>
      <c r="AF415" s="684"/>
      <c r="AG415" s="684"/>
      <c r="AH415" s="684"/>
      <c r="AI415" s="684"/>
      <c r="AJ415" s="684"/>
      <c r="AK415" s="684"/>
      <c r="AL415" s="684"/>
      <c r="AM415" s="684"/>
      <c r="AN415" s="1545"/>
      <c r="AO415" s="1545"/>
      <c r="AP415" s="1545"/>
      <c r="AQ415" s="1545"/>
      <c r="AR415" s="1545"/>
      <c r="AS415" s="684"/>
      <c r="AT415" s="684"/>
      <c r="AU415" s="684"/>
      <c r="AV415" s="684"/>
      <c r="AW415" s="684"/>
      <c r="AX415" s="677"/>
      <c r="AY415" s="684"/>
      <c r="AZ415" s="683"/>
      <c r="BA415" s="684"/>
      <c r="BB415" s="13"/>
      <c r="BC415" s="684"/>
      <c r="BD415" s="13"/>
      <c r="BE415" s="684"/>
      <c r="BF415" s="13"/>
      <c r="BG415" s="684"/>
      <c r="BH415" s="13"/>
      <c r="BI415" s="684"/>
      <c r="BJ415" s="13"/>
      <c r="BK415" s="684"/>
      <c r="BL415" s="684"/>
      <c r="BM415" s="684"/>
      <c r="BN415" s="677"/>
      <c r="BO415" s="677"/>
      <c r="BP415" s="541"/>
      <c r="BQ415" s="633"/>
      <c r="BR415" s="541"/>
      <c r="BS415" s="541"/>
      <c r="BT415" s="541"/>
      <c r="BU415" s="541"/>
    </row>
    <row r="416" ht="15.75" customHeight="1">
      <c r="A416" s="1591"/>
      <c r="B416" s="1591"/>
      <c r="C416" s="2217"/>
      <c r="D416" s="1541"/>
      <c r="E416" s="906"/>
      <c r="F416" s="1545"/>
      <c r="G416" s="2250"/>
      <c r="H416" s="1545"/>
      <c r="I416" s="2250"/>
      <c r="J416" s="1545"/>
      <c r="K416" s="2250"/>
      <c r="L416" s="1545"/>
      <c r="M416" s="2250"/>
      <c r="N416" s="1545"/>
      <c r="O416" s="2250"/>
      <c r="P416" s="1545"/>
      <c r="Q416" s="2250"/>
      <c r="R416" s="1545"/>
      <c r="S416" s="684"/>
      <c r="T416" s="1545"/>
      <c r="U416" s="684"/>
      <c r="V416" s="1545"/>
      <c r="W416" s="684"/>
      <c r="X416" s="1545"/>
      <c r="Y416" s="1545"/>
      <c r="Z416" s="1545"/>
      <c r="AA416" s="684"/>
      <c r="AB416" s="1545"/>
      <c r="AC416" s="684"/>
      <c r="AD416" s="684"/>
      <c r="AE416" s="684"/>
      <c r="AF416" s="684"/>
      <c r="AG416" s="684"/>
      <c r="AH416" s="684"/>
      <c r="AI416" s="684"/>
      <c r="AJ416" s="684"/>
      <c r="AK416" s="684"/>
      <c r="AL416" s="684"/>
      <c r="AM416" s="684"/>
      <c r="AN416" s="1545"/>
      <c r="AO416" s="1545"/>
      <c r="AP416" s="1545"/>
      <c r="AQ416" s="1545"/>
      <c r="AR416" s="1545"/>
      <c r="AS416" s="684"/>
      <c r="AT416" s="684"/>
      <c r="AU416" s="684"/>
      <c r="AV416" s="684"/>
      <c r="AW416" s="684"/>
      <c r="AX416" s="677"/>
      <c r="AY416" s="684"/>
      <c r="AZ416" s="683"/>
      <c r="BA416" s="684"/>
      <c r="BB416" s="13"/>
      <c r="BC416" s="684"/>
      <c r="BD416" s="13"/>
      <c r="BE416" s="684"/>
      <c r="BF416" s="13"/>
      <c r="BG416" s="684"/>
      <c r="BH416" s="13"/>
      <c r="BI416" s="684"/>
      <c r="BJ416" s="13"/>
      <c r="BK416" s="684"/>
      <c r="BL416" s="684"/>
      <c r="BM416" s="684"/>
      <c r="BN416" s="677"/>
      <c r="BO416" s="677"/>
      <c r="BP416" s="541"/>
      <c r="BQ416" s="633"/>
      <c r="BR416" s="541"/>
      <c r="BS416" s="541"/>
      <c r="BT416" s="541"/>
      <c r="BU416" s="541"/>
    </row>
    <row r="417" ht="15.75" customHeight="1">
      <c r="A417" s="1591"/>
      <c r="B417" s="1591"/>
      <c r="C417" s="2217"/>
      <c r="D417" s="1541"/>
      <c r="E417" s="906"/>
      <c r="F417" s="1545"/>
      <c r="G417" s="2250"/>
      <c r="H417" s="1545"/>
      <c r="I417" s="2250"/>
      <c r="J417" s="1545"/>
      <c r="K417" s="2250"/>
      <c r="L417" s="1545"/>
      <c r="M417" s="2250"/>
      <c r="N417" s="1545"/>
      <c r="O417" s="2250"/>
      <c r="P417" s="1545"/>
      <c r="Q417" s="2250"/>
      <c r="R417" s="1545"/>
      <c r="S417" s="684"/>
      <c r="T417" s="1545"/>
      <c r="U417" s="684"/>
      <c r="V417" s="1545"/>
      <c r="W417" s="684"/>
      <c r="X417" s="1545"/>
      <c r="Y417" s="1545"/>
      <c r="Z417" s="1545"/>
      <c r="AA417" s="684"/>
      <c r="AB417" s="1545"/>
      <c r="AC417" s="684"/>
      <c r="AD417" s="684"/>
      <c r="AE417" s="684"/>
      <c r="AF417" s="684"/>
      <c r="AG417" s="684"/>
      <c r="AH417" s="684"/>
      <c r="AI417" s="684"/>
      <c r="AJ417" s="684"/>
      <c r="AK417" s="684"/>
      <c r="AL417" s="684"/>
      <c r="AM417" s="684"/>
      <c r="AN417" s="1545"/>
      <c r="AO417" s="1545"/>
      <c r="AP417" s="1545"/>
      <c r="AQ417" s="1545"/>
      <c r="AR417" s="1545"/>
      <c r="AS417" s="684"/>
      <c r="AT417" s="684"/>
      <c r="AU417" s="684"/>
      <c r="AV417" s="684"/>
      <c r="AW417" s="684"/>
      <c r="AX417" s="677"/>
      <c r="AY417" s="684"/>
      <c r="AZ417" s="683"/>
      <c r="BA417" s="684"/>
      <c r="BB417" s="13"/>
      <c r="BC417" s="684"/>
      <c r="BD417" s="13"/>
      <c r="BE417" s="684"/>
      <c r="BF417" s="13"/>
      <c r="BG417" s="684"/>
      <c r="BH417" s="13"/>
      <c r="BI417" s="684"/>
      <c r="BJ417" s="13"/>
      <c r="BK417" s="684"/>
      <c r="BL417" s="684"/>
      <c r="BM417" s="684"/>
      <c r="BN417" s="677"/>
      <c r="BO417" s="677"/>
      <c r="BP417" s="541"/>
      <c r="BQ417" s="633"/>
      <c r="BR417" s="541"/>
      <c r="BS417" s="541"/>
      <c r="BT417" s="541"/>
      <c r="BU417" s="541"/>
    </row>
    <row r="418" ht="15.75" customHeight="1">
      <c r="A418" s="1591"/>
      <c r="B418" s="1591"/>
      <c r="C418" s="2217"/>
      <c r="D418" s="1541"/>
      <c r="E418" s="906"/>
      <c r="F418" s="1545"/>
      <c r="G418" s="2250"/>
      <c r="H418" s="1545"/>
      <c r="I418" s="2250"/>
      <c r="J418" s="1545"/>
      <c r="K418" s="2250"/>
      <c r="L418" s="1545"/>
      <c r="M418" s="2250"/>
      <c r="N418" s="1545"/>
      <c r="O418" s="2250"/>
      <c r="P418" s="1545"/>
      <c r="Q418" s="2250"/>
      <c r="R418" s="1545"/>
      <c r="S418" s="684"/>
      <c r="T418" s="1545"/>
      <c r="U418" s="684"/>
      <c r="V418" s="1545"/>
      <c r="W418" s="684"/>
      <c r="X418" s="1545"/>
      <c r="Y418" s="1545"/>
      <c r="Z418" s="1545"/>
      <c r="AA418" s="684"/>
      <c r="AB418" s="1545"/>
      <c r="AC418" s="684"/>
      <c r="AD418" s="684"/>
      <c r="AE418" s="684"/>
      <c r="AF418" s="684"/>
      <c r="AG418" s="684"/>
      <c r="AH418" s="684"/>
      <c r="AI418" s="684"/>
      <c r="AJ418" s="684"/>
      <c r="AK418" s="684"/>
      <c r="AL418" s="684"/>
      <c r="AM418" s="684"/>
      <c r="AN418" s="1545"/>
      <c r="AO418" s="1545"/>
      <c r="AP418" s="1545"/>
      <c r="AQ418" s="1545"/>
      <c r="AR418" s="1545"/>
      <c r="AS418" s="684"/>
      <c r="AT418" s="684"/>
      <c r="AU418" s="684"/>
      <c r="AV418" s="684"/>
      <c r="AW418" s="684"/>
      <c r="AX418" s="677"/>
      <c r="AY418" s="684"/>
      <c r="AZ418" s="683"/>
      <c r="BA418" s="684"/>
      <c r="BB418" s="13"/>
      <c r="BC418" s="684"/>
      <c r="BD418" s="13"/>
      <c r="BE418" s="684"/>
      <c r="BF418" s="13"/>
      <c r="BG418" s="684"/>
      <c r="BH418" s="13"/>
      <c r="BI418" s="684"/>
      <c r="BJ418" s="13"/>
      <c r="BK418" s="684"/>
      <c r="BL418" s="684"/>
      <c r="BM418" s="684"/>
      <c r="BN418" s="677"/>
      <c r="BO418" s="677"/>
      <c r="BP418" s="541"/>
      <c r="BQ418" s="633"/>
      <c r="BR418" s="541"/>
      <c r="BS418" s="541"/>
      <c r="BT418" s="541"/>
      <c r="BU418" s="541"/>
    </row>
    <row r="419" ht="15.75" customHeight="1">
      <c r="A419" s="1591"/>
      <c r="B419" s="1591"/>
      <c r="C419" s="2217"/>
      <c r="D419" s="1541"/>
      <c r="E419" s="906"/>
      <c r="F419" s="1545"/>
      <c r="G419" s="2250"/>
      <c r="H419" s="1545"/>
      <c r="I419" s="2250"/>
      <c r="J419" s="1545"/>
      <c r="K419" s="2250"/>
      <c r="L419" s="1545"/>
      <c r="M419" s="2250"/>
      <c r="N419" s="1545"/>
      <c r="O419" s="2250"/>
      <c r="P419" s="1545"/>
      <c r="Q419" s="2250"/>
      <c r="R419" s="1545"/>
      <c r="S419" s="684"/>
      <c r="T419" s="1545"/>
      <c r="U419" s="684"/>
      <c r="V419" s="1545"/>
      <c r="W419" s="684"/>
      <c r="X419" s="1545"/>
      <c r="Y419" s="1545"/>
      <c r="Z419" s="1545"/>
      <c r="AA419" s="684"/>
      <c r="AB419" s="1545"/>
      <c r="AC419" s="684"/>
      <c r="AD419" s="684"/>
      <c r="AE419" s="684"/>
      <c r="AF419" s="684"/>
      <c r="AG419" s="684"/>
      <c r="AH419" s="684"/>
      <c r="AI419" s="684"/>
      <c r="AJ419" s="684"/>
      <c r="AK419" s="684"/>
      <c r="AL419" s="684"/>
      <c r="AM419" s="684"/>
      <c r="AN419" s="1545"/>
      <c r="AO419" s="1545"/>
      <c r="AP419" s="1545"/>
      <c r="AQ419" s="1545"/>
      <c r="AR419" s="1545"/>
      <c r="AS419" s="684"/>
      <c r="AT419" s="684"/>
      <c r="AU419" s="684"/>
      <c r="AV419" s="684"/>
      <c r="AW419" s="684"/>
      <c r="AX419" s="677"/>
      <c r="AY419" s="684"/>
      <c r="AZ419" s="683"/>
      <c r="BA419" s="684"/>
      <c r="BB419" s="13"/>
      <c r="BC419" s="684"/>
      <c r="BD419" s="13"/>
      <c r="BE419" s="684"/>
      <c r="BF419" s="13"/>
      <c r="BG419" s="684"/>
      <c r="BH419" s="13"/>
      <c r="BI419" s="684"/>
      <c r="BJ419" s="13"/>
      <c r="BK419" s="684"/>
      <c r="BL419" s="684"/>
      <c r="BM419" s="684"/>
      <c r="BN419" s="677"/>
      <c r="BO419" s="677"/>
      <c r="BP419" s="541"/>
      <c r="BQ419" s="633"/>
      <c r="BR419" s="541"/>
      <c r="BS419" s="541"/>
      <c r="BT419" s="541"/>
      <c r="BU419" s="541"/>
    </row>
    <row r="420" ht="15.75" customHeight="1">
      <c r="A420" s="1591"/>
      <c r="B420" s="1591"/>
      <c r="C420" s="2217"/>
      <c r="D420" s="1541"/>
      <c r="E420" s="906"/>
      <c r="F420" s="1545"/>
      <c r="G420" s="2250"/>
      <c r="H420" s="1545"/>
      <c r="I420" s="2250"/>
      <c r="J420" s="1545"/>
      <c r="K420" s="2250"/>
      <c r="L420" s="1545"/>
      <c r="M420" s="2250"/>
      <c r="N420" s="1545"/>
      <c r="O420" s="2250"/>
      <c r="P420" s="1545"/>
      <c r="Q420" s="2250"/>
      <c r="R420" s="1545"/>
      <c r="S420" s="684"/>
      <c r="T420" s="1545"/>
      <c r="U420" s="684"/>
      <c r="V420" s="1545"/>
      <c r="W420" s="684"/>
      <c r="X420" s="1545"/>
      <c r="Y420" s="1545"/>
      <c r="Z420" s="1545"/>
      <c r="AA420" s="684"/>
      <c r="AB420" s="1545"/>
      <c r="AC420" s="684"/>
      <c r="AD420" s="684"/>
      <c r="AE420" s="684"/>
      <c r="AF420" s="684"/>
      <c r="AG420" s="684"/>
      <c r="AH420" s="684"/>
      <c r="AI420" s="684"/>
      <c r="AJ420" s="684"/>
      <c r="AK420" s="684"/>
      <c r="AL420" s="684"/>
      <c r="AM420" s="684"/>
      <c r="AN420" s="1545"/>
      <c r="AO420" s="1545"/>
      <c r="AP420" s="1545"/>
      <c r="AQ420" s="1545"/>
      <c r="AR420" s="1545"/>
      <c r="AS420" s="684"/>
      <c r="AT420" s="684"/>
      <c r="AU420" s="684"/>
      <c r="AV420" s="684"/>
      <c r="AW420" s="684"/>
      <c r="AX420" s="677"/>
      <c r="AY420" s="684"/>
      <c r="AZ420" s="683"/>
      <c r="BA420" s="684"/>
      <c r="BB420" s="13"/>
      <c r="BC420" s="684"/>
      <c r="BD420" s="13"/>
      <c r="BE420" s="684"/>
      <c r="BF420" s="13"/>
      <c r="BG420" s="684"/>
      <c r="BH420" s="13"/>
      <c r="BI420" s="684"/>
      <c r="BJ420" s="13"/>
      <c r="BK420" s="684"/>
      <c r="BL420" s="684"/>
      <c r="BM420" s="684"/>
      <c r="BN420" s="677"/>
      <c r="BO420" s="677"/>
      <c r="BP420" s="541"/>
      <c r="BQ420" s="633"/>
      <c r="BR420" s="541"/>
      <c r="BS420" s="541"/>
      <c r="BT420" s="541"/>
      <c r="BU420" s="541"/>
    </row>
    <row r="421" ht="15.75" customHeight="1">
      <c r="A421" s="1591"/>
      <c r="B421" s="1591"/>
      <c r="C421" s="2217"/>
      <c r="D421" s="1541"/>
      <c r="E421" s="906"/>
      <c r="F421" s="1545"/>
      <c r="G421" s="2250"/>
      <c r="H421" s="1545"/>
      <c r="I421" s="2250"/>
      <c r="J421" s="1545"/>
      <c r="K421" s="2250"/>
      <c r="L421" s="1545"/>
      <c r="M421" s="2250"/>
      <c r="N421" s="1545"/>
      <c r="O421" s="2250"/>
      <c r="P421" s="1545"/>
      <c r="Q421" s="2250"/>
      <c r="R421" s="1545"/>
      <c r="S421" s="684"/>
      <c r="T421" s="1545"/>
      <c r="U421" s="684"/>
      <c r="V421" s="1545"/>
      <c r="W421" s="684"/>
      <c r="X421" s="1545"/>
      <c r="Y421" s="1545"/>
      <c r="Z421" s="1545"/>
      <c r="AA421" s="684"/>
      <c r="AB421" s="1545"/>
      <c r="AC421" s="684"/>
      <c r="AD421" s="684"/>
      <c r="AE421" s="684"/>
      <c r="AF421" s="684"/>
      <c r="AG421" s="684"/>
      <c r="AH421" s="684"/>
      <c r="AI421" s="684"/>
      <c r="AJ421" s="684"/>
      <c r="AK421" s="684"/>
      <c r="AL421" s="684"/>
      <c r="AM421" s="684"/>
      <c r="AN421" s="1545"/>
      <c r="AO421" s="1545"/>
      <c r="AP421" s="1545"/>
      <c r="AQ421" s="1545"/>
      <c r="AR421" s="1545"/>
      <c r="AS421" s="684"/>
      <c r="AT421" s="684"/>
      <c r="AU421" s="684"/>
      <c r="AV421" s="684"/>
      <c r="AW421" s="684"/>
      <c r="AX421" s="677"/>
      <c r="AY421" s="684"/>
      <c r="AZ421" s="683"/>
      <c r="BA421" s="684"/>
      <c r="BB421" s="13"/>
      <c r="BC421" s="684"/>
      <c r="BD421" s="13"/>
      <c r="BE421" s="684"/>
      <c r="BF421" s="13"/>
      <c r="BG421" s="684"/>
      <c r="BH421" s="13"/>
      <c r="BI421" s="684"/>
      <c r="BJ421" s="13"/>
      <c r="BK421" s="684"/>
      <c r="BL421" s="684"/>
      <c r="BM421" s="684"/>
      <c r="BN421" s="677"/>
      <c r="BO421" s="677"/>
      <c r="BP421" s="541"/>
      <c r="BQ421" s="633"/>
      <c r="BR421" s="541"/>
      <c r="BS421" s="541"/>
      <c r="BT421" s="541"/>
      <c r="BU421" s="541"/>
    </row>
    <row r="422" ht="15.75" customHeight="1">
      <c r="A422" s="1591"/>
      <c r="B422" s="1591"/>
      <c r="C422" s="2217"/>
      <c r="D422" s="1541"/>
      <c r="E422" s="906"/>
      <c r="F422" s="1545"/>
      <c r="G422" s="2250"/>
      <c r="H422" s="1545"/>
      <c r="I422" s="2250"/>
      <c r="J422" s="1545"/>
      <c r="K422" s="2250"/>
      <c r="L422" s="1545"/>
      <c r="M422" s="2250"/>
      <c r="N422" s="1545"/>
      <c r="O422" s="2250"/>
      <c r="P422" s="1545"/>
      <c r="Q422" s="2250"/>
      <c r="R422" s="1545"/>
      <c r="S422" s="684"/>
      <c r="T422" s="1545"/>
      <c r="U422" s="684"/>
      <c r="V422" s="1545"/>
      <c r="W422" s="684"/>
      <c r="X422" s="1545"/>
      <c r="Y422" s="1545"/>
      <c r="Z422" s="1545"/>
      <c r="AA422" s="684"/>
      <c r="AB422" s="1545"/>
      <c r="AC422" s="684"/>
      <c r="AD422" s="684"/>
      <c r="AE422" s="684"/>
      <c r="AF422" s="684"/>
      <c r="AG422" s="684"/>
      <c r="AH422" s="684"/>
      <c r="AI422" s="684"/>
      <c r="AJ422" s="684"/>
      <c r="AK422" s="684"/>
      <c r="AL422" s="684"/>
      <c r="AM422" s="684"/>
      <c r="AN422" s="1545"/>
      <c r="AO422" s="1545"/>
      <c r="AP422" s="1545"/>
      <c r="AQ422" s="1545"/>
      <c r="AR422" s="1545"/>
      <c r="AS422" s="684"/>
      <c r="AT422" s="684"/>
      <c r="AU422" s="684"/>
      <c r="AV422" s="684"/>
      <c r="AW422" s="684"/>
      <c r="AX422" s="677"/>
      <c r="AY422" s="684"/>
      <c r="AZ422" s="683"/>
      <c r="BA422" s="684"/>
      <c r="BB422" s="13"/>
      <c r="BC422" s="684"/>
      <c r="BD422" s="13"/>
      <c r="BE422" s="684"/>
      <c r="BF422" s="13"/>
      <c r="BG422" s="684"/>
      <c r="BH422" s="13"/>
      <c r="BI422" s="684"/>
      <c r="BJ422" s="13"/>
      <c r="BK422" s="684"/>
      <c r="BL422" s="684"/>
      <c r="BM422" s="684"/>
      <c r="BN422" s="677"/>
      <c r="BO422" s="677"/>
      <c r="BP422" s="541"/>
      <c r="BQ422" s="633"/>
      <c r="BR422" s="541"/>
      <c r="BS422" s="541"/>
      <c r="BT422" s="541"/>
      <c r="BU422" s="541"/>
    </row>
    <row r="423" ht="15.75" customHeight="1">
      <c r="A423" s="1591"/>
      <c r="B423" s="1591"/>
      <c r="C423" s="2217"/>
      <c r="D423" s="1541"/>
      <c r="E423" s="906"/>
      <c r="F423" s="1545"/>
      <c r="G423" s="2250"/>
      <c r="H423" s="1545"/>
      <c r="I423" s="2250"/>
      <c r="J423" s="1545"/>
      <c r="K423" s="2250"/>
      <c r="L423" s="1545"/>
      <c r="M423" s="2250"/>
      <c r="N423" s="1545"/>
      <c r="O423" s="2250"/>
      <c r="P423" s="1545"/>
      <c r="Q423" s="2250"/>
      <c r="R423" s="1545"/>
      <c r="S423" s="684"/>
      <c r="T423" s="1545"/>
      <c r="U423" s="684"/>
      <c r="V423" s="1545"/>
      <c r="W423" s="684"/>
      <c r="X423" s="1545"/>
      <c r="Y423" s="1545"/>
      <c r="Z423" s="1545"/>
      <c r="AA423" s="684"/>
      <c r="AB423" s="1545"/>
      <c r="AC423" s="684"/>
      <c r="AD423" s="684"/>
      <c r="AE423" s="684"/>
      <c r="AF423" s="684"/>
      <c r="AG423" s="684"/>
      <c r="AH423" s="684"/>
      <c r="AI423" s="684"/>
      <c r="AJ423" s="684"/>
      <c r="AK423" s="684"/>
      <c r="AL423" s="684"/>
      <c r="AM423" s="684"/>
      <c r="AN423" s="1545"/>
      <c r="AO423" s="1545"/>
      <c r="AP423" s="1545"/>
      <c r="AQ423" s="1545"/>
      <c r="AR423" s="1545"/>
      <c r="AS423" s="684"/>
      <c r="AT423" s="684"/>
      <c r="AU423" s="684"/>
      <c r="AV423" s="684"/>
      <c r="AW423" s="684"/>
      <c r="AX423" s="677"/>
      <c r="AY423" s="684"/>
      <c r="AZ423" s="683"/>
      <c r="BA423" s="684"/>
      <c r="BB423" s="13"/>
      <c r="BC423" s="684"/>
      <c r="BD423" s="13"/>
      <c r="BE423" s="684"/>
      <c r="BF423" s="13"/>
      <c r="BG423" s="684"/>
      <c r="BH423" s="13"/>
      <c r="BI423" s="684"/>
      <c r="BJ423" s="13"/>
      <c r="BK423" s="684"/>
      <c r="BL423" s="684"/>
      <c r="BM423" s="684"/>
      <c r="BN423" s="677"/>
      <c r="BO423" s="677"/>
      <c r="BP423" s="541"/>
      <c r="BQ423" s="633"/>
      <c r="BR423" s="541"/>
      <c r="BS423" s="541"/>
      <c r="BT423" s="541"/>
      <c r="BU423" s="541"/>
    </row>
    <row r="424" ht="15.75" customHeight="1">
      <c r="A424" s="1591"/>
      <c r="B424" s="1591"/>
      <c r="C424" s="2217"/>
      <c r="D424" s="1541"/>
      <c r="E424" s="906"/>
      <c r="F424" s="1545"/>
      <c r="G424" s="2250"/>
      <c r="H424" s="1545"/>
      <c r="I424" s="2250"/>
      <c r="J424" s="1545"/>
      <c r="K424" s="2250"/>
      <c r="L424" s="1545"/>
      <c r="M424" s="2250"/>
      <c r="N424" s="1545"/>
      <c r="O424" s="2250"/>
      <c r="P424" s="1545"/>
      <c r="Q424" s="2250"/>
      <c r="R424" s="1545"/>
      <c r="S424" s="684"/>
      <c r="T424" s="1545"/>
      <c r="U424" s="684"/>
      <c r="V424" s="1545"/>
      <c r="W424" s="684"/>
      <c r="X424" s="1545"/>
      <c r="Y424" s="1545"/>
      <c r="Z424" s="1545"/>
      <c r="AA424" s="684"/>
      <c r="AB424" s="1545"/>
      <c r="AC424" s="684"/>
      <c r="AD424" s="684"/>
      <c r="AE424" s="684"/>
      <c r="AF424" s="684"/>
      <c r="AG424" s="684"/>
      <c r="AH424" s="684"/>
      <c r="AI424" s="684"/>
      <c r="AJ424" s="684"/>
      <c r="AK424" s="684"/>
      <c r="AL424" s="684"/>
      <c r="AM424" s="684"/>
      <c r="AN424" s="1545"/>
      <c r="AO424" s="1545"/>
      <c r="AP424" s="1545"/>
      <c r="AQ424" s="1545"/>
      <c r="AR424" s="1545"/>
      <c r="AS424" s="684"/>
      <c r="AT424" s="684"/>
      <c r="AU424" s="684"/>
      <c r="AV424" s="684"/>
      <c r="AW424" s="684"/>
      <c r="AX424" s="677"/>
      <c r="AY424" s="684"/>
      <c r="AZ424" s="683"/>
      <c r="BA424" s="684"/>
      <c r="BB424" s="13"/>
      <c r="BC424" s="684"/>
      <c r="BD424" s="13"/>
      <c r="BE424" s="684"/>
      <c r="BF424" s="13"/>
      <c r="BG424" s="684"/>
      <c r="BH424" s="13"/>
      <c r="BI424" s="684"/>
      <c r="BJ424" s="13"/>
      <c r="BK424" s="684"/>
      <c r="BL424" s="684"/>
      <c r="BM424" s="684"/>
      <c r="BN424" s="677"/>
      <c r="BO424" s="677"/>
      <c r="BP424" s="541"/>
      <c r="BQ424" s="633"/>
      <c r="BR424" s="541"/>
      <c r="BS424" s="541"/>
      <c r="BT424" s="541"/>
      <c r="BU424" s="541"/>
    </row>
    <row r="425" ht="15.75" customHeight="1">
      <c r="A425" s="1591"/>
      <c r="B425" s="1591"/>
      <c r="C425" s="2217"/>
      <c r="D425" s="1541"/>
      <c r="E425" s="906"/>
      <c r="F425" s="1545"/>
      <c r="G425" s="2250"/>
      <c r="H425" s="1545"/>
      <c r="I425" s="2250"/>
      <c r="J425" s="1545"/>
      <c r="K425" s="2250"/>
      <c r="L425" s="1545"/>
      <c r="M425" s="2250"/>
      <c r="N425" s="1545"/>
      <c r="O425" s="2250"/>
      <c r="P425" s="1545"/>
      <c r="Q425" s="2250"/>
      <c r="R425" s="1545"/>
      <c r="S425" s="684"/>
      <c r="T425" s="1545"/>
      <c r="U425" s="684"/>
      <c r="V425" s="1545"/>
      <c r="W425" s="684"/>
      <c r="X425" s="1545"/>
      <c r="Y425" s="1545"/>
      <c r="Z425" s="1545"/>
      <c r="AA425" s="684"/>
      <c r="AB425" s="1545"/>
      <c r="AC425" s="684"/>
      <c r="AD425" s="684"/>
      <c r="AE425" s="684"/>
      <c r="AF425" s="684"/>
      <c r="AG425" s="684"/>
      <c r="AH425" s="684"/>
      <c r="AI425" s="684"/>
      <c r="AJ425" s="684"/>
      <c r="AK425" s="684"/>
      <c r="AL425" s="684"/>
      <c r="AM425" s="684"/>
      <c r="AN425" s="1545"/>
      <c r="AO425" s="1545"/>
      <c r="AP425" s="1545"/>
      <c r="AQ425" s="1545"/>
      <c r="AR425" s="1545"/>
      <c r="AS425" s="684"/>
      <c r="AT425" s="684"/>
      <c r="AU425" s="684"/>
      <c r="AV425" s="684"/>
      <c r="AW425" s="684"/>
      <c r="AX425" s="677"/>
      <c r="AY425" s="684"/>
      <c r="AZ425" s="683"/>
      <c r="BA425" s="684"/>
      <c r="BB425" s="13"/>
      <c r="BC425" s="684"/>
      <c r="BD425" s="13"/>
      <c r="BE425" s="684"/>
      <c r="BF425" s="13"/>
      <c r="BG425" s="684"/>
      <c r="BH425" s="13"/>
      <c r="BI425" s="684"/>
      <c r="BJ425" s="13"/>
      <c r="BK425" s="684"/>
      <c r="BL425" s="684"/>
      <c r="BM425" s="684"/>
      <c r="BN425" s="677"/>
      <c r="BO425" s="677"/>
      <c r="BP425" s="541"/>
      <c r="BQ425" s="633"/>
      <c r="BR425" s="541"/>
      <c r="BS425" s="541"/>
      <c r="BT425" s="541"/>
      <c r="BU425" s="541"/>
    </row>
    <row r="426" ht="15.75" customHeight="1">
      <c r="A426" s="1591"/>
      <c r="B426" s="1591"/>
      <c r="C426" s="2217"/>
      <c r="D426" s="1541"/>
      <c r="E426" s="906"/>
      <c r="F426" s="1545"/>
      <c r="G426" s="2250"/>
      <c r="H426" s="1545"/>
      <c r="I426" s="2250"/>
      <c r="J426" s="1545"/>
      <c r="K426" s="2250"/>
      <c r="L426" s="1545"/>
      <c r="M426" s="2250"/>
      <c r="N426" s="1545"/>
      <c r="O426" s="2250"/>
      <c r="P426" s="1545"/>
      <c r="Q426" s="2250"/>
      <c r="R426" s="1545"/>
      <c r="S426" s="684"/>
      <c r="T426" s="1545"/>
      <c r="U426" s="684"/>
      <c r="V426" s="1545"/>
      <c r="W426" s="684"/>
      <c r="X426" s="1545"/>
      <c r="Y426" s="1545"/>
      <c r="Z426" s="1545"/>
      <c r="AA426" s="684"/>
      <c r="AB426" s="1545"/>
      <c r="AC426" s="684"/>
      <c r="AD426" s="684"/>
      <c r="AE426" s="684"/>
      <c r="AF426" s="684"/>
      <c r="AG426" s="684"/>
      <c r="AH426" s="684"/>
      <c r="AI426" s="684"/>
      <c r="AJ426" s="684"/>
      <c r="AK426" s="684"/>
      <c r="AL426" s="684"/>
      <c r="AM426" s="684"/>
      <c r="AN426" s="1545"/>
      <c r="AO426" s="1545"/>
      <c r="AP426" s="1545"/>
      <c r="AQ426" s="1545"/>
      <c r="AR426" s="1545"/>
      <c r="AS426" s="684"/>
      <c r="AT426" s="684"/>
      <c r="AU426" s="684"/>
      <c r="AV426" s="684"/>
      <c r="AW426" s="684"/>
      <c r="AX426" s="677"/>
      <c r="AY426" s="684"/>
      <c r="AZ426" s="683"/>
      <c r="BA426" s="684"/>
      <c r="BB426" s="13"/>
      <c r="BC426" s="684"/>
      <c r="BD426" s="13"/>
      <c r="BE426" s="684"/>
      <c r="BF426" s="13"/>
      <c r="BG426" s="684"/>
      <c r="BH426" s="13"/>
      <c r="BI426" s="684"/>
      <c r="BJ426" s="13"/>
      <c r="BK426" s="684"/>
      <c r="BL426" s="684"/>
      <c r="BM426" s="684"/>
      <c r="BN426" s="677"/>
      <c r="BO426" s="677"/>
      <c r="BP426" s="541"/>
      <c r="BQ426" s="633"/>
      <c r="BR426" s="541"/>
      <c r="BS426" s="541"/>
      <c r="BT426" s="541"/>
      <c r="BU426" s="541"/>
    </row>
    <row r="427" ht="15.75" customHeight="1">
      <c r="A427" s="1591"/>
      <c r="B427" s="1591"/>
      <c r="C427" s="2217"/>
      <c r="D427" s="1541"/>
      <c r="E427" s="906"/>
      <c r="F427" s="1545"/>
      <c r="G427" s="2250"/>
      <c r="H427" s="1545"/>
      <c r="I427" s="2250"/>
      <c r="J427" s="1545"/>
      <c r="K427" s="2250"/>
      <c r="L427" s="1545"/>
      <c r="M427" s="2250"/>
      <c r="N427" s="1545"/>
      <c r="O427" s="2250"/>
      <c r="P427" s="1545"/>
      <c r="Q427" s="2250"/>
      <c r="R427" s="1545"/>
      <c r="S427" s="684"/>
      <c r="T427" s="1545"/>
      <c r="U427" s="684"/>
      <c r="V427" s="1545"/>
      <c r="W427" s="684"/>
      <c r="X427" s="1545"/>
      <c r="Y427" s="1545"/>
      <c r="Z427" s="1545"/>
      <c r="AA427" s="684"/>
      <c r="AB427" s="1545"/>
      <c r="AC427" s="684"/>
      <c r="AD427" s="684"/>
      <c r="AE427" s="684"/>
      <c r="AF427" s="684"/>
      <c r="AG427" s="684"/>
      <c r="AH427" s="684"/>
      <c r="AI427" s="684"/>
      <c r="AJ427" s="684"/>
      <c r="AK427" s="684"/>
      <c r="AL427" s="684"/>
      <c r="AM427" s="684"/>
      <c r="AN427" s="1545"/>
      <c r="AO427" s="1545"/>
      <c r="AP427" s="1545"/>
      <c r="AQ427" s="1545"/>
      <c r="AR427" s="1545"/>
      <c r="AS427" s="684"/>
      <c r="AT427" s="684"/>
      <c r="AU427" s="684"/>
      <c r="AV427" s="684"/>
      <c r="AW427" s="684"/>
      <c r="AX427" s="677"/>
      <c r="AY427" s="684"/>
      <c r="AZ427" s="683"/>
      <c r="BA427" s="684"/>
      <c r="BB427" s="13"/>
      <c r="BC427" s="684"/>
      <c r="BD427" s="13"/>
      <c r="BE427" s="684"/>
      <c r="BF427" s="13"/>
      <c r="BG427" s="684"/>
      <c r="BH427" s="13"/>
      <c r="BI427" s="684"/>
      <c r="BJ427" s="13"/>
      <c r="BK427" s="684"/>
      <c r="BL427" s="684"/>
      <c r="BM427" s="684"/>
      <c r="BN427" s="677"/>
      <c r="BO427" s="677"/>
      <c r="BP427" s="541"/>
      <c r="BQ427" s="633"/>
      <c r="BR427" s="541"/>
      <c r="BS427" s="541"/>
      <c r="BT427" s="541"/>
      <c r="BU427" s="541"/>
    </row>
    <row r="428" ht="15.75" customHeight="1">
      <c r="A428" s="1591"/>
      <c r="B428" s="1591"/>
      <c r="C428" s="2217"/>
      <c r="D428" s="1541"/>
      <c r="E428" s="906"/>
      <c r="F428" s="1545"/>
      <c r="G428" s="2250"/>
      <c r="H428" s="1545"/>
      <c r="I428" s="2250"/>
      <c r="J428" s="1545"/>
      <c r="K428" s="2250"/>
      <c r="L428" s="1545"/>
      <c r="M428" s="2250"/>
      <c r="N428" s="1545"/>
      <c r="O428" s="2250"/>
      <c r="P428" s="1545"/>
      <c r="Q428" s="2250"/>
      <c r="R428" s="1545"/>
      <c r="S428" s="684"/>
      <c r="T428" s="1545"/>
      <c r="U428" s="684"/>
      <c r="V428" s="1545"/>
      <c r="W428" s="684"/>
      <c r="X428" s="1545"/>
      <c r="Y428" s="1545"/>
      <c r="Z428" s="1545"/>
      <c r="AA428" s="684"/>
      <c r="AB428" s="1545"/>
      <c r="AC428" s="684"/>
      <c r="AD428" s="684"/>
      <c r="AE428" s="684"/>
      <c r="AF428" s="684"/>
      <c r="AG428" s="684"/>
      <c r="AH428" s="684"/>
      <c r="AI428" s="684"/>
      <c r="AJ428" s="684"/>
      <c r="AK428" s="684"/>
      <c r="AL428" s="684"/>
      <c r="AM428" s="684"/>
      <c r="AN428" s="1545"/>
      <c r="AO428" s="1545"/>
      <c r="AP428" s="1545"/>
      <c r="AQ428" s="1545"/>
      <c r="AR428" s="1545"/>
      <c r="AS428" s="684"/>
      <c r="AT428" s="684"/>
      <c r="AU428" s="684"/>
      <c r="AV428" s="684"/>
      <c r="AW428" s="684"/>
      <c r="AX428" s="677"/>
      <c r="AY428" s="684"/>
      <c r="AZ428" s="683"/>
      <c r="BA428" s="684"/>
      <c r="BB428" s="13"/>
      <c r="BC428" s="684"/>
      <c r="BD428" s="13"/>
      <c r="BE428" s="684"/>
      <c r="BF428" s="13"/>
      <c r="BG428" s="684"/>
      <c r="BH428" s="13"/>
      <c r="BI428" s="684"/>
      <c r="BJ428" s="13"/>
      <c r="BK428" s="684"/>
      <c r="BL428" s="684"/>
      <c r="BM428" s="684"/>
      <c r="BN428" s="677"/>
      <c r="BO428" s="677"/>
      <c r="BP428" s="541"/>
      <c r="BQ428" s="633"/>
      <c r="BR428" s="541"/>
      <c r="BS428" s="541"/>
      <c r="BT428" s="541"/>
      <c r="BU428" s="541"/>
    </row>
    <row r="429" ht="15.75" customHeight="1">
      <c r="A429" s="1591"/>
      <c r="B429" s="1591"/>
      <c r="C429" s="2217"/>
      <c r="D429" s="1541"/>
      <c r="E429" s="906"/>
      <c r="F429" s="1545"/>
      <c r="G429" s="2250"/>
      <c r="H429" s="1545"/>
      <c r="I429" s="2250"/>
      <c r="J429" s="1545"/>
      <c r="K429" s="2250"/>
      <c r="L429" s="1545"/>
      <c r="M429" s="2250"/>
      <c r="N429" s="1545"/>
      <c r="O429" s="2250"/>
      <c r="P429" s="1545"/>
      <c r="Q429" s="2250"/>
      <c r="R429" s="1545"/>
      <c r="S429" s="684"/>
      <c r="T429" s="1545"/>
      <c r="U429" s="684"/>
      <c r="V429" s="1545"/>
      <c r="W429" s="684"/>
      <c r="X429" s="1545"/>
      <c r="Y429" s="1545"/>
      <c r="Z429" s="1545"/>
      <c r="AA429" s="684"/>
      <c r="AB429" s="1545"/>
      <c r="AC429" s="684"/>
      <c r="AD429" s="684"/>
      <c r="AE429" s="684"/>
      <c r="AF429" s="684"/>
      <c r="AG429" s="684"/>
      <c r="AH429" s="684"/>
      <c r="AI429" s="684"/>
      <c r="AJ429" s="684"/>
      <c r="AK429" s="684"/>
      <c r="AL429" s="684"/>
      <c r="AM429" s="684"/>
      <c r="AN429" s="1545"/>
      <c r="AO429" s="1545"/>
      <c r="AP429" s="1545"/>
      <c r="AQ429" s="1545"/>
      <c r="AR429" s="1545"/>
      <c r="AS429" s="684"/>
      <c r="AT429" s="684"/>
      <c r="AU429" s="684"/>
      <c r="AV429" s="684"/>
      <c r="AW429" s="684"/>
      <c r="AX429" s="677"/>
      <c r="AY429" s="684"/>
      <c r="AZ429" s="683"/>
      <c r="BA429" s="684"/>
      <c r="BB429" s="13"/>
      <c r="BC429" s="684"/>
      <c r="BD429" s="13"/>
      <c r="BE429" s="684"/>
      <c r="BF429" s="13"/>
      <c r="BG429" s="684"/>
      <c r="BH429" s="13"/>
      <c r="BI429" s="684"/>
      <c r="BJ429" s="13"/>
      <c r="BK429" s="684"/>
      <c r="BL429" s="684"/>
      <c r="BM429" s="684"/>
      <c r="BN429" s="677"/>
      <c r="BO429" s="677"/>
      <c r="BP429" s="541"/>
      <c r="BQ429" s="633"/>
      <c r="BR429" s="541"/>
      <c r="BS429" s="541"/>
      <c r="BT429" s="541"/>
      <c r="BU429" s="541"/>
    </row>
    <row r="430" ht="15.75" customHeight="1">
      <c r="A430" s="1591"/>
      <c r="B430" s="1591"/>
      <c r="C430" s="2217"/>
      <c r="D430" s="1541"/>
      <c r="E430" s="906"/>
      <c r="F430" s="1545"/>
      <c r="G430" s="2250"/>
      <c r="H430" s="1545"/>
      <c r="I430" s="2250"/>
      <c r="J430" s="1545"/>
      <c r="K430" s="2250"/>
      <c r="L430" s="1545"/>
      <c r="M430" s="2250"/>
      <c r="N430" s="1545"/>
      <c r="O430" s="2250"/>
      <c r="P430" s="1545"/>
      <c r="Q430" s="2250"/>
      <c r="R430" s="1545"/>
      <c r="S430" s="684"/>
      <c r="T430" s="1545"/>
      <c r="U430" s="684"/>
      <c r="V430" s="1545"/>
      <c r="W430" s="684"/>
      <c r="X430" s="1545"/>
      <c r="Y430" s="1545"/>
      <c r="Z430" s="1545"/>
      <c r="AA430" s="684"/>
      <c r="AB430" s="1545"/>
      <c r="AC430" s="684"/>
      <c r="AD430" s="684"/>
      <c r="AE430" s="684"/>
      <c r="AF430" s="684"/>
      <c r="AG430" s="684"/>
      <c r="AH430" s="684"/>
      <c r="AI430" s="684"/>
      <c r="AJ430" s="684"/>
      <c r="AK430" s="684"/>
      <c r="AL430" s="684"/>
      <c r="AM430" s="684"/>
      <c r="AN430" s="1545"/>
      <c r="AO430" s="1545"/>
      <c r="AP430" s="1545"/>
      <c r="AQ430" s="1545"/>
      <c r="AR430" s="1545"/>
      <c r="AS430" s="684"/>
      <c r="AT430" s="684"/>
      <c r="AU430" s="684"/>
      <c r="AV430" s="684"/>
      <c r="AW430" s="684"/>
      <c r="AX430" s="677"/>
      <c r="AY430" s="684"/>
      <c r="AZ430" s="683"/>
      <c r="BA430" s="684"/>
      <c r="BB430" s="13"/>
      <c r="BC430" s="684"/>
      <c r="BD430" s="13"/>
      <c r="BE430" s="684"/>
      <c r="BF430" s="13"/>
      <c r="BG430" s="684"/>
      <c r="BH430" s="13"/>
      <c r="BI430" s="684"/>
      <c r="BJ430" s="13"/>
      <c r="BK430" s="684"/>
      <c r="BL430" s="684"/>
      <c r="BM430" s="684"/>
      <c r="BN430" s="677"/>
      <c r="BO430" s="677"/>
      <c r="BP430" s="541"/>
      <c r="BQ430" s="633"/>
      <c r="BR430" s="541"/>
      <c r="BS430" s="541"/>
      <c r="BT430" s="541"/>
      <c r="BU430" s="541"/>
    </row>
    <row r="431" ht="15.75" customHeight="1">
      <c r="A431" s="1591"/>
      <c r="B431" s="1591"/>
      <c r="C431" s="2217"/>
      <c r="D431" s="1541"/>
      <c r="E431" s="906"/>
      <c r="F431" s="1545"/>
      <c r="G431" s="2250"/>
      <c r="H431" s="1545"/>
      <c r="I431" s="2250"/>
      <c r="J431" s="1545"/>
      <c r="K431" s="2250"/>
      <c r="L431" s="1545"/>
      <c r="M431" s="2250"/>
      <c r="N431" s="1545"/>
      <c r="O431" s="2250"/>
      <c r="P431" s="1545"/>
      <c r="Q431" s="2250"/>
      <c r="R431" s="1545"/>
      <c r="S431" s="684"/>
      <c r="T431" s="1545"/>
      <c r="U431" s="684"/>
      <c r="V431" s="1545"/>
      <c r="W431" s="684"/>
      <c r="X431" s="1545"/>
      <c r="Y431" s="1545"/>
      <c r="Z431" s="1545"/>
      <c r="AA431" s="684"/>
      <c r="AB431" s="1545"/>
      <c r="AC431" s="684"/>
      <c r="AD431" s="684"/>
      <c r="AE431" s="684"/>
      <c r="AF431" s="684"/>
      <c r="AG431" s="684"/>
      <c r="AH431" s="684"/>
      <c r="AI431" s="684"/>
      <c r="AJ431" s="684"/>
      <c r="AK431" s="684"/>
      <c r="AL431" s="684"/>
      <c r="AM431" s="684"/>
      <c r="AN431" s="1545"/>
      <c r="AO431" s="1545"/>
      <c r="AP431" s="1545"/>
      <c r="AQ431" s="1545"/>
      <c r="AR431" s="1545"/>
      <c r="AS431" s="684"/>
      <c r="AT431" s="684"/>
      <c r="AU431" s="684"/>
      <c r="AV431" s="684"/>
      <c r="AW431" s="684"/>
      <c r="AX431" s="677"/>
      <c r="AY431" s="684"/>
      <c r="AZ431" s="683"/>
      <c r="BA431" s="684"/>
      <c r="BB431" s="13"/>
      <c r="BC431" s="684"/>
      <c r="BD431" s="13"/>
      <c r="BE431" s="684"/>
      <c r="BF431" s="13"/>
      <c r="BG431" s="684"/>
      <c r="BH431" s="13"/>
      <c r="BI431" s="684"/>
      <c r="BJ431" s="13"/>
      <c r="BK431" s="684"/>
      <c r="BL431" s="684"/>
      <c r="BM431" s="684"/>
      <c r="BN431" s="677"/>
      <c r="BO431" s="677"/>
      <c r="BP431" s="541"/>
      <c r="BQ431" s="633"/>
      <c r="BR431" s="541"/>
      <c r="BS431" s="541"/>
      <c r="BT431" s="541"/>
      <c r="BU431" s="541"/>
    </row>
    <row r="432" ht="15.75" customHeight="1">
      <c r="A432" s="1591"/>
      <c r="B432" s="1591"/>
      <c r="C432" s="2217"/>
      <c r="D432" s="1541"/>
      <c r="E432" s="906"/>
      <c r="F432" s="1545"/>
      <c r="G432" s="2250"/>
      <c r="H432" s="1545"/>
      <c r="I432" s="2250"/>
      <c r="J432" s="1545"/>
      <c r="K432" s="2250"/>
      <c r="L432" s="1545"/>
      <c r="M432" s="2250"/>
      <c r="N432" s="1545"/>
      <c r="O432" s="2250"/>
      <c r="P432" s="1545"/>
      <c r="Q432" s="2250"/>
      <c r="R432" s="1545"/>
      <c r="S432" s="684"/>
      <c r="T432" s="1545"/>
      <c r="U432" s="684"/>
      <c r="V432" s="1545"/>
      <c r="W432" s="684"/>
      <c r="X432" s="1545"/>
      <c r="Y432" s="1545"/>
      <c r="Z432" s="1545"/>
      <c r="AA432" s="684"/>
      <c r="AB432" s="1545"/>
      <c r="AC432" s="684"/>
      <c r="AD432" s="684"/>
      <c r="AE432" s="684"/>
      <c r="AF432" s="684"/>
      <c r="AG432" s="684"/>
      <c r="AH432" s="684"/>
      <c r="AI432" s="684"/>
      <c r="AJ432" s="684"/>
      <c r="AK432" s="684"/>
      <c r="AL432" s="684"/>
      <c r="AM432" s="684"/>
      <c r="AN432" s="1545"/>
      <c r="AO432" s="1545"/>
      <c r="AP432" s="1545"/>
      <c r="AQ432" s="1545"/>
      <c r="AR432" s="1545"/>
      <c r="AS432" s="684"/>
      <c r="AT432" s="684"/>
      <c r="AU432" s="684"/>
      <c r="AV432" s="684"/>
      <c r="AW432" s="684"/>
      <c r="AX432" s="677"/>
      <c r="AY432" s="684"/>
      <c r="AZ432" s="683"/>
      <c r="BA432" s="684"/>
      <c r="BB432" s="13"/>
      <c r="BC432" s="684"/>
      <c r="BD432" s="13"/>
      <c r="BE432" s="684"/>
      <c r="BF432" s="13"/>
      <c r="BG432" s="684"/>
      <c r="BH432" s="13"/>
      <c r="BI432" s="684"/>
      <c r="BJ432" s="13"/>
      <c r="BK432" s="684"/>
      <c r="BL432" s="684"/>
      <c r="BM432" s="684"/>
      <c r="BN432" s="677"/>
      <c r="BO432" s="677"/>
      <c r="BP432" s="541"/>
      <c r="BQ432" s="633"/>
      <c r="BR432" s="541"/>
      <c r="BS432" s="541"/>
      <c r="BT432" s="541"/>
      <c r="BU432" s="541"/>
    </row>
    <row r="433" ht="15.75" customHeight="1">
      <c r="A433" s="1591"/>
      <c r="B433" s="1591"/>
      <c r="C433" s="2217"/>
      <c r="D433" s="1541"/>
      <c r="E433" s="906"/>
      <c r="F433" s="1545"/>
      <c r="G433" s="2250"/>
      <c r="H433" s="1545"/>
      <c r="I433" s="2250"/>
      <c r="J433" s="1545"/>
      <c r="K433" s="2250"/>
      <c r="L433" s="1545"/>
      <c r="M433" s="2250"/>
      <c r="N433" s="1545"/>
      <c r="O433" s="2250"/>
      <c r="P433" s="1545"/>
      <c r="Q433" s="2250"/>
      <c r="R433" s="1545"/>
      <c r="S433" s="684"/>
      <c r="T433" s="1545"/>
      <c r="U433" s="684"/>
      <c r="V433" s="1545"/>
      <c r="W433" s="684"/>
      <c r="X433" s="1545"/>
      <c r="Y433" s="1545"/>
      <c r="Z433" s="1545"/>
      <c r="AA433" s="684"/>
      <c r="AB433" s="1545"/>
      <c r="AC433" s="684"/>
      <c r="AD433" s="684"/>
      <c r="AE433" s="684"/>
      <c r="AF433" s="684"/>
      <c r="AG433" s="684"/>
      <c r="AH433" s="684"/>
      <c r="AI433" s="684"/>
      <c r="AJ433" s="684"/>
      <c r="AK433" s="684"/>
      <c r="AL433" s="684"/>
      <c r="AM433" s="684"/>
      <c r="AN433" s="1545"/>
      <c r="AO433" s="1545"/>
      <c r="AP433" s="1545"/>
      <c r="AQ433" s="1545"/>
      <c r="AR433" s="1545"/>
      <c r="AS433" s="684"/>
      <c r="AT433" s="684"/>
      <c r="AU433" s="684"/>
      <c r="AV433" s="684"/>
      <c r="AW433" s="684"/>
      <c r="AX433" s="677"/>
      <c r="AY433" s="684"/>
      <c r="AZ433" s="683"/>
      <c r="BA433" s="684"/>
      <c r="BB433" s="13"/>
      <c r="BC433" s="684"/>
      <c r="BD433" s="13"/>
      <c r="BE433" s="684"/>
      <c r="BF433" s="13"/>
      <c r="BG433" s="684"/>
      <c r="BH433" s="13"/>
      <c r="BI433" s="684"/>
      <c r="BJ433" s="13"/>
      <c r="BK433" s="684"/>
      <c r="BL433" s="684"/>
      <c r="BM433" s="684"/>
      <c r="BN433" s="677"/>
      <c r="BO433" s="677"/>
      <c r="BP433" s="541"/>
      <c r="BQ433" s="633"/>
      <c r="BR433" s="541"/>
      <c r="BS433" s="541"/>
      <c r="BT433" s="541"/>
      <c r="BU433" s="541"/>
    </row>
    <row r="434" ht="15.75" customHeight="1">
      <c r="A434" s="1591"/>
      <c r="B434" s="1591"/>
      <c r="C434" s="2217"/>
      <c r="D434" s="1541"/>
      <c r="E434" s="906"/>
      <c r="F434" s="1545"/>
      <c r="G434" s="2250"/>
      <c r="H434" s="1545"/>
      <c r="I434" s="2250"/>
      <c r="J434" s="1545"/>
      <c r="K434" s="2250"/>
      <c r="L434" s="1545"/>
      <c r="M434" s="2250"/>
      <c r="N434" s="1545"/>
      <c r="O434" s="2250"/>
      <c r="P434" s="1545"/>
      <c r="Q434" s="2250"/>
      <c r="R434" s="1545"/>
      <c r="S434" s="684"/>
      <c r="T434" s="1545"/>
      <c r="U434" s="684"/>
      <c r="V434" s="1545"/>
      <c r="W434" s="684"/>
      <c r="X434" s="1545"/>
      <c r="Y434" s="1545"/>
      <c r="Z434" s="1545"/>
      <c r="AA434" s="684"/>
      <c r="AB434" s="1545"/>
      <c r="AC434" s="684"/>
      <c r="AD434" s="684"/>
      <c r="AE434" s="684"/>
      <c r="AF434" s="684"/>
      <c r="AG434" s="684"/>
      <c r="AH434" s="684"/>
      <c r="AI434" s="684"/>
      <c r="AJ434" s="684"/>
      <c r="AK434" s="684"/>
      <c r="AL434" s="684"/>
      <c r="AM434" s="684"/>
      <c r="AN434" s="1545"/>
      <c r="AO434" s="1545"/>
      <c r="AP434" s="1545"/>
      <c r="AQ434" s="1545"/>
      <c r="AR434" s="1545"/>
      <c r="AS434" s="684"/>
      <c r="AT434" s="684"/>
      <c r="AU434" s="684"/>
      <c r="AV434" s="684"/>
      <c r="AW434" s="684"/>
      <c r="AX434" s="677"/>
      <c r="AY434" s="684"/>
      <c r="AZ434" s="683"/>
      <c r="BA434" s="684"/>
      <c r="BB434" s="13"/>
      <c r="BC434" s="684"/>
      <c r="BD434" s="13"/>
      <c r="BE434" s="684"/>
      <c r="BF434" s="13"/>
      <c r="BG434" s="684"/>
      <c r="BH434" s="13"/>
      <c r="BI434" s="684"/>
      <c r="BJ434" s="13"/>
      <c r="BK434" s="684"/>
      <c r="BL434" s="684"/>
      <c r="BM434" s="684"/>
      <c r="BN434" s="677"/>
      <c r="BO434" s="677"/>
      <c r="BP434" s="541"/>
      <c r="BQ434" s="633"/>
      <c r="BR434" s="541"/>
      <c r="BS434" s="541"/>
      <c r="BT434" s="541"/>
      <c r="BU434" s="541"/>
    </row>
    <row r="435" ht="15.75" customHeight="1">
      <c r="A435" s="1591"/>
      <c r="B435" s="1591"/>
      <c r="C435" s="2217"/>
      <c r="D435" s="1541"/>
      <c r="E435" s="906"/>
      <c r="F435" s="1545"/>
      <c r="G435" s="2250"/>
      <c r="H435" s="1545"/>
      <c r="I435" s="2250"/>
      <c r="J435" s="1545"/>
      <c r="K435" s="2250"/>
      <c r="L435" s="1545"/>
      <c r="M435" s="2250"/>
      <c r="N435" s="1545"/>
      <c r="O435" s="2250"/>
      <c r="P435" s="1545"/>
      <c r="Q435" s="2250"/>
      <c r="R435" s="1545"/>
      <c r="S435" s="684"/>
      <c r="T435" s="1545"/>
      <c r="U435" s="684"/>
      <c r="V435" s="1545"/>
      <c r="W435" s="684"/>
      <c r="X435" s="1545"/>
      <c r="Y435" s="1545"/>
      <c r="Z435" s="1545"/>
      <c r="AA435" s="684"/>
      <c r="AB435" s="1545"/>
      <c r="AC435" s="684"/>
      <c r="AD435" s="684"/>
      <c r="AE435" s="684"/>
      <c r="AF435" s="684"/>
      <c r="AG435" s="684"/>
      <c r="AH435" s="684"/>
      <c r="AI435" s="684"/>
      <c r="AJ435" s="684"/>
      <c r="AK435" s="684"/>
      <c r="AL435" s="684"/>
      <c r="AM435" s="684"/>
      <c r="AN435" s="1545"/>
      <c r="AO435" s="1545"/>
      <c r="AP435" s="1545"/>
      <c r="AQ435" s="1545"/>
      <c r="AR435" s="1545"/>
      <c r="AS435" s="684"/>
      <c r="AT435" s="684"/>
      <c r="AU435" s="684"/>
      <c r="AV435" s="684"/>
      <c r="AW435" s="684"/>
      <c r="AX435" s="677"/>
      <c r="AY435" s="684"/>
      <c r="AZ435" s="683"/>
      <c r="BA435" s="684"/>
      <c r="BB435" s="13"/>
      <c r="BC435" s="684"/>
      <c r="BD435" s="13"/>
      <c r="BE435" s="684"/>
      <c r="BF435" s="13"/>
      <c r="BG435" s="684"/>
      <c r="BH435" s="13"/>
      <c r="BI435" s="684"/>
      <c r="BJ435" s="13"/>
      <c r="BK435" s="684"/>
      <c r="BL435" s="684"/>
      <c r="BM435" s="684"/>
      <c r="BN435" s="677"/>
      <c r="BO435" s="677"/>
      <c r="BP435" s="541"/>
      <c r="BQ435" s="633"/>
      <c r="BR435" s="541"/>
      <c r="BS435" s="541"/>
      <c r="BT435" s="541"/>
      <c r="BU435" s="541"/>
    </row>
    <row r="436" ht="15.75" customHeight="1">
      <c r="A436" s="1591"/>
      <c r="B436" s="1591"/>
      <c r="C436" s="2217"/>
      <c r="D436" s="1541"/>
      <c r="E436" s="906"/>
      <c r="F436" s="1545"/>
      <c r="G436" s="2250"/>
      <c r="H436" s="1545"/>
      <c r="I436" s="2250"/>
      <c r="J436" s="1545"/>
      <c r="K436" s="2250"/>
      <c r="L436" s="1545"/>
      <c r="M436" s="2250"/>
      <c r="N436" s="1545"/>
      <c r="O436" s="2250"/>
      <c r="P436" s="1545"/>
      <c r="Q436" s="2250"/>
      <c r="R436" s="1545"/>
      <c r="S436" s="684"/>
      <c r="T436" s="1545"/>
      <c r="U436" s="684"/>
      <c r="V436" s="1545"/>
      <c r="W436" s="684"/>
      <c r="X436" s="1545"/>
      <c r="Y436" s="1545"/>
      <c r="Z436" s="1545"/>
      <c r="AA436" s="684"/>
      <c r="AB436" s="1545"/>
      <c r="AC436" s="684"/>
      <c r="AD436" s="684"/>
      <c r="AE436" s="684"/>
      <c r="AF436" s="684"/>
      <c r="AG436" s="684"/>
      <c r="AH436" s="684"/>
      <c r="AI436" s="684"/>
      <c r="AJ436" s="684"/>
      <c r="AK436" s="684"/>
      <c r="AL436" s="684"/>
      <c r="AM436" s="684"/>
      <c r="AN436" s="1545"/>
      <c r="AO436" s="1545"/>
      <c r="AP436" s="1545"/>
      <c r="AQ436" s="1545"/>
      <c r="AR436" s="1545"/>
      <c r="AS436" s="684"/>
      <c r="AT436" s="684"/>
      <c r="AU436" s="684"/>
      <c r="AV436" s="684"/>
      <c r="AW436" s="684"/>
      <c r="AX436" s="677"/>
      <c r="AY436" s="684"/>
      <c r="AZ436" s="683"/>
      <c r="BA436" s="684"/>
      <c r="BB436" s="13"/>
      <c r="BC436" s="684"/>
      <c r="BD436" s="13"/>
      <c r="BE436" s="684"/>
      <c r="BF436" s="13"/>
      <c r="BG436" s="684"/>
      <c r="BH436" s="13"/>
      <c r="BI436" s="684"/>
      <c r="BJ436" s="13"/>
      <c r="BK436" s="684"/>
      <c r="BL436" s="684"/>
      <c r="BM436" s="684"/>
      <c r="BN436" s="677"/>
      <c r="BO436" s="677"/>
      <c r="BP436" s="541"/>
      <c r="BQ436" s="633"/>
      <c r="BR436" s="541"/>
      <c r="BS436" s="541"/>
      <c r="BT436" s="541"/>
      <c r="BU436" s="541"/>
    </row>
    <row r="437" ht="15.75" customHeight="1">
      <c r="A437" s="1591"/>
      <c r="B437" s="1591"/>
      <c r="C437" s="2217"/>
      <c r="D437" s="1541"/>
      <c r="E437" s="906"/>
      <c r="F437" s="1545"/>
      <c r="G437" s="2250"/>
      <c r="H437" s="1545"/>
      <c r="I437" s="2250"/>
      <c r="J437" s="1545"/>
      <c r="K437" s="2250"/>
      <c r="L437" s="1545"/>
      <c r="M437" s="2250"/>
      <c r="N437" s="1545"/>
      <c r="O437" s="2250"/>
      <c r="P437" s="1545"/>
      <c r="Q437" s="2250"/>
      <c r="R437" s="1545"/>
      <c r="S437" s="684"/>
      <c r="T437" s="1545"/>
      <c r="U437" s="684"/>
      <c r="V437" s="1545"/>
      <c r="W437" s="684"/>
      <c r="X437" s="1545"/>
      <c r="Y437" s="1545"/>
      <c r="Z437" s="1545"/>
      <c r="AA437" s="684"/>
      <c r="AB437" s="1545"/>
      <c r="AC437" s="684"/>
      <c r="AD437" s="684"/>
      <c r="AE437" s="684"/>
      <c r="AF437" s="684"/>
      <c r="AG437" s="684"/>
      <c r="AH437" s="684"/>
      <c r="AI437" s="684"/>
      <c r="AJ437" s="684"/>
      <c r="AK437" s="684"/>
      <c r="AL437" s="684"/>
      <c r="AM437" s="684"/>
      <c r="AN437" s="1545"/>
      <c r="AO437" s="1545"/>
      <c r="AP437" s="1545"/>
      <c r="AQ437" s="1545"/>
      <c r="AR437" s="1545"/>
      <c r="AS437" s="684"/>
      <c r="AT437" s="684"/>
      <c r="AU437" s="684"/>
      <c r="AV437" s="684"/>
      <c r="AW437" s="684"/>
      <c r="AX437" s="677"/>
      <c r="AY437" s="684"/>
      <c r="AZ437" s="683"/>
      <c r="BA437" s="684"/>
      <c r="BB437" s="13"/>
      <c r="BC437" s="684"/>
      <c r="BD437" s="13"/>
      <c r="BE437" s="684"/>
      <c r="BF437" s="13"/>
      <c r="BG437" s="684"/>
      <c r="BH437" s="13"/>
      <c r="BI437" s="684"/>
      <c r="BJ437" s="13"/>
      <c r="BK437" s="684"/>
      <c r="BL437" s="684"/>
      <c r="BM437" s="684"/>
      <c r="BN437" s="677"/>
      <c r="BO437" s="677"/>
      <c r="BP437" s="541"/>
      <c r="BQ437" s="633"/>
      <c r="BR437" s="541"/>
      <c r="BS437" s="541"/>
      <c r="BT437" s="541"/>
      <c r="BU437" s="541"/>
    </row>
    <row r="438" ht="15.75" customHeight="1">
      <c r="A438" s="1591"/>
      <c r="B438" s="1591"/>
      <c r="C438" s="2217"/>
      <c r="D438" s="1541"/>
      <c r="E438" s="906"/>
      <c r="F438" s="1545"/>
      <c r="G438" s="2250"/>
      <c r="H438" s="1545"/>
      <c r="I438" s="2250"/>
      <c r="J438" s="1545"/>
      <c r="K438" s="2250"/>
      <c r="L438" s="1545"/>
      <c r="M438" s="2250"/>
      <c r="N438" s="1545"/>
      <c r="O438" s="2250"/>
      <c r="P438" s="1545"/>
      <c r="Q438" s="2250"/>
      <c r="R438" s="1545"/>
      <c r="S438" s="684"/>
      <c r="T438" s="1545"/>
      <c r="U438" s="684"/>
      <c r="V438" s="1545"/>
      <c r="W438" s="684"/>
      <c r="X438" s="1545"/>
      <c r="Y438" s="1545"/>
      <c r="Z438" s="1545"/>
      <c r="AA438" s="684"/>
      <c r="AB438" s="1545"/>
      <c r="AC438" s="684"/>
      <c r="AD438" s="684"/>
      <c r="AE438" s="684"/>
      <c r="AF438" s="684"/>
      <c r="AG438" s="684"/>
      <c r="AH438" s="684"/>
      <c r="AI438" s="684"/>
      <c r="AJ438" s="684"/>
      <c r="AK438" s="684"/>
      <c r="AL438" s="684"/>
      <c r="AM438" s="684"/>
      <c r="AN438" s="1545"/>
      <c r="AO438" s="1545"/>
      <c r="AP438" s="1545"/>
      <c r="AQ438" s="1545"/>
      <c r="AR438" s="1545"/>
      <c r="AS438" s="684"/>
      <c r="AT438" s="684"/>
      <c r="AU438" s="684"/>
      <c r="AV438" s="684"/>
      <c r="AW438" s="684"/>
      <c r="AX438" s="677"/>
      <c r="AY438" s="684"/>
      <c r="AZ438" s="683"/>
      <c r="BA438" s="684"/>
      <c r="BB438" s="13"/>
      <c r="BC438" s="684"/>
      <c r="BD438" s="13"/>
      <c r="BE438" s="684"/>
      <c r="BF438" s="13"/>
      <c r="BG438" s="684"/>
      <c r="BH438" s="13"/>
      <c r="BI438" s="684"/>
      <c r="BJ438" s="13"/>
      <c r="BK438" s="684"/>
      <c r="BL438" s="684"/>
      <c r="BM438" s="684"/>
      <c r="BN438" s="677"/>
      <c r="BO438" s="677"/>
      <c r="BP438" s="541"/>
      <c r="BQ438" s="633"/>
      <c r="BR438" s="541"/>
      <c r="BS438" s="541"/>
      <c r="BT438" s="541"/>
      <c r="BU438" s="541"/>
    </row>
    <row r="439" ht="15.75" customHeight="1">
      <c r="A439" s="1591"/>
      <c r="B439" s="1591"/>
      <c r="C439" s="2217"/>
      <c r="D439" s="1541"/>
      <c r="E439" s="906"/>
      <c r="F439" s="1545"/>
      <c r="G439" s="2250"/>
      <c r="H439" s="1545"/>
      <c r="I439" s="2250"/>
      <c r="J439" s="1545"/>
      <c r="K439" s="2250"/>
      <c r="L439" s="1545"/>
      <c r="M439" s="2250"/>
      <c r="N439" s="1545"/>
      <c r="O439" s="2250"/>
      <c r="P439" s="1545"/>
      <c r="Q439" s="2250"/>
      <c r="R439" s="1545"/>
      <c r="S439" s="684"/>
      <c r="T439" s="1545"/>
      <c r="U439" s="684"/>
      <c r="V439" s="1545"/>
      <c r="W439" s="684"/>
      <c r="X439" s="1545"/>
      <c r="Y439" s="1545"/>
      <c r="Z439" s="1545"/>
      <c r="AA439" s="684"/>
      <c r="AB439" s="1545"/>
      <c r="AC439" s="684"/>
      <c r="AD439" s="684"/>
      <c r="AE439" s="684"/>
      <c r="AF439" s="684"/>
      <c r="AG439" s="684"/>
      <c r="AH439" s="684"/>
      <c r="AI439" s="684"/>
      <c r="AJ439" s="684"/>
      <c r="AK439" s="684"/>
      <c r="AL439" s="684"/>
      <c r="AM439" s="684"/>
      <c r="AN439" s="1545"/>
      <c r="AO439" s="1545"/>
      <c r="AP439" s="1545"/>
      <c r="AQ439" s="1545"/>
      <c r="AR439" s="1545"/>
      <c r="AS439" s="684"/>
      <c r="AT439" s="684"/>
      <c r="AU439" s="684"/>
      <c r="AV439" s="684"/>
      <c r="AW439" s="684"/>
      <c r="AX439" s="677"/>
      <c r="AY439" s="684"/>
      <c r="AZ439" s="683"/>
      <c r="BA439" s="684"/>
      <c r="BB439" s="13"/>
      <c r="BC439" s="684"/>
      <c r="BD439" s="13"/>
      <c r="BE439" s="684"/>
      <c r="BF439" s="13"/>
      <c r="BG439" s="684"/>
      <c r="BH439" s="13"/>
      <c r="BI439" s="684"/>
      <c r="BJ439" s="13"/>
      <c r="BK439" s="684"/>
      <c r="BL439" s="684"/>
      <c r="BM439" s="684"/>
      <c r="BN439" s="677"/>
      <c r="BO439" s="677"/>
      <c r="BP439" s="541"/>
      <c r="BQ439" s="633"/>
      <c r="BR439" s="541"/>
      <c r="BS439" s="541"/>
      <c r="BT439" s="541"/>
      <c r="BU439" s="541"/>
    </row>
    <row r="440" ht="15.75" customHeight="1">
      <c r="A440" s="1591"/>
      <c r="B440" s="1591"/>
      <c r="C440" s="2217"/>
      <c r="D440" s="1541"/>
      <c r="E440" s="906"/>
      <c r="F440" s="1545"/>
      <c r="G440" s="2250"/>
      <c r="H440" s="1545"/>
      <c r="I440" s="2250"/>
      <c r="J440" s="1545"/>
      <c r="K440" s="2250"/>
      <c r="L440" s="1545"/>
      <c r="M440" s="2250"/>
      <c r="N440" s="1545"/>
      <c r="O440" s="2250"/>
      <c r="P440" s="1545"/>
      <c r="Q440" s="2250"/>
      <c r="R440" s="1545"/>
      <c r="S440" s="684"/>
      <c r="T440" s="1545"/>
      <c r="U440" s="684"/>
      <c r="V440" s="1545"/>
      <c r="W440" s="684"/>
      <c r="X440" s="1545"/>
      <c r="Y440" s="1545"/>
      <c r="Z440" s="1545"/>
      <c r="AA440" s="684"/>
      <c r="AB440" s="1545"/>
      <c r="AC440" s="684"/>
      <c r="AD440" s="684"/>
      <c r="AE440" s="684"/>
      <c r="AF440" s="684"/>
      <c r="AG440" s="684"/>
      <c r="AH440" s="684"/>
      <c r="AI440" s="684"/>
      <c r="AJ440" s="684"/>
      <c r="AK440" s="684"/>
      <c r="AL440" s="684"/>
      <c r="AM440" s="684"/>
      <c r="AN440" s="1545"/>
      <c r="AO440" s="1545"/>
      <c r="AP440" s="1545"/>
      <c r="AQ440" s="1545"/>
      <c r="AR440" s="1545"/>
      <c r="AS440" s="684"/>
      <c r="AT440" s="684"/>
      <c r="AU440" s="684"/>
      <c r="AV440" s="684"/>
      <c r="AW440" s="684"/>
      <c r="AX440" s="677"/>
      <c r="AY440" s="684"/>
      <c r="AZ440" s="683"/>
      <c r="BA440" s="684"/>
      <c r="BB440" s="13"/>
      <c r="BC440" s="684"/>
      <c r="BD440" s="13"/>
      <c r="BE440" s="684"/>
      <c r="BF440" s="13"/>
      <c r="BG440" s="684"/>
      <c r="BH440" s="13"/>
      <c r="BI440" s="684"/>
      <c r="BJ440" s="13"/>
      <c r="BK440" s="684"/>
      <c r="BL440" s="684"/>
      <c r="BM440" s="684"/>
      <c r="BN440" s="677"/>
      <c r="BO440" s="677"/>
      <c r="BP440" s="541"/>
      <c r="BQ440" s="633"/>
      <c r="BR440" s="541"/>
      <c r="BS440" s="541"/>
      <c r="BT440" s="541"/>
      <c r="BU440" s="541"/>
    </row>
    <row r="441" ht="15.75" customHeight="1">
      <c r="A441" s="1591"/>
      <c r="B441" s="1591"/>
      <c r="C441" s="2217"/>
      <c r="D441" s="1541"/>
      <c r="E441" s="906"/>
      <c r="F441" s="1545"/>
      <c r="G441" s="2250"/>
      <c r="H441" s="1545"/>
      <c r="I441" s="2250"/>
      <c r="J441" s="1545"/>
      <c r="K441" s="2250"/>
      <c r="L441" s="1545"/>
      <c r="M441" s="2250"/>
      <c r="N441" s="1545"/>
      <c r="O441" s="2250"/>
      <c r="P441" s="1545"/>
      <c r="Q441" s="2250"/>
      <c r="R441" s="1545"/>
      <c r="S441" s="684"/>
      <c r="T441" s="1545"/>
      <c r="U441" s="684"/>
      <c r="V441" s="1545"/>
      <c r="W441" s="684"/>
      <c r="X441" s="1545"/>
      <c r="Y441" s="1545"/>
      <c r="Z441" s="1545"/>
      <c r="AA441" s="684"/>
      <c r="AB441" s="1545"/>
      <c r="AC441" s="684"/>
      <c r="AD441" s="684"/>
      <c r="AE441" s="684"/>
      <c r="AF441" s="684"/>
      <c r="AG441" s="684"/>
      <c r="AH441" s="684"/>
      <c r="AI441" s="684"/>
      <c r="AJ441" s="684"/>
      <c r="AK441" s="684"/>
      <c r="AL441" s="684"/>
      <c r="AM441" s="684"/>
      <c r="AN441" s="1545"/>
      <c r="AO441" s="1545"/>
      <c r="AP441" s="1545"/>
      <c r="AQ441" s="1545"/>
      <c r="AR441" s="1545"/>
      <c r="AS441" s="684"/>
      <c r="AT441" s="684"/>
      <c r="AU441" s="684"/>
      <c r="AV441" s="684"/>
      <c r="AW441" s="684"/>
      <c r="AX441" s="677"/>
      <c r="AY441" s="684"/>
      <c r="AZ441" s="683"/>
      <c r="BA441" s="684"/>
      <c r="BB441" s="13"/>
      <c r="BC441" s="684"/>
      <c r="BD441" s="13"/>
      <c r="BE441" s="684"/>
      <c r="BF441" s="13"/>
      <c r="BG441" s="684"/>
      <c r="BH441" s="13"/>
      <c r="BI441" s="684"/>
      <c r="BJ441" s="13"/>
      <c r="BK441" s="684"/>
      <c r="BL441" s="684"/>
      <c r="BM441" s="684"/>
      <c r="BN441" s="677"/>
      <c r="BO441" s="677"/>
      <c r="BP441" s="541"/>
      <c r="BQ441" s="633"/>
      <c r="BR441" s="541"/>
      <c r="BS441" s="541"/>
      <c r="BT441" s="541"/>
      <c r="BU441" s="541"/>
    </row>
    <row r="442" ht="15.75" customHeight="1">
      <c r="A442" s="1591"/>
      <c r="B442" s="1591"/>
      <c r="C442" s="2217"/>
      <c r="D442" s="1541"/>
      <c r="E442" s="906"/>
      <c r="F442" s="1545"/>
      <c r="G442" s="2250"/>
      <c r="H442" s="1545"/>
      <c r="I442" s="2250"/>
      <c r="J442" s="1545"/>
      <c r="K442" s="2250"/>
      <c r="L442" s="1545"/>
      <c r="M442" s="2250"/>
      <c r="N442" s="1545"/>
      <c r="O442" s="2250"/>
      <c r="P442" s="1545"/>
      <c r="Q442" s="2250"/>
      <c r="R442" s="1545"/>
      <c r="S442" s="684"/>
      <c r="T442" s="1545"/>
      <c r="U442" s="684"/>
      <c r="V442" s="1545"/>
      <c r="W442" s="684"/>
      <c r="X442" s="1545"/>
      <c r="Y442" s="1545"/>
      <c r="Z442" s="1545"/>
      <c r="AA442" s="684"/>
      <c r="AB442" s="1545"/>
      <c r="AC442" s="684"/>
      <c r="AD442" s="684"/>
      <c r="AE442" s="684"/>
      <c r="AF442" s="684"/>
      <c r="AG442" s="684"/>
      <c r="AH442" s="684"/>
      <c r="AI442" s="684"/>
      <c r="AJ442" s="684"/>
      <c r="AK442" s="684"/>
      <c r="AL442" s="684"/>
      <c r="AM442" s="684"/>
      <c r="AN442" s="1545"/>
      <c r="AO442" s="1545"/>
      <c r="AP442" s="1545"/>
      <c r="AQ442" s="1545"/>
      <c r="AR442" s="1545"/>
      <c r="AS442" s="684"/>
      <c r="AT442" s="684"/>
      <c r="AU442" s="684"/>
      <c r="AV442" s="684"/>
      <c r="AW442" s="684"/>
      <c r="AX442" s="677"/>
      <c r="AY442" s="684"/>
      <c r="AZ442" s="683"/>
      <c r="BA442" s="684"/>
      <c r="BB442" s="13"/>
      <c r="BC442" s="684"/>
      <c r="BD442" s="13"/>
      <c r="BE442" s="684"/>
      <c r="BF442" s="13"/>
      <c r="BG442" s="684"/>
      <c r="BH442" s="13"/>
      <c r="BI442" s="684"/>
      <c r="BJ442" s="13"/>
      <c r="BK442" s="684"/>
      <c r="BL442" s="684"/>
      <c r="BM442" s="684"/>
      <c r="BN442" s="677"/>
      <c r="BO442" s="677"/>
      <c r="BP442" s="541"/>
      <c r="BQ442" s="633"/>
      <c r="BR442" s="541"/>
      <c r="BS442" s="541"/>
      <c r="BT442" s="541"/>
      <c r="BU442" s="541"/>
    </row>
    <row r="443" ht="15.75" customHeight="1">
      <c r="A443" s="1591"/>
      <c r="B443" s="1591"/>
      <c r="C443" s="2217"/>
      <c r="D443" s="1541"/>
      <c r="E443" s="906"/>
      <c r="F443" s="1545"/>
      <c r="G443" s="2250"/>
      <c r="H443" s="1545"/>
      <c r="I443" s="2250"/>
      <c r="J443" s="1545"/>
      <c r="K443" s="2250"/>
      <c r="L443" s="1545"/>
      <c r="M443" s="2250"/>
      <c r="N443" s="1545"/>
      <c r="O443" s="2250"/>
      <c r="P443" s="1545"/>
      <c r="Q443" s="2250"/>
      <c r="R443" s="1545"/>
      <c r="S443" s="684"/>
      <c r="T443" s="1545"/>
      <c r="U443" s="684"/>
      <c r="V443" s="1545"/>
      <c r="W443" s="684"/>
      <c r="X443" s="1545"/>
      <c r="Y443" s="1545"/>
      <c r="Z443" s="1545"/>
      <c r="AA443" s="684"/>
      <c r="AB443" s="1545"/>
      <c r="AC443" s="684"/>
      <c r="AD443" s="684"/>
      <c r="AE443" s="684"/>
      <c r="AF443" s="684"/>
      <c r="AG443" s="684"/>
      <c r="AH443" s="684"/>
      <c r="AI443" s="684"/>
      <c r="AJ443" s="684"/>
      <c r="AK443" s="684"/>
      <c r="AL443" s="684"/>
      <c r="AM443" s="684"/>
      <c r="AN443" s="1545"/>
      <c r="AO443" s="1545"/>
      <c r="AP443" s="1545"/>
      <c r="AQ443" s="1545"/>
      <c r="AR443" s="1545"/>
      <c r="AS443" s="684"/>
      <c r="AT443" s="684"/>
      <c r="AU443" s="684"/>
      <c r="AV443" s="684"/>
      <c r="AW443" s="684"/>
      <c r="AX443" s="677"/>
      <c r="AY443" s="684"/>
      <c r="AZ443" s="683"/>
      <c r="BA443" s="684"/>
      <c r="BB443" s="13"/>
      <c r="BC443" s="684"/>
      <c r="BD443" s="13"/>
      <c r="BE443" s="684"/>
      <c r="BF443" s="13"/>
      <c r="BG443" s="684"/>
      <c r="BH443" s="13"/>
      <c r="BI443" s="684"/>
      <c r="BJ443" s="13"/>
      <c r="BK443" s="684"/>
      <c r="BL443" s="684"/>
      <c r="BM443" s="684"/>
      <c r="BN443" s="677"/>
      <c r="BO443" s="677"/>
      <c r="BP443" s="541"/>
      <c r="BQ443" s="633"/>
      <c r="BR443" s="541"/>
      <c r="BS443" s="541"/>
      <c r="BT443" s="541"/>
      <c r="BU443" s="541"/>
    </row>
    <row r="444" ht="15.75" customHeight="1">
      <c r="A444" s="1591"/>
      <c r="B444" s="1591"/>
      <c r="C444" s="2217"/>
      <c r="D444" s="1541"/>
      <c r="E444" s="906"/>
      <c r="F444" s="1545"/>
      <c r="G444" s="2250"/>
      <c r="H444" s="1545"/>
      <c r="I444" s="2250"/>
      <c r="J444" s="1545"/>
      <c r="K444" s="2250"/>
      <c r="L444" s="1545"/>
      <c r="M444" s="2250"/>
      <c r="N444" s="1545"/>
      <c r="O444" s="2250"/>
      <c r="P444" s="1545"/>
      <c r="Q444" s="2250"/>
      <c r="R444" s="1545"/>
      <c r="S444" s="684"/>
      <c r="T444" s="1545"/>
      <c r="U444" s="684"/>
      <c r="V444" s="1545"/>
      <c r="W444" s="684"/>
      <c r="X444" s="1545"/>
      <c r="Y444" s="1545"/>
      <c r="Z444" s="1545"/>
      <c r="AA444" s="684"/>
      <c r="AB444" s="1545"/>
      <c r="AC444" s="684"/>
      <c r="AD444" s="684"/>
      <c r="AE444" s="684"/>
      <c r="AF444" s="684"/>
      <c r="AG444" s="684"/>
      <c r="AH444" s="684"/>
      <c r="AI444" s="684"/>
      <c r="AJ444" s="684"/>
      <c r="AK444" s="684"/>
      <c r="AL444" s="684"/>
      <c r="AM444" s="684"/>
      <c r="AN444" s="1545"/>
      <c r="AO444" s="1545"/>
      <c r="AP444" s="1545"/>
      <c r="AQ444" s="1545"/>
      <c r="AR444" s="1545"/>
      <c r="AS444" s="684"/>
      <c r="AT444" s="684"/>
      <c r="AU444" s="684"/>
      <c r="AV444" s="684"/>
      <c r="AW444" s="684"/>
      <c r="AX444" s="677"/>
      <c r="AY444" s="684"/>
      <c r="AZ444" s="683"/>
      <c r="BA444" s="684"/>
      <c r="BB444" s="13"/>
      <c r="BC444" s="684"/>
      <c r="BD444" s="13"/>
      <c r="BE444" s="684"/>
      <c r="BF444" s="13"/>
      <c r="BG444" s="684"/>
      <c r="BH444" s="13"/>
      <c r="BI444" s="684"/>
      <c r="BJ444" s="13"/>
      <c r="BK444" s="684"/>
      <c r="BL444" s="684"/>
      <c r="BM444" s="684"/>
      <c r="BN444" s="677"/>
      <c r="BO444" s="677"/>
      <c r="BP444" s="541"/>
      <c r="BQ444" s="633"/>
      <c r="BR444" s="541"/>
      <c r="BS444" s="541"/>
      <c r="BT444" s="541"/>
      <c r="BU444" s="541"/>
    </row>
    <row r="445" ht="15.75" customHeight="1">
      <c r="A445" s="1591"/>
      <c r="B445" s="1591"/>
      <c r="C445" s="2217"/>
      <c r="D445" s="1541"/>
      <c r="E445" s="906"/>
      <c r="F445" s="1545"/>
      <c r="G445" s="2250"/>
      <c r="H445" s="1545"/>
      <c r="I445" s="2250"/>
      <c r="J445" s="1545"/>
      <c r="K445" s="2250"/>
      <c r="L445" s="1545"/>
      <c r="M445" s="2250"/>
      <c r="N445" s="1545"/>
      <c r="O445" s="2250"/>
      <c r="P445" s="1545"/>
      <c r="Q445" s="2250"/>
      <c r="R445" s="1545"/>
      <c r="S445" s="684"/>
      <c r="T445" s="1545"/>
      <c r="U445" s="684"/>
      <c r="V445" s="1545"/>
      <c r="W445" s="684"/>
      <c r="X445" s="1545"/>
      <c r="Y445" s="1545"/>
      <c r="Z445" s="1545"/>
      <c r="AA445" s="684"/>
      <c r="AB445" s="1545"/>
      <c r="AC445" s="684"/>
      <c r="AD445" s="684"/>
      <c r="AE445" s="684"/>
      <c r="AF445" s="684"/>
      <c r="AG445" s="684"/>
      <c r="AH445" s="684"/>
      <c r="AI445" s="684"/>
      <c r="AJ445" s="684"/>
      <c r="AK445" s="684"/>
      <c r="AL445" s="684"/>
      <c r="AM445" s="684"/>
      <c r="AN445" s="1545"/>
      <c r="AO445" s="1545"/>
      <c r="AP445" s="1545"/>
      <c r="AQ445" s="1545"/>
      <c r="AR445" s="1545"/>
      <c r="AS445" s="684"/>
      <c r="AT445" s="684"/>
      <c r="AU445" s="684"/>
      <c r="AV445" s="684"/>
      <c r="AW445" s="684"/>
      <c r="AX445" s="677"/>
      <c r="AY445" s="684"/>
      <c r="AZ445" s="683"/>
      <c r="BA445" s="684"/>
      <c r="BB445" s="13"/>
      <c r="BC445" s="684"/>
      <c r="BD445" s="13"/>
      <c r="BE445" s="684"/>
      <c r="BF445" s="13"/>
      <c r="BG445" s="684"/>
      <c r="BH445" s="13"/>
      <c r="BI445" s="684"/>
      <c r="BJ445" s="13"/>
      <c r="BK445" s="684"/>
      <c r="BL445" s="684"/>
      <c r="BM445" s="684"/>
      <c r="BN445" s="677"/>
      <c r="BO445" s="677"/>
      <c r="BP445" s="541"/>
      <c r="BQ445" s="633"/>
      <c r="BR445" s="541"/>
      <c r="BS445" s="541"/>
      <c r="BT445" s="541"/>
      <c r="BU445" s="541"/>
    </row>
    <row r="446" ht="15.75" customHeight="1">
      <c r="A446" s="1591"/>
      <c r="B446" s="1591"/>
      <c r="C446" s="2217"/>
      <c r="D446" s="1541"/>
      <c r="E446" s="906"/>
      <c r="F446" s="1545"/>
      <c r="G446" s="2250"/>
      <c r="H446" s="1545"/>
      <c r="I446" s="2250"/>
      <c r="J446" s="1545"/>
      <c r="K446" s="2250"/>
      <c r="L446" s="1545"/>
      <c r="M446" s="2250"/>
      <c r="N446" s="1545"/>
      <c r="O446" s="2250"/>
      <c r="P446" s="1545"/>
      <c r="Q446" s="2250"/>
      <c r="R446" s="1545"/>
      <c r="S446" s="684"/>
      <c r="T446" s="1545"/>
      <c r="U446" s="684"/>
      <c r="V446" s="1545"/>
      <c r="W446" s="684"/>
      <c r="X446" s="1545"/>
      <c r="Y446" s="1545"/>
      <c r="Z446" s="1545"/>
      <c r="AA446" s="684"/>
      <c r="AB446" s="1545"/>
      <c r="AC446" s="684"/>
      <c r="AD446" s="684"/>
      <c r="AE446" s="684"/>
      <c r="AF446" s="684"/>
      <c r="AG446" s="684"/>
      <c r="AH446" s="684"/>
      <c r="AI446" s="684"/>
      <c r="AJ446" s="684"/>
      <c r="AK446" s="684"/>
      <c r="AL446" s="684"/>
      <c r="AM446" s="684"/>
      <c r="AN446" s="1545"/>
      <c r="AO446" s="1545"/>
      <c r="AP446" s="1545"/>
      <c r="AQ446" s="1545"/>
      <c r="AR446" s="1545"/>
      <c r="AS446" s="684"/>
      <c r="AT446" s="684"/>
      <c r="AU446" s="684"/>
      <c r="AV446" s="684"/>
      <c r="AW446" s="684"/>
      <c r="AX446" s="677"/>
      <c r="AY446" s="684"/>
      <c r="AZ446" s="683"/>
      <c r="BA446" s="684"/>
      <c r="BB446" s="13"/>
      <c r="BC446" s="684"/>
      <c r="BD446" s="13"/>
      <c r="BE446" s="684"/>
      <c r="BF446" s="13"/>
      <c r="BG446" s="684"/>
      <c r="BH446" s="13"/>
      <c r="BI446" s="684"/>
      <c r="BJ446" s="13"/>
      <c r="BK446" s="684"/>
      <c r="BL446" s="684"/>
      <c r="BM446" s="684"/>
      <c r="BN446" s="677"/>
      <c r="BO446" s="677"/>
      <c r="BP446" s="541"/>
      <c r="BQ446" s="633"/>
      <c r="BR446" s="541"/>
      <c r="BS446" s="541"/>
      <c r="BT446" s="541"/>
      <c r="BU446" s="541"/>
    </row>
    <row r="447" ht="15.75" customHeight="1">
      <c r="A447" s="1591"/>
      <c r="B447" s="1591"/>
      <c r="C447" s="2217"/>
      <c r="D447" s="1541"/>
      <c r="E447" s="906"/>
      <c r="F447" s="1545"/>
      <c r="G447" s="2250"/>
      <c r="H447" s="1545"/>
      <c r="I447" s="2250"/>
      <c r="J447" s="1545"/>
      <c r="K447" s="2250"/>
      <c r="L447" s="1545"/>
      <c r="M447" s="2250"/>
      <c r="N447" s="1545"/>
      <c r="O447" s="2250"/>
      <c r="P447" s="1545"/>
      <c r="Q447" s="2250"/>
      <c r="R447" s="1545"/>
      <c r="S447" s="684"/>
      <c r="T447" s="1545"/>
      <c r="U447" s="684"/>
      <c r="V447" s="1545"/>
      <c r="W447" s="684"/>
      <c r="X447" s="1545"/>
      <c r="Y447" s="1545"/>
      <c r="Z447" s="1545"/>
      <c r="AA447" s="684"/>
      <c r="AB447" s="1545"/>
      <c r="AC447" s="684"/>
      <c r="AD447" s="684"/>
      <c r="AE447" s="684"/>
      <c r="AF447" s="684"/>
      <c r="AG447" s="684"/>
      <c r="AH447" s="684"/>
      <c r="AI447" s="684"/>
      <c r="AJ447" s="684"/>
      <c r="AK447" s="684"/>
      <c r="AL447" s="684"/>
      <c r="AM447" s="684"/>
      <c r="AN447" s="1545"/>
      <c r="AO447" s="1545"/>
      <c r="AP447" s="1545"/>
      <c r="AQ447" s="1545"/>
      <c r="AR447" s="1545"/>
      <c r="AS447" s="684"/>
      <c r="AT447" s="684"/>
      <c r="AU447" s="684"/>
      <c r="AV447" s="684"/>
      <c r="AW447" s="684"/>
      <c r="AX447" s="677"/>
      <c r="AY447" s="684"/>
      <c r="AZ447" s="683"/>
      <c r="BA447" s="684"/>
      <c r="BB447" s="13"/>
      <c r="BC447" s="684"/>
      <c r="BD447" s="13"/>
      <c r="BE447" s="684"/>
      <c r="BF447" s="13"/>
      <c r="BG447" s="684"/>
      <c r="BH447" s="13"/>
      <c r="BI447" s="684"/>
      <c r="BJ447" s="13"/>
      <c r="BK447" s="684"/>
      <c r="BL447" s="684"/>
      <c r="BM447" s="684"/>
      <c r="BN447" s="677"/>
      <c r="BO447" s="677"/>
      <c r="BP447" s="541"/>
      <c r="BQ447" s="633"/>
      <c r="BR447" s="541"/>
      <c r="BS447" s="541"/>
      <c r="BT447" s="541"/>
      <c r="BU447" s="541"/>
    </row>
    <row r="448" ht="15.75" customHeight="1">
      <c r="A448" s="1591"/>
      <c r="B448" s="1591"/>
      <c r="C448" s="2217"/>
      <c r="D448" s="1541"/>
      <c r="E448" s="906"/>
      <c r="F448" s="1545"/>
      <c r="G448" s="2250"/>
      <c r="H448" s="1545"/>
      <c r="I448" s="2250"/>
      <c r="J448" s="1545"/>
      <c r="K448" s="2250"/>
      <c r="L448" s="1545"/>
      <c r="M448" s="2250"/>
      <c r="N448" s="1545"/>
      <c r="O448" s="2250"/>
      <c r="P448" s="1545"/>
      <c r="Q448" s="2250"/>
      <c r="R448" s="1545"/>
      <c r="S448" s="684"/>
      <c r="T448" s="1545"/>
      <c r="U448" s="684"/>
      <c r="V448" s="1545"/>
      <c r="W448" s="684"/>
      <c r="X448" s="1545"/>
      <c r="Y448" s="1545"/>
      <c r="Z448" s="1545"/>
      <c r="AA448" s="684"/>
      <c r="AB448" s="1545"/>
      <c r="AC448" s="684"/>
      <c r="AD448" s="684"/>
      <c r="AE448" s="684"/>
      <c r="AF448" s="684"/>
      <c r="AG448" s="684"/>
      <c r="AH448" s="684"/>
      <c r="AI448" s="684"/>
      <c r="AJ448" s="684"/>
      <c r="AK448" s="684"/>
      <c r="AL448" s="684"/>
      <c r="AM448" s="684"/>
      <c r="AN448" s="1545"/>
      <c r="AO448" s="1545"/>
      <c r="AP448" s="1545"/>
      <c r="AQ448" s="1545"/>
      <c r="AR448" s="1545"/>
      <c r="AS448" s="684"/>
      <c r="AT448" s="684"/>
      <c r="AU448" s="684"/>
      <c r="AV448" s="684"/>
      <c r="AW448" s="684"/>
      <c r="AX448" s="677"/>
      <c r="AY448" s="684"/>
      <c r="AZ448" s="683"/>
      <c r="BA448" s="684"/>
      <c r="BB448" s="13"/>
      <c r="BC448" s="684"/>
      <c r="BD448" s="13"/>
      <c r="BE448" s="684"/>
      <c r="BF448" s="13"/>
      <c r="BG448" s="684"/>
      <c r="BH448" s="13"/>
      <c r="BI448" s="684"/>
      <c r="BJ448" s="13"/>
      <c r="BK448" s="684"/>
      <c r="BL448" s="684"/>
      <c r="BM448" s="684"/>
      <c r="BN448" s="677"/>
      <c r="BO448" s="677"/>
      <c r="BP448" s="541"/>
      <c r="BQ448" s="633"/>
      <c r="BR448" s="541"/>
      <c r="BS448" s="541"/>
      <c r="BT448" s="541"/>
      <c r="BU448" s="541"/>
    </row>
    <row r="449" ht="15.75" customHeight="1">
      <c r="A449" s="1591"/>
      <c r="B449" s="1591"/>
      <c r="C449" s="2217"/>
      <c r="D449" s="1541"/>
      <c r="E449" s="906"/>
      <c r="F449" s="1545"/>
      <c r="G449" s="2250"/>
      <c r="H449" s="1545"/>
      <c r="I449" s="2250"/>
      <c r="J449" s="1545"/>
      <c r="K449" s="2250"/>
      <c r="L449" s="1545"/>
      <c r="M449" s="2250"/>
      <c r="N449" s="1545"/>
      <c r="O449" s="2250"/>
      <c r="P449" s="1545"/>
      <c r="Q449" s="2250"/>
      <c r="R449" s="1545"/>
      <c r="S449" s="684"/>
      <c r="T449" s="1545"/>
      <c r="U449" s="684"/>
      <c r="V449" s="1545"/>
      <c r="W449" s="684"/>
      <c r="X449" s="1545"/>
      <c r="Y449" s="1545"/>
      <c r="Z449" s="1545"/>
      <c r="AA449" s="684"/>
      <c r="AB449" s="1545"/>
      <c r="AC449" s="684"/>
      <c r="AD449" s="684"/>
      <c r="AE449" s="684"/>
      <c r="AF449" s="684"/>
      <c r="AG449" s="684"/>
      <c r="AH449" s="684"/>
      <c r="AI449" s="684"/>
      <c r="AJ449" s="684"/>
      <c r="AK449" s="684"/>
      <c r="AL449" s="684"/>
      <c r="AM449" s="684"/>
      <c r="AN449" s="1545"/>
      <c r="AO449" s="1545"/>
      <c r="AP449" s="1545"/>
      <c r="AQ449" s="1545"/>
      <c r="AR449" s="1545"/>
      <c r="AS449" s="684"/>
      <c r="AT449" s="684"/>
      <c r="AU449" s="684"/>
      <c r="AV449" s="684"/>
      <c r="AW449" s="684"/>
      <c r="AX449" s="677"/>
      <c r="AY449" s="684"/>
      <c r="AZ449" s="683"/>
      <c r="BA449" s="684"/>
      <c r="BB449" s="13"/>
      <c r="BC449" s="684"/>
      <c r="BD449" s="13"/>
      <c r="BE449" s="684"/>
      <c r="BF449" s="13"/>
      <c r="BG449" s="684"/>
      <c r="BH449" s="13"/>
      <c r="BI449" s="684"/>
      <c r="BJ449" s="13"/>
      <c r="BK449" s="684"/>
      <c r="BL449" s="684"/>
      <c r="BM449" s="684"/>
      <c r="BN449" s="677"/>
      <c r="BO449" s="677"/>
      <c r="BP449" s="541"/>
      <c r="BQ449" s="633"/>
      <c r="BR449" s="541"/>
      <c r="BS449" s="541"/>
      <c r="BT449" s="541"/>
      <c r="BU449" s="541"/>
    </row>
    <row r="450" ht="15.75" customHeight="1">
      <c r="A450" s="1591"/>
      <c r="B450" s="1591"/>
      <c r="C450" s="2217"/>
      <c r="D450" s="1541"/>
      <c r="E450" s="906"/>
      <c r="F450" s="1545"/>
      <c r="G450" s="2250"/>
      <c r="H450" s="1545"/>
      <c r="I450" s="2250"/>
      <c r="J450" s="1545"/>
      <c r="K450" s="2250"/>
      <c r="L450" s="1545"/>
      <c r="M450" s="2250"/>
      <c r="N450" s="1545"/>
      <c r="O450" s="2250"/>
      <c r="P450" s="1545"/>
      <c r="Q450" s="2250"/>
      <c r="R450" s="1545"/>
      <c r="S450" s="684"/>
      <c r="T450" s="1545"/>
      <c r="U450" s="684"/>
      <c r="V450" s="1545"/>
      <c r="W450" s="684"/>
      <c r="X450" s="1545"/>
      <c r="Y450" s="1545"/>
      <c r="Z450" s="1545"/>
      <c r="AA450" s="684"/>
      <c r="AB450" s="1545"/>
      <c r="AC450" s="684"/>
      <c r="AD450" s="684"/>
      <c r="AE450" s="684"/>
      <c r="AF450" s="684"/>
      <c r="AG450" s="684"/>
      <c r="AH450" s="684"/>
      <c r="AI450" s="684"/>
      <c r="AJ450" s="684"/>
      <c r="AK450" s="684"/>
      <c r="AL450" s="684"/>
      <c r="AM450" s="684"/>
      <c r="AN450" s="1545"/>
      <c r="AO450" s="1545"/>
      <c r="AP450" s="1545"/>
      <c r="AQ450" s="1545"/>
      <c r="AR450" s="1545"/>
      <c r="AS450" s="684"/>
      <c r="AT450" s="684"/>
      <c r="AU450" s="684"/>
      <c r="AV450" s="684"/>
      <c r="AW450" s="684"/>
      <c r="AX450" s="677"/>
      <c r="AY450" s="684"/>
      <c r="AZ450" s="683"/>
      <c r="BA450" s="684"/>
      <c r="BB450" s="13"/>
      <c r="BC450" s="684"/>
      <c r="BD450" s="13"/>
      <c r="BE450" s="684"/>
      <c r="BF450" s="13"/>
      <c r="BG450" s="684"/>
      <c r="BH450" s="13"/>
      <c r="BI450" s="684"/>
      <c r="BJ450" s="13"/>
      <c r="BK450" s="684"/>
      <c r="BL450" s="684"/>
      <c r="BM450" s="684"/>
      <c r="BN450" s="677"/>
      <c r="BO450" s="677"/>
      <c r="BP450" s="541"/>
      <c r="BQ450" s="633"/>
      <c r="BR450" s="541"/>
      <c r="BS450" s="541"/>
      <c r="BT450" s="541"/>
      <c r="BU450" s="541"/>
    </row>
    <row r="451" ht="15.75" customHeight="1">
      <c r="A451" s="1591"/>
      <c r="B451" s="1591"/>
      <c r="C451" s="2217"/>
      <c r="D451" s="1541"/>
      <c r="E451" s="906"/>
      <c r="F451" s="1545"/>
      <c r="G451" s="2250"/>
      <c r="H451" s="1545"/>
      <c r="I451" s="2250"/>
      <c r="J451" s="1545"/>
      <c r="K451" s="2250"/>
      <c r="L451" s="1545"/>
      <c r="M451" s="2250"/>
      <c r="N451" s="1545"/>
      <c r="O451" s="2250"/>
      <c r="P451" s="1545"/>
      <c r="Q451" s="2250"/>
      <c r="R451" s="1545"/>
      <c r="S451" s="684"/>
      <c r="T451" s="1545"/>
      <c r="U451" s="684"/>
      <c r="V451" s="1545"/>
      <c r="W451" s="684"/>
      <c r="X451" s="1545"/>
      <c r="Y451" s="1545"/>
      <c r="Z451" s="1545"/>
      <c r="AA451" s="684"/>
      <c r="AB451" s="1545"/>
      <c r="AC451" s="684"/>
      <c r="AD451" s="684"/>
      <c r="AE451" s="684"/>
      <c r="AF451" s="684"/>
      <c r="AG451" s="684"/>
      <c r="AH451" s="684"/>
      <c r="AI451" s="684"/>
      <c r="AJ451" s="684"/>
      <c r="AK451" s="684"/>
      <c r="AL451" s="684"/>
      <c r="AM451" s="684"/>
      <c r="AN451" s="1545"/>
      <c r="AO451" s="1545"/>
      <c r="AP451" s="1545"/>
      <c r="AQ451" s="1545"/>
      <c r="AR451" s="1545"/>
      <c r="AS451" s="684"/>
      <c r="AT451" s="684"/>
      <c r="AU451" s="684"/>
      <c r="AV451" s="684"/>
      <c r="AW451" s="684"/>
      <c r="AX451" s="677"/>
      <c r="AY451" s="684"/>
      <c r="AZ451" s="683"/>
      <c r="BA451" s="684"/>
      <c r="BB451" s="13"/>
      <c r="BC451" s="684"/>
      <c r="BD451" s="13"/>
      <c r="BE451" s="684"/>
      <c r="BF451" s="13"/>
      <c r="BG451" s="684"/>
      <c r="BH451" s="13"/>
      <c r="BI451" s="684"/>
      <c r="BJ451" s="13"/>
      <c r="BK451" s="684"/>
      <c r="BL451" s="684"/>
      <c r="BM451" s="684"/>
      <c r="BN451" s="677"/>
      <c r="BO451" s="677"/>
      <c r="BP451" s="541"/>
      <c r="BQ451" s="633"/>
      <c r="BR451" s="541"/>
      <c r="BS451" s="541"/>
      <c r="BT451" s="541"/>
      <c r="BU451" s="541"/>
    </row>
    <row r="452" ht="15.75" customHeight="1">
      <c r="A452" s="1591"/>
      <c r="B452" s="1591"/>
      <c r="C452" s="2217"/>
      <c r="D452" s="1541"/>
      <c r="E452" s="906"/>
      <c r="F452" s="1545"/>
      <c r="G452" s="2250"/>
      <c r="H452" s="1545"/>
      <c r="I452" s="2250"/>
      <c r="J452" s="1545"/>
      <c r="K452" s="2250"/>
      <c r="L452" s="1545"/>
      <c r="M452" s="2250"/>
      <c r="N452" s="1545"/>
      <c r="O452" s="2250"/>
      <c r="P452" s="1545"/>
      <c r="Q452" s="2250"/>
      <c r="R452" s="1545"/>
      <c r="S452" s="684"/>
      <c r="T452" s="1545"/>
      <c r="U452" s="684"/>
      <c r="V452" s="1545"/>
      <c r="W452" s="684"/>
      <c r="X452" s="1545"/>
      <c r="Y452" s="1545"/>
      <c r="Z452" s="1545"/>
      <c r="AA452" s="684"/>
      <c r="AB452" s="1545"/>
      <c r="AC452" s="684"/>
      <c r="AD452" s="684"/>
      <c r="AE452" s="684"/>
      <c r="AF452" s="684"/>
      <c r="AG452" s="684"/>
      <c r="AH452" s="684"/>
      <c r="AI452" s="684"/>
      <c r="AJ452" s="684"/>
      <c r="AK452" s="684"/>
      <c r="AL452" s="684"/>
      <c r="AM452" s="684"/>
      <c r="AN452" s="1545"/>
      <c r="AO452" s="1545"/>
      <c r="AP452" s="1545"/>
      <c r="AQ452" s="1545"/>
      <c r="AR452" s="1545"/>
      <c r="AS452" s="684"/>
      <c r="AT452" s="684"/>
      <c r="AU452" s="684"/>
      <c r="AV452" s="684"/>
      <c r="AW452" s="684"/>
      <c r="AX452" s="677"/>
      <c r="AY452" s="684"/>
      <c r="AZ452" s="683"/>
      <c r="BA452" s="684"/>
      <c r="BB452" s="13"/>
      <c r="BC452" s="684"/>
      <c r="BD452" s="13"/>
      <c r="BE452" s="684"/>
      <c r="BF452" s="13"/>
      <c r="BG452" s="684"/>
      <c r="BH452" s="13"/>
      <c r="BI452" s="684"/>
      <c r="BJ452" s="13"/>
      <c r="BK452" s="684"/>
      <c r="BL452" s="684"/>
      <c r="BM452" s="684"/>
      <c r="BN452" s="677"/>
      <c r="BO452" s="677"/>
      <c r="BP452" s="541"/>
      <c r="BQ452" s="633"/>
      <c r="BR452" s="541"/>
      <c r="BS452" s="541"/>
      <c r="BT452" s="541"/>
      <c r="BU452" s="541"/>
    </row>
    <row r="453" ht="15.75" customHeight="1">
      <c r="A453" s="1591"/>
      <c r="B453" s="1591"/>
      <c r="C453" s="2217"/>
      <c r="D453" s="1541"/>
      <c r="E453" s="906"/>
      <c r="F453" s="1545"/>
      <c r="G453" s="2250"/>
      <c r="H453" s="1545"/>
      <c r="I453" s="2250"/>
      <c r="J453" s="1545"/>
      <c r="K453" s="2250"/>
      <c r="L453" s="1545"/>
      <c r="M453" s="2250"/>
      <c r="N453" s="1545"/>
      <c r="O453" s="2250"/>
      <c r="P453" s="1545"/>
      <c r="Q453" s="2250"/>
      <c r="R453" s="1545"/>
      <c r="S453" s="684"/>
      <c r="T453" s="1545"/>
      <c r="U453" s="684"/>
      <c r="V453" s="1545"/>
      <c r="W453" s="684"/>
      <c r="X453" s="1545"/>
      <c r="Y453" s="1545"/>
      <c r="Z453" s="1545"/>
      <c r="AA453" s="684"/>
      <c r="AB453" s="1545"/>
      <c r="AC453" s="684"/>
      <c r="AD453" s="684"/>
      <c r="AE453" s="684"/>
      <c r="AF453" s="684"/>
      <c r="AG453" s="684"/>
      <c r="AH453" s="684"/>
      <c r="AI453" s="684"/>
      <c r="AJ453" s="684"/>
      <c r="AK453" s="684"/>
      <c r="AL453" s="684"/>
      <c r="AM453" s="684"/>
      <c r="AN453" s="1545"/>
      <c r="AO453" s="1545"/>
      <c r="AP453" s="1545"/>
      <c r="AQ453" s="1545"/>
      <c r="AR453" s="1545"/>
      <c r="AS453" s="684"/>
      <c r="AT453" s="684"/>
      <c r="AU453" s="684"/>
      <c r="AV453" s="684"/>
      <c r="AW453" s="684"/>
      <c r="AX453" s="677"/>
      <c r="AY453" s="684"/>
      <c r="AZ453" s="683"/>
      <c r="BA453" s="684"/>
      <c r="BB453" s="13"/>
      <c r="BC453" s="684"/>
      <c r="BD453" s="13"/>
      <c r="BE453" s="684"/>
      <c r="BF453" s="13"/>
      <c r="BG453" s="684"/>
      <c r="BH453" s="13"/>
      <c r="BI453" s="684"/>
      <c r="BJ453" s="13"/>
      <c r="BK453" s="684"/>
      <c r="BL453" s="684"/>
      <c r="BM453" s="684"/>
      <c r="BN453" s="677"/>
      <c r="BO453" s="677"/>
      <c r="BP453" s="541"/>
      <c r="BQ453" s="633"/>
      <c r="BR453" s="541"/>
      <c r="BS453" s="541"/>
      <c r="BT453" s="541"/>
      <c r="BU453" s="541"/>
    </row>
    <row r="454" ht="15.75" customHeight="1">
      <c r="A454" s="1591"/>
      <c r="B454" s="1591"/>
      <c r="C454" s="2217"/>
      <c r="D454" s="1541"/>
      <c r="E454" s="906"/>
      <c r="F454" s="1545"/>
      <c r="G454" s="2250"/>
      <c r="H454" s="1545"/>
      <c r="I454" s="2250"/>
      <c r="J454" s="1545"/>
      <c r="K454" s="2250"/>
      <c r="L454" s="1545"/>
      <c r="M454" s="2250"/>
      <c r="N454" s="1545"/>
      <c r="O454" s="2250"/>
      <c r="P454" s="1545"/>
      <c r="Q454" s="2250"/>
      <c r="R454" s="1545"/>
      <c r="S454" s="684"/>
      <c r="T454" s="1545"/>
      <c r="U454" s="684"/>
      <c r="V454" s="1545"/>
      <c r="W454" s="684"/>
      <c r="X454" s="1545"/>
      <c r="Y454" s="1545"/>
      <c r="Z454" s="1545"/>
      <c r="AA454" s="684"/>
      <c r="AB454" s="1545"/>
      <c r="AC454" s="684"/>
      <c r="AD454" s="684"/>
      <c r="AE454" s="684"/>
      <c r="AF454" s="684"/>
      <c r="AG454" s="684"/>
      <c r="AH454" s="684"/>
      <c r="AI454" s="684"/>
      <c r="AJ454" s="684"/>
      <c r="AK454" s="684"/>
      <c r="AL454" s="684"/>
      <c r="AM454" s="684"/>
      <c r="AN454" s="1545"/>
      <c r="AO454" s="1545"/>
      <c r="AP454" s="1545"/>
      <c r="AQ454" s="1545"/>
      <c r="AR454" s="1545"/>
      <c r="AS454" s="684"/>
      <c r="AT454" s="684"/>
      <c r="AU454" s="684"/>
      <c r="AV454" s="684"/>
      <c r="AW454" s="684"/>
      <c r="AX454" s="677"/>
      <c r="AY454" s="684"/>
      <c r="AZ454" s="683"/>
      <c r="BA454" s="684"/>
      <c r="BB454" s="13"/>
      <c r="BC454" s="684"/>
      <c r="BD454" s="13"/>
      <c r="BE454" s="684"/>
      <c r="BF454" s="13"/>
      <c r="BG454" s="684"/>
      <c r="BH454" s="13"/>
      <c r="BI454" s="684"/>
      <c r="BJ454" s="13"/>
      <c r="BK454" s="684"/>
      <c r="BL454" s="684"/>
      <c r="BM454" s="684"/>
      <c r="BN454" s="677"/>
      <c r="BO454" s="677"/>
      <c r="BP454" s="541"/>
      <c r="BQ454" s="633"/>
      <c r="BR454" s="541"/>
      <c r="BS454" s="541"/>
      <c r="BT454" s="541"/>
      <c r="BU454" s="541"/>
    </row>
    <row r="455" ht="15.75" customHeight="1">
      <c r="A455" s="1591"/>
      <c r="B455" s="1591"/>
      <c r="C455" s="2217"/>
      <c r="D455" s="1541"/>
      <c r="E455" s="906"/>
      <c r="F455" s="1545"/>
      <c r="G455" s="2250"/>
      <c r="H455" s="1545"/>
      <c r="I455" s="2250"/>
      <c r="J455" s="1545"/>
      <c r="K455" s="2250"/>
      <c r="L455" s="1545"/>
      <c r="M455" s="2250"/>
      <c r="N455" s="1545"/>
      <c r="O455" s="2250"/>
      <c r="P455" s="1545"/>
      <c r="Q455" s="2250"/>
      <c r="R455" s="1545"/>
      <c r="S455" s="684"/>
      <c r="T455" s="1545"/>
      <c r="U455" s="684"/>
      <c r="V455" s="1545"/>
      <c r="W455" s="684"/>
      <c r="X455" s="1545"/>
      <c r="Y455" s="1545"/>
      <c r="Z455" s="1545"/>
      <c r="AA455" s="684"/>
      <c r="AB455" s="1545"/>
      <c r="AC455" s="684"/>
      <c r="AD455" s="684"/>
      <c r="AE455" s="684"/>
      <c r="AF455" s="684"/>
      <c r="AG455" s="684"/>
      <c r="AH455" s="684"/>
      <c r="AI455" s="684"/>
      <c r="AJ455" s="684"/>
      <c r="AK455" s="684"/>
      <c r="AL455" s="684"/>
      <c r="AM455" s="684"/>
      <c r="AN455" s="1545"/>
      <c r="AO455" s="1545"/>
      <c r="AP455" s="1545"/>
      <c r="AQ455" s="1545"/>
      <c r="AR455" s="1545"/>
      <c r="AS455" s="684"/>
      <c r="AT455" s="684"/>
      <c r="AU455" s="684"/>
      <c r="AV455" s="684"/>
      <c r="AW455" s="684"/>
      <c r="AX455" s="677"/>
      <c r="AY455" s="684"/>
      <c r="AZ455" s="683"/>
      <c r="BA455" s="684"/>
      <c r="BB455" s="13"/>
      <c r="BC455" s="684"/>
      <c r="BD455" s="13"/>
      <c r="BE455" s="684"/>
      <c r="BF455" s="13"/>
      <c r="BG455" s="684"/>
      <c r="BH455" s="13"/>
      <c r="BI455" s="684"/>
      <c r="BJ455" s="13"/>
      <c r="BK455" s="684"/>
      <c r="BL455" s="684"/>
      <c r="BM455" s="684"/>
      <c r="BN455" s="677"/>
      <c r="BO455" s="677"/>
      <c r="BP455" s="541"/>
      <c r="BQ455" s="633"/>
      <c r="BR455" s="541"/>
      <c r="BS455" s="541"/>
      <c r="BT455" s="541"/>
      <c r="BU455" s="541"/>
    </row>
    <row r="456" ht="15.75" customHeight="1">
      <c r="A456" s="1591"/>
      <c r="B456" s="1591"/>
      <c r="C456" s="2217"/>
      <c r="D456" s="1541"/>
      <c r="E456" s="906"/>
      <c r="F456" s="1545"/>
      <c r="G456" s="2250"/>
      <c r="H456" s="1545"/>
      <c r="I456" s="2250"/>
      <c r="J456" s="1545"/>
      <c r="K456" s="2250"/>
      <c r="L456" s="1545"/>
      <c r="M456" s="2250"/>
      <c r="N456" s="1545"/>
      <c r="O456" s="2250"/>
      <c r="P456" s="1545"/>
      <c r="Q456" s="2250"/>
      <c r="R456" s="1545"/>
      <c r="S456" s="684"/>
      <c r="T456" s="1545"/>
      <c r="U456" s="684"/>
      <c r="V456" s="1545"/>
      <c r="W456" s="684"/>
      <c r="X456" s="1545"/>
      <c r="Y456" s="1545"/>
      <c r="Z456" s="1545"/>
      <c r="AA456" s="684"/>
      <c r="AB456" s="1545"/>
      <c r="AC456" s="684"/>
      <c r="AD456" s="684"/>
      <c r="AE456" s="684"/>
      <c r="AF456" s="684"/>
      <c r="AG456" s="684"/>
      <c r="AH456" s="684"/>
      <c r="AI456" s="684"/>
      <c r="AJ456" s="684"/>
      <c r="AK456" s="684"/>
      <c r="AL456" s="684"/>
      <c r="AM456" s="684"/>
      <c r="AN456" s="1545"/>
      <c r="AO456" s="1545"/>
      <c r="AP456" s="1545"/>
      <c r="AQ456" s="1545"/>
      <c r="AR456" s="1545"/>
      <c r="AS456" s="684"/>
      <c r="AT456" s="684"/>
      <c r="AU456" s="684"/>
      <c r="AV456" s="684"/>
      <c r="AW456" s="684"/>
      <c r="AX456" s="677"/>
      <c r="AY456" s="684"/>
      <c r="AZ456" s="683"/>
      <c r="BA456" s="684"/>
      <c r="BB456" s="13"/>
      <c r="BC456" s="684"/>
      <c r="BD456" s="13"/>
      <c r="BE456" s="684"/>
      <c r="BF456" s="13"/>
      <c r="BG456" s="684"/>
      <c r="BH456" s="13"/>
      <c r="BI456" s="684"/>
      <c r="BJ456" s="13"/>
      <c r="BK456" s="684"/>
      <c r="BL456" s="684"/>
      <c r="BM456" s="684"/>
      <c r="BN456" s="677"/>
      <c r="BO456" s="677"/>
      <c r="BP456" s="541"/>
      <c r="BQ456" s="633"/>
      <c r="BR456" s="541"/>
      <c r="BS456" s="541"/>
      <c r="BT456" s="541"/>
      <c r="BU456" s="541"/>
    </row>
    <row r="457" ht="15.75" customHeight="1">
      <c r="A457" s="1591"/>
      <c r="B457" s="1591"/>
      <c r="C457" s="2217"/>
      <c r="D457" s="1541"/>
      <c r="E457" s="906"/>
      <c r="F457" s="1545"/>
      <c r="G457" s="2250"/>
      <c r="H457" s="1545"/>
      <c r="I457" s="2250"/>
      <c r="J457" s="1545"/>
      <c r="K457" s="2250"/>
      <c r="L457" s="1545"/>
      <c r="M457" s="2250"/>
      <c r="N457" s="1545"/>
      <c r="O457" s="2250"/>
      <c r="P457" s="1545"/>
      <c r="Q457" s="2250"/>
      <c r="R457" s="1545"/>
      <c r="S457" s="684"/>
      <c r="T457" s="1545"/>
      <c r="U457" s="684"/>
      <c r="V457" s="1545"/>
      <c r="W457" s="684"/>
      <c r="X457" s="1545"/>
      <c r="Y457" s="1545"/>
      <c r="Z457" s="1545"/>
      <c r="AA457" s="684"/>
      <c r="AB457" s="1545"/>
      <c r="AC457" s="684"/>
      <c r="AD457" s="684"/>
      <c r="AE457" s="684"/>
      <c r="AF457" s="684"/>
      <c r="AG457" s="684"/>
      <c r="AH457" s="684"/>
      <c r="AI457" s="684"/>
      <c r="AJ457" s="684"/>
      <c r="AK457" s="684"/>
      <c r="AL457" s="684"/>
      <c r="AM457" s="684"/>
      <c r="AN457" s="1545"/>
      <c r="AO457" s="1545"/>
      <c r="AP457" s="1545"/>
      <c r="AQ457" s="1545"/>
      <c r="AR457" s="1545"/>
      <c r="AS457" s="684"/>
      <c r="AT457" s="684"/>
      <c r="AU457" s="684"/>
      <c r="AV457" s="684"/>
      <c r="AW457" s="684"/>
      <c r="AX457" s="677"/>
      <c r="AY457" s="684"/>
      <c r="AZ457" s="683"/>
      <c r="BA457" s="684"/>
      <c r="BB457" s="13"/>
      <c r="BC457" s="684"/>
      <c r="BD457" s="13"/>
      <c r="BE457" s="684"/>
      <c r="BF457" s="13"/>
      <c r="BG457" s="684"/>
      <c r="BH457" s="13"/>
      <c r="BI457" s="684"/>
      <c r="BJ457" s="13"/>
      <c r="BK457" s="684"/>
      <c r="BL457" s="684"/>
      <c r="BM457" s="684"/>
      <c r="BN457" s="677"/>
      <c r="BO457" s="677"/>
      <c r="BP457" s="541"/>
      <c r="BQ457" s="633"/>
      <c r="BR457" s="541"/>
      <c r="BS457" s="541"/>
      <c r="BT457" s="541"/>
      <c r="BU457" s="541"/>
    </row>
    <row r="458" ht="15.75" customHeight="1">
      <c r="A458" s="1591"/>
      <c r="B458" s="1591"/>
      <c r="C458" s="2217"/>
      <c r="D458" s="1541"/>
      <c r="E458" s="906"/>
      <c r="F458" s="1545"/>
      <c r="G458" s="2250"/>
      <c r="H458" s="1545"/>
      <c r="I458" s="2250"/>
      <c r="J458" s="1545"/>
      <c r="K458" s="2250"/>
      <c r="L458" s="1545"/>
      <c r="M458" s="2250"/>
      <c r="N458" s="1545"/>
      <c r="O458" s="2250"/>
      <c r="P458" s="1545"/>
      <c r="Q458" s="2250"/>
      <c r="R458" s="1545"/>
      <c r="S458" s="684"/>
      <c r="T458" s="1545"/>
      <c r="U458" s="684"/>
      <c r="V458" s="1545"/>
      <c r="W458" s="684"/>
      <c r="X458" s="1545"/>
      <c r="Y458" s="1545"/>
      <c r="Z458" s="1545"/>
      <c r="AA458" s="684"/>
      <c r="AB458" s="1545"/>
      <c r="AC458" s="684"/>
      <c r="AD458" s="684"/>
      <c r="AE458" s="684"/>
      <c r="AF458" s="684"/>
      <c r="AG458" s="684"/>
      <c r="AH458" s="684"/>
      <c r="AI458" s="684"/>
      <c r="AJ458" s="684"/>
      <c r="AK458" s="684"/>
      <c r="AL458" s="684"/>
      <c r="AM458" s="684"/>
      <c r="AN458" s="1545"/>
      <c r="AO458" s="1545"/>
      <c r="AP458" s="1545"/>
      <c r="AQ458" s="1545"/>
      <c r="AR458" s="1545"/>
      <c r="AS458" s="684"/>
      <c r="AT458" s="684"/>
      <c r="AU458" s="684"/>
      <c r="AV458" s="684"/>
      <c r="AW458" s="684"/>
      <c r="AX458" s="677"/>
      <c r="AY458" s="684"/>
      <c r="AZ458" s="683"/>
      <c r="BA458" s="684"/>
      <c r="BB458" s="13"/>
      <c r="BC458" s="684"/>
      <c r="BD458" s="13"/>
      <c r="BE458" s="684"/>
      <c r="BF458" s="13"/>
      <c r="BG458" s="684"/>
      <c r="BH458" s="13"/>
      <c r="BI458" s="684"/>
      <c r="BJ458" s="13"/>
      <c r="BK458" s="684"/>
      <c r="BL458" s="684"/>
      <c r="BM458" s="684"/>
      <c r="BN458" s="677"/>
      <c r="BO458" s="677"/>
      <c r="BP458" s="541"/>
      <c r="BQ458" s="633"/>
      <c r="BR458" s="541"/>
      <c r="BS458" s="541"/>
      <c r="BT458" s="541"/>
      <c r="BU458" s="541"/>
    </row>
    <row r="459" ht="15.75" customHeight="1">
      <c r="A459" s="1591"/>
      <c r="B459" s="1591"/>
      <c r="C459" s="2217"/>
      <c r="D459" s="1541"/>
      <c r="E459" s="906"/>
      <c r="F459" s="1545"/>
      <c r="G459" s="2250"/>
      <c r="H459" s="1545"/>
      <c r="I459" s="2250"/>
      <c r="J459" s="1545"/>
      <c r="K459" s="2250"/>
      <c r="L459" s="1545"/>
      <c r="M459" s="2250"/>
      <c r="N459" s="1545"/>
      <c r="O459" s="2250"/>
      <c r="P459" s="1545"/>
      <c r="Q459" s="2250"/>
      <c r="R459" s="1545"/>
      <c r="S459" s="684"/>
      <c r="T459" s="1545"/>
      <c r="U459" s="684"/>
      <c r="V459" s="1545"/>
      <c r="W459" s="684"/>
      <c r="X459" s="1545"/>
      <c r="Y459" s="1545"/>
      <c r="Z459" s="1545"/>
      <c r="AA459" s="684"/>
      <c r="AB459" s="1545"/>
      <c r="AC459" s="684"/>
      <c r="AD459" s="684"/>
      <c r="AE459" s="684"/>
      <c r="AF459" s="684"/>
      <c r="AG459" s="684"/>
      <c r="AH459" s="684"/>
      <c r="AI459" s="684"/>
      <c r="AJ459" s="684"/>
      <c r="AK459" s="684"/>
      <c r="AL459" s="684"/>
      <c r="AM459" s="684"/>
      <c r="AN459" s="1545"/>
      <c r="AO459" s="1545"/>
      <c r="AP459" s="1545"/>
      <c r="AQ459" s="1545"/>
      <c r="AR459" s="1545"/>
      <c r="AS459" s="684"/>
      <c r="AT459" s="684"/>
      <c r="AU459" s="684"/>
      <c r="AV459" s="684"/>
      <c r="AW459" s="684"/>
      <c r="AX459" s="677"/>
      <c r="AY459" s="684"/>
      <c r="AZ459" s="683"/>
      <c r="BA459" s="684"/>
      <c r="BB459" s="13"/>
      <c r="BC459" s="684"/>
      <c r="BD459" s="13"/>
      <c r="BE459" s="684"/>
      <c r="BF459" s="13"/>
      <c r="BG459" s="684"/>
      <c r="BH459" s="13"/>
      <c r="BI459" s="684"/>
      <c r="BJ459" s="13"/>
      <c r="BK459" s="684"/>
      <c r="BL459" s="684"/>
      <c r="BM459" s="684"/>
      <c r="BN459" s="677"/>
      <c r="BO459" s="677"/>
      <c r="BP459" s="541"/>
      <c r="BQ459" s="633"/>
      <c r="BR459" s="541"/>
      <c r="BS459" s="541"/>
      <c r="BT459" s="541"/>
      <c r="BU459" s="541"/>
    </row>
    <row r="460" ht="15.75" customHeight="1">
      <c r="A460" s="1591"/>
      <c r="B460" s="1591"/>
      <c r="C460" s="2217"/>
      <c r="D460" s="1541"/>
      <c r="E460" s="906"/>
      <c r="F460" s="1545"/>
      <c r="G460" s="2250"/>
      <c r="H460" s="1545"/>
      <c r="I460" s="2250"/>
      <c r="J460" s="1545"/>
      <c r="K460" s="2250"/>
      <c r="L460" s="1545"/>
      <c r="M460" s="2250"/>
      <c r="N460" s="1545"/>
      <c r="O460" s="2250"/>
      <c r="P460" s="1545"/>
      <c r="Q460" s="2250"/>
      <c r="R460" s="1545"/>
      <c r="S460" s="684"/>
      <c r="T460" s="1545"/>
      <c r="U460" s="684"/>
      <c r="V460" s="1545"/>
      <c r="W460" s="684"/>
      <c r="X460" s="1545"/>
      <c r="Y460" s="1545"/>
      <c r="Z460" s="1545"/>
      <c r="AA460" s="684"/>
      <c r="AB460" s="1545"/>
      <c r="AC460" s="684"/>
      <c r="AD460" s="684"/>
      <c r="AE460" s="684"/>
      <c r="AF460" s="684"/>
      <c r="AG460" s="684"/>
      <c r="AH460" s="684"/>
      <c r="AI460" s="684"/>
      <c r="AJ460" s="684"/>
      <c r="AK460" s="684"/>
      <c r="AL460" s="684"/>
      <c r="AM460" s="684"/>
      <c r="AN460" s="1545"/>
      <c r="AO460" s="1545"/>
      <c r="AP460" s="1545"/>
      <c r="AQ460" s="1545"/>
      <c r="AR460" s="1545"/>
      <c r="AS460" s="684"/>
      <c r="AT460" s="684"/>
      <c r="AU460" s="684"/>
      <c r="AV460" s="684"/>
      <c r="AW460" s="684"/>
      <c r="AX460" s="677"/>
      <c r="AY460" s="684"/>
      <c r="AZ460" s="683"/>
      <c r="BA460" s="684"/>
      <c r="BB460" s="13"/>
      <c r="BC460" s="684"/>
      <c r="BD460" s="13"/>
      <c r="BE460" s="684"/>
      <c r="BF460" s="13"/>
      <c r="BG460" s="684"/>
      <c r="BH460" s="13"/>
      <c r="BI460" s="684"/>
      <c r="BJ460" s="13"/>
      <c r="BK460" s="684"/>
      <c r="BL460" s="684"/>
      <c r="BM460" s="684"/>
      <c r="BN460" s="677"/>
      <c r="BO460" s="677"/>
      <c r="BP460" s="541"/>
      <c r="BQ460" s="633"/>
      <c r="BR460" s="541"/>
      <c r="BS460" s="541"/>
      <c r="BT460" s="541"/>
      <c r="BU460" s="541"/>
    </row>
    <row r="461" ht="15.75" customHeight="1">
      <c r="A461" s="1591"/>
      <c r="B461" s="1591"/>
      <c r="C461" s="2217"/>
      <c r="D461" s="1541"/>
      <c r="E461" s="906"/>
      <c r="F461" s="1545"/>
      <c r="G461" s="2250"/>
      <c r="H461" s="1545"/>
      <c r="I461" s="2250"/>
      <c r="J461" s="1545"/>
      <c r="K461" s="2250"/>
      <c r="L461" s="1545"/>
      <c r="M461" s="2250"/>
      <c r="N461" s="1545"/>
      <c r="O461" s="2250"/>
      <c r="P461" s="1545"/>
      <c r="Q461" s="2250"/>
      <c r="R461" s="1545"/>
      <c r="S461" s="684"/>
      <c r="T461" s="1545"/>
      <c r="U461" s="684"/>
      <c r="V461" s="1545"/>
      <c r="W461" s="684"/>
      <c r="X461" s="1545"/>
      <c r="Y461" s="1545"/>
      <c r="Z461" s="1545"/>
      <c r="AA461" s="684"/>
      <c r="AB461" s="1545"/>
      <c r="AC461" s="684"/>
      <c r="AD461" s="684"/>
      <c r="AE461" s="684"/>
      <c r="AF461" s="684"/>
      <c r="AG461" s="684"/>
      <c r="AH461" s="684"/>
      <c r="AI461" s="684"/>
      <c r="AJ461" s="684"/>
      <c r="AK461" s="684"/>
      <c r="AL461" s="684"/>
      <c r="AM461" s="684"/>
      <c r="AN461" s="1545"/>
      <c r="AO461" s="1545"/>
      <c r="AP461" s="1545"/>
      <c r="AQ461" s="1545"/>
      <c r="AR461" s="1545"/>
      <c r="AS461" s="684"/>
      <c r="AT461" s="684"/>
      <c r="AU461" s="684"/>
      <c r="AV461" s="684"/>
      <c r="AW461" s="684"/>
      <c r="AX461" s="677"/>
      <c r="AY461" s="684"/>
      <c r="AZ461" s="683"/>
      <c r="BA461" s="684"/>
      <c r="BB461" s="13"/>
      <c r="BC461" s="684"/>
      <c r="BD461" s="13"/>
      <c r="BE461" s="684"/>
      <c r="BF461" s="13"/>
      <c r="BG461" s="684"/>
      <c r="BH461" s="13"/>
      <c r="BI461" s="684"/>
      <c r="BJ461" s="13"/>
      <c r="BK461" s="684"/>
      <c r="BL461" s="684"/>
      <c r="BM461" s="684"/>
      <c r="BN461" s="677"/>
      <c r="BO461" s="677"/>
      <c r="BP461" s="541"/>
      <c r="BQ461" s="633"/>
      <c r="BR461" s="541"/>
      <c r="BS461" s="541"/>
      <c r="BT461" s="541"/>
      <c r="BU461" s="541"/>
    </row>
    <row r="462" ht="15.75" customHeight="1">
      <c r="A462" s="1591"/>
      <c r="B462" s="1591"/>
      <c r="C462" s="2217"/>
      <c r="D462" s="1541"/>
      <c r="E462" s="906"/>
      <c r="F462" s="1545"/>
      <c r="G462" s="2250"/>
      <c r="H462" s="1545"/>
      <c r="I462" s="2250"/>
      <c r="J462" s="1545"/>
      <c r="K462" s="2250"/>
      <c r="L462" s="1545"/>
      <c r="M462" s="2250"/>
      <c r="N462" s="1545"/>
      <c r="O462" s="2250"/>
      <c r="P462" s="1545"/>
      <c r="Q462" s="2250"/>
      <c r="R462" s="1545"/>
      <c r="S462" s="684"/>
      <c r="T462" s="1545"/>
      <c r="U462" s="684"/>
      <c r="V462" s="1545"/>
      <c r="W462" s="684"/>
      <c r="X462" s="1545"/>
      <c r="Y462" s="1545"/>
      <c r="Z462" s="1545"/>
      <c r="AA462" s="684"/>
      <c r="AB462" s="1545"/>
      <c r="AC462" s="684"/>
      <c r="AD462" s="684"/>
      <c r="AE462" s="684"/>
      <c r="AF462" s="684"/>
      <c r="AG462" s="684"/>
      <c r="AH462" s="684"/>
      <c r="AI462" s="684"/>
      <c r="AJ462" s="684"/>
      <c r="AK462" s="684"/>
      <c r="AL462" s="684"/>
      <c r="AM462" s="684"/>
      <c r="AN462" s="1545"/>
      <c r="AO462" s="1545"/>
      <c r="AP462" s="1545"/>
      <c r="AQ462" s="1545"/>
      <c r="AR462" s="1545"/>
      <c r="AS462" s="684"/>
      <c r="AT462" s="684"/>
      <c r="AU462" s="684"/>
      <c r="AV462" s="684"/>
      <c r="AW462" s="684"/>
      <c r="AX462" s="677"/>
      <c r="AY462" s="684"/>
      <c r="AZ462" s="683"/>
      <c r="BA462" s="684"/>
      <c r="BB462" s="13"/>
      <c r="BC462" s="684"/>
      <c r="BD462" s="13"/>
      <c r="BE462" s="684"/>
      <c r="BF462" s="13"/>
      <c r="BG462" s="684"/>
      <c r="BH462" s="13"/>
      <c r="BI462" s="684"/>
      <c r="BJ462" s="13"/>
      <c r="BK462" s="684"/>
      <c r="BL462" s="684"/>
      <c r="BM462" s="684"/>
      <c r="BN462" s="677"/>
      <c r="BO462" s="677"/>
      <c r="BP462" s="541"/>
      <c r="BQ462" s="633"/>
      <c r="BR462" s="541"/>
      <c r="BS462" s="541"/>
      <c r="BT462" s="541"/>
      <c r="BU462" s="541"/>
    </row>
    <row r="463" ht="15.75" customHeight="1">
      <c r="A463" s="1591"/>
      <c r="B463" s="1591"/>
      <c r="C463" s="2217"/>
      <c r="D463" s="1541"/>
      <c r="E463" s="906"/>
      <c r="F463" s="1545"/>
      <c r="G463" s="2250"/>
      <c r="H463" s="1545"/>
      <c r="I463" s="2250"/>
      <c r="J463" s="1545"/>
      <c r="K463" s="2250"/>
      <c r="L463" s="1545"/>
      <c r="M463" s="2250"/>
      <c r="N463" s="1545"/>
      <c r="O463" s="2250"/>
      <c r="P463" s="1545"/>
      <c r="Q463" s="2250"/>
      <c r="R463" s="1545"/>
      <c r="S463" s="684"/>
      <c r="T463" s="1545"/>
      <c r="U463" s="684"/>
      <c r="V463" s="1545"/>
      <c r="W463" s="684"/>
      <c r="X463" s="1545"/>
      <c r="Y463" s="1545"/>
      <c r="Z463" s="1545"/>
      <c r="AA463" s="684"/>
      <c r="AB463" s="1545"/>
      <c r="AC463" s="684"/>
      <c r="AD463" s="684"/>
      <c r="AE463" s="684"/>
      <c r="AF463" s="684"/>
      <c r="AG463" s="684"/>
      <c r="AH463" s="684"/>
      <c r="AI463" s="684"/>
      <c r="AJ463" s="684"/>
      <c r="AK463" s="684"/>
      <c r="AL463" s="684"/>
      <c r="AM463" s="684"/>
      <c r="AN463" s="1545"/>
      <c r="AO463" s="1545"/>
      <c r="AP463" s="1545"/>
      <c r="AQ463" s="1545"/>
      <c r="AR463" s="1545"/>
      <c r="AS463" s="684"/>
      <c r="AT463" s="684"/>
      <c r="AU463" s="684"/>
      <c r="AV463" s="684"/>
      <c r="AW463" s="684"/>
      <c r="AX463" s="677"/>
      <c r="AY463" s="684"/>
      <c r="AZ463" s="683"/>
      <c r="BA463" s="684"/>
      <c r="BB463" s="13"/>
      <c r="BC463" s="684"/>
      <c r="BD463" s="13"/>
      <c r="BE463" s="684"/>
      <c r="BF463" s="13"/>
      <c r="BG463" s="684"/>
      <c r="BH463" s="13"/>
      <c r="BI463" s="684"/>
      <c r="BJ463" s="13"/>
      <c r="BK463" s="684"/>
      <c r="BL463" s="684"/>
      <c r="BM463" s="684"/>
      <c r="BN463" s="677"/>
      <c r="BO463" s="677"/>
      <c r="BP463" s="541"/>
      <c r="BQ463" s="633"/>
      <c r="BR463" s="541"/>
      <c r="BS463" s="541"/>
      <c r="BT463" s="541"/>
      <c r="BU463" s="541"/>
    </row>
    <row r="464" ht="15.75" customHeight="1">
      <c r="A464" s="1591"/>
      <c r="B464" s="1591"/>
      <c r="C464" s="2217"/>
      <c r="D464" s="1541"/>
      <c r="E464" s="906"/>
      <c r="F464" s="1545"/>
      <c r="G464" s="2250"/>
      <c r="H464" s="1545"/>
      <c r="I464" s="2250"/>
      <c r="J464" s="1545"/>
      <c r="K464" s="2250"/>
      <c r="L464" s="1545"/>
      <c r="M464" s="2250"/>
      <c r="N464" s="1545"/>
      <c r="O464" s="2250"/>
      <c r="P464" s="1545"/>
      <c r="Q464" s="2250"/>
      <c r="R464" s="1545"/>
      <c r="S464" s="684"/>
      <c r="T464" s="1545"/>
      <c r="U464" s="684"/>
      <c r="V464" s="1545"/>
      <c r="W464" s="684"/>
      <c r="X464" s="1545"/>
      <c r="Y464" s="1545"/>
      <c r="Z464" s="1545"/>
      <c r="AA464" s="684"/>
      <c r="AB464" s="1545"/>
      <c r="AC464" s="684"/>
      <c r="AD464" s="684"/>
      <c r="AE464" s="684"/>
      <c r="AF464" s="684"/>
      <c r="AG464" s="684"/>
      <c r="AH464" s="684"/>
      <c r="AI464" s="684"/>
      <c r="AJ464" s="684"/>
      <c r="AK464" s="684"/>
      <c r="AL464" s="684"/>
      <c r="AM464" s="684"/>
      <c r="AN464" s="1545"/>
      <c r="AO464" s="1545"/>
      <c r="AP464" s="1545"/>
      <c r="AQ464" s="1545"/>
      <c r="AR464" s="1545"/>
      <c r="AS464" s="684"/>
      <c r="AT464" s="684"/>
      <c r="AU464" s="684"/>
      <c r="AV464" s="684"/>
      <c r="AW464" s="684"/>
      <c r="AX464" s="677"/>
      <c r="AY464" s="684"/>
      <c r="AZ464" s="683"/>
      <c r="BA464" s="684"/>
      <c r="BB464" s="13"/>
      <c r="BC464" s="684"/>
      <c r="BD464" s="13"/>
      <c r="BE464" s="684"/>
      <c r="BF464" s="13"/>
      <c r="BG464" s="684"/>
      <c r="BH464" s="13"/>
      <c r="BI464" s="684"/>
      <c r="BJ464" s="13"/>
      <c r="BK464" s="684"/>
      <c r="BL464" s="684"/>
      <c r="BM464" s="684"/>
      <c r="BN464" s="677"/>
      <c r="BO464" s="677"/>
      <c r="BP464" s="541"/>
      <c r="BQ464" s="633"/>
      <c r="BR464" s="541"/>
      <c r="BS464" s="541"/>
      <c r="BT464" s="541"/>
      <c r="BU464" s="541"/>
    </row>
    <row r="465" ht="15.75" customHeight="1">
      <c r="A465" s="1591"/>
      <c r="B465" s="1591"/>
      <c r="C465" s="2217"/>
      <c r="D465" s="1541"/>
      <c r="E465" s="906"/>
      <c r="F465" s="1545"/>
      <c r="G465" s="2250"/>
      <c r="H465" s="1545"/>
      <c r="I465" s="2250"/>
      <c r="J465" s="1545"/>
      <c r="K465" s="2250"/>
      <c r="L465" s="1545"/>
      <c r="M465" s="2250"/>
      <c r="N465" s="1545"/>
      <c r="O465" s="2250"/>
      <c r="P465" s="1545"/>
      <c r="Q465" s="2250"/>
      <c r="R465" s="1545"/>
      <c r="S465" s="684"/>
      <c r="T465" s="1545"/>
      <c r="U465" s="684"/>
      <c r="V465" s="1545"/>
      <c r="W465" s="684"/>
      <c r="X465" s="1545"/>
      <c r="Y465" s="1545"/>
      <c r="Z465" s="1545"/>
      <c r="AA465" s="684"/>
      <c r="AB465" s="1545"/>
      <c r="AC465" s="684"/>
      <c r="AD465" s="684"/>
      <c r="AE465" s="684"/>
      <c r="AF465" s="684"/>
      <c r="AG465" s="684"/>
      <c r="AH465" s="684"/>
      <c r="AI465" s="684"/>
      <c r="AJ465" s="684"/>
      <c r="AK465" s="684"/>
      <c r="AL465" s="684"/>
      <c r="AM465" s="684"/>
      <c r="AN465" s="1545"/>
      <c r="AO465" s="1545"/>
      <c r="AP465" s="1545"/>
      <c r="AQ465" s="1545"/>
      <c r="AR465" s="1545"/>
      <c r="AS465" s="684"/>
      <c r="AT465" s="684"/>
      <c r="AU465" s="684"/>
      <c r="AV465" s="684"/>
      <c r="AW465" s="684"/>
      <c r="AX465" s="677"/>
      <c r="AY465" s="684"/>
      <c r="AZ465" s="683"/>
      <c r="BA465" s="684"/>
      <c r="BB465" s="13"/>
      <c r="BC465" s="684"/>
      <c r="BD465" s="13"/>
      <c r="BE465" s="684"/>
      <c r="BF465" s="13"/>
      <c r="BG465" s="684"/>
      <c r="BH465" s="13"/>
      <c r="BI465" s="684"/>
      <c r="BJ465" s="13"/>
      <c r="BK465" s="684"/>
      <c r="BL465" s="684"/>
      <c r="BM465" s="684"/>
      <c r="BN465" s="677"/>
      <c r="BO465" s="677"/>
      <c r="BP465" s="541"/>
      <c r="BQ465" s="633"/>
      <c r="BR465" s="541"/>
      <c r="BS465" s="541"/>
      <c r="BT465" s="541"/>
      <c r="BU465" s="541"/>
    </row>
    <row r="466" ht="15.75" customHeight="1">
      <c r="A466" s="1591"/>
      <c r="B466" s="1591"/>
      <c r="C466" s="2217"/>
      <c r="D466" s="1541"/>
      <c r="E466" s="906"/>
      <c r="F466" s="1545"/>
      <c r="G466" s="2250"/>
      <c r="H466" s="1545"/>
      <c r="I466" s="2250"/>
      <c r="J466" s="1545"/>
      <c r="K466" s="2250"/>
      <c r="L466" s="1545"/>
      <c r="M466" s="2250"/>
      <c r="N466" s="1545"/>
      <c r="O466" s="2250"/>
      <c r="P466" s="1545"/>
      <c r="Q466" s="2250"/>
      <c r="R466" s="1545"/>
      <c r="S466" s="684"/>
      <c r="T466" s="1545"/>
      <c r="U466" s="684"/>
      <c r="V466" s="1545"/>
      <c r="W466" s="684"/>
      <c r="X466" s="1545"/>
      <c r="Y466" s="1545"/>
      <c r="Z466" s="1545"/>
      <c r="AA466" s="684"/>
      <c r="AB466" s="1545"/>
      <c r="AC466" s="684"/>
      <c r="AD466" s="684"/>
      <c r="AE466" s="684"/>
      <c r="AF466" s="684"/>
      <c r="AG466" s="684"/>
      <c r="AH466" s="684"/>
      <c r="AI466" s="684"/>
      <c r="AJ466" s="684"/>
      <c r="AK466" s="684"/>
      <c r="AL466" s="684"/>
      <c r="AM466" s="684"/>
      <c r="AN466" s="1545"/>
      <c r="AO466" s="1545"/>
      <c r="AP466" s="1545"/>
      <c r="AQ466" s="1545"/>
      <c r="AR466" s="1545"/>
      <c r="AS466" s="684"/>
      <c r="AT466" s="684"/>
      <c r="AU466" s="684"/>
      <c r="AV466" s="684"/>
      <c r="AW466" s="684"/>
      <c r="AX466" s="677"/>
      <c r="AY466" s="684"/>
      <c r="AZ466" s="683"/>
      <c r="BA466" s="684"/>
      <c r="BB466" s="13"/>
      <c r="BC466" s="684"/>
      <c r="BD466" s="13"/>
      <c r="BE466" s="684"/>
      <c r="BF466" s="13"/>
      <c r="BG466" s="684"/>
      <c r="BH466" s="13"/>
      <c r="BI466" s="684"/>
      <c r="BJ466" s="13"/>
      <c r="BK466" s="684"/>
      <c r="BL466" s="684"/>
      <c r="BM466" s="684"/>
      <c r="BN466" s="677"/>
      <c r="BO466" s="677"/>
      <c r="BP466" s="541"/>
      <c r="BQ466" s="633"/>
      <c r="BR466" s="541"/>
      <c r="BS466" s="541"/>
      <c r="BT466" s="541"/>
      <c r="BU466" s="541"/>
    </row>
    <row r="467" ht="15.75" customHeight="1">
      <c r="A467" s="1591"/>
      <c r="B467" s="1591"/>
      <c r="C467" s="2217"/>
      <c r="D467" s="1541"/>
      <c r="E467" s="906"/>
      <c r="F467" s="1545"/>
      <c r="G467" s="2250"/>
      <c r="H467" s="1545"/>
      <c r="I467" s="2250"/>
      <c r="J467" s="1545"/>
      <c r="K467" s="2250"/>
      <c r="L467" s="1545"/>
      <c r="M467" s="2250"/>
      <c r="N467" s="1545"/>
      <c r="O467" s="2250"/>
      <c r="P467" s="1545"/>
      <c r="Q467" s="2250"/>
      <c r="R467" s="1545"/>
      <c r="S467" s="684"/>
      <c r="T467" s="1545"/>
      <c r="U467" s="684"/>
      <c r="V467" s="1545"/>
      <c r="W467" s="684"/>
      <c r="X467" s="1545"/>
      <c r="Y467" s="1545"/>
      <c r="Z467" s="1545"/>
      <c r="AA467" s="684"/>
      <c r="AB467" s="1545"/>
      <c r="AC467" s="684"/>
      <c r="AD467" s="684"/>
      <c r="AE467" s="684"/>
      <c r="AF467" s="684"/>
      <c r="AG467" s="684"/>
      <c r="AH467" s="684"/>
      <c r="AI467" s="684"/>
      <c r="AJ467" s="684"/>
      <c r="AK467" s="684"/>
      <c r="AL467" s="684"/>
      <c r="AM467" s="684"/>
      <c r="AN467" s="1545"/>
      <c r="AO467" s="1545"/>
      <c r="AP467" s="1545"/>
      <c r="AQ467" s="1545"/>
      <c r="AR467" s="1545"/>
      <c r="AS467" s="684"/>
      <c r="AT467" s="684"/>
      <c r="AU467" s="684"/>
      <c r="AV467" s="684"/>
      <c r="AW467" s="684"/>
      <c r="AX467" s="677"/>
      <c r="AY467" s="684"/>
      <c r="AZ467" s="683"/>
      <c r="BA467" s="684"/>
      <c r="BB467" s="13"/>
      <c r="BC467" s="684"/>
      <c r="BD467" s="13"/>
      <c r="BE467" s="684"/>
      <c r="BF467" s="13"/>
      <c r="BG467" s="684"/>
      <c r="BH467" s="13"/>
      <c r="BI467" s="684"/>
      <c r="BJ467" s="13"/>
      <c r="BK467" s="684"/>
      <c r="BL467" s="684"/>
      <c r="BM467" s="684"/>
      <c r="BN467" s="677"/>
      <c r="BO467" s="677"/>
      <c r="BP467" s="541"/>
      <c r="BQ467" s="633"/>
      <c r="BR467" s="541"/>
      <c r="BS467" s="541"/>
      <c r="BT467" s="541"/>
      <c r="BU467" s="541"/>
    </row>
    <row r="468" ht="15.75" customHeight="1">
      <c r="A468" s="1591"/>
      <c r="B468" s="1591"/>
      <c r="C468" s="2217"/>
      <c r="D468" s="1541"/>
      <c r="E468" s="906"/>
      <c r="F468" s="1545"/>
      <c r="G468" s="2250"/>
      <c r="H468" s="1545"/>
      <c r="I468" s="2250"/>
      <c r="J468" s="1545"/>
      <c r="K468" s="2250"/>
      <c r="L468" s="1545"/>
      <c r="M468" s="2250"/>
      <c r="N468" s="1545"/>
      <c r="O468" s="2250"/>
      <c r="P468" s="1545"/>
      <c r="Q468" s="2250"/>
      <c r="R468" s="1545"/>
      <c r="S468" s="684"/>
      <c r="T468" s="1545"/>
      <c r="U468" s="684"/>
      <c r="V468" s="1545"/>
      <c r="W468" s="684"/>
      <c r="X468" s="1545"/>
      <c r="Y468" s="1545"/>
      <c r="Z468" s="1545"/>
      <c r="AA468" s="684"/>
      <c r="AB468" s="1545"/>
      <c r="AC468" s="684"/>
      <c r="AD468" s="684"/>
      <c r="AE468" s="684"/>
      <c r="AF468" s="684"/>
      <c r="AG468" s="684"/>
      <c r="AH468" s="684"/>
      <c r="AI468" s="684"/>
      <c r="AJ468" s="684"/>
      <c r="AK468" s="684"/>
      <c r="AL468" s="684"/>
      <c r="AM468" s="684"/>
      <c r="AN468" s="1545"/>
      <c r="AO468" s="1545"/>
      <c r="AP468" s="1545"/>
      <c r="AQ468" s="1545"/>
      <c r="AR468" s="1545"/>
      <c r="AS468" s="684"/>
      <c r="AT468" s="684"/>
      <c r="AU468" s="684"/>
      <c r="AV468" s="684"/>
      <c r="AW468" s="684"/>
      <c r="AX468" s="677"/>
      <c r="AY468" s="684"/>
      <c r="AZ468" s="683"/>
      <c r="BA468" s="684"/>
      <c r="BB468" s="13"/>
      <c r="BC468" s="684"/>
      <c r="BD468" s="13"/>
      <c r="BE468" s="684"/>
      <c r="BF468" s="13"/>
      <c r="BG468" s="684"/>
      <c r="BH468" s="13"/>
      <c r="BI468" s="684"/>
      <c r="BJ468" s="13"/>
      <c r="BK468" s="684"/>
      <c r="BL468" s="684"/>
      <c r="BM468" s="684"/>
      <c r="BN468" s="677"/>
      <c r="BO468" s="677"/>
      <c r="BP468" s="541"/>
      <c r="BQ468" s="633"/>
      <c r="BR468" s="541"/>
      <c r="BS468" s="541"/>
      <c r="BT468" s="541"/>
      <c r="BU468" s="541"/>
    </row>
    <row r="469" ht="15.75" customHeight="1">
      <c r="A469" s="1591"/>
      <c r="B469" s="1591"/>
      <c r="C469" s="2217"/>
      <c r="D469" s="1541"/>
      <c r="E469" s="906"/>
      <c r="F469" s="1545"/>
      <c r="G469" s="2250"/>
      <c r="H469" s="1545"/>
      <c r="I469" s="2250"/>
      <c r="J469" s="1545"/>
      <c r="K469" s="2250"/>
      <c r="L469" s="1545"/>
      <c r="M469" s="2250"/>
      <c r="N469" s="1545"/>
      <c r="O469" s="2250"/>
      <c r="P469" s="1545"/>
      <c r="Q469" s="2250"/>
      <c r="R469" s="1545"/>
      <c r="S469" s="684"/>
      <c r="T469" s="1545"/>
      <c r="U469" s="684"/>
      <c r="V469" s="1545"/>
      <c r="W469" s="684"/>
      <c r="X469" s="1545"/>
      <c r="Y469" s="1545"/>
      <c r="Z469" s="1545"/>
      <c r="AA469" s="684"/>
      <c r="AB469" s="1545"/>
      <c r="AC469" s="684"/>
      <c r="AD469" s="684"/>
      <c r="AE469" s="684"/>
      <c r="AF469" s="684"/>
      <c r="AG469" s="684"/>
      <c r="AH469" s="684"/>
      <c r="AI469" s="684"/>
      <c r="AJ469" s="684"/>
      <c r="AK469" s="684"/>
      <c r="AL469" s="684"/>
      <c r="AM469" s="684"/>
      <c r="AN469" s="1545"/>
      <c r="AO469" s="1545"/>
      <c r="AP469" s="1545"/>
      <c r="AQ469" s="1545"/>
      <c r="AR469" s="1545"/>
      <c r="AS469" s="684"/>
      <c r="AT469" s="684"/>
      <c r="AU469" s="684"/>
      <c r="AV469" s="684"/>
      <c r="AW469" s="684"/>
      <c r="AX469" s="677"/>
      <c r="AY469" s="684"/>
      <c r="AZ469" s="683"/>
      <c r="BA469" s="684"/>
      <c r="BB469" s="13"/>
      <c r="BC469" s="684"/>
      <c r="BD469" s="13"/>
      <c r="BE469" s="684"/>
      <c r="BF469" s="13"/>
      <c r="BG469" s="684"/>
      <c r="BH469" s="13"/>
      <c r="BI469" s="684"/>
      <c r="BJ469" s="13"/>
      <c r="BK469" s="684"/>
      <c r="BL469" s="684"/>
      <c r="BM469" s="684"/>
      <c r="BN469" s="677"/>
      <c r="BO469" s="677"/>
      <c r="BP469" s="541"/>
      <c r="BQ469" s="633"/>
      <c r="BR469" s="541"/>
      <c r="BS469" s="541"/>
      <c r="BT469" s="541"/>
      <c r="BU469" s="541"/>
    </row>
    <row r="470" ht="15.75" customHeight="1">
      <c r="A470" s="1591"/>
      <c r="B470" s="1591"/>
      <c r="C470" s="2217"/>
      <c r="D470" s="1541"/>
      <c r="E470" s="906"/>
      <c r="F470" s="1545"/>
      <c r="G470" s="2250"/>
      <c r="H470" s="1545"/>
      <c r="I470" s="2250"/>
      <c r="J470" s="1545"/>
      <c r="K470" s="2250"/>
      <c r="L470" s="1545"/>
      <c r="M470" s="2250"/>
      <c r="N470" s="1545"/>
      <c r="O470" s="2250"/>
      <c r="P470" s="1545"/>
      <c r="Q470" s="2250"/>
      <c r="R470" s="1545"/>
      <c r="S470" s="684"/>
      <c r="T470" s="1545"/>
      <c r="U470" s="684"/>
      <c r="V470" s="1545"/>
      <c r="W470" s="684"/>
      <c r="X470" s="1545"/>
      <c r="Y470" s="1545"/>
      <c r="Z470" s="1545"/>
      <c r="AA470" s="684"/>
      <c r="AB470" s="1545"/>
      <c r="AC470" s="684"/>
      <c r="AD470" s="684"/>
      <c r="AE470" s="684"/>
      <c r="AF470" s="684"/>
      <c r="AG470" s="684"/>
      <c r="AH470" s="684"/>
      <c r="AI470" s="684"/>
      <c r="AJ470" s="684"/>
      <c r="AK470" s="684"/>
      <c r="AL470" s="684"/>
      <c r="AM470" s="684"/>
      <c r="AN470" s="1545"/>
      <c r="AO470" s="1545"/>
      <c r="AP470" s="1545"/>
      <c r="AQ470" s="1545"/>
      <c r="AR470" s="1545"/>
      <c r="AS470" s="684"/>
      <c r="AT470" s="684"/>
      <c r="AU470" s="684"/>
      <c r="AV470" s="684"/>
      <c r="AW470" s="684"/>
      <c r="AX470" s="677"/>
      <c r="AY470" s="684"/>
      <c r="AZ470" s="683"/>
      <c r="BA470" s="684"/>
      <c r="BB470" s="13"/>
      <c r="BC470" s="684"/>
      <c r="BD470" s="13"/>
      <c r="BE470" s="684"/>
      <c r="BF470" s="13"/>
      <c r="BG470" s="684"/>
      <c r="BH470" s="13"/>
      <c r="BI470" s="684"/>
      <c r="BJ470" s="13"/>
      <c r="BK470" s="684"/>
      <c r="BL470" s="684"/>
      <c r="BM470" s="684"/>
      <c r="BN470" s="677"/>
      <c r="BO470" s="677"/>
      <c r="BP470" s="541"/>
      <c r="BQ470" s="633"/>
      <c r="BR470" s="541"/>
      <c r="BS470" s="541"/>
      <c r="BT470" s="541"/>
      <c r="BU470" s="541"/>
    </row>
    <row r="471" ht="15.75" customHeight="1">
      <c r="A471" s="1591"/>
      <c r="B471" s="1591"/>
      <c r="C471" s="2217"/>
      <c r="D471" s="1541"/>
      <c r="E471" s="906"/>
      <c r="F471" s="1545"/>
      <c r="G471" s="2250"/>
      <c r="H471" s="1545"/>
      <c r="I471" s="2250"/>
      <c r="J471" s="1545"/>
      <c r="K471" s="2250"/>
      <c r="L471" s="1545"/>
      <c r="M471" s="2250"/>
      <c r="N471" s="1545"/>
      <c r="O471" s="2250"/>
      <c r="P471" s="1545"/>
      <c r="Q471" s="2250"/>
      <c r="R471" s="1545"/>
      <c r="S471" s="684"/>
      <c r="T471" s="1545"/>
      <c r="U471" s="684"/>
      <c r="V471" s="1545"/>
      <c r="W471" s="684"/>
      <c r="X471" s="1545"/>
      <c r="Y471" s="1545"/>
      <c r="Z471" s="1545"/>
      <c r="AA471" s="684"/>
      <c r="AB471" s="1545"/>
      <c r="AC471" s="684"/>
      <c r="AD471" s="684"/>
      <c r="AE471" s="684"/>
      <c r="AF471" s="684"/>
      <c r="AG471" s="684"/>
      <c r="AH471" s="684"/>
      <c r="AI471" s="684"/>
      <c r="AJ471" s="684"/>
      <c r="AK471" s="684"/>
      <c r="AL471" s="684"/>
      <c r="AM471" s="684"/>
      <c r="AN471" s="1545"/>
      <c r="AO471" s="1545"/>
      <c r="AP471" s="1545"/>
      <c r="AQ471" s="1545"/>
      <c r="AR471" s="1545"/>
      <c r="AS471" s="684"/>
      <c r="AT471" s="684"/>
      <c r="AU471" s="684"/>
      <c r="AV471" s="684"/>
      <c r="AW471" s="684"/>
      <c r="AX471" s="677"/>
      <c r="AY471" s="684"/>
      <c r="AZ471" s="683"/>
      <c r="BA471" s="684"/>
      <c r="BB471" s="13"/>
      <c r="BC471" s="684"/>
      <c r="BD471" s="13"/>
      <c r="BE471" s="684"/>
      <c r="BF471" s="13"/>
      <c r="BG471" s="684"/>
      <c r="BH471" s="13"/>
      <c r="BI471" s="684"/>
      <c r="BJ471" s="13"/>
      <c r="BK471" s="684"/>
      <c r="BL471" s="684"/>
      <c r="BM471" s="684"/>
      <c r="BN471" s="677"/>
      <c r="BO471" s="677"/>
      <c r="BP471" s="541"/>
      <c r="BQ471" s="633"/>
      <c r="BR471" s="541"/>
      <c r="BS471" s="541"/>
      <c r="BT471" s="541"/>
      <c r="BU471" s="541"/>
    </row>
    <row r="472" ht="15.75" customHeight="1">
      <c r="A472" s="1591"/>
      <c r="B472" s="1591"/>
      <c r="C472" s="2217"/>
      <c r="D472" s="1541"/>
      <c r="E472" s="906"/>
      <c r="F472" s="1545"/>
      <c r="G472" s="2250"/>
      <c r="H472" s="1545"/>
      <c r="I472" s="2250"/>
      <c r="J472" s="1545"/>
      <c r="K472" s="2250"/>
      <c r="L472" s="1545"/>
      <c r="M472" s="2250"/>
      <c r="N472" s="1545"/>
      <c r="O472" s="2250"/>
      <c r="P472" s="1545"/>
      <c r="Q472" s="2250"/>
      <c r="R472" s="1545"/>
      <c r="S472" s="684"/>
      <c r="T472" s="1545"/>
      <c r="U472" s="684"/>
      <c r="V472" s="1545"/>
      <c r="W472" s="684"/>
      <c r="X472" s="1545"/>
      <c r="Y472" s="1545"/>
      <c r="Z472" s="1545"/>
      <c r="AA472" s="684"/>
      <c r="AB472" s="1545"/>
      <c r="AC472" s="684"/>
      <c r="AD472" s="684"/>
      <c r="AE472" s="684"/>
      <c r="AF472" s="684"/>
      <c r="AG472" s="684"/>
      <c r="AH472" s="684"/>
      <c r="AI472" s="684"/>
      <c r="AJ472" s="684"/>
      <c r="AK472" s="684"/>
      <c r="AL472" s="684"/>
      <c r="AM472" s="684"/>
      <c r="AN472" s="1545"/>
      <c r="AO472" s="1545"/>
      <c r="AP472" s="1545"/>
      <c r="AQ472" s="1545"/>
      <c r="AR472" s="1545"/>
      <c r="AS472" s="684"/>
      <c r="AT472" s="684"/>
      <c r="AU472" s="684"/>
      <c r="AV472" s="684"/>
      <c r="AW472" s="684"/>
      <c r="AX472" s="677"/>
      <c r="AY472" s="684"/>
      <c r="AZ472" s="683"/>
      <c r="BA472" s="684"/>
      <c r="BB472" s="13"/>
      <c r="BC472" s="684"/>
      <c r="BD472" s="13"/>
      <c r="BE472" s="684"/>
      <c r="BF472" s="13"/>
      <c r="BG472" s="684"/>
      <c r="BH472" s="13"/>
      <c r="BI472" s="684"/>
      <c r="BJ472" s="13"/>
      <c r="BK472" s="684"/>
      <c r="BL472" s="684"/>
      <c r="BM472" s="684"/>
      <c r="BN472" s="677"/>
      <c r="BO472" s="677"/>
      <c r="BP472" s="541"/>
      <c r="BQ472" s="633"/>
      <c r="BR472" s="541"/>
      <c r="BS472" s="541"/>
      <c r="BT472" s="541"/>
      <c r="BU472" s="541"/>
    </row>
    <row r="473" ht="15.75" customHeight="1">
      <c r="A473" s="1591"/>
      <c r="B473" s="1591"/>
      <c r="C473" s="2217"/>
      <c r="D473" s="1541"/>
      <c r="E473" s="906"/>
      <c r="F473" s="1545"/>
      <c r="G473" s="2250"/>
      <c r="H473" s="1545"/>
      <c r="I473" s="2250"/>
      <c r="J473" s="1545"/>
      <c r="K473" s="2250"/>
      <c r="L473" s="1545"/>
      <c r="M473" s="2250"/>
      <c r="N473" s="1545"/>
      <c r="O473" s="2250"/>
      <c r="P473" s="1545"/>
      <c r="Q473" s="2250"/>
      <c r="R473" s="1545"/>
      <c r="S473" s="684"/>
      <c r="T473" s="1545"/>
      <c r="U473" s="684"/>
      <c r="V473" s="1545"/>
      <c r="W473" s="684"/>
      <c r="X473" s="1545"/>
      <c r="Y473" s="1545"/>
      <c r="Z473" s="1545"/>
      <c r="AA473" s="684"/>
      <c r="AB473" s="1545"/>
      <c r="AC473" s="684"/>
      <c r="AD473" s="684"/>
      <c r="AE473" s="684"/>
      <c r="AF473" s="684"/>
      <c r="AG473" s="684"/>
      <c r="AH473" s="684"/>
      <c r="AI473" s="684"/>
      <c r="AJ473" s="684"/>
      <c r="AK473" s="684"/>
      <c r="AL473" s="684"/>
      <c r="AM473" s="684"/>
      <c r="AN473" s="1545"/>
      <c r="AO473" s="1545"/>
      <c r="AP473" s="1545"/>
      <c r="AQ473" s="1545"/>
      <c r="AR473" s="1545"/>
      <c r="AS473" s="684"/>
      <c r="AT473" s="684"/>
      <c r="AU473" s="684"/>
      <c r="AV473" s="684"/>
      <c r="AW473" s="684"/>
      <c r="AX473" s="677"/>
      <c r="AY473" s="684"/>
      <c r="AZ473" s="683"/>
      <c r="BA473" s="684"/>
      <c r="BB473" s="13"/>
      <c r="BC473" s="684"/>
      <c r="BD473" s="13"/>
      <c r="BE473" s="684"/>
      <c r="BF473" s="13"/>
      <c r="BG473" s="684"/>
      <c r="BH473" s="13"/>
      <c r="BI473" s="684"/>
      <c r="BJ473" s="13"/>
      <c r="BK473" s="684"/>
      <c r="BL473" s="684"/>
      <c r="BM473" s="684"/>
      <c r="BN473" s="677"/>
      <c r="BO473" s="677"/>
      <c r="BP473" s="541"/>
      <c r="BQ473" s="633"/>
      <c r="BR473" s="541"/>
      <c r="BS473" s="541"/>
      <c r="BT473" s="541"/>
      <c r="BU473" s="541"/>
    </row>
    <row r="474" ht="15.75" customHeight="1">
      <c r="A474" s="1591"/>
      <c r="B474" s="1591"/>
      <c r="C474" s="2217"/>
      <c r="D474" s="1541"/>
      <c r="E474" s="906"/>
      <c r="F474" s="1545"/>
      <c r="G474" s="2250"/>
      <c r="H474" s="1545"/>
      <c r="I474" s="2250"/>
      <c r="J474" s="1545"/>
      <c r="K474" s="2250"/>
      <c r="L474" s="1545"/>
      <c r="M474" s="2250"/>
      <c r="N474" s="1545"/>
      <c r="O474" s="2250"/>
      <c r="P474" s="1545"/>
      <c r="Q474" s="2250"/>
      <c r="R474" s="1545"/>
      <c r="S474" s="684"/>
      <c r="T474" s="1545"/>
      <c r="U474" s="684"/>
      <c r="V474" s="1545"/>
      <c r="W474" s="684"/>
      <c r="X474" s="1545"/>
      <c r="Y474" s="1545"/>
      <c r="Z474" s="1545"/>
      <c r="AA474" s="684"/>
      <c r="AB474" s="1545"/>
      <c r="AC474" s="684"/>
      <c r="AD474" s="684"/>
      <c r="AE474" s="684"/>
      <c r="AF474" s="684"/>
      <c r="AG474" s="684"/>
      <c r="AH474" s="684"/>
      <c r="AI474" s="684"/>
      <c r="AJ474" s="684"/>
      <c r="AK474" s="684"/>
      <c r="AL474" s="684"/>
      <c r="AM474" s="684"/>
      <c r="AN474" s="1545"/>
      <c r="AO474" s="1545"/>
      <c r="AP474" s="1545"/>
      <c r="AQ474" s="1545"/>
      <c r="AR474" s="1545"/>
      <c r="AS474" s="684"/>
      <c r="AT474" s="684"/>
      <c r="AU474" s="684"/>
      <c r="AV474" s="684"/>
      <c r="AW474" s="684"/>
      <c r="AX474" s="677"/>
      <c r="AY474" s="684"/>
      <c r="AZ474" s="683"/>
      <c r="BA474" s="684"/>
      <c r="BB474" s="13"/>
      <c r="BC474" s="684"/>
      <c r="BD474" s="13"/>
      <c r="BE474" s="684"/>
      <c r="BF474" s="13"/>
      <c r="BG474" s="684"/>
      <c r="BH474" s="13"/>
      <c r="BI474" s="684"/>
      <c r="BJ474" s="13"/>
      <c r="BK474" s="684"/>
      <c r="BL474" s="684"/>
      <c r="BM474" s="684"/>
      <c r="BN474" s="677"/>
      <c r="BO474" s="677"/>
      <c r="BP474" s="541"/>
      <c r="BQ474" s="633"/>
      <c r="BR474" s="541"/>
      <c r="BS474" s="541"/>
      <c r="BT474" s="541"/>
      <c r="BU474" s="541"/>
    </row>
    <row r="475" ht="15.75" customHeight="1">
      <c r="A475" s="1591"/>
      <c r="B475" s="1591"/>
      <c r="C475" s="2217"/>
      <c r="D475" s="1541"/>
      <c r="E475" s="906"/>
      <c r="F475" s="1545"/>
      <c r="G475" s="2250"/>
      <c r="H475" s="1545"/>
      <c r="I475" s="2250"/>
      <c r="J475" s="1545"/>
      <c r="K475" s="2250"/>
      <c r="L475" s="1545"/>
      <c r="M475" s="2250"/>
      <c r="N475" s="1545"/>
      <c r="O475" s="2250"/>
      <c r="P475" s="1545"/>
      <c r="Q475" s="2250"/>
      <c r="R475" s="1545"/>
      <c r="S475" s="684"/>
      <c r="T475" s="1545"/>
      <c r="U475" s="684"/>
      <c r="V475" s="1545"/>
      <c r="W475" s="684"/>
      <c r="X475" s="1545"/>
      <c r="Y475" s="1545"/>
      <c r="Z475" s="1545"/>
      <c r="AA475" s="684"/>
      <c r="AB475" s="1545"/>
      <c r="AC475" s="684"/>
      <c r="AD475" s="684"/>
      <c r="AE475" s="684"/>
      <c r="AF475" s="684"/>
      <c r="AG475" s="684"/>
      <c r="AH475" s="684"/>
      <c r="AI475" s="684"/>
      <c r="AJ475" s="684"/>
      <c r="AK475" s="684"/>
      <c r="AL475" s="684"/>
      <c r="AM475" s="684"/>
      <c r="AN475" s="1545"/>
      <c r="AO475" s="1545"/>
      <c r="AP475" s="1545"/>
      <c r="AQ475" s="1545"/>
      <c r="AR475" s="1545"/>
      <c r="AS475" s="684"/>
      <c r="AT475" s="684"/>
      <c r="AU475" s="684"/>
      <c r="AV475" s="684"/>
      <c r="AW475" s="684"/>
      <c r="AX475" s="677"/>
      <c r="AY475" s="684"/>
      <c r="AZ475" s="683"/>
      <c r="BA475" s="684"/>
      <c r="BB475" s="13"/>
      <c r="BC475" s="684"/>
      <c r="BD475" s="13"/>
      <c r="BE475" s="684"/>
      <c r="BF475" s="13"/>
      <c r="BG475" s="684"/>
      <c r="BH475" s="13"/>
      <c r="BI475" s="684"/>
      <c r="BJ475" s="13"/>
      <c r="BK475" s="684"/>
      <c r="BL475" s="684"/>
      <c r="BM475" s="684"/>
      <c r="BN475" s="677"/>
      <c r="BO475" s="677"/>
      <c r="BP475" s="541"/>
      <c r="BQ475" s="633"/>
      <c r="BR475" s="541"/>
      <c r="BS475" s="541"/>
      <c r="BT475" s="541"/>
      <c r="BU475" s="541"/>
    </row>
    <row r="476" ht="15.75" customHeight="1">
      <c r="A476" s="1591"/>
      <c r="B476" s="1591"/>
      <c r="C476" s="2217"/>
      <c r="D476" s="1541"/>
      <c r="E476" s="906"/>
      <c r="F476" s="1545"/>
      <c r="G476" s="2250"/>
      <c r="H476" s="1545"/>
      <c r="I476" s="2250"/>
      <c r="J476" s="1545"/>
      <c r="K476" s="2250"/>
      <c r="L476" s="1545"/>
      <c r="M476" s="2250"/>
      <c r="N476" s="1545"/>
      <c r="O476" s="2250"/>
      <c r="P476" s="1545"/>
      <c r="Q476" s="2250"/>
      <c r="R476" s="1545"/>
      <c r="S476" s="684"/>
      <c r="T476" s="1545"/>
      <c r="U476" s="684"/>
      <c r="V476" s="1545"/>
      <c r="W476" s="684"/>
      <c r="X476" s="1545"/>
      <c r="Y476" s="1545"/>
      <c r="Z476" s="1545"/>
      <c r="AA476" s="684"/>
      <c r="AB476" s="1545"/>
      <c r="AC476" s="684"/>
      <c r="AD476" s="684"/>
      <c r="AE476" s="684"/>
      <c r="AF476" s="684"/>
      <c r="AG476" s="684"/>
      <c r="AH476" s="684"/>
      <c r="AI476" s="684"/>
      <c r="AJ476" s="684"/>
      <c r="AK476" s="684"/>
      <c r="AL476" s="684"/>
      <c r="AM476" s="684"/>
      <c r="AN476" s="1545"/>
      <c r="AO476" s="1545"/>
      <c r="AP476" s="1545"/>
      <c r="AQ476" s="1545"/>
      <c r="AR476" s="1545"/>
      <c r="AS476" s="684"/>
      <c r="AT476" s="684"/>
      <c r="AU476" s="684"/>
      <c r="AV476" s="684"/>
      <c r="AW476" s="684"/>
      <c r="AX476" s="677"/>
      <c r="AY476" s="684"/>
      <c r="AZ476" s="683"/>
      <c r="BA476" s="684"/>
      <c r="BB476" s="13"/>
      <c r="BC476" s="684"/>
      <c r="BD476" s="13"/>
      <c r="BE476" s="684"/>
      <c r="BF476" s="13"/>
      <c r="BG476" s="684"/>
      <c r="BH476" s="13"/>
      <c r="BI476" s="684"/>
      <c r="BJ476" s="13"/>
      <c r="BK476" s="684"/>
      <c r="BL476" s="684"/>
      <c r="BM476" s="684"/>
      <c r="BN476" s="677"/>
      <c r="BO476" s="677"/>
      <c r="BP476" s="541"/>
      <c r="BQ476" s="633"/>
      <c r="BR476" s="541"/>
      <c r="BS476" s="541"/>
      <c r="BT476" s="541"/>
      <c r="BU476" s="541"/>
    </row>
    <row r="477" ht="15.75" customHeight="1">
      <c r="A477" s="1591"/>
      <c r="B477" s="1591"/>
      <c r="C477" s="2217"/>
      <c r="D477" s="1541"/>
      <c r="E477" s="906"/>
      <c r="F477" s="1545"/>
      <c r="G477" s="2250"/>
      <c r="H477" s="1545"/>
      <c r="I477" s="2250"/>
      <c r="J477" s="1545"/>
      <c r="K477" s="2250"/>
      <c r="L477" s="1545"/>
      <c r="M477" s="2250"/>
      <c r="N477" s="1545"/>
      <c r="O477" s="2250"/>
      <c r="P477" s="1545"/>
      <c r="Q477" s="2250"/>
      <c r="R477" s="1545"/>
      <c r="S477" s="684"/>
      <c r="T477" s="1545"/>
      <c r="U477" s="684"/>
      <c r="V477" s="1545"/>
      <c r="W477" s="684"/>
      <c r="X477" s="1545"/>
      <c r="Y477" s="1545"/>
      <c r="Z477" s="1545"/>
      <c r="AA477" s="684"/>
      <c r="AB477" s="1545"/>
      <c r="AC477" s="684"/>
      <c r="AD477" s="684"/>
      <c r="AE477" s="684"/>
      <c r="AF477" s="684"/>
      <c r="AG477" s="684"/>
      <c r="AH477" s="684"/>
      <c r="AI477" s="684"/>
      <c r="AJ477" s="684"/>
      <c r="AK477" s="684"/>
      <c r="AL477" s="684"/>
      <c r="AM477" s="684"/>
      <c r="AN477" s="1545"/>
      <c r="AO477" s="1545"/>
      <c r="AP477" s="1545"/>
      <c r="AQ477" s="1545"/>
      <c r="AR477" s="1545"/>
      <c r="AS477" s="684"/>
      <c r="AT477" s="684"/>
      <c r="AU477" s="684"/>
      <c r="AV477" s="684"/>
      <c r="AW477" s="684"/>
      <c r="AX477" s="677"/>
      <c r="AY477" s="684"/>
      <c r="AZ477" s="683"/>
      <c r="BA477" s="684"/>
      <c r="BB477" s="13"/>
      <c r="BC477" s="684"/>
      <c r="BD477" s="13"/>
      <c r="BE477" s="684"/>
      <c r="BF477" s="13"/>
      <c r="BG477" s="684"/>
      <c r="BH477" s="13"/>
      <c r="BI477" s="684"/>
      <c r="BJ477" s="13"/>
      <c r="BK477" s="684"/>
      <c r="BL477" s="684"/>
      <c r="BM477" s="684"/>
      <c r="BN477" s="677"/>
      <c r="BO477" s="677"/>
      <c r="BP477" s="541"/>
      <c r="BQ477" s="633"/>
      <c r="BR477" s="541"/>
      <c r="BS477" s="541"/>
      <c r="BT477" s="541"/>
      <c r="BU477" s="541"/>
    </row>
    <row r="478" ht="15.75" customHeight="1">
      <c r="A478" s="1591"/>
      <c r="B478" s="1591"/>
      <c r="C478" s="2217"/>
      <c r="D478" s="1541"/>
      <c r="E478" s="906"/>
      <c r="F478" s="1545"/>
      <c r="G478" s="2250"/>
      <c r="H478" s="1545"/>
      <c r="I478" s="2250"/>
      <c r="J478" s="1545"/>
      <c r="K478" s="2250"/>
      <c r="L478" s="1545"/>
      <c r="M478" s="2250"/>
      <c r="N478" s="1545"/>
      <c r="O478" s="2250"/>
      <c r="P478" s="1545"/>
      <c r="Q478" s="2250"/>
      <c r="R478" s="1545"/>
      <c r="S478" s="684"/>
      <c r="T478" s="1545"/>
      <c r="U478" s="684"/>
      <c r="V478" s="1545"/>
      <c r="W478" s="684"/>
      <c r="X478" s="1545"/>
      <c r="Y478" s="1545"/>
      <c r="Z478" s="1545"/>
      <c r="AA478" s="684"/>
      <c r="AB478" s="1545"/>
      <c r="AC478" s="684"/>
      <c r="AD478" s="684"/>
      <c r="AE478" s="684"/>
      <c r="AF478" s="684"/>
      <c r="AG478" s="684"/>
      <c r="AH478" s="684"/>
      <c r="AI478" s="684"/>
      <c r="AJ478" s="684"/>
      <c r="AK478" s="684"/>
      <c r="AL478" s="684"/>
      <c r="AM478" s="684"/>
      <c r="AN478" s="1545"/>
      <c r="AO478" s="1545"/>
      <c r="AP478" s="1545"/>
      <c r="AQ478" s="1545"/>
      <c r="AR478" s="1545"/>
      <c r="AS478" s="684"/>
      <c r="AT478" s="684"/>
      <c r="AU478" s="684"/>
      <c r="AV478" s="684"/>
      <c r="AW478" s="684"/>
      <c r="AX478" s="677"/>
      <c r="AY478" s="684"/>
      <c r="AZ478" s="683"/>
      <c r="BA478" s="684"/>
      <c r="BB478" s="13"/>
      <c r="BC478" s="684"/>
      <c r="BD478" s="13"/>
      <c r="BE478" s="684"/>
      <c r="BF478" s="13"/>
      <c r="BG478" s="684"/>
      <c r="BH478" s="13"/>
      <c r="BI478" s="684"/>
      <c r="BJ478" s="13"/>
      <c r="BK478" s="684"/>
      <c r="BL478" s="684"/>
      <c r="BM478" s="684"/>
      <c r="BN478" s="677"/>
      <c r="BO478" s="677"/>
      <c r="BP478" s="541"/>
      <c r="BQ478" s="633"/>
      <c r="BR478" s="541"/>
      <c r="BS478" s="541"/>
      <c r="BT478" s="541"/>
      <c r="BU478" s="541"/>
    </row>
    <row r="479" ht="15.75" customHeight="1">
      <c r="A479" s="1591"/>
      <c r="B479" s="1591"/>
      <c r="C479" s="2217"/>
      <c r="D479" s="1541"/>
      <c r="E479" s="906"/>
      <c r="F479" s="1545"/>
      <c r="G479" s="2250"/>
      <c r="H479" s="1545"/>
      <c r="I479" s="2250"/>
      <c r="J479" s="1545"/>
      <c r="K479" s="2250"/>
      <c r="L479" s="1545"/>
      <c r="M479" s="2250"/>
      <c r="N479" s="1545"/>
      <c r="O479" s="2250"/>
      <c r="P479" s="1545"/>
      <c r="Q479" s="2250"/>
      <c r="R479" s="1545"/>
      <c r="S479" s="684"/>
      <c r="T479" s="1545"/>
      <c r="U479" s="684"/>
      <c r="V479" s="1545"/>
      <c r="W479" s="684"/>
      <c r="X479" s="1545"/>
      <c r="Y479" s="1545"/>
      <c r="Z479" s="1545"/>
      <c r="AA479" s="684"/>
      <c r="AB479" s="1545"/>
      <c r="AC479" s="684"/>
      <c r="AD479" s="684"/>
      <c r="AE479" s="684"/>
      <c r="AF479" s="684"/>
      <c r="AG479" s="684"/>
      <c r="AH479" s="684"/>
      <c r="AI479" s="684"/>
      <c r="AJ479" s="684"/>
      <c r="AK479" s="684"/>
      <c r="AL479" s="684"/>
      <c r="AM479" s="684"/>
      <c r="AN479" s="1545"/>
      <c r="AO479" s="1545"/>
      <c r="AP479" s="1545"/>
      <c r="AQ479" s="1545"/>
      <c r="AR479" s="1545"/>
      <c r="AS479" s="684"/>
      <c r="AT479" s="684"/>
      <c r="AU479" s="684"/>
      <c r="AV479" s="684"/>
      <c r="AW479" s="684"/>
      <c r="AX479" s="677"/>
      <c r="AY479" s="684"/>
      <c r="AZ479" s="683"/>
      <c r="BA479" s="684"/>
      <c r="BB479" s="13"/>
      <c r="BC479" s="684"/>
      <c r="BD479" s="13"/>
      <c r="BE479" s="684"/>
      <c r="BF479" s="13"/>
      <c r="BG479" s="684"/>
      <c r="BH479" s="13"/>
      <c r="BI479" s="684"/>
      <c r="BJ479" s="13"/>
      <c r="BK479" s="684"/>
      <c r="BL479" s="684"/>
      <c r="BM479" s="684"/>
      <c r="BN479" s="677"/>
      <c r="BO479" s="677"/>
      <c r="BP479" s="541"/>
      <c r="BQ479" s="633"/>
      <c r="BR479" s="541"/>
      <c r="BS479" s="541"/>
      <c r="BT479" s="541"/>
      <c r="BU479" s="541"/>
    </row>
    <row r="480" ht="15.75" customHeight="1">
      <c r="A480" s="1591"/>
      <c r="B480" s="1591"/>
      <c r="C480" s="2217"/>
      <c r="D480" s="1541"/>
      <c r="E480" s="906"/>
      <c r="F480" s="1545"/>
      <c r="G480" s="2250"/>
      <c r="H480" s="1545"/>
      <c r="I480" s="2250"/>
      <c r="J480" s="1545"/>
      <c r="K480" s="2250"/>
      <c r="L480" s="1545"/>
      <c r="M480" s="2250"/>
      <c r="N480" s="1545"/>
      <c r="O480" s="2250"/>
      <c r="P480" s="1545"/>
      <c r="Q480" s="2250"/>
      <c r="R480" s="1545"/>
      <c r="S480" s="684"/>
      <c r="T480" s="1545"/>
      <c r="U480" s="684"/>
      <c r="V480" s="1545"/>
      <c r="W480" s="684"/>
      <c r="X480" s="1545"/>
      <c r="Y480" s="1545"/>
      <c r="Z480" s="1545"/>
      <c r="AA480" s="684"/>
      <c r="AB480" s="1545"/>
      <c r="AC480" s="684"/>
      <c r="AD480" s="684"/>
      <c r="AE480" s="684"/>
      <c r="AF480" s="684"/>
      <c r="AG480" s="684"/>
      <c r="AH480" s="684"/>
      <c r="AI480" s="684"/>
      <c r="AJ480" s="684"/>
      <c r="AK480" s="684"/>
      <c r="AL480" s="684"/>
      <c r="AM480" s="684"/>
      <c r="AN480" s="1545"/>
      <c r="AO480" s="1545"/>
      <c r="AP480" s="1545"/>
      <c r="AQ480" s="1545"/>
      <c r="AR480" s="1545"/>
      <c r="AS480" s="684"/>
      <c r="AT480" s="684"/>
      <c r="AU480" s="684"/>
      <c r="AV480" s="684"/>
      <c r="AW480" s="684"/>
      <c r="AX480" s="677"/>
      <c r="AY480" s="684"/>
      <c r="AZ480" s="683"/>
      <c r="BA480" s="684"/>
      <c r="BB480" s="13"/>
      <c r="BC480" s="684"/>
      <c r="BD480" s="13"/>
      <c r="BE480" s="684"/>
      <c r="BF480" s="13"/>
      <c r="BG480" s="684"/>
      <c r="BH480" s="13"/>
      <c r="BI480" s="684"/>
      <c r="BJ480" s="13"/>
      <c r="BK480" s="684"/>
      <c r="BL480" s="684"/>
      <c r="BM480" s="684"/>
      <c r="BN480" s="677"/>
      <c r="BO480" s="677"/>
      <c r="BP480" s="541"/>
      <c r="BQ480" s="633"/>
      <c r="BR480" s="541"/>
      <c r="BS480" s="541"/>
      <c r="BT480" s="541"/>
      <c r="BU480" s="541"/>
    </row>
    <row r="481" ht="15.75" customHeight="1">
      <c r="A481" s="1591"/>
      <c r="B481" s="1591"/>
      <c r="C481" s="2217"/>
      <c r="D481" s="1541"/>
      <c r="E481" s="906"/>
      <c r="F481" s="1545"/>
      <c r="G481" s="2250"/>
      <c r="H481" s="1545"/>
      <c r="I481" s="2250"/>
      <c r="J481" s="1545"/>
      <c r="K481" s="2250"/>
      <c r="L481" s="1545"/>
      <c r="M481" s="2250"/>
      <c r="N481" s="1545"/>
      <c r="O481" s="2250"/>
      <c r="P481" s="1545"/>
      <c r="Q481" s="2250"/>
      <c r="R481" s="1545"/>
      <c r="S481" s="684"/>
      <c r="T481" s="1545"/>
      <c r="U481" s="684"/>
      <c r="V481" s="1545"/>
      <c r="W481" s="684"/>
      <c r="X481" s="1545"/>
      <c r="Y481" s="1545"/>
      <c r="Z481" s="1545"/>
      <c r="AA481" s="684"/>
      <c r="AB481" s="1545"/>
      <c r="AC481" s="684"/>
      <c r="AD481" s="684"/>
      <c r="AE481" s="684"/>
      <c r="AF481" s="684"/>
      <c r="AG481" s="684"/>
      <c r="AH481" s="684"/>
      <c r="AI481" s="684"/>
      <c r="AJ481" s="684"/>
      <c r="AK481" s="684"/>
      <c r="AL481" s="684"/>
      <c r="AM481" s="684"/>
      <c r="AN481" s="1545"/>
      <c r="AO481" s="1545"/>
      <c r="AP481" s="1545"/>
      <c r="AQ481" s="1545"/>
      <c r="AR481" s="1545"/>
      <c r="AS481" s="684"/>
      <c r="AT481" s="684"/>
      <c r="AU481" s="684"/>
      <c r="AV481" s="684"/>
      <c r="AW481" s="684"/>
      <c r="AX481" s="677"/>
      <c r="AY481" s="684"/>
      <c r="AZ481" s="683"/>
      <c r="BA481" s="684"/>
      <c r="BB481" s="13"/>
      <c r="BC481" s="684"/>
      <c r="BD481" s="13"/>
      <c r="BE481" s="684"/>
      <c r="BF481" s="13"/>
      <c r="BG481" s="684"/>
      <c r="BH481" s="13"/>
      <c r="BI481" s="684"/>
      <c r="BJ481" s="13"/>
      <c r="BK481" s="684"/>
      <c r="BL481" s="684"/>
      <c r="BM481" s="684"/>
      <c r="BN481" s="677"/>
      <c r="BO481" s="677"/>
      <c r="BP481" s="541"/>
      <c r="BQ481" s="633"/>
      <c r="BR481" s="541"/>
      <c r="BS481" s="541"/>
      <c r="BT481" s="541"/>
      <c r="BU481" s="541"/>
    </row>
    <row r="482" ht="15.75" customHeight="1">
      <c r="A482" s="1591"/>
      <c r="B482" s="1591"/>
      <c r="C482" s="2217"/>
      <c r="D482" s="1541"/>
      <c r="E482" s="906"/>
      <c r="F482" s="1545"/>
      <c r="G482" s="2250"/>
      <c r="H482" s="1545"/>
      <c r="I482" s="2250"/>
      <c r="J482" s="1545"/>
      <c r="K482" s="2250"/>
      <c r="L482" s="1545"/>
      <c r="M482" s="2250"/>
      <c r="N482" s="1545"/>
      <c r="O482" s="2250"/>
      <c r="P482" s="1545"/>
      <c r="Q482" s="2250"/>
      <c r="R482" s="1545"/>
      <c r="S482" s="684"/>
      <c r="T482" s="1545"/>
      <c r="U482" s="684"/>
      <c r="V482" s="1545"/>
      <c r="W482" s="684"/>
      <c r="X482" s="1545"/>
      <c r="Y482" s="1545"/>
      <c r="Z482" s="1545"/>
      <c r="AA482" s="684"/>
      <c r="AB482" s="1545"/>
      <c r="AC482" s="684"/>
      <c r="AD482" s="684"/>
      <c r="AE482" s="684"/>
      <c r="AF482" s="684"/>
      <c r="AG482" s="684"/>
      <c r="AH482" s="684"/>
      <c r="AI482" s="684"/>
      <c r="AJ482" s="684"/>
      <c r="AK482" s="684"/>
      <c r="AL482" s="684"/>
      <c r="AM482" s="684"/>
      <c r="AN482" s="1545"/>
      <c r="AO482" s="1545"/>
      <c r="AP482" s="1545"/>
      <c r="AQ482" s="1545"/>
      <c r="AR482" s="1545"/>
      <c r="AS482" s="684"/>
      <c r="AT482" s="684"/>
      <c r="AU482" s="684"/>
      <c r="AV482" s="684"/>
      <c r="AW482" s="684"/>
      <c r="AX482" s="677"/>
      <c r="AY482" s="684"/>
      <c r="AZ482" s="683"/>
      <c r="BA482" s="684"/>
      <c r="BB482" s="13"/>
      <c r="BC482" s="684"/>
      <c r="BD482" s="13"/>
      <c r="BE482" s="684"/>
      <c r="BF482" s="13"/>
      <c r="BG482" s="684"/>
      <c r="BH482" s="13"/>
      <c r="BI482" s="684"/>
      <c r="BJ482" s="13"/>
      <c r="BK482" s="684"/>
      <c r="BL482" s="684"/>
      <c r="BM482" s="684"/>
      <c r="BN482" s="677"/>
      <c r="BO482" s="677"/>
      <c r="BP482" s="541"/>
      <c r="BQ482" s="633"/>
      <c r="BR482" s="541"/>
      <c r="BS482" s="541"/>
      <c r="BT482" s="541"/>
      <c r="BU482" s="541"/>
    </row>
    <row r="483" ht="15.75" customHeight="1">
      <c r="A483" s="1591"/>
      <c r="B483" s="1591"/>
      <c r="C483" s="2217"/>
      <c r="D483" s="1541"/>
      <c r="E483" s="906"/>
      <c r="F483" s="1545"/>
      <c r="G483" s="2250"/>
      <c r="H483" s="1545"/>
      <c r="I483" s="2250"/>
      <c r="J483" s="1545"/>
      <c r="K483" s="2250"/>
      <c r="L483" s="1545"/>
      <c r="M483" s="2250"/>
      <c r="N483" s="1545"/>
      <c r="O483" s="2250"/>
      <c r="P483" s="1545"/>
      <c r="Q483" s="2250"/>
      <c r="R483" s="1545"/>
      <c r="S483" s="684"/>
      <c r="T483" s="1545"/>
      <c r="U483" s="684"/>
      <c r="V483" s="1545"/>
      <c r="W483" s="684"/>
      <c r="X483" s="1545"/>
      <c r="Y483" s="1545"/>
      <c r="Z483" s="1545"/>
      <c r="AA483" s="684"/>
      <c r="AB483" s="1545"/>
      <c r="AC483" s="684"/>
      <c r="AD483" s="684"/>
      <c r="AE483" s="684"/>
      <c r="AF483" s="684"/>
      <c r="AG483" s="684"/>
      <c r="AH483" s="684"/>
      <c r="AI483" s="684"/>
      <c r="AJ483" s="684"/>
      <c r="AK483" s="684"/>
      <c r="AL483" s="684"/>
      <c r="AM483" s="684"/>
      <c r="AN483" s="1545"/>
      <c r="AO483" s="1545"/>
      <c r="AP483" s="1545"/>
      <c r="AQ483" s="1545"/>
      <c r="AR483" s="1545"/>
      <c r="AS483" s="684"/>
      <c r="AT483" s="684"/>
      <c r="AU483" s="684"/>
      <c r="AV483" s="684"/>
      <c r="AW483" s="684"/>
      <c r="AX483" s="677"/>
      <c r="AY483" s="684"/>
      <c r="AZ483" s="683"/>
      <c r="BA483" s="684"/>
      <c r="BB483" s="13"/>
      <c r="BC483" s="684"/>
      <c r="BD483" s="13"/>
      <c r="BE483" s="684"/>
      <c r="BF483" s="13"/>
      <c r="BG483" s="684"/>
      <c r="BH483" s="13"/>
      <c r="BI483" s="684"/>
      <c r="BJ483" s="13"/>
      <c r="BK483" s="684"/>
      <c r="BL483" s="684"/>
      <c r="BM483" s="684"/>
      <c r="BN483" s="677"/>
      <c r="BO483" s="677"/>
      <c r="BP483" s="541"/>
      <c r="BQ483" s="633"/>
      <c r="BR483" s="541"/>
      <c r="BS483" s="541"/>
      <c r="BT483" s="541"/>
      <c r="BU483" s="541"/>
    </row>
    <row r="484" ht="15.75" customHeight="1">
      <c r="A484" s="1591"/>
      <c r="B484" s="1591"/>
      <c r="C484" s="2217"/>
      <c r="D484" s="1541"/>
      <c r="E484" s="906"/>
      <c r="F484" s="1545"/>
      <c r="G484" s="2250"/>
      <c r="H484" s="1545"/>
      <c r="I484" s="2250"/>
      <c r="J484" s="1545"/>
      <c r="K484" s="2250"/>
      <c r="L484" s="1545"/>
      <c r="M484" s="2250"/>
      <c r="N484" s="1545"/>
      <c r="O484" s="2250"/>
      <c r="P484" s="1545"/>
      <c r="Q484" s="2250"/>
      <c r="R484" s="1545"/>
      <c r="S484" s="684"/>
      <c r="T484" s="1545"/>
      <c r="U484" s="684"/>
      <c r="V484" s="1545"/>
      <c r="W484" s="684"/>
      <c r="X484" s="1545"/>
      <c r="Y484" s="1545"/>
      <c r="Z484" s="1545"/>
      <c r="AA484" s="684"/>
      <c r="AB484" s="1545"/>
      <c r="AC484" s="684"/>
      <c r="AD484" s="684"/>
      <c r="AE484" s="684"/>
      <c r="AF484" s="684"/>
      <c r="AG484" s="684"/>
      <c r="AH484" s="684"/>
      <c r="AI484" s="684"/>
      <c r="AJ484" s="684"/>
      <c r="AK484" s="684"/>
      <c r="AL484" s="684"/>
      <c r="AM484" s="684"/>
      <c r="AN484" s="1545"/>
      <c r="AO484" s="1545"/>
      <c r="AP484" s="1545"/>
      <c r="AQ484" s="1545"/>
      <c r="AR484" s="1545"/>
      <c r="AS484" s="684"/>
      <c r="AT484" s="684"/>
      <c r="AU484" s="684"/>
      <c r="AV484" s="684"/>
      <c r="AW484" s="684"/>
      <c r="AX484" s="677"/>
      <c r="AY484" s="684"/>
      <c r="AZ484" s="683"/>
      <c r="BA484" s="684"/>
      <c r="BB484" s="13"/>
      <c r="BC484" s="684"/>
      <c r="BD484" s="13"/>
      <c r="BE484" s="684"/>
      <c r="BF484" s="13"/>
      <c r="BG484" s="684"/>
      <c r="BH484" s="13"/>
      <c r="BI484" s="684"/>
      <c r="BJ484" s="13"/>
      <c r="BK484" s="684"/>
      <c r="BL484" s="684"/>
      <c r="BM484" s="684"/>
      <c r="BN484" s="677"/>
      <c r="BO484" s="677"/>
      <c r="BP484" s="541"/>
      <c r="BQ484" s="633"/>
      <c r="BR484" s="541"/>
      <c r="BS484" s="541"/>
      <c r="BT484" s="541"/>
      <c r="BU484" s="541"/>
    </row>
    <row r="485" ht="15.75" customHeight="1">
      <c r="A485" s="1591"/>
      <c r="B485" s="1591"/>
      <c r="C485" s="2217"/>
      <c r="D485" s="1541"/>
      <c r="E485" s="906"/>
      <c r="F485" s="1545"/>
      <c r="G485" s="2250"/>
      <c r="H485" s="1545"/>
      <c r="I485" s="2250"/>
      <c r="J485" s="1545"/>
      <c r="K485" s="2250"/>
      <c r="L485" s="1545"/>
      <c r="M485" s="2250"/>
      <c r="N485" s="1545"/>
      <c r="O485" s="2250"/>
      <c r="P485" s="1545"/>
      <c r="Q485" s="2250"/>
      <c r="R485" s="1545"/>
      <c r="S485" s="684"/>
      <c r="T485" s="1545"/>
      <c r="U485" s="684"/>
      <c r="V485" s="1545"/>
      <c r="W485" s="684"/>
      <c r="X485" s="1545"/>
      <c r="Y485" s="1545"/>
      <c r="Z485" s="1545"/>
      <c r="AA485" s="684"/>
      <c r="AB485" s="1545"/>
      <c r="AC485" s="684"/>
      <c r="AD485" s="684"/>
      <c r="AE485" s="684"/>
      <c r="AF485" s="684"/>
      <c r="AG485" s="684"/>
      <c r="AH485" s="684"/>
      <c r="AI485" s="684"/>
      <c r="AJ485" s="684"/>
      <c r="AK485" s="684"/>
      <c r="AL485" s="684"/>
      <c r="AM485" s="684"/>
      <c r="AN485" s="1545"/>
      <c r="AO485" s="1545"/>
      <c r="AP485" s="1545"/>
      <c r="AQ485" s="1545"/>
      <c r="AR485" s="1545"/>
      <c r="AS485" s="684"/>
      <c r="AT485" s="684"/>
      <c r="AU485" s="684"/>
      <c r="AV485" s="684"/>
      <c r="AW485" s="684"/>
      <c r="AX485" s="677"/>
      <c r="AY485" s="684"/>
      <c r="AZ485" s="683"/>
      <c r="BA485" s="684"/>
      <c r="BB485" s="13"/>
      <c r="BC485" s="684"/>
      <c r="BD485" s="13"/>
      <c r="BE485" s="684"/>
      <c r="BF485" s="13"/>
      <c r="BG485" s="684"/>
      <c r="BH485" s="13"/>
      <c r="BI485" s="684"/>
      <c r="BJ485" s="13"/>
      <c r="BK485" s="684"/>
      <c r="BL485" s="684"/>
      <c r="BM485" s="684"/>
      <c r="BN485" s="677"/>
      <c r="BO485" s="677"/>
      <c r="BP485" s="541"/>
      <c r="BQ485" s="633"/>
      <c r="BR485" s="541"/>
      <c r="BS485" s="541"/>
      <c r="BT485" s="541"/>
      <c r="BU485" s="541"/>
    </row>
    <row r="486" ht="15.75" customHeight="1">
      <c r="A486" s="1591"/>
      <c r="B486" s="1591"/>
      <c r="C486" s="2217"/>
      <c r="D486" s="1541"/>
      <c r="E486" s="906"/>
      <c r="F486" s="1545"/>
      <c r="G486" s="2250"/>
      <c r="H486" s="1545"/>
      <c r="I486" s="2250"/>
      <c r="J486" s="1545"/>
      <c r="K486" s="2250"/>
      <c r="L486" s="1545"/>
      <c r="M486" s="2250"/>
      <c r="N486" s="1545"/>
      <c r="O486" s="2250"/>
      <c r="P486" s="1545"/>
      <c r="Q486" s="2250"/>
      <c r="R486" s="1545"/>
      <c r="S486" s="684"/>
      <c r="T486" s="1545"/>
      <c r="U486" s="684"/>
      <c r="V486" s="1545"/>
      <c r="W486" s="684"/>
      <c r="X486" s="1545"/>
      <c r="Y486" s="1545"/>
      <c r="Z486" s="1545"/>
      <c r="AA486" s="684"/>
      <c r="AB486" s="1545"/>
      <c r="AC486" s="684"/>
      <c r="AD486" s="684"/>
      <c r="AE486" s="684"/>
      <c r="AF486" s="684"/>
      <c r="AG486" s="684"/>
      <c r="AH486" s="684"/>
      <c r="AI486" s="684"/>
      <c r="AJ486" s="684"/>
      <c r="AK486" s="684"/>
      <c r="AL486" s="684"/>
      <c r="AM486" s="684"/>
      <c r="AN486" s="1545"/>
      <c r="AO486" s="1545"/>
      <c r="AP486" s="1545"/>
      <c r="AQ486" s="1545"/>
      <c r="AR486" s="1545"/>
      <c r="AS486" s="684"/>
      <c r="AT486" s="684"/>
      <c r="AU486" s="684"/>
      <c r="AV486" s="684"/>
      <c r="AW486" s="684"/>
      <c r="AX486" s="677"/>
      <c r="AY486" s="684"/>
      <c r="AZ486" s="683"/>
      <c r="BA486" s="684"/>
      <c r="BB486" s="13"/>
      <c r="BC486" s="684"/>
      <c r="BD486" s="13"/>
      <c r="BE486" s="684"/>
      <c r="BF486" s="13"/>
      <c r="BG486" s="684"/>
      <c r="BH486" s="13"/>
      <c r="BI486" s="684"/>
      <c r="BJ486" s="13"/>
      <c r="BK486" s="684"/>
      <c r="BL486" s="684"/>
      <c r="BM486" s="684"/>
      <c r="BN486" s="677"/>
      <c r="BO486" s="677"/>
      <c r="BP486" s="541"/>
      <c r="BQ486" s="633"/>
      <c r="BR486" s="541"/>
      <c r="BS486" s="541"/>
      <c r="BT486" s="541"/>
      <c r="BU486" s="541"/>
    </row>
    <row r="487" ht="15.75" customHeight="1">
      <c r="A487" s="1591"/>
      <c r="B487" s="1591"/>
      <c r="C487" s="2217"/>
      <c r="D487" s="1541"/>
      <c r="E487" s="906"/>
      <c r="F487" s="1545"/>
      <c r="G487" s="2250"/>
      <c r="H487" s="1545"/>
      <c r="I487" s="2250"/>
      <c r="J487" s="1545"/>
      <c r="K487" s="2250"/>
      <c r="L487" s="1545"/>
      <c r="M487" s="2250"/>
      <c r="N487" s="1545"/>
      <c r="O487" s="2250"/>
      <c r="P487" s="1545"/>
      <c r="Q487" s="2250"/>
      <c r="R487" s="1545"/>
      <c r="S487" s="684"/>
      <c r="T487" s="1545"/>
      <c r="U487" s="684"/>
      <c r="V487" s="1545"/>
      <c r="W487" s="684"/>
      <c r="X487" s="1545"/>
      <c r="Y487" s="1545"/>
      <c r="Z487" s="1545"/>
      <c r="AA487" s="684"/>
      <c r="AB487" s="1545"/>
      <c r="AC487" s="684"/>
      <c r="AD487" s="684"/>
      <c r="AE487" s="684"/>
      <c r="AF487" s="684"/>
      <c r="AG487" s="684"/>
      <c r="AH487" s="684"/>
      <c r="AI487" s="684"/>
      <c r="AJ487" s="684"/>
      <c r="AK487" s="684"/>
      <c r="AL487" s="684"/>
      <c r="AM487" s="684"/>
      <c r="AN487" s="1545"/>
      <c r="AO487" s="1545"/>
      <c r="AP487" s="1545"/>
      <c r="AQ487" s="1545"/>
      <c r="AR487" s="1545"/>
      <c r="AS487" s="684"/>
      <c r="AT487" s="684"/>
      <c r="AU487" s="684"/>
      <c r="AV487" s="684"/>
      <c r="AW487" s="684"/>
      <c r="AX487" s="677"/>
      <c r="AY487" s="684"/>
      <c r="AZ487" s="683"/>
      <c r="BA487" s="684"/>
      <c r="BB487" s="13"/>
      <c r="BC487" s="684"/>
      <c r="BD487" s="13"/>
      <c r="BE487" s="684"/>
      <c r="BF487" s="13"/>
      <c r="BG487" s="684"/>
      <c r="BH487" s="13"/>
      <c r="BI487" s="684"/>
      <c r="BJ487" s="13"/>
      <c r="BK487" s="684"/>
      <c r="BL487" s="684"/>
      <c r="BM487" s="684"/>
      <c r="BN487" s="677"/>
      <c r="BO487" s="677"/>
      <c r="BP487" s="541"/>
      <c r="BQ487" s="633"/>
      <c r="BR487" s="541"/>
      <c r="BS487" s="541"/>
      <c r="BT487" s="541"/>
      <c r="BU487" s="541"/>
    </row>
    <row r="488" ht="15.75" customHeight="1">
      <c r="A488" s="1591"/>
      <c r="B488" s="1591"/>
      <c r="C488" s="2217"/>
      <c r="D488" s="1541"/>
      <c r="E488" s="906"/>
      <c r="F488" s="1545"/>
      <c r="G488" s="2250"/>
      <c r="H488" s="1545"/>
      <c r="I488" s="2250"/>
      <c r="J488" s="1545"/>
      <c r="K488" s="2250"/>
      <c r="L488" s="1545"/>
      <c r="M488" s="2250"/>
      <c r="N488" s="1545"/>
      <c r="O488" s="2250"/>
      <c r="P488" s="1545"/>
      <c r="Q488" s="2250"/>
      <c r="R488" s="1545"/>
      <c r="S488" s="684"/>
      <c r="T488" s="1545"/>
      <c r="U488" s="684"/>
      <c r="V488" s="1545"/>
      <c r="W488" s="684"/>
      <c r="X488" s="1545"/>
      <c r="Y488" s="1545"/>
      <c r="Z488" s="1545"/>
      <c r="AA488" s="684"/>
      <c r="AB488" s="1545"/>
      <c r="AC488" s="684"/>
      <c r="AD488" s="684"/>
      <c r="AE488" s="684"/>
      <c r="AF488" s="684"/>
      <c r="AG488" s="684"/>
      <c r="AH488" s="684"/>
      <c r="AI488" s="684"/>
      <c r="AJ488" s="684"/>
      <c r="AK488" s="684"/>
      <c r="AL488" s="684"/>
      <c r="AM488" s="684"/>
      <c r="AN488" s="1545"/>
      <c r="AO488" s="1545"/>
      <c r="AP488" s="1545"/>
      <c r="AQ488" s="1545"/>
      <c r="AR488" s="1545"/>
      <c r="AS488" s="684"/>
      <c r="AT488" s="684"/>
      <c r="AU488" s="684"/>
      <c r="AV488" s="684"/>
      <c r="AW488" s="684"/>
      <c r="AX488" s="677"/>
      <c r="AY488" s="684"/>
      <c r="AZ488" s="683"/>
      <c r="BA488" s="684"/>
      <c r="BB488" s="13"/>
      <c r="BC488" s="684"/>
      <c r="BD488" s="13"/>
      <c r="BE488" s="684"/>
      <c r="BF488" s="13"/>
      <c r="BG488" s="684"/>
      <c r="BH488" s="13"/>
      <c r="BI488" s="684"/>
      <c r="BJ488" s="13"/>
      <c r="BK488" s="684"/>
      <c r="BL488" s="684"/>
      <c r="BM488" s="684"/>
      <c r="BN488" s="677"/>
      <c r="BO488" s="677"/>
      <c r="BP488" s="541"/>
      <c r="BQ488" s="633"/>
      <c r="BR488" s="541"/>
      <c r="BS488" s="541"/>
      <c r="BT488" s="541"/>
      <c r="BU488" s="541"/>
    </row>
    <row r="489" ht="15.75" customHeight="1">
      <c r="A489" s="1591"/>
      <c r="B489" s="1591"/>
      <c r="C489" s="2217"/>
      <c r="D489" s="1541"/>
      <c r="E489" s="906"/>
      <c r="F489" s="1545"/>
      <c r="G489" s="2250"/>
      <c r="H489" s="1545"/>
      <c r="I489" s="2250"/>
      <c r="J489" s="1545"/>
      <c r="K489" s="2250"/>
      <c r="L489" s="1545"/>
      <c r="M489" s="2250"/>
      <c r="N489" s="1545"/>
      <c r="O489" s="2250"/>
      <c r="P489" s="1545"/>
      <c r="Q489" s="2250"/>
      <c r="R489" s="1545"/>
      <c r="S489" s="684"/>
      <c r="T489" s="1545"/>
      <c r="U489" s="684"/>
      <c r="V489" s="1545"/>
      <c r="W489" s="684"/>
      <c r="X489" s="1545"/>
      <c r="Y489" s="1545"/>
      <c r="Z489" s="1545"/>
      <c r="AA489" s="684"/>
      <c r="AB489" s="1545"/>
      <c r="AC489" s="684"/>
      <c r="AD489" s="684"/>
      <c r="AE489" s="684"/>
      <c r="AF489" s="684"/>
      <c r="AG489" s="684"/>
      <c r="AH489" s="684"/>
      <c r="AI489" s="684"/>
      <c r="AJ489" s="684"/>
      <c r="AK489" s="684"/>
      <c r="AL489" s="684"/>
      <c r="AM489" s="684"/>
      <c r="AN489" s="1545"/>
      <c r="AO489" s="1545"/>
      <c r="AP489" s="1545"/>
      <c r="AQ489" s="1545"/>
      <c r="AR489" s="1545"/>
      <c r="AS489" s="684"/>
      <c r="AT489" s="684"/>
      <c r="AU489" s="684"/>
      <c r="AV489" s="684"/>
      <c r="AW489" s="684"/>
      <c r="AX489" s="677"/>
      <c r="AY489" s="684"/>
      <c r="AZ489" s="683"/>
      <c r="BA489" s="684"/>
      <c r="BB489" s="13"/>
      <c r="BC489" s="684"/>
      <c r="BD489" s="13"/>
      <c r="BE489" s="684"/>
      <c r="BF489" s="13"/>
      <c r="BG489" s="684"/>
      <c r="BH489" s="13"/>
      <c r="BI489" s="684"/>
      <c r="BJ489" s="13"/>
      <c r="BK489" s="684"/>
      <c r="BL489" s="684"/>
      <c r="BM489" s="684"/>
      <c r="BN489" s="677"/>
      <c r="BO489" s="677"/>
      <c r="BP489" s="541"/>
      <c r="BQ489" s="633"/>
      <c r="BR489" s="541"/>
      <c r="BS489" s="541"/>
      <c r="BT489" s="541"/>
      <c r="BU489" s="541"/>
    </row>
    <row r="490" ht="15.75" customHeight="1">
      <c r="A490" s="1591"/>
      <c r="B490" s="1591"/>
      <c r="C490" s="2217"/>
      <c r="D490" s="1541"/>
      <c r="E490" s="906"/>
      <c r="F490" s="1545"/>
      <c r="G490" s="2250"/>
      <c r="H490" s="1545"/>
      <c r="I490" s="2250"/>
      <c r="J490" s="1545"/>
      <c r="K490" s="2250"/>
      <c r="L490" s="1545"/>
      <c r="M490" s="2250"/>
      <c r="N490" s="1545"/>
      <c r="O490" s="2250"/>
      <c r="P490" s="1545"/>
      <c r="Q490" s="2250"/>
      <c r="R490" s="1545"/>
      <c r="S490" s="684"/>
      <c r="T490" s="1545"/>
      <c r="U490" s="684"/>
      <c r="V490" s="1545"/>
      <c r="W490" s="684"/>
      <c r="X490" s="1545"/>
      <c r="Y490" s="1545"/>
      <c r="Z490" s="1545"/>
      <c r="AA490" s="684"/>
      <c r="AB490" s="1545"/>
      <c r="AC490" s="684"/>
      <c r="AD490" s="684"/>
      <c r="AE490" s="684"/>
      <c r="AF490" s="684"/>
      <c r="AG490" s="684"/>
      <c r="AH490" s="684"/>
      <c r="AI490" s="684"/>
      <c r="AJ490" s="684"/>
      <c r="AK490" s="684"/>
      <c r="AL490" s="684"/>
      <c r="AM490" s="684"/>
      <c r="AN490" s="1545"/>
      <c r="AO490" s="1545"/>
      <c r="AP490" s="1545"/>
      <c r="AQ490" s="1545"/>
      <c r="AR490" s="1545"/>
      <c r="AS490" s="684"/>
      <c r="AT490" s="684"/>
      <c r="AU490" s="684"/>
      <c r="AV490" s="684"/>
      <c r="AW490" s="684"/>
      <c r="AX490" s="677"/>
      <c r="AY490" s="684"/>
      <c r="AZ490" s="683"/>
      <c r="BA490" s="684"/>
      <c r="BB490" s="13"/>
      <c r="BC490" s="684"/>
      <c r="BD490" s="13"/>
      <c r="BE490" s="684"/>
      <c r="BF490" s="13"/>
      <c r="BG490" s="684"/>
      <c r="BH490" s="13"/>
      <c r="BI490" s="684"/>
      <c r="BJ490" s="13"/>
      <c r="BK490" s="684"/>
      <c r="BL490" s="684"/>
      <c r="BM490" s="684"/>
      <c r="BN490" s="677"/>
      <c r="BO490" s="677"/>
      <c r="BP490" s="541"/>
      <c r="BQ490" s="633"/>
      <c r="BR490" s="541"/>
      <c r="BS490" s="541"/>
      <c r="BT490" s="541"/>
      <c r="BU490" s="541"/>
    </row>
    <row r="491" ht="15.75" customHeight="1">
      <c r="A491" s="1591"/>
      <c r="B491" s="1591"/>
      <c r="C491" s="2217"/>
      <c r="D491" s="1541"/>
      <c r="E491" s="906"/>
      <c r="F491" s="1545"/>
      <c r="G491" s="2250"/>
      <c r="H491" s="1545"/>
      <c r="I491" s="2250"/>
      <c r="J491" s="1545"/>
      <c r="K491" s="2250"/>
      <c r="L491" s="1545"/>
      <c r="M491" s="2250"/>
      <c r="N491" s="1545"/>
      <c r="O491" s="2250"/>
      <c r="P491" s="1545"/>
      <c r="Q491" s="2250"/>
      <c r="R491" s="1545"/>
      <c r="S491" s="684"/>
      <c r="T491" s="1545"/>
      <c r="U491" s="684"/>
      <c r="V491" s="1545"/>
      <c r="W491" s="684"/>
      <c r="X491" s="1545"/>
      <c r="Y491" s="1545"/>
      <c r="Z491" s="1545"/>
      <c r="AA491" s="684"/>
      <c r="AB491" s="1545"/>
      <c r="AC491" s="684"/>
      <c r="AD491" s="684"/>
      <c r="AE491" s="684"/>
      <c r="AF491" s="684"/>
      <c r="AG491" s="684"/>
      <c r="AH491" s="684"/>
      <c r="AI491" s="684"/>
      <c r="AJ491" s="684"/>
      <c r="AK491" s="684"/>
      <c r="AL491" s="684"/>
      <c r="AM491" s="684"/>
      <c r="AN491" s="1545"/>
      <c r="AO491" s="1545"/>
      <c r="AP491" s="1545"/>
      <c r="AQ491" s="1545"/>
      <c r="AR491" s="1545"/>
      <c r="AS491" s="684"/>
      <c r="AT491" s="684"/>
      <c r="AU491" s="684"/>
      <c r="AV491" s="684"/>
      <c r="AW491" s="684"/>
      <c r="AX491" s="677"/>
      <c r="AY491" s="684"/>
      <c r="AZ491" s="683"/>
      <c r="BA491" s="684"/>
      <c r="BB491" s="13"/>
      <c r="BC491" s="684"/>
      <c r="BD491" s="13"/>
      <c r="BE491" s="684"/>
      <c r="BF491" s="13"/>
      <c r="BG491" s="684"/>
      <c r="BH491" s="13"/>
      <c r="BI491" s="684"/>
      <c r="BJ491" s="13"/>
      <c r="BK491" s="684"/>
      <c r="BL491" s="684"/>
      <c r="BM491" s="684"/>
      <c r="BN491" s="677"/>
      <c r="BO491" s="677"/>
      <c r="BP491" s="541"/>
      <c r="BQ491" s="633"/>
      <c r="BR491" s="541"/>
      <c r="BS491" s="541"/>
      <c r="BT491" s="541"/>
      <c r="BU491" s="541"/>
    </row>
    <row r="492" ht="15.75" customHeight="1">
      <c r="A492" s="1591"/>
      <c r="B492" s="1591"/>
      <c r="C492" s="2217"/>
      <c r="D492" s="1541"/>
      <c r="E492" s="906"/>
      <c r="F492" s="1545"/>
      <c r="G492" s="2250"/>
      <c r="H492" s="1545"/>
      <c r="I492" s="2250"/>
      <c r="J492" s="1545"/>
      <c r="K492" s="2250"/>
      <c r="L492" s="1545"/>
      <c r="M492" s="2250"/>
      <c r="N492" s="1545"/>
      <c r="O492" s="2250"/>
      <c r="P492" s="1545"/>
      <c r="Q492" s="2250"/>
      <c r="R492" s="1545"/>
      <c r="S492" s="684"/>
      <c r="T492" s="1545"/>
      <c r="U492" s="684"/>
      <c r="V492" s="1545"/>
      <c r="W492" s="684"/>
      <c r="X492" s="1545"/>
      <c r="Y492" s="1545"/>
      <c r="Z492" s="1545"/>
      <c r="AA492" s="684"/>
      <c r="AB492" s="1545"/>
      <c r="AC492" s="684"/>
      <c r="AD492" s="684"/>
      <c r="AE492" s="684"/>
      <c r="AF492" s="684"/>
      <c r="AG492" s="684"/>
      <c r="AH492" s="684"/>
      <c r="AI492" s="684"/>
      <c r="AJ492" s="684"/>
      <c r="AK492" s="684"/>
      <c r="AL492" s="684"/>
      <c r="AM492" s="684"/>
      <c r="AN492" s="1545"/>
      <c r="AO492" s="1545"/>
      <c r="AP492" s="1545"/>
      <c r="AQ492" s="1545"/>
      <c r="AR492" s="1545"/>
      <c r="AS492" s="684"/>
      <c r="AT492" s="684"/>
      <c r="AU492" s="684"/>
      <c r="AV492" s="684"/>
      <c r="AW492" s="684"/>
      <c r="AX492" s="677"/>
      <c r="AY492" s="684"/>
      <c r="AZ492" s="683"/>
      <c r="BA492" s="684"/>
      <c r="BB492" s="13"/>
      <c r="BC492" s="684"/>
      <c r="BD492" s="13"/>
      <c r="BE492" s="684"/>
      <c r="BF492" s="13"/>
      <c r="BG492" s="684"/>
      <c r="BH492" s="13"/>
      <c r="BI492" s="684"/>
      <c r="BJ492" s="13"/>
      <c r="BK492" s="684"/>
      <c r="BL492" s="684"/>
      <c r="BM492" s="684"/>
      <c r="BN492" s="677"/>
      <c r="BO492" s="677"/>
      <c r="BP492" s="541"/>
      <c r="BQ492" s="633"/>
      <c r="BR492" s="541"/>
      <c r="BS492" s="541"/>
      <c r="BT492" s="541"/>
      <c r="BU492" s="541"/>
    </row>
    <row r="493" ht="15.75" customHeight="1">
      <c r="A493" s="1591"/>
      <c r="B493" s="1591"/>
      <c r="C493" s="2217"/>
      <c r="D493" s="1541"/>
      <c r="E493" s="906"/>
      <c r="F493" s="1545"/>
      <c r="G493" s="2250"/>
      <c r="H493" s="1545"/>
      <c r="I493" s="2250"/>
      <c r="J493" s="1545"/>
      <c r="K493" s="2250"/>
      <c r="L493" s="1545"/>
      <c r="M493" s="2250"/>
      <c r="N493" s="1545"/>
      <c r="O493" s="2250"/>
      <c r="P493" s="1545"/>
      <c r="Q493" s="2250"/>
      <c r="R493" s="1545"/>
      <c r="S493" s="684"/>
      <c r="T493" s="1545"/>
      <c r="U493" s="684"/>
      <c r="V493" s="1545"/>
      <c r="W493" s="684"/>
      <c r="X493" s="1545"/>
      <c r="Y493" s="1545"/>
      <c r="Z493" s="1545"/>
      <c r="AA493" s="684"/>
      <c r="AB493" s="1545"/>
      <c r="AC493" s="684"/>
      <c r="AD493" s="684"/>
      <c r="AE493" s="684"/>
      <c r="AF493" s="684"/>
      <c r="AG493" s="684"/>
      <c r="AH493" s="684"/>
      <c r="AI493" s="684"/>
      <c r="AJ493" s="684"/>
      <c r="AK493" s="684"/>
      <c r="AL493" s="684"/>
      <c r="AM493" s="684"/>
      <c r="AN493" s="1545"/>
      <c r="AO493" s="1545"/>
      <c r="AP493" s="1545"/>
      <c r="AQ493" s="1545"/>
      <c r="AR493" s="1545"/>
      <c r="AS493" s="684"/>
      <c r="AT493" s="684"/>
      <c r="AU493" s="684"/>
      <c r="AV493" s="684"/>
      <c r="AW493" s="684"/>
      <c r="AX493" s="677"/>
      <c r="AY493" s="684"/>
      <c r="AZ493" s="683"/>
      <c r="BA493" s="684"/>
      <c r="BB493" s="13"/>
      <c r="BC493" s="684"/>
      <c r="BD493" s="13"/>
      <c r="BE493" s="684"/>
      <c r="BF493" s="13"/>
      <c r="BG493" s="684"/>
      <c r="BH493" s="13"/>
      <c r="BI493" s="684"/>
      <c r="BJ493" s="13"/>
      <c r="BK493" s="684"/>
      <c r="BL493" s="684"/>
      <c r="BM493" s="684"/>
      <c r="BN493" s="677"/>
      <c r="BO493" s="677"/>
      <c r="BP493" s="541"/>
      <c r="BQ493" s="633"/>
      <c r="BR493" s="541"/>
      <c r="BS493" s="541"/>
      <c r="BT493" s="541"/>
      <c r="BU493" s="541"/>
    </row>
    <row r="494" ht="15.75" customHeight="1">
      <c r="A494" s="1591"/>
      <c r="B494" s="1591"/>
      <c r="C494" s="2217"/>
      <c r="D494" s="1541"/>
      <c r="E494" s="906"/>
      <c r="F494" s="1545"/>
      <c r="G494" s="2250"/>
      <c r="H494" s="1545"/>
      <c r="I494" s="2250"/>
      <c r="J494" s="1545"/>
      <c r="K494" s="2250"/>
      <c r="L494" s="1545"/>
      <c r="M494" s="2250"/>
      <c r="N494" s="1545"/>
      <c r="O494" s="2250"/>
      <c r="P494" s="1545"/>
      <c r="Q494" s="2250"/>
      <c r="R494" s="1545"/>
      <c r="S494" s="684"/>
      <c r="T494" s="1545"/>
      <c r="U494" s="684"/>
      <c r="V494" s="1545"/>
      <c r="W494" s="684"/>
      <c r="X494" s="1545"/>
      <c r="Y494" s="1545"/>
      <c r="Z494" s="1545"/>
      <c r="AA494" s="684"/>
      <c r="AB494" s="1545"/>
      <c r="AC494" s="684"/>
      <c r="AD494" s="684"/>
      <c r="AE494" s="684"/>
      <c r="AF494" s="684"/>
      <c r="AG494" s="684"/>
      <c r="AH494" s="684"/>
      <c r="AI494" s="684"/>
      <c r="AJ494" s="684"/>
      <c r="AK494" s="684"/>
      <c r="AL494" s="684"/>
      <c r="AM494" s="684"/>
      <c r="AN494" s="1545"/>
      <c r="AO494" s="1545"/>
      <c r="AP494" s="1545"/>
      <c r="AQ494" s="1545"/>
      <c r="AR494" s="1545"/>
      <c r="AS494" s="684"/>
      <c r="AT494" s="684"/>
      <c r="AU494" s="684"/>
      <c r="AV494" s="684"/>
      <c r="AW494" s="684"/>
      <c r="AX494" s="677"/>
      <c r="AY494" s="684"/>
      <c r="AZ494" s="683"/>
      <c r="BA494" s="684"/>
      <c r="BB494" s="13"/>
      <c r="BC494" s="684"/>
      <c r="BD494" s="13"/>
      <c r="BE494" s="684"/>
      <c r="BF494" s="13"/>
      <c r="BG494" s="684"/>
      <c r="BH494" s="13"/>
      <c r="BI494" s="684"/>
      <c r="BJ494" s="13"/>
      <c r="BK494" s="684"/>
      <c r="BL494" s="684"/>
      <c r="BM494" s="684"/>
      <c r="BN494" s="677"/>
      <c r="BO494" s="677"/>
      <c r="BP494" s="541"/>
      <c r="BQ494" s="633"/>
      <c r="BR494" s="541"/>
      <c r="BS494" s="541"/>
      <c r="BT494" s="541"/>
      <c r="BU494" s="541"/>
    </row>
    <row r="495" ht="15.75" customHeight="1">
      <c r="A495" s="1591"/>
      <c r="B495" s="1591"/>
      <c r="C495" s="2217"/>
      <c r="D495" s="1541"/>
      <c r="E495" s="906"/>
      <c r="F495" s="1545"/>
      <c r="G495" s="2250"/>
      <c r="H495" s="1545"/>
      <c r="I495" s="2250"/>
      <c r="J495" s="1545"/>
      <c r="K495" s="2250"/>
      <c r="L495" s="1545"/>
      <c r="M495" s="2250"/>
      <c r="N495" s="1545"/>
      <c r="O495" s="2250"/>
      <c r="P495" s="1545"/>
      <c r="Q495" s="2250"/>
      <c r="R495" s="1545"/>
      <c r="S495" s="684"/>
      <c r="T495" s="1545"/>
      <c r="U495" s="684"/>
      <c r="V495" s="1545"/>
      <c r="W495" s="684"/>
      <c r="X495" s="1545"/>
      <c r="Y495" s="1545"/>
      <c r="Z495" s="1545"/>
      <c r="AA495" s="684"/>
      <c r="AB495" s="1545"/>
      <c r="AC495" s="684"/>
      <c r="AD495" s="684"/>
      <c r="AE495" s="684"/>
      <c r="AF495" s="684"/>
      <c r="AG495" s="684"/>
      <c r="AH495" s="684"/>
      <c r="AI495" s="684"/>
      <c r="AJ495" s="684"/>
      <c r="AK495" s="684"/>
      <c r="AL495" s="684"/>
      <c r="AM495" s="684"/>
      <c r="AN495" s="1545"/>
      <c r="AO495" s="1545"/>
      <c r="AP495" s="1545"/>
      <c r="AQ495" s="1545"/>
      <c r="AR495" s="1545"/>
      <c r="AS495" s="684"/>
      <c r="AT495" s="684"/>
      <c r="AU495" s="684"/>
      <c r="AV495" s="684"/>
      <c r="AW495" s="684"/>
      <c r="AX495" s="677"/>
      <c r="AY495" s="684"/>
      <c r="AZ495" s="683"/>
      <c r="BA495" s="684"/>
      <c r="BB495" s="13"/>
      <c r="BC495" s="684"/>
      <c r="BD495" s="13"/>
      <c r="BE495" s="684"/>
      <c r="BF495" s="13"/>
      <c r="BG495" s="684"/>
      <c r="BH495" s="13"/>
      <c r="BI495" s="684"/>
      <c r="BJ495" s="13"/>
      <c r="BK495" s="684"/>
      <c r="BL495" s="684"/>
      <c r="BM495" s="684"/>
      <c r="BN495" s="677"/>
      <c r="BO495" s="677"/>
      <c r="BP495" s="541"/>
      <c r="BQ495" s="633"/>
      <c r="BR495" s="541"/>
      <c r="BS495" s="541"/>
      <c r="BT495" s="541"/>
      <c r="BU495" s="541"/>
    </row>
    <row r="496" ht="15.75" customHeight="1">
      <c r="A496" s="1591"/>
      <c r="B496" s="1591"/>
      <c r="C496" s="2217"/>
      <c r="D496" s="1541"/>
      <c r="E496" s="906"/>
      <c r="F496" s="1545"/>
      <c r="G496" s="2250"/>
      <c r="H496" s="1545"/>
      <c r="I496" s="2250"/>
      <c r="J496" s="1545"/>
      <c r="K496" s="2250"/>
      <c r="L496" s="1545"/>
      <c r="M496" s="2250"/>
      <c r="N496" s="1545"/>
      <c r="O496" s="2250"/>
      <c r="P496" s="1545"/>
      <c r="Q496" s="2250"/>
      <c r="R496" s="1545"/>
      <c r="S496" s="684"/>
      <c r="T496" s="1545"/>
      <c r="U496" s="684"/>
      <c r="V496" s="1545"/>
      <c r="W496" s="684"/>
      <c r="X496" s="1545"/>
      <c r="Y496" s="1545"/>
      <c r="Z496" s="1545"/>
      <c r="AA496" s="684"/>
      <c r="AB496" s="1545"/>
      <c r="AC496" s="684"/>
      <c r="AD496" s="684"/>
      <c r="AE496" s="684"/>
      <c r="AF496" s="684"/>
      <c r="AG496" s="684"/>
      <c r="AH496" s="684"/>
      <c r="AI496" s="684"/>
      <c r="AJ496" s="684"/>
      <c r="AK496" s="684"/>
      <c r="AL496" s="684"/>
      <c r="AM496" s="684"/>
      <c r="AN496" s="1545"/>
      <c r="AO496" s="1545"/>
      <c r="AP496" s="1545"/>
      <c r="AQ496" s="1545"/>
      <c r="AR496" s="1545"/>
      <c r="AS496" s="684"/>
      <c r="AT496" s="684"/>
      <c r="AU496" s="684"/>
      <c r="AV496" s="684"/>
      <c r="AW496" s="684"/>
      <c r="AX496" s="677"/>
      <c r="AY496" s="684"/>
      <c r="AZ496" s="683"/>
      <c r="BA496" s="684"/>
      <c r="BB496" s="13"/>
      <c r="BC496" s="684"/>
      <c r="BD496" s="13"/>
      <c r="BE496" s="684"/>
      <c r="BF496" s="13"/>
      <c r="BG496" s="684"/>
      <c r="BH496" s="13"/>
      <c r="BI496" s="684"/>
      <c r="BJ496" s="13"/>
      <c r="BK496" s="684"/>
      <c r="BL496" s="684"/>
      <c r="BM496" s="684"/>
      <c r="BN496" s="677"/>
      <c r="BO496" s="677"/>
      <c r="BP496" s="541"/>
      <c r="BQ496" s="633"/>
      <c r="BR496" s="541"/>
      <c r="BS496" s="541"/>
      <c r="BT496" s="541"/>
      <c r="BU496" s="541"/>
    </row>
    <row r="497" ht="15.75" customHeight="1">
      <c r="A497" s="1591"/>
      <c r="B497" s="1591"/>
      <c r="C497" s="2217"/>
      <c r="D497" s="1541"/>
      <c r="E497" s="906"/>
      <c r="F497" s="1545"/>
      <c r="G497" s="2250"/>
      <c r="H497" s="1545"/>
      <c r="I497" s="2250"/>
      <c r="J497" s="1545"/>
      <c r="K497" s="2250"/>
      <c r="L497" s="1545"/>
      <c r="M497" s="2250"/>
      <c r="N497" s="1545"/>
      <c r="O497" s="2250"/>
      <c r="P497" s="1545"/>
      <c r="Q497" s="2250"/>
      <c r="R497" s="1545"/>
      <c r="S497" s="684"/>
      <c r="T497" s="1545"/>
      <c r="U497" s="684"/>
      <c r="V497" s="1545"/>
      <c r="W497" s="684"/>
      <c r="X497" s="1545"/>
      <c r="Y497" s="1545"/>
      <c r="Z497" s="1545"/>
      <c r="AA497" s="684"/>
      <c r="AB497" s="1545"/>
      <c r="AC497" s="684"/>
      <c r="AD497" s="684"/>
      <c r="AE497" s="684"/>
      <c r="AF497" s="684"/>
      <c r="AG497" s="684"/>
      <c r="AH497" s="684"/>
      <c r="AI497" s="684"/>
      <c r="AJ497" s="684"/>
      <c r="AK497" s="684"/>
      <c r="AL497" s="684"/>
      <c r="AM497" s="684"/>
      <c r="AN497" s="1545"/>
      <c r="AO497" s="1545"/>
      <c r="AP497" s="1545"/>
      <c r="AQ497" s="1545"/>
      <c r="AR497" s="1545"/>
      <c r="AS497" s="684"/>
      <c r="AT497" s="684"/>
      <c r="AU497" s="684"/>
      <c r="AV497" s="684"/>
      <c r="AW497" s="684"/>
      <c r="AX497" s="677"/>
      <c r="AY497" s="684"/>
      <c r="AZ497" s="683"/>
      <c r="BA497" s="684"/>
      <c r="BB497" s="13"/>
      <c r="BC497" s="684"/>
      <c r="BD497" s="13"/>
      <c r="BE497" s="684"/>
      <c r="BF497" s="13"/>
      <c r="BG497" s="684"/>
      <c r="BH497" s="13"/>
      <c r="BI497" s="684"/>
      <c r="BJ497" s="13"/>
      <c r="BK497" s="684"/>
      <c r="BL497" s="684"/>
      <c r="BM497" s="684"/>
      <c r="BN497" s="677"/>
      <c r="BO497" s="677"/>
      <c r="BP497" s="541"/>
      <c r="BQ497" s="633"/>
      <c r="BR497" s="541"/>
      <c r="BS497" s="541"/>
      <c r="BT497" s="541"/>
      <c r="BU497" s="541"/>
    </row>
    <row r="498" ht="15.75" customHeight="1">
      <c r="A498" s="1591"/>
      <c r="B498" s="1591"/>
      <c r="C498" s="2217"/>
      <c r="D498" s="1541"/>
      <c r="E498" s="906"/>
      <c r="F498" s="1545"/>
      <c r="G498" s="2250"/>
      <c r="H498" s="1545"/>
      <c r="I498" s="2250"/>
      <c r="J498" s="1545"/>
      <c r="K498" s="2250"/>
      <c r="L498" s="1545"/>
      <c r="M498" s="2250"/>
      <c r="N498" s="1545"/>
      <c r="O498" s="2250"/>
      <c r="P498" s="1545"/>
      <c r="Q498" s="2250"/>
      <c r="R498" s="1545"/>
      <c r="S498" s="684"/>
      <c r="T498" s="1545"/>
      <c r="U498" s="684"/>
      <c r="V498" s="1545"/>
      <c r="W498" s="684"/>
      <c r="X498" s="1545"/>
      <c r="Y498" s="1545"/>
      <c r="Z498" s="1545"/>
      <c r="AA498" s="684"/>
      <c r="AB498" s="1545"/>
      <c r="AC498" s="684"/>
      <c r="AD498" s="684"/>
      <c r="AE498" s="684"/>
      <c r="AF498" s="684"/>
      <c r="AG498" s="684"/>
      <c r="AH498" s="684"/>
      <c r="AI498" s="684"/>
      <c r="AJ498" s="684"/>
      <c r="AK498" s="684"/>
      <c r="AL498" s="684"/>
      <c r="AM498" s="684"/>
      <c r="AN498" s="1545"/>
      <c r="AO498" s="1545"/>
      <c r="AP498" s="1545"/>
      <c r="AQ498" s="1545"/>
      <c r="AR498" s="1545"/>
      <c r="AS498" s="684"/>
      <c r="AT498" s="684"/>
      <c r="AU498" s="684"/>
      <c r="AV498" s="684"/>
      <c r="AW498" s="684"/>
      <c r="AX498" s="677"/>
      <c r="AY498" s="684"/>
      <c r="AZ498" s="683"/>
      <c r="BA498" s="684"/>
      <c r="BB498" s="13"/>
      <c r="BC498" s="684"/>
      <c r="BD498" s="13"/>
      <c r="BE498" s="684"/>
      <c r="BF498" s="13"/>
      <c r="BG498" s="684"/>
      <c r="BH498" s="13"/>
      <c r="BI498" s="684"/>
      <c r="BJ498" s="13"/>
      <c r="BK498" s="684"/>
      <c r="BL498" s="684"/>
      <c r="BM498" s="684"/>
      <c r="BN498" s="677"/>
      <c r="BO498" s="677"/>
      <c r="BP498" s="541"/>
      <c r="BQ498" s="633"/>
      <c r="BR498" s="541"/>
      <c r="BS498" s="541"/>
      <c r="BT498" s="541"/>
      <c r="BU498" s="541"/>
    </row>
    <row r="499" ht="15.75" customHeight="1">
      <c r="A499" s="1591"/>
      <c r="B499" s="1591"/>
      <c r="C499" s="2217"/>
      <c r="D499" s="1541"/>
      <c r="E499" s="906"/>
      <c r="F499" s="1545"/>
      <c r="G499" s="2250"/>
      <c r="H499" s="1545"/>
      <c r="I499" s="2250"/>
      <c r="J499" s="1545"/>
      <c r="K499" s="2250"/>
      <c r="L499" s="1545"/>
      <c r="M499" s="2250"/>
      <c r="N499" s="1545"/>
      <c r="O499" s="2250"/>
      <c r="P499" s="1545"/>
      <c r="Q499" s="2250"/>
      <c r="R499" s="1545"/>
      <c r="S499" s="684"/>
      <c r="T499" s="1545"/>
      <c r="U499" s="684"/>
      <c r="V499" s="1545"/>
      <c r="W499" s="684"/>
      <c r="X499" s="1545"/>
      <c r="Y499" s="1545"/>
      <c r="Z499" s="1545"/>
      <c r="AA499" s="684"/>
      <c r="AB499" s="1545"/>
      <c r="AC499" s="684"/>
      <c r="AD499" s="684"/>
      <c r="AE499" s="684"/>
      <c r="AF499" s="684"/>
      <c r="AG499" s="684"/>
      <c r="AH499" s="684"/>
      <c r="AI499" s="684"/>
      <c r="AJ499" s="684"/>
      <c r="AK499" s="684"/>
      <c r="AL499" s="684"/>
      <c r="AM499" s="684"/>
      <c r="AN499" s="1545"/>
      <c r="AO499" s="1545"/>
      <c r="AP499" s="1545"/>
      <c r="AQ499" s="1545"/>
      <c r="AR499" s="1545"/>
      <c r="AS499" s="684"/>
      <c r="AT499" s="684"/>
      <c r="AU499" s="684"/>
      <c r="AV499" s="684"/>
      <c r="AW499" s="684"/>
      <c r="AX499" s="677"/>
      <c r="AY499" s="684"/>
      <c r="AZ499" s="683"/>
      <c r="BA499" s="684"/>
      <c r="BB499" s="13"/>
      <c r="BC499" s="684"/>
      <c r="BD499" s="13"/>
      <c r="BE499" s="684"/>
      <c r="BF499" s="13"/>
      <c r="BG499" s="684"/>
      <c r="BH499" s="13"/>
      <c r="BI499" s="684"/>
      <c r="BJ499" s="13"/>
      <c r="BK499" s="684"/>
      <c r="BL499" s="684"/>
      <c r="BM499" s="684"/>
      <c r="BN499" s="677"/>
      <c r="BO499" s="677"/>
      <c r="BP499" s="541"/>
      <c r="BQ499" s="633"/>
      <c r="BR499" s="541"/>
      <c r="BS499" s="541"/>
      <c r="BT499" s="541"/>
      <c r="BU499" s="541"/>
    </row>
    <row r="500" ht="15.75" customHeight="1">
      <c r="A500" s="1591"/>
      <c r="B500" s="1591"/>
      <c r="C500" s="2217"/>
      <c r="D500" s="1541"/>
      <c r="E500" s="906"/>
      <c r="F500" s="1545"/>
      <c r="G500" s="2250"/>
      <c r="H500" s="1545"/>
      <c r="I500" s="2250"/>
      <c r="J500" s="1545"/>
      <c r="K500" s="2250"/>
      <c r="L500" s="1545"/>
      <c r="M500" s="2250"/>
      <c r="N500" s="1545"/>
      <c r="O500" s="2250"/>
      <c r="P500" s="1545"/>
      <c r="Q500" s="2250"/>
      <c r="R500" s="1545"/>
      <c r="S500" s="684"/>
      <c r="T500" s="1545"/>
      <c r="U500" s="684"/>
      <c r="V500" s="1545"/>
      <c r="W500" s="684"/>
      <c r="X500" s="1545"/>
      <c r="Y500" s="1545"/>
      <c r="Z500" s="1545"/>
      <c r="AA500" s="684"/>
      <c r="AB500" s="1545"/>
      <c r="AC500" s="684"/>
      <c r="AD500" s="684"/>
      <c r="AE500" s="684"/>
      <c r="AF500" s="684"/>
      <c r="AG500" s="684"/>
      <c r="AH500" s="684"/>
      <c r="AI500" s="684"/>
      <c r="AJ500" s="684"/>
      <c r="AK500" s="684"/>
      <c r="AL500" s="684"/>
      <c r="AM500" s="684"/>
      <c r="AN500" s="1545"/>
      <c r="AO500" s="1545"/>
      <c r="AP500" s="1545"/>
      <c r="AQ500" s="1545"/>
      <c r="AR500" s="1545"/>
      <c r="AS500" s="684"/>
      <c r="AT500" s="684"/>
      <c r="AU500" s="684"/>
      <c r="AV500" s="684"/>
      <c r="AW500" s="684"/>
      <c r="AX500" s="677"/>
      <c r="AY500" s="684"/>
      <c r="AZ500" s="683"/>
      <c r="BA500" s="684"/>
      <c r="BB500" s="13"/>
      <c r="BC500" s="684"/>
      <c r="BD500" s="13"/>
      <c r="BE500" s="684"/>
      <c r="BF500" s="13"/>
      <c r="BG500" s="684"/>
      <c r="BH500" s="13"/>
      <c r="BI500" s="684"/>
      <c r="BJ500" s="13"/>
      <c r="BK500" s="684"/>
      <c r="BL500" s="684"/>
      <c r="BM500" s="684"/>
      <c r="BN500" s="677"/>
      <c r="BO500" s="677"/>
      <c r="BP500" s="541"/>
      <c r="BQ500" s="633"/>
      <c r="BR500" s="541"/>
      <c r="BS500" s="541"/>
      <c r="BT500" s="541"/>
      <c r="BU500" s="541"/>
    </row>
    <row r="501" ht="15.75" customHeight="1">
      <c r="A501" s="1591"/>
      <c r="B501" s="1591"/>
      <c r="C501" s="2217"/>
      <c r="D501" s="1541"/>
      <c r="E501" s="906"/>
      <c r="F501" s="1545"/>
      <c r="G501" s="2250"/>
      <c r="H501" s="1545"/>
      <c r="I501" s="2250"/>
      <c r="J501" s="1545"/>
      <c r="K501" s="2250"/>
      <c r="L501" s="1545"/>
      <c r="M501" s="2250"/>
      <c r="N501" s="1545"/>
      <c r="O501" s="2250"/>
      <c r="P501" s="1545"/>
      <c r="Q501" s="2250"/>
      <c r="R501" s="1545"/>
      <c r="S501" s="684"/>
      <c r="T501" s="1545"/>
      <c r="U501" s="684"/>
      <c r="V501" s="1545"/>
      <c r="W501" s="684"/>
      <c r="X501" s="1545"/>
      <c r="Y501" s="1545"/>
      <c r="Z501" s="1545"/>
      <c r="AA501" s="684"/>
      <c r="AB501" s="1545"/>
      <c r="AC501" s="684"/>
      <c r="AD501" s="684"/>
      <c r="AE501" s="684"/>
      <c r="AF501" s="684"/>
      <c r="AG501" s="684"/>
      <c r="AH501" s="684"/>
      <c r="AI501" s="684"/>
      <c r="AJ501" s="684"/>
      <c r="AK501" s="684"/>
      <c r="AL501" s="684"/>
      <c r="AM501" s="684"/>
      <c r="AN501" s="1545"/>
      <c r="AO501" s="1545"/>
      <c r="AP501" s="1545"/>
      <c r="AQ501" s="1545"/>
      <c r="AR501" s="1545"/>
      <c r="AS501" s="684"/>
      <c r="AT501" s="684"/>
      <c r="AU501" s="684"/>
      <c r="AV501" s="684"/>
      <c r="AW501" s="684"/>
      <c r="AX501" s="677"/>
      <c r="AY501" s="684"/>
      <c r="AZ501" s="683"/>
      <c r="BA501" s="684"/>
      <c r="BB501" s="13"/>
      <c r="BC501" s="684"/>
      <c r="BD501" s="13"/>
      <c r="BE501" s="684"/>
      <c r="BF501" s="13"/>
      <c r="BG501" s="684"/>
      <c r="BH501" s="13"/>
      <c r="BI501" s="684"/>
      <c r="BJ501" s="13"/>
      <c r="BK501" s="684"/>
      <c r="BL501" s="684"/>
      <c r="BM501" s="684"/>
      <c r="BN501" s="677"/>
      <c r="BO501" s="677"/>
      <c r="BP501" s="541"/>
      <c r="BQ501" s="633"/>
      <c r="BR501" s="541"/>
      <c r="BS501" s="541"/>
      <c r="BT501" s="541"/>
      <c r="BU501" s="541"/>
    </row>
    <row r="502" ht="15.75" customHeight="1">
      <c r="A502" s="1591"/>
      <c r="B502" s="1591"/>
      <c r="C502" s="2217"/>
      <c r="D502" s="1541"/>
      <c r="E502" s="906"/>
      <c r="F502" s="541"/>
      <c r="G502" s="541"/>
      <c r="H502" s="541"/>
      <c r="I502" s="541"/>
      <c r="J502" s="1748"/>
      <c r="K502" s="541"/>
      <c r="L502" s="1748"/>
      <c r="M502" s="541"/>
      <c r="N502" s="1748"/>
      <c r="O502" s="541"/>
      <c r="P502" s="1748"/>
      <c r="Q502" s="541"/>
      <c r="R502" s="1748"/>
      <c r="S502" s="541"/>
      <c r="T502" s="1748"/>
      <c r="U502" s="541"/>
      <c r="V502" s="1748"/>
      <c r="W502" s="541"/>
      <c r="X502" s="1748"/>
      <c r="Y502" s="1748"/>
      <c r="Z502" s="1748"/>
      <c r="AA502" s="541"/>
      <c r="AB502" s="1748"/>
      <c r="AC502" s="541"/>
      <c r="AD502" s="541"/>
      <c r="AE502" s="541"/>
      <c r="AF502" s="541"/>
      <c r="AG502" s="541"/>
      <c r="AH502" s="541"/>
      <c r="AI502" s="541"/>
      <c r="AJ502" s="541"/>
      <c r="AK502" s="541"/>
      <c r="AL502" s="541"/>
      <c r="AM502" s="541"/>
      <c r="AN502" s="1748"/>
      <c r="AO502" s="1748"/>
      <c r="AP502" s="1748"/>
      <c r="AQ502" s="1748"/>
      <c r="AR502" s="1748"/>
      <c r="AS502" s="541"/>
      <c r="AT502" s="541"/>
      <c r="AU502" s="541"/>
      <c r="AV502" s="541"/>
      <c r="AW502" s="541"/>
      <c r="AY502" s="541"/>
      <c r="AZ502" s="633"/>
      <c r="BA502" s="541"/>
      <c r="BB502" s="1190"/>
      <c r="BC502" s="541"/>
      <c r="BD502" s="1190"/>
      <c r="BE502" s="541"/>
      <c r="BF502" s="1190"/>
      <c r="BG502" s="541"/>
      <c r="BH502" s="1190"/>
      <c r="BI502" s="541"/>
      <c r="BJ502" s="1190"/>
      <c r="BK502" s="541"/>
      <c r="BL502" s="541"/>
      <c r="BM502" s="541"/>
      <c r="BP502" s="541"/>
      <c r="BQ502" s="633"/>
      <c r="BR502" s="541"/>
      <c r="BS502" s="541"/>
      <c r="BT502" s="541"/>
      <c r="BU502" s="541"/>
    </row>
    <row r="503" ht="15.75" customHeight="1">
      <c r="A503" s="1591"/>
      <c r="B503" s="1591"/>
      <c r="C503" s="2217"/>
      <c r="D503" s="1541"/>
      <c r="E503" s="906"/>
      <c r="F503" s="541"/>
      <c r="G503" s="541"/>
      <c r="H503" s="541"/>
      <c r="I503" s="541"/>
      <c r="J503" s="1748"/>
      <c r="K503" s="541"/>
      <c r="L503" s="1748"/>
      <c r="M503" s="541"/>
      <c r="N503" s="1748"/>
      <c r="O503" s="541"/>
      <c r="P503" s="1748"/>
      <c r="Q503" s="541"/>
      <c r="R503" s="1748"/>
      <c r="S503" s="541"/>
      <c r="T503" s="1748"/>
      <c r="U503" s="541"/>
      <c r="V503" s="1748"/>
      <c r="W503" s="541"/>
      <c r="X503" s="1748"/>
      <c r="Y503" s="1748"/>
      <c r="Z503" s="1748"/>
      <c r="AA503" s="541"/>
      <c r="AB503" s="1748"/>
      <c r="AC503" s="541"/>
      <c r="AD503" s="541"/>
      <c r="AE503" s="541"/>
      <c r="AF503" s="541"/>
      <c r="AG503" s="541"/>
      <c r="AH503" s="541"/>
      <c r="AI503" s="541"/>
      <c r="AJ503" s="541"/>
      <c r="AK503" s="541"/>
      <c r="AL503" s="541"/>
      <c r="AM503" s="541"/>
      <c r="AN503" s="1748"/>
      <c r="AO503" s="1748"/>
      <c r="AP503" s="1748"/>
      <c r="AQ503" s="1748"/>
      <c r="AR503" s="1748"/>
      <c r="AS503" s="541"/>
      <c r="AT503" s="541"/>
      <c r="AU503" s="541"/>
      <c r="AV503" s="541"/>
      <c r="AW503" s="541"/>
      <c r="AY503" s="541"/>
      <c r="AZ503" s="633"/>
      <c r="BA503" s="541"/>
      <c r="BB503" s="1190"/>
      <c r="BC503" s="541"/>
      <c r="BD503" s="1190"/>
      <c r="BE503" s="541"/>
      <c r="BF503" s="1190"/>
      <c r="BG503" s="541"/>
      <c r="BH503" s="1190"/>
      <c r="BI503" s="541"/>
      <c r="BJ503" s="1190"/>
      <c r="BK503" s="541"/>
      <c r="BL503" s="541"/>
      <c r="BM503" s="541"/>
      <c r="BP503" s="541"/>
      <c r="BQ503" s="633"/>
      <c r="BR503" s="541"/>
      <c r="BS503" s="541"/>
      <c r="BT503" s="541"/>
      <c r="BU503" s="541"/>
    </row>
    <row r="504" ht="15.75" customHeight="1">
      <c r="A504" s="1591"/>
      <c r="B504" s="1591"/>
      <c r="C504" s="2217"/>
      <c r="D504" s="1541"/>
      <c r="E504" s="906"/>
      <c r="F504" s="541"/>
      <c r="G504" s="541"/>
      <c r="H504" s="541"/>
      <c r="I504" s="541"/>
      <c r="J504" s="1748"/>
      <c r="K504" s="541"/>
      <c r="L504" s="1748"/>
      <c r="M504" s="541"/>
      <c r="N504" s="1748"/>
      <c r="O504" s="541"/>
      <c r="P504" s="1748"/>
      <c r="Q504" s="541"/>
      <c r="R504" s="1748"/>
      <c r="S504" s="541"/>
      <c r="T504" s="1748"/>
      <c r="U504" s="541"/>
      <c r="V504" s="1748"/>
      <c r="W504" s="541"/>
      <c r="X504" s="1748"/>
      <c r="Y504" s="1748"/>
      <c r="Z504" s="1748"/>
      <c r="AA504" s="541"/>
      <c r="AB504" s="1748"/>
      <c r="AC504" s="541"/>
      <c r="AD504" s="541"/>
      <c r="AE504" s="541"/>
      <c r="AF504" s="541"/>
      <c r="AG504" s="541"/>
      <c r="AH504" s="541"/>
      <c r="AI504" s="541"/>
      <c r="AJ504" s="541"/>
      <c r="AK504" s="541"/>
      <c r="AL504" s="541"/>
      <c r="AM504" s="541"/>
      <c r="AN504" s="1748"/>
      <c r="AO504" s="1748"/>
      <c r="AP504" s="1748"/>
      <c r="AQ504" s="1748"/>
      <c r="AR504" s="1748"/>
      <c r="AS504" s="541"/>
      <c r="AT504" s="541"/>
      <c r="AU504" s="541"/>
      <c r="AV504" s="541"/>
      <c r="AW504" s="541"/>
      <c r="AY504" s="541"/>
      <c r="AZ504" s="633"/>
      <c r="BA504" s="541"/>
      <c r="BB504" s="1190"/>
      <c r="BC504" s="541"/>
      <c r="BD504" s="1190"/>
      <c r="BE504" s="541"/>
      <c r="BF504" s="1190"/>
      <c r="BG504" s="541"/>
      <c r="BH504" s="1190"/>
      <c r="BI504" s="541"/>
      <c r="BJ504" s="1190"/>
      <c r="BK504" s="541"/>
      <c r="BL504" s="541"/>
      <c r="BM504" s="541"/>
      <c r="BP504" s="541"/>
      <c r="BQ504" s="633"/>
      <c r="BR504" s="541"/>
      <c r="BS504" s="541"/>
      <c r="BT504" s="541"/>
      <c r="BU504" s="541"/>
    </row>
    <row r="505" ht="15.75" customHeight="1">
      <c r="A505" s="1591"/>
      <c r="B505" s="1591"/>
      <c r="C505" s="2217"/>
      <c r="D505" s="1541"/>
      <c r="E505" s="906"/>
      <c r="F505" s="541"/>
      <c r="G505" s="541"/>
      <c r="H505" s="541"/>
      <c r="I505" s="541"/>
      <c r="J505" s="1748"/>
      <c r="K505" s="541"/>
      <c r="L505" s="1748"/>
      <c r="M505" s="541"/>
      <c r="N505" s="1748"/>
      <c r="O505" s="541"/>
      <c r="P505" s="1748"/>
      <c r="Q505" s="541"/>
      <c r="R505" s="1748"/>
      <c r="S505" s="541"/>
      <c r="T505" s="1748"/>
      <c r="U505" s="541"/>
      <c r="V505" s="1748"/>
      <c r="W505" s="541"/>
      <c r="X505" s="1748"/>
      <c r="Y505" s="1748"/>
      <c r="Z505" s="1748"/>
      <c r="AA505" s="541"/>
      <c r="AB505" s="1748"/>
      <c r="AC505" s="541"/>
      <c r="AD505" s="541"/>
      <c r="AE505" s="541"/>
      <c r="AF505" s="541"/>
      <c r="AG505" s="541"/>
      <c r="AH505" s="541"/>
      <c r="AI505" s="541"/>
      <c r="AJ505" s="541"/>
      <c r="AK505" s="541"/>
      <c r="AL505" s="541"/>
      <c r="AM505" s="541"/>
      <c r="AN505" s="1748"/>
      <c r="AO505" s="1748"/>
      <c r="AP505" s="1748"/>
      <c r="AQ505" s="1748"/>
      <c r="AR505" s="1748"/>
      <c r="AS505" s="541"/>
      <c r="AT505" s="541"/>
      <c r="AU505" s="541"/>
      <c r="AV505" s="541"/>
      <c r="AW505" s="541"/>
      <c r="AY505" s="541"/>
      <c r="AZ505" s="633"/>
      <c r="BA505" s="541"/>
      <c r="BB505" s="1190"/>
      <c r="BC505" s="541"/>
      <c r="BD505" s="1190"/>
      <c r="BE505" s="541"/>
      <c r="BF505" s="1190"/>
      <c r="BG505" s="541"/>
      <c r="BH505" s="1190"/>
      <c r="BI505" s="541"/>
      <c r="BJ505" s="1190"/>
      <c r="BK505" s="541"/>
      <c r="BL505" s="541"/>
      <c r="BM505" s="541"/>
      <c r="BP505" s="541"/>
      <c r="BQ505" s="633"/>
      <c r="BR505" s="541"/>
      <c r="BS505" s="541"/>
      <c r="BT505" s="541"/>
      <c r="BU505" s="541"/>
    </row>
    <row r="506" ht="15.75" customHeight="1">
      <c r="A506" s="1591"/>
      <c r="B506" s="1591"/>
      <c r="C506" s="2217"/>
      <c r="D506" s="1541"/>
      <c r="E506" s="906"/>
      <c r="F506" s="541"/>
      <c r="G506" s="541"/>
      <c r="H506" s="541"/>
      <c r="I506" s="541"/>
      <c r="J506" s="1748"/>
      <c r="K506" s="541"/>
      <c r="L506" s="1748"/>
      <c r="M506" s="541"/>
      <c r="N506" s="1748"/>
      <c r="O506" s="541"/>
      <c r="P506" s="1748"/>
      <c r="Q506" s="541"/>
      <c r="R506" s="1748"/>
      <c r="S506" s="541"/>
      <c r="T506" s="1748"/>
      <c r="U506" s="541"/>
      <c r="V506" s="1748"/>
      <c r="W506" s="541"/>
      <c r="X506" s="1748"/>
      <c r="Y506" s="1748"/>
      <c r="Z506" s="1748"/>
      <c r="AA506" s="541"/>
      <c r="AB506" s="1748"/>
      <c r="AC506" s="541"/>
      <c r="AD506" s="541"/>
      <c r="AE506" s="541"/>
      <c r="AF506" s="541"/>
      <c r="AG506" s="541"/>
      <c r="AH506" s="541"/>
      <c r="AI506" s="541"/>
      <c r="AJ506" s="541"/>
      <c r="AK506" s="541"/>
      <c r="AL506" s="541"/>
      <c r="AM506" s="541"/>
      <c r="AN506" s="1748"/>
      <c r="AO506" s="1748"/>
      <c r="AP506" s="1748"/>
      <c r="AQ506" s="1748"/>
      <c r="AR506" s="1748"/>
      <c r="AS506" s="541"/>
      <c r="AT506" s="541"/>
      <c r="AU506" s="541"/>
      <c r="AV506" s="541"/>
      <c r="AW506" s="541"/>
      <c r="AY506" s="541"/>
      <c r="AZ506" s="633"/>
      <c r="BA506" s="541"/>
      <c r="BB506" s="1190"/>
      <c r="BC506" s="541"/>
      <c r="BD506" s="1190"/>
      <c r="BE506" s="541"/>
      <c r="BF506" s="1190"/>
      <c r="BG506" s="541"/>
      <c r="BH506" s="1190"/>
      <c r="BI506" s="541"/>
      <c r="BJ506" s="1190"/>
      <c r="BK506" s="541"/>
      <c r="BL506" s="541"/>
      <c r="BM506" s="541"/>
      <c r="BP506" s="541"/>
      <c r="BQ506" s="633"/>
      <c r="BR506" s="541"/>
      <c r="BS506" s="541"/>
      <c r="BT506" s="541"/>
      <c r="BU506" s="541"/>
    </row>
    <row r="507" ht="15.75" customHeight="1">
      <c r="A507" s="1591"/>
      <c r="B507" s="1591"/>
      <c r="C507" s="2217"/>
      <c r="D507" s="1541"/>
      <c r="E507" s="906"/>
      <c r="F507" s="541"/>
      <c r="G507" s="541"/>
      <c r="H507" s="541"/>
      <c r="I507" s="541"/>
      <c r="J507" s="1748"/>
      <c r="K507" s="541"/>
      <c r="L507" s="1748"/>
      <c r="M507" s="541"/>
      <c r="N507" s="1748"/>
      <c r="O507" s="541"/>
      <c r="P507" s="1748"/>
      <c r="Q507" s="541"/>
      <c r="R507" s="1748"/>
      <c r="S507" s="541"/>
      <c r="T507" s="1748"/>
      <c r="U507" s="541"/>
      <c r="V507" s="1748"/>
      <c r="W507" s="541"/>
      <c r="X507" s="1748"/>
      <c r="Y507" s="1748"/>
      <c r="Z507" s="1748"/>
      <c r="AA507" s="541"/>
      <c r="AB507" s="1748"/>
      <c r="AC507" s="541"/>
      <c r="AD507" s="541"/>
      <c r="AE507" s="541"/>
      <c r="AF507" s="541"/>
      <c r="AG507" s="541"/>
      <c r="AH507" s="541"/>
      <c r="AI507" s="541"/>
      <c r="AJ507" s="541"/>
      <c r="AK507" s="541"/>
      <c r="AL507" s="541"/>
      <c r="AM507" s="541"/>
      <c r="AN507" s="1748"/>
      <c r="AO507" s="1748"/>
      <c r="AP507" s="1748"/>
      <c r="AQ507" s="1748"/>
      <c r="AR507" s="1748"/>
      <c r="AS507" s="541"/>
      <c r="AT507" s="541"/>
      <c r="AU507" s="541"/>
      <c r="AV507" s="541"/>
      <c r="AW507" s="541"/>
      <c r="AY507" s="541"/>
      <c r="AZ507" s="633"/>
      <c r="BA507" s="541"/>
      <c r="BB507" s="1190"/>
      <c r="BC507" s="541"/>
      <c r="BD507" s="1190"/>
      <c r="BE507" s="541"/>
      <c r="BF507" s="1190"/>
      <c r="BG507" s="541"/>
      <c r="BH507" s="1190"/>
      <c r="BI507" s="541"/>
      <c r="BJ507" s="1190"/>
      <c r="BK507" s="541"/>
      <c r="BL507" s="541"/>
      <c r="BM507" s="541"/>
      <c r="BP507" s="541"/>
      <c r="BQ507" s="633"/>
      <c r="BR507" s="541"/>
      <c r="BS507" s="541"/>
      <c r="BT507" s="541"/>
      <c r="BU507" s="541"/>
    </row>
    <row r="508" ht="15.75" customHeight="1">
      <c r="A508" s="1591"/>
      <c r="B508" s="1591"/>
      <c r="C508" s="2217"/>
      <c r="D508" s="1541"/>
      <c r="E508" s="906"/>
      <c r="F508" s="541"/>
      <c r="G508" s="541"/>
      <c r="H508" s="541"/>
      <c r="I508" s="541"/>
      <c r="J508" s="1748"/>
      <c r="K508" s="541"/>
      <c r="L508" s="1748"/>
      <c r="M508" s="541"/>
      <c r="N508" s="1748"/>
      <c r="O508" s="541"/>
      <c r="P508" s="1748"/>
      <c r="Q508" s="541"/>
      <c r="R508" s="1748"/>
      <c r="S508" s="541"/>
      <c r="T508" s="1748"/>
      <c r="U508" s="541"/>
      <c r="V508" s="1748"/>
      <c r="W508" s="541"/>
      <c r="X508" s="1748"/>
      <c r="Y508" s="1748"/>
      <c r="Z508" s="1748"/>
      <c r="AA508" s="541"/>
      <c r="AB508" s="1748"/>
      <c r="AC508" s="541"/>
      <c r="AD508" s="541"/>
      <c r="AE508" s="541"/>
      <c r="AF508" s="541"/>
      <c r="AG508" s="541"/>
      <c r="AH508" s="541"/>
      <c r="AI508" s="541"/>
      <c r="AJ508" s="541"/>
      <c r="AK508" s="541"/>
      <c r="AL508" s="541"/>
      <c r="AM508" s="541"/>
      <c r="AN508" s="1748"/>
      <c r="AO508" s="1748"/>
      <c r="AP508" s="1748"/>
      <c r="AQ508" s="1748"/>
      <c r="AR508" s="1748"/>
      <c r="AS508" s="541"/>
      <c r="AT508" s="541"/>
      <c r="AU508" s="541"/>
      <c r="AV508" s="541"/>
      <c r="AW508" s="541"/>
      <c r="AY508" s="541"/>
      <c r="AZ508" s="633"/>
      <c r="BA508" s="541"/>
      <c r="BB508" s="1190"/>
      <c r="BC508" s="541"/>
      <c r="BD508" s="1190"/>
      <c r="BE508" s="541"/>
      <c r="BF508" s="1190"/>
      <c r="BG508" s="541"/>
      <c r="BH508" s="1190"/>
      <c r="BI508" s="541"/>
      <c r="BJ508" s="1190"/>
      <c r="BK508" s="541"/>
      <c r="BL508" s="541"/>
      <c r="BM508" s="541"/>
      <c r="BP508" s="541"/>
      <c r="BQ508" s="633"/>
      <c r="BR508" s="541"/>
      <c r="BS508" s="541"/>
      <c r="BT508" s="541"/>
      <c r="BU508" s="541"/>
    </row>
    <row r="509" ht="15.75" customHeight="1">
      <c r="A509" s="1591"/>
      <c r="B509" s="1591"/>
      <c r="C509" s="2217"/>
      <c r="D509" s="1541"/>
      <c r="E509" s="906"/>
      <c r="F509" s="541"/>
      <c r="G509" s="541"/>
      <c r="H509" s="541"/>
      <c r="I509" s="541"/>
      <c r="J509" s="1748"/>
      <c r="K509" s="541"/>
      <c r="L509" s="1748"/>
      <c r="M509" s="541"/>
      <c r="N509" s="1748"/>
      <c r="O509" s="541"/>
      <c r="P509" s="1748"/>
      <c r="Q509" s="541"/>
      <c r="R509" s="1748"/>
      <c r="S509" s="541"/>
      <c r="T509" s="1748"/>
      <c r="U509" s="541"/>
      <c r="V509" s="1748"/>
      <c r="W509" s="541"/>
      <c r="X509" s="1748"/>
      <c r="Y509" s="1748"/>
      <c r="Z509" s="1748"/>
      <c r="AA509" s="541"/>
      <c r="AB509" s="1748"/>
      <c r="AC509" s="541"/>
      <c r="AD509" s="541"/>
      <c r="AE509" s="541"/>
      <c r="AF509" s="541"/>
      <c r="AG509" s="541"/>
      <c r="AH509" s="541"/>
      <c r="AI509" s="541"/>
      <c r="AJ509" s="541"/>
      <c r="AK509" s="541"/>
      <c r="AL509" s="541"/>
      <c r="AM509" s="541"/>
      <c r="AN509" s="1748"/>
      <c r="AO509" s="1748"/>
      <c r="AP509" s="1748"/>
      <c r="AQ509" s="1748"/>
      <c r="AR509" s="1748"/>
      <c r="AS509" s="541"/>
      <c r="AT509" s="541"/>
      <c r="AU509" s="541"/>
      <c r="AV509" s="541"/>
      <c r="AW509" s="541"/>
      <c r="AY509" s="541"/>
      <c r="AZ509" s="633"/>
      <c r="BA509" s="541"/>
      <c r="BB509" s="1190"/>
      <c r="BC509" s="541"/>
      <c r="BD509" s="1190"/>
      <c r="BE509" s="541"/>
      <c r="BF509" s="1190"/>
      <c r="BG509" s="541"/>
      <c r="BH509" s="1190"/>
      <c r="BI509" s="541"/>
      <c r="BJ509" s="1190"/>
      <c r="BK509" s="541"/>
      <c r="BL509" s="541"/>
      <c r="BM509" s="541"/>
      <c r="BP509" s="541"/>
      <c r="BQ509" s="633"/>
      <c r="BR509" s="541"/>
      <c r="BS509" s="541"/>
      <c r="BT509" s="541"/>
      <c r="BU509" s="541"/>
    </row>
    <row r="510" ht="15.75" customHeight="1">
      <c r="A510" s="1591"/>
      <c r="B510" s="1591"/>
      <c r="C510" s="2217"/>
      <c r="D510" s="1541"/>
      <c r="E510" s="906"/>
      <c r="F510" s="541"/>
      <c r="G510" s="541"/>
      <c r="H510" s="541"/>
      <c r="I510" s="541"/>
      <c r="J510" s="1748"/>
      <c r="K510" s="541"/>
      <c r="L510" s="1748"/>
      <c r="M510" s="541"/>
      <c r="N510" s="1748"/>
      <c r="O510" s="541"/>
      <c r="P510" s="1748"/>
      <c r="Q510" s="541"/>
      <c r="R510" s="1748"/>
      <c r="S510" s="541"/>
      <c r="T510" s="1748"/>
      <c r="U510" s="541"/>
      <c r="V510" s="1748"/>
      <c r="W510" s="541"/>
      <c r="X510" s="1748"/>
      <c r="Y510" s="1748"/>
      <c r="Z510" s="1748"/>
      <c r="AA510" s="541"/>
      <c r="AB510" s="1748"/>
      <c r="AC510" s="541"/>
      <c r="AD510" s="541"/>
      <c r="AE510" s="541"/>
      <c r="AF510" s="541"/>
      <c r="AG510" s="541"/>
      <c r="AH510" s="541"/>
      <c r="AI510" s="541"/>
      <c r="AJ510" s="541"/>
      <c r="AK510" s="541"/>
      <c r="AL510" s="541"/>
      <c r="AM510" s="541"/>
      <c r="AN510" s="1748"/>
      <c r="AO510" s="1748"/>
      <c r="AP510" s="1748"/>
      <c r="AQ510" s="1748"/>
      <c r="AR510" s="1748"/>
      <c r="AS510" s="541"/>
      <c r="AT510" s="541"/>
      <c r="AU510" s="541"/>
      <c r="AV510" s="541"/>
      <c r="AW510" s="541"/>
      <c r="AY510" s="541"/>
      <c r="AZ510" s="633"/>
      <c r="BA510" s="541"/>
      <c r="BB510" s="1190"/>
      <c r="BC510" s="541"/>
      <c r="BD510" s="1190"/>
      <c r="BE510" s="541"/>
      <c r="BF510" s="1190"/>
      <c r="BG510" s="541"/>
      <c r="BH510" s="1190"/>
      <c r="BI510" s="541"/>
      <c r="BJ510" s="1190"/>
      <c r="BK510" s="541"/>
      <c r="BL510" s="541"/>
      <c r="BM510" s="541"/>
      <c r="BP510" s="541"/>
      <c r="BQ510" s="633"/>
      <c r="BR510" s="541"/>
      <c r="BS510" s="541"/>
      <c r="BT510" s="541"/>
      <c r="BU510" s="541"/>
    </row>
    <row r="511" ht="15.75" customHeight="1">
      <c r="A511" s="1591"/>
      <c r="B511" s="1591"/>
      <c r="C511" s="2217"/>
      <c r="D511" s="1541"/>
      <c r="E511" s="906"/>
      <c r="F511" s="541"/>
      <c r="G511" s="541"/>
      <c r="H511" s="541"/>
      <c r="I511" s="541"/>
      <c r="J511" s="1748"/>
      <c r="K511" s="541"/>
      <c r="L511" s="1748"/>
      <c r="M511" s="541"/>
      <c r="N511" s="1748"/>
      <c r="O511" s="541"/>
      <c r="P511" s="1748"/>
      <c r="Q511" s="541"/>
      <c r="R511" s="1748"/>
      <c r="S511" s="541"/>
      <c r="T511" s="1748"/>
      <c r="U511" s="541"/>
      <c r="V511" s="1748"/>
      <c r="W511" s="541"/>
      <c r="X511" s="1748"/>
      <c r="Y511" s="1748"/>
      <c r="Z511" s="1748"/>
      <c r="AA511" s="541"/>
      <c r="AB511" s="1748"/>
      <c r="AC511" s="541"/>
      <c r="AD511" s="541"/>
      <c r="AE511" s="541"/>
      <c r="AF511" s="541"/>
      <c r="AG511" s="541"/>
      <c r="AH511" s="541"/>
      <c r="AI511" s="541"/>
      <c r="AJ511" s="541"/>
      <c r="AK511" s="541"/>
      <c r="AL511" s="541"/>
      <c r="AM511" s="541"/>
      <c r="AN511" s="1748"/>
      <c r="AO511" s="1748"/>
      <c r="AP511" s="1748"/>
      <c r="AQ511" s="1748"/>
      <c r="AR511" s="1748"/>
      <c r="AS511" s="541"/>
      <c r="AT511" s="541"/>
      <c r="AU511" s="541"/>
      <c r="AV511" s="541"/>
      <c r="AW511" s="541"/>
      <c r="AY511" s="541"/>
      <c r="AZ511" s="633"/>
      <c r="BA511" s="541"/>
      <c r="BB511" s="1190"/>
      <c r="BC511" s="541"/>
      <c r="BD511" s="1190"/>
      <c r="BE511" s="541"/>
      <c r="BF511" s="1190"/>
      <c r="BG511" s="541"/>
      <c r="BH511" s="1190"/>
      <c r="BI511" s="541"/>
      <c r="BJ511" s="1190"/>
      <c r="BK511" s="541"/>
      <c r="BL511" s="541"/>
      <c r="BM511" s="541"/>
      <c r="BP511" s="541"/>
      <c r="BQ511" s="633"/>
      <c r="BR511" s="541"/>
      <c r="BS511" s="541"/>
      <c r="BT511" s="541"/>
      <c r="BU511" s="541"/>
    </row>
    <row r="512" ht="15.75" customHeight="1">
      <c r="A512" s="1591"/>
      <c r="B512" s="1591"/>
      <c r="C512" s="2217"/>
      <c r="D512" s="1541"/>
      <c r="E512" s="906"/>
      <c r="F512" s="541"/>
      <c r="G512" s="541"/>
      <c r="H512" s="541"/>
      <c r="I512" s="541"/>
      <c r="J512" s="1748"/>
      <c r="K512" s="541"/>
      <c r="L512" s="1748"/>
      <c r="M512" s="541"/>
      <c r="N512" s="1748"/>
      <c r="O512" s="541"/>
      <c r="P512" s="1748"/>
      <c r="Q512" s="541"/>
      <c r="R512" s="1748"/>
      <c r="S512" s="541"/>
      <c r="T512" s="1748"/>
      <c r="U512" s="541"/>
      <c r="V512" s="1748"/>
      <c r="W512" s="541"/>
      <c r="X512" s="1748"/>
      <c r="Y512" s="1748"/>
      <c r="Z512" s="1748"/>
      <c r="AA512" s="541"/>
      <c r="AB512" s="1748"/>
      <c r="AC512" s="541"/>
      <c r="AD512" s="541"/>
      <c r="AE512" s="541"/>
      <c r="AF512" s="541"/>
      <c r="AG512" s="541"/>
      <c r="AH512" s="541"/>
      <c r="AI512" s="541"/>
      <c r="AJ512" s="541"/>
      <c r="AK512" s="541"/>
      <c r="AL512" s="541"/>
      <c r="AM512" s="541"/>
      <c r="AN512" s="1748"/>
      <c r="AO512" s="1748"/>
      <c r="AP512" s="1748"/>
      <c r="AQ512" s="1748"/>
      <c r="AR512" s="1748"/>
      <c r="AS512" s="541"/>
      <c r="AT512" s="541"/>
      <c r="AU512" s="541"/>
      <c r="AV512" s="541"/>
      <c r="AW512" s="541"/>
      <c r="AY512" s="541"/>
      <c r="AZ512" s="633"/>
      <c r="BA512" s="541"/>
      <c r="BB512" s="1190"/>
      <c r="BC512" s="541"/>
      <c r="BD512" s="1190"/>
      <c r="BE512" s="541"/>
      <c r="BF512" s="1190"/>
      <c r="BG512" s="541"/>
      <c r="BH512" s="1190"/>
      <c r="BI512" s="541"/>
      <c r="BJ512" s="1190"/>
      <c r="BK512" s="541"/>
      <c r="BL512" s="541"/>
      <c r="BM512" s="541"/>
      <c r="BP512" s="541"/>
      <c r="BQ512" s="633"/>
      <c r="BR512" s="541"/>
      <c r="BS512" s="541"/>
      <c r="BT512" s="541"/>
      <c r="BU512" s="541"/>
    </row>
    <row r="513" ht="15.75" customHeight="1">
      <c r="A513" s="1591"/>
      <c r="B513" s="1591"/>
      <c r="C513" s="2217"/>
      <c r="D513" s="1541"/>
      <c r="E513" s="906"/>
      <c r="F513" s="541"/>
      <c r="G513" s="541"/>
      <c r="H513" s="541"/>
      <c r="I513" s="541"/>
      <c r="J513" s="1748"/>
      <c r="K513" s="541"/>
      <c r="L513" s="1748"/>
      <c r="M513" s="541"/>
      <c r="N513" s="1748"/>
      <c r="O513" s="541"/>
      <c r="P513" s="1748"/>
      <c r="Q513" s="541"/>
      <c r="R513" s="1748"/>
      <c r="S513" s="541"/>
      <c r="T513" s="1748"/>
      <c r="U513" s="541"/>
      <c r="V513" s="1748"/>
      <c r="W513" s="541"/>
      <c r="X513" s="1748"/>
      <c r="Y513" s="1748"/>
      <c r="Z513" s="1748"/>
      <c r="AA513" s="541"/>
      <c r="AB513" s="1748"/>
      <c r="AC513" s="541"/>
      <c r="AD513" s="541"/>
      <c r="AE513" s="541"/>
      <c r="AF513" s="541"/>
      <c r="AG513" s="541"/>
      <c r="AH513" s="541"/>
      <c r="AI513" s="541"/>
      <c r="AJ513" s="541"/>
      <c r="AK513" s="541"/>
      <c r="AL513" s="541"/>
      <c r="AM513" s="541"/>
      <c r="AN513" s="1748"/>
      <c r="AO513" s="1748"/>
      <c r="AP513" s="1748"/>
      <c r="AQ513" s="1748"/>
      <c r="AR513" s="1748"/>
      <c r="AS513" s="541"/>
      <c r="AT513" s="541"/>
      <c r="AU513" s="541"/>
      <c r="AV513" s="541"/>
      <c r="AW513" s="541"/>
      <c r="AY513" s="541"/>
      <c r="AZ513" s="633"/>
      <c r="BA513" s="541"/>
      <c r="BB513" s="1190"/>
      <c r="BC513" s="541"/>
      <c r="BD513" s="1190"/>
      <c r="BE513" s="541"/>
      <c r="BF513" s="1190"/>
      <c r="BG513" s="541"/>
      <c r="BH513" s="1190"/>
      <c r="BI513" s="541"/>
      <c r="BJ513" s="1190"/>
      <c r="BK513" s="541"/>
      <c r="BL513" s="541"/>
      <c r="BM513" s="541"/>
      <c r="BP513" s="541"/>
      <c r="BQ513" s="633"/>
      <c r="BR513" s="541"/>
      <c r="BS513" s="541"/>
      <c r="BT513" s="541"/>
      <c r="BU513" s="541"/>
    </row>
    <row r="514" ht="15.75" customHeight="1">
      <c r="A514" s="1591"/>
      <c r="B514" s="1591"/>
      <c r="C514" s="2217"/>
      <c r="D514" s="1541"/>
      <c r="E514" s="906"/>
      <c r="F514" s="541"/>
      <c r="G514" s="541"/>
      <c r="H514" s="541"/>
      <c r="I514" s="541"/>
      <c r="J514" s="1748"/>
      <c r="K514" s="541"/>
      <c r="L514" s="1748"/>
      <c r="M514" s="541"/>
      <c r="N514" s="1748"/>
      <c r="O514" s="541"/>
      <c r="P514" s="1748"/>
      <c r="Q514" s="541"/>
      <c r="R514" s="1748"/>
      <c r="S514" s="541"/>
      <c r="T514" s="1748"/>
      <c r="U514" s="541"/>
      <c r="V514" s="1748"/>
      <c r="W514" s="541"/>
      <c r="X514" s="1748"/>
      <c r="Y514" s="1748"/>
      <c r="Z514" s="1748"/>
      <c r="AA514" s="541"/>
      <c r="AB514" s="1748"/>
      <c r="AC514" s="541"/>
      <c r="AD514" s="541"/>
      <c r="AE514" s="541"/>
      <c r="AF514" s="541"/>
      <c r="AG514" s="541"/>
      <c r="AH514" s="541"/>
      <c r="AI514" s="541"/>
      <c r="AJ514" s="541"/>
      <c r="AK514" s="541"/>
      <c r="AL514" s="541"/>
      <c r="AM514" s="541"/>
      <c r="AN514" s="1748"/>
      <c r="AO514" s="1748"/>
      <c r="AP514" s="1748"/>
      <c r="AQ514" s="1748"/>
      <c r="AR514" s="1748"/>
      <c r="AS514" s="541"/>
      <c r="AT514" s="541"/>
      <c r="AU514" s="541"/>
      <c r="AV514" s="541"/>
      <c r="AW514" s="541"/>
      <c r="AY514" s="541"/>
      <c r="AZ514" s="633"/>
      <c r="BA514" s="541"/>
      <c r="BB514" s="1190"/>
      <c r="BC514" s="541"/>
      <c r="BD514" s="1190"/>
      <c r="BE514" s="541"/>
      <c r="BF514" s="1190"/>
      <c r="BG514" s="541"/>
      <c r="BH514" s="1190"/>
      <c r="BI514" s="541"/>
      <c r="BJ514" s="1190"/>
      <c r="BK514" s="541"/>
      <c r="BL514" s="541"/>
      <c r="BM514" s="541"/>
      <c r="BP514" s="541"/>
      <c r="BQ514" s="633"/>
      <c r="BR514" s="541"/>
      <c r="BS514" s="541"/>
      <c r="BT514" s="541"/>
      <c r="BU514" s="541"/>
    </row>
    <row r="515" ht="15.75" customHeight="1">
      <c r="A515" s="1591"/>
      <c r="B515" s="1591"/>
      <c r="C515" s="2217"/>
      <c r="D515" s="1541"/>
      <c r="E515" s="906"/>
      <c r="F515" s="541"/>
      <c r="G515" s="541"/>
      <c r="H515" s="541"/>
      <c r="I515" s="541"/>
      <c r="J515" s="1748"/>
      <c r="K515" s="541"/>
      <c r="L515" s="1748"/>
      <c r="M515" s="541"/>
      <c r="N515" s="1748"/>
      <c r="O515" s="541"/>
      <c r="P515" s="1748"/>
      <c r="Q515" s="541"/>
      <c r="R515" s="1748"/>
      <c r="S515" s="541"/>
      <c r="T515" s="1748"/>
      <c r="U515" s="541"/>
      <c r="V515" s="1748"/>
      <c r="W515" s="541"/>
      <c r="X515" s="1748"/>
      <c r="Y515" s="1748"/>
      <c r="Z515" s="1748"/>
      <c r="AA515" s="541"/>
      <c r="AB515" s="1748"/>
      <c r="AC515" s="541"/>
      <c r="AD515" s="541"/>
      <c r="AE515" s="541"/>
      <c r="AF515" s="541"/>
      <c r="AG515" s="541"/>
      <c r="AH515" s="541"/>
      <c r="AI515" s="541"/>
      <c r="AJ515" s="541"/>
      <c r="AK515" s="541"/>
      <c r="AL515" s="541"/>
      <c r="AM515" s="541"/>
      <c r="AN515" s="1748"/>
      <c r="AO515" s="1748"/>
      <c r="AP515" s="1748"/>
      <c r="AQ515" s="1748"/>
      <c r="AR515" s="1748"/>
      <c r="AS515" s="541"/>
      <c r="AT515" s="541"/>
      <c r="AU515" s="541"/>
      <c r="AV515" s="541"/>
      <c r="AW515" s="541"/>
      <c r="AY515" s="541"/>
      <c r="AZ515" s="633"/>
      <c r="BA515" s="541"/>
      <c r="BB515" s="1190"/>
      <c r="BC515" s="541"/>
      <c r="BD515" s="1190"/>
      <c r="BE515" s="541"/>
      <c r="BF515" s="1190"/>
      <c r="BG515" s="541"/>
      <c r="BH515" s="1190"/>
      <c r="BI515" s="541"/>
      <c r="BJ515" s="1190"/>
      <c r="BK515" s="541"/>
      <c r="BL515" s="541"/>
      <c r="BM515" s="541"/>
      <c r="BP515" s="541"/>
      <c r="BQ515" s="633"/>
      <c r="BR515" s="541"/>
      <c r="BS515" s="541"/>
      <c r="BT515" s="541"/>
      <c r="BU515" s="541"/>
    </row>
    <row r="516" ht="15.75" customHeight="1">
      <c r="A516" s="1591"/>
      <c r="B516" s="1591"/>
      <c r="C516" s="2217"/>
      <c r="D516" s="1541"/>
      <c r="E516" s="906"/>
      <c r="F516" s="541"/>
      <c r="G516" s="541"/>
      <c r="H516" s="541"/>
      <c r="I516" s="541"/>
      <c r="J516" s="1748"/>
      <c r="K516" s="541"/>
      <c r="L516" s="1748"/>
      <c r="M516" s="541"/>
      <c r="N516" s="1748"/>
      <c r="O516" s="541"/>
      <c r="P516" s="1748"/>
      <c r="Q516" s="541"/>
      <c r="R516" s="1748"/>
      <c r="S516" s="541"/>
      <c r="T516" s="1748"/>
      <c r="U516" s="541"/>
      <c r="V516" s="1748"/>
      <c r="W516" s="541"/>
      <c r="X516" s="1748"/>
      <c r="Y516" s="1748"/>
      <c r="Z516" s="1748"/>
      <c r="AA516" s="541"/>
      <c r="AB516" s="1748"/>
      <c r="AC516" s="541"/>
      <c r="AD516" s="541"/>
      <c r="AE516" s="541"/>
      <c r="AF516" s="541"/>
      <c r="AG516" s="541"/>
      <c r="AH516" s="541"/>
      <c r="AI516" s="541"/>
      <c r="AJ516" s="541"/>
      <c r="AK516" s="541"/>
      <c r="AL516" s="541"/>
      <c r="AM516" s="541"/>
      <c r="AN516" s="1748"/>
      <c r="AO516" s="1748"/>
      <c r="AP516" s="1748"/>
      <c r="AQ516" s="1748"/>
      <c r="AR516" s="1748"/>
      <c r="AS516" s="541"/>
      <c r="AT516" s="541"/>
      <c r="AU516" s="541"/>
      <c r="AV516" s="541"/>
      <c r="AW516" s="541"/>
      <c r="AY516" s="541"/>
      <c r="AZ516" s="633"/>
      <c r="BA516" s="541"/>
      <c r="BB516" s="1190"/>
      <c r="BC516" s="541"/>
      <c r="BD516" s="1190"/>
      <c r="BE516" s="541"/>
      <c r="BF516" s="1190"/>
      <c r="BG516" s="541"/>
      <c r="BH516" s="1190"/>
      <c r="BI516" s="541"/>
      <c r="BJ516" s="1190"/>
      <c r="BK516" s="541"/>
      <c r="BL516" s="541"/>
      <c r="BM516" s="541"/>
      <c r="BP516" s="541"/>
      <c r="BQ516" s="633"/>
      <c r="BR516" s="541"/>
      <c r="BS516" s="541"/>
      <c r="BT516" s="541"/>
      <c r="BU516" s="541"/>
    </row>
    <row r="517" ht="15.75" customHeight="1">
      <c r="A517" s="1591"/>
      <c r="B517" s="1591"/>
      <c r="C517" s="2217"/>
      <c r="D517" s="1541"/>
      <c r="E517" s="906"/>
      <c r="F517" s="541"/>
      <c r="G517" s="541"/>
      <c r="H517" s="541"/>
      <c r="I517" s="541"/>
      <c r="J517" s="1748"/>
      <c r="K517" s="541"/>
      <c r="L517" s="1748"/>
      <c r="M517" s="541"/>
      <c r="N517" s="1748"/>
      <c r="O517" s="541"/>
      <c r="P517" s="1748"/>
      <c r="Q517" s="541"/>
      <c r="R517" s="1748"/>
      <c r="S517" s="541"/>
      <c r="T517" s="1748"/>
      <c r="U517" s="541"/>
      <c r="V517" s="1748"/>
      <c r="W517" s="541"/>
      <c r="X517" s="1748"/>
      <c r="Y517" s="1748"/>
      <c r="Z517" s="1748"/>
      <c r="AA517" s="541"/>
      <c r="AB517" s="1748"/>
      <c r="AC517" s="541"/>
      <c r="AD517" s="541"/>
      <c r="AE517" s="541"/>
      <c r="AF517" s="541"/>
      <c r="AG517" s="541"/>
      <c r="AH517" s="541"/>
      <c r="AI517" s="541"/>
      <c r="AJ517" s="541"/>
      <c r="AK517" s="541"/>
      <c r="AL517" s="541"/>
      <c r="AM517" s="541"/>
      <c r="AN517" s="1748"/>
      <c r="AO517" s="1748"/>
      <c r="AP517" s="1748"/>
      <c r="AQ517" s="1748"/>
      <c r="AR517" s="1748"/>
      <c r="AS517" s="541"/>
      <c r="AT517" s="541"/>
      <c r="AU517" s="541"/>
      <c r="AV517" s="541"/>
      <c r="AW517" s="541"/>
      <c r="AY517" s="541"/>
      <c r="AZ517" s="633"/>
      <c r="BA517" s="541"/>
      <c r="BB517" s="1190"/>
      <c r="BC517" s="541"/>
      <c r="BD517" s="1190"/>
      <c r="BE517" s="541"/>
      <c r="BF517" s="1190"/>
      <c r="BG517" s="541"/>
      <c r="BH517" s="1190"/>
      <c r="BI517" s="541"/>
      <c r="BJ517" s="1190"/>
      <c r="BK517" s="541"/>
      <c r="BL517" s="541"/>
      <c r="BM517" s="541"/>
      <c r="BP517" s="541"/>
      <c r="BQ517" s="633"/>
      <c r="BR517" s="541"/>
      <c r="BS517" s="541"/>
      <c r="BT517" s="541"/>
      <c r="BU517" s="541"/>
    </row>
    <row r="518" ht="15.75" customHeight="1">
      <c r="A518" s="1591"/>
      <c r="B518" s="1591"/>
      <c r="C518" s="2217"/>
      <c r="D518" s="1541"/>
      <c r="E518" s="906"/>
      <c r="F518" s="541"/>
      <c r="G518" s="541"/>
      <c r="H518" s="541"/>
      <c r="I518" s="541"/>
      <c r="J518" s="1748"/>
      <c r="K518" s="541"/>
      <c r="L518" s="1748"/>
      <c r="M518" s="541"/>
      <c r="N518" s="1748"/>
      <c r="O518" s="541"/>
      <c r="P518" s="1748"/>
      <c r="Q518" s="541"/>
      <c r="R518" s="1748"/>
      <c r="S518" s="541"/>
      <c r="T518" s="1748"/>
      <c r="U518" s="541"/>
      <c r="V518" s="1748"/>
      <c r="W518" s="541"/>
      <c r="X518" s="1748"/>
      <c r="Y518" s="1748"/>
      <c r="Z518" s="1748"/>
      <c r="AA518" s="541"/>
      <c r="AB518" s="1748"/>
      <c r="AC518" s="541"/>
      <c r="AD518" s="541"/>
      <c r="AE518" s="541"/>
      <c r="AF518" s="541"/>
      <c r="AG518" s="541"/>
      <c r="AH518" s="541"/>
      <c r="AI518" s="541"/>
      <c r="AJ518" s="541"/>
      <c r="AK518" s="541"/>
      <c r="AL518" s="541"/>
      <c r="AM518" s="541"/>
      <c r="AN518" s="1748"/>
      <c r="AO518" s="1748"/>
      <c r="AP518" s="1748"/>
      <c r="AQ518" s="1748"/>
      <c r="AR518" s="1748"/>
      <c r="AS518" s="541"/>
      <c r="AT518" s="541"/>
      <c r="AU518" s="541"/>
      <c r="AV518" s="541"/>
      <c r="AW518" s="541"/>
      <c r="AY518" s="541"/>
      <c r="AZ518" s="633"/>
      <c r="BA518" s="541"/>
      <c r="BB518" s="1190"/>
      <c r="BC518" s="541"/>
      <c r="BD518" s="1190"/>
      <c r="BE518" s="541"/>
      <c r="BF518" s="1190"/>
      <c r="BG518" s="541"/>
      <c r="BH518" s="1190"/>
      <c r="BI518" s="541"/>
      <c r="BJ518" s="1190"/>
      <c r="BK518" s="541"/>
      <c r="BL518" s="541"/>
      <c r="BM518" s="541"/>
      <c r="BP518" s="541"/>
      <c r="BQ518" s="633"/>
      <c r="BR518" s="541"/>
      <c r="BS518" s="541"/>
      <c r="BT518" s="541"/>
      <c r="BU518" s="541"/>
    </row>
    <row r="519" ht="15.75" customHeight="1">
      <c r="A519" s="1591"/>
      <c r="B519" s="1591"/>
      <c r="C519" s="2217"/>
      <c r="D519" s="1541"/>
      <c r="E519" s="906"/>
      <c r="F519" s="541"/>
      <c r="G519" s="541"/>
      <c r="H519" s="541"/>
      <c r="I519" s="541"/>
      <c r="J519" s="1748"/>
      <c r="K519" s="541"/>
      <c r="L519" s="1748"/>
      <c r="M519" s="541"/>
      <c r="N519" s="1748"/>
      <c r="O519" s="541"/>
      <c r="P519" s="1748"/>
      <c r="Q519" s="541"/>
      <c r="R519" s="1748"/>
      <c r="S519" s="541"/>
      <c r="T519" s="1748"/>
      <c r="U519" s="541"/>
      <c r="V519" s="1748"/>
      <c r="W519" s="541"/>
      <c r="X519" s="1748"/>
      <c r="Y519" s="1748"/>
      <c r="Z519" s="1748"/>
      <c r="AA519" s="541"/>
      <c r="AB519" s="1748"/>
      <c r="AC519" s="541"/>
      <c r="AD519" s="541"/>
      <c r="AE519" s="541"/>
      <c r="AF519" s="541"/>
      <c r="AG519" s="541"/>
      <c r="AH519" s="541"/>
      <c r="AI519" s="541"/>
      <c r="AJ519" s="541"/>
      <c r="AK519" s="541"/>
      <c r="AL519" s="541"/>
      <c r="AM519" s="541"/>
      <c r="AN519" s="1748"/>
      <c r="AO519" s="1748"/>
      <c r="AP519" s="1748"/>
      <c r="AQ519" s="1748"/>
      <c r="AR519" s="1748"/>
      <c r="AS519" s="541"/>
      <c r="AT519" s="541"/>
      <c r="AU519" s="541"/>
      <c r="AV519" s="541"/>
      <c r="AW519" s="541"/>
      <c r="AY519" s="541"/>
      <c r="AZ519" s="633"/>
      <c r="BA519" s="541"/>
      <c r="BB519" s="1190"/>
      <c r="BC519" s="541"/>
      <c r="BD519" s="1190"/>
      <c r="BE519" s="541"/>
      <c r="BF519" s="1190"/>
      <c r="BG519" s="541"/>
      <c r="BH519" s="1190"/>
      <c r="BI519" s="541"/>
      <c r="BJ519" s="1190"/>
      <c r="BK519" s="541"/>
      <c r="BL519" s="541"/>
      <c r="BM519" s="541"/>
      <c r="BP519" s="541"/>
      <c r="BQ519" s="633"/>
      <c r="BR519" s="541"/>
      <c r="BS519" s="541"/>
      <c r="BT519" s="541"/>
      <c r="BU519" s="541"/>
    </row>
    <row r="520" ht="15.75" customHeight="1">
      <c r="A520" s="1591"/>
      <c r="B520" s="1591"/>
      <c r="C520" s="2217"/>
      <c r="D520" s="1541"/>
      <c r="E520" s="906"/>
      <c r="F520" s="541"/>
      <c r="G520" s="541"/>
      <c r="H520" s="541"/>
      <c r="I520" s="541"/>
      <c r="J520" s="1748"/>
      <c r="K520" s="541"/>
      <c r="L520" s="1748"/>
      <c r="M520" s="541"/>
      <c r="N520" s="1748"/>
      <c r="O520" s="541"/>
      <c r="P520" s="1748"/>
      <c r="Q520" s="541"/>
      <c r="R520" s="1748"/>
      <c r="S520" s="541"/>
      <c r="T520" s="1748"/>
      <c r="U520" s="541"/>
      <c r="V520" s="1748"/>
      <c r="W520" s="541"/>
      <c r="X520" s="1748"/>
      <c r="Y520" s="1748"/>
      <c r="Z520" s="1748"/>
      <c r="AA520" s="541"/>
      <c r="AB520" s="1748"/>
      <c r="AC520" s="541"/>
      <c r="AD520" s="541"/>
      <c r="AE520" s="541"/>
      <c r="AF520" s="541"/>
      <c r="AG520" s="541"/>
      <c r="AH520" s="541"/>
      <c r="AI520" s="541"/>
      <c r="AJ520" s="541"/>
      <c r="AK520" s="541"/>
      <c r="AL520" s="541"/>
      <c r="AM520" s="541"/>
      <c r="AN520" s="1748"/>
      <c r="AO520" s="1748"/>
      <c r="AP520" s="1748"/>
      <c r="AQ520" s="1748"/>
      <c r="AR520" s="1748"/>
      <c r="AS520" s="541"/>
      <c r="AT520" s="541"/>
      <c r="AU520" s="541"/>
      <c r="AV520" s="541"/>
      <c r="AW520" s="541"/>
      <c r="AY520" s="541"/>
      <c r="AZ520" s="633"/>
      <c r="BA520" s="541"/>
      <c r="BB520" s="1190"/>
      <c r="BC520" s="541"/>
      <c r="BD520" s="1190"/>
      <c r="BE520" s="541"/>
      <c r="BF520" s="1190"/>
      <c r="BG520" s="541"/>
      <c r="BH520" s="1190"/>
      <c r="BI520" s="541"/>
      <c r="BJ520" s="1190"/>
      <c r="BK520" s="541"/>
      <c r="BL520" s="541"/>
      <c r="BM520" s="541"/>
      <c r="BP520" s="541"/>
      <c r="BQ520" s="633"/>
      <c r="BR520" s="541"/>
      <c r="BS520" s="541"/>
      <c r="BT520" s="541"/>
      <c r="BU520" s="541"/>
    </row>
    <row r="521" ht="15.75" customHeight="1">
      <c r="A521" s="1591"/>
      <c r="B521" s="1591"/>
      <c r="C521" s="2217"/>
      <c r="D521" s="1541"/>
      <c r="E521" s="906"/>
      <c r="F521" s="541"/>
      <c r="G521" s="541"/>
      <c r="H521" s="541"/>
      <c r="I521" s="541"/>
      <c r="J521" s="1748"/>
      <c r="K521" s="541"/>
      <c r="L521" s="1748"/>
      <c r="M521" s="541"/>
      <c r="N521" s="1748"/>
      <c r="O521" s="541"/>
      <c r="P521" s="1748"/>
      <c r="Q521" s="541"/>
      <c r="R521" s="1748"/>
      <c r="S521" s="541"/>
      <c r="T521" s="1748"/>
      <c r="U521" s="541"/>
      <c r="V521" s="1748"/>
      <c r="W521" s="541"/>
      <c r="X521" s="1748"/>
      <c r="Y521" s="1748"/>
      <c r="Z521" s="1748"/>
      <c r="AA521" s="541"/>
      <c r="AB521" s="1748"/>
      <c r="AC521" s="541"/>
      <c r="AD521" s="541"/>
      <c r="AE521" s="541"/>
      <c r="AF521" s="541"/>
      <c r="AG521" s="541"/>
      <c r="AH521" s="541"/>
      <c r="AI521" s="541"/>
      <c r="AJ521" s="541"/>
      <c r="AK521" s="541"/>
      <c r="AL521" s="541"/>
      <c r="AM521" s="541"/>
      <c r="AN521" s="1748"/>
      <c r="AO521" s="1748"/>
      <c r="AP521" s="1748"/>
      <c r="AQ521" s="1748"/>
      <c r="AR521" s="1748"/>
      <c r="AS521" s="541"/>
      <c r="AT521" s="541"/>
      <c r="AU521" s="541"/>
      <c r="AV521" s="541"/>
      <c r="AW521" s="541"/>
      <c r="AY521" s="541"/>
      <c r="AZ521" s="633"/>
      <c r="BA521" s="541"/>
      <c r="BB521" s="1190"/>
      <c r="BC521" s="541"/>
      <c r="BD521" s="1190"/>
      <c r="BE521" s="541"/>
      <c r="BF521" s="1190"/>
      <c r="BG521" s="541"/>
      <c r="BH521" s="1190"/>
      <c r="BI521" s="541"/>
      <c r="BJ521" s="1190"/>
      <c r="BK521" s="541"/>
      <c r="BL521" s="541"/>
      <c r="BM521" s="541"/>
      <c r="BP521" s="541"/>
      <c r="BQ521" s="633"/>
      <c r="BR521" s="541"/>
      <c r="BS521" s="541"/>
      <c r="BT521" s="541"/>
      <c r="BU521" s="541"/>
    </row>
    <row r="522" ht="15.75" customHeight="1">
      <c r="A522" s="1591"/>
      <c r="B522" s="1591"/>
      <c r="C522" s="2217"/>
      <c r="D522" s="1541"/>
      <c r="E522" s="906"/>
      <c r="F522" s="541"/>
      <c r="G522" s="541"/>
      <c r="H522" s="541"/>
      <c r="I522" s="541"/>
      <c r="J522" s="1748"/>
      <c r="K522" s="541"/>
      <c r="L522" s="1748"/>
      <c r="M522" s="541"/>
      <c r="N522" s="1748"/>
      <c r="O522" s="541"/>
      <c r="P522" s="1748"/>
      <c r="Q522" s="541"/>
      <c r="R522" s="1748"/>
      <c r="S522" s="541"/>
      <c r="T522" s="1748"/>
      <c r="U522" s="541"/>
      <c r="V522" s="1748"/>
      <c r="W522" s="541"/>
      <c r="X522" s="1748"/>
      <c r="Y522" s="1748"/>
      <c r="Z522" s="1748"/>
      <c r="AA522" s="541"/>
      <c r="AB522" s="1748"/>
      <c r="AC522" s="541"/>
      <c r="AD522" s="541"/>
      <c r="AE522" s="541"/>
      <c r="AF522" s="541"/>
      <c r="AG522" s="541"/>
      <c r="AH522" s="541"/>
      <c r="AI522" s="541"/>
      <c r="AJ522" s="541"/>
      <c r="AK522" s="541"/>
      <c r="AL522" s="541"/>
      <c r="AM522" s="541"/>
      <c r="AN522" s="1748"/>
      <c r="AO522" s="1748"/>
      <c r="AP522" s="1748"/>
      <c r="AQ522" s="1748"/>
      <c r="AR522" s="1748"/>
      <c r="AS522" s="541"/>
      <c r="AT522" s="541"/>
      <c r="AU522" s="541"/>
      <c r="AV522" s="541"/>
      <c r="AW522" s="541"/>
      <c r="AY522" s="541"/>
      <c r="AZ522" s="633"/>
      <c r="BA522" s="541"/>
      <c r="BB522" s="1190"/>
      <c r="BC522" s="541"/>
      <c r="BD522" s="1190"/>
      <c r="BE522" s="541"/>
      <c r="BF522" s="1190"/>
      <c r="BG522" s="541"/>
      <c r="BH522" s="1190"/>
      <c r="BI522" s="541"/>
      <c r="BJ522" s="1190"/>
      <c r="BK522" s="541"/>
      <c r="BL522" s="541"/>
      <c r="BM522" s="541"/>
      <c r="BP522" s="541"/>
      <c r="BQ522" s="633"/>
      <c r="BR522" s="541"/>
      <c r="BS522" s="541"/>
      <c r="BT522" s="541"/>
      <c r="BU522" s="541"/>
    </row>
    <row r="523" ht="15.75" customHeight="1">
      <c r="A523" s="1591"/>
      <c r="B523" s="1591"/>
      <c r="C523" s="2217"/>
      <c r="D523" s="1541"/>
      <c r="E523" s="906"/>
      <c r="F523" s="541"/>
      <c r="G523" s="541"/>
      <c r="H523" s="541"/>
      <c r="I523" s="541"/>
      <c r="J523" s="1748"/>
      <c r="K523" s="541"/>
      <c r="L523" s="1748"/>
      <c r="M523" s="541"/>
      <c r="N523" s="1748"/>
      <c r="O523" s="541"/>
      <c r="P523" s="1748"/>
      <c r="Q523" s="541"/>
      <c r="R523" s="1748"/>
      <c r="S523" s="541"/>
      <c r="T523" s="1748"/>
      <c r="U523" s="541"/>
      <c r="V523" s="1748"/>
      <c r="W523" s="541"/>
      <c r="X523" s="1748"/>
      <c r="Y523" s="1748"/>
      <c r="Z523" s="1748"/>
      <c r="AA523" s="541"/>
      <c r="AB523" s="1748"/>
      <c r="AC523" s="541"/>
      <c r="AD523" s="541"/>
      <c r="AE523" s="541"/>
      <c r="AF523" s="541"/>
      <c r="AG523" s="541"/>
      <c r="AH523" s="541"/>
      <c r="AI523" s="541"/>
      <c r="AJ523" s="541"/>
      <c r="AK523" s="541"/>
      <c r="AL523" s="541"/>
      <c r="AM523" s="541"/>
      <c r="AN523" s="1748"/>
      <c r="AO523" s="1748"/>
      <c r="AP523" s="1748"/>
      <c r="AQ523" s="1748"/>
      <c r="AR523" s="1748"/>
      <c r="AS523" s="541"/>
      <c r="AT523" s="541"/>
      <c r="AU523" s="541"/>
      <c r="AV523" s="541"/>
      <c r="AW523" s="541"/>
      <c r="AY523" s="541"/>
      <c r="AZ523" s="633"/>
      <c r="BA523" s="541"/>
      <c r="BB523" s="1190"/>
      <c r="BC523" s="541"/>
      <c r="BD523" s="1190"/>
      <c r="BE523" s="541"/>
      <c r="BF523" s="1190"/>
      <c r="BG523" s="541"/>
      <c r="BH523" s="1190"/>
      <c r="BI523" s="541"/>
      <c r="BJ523" s="1190"/>
      <c r="BK523" s="541"/>
      <c r="BL523" s="541"/>
      <c r="BM523" s="541"/>
      <c r="BP523" s="541"/>
      <c r="BQ523" s="633"/>
      <c r="BR523" s="541"/>
      <c r="BS523" s="541"/>
      <c r="BT523" s="541"/>
      <c r="BU523" s="541"/>
    </row>
    <row r="524" ht="15.75" customHeight="1">
      <c r="A524" s="1591"/>
      <c r="B524" s="1591"/>
      <c r="C524" s="2217"/>
      <c r="D524" s="1541"/>
      <c r="E524" s="906"/>
      <c r="F524" s="541"/>
      <c r="G524" s="541"/>
      <c r="H524" s="541"/>
      <c r="I524" s="541"/>
      <c r="J524" s="1748"/>
      <c r="K524" s="541"/>
      <c r="L524" s="1748"/>
      <c r="M524" s="541"/>
      <c r="N524" s="1748"/>
      <c r="O524" s="541"/>
      <c r="P524" s="1748"/>
      <c r="Q524" s="541"/>
      <c r="R524" s="1748"/>
      <c r="S524" s="541"/>
      <c r="T524" s="1748"/>
      <c r="U524" s="541"/>
      <c r="V524" s="1748"/>
      <c r="W524" s="541"/>
      <c r="X524" s="1748"/>
      <c r="Y524" s="1748"/>
      <c r="Z524" s="1748"/>
      <c r="AA524" s="541"/>
      <c r="AB524" s="1748"/>
      <c r="AC524" s="541"/>
      <c r="AD524" s="541"/>
      <c r="AE524" s="541"/>
      <c r="AF524" s="541"/>
      <c r="AG524" s="541"/>
      <c r="AH524" s="541"/>
      <c r="AI524" s="541"/>
      <c r="AJ524" s="541"/>
      <c r="AK524" s="541"/>
      <c r="AL524" s="541"/>
      <c r="AM524" s="541"/>
      <c r="AN524" s="1748"/>
      <c r="AO524" s="1748"/>
      <c r="AP524" s="1748"/>
      <c r="AQ524" s="1748"/>
      <c r="AR524" s="1748"/>
      <c r="AS524" s="541"/>
      <c r="AT524" s="541"/>
      <c r="AU524" s="541"/>
      <c r="AV524" s="541"/>
      <c r="AW524" s="541"/>
      <c r="AY524" s="541"/>
      <c r="AZ524" s="633"/>
      <c r="BA524" s="541"/>
      <c r="BB524" s="1190"/>
      <c r="BC524" s="541"/>
      <c r="BD524" s="1190"/>
      <c r="BE524" s="541"/>
      <c r="BF524" s="1190"/>
      <c r="BG524" s="541"/>
      <c r="BH524" s="1190"/>
      <c r="BI524" s="541"/>
      <c r="BJ524" s="1190"/>
      <c r="BK524" s="541"/>
      <c r="BL524" s="541"/>
      <c r="BM524" s="541"/>
      <c r="BP524" s="541"/>
      <c r="BQ524" s="633"/>
      <c r="BR524" s="541"/>
      <c r="BS524" s="541"/>
      <c r="BT524" s="541"/>
      <c r="BU524" s="541"/>
    </row>
    <row r="525" ht="15.75" customHeight="1">
      <c r="A525" s="1591"/>
      <c r="B525" s="1591"/>
      <c r="C525" s="2217"/>
      <c r="D525" s="1541"/>
      <c r="E525" s="906"/>
      <c r="F525" s="541"/>
      <c r="G525" s="541"/>
      <c r="H525" s="541"/>
      <c r="I525" s="541"/>
      <c r="J525" s="1748"/>
      <c r="K525" s="541"/>
      <c r="L525" s="1748"/>
      <c r="M525" s="541"/>
      <c r="N525" s="1748"/>
      <c r="O525" s="541"/>
      <c r="P525" s="1748"/>
      <c r="Q525" s="541"/>
      <c r="R525" s="1748"/>
      <c r="S525" s="541"/>
      <c r="T525" s="1748"/>
      <c r="U525" s="541"/>
      <c r="V525" s="1748"/>
      <c r="W525" s="541"/>
      <c r="X525" s="1748"/>
      <c r="Y525" s="1748"/>
      <c r="Z525" s="1748"/>
      <c r="AA525" s="541"/>
      <c r="AB525" s="1748"/>
      <c r="AC525" s="541"/>
      <c r="AD525" s="541"/>
      <c r="AE525" s="541"/>
      <c r="AF525" s="541"/>
      <c r="AG525" s="541"/>
      <c r="AH525" s="541"/>
      <c r="AI525" s="541"/>
      <c r="AJ525" s="541"/>
      <c r="AK525" s="541"/>
      <c r="AL525" s="541"/>
      <c r="AM525" s="541"/>
      <c r="AN525" s="1748"/>
      <c r="AO525" s="1748"/>
      <c r="AP525" s="1748"/>
      <c r="AQ525" s="1748"/>
      <c r="AR525" s="1748"/>
      <c r="AS525" s="541"/>
      <c r="AT525" s="541"/>
      <c r="AU525" s="541"/>
      <c r="AV525" s="541"/>
      <c r="AW525" s="541"/>
      <c r="AY525" s="541"/>
      <c r="AZ525" s="633"/>
      <c r="BA525" s="541"/>
      <c r="BB525" s="1190"/>
      <c r="BC525" s="541"/>
      <c r="BD525" s="1190"/>
      <c r="BE525" s="541"/>
      <c r="BF525" s="1190"/>
      <c r="BG525" s="541"/>
      <c r="BH525" s="1190"/>
      <c r="BI525" s="541"/>
      <c r="BJ525" s="1190"/>
      <c r="BK525" s="541"/>
      <c r="BL525" s="541"/>
      <c r="BM525" s="541"/>
      <c r="BP525" s="541"/>
      <c r="BQ525" s="633"/>
      <c r="BR525" s="541"/>
      <c r="BS525" s="541"/>
      <c r="BT525" s="541"/>
      <c r="BU525" s="541"/>
    </row>
    <row r="526" ht="15.75" customHeight="1">
      <c r="A526" s="1591"/>
      <c r="B526" s="1591"/>
      <c r="C526" s="2217"/>
      <c r="D526" s="1541"/>
      <c r="E526" s="906"/>
      <c r="F526" s="541"/>
      <c r="G526" s="541"/>
      <c r="H526" s="541"/>
      <c r="I526" s="541"/>
      <c r="J526" s="1748"/>
      <c r="K526" s="541"/>
      <c r="L526" s="1748"/>
      <c r="M526" s="541"/>
      <c r="N526" s="1748"/>
      <c r="O526" s="541"/>
      <c r="P526" s="1748"/>
      <c r="Q526" s="541"/>
      <c r="R526" s="1748"/>
      <c r="S526" s="541"/>
      <c r="T526" s="1748"/>
      <c r="U526" s="541"/>
      <c r="V526" s="1748"/>
      <c r="W526" s="541"/>
      <c r="X526" s="1748"/>
      <c r="Y526" s="1748"/>
      <c r="Z526" s="1748"/>
      <c r="AA526" s="541"/>
      <c r="AB526" s="1748"/>
      <c r="AC526" s="541"/>
      <c r="AD526" s="541"/>
      <c r="AE526" s="541"/>
      <c r="AF526" s="541"/>
      <c r="AG526" s="541"/>
      <c r="AH526" s="541"/>
      <c r="AI526" s="541"/>
      <c r="AJ526" s="541"/>
      <c r="AK526" s="541"/>
      <c r="AL526" s="541"/>
      <c r="AM526" s="541"/>
      <c r="AN526" s="1748"/>
      <c r="AO526" s="1748"/>
      <c r="AP526" s="1748"/>
      <c r="AQ526" s="1748"/>
      <c r="AR526" s="1748"/>
      <c r="AS526" s="541"/>
      <c r="AT526" s="541"/>
      <c r="AU526" s="541"/>
      <c r="AV526" s="541"/>
      <c r="AW526" s="541"/>
      <c r="AY526" s="541"/>
      <c r="AZ526" s="633"/>
      <c r="BA526" s="541"/>
      <c r="BB526" s="1190"/>
      <c r="BC526" s="541"/>
      <c r="BD526" s="1190"/>
      <c r="BE526" s="541"/>
      <c r="BF526" s="1190"/>
      <c r="BG526" s="541"/>
      <c r="BH526" s="1190"/>
      <c r="BI526" s="541"/>
      <c r="BJ526" s="1190"/>
      <c r="BK526" s="541"/>
      <c r="BL526" s="541"/>
      <c r="BM526" s="541"/>
      <c r="BP526" s="541"/>
      <c r="BQ526" s="633"/>
      <c r="BR526" s="541"/>
      <c r="BS526" s="541"/>
      <c r="BT526" s="541"/>
      <c r="BU526" s="541"/>
    </row>
    <row r="527" ht="15.75" customHeight="1">
      <c r="A527" s="1591"/>
      <c r="B527" s="1591"/>
      <c r="C527" s="2217"/>
      <c r="D527" s="1541"/>
      <c r="E527" s="906"/>
      <c r="F527" s="541"/>
      <c r="G527" s="541"/>
      <c r="H527" s="541"/>
      <c r="I527" s="541"/>
      <c r="J527" s="1748"/>
      <c r="K527" s="541"/>
      <c r="L527" s="1748"/>
      <c r="M527" s="541"/>
      <c r="N527" s="1748"/>
      <c r="O527" s="541"/>
      <c r="P527" s="1748"/>
      <c r="Q527" s="541"/>
      <c r="R527" s="1748"/>
      <c r="S527" s="541"/>
      <c r="T527" s="1748"/>
      <c r="U527" s="541"/>
      <c r="V527" s="1748"/>
      <c r="W527" s="541"/>
      <c r="X527" s="1748"/>
      <c r="Y527" s="1748"/>
      <c r="Z527" s="1748"/>
      <c r="AA527" s="541"/>
      <c r="AB527" s="1748"/>
      <c r="AC527" s="541"/>
      <c r="AD527" s="541"/>
      <c r="AE527" s="541"/>
      <c r="AF527" s="541"/>
      <c r="AG527" s="541"/>
      <c r="AH527" s="541"/>
      <c r="AI527" s="541"/>
      <c r="AJ527" s="541"/>
      <c r="AK527" s="541"/>
      <c r="AL527" s="541"/>
      <c r="AM527" s="541"/>
      <c r="AN527" s="1748"/>
      <c r="AO527" s="1748"/>
      <c r="AP527" s="1748"/>
      <c r="AQ527" s="1748"/>
      <c r="AR527" s="1748"/>
      <c r="AS527" s="541"/>
      <c r="AT527" s="541"/>
      <c r="AU527" s="541"/>
      <c r="AV527" s="541"/>
      <c r="AW527" s="541"/>
      <c r="AY527" s="541"/>
      <c r="AZ527" s="633"/>
      <c r="BA527" s="541"/>
      <c r="BB527" s="1190"/>
      <c r="BC527" s="541"/>
      <c r="BD527" s="1190"/>
      <c r="BE527" s="541"/>
      <c r="BF527" s="1190"/>
      <c r="BG527" s="541"/>
      <c r="BH527" s="1190"/>
      <c r="BI527" s="541"/>
      <c r="BJ527" s="1190"/>
      <c r="BK527" s="541"/>
      <c r="BL527" s="541"/>
      <c r="BM527" s="541"/>
      <c r="BP527" s="541"/>
      <c r="BQ527" s="633"/>
      <c r="BR527" s="541"/>
      <c r="BS527" s="541"/>
      <c r="BT527" s="541"/>
      <c r="BU527" s="541"/>
    </row>
    <row r="528" ht="15.75" customHeight="1">
      <c r="A528" s="1591"/>
      <c r="B528" s="1591"/>
      <c r="C528" s="2217"/>
      <c r="D528" s="1541"/>
      <c r="E528" s="906"/>
      <c r="F528" s="541"/>
      <c r="G528" s="541"/>
      <c r="H528" s="541"/>
      <c r="I528" s="541"/>
      <c r="J528" s="1748"/>
      <c r="K528" s="541"/>
      <c r="L528" s="1748"/>
      <c r="M528" s="541"/>
      <c r="N528" s="1748"/>
      <c r="O528" s="541"/>
      <c r="P528" s="1748"/>
      <c r="Q528" s="541"/>
      <c r="R528" s="1748"/>
      <c r="S528" s="541"/>
      <c r="T528" s="1748"/>
      <c r="U528" s="541"/>
      <c r="V528" s="1748"/>
      <c r="W528" s="541"/>
      <c r="X528" s="1748"/>
      <c r="Y528" s="1748"/>
      <c r="Z528" s="1748"/>
      <c r="AA528" s="541"/>
      <c r="AB528" s="1748"/>
      <c r="AC528" s="541"/>
      <c r="AD528" s="541"/>
      <c r="AE528" s="541"/>
      <c r="AF528" s="541"/>
      <c r="AG528" s="541"/>
      <c r="AH528" s="541"/>
      <c r="AI528" s="541"/>
      <c r="AJ528" s="541"/>
      <c r="AK528" s="541"/>
      <c r="AL528" s="541"/>
      <c r="AM528" s="541"/>
      <c r="AN528" s="1748"/>
      <c r="AO528" s="1748"/>
      <c r="AP528" s="1748"/>
      <c r="AQ528" s="1748"/>
      <c r="AR528" s="1748"/>
      <c r="AS528" s="541"/>
      <c r="AT528" s="541"/>
      <c r="AU528" s="541"/>
      <c r="AV528" s="541"/>
      <c r="AW528" s="541"/>
      <c r="AY528" s="541"/>
      <c r="AZ528" s="633"/>
      <c r="BA528" s="541"/>
      <c r="BB528" s="1190"/>
      <c r="BC528" s="541"/>
      <c r="BD528" s="1190"/>
      <c r="BE528" s="541"/>
      <c r="BF528" s="1190"/>
      <c r="BG528" s="541"/>
      <c r="BH528" s="1190"/>
      <c r="BI528" s="541"/>
      <c r="BJ528" s="1190"/>
      <c r="BK528" s="541"/>
      <c r="BL528" s="541"/>
      <c r="BM528" s="541"/>
      <c r="BP528" s="541"/>
      <c r="BQ528" s="633"/>
      <c r="BR528" s="541"/>
      <c r="BS528" s="541"/>
      <c r="BT528" s="541"/>
      <c r="BU528" s="541"/>
    </row>
    <row r="529" ht="15.75" customHeight="1">
      <c r="A529" s="1591"/>
      <c r="B529" s="1591"/>
      <c r="C529" s="2217"/>
      <c r="D529" s="1541"/>
      <c r="E529" s="906"/>
      <c r="F529" s="541"/>
      <c r="G529" s="541"/>
      <c r="H529" s="541"/>
      <c r="I529" s="541"/>
      <c r="J529" s="1748"/>
      <c r="K529" s="541"/>
      <c r="L529" s="1748"/>
      <c r="M529" s="541"/>
      <c r="N529" s="1748"/>
      <c r="O529" s="541"/>
      <c r="P529" s="1748"/>
      <c r="Q529" s="541"/>
      <c r="R529" s="1748"/>
      <c r="S529" s="541"/>
      <c r="T529" s="1748"/>
      <c r="U529" s="541"/>
      <c r="V529" s="1748"/>
      <c r="W529" s="541"/>
      <c r="X529" s="1748"/>
      <c r="Y529" s="1748"/>
      <c r="Z529" s="1748"/>
      <c r="AA529" s="541"/>
      <c r="AB529" s="1748"/>
      <c r="AC529" s="541"/>
      <c r="AD529" s="541"/>
      <c r="AE529" s="541"/>
      <c r="AF529" s="541"/>
      <c r="AG529" s="541"/>
      <c r="AH529" s="541"/>
      <c r="AI529" s="541"/>
      <c r="AJ529" s="541"/>
      <c r="AK529" s="541"/>
      <c r="AL529" s="541"/>
      <c r="AM529" s="541"/>
      <c r="AN529" s="1748"/>
      <c r="AO529" s="1748"/>
      <c r="AP529" s="1748"/>
      <c r="AQ529" s="1748"/>
      <c r="AR529" s="1748"/>
      <c r="AS529" s="541"/>
      <c r="AT529" s="541"/>
      <c r="AU529" s="541"/>
      <c r="AV529" s="541"/>
      <c r="AW529" s="541"/>
      <c r="AY529" s="541"/>
      <c r="AZ529" s="633"/>
      <c r="BA529" s="541"/>
      <c r="BB529" s="1190"/>
      <c r="BC529" s="541"/>
      <c r="BD529" s="1190"/>
      <c r="BE529" s="541"/>
      <c r="BF529" s="1190"/>
      <c r="BG529" s="541"/>
      <c r="BH529" s="1190"/>
      <c r="BI529" s="541"/>
      <c r="BJ529" s="1190"/>
      <c r="BK529" s="541"/>
      <c r="BL529" s="541"/>
      <c r="BM529" s="541"/>
      <c r="BP529" s="541"/>
      <c r="BQ529" s="633"/>
      <c r="BR529" s="541"/>
      <c r="BS529" s="541"/>
      <c r="BT529" s="541"/>
      <c r="BU529" s="541"/>
    </row>
    <row r="530" ht="15.75" customHeight="1">
      <c r="A530" s="1591"/>
      <c r="B530" s="1591"/>
      <c r="C530" s="2217"/>
      <c r="D530" s="1541"/>
      <c r="E530" s="906"/>
      <c r="F530" s="541"/>
      <c r="G530" s="541"/>
      <c r="H530" s="541"/>
      <c r="I530" s="541"/>
      <c r="J530" s="1748"/>
      <c r="K530" s="541"/>
      <c r="L530" s="1748"/>
      <c r="M530" s="541"/>
      <c r="N530" s="1748"/>
      <c r="O530" s="541"/>
      <c r="P530" s="1748"/>
      <c r="Q530" s="541"/>
      <c r="R530" s="1748"/>
      <c r="S530" s="541"/>
      <c r="T530" s="1748"/>
      <c r="U530" s="541"/>
      <c r="V530" s="1748"/>
      <c r="W530" s="541"/>
      <c r="X530" s="1748"/>
      <c r="Y530" s="1748"/>
      <c r="Z530" s="1748"/>
      <c r="AA530" s="541"/>
      <c r="AB530" s="1748"/>
      <c r="AC530" s="541"/>
      <c r="AD530" s="541"/>
      <c r="AE530" s="541"/>
      <c r="AF530" s="541"/>
      <c r="AG530" s="541"/>
      <c r="AH530" s="541"/>
      <c r="AI530" s="541"/>
      <c r="AJ530" s="541"/>
      <c r="AK530" s="541"/>
      <c r="AL530" s="541"/>
      <c r="AM530" s="541"/>
      <c r="AN530" s="1748"/>
      <c r="AO530" s="1748"/>
      <c r="AP530" s="1748"/>
      <c r="AQ530" s="1748"/>
      <c r="AR530" s="1748"/>
      <c r="AS530" s="541"/>
      <c r="AT530" s="541"/>
      <c r="AU530" s="541"/>
      <c r="AV530" s="541"/>
      <c r="AW530" s="541"/>
      <c r="AY530" s="541"/>
      <c r="AZ530" s="633"/>
      <c r="BA530" s="541"/>
      <c r="BB530" s="1190"/>
      <c r="BC530" s="541"/>
      <c r="BD530" s="1190"/>
      <c r="BE530" s="541"/>
      <c r="BF530" s="1190"/>
      <c r="BG530" s="541"/>
      <c r="BH530" s="1190"/>
      <c r="BI530" s="541"/>
      <c r="BJ530" s="1190"/>
      <c r="BK530" s="541"/>
      <c r="BL530" s="541"/>
      <c r="BM530" s="541"/>
      <c r="BP530" s="541"/>
      <c r="BQ530" s="633"/>
      <c r="BR530" s="541"/>
      <c r="BS530" s="541"/>
      <c r="BT530" s="541"/>
      <c r="BU530" s="541"/>
    </row>
    <row r="531" ht="15.75" customHeight="1">
      <c r="A531" s="1591"/>
      <c r="B531" s="1591"/>
      <c r="C531" s="2217"/>
      <c r="D531" s="1541"/>
      <c r="E531" s="906"/>
      <c r="F531" s="541"/>
      <c r="G531" s="541"/>
      <c r="H531" s="541"/>
      <c r="I531" s="541"/>
      <c r="J531" s="1748"/>
      <c r="K531" s="541"/>
      <c r="L531" s="1748"/>
      <c r="M531" s="541"/>
      <c r="N531" s="1748"/>
      <c r="O531" s="541"/>
      <c r="P531" s="1748"/>
      <c r="Q531" s="541"/>
      <c r="R531" s="1748"/>
      <c r="S531" s="541"/>
      <c r="T531" s="1748"/>
      <c r="U531" s="541"/>
      <c r="V531" s="1748"/>
      <c r="W531" s="541"/>
      <c r="X531" s="1748"/>
      <c r="Y531" s="1748"/>
      <c r="Z531" s="1748"/>
      <c r="AA531" s="541"/>
      <c r="AB531" s="1748"/>
      <c r="AC531" s="541"/>
      <c r="AD531" s="541"/>
      <c r="AE531" s="541"/>
      <c r="AF531" s="541"/>
      <c r="AG531" s="541"/>
      <c r="AH531" s="541"/>
      <c r="AI531" s="541"/>
      <c r="AJ531" s="541"/>
      <c r="AK531" s="541"/>
      <c r="AL531" s="541"/>
      <c r="AM531" s="541"/>
      <c r="AN531" s="1748"/>
      <c r="AO531" s="1748"/>
      <c r="AP531" s="1748"/>
      <c r="AQ531" s="1748"/>
      <c r="AR531" s="1748"/>
      <c r="AS531" s="541"/>
      <c r="AT531" s="541"/>
      <c r="AU531" s="541"/>
      <c r="AV531" s="541"/>
      <c r="AW531" s="541"/>
      <c r="AY531" s="541"/>
      <c r="AZ531" s="633"/>
      <c r="BA531" s="541"/>
      <c r="BB531" s="1190"/>
      <c r="BC531" s="541"/>
      <c r="BD531" s="1190"/>
      <c r="BE531" s="541"/>
      <c r="BF531" s="1190"/>
      <c r="BG531" s="541"/>
      <c r="BH531" s="1190"/>
      <c r="BI531" s="541"/>
      <c r="BJ531" s="1190"/>
      <c r="BK531" s="541"/>
      <c r="BL531" s="541"/>
      <c r="BM531" s="541"/>
      <c r="BP531" s="541"/>
      <c r="BQ531" s="633"/>
      <c r="BR531" s="541"/>
      <c r="BS531" s="541"/>
      <c r="BT531" s="541"/>
      <c r="BU531" s="541"/>
    </row>
    <row r="532" ht="15.75" customHeight="1">
      <c r="A532" s="1591"/>
      <c r="B532" s="1591"/>
      <c r="C532" s="2217"/>
      <c r="D532" s="1541"/>
      <c r="E532" s="906"/>
      <c r="F532" s="541"/>
      <c r="G532" s="541"/>
      <c r="H532" s="541"/>
      <c r="I532" s="541"/>
      <c r="J532" s="1748"/>
      <c r="K532" s="541"/>
      <c r="L532" s="1748"/>
      <c r="M532" s="541"/>
      <c r="N532" s="1748"/>
      <c r="O532" s="541"/>
      <c r="P532" s="1748"/>
      <c r="Q532" s="541"/>
      <c r="R532" s="1748"/>
      <c r="S532" s="541"/>
      <c r="T532" s="1748"/>
      <c r="U532" s="541"/>
      <c r="V532" s="1748"/>
      <c r="W532" s="541"/>
      <c r="X532" s="1748"/>
      <c r="Y532" s="1748"/>
      <c r="Z532" s="1748"/>
      <c r="AA532" s="541"/>
      <c r="AB532" s="1748"/>
      <c r="AC532" s="541"/>
      <c r="AD532" s="541"/>
      <c r="AE532" s="541"/>
      <c r="AF532" s="541"/>
      <c r="AG532" s="541"/>
      <c r="AH532" s="541"/>
      <c r="AI532" s="541"/>
      <c r="AJ532" s="541"/>
      <c r="AK532" s="541"/>
      <c r="AL532" s="541"/>
      <c r="AM532" s="541"/>
      <c r="AN532" s="1748"/>
      <c r="AO532" s="1748"/>
      <c r="AP532" s="1748"/>
      <c r="AQ532" s="1748"/>
      <c r="AR532" s="1748"/>
      <c r="AS532" s="541"/>
      <c r="AT532" s="541"/>
      <c r="AU532" s="541"/>
      <c r="AV532" s="541"/>
      <c r="AW532" s="541"/>
      <c r="AY532" s="541"/>
      <c r="AZ532" s="633"/>
      <c r="BA532" s="541"/>
      <c r="BB532" s="1190"/>
      <c r="BC532" s="541"/>
      <c r="BD532" s="1190"/>
      <c r="BE532" s="541"/>
      <c r="BF532" s="1190"/>
      <c r="BG532" s="541"/>
      <c r="BH532" s="1190"/>
      <c r="BI532" s="541"/>
      <c r="BJ532" s="1190"/>
      <c r="BK532" s="541"/>
      <c r="BL532" s="541"/>
      <c r="BM532" s="541"/>
      <c r="BP532" s="541"/>
      <c r="BQ532" s="633"/>
      <c r="BR532" s="541"/>
      <c r="BS532" s="541"/>
      <c r="BT532" s="541"/>
      <c r="BU532" s="541"/>
    </row>
    <row r="533" ht="15.75" customHeight="1">
      <c r="A533" s="1591"/>
      <c r="B533" s="1591"/>
      <c r="C533" s="2217"/>
      <c r="D533" s="1541"/>
      <c r="E533" s="906"/>
      <c r="F533" s="541"/>
      <c r="G533" s="541"/>
      <c r="H533" s="541"/>
      <c r="I533" s="541"/>
      <c r="J533" s="1748"/>
      <c r="K533" s="541"/>
      <c r="L533" s="1748"/>
      <c r="M533" s="541"/>
      <c r="N533" s="1748"/>
      <c r="O533" s="541"/>
      <c r="P533" s="1748"/>
      <c r="Q533" s="541"/>
      <c r="R533" s="1748"/>
      <c r="S533" s="541"/>
      <c r="T533" s="1748"/>
      <c r="U533" s="541"/>
      <c r="V533" s="1748"/>
      <c r="W533" s="541"/>
      <c r="X533" s="1748"/>
      <c r="Y533" s="1748"/>
      <c r="Z533" s="1748"/>
      <c r="AA533" s="541"/>
      <c r="AB533" s="1748"/>
      <c r="AC533" s="541"/>
      <c r="AD533" s="541"/>
      <c r="AE533" s="541"/>
      <c r="AF533" s="541"/>
      <c r="AG533" s="541"/>
      <c r="AH533" s="541"/>
      <c r="AI533" s="541"/>
      <c r="AJ533" s="541"/>
      <c r="AK533" s="541"/>
      <c r="AL533" s="541"/>
      <c r="AM533" s="541"/>
      <c r="AN533" s="1748"/>
      <c r="AO533" s="1748"/>
      <c r="AP533" s="1748"/>
      <c r="AQ533" s="1748"/>
      <c r="AR533" s="1748"/>
      <c r="AS533" s="541"/>
      <c r="AT533" s="541"/>
      <c r="AU533" s="541"/>
      <c r="AV533" s="541"/>
      <c r="AW533" s="541"/>
      <c r="AY533" s="541"/>
      <c r="AZ533" s="633"/>
      <c r="BA533" s="541"/>
      <c r="BB533" s="1190"/>
      <c r="BC533" s="541"/>
      <c r="BD533" s="1190"/>
      <c r="BE533" s="541"/>
      <c r="BF533" s="1190"/>
      <c r="BG533" s="541"/>
      <c r="BH533" s="1190"/>
      <c r="BI533" s="541"/>
      <c r="BJ533" s="1190"/>
      <c r="BK533" s="541"/>
      <c r="BL533" s="541"/>
      <c r="BM533" s="541"/>
      <c r="BP533" s="541"/>
      <c r="BQ533" s="633"/>
      <c r="BR533" s="541"/>
      <c r="BS533" s="541"/>
      <c r="BT533" s="541"/>
      <c r="BU533" s="541"/>
    </row>
    <row r="534" ht="15.75" customHeight="1">
      <c r="A534" s="1591"/>
      <c r="B534" s="1591"/>
      <c r="C534" s="2217"/>
      <c r="D534" s="1541"/>
      <c r="E534" s="906"/>
      <c r="F534" s="541"/>
      <c r="G534" s="541"/>
      <c r="H534" s="541"/>
      <c r="I534" s="541"/>
      <c r="J534" s="1748"/>
      <c r="K534" s="541"/>
      <c r="L534" s="1748"/>
      <c r="M534" s="541"/>
      <c r="N534" s="1748"/>
      <c r="O534" s="541"/>
      <c r="P534" s="1748"/>
      <c r="Q534" s="541"/>
      <c r="R534" s="1748"/>
      <c r="S534" s="541"/>
      <c r="T534" s="1748"/>
      <c r="U534" s="541"/>
      <c r="V534" s="1748"/>
      <c r="W534" s="541"/>
      <c r="X534" s="1748"/>
      <c r="Y534" s="1748"/>
      <c r="Z534" s="1748"/>
      <c r="AA534" s="541"/>
      <c r="AB534" s="1748"/>
      <c r="AC534" s="541"/>
      <c r="AD534" s="541"/>
      <c r="AE534" s="541"/>
      <c r="AF534" s="541"/>
      <c r="AG534" s="541"/>
      <c r="AH534" s="541"/>
      <c r="AI534" s="541"/>
      <c r="AJ534" s="541"/>
      <c r="AK534" s="541"/>
      <c r="AL534" s="541"/>
      <c r="AM534" s="541"/>
      <c r="AN534" s="1748"/>
      <c r="AO534" s="1748"/>
      <c r="AP534" s="1748"/>
      <c r="AQ534" s="1748"/>
      <c r="AR534" s="1748"/>
      <c r="AS534" s="541"/>
      <c r="AT534" s="541"/>
      <c r="AU534" s="541"/>
      <c r="AV534" s="541"/>
      <c r="AW534" s="541"/>
      <c r="AY534" s="541"/>
      <c r="AZ534" s="633"/>
      <c r="BA534" s="541"/>
      <c r="BB534" s="1190"/>
      <c r="BC534" s="541"/>
      <c r="BD534" s="1190"/>
      <c r="BE534" s="541"/>
      <c r="BF534" s="1190"/>
      <c r="BG534" s="541"/>
      <c r="BH534" s="1190"/>
      <c r="BI534" s="541"/>
      <c r="BJ534" s="1190"/>
      <c r="BK534" s="541"/>
      <c r="BL534" s="541"/>
      <c r="BM534" s="541"/>
      <c r="BP534" s="541"/>
      <c r="BQ534" s="633"/>
      <c r="BR534" s="541"/>
      <c r="BS534" s="541"/>
      <c r="BT534" s="541"/>
      <c r="BU534" s="541"/>
    </row>
    <row r="535" ht="15.75" customHeight="1">
      <c r="A535" s="1591"/>
      <c r="B535" s="1591"/>
      <c r="C535" s="2217"/>
      <c r="D535" s="1541"/>
      <c r="E535" s="906"/>
      <c r="F535" s="541"/>
      <c r="G535" s="541"/>
      <c r="H535" s="541"/>
      <c r="I535" s="541"/>
      <c r="J535" s="1748"/>
      <c r="K535" s="541"/>
      <c r="L535" s="1748"/>
      <c r="M535" s="541"/>
      <c r="N535" s="1748"/>
      <c r="O535" s="541"/>
      <c r="P535" s="1748"/>
      <c r="Q535" s="541"/>
      <c r="R535" s="1748"/>
      <c r="S535" s="541"/>
      <c r="T535" s="1748"/>
      <c r="U535" s="541"/>
      <c r="V535" s="1748"/>
      <c r="W535" s="541"/>
      <c r="X535" s="1748"/>
      <c r="Y535" s="1748"/>
      <c r="Z535" s="1748"/>
      <c r="AA535" s="541"/>
      <c r="AB535" s="1748"/>
      <c r="AC535" s="541"/>
      <c r="AD535" s="541"/>
      <c r="AE535" s="541"/>
      <c r="AF535" s="541"/>
      <c r="AG535" s="541"/>
      <c r="AH535" s="541"/>
      <c r="AI535" s="541"/>
      <c r="AJ535" s="541"/>
      <c r="AK535" s="541"/>
      <c r="AL535" s="541"/>
      <c r="AM535" s="541"/>
      <c r="AN535" s="1748"/>
      <c r="AO535" s="1748"/>
      <c r="AP535" s="1748"/>
      <c r="AQ535" s="1748"/>
      <c r="AR535" s="1748"/>
      <c r="AS535" s="541"/>
      <c r="AT535" s="541"/>
      <c r="AU535" s="541"/>
      <c r="AV535" s="541"/>
      <c r="AW535" s="541"/>
      <c r="AY535" s="541"/>
      <c r="AZ535" s="633"/>
      <c r="BA535" s="541"/>
      <c r="BB535" s="1190"/>
      <c r="BC535" s="541"/>
      <c r="BD535" s="1190"/>
      <c r="BE535" s="541"/>
      <c r="BF535" s="1190"/>
      <c r="BG535" s="541"/>
      <c r="BH535" s="1190"/>
      <c r="BI535" s="541"/>
      <c r="BJ535" s="1190"/>
      <c r="BK535" s="541"/>
      <c r="BL535" s="541"/>
      <c r="BM535" s="541"/>
      <c r="BP535" s="541"/>
      <c r="BQ535" s="633"/>
      <c r="BR535" s="541"/>
      <c r="BS535" s="541"/>
      <c r="BT535" s="541"/>
      <c r="BU535" s="541"/>
    </row>
    <row r="536" ht="15.75" customHeight="1">
      <c r="A536" s="1591"/>
      <c r="B536" s="1591"/>
      <c r="C536" s="2217"/>
      <c r="D536" s="1541"/>
      <c r="E536" s="906"/>
      <c r="F536" s="541"/>
      <c r="G536" s="541"/>
      <c r="H536" s="541"/>
      <c r="I536" s="541"/>
      <c r="J536" s="1748"/>
      <c r="K536" s="541"/>
      <c r="L536" s="1748"/>
      <c r="M536" s="541"/>
      <c r="N536" s="1748"/>
      <c r="O536" s="541"/>
      <c r="P536" s="1748"/>
      <c r="Q536" s="541"/>
      <c r="R536" s="1748"/>
      <c r="S536" s="541"/>
      <c r="T536" s="1748"/>
      <c r="U536" s="541"/>
      <c r="V536" s="1748"/>
      <c r="W536" s="541"/>
      <c r="X536" s="1748"/>
      <c r="Y536" s="1748"/>
      <c r="Z536" s="1748"/>
      <c r="AA536" s="541"/>
      <c r="AB536" s="1748"/>
      <c r="AC536" s="541"/>
      <c r="AD536" s="541"/>
      <c r="AE536" s="541"/>
      <c r="AF536" s="541"/>
      <c r="AG536" s="541"/>
      <c r="AH536" s="541"/>
      <c r="AI536" s="541"/>
      <c r="AJ536" s="541"/>
      <c r="AK536" s="541"/>
      <c r="AL536" s="541"/>
      <c r="AM536" s="541"/>
      <c r="AN536" s="1748"/>
      <c r="AO536" s="1748"/>
      <c r="AP536" s="1748"/>
      <c r="AQ536" s="1748"/>
      <c r="AR536" s="1748"/>
      <c r="AS536" s="541"/>
      <c r="AT536" s="541"/>
      <c r="AU536" s="541"/>
      <c r="AV536" s="541"/>
      <c r="AW536" s="541"/>
      <c r="AY536" s="541"/>
      <c r="AZ536" s="633"/>
      <c r="BA536" s="541"/>
      <c r="BB536" s="1190"/>
      <c r="BC536" s="541"/>
      <c r="BD536" s="1190"/>
      <c r="BE536" s="541"/>
      <c r="BF536" s="1190"/>
      <c r="BG536" s="541"/>
      <c r="BH536" s="1190"/>
      <c r="BI536" s="541"/>
      <c r="BJ536" s="1190"/>
      <c r="BK536" s="541"/>
      <c r="BL536" s="541"/>
      <c r="BM536" s="541"/>
      <c r="BP536" s="541"/>
      <c r="BQ536" s="633"/>
      <c r="BR536" s="541"/>
      <c r="BS536" s="541"/>
      <c r="BT536" s="541"/>
      <c r="BU536" s="541"/>
    </row>
    <row r="537" ht="15.75" customHeight="1">
      <c r="A537" s="1591"/>
      <c r="B537" s="1591"/>
      <c r="C537" s="2217"/>
      <c r="D537" s="1541"/>
      <c r="E537" s="906"/>
      <c r="F537" s="541"/>
      <c r="G537" s="541"/>
      <c r="H537" s="541"/>
      <c r="I537" s="541"/>
      <c r="J537" s="1748"/>
      <c r="K537" s="541"/>
      <c r="L537" s="1748"/>
      <c r="M537" s="541"/>
      <c r="N537" s="1748"/>
      <c r="O537" s="541"/>
      <c r="P537" s="1748"/>
      <c r="Q537" s="541"/>
      <c r="R537" s="1748"/>
      <c r="S537" s="541"/>
      <c r="T537" s="1748"/>
      <c r="U537" s="541"/>
      <c r="V537" s="1748"/>
      <c r="W537" s="541"/>
      <c r="X537" s="1748"/>
      <c r="Y537" s="1748"/>
      <c r="Z537" s="1748"/>
      <c r="AA537" s="541"/>
      <c r="AB537" s="1748"/>
      <c r="AC537" s="541"/>
      <c r="AD537" s="541"/>
      <c r="AE537" s="541"/>
      <c r="AF537" s="541"/>
      <c r="AG537" s="541"/>
      <c r="AH537" s="541"/>
      <c r="AI537" s="541"/>
      <c r="AJ537" s="541"/>
      <c r="AK537" s="541"/>
      <c r="AL537" s="541"/>
      <c r="AM537" s="541"/>
      <c r="AN537" s="1748"/>
      <c r="AO537" s="1748"/>
      <c r="AP537" s="1748"/>
      <c r="AQ537" s="1748"/>
      <c r="AR537" s="1748"/>
      <c r="AS537" s="541"/>
      <c r="AT537" s="541"/>
      <c r="AU537" s="541"/>
      <c r="AV537" s="541"/>
      <c r="AW537" s="541"/>
      <c r="AY537" s="541"/>
      <c r="AZ537" s="633"/>
      <c r="BA537" s="541"/>
      <c r="BB537" s="1190"/>
      <c r="BC537" s="541"/>
      <c r="BD537" s="1190"/>
      <c r="BE537" s="541"/>
      <c r="BF537" s="1190"/>
      <c r="BG537" s="541"/>
      <c r="BH537" s="1190"/>
      <c r="BI537" s="541"/>
      <c r="BJ537" s="1190"/>
      <c r="BK537" s="541"/>
      <c r="BL537" s="541"/>
      <c r="BM537" s="541"/>
      <c r="BP537" s="541"/>
      <c r="BQ537" s="633"/>
      <c r="BR537" s="541"/>
      <c r="BS537" s="541"/>
      <c r="BT537" s="541"/>
      <c r="BU537" s="541"/>
    </row>
    <row r="538" ht="15.75" customHeight="1">
      <c r="A538" s="1591"/>
      <c r="B538" s="1591"/>
      <c r="C538" s="2217"/>
      <c r="D538" s="1541"/>
      <c r="E538" s="906"/>
      <c r="F538" s="541"/>
      <c r="G538" s="541"/>
      <c r="H538" s="541"/>
      <c r="I538" s="541"/>
      <c r="J538" s="1748"/>
      <c r="K538" s="541"/>
      <c r="L538" s="1748"/>
      <c r="M538" s="541"/>
      <c r="N538" s="1748"/>
      <c r="O538" s="541"/>
      <c r="P538" s="1748"/>
      <c r="Q538" s="541"/>
      <c r="R538" s="1748"/>
      <c r="S538" s="541"/>
      <c r="T538" s="1748"/>
      <c r="U538" s="541"/>
      <c r="V538" s="1748"/>
      <c r="W538" s="541"/>
      <c r="X538" s="1748"/>
      <c r="Y538" s="1748"/>
      <c r="Z538" s="1748"/>
      <c r="AA538" s="541"/>
      <c r="AB538" s="1748"/>
      <c r="AC538" s="541"/>
      <c r="AD538" s="541"/>
      <c r="AE538" s="541"/>
      <c r="AF538" s="541"/>
      <c r="AG538" s="541"/>
      <c r="AH538" s="541"/>
      <c r="AI538" s="541"/>
      <c r="AJ538" s="541"/>
      <c r="AK538" s="541"/>
      <c r="AL538" s="541"/>
      <c r="AM538" s="541"/>
      <c r="AN538" s="1748"/>
      <c r="AO538" s="1748"/>
      <c r="AP538" s="1748"/>
      <c r="AQ538" s="1748"/>
      <c r="AR538" s="1748"/>
      <c r="AS538" s="541"/>
      <c r="AT538" s="541"/>
      <c r="AU538" s="541"/>
      <c r="AV538" s="541"/>
      <c r="AW538" s="541"/>
      <c r="AY538" s="541"/>
      <c r="AZ538" s="633"/>
      <c r="BA538" s="541"/>
      <c r="BB538" s="1190"/>
      <c r="BC538" s="541"/>
      <c r="BD538" s="1190"/>
      <c r="BE538" s="541"/>
      <c r="BF538" s="1190"/>
      <c r="BG538" s="541"/>
      <c r="BH538" s="1190"/>
      <c r="BI538" s="541"/>
      <c r="BJ538" s="1190"/>
      <c r="BK538" s="541"/>
      <c r="BL538" s="541"/>
      <c r="BM538" s="541"/>
      <c r="BP538" s="541"/>
      <c r="BQ538" s="633"/>
      <c r="BR538" s="541"/>
      <c r="BS538" s="541"/>
      <c r="BT538" s="541"/>
      <c r="BU538" s="541"/>
    </row>
    <row r="539" ht="15.75" customHeight="1">
      <c r="A539" s="1591"/>
      <c r="B539" s="1591"/>
      <c r="C539" s="2217"/>
      <c r="D539" s="1541"/>
      <c r="E539" s="906"/>
      <c r="F539" s="541"/>
      <c r="G539" s="541"/>
      <c r="H539" s="541"/>
      <c r="I539" s="541"/>
      <c r="J539" s="1748"/>
      <c r="K539" s="541"/>
      <c r="L539" s="1748"/>
      <c r="M539" s="541"/>
      <c r="N539" s="1748"/>
      <c r="O539" s="541"/>
      <c r="P539" s="1748"/>
      <c r="Q539" s="541"/>
      <c r="R539" s="1748"/>
      <c r="S539" s="541"/>
      <c r="T539" s="1748"/>
      <c r="U539" s="541"/>
      <c r="V539" s="1748"/>
      <c r="W539" s="541"/>
      <c r="X539" s="1748"/>
      <c r="Y539" s="1748"/>
      <c r="Z539" s="1748"/>
      <c r="AA539" s="541"/>
      <c r="AB539" s="1748"/>
      <c r="AC539" s="541"/>
      <c r="AD539" s="541"/>
      <c r="AE539" s="541"/>
      <c r="AF539" s="541"/>
      <c r="AG539" s="541"/>
      <c r="AH539" s="541"/>
      <c r="AI539" s="541"/>
      <c r="AJ539" s="541"/>
      <c r="AK539" s="541"/>
      <c r="AL539" s="541"/>
      <c r="AM539" s="541"/>
      <c r="AN539" s="1748"/>
      <c r="AO539" s="1748"/>
      <c r="AP539" s="1748"/>
      <c r="AQ539" s="1748"/>
      <c r="AR539" s="1748"/>
      <c r="AS539" s="541"/>
      <c r="AT539" s="541"/>
      <c r="AU539" s="541"/>
      <c r="AV539" s="541"/>
      <c r="AW539" s="541"/>
      <c r="AY539" s="541"/>
      <c r="AZ539" s="633"/>
      <c r="BA539" s="541"/>
      <c r="BB539" s="1190"/>
      <c r="BC539" s="541"/>
      <c r="BD539" s="1190"/>
      <c r="BE539" s="541"/>
      <c r="BF539" s="1190"/>
      <c r="BG539" s="541"/>
      <c r="BH539" s="1190"/>
      <c r="BI539" s="541"/>
      <c r="BJ539" s="1190"/>
      <c r="BK539" s="541"/>
      <c r="BL539" s="541"/>
      <c r="BM539" s="541"/>
      <c r="BP539" s="541"/>
      <c r="BQ539" s="633"/>
      <c r="BR539" s="541"/>
      <c r="BS539" s="541"/>
      <c r="BT539" s="541"/>
      <c r="BU539" s="541"/>
    </row>
    <row r="540" ht="15.75" customHeight="1">
      <c r="A540" s="1591"/>
      <c r="B540" s="1591"/>
      <c r="C540" s="2217"/>
      <c r="D540" s="1541"/>
      <c r="E540" s="906"/>
      <c r="F540" s="541"/>
      <c r="G540" s="541"/>
      <c r="H540" s="541"/>
      <c r="I540" s="541"/>
      <c r="J540" s="1748"/>
      <c r="K540" s="541"/>
      <c r="L540" s="1748"/>
      <c r="M540" s="541"/>
      <c r="N540" s="1748"/>
      <c r="O540" s="541"/>
      <c r="P540" s="1748"/>
      <c r="Q540" s="541"/>
      <c r="R540" s="1748"/>
      <c r="S540" s="541"/>
      <c r="T540" s="1748"/>
      <c r="U540" s="541"/>
      <c r="V540" s="1748"/>
      <c r="W540" s="541"/>
      <c r="X540" s="1748"/>
      <c r="Y540" s="1748"/>
      <c r="Z540" s="1748"/>
      <c r="AA540" s="541"/>
      <c r="AB540" s="1748"/>
      <c r="AC540" s="541"/>
      <c r="AD540" s="541"/>
      <c r="AE540" s="541"/>
      <c r="AF540" s="541"/>
      <c r="AG540" s="541"/>
      <c r="AH540" s="541"/>
      <c r="AI540" s="541"/>
      <c r="AJ540" s="541"/>
      <c r="AK540" s="541"/>
      <c r="AL540" s="541"/>
      <c r="AM540" s="541"/>
      <c r="AN540" s="1748"/>
      <c r="AO540" s="1748"/>
      <c r="AP540" s="1748"/>
      <c r="AQ540" s="1748"/>
      <c r="AR540" s="1748"/>
      <c r="AS540" s="541"/>
      <c r="AT540" s="541"/>
      <c r="AU540" s="541"/>
      <c r="AV540" s="541"/>
      <c r="AW540" s="541"/>
      <c r="AY540" s="541"/>
      <c r="AZ540" s="633"/>
      <c r="BA540" s="541"/>
      <c r="BB540" s="1190"/>
      <c r="BC540" s="541"/>
      <c r="BD540" s="1190"/>
      <c r="BE540" s="541"/>
      <c r="BF540" s="1190"/>
      <c r="BG540" s="541"/>
      <c r="BH540" s="1190"/>
      <c r="BI540" s="541"/>
      <c r="BJ540" s="1190"/>
      <c r="BK540" s="541"/>
      <c r="BL540" s="541"/>
      <c r="BM540" s="541"/>
      <c r="BP540" s="541"/>
      <c r="BQ540" s="633"/>
      <c r="BR540" s="541"/>
      <c r="BS540" s="541"/>
      <c r="BT540" s="541"/>
      <c r="BU540" s="541"/>
    </row>
    <row r="541" ht="15.75" customHeight="1">
      <c r="A541" s="1591"/>
      <c r="B541" s="1591"/>
      <c r="C541" s="2217"/>
      <c r="D541" s="1541"/>
      <c r="E541" s="906"/>
      <c r="F541" s="541"/>
      <c r="G541" s="541"/>
      <c r="H541" s="541"/>
      <c r="I541" s="541"/>
      <c r="J541" s="1748"/>
      <c r="K541" s="541"/>
      <c r="L541" s="1748"/>
      <c r="M541" s="541"/>
      <c r="N541" s="1748"/>
      <c r="O541" s="541"/>
      <c r="P541" s="1748"/>
      <c r="Q541" s="541"/>
      <c r="R541" s="1748"/>
      <c r="S541" s="541"/>
      <c r="T541" s="1748"/>
      <c r="U541" s="541"/>
      <c r="V541" s="1748"/>
      <c r="W541" s="541"/>
      <c r="X541" s="1748"/>
      <c r="Y541" s="1748"/>
      <c r="Z541" s="1748"/>
      <c r="AA541" s="541"/>
      <c r="AB541" s="1748"/>
      <c r="AC541" s="541"/>
      <c r="AD541" s="541"/>
      <c r="AE541" s="541"/>
      <c r="AF541" s="541"/>
      <c r="AG541" s="541"/>
      <c r="AH541" s="541"/>
      <c r="AI541" s="541"/>
      <c r="AJ541" s="541"/>
      <c r="AK541" s="541"/>
      <c r="AL541" s="541"/>
      <c r="AM541" s="541"/>
      <c r="AN541" s="1748"/>
      <c r="AO541" s="1748"/>
      <c r="AP541" s="1748"/>
      <c r="AQ541" s="1748"/>
      <c r="AR541" s="1748"/>
      <c r="AS541" s="541"/>
      <c r="AT541" s="541"/>
      <c r="AU541" s="541"/>
      <c r="AV541" s="541"/>
      <c r="AW541" s="541"/>
      <c r="AY541" s="541"/>
      <c r="AZ541" s="633"/>
      <c r="BA541" s="541"/>
      <c r="BB541" s="1190"/>
      <c r="BC541" s="541"/>
      <c r="BD541" s="1190"/>
      <c r="BE541" s="541"/>
      <c r="BF541" s="1190"/>
      <c r="BG541" s="541"/>
      <c r="BH541" s="1190"/>
      <c r="BI541" s="541"/>
      <c r="BJ541" s="1190"/>
      <c r="BK541" s="541"/>
      <c r="BL541" s="541"/>
      <c r="BM541" s="541"/>
      <c r="BP541" s="541"/>
      <c r="BQ541" s="633"/>
      <c r="BR541" s="541"/>
      <c r="BS541" s="541"/>
      <c r="BT541" s="541"/>
      <c r="BU541" s="541"/>
    </row>
    <row r="542" ht="15.75" customHeight="1">
      <c r="A542" s="1591"/>
      <c r="B542" s="1591"/>
      <c r="C542" s="2217"/>
      <c r="D542" s="1541"/>
      <c r="E542" s="906"/>
      <c r="F542" s="541"/>
      <c r="G542" s="541"/>
      <c r="H542" s="541"/>
      <c r="I542" s="541"/>
      <c r="J542" s="1748"/>
      <c r="K542" s="541"/>
      <c r="L542" s="1748"/>
      <c r="M542" s="541"/>
      <c r="N542" s="1748"/>
      <c r="O542" s="541"/>
      <c r="P542" s="1748"/>
      <c r="Q542" s="541"/>
      <c r="R542" s="1748"/>
      <c r="S542" s="541"/>
      <c r="T542" s="1748"/>
      <c r="U542" s="541"/>
      <c r="V542" s="1748"/>
      <c r="W542" s="541"/>
      <c r="X542" s="1748"/>
      <c r="Y542" s="1748"/>
      <c r="Z542" s="1748"/>
      <c r="AA542" s="541"/>
      <c r="AB542" s="1748"/>
      <c r="AC542" s="541"/>
      <c r="AD542" s="541"/>
      <c r="AE542" s="541"/>
      <c r="AF542" s="541"/>
      <c r="AG542" s="541"/>
      <c r="AH542" s="541"/>
      <c r="AI542" s="541"/>
      <c r="AJ542" s="541"/>
      <c r="AK542" s="541"/>
      <c r="AL542" s="541"/>
      <c r="AM542" s="541"/>
      <c r="AN542" s="1748"/>
      <c r="AO542" s="1748"/>
      <c r="AP542" s="1748"/>
      <c r="AQ542" s="1748"/>
      <c r="AR542" s="1748"/>
      <c r="AS542" s="541"/>
      <c r="AT542" s="541"/>
      <c r="AU542" s="541"/>
      <c r="AV542" s="541"/>
      <c r="AW542" s="541"/>
      <c r="AY542" s="541"/>
      <c r="AZ542" s="633"/>
      <c r="BA542" s="541"/>
      <c r="BB542" s="1190"/>
      <c r="BC542" s="541"/>
      <c r="BD542" s="1190"/>
      <c r="BE542" s="541"/>
      <c r="BF542" s="1190"/>
      <c r="BG542" s="541"/>
      <c r="BH542" s="1190"/>
      <c r="BI542" s="541"/>
      <c r="BJ542" s="1190"/>
      <c r="BK542" s="541"/>
      <c r="BL542" s="541"/>
      <c r="BM542" s="541"/>
      <c r="BP542" s="541"/>
      <c r="BQ542" s="633"/>
      <c r="BR542" s="541"/>
      <c r="BS542" s="541"/>
      <c r="BT542" s="541"/>
      <c r="BU542" s="541"/>
    </row>
    <row r="543" ht="15.75" customHeight="1">
      <c r="A543" s="1591"/>
      <c r="B543" s="1591"/>
      <c r="C543" s="2217"/>
      <c r="D543" s="1541"/>
      <c r="E543" s="906"/>
      <c r="F543" s="541"/>
      <c r="G543" s="541"/>
      <c r="H543" s="541"/>
      <c r="I543" s="541"/>
      <c r="J543" s="1748"/>
      <c r="K543" s="541"/>
      <c r="L543" s="1748"/>
      <c r="M543" s="541"/>
      <c r="N543" s="1748"/>
      <c r="O543" s="541"/>
      <c r="P543" s="1748"/>
      <c r="Q543" s="541"/>
      <c r="R543" s="1748"/>
      <c r="S543" s="541"/>
      <c r="T543" s="1748"/>
      <c r="U543" s="541"/>
      <c r="V543" s="1748"/>
      <c r="W543" s="541"/>
      <c r="X543" s="1748"/>
      <c r="Y543" s="1748"/>
      <c r="Z543" s="1748"/>
      <c r="AA543" s="541"/>
      <c r="AB543" s="1748"/>
      <c r="AC543" s="541"/>
      <c r="AD543" s="541"/>
      <c r="AE543" s="541"/>
      <c r="AF543" s="541"/>
      <c r="AG543" s="541"/>
      <c r="AH543" s="541"/>
      <c r="AI543" s="541"/>
      <c r="AJ543" s="541"/>
      <c r="AK543" s="541"/>
      <c r="AL543" s="541"/>
      <c r="AM543" s="541"/>
      <c r="AN543" s="1748"/>
      <c r="AO543" s="1748"/>
      <c r="AP543" s="1748"/>
      <c r="AQ543" s="1748"/>
      <c r="AR543" s="1748"/>
      <c r="AS543" s="541"/>
      <c r="AT543" s="541"/>
      <c r="AU543" s="541"/>
      <c r="AV543" s="541"/>
      <c r="AW543" s="541"/>
      <c r="AY543" s="541"/>
      <c r="AZ543" s="633"/>
      <c r="BA543" s="541"/>
      <c r="BB543" s="1190"/>
      <c r="BC543" s="541"/>
      <c r="BD543" s="1190"/>
      <c r="BE543" s="541"/>
      <c r="BF543" s="1190"/>
      <c r="BG543" s="541"/>
      <c r="BH543" s="1190"/>
      <c r="BI543" s="541"/>
      <c r="BJ543" s="1190"/>
      <c r="BK543" s="541"/>
      <c r="BL543" s="541"/>
      <c r="BM543" s="541"/>
      <c r="BP543" s="541"/>
      <c r="BQ543" s="633"/>
      <c r="BR543" s="541"/>
      <c r="BS543" s="541"/>
      <c r="BT543" s="541"/>
      <c r="BU543" s="541"/>
    </row>
    <row r="544" ht="15.75" customHeight="1">
      <c r="A544" s="1591"/>
      <c r="B544" s="1591"/>
      <c r="C544" s="2217"/>
      <c r="D544" s="1541"/>
      <c r="E544" s="906"/>
      <c r="F544" s="541"/>
      <c r="G544" s="541"/>
      <c r="H544" s="541"/>
      <c r="I544" s="541"/>
      <c r="J544" s="1748"/>
      <c r="K544" s="541"/>
      <c r="L544" s="1748"/>
      <c r="M544" s="541"/>
      <c r="N544" s="1748"/>
      <c r="O544" s="541"/>
      <c r="P544" s="1748"/>
      <c r="Q544" s="541"/>
      <c r="R544" s="1748"/>
      <c r="S544" s="541"/>
      <c r="T544" s="1748"/>
      <c r="U544" s="541"/>
      <c r="V544" s="1748"/>
      <c r="W544" s="541"/>
      <c r="X544" s="1748"/>
      <c r="Y544" s="1748"/>
      <c r="Z544" s="1748"/>
      <c r="AA544" s="541"/>
      <c r="AB544" s="1748"/>
      <c r="AC544" s="541"/>
      <c r="AD544" s="541"/>
      <c r="AE544" s="541"/>
      <c r="AF544" s="541"/>
      <c r="AG544" s="541"/>
      <c r="AH544" s="541"/>
      <c r="AI544" s="541"/>
      <c r="AJ544" s="541"/>
      <c r="AK544" s="541"/>
      <c r="AL544" s="541"/>
      <c r="AM544" s="541"/>
      <c r="AN544" s="1748"/>
      <c r="AO544" s="1748"/>
      <c r="AP544" s="1748"/>
      <c r="AQ544" s="1748"/>
      <c r="AR544" s="1748"/>
      <c r="AS544" s="541"/>
      <c r="AT544" s="541"/>
      <c r="AU544" s="541"/>
      <c r="AV544" s="541"/>
      <c r="AW544" s="541"/>
      <c r="AY544" s="541"/>
      <c r="AZ544" s="633"/>
      <c r="BA544" s="541"/>
      <c r="BB544" s="1190"/>
      <c r="BC544" s="541"/>
      <c r="BD544" s="1190"/>
      <c r="BE544" s="541"/>
      <c r="BF544" s="1190"/>
      <c r="BG544" s="541"/>
      <c r="BH544" s="1190"/>
      <c r="BI544" s="541"/>
      <c r="BJ544" s="1190"/>
      <c r="BK544" s="541"/>
      <c r="BL544" s="541"/>
      <c r="BM544" s="541"/>
      <c r="BP544" s="541"/>
      <c r="BQ544" s="633"/>
      <c r="BR544" s="541"/>
      <c r="BS544" s="541"/>
      <c r="BT544" s="541"/>
      <c r="BU544" s="541"/>
    </row>
    <row r="545" ht="15.75" customHeight="1">
      <c r="A545" s="1591"/>
      <c r="B545" s="1591"/>
      <c r="C545" s="2217"/>
      <c r="D545" s="1541"/>
      <c r="E545" s="906"/>
      <c r="F545" s="541"/>
      <c r="G545" s="541"/>
      <c r="H545" s="541"/>
      <c r="I545" s="541"/>
      <c r="J545" s="1748"/>
      <c r="K545" s="541"/>
      <c r="L545" s="1748"/>
      <c r="M545" s="541"/>
      <c r="N545" s="1748"/>
      <c r="O545" s="541"/>
      <c r="P545" s="1748"/>
      <c r="Q545" s="541"/>
      <c r="R545" s="1748"/>
      <c r="S545" s="541"/>
      <c r="T545" s="1748"/>
      <c r="U545" s="541"/>
      <c r="V545" s="1748"/>
      <c r="W545" s="541"/>
      <c r="X545" s="1748"/>
      <c r="Y545" s="1748"/>
      <c r="Z545" s="1748"/>
      <c r="AA545" s="541"/>
      <c r="AB545" s="1748"/>
      <c r="AC545" s="541"/>
      <c r="AD545" s="541"/>
      <c r="AE545" s="541"/>
      <c r="AF545" s="541"/>
      <c r="AG545" s="541"/>
      <c r="AH545" s="541"/>
      <c r="AI545" s="541"/>
      <c r="AJ545" s="541"/>
      <c r="AK545" s="541"/>
      <c r="AL545" s="541"/>
      <c r="AM545" s="541"/>
      <c r="AN545" s="1748"/>
      <c r="AO545" s="1748"/>
      <c r="AP545" s="1748"/>
      <c r="AQ545" s="1748"/>
      <c r="AR545" s="1748"/>
      <c r="AS545" s="541"/>
      <c r="AT545" s="541"/>
      <c r="AU545" s="541"/>
      <c r="AV545" s="541"/>
      <c r="AW545" s="541"/>
      <c r="AY545" s="541"/>
      <c r="AZ545" s="633"/>
      <c r="BA545" s="541"/>
      <c r="BB545" s="1190"/>
      <c r="BC545" s="541"/>
      <c r="BD545" s="1190"/>
      <c r="BE545" s="541"/>
      <c r="BF545" s="1190"/>
      <c r="BG545" s="541"/>
      <c r="BH545" s="1190"/>
      <c r="BI545" s="541"/>
      <c r="BJ545" s="1190"/>
      <c r="BK545" s="541"/>
      <c r="BL545" s="541"/>
      <c r="BM545" s="541"/>
      <c r="BP545" s="541"/>
      <c r="BQ545" s="633"/>
      <c r="BR545" s="541"/>
      <c r="BS545" s="541"/>
      <c r="BT545" s="541"/>
      <c r="BU545" s="541"/>
    </row>
    <row r="546" ht="15.75" customHeight="1">
      <c r="A546" s="1591"/>
      <c r="B546" s="1591"/>
      <c r="C546" s="2217"/>
      <c r="D546" s="1541"/>
      <c r="E546" s="906"/>
      <c r="F546" s="541"/>
      <c r="G546" s="541"/>
      <c r="H546" s="541"/>
      <c r="I546" s="541"/>
      <c r="J546" s="1748"/>
      <c r="K546" s="541"/>
      <c r="L546" s="1748"/>
      <c r="M546" s="541"/>
      <c r="N546" s="1748"/>
      <c r="O546" s="541"/>
      <c r="P546" s="1748"/>
      <c r="Q546" s="541"/>
      <c r="R546" s="1748"/>
      <c r="S546" s="541"/>
      <c r="T546" s="1748"/>
      <c r="U546" s="541"/>
      <c r="V546" s="1748"/>
      <c r="W546" s="541"/>
      <c r="X546" s="1748"/>
      <c r="Y546" s="1748"/>
      <c r="Z546" s="1748"/>
      <c r="AA546" s="541"/>
      <c r="AB546" s="1748"/>
      <c r="AC546" s="541"/>
      <c r="AD546" s="541"/>
      <c r="AE546" s="541"/>
      <c r="AF546" s="541"/>
      <c r="AG546" s="541"/>
      <c r="AH546" s="541"/>
      <c r="AI546" s="541"/>
      <c r="AJ546" s="541"/>
      <c r="AK546" s="541"/>
      <c r="AL546" s="541"/>
      <c r="AM546" s="541"/>
      <c r="AN546" s="1748"/>
      <c r="AO546" s="1748"/>
      <c r="AP546" s="1748"/>
      <c r="AQ546" s="1748"/>
      <c r="AR546" s="1748"/>
      <c r="AS546" s="541"/>
      <c r="AT546" s="541"/>
      <c r="AU546" s="541"/>
      <c r="AV546" s="541"/>
      <c r="AW546" s="541"/>
      <c r="AY546" s="541"/>
      <c r="AZ546" s="633"/>
      <c r="BA546" s="541"/>
      <c r="BB546" s="1190"/>
      <c r="BC546" s="541"/>
      <c r="BD546" s="1190"/>
      <c r="BE546" s="541"/>
      <c r="BF546" s="1190"/>
      <c r="BG546" s="541"/>
      <c r="BH546" s="1190"/>
      <c r="BI546" s="541"/>
      <c r="BJ546" s="1190"/>
      <c r="BK546" s="541"/>
      <c r="BL546" s="541"/>
      <c r="BM546" s="541"/>
      <c r="BP546" s="541"/>
      <c r="BQ546" s="633"/>
      <c r="BR546" s="541"/>
      <c r="BS546" s="541"/>
      <c r="BT546" s="541"/>
      <c r="BU546" s="541"/>
    </row>
    <row r="547" ht="15.75" customHeight="1">
      <c r="A547" s="1591"/>
      <c r="B547" s="1591"/>
      <c r="C547" s="2217"/>
      <c r="D547" s="1541"/>
      <c r="E547" s="906"/>
      <c r="F547" s="541"/>
      <c r="G547" s="541"/>
      <c r="H547" s="541"/>
      <c r="I547" s="541"/>
      <c r="J547" s="1748"/>
      <c r="K547" s="541"/>
      <c r="L547" s="1748"/>
      <c r="M547" s="541"/>
      <c r="N547" s="1748"/>
      <c r="O547" s="541"/>
      <c r="P547" s="1748"/>
      <c r="Q547" s="541"/>
      <c r="R547" s="1748"/>
      <c r="S547" s="541"/>
      <c r="T547" s="1748"/>
      <c r="U547" s="541"/>
      <c r="V547" s="1748"/>
      <c r="W547" s="541"/>
      <c r="X547" s="1748"/>
      <c r="Y547" s="1748"/>
      <c r="Z547" s="1748"/>
      <c r="AA547" s="541"/>
      <c r="AB547" s="1748"/>
      <c r="AC547" s="541"/>
      <c r="AD547" s="541"/>
      <c r="AE547" s="541"/>
      <c r="AF547" s="541"/>
      <c r="AG547" s="541"/>
      <c r="AH547" s="541"/>
      <c r="AI547" s="541"/>
      <c r="AJ547" s="541"/>
      <c r="AK547" s="541"/>
      <c r="AL547" s="541"/>
      <c r="AM547" s="541"/>
      <c r="AN547" s="1748"/>
      <c r="AO547" s="1748"/>
      <c r="AP547" s="1748"/>
      <c r="AQ547" s="1748"/>
      <c r="AR547" s="1748"/>
      <c r="AS547" s="541"/>
      <c r="AT547" s="541"/>
      <c r="AU547" s="541"/>
      <c r="AV547" s="541"/>
      <c r="AW547" s="541"/>
      <c r="AY547" s="541"/>
      <c r="AZ547" s="633"/>
      <c r="BA547" s="541"/>
      <c r="BB547" s="1190"/>
      <c r="BC547" s="541"/>
      <c r="BD547" s="1190"/>
      <c r="BE547" s="541"/>
      <c r="BF547" s="1190"/>
      <c r="BG547" s="541"/>
      <c r="BH547" s="1190"/>
      <c r="BI547" s="541"/>
      <c r="BJ547" s="1190"/>
      <c r="BK547" s="541"/>
      <c r="BL547" s="541"/>
      <c r="BM547" s="541"/>
      <c r="BP547" s="541"/>
      <c r="BQ547" s="633"/>
      <c r="BR547" s="541"/>
      <c r="BS547" s="541"/>
      <c r="BT547" s="541"/>
      <c r="BU547" s="541"/>
    </row>
    <row r="548" ht="15.75" customHeight="1">
      <c r="A548" s="1591"/>
      <c r="B548" s="1591"/>
      <c r="C548" s="2217"/>
      <c r="D548" s="1541"/>
      <c r="E548" s="906"/>
      <c r="F548" s="541"/>
      <c r="G548" s="541"/>
      <c r="H548" s="541"/>
      <c r="I548" s="541"/>
      <c r="J548" s="1748"/>
      <c r="K548" s="541"/>
      <c r="L548" s="1748"/>
      <c r="M548" s="541"/>
      <c r="N548" s="1748"/>
      <c r="O548" s="541"/>
      <c r="P548" s="1748"/>
      <c r="Q548" s="541"/>
      <c r="R548" s="1748"/>
      <c r="S548" s="541"/>
      <c r="T548" s="1748"/>
      <c r="U548" s="541"/>
      <c r="V548" s="1748"/>
      <c r="W548" s="541"/>
      <c r="X548" s="1748"/>
      <c r="Y548" s="1748"/>
      <c r="Z548" s="1748"/>
      <c r="AA548" s="541"/>
      <c r="AB548" s="1748"/>
      <c r="AC548" s="541"/>
      <c r="AD548" s="541"/>
      <c r="AE548" s="541"/>
      <c r="AF548" s="541"/>
      <c r="AG548" s="541"/>
      <c r="AH548" s="541"/>
      <c r="AI548" s="541"/>
      <c r="AJ548" s="541"/>
      <c r="AK548" s="541"/>
      <c r="AL548" s="541"/>
      <c r="AM548" s="541"/>
      <c r="AN548" s="1748"/>
      <c r="AO548" s="1748"/>
      <c r="AP548" s="1748"/>
      <c r="AQ548" s="1748"/>
      <c r="AR548" s="1748"/>
      <c r="AS548" s="541"/>
      <c r="AT548" s="541"/>
      <c r="AU548" s="541"/>
      <c r="AV548" s="541"/>
      <c r="AW548" s="541"/>
      <c r="AY548" s="541"/>
      <c r="AZ548" s="633"/>
      <c r="BA548" s="541"/>
      <c r="BB548" s="1190"/>
      <c r="BC548" s="541"/>
      <c r="BD548" s="1190"/>
      <c r="BE548" s="541"/>
      <c r="BF548" s="1190"/>
      <c r="BG548" s="541"/>
      <c r="BH548" s="1190"/>
      <c r="BI548" s="541"/>
      <c r="BJ548" s="1190"/>
      <c r="BK548" s="541"/>
      <c r="BL548" s="541"/>
      <c r="BM548" s="541"/>
      <c r="BP548" s="541"/>
      <c r="BQ548" s="633"/>
      <c r="BR548" s="541"/>
      <c r="BS548" s="541"/>
      <c r="BT548" s="541"/>
      <c r="BU548" s="541"/>
    </row>
    <row r="549" ht="15.75" customHeight="1">
      <c r="A549" s="1591"/>
      <c r="B549" s="1591"/>
      <c r="C549" s="2217"/>
      <c r="D549" s="1541"/>
      <c r="E549" s="906"/>
      <c r="F549" s="541"/>
      <c r="G549" s="541"/>
      <c r="H549" s="541"/>
      <c r="I549" s="541"/>
      <c r="J549" s="1748"/>
      <c r="K549" s="541"/>
      <c r="L549" s="1748"/>
      <c r="M549" s="541"/>
      <c r="N549" s="1748"/>
      <c r="O549" s="541"/>
      <c r="P549" s="1748"/>
      <c r="Q549" s="541"/>
      <c r="R549" s="1748"/>
      <c r="S549" s="541"/>
      <c r="T549" s="1748"/>
      <c r="U549" s="541"/>
      <c r="V549" s="1748"/>
      <c r="W549" s="541"/>
      <c r="X549" s="1748"/>
      <c r="Y549" s="1748"/>
      <c r="Z549" s="1748"/>
      <c r="AA549" s="541"/>
      <c r="AB549" s="1748"/>
      <c r="AC549" s="541"/>
      <c r="AD549" s="541"/>
      <c r="AE549" s="541"/>
      <c r="AF549" s="541"/>
      <c r="AG549" s="541"/>
      <c r="AH549" s="541"/>
      <c r="AI549" s="541"/>
      <c r="AJ549" s="541"/>
      <c r="AK549" s="541"/>
      <c r="AL549" s="541"/>
      <c r="AM549" s="541"/>
      <c r="AN549" s="1748"/>
      <c r="AO549" s="1748"/>
      <c r="AP549" s="1748"/>
      <c r="AQ549" s="1748"/>
      <c r="AR549" s="1748"/>
      <c r="AS549" s="541"/>
      <c r="AT549" s="541"/>
      <c r="AU549" s="541"/>
      <c r="AV549" s="541"/>
      <c r="AW549" s="541"/>
      <c r="AY549" s="541"/>
      <c r="AZ549" s="633"/>
      <c r="BA549" s="541"/>
      <c r="BB549" s="1190"/>
      <c r="BC549" s="541"/>
      <c r="BD549" s="1190"/>
      <c r="BE549" s="541"/>
      <c r="BF549" s="1190"/>
      <c r="BG549" s="541"/>
      <c r="BH549" s="1190"/>
      <c r="BI549" s="541"/>
      <c r="BJ549" s="1190"/>
      <c r="BK549" s="541"/>
      <c r="BL549" s="541"/>
      <c r="BM549" s="541"/>
      <c r="BP549" s="541"/>
      <c r="BQ549" s="633"/>
      <c r="BR549" s="541"/>
      <c r="BS549" s="541"/>
      <c r="BT549" s="541"/>
      <c r="BU549" s="541"/>
    </row>
    <row r="550" ht="15.75" customHeight="1">
      <c r="A550" s="1591"/>
      <c r="B550" s="1591"/>
      <c r="C550" s="2217"/>
      <c r="D550" s="1541"/>
      <c r="E550" s="906"/>
      <c r="F550" s="541"/>
      <c r="G550" s="541"/>
      <c r="H550" s="541"/>
      <c r="I550" s="541"/>
      <c r="J550" s="1748"/>
      <c r="K550" s="541"/>
      <c r="L550" s="1748"/>
      <c r="M550" s="541"/>
      <c r="N550" s="1748"/>
      <c r="O550" s="541"/>
      <c r="P550" s="1748"/>
      <c r="Q550" s="541"/>
      <c r="R550" s="1748"/>
      <c r="S550" s="541"/>
      <c r="T550" s="1748"/>
      <c r="U550" s="541"/>
      <c r="V550" s="1748"/>
      <c r="W550" s="541"/>
      <c r="X550" s="1748"/>
      <c r="Y550" s="1748"/>
      <c r="Z550" s="1748"/>
      <c r="AA550" s="541"/>
      <c r="AB550" s="1748"/>
      <c r="AC550" s="541"/>
      <c r="AD550" s="541"/>
      <c r="AE550" s="541"/>
      <c r="AF550" s="541"/>
      <c r="AG550" s="541"/>
      <c r="AH550" s="541"/>
      <c r="AI550" s="541"/>
      <c r="AJ550" s="541"/>
      <c r="AK550" s="541"/>
      <c r="AL550" s="541"/>
      <c r="AM550" s="541"/>
      <c r="AN550" s="1748"/>
      <c r="AO550" s="1748"/>
      <c r="AP550" s="1748"/>
      <c r="AQ550" s="1748"/>
      <c r="AR550" s="1748"/>
      <c r="AS550" s="541"/>
      <c r="AT550" s="541"/>
      <c r="AU550" s="541"/>
      <c r="AV550" s="541"/>
      <c r="AW550" s="541"/>
      <c r="AY550" s="541"/>
      <c r="AZ550" s="633"/>
      <c r="BA550" s="541"/>
      <c r="BB550" s="1190"/>
      <c r="BC550" s="541"/>
      <c r="BD550" s="1190"/>
      <c r="BE550" s="541"/>
      <c r="BF550" s="1190"/>
      <c r="BG550" s="541"/>
      <c r="BH550" s="1190"/>
      <c r="BI550" s="541"/>
      <c r="BJ550" s="1190"/>
      <c r="BK550" s="541"/>
      <c r="BL550" s="541"/>
      <c r="BM550" s="541"/>
      <c r="BP550" s="541"/>
      <c r="BQ550" s="633"/>
      <c r="BR550" s="541"/>
      <c r="BS550" s="541"/>
      <c r="BT550" s="541"/>
      <c r="BU550" s="541"/>
    </row>
    <row r="551" ht="15.75" customHeight="1">
      <c r="A551" s="1591"/>
      <c r="B551" s="1591"/>
      <c r="C551" s="2217"/>
      <c r="D551" s="1541"/>
      <c r="E551" s="906"/>
      <c r="F551" s="541"/>
      <c r="G551" s="541"/>
      <c r="H551" s="541"/>
      <c r="I551" s="541"/>
      <c r="J551" s="1748"/>
      <c r="K551" s="541"/>
      <c r="L551" s="1748"/>
      <c r="M551" s="541"/>
      <c r="N551" s="1748"/>
      <c r="O551" s="541"/>
      <c r="P551" s="1748"/>
      <c r="Q551" s="541"/>
      <c r="R551" s="1748"/>
      <c r="S551" s="541"/>
      <c r="T551" s="1748"/>
      <c r="U551" s="541"/>
      <c r="V551" s="1748"/>
      <c r="W551" s="541"/>
      <c r="X551" s="1748"/>
      <c r="Y551" s="1748"/>
      <c r="Z551" s="1748"/>
      <c r="AA551" s="541"/>
      <c r="AB551" s="1748"/>
      <c r="AC551" s="541"/>
      <c r="AD551" s="541"/>
      <c r="AE551" s="541"/>
      <c r="AF551" s="541"/>
      <c r="AG551" s="541"/>
      <c r="AH551" s="541"/>
      <c r="AI551" s="541"/>
      <c r="AJ551" s="541"/>
      <c r="AK551" s="541"/>
      <c r="AL551" s="541"/>
      <c r="AM551" s="541"/>
      <c r="AN551" s="1748"/>
      <c r="AO551" s="1748"/>
      <c r="AP551" s="1748"/>
      <c r="AQ551" s="1748"/>
      <c r="AR551" s="1748"/>
      <c r="AS551" s="541"/>
      <c r="AT551" s="541"/>
      <c r="AU551" s="541"/>
      <c r="AV551" s="541"/>
      <c r="AW551" s="541"/>
      <c r="AY551" s="541"/>
      <c r="AZ551" s="633"/>
      <c r="BA551" s="541"/>
      <c r="BB551" s="1190"/>
      <c r="BC551" s="541"/>
      <c r="BD551" s="1190"/>
      <c r="BE551" s="541"/>
      <c r="BF551" s="1190"/>
      <c r="BG551" s="541"/>
      <c r="BH551" s="1190"/>
      <c r="BI551" s="541"/>
      <c r="BJ551" s="1190"/>
      <c r="BK551" s="541"/>
      <c r="BL551" s="541"/>
      <c r="BM551" s="541"/>
      <c r="BP551" s="541"/>
      <c r="BQ551" s="633"/>
      <c r="BR551" s="541"/>
      <c r="BS551" s="541"/>
      <c r="BT551" s="541"/>
      <c r="BU551" s="541"/>
    </row>
    <row r="552" ht="15.75" customHeight="1">
      <c r="A552" s="1591"/>
      <c r="B552" s="1591"/>
      <c r="C552" s="2217"/>
      <c r="D552" s="1541"/>
      <c r="E552" s="906"/>
      <c r="F552" s="541"/>
      <c r="G552" s="541"/>
      <c r="H552" s="541"/>
      <c r="I552" s="541"/>
      <c r="J552" s="1748"/>
      <c r="K552" s="541"/>
      <c r="L552" s="1748"/>
      <c r="M552" s="541"/>
      <c r="N552" s="1748"/>
      <c r="O552" s="541"/>
      <c r="P552" s="1748"/>
      <c r="Q552" s="541"/>
      <c r="R552" s="1748"/>
      <c r="S552" s="541"/>
      <c r="T552" s="1748"/>
      <c r="U552" s="541"/>
      <c r="V552" s="1748"/>
      <c r="W552" s="541"/>
      <c r="X552" s="1748"/>
      <c r="Y552" s="1748"/>
      <c r="Z552" s="1748"/>
      <c r="AA552" s="541"/>
      <c r="AB552" s="1748"/>
      <c r="AC552" s="541"/>
      <c r="AD552" s="541"/>
      <c r="AE552" s="541"/>
      <c r="AF552" s="541"/>
      <c r="AG552" s="541"/>
      <c r="AH552" s="541"/>
      <c r="AI552" s="541"/>
      <c r="AJ552" s="541"/>
      <c r="AK552" s="541"/>
      <c r="AL552" s="541"/>
      <c r="AM552" s="541"/>
      <c r="AN552" s="1748"/>
      <c r="AO552" s="1748"/>
      <c r="AP552" s="1748"/>
      <c r="AQ552" s="1748"/>
      <c r="AR552" s="1748"/>
      <c r="AS552" s="541"/>
      <c r="AT552" s="541"/>
      <c r="AU552" s="541"/>
      <c r="AV552" s="541"/>
      <c r="AW552" s="541"/>
      <c r="AY552" s="541"/>
      <c r="AZ552" s="633"/>
      <c r="BA552" s="541"/>
      <c r="BB552" s="1190"/>
      <c r="BC552" s="541"/>
      <c r="BD552" s="1190"/>
      <c r="BE552" s="541"/>
      <c r="BF552" s="1190"/>
      <c r="BG552" s="541"/>
      <c r="BH552" s="1190"/>
      <c r="BI552" s="541"/>
      <c r="BJ552" s="1190"/>
      <c r="BK552" s="541"/>
      <c r="BL552" s="541"/>
      <c r="BM552" s="541"/>
      <c r="BP552" s="541"/>
      <c r="BQ552" s="633"/>
      <c r="BR552" s="541"/>
      <c r="BS552" s="541"/>
      <c r="BT552" s="541"/>
      <c r="BU552" s="541"/>
    </row>
    <row r="553" ht="15.75" customHeight="1">
      <c r="A553" s="1591"/>
      <c r="B553" s="1591"/>
      <c r="C553" s="2217"/>
      <c r="D553" s="1541"/>
      <c r="E553" s="906"/>
      <c r="F553" s="541"/>
      <c r="G553" s="541"/>
      <c r="H553" s="541"/>
      <c r="I553" s="541"/>
      <c r="J553" s="1748"/>
      <c r="K553" s="541"/>
      <c r="L553" s="1748"/>
      <c r="M553" s="541"/>
      <c r="N553" s="1748"/>
      <c r="O553" s="541"/>
      <c r="P553" s="1748"/>
      <c r="Q553" s="541"/>
      <c r="R553" s="1748"/>
      <c r="S553" s="541"/>
      <c r="T553" s="1748"/>
      <c r="U553" s="541"/>
      <c r="V553" s="1748"/>
      <c r="W553" s="541"/>
      <c r="X553" s="1748"/>
      <c r="Y553" s="1748"/>
      <c r="Z553" s="1748"/>
      <c r="AA553" s="541"/>
      <c r="AB553" s="1748"/>
      <c r="AC553" s="541"/>
      <c r="AD553" s="541"/>
      <c r="AE553" s="541"/>
      <c r="AF553" s="541"/>
      <c r="AG553" s="541"/>
      <c r="AH553" s="541"/>
      <c r="AI553" s="541"/>
      <c r="AJ553" s="541"/>
      <c r="AK553" s="541"/>
      <c r="AL553" s="541"/>
      <c r="AM553" s="541"/>
      <c r="AN553" s="1748"/>
      <c r="AO553" s="1748"/>
      <c r="AP553" s="1748"/>
      <c r="AQ553" s="1748"/>
      <c r="AR553" s="1748"/>
      <c r="AS553" s="541"/>
      <c r="AT553" s="541"/>
      <c r="AU553" s="541"/>
      <c r="AV553" s="541"/>
      <c r="AW553" s="541"/>
      <c r="AY553" s="541"/>
      <c r="AZ553" s="633"/>
      <c r="BA553" s="541"/>
      <c r="BB553" s="1190"/>
      <c r="BC553" s="541"/>
      <c r="BD553" s="1190"/>
      <c r="BE553" s="541"/>
      <c r="BF553" s="1190"/>
      <c r="BG553" s="541"/>
      <c r="BH553" s="1190"/>
      <c r="BI553" s="541"/>
      <c r="BJ553" s="1190"/>
      <c r="BK553" s="541"/>
      <c r="BL553" s="541"/>
      <c r="BM553" s="541"/>
      <c r="BP553" s="541"/>
      <c r="BQ553" s="633"/>
      <c r="BR553" s="541"/>
      <c r="BS553" s="541"/>
      <c r="BT553" s="541"/>
      <c r="BU553" s="541"/>
    </row>
    <row r="554" ht="15.75" customHeight="1">
      <c r="A554" s="1591"/>
      <c r="B554" s="1591"/>
      <c r="C554" s="2217"/>
      <c r="D554" s="1541"/>
      <c r="E554" s="906"/>
      <c r="F554" s="541"/>
      <c r="G554" s="541"/>
      <c r="H554" s="541"/>
      <c r="I554" s="541"/>
      <c r="J554" s="1748"/>
      <c r="K554" s="541"/>
      <c r="L554" s="1748"/>
      <c r="M554" s="541"/>
      <c r="N554" s="1748"/>
      <c r="O554" s="541"/>
      <c r="P554" s="1748"/>
      <c r="Q554" s="541"/>
      <c r="R554" s="1748"/>
      <c r="S554" s="541"/>
      <c r="T554" s="1748"/>
      <c r="U554" s="541"/>
      <c r="V554" s="1748"/>
      <c r="W554" s="541"/>
      <c r="X554" s="1748"/>
      <c r="Y554" s="1748"/>
      <c r="Z554" s="1748"/>
      <c r="AA554" s="541"/>
      <c r="AB554" s="1748"/>
      <c r="AC554" s="541"/>
      <c r="AD554" s="541"/>
      <c r="AE554" s="541"/>
      <c r="AF554" s="541"/>
      <c r="AG554" s="541"/>
      <c r="AH554" s="541"/>
      <c r="AI554" s="541"/>
      <c r="AJ554" s="541"/>
      <c r="AK554" s="541"/>
      <c r="AL554" s="541"/>
      <c r="AM554" s="541"/>
      <c r="AN554" s="1748"/>
      <c r="AO554" s="1748"/>
      <c r="AP554" s="1748"/>
      <c r="AQ554" s="1748"/>
      <c r="AR554" s="1748"/>
      <c r="AS554" s="541"/>
      <c r="AT554" s="541"/>
      <c r="AU554" s="541"/>
      <c r="AV554" s="541"/>
      <c r="AW554" s="541"/>
      <c r="AY554" s="541"/>
      <c r="AZ554" s="633"/>
      <c r="BA554" s="541"/>
      <c r="BB554" s="1190"/>
      <c r="BC554" s="541"/>
      <c r="BD554" s="1190"/>
      <c r="BE554" s="541"/>
      <c r="BF554" s="1190"/>
      <c r="BG554" s="541"/>
      <c r="BH554" s="1190"/>
      <c r="BI554" s="541"/>
      <c r="BJ554" s="1190"/>
      <c r="BK554" s="541"/>
      <c r="BL554" s="541"/>
      <c r="BM554" s="541"/>
      <c r="BP554" s="541"/>
      <c r="BQ554" s="633"/>
      <c r="BR554" s="541"/>
      <c r="BS554" s="541"/>
      <c r="BT554" s="541"/>
      <c r="BU554" s="541"/>
    </row>
    <row r="555" ht="15.75" customHeight="1">
      <c r="A555" s="1591"/>
      <c r="B555" s="1591"/>
      <c r="C555" s="2217"/>
      <c r="D555" s="1541"/>
      <c r="E555" s="906"/>
      <c r="F555" s="541"/>
      <c r="G555" s="541"/>
      <c r="H555" s="541"/>
      <c r="I555" s="541"/>
      <c r="J555" s="1748"/>
      <c r="K555" s="541"/>
      <c r="L555" s="1748"/>
      <c r="M555" s="541"/>
      <c r="N555" s="1748"/>
      <c r="O555" s="541"/>
      <c r="P555" s="1748"/>
      <c r="Q555" s="541"/>
      <c r="R555" s="1748"/>
      <c r="S555" s="541"/>
      <c r="T555" s="1748"/>
      <c r="U555" s="541"/>
      <c r="V555" s="1748"/>
      <c r="W555" s="541"/>
      <c r="X555" s="1748"/>
      <c r="Y555" s="1748"/>
      <c r="Z555" s="1748"/>
      <c r="AA555" s="541"/>
      <c r="AB555" s="1748"/>
      <c r="AC555" s="541"/>
      <c r="AD555" s="541"/>
      <c r="AE555" s="541"/>
      <c r="AF555" s="541"/>
      <c r="AG555" s="541"/>
      <c r="AH555" s="541"/>
      <c r="AI555" s="541"/>
      <c r="AJ555" s="541"/>
      <c r="AK555" s="541"/>
      <c r="AL555" s="541"/>
      <c r="AM555" s="541"/>
      <c r="AN555" s="1748"/>
      <c r="AO555" s="1748"/>
      <c r="AP555" s="1748"/>
      <c r="AQ555" s="1748"/>
      <c r="AR555" s="1748"/>
      <c r="AS555" s="541"/>
      <c r="AT555" s="541"/>
      <c r="AU555" s="541"/>
      <c r="AV555" s="541"/>
      <c r="AW555" s="541"/>
      <c r="AY555" s="541"/>
      <c r="AZ555" s="633"/>
      <c r="BA555" s="541"/>
      <c r="BB555" s="1190"/>
      <c r="BC555" s="541"/>
      <c r="BD555" s="1190"/>
      <c r="BE555" s="541"/>
      <c r="BF555" s="1190"/>
      <c r="BG555" s="541"/>
      <c r="BH555" s="1190"/>
      <c r="BI555" s="541"/>
      <c r="BJ555" s="1190"/>
      <c r="BK555" s="541"/>
      <c r="BL555" s="541"/>
      <c r="BM555" s="541"/>
      <c r="BP555" s="541"/>
      <c r="BQ555" s="633"/>
      <c r="BR555" s="541"/>
      <c r="BS555" s="541"/>
      <c r="BT555" s="541"/>
      <c r="BU555" s="541"/>
    </row>
    <row r="556" ht="15.75" customHeight="1">
      <c r="A556" s="1591"/>
      <c r="B556" s="1591"/>
      <c r="C556" s="2217"/>
      <c r="D556" s="1541"/>
      <c r="E556" s="906"/>
      <c r="F556" s="541"/>
      <c r="G556" s="541"/>
      <c r="H556" s="541"/>
      <c r="I556" s="541"/>
      <c r="J556" s="1748"/>
      <c r="K556" s="541"/>
      <c r="L556" s="1748"/>
      <c r="M556" s="541"/>
      <c r="N556" s="1748"/>
      <c r="O556" s="541"/>
      <c r="P556" s="1748"/>
      <c r="Q556" s="541"/>
      <c r="R556" s="1748"/>
      <c r="S556" s="541"/>
      <c r="T556" s="1748"/>
      <c r="U556" s="541"/>
      <c r="V556" s="1748"/>
      <c r="W556" s="541"/>
      <c r="X556" s="1748"/>
      <c r="Y556" s="1748"/>
      <c r="Z556" s="1748"/>
      <c r="AA556" s="541"/>
      <c r="AB556" s="1748"/>
      <c r="AC556" s="541"/>
      <c r="AD556" s="541"/>
      <c r="AE556" s="541"/>
      <c r="AF556" s="541"/>
      <c r="AG556" s="541"/>
      <c r="AH556" s="541"/>
      <c r="AI556" s="541"/>
      <c r="AJ556" s="541"/>
      <c r="AK556" s="541"/>
      <c r="AL556" s="541"/>
      <c r="AM556" s="541"/>
      <c r="AN556" s="1748"/>
      <c r="AO556" s="1748"/>
      <c r="AP556" s="1748"/>
      <c r="AQ556" s="1748"/>
      <c r="AR556" s="1748"/>
      <c r="AS556" s="541"/>
      <c r="AT556" s="541"/>
      <c r="AU556" s="541"/>
      <c r="AV556" s="541"/>
      <c r="AW556" s="541"/>
      <c r="AY556" s="541"/>
      <c r="AZ556" s="633"/>
      <c r="BA556" s="541"/>
      <c r="BB556" s="1190"/>
      <c r="BC556" s="541"/>
      <c r="BD556" s="1190"/>
      <c r="BE556" s="541"/>
      <c r="BF556" s="1190"/>
      <c r="BG556" s="541"/>
      <c r="BH556" s="1190"/>
      <c r="BI556" s="541"/>
      <c r="BJ556" s="1190"/>
      <c r="BK556" s="541"/>
      <c r="BL556" s="541"/>
      <c r="BM556" s="541"/>
      <c r="BP556" s="541"/>
      <c r="BQ556" s="633"/>
      <c r="BR556" s="541"/>
      <c r="BS556" s="541"/>
      <c r="BT556" s="541"/>
      <c r="BU556" s="541"/>
    </row>
    <row r="557" ht="15.75" customHeight="1">
      <c r="A557" s="1591"/>
      <c r="B557" s="1591"/>
      <c r="C557" s="2217"/>
      <c r="D557" s="1541"/>
      <c r="E557" s="906"/>
      <c r="F557" s="541"/>
      <c r="G557" s="541"/>
      <c r="H557" s="541"/>
      <c r="I557" s="541"/>
      <c r="J557" s="1748"/>
      <c r="K557" s="541"/>
      <c r="L557" s="1748"/>
      <c r="M557" s="541"/>
      <c r="N557" s="1748"/>
      <c r="O557" s="541"/>
      <c r="P557" s="1748"/>
      <c r="Q557" s="541"/>
      <c r="R557" s="1748"/>
      <c r="S557" s="541"/>
      <c r="T557" s="1748"/>
      <c r="U557" s="541"/>
      <c r="V557" s="1748"/>
      <c r="W557" s="541"/>
      <c r="X557" s="1748"/>
      <c r="Y557" s="1748"/>
      <c r="Z557" s="1748"/>
      <c r="AA557" s="541"/>
      <c r="AB557" s="1748"/>
      <c r="AC557" s="541"/>
      <c r="AD557" s="541"/>
      <c r="AE557" s="541"/>
      <c r="AF557" s="541"/>
      <c r="AG557" s="541"/>
      <c r="AH557" s="541"/>
      <c r="AI557" s="541"/>
      <c r="AJ557" s="541"/>
      <c r="AK557" s="541"/>
      <c r="AL557" s="541"/>
      <c r="AM557" s="541"/>
      <c r="AN557" s="1748"/>
      <c r="AO557" s="1748"/>
      <c r="AP557" s="1748"/>
      <c r="AQ557" s="1748"/>
      <c r="AR557" s="1748"/>
      <c r="AS557" s="541"/>
      <c r="AT557" s="541"/>
      <c r="AU557" s="541"/>
      <c r="AV557" s="541"/>
      <c r="AW557" s="541"/>
      <c r="AY557" s="541"/>
      <c r="AZ557" s="633"/>
      <c r="BA557" s="541"/>
      <c r="BB557" s="1190"/>
      <c r="BC557" s="541"/>
      <c r="BD557" s="1190"/>
      <c r="BE557" s="541"/>
      <c r="BF557" s="1190"/>
      <c r="BG557" s="541"/>
      <c r="BH557" s="1190"/>
      <c r="BI557" s="541"/>
      <c r="BJ557" s="1190"/>
      <c r="BK557" s="541"/>
      <c r="BL557" s="541"/>
      <c r="BM557" s="541"/>
      <c r="BP557" s="541"/>
      <c r="BQ557" s="633"/>
      <c r="BR557" s="541"/>
      <c r="BS557" s="541"/>
      <c r="BT557" s="541"/>
      <c r="BU557" s="541"/>
    </row>
    <row r="558" ht="15.75" customHeight="1">
      <c r="A558" s="1591"/>
      <c r="B558" s="1591"/>
      <c r="C558" s="2217"/>
      <c r="D558" s="1541"/>
      <c r="E558" s="906"/>
      <c r="F558" s="541"/>
      <c r="G558" s="541"/>
      <c r="H558" s="541"/>
      <c r="I558" s="541"/>
      <c r="J558" s="1748"/>
      <c r="K558" s="541"/>
      <c r="L558" s="1748"/>
      <c r="M558" s="541"/>
      <c r="N558" s="1748"/>
      <c r="O558" s="541"/>
      <c r="P558" s="1748"/>
      <c r="Q558" s="541"/>
      <c r="R558" s="1748"/>
      <c r="S558" s="541"/>
      <c r="T558" s="1748"/>
      <c r="U558" s="541"/>
      <c r="V558" s="1748"/>
      <c r="W558" s="541"/>
      <c r="X558" s="1748"/>
      <c r="Y558" s="1748"/>
      <c r="Z558" s="1748"/>
      <c r="AA558" s="541"/>
      <c r="AB558" s="1748"/>
      <c r="AC558" s="541"/>
      <c r="AD558" s="541"/>
      <c r="AE558" s="541"/>
      <c r="AF558" s="541"/>
      <c r="AG558" s="541"/>
      <c r="AH558" s="541"/>
      <c r="AI558" s="541"/>
      <c r="AJ558" s="541"/>
      <c r="AK558" s="541"/>
      <c r="AL558" s="541"/>
      <c r="AM558" s="541"/>
      <c r="AN558" s="1748"/>
      <c r="AO558" s="1748"/>
      <c r="AP558" s="1748"/>
      <c r="AQ558" s="1748"/>
      <c r="AR558" s="1748"/>
      <c r="AS558" s="541"/>
      <c r="AT558" s="541"/>
      <c r="AU558" s="541"/>
      <c r="AV558" s="541"/>
      <c r="AW558" s="541"/>
      <c r="AY558" s="541"/>
      <c r="AZ558" s="633"/>
      <c r="BA558" s="541"/>
      <c r="BB558" s="1190"/>
      <c r="BC558" s="541"/>
      <c r="BD558" s="1190"/>
      <c r="BE558" s="541"/>
      <c r="BF558" s="1190"/>
      <c r="BG558" s="541"/>
      <c r="BH558" s="1190"/>
      <c r="BI558" s="541"/>
      <c r="BJ558" s="1190"/>
      <c r="BK558" s="541"/>
      <c r="BL558" s="541"/>
      <c r="BM558" s="541"/>
      <c r="BP558" s="541"/>
      <c r="BQ558" s="633"/>
      <c r="BR558" s="541"/>
      <c r="BS558" s="541"/>
      <c r="BT558" s="541"/>
      <c r="BU558" s="541"/>
    </row>
    <row r="559" ht="15.75" customHeight="1">
      <c r="A559" s="1591"/>
      <c r="B559" s="1591"/>
      <c r="C559" s="2217"/>
      <c r="D559" s="1541"/>
      <c r="E559" s="906"/>
      <c r="F559" s="541"/>
      <c r="G559" s="541"/>
      <c r="H559" s="541"/>
      <c r="I559" s="541"/>
      <c r="J559" s="1748"/>
      <c r="K559" s="541"/>
      <c r="L559" s="1748"/>
      <c r="M559" s="541"/>
      <c r="N559" s="1748"/>
      <c r="O559" s="541"/>
      <c r="P559" s="1748"/>
      <c r="Q559" s="541"/>
      <c r="R559" s="1748"/>
      <c r="S559" s="541"/>
      <c r="T559" s="1748"/>
      <c r="U559" s="541"/>
      <c r="V559" s="1748"/>
      <c r="W559" s="541"/>
      <c r="X559" s="1748"/>
      <c r="Y559" s="1748"/>
      <c r="Z559" s="1748"/>
      <c r="AA559" s="541"/>
      <c r="AB559" s="1748"/>
      <c r="AC559" s="541"/>
      <c r="AD559" s="541"/>
      <c r="AE559" s="541"/>
      <c r="AF559" s="541"/>
      <c r="AG559" s="541"/>
      <c r="AH559" s="541"/>
      <c r="AI559" s="541"/>
      <c r="AJ559" s="541"/>
      <c r="AK559" s="541"/>
      <c r="AL559" s="541"/>
      <c r="AM559" s="541"/>
      <c r="AN559" s="1748"/>
      <c r="AO559" s="1748"/>
      <c r="AP559" s="1748"/>
      <c r="AQ559" s="1748"/>
      <c r="AR559" s="1748"/>
      <c r="AS559" s="541"/>
      <c r="AT559" s="541"/>
      <c r="AU559" s="541"/>
      <c r="AV559" s="541"/>
      <c r="AW559" s="541"/>
      <c r="AY559" s="541"/>
      <c r="AZ559" s="633"/>
      <c r="BA559" s="541"/>
      <c r="BB559" s="1190"/>
      <c r="BC559" s="541"/>
      <c r="BD559" s="1190"/>
      <c r="BE559" s="541"/>
      <c r="BF559" s="1190"/>
      <c r="BG559" s="541"/>
      <c r="BH559" s="1190"/>
      <c r="BI559" s="541"/>
      <c r="BJ559" s="1190"/>
      <c r="BK559" s="541"/>
      <c r="BL559" s="541"/>
      <c r="BM559" s="541"/>
      <c r="BP559" s="541"/>
      <c r="BQ559" s="633"/>
      <c r="BR559" s="541"/>
      <c r="BS559" s="541"/>
      <c r="BT559" s="541"/>
      <c r="BU559" s="541"/>
    </row>
    <row r="560" ht="15.75" customHeight="1">
      <c r="A560" s="1591"/>
      <c r="B560" s="1591"/>
      <c r="C560" s="2217"/>
      <c r="D560" s="1541"/>
      <c r="E560" s="906"/>
      <c r="F560" s="541"/>
      <c r="G560" s="541"/>
      <c r="H560" s="541"/>
      <c r="I560" s="541"/>
      <c r="J560" s="1748"/>
      <c r="K560" s="541"/>
      <c r="L560" s="1748"/>
      <c r="M560" s="541"/>
      <c r="N560" s="1748"/>
      <c r="O560" s="541"/>
      <c r="P560" s="1748"/>
      <c r="Q560" s="541"/>
      <c r="R560" s="1748"/>
      <c r="S560" s="541"/>
      <c r="T560" s="1748"/>
      <c r="U560" s="541"/>
      <c r="V560" s="1748"/>
      <c r="W560" s="541"/>
      <c r="X560" s="1748"/>
      <c r="Y560" s="1748"/>
      <c r="Z560" s="1748"/>
      <c r="AA560" s="541"/>
      <c r="AB560" s="1748"/>
      <c r="AC560" s="541"/>
      <c r="AD560" s="541"/>
      <c r="AE560" s="541"/>
      <c r="AF560" s="541"/>
      <c r="AG560" s="541"/>
      <c r="AH560" s="541"/>
      <c r="AI560" s="541"/>
      <c r="AJ560" s="541"/>
      <c r="AK560" s="541"/>
      <c r="AL560" s="541"/>
      <c r="AM560" s="541"/>
      <c r="AN560" s="1748"/>
      <c r="AO560" s="1748"/>
      <c r="AP560" s="1748"/>
      <c r="AQ560" s="1748"/>
      <c r="AR560" s="1748"/>
      <c r="AS560" s="541"/>
      <c r="AT560" s="541"/>
      <c r="AU560" s="541"/>
      <c r="AV560" s="541"/>
      <c r="AW560" s="541"/>
      <c r="AY560" s="541"/>
      <c r="AZ560" s="633"/>
      <c r="BA560" s="541"/>
      <c r="BB560" s="1190"/>
      <c r="BC560" s="541"/>
      <c r="BD560" s="1190"/>
      <c r="BE560" s="541"/>
      <c r="BF560" s="1190"/>
      <c r="BG560" s="541"/>
      <c r="BH560" s="1190"/>
      <c r="BI560" s="541"/>
      <c r="BJ560" s="1190"/>
      <c r="BK560" s="541"/>
      <c r="BL560" s="541"/>
      <c r="BM560" s="541"/>
      <c r="BP560" s="541"/>
      <c r="BQ560" s="633"/>
      <c r="BR560" s="541"/>
      <c r="BS560" s="541"/>
      <c r="BT560" s="541"/>
      <c r="BU560" s="541"/>
    </row>
    <row r="561" ht="15.75" customHeight="1">
      <c r="A561" s="1591"/>
      <c r="B561" s="1591"/>
      <c r="C561" s="2217"/>
      <c r="D561" s="1541"/>
      <c r="E561" s="906"/>
      <c r="F561" s="541"/>
      <c r="G561" s="541"/>
      <c r="H561" s="541"/>
      <c r="I561" s="541"/>
      <c r="J561" s="1748"/>
      <c r="K561" s="541"/>
      <c r="L561" s="1748"/>
      <c r="M561" s="541"/>
      <c r="N561" s="1748"/>
      <c r="O561" s="541"/>
      <c r="P561" s="1748"/>
      <c r="Q561" s="541"/>
      <c r="R561" s="1748"/>
      <c r="S561" s="541"/>
      <c r="T561" s="1748"/>
      <c r="U561" s="541"/>
      <c r="V561" s="1748"/>
      <c r="W561" s="541"/>
      <c r="X561" s="1748"/>
      <c r="Y561" s="1748"/>
      <c r="Z561" s="1748"/>
      <c r="AA561" s="541"/>
      <c r="AB561" s="1748"/>
      <c r="AC561" s="541"/>
      <c r="AD561" s="541"/>
      <c r="AE561" s="541"/>
      <c r="AF561" s="541"/>
      <c r="AG561" s="541"/>
      <c r="AH561" s="541"/>
      <c r="AI561" s="541"/>
      <c r="AJ561" s="541"/>
      <c r="AK561" s="541"/>
      <c r="AL561" s="541"/>
      <c r="AM561" s="541"/>
      <c r="AN561" s="1748"/>
      <c r="AO561" s="1748"/>
      <c r="AP561" s="1748"/>
      <c r="AQ561" s="1748"/>
      <c r="AR561" s="1748"/>
      <c r="AS561" s="541"/>
      <c r="AT561" s="541"/>
      <c r="AU561" s="541"/>
      <c r="AV561" s="541"/>
      <c r="AW561" s="541"/>
      <c r="AY561" s="541"/>
      <c r="AZ561" s="633"/>
      <c r="BA561" s="541"/>
      <c r="BB561" s="1190"/>
      <c r="BC561" s="541"/>
      <c r="BD561" s="1190"/>
      <c r="BE561" s="541"/>
      <c r="BF561" s="1190"/>
      <c r="BG561" s="541"/>
      <c r="BH561" s="1190"/>
      <c r="BI561" s="541"/>
      <c r="BJ561" s="1190"/>
      <c r="BK561" s="541"/>
      <c r="BL561" s="541"/>
      <c r="BM561" s="541"/>
      <c r="BP561" s="541"/>
      <c r="BQ561" s="633"/>
      <c r="BR561" s="541"/>
      <c r="BS561" s="541"/>
      <c r="BT561" s="541"/>
      <c r="BU561" s="541"/>
    </row>
    <row r="562" ht="15.75" customHeight="1">
      <c r="A562" s="1591"/>
      <c r="B562" s="1591"/>
      <c r="C562" s="2217"/>
      <c r="D562" s="1541"/>
      <c r="E562" s="906"/>
      <c r="F562" s="541"/>
      <c r="G562" s="541"/>
      <c r="H562" s="541"/>
      <c r="I562" s="541"/>
      <c r="J562" s="1748"/>
      <c r="K562" s="541"/>
      <c r="L562" s="1748"/>
      <c r="M562" s="541"/>
      <c r="N562" s="1748"/>
      <c r="O562" s="541"/>
      <c r="P562" s="1748"/>
      <c r="Q562" s="541"/>
      <c r="R562" s="1748"/>
      <c r="S562" s="541"/>
      <c r="T562" s="1748"/>
      <c r="U562" s="541"/>
      <c r="V562" s="1748"/>
      <c r="W562" s="541"/>
      <c r="X562" s="1748"/>
      <c r="Y562" s="1748"/>
      <c r="Z562" s="1748"/>
      <c r="AA562" s="541"/>
      <c r="AB562" s="1748"/>
      <c r="AC562" s="541"/>
      <c r="AD562" s="541"/>
      <c r="AE562" s="541"/>
      <c r="AF562" s="541"/>
      <c r="AG562" s="541"/>
      <c r="AH562" s="541"/>
      <c r="AI562" s="541"/>
      <c r="AJ562" s="541"/>
      <c r="AK562" s="541"/>
      <c r="AL562" s="541"/>
      <c r="AM562" s="541"/>
      <c r="AN562" s="1748"/>
      <c r="AO562" s="1748"/>
      <c r="AP562" s="1748"/>
      <c r="AQ562" s="1748"/>
      <c r="AR562" s="1748"/>
      <c r="AS562" s="541"/>
      <c r="AT562" s="541"/>
      <c r="AU562" s="541"/>
      <c r="AV562" s="541"/>
      <c r="AW562" s="541"/>
      <c r="AY562" s="541"/>
      <c r="AZ562" s="633"/>
      <c r="BA562" s="541"/>
      <c r="BB562" s="1190"/>
      <c r="BC562" s="541"/>
      <c r="BD562" s="1190"/>
      <c r="BE562" s="541"/>
      <c r="BF562" s="1190"/>
      <c r="BG562" s="541"/>
      <c r="BH562" s="1190"/>
      <c r="BI562" s="541"/>
      <c r="BJ562" s="1190"/>
      <c r="BK562" s="541"/>
      <c r="BL562" s="541"/>
      <c r="BM562" s="541"/>
      <c r="BP562" s="541"/>
      <c r="BQ562" s="633"/>
      <c r="BR562" s="541"/>
      <c r="BS562" s="541"/>
      <c r="BT562" s="541"/>
      <c r="BU562" s="541"/>
    </row>
    <row r="563" ht="15.75" customHeight="1">
      <c r="A563" s="1591"/>
      <c r="B563" s="1591"/>
      <c r="C563" s="2217"/>
      <c r="D563" s="1541"/>
      <c r="E563" s="906"/>
      <c r="F563" s="541"/>
      <c r="G563" s="541"/>
      <c r="H563" s="541"/>
      <c r="I563" s="541"/>
      <c r="J563" s="1748"/>
      <c r="K563" s="541"/>
      <c r="L563" s="1748"/>
      <c r="M563" s="541"/>
      <c r="N563" s="1748"/>
      <c r="O563" s="541"/>
      <c r="P563" s="1748"/>
      <c r="Q563" s="541"/>
      <c r="R563" s="1748"/>
      <c r="S563" s="541"/>
      <c r="T563" s="1748"/>
      <c r="U563" s="541"/>
      <c r="V563" s="1748"/>
      <c r="W563" s="541"/>
      <c r="X563" s="1748"/>
      <c r="Y563" s="1748"/>
      <c r="Z563" s="1748"/>
      <c r="AA563" s="541"/>
      <c r="AB563" s="1748"/>
      <c r="AC563" s="541"/>
      <c r="AD563" s="541"/>
      <c r="AE563" s="541"/>
      <c r="AF563" s="541"/>
      <c r="AG563" s="541"/>
      <c r="AH563" s="541"/>
      <c r="AI563" s="541"/>
      <c r="AJ563" s="541"/>
      <c r="AK563" s="541"/>
      <c r="AL563" s="541"/>
      <c r="AM563" s="541"/>
      <c r="AN563" s="1748"/>
      <c r="AO563" s="1748"/>
      <c r="AP563" s="1748"/>
      <c r="AQ563" s="1748"/>
      <c r="AR563" s="1748"/>
      <c r="AS563" s="541"/>
      <c r="AT563" s="541"/>
      <c r="AU563" s="541"/>
      <c r="AV563" s="541"/>
      <c r="AW563" s="541"/>
      <c r="AY563" s="541"/>
      <c r="AZ563" s="633"/>
      <c r="BA563" s="541"/>
      <c r="BB563" s="1190"/>
      <c r="BC563" s="541"/>
      <c r="BD563" s="1190"/>
      <c r="BE563" s="541"/>
      <c r="BF563" s="1190"/>
      <c r="BG563" s="541"/>
      <c r="BH563" s="1190"/>
      <c r="BI563" s="541"/>
      <c r="BJ563" s="1190"/>
      <c r="BK563" s="541"/>
      <c r="BL563" s="541"/>
      <c r="BM563" s="541"/>
      <c r="BP563" s="541"/>
      <c r="BQ563" s="633"/>
      <c r="BR563" s="541"/>
      <c r="BS563" s="541"/>
      <c r="BT563" s="541"/>
      <c r="BU563" s="541"/>
    </row>
    <row r="564" ht="15.75" customHeight="1">
      <c r="A564" s="1591"/>
      <c r="B564" s="1591"/>
      <c r="C564" s="2217"/>
      <c r="D564" s="1541"/>
      <c r="E564" s="906"/>
      <c r="F564" s="541"/>
      <c r="G564" s="541"/>
      <c r="H564" s="541"/>
      <c r="I564" s="541"/>
      <c r="J564" s="1748"/>
      <c r="K564" s="541"/>
      <c r="L564" s="1748"/>
      <c r="M564" s="541"/>
      <c r="N564" s="1748"/>
      <c r="O564" s="541"/>
      <c r="P564" s="1748"/>
      <c r="Q564" s="541"/>
      <c r="R564" s="1748"/>
      <c r="S564" s="541"/>
      <c r="T564" s="1748"/>
      <c r="U564" s="541"/>
      <c r="V564" s="1748"/>
      <c r="W564" s="541"/>
      <c r="X564" s="1748"/>
      <c r="Y564" s="1748"/>
      <c r="Z564" s="1748"/>
      <c r="AA564" s="541"/>
      <c r="AB564" s="1748"/>
      <c r="AC564" s="541"/>
      <c r="AD564" s="541"/>
      <c r="AE564" s="541"/>
      <c r="AF564" s="541"/>
      <c r="AG564" s="541"/>
      <c r="AH564" s="541"/>
      <c r="AI564" s="541"/>
      <c r="AJ564" s="541"/>
      <c r="AK564" s="541"/>
      <c r="AL564" s="541"/>
      <c r="AM564" s="541"/>
      <c r="AN564" s="1748"/>
      <c r="AO564" s="1748"/>
      <c r="AP564" s="1748"/>
      <c r="AQ564" s="1748"/>
      <c r="AR564" s="1748"/>
      <c r="AS564" s="541"/>
      <c r="AT564" s="541"/>
      <c r="AU564" s="541"/>
      <c r="AV564" s="541"/>
      <c r="AW564" s="541"/>
      <c r="AY564" s="541"/>
      <c r="AZ564" s="633"/>
      <c r="BA564" s="541"/>
      <c r="BB564" s="1190"/>
      <c r="BC564" s="541"/>
      <c r="BD564" s="1190"/>
      <c r="BE564" s="541"/>
      <c r="BF564" s="1190"/>
      <c r="BG564" s="541"/>
      <c r="BH564" s="1190"/>
      <c r="BI564" s="541"/>
      <c r="BJ564" s="1190"/>
      <c r="BK564" s="541"/>
      <c r="BL564" s="541"/>
      <c r="BM564" s="541"/>
      <c r="BP564" s="541"/>
      <c r="BQ564" s="633"/>
      <c r="BR564" s="541"/>
      <c r="BS564" s="541"/>
      <c r="BT564" s="541"/>
      <c r="BU564" s="541"/>
    </row>
    <row r="565" ht="15.75" customHeight="1">
      <c r="A565" s="1591"/>
      <c r="B565" s="1591"/>
      <c r="C565" s="2217"/>
      <c r="D565" s="1541"/>
      <c r="E565" s="906"/>
      <c r="F565" s="541"/>
      <c r="G565" s="541"/>
      <c r="H565" s="541"/>
      <c r="I565" s="541"/>
      <c r="J565" s="1748"/>
      <c r="K565" s="541"/>
      <c r="L565" s="1748"/>
      <c r="M565" s="541"/>
      <c r="N565" s="1748"/>
      <c r="O565" s="541"/>
      <c r="P565" s="1748"/>
      <c r="Q565" s="541"/>
      <c r="R565" s="1748"/>
      <c r="S565" s="541"/>
      <c r="T565" s="1748"/>
      <c r="U565" s="541"/>
      <c r="V565" s="1748"/>
      <c r="W565" s="541"/>
      <c r="X565" s="1748"/>
      <c r="Y565" s="1748"/>
      <c r="Z565" s="1748"/>
      <c r="AA565" s="541"/>
      <c r="AB565" s="1748"/>
      <c r="AC565" s="541"/>
      <c r="AD565" s="541"/>
      <c r="AE565" s="541"/>
      <c r="AF565" s="541"/>
      <c r="AG565" s="541"/>
      <c r="AH565" s="541"/>
      <c r="AI565" s="541"/>
      <c r="AJ565" s="541"/>
      <c r="AK565" s="541"/>
      <c r="AL565" s="541"/>
      <c r="AM565" s="541"/>
      <c r="AN565" s="1748"/>
      <c r="AO565" s="1748"/>
      <c r="AP565" s="1748"/>
      <c r="AQ565" s="1748"/>
      <c r="AR565" s="1748"/>
      <c r="AS565" s="541"/>
      <c r="AT565" s="541"/>
      <c r="AU565" s="541"/>
      <c r="AV565" s="541"/>
      <c r="AW565" s="541"/>
      <c r="AY565" s="541"/>
      <c r="AZ565" s="633"/>
      <c r="BA565" s="541"/>
      <c r="BB565" s="1190"/>
      <c r="BC565" s="541"/>
      <c r="BD565" s="1190"/>
      <c r="BE565" s="541"/>
      <c r="BF565" s="1190"/>
      <c r="BG565" s="541"/>
      <c r="BH565" s="1190"/>
      <c r="BI565" s="541"/>
      <c r="BJ565" s="1190"/>
      <c r="BK565" s="541"/>
      <c r="BL565" s="541"/>
      <c r="BM565" s="541"/>
      <c r="BP565" s="541"/>
      <c r="BQ565" s="633"/>
      <c r="BR565" s="541"/>
      <c r="BS565" s="541"/>
      <c r="BT565" s="541"/>
      <c r="BU565" s="541"/>
    </row>
    <row r="566" ht="15.75" customHeight="1">
      <c r="A566" s="1591"/>
      <c r="B566" s="1591"/>
      <c r="C566" s="2217"/>
      <c r="D566" s="1541"/>
      <c r="E566" s="906"/>
      <c r="F566" s="541"/>
      <c r="G566" s="541"/>
      <c r="H566" s="541"/>
      <c r="I566" s="541"/>
      <c r="J566" s="1748"/>
      <c r="K566" s="541"/>
      <c r="L566" s="1748"/>
      <c r="M566" s="541"/>
      <c r="N566" s="1748"/>
      <c r="O566" s="541"/>
      <c r="P566" s="1748"/>
      <c r="Q566" s="541"/>
      <c r="R566" s="1748"/>
      <c r="S566" s="541"/>
      <c r="T566" s="1748"/>
      <c r="U566" s="541"/>
      <c r="V566" s="1748"/>
      <c r="W566" s="541"/>
      <c r="X566" s="1748"/>
      <c r="Y566" s="1748"/>
      <c r="Z566" s="1748"/>
      <c r="AA566" s="541"/>
      <c r="AB566" s="1748"/>
      <c r="AC566" s="541"/>
      <c r="AD566" s="541"/>
      <c r="AE566" s="541"/>
      <c r="AF566" s="541"/>
      <c r="AG566" s="541"/>
      <c r="AH566" s="541"/>
      <c r="AI566" s="541"/>
      <c r="AJ566" s="541"/>
      <c r="AK566" s="541"/>
      <c r="AL566" s="541"/>
      <c r="AM566" s="541"/>
      <c r="AN566" s="1748"/>
      <c r="AO566" s="1748"/>
      <c r="AP566" s="1748"/>
      <c r="AQ566" s="1748"/>
      <c r="AR566" s="1748"/>
      <c r="AS566" s="541"/>
      <c r="AT566" s="541"/>
      <c r="AU566" s="541"/>
      <c r="AV566" s="541"/>
      <c r="AW566" s="541"/>
      <c r="AY566" s="541"/>
      <c r="AZ566" s="633"/>
      <c r="BA566" s="541"/>
      <c r="BB566" s="1190"/>
      <c r="BC566" s="541"/>
      <c r="BD566" s="1190"/>
      <c r="BE566" s="541"/>
      <c r="BF566" s="1190"/>
      <c r="BG566" s="541"/>
      <c r="BH566" s="1190"/>
      <c r="BI566" s="541"/>
      <c r="BJ566" s="1190"/>
      <c r="BK566" s="541"/>
      <c r="BL566" s="541"/>
      <c r="BM566" s="541"/>
      <c r="BP566" s="541"/>
      <c r="BQ566" s="633"/>
      <c r="BR566" s="541"/>
      <c r="BS566" s="541"/>
      <c r="BT566" s="541"/>
      <c r="BU566" s="541"/>
    </row>
    <row r="567" ht="15.75" customHeight="1">
      <c r="A567" s="1591"/>
      <c r="B567" s="1591"/>
      <c r="C567" s="2217"/>
      <c r="D567" s="1541"/>
      <c r="E567" s="906"/>
      <c r="F567" s="541"/>
      <c r="G567" s="541"/>
      <c r="H567" s="541"/>
      <c r="I567" s="541"/>
      <c r="J567" s="1748"/>
      <c r="K567" s="541"/>
      <c r="L567" s="1748"/>
      <c r="M567" s="541"/>
      <c r="N567" s="1748"/>
      <c r="O567" s="541"/>
      <c r="P567" s="1748"/>
      <c r="Q567" s="541"/>
      <c r="R567" s="1748"/>
      <c r="S567" s="541"/>
      <c r="T567" s="1748"/>
      <c r="U567" s="541"/>
      <c r="V567" s="1748"/>
      <c r="W567" s="541"/>
      <c r="X567" s="1748"/>
      <c r="Y567" s="1748"/>
      <c r="Z567" s="1748"/>
      <c r="AA567" s="541"/>
      <c r="AB567" s="1748"/>
      <c r="AC567" s="541"/>
      <c r="AD567" s="541"/>
      <c r="AE567" s="541"/>
      <c r="AF567" s="541"/>
      <c r="AG567" s="541"/>
      <c r="AH567" s="541"/>
      <c r="AI567" s="541"/>
      <c r="AJ567" s="541"/>
      <c r="AK567" s="541"/>
      <c r="AL567" s="541"/>
      <c r="AM567" s="541"/>
      <c r="AN567" s="1748"/>
      <c r="AO567" s="1748"/>
      <c r="AP567" s="1748"/>
      <c r="AQ567" s="1748"/>
      <c r="AR567" s="1748"/>
      <c r="AS567" s="541"/>
      <c r="AT567" s="541"/>
      <c r="AU567" s="541"/>
      <c r="AV567" s="541"/>
      <c r="AW567" s="541"/>
      <c r="AY567" s="541"/>
      <c r="AZ567" s="633"/>
      <c r="BA567" s="541"/>
      <c r="BB567" s="1190"/>
      <c r="BC567" s="541"/>
      <c r="BD567" s="1190"/>
      <c r="BE567" s="541"/>
      <c r="BF567" s="1190"/>
      <c r="BG567" s="541"/>
      <c r="BH567" s="1190"/>
      <c r="BI567" s="541"/>
      <c r="BJ567" s="1190"/>
      <c r="BK567" s="541"/>
      <c r="BL567" s="541"/>
      <c r="BM567" s="541"/>
      <c r="BP567" s="541"/>
      <c r="BQ567" s="633"/>
      <c r="BR567" s="541"/>
      <c r="BS567" s="541"/>
      <c r="BT567" s="541"/>
      <c r="BU567" s="541"/>
    </row>
    <row r="568" ht="15.75" customHeight="1">
      <c r="A568" s="1591"/>
      <c r="B568" s="1591"/>
      <c r="C568" s="2217"/>
      <c r="D568" s="1541"/>
      <c r="E568" s="906"/>
      <c r="F568" s="541"/>
      <c r="G568" s="541"/>
      <c r="H568" s="541"/>
      <c r="I568" s="541"/>
      <c r="J568" s="1748"/>
      <c r="K568" s="541"/>
      <c r="L568" s="1748"/>
      <c r="M568" s="541"/>
      <c r="N568" s="1748"/>
      <c r="O568" s="541"/>
      <c r="P568" s="1748"/>
      <c r="Q568" s="541"/>
      <c r="R568" s="1748"/>
      <c r="S568" s="541"/>
      <c r="T568" s="1748"/>
      <c r="U568" s="541"/>
      <c r="V568" s="1748"/>
      <c r="W568" s="541"/>
      <c r="X568" s="1748"/>
      <c r="Y568" s="1748"/>
      <c r="Z568" s="1748"/>
      <c r="AA568" s="541"/>
      <c r="AB568" s="1748"/>
      <c r="AC568" s="541"/>
      <c r="AD568" s="541"/>
      <c r="AE568" s="541"/>
      <c r="AF568" s="541"/>
      <c r="AG568" s="541"/>
      <c r="AH568" s="541"/>
      <c r="AI568" s="541"/>
      <c r="AJ568" s="541"/>
      <c r="AK568" s="541"/>
      <c r="AL568" s="541"/>
      <c r="AM568" s="541"/>
      <c r="AN568" s="1748"/>
      <c r="AO568" s="1748"/>
      <c r="AP568" s="1748"/>
      <c r="AQ568" s="1748"/>
      <c r="AR568" s="1748"/>
      <c r="AS568" s="541"/>
      <c r="AT568" s="541"/>
      <c r="AU568" s="541"/>
      <c r="AV568" s="541"/>
      <c r="AW568" s="541"/>
      <c r="AY568" s="541"/>
      <c r="AZ568" s="633"/>
      <c r="BA568" s="541"/>
      <c r="BB568" s="1190"/>
      <c r="BC568" s="541"/>
      <c r="BD568" s="1190"/>
      <c r="BE568" s="541"/>
      <c r="BF568" s="1190"/>
      <c r="BG568" s="541"/>
      <c r="BH568" s="1190"/>
      <c r="BI568" s="541"/>
      <c r="BJ568" s="1190"/>
      <c r="BK568" s="541"/>
      <c r="BL568" s="541"/>
      <c r="BM568" s="541"/>
      <c r="BP568" s="541"/>
      <c r="BQ568" s="633"/>
      <c r="BR568" s="541"/>
      <c r="BS568" s="541"/>
      <c r="BT568" s="541"/>
      <c r="BU568" s="541"/>
    </row>
    <row r="569" ht="15.75" customHeight="1">
      <c r="A569" s="1591"/>
      <c r="B569" s="1591"/>
      <c r="C569" s="2217"/>
      <c r="D569" s="1541"/>
      <c r="E569" s="906"/>
      <c r="F569" s="541"/>
      <c r="G569" s="541"/>
      <c r="H569" s="541"/>
      <c r="I569" s="541"/>
      <c r="J569" s="1748"/>
      <c r="K569" s="541"/>
      <c r="L569" s="1748"/>
      <c r="M569" s="541"/>
      <c r="N569" s="1748"/>
      <c r="O569" s="541"/>
      <c r="P569" s="1748"/>
      <c r="Q569" s="541"/>
      <c r="R569" s="1748"/>
      <c r="S569" s="541"/>
      <c r="T569" s="1748"/>
      <c r="U569" s="541"/>
      <c r="V569" s="1748"/>
      <c r="W569" s="541"/>
      <c r="X569" s="1748"/>
      <c r="Y569" s="1748"/>
      <c r="Z569" s="1748"/>
      <c r="AA569" s="541"/>
      <c r="AB569" s="1748"/>
      <c r="AC569" s="541"/>
      <c r="AD569" s="541"/>
      <c r="AE569" s="541"/>
      <c r="AF569" s="541"/>
      <c r="AG569" s="541"/>
      <c r="AH569" s="541"/>
      <c r="AI569" s="541"/>
      <c r="AJ569" s="541"/>
      <c r="AK569" s="541"/>
      <c r="AL569" s="541"/>
      <c r="AM569" s="541"/>
      <c r="AN569" s="1748"/>
      <c r="AO569" s="1748"/>
      <c r="AP569" s="1748"/>
      <c r="AQ569" s="1748"/>
      <c r="AR569" s="1748"/>
      <c r="AS569" s="541"/>
      <c r="AT569" s="541"/>
      <c r="AU569" s="541"/>
      <c r="AV569" s="541"/>
      <c r="AW569" s="541"/>
      <c r="AY569" s="541"/>
      <c r="AZ569" s="633"/>
      <c r="BA569" s="541"/>
      <c r="BB569" s="1190"/>
      <c r="BC569" s="541"/>
      <c r="BD569" s="1190"/>
      <c r="BE569" s="541"/>
      <c r="BF569" s="1190"/>
      <c r="BG569" s="541"/>
      <c r="BH569" s="1190"/>
      <c r="BI569" s="541"/>
      <c r="BJ569" s="1190"/>
      <c r="BK569" s="541"/>
      <c r="BL569" s="541"/>
      <c r="BM569" s="541"/>
      <c r="BP569" s="541"/>
      <c r="BQ569" s="633"/>
      <c r="BR569" s="541"/>
      <c r="BS569" s="541"/>
      <c r="BT569" s="541"/>
      <c r="BU569" s="541"/>
    </row>
    <row r="570" ht="15.75" customHeight="1">
      <c r="A570" s="1591"/>
      <c r="B570" s="1591"/>
      <c r="C570" s="2217"/>
      <c r="D570" s="1541"/>
      <c r="E570" s="906"/>
      <c r="F570" s="541"/>
      <c r="G570" s="541"/>
      <c r="H570" s="541"/>
      <c r="I570" s="541"/>
      <c r="J570" s="1748"/>
      <c r="K570" s="541"/>
      <c r="L570" s="1748"/>
      <c r="M570" s="541"/>
      <c r="N570" s="1748"/>
      <c r="O570" s="541"/>
      <c r="P570" s="1748"/>
      <c r="Q570" s="541"/>
      <c r="R570" s="1748"/>
      <c r="S570" s="541"/>
      <c r="T570" s="1748"/>
      <c r="U570" s="541"/>
      <c r="V570" s="1748"/>
      <c r="W570" s="541"/>
      <c r="X570" s="1748"/>
      <c r="Y570" s="1748"/>
      <c r="Z570" s="1748"/>
      <c r="AA570" s="541"/>
      <c r="AB570" s="1748"/>
      <c r="AC570" s="541"/>
      <c r="AD570" s="541"/>
      <c r="AE570" s="541"/>
      <c r="AF570" s="541"/>
      <c r="AG570" s="541"/>
      <c r="AH570" s="541"/>
      <c r="AI570" s="541"/>
      <c r="AJ570" s="541"/>
      <c r="AK570" s="541"/>
      <c r="AL570" s="541"/>
      <c r="AM570" s="541"/>
      <c r="AN570" s="1748"/>
      <c r="AO570" s="1748"/>
      <c r="AP570" s="1748"/>
      <c r="AQ570" s="1748"/>
      <c r="AR570" s="1748"/>
      <c r="AS570" s="541"/>
      <c r="AT570" s="541"/>
      <c r="AU570" s="541"/>
      <c r="AV570" s="541"/>
      <c r="AW570" s="541"/>
      <c r="AY570" s="541"/>
      <c r="AZ570" s="633"/>
      <c r="BA570" s="541"/>
      <c r="BB570" s="1190"/>
      <c r="BC570" s="541"/>
      <c r="BD570" s="1190"/>
      <c r="BE570" s="541"/>
      <c r="BF570" s="1190"/>
      <c r="BG570" s="541"/>
      <c r="BH570" s="1190"/>
      <c r="BI570" s="541"/>
      <c r="BJ570" s="1190"/>
      <c r="BK570" s="541"/>
      <c r="BL570" s="541"/>
      <c r="BM570" s="541"/>
      <c r="BP570" s="541"/>
      <c r="BQ570" s="633"/>
      <c r="BR570" s="541"/>
      <c r="BS570" s="541"/>
      <c r="BT570" s="541"/>
      <c r="BU570" s="541"/>
    </row>
    <row r="571" ht="15.75" customHeight="1">
      <c r="A571" s="1591"/>
      <c r="B571" s="1591"/>
      <c r="C571" s="2217"/>
      <c r="D571" s="1541"/>
      <c r="E571" s="906"/>
      <c r="F571" s="541"/>
      <c r="G571" s="541"/>
      <c r="H571" s="541"/>
      <c r="I571" s="541"/>
      <c r="J571" s="1748"/>
      <c r="K571" s="541"/>
      <c r="L571" s="1748"/>
      <c r="M571" s="541"/>
      <c r="N571" s="1748"/>
      <c r="O571" s="541"/>
      <c r="P571" s="1748"/>
      <c r="Q571" s="541"/>
      <c r="R571" s="1748"/>
      <c r="S571" s="541"/>
      <c r="T571" s="1748"/>
      <c r="U571" s="541"/>
      <c r="V571" s="1748"/>
      <c r="W571" s="541"/>
      <c r="X571" s="1748"/>
      <c r="Y571" s="1748"/>
      <c r="Z571" s="1748"/>
      <c r="AA571" s="541"/>
      <c r="AB571" s="1748"/>
      <c r="AC571" s="541"/>
      <c r="AD571" s="541"/>
      <c r="AE571" s="541"/>
      <c r="AF571" s="541"/>
      <c r="AG571" s="541"/>
      <c r="AH571" s="541"/>
      <c r="AI571" s="541"/>
      <c r="AJ571" s="541"/>
      <c r="AK571" s="541"/>
      <c r="AL571" s="541"/>
      <c r="AM571" s="541"/>
      <c r="AN571" s="1748"/>
      <c r="AO571" s="1748"/>
      <c r="AP571" s="1748"/>
      <c r="AQ571" s="1748"/>
      <c r="AR571" s="1748"/>
      <c r="AS571" s="541"/>
      <c r="AT571" s="541"/>
      <c r="AU571" s="541"/>
      <c r="AV571" s="541"/>
      <c r="AW571" s="541"/>
      <c r="AY571" s="541"/>
      <c r="AZ571" s="633"/>
      <c r="BA571" s="541"/>
      <c r="BB571" s="1190"/>
      <c r="BC571" s="541"/>
      <c r="BD571" s="1190"/>
      <c r="BE571" s="541"/>
      <c r="BF571" s="1190"/>
      <c r="BG571" s="541"/>
      <c r="BH571" s="1190"/>
      <c r="BI571" s="541"/>
      <c r="BJ571" s="1190"/>
      <c r="BK571" s="541"/>
      <c r="BL571" s="541"/>
      <c r="BM571" s="541"/>
      <c r="BP571" s="541"/>
      <c r="BQ571" s="633"/>
      <c r="BR571" s="541"/>
      <c r="BS571" s="541"/>
      <c r="BT571" s="541"/>
      <c r="BU571" s="541"/>
    </row>
    <row r="572" ht="15.75" customHeight="1">
      <c r="A572" s="1591"/>
      <c r="B572" s="1591"/>
      <c r="C572" s="2217"/>
      <c r="D572" s="1541"/>
      <c r="E572" s="906"/>
      <c r="F572" s="541"/>
      <c r="G572" s="541"/>
      <c r="H572" s="541"/>
      <c r="I572" s="541"/>
      <c r="J572" s="1748"/>
      <c r="K572" s="541"/>
      <c r="L572" s="1748"/>
      <c r="M572" s="541"/>
      <c r="N572" s="1748"/>
      <c r="O572" s="541"/>
      <c r="P572" s="1748"/>
      <c r="Q572" s="541"/>
      <c r="R572" s="1748"/>
      <c r="S572" s="541"/>
      <c r="T572" s="1748"/>
      <c r="U572" s="541"/>
      <c r="V572" s="1748"/>
      <c r="W572" s="541"/>
      <c r="X572" s="1748"/>
      <c r="Y572" s="1748"/>
      <c r="Z572" s="1748"/>
      <c r="AA572" s="541"/>
      <c r="AB572" s="1748"/>
      <c r="AC572" s="541"/>
      <c r="AD572" s="541"/>
      <c r="AE572" s="541"/>
      <c r="AF572" s="541"/>
      <c r="AG572" s="541"/>
      <c r="AH572" s="541"/>
      <c r="AI572" s="541"/>
      <c r="AJ572" s="541"/>
      <c r="AK572" s="541"/>
      <c r="AL572" s="541"/>
      <c r="AM572" s="541"/>
      <c r="AN572" s="1748"/>
      <c r="AO572" s="1748"/>
      <c r="AP572" s="1748"/>
      <c r="AQ572" s="1748"/>
      <c r="AR572" s="1748"/>
      <c r="AS572" s="541"/>
      <c r="AT572" s="541"/>
      <c r="AU572" s="541"/>
      <c r="AV572" s="541"/>
      <c r="AW572" s="541"/>
      <c r="AY572" s="541"/>
      <c r="AZ572" s="633"/>
      <c r="BA572" s="541"/>
      <c r="BB572" s="1190"/>
      <c r="BC572" s="541"/>
      <c r="BD572" s="1190"/>
      <c r="BE572" s="541"/>
      <c r="BF572" s="1190"/>
      <c r="BG572" s="541"/>
      <c r="BH572" s="1190"/>
      <c r="BI572" s="541"/>
      <c r="BJ572" s="1190"/>
      <c r="BK572" s="541"/>
      <c r="BL572" s="541"/>
      <c r="BM572" s="541"/>
      <c r="BP572" s="541"/>
      <c r="BQ572" s="633"/>
      <c r="BR572" s="541"/>
      <c r="BS572" s="541"/>
      <c r="BT572" s="541"/>
      <c r="BU572" s="541"/>
    </row>
    <row r="573" ht="15.75" customHeight="1">
      <c r="A573" s="1591"/>
      <c r="B573" s="1591"/>
      <c r="C573" s="2217"/>
      <c r="D573" s="1541"/>
      <c r="E573" s="906"/>
      <c r="F573" s="541"/>
      <c r="G573" s="541"/>
      <c r="H573" s="541"/>
      <c r="I573" s="541"/>
      <c r="J573" s="1748"/>
      <c r="K573" s="541"/>
      <c r="L573" s="1748"/>
      <c r="M573" s="541"/>
      <c r="N573" s="1748"/>
      <c r="O573" s="541"/>
      <c r="P573" s="1748"/>
      <c r="Q573" s="541"/>
      <c r="R573" s="1748"/>
      <c r="S573" s="541"/>
      <c r="T573" s="1748"/>
      <c r="U573" s="541"/>
      <c r="V573" s="1748"/>
      <c r="W573" s="541"/>
      <c r="X573" s="1748"/>
      <c r="Y573" s="1748"/>
      <c r="Z573" s="1748"/>
      <c r="AA573" s="541"/>
      <c r="AB573" s="1748"/>
      <c r="AC573" s="541"/>
      <c r="AD573" s="541"/>
      <c r="AE573" s="541"/>
      <c r="AF573" s="541"/>
      <c r="AG573" s="541"/>
      <c r="AH573" s="541"/>
      <c r="AI573" s="541"/>
      <c r="AJ573" s="541"/>
      <c r="AK573" s="541"/>
      <c r="AL573" s="541"/>
      <c r="AM573" s="541"/>
      <c r="AN573" s="1748"/>
      <c r="AO573" s="1748"/>
      <c r="AP573" s="1748"/>
      <c r="AQ573" s="1748"/>
      <c r="AR573" s="1748"/>
      <c r="AS573" s="541"/>
      <c r="AT573" s="541"/>
      <c r="AU573" s="541"/>
      <c r="AV573" s="541"/>
      <c r="AW573" s="541"/>
      <c r="AY573" s="541"/>
      <c r="AZ573" s="633"/>
      <c r="BA573" s="541"/>
      <c r="BB573" s="1190"/>
      <c r="BC573" s="541"/>
      <c r="BD573" s="1190"/>
      <c r="BE573" s="541"/>
      <c r="BF573" s="1190"/>
      <c r="BG573" s="541"/>
      <c r="BH573" s="1190"/>
      <c r="BI573" s="541"/>
      <c r="BJ573" s="1190"/>
      <c r="BK573" s="541"/>
      <c r="BL573" s="541"/>
      <c r="BM573" s="541"/>
      <c r="BP573" s="541"/>
      <c r="BQ573" s="633"/>
      <c r="BR573" s="541"/>
      <c r="BS573" s="541"/>
      <c r="BT573" s="541"/>
      <c r="BU573" s="541"/>
    </row>
    <row r="574" ht="15.75" customHeight="1">
      <c r="A574" s="1591"/>
      <c r="B574" s="1591"/>
      <c r="C574" s="2217"/>
      <c r="D574" s="1541"/>
      <c r="E574" s="906"/>
      <c r="F574" s="541"/>
      <c r="G574" s="541"/>
      <c r="H574" s="541"/>
      <c r="I574" s="541"/>
      <c r="J574" s="1748"/>
      <c r="K574" s="541"/>
      <c r="L574" s="1748"/>
      <c r="M574" s="541"/>
      <c r="N574" s="1748"/>
      <c r="O574" s="541"/>
      <c r="P574" s="1748"/>
      <c r="Q574" s="541"/>
      <c r="R574" s="1748"/>
      <c r="S574" s="541"/>
      <c r="T574" s="1748"/>
      <c r="U574" s="541"/>
      <c r="V574" s="1748"/>
      <c r="W574" s="541"/>
      <c r="X574" s="1748"/>
      <c r="Y574" s="1748"/>
      <c r="Z574" s="1748"/>
      <c r="AA574" s="541"/>
      <c r="AB574" s="1748"/>
      <c r="AC574" s="541"/>
      <c r="AD574" s="541"/>
      <c r="AE574" s="541"/>
      <c r="AF574" s="541"/>
      <c r="AG574" s="541"/>
      <c r="AH574" s="541"/>
      <c r="AI574" s="541"/>
      <c r="AJ574" s="541"/>
      <c r="AK574" s="541"/>
      <c r="AL574" s="541"/>
      <c r="AM574" s="541"/>
      <c r="AN574" s="1748"/>
      <c r="AO574" s="1748"/>
      <c r="AP574" s="1748"/>
      <c r="AQ574" s="1748"/>
      <c r="AR574" s="1748"/>
      <c r="AS574" s="541"/>
      <c r="AT574" s="541"/>
      <c r="AU574" s="541"/>
      <c r="AV574" s="541"/>
      <c r="AW574" s="541"/>
      <c r="AY574" s="541"/>
      <c r="AZ574" s="633"/>
      <c r="BA574" s="541"/>
      <c r="BB574" s="1190"/>
      <c r="BC574" s="541"/>
      <c r="BD574" s="1190"/>
      <c r="BE574" s="541"/>
      <c r="BF574" s="1190"/>
      <c r="BG574" s="541"/>
      <c r="BH574" s="1190"/>
      <c r="BI574" s="541"/>
      <c r="BJ574" s="1190"/>
      <c r="BK574" s="541"/>
      <c r="BL574" s="541"/>
      <c r="BM574" s="541"/>
      <c r="BP574" s="541"/>
      <c r="BQ574" s="633"/>
      <c r="BR574" s="541"/>
      <c r="BS574" s="541"/>
      <c r="BT574" s="541"/>
      <c r="BU574" s="541"/>
    </row>
    <row r="575" ht="15.75" customHeight="1">
      <c r="A575" s="1591"/>
      <c r="B575" s="1591"/>
      <c r="C575" s="2217"/>
      <c r="D575" s="1541"/>
      <c r="E575" s="906"/>
      <c r="F575" s="541"/>
      <c r="G575" s="541"/>
      <c r="H575" s="541"/>
      <c r="I575" s="541"/>
      <c r="J575" s="1748"/>
      <c r="K575" s="541"/>
      <c r="L575" s="1748"/>
      <c r="M575" s="541"/>
      <c r="N575" s="1748"/>
      <c r="O575" s="541"/>
      <c r="P575" s="1748"/>
      <c r="Q575" s="541"/>
      <c r="R575" s="1748"/>
      <c r="S575" s="541"/>
      <c r="T575" s="1748"/>
      <c r="U575" s="541"/>
      <c r="V575" s="1748"/>
      <c r="W575" s="541"/>
      <c r="X575" s="1748"/>
      <c r="Y575" s="1748"/>
      <c r="Z575" s="1748"/>
      <c r="AA575" s="541"/>
      <c r="AB575" s="1748"/>
      <c r="AC575" s="541"/>
      <c r="AD575" s="541"/>
      <c r="AE575" s="541"/>
      <c r="AF575" s="541"/>
      <c r="AG575" s="541"/>
      <c r="AH575" s="541"/>
      <c r="AI575" s="541"/>
      <c r="AJ575" s="541"/>
      <c r="AK575" s="541"/>
      <c r="AL575" s="541"/>
      <c r="AM575" s="541"/>
      <c r="AN575" s="1748"/>
      <c r="AO575" s="1748"/>
      <c r="AP575" s="1748"/>
      <c r="AQ575" s="1748"/>
      <c r="AR575" s="1748"/>
      <c r="AS575" s="541"/>
      <c r="AT575" s="541"/>
      <c r="AU575" s="541"/>
      <c r="AV575" s="541"/>
      <c r="AW575" s="541"/>
      <c r="AY575" s="541"/>
      <c r="AZ575" s="633"/>
      <c r="BA575" s="541"/>
      <c r="BB575" s="1190"/>
      <c r="BC575" s="541"/>
      <c r="BD575" s="1190"/>
      <c r="BE575" s="541"/>
      <c r="BF575" s="1190"/>
      <c r="BG575" s="541"/>
      <c r="BH575" s="1190"/>
      <c r="BI575" s="541"/>
      <c r="BJ575" s="1190"/>
      <c r="BK575" s="541"/>
      <c r="BL575" s="541"/>
      <c r="BM575" s="541"/>
      <c r="BP575" s="541"/>
      <c r="BQ575" s="633"/>
      <c r="BR575" s="541"/>
      <c r="BS575" s="541"/>
      <c r="BT575" s="541"/>
      <c r="BU575" s="541"/>
    </row>
    <row r="576" ht="15.75" customHeight="1">
      <c r="A576" s="1591"/>
      <c r="B576" s="1591"/>
      <c r="C576" s="2217"/>
      <c r="D576" s="1541"/>
      <c r="E576" s="906"/>
      <c r="F576" s="541"/>
      <c r="G576" s="541"/>
      <c r="H576" s="541"/>
      <c r="I576" s="541"/>
      <c r="J576" s="1748"/>
      <c r="K576" s="541"/>
      <c r="L576" s="1748"/>
      <c r="M576" s="541"/>
      <c r="N576" s="1748"/>
      <c r="O576" s="541"/>
      <c r="P576" s="1748"/>
      <c r="Q576" s="541"/>
      <c r="R576" s="1748"/>
      <c r="S576" s="541"/>
      <c r="T576" s="1748"/>
      <c r="U576" s="541"/>
      <c r="V576" s="1748"/>
      <c r="W576" s="541"/>
      <c r="X576" s="1748"/>
      <c r="Y576" s="1748"/>
      <c r="Z576" s="1748"/>
      <c r="AA576" s="541"/>
      <c r="AB576" s="1748"/>
      <c r="AC576" s="541"/>
      <c r="AD576" s="541"/>
      <c r="AE576" s="541"/>
      <c r="AF576" s="541"/>
      <c r="AG576" s="541"/>
      <c r="AH576" s="541"/>
      <c r="AI576" s="541"/>
      <c r="AJ576" s="541"/>
      <c r="AK576" s="541"/>
      <c r="AL576" s="541"/>
      <c r="AM576" s="541"/>
      <c r="AN576" s="1748"/>
      <c r="AO576" s="1748"/>
      <c r="AP576" s="1748"/>
      <c r="AQ576" s="1748"/>
      <c r="AR576" s="1748"/>
      <c r="AS576" s="541"/>
      <c r="AT576" s="541"/>
      <c r="AU576" s="541"/>
      <c r="AV576" s="541"/>
      <c r="AW576" s="541"/>
      <c r="AY576" s="541"/>
      <c r="AZ576" s="633"/>
      <c r="BA576" s="541"/>
      <c r="BB576" s="1190"/>
      <c r="BC576" s="541"/>
      <c r="BD576" s="1190"/>
      <c r="BE576" s="541"/>
      <c r="BF576" s="1190"/>
      <c r="BG576" s="541"/>
      <c r="BH576" s="1190"/>
      <c r="BI576" s="541"/>
      <c r="BJ576" s="1190"/>
      <c r="BK576" s="541"/>
      <c r="BL576" s="541"/>
      <c r="BM576" s="541"/>
      <c r="BP576" s="541"/>
      <c r="BQ576" s="633"/>
      <c r="BR576" s="541"/>
      <c r="BS576" s="541"/>
      <c r="BT576" s="541"/>
      <c r="BU576" s="541"/>
    </row>
    <row r="577" ht="15.75" customHeight="1">
      <c r="A577" s="1591"/>
      <c r="B577" s="1591"/>
      <c r="C577" s="2217"/>
      <c r="D577" s="1541"/>
      <c r="E577" s="906"/>
      <c r="F577" s="541"/>
      <c r="G577" s="541"/>
      <c r="H577" s="541"/>
      <c r="I577" s="541"/>
      <c r="J577" s="1748"/>
      <c r="K577" s="541"/>
      <c r="L577" s="1748"/>
      <c r="M577" s="541"/>
      <c r="N577" s="1748"/>
      <c r="O577" s="541"/>
      <c r="P577" s="1748"/>
      <c r="Q577" s="541"/>
      <c r="R577" s="1748"/>
      <c r="S577" s="541"/>
      <c r="T577" s="1748"/>
      <c r="U577" s="541"/>
      <c r="V577" s="1748"/>
      <c r="W577" s="541"/>
      <c r="X577" s="1748"/>
      <c r="Y577" s="1748"/>
      <c r="Z577" s="1748"/>
      <c r="AA577" s="541"/>
      <c r="AB577" s="1748"/>
      <c r="AC577" s="541"/>
      <c r="AD577" s="541"/>
      <c r="AE577" s="541"/>
      <c r="AF577" s="541"/>
      <c r="AG577" s="541"/>
      <c r="AH577" s="541"/>
      <c r="AI577" s="541"/>
      <c r="AJ577" s="541"/>
      <c r="AK577" s="541"/>
      <c r="AL577" s="541"/>
      <c r="AM577" s="541"/>
      <c r="AN577" s="1748"/>
      <c r="AO577" s="1748"/>
      <c r="AP577" s="1748"/>
      <c r="AQ577" s="1748"/>
      <c r="AR577" s="1748"/>
      <c r="AS577" s="541"/>
      <c r="AT577" s="541"/>
      <c r="AU577" s="541"/>
      <c r="AV577" s="541"/>
      <c r="AW577" s="541"/>
      <c r="AY577" s="541"/>
      <c r="AZ577" s="633"/>
      <c r="BA577" s="541"/>
      <c r="BB577" s="1190"/>
      <c r="BC577" s="541"/>
      <c r="BD577" s="1190"/>
      <c r="BE577" s="541"/>
      <c r="BF577" s="1190"/>
      <c r="BG577" s="541"/>
      <c r="BH577" s="1190"/>
      <c r="BI577" s="541"/>
      <c r="BJ577" s="1190"/>
      <c r="BK577" s="541"/>
      <c r="BL577" s="541"/>
      <c r="BM577" s="541"/>
      <c r="BP577" s="541"/>
      <c r="BQ577" s="633"/>
      <c r="BR577" s="541"/>
      <c r="BS577" s="541"/>
      <c r="BT577" s="541"/>
      <c r="BU577" s="541"/>
    </row>
    <row r="578" ht="15.75" customHeight="1">
      <c r="A578" s="1591"/>
      <c r="B578" s="1591"/>
      <c r="C578" s="2217"/>
      <c r="D578" s="1541"/>
      <c r="E578" s="906"/>
      <c r="F578" s="541"/>
      <c r="G578" s="541"/>
      <c r="H578" s="541"/>
      <c r="I578" s="541"/>
      <c r="J578" s="1748"/>
      <c r="K578" s="541"/>
      <c r="L578" s="1748"/>
      <c r="M578" s="541"/>
      <c r="N578" s="1748"/>
      <c r="O578" s="541"/>
      <c r="P578" s="1748"/>
      <c r="Q578" s="541"/>
      <c r="R578" s="1748"/>
      <c r="S578" s="541"/>
      <c r="T578" s="1748"/>
      <c r="U578" s="541"/>
      <c r="V578" s="1748"/>
      <c r="W578" s="541"/>
      <c r="X578" s="1748"/>
      <c r="Y578" s="1748"/>
      <c r="Z578" s="1748"/>
      <c r="AA578" s="541"/>
      <c r="AB578" s="1748"/>
      <c r="AC578" s="541"/>
      <c r="AD578" s="541"/>
      <c r="AE578" s="541"/>
      <c r="AF578" s="541"/>
      <c r="AG578" s="541"/>
      <c r="AH578" s="541"/>
      <c r="AI578" s="541"/>
      <c r="AJ578" s="541"/>
      <c r="AK578" s="541"/>
      <c r="AL578" s="541"/>
      <c r="AM578" s="541"/>
      <c r="AN578" s="1748"/>
      <c r="AO578" s="1748"/>
      <c r="AP578" s="1748"/>
      <c r="AQ578" s="1748"/>
      <c r="AR578" s="1748"/>
      <c r="AS578" s="541"/>
      <c r="AT578" s="541"/>
      <c r="AU578" s="541"/>
      <c r="AV578" s="541"/>
      <c r="AW578" s="541"/>
      <c r="AY578" s="541"/>
      <c r="AZ578" s="633"/>
      <c r="BA578" s="541"/>
      <c r="BB578" s="1190"/>
      <c r="BC578" s="541"/>
      <c r="BD578" s="1190"/>
      <c r="BE578" s="541"/>
      <c r="BF578" s="1190"/>
      <c r="BG578" s="541"/>
      <c r="BH578" s="1190"/>
      <c r="BI578" s="541"/>
      <c r="BJ578" s="1190"/>
      <c r="BK578" s="541"/>
      <c r="BL578" s="541"/>
      <c r="BM578" s="541"/>
      <c r="BP578" s="541"/>
      <c r="BQ578" s="633"/>
      <c r="BR578" s="541"/>
      <c r="BS578" s="541"/>
      <c r="BT578" s="541"/>
      <c r="BU578" s="541"/>
    </row>
    <row r="579" ht="15.75" customHeight="1">
      <c r="A579" s="1591"/>
      <c r="B579" s="1591"/>
      <c r="C579" s="2217"/>
      <c r="D579" s="1541"/>
      <c r="E579" s="906"/>
      <c r="F579" s="541"/>
      <c r="G579" s="541"/>
      <c r="H579" s="541"/>
      <c r="I579" s="541"/>
      <c r="J579" s="1748"/>
      <c r="K579" s="541"/>
      <c r="L579" s="1748"/>
      <c r="M579" s="541"/>
      <c r="N579" s="1748"/>
      <c r="O579" s="541"/>
      <c r="P579" s="1748"/>
      <c r="Q579" s="541"/>
      <c r="R579" s="1748"/>
      <c r="S579" s="541"/>
      <c r="T579" s="1748"/>
      <c r="U579" s="541"/>
      <c r="V579" s="1748"/>
      <c r="W579" s="541"/>
      <c r="X579" s="1748"/>
      <c r="Y579" s="1748"/>
      <c r="Z579" s="1748"/>
      <c r="AA579" s="541"/>
      <c r="AB579" s="1748"/>
      <c r="AC579" s="541"/>
      <c r="AD579" s="541"/>
      <c r="AE579" s="541"/>
      <c r="AF579" s="541"/>
      <c r="AG579" s="541"/>
      <c r="AH579" s="541"/>
      <c r="AI579" s="541"/>
      <c r="AJ579" s="541"/>
      <c r="AK579" s="541"/>
      <c r="AL579" s="541"/>
      <c r="AM579" s="541"/>
      <c r="AN579" s="1748"/>
      <c r="AO579" s="1748"/>
      <c r="AP579" s="1748"/>
      <c r="AQ579" s="1748"/>
      <c r="AR579" s="1748"/>
      <c r="AS579" s="541"/>
      <c r="AT579" s="541"/>
      <c r="AU579" s="541"/>
      <c r="AV579" s="541"/>
      <c r="AW579" s="541"/>
      <c r="AY579" s="541"/>
      <c r="AZ579" s="633"/>
      <c r="BA579" s="541"/>
      <c r="BB579" s="1190"/>
      <c r="BC579" s="541"/>
      <c r="BD579" s="1190"/>
      <c r="BE579" s="541"/>
      <c r="BF579" s="1190"/>
      <c r="BG579" s="541"/>
      <c r="BH579" s="1190"/>
      <c r="BI579" s="541"/>
      <c r="BJ579" s="1190"/>
      <c r="BK579" s="541"/>
      <c r="BL579" s="541"/>
      <c r="BM579" s="541"/>
      <c r="BP579" s="541"/>
      <c r="BQ579" s="633"/>
      <c r="BR579" s="541"/>
      <c r="BS579" s="541"/>
      <c r="BT579" s="541"/>
      <c r="BU579" s="541"/>
    </row>
    <row r="580" ht="15.75" customHeight="1">
      <c r="A580" s="1591"/>
      <c r="B580" s="1591"/>
      <c r="C580" s="2217"/>
      <c r="D580" s="1541"/>
      <c r="E580" s="906"/>
      <c r="F580" s="541"/>
      <c r="G580" s="541"/>
      <c r="H580" s="541"/>
      <c r="I580" s="541"/>
      <c r="J580" s="1748"/>
      <c r="K580" s="541"/>
      <c r="L580" s="1748"/>
      <c r="M580" s="541"/>
      <c r="N580" s="1748"/>
      <c r="O580" s="541"/>
      <c r="P580" s="1748"/>
      <c r="Q580" s="541"/>
      <c r="R580" s="1748"/>
      <c r="S580" s="541"/>
      <c r="T580" s="1748"/>
      <c r="U580" s="541"/>
      <c r="V580" s="1748"/>
      <c r="W580" s="541"/>
      <c r="X580" s="1748"/>
      <c r="Y580" s="1748"/>
      <c r="Z580" s="1748"/>
      <c r="AA580" s="541"/>
      <c r="AB580" s="1748"/>
      <c r="AC580" s="541"/>
      <c r="AD580" s="541"/>
      <c r="AE580" s="541"/>
      <c r="AF580" s="541"/>
      <c r="AG580" s="541"/>
      <c r="AH580" s="541"/>
      <c r="AI580" s="541"/>
      <c r="AJ580" s="541"/>
      <c r="AK580" s="541"/>
      <c r="AL580" s="541"/>
      <c r="AM580" s="541"/>
      <c r="AN580" s="1748"/>
      <c r="AO580" s="1748"/>
      <c r="AP580" s="1748"/>
      <c r="AQ580" s="1748"/>
      <c r="AR580" s="1748"/>
      <c r="AS580" s="541"/>
      <c r="AT580" s="541"/>
      <c r="AU580" s="541"/>
      <c r="AV580" s="541"/>
      <c r="AW580" s="541"/>
      <c r="AY580" s="541"/>
      <c r="AZ580" s="633"/>
      <c r="BA580" s="541"/>
      <c r="BB580" s="1190"/>
      <c r="BC580" s="541"/>
      <c r="BD580" s="1190"/>
      <c r="BE580" s="541"/>
      <c r="BF580" s="1190"/>
      <c r="BG580" s="541"/>
      <c r="BH580" s="1190"/>
      <c r="BI580" s="541"/>
      <c r="BJ580" s="1190"/>
      <c r="BK580" s="541"/>
      <c r="BL580" s="541"/>
      <c r="BM580" s="541"/>
      <c r="BP580" s="541"/>
      <c r="BQ580" s="633"/>
      <c r="BR580" s="541"/>
      <c r="BS580" s="541"/>
      <c r="BT580" s="541"/>
      <c r="BU580" s="541"/>
    </row>
    <row r="581" ht="15.75" customHeight="1">
      <c r="A581" s="1591"/>
      <c r="B581" s="1591"/>
      <c r="C581" s="2217"/>
      <c r="D581" s="1541"/>
      <c r="E581" s="906"/>
      <c r="F581" s="541"/>
      <c r="G581" s="541"/>
      <c r="H581" s="541"/>
      <c r="I581" s="541"/>
      <c r="J581" s="1748"/>
      <c r="K581" s="541"/>
      <c r="L581" s="1748"/>
      <c r="M581" s="541"/>
      <c r="N581" s="1748"/>
      <c r="O581" s="541"/>
      <c r="P581" s="1748"/>
      <c r="Q581" s="541"/>
      <c r="R581" s="1748"/>
      <c r="S581" s="541"/>
      <c r="T581" s="1748"/>
      <c r="U581" s="541"/>
      <c r="V581" s="1748"/>
      <c r="W581" s="541"/>
      <c r="X581" s="1748"/>
      <c r="Y581" s="1748"/>
      <c r="Z581" s="1748"/>
      <c r="AA581" s="541"/>
      <c r="AB581" s="1748"/>
      <c r="AC581" s="541"/>
      <c r="AD581" s="541"/>
      <c r="AE581" s="541"/>
      <c r="AF581" s="541"/>
      <c r="AG581" s="541"/>
      <c r="AH581" s="541"/>
      <c r="AI581" s="541"/>
      <c r="AJ581" s="541"/>
      <c r="AK581" s="541"/>
      <c r="AL581" s="541"/>
      <c r="AM581" s="541"/>
      <c r="AN581" s="1748"/>
      <c r="AO581" s="1748"/>
      <c r="AP581" s="1748"/>
      <c r="AQ581" s="1748"/>
      <c r="AR581" s="1748"/>
      <c r="AS581" s="541"/>
      <c r="AT581" s="541"/>
      <c r="AU581" s="541"/>
      <c r="AV581" s="541"/>
      <c r="AW581" s="541"/>
      <c r="AY581" s="541"/>
      <c r="AZ581" s="633"/>
      <c r="BA581" s="541"/>
      <c r="BB581" s="1190"/>
      <c r="BC581" s="541"/>
      <c r="BD581" s="1190"/>
      <c r="BE581" s="541"/>
      <c r="BF581" s="1190"/>
      <c r="BG581" s="541"/>
      <c r="BH581" s="1190"/>
      <c r="BI581" s="541"/>
      <c r="BJ581" s="1190"/>
      <c r="BK581" s="541"/>
      <c r="BL581" s="541"/>
      <c r="BM581" s="541"/>
      <c r="BP581" s="541"/>
      <c r="BQ581" s="633"/>
      <c r="BR581" s="541"/>
      <c r="BS581" s="541"/>
      <c r="BT581" s="541"/>
      <c r="BU581" s="541"/>
    </row>
    <row r="582" ht="15.75" customHeight="1">
      <c r="A582" s="1591"/>
      <c r="B582" s="1591"/>
      <c r="C582" s="2217"/>
      <c r="D582" s="1541"/>
      <c r="E582" s="906"/>
      <c r="F582" s="541"/>
      <c r="G582" s="541"/>
      <c r="H582" s="541"/>
      <c r="I582" s="541"/>
      <c r="J582" s="1748"/>
      <c r="K582" s="541"/>
      <c r="L582" s="1748"/>
      <c r="M582" s="541"/>
      <c r="N582" s="1748"/>
      <c r="O582" s="541"/>
      <c r="P582" s="1748"/>
      <c r="Q582" s="541"/>
      <c r="R582" s="1748"/>
      <c r="S582" s="541"/>
      <c r="T582" s="1748"/>
      <c r="U582" s="541"/>
      <c r="V582" s="1748"/>
      <c r="W582" s="541"/>
      <c r="X582" s="1748"/>
      <c r="Y582" s="1748"/>
      <c r="Z582" s="1748"/>
      <c r="AA582" s="541"/>
      <c r="AB582" s="1748"/>
      <c r="AC582" s="541"/>
      <c r="AD582" s="541"/>
      <c r="AE582" s="541"/>
      <c r="AF582" s="541"/>
      <c r="AG582" s="541"/>
      <c r="AH582" s="541"/>
      <c r="AI582" s="541"/>
      <c r="AJ582" s="541"/>
      <c r="AK582" s="541"/>
      <c r="AL582" s="541"/>
      <c r="AM582" s="541"/>
      <c r="AN582" s="1748"/>
      <c r="AO582" s="1748"/>
      <c r="AP582" s="1748"/>
      <c r="AQ582" s="1748"/>
      <c r="AR582" s="1748"/>
      <c r="AS582" s="541"/>
      <c r="AT582" s="541"/>
      <c r="AU582" s="541"/>
      <c r="AV582" s="541"/>
      <c r="AW582" s="541"/>
      <c r="AY582" s="541"/>
      <c r="AZ582" s="633"/>
      <c r="BA582" s="541"/>
      <c r="BB582" s="1190"/>
      <c r="BC582" s="541"/>
      <c r="BD582" s="1190"/>
      <c r="BE582" s="541"/>
      <c r="BF582" s="1190"/>
      <c r="BG582" s="541"/>
      <c r="BH582" s="1190"/>
      <c r="BI582" s="541"/>
      <c r="BJ582" s="1190"/>
      <c r="BK582" s="541"/>
      <c r="BL582" s="541"/>
      <c r="BM582" s="541"/>
      <c r="BP582" s="541"/>
      <c r="BQ582" s="633"/>
      <c r="BR582" s="541"/>
      <c r="BS582" s="541"/>
      <c r="BT582" s="541"/>
      <c r="BU582" s="541"/>
    </row>
    <row r="583" ht="15.75" customHeight="1">
      <c r="A583" s="1591"/>
      <c r="B583" s="1591"/>
      <c r="C583" s="2217"/>
      <c r="D583" s="1541"/>
      <c r="E583" s="906"/>
      <c r="F583" s="541"/>
      <c r="G583" s="541"/>
      <c r="H583" s="541"/>
      <c r="I583" s="541"/>
      <c r="J583" s="1748"/>
      <c r="K583" s="541"/>
      <c r="L583" s="1748"/>
      <c r="M583" s="541"/>
      <c r="N583" s="1748"/>
      <c r="O583" s="541"/>
      <c r="P583" s="1748"/>
      <c r="Q583" s="541"/>
      <c r="R583" s="1748"/>
      <c r="S583" s="541"/>
      <c r="T583" s="1748"/>
      <c r="U583" s="541"/>
      <c r="V583" s="1748"/>
      <c r="W583" s="541"/>
      <c r="X583" s="1748"/>
      <c r="Y583" s="1748"/>
      <c r="Z583" s="1748"/>
      <c r="AA583" s="541"/>
      <c r="AB583" s="1748"/>
      <c r="AC583" s="541"/>
      <c r="AD583" s="541"/>
      <c r="AE583" s="541"/>
      <c r="AF583" s="541"/>
      <c r="AG583" s="541"/>
      <c r="AH583" s="541"/>
      <c r="AI583" s="541"/>
      <c r="AJ583" s="541"/>
      <c r="AK583" s="541"/>
      <c r="AL583" s="541"/>
      <c r="AM583" s="541"/>
      <c r="AN583" s="1748"/>
      <c r="AO583" s="1748"/>
      <c r="AP583" s="1748"/>
      <c r="AQ583" s="1748"/>
      <c r="AR583" s="1748"/>
      <c r="AS583" s="541"/>
      <c r="AT583" s="541"/>
      <c r="AU583" s="541"/>
      <c r="AV583" s="541"/>
      <c r="AW583" s="541"/>
      <c r="AY583" s="541"/>
      <c r="AZ583" s="633"/>
      <c r="BA583" s="541"/>
      <c r="BB583" s="1190"/>
      <c r="BC583" s="541"/>
      <c r="BD583" s="1190"/>
      <c r="BE583" s="541"/>
      <c r="BF583" s="1190"/>
      <c r="BG583" s="541"/>
      <c r="BH583" s="1190"/>
      <c r="BI583" s="541"/>
      <c r="BJ583" s="1190"/>
      <c r="BK583" s="541"/>
      <c r="BL583" s="541"/>
      <c r="BM583" s="541"/>
      <c r="BP583" s="541"/>
      <c r="BQ583" s="633"/>
      <c r="BR583" s="541"/>
      <c r="BS583" s="541"/>
      <c r="BT583" s="541"/>
      <c r="BU583" s="541"/>
    </row>
    <row r="584" ht="15.75" customHeight="1">
      <c r="A584" s="1591"/>
      <c r="B584" s="1591"/>
      <c r="C584" s="2217"/>
      <c r="D584" s="1541"/>
      <c r="E584" s="906"/>
      <c r="F584" s="541"/>
      <c r="G584" s="541"/>
      <c r="H584" s="541"/>
      <c r="I584" s="541"/>
      <c r="J584" s="1748"/>
      <c r="K584" s="541"/>
      <c r="L584" s="1748"/>
      <c r="M584" s="541"/>
      <c r="N584" s="1748"/>
      <c r="O584" s="541"/>
      <c r="P584" s="1748"/>
      <c r="Q584" s="541"/>
      <c r="R584" s="1748"/>
      <c r="S584" s="541"/>
      <c r="T584" s="1748"/>
      <c r="U584" s="541"/>
      <c r="V584" s="1748"/>
      <c r="W584" s="541"/>
      <c r="X584" s="1748"/>
      <c r="Y584" s="1748"/>
      <c r="Z584" s="1748"/>
      <c r="AA584" s="541"/>
      <c r="AB584" s="1748"/>
      <c r="AC584" s="541"/>
      <c r="AD584" s="541"/>
      <c r="AE584" s="541"/>
      <c r="AF584" s="541"/>
      <c r="AG584" s="541"/>
      <c r="AH584" s="541"/>
      <c r="AI584" s="541"/>
      <c r="AJ584" s="541"/>
      <c r="AK584" s="541"/>
      <c r="AL584" s="541"/>
      <c r="AM584" s="541"/>
      <c r="AN584" s="1748"/>
      <c r="AO584" s="1748"/>
      <c r="AP584" s="1748"/>
      <c r="AQ584" s="1748"/>
      <c r="AR584" s="1748"/>
      <c r="AS584" s="541"/>
      <c r="AT584" s="541"/>
      <c r="AU584" s="541"/>
      <c r="AV584" s="541"/>
      <c r="AW584" s="541"/>
      <c r="AY584" s="541"/>
      <c r="AZ584" s="633"/>
      <c r="BA584" s="541"/>
      <c r="BB584" s="1190"/>
      <c r="BC584" s="541"/>
      <c r="BD584" s="1190"/>
      <c r="BE584" s="541"/>
      <c r="BF584" s="1190"/>
      <c r="BG584" s="541"/>
      <c r="BH584" s="1190"/>
      <c r="BI584" s="541"/>
      <c r="BJ584" s="1190"/>
      <c r="BK584" s="541"/>
      <c r="BL584" s="541"/>
      <c r="BM584" s="541"/>
      <c r="BP584" s="541"/>
      <c r="BQ584" s="633"/>
      <c r="BR584" s="541"/>
      <c r="BS584" s="541"/>
      <c r="BT584" s="541"/>
      <c r="BU584" s="541"/>
    </row>
    <row r="585" ht="15.75" customHeight="1">
      <c r="A585" s="1591"/>
      <c r="B585" s="1591"/>
      <c r="C585" s="2217"/>
      <c r="D585" s="1541"/>
      <c r="E585" s="906"/>
      <c r="F585" s="541"/>
      <c r="G585" s="541"/>
      <c r="H585" s="541"/>
      <c r="I585" s="541"/>
      <c r="J585" s="1748"/>
      <c r="K585" s="541"/>
      <c r="L585" s="1748"/>
      <c r="M585" s="541"/>
      <c r="N585" s="1748"/>
      <c r="O585" s="541"/>
      <c r="P585" s="1748"/>
      <c r="Q585" s="541"/>
      <c r="R585" s="1748"/>
      <c r="S585" s="541"/>
      <c r="T585" s="1748"/>
      <c r="U585" s="541"/>
      <c r="V585" s="1748"/>
      <c r="W585" s="541"/>
      <c r="X585" s="1748"/>
      <c r="Y585" s="1748"/>
      <c r="Z585" s="1748"/>
      <c r="AA585" s="541"/>
      <c r="AB585" s="1748"/>
      <c r="AC585" s="541"/>
      <c r="AD585" s="541"/>
      <c r="AE585" s="541"/>
      <c r="AF585" s="541"/>
      <c r="AG585" s="541"/>
      <c r="AH585" s="541"/>
      <c r="AI585" s="541"/>
      <c r="AJ585" s="541"/>
      <c r="AK585" s="541"/>
      <c r="AL585" s="541"/>
      <c r="AM585" s="541"/>
      <c r="AN585" s="1748"/>
      <c r="AO585" s="1748"/>
      <c r="AP585" s="1748"/>
      <c r="AQ585" s="1748"/>
      <c r="AR585" s="1748"/>
      <c r="AS585" s="541"/>
      <c r="AT585" s="541"/>
      <c r="AU585" s="541"/>
      <c r="AV585" s="541"/>
      <c r="AW585" s="541"/>
      <c r="AY585" s="541"/>
      <c r="AZ585" s="633"/>
      <c r="BA585" s="541"/>
      <c r="BB585" s="1190"/>
      <c r="BC585" s="541"/>
      <c r="BD585" s="1190"/>
      <c r="BE585" s="541"/>
      <c r="BF585" s="1190"/>
      <c r="BG585" s="541"/>
      <c r="BH585" s="1190"/>
      <c r="BI585" s="541"/>
      <c r="BJ585" s="1190"/>
      <c r="BK585" s="541"/>
      <c r="BL585" s="541"/>
      <c r="BM585" s="541"/>
      <c r="BP585" s="541"/>
      <c r="BQ585" s="633"/>
      <c r="BR585" s="541"/>
      <c r="BS585" s="541"/>
      <c r="BT585" s="541"/>
      <c r="BU585" s="541"/>
    </row>
    <row r="586" ht="15.75" customHeight="1">
      <c r="A586" s="1591"/>
      <c r="B586" s="1591"/>
      <c r="C586" s="2217"/>
      <c r="D586" s="1541"/>
      <c r="E586" s="906"/>
      <c r="F586" s="541"/>
      <c r="G586" s="541"/>
      <c r="H586" s="541"/>
      <c r="I586" s="541"/>
      <c r="J586" s="1748"/>
      <c r="K586" s="541"/>
      <c r="L586" s="1748"/>
      <c r="M586" s="541"/>
      <c r="N586" s="1748"/>
      <c r="O586" s="541"/>
      <c r="P586" s="1748"/>
      <c r="Q586" s="541"/>
      <c r="R586" s="1748"/>
      <c r="S586" s="541"/>
      <c r="T586" s="1748"/>
      <c r="U586" s="541"/>
      <c r="V586" s="1748"/>
      <c r="W586" s="541"/>
      <c r="X586" s="1748"/>
      <c r="Y586" s="1748"/>
      <c r="Z586" s="1748"/>
      <c r="AA586" s="541"/>
      <c r="AB586" s="1748"/>
      <c r="AC586" s="541"/>
      <c r="AD586" s="541"/>
      <c r="AE586" s="541"/>
      <c r="AF586" s="541"/>
      <c r="AG586" s="541"/>
      <c r="AH586" s="541"/>
      <c r="AI586" s="541"/>
      <c r="AJ586" s="541"/>
      <c r="AK586" s="541"/>
      <c r="AL586" s="541"/>
      <c r="AM586" s="541"/>
      <c r="AN586" s="1748"/>
      <c r="AO586" s="1748"/>
      <c r="AP586" s="1748"/>
      <c r="AQ586" s="1748"/>
      <c r="AR586" s="1748"/>
      <c r="AS586" s="541"/>
      <c r="AT586" s="541"/>
      <c r="AU586" s="541"/>
      <c r="AV586" s="541"/>
      <c r="AW586" s="541"/>
      <c r="AY586" s="541"/>
      <c r="AZ586" s="633"/>
      <c r="BA586" s="541"/>
      <c r="BB586" s="1190"/>
      <c r="BC586" s="541"/>
      <c r="BD586" s="1190"/>
      <c r="BE586" s="541"/>
      <c r="BF586" s="1190"/>
      <c r="BG586" s="541"/>
      <c r="BH586" s="1190"/>
      <c r="BI586" s="541"/>
      <c r="BJ586" s="1190"/>
      <c r="BK586" s="541"/>
      <c r="BL586" s="541"/>
      <c r="BM586" s="541"/>
      <c r="BP586" s="541"/>
      <c r="BQ586" s="633"/>
      <c r="BR586" s="541"/>
      <c r="BS586" s="541"/>
      <c r="BT586" s="541"/>
      <c r="BU586" s="541"/>
    </row>
    <row r="587" ht="15.75" customHeight="1">
      <c r="A587" s="1591"/>
      <c r="B587" s="1591"/>
      <c r="C587" s="2217"/>
      <c r="D587" s="1541"/>
      <c r="E587" s="906"/>
      <c r="F587" s="541"/>
      <c r="G587" s="541"/>
      <c r="H587" s="541"/>
      <c r="I587" s="541"/>
      <c r="J587" s="1748"/>
      <c r="K587" s="541"/>
      <c r="L587" s="1748"/>
      <c r="M587" s="541"/>
      <c r="N587" s="1748"/>
      <c r="O587" s="541"/>
      <c r="P587" s="1748"/>
      <c r="Q587" s="541"/>
      <c r="R587" s="1748"/>
      <c r="S587" s="541"/>
      <c r="T587" s="1748"/>
      <c r="U587" s="541"/>
      <c r="V587" s="1748"/>
      <c r="W587" s="541"/>
      <c r="X587" s="1748"/>
      <c r="Y587" s="1748"/>
      <c r="Z587" s="1748"/>
      <c r="AA587" s="541"/>
      <c r="AB587" s="1748"/>
      <c r="AC587" s="541"/>
      <c r="AD587" s="541"/>
      <c r="AE587" s="541"/>
      <c r="AF587" s="541"/>
      <c r="AG587" s="541"/>
      <c r="AH587" s="541"/>
      <c r="AI587" s="541"/>
      <c r="AJ587" s="541"/>
      <c r="AK587" s="541"/>
      <c r="AL587" s="541"/>
      <c r="AM587" s="541"/>
      <c r="AN587" s="1748"/>
      <c r="AO587" s="1748"/>
      <c r="AP587" s="1748"/>
      <c r="AQ587" s="1748"/>
      <c r="AR587" s="1748"/>
      <c r="AS587" s="541"/>
      <c r="AT587" s="541"/>
      <c r="AU587" s="541"/>
      <c r="AV587" s="541"/>
      <c r="AW587" s="541"/>
      <c r="AY587" s="541"/>
      <c r="AZ587" s="633"/>
      <c r="BA587" s="541"/>
      <c r="BB587" s="1190"/>
      <c r="BC587" s="541"/>
      <c r="BD587" s="1190"/>
      <c r="BE587" s="541"/>
      <c r="BF587" s="1190"/>
      <c r="BG587" s="541"/>
      <c r="BH587" s="1190"/>
      <c r="BI587" s="541"/>
      <c r="BJ587" s="1190"/>
      <c r="BK587" s="541"/>
      <c r="BL587" s="541"/>
      <c r="BM587" s="541"/>
      <c r="BP587" s="541"/>
      <c r="BQ587" s="633"/>
      <c r="BR587" s="541"/>
      <c r="BS587" s="541"/>
      <c r="BT587" s="541"/>
      <c r="BU587" s="541"/>
    </row>
    <row r="588" ht="15.75" customHeight="1">
      <c r="A588" s="1591"/>
      <c r="B588" s="1591"/>
      <c r="C588" s="2217"/>
      <c r="D588" s="1541"/>
      <c r="E588" s="906"/>
      <c r="F588" s="541"/>
      <c r="G588" s="541"/>
      <c r="H588" s="541"/>
      <c r="I588" s="541"/>
      <c r="J588" s="1748"/>
      <c r="K588" s="541"/>
      <c r="L588" s="1748"/>
      <c r="M588" s="541"/>
      <c r="N588" s="1748"/>
      <c r="O588" s="541"/>
      <c r="P588" s="1748"/>
      <c r="Q588" s="541"/>
      <c r="R588" s="1748"/>
      <c r="S588" s="541"/>
      <c r="T588" s="1748"/>
      <c r="U588" s="541"/>
      <c r="V588" s="1748"/>
      <c r="W588" s="541"/>
      <c r="X588" s="1748"/>
      <c r="Y588" s="1748"/>
      <c r="Z588" s="1748"/>
      <c r="AA588" s="541"/>
      <c r="AB588" s="1748"/>
      <c r="AC588" s="541"/>
      <c r="AD588" s="541"/>
      <c r="AE588" s="541"/>
      <c r="AF588" s="541"/>
      <c r="AG588" s="541"/>
      <c r="AH588" s="541"/>
      <c r="AI588" s="541"/>
      <c r="AJ588" s="541"/>
      <c r="AK588" s="541"/>
      <c r="AL588" s="541"/>
      <c r="AM588" s="541"/>
      <c r="AN588" s="1748"/>
      <c r="AO588" s="1748"/>
      <c r="AP588" s="1748"/>
      <c r="AQ588" s="1748"/>
      <c r="AR588" s="1748"/>
      <c r="AS588" s="541"/>
      <c r="AT588" s="541"/>
      <c r="AU588" s="541"/>
      <c r="AV588" s="541"/>
      <c r="AW588" s="541"/>
      <c r="AY588" s="541"/>
      <c r="AZ588" s="633"/>
      <c r="BA588" s="541"/>
      <c r="BB588" s="1190"/>
      <c r="BC588" s="541"/>
      <c r="BD588" s="1190"/>
      <c r="BE588" s="541"/>
      <c r="BF588" s="1190"/>
      <c r="BG588" s="541"/>
      <c r="BH588" s="1190"/>
      <c r="BI588" s="541"/>
      <c r="BJ588" s="1190"/>
      <c r="BK588" s="541"/>
      <c r="BL588" s="541"/>
      <c r="BM588" s="541"/>
      <c r="BP588" s="541"/>
      <c r="BQ588" s="633"/>
      <c r="BR588" s="541"/>
      <c r="BS588" s="541"/>
      <c r="BT588" s="541"/>
      <c r="BU588" s="541"/>
    </row>
    <row r="589" ht="15.75" customHeight="1">
      <c r="A589" s="1591"/>
      <c r="B589" s="1591"/>
      <c r="C589" s="2217"/>
      <c r="D589" s="1541"/>
      <c r="E589" s="906"/>
      <c r="F589" s="541"/>
      <c r="G589" s="541"/>
      <c r="H589" s="541"/>
      <c r="I589" s="541"/>
      <c r="J589" s="1748"/>
      <c r="K589" s="541"/>
      <c r="L589" s="1748"/>
      <c r="M589" s="541"/>
      <c r="N589" s="1748"/>
      <c r="O589" s="541"/>
      <c r="P589" s="1748"/>
      <c r="Q589" s="541"/>
      <c r="R589" s="1748"/>
      <c r="S589" s="541"/>
      <c r="T589" s="1748"/>
      <c r="U589" s="541"/>
      <c r="V589" s="1748"/>
      <c r="W589" s="541"/>
      <c r="X589" s="1748"/>
      <c r="Y589" s="1748"/>
      <c r="Z589" s="1748"/>
      <c r="AA589" s="541"/>
      <c r="AB589" s="1748"/>
      <c r="AC589" s="541"/>
      <c r="AD589" s="541"/>
      <c r="AE589" s="541"/>
      <c r="AF589" s="541"/>
      <c r="AG589" s="541"/>
      <c r="AH589" s="541"/>
      <c r="AI589" s="541"/>
      <c r="AJ589" s="541"/>
      <c r="AK589" s="541"/>
      <c r="AL589" s="541"/>
      <c r="AM589" s="541"/>
      <c r="AN589" s="1748"/>
      <c r="AO589" s="1748"/>
      <c r="AP589" s="1748"/>
      <c r="AQ589" s="1748"/>
      <c r="AR589" s="1748"/>
      <c r="AS589" s="541"/>
      <c r="AT589" s="541"/>
      <c r="AU589" s="541"/>
      <c r="AV589" s="541"/>
      <c r="AW589" s="541"/>
      <c r="AY589" s="541"/>
      <c r="AZ589" s="633"/>
      <c r="BA589" s="541"/>
      <c r="BB589" s="1190"/>
      <c r="BC589" s="541"/>
      <c r="BD589" s="1190"/>
      <c r="BE589" s="541"/>
      <c r="BF589" s="1190"/>
      <c r="BG589" s="541"/>
      <c r="BH589" s="1190"/>
      <c r="BI589" s="541"/>
      <c r="BJ589" s="1190"/>
      <c r="BK589" s="541"/>
      <c r="BL589" s="541"/>
      <c r="BM589" s="541"/>
      <c r="BP589" s="541"/>
      <c r="BQ589" s="633"/>
      <c r="BR589" s="541"/>
      <c r="BS589" s="541"/>
      <c r="BT589" s="541"/>
      <c r="BU589" s="541"/>
    </row>
    <row r="590" ht="15.75" customHeight="1">
      <c r="A590" s="1591"/>
      <c r="B590" s="1591"/>
      <c r="C590" s="2217"/>
      <c r="D590" s="1541"/>
      <c r="E590" s="906"/>
      <c r="F590" s="541"/>
      <c r="G590" s="541"/>
      <c r="H590" s="541"/>
      <c r="I590" s="541"/>
      <c r="J590" s="1748"/>
      <c r="K590" s="541"/>
      <c r="L590" s="1748"/>
      <c r="M590" s="541"/>
      <c r="N590" s="1748"/>
      <c r="O590" s="541"/>
      <c r="P590" s="1748"/>
      <c r="Q590" s="541"/>
      <c r="R590" s="1748"/>
      <c r="S590" s="541"/>
      <c r="T590" s="1748"/>
      <c r="U590" s="541"/>
      <c r="V590" s="1748"/>
      <c r="W590" s="541"/>
      <c r="X590" s="1748"/>
      <c r="Y590" s="1748"/>
      <c r="Z590" s="1748"/>
      <c r="AA590" s="541"/>
      <c r="AB590" s="1748"/>
      <c r="AC590" s="541"/>
      <c r="AD590" s="541"/>
      <c r="AE590" s="541"/>
      <c r="AF590" s="541"/>
      <c r="AG590" s="541"/>
      <c r="AH590" s="541"/>
      <c r="AI590" s="541"/>
      <c r="AJ590" s="541"/>
      <c r="AK590" s="541"/>
      <c r="AL590" s="541"/>
      <c r="AM590" s="541"/>
      <c r="AN590" s="1748"/>
      <c r="AO590" s="1748"/>
      <c r="AP590" s="1748"/>
      <c r="AQ590" s="1748"/>
      <c r="AR590" s="1748"/>
      <c r="AS590" s="541"/>
      <c r="AT590" s="541"/>
      <c r="AU590" s="541"/>
      <c r="AV590" s="541"/>
      <c r="AW590" s="541"/>
      <c r="AY590" s="541"/>
      <c r="AZ590" s="633"/>
      <c r="BA590" s="541"/>
      <c r="BB590" s="1190"/>
      <c r="BC590" s="541"/>
      <c r="BD590" s="1190"/>
      <c r="BE590" s="541"/>
      <c r="BF590" s="1190"/>
      <c r="BG590" s="541"/>
      <c r="BH590" s="1190"/>
      <c r="BI590" s="541"/>
      <c r="BJ590" s="1190"/>
      <c r="BK590" s="541"/>
      <c r="BL590" s="541"/>
      <c r="BM590" s="541"/>
      <c r="BP590" s="541"/>
      <c r="BQ590" s="633"/>
      <c r="BR590" s="541"/>
      <c r="BS590" s="541"/>
      <c r="BT590" s="541"/>
      <c r="BU590" s="541"/>
    </row>
    <row r="591" ht="15.75" customHeight="1">
      <c r="A591" s="1591"/>
      <c r="B591" s="1591"/>
      <c r="C591" s="2217"/>
      <c r="D591" s="1541"/>
      <c r="E591" s="906"/>
      <c r="F591" s="541"/>
      <c r="G591" s="541"/>
      <c r="H591" s="541"/>
      <c r="I591" s="541"/>
      <c r="J591" s="1748"/>
      <c r="K591" s="541"/>
      <c r="L591" s="1748"/>
      <c r="M591" s="541"/>
      <c r="N591" s="1748"/>
      <c r="O591" s="541"/>
      <c r="P591" s="1748"/>
      <c r="Q591" s="541"/>
      <c r="R591" s="1748"/>
      <c r="S591" s="541"/>
      <c r="T591" s="1748"/>
      <c r="U591" s="541"/>
      <c r="V591" s="1748"/>
      <c r="W591" s="541"/>
      <c r="X591" s="1748"/>
      <c r="Y591" s="1748"/>
      <c r="Z591" s="1748"/>
      <c r="AA591" s="541"/>
      <c r="AB591" s="1748"/>
      <c r="AC591" s="541"/>
      <c r="AD591" s="541"/>
      <c r="AE591" s="541"/>
      <c r="AF591" s="541"/>
      <c r="AG591" s="541"/>
      <c r="AH591" s="541"/>
      <c r="AI591" s="541"/>
      <c r="AJ591" s="541"/>
      <c r="AK591" s="541"/>
      <c r="AL591" s="541"/>
      <c r="AM591" s="541"/>
      <c r="AN591" s="1748"/>
      <c r="AO591" s="1748"/>
      <c r="AP591" s="1748"/>
      <c r="AQ591" s="1748"/>
      <c r="AR591" s="1748"/>
      <c r="AS591" s="541"/>
      <c r="AT591" s="541"/>
      <c r="AU591" s="541"/>
      <c r="AV591" s="541"/>
      <c r="AW591" s="541"/>
      <c r="AY591" s="541"/>
      <c r="AZ591" s="633"/>
      <c r="BA591" s="541"/>
      <c r="BB591" s="1190"/>
      <c r="BC591" s="541"/>
      <c r="BD591" s="1190"/>
      <c r="BE591" s="541"/>
      <c r="BF591" s="1190"/>
      <c r="BG591" s="541"/>
      <c r="BH591" s="1190"/>
      <c r="BI591" s="541"/>
      <c r="BJ591" s="1190"/>
      <c r="BK591" s="541"/>
      <c r="BL591" s="541"/>
      <c r="BM591" s="541"/>
      <c r="BP591" s="541"/>
      <c r="BQ591" s="633"/>
      <c r="BR591" s="541"/>
      <c r="BS591" s="541"/>
      <c r="BT591" s="541"/>
      <c r="BU591" s="541"/>
    </row>
    <row r="592" ht="15.75" customHeight="1">
      <c r="A592" s="1591"/>
      <c r="B592" s="1591"/>
      <c r="C592" s="2217"/>
      <c r="D592" s="1541"/>
      <c r="E592" s="906"/>
      <c r="F592" s="541"/>
      <c r="G592" s="541"/>
      <c r="H592" s="541"/>
      <c r="I592" s="541"/>
      <c r="J592" s="1748"/>
      <c r="K592" s="541"/>
      <c r="L592" s="1748"/>
      <c r="M592" s="541"/>
      <c r="N592" s="1748"/>
      <c r="O592" s="541"/>
      <c r="P592" s="1748"/>
      <c r="Q592" s="541"/>
      <c r="R592" s="1748"/>
      <c r="S592" s="541"/>
      <c r="T592" s="1748"/>
      <c r="U592" s="541"/>
      <c r="V592" s="1748"/>
      <c r="W592" s="541"/>
      <c r="X592" s="1748"/>
      <c r="Y592" s="1748"/>
      <c r="Z592" s="1748"/>
      <c r="AA592" s="541"/>
      <c r="AB592" s="1748"/>
      <c r="AC592" s="541"/>
      <c r="AD592" s="541"/>
      <c r="AE592" s="541"/>
      <c r="AF592" s="541"/>
      <c r="AG592" s="541"/>
      <c r="AH592" s="541"/>
      <c r="AI592" s="541"/>
      <c r="AJ592" s="541"/>
      <c r="AK592" s="541"/>
      <c r="AL592" s="541"/>
      <c r="AM592" s="541"/>
      <c r="AN592" s="1748"/>
      <c r="AO592" s="1748"/>
      <c r="AP592" s="1748"/>
      <c r="AQ592" s="1748"/>
      <c r="AR592" s="1748"/>
      <c r="AS592" s="541"/>
      <c r="AT592" s="541"/>
      <c r="AU592" s="541"/>
      <c r="AV592" s="541"/>
      <c r="AW592" s="541"/>
      <c r="AY592" s="541"/>
      <c r="AZ592" s="633"/>
      <c r="BA592" s="541"/>
      <c r="BB592" s="1190"/>
      <c r="BC592" s="541"/>
      <c r="BD592" s="1190"/>
      <c r="BE592" s="541"/>
      <c r="BF592" s="1190"/>
      <c r="BG592" s="541"/>
      <c r="BH592" s="1190"/>
      <c r="BI592" s="541"/>
      <c r="BJ592" s="1190"/>
      <c r="BK592" s="541"/>
      <c r="BL592" s="541"/>
      <c r="BM592" s="541"/>
      <c r="BP592" s="541"/>
      <c r="BQ592" s="633"/>
      <c r="BR592" s="541"/>
      <c r="BS592" s="541"/>
      <c r="BT592" s="541"/>
      <c r="BU592" s="541"/>
    </row>
    <row r="593" ht="15.75" customHeight="1">
      <c r="A593" s="1591"/>
      <c r="B593" s="1591"/>
      <c r="C593" s="2217"/>
      <c r="D593" s="1541"/>
      <c r="E593" s="906"/>
      <c r="F593" s="541"/>
      <c r="G593" s="541"/>
      <c r="H593" s="541"/>
      <c r="I593" s="541"/>
      <c r="J593" s="1748"/>
      <c r="K593" s="541"/>
      <c r="L593" s="1748"/>
      <c r="M593" s="541"/>
      <c r="N593" s="1748"/>
      <c r="O593" s="541"/>
      <c r="P593" s="1748"/>
      <c r="Q593" s="541"/>
      <c r="R593" s="1748"/>
      <c r="S593" s="541"/>
      <c r="T593" s="1748"/>
      <c r="U593" s="541"/>
      <c r="V593" s="1748"/>
      <c r="W593" s="541"/>
      <c r="X593" s="1748"/>
      <c r="Y593" s="1748"/>
      <c r="Z593" s="1748"/>
      <c r="AA593" s="541"/>
      <c r="AB593" s="1748"/>
      <c r="AC593" s="541"/>
      <c r="AD593" s="541"/>
      <c r="AE593" s="541"/>
      <c r="AF593" s="541"/>
      <c r="AG593" s="541"/>
      <c r="AH593" s="541"/>
      <c r="AI593" s="541"/>
      <c r="AJ593" s="541"/>
      <c r="AK593" s="541"/>
      <c r="AL593" s="541"/>
      <c r="AM593" s="541"/>
      <c r="AN593" s="1748"/>
      <c r="AO593" s="1748"/>
      <c r="AP593" s="1748"/>
      <c r="AQ593" s="1748"/>
      <c r="AR593" s="1748"/>
      <c r="AS593" s="541"/>
      <c r="AT593" s="541"/>
      <c r="AU593" s="541"/>
      <c r="AV593" s="541"/>
      <c r="AW593" s="541"/>
      <c r="AY593" s="541"/>
      <c r="AZ593" s="633"/>
      <c r="BA593" s="541"/>
      <c r="BB593" s="1190"/>
      <c r="BC593" s="541"/>
      <c r="BD593" s="1190"/>
      <c r="BE593" s="541"/>
      <c r="BF593" s="1190"/>
      <c r="BG593" s="541"/>
      <c r="BH593" s="1190"/>
      <c r="BI593" s="541"/>
      <c r="BJ593" s="1190"/>
      <c r="BK593" s="541"/>
      <c r="BL593" s="541"/>
      <c r="BM593" s="541"/>
      <c r="BP593" s="541"/>
      <c r="BQ593" s="633"/>
      <c r="BR593" s="541"/>
      <c r="BS593" s="541"/>
      <c r="BT593" s="541"/>
      <c r="BU593" s="541"/>
    </row>
    <row r="594" ht="15.75" customHeight="1">
      <c r="A594" s="1591"/>
      <c r="B594" s="1591"/>
      <c r="C594" s="2217"/>
      <c r="D594" s="1541"/>
      <c r="E594" s="906"/>
      <c r="F594" s="541"/>
      <c r="G594" s="541"/>
      <c r="H594" s="541"/>
      <c r="I594" s="541"/>
      <c r="J594" s="1748"/>
      <c r="K594" s="541"/>
      <c r="L594" s="1748"/>
      <c r="M594" s="541"/>
      <c r="N594" s="1748"/>
      <c r="O594" s="541"/>
      <c r="P594" s="1748"/>
      <c r="Q594" s="541"/>
      <c r="R594" s="1748"/>
      <c r="S594" s="541"/>
      <c r="T594" s="1748"/>
      <c r="U594" s="541"/>
      <c r="V594" s="1748"/>
      <c r="W594" s="541"/>
      <c r="X594" s="1748"/>
      <c r="Y594" s="1748"/>
      <c r="Z594" s="1748"/>
      <c r="AA594" s="541"/>
      <c r="AB594" s="1748"/>
      <c r="AC594" s="541"/>
      <c r="AD594" s="541"/>
      <c r="AE594" s="541"/>
      <c r="AF594" s="541"/>
      <c r="AG594" s="541"/>
      <c r="AH594" s="541"/>
      <c r="AI594" s="541"/>
      <c r="AJ594" s="541"/>
      <c r="AK594" s="541"/>
      <c r="AL594" s="541"/>
      <c r="AM594" s="541"/>
      <c r="AN594" s="1748"/>
      <c r="AO594" s="1748"/>
      <c r="AP594" s="1748"/>
      <c r="AQ594" s="1748"/>
      <c r="AR594" s="1748"/>
      <c r="AS594" s="541"/>
      <c r="AT594" s="541"/>
      <c r="AU594" s="541"/>
      <c r="AV594" s="541"/>
      <c r="AW594" s="541"/>
      <c r="AY594" s="541"/>
      <c r="AZ594" s="633"/>
      <c r="BA594" s="541"/>
      <c r="BB594" s="1190"/>
      <c r="BC594" s="541"/>
      <c r="BD594" s="1190"/>
      <c r="BE594" s="541"/>
      <c r="BF594" s="1190"/>
      <c r="BG594" s="541"/>
      <c r="BH594" s="1190"/>
      <c r="BI594" s="541"/>
      <c r="BJ594" s="1190"/>
      <c r="BK594" s="541"/>
      <c r="BL594" s="541"/>
      <c r="BM594" s="541"/>
      <c r="BP594" s="541"/>
      <c r="BQ594" s="633"/>
      <c r="BR594" s="541"/>
      <c r="BS594" s="541"/>
      <c r="BT594" s="541"/>
      <c r="BU594" s="541"/>
    </row>
    <row r="595" ht="15.75" customHeight="1">
      <c r="A595" s="1591"/>
      <c r="B595" s="1591"/>
      <c r="C595" s="2217"/>
      <c r="D595" s="1541"/>
      <c r="E595" s="906"/>
      <c r="F595" s="541"/>
      <c r="G595" s="541"/>
      <c r="H595" s="541"/>
      <c r="I595" s="541"/>
      <c r="J595" s="1748"/>
      <c r="K595" s="541"/>
      <c r="L595" s="1748"/>
      <c r="M595" s="541"/>
      <c r="N595" s="1748"/>
      <c r="O595" s="541"/>
      <c r="P595" s="1748"/>
      <c r="Q595" s="541"/>
      <c r="R595" s="1748"/>
      <c r="S595" s="541"/>
      <c r="T595" s="1748"/>
      <c r="U595" s="541"/>
      <c r="V595" s="1748"/>
      <c r="W595" s="541"/>
      <c r="X595" s="1748"/>
      <c r="Y595" s="1748"/>
      <c r="Z595" s="1748"/>
      <c r="AA595" s="541"/>
      <c r="AB595" s="1748"/>
      <c r="AC595" s="541"/>
      <c r="AD595" s="541"/>
      <c r="AE595" s="541"/>
      <c r="AF595" s="541"/>
      <c r="AG595" s="541"/>
      <c r="AH595" s="541"/>
      <c r="AI595" s="541"/>
      <c r="AJ595" s="541"/>
      <c r="AK595" s="541"/>
      <c r="AL595" s="541"/>
      <c r="AM595" s="541"/>
      <c r="AN595" s="1748"/>
      <c r="AO595" s="1748"/>
      <c r="AP595" s="1748"/>
      <c r="AQ595" s="1748"/>
      <c r="AR595" s="1748"/>
      <c r="AS595" s="541"/>
      <c r="AT595" s="541"/>
      <c r="AU595" s="541"/>
      <c r="AV595" s="541"/>
      <c r="AW595" s="541"/>
      <c r="AY595" s="541"/>
      <c r="AZ595" s="633"/>
      <c r="BA595" s="541"/>
      <c r="BB595" s="1190"/>
      <c r="BC595" s="541"/>
      <c r="BD595" s="1190"/>
      <c r="BE595" s="541"/>
      <c r="BF595" s="1190"/>
      <c r="BG595" s="541"/>
      <c r="BH595" s="1190"/>
      <c r="BI595" s="541"/>
      <c r="BJ595" s="1190"/>
      <c r="BK595" s="541"/>
      <c r="BL595" s="541"/>
      <c r="BM595" s="541"/>
      <c r="BP595" s="541"/>
      <c r="BQ595" s="633"/>
      <c r="BR595" s="541"/>
      <c r="BS595" s="541"/>
      <c r="BT595" s="541"/>
      <c r="BU595" s="541"/>
    </row>
    <row r="596" ht="15.75" customHeight="1">
      <c r="A596" s="1591"/>
      <c r="B596" s="1591"/>
      <c r="C596" s="2217"/>
      <c r="D596" s="1541"/>
      <c r="E596" s="906"/>
      <c r="F596" s="541"/>
      <c r="G596" s="541"/>
      <c r="H596" s="541"/>
      <c r="I596" s="541"/>
      <c r="J596" s="1748"/>
      <c r="K596" s="541"/>
      <c r="L596" s="1748"/>
      <c r="M596" s="541"/>
      <c r="N596" s="1748"/>
      <c r="O596" s="541"/>
      <c r="P596" s="1748"/>
      <c r="Q596" s="541"/>
      <c r="R596" s="1748"/>
      <c r="S596" s="541"/>
      <c r="T596" s="1748"/>
      <c r="U596" s="541"/>
      <c r="V596" s="1748"/>
      <c r="W596" s="541"/>
      <c r="X596" s="1748"/>
      <c r="Y596" s="1748"/>
      <c r="Z596" s="1748"/>
      <c r="AA596" s="541"/>
      <c r="AB596" s="1748"/>
      <c r="AC596" s="541"/>
      <c r="AD596" s="541"/>
      <c r="AE596" s="541"/>
      <c r="AF596" s="541"/>
      <c r="AG596" s="541"/>
      <c r="AH596" s="541"/>
      <c r="AI596" s="541"/>
      <c r="AJ596" s="541"/>
      <c r="AK596" s="541"/>
      <c r="AL596" s="541"/>
      <c r="AM596" s="541"/>
      <c r="AN596" s="1748"/>
      <c r="AO596" s="1748"/>
      <c r="AP596" s="1748"/>
      <c r="AQ596" s="1748"/>
      <c r="AR596" s="1748"/>
      <c r="AS596" s="541"/>
      <c r="AT596" s="541"/>
      <c r="AU596" s="541"/>
      <c r="AV596" s="541"/>
      <c r="AW596" s="541"/>
      <c r="AY596" s="541"/>
      <c r="AZ596" s="633"/>
      <c r="BA596" s="541"/>
      <c r="BB596" s="1190"/>
      <c r="BC596" s="541"/>
      <c r="BD596" s="1190"/>
      <c r="BE596" s="541"/>
      <c r="BF596" s="1190"/>
      <c r="BG596" s="541"/>
      <c r="BH596" s="1190"/>
      <c r="BI596" s="541"/>
      <c r="BJ596" s="1190"/>
      <c r="BK596" s="541"/>
      <c r="BL596" s="541"/>
      <c r="BM596" s="541"/>
      <c r="BP596" s="541"/>
      <c r="BQ596" s="633"/>
      <c r="BR596" s="541"/>
      <c r="BS596" s="541"/>
      <c r="BT596" s="541"/>
      <c r="BU596" s="541"/>
    </row>
    <row r="597" ht="15.75" customHeight="1">
      <c r="A597" s="1591"/>
      <c r="B597" s="1591"/>
      <c r="C597" s="2217"/>
      <c r="D597" s="1541"/>
      <c r="E597" s="906"/>
      <c r="F597" s="541"/>
      <c r="G597" s="541"/>
      <c r="H597" s="541"/>
      <c r="I597" s="541"/>
      <c r="J597" s="1748"/>
      <c r="K597" s="541"/>
      <c r="L597" s="1748"/>
      <c r="M597" s="541"/>
      <c r="N597" s="1748"/>
      <c r="O597" s="541"/>
      <c r="P597" s="1748"/>
      <c r="Q597" s="541"/>
      <c r="R597" s="1748"/>
      <c r="S597" s="541"/>
      <c r="T597" s="1748"/>
      <c r="U597" s="541"/>
      <c r="V597" s="1748"/>
      <c r="W597" s="541"/>
      <c r="X597" s="1748"/>
      <c r="Y597" s="1748"/>
      <c r="Z597" s="1748"/>
      <c r="AA597" s="541"/>
      <c r="AB597" s="1748"/>
      <c r="AC597" s="541"/>
      <c r="AD597" s="541"/>
      <c r="AE597" s="541"/>
      <c r="AF597" s="541"/>
      <c r="AG597" s="541"/>
      <c r="AH597" s="541"/>
      <c r="AI597" s="541"/>
      <c r="AJ597" s="541"/>
      <c r="AK597" s="541"/>
      <c r="AL597" s="541"/>
      <c r="AM597" s="541"/>
      <c r="AN597" s="1748"/>
      <c r="AO597" s="1748"/>
      <c r="AP597" s="1748"/>
      <c r="AQ597" s="1748"/>
      <c r="AR597" s="1748"/>
      <c r="AS597" s="541"/>
      <c r="AT597" s="541"/>
      <c r="AU597" s="541"/>
      <c r="AV597" s="541"/>
      <c r="AW597" s="541"/>
      <c r="AY597" s="541"/>
      <c r="AZ597" s="633"/>
      <c r="BA597" s="541"/>
      <c r="BB597" s="1190"/>
      <c r="BC597" s="541"/>
      <c r="BD597" s="1190"/>
      <c r="BE597" s="541"/>
      <c r="BF597" s="1190"/>
      <c r="BG597" s="541"/>
      <c r="BH597" s="1190"/>
      <c r="BI597" s="541"/>
      <c r="BJ597" s="1190"/>
      <c r="BK597" s="541"/>
      <c r="BL597" s="541"/>
      <c r="BM597" s="541"/>
      <c r="BP597" s="541"/>
      <c r="BQ597" s="633"/>
      <c r="BR597" s="541"/>
      <c r="BS597" s="541"/>
      <c r="BT597" s="541"/>
      <c r="BU597" s="541"/>
    </row>
    <row r="598" ht="15.75" customHeight="1">
      <c r="A598" s="1591"/>
      <c r="B598" s="1591"/>
      <c r="C598" s="2217"/>
      <c r="D598" s="1541"/>
      <c r="E598" s="906"/>
      <c r="F598" s="541"/>
      <c r="G598" s="541"/>
      <c r="H598" s="541"/>
      <c r="I598" s="541"/>
      <c r="J598" s="1748"/>
      <c r="K598" s="541"/>
      <c r="L598" s="1748"/>
      <c r="M598" s="541"/>
      <c r="N598" s="1748"/>
      <c r="O598" s="541"/>
      <c r="P598" s="1748"/>
      <c r="Q598" s="541"/>
      <c r="R598" s="1748"/>
      <c r="S598" s="541"/>
      <c r="T598" s="1748"/>
      <c r="U598" s="541"/>
      <c r="V598" s="1748"/>
      <c r="W598" s="541"/>
      <c r="X598" s="1748"/>
      <c r="Y598" s="1748"/>
      <c r="Z598" s="1748"/>
      <c r="AA598" s="541"/>
      <c r="AB598" s="1748"/>
      <c r="AC598" s="541"/>
      <c r="AD598" s="541"/>
      <c r="AE598" s="541"/>
      <c r="AF598" s="541"/>
      <c r="AG598" s="541"/>
      <c r="AH598" s="541"/>
      <c r="AI598" s="541"/>
      <c r="AJ598" s="541"/>
      <c r="AK598" s="541"/>
      <c r="AL598" s="541"/>
      <c r="AM598" s="541"/>
      <c r="AN598" s="1748"/>
      <c r="AO598" s="1748"/>
      <c r="AP598" s="1748"/>
      <c r="AQ598" s="1748"/>
      <c r="AR598" s="1748"/>
      <c r="AS598" s="541"/>
      <c r="AT598" s="541"/>
      <c r="AU598" s="541"/>
      <c r="AV598" s="541"/>
      <c r="AW598" s="541"/>
      <c r="AY598" s="541"/>
      <c r="AZ598" s="633"/>
      <c r="BA598" s="541"/>
      <c r="BB598" s="1190"/>
      <c r="BC598" s="541"/>
      <c r="BD598" s="1190"/>
      <c r="BE598" s="541"/>
      <c r="BF598" s="1190"/>
      <c r="BG598" s="541"/>
      <c r="BH598" s="1190"/>
      <c r="BI598" s="541"/>
      <c r="BJ598" s="1190"/>
      <c r="BK598" s="541"/>
      <c r="BL598" s="541"/>
      <c r="BM598" s="541"/>
      <c r="BP598" s="541"/>
      <c r="BQ598" s="633"/>
      <c r="BR598" s="541"/>
      <c r="BS598" s="541"/>
      <c r="BT598" s="541"/>
      <c r="BU598" s="541"/>
    </row>
    <row r="599" ht="15.75" customHeight="1">
      <c r="A599" s="1591"/>
      <c r="B599" s="1591"/>
      <c r="C599" s="2217"/>
      <c r="D599" s="1541"/>
      <c r="E599" s="906"/>
      <c r="F599" s="541"/>
      <c r="G599" s="541"/>
      <c r="H599" s="541"/>
      <c r="I599" s="541"/>
      <c r="J599" s="1748"/>
      <c r="K599" s="541"/>
      <c r="L599" s="1748"/>
      <c r="M599" s="541"/>
      <c r="N599" s="1748"/>
      <c r="O599" s="541"/>
      <c r="P599" s="1748"/>
      <c r="Q599" s="541"/>
      <c r="R599" s="1748"/>
      <c r="S599" s="541"/>
      <c r="T599" s="1748"/>
      <c r="U599" s="541"/>
      <c r="V599" s="1748"/>
      <c r="W599" s="541"/>
      <c r="X599" s="1748"/>
      <c r="Y599" s="1748"/>
      <c r="Z599" s="1748"/>
      <c r="AA599" s="541"/>
      <c r="AB599" s="1748"/>
      <c r="AC599" s="541"/>
      <c r="AD599" s="541"/>
      <c r="AE599" s="541"/>
      <c r="AF599" s="541"/>
      <c r="AG599" s="541"/>
      <c r="AH599" s="541"/>
      <c r="AI599" s="541"/>
      <c r="AJ599" s="541"/>
      <c r="AK599" s="541"/>
      <c r="AL599" s="541"/>
      <c r="AM599" s="541"/>
      <c r="AN599" s="1748"/>
      <c r="AO599" s="1748"/>
      <c r="AP599" s="1748"/>
      <c r="AQ599" s="1748"/>
      <c r="AR599" s="1748"/>
      <c r="AS599" s="541"/>
      <c r="AT599" s="541"/>
      <c r="AU599" s="541"/>
      <c r="AV599" s="541"/>
      <c r="AW599" s="541"/>
      <c r="AY599" s="541"/>
      <c r="AZ599" s="633"/>
      <c r="BA599" s="541"/>
      <c r="BB599" s="1190"/>
      <c r="BC599" s="541"/>
      <c r="BD599" s="1190"/>
      <c r="BE599" s="541"/>
      <c r="BF599" s="1190"/>
      <c r="BG599" s="541"/>
      <c r="BH599" s="1190"/>
      <c r="BI599" s="541"/>
      <c r="BJ599" s="1190"/>
      <c r="BK599" s="541"/>
      <c r="BL599" s="541"/>
      <c r="BM599" s="541"/>
      <c r="BP599" s="541"/>
      <c r="BQ599" s="633"/>
      <c r="BR599" s="541"/>
      <c r="BS599" s="541"/>
      <c r="BT599" s="541"/>
      <c r="BU599" s="541"/>
    </row>
    <row r="600" ht="15.75" customHeight="1">
      <c r="A600" s="1591"/>
      <c r="B600" s="1591"/>
      <c r="C600" s="2217"/>
      <c r="D600" s="1541"/>
      <c r="E600" s="906"/>
      <c r="F600" s="541"/>
      <c r="G600" s="541"/>
      <c r="H600" s="541"/>
      <c r="I600" s="541"/>
      <c r="J600" s="1748"/>
      <c r="K600" s="541"/>
      <c r="L600" s="1748"/>
      <c r="M600" s="541"/>
      <c r="N600" s="1748"/>
      <c r="O600" s="541"/>
      <c r="P600" s="1748"/>
      <c r="Q600" s="541"/>
      <c r="R600" s="1748"/>
      <c r="S600" s="541"/>
      <c r="T600" s="1748"/>
      <c r="U600" s="541"/>
      <c r="V600" s="1748"/>
      <c r="W600" s="541"/>
      <c r="X600" s="1748"/>
      <c r="Y600" s="1748"/>
      <c r="Z600" s="1748"/>
      <c r="AA600" s="541"/>
      <c r="AB600" s="1748"/>
      <c r="AC600" s="541"/>
      <c r="AD600" s="541"/>
      <c r="AE600" s="541"/>
      <c r="AF600" s="541"/>
      <c r="AG600" s="541"/>
      <c r="AH600" s="541"/>
      <c r="AI600" s="541"/>
      <c r="AJ600" s="541"/>
      <c r="AK600" s="541"/>
      <c r="AL600" s="541"/>
      <c r="AM600" s="541"/>
      <c r="AN600" s="1748"/>
      <c r="AO600" s="1748"/>
      <c r="AP600" s="1748"/>
      <c r="AQ600" s="1748"/>
      <c r="AR600" s="1748"/>
      <c r="AS600" s="541"/>
      <c r="AT600" s="541"/>
      <c r="AU600" s="541"/>
      <c r="AV600" s="541"/>
      <c r="AW600" s="541"/>
      <c r="AY600" s="541"/>
      <c r="AZ600" s="633"/>
      <c r="BA600" s="541"/>
      <c r="BB600" s="1190"/>
      <c r="BC600" s="541"/>
      <c r="BD600" s="1190"/>
      <c r="BE600" s="541"/>
      <c r="BF600" s="1190"/>
      <c r="BG600" s="541"/>
      <c r="BH600" s="1190"/>
      <c r="BI600" s="541"/>
      <c r="BJ600" s="1190"/>
      <c r="BK600" s="541"/>
      <c r="BL600" s="541"/>
      <c r="BM600" s="541"/>
      <c r="BP600" s="541"/>
      <c r="BQ600" s="633"/>
      <c r="BR600" s="541"/>
      <c r="BS600" s="541"/>
      <c r="BT600" s="541"/>
      <c r="BU600" s="541"/>
    </row>
    <row r="601" ht="15.75" customHeight="1">
      <c r="A601" s="1591"/>
      <c r="B601" s="1591"/>
      <c r="C601" s="2217"/>
      <c r="D601" s="1541"/>
      <c r="E601" s="906"/>
      <c r="F601" s="541"/>
      <c r="G601" s="541"/>
      <c r="H601" s="541"/>
      <c r="I601" s="541"/>
      <c r="J601" s="1748"/>
      <c r="K601" s="541"/>
      <c r="L601" s="1748"/>
      <c r="M601" s="541"/>
      <c r="N601" s="1748"/>
      <c r="O601" s="541"/>
      <c r="P601" s="1748"/>
      <c r="Q601" s="541"/>
      <c r="R601" s="1748"/>
      <c r="S601" s="541"/>
      <c r="T601" s="1748"/>
      <c r="U601" s="541"/>
      <c r="V601" s="1748"/>
      <c r="W601" s="541"/>
      <c r="X601" s="1748"/>
      <c r="Y601" s="1748"/>
      <c r="Z601" s="1748"/>
      <c r="AA601" s="541"/>
      <c r="AB601" s="1748"/>
      <c r="AC601" s="541"/>
      <c r="AD601" s="541"/>
      <c r="AE601" s="541"/>
      <c r="AF601" s="541"/>
      <c r="AG601" s="541"/>
      <c r="AH601" s="541"/>
      <c r="AI601" s="541"/>
      <c r="AJ601" s="541"/>
      <c r="AK601" s="541"/>
      <c r="AL601" s="541"/>
      <c r="AM601" s="541"/>
      <c r="AN601" s="1748"/>
      <c r="AO601" s="1748"/>
      <c r="AP601" s="1748"/>
      <c r="AQ601" s="1748"/>
      <c r="AR601" s="1748"/>
      <c r="AS601" s="541"/>
      <c r="AT601" s="541"/>
      <c r="AU601" s="541"/>
      <c r="AV601" s="541"/>
      <c r="AW601" s="541"/>
      <c r="AY601" s="541"/>
      <c r="AZ601" s="633"/>
      <c r="BA601" s="541"/>
      <c r="BB601" s="1190"/>
      <c r="BC601" s="541"/>
      <c r="BD601" s="1190"/>
      <c r="BE601" s="541"/>
      <c r="BF601" s="1190"/>
      <c r="BG601" s="541"/>
      <c r="BH601" s="1190"/>
      <c r="BI601" s="541"/>
      <c r="BJ601" s="1190"/>
      <c r="BK601" s="541"/>
      <c r="BL601" s="541"/>
      <c r="BM601" s="541"/>
      <c r="BP601" s="541"/>
      <c r="BQ601" s="633"/>
      <c r="BR601" s="541"/>
      <c r="BS601" s="541"/>
      <c r="BT601" s="541"/>
      <c r="BU601" s="541"/>
    </row>
    <row r="602" ht="15.75" customHeight="1">
      <c r="A602" s="1591"/>
      <c r="B602" s="1591"/>
      <c r="C602" s="2217"/>
      <c r="D602" s="1541"/>
      <c r="E602" s="906"/>
      <c r="F602" s="541"/>
      <c r="G602" s="541"/>
      <c r="H602" s="541"/>
      <c r="I602" s="541"/>
      <c r="J602" s="1748"/>
      <c r="K602" s="541"/>
      <c r="L602" s="1748"/>
      <c r="M602" s="541"/>
      <c r="N602" s="1748"/>
      <c r="O602" s="541"/>
      <c r="P602" s="1748"/>
      <c r="Q602" s="541"/>
      <c r="R602" s="1748"/>
      <c r="S602" s="541"/>
      <c r="T602" s="1748"/>
      <c r="U602" s="541"/>
      <c r="V602" s="1748"/>
      <c r="W602" s="541"/>
      <c r="X602" s="1748"/>
      <c r="Y602" s="1748"/>
      <c r="Z602" s="1748"/>
      <c r="AA602" s="541"/>
      <c r="AB602" s="1748"/>
      <c r="AC602" s="541"/>
      <c r="AD602" s="541"/>
      <c r="AE602" s="541"/>
      <c r="AF602" s="541"/>
      <c r="AG602" s="541"/>
      <c r="AH602" s="541"/>
      <c r="AI602" s="541"/>
      <c r="AJ602" s="541"/>
      <c r="AK602" s="541"/>
      <c r="AL602" s="541"/>
      <c r="AM602" s="541"/>
      <c r="AN602" s="1748"/>
      <c r="AO602" s="1748"/>
      <c r="AP602" s="1748"/>
      <c r="AQ602" s="1748"/>
      <c r="AR602" s="1748"/>
      <c r="AS602" s="541"/>
      <c r="AT602" s="541"/>
      <c r="AU602" s="541"/>
      <c r="AV602" s="541"/>
      <c r="AW602" s="541"/>
      <c r="AY602" s="541"/>
      <c r="AZ602" s="633"/>
      <c r="BA602" s="541"/>
      <c r="BB602" s="1190"/>
      <c r="BC602" s="541"/>
      <c r="BD602" s="1190"/>
      <c r="BE602" s="541"/>
      <c r="BF602" s="1190"/>
      <c r="BG602" s="541"/>
      <c r="BH602" s="1190"/>
      <c r="BI602" s="541"/>
      <c r="BJ602" s="1190"/>
      <c r="BK602" s="541"/>
      <c r="BL602" s="541"/>
      <c r="BM602" s="541"/>
      <c r="BP602" s="541"/>
      <c r="BQ602" s="633"/>
      <c r="BR602" s="541"/>
      <c r="BS602" s="541"/>
      <c r="BT602" s="541"/>
      <c r="BU602" s="541"/>
    </row>
    <row r="603" ht="15.75" customHeight="1">
      <c r="A603" s="1591"/>
      <c r="B603" s="1591"/>
      <c r="C603" s="2217"/>
      <c r="D603" s="1541"/>
      <c r="E603" s="906"/>
      <c r="F603" s="541"/>
      <c r="G603" s="541"/>
      <c r="H603" s="541"/>
      <c r="I603" s="541"/>
      <c r="J603" s="1748"/>
      <c r="K603" s="541"/>
      <c r="L603" s="1748"/>
      <c r="M603" s="541"/>
      <c r="N603" s="1748"/>
      <c r="O603" s="541"/>
      <c r="P603" s="1748"/>
      <c r="Q603" s="541"/>
      <c r="R603" s="1748"/>
      <c r="S603" s="541"/>
      <c r="T603" s="1748"/>
      <c r="U603" s="541"/>
      <c r="V603" s="1748"/>
      <c r="W603" s="541"/>
      <c r="X603" s="1748"/>
      <c r="Y603" s="1748"/>
      <c r="Z603" s="1748"/>
      <c r="AA603" s="541"/>
      <c r="AB603" s="1748"/>
      <c r="AC603" s="541"/>
      <c r="AD603" s="541"/>
      <c r="AE603" s="541"/>
      <c r="AF603" s="541"/>
      <c r="AG603" s="541"/>
      <c r="AH603" s="541"/>
      <c r="AI603" s="541"/>
      <c r="AJ603" s="541"/>
      <c r="AK603" s="541"/>
      <c r="AL603" s="541"/>
      <c r="AM603" s="541"/>
      <c r="AN603" s="1748"/>
      <c r="AO603" s="1748"/>
      <c r="AP603" s="1748"/>
      <c r="AQ603" s="1748"/>
      <c r="AR603" s="1748"/>
      <c r="AS603" s="541"/>
      <c r="AT603" s="541"/>
      <c r="AU603" s="541"/>
      <c r="AV603" s="541"/>
      <c r="AW603" s="541"/>
      <c r="AY603" s="541"/>
      <c r="AZ603" s="633"/>
      <c r="BA603" s="541"/>
      <c r="BB603" s="1190"/>
      <c r="BC603" s="541"/>
      <c r="BD603" s="1190"/>
      <c r="BE603" s="541"/>
      <c r="BF603" s="1190"/>
      <c r="BG603" s="541"/>
      <c r="BH603" s="1190"/>
      <c r="BI603" s="541"/>
      <c r="BJ603" s="1190"/>
      <c r="BK603" s="541"/>
      <c r="BL603" s="541"/>
      <c r="BM603" s="541"/>
      <c r="BP603" s="541"/>
      <c r="BQ603" s="633"/>
      <c r="BR603" s="541"/>
      <c r="BS603" s="541"/>
      <c r="BT603" s="541"/>
      <c r="BU603" s="541"/>
    </row>
    <row r="604" ht="15.75" customHeight="1">
      <c r="A604" s="1591"/>
      <c r="B604" s="1591"/>
      <c r="C604" s="2217"/>
      <c r="D604" s="1541"/>
      <c r="E604" s="906"/>
      <c r="F604" s="541"/>
      <c r="G604" s="541"/>
      <c r="H604" s="541"/>
      <c r="I604" s="541"/>
      <c r="J604" s="1748"/>
      <c r="K604" s="541"/>
      <c r="L604" s="1748"/>
      <c r="M604" s="541"/>
      <c r="N604" s="1748"/>
      <c r="O604" s="541"/>
      <c r="P604" s="1748"/>
      <c r="Q604" s="541"/>
      <c r="R604" s="1748"/>
      <c r="S604" s="541"/>
      <c r="T604" s="1748"/>
      <c r="U604" s="541"/>
      <c r="V604" s="1748"/>
      <c r="W604" s="541"/>
      <c r="X604" s="1748"/>
      <c r="Y604" s="1748"/>
      <c r="Z604" s="1748"/>
      <c r="AA604" s="541"/>
      <c r="AB604" s="1748"/>
      <c r="AC604" s="541"/>
      <c r="AD604" s="541"/>
      <c r="AE604" s="541"/>
      <c r="AF604" s="541"/>
      <c r="AG604" s="541"/>
      <c r="AH604" s="541"/>
      <c r="AI604" s="541"/>
      <c r="AJ604" s="541"/>
      <c r="AK604" s="541"/>
      <c r="AL604" s="541"/>
      <c r="AM604" s="541"/>
      <c r="AN604" s="1748"/>
      <c r="AO604" s="1748"/>
      <c r="AP604" s="1748"/>
      <c r="AQ604" s="1748"/>
      <c r="AR604" s="1748"/>
      <c r="AS604" s="541"/>
      <c r="AT604" s="541"/>
      <c r="AU604" s="541"/>
      <c r="AV604" s="541"/>
      <c r="AW604" s="541"/>
      <c r="AY604" s="541"/>
      <c r="AZ604" s="633"/>
      <c r="BA604" s="541"/>
      <c r="BB604" s="1190"/>
      <c r="BC604" s="541"/>
      <c r="BD604" s="1190"/>
      <c r="BE604" s="541"/>
      <c r="BF604" s="1190"/>
      <c r="BG604" s="541"/>
      <c r="BH604" s="1190"/>
      <c r="BI604" s="541"/>
      <c r="BJ604" s="1190"/>
      <c r="BK604" s="541"/>
      <c r="BL604" s="541"/>
      <c r="BM604" s="541"/>
      <c r="BP604" s="541"/>
      <c r="BQ604" s="633"/>
      <c r="BR604" s="541"/>
      <c r="BS604" s="541"/>
      <c r="BT604" s="541"/>
      <c r="BU604" s="541"/>
    </row>
    <row r="605" ht="15.75" customHeight="1">
      <c r="A605" s="1591"/>
      <c r="B605" s="1591"/>
      <c r="C605" s="2217"/>
      <c r="D605" s="1541"/>
      <c r="E605" s="906"/>
      <c r="F605" s="541"/>
      <c r="G605" s="541"/>
      <c r="H605" s="541"/>
      <c r="I605" s="541"/>
      <c r="J605" s="1748"/>
      <c r="K605" s="541"/>
      <c r="L605" s="1748"/>
      <c r="M605" s="541"/>
      <c r="N605" s="1748"/>
      <c r="O605" s="541"/>
      <c r="P605" s="1748"/>
      <c r="Q605" s="541"/>
      <c r="R605" s="1748"/>
      <c r="S605" s="541"/>
      <c r="T605" s="1748"/>
      <c r="U605" s="541"/>
      <c r="V605" s="1748"/>
      <c r="W605" s="541"/>
      <c r="X605" s="1748"/>
      <c r="Y605" s="1748"/>
      <c r="Z605" s="1748"/>
      <c r="AA605" s="541"/>
      <c r="AB605" s="1748"/>
      <c r="AC605" s="541"/>
      <c r="AD605" s="541"/>
      <c r="AE605" s="541"/>
      <c r="AF605" s="541"/>
      <c r="AG605" s="541"/>
      <c r="AH605" s="541"/>
      <c r="AI605" s="541"/>
      <c r="AJ605" s="541"/>
      <c r="AK605" s="541"/>
      <c r="AL605" s="541"/>
      <c r="AM605" s="541"/>
      <c r="AN605" s="1748"/>
      <c r="AO605" s="1748"/>
      <c r="AP605" s="1748"/>
      <c r="AQ605" s="1748"/>
      <c r="AR605" s="1748"/>
      <c r="AS605" s="541"/>
      <c r="AT605" s="541"/>
      <c r="AU605" s="541"/>
      <c r="AV605" s="541"/>
      <c r="AW605" s="541"/>
      <c r="AY605" s="541"/>
      <c r="AZ605" s="633"/>
      <c r="BA605" s="541"/>
      <c r="BB605" s="1190"/>
      <c r="BC605" s="541"/>
      <c r="BD605" s="1190"/>
      <c r="BE605" s="541"/>
      <c r="BF605" s="1190"/>
      <c r="BG605" s="541"/>
      <c r="BH605" s="1190"/>
      <c r="BI605" s="541"/>
      <c r="BJ605" s="1190"/>
      <c r="BK605" s="541"/>
      <c r="BL605" s="541"/>
      <c r="BM605" s="541"/>
      <c r="BP605" s="541"/>
      <c r="BQ605" s="633"/>
      <c r="BR605" s="541"/>
      <c r="BS605" s="541"/>
      <c r="BT605" s="541"/>
      <c r="BU605" s="541"/>
    </row>
    <row r="606" ht="15.75" customHeight="1">
      <c r="A606" s="1591"/>
      <c r="B606" s="1591"/>
      <c r="C606" s="2217"/>
      <c r="D606" s="1541"/>
      <c r="E606" s="906"/>
      <c r="F606" s="541"/>
      <c r="G606" s="541"/>
      <c r="H606" s="541"/>
      <c r="I606" s="541"/>
      <c r="J606" s="1748"/>
      <c r="K606" s="541"/>
      <c r="L606" s="1748"/>
      <c r="M606" s="541"/>
      <c r="N606" s="1748"/>
      <c r="O606" s="541"/>
      <c r="P606" s="1748"/>
      <c r="Q606" s="541"/>
      <c r="R606" s="1748"/>
      <c r="S606" s="541"/>
      <c r="T606" s="1748"/>
      <c r="U606" s="541"/>
      <c r="V606" s="1748"/>
      <c r="W606" s="541"/>
      <c r="X606" s="1748"/>
      <c r="Y606" s="1748"/>
      <c r="Z606" s="1748"/>
      <c r="AA606" s="541"/>
      <c r="AB606" s="1748"/>
      <c r="AC606" s="541"/>
      <c r="AD606" s="541"/>
      <c r="AE606" s="541"/>
      <c r="AF606" s="541"/>
      <c r="AG606" s="541"/>
      <c r="AH606" s="541"/>
      <c r="AI606" s="541"/>
      <c r="AJ606" s="541"/>
      <c r="AK606" s="541"/>
      <c r="AL606" s="541"/>
      <c r="AM606" s="541"/>
      <c r="AN606" s="1748"/>
      <c r="AO606" s="1748"/>
      <c r="AP606" s="1748"/>
      <c r="AQ606" s="1748"/>
      <c r="AR606" s="1748"/>
      <c r="AS606" s="541"/>
      <c r="AT606" s="541"/>
      <c r="AU606" s="541"/>
      <c r="AV606" s="541"/>
      <c r="AW606" s="541"/>
      <c r="AY606" s="541"/>
      <c r="AZ606" s="633"/>
      <c r="BA606" s="541"/>
      <c r="BB606" s="1190"/>
      <c r="BC606" s="541"/>
      <c r="BD606" s="1190"/>
      <c r="BE606" s="541"/>
      <c r="BF606" s="1190"/>
      <c r="BG606" s="541"/>
      <c r="BH606" s="1190"/>
      <c r="BI606" s="541"/>
      <c r="BJ606" s="1190"/>
      <c r="BK606" s="541"/>
      <c r="BL606" s="541"/>
      <c r="BM606" s="541"/>
      <c r="BP606" s="541"/>
      <c r="BQ606" s="633"/>
      <c r="BR606" s="541"/>
      <c r="BS606" s="541"/>
      <c r="BT606" s="541"/>
      <c r="BU606" s="541"/>
    </row>
    <row r="607" ht="15.75" customHeight="1">
      <c r="A607" s="1591"/>
      <c r="B607" s="1591"/>
      <c r="C607" s="2217"/>
      <c r="D607" s="1541"/>
      <c r="E607" s="906"/>
      <c r="F607" s="541"/>
      <c r="G607" s="541"/>
      <c r="H607" s="541"/>
      <c r="I607" s="541"/>
      <c r="J607" s="1748"/>
      <c r="K607" s="541"/>
      <c r="L607" s="1748"/>
      <c r="M607" s="541"/>
      <c r="N607" s="1748"/>
      <c r="O607" s="541"/>
      <c r="P607" s="1748"/>
      <c r="Q607" s="541"/>
      <c r="R607" s="1748"/>
      <c r="S607" s="541"/>
      <c r="T607" s="1748"/>
      <c r="U607" s="541"/>
      <c r="V607" s="1748"/>
      <c r="W607" s="541"/>
      <c r="X607" s="1748"/>
      <c r="Y607" s="1748"/>
      <c r="Z607" s="1748"/>
      <c r="AA607" s="541"/>
      <c r="AB607" s="1748"/>
      <c r="AC607" s="541"/>
      <c r="AD607" s="541"/>
      <c r="AE607" s="541"/>
      <c r="AF607" s="541"/>
      <c r="AG607" s="541"/>
      <c r="AH607" s="541"/>
      <c r="AI607" s="541"/>
      <c r="AJ607" s="541"/>
      <c r="AK607" s="541"/>
      <c r="AL607" s="541"/>
      <c r="AM607" s="541"/>
      <c r="AN607" s="1748"/>
      <c r="AO607" s="1748"/>
      <c r="AP607" s="1748"/>
      <c r="AQ607" s="1748"/>
      <c r="AR607" s="1748"/>
      <c r="AS607" s="541"/>
      <c r="AT607" s="541"/>
      <c r="AU607" s="541"/>
      <c r="AV607" s="541"/>
      <c r="AW607" s="541"/>
      <c r="AY607" s="541"/>
      <c r="AZ607" s="633"/>
      <c r="BA607" s="541"/>
      <c r="BB607" s="1190"/>
      <c r="BC607" s="541"/>
      <c r="BD607" s="1190"/>
      <c r="BE607" s="541"/>
      <c r="BF607" s="1190"/>
      <c r="BG607" s="541"/>
      <c r="BH607" s="1190"/>
      <c r="BI607" s="541"/>
      <c r="BJ607" s="1190"/>
      <c r="BK607" s="541"/>
      <c r="BL607" s="541"/>
      <c r="BM607" s="541"/>
      <c r="BP607" s="541"/>
      <c r="BQ607" s="633"/>
      <c r="BR607" s="541"/>
      <c r="BS607" s="541"/>
      <c r="BT607" s="541"/>
      <c r="BU607" s="541"/>
    </row>
    <row r="608" ht="15.75" customHeight="1">
      <c r="A608" s="1591"/>
      <c r="B608" s="1591"/>
      <c r="C608" s="2217"/>
      <c r="D608" s="1541"/>
      <c r="E608" s="906"/>
      <c r="F608" s="541"/>
      <c r="G608" s="541"/>
      <c r="H608" s="541"/>
      <c r="I608" s="541"/>
      <c r="J608" s="1748"/>
      <c r="K608" s="541"/>
      <c r="L608" s="1748"/>
      <c r="M608" s="541"/>
      <c r="N608" s="1748"/>
      <c r="O608" s="541"/>
      <c r="P608" s="1748"/>
      <c r="Q608" s="541"/>
      <c r="R608" s="1748"/>
      <c r="S608" s="541"/>
      <c r="T608" s="1748"/>
      <c r="U608" s="541"/>
      <c r="V608" s="1748"/>
      <c r="W608" s="541"/>
      <c r="X608" s="1748"/>
      <c r="Y608" s="1748"/>
      <c r="Z608" s="1748"/>
      <c r="AA608" s="541"/>
      <c r="AB608" s="1748"/>
      <c r="AC608" s="541"/>
      <c r="AD608" s="541"/>
      <c r="AE608" s="541"/>
      <c r="AF608" s="541"/>
      <c r="AG608" s="541"/>
      <c r="AH608" s="541"/>
      <c r="AI608" s="541"/>
      <c r="AJ608" s="541"/>
      <c r="AK608" s="541"/>
      <c r="AL608" s="541"/>
      <c r="AM608" s="541"/>
      <c r="AN608" s="1748"/>
      <c r="AO608" s="1748"/>
      <c r="AP608" s="1748"/>
      <c r="AQ608" s="1748"/>
      <c r="AR608" s="1748"/>
      <c r="AS608" s="541"/>
      <c r="AT608" s="541"/>
      <c r="AU608" s="541"/>
      <c r="AV608" s="541"/>
      <c r="AW608" s="541"/>
      <c r="AY608" s="541"/>
      <c r="AZ608" s="633"/>
      <c r="BA608" s="541"/>
      <c r="BB608" s="1190"/>
      <c r="BC608" s="541"/>
      <c r="BD608" s="1190"/>
      <c r="BE608" s="541"/>
      <c r="BF608" s="1190"/>
      <c r="BG608" s="541"/>
      <c r="BH608" s="1190"/>
      <c r="BI608" s="541"/>
      <c r="BJ608" s="1190"/>
      <c r="BK608" s="541"/>
      <c r="BL608" s="541"/>
      <c r="BM608" s="541"/>
      <c r="BP608" s="541"/>
      <c r="BQ608" s="633"/>
      <c r="BR608" s="541"/>
      <c r="BS608" s="541"/>
      <c r="BT608" s="541"/>
      <c r="BU608" s="541"/>
    </row>
    <row r="609" ht="15.75" customHeight="1">
      <c r="A609" s="1591"/>
      <c r="B609" s="1591"/>
      <c r="C609" s="2217"/>
      <c r="D609" s="1541"/>
      <c r="E609" s="906"/>
      <c r="F609" s="541"/>
      <c r="G609" s="541"/>
      <c r="H609" s="541"/>
      <c r="I609" s="541"/>
      <c r="J609" s="1748"/>
      <c r="K609" s="541"/>
      <c r="L609" s="1748"/>
      <c r="M609" s="541"/>
      <c r="N609" s="1748"/>
      <c r="O609" s="541"/>
      <c r="P609" s="1748"/>
      <c r="Q609" s="541"/>
      <c r="R609" s="1748"/>
      <c r="S609" s="541"/>
      <c r="T609" s="1748"/>
      <c r="U609" s="541"/>
      <c r="V609" s="1748"/>
      <c r="W609" s="541"/>
      <c r="X609" s="1748"/>
      <c r="Y609" s="1748"/>
      <c r="Z609" s="1748"/>
      <c r="AA609" s="541"/>
      <c r="AB609" s="1748"/>
      <c r="AC609" s="541"/>
      <c r="AD609" s="541"/>
      <c r="AE609" s="541"/>
      <c r="AF609" s="541"/>
      <c r="AG609" s="541"/>
      <c r="AH609" s="541"/>
      <c r="AI609" s="541"/>
      <c r="AJ609" s="541"/>
      <c r="AK609" s="541"/>
      <c r="AL609" s="541"/>
      <c r="AM609" s="541"/>
      <c r="AN609" s="1748"/>
      <c r="AO609" s="1748"/>
      <c r="AP609" s="1748"/>
      <c r="AQ609" s="1748"/>
      <c r="AR609" s="1748"/>
      <c r="AS609" s="541"/>
      <c r="AT609" s="541"/>
      <c r="AU609" s="541"/>
      <c r="AV609" s="541"/>
      <c r="AW609" s="541"/>
      <c r="AY609" s="541"/>
      <c r="AZ609" s="633"/>
      <c r="BA609" s="541"/>
      <c r="BB609" s="1190"/>
      <c r="BC609" s="541"/>
      <c r="BD609" s="1190"/>
      <c r="BE609" s="541"/>
      <c r="BF609" s="1190"/>
      <c r="BG609" s="541"/>
      <c r="BH609" s="1190"/>
      <c r="BI609" s="541"/>
      <c r="BJ609" s="1190"/>
      <c r="BK609" s="541"/>
      <c r="BL609" s="541"/>
      <c r="BM609" s="541"/>
      <c r="BP609" s="541"/>
      <c r="BQ609" s="633"/>
      <c r="BR609" s="541"/>
      <c r="BS609" s="541"/>
      <c r="BT609" s="541"/>
      <c r="BU609" s="541"/>
    </row>
    <row r="610" ht="15.75" customHeight="1">
      <c r="A610" s="1591"/>
      <c r="B610" s="1591"/>
      <c r="C610" s="2217"/>
      <c r="D610" s="1541"/>
      <c r="E610" s="906"/>
      <c r="F610" s="541"/>
      <c r="G610" s="541"/>
      <c r="H610" s="541"/>
      <c r="I610" s="541"/>
      <c r="J610" s="1748"/>
      <c r="K610" s="541"/>
      <c r="L610" s="1748"/>
      <c r="M610" s="541"/>
      <c r="N610" s="1748"/>
      <c r="O610" s="541"/>
      <c r="P610" s="1748"/>
      <c r="Q610" s="541"/>
      <c r="R610" s="1748"/>
      <c r="S610" s="541"/>
      <c r="T610" s="1748"/>
      <c r="U610" s="541"/>
      <c r="V610" s="1748"/>
      <c r="W610" s="541"/>
      <c r="X610" s="1748"/>
      <c r="Y610" s="1748"/>
      <c r="Z610" s="1748"/>
      <c r="AA610" s="541"/>
      <c r="AB610" s="1748"/>
      <c r="AC610" s="541"/>
      <c r="AD610" s="541"/>
      <c r="AE610" s="541"/>
      <c r="AF610" s="541"/>
      <c r="AG610" s="541"/>
      <c r="AH610" s="541"/>
      <c r="AI610" s="541"/>
      <c r="AJ610" s="541"/>
      <c r="AK610" s="541"/>
      <c r="AL610" s="541"/>
      <c r="AM610" s="541"/>
      <c r="AN610" s="1748"/>
      <c r="AO610" s="1748"/>
      <c r="AP610" s="1748"/>
      <c r="AQ610" s="1748"/>
      <c r="AR610" s="1748"/>
      <c r="AS610" s="541"/>
      <c r="AT610" s="541"/>
      <c r="AU610" s="541"/>
      <c r="AV610" s="541"/>
      <c r="AW610" s="541"/>
      <c r="AY610" s="541"/>
      <c r="AZ610" s="633"/>
      <c r="BA610" s="541"/>
      <c r="BB610" s="1190"/>
      <c r="BC610" s="541"/>
      <c r="BD610" s="1190"/>
      <c r="BE610" s="541"/>
      <c r="BF610" s="1190"/>
      <c r="BG610" s="541"/>
      <c r="BH610" s="1190"/>
      <c r="BI610" s="541"/>
      <c r="BJ610" s="1190"/>
      <c r="BK610" s="541"/>
      <c r="BL610" s="541"/>
      <c r="BM610" s="541"/>
      <c r="BP610" s="541"/>
      <c r="BQ610" s="633"/>
      <c r="BR610" s="541"/>
      <c r="BS610" s="541"/>
      <c r="BT610" s="541"/>
      <c r="BU610" s="541"/>
    </row>
    <row r="611" ht="15.75" customHeight="1">
      <c r="A611" s="1591"/>
      <c r="B611" s="1591"/>
      <c r="C611" s="2217"/>
      <c r="D611" s="1541"/>
      <c r="E611" s="906"/>
      <c r="F611" s="541"/>
      <c r="G611" s="541"/>
      <c r="H611" s="541"/>
      <c r="I611" s="541"/>
      <c r="J611" s="1748"/>
      <c r="K611" s="541"/>
      <c r="L611" s="1748"/>
      <c r="M611" s="541"/>
      <c r="N611" s="1748"/>
      <c r="O611" s="541"/>
      <c r="P611" s="1748"/>
      <c r="Q611" s="541"/>
      <c r="R611" s="1748"/>
      <c r="S611" s="541"/>
      <c r="T611" s="1748"/>
      <c r="U611" s="541"/>
      <c r="V611" s="1748"/>
      <c r="W611" s="541"/>
      <c r="X611" s="1748"/>
      <c r="Y611" s="1748"/>
      <c r="Z611" s="1748"/>
      <c r="AA611" s="541"/>
      <c r="AB611" s="1748"/>
      <c r="AC611" s="541"/>
      <c r="AD611" s="541"/>
      <c r="AE611" s="541"/>
      <c r="AF611" s="541"/>
      <c r="AG611" s="541"/>
      <c r="AH611" s="541"/>
      <c r="AI611" s="541"/>
      <c r="AJ611" s="541"/>
      <c r="AK611" s="541"/>
      <c r="AL611" s="541"/>
      <c r="AM611" s="541"/>
      <c r="AN611" s="1748"/>
      <c r="AO611" s="1748"/>
      <c r="AP611" s="1748"/>
      <c r="AQ611" s="1748"/>
      <c r="AR611" s="1748"/>
      <c r="AS611" s="541"/>
      <c r="AT611" s="541"/>
      <c r="AU611" s="541"/>
      <c r="AV611" s="541"/>
      <c r="AW611" s="541"/>
      <c r="AY611" s="541"/>
      <c r="AZ611" s="633"/>
      <c r="BA611" s="541"/>
      <c r="BB611" s="1190"/>
      <c r="BC611" s="541"/>
      <c r="BD611" s="1190"/>
      <c r="BE611" s="541"/>
      <c r="BF611" s="1190"/>
      <c r="BG611" s="541"/>
      <c r="BH611" s="1190"/>
      <c r="BI611" s="541"/>
      <c r="BJ611" s="1190"/>
      <c r="BK611" s="541"/>
      <c r="BL611" s="541"/>
      <c r="BM611" s="541"/>
      <c r="BP611" s="541"/>
      <c r="BQ611" s="633"/>
      <c r="BR611" s="541"/>
      <c r="BS611" s="541"/>
      <c r="BT611" s="541"/>
      <c r="BU611" s="541"/>
    </row>
    <row r="612" ht="15.75" customHeight="1">
      <c r="A612" s="1591"/>
      <c r="B612" s="1591"/>
      <c r="C612" s="2217"/>
      <c r="D612" s="1541"/>
      <c r="E612" s="906"/>
      <c r="F612" s="541"/>
      <c r="G612" s="541"/>
      <c r="H612" s="541"/>
      <c r="I612" s="541"/>
      <c r="J612" s="1748"/>
      <c r="K612" s="541"/>
      <c r="L612" s="1748"/>
      <c r="M612" s="541"/>
      <c r="N612" s="1748"/>
      <c r="O612" s="541"/>
      <c r="P612" s="1748"/>
      <c r="Q612" s="541"/>
      <c r="R612" s="1748"/>
      <c r="S612" s="541"/>
      <c r="T612" s="1748"/>
      <c r="U612" s="541"/>
      <c r="V612" s="1748"/>
      <c r="W612" s="541"/>
      <c r="X612" s="1748"/>
      <c r="Y612" s="1748"/>
      <c r="Z612" s="1748"/>
      <c r="AA612" s="541"/>
      <c r="AB612" s="1748"/>
      <c r="AC612" s="541"/>
      <c r="AD612" s="541"/>
      <c r="AE612" s="541"/>
      <c r="AF612" s="541"/>
      <c r="AG612" s="541"/>
      <c r="AH612" s="541"/>
      <c r="AI612" s="541"/>
      <c r="AJ612" s="541"/>
      <c r="AK612" s="541"/>
      <c r="AL612" s="541"/>
      <c r="AM612" s="541"/>
      <c r="AN612" s="1748"/>
      <c r="AO612" s="1748"/>
      <c r="AP612" s="1748"/>
      <c r="AQ612" s="1748"/>
      <c r="AR612" s="1748"/>
      <c r="AS612" s="541"/>
      <c r="AT612" s="541"/>
      <c r="AU612" s="541"/>
      <c r="AV612" s="541"/>
      <c r="AW612" s="541"/>
      <c r="AY612" s="541"/>
      <c r="AZ612" s="633"/>
      <c r="BA612" s="541"/>
      <c r="BB612" s="1190"/>
      <c r="BC612" s="541"/>
      <c r="BD612" s="1190"/>
      <c r="BE612" s="541"/>
      <c r="BF612" s="1190"/>
      <c r="BG612" s="541"/>
      <c r="BH612" s="1190"/>
      <c r="BI612" s="541"/>
      <c r="BJ612" s="1190"/>
      <c r="BK612" s="541"/>
      <c r="BL612" s="541"/>
      <c r="BM612" s="541"/>
      <c r="BP612" s="541"/>
      <c r="BQ612" s="633"/>
      <c r="BR612" s="541"/>
      <c r="BS612" s="541"/>
      <c r="BT612" s="541"/>
      <c r="BU612" s="541"/>
    </row>
    <row r="613" ht="15.75" customHeight="1">
      <c r="A613" s="1591"/>
      <c r="B613" s="1591"/>
      <c r="C613" s="2217"/>
      <c r="D613" s="1541"/>
      <c r="E613" s="906"/>
      <c r="F613" s="541"/>
      <c r="G613" s="541"/>
      <c r="H613" s="541"/>
      <c r="I613" s="541"/>
      <c r="J613" s="1748"/>
      <c r="K613" s="541"/>
      <c r="L613" s="1748"/>
      <c r="M613" s="541"/>
      <c r="N613" s="1748"/>
      <c r="O613" s="541"/>
      <c r="P613" s="1748"/>
      <c r="Q613" s="541"/>
      <c r="R613" s="1748"/>
      <c r="S613" s="541"/>
      <c r="T613" s="1748"/>
      <c r="U613" s="541"/>
      <c r="V613" s="1748"/>
      <c r="W613" s="541"/>
      <c r="X613" s="1748"/>
      <c r="Y613" s="1748"/>
      <c r="Z613" s="1748"/>
      <c r="AA613" s="541"/>
      <c r="AB613" s="1748"/>
      <c r="AC613" s="541"/>
      <c r="AD613" s="541"/>
      <c r="AE613" s="541"/>
      <c r="AF613" s="541"/>
      <c r="AG613" s="541"/>
      <c r="AH613" s="541"/>
      <c r="AI613" s="541"/>
      <c r="AJ613" s="541"/>
      <c r="AK613" s="541"/>
      <c r="AL613" s="541"/>
      <c r="AM613" s="541"/>
      <c r="AN613" s="1748"/>
      <c r="AO613" s="1748"/>
      <c r="AP613" s="1748"/>
      <c r="AQ613" s="1748"/>
      <c r="AR613" s="1748"/>
      <c r="AS613" s="541"/>
      <c r="AT613" s="541"/>
      <c r="AU613" s="541"/>
      <c r="AV613" s="541"/>
      <c r="AW613" s="541"/>
      <c r="AY613" s="541"/>
      <c r="AZ613" s="633"/>
      <c r="BA613" s="541"/>
      <c r="BB613" s="1190"/>
      <c r="BC613" s="541"/>
      <c r="BD613" s="1190"/>
      <c r="BE613" s="541"/>
      <c r="BF613" s="1190"/>
      <c r="BG613" s="541"/>
      <c r="BH613" s="1190"/>
      <c r="BI613" s="541"/>
      <c r="BJ613" s="1190"/>
      <c r="BK613" s="541"/>
      <c r="BL613" s="541"/>
      <c r="BM613" s="541"/>
      <c r="BP613" s="541"/>
      <c r="BQ613" s="633"/>
      <c r="BR613" s="541"/>
      <c r="BS613" s="541"/>
      <c r="BT613" s="541"/>
      <c r="BU613" s="541"/>
    </row>
    <row r="614" ht="15.75" customHeight="1">
      <c r="A614" s="1591"/>
      <c r="B614" s="1591"/>
      <c r="C614" s="2217"/>
      <c r="D614" s="1541"/>
      <c r="E614" s="906"/>
      <c r="F614" s="541"/>
      <c r="G614" s="541"/>
      <c r="H614" s="541"/>
      <c r="I614" s="541"/>
      <c r="J614" s="1748"/>
      <c r="K614" s="541"/>
      <c r="L614" s="1748"/>
      <c r="M614" s="541"/>
      <c r="N614" s="1748"/>
      <c r="O614" s="541"/>
      <c r="P614" s="1748"/>
      <c r="Q614" s="541"/>
      <c r="R614" s="1748"/>
      <c r="S614" s="541"/>
      <c r="T614" s="1748"/>
      <c r="U614" s="541"/>
      <c r="V614" s="1748"/>
      <c r="W614" s="541"/>
      <c r="X614" s="1748"/>
      <c r="Y614" s="1748"/>
      <c r="Z614" s="1748"/>
      <c r="AA614" s="541"/>
      <c r="AB614" s="1748"/>
      <c r="AC614" s="541"/>
      <c r="AD614" s="541"/>
      <c r="AE614" s="541"/>
      <c r="AF614" s="541"/>
      <c r="AG614" s="541"/>
      <c r="AH614" s="541"/>
      <c r="AI614" s="541"/>
      <c r="AJ614" s="541"/>
      <c r="AK614" s="541"/>
      <c r="AL614" s="541"/>
      <c r="AM614" s="541"/>
      <c r="AN614" s="1748"/>
      <c r="AO614" s="1748"/>
      <c r="AP614" s="1748"/>
      <c r="AQ614" s="1748"/>
      <c r="AR614" s="1748"/>
      <c r="AS614" s="541"/>
      <c r="AT614" s="541"/>
      <c r="AU614" s="541"/>
      <c r="AV614" s="541"/>
      <c r="AW614" s="541"/>
      <c r="AY614" s="541"/>
      <c r="AZ614" s="633"/>
      <c r="BA614" s="541"/>
      <c r="BB614" s="1190"/>
      <c r="BC614" s="541"/>
      <c r="BD614" s="1190"/>
      <c r="BE614" s="541"/>
      <c r="BF614" s="1190"/>
      <c r="BG614" s="541"/>
      <c r="BH614" s="1190"/>
      <c r="BI614" s="541"/>
      <c r="BJ614" s="1190"/>
      <c r="BK614" s="541"/>
      <c r="BL614" s="541"/>
      <c r="BM614" s="541"/>
      <c r="BP614" s="541"/>
      <c r="BQ614" s="633"/>
      <c r="BR614" s="541"/>
      <c r="BS614" s="541"/>
      <c r="BT614" s="541"/>
      <c r="BU614" s="541"/>
    </row>
    <row r="615" ht="15.75" customHeight="1">
      <c r="A615" s="1591"/>
      <c r="B615" s="1591"/>
      <c r="C615" s="2217"/>
      <c r="D615" s="1541"/>
      <c r="E615" s="906"/>
      <c r="F615" s="541"/>
      <c r="G615" s="541"/>
      <c r="H615" s="541"/>
      <c r="I615" s="541"/>
      <c r="J615" s="1748"/>
      <c r="K615" s="541"/>
      <c r="L615" s="1748"/>
      <c r="M615" s="541"/>
      <c r="N615" s="1748"/>
      <c r="O615" s="541"/>
      <c r="P615" s="1748"/>
      <c r="Q615" s="541"/>
      <c r="R615" s="1748"/>
      <c r="S615" s="541"/>
      <c r="T615" s="1748"/>
      <c r="U615" s="541"/>
      <c r="V615" s="1748"/>
      <c r="W615" s="541"/>
      <c r="X615" s="1748"/>
      <c r="Y615" s="1748"/>
      <c r="Z615" s="1748"/>
      <c r="AA615" s="541"/>
      <c r="AB615" s="1748"/>
      <c r="AC615" s="541"/>
      <c r="AD615" s="541"/>
      <c r="AE615" s="541"/>
      <c r="AF615" s="541"/>
      <c r="AG615" s="541"/>
      <c r="AH615" s="541"/>
      <c r="AI615" s="541"/>
      <c r="AJ615" s="541"/>
      <c r="AK615" s="541"/>
      <c r="AL615" s="541"/>
      <c r="AM615" s="541"/>
      <c r="AN615" s="1748"/>
      <c r="AO615" s="1748"/>
      <c r="AP615" s="1748"/>
      <c r="AQ615" s="1748"/>
      <c r="AR615" s="1748"/>
      <c r="AS615" s="541"/>
      <c r="AT615" s="541"/>
      <c r="AU615" s="541"/>
      <c r="AV615" s="541"/>
      <c r="AW615" s="541"/>
      <c r="AY615" s="541"/>
      <c r="AZ615" s="633"/>
      <c r="BA615" s="541"/>
      <c r="BB615" s="1190"/>
      <c r="BC615" s="541"/>
      <c r="BD615" s="1190"/>
      <c r="BE615" s="541"/>
      <c r="BF615" s="1190"/>
      <c r="BG615" s="541"/>
      <c r="BH615" s="1190"/>
      <c r="BI615" s="541"/>
      <c r="BJ615" s="1190"/>
      <c r="BK615" s="541"/>
      <c r="BL615" s="541"/>
      <c r="BM615" s="541"/>
      <c r="BP615" s="541"/>
      <c r="BQ615" s="633"/>
      <c r="BR615" s="541"/>
      <c r="BS615" s="541"/>
      <c r="BT615" s="541"/>
      <c r="BU615" s="541"/>
    </row>
    <row r="616" ht="15.75" customHeight="1">
      <c r="A616" s="1591"/>
      <c r="B616" s="1591"/>
      <c r="C616" s="2217"/>
      <c r="D616" s="1541"/>
      <c r="E616" s="906"/>
      <c r="F616" s="541"/>
      <c r="G616" s="541"/>
      <c r="H616" s="541"/>
      <c r="I616" s="541"/>
      <c r="J616" s="1748"/>
      <c r="K616" s="541"/>
      <c r="L616" s="1748"/>
      <c r="M616" s="541"/>
      <c r="N616" s="1748"/>
      <c r="O616" s="541"/>
      <c r="P616" s="1748"/>
      <c r="Q616" s="541"/>
      <c r="R616" s="1748"/>
      <c r="S616" s="541"/>
      <c r="T616" s="1748"/>
      <c r="U616" s="541"/>
      <c r="V616" s="1748"/>
      <c r="W616" s="541"/>
      <c r="X616" s="1748"/>
      <c r="Y616" s="1748"/>
      <c r="Z616" s="1748"/>
      <c r="AA616" s="541"/>
      <c r="AB616" s="1748"/>
      <c r="AC616" s="541"/>
      <c r="AD616" s="541"/>
      <c r="AE616" s="541"/>
      <c r="AF616" s="541"/>
      <c r="AG616" s="541"/>
      <c r="AH616" s="541"/>
      <c r="AI616" s="541"/>
      <c r="AJ616" s="541"/>
      <c r="AK616" s="541"/>
      <c r="AL616" s="541"/>
      <c r="AM616" s="541"/>
      <c r="AN616" s="1748"/>
      <c r="AO616" s="1748"/>
      <c r="AP616" s="1748"/>
      <c r="AQ616" s="1748"/>
      <c r="AR616" s="1748"/>
      <c r="AS616" s="541"/>
      <c r="AT616" s="541"/>
      <c r="AU616" s="541"/>
      <c r="AV616" s="541"/>
      <c r="AW616" s="541"/>
      <c r="AY616" s="541"/>
      <c r="AZ616" s="633"/>
      <c r="BA616" s="541"/>
      <c r="BB616" s="1190"/>
      <c r="BC616" s="541"/>
      <c r="BD616" s="1190"/>
      <c r="BE616" s="541"/>
      <c r="BF616" s="1190"/>
      <c r="BG616" s="541"/>
      <c r="BH616" s="1190"/>
      <c r="BI616" s="541"/>
      <c r="BJ616" s="1190"/>
      <c r="BK616" s="541"/>
      <c r="BL616" s="541"/>
      <c r="BM616" s="541"/>
      <c r="BP616" s="541"/>
      <c r="BQ616" s="633"/>
      <c r="BR616" s="541"/>
      <c r="BS616" s="541"/>
      <c r="BT616" s="541"/>
      <c r="BU616" s="541"/>
    </row>
    <row r="617" ht="15.75" customHeight="1">
      <c r="A617" s="1591"/>
      <c r="B617" s="1591"/>
      <c r="C617" s="2217"/>
      <c r="D617" s="1541"/>
      <c r="E617" s="906"/>
      <c r="F617" s="541"/>
      <c r="G617" s="541"/>
      <c r="H617" s="541"/>
      <c r="I617" s="541"/>
      <c r="J617" s="1748"/>
      <c r="K617" s="541"/>
      <c r="L617" s="1748"/>
      <c r="M617" s="541"/>
      <c r="N617" s="1748"/>
      <c r="O617" s="541"/>
      <c r="P617" s="1748"/>
      <c r="Q617" s="541"/>
      <c r="R617" s="1748"/>
      <c r="S617" s="541"/>
      <c r="T617" s="1748"/>
      <c r="U617" s="541"/>
      <c r="V617" s="1748"/>
      <c r="W617" s="541"/>
      <c r="X617" s="1748"/>
      <c r="Y617" s="1748"/>
      <c r="Z617" s="1748"/>
      <c r="AA617" s="541"/>
      <c r="AB617" s="1748"/>
      <c r="AC617" s="541"/>
      <c r="AD617" s="541"/>
      <c r="AE617" s="541"/>
      <c r="AF617" s="541"/>
      <c r="AG617" s="541"/>
      <c r="AH617" s="541"/>
      <c r="AI617" s="541"/>
      <c r="AJ617" s="541"/>
      <c r="AK617" s="541"/>
      <c r="AL617" s="541"/>
      <c r="AM617" s="541"/>
      <c r="AN617" s="1748"/>
      <c r="AO617" s="1748"/>
      <c r="AP617" s="1748"/>
      <c r="AQ617" s="1748"/>
      <c r="AR617" s="1748"/>
      <c r="AS617" s="541"/>
      <c r="AT617" s="541"/>
      <c r="AU617" s="541"/>
      <c r="AV617" s="541"/>
      <c r="AW617" s="541"/>
      <c r="AY617" s="541"/>
      <c r="AZ617" s="633"/>
      <c r="BA617" s="541"/>
      <c r="BB617" s="1190"/>
      <c r="BC617" s="541"/>
      <c r="BD617" s="1190"/>
      <c r="BE617" s="541"/>
      <c r="BF617" s="1190"/>
      <c r="BG617" s="541"/>
      <c r="BH617" s="1190"/>
      <c r="BI617" s="541"/>
      <c r="BJ617" s="1190"/>
      <c r="BK617" s="541"/>
      <c r="BL617" s="541"/>
      <c r="BM617" s="541"/>
      <c r="BP617" s="541"/>
      <c r="BQ617" s="633"/>
      <c r="BR617" s="541"/>
      <c r="BS617" s="541"/>
      <c r="BT617" s="541"/>
      <c r="BU617" s="541"/>
    </row>
    <row r="618" ht="15.75" customHeight="1">
      <c r="A618" s="1591"/>
      <c r="B618" s="1591"/>
      <c r="C618" s="2217"/>
      <c r="D618" s="1541"/>
      <c r="E618" s="906"/>
      <c r="F618" s="541"/>
      <c r="G618" s="541"/>
      <c r="H618" s="541"/>
      <c r="I618" s="541"/>
      <c r="J618" s="1748"/>
      <c r="K618" s="541"/>
      <c r="L618" s="1748"/>
      <c r="M618" s="541"/>
      <c r="N618" s="1748"/>
      <c r="O618" s="541"/>
      <c r="P618" s="1748"/>
      <c r="Q618" s="541"/>
      <c r="R618" s="1748"/>
      <c r="S618" s="541"/>
      <c r="T618" s="1748"/>
      <c r="U618" s="541"/>
      <c r="V618" s="1748"/>
      <c r="W618" s="541"/>
      <c r="X618" s="1748"/>
      <c r="Y618" s="1748"/>
      <c r="Z618" s="1748"/>
      <c r="AA618" s="541"/>
      <c r="AB618" s="1748"/>
      <c r="AC618" s="541"/>
      <c r="AD618" s="541"/>
      <c r="AE618" s="541"/>
      <c r="AF618" s="541"/>
      <c r="AG618" s="541"/>
      <c r="AH618" s="541"/>
      <c r="AI618" s="541"/>
      <c r="AJ618" s="541"/>
      <c r="AK618" s="541"/>
      <c r="AL618" s="541"/>
      <c r="AM618" s="541"/>
      <c r="AN618" s="1748"/>
      <c r="AO618" s="1748"/>
      <c r="AP618" s="1748"/>
      <c r="AQ618" s="1748"/>
      <c r="AR618" s="1748"/>
      <c r="AS618" s="541"/>
      <c r="AT618" s="541"/>
      <c r="AU618" s="541"/>
      <c r="AV618" s="541"/>
      <c r="AW618" s="541"/>
      <c r="AY618" s="541"/>
      <c r="AZ618" s="633"/>
      <c r="BA618" s="541"/>
      <c r="BB618" s="1190"/>
      <c r="BC618" s="541"/>
      <c r="BD618" s="1190"/>
      <c r="BE618" s="541"/>
      <c r="BF618" s="1190"/>
      <c r="BG618" s="541"/>
      <c r="BH618" s="1190"/>
      <c r="BI618" s="541"/>
      <c r="BJ618" s="1190"/>
      <c r="BK618" s="541"/>
      <c r="BL618" s="541"/>
      <c r="BM618" s="541"/>
      <c r="BP618" s="541"/>
      <c r="BQ618" s="633"/>
      <c r="BR618" s="541"/>
      <c r="BS618" s="541"/>
      <c r="BT618" s="541"/>
      <c r="BU618" s="541"/>
    </row>
    <row r="619" ht="15.75" customHeight="1">
      <c r="A619" s="1591"/>
      <c r="B619" s="1591"/>
      <c r="C619" s="2217"/>
      <c r="D619" s="1541"/>
      <c r="E619" s="906"/>
      <c r="F619" s="541"/>
      <c r="G619" s="541"/>
      <c r="H619" s="541"/>
      <c r="I619" s="541"/>
      <c r="J619" s="1748"/>
      <c r="K619" s="541"/>
      <c r="L619" s="1748"/>
      <c r="M619" s="541"/>
      <c r="N619" s="1748"/>
      <c r="O619" s="541"/>
      <c r="P619" s="1748"/>
      <c r="Q619" s="541"/>
      <c r="R619" s="1748"/>
      <c r="S619" s="541"/>
      <c r="T619" s="1748"/>
      <c r="U619" s="541"/>
      <c r="V619" s="1748"/>
      <c r="W619" s="541"/>
      <c r="X619" s="1748"/>
      <c r="Y619" s="1748"/>
      <c r="Z619" s="1748"/>
      <c r="AA619" s="541"/>
      <c r="AB619" s="1748"/>
      <c r="AC619" s="541"/>
      <c r="AD619" s="541"/>
      <c r="AE619" s="541"/>
      <c r="AF619" s="541"/>
      <c r="AG619" s="541"/>
      <c r="AH619" s="541"/>
      <c r="AI619" s="541"/>
      <c r="AJ619" s="541"/>
      <c r="AK619" s="541"/>
      <c r="AL619" s="541"/>
      <c r="AM619" s="541"/>
      <c r="AN619" s="1748"/>
      <c r="AO619" s="1748"/>
      <c r="AP619" s="1748"/>
      <c r="AQ619" s="1748"/>
      <c r="AR619" s="1748"/>
      <c r="AS619" s="541"/>
      <c r="AT619" s="541"/>
      <c r="AU619" s="541"/>
      <c r="AV619" s="541"/>
      <c r="AW619" s="541"/>
      <c r="AY619" s="541"/>
      <c r="AZ619" s="633"/>
      <c r="BA619" s="541"/>
      <c r="BB619" s="1190"/>
      <c r="BC619" s="541"/>
      <c r="BD619" s="1190"/>
      <c r="BE619" s="541"/>
      <c r="BF619" s="1190"/>
      <c r="BG619" s="541"/>
      <c r="BH619" s="1190"/>
      <c r="BI619" s="541"/>
      <c r="BJ619" s="1190"/>
      <c r="BK619" s="541"/>
      <c r="BL619" s="541"/>
      <c r="BM619" s="541"/>
      <c r="BP619" s="541"/>
      <c r="BQ619" s="633"/>
      <c r="BR619" s="541"/>
      <c r="BS619" s="541"/>
      <c r="BT619" s="541"/>
      <c r="BU619" s="541"/>
    </row>
    <row r="620" ht="15.75" customHeight="1">
      <c r="A620" s="1591"/>
      <c r="B620" s="1591"/>
      <c r="C620" s="2217"/>
      <c r="D620" s="1541"/>
      <c r="E620" s="906"/>
      <c r="F620" s="541"/>
      <c r="G620" s="541"/>
      <c r="H620" s="541"/>
      <c r="I620" s="541"/>
      <c r="J620" s="1748"/>
      <c r="K620" s="541"/>
      <c r="L620" s="1748"/>
      <c r="M620" s="541"/>
      <c r="N620" s="1748"/>
      <c r="O620" s="541"/>
      <c r="P620" s="1748"/>
      <c r="Q620" s="541"/>
      <c r="R620" s="1748"/>
      <c r="S620" s="541"/>
      <c r="T620" s="1748"/>
      <c r="U620" s="541"/>
      <c r="V620" s="1748"/>
      <c r="W620" s="541"/>
      <c r="X620" s="1748"/>
      <c r="Y620" s="1748"/>
      <c r="Z620" s="1748"/>
      <c r="AA620" s="541"/>
      <c r="AB620" s="1748"/>
      <c r="AC620" s="541"/>
      <c r="AD620" s="541"/>
      <c r="AE620" s="541"/>
      <c r="AF620" s="541"/>
      <c r="AG620" s="541"/>
      <c r="AH620" s="541"/>
      <c r="AI620" s="541"/>
      <c r="AJ620" s="541"/>
      <c r="AK620" s="541"/>
      <c r="AL620" s="541"/>
      <c r="AM620" s="541"/>
      <c r="AN620" s="1748"/>
      <c r="AO620" s="1748"/>
      <c r="AP620" s="1748"/>
      <c r="AQ620" s="1748"/>
      <c r="AR620" s="1748"/>
      <c r="AS620" s="541"/>
      <c r="AT620" s="541"/>
      <c r="AU620" s="541"/>
      <c r="AV620" s="541"/>
      <c r="AW620" s="541"/>
      <c r="AY620" s="541"/>
      <c r="AZ620" s="633"/>
      <c r="BA620" s="541"/>
      <c r="BB620" s="1190"/>
      <c r="BC620" s="541"/>
      <c r="BD620" s="1190"/>
      <c r="BE620" s="541"/>
      <c r="BF620" s="1190"/>
      <c r="BG620" s="541"/>
      <c r="BH620" s="1190"/>
      <c r="BI620" s="541"/>
      <c r="BJ620" s="1190"/>
      <c r="BK620" s="541"/>
      <c r="BL620" s="541"/>
      <c r="BM620" s="541"/>
      <c r="BP620" s="541"/>
      <c r="BQ620" s="633"/>
      <c r="BR620" s="541"/>
      <c r="BS620" s="541"/>
      <c r="BT620" s="541"/>
      <c r="BU620" s="541"/>
    </row>
    <row r="621" ht="15.75" customHeight="1">
      <c r="A621" s="1591"/>
      <c r="B621" s="1591"/>
      <c r="C621" s="2217"/>
      <c r="D621" s="1541"/>
      <c r="E621" s="906"/>
      <c r="F621" s="541"/>
      <c r="G621" s="541"/>
      <c r="H621" s="541"/>
      <c r="I621" s="541"/>
      <c r="J621" s="1748"/>
      <c r="K621" s="541"/>
      <c r="L621" s="1748"/>
      <c r="M621" s="541"/>
      <c r="N621" s="1748"/>
      <c r="O621" s="541"/>
      <c r="P621" s="1748"/>
      <c r="Q621" s="541"/>
      <c r="R621" s="1748"/>
      <c r="S621" s="541"/>
      <c r="T621" s="1748"/>
      <c r="U621" s="541"/>
      <c r="V621" s="1748"/>
      <c r="W621" s="541"/>
      <c r="X621" s="1748"/>
      <c r="Y621" s="1748"/>
      <c r="Z621" s="1748"/>
      <c r="AA621" s="541"/>
      <c r="AB621" s="1748"/>
      <c r="AC621" s="541"/>
      <c r="AD621" s="541"/>
      <c r="AE621" s="541"/>
      <c r="AF621" s="541"/>
      <c r="AG621" s="541"/>
      <c r="AH621" s="541"/>
      <c r="AI621" s="541"/>
      <c r="AJ621" s="541"/>
      <c r="AK621" s="541"/>
      <c r="AL621" s="541"/>
      <c r="AM621" s="541"/>
      <c r="AN621" s="1748"/>
      <c r="AO621" s="1748"/>
      <c r="AP621" s="1748"/>
      <c r="AQ621" s="1748"/>
      <c r="AR621" s="1748"/>
      <c r="AS621" s="541"/>
      <c r="AT621" s="541"/>
      <c r="AU621" s="541"/>
      <c r="AV621" s="541"/>
      <c r="AW621" s="541"/>
      <c r="AY621" s="541"/>
      <c r="AZ621" s="633"/>
      <c r="BA621" s="541"/>
      <c r="BB621" s="1190"/>
      <c r="BC621" s="541"/>
      <c r="BD621" s="1190"/>
      <c r="BE621" s="541"/>
      <c r="BF621" s="1190"/>
      <c r="BG621" s="541"/>
      <c r="BH621" s="1190"/>
      <c r="BI621" s="541"/>
      <c r="BJ621" s="1190"/>
      <c r="BK621" s="541"/>
      <c r="BL621" s="541"/>
      <c r="BM621" s="541"/>
      <c r="BP621" s="541"/>
      <c r="BQ621" s="633"/>
      <c r="BR621" s="541"/>
      <c r="BS621" s="541"/>
      <c r="BT621" s="541"/>
      <c r="BU621" s="541"/>
    </row>
    <row r="622" ht="15.75" customHeight="1">
      <c r="A622" s="1591"/>
      <c r="B622" s="1591"/>
      <c r="C622" s="2217"/>
      <c r="D622" s="1541"/>
      <c r="E622" s="906"/>
      <c r="F622" s="541"/>
      <c r="G622" s="541"/>
      <c r="H622" s="541"/>
      <c r="I622" s="541"/>
      <c r="J622" s="1748"/>
      <c r="K622" s="541"/>
      <c r="L622" s="1748"/>
      <c r="M622" s="541"/>
      <c r="N622" s="1748"/>
      <c r="O622" s="541"/>
      <c r="P622" s="1748"/>
      <c r="Q622" s="541"/>
      <c r="R622" s="1748"/>
      <c r="S622" s="541"/>
      <c r="T622" s="1748"/>
      <c r="U622" s="541"/>
      <c r="V622" s="1748"/>
      <c r="W622" s="541"/>
      <c r="X622" s="1748"/>
      <c r="Y622" s="1748"/>
      <c r="Z622" s="1748"/>
      <c r="AA622" s="541"/>
      <c r="AB622" s="1748"/>
      <c r="AC622" s="541"/>
      <c r="AD622" s="541"/>
      <c r="AE622" s="541"/>
      <c r="AF622" s="541"/>
      <c r="AG622" s="541"/>
      <c r="AH622" s="541"/>
      <c r="AI622" s="541"/>
      <c r="AJ622" s="541"/>
      <c r="AK622" s="541"/>
      <c r="AL622" s="541"/>
      <c r="AM622" s="541"/>
      <c r="AN622" s="1748"/>
      <c r="AO622" s="1748"/>
      <c r="AP622" s="1748"/>
      <c r="AQ622" s="1748"/>
      <c r="AR622" s="1748"/>
      <c r="AS622" s="541"/>
      <c r="AT622" s="541"/>
      <c r="AU622" s="541"/>
      <c r="AV622" s="541"/>
      <c r="AW622" s="541"/>
      <c r="AY622" s="541"/>
      <c r="AZ622" s="633"/>
      <c r="BA622" s="541"/>
      <c r="BB622" s="1190"/>
      <c r="BC622" s="541"/>
      <c r="BD622" s="1190"/>
      <c r="BE622" s="541"/>
      <c r="BF622" s="1190"/>
      <c r="BG622" s="541"/>
      <c r="BH622" s="1190"/>
      <c r="BI622" s="541"/>
      <c r="BJ622" s="1190"/>
      <c r="BK622" s="541"/>
      <c r="BL622" s="541"/>
      <c r="BM622" s="541"/>
      <c r="BP622" s="541"/>
      <c r="BQ622" s="633"/>
      <c r="BR622" s="541"/>
      <c r="BS622" s="541"/>
      <c r="BT622" s="541"/>
      <c r="BU622" s="541"/>
    </row>
    <row r="623" ht="15.75" customHeight="1">
      <c r="A623" s="1591"/>
      <c r="B623" s="1591"/>
      <c r="C623" s="2217"/>
      <c r="D623" s="1541"/>
      <c r="E623" s="906"/>
      <c r="F623" s="541"/>
      <c r="G623" s="541"/>
      <c r="H623" s="541"/>
      <c r="I623" s="541"/>
      <c r="J623" s="1748"/>
      <c r="K623" s="541"/>
      <c r="L623" s="1748"/>
      <c r="M623" s="541"/>
      <c r="N623" s="1748"/>
      <c r="O623" s="541"/>
      <c r="P623" s="1748"/>
      <c r="Q623" s="541"/>
      <c r="R623" s="1748"/>
      <c r="S623" s="541"/>
      <c r="T623" s="1748"/>
      <c r="U623" s="541"/>
      <c r="V623" s="1748"/>
      <c r="W623" s="541"/>
      <c r="X623" s="1748"/>
      <c r="Y623" s="1748"/>
      <c r="Z623" s="1748"/>
      <c r="AA623" s="541"/>
      <c r="AB623" s="1748"/>
      <c r="AC623" s="541"/>
      <c r="AD623" s="541"/>
      <c r="AE623" s="541"/>
      <c r="AF623" s="541"/>
      <c r="AG623" s="541"/>
      <c r="AH623" s="541"/>
      <c r="AI623" s="541"/>
      <c r="AJ623" s="541"/>
      <c r="AK623" s="541"/>
      <c r="AL623" s="541"/>
      <c r="AM623" s="541"/>
      <c r="AN623" s="1748"/>
      <c r="AO623" s="1748"/>
      <c r="AP623" s="1748"/>
      <c r="AQ623" s="1748"/>
      <c r="AR623" s="1748"/>
      <c r="AS623" s="541"/>
      <c r="AT623" s="541"/>
      <c r="AU623" s="541"/>
      <c r="AV623" s="541"/>
      <c r="AW623" s="541"/>
      <c r="AY623" s="541"/>
      <c r="AZ623" s="633"/>
      <c r="BA623" s="541"/>
      <c r="BB623" s="1190"/>
      <c r="BC623" s="541"/>
      <c r="BD623" s="1190"/>
      <c r="BE623" s="541"/>
      <c r="BF623" s="1190"/>
      <c r="BG623" s="541"/>
      <c r="BH623" s="1190"/>
      <c r="BI623" s="541"/>
      <c r="BJ623" s="1190"/>
      <c r="BK623" s="541"/>
      <c r="BL623" s="541"/>
      <c r="BM623" s="541"/>
      <c r="BP623" s="541"/>
      <c r="BQ623" s="633"/>
      <c r="BR623" s="541"/>
      <c r="BS623" s="541"/>
      <c r="BT623" s="541"/>
      <c r="BU623" s="541"/>
    </row>
    <row r="624" ht="15.75" customHeight="1">
      <c r="A624" s="1591"/>
      <c r="B624" s="1591"/>
      <c r="C624" s="2217"/>
      <c r="D624" s="1541"/>
      <c r="E624" s="906"/>
      <c r="F624" s="541"/>
      <c r="G624" s="541"/>
      <c r="H624" s="541"/>
      <c r="I624" s="541"/>
      <c r="J624" s="1748"/>
      <c r="K624" s="541"/>
      <c r="L624" s="1748"/>
      <c r="M624" s="541"/>
      <c r="N624" s="1748"/>
      <c r="O624" s="541"/>
      <c r="P624" s="1748"/>
      <c r="Q624" s="541"/>
      <c r="R624" s="1748"/>
      <c r="S624" s="541"/>
      <c r="T624" s="1748"/>
      <c r="U624" s="541"/>
      <c r="V624" s="1748"/>
      <c r="W624" s="541"/>
      <c r="X624" s="1748"/>
      <c r="Y624" s="1748"/>
      <c r="Z624" s="1748"/>
      <c r="AA624" s="541"/>
      <c r="AB624" s="1748"/>
      <c r="AC624" s="541"/>
      <c r="AD624" s="541"/>
      <c r="AE624" s="541"/>
      <c r="AF624" s="541"/>
      <c r="AG624" s="541"/>
      <c r="AH624" s="541"/>
      <c r="AI624" s="541"/>
      <c r="AJ624" s="541"/>
      <c r="AK624" s="541"/>
      <c r="AL624" s="541"/>
      <c r="AM624" s="541"/>
      <c r="AN624" s="1748"/>
      <c r="AO624" s="1748"/>
      <c r="AP624" s="1748"/>
      <c r="AQ624" s="1748"/>
      <c r="AR624" s="1748"/>
      <c r="AS624" s="541"/>
      <c r="AT624" s="541"/>
      <c r="AU624" s="541"/>
      <c r="AV624" s="541"/>
      <c r="AW624" s="541"/>
      <c r="AY624" s="541"/>
      <c r="AZ624" s="633"/>
      <c r="BA624" s="541"/>
      <c r="BB624" s="1190"/>
      <c r="BC624" s="541"/>
      <c r="BD624" s="1190"/>
      <c r="BE624" s="541"/>
      <c r="BF624" s="1190"/>
      <c r="BG624" s="541"/>
      <c r="BH624" s="1190"/>
      <c r="BI624" s="541"/>
      <c r="BJ624" s="1190"/>
      <c r="BK624" s="541"/>
      <c r="BL624" s="541"/>
      <c r="BM624" s="541"/>
      <c r="BP624" s="541"/>
      <c r="BQ624" s="633"/>
      <c r="BR624" s="541"/>
      <c r="BS624" s="541"/>
      <c r="BT624" s="541"/>
      <c r="BU624" s="541"/>
    </row>
    <row r="625" ht="15.75" customHeight="1">
      <c r="A625" s="1591"/>
      <c r="B625" s="1591"/>
      <c r="C625" s="2217"/>
      <c r="D625" s="1541"/>
      <c r="E625" s="906"/>
      <c r="F625" s="541"/>
      <c r="G625" s="541"/>
      <c r="H625" s="541"/>
      <c r="I625" s="541"/>
      <c r="J625" s="1748"/>
      <c r="K625" s="541"/>
      <c r="L625" s="1748"/>
      <c r="M625" s="541"/>
      <c r="N625" s="1748"/>
      <c r="O625" s="541"/>
      <c r="P625" s="1748"/>
      <c r="Q625" s="541"/>
      <c r="R625" s="1748"/>
      <c r="S625" s="541"/>
      <c r="T625" s="1748"/>
      <c r="U625" s="541"/>
      <c r="V625" s="1748"/>
      <c r="W625" s="541"/>
      <c r="X625" s="1748"/>
      <c r="Y625" s="1748"/>
      <c r="Z625" s="1748"/>
      <c r="AA625" s="541"/>
      <c r="AB625" s="1748"/>
      <c r="AC625" s="541"/>
      <c r="AD625" s="541"/>
      <c r="AE625" s="541"/>
      <c r="AF625" s="541"/>
      <c r="AG625" s="541"/>
      <c r="AH625" s="541"/>
      <c r="AI625" s="541"/>
      <c r="AJ625" s="541"/>
      <c r="AK625" s="541"/>
      <c r="AL625" s="541"/>
      <c r="AM625" s="541"/>
      <c r="AN625" s="1748"/>
      <c r="AO625" s="1748"/>
      <c r="AP625" s="1748"/>
      <c r="AQ625" s="1748"/>
      <c r="AR625" s="1748"/>
      <c r="AS625" s="541"/>
      <c r="AT625" s="541"/>
      <c r="AU625" s="541"/>
      <c r="AV625" s="541"/>
      <c r="AW625" s="541"/>
      <c r="AY625" s="541"/>
      <c r="AZ625" s="633"/>
      <c r="BA625" s="541"/>
      <c r="BB625" s="1190"/>
      <c r="BC625" s="541"/>
      <c r="BD625" s="1190"/>
      <c r="BE625" s="541"/>
      <c r="BF625" s="1190"/>
      <c r="BG625" s="541"/>
      <c r="BH625" s="1190"/>
      <c r="BI625" s="541"/>
      <c r="BJ625" s="1190"/>
      <c r="BK625" s="541"/>
      <c r="BL625" s="541"/>
      <c r="BM625" s="541"/>
      <c r="BP625" s="541"/>
      <c r="BQ625" s="633"/>
      <c r="BR625" s="541"/>
      <c r="BS625" s="541"/>
      <c r="BT625" s="541"/>
      <c r="BU625" s="541"/>
    </row>
    <row r="626" ht="15.75" customHeight="1">
      <c r="A626" s="1591"/>
      <c r="B626" s="1591"/>
      <c r="C626" s="2217"/>
      <c r="D626" s="1541"/>
      <c r="E626" s="906"/>
      <c r="F626" s="541"/>
      <c r="G626" s="541"/>
      <c r="H626" s="541"/>
      <c r="I626" s="541"/>
      <c r="J626" s="1748"/>
      <c r="K626" s="541"/>
      <c r="L626" s="1748"/>
      <c r="M626" s="541"/>
      <c r="N626" s="1748"/>
      <c r="O626" s="541"/>
      <c r="P626" s="1748"/>
      <c r="Q626" s="541"/>
      <c r="R626" s="1748"/>
      <c r="S626" s="541"/>
      <c r="T626" s="1748"/>
      <c r="U626" s="541"/>
      <c r="V626" s="1748"/>
      <c r="W626" s="541"/>
      <c r="X626" s="1748"/>
      <c r="Y626" s="1748"/>
      <c r="Z626" s="1748"/>
      <c r="AA626" s="541"/>
      <c r="AB626" s="1748"/>
      <c r="AC626" s="541"/>
      <c r="AD626" s="541"/>
      <c r="AE626" s="541"/>
      <c r="AF626" s="541"/>
      <c r="AG626" s="541"/>
      <c r="AH626" s="541"/>
      <c r="AI626" s="541"/>
      <c r="AJ626" s="541"/>
      <c r="AK626" s="541"/>
      <c r="AL626" s="541"/>
      <c r="AM626" s="541"/>
      <c r="AN626" s="1748"/>
      <c r="AO626" s="1748"/>
      <c r="AP626" s="1748"/>
      <c r="AQ626" s="1748"/>
      <c r="AR626" s="1748"/>
      <c r="AS626" s="541"/>
      <c r="AT626" s="541"/>
      <c r="AU626" s="541"/>
      <c r="AV626" s="541"/>
      <c r="AW626" s="541"/>
      <c r="AY626" s="541"/>
      <c r="AZ626" s="633"/>
      <c r="BA626" s="541"/>
      <c r="BB626" s="1190"/>
      <c r="BC626" s="541"/>
      <c r="BD626" s="1190"/>
      <c r="BE626" s="541"/>
      <c r="BF626" s="1190"/>
      <c r="BG626" s="541"/>
      <c r="BH626" s="1190"/>
      <c r="BI626" s="541"/>
      <c r="BJ626" s="1190"/>
      <c r="BK626" s="541"/>
      <c r="BL626" s="541"/>
      <c r="BM626" s="541"/>
      <c r="BP626" s="541"/>
      <c r="BQ626" s="633"/>
      <c r="BR626" s="541"/>
      <c r="BS626" s="541"/>
      <c r="BT626" s="541"/>
      <c r="BU626" s="541"/>
    </row>
    <row r="627" ht="15.75" customHeight="1">
      <c r="A627" s="1591"/>
      <c r="B627" s="1591"/>
      <c r="C627" s="2217"/>
      <c r="D627" s="1541"/>
      <c r="E627" s="906"/>
      <c r="F627" s="541"/>
      <c r="G627" s="541"/>
      <c r="H627" s="541"/>
      <c r="I627" s="541"/>
      <c r="J627" s="1748"/>
      <c r="K627" s="541"/>
      <c r="L627" s="1748"/>
      <c r="M627" s="541"/>
      <c r="N627" s="1748"/>
      <c r="O627" s="541"/>
      <c r="P627" s="1748"/>
      <c r="Q627" s="541"/>
      <c r="R627" s="1748"/>
      <c r="S627" s="541"/>
      <c r="T627" s="1748"/>
      <c r="U627" s="541"/>
      <c r="V627" s="1748"/>
      <c r="W627" s="541"/>
      <c r="X627" s="1748"/>
      <c r="Y627" s="1748"/>
      <c r="Z627" s="1748"/>
      <c r="AA627" s="541"/>
      <c r="AB627" s="1748"/>
      <c r="AC627" s="541"/>
      <c r="AD627" s="541"/>
      <c r="AE627" s="541"/>
      <c r="AF627" s="541"/>
      <c r="AG627" s="541"/>
      <c r="AH627" s="541"/>
      <c r="AI627" s="541"/>
      <c r="AJ627" s="541"/>
      <c r="AK627" s="541"/>
      <c r="AL627" s="541"/>
      <c r="AM627" s="541"/>
      <c r="AN627" s="1748"/>
      <c r="AO627" s="1748"/>
      <c r="AP627" s="1748"/>
      <c r="AQ627" s="1748"/>
      <c r="AR627" s="1748"/>
      <c r="AS627" s="541"/>
      <c r="AT627" s="541"/>
      <c r="AU627" s="541"/>
      <c r="AV627" s="541"/>
      <c r="AW627" s="541"/>
      <c r="AY627" s="541"/>
      <c r="AZ627" s="633"/>
      <c r="BA627" s="541"/>
      <c r="BB627" s="1190"/>
      <c r="BC627" s="541"/>
      <c r="BD627" s="1190"/>
      <c r="BE627" s="541"/>
      <c r="BF627" s="1190"/>
      <c r="BG627" s="541"/>
      <c r="BH627" s="1190"/>
      <c r="BI627" s="541"/>
      <c r="BJ627" s="1190"/>
      <c r="BK627" s="541"/>
      <c r="BL627" s="541"/>
      <c r="BM627" s="541"/>
      <c r="BP627" s="541"/>
      <c r="BQ627" s="633"/>
      <c r="BR627" s="541"/>
      <c r="BS627" s="541"/>
      <c r="BT627" s="541"/>
      <c r="BU627" s="541"/>
    </row>
    <row r="628" ht="15.75" customHeight="1">
      <c r="A628" s="1591"/>
      <c r="B628" s="1591"/>
      <c r="C628" s="2217"/>
      <c r="D628" s="1541"/>
      <c r="E628" s="906"/>
      <c r="F628" s="541"/>
      <c r="G628" s="541"/>
      <c r="H628" s="541"/>
      <c r="I628" s="541"/>
      <c r="J628" s="1748"/>
      <c r="K628" s="541"/>
      <c r="L628" s="1748"/>
      <c r="M628" s="541"/>
      <c r="N628" s="1748"/>
      <c r="O628" s="541"/>
      <c r="P628" s="1748"/>
      <c r="Q628" s="541"/>
      <c r="R628" s="1748"/>
      <c r="S628" s="541"/>
      <c r="T628" s="1748"/>
      <c r="U628" s="541"/>
      <c r="V628" s="1748"/>
      <c r="W628" s="541"/>
      <c r="X628" s="1748"/>
      <c r="Y628" s="1748"/>
      <c r="Z628" s="1748"/>
      <c r="AA628" s="541"/>
      <c r="AB628" s="1748"/>
      <c r="AC628" s="541"/>
      <c r="AD628" s="541"/>
      <c r="AE628" s="541"/>
      <c r="AF628" s="541"/>
      <c r="AG628" s="541"/>
      <c r="AH628" s="541"/>
      <c r="AI628" s="541"/>
      <c r="AJ628" s="541"/>
      <c r="AK628" s="541"/>
      <c r="AL628" s="541"/>
      <c r="AM628" s="541"/>
      <c r="AN628" s="1748"/>
      <c r="AO628" s="1748"/>
      <c r="AP628" s="1748"/>
      <c r="AQ628" s="1748"/>
      <c r="AR628" s="1748"/>
      <c r="AS628" s="541"/>
      <c r="AT628" s="541"/>
      <c r="AU628" s="541"/>
      <c r="AV628" s="541"/>
      <c r="AW628" s="541"/>
      <c r="AY628" s="541"/>
      <c r="AZ628" s="633"/>
      <c r="BA628" s="541"/>
      <c r="BB628" s="1190"/>
      <c r="BC628" s="541"/>
      <c r="BD628" s="1190"/>
      <c r="BE628" s="541"/>
      <c r="BF628" s="1190"/>
      <c r="BG628" s="541"/>
      <c r="BH628" s="1190"/>
      <c r="BI628" s="541"/>
      <c r="BJ628" s="1190"/>
      <c r="BK628" s="541"/>
      <c r="BL628" s="541"/>
      <c r="BM628" s="541"/>
      <c r="BP628" s="541"/>
      <c r="BQ628" s="633"/>
      <c r="BR628" s="541"/>
      <c r="BS628" s="541"/>
      <c r="BT628" s="541"/>
      <c r="BU628" s="541"/>
    </row>
    <row r="629" ht="15.75" customHeight="1">
      <c r="A629" s="1591"/>
      <c r="B629" s="1591"/>
      <c r="C629" s="2217"/>
      <c r="D629" s="1541"/>
      <c r="E629" s="906"/>
      <c r="F629" s="541"/>
      <c r="G629" s="541"/>
      <c r="H629" s="541"/>
      <c r="I629" s="541"/>
      <c r="J629" s="1748"/>
      <c r="K629" s="541"/>
      <c r="L629" s="1748"/>
      <c r="M629" s="541"/>
      <c r="N629" s="1748"/>
      <c r="O629" s="541"/>
      <c r="P629" s="1748"/>
      <c r="Q629" s="541"/>
      <c r="R629" s="1748"/>
      <c r="S629" s="541"/>
      <c r="T629" s="1748"/>
      <c r="U629" s="541"/>
      <c r="V629" s="1748"/>
      <c r="W629" s="541"/>
      <c r="X629" s="1748"/>
      <c r="Y629" s="1748"/>
      <c r="Z629" s="1748"/>
      <c r="AA629" s="541"/>
      <c r="AB629" s="1748"/>
      <c r="AC629" s="541"/>
      <c r="AD629" s="541"/>
      <c r="AE629" s="541"/>
      <c r="AF629" s="541"/>
      <c r="AG629" s="541"/>
      <c r="AH629" s="541"/>
      <c r="AI629" s="541"/>
      <c r="AJ629" s="541"/>
      <c r="AK629" s="541"/>
      <c r="AL629" s="541"/>
      <c r="AM629" s="541"/>
      <c r="AN629" s="1748"/>
      <c r="AO629" s="1748"/>
      <c r="AP629" s="1748"/>
      <c r="AQ629" s="1748"/>
      <c r="AR629" s="1748"/>
      <c r="AS629" s="541"/>
      <c r="AT629" s="541"/>
      <c r="AU629" s="541"/>
      <c r="AV629" s="541"/>
      <c r="AW629" s="541"/>
      <c r="AY629" s="541"/>
      <c r="AZ629" s="633"/>
      <c r="BA629" s="541"/>
      <c r="BB629" s="1190"/>
      <c r="BC629" s="541"/>
      <c r="BD629" s="1190"/>
      <c r="BE629" s="541"/>
      <c r="BF629" s="1190"/>
      <c r="BG629" s="541"/>
      <c r="BH629" s="1190"/>
      <c r="BI629" s="541"/>
      <c r="BJ629" s="1190"/>
      <c r="BK629" s="541"/>
      <c r="BL629" s="541"/>
      <c r="BM629" s="541"/>
      <c r="BP629" s="541"/>
      <c r="BQ629" s="633"/>
      <c r="BR629" s="541"/>
      <c r="BS629" s="541"/>
      <c r="BT629" s="541"/>
      <c r="BU629" s="541"/>
    </row>
    <row r="630" ht="15.75" customHeight="1">
      <c r="A630" s="1591"/>
      <c r="B630" s="1591"/>
      <c r="C630" s="2217"/>
      <c r="D630" s="1541"/>
      <c r="E630" s="906"/>
      <c r="F630" s="541"/>
      <c r="G630" s="541"/>
      <c r="H630" s="541"/>
      <c r="I630" s="541"/>
      <c r="J630" s="1748"/>
      <c r="K630" s="541"/>
      <c r="L630" s="1748"/>
      <c r="M630" s="541"/>
      <c r="N630" s="1748"/>
      <c r="O630" s="541"/>
      <c r="P630" s="1748"/>
      <c r="Q630" s="541"/>
      <c r="R630" s="1748"/>
      <c r="S630" s="541"/>
      <c r="T630" s="1748"/>
      <c r="U630" s="541"/>
      <c r="V630" s="1748"/>
      <c r="W630" s="541"/>
      <c r="X630" s="1748"/>
      <c r="Y630" s="1748"/>
      <c r="Z630" s="1748"/>
      <c r="AA630" s="541"/>
      <c r="AB630" s="1748"/>
      <c r="AC630" s="541"/>
      <c r="AD630" s="541"/>
      <c r="AE630" s="541"/>
      <c r="AF630" s="541"/>
      <c r="AG630" s="541"/>
      <c r="AH630" s="541"/>
      <c r="AI630" s="541"/>
      <c r="AJ630" s="541"/>
      <c r="AK630" s="541"/>
      <c r="AL630" s="541"/>
      <c r="AM630" s="541"/>
      <c r="AN630" s="1748"/>
      <c r="AO630" s="1748"/>
      <c r="AP630" s="1748"/>
      <c r="AQ630" s="1748"/>
      <c r="AR630" s="1748"/>
      <c r="AS630" s="541"/>
      <c r="AT630" s="541"/>
      <c r="AU630" s="541"/>
      <c r="AV630" s="541"/>
      <c r="AW630" s="541"/>
      <c r="AY630" s="541"/>
      <c r="AZ630" s="633"/>
      <c r="BA630" s="541"/>
      <c r="BB630" s="1190"/>
      <c r="BC630" s="541"/>
      <c r="BD630" s="1190"/>
      <c r="BE630" s="541"/>
      <c r="BF630" s="1190"/>
      <c r="BG630" s="541"/>
      <c r="BH630" s="1190"/>
      <c r="BI630" s="541"/>
      <c r="BJ630" s="1190"/>
      <c r="BK630" s="541"/>
      <c r="BL630" s="541"/>
      <c r="BM630" s="541"/>
      <c r="BP630" s="541"/>
      <c r="BQ630" s="633"/>
      <c r="BR630" s="541"/>
      <c r="BS630" s="541"/>
      <c r="BT630" s="541"/>
      <c r="BU630" s="541"/>
    </row>
    <row r="631" ht="15.75" customHeight="1">
      <c r="A631" s="1591"/>
      <c r="B631" s="1591"/>
      <c r="C631" s="2217"/>
      <c r="D631" s="1541"/>
      <c r="E631" s="906"/>
      <c r="F631" s="541"/>
      <c r="G631" s="541"/>
      <c r="H631" s="541"/>
      <c r="I631" s="541"/>
      <c r="J631" s="1748"/>
      <c r="K631" s="541"/>
      <c r="L631" s="1748"/>
      <c r="M631" s="541"/>
      <c r="N631" s="1748"/>
      <c r="O631" s="541"/>
      <c r="P631" s="1748"/>
      <c r="Q631" s="541"/>
      <c r="R631" s="1748"/>
      <c r="S631" s="541"/>
      <c r="T631" s="1748"/>
      <c r="U631" s="541"/>
      <c r="V631" s="1748"/>
      <c r="W631" s="541"/>
      <c r="X631" s="1748"/>
      <c r="Y631" s="1748"/>
      <c r="Z631" s="1748"/>
      <c r="AA631" s="541"/>
      <c r="AB631" s="1748"/>
      <c r="AC631" s="541"/>
      <c r="AD631" s="541"/>
      <c r="AE631" s="541"/>
      <c r="AF631" s="541"/>
      <c r="AG631" s="541"/>
      <c r="AH631" s="541"/>
      <c r="AI631" s="541"/>
      <c r="AJ631" s="541"/>
      <c r="AK631" s="541"/>
      <c r="AL631" s="541"/>
      <c r="AM631" s="541"/>
      <c r="AN631" s="1748"/>
      <c r="AO631" s="1748"/>
      <c r="AP631" s="1748"/>
      <c r="AQ631" s="1748"/>
      <c r="AR631" s="1748"/>
      <c r="AS631" s="541"/>
      <c r="AT631" s="541"/>
      <c r="AU631" s="541"/>
      <c r="AV631" s="541"/>
      <c r="AW631" s="541"/>
      <c r="AY631" s="541"/>
      <c r="AZ631" s="633"/>
      <c r="BA631" s="541"/>
      <c r="BB631" s="1190"/>
      <c r="BC631" s="541"/>
      <c r="BD631" s="1190"/>
      <c r="BE631" s="541"/>
      <c r="BF631" s="1190"/>
      <c r="BG631" s="541"/>
      <c r="BH631" s="1190"/>
      <c r="BI631" s="541"/>
      <c r="BJ631" s="1190"/>
      <c r="BK631" s="541"/>
      <c r="BL631" s="541"/>
      <c r="BM631" s="541"/>
      <c r="BP631" s="541"/>
      <c r="BQ631" s="633"/>
      <c r="BR631" s="541"/>
      <c r="BS631" s="541"/>
      <c r="BT631" s="541"/>
      <c r="BU631" s="541"/>
    </row>
    <row r="632" ht="15.75" customHeight="1">
      <c r="A632" s="1591"/>
      <c r="B632" s="1591"/>
      <c r="C632" s="2217"/>
      <c r="D632" s="1541"/>
      <c r="E632" s="906"/>
      <c r="F632" s="541"/>
      <c r="G632" s="541"/>
      <c r="H632" s="541"/>
      <c r="I632" s="541"/>
      <c r="J632" s="1748"/>
      <c r="K632" s="541"/>
      <c r="L632" s="1748"/>
      <c r="M632" s="541"/>
      <c r="N632" s="1748"/>
      <c r="O632" s="541"/>
      <c r="P632" s="1748"/>
      <c r="Q632" s="541"/>
      <c r="R632" s="1748"/>
      <c r="S632" s="541"/>
      <c r="T632" s="1748"/>
      <c r="U632" s="541"/>
      <c r="V632" s="1748"/>
      <c r="W632" s="541"/>
      <c r="X632" s="1748"/>
      <c r="Y632" s="1748"/>
      <c r="Z632" s="1748"/>
      <c r="AA632" s="541"/>
      <c r="AB632" s="1748"/>
      <c r="AC632" s="541"/>
      <c r="AD632" s="541"/>
      <c r="AE632" s="541"/>
      <c r="AF632" s="541"/>
      <c r="AG632" s="541"/>
      <c r="AH632" s="541"/>
      <c r="AI632" s="541"/>
      <c r="AJ632" s="541"/>
      <c r="AK632" s="541"/>
      <c r="AL632" s="541"/>
      <c r="AM632" s="541"/>
      <c r="AN632" s="1748"/>
      <c r="AO632" s="1748"/>
      <c r="AP632" s="1748"/>
      <c r="AQ632" s="1748"/>
      <c r="AR632" s="1748"/>
      <c r="AS632" s="541"/>
      <c r="AT632" s="541"/>
      <c r="AU632" s="541"/>
      <c r="AV632" s="541"/>
      <c r="AW632" s="541"/>
      <c r="AY632" s="541"/>
      <c r="AZ632" s="633"/>
      <c r="BA632" s="541"/>
      <c r="BB632" s="1190"/>
      <c r="BC632" s="541"/>
      <c r="BD632" s="1190"/>
      <c r="BE632" s="541"/>
      <c r="BF632" s="1190"/>
      <c r="BG632" s="541"/>
      <c r="BH632" s="1190"/>
      <c r="BI632" s="541"/>
      <c r="BJ632" s="1190"/>
      <c r="BK632" s="541"/>
      <c r="BL632" s="541"/>
      <c r="BM632" s="541"/>
      <c r="BP632" s="541"/>
      <c r="BQ632" s="633"/>
      <c r="BR632" s="541"/>
      <c r="BS632" s="541"/>
      <c r="BT632" s="541"/>
      <c r="BU632" s="541"/>
    </row>
    <row r="633" ht="15.75" customHeight="1">
      <c r="A633" s="1591"/>
      <c r="B633" s="1591"/>
      <c r="C633" s="2217"/>
      <c r="D633" s="1541"/>
      <c r="E633" s="906"/>
      <c r="F633" s="541"/>
      <c r="G633" s="541"/>
      <c r="H633" s="541"/>
      <c r="I633" s="541"/>
      <c r="J633" s="1748"/>
      <c r="K633" s="541"/>
      <c r="L633" s="1748"/>
      <c r="M633" s="541"/>
      <c r="N633" s="1748"/>
      <c r="O633" s="541"/>
      <c r="P633" s="1748"/>
      <c r="Q633" s="541"/>
      <c r="R633" s="1748"/>
      <c r="S633" s="541"/>
      <c r="T633" s="1748"/>
      <c r="U633" s="541"/>
      <c r="V633" s="1748"/>
      <c r="W633" s="541"/>
      <c r="X633" s="1748"/>
      <c r="Y633" s="1748"/>
      <c r="Z633" s="1748"/>
      <c r="AA633" s="541"/>
      <c r="AB633" s="1748"/>
      <c r="AC633" s="541"/>
      <c r="AD633" s="541"/>
      <c r="AE633" s="541"/>
      <c r="AF633" s="541"/>
      <c r="AG633" s="541"/>
      <c r="AH633" s="541"/>
      <c r="AI633" s="541"/>
      <c r="AJ633" s="541"/>
      <c r="AK633" s="541"/>
      <c r="AL633" s="541"/>
      <c r="AM633" s="541"/>
      <c r="AN633" s="1748"/>
      <c r="AO633" s="1748"/>
      <c r="AP633" s="1748"/>
      <c r="AQ633" s="1748"/>
      <c r="AR633" s="1748"/>
      <c r="AS633" s="541"/>
      <c r="AT633" s="541"/>
      <c r="AU633" s="541"/>
      <c r="AV633" s="541"/>
      <c r="AW633" s="541"/>
      <c r="AY633" s="541"/>
      <c r="AZ633" s="633"/>
      <c r="BA633" s="541"/>
      <c r="BB633" s="1190"/>
      <c r="BC633" s="541"/>
      <c r="BD633" s="1190"/>
      <c r="BE633" s="541"/>
      <c r="BF633" s="1190"/>
      <c r="BG633" s="541"/>
      <c r="BH633" s="1190"/>
      <c r="BI633" s="541"/>
      <c r="BJ633" s="1190"/>
      <c r="BK633" s="541"/>
      <c r="BL633" s="541"/>
      <c r="BM633" s="541"/>
      <c r="BP633" s="541"/>
      <c r="BQ633" s="633"/>
      <c r="BR633" s="541"/>
      <c r="BS633" s="541"/>
      <c r="BT633" s="541"/>
      <c r="BU633" s="541"/>
    </row>
    <row r="634" ht="15.75" customHeight="1">
      <c r="A634" s="1591"/>
      <c r="B634" s="1591"/>
      <c r="C634" s="2217"/>
      <c r="D634" s="1541"/>
      <c r="E634" s="906"/>
      <c r="F634" s="541"/>
      <c r="G634" s="541"/>
      <c r="H634" s="541"/>
      <c r="I634" s="541"/>
      <c r="J634" s="1748"/>
      <c r="K634" s="541"/>
      <c r="L634" s="1748"/>
      <c r="M634" s="541"/>
      <c r="N634" s="1748"/>
      <c r="O634" s="541"/>
      <c r="P634" s="1748"/>
      <c r="Q634" s="541"/>
      <c r="R634" s="1748"/>
      <c r="S634" s="541"/>
      <c r="T634" s="1748"/>
      <c r="U634" s="541"/>
      <c r="V634" s="1748"/>
      <c r="W634" s="541"/>
      <c r="X634" s="1748"/>
      <c r="Y634" s="1748"/>
      <c r="Z634" s="1748"/>
      <c r="AA634" s="541"/>
      <c r="AB634" s="1748"/>
      <c r="AC634" s="541"/>
      <c r="AD634" s="541"/>
      <c r="AE634" s="541"/>
      <c r="AF634" s="541"/>
      <c r="AG634" s="541"/>
      <c r="AH634" s="541"/>
      <c r="AI634" s="541"/>
      <c r="AJ634" s="541"/>
      <c r="AK634" s="541"/>
      <c r="AL634" s="541"/>
      <c r="AM634" s="541"/>
      <c r="AN634" s="1748"/>
      <c r="AO634" s="1748"/>
      <c r="AP634" s="1748"/>
      <c r="AQ634" s="1748"/>
      <c r="AR634" s="1748"/>
      <c r="AS634" s="541"/>
      <c r="AT634" s="541"/>
      <c r="AU634" s="541"/>
      <c r="AV634" s="541"/>
      <c r="AW634" s="541"/>
      <c r="AY634" s="541"/>
      <c r="AZ634" s="633"/>
      <c r="BA634" s="541"/>
      <c r="BB634" s="1190"/>
      <c r="BC634" s="541"/>
      <c r="BD634" s="1190"/>
      <c r="BE634" s="541"/>
      <c r="BF634" s="1190"/>
      <c r="BG634" s="541"/>
      <c r="BH634" s="1190"/>
      <c r="BI634" s="541"/>
      <c r="BJ634" s="1190"/>
      <c r="BK634" s="541"/>
      <c r="BL634" s="541"/>
      <c r="BM634" s="541"/>
      <c r="BP634" s="541"/>
      <c r="BQ634" s="633"/>
      <c r="BR634" s="541"/>
      <c r="BS634" s="541"/>
      <c r="BT634" s="541"/>
      <c r="BU634" s="541"/>
    </row>
    <row r="635" ht="15.75" customHeight="1">
      <c r="A635" s="1591"/>
      <c r="B635" s="1591"/>
      <c r="C635" s="2217"/>
      <c r="D635" s="1541"/>
      <c r="E635" s="906"/>
      <c r="F635" s="541"/>
      <c r="G635" s="541"/>
      <c r="H635" s="541"/>
      <c r="I635" s="541"/>
      <c r="J635" s="1748"/>
      <c r="K635" s="541"/>
      <c r="L635" s="1748"/>
      <c r="M635" s="541"/>
      <c r="N635" s="1748"/>
      <c r="O635" s="541"/>
      <c r="P635" s="1748"/>
      <c r="Q635" s="541"/>
      <c r="R635" s="1748"/>
      <c r="S635" s="541"/>
      <c r="T635" s="1748"/>
      <c r="U635" s="541"/>
      <c r="V635" s="1748"/>
      <c r="W635" s="541"/>
      <c r="X635" s="1748"/>
      <c r="Y635" s="1748"/>
      <c r="Z635" s="1748"/>
      <c r="AA635" s="541"/>
      <c r="AB635" s="1748"/>
      <c r="AC635" s="541"/>
      <c r="AD635" s="541"/>
      <c r="AE635" s="541"/>
      <c r="AF635" s="541"/>
      <c r="AG635" s="541"/>
      <c r="AH635" s="541"/>
      <c r="AI635" s="541"/>
      <c r="AJ635" s="541"/>
      <c r="AK635" s="541"/>
      <c r="AL635" s="541"/>
      <c r="AM635" s="541"/>
      <c r="AN635" s="1748"/>
      <c r="AO635" s="1748"/>
      <c r="AP635" s="1748"/>
      <c r="AQ635" s="1748"/>
      <c r="AR635" s="1748"/>
      <c r="AS635" s="541"/>
      <c r="AT635" s="541"/>
      <c r="AU635" s="541"/>
      <c r="AV635" s="541"/>
      <c r="AW635" s="541"/>
      <c r="AY635" s="541"/>
      <c r="AZ635" s="633"/>
      <c r="BA635" s="541"/>
      <c r="BB635" s="1190"/>
      <c r="BC635" s="541"/>
      <c r="BD635" s="1190"/>
      <c r="BE635" s="541"/>
      <c r="BF635" s="1190"/>
      <c r="BG635" s="541"/>
      <c r="BH635" s="1190"/>
      <c r="BI635" s="541"/>
      <c r="BJ635" s="1190"/>
      <c r="BK635" s="541"/>
      <c r="BL635" s="541"/>
      <c r="BM635" s="541"/>
      <c r="BP635" s="541"/>
      <c r="BQ635" s="633"/>
      <c r="BR635" s="541"/>
      <c r="BS635" s="541"/>
      <c r="BT635" s="541"/>
      <c r="BU635" s="541"/>
    </row>
    <row r="636" ht="15.75" customHeight="1">
      <c r="A636" s="1591"/>
      <c r="B636" s="1591"/>
      <c r="C636" s="2217"/>
      <c r="D636" s="1541"/>
      <c r="E636" s="906"/>
      <c r="F636" s="541"/>
      <c r="G636" s="541"/>
      <c r="H636" s="541"/>
      <c r="I636" s="541"/>
      <c r="J636" s="1748"/>
      <c r="K636" s="541"/>
      <c r="L636" s="1748"/>
      <c r="M636" s="541"/>
      <c r="N636" s="1748"/>
      <c r="O636" s="541"/>
      <c r="P636" s="1748"/>
      <c r="Q636" s="541"/>
      <c r="R636" s="1748"/>
      <c r="S636" s="541"/>
      <c r="T636" s="1748"/>
      <c r="U636" s="541"/>
      <c r="V636" s="1748"/>
      <c r="W636" s="541"/>
      <c r="X636" s="1748"/>
      <c r="Y636" s="1748"/>
      <c r="Z636" s="1748"/>
      <c r="AA636" s="541"/>
      <c r="AB636" s="1748"/>
      <c r="AC636" s="541"/>
      <c r="AD636" s="541"/>
      <c r="AE636" s="541"/>
      <c r="AF636" s="541"/>
      <c r="AG636" s="541"/>
      <c r="AH636" s="541"/>
      <c r="AI636" s="541"/>
      <c r="AJ636" s="541"/>
      <c r="AK636" s="541"/>
      <c r="AL636" s="541"/>
      <c r="AM636" s="541"/>
      <c r="AN636" s="1748"/>
      <c r="AO636" s="1748"/>
      <c r="AP636" s="1748"/>
      <c r="AQ636" s="1748"/>
      <c r="AR636" s="1748"/>
      <c r="AS636" s="541"/>
      <c r="AT636" s="541"/>
      <c r="AU636" s="541"/>
      <c r="AV636" s="541"/>
      <c r="AW636" s="541"/>
      <c r="AY636" s="541"/>
      <c r="AZ636" s="633"/>
      <c r="BA636" s="541"/>
      <c r="BB636" s="1190"/>
      <c r="BC636" s="541"/>
      <c r="BD636" s="1190"/>
      <c r="BE636" s="541"/>
      <c r="BF636" s="1190"/>
      <c r="BG636" s="541"/>
      <c r="BH636" s="1190"/>
      <c r="BI636" s="541"/>
      <c r="BJ636" s="1190"/>
      <c r="BK636" s="541"/>
      <c r="BL636" s="541"/>
      <c r="BM636" s="541"/>
      <c r="BP636" s="541"/>
      <c r="BQ636" s="633"/>
      <c r="BR636" s="541"/>
      <c r="BS636" s="541"/>
      <c r="BT636" s="541"/>
      <c r="BU636" s="541"/>
    </row>
    <row r="637" ht="15.75" customHeight="1">
      <c r="A637" s="1591"/>
      <c r="B637" s="1591"/>
      <c r="C637" s="2217"/>
      <c r="D637" s="1541"/>
      <c r="E637" s="906"/>
      <c r="F637" s="541"/>
      <c r="G637" s="541"/>
      <c r="H637" s="541"/>
      <c r="I637" s="541"/>
      <c r="J637" s="1748"/>
      <c r="K637" s="541"/>
      <c r="L637" s="1748"/>
      <c r="M637" s="541"/>
      <c r="N637" s="1748"/>
      <c r="O637" s="541"/>
      <c r="P637" s="1748"/>
      <c r="Q637" s="541"/>
      <c r="R637" s="1748"/>
      <c r="S637" s="541"/>
      <c r="T637" s="1748"/>
      <c r="U637" s="541"/>
      <c r="V637" s="1748"/>
      <c r="W637" s="541"/>
      <c r="X637" s="1748"/>
      <c r="Y637" s="1748"/>
      <c r="Z637" s="1748"/>
      <c r="AA637" s="541"/>
      <c r="AB637" s="1748"/>
      <c r="AC637" s="541"/>
      <c r="AD637" s="541"/>
      <c r="AE637" s="541"/>
      <c r="AF637" s="541"/>
      <c r="AG637" s="541"/>
      <c r="AH637" s="541"/>
      <c r="AI637" s="541"/>
      <c r="AJ637" s="541"/>
      <c r="AK637" s="541"/>
      <c r="AL637" s="541"/>
      <c r="AM637" s="541"/>
      <c r="AN637" s="1748"/>
      <c r="AO637" s="1748"/>
      <c r="AP637" s="1748"/>
      <c r="AQ637" s="1748"/>
      <c r="AR637" s="1748"/>
      <c r="AS637" s="541"/>
      <c r="AT637" s="541"/>
      <c r="AU637" s="541"/>
      <c r="AV637" s="541"/>
      <c r="AW637" s="541"/>
      <c r="AY637" s="541"/>
      <c r="AZ637" s="633"/>
      <c r="BA637" s="541"/>
      <c r="BB637" s="1190"/>
      <c r="BC637" s="541"/>
      <c r="BD637" s="1190"/>
      <c r="BE637" s="541"/>
      <c r="BF637" s="1190"/>
      <c r="BG637" s="541"/>
      <c r="BH637" s="1190"/>
      <c r="BI637" s="541"/>
      <c r="BJ637" s="1190"/>
      <c r="BK637" s="541"/>
      <c r="BL637" s="541"/>
      <c r="BM637" s="541"/>
      <c r="BP637" s="541"/>
      <c r="BQ637" s="633"/>
      <c r="BR637" s="541"/>
      <c r="BS637" s="541"/>
      <c r="BT637" s="541"/>
      <c r="BU637" s="541"/>
    </row>
    <row r="638" ht="15.75" customHeight="1">
      <c r="A638" s="1591"/>
      <c r="B638" s="1591"/>
      <c r="C638" s="2217"/>
      <c r="D638" s="1541"/>
      <c r="E638" s="906"/>
      <c r="F638" s="541"/>
      <c r="G638" s="541"/>
      <c r="H638" s="541"/>
      <c r="I638" s="541"/>
      <c r="J638" s="1748"/>
      <c r="K638" s="541"/>
      <c r="L638" s="1748"/>
      <c r="M638" s="541"/>
      <c r="N638" s="1748"/>
      <c r="O638" s="541"/>
      <c r="P638" s="1748"/>
      <c r="Q638" s="541"/>
      <c r="R638" s="1748"/>
      <c r="S638" s="541"/>
      <c r="T638" s="1748"/>
      <c r="U638" s="541"/>
      <c r="V638" s="1748"/>
      <c r="W638" s="541"/>
      <c r="X638" s="1748"/>
      <c r="Y638" s="1748"/>
      <c r="Z638" s="1748"/>
      <c r="AA638" s="541"/>
      <c r="AB638" s="1748"/>
      <c r="AC638" s="541"/>
      <c r="AD638" s="541"/>
      <c r="AE638" s="541"/>
      <c r="AF638" s="541"/>
      <c r="AG638" s="541"/>
      <c r="AH638" s="541"/>
      <c r="AI638" s="541"/>
      <c r="AJ638" s="541"/>
      <c r="AK638" s="541"/>
      <c r="AL638" s="541"/>
      <c r="AM638" s="541"/>
      <c r="AN638" s="1748"/>
      <c r="AO638" s="1748"/>
      <c r="AP638" s="1748"/>
      <c r="AQ638" s="1748"/>
      <c r="AR638" s="1748"/>
      <c r="AS638" s="541"/>
      <c r="AT638" s="541"/>
      <c r="AU638" s="541"/>
      <c r="AV638" s="541"/>
      <c r="AW638" s="541"/>
      <c r="AY638" s="541"/>
      <c r="AZ638" s="633"/>
      <c r="BA638" s="541"/>
      <c r="BB638" s="1190"/>
      <c r="BC638" s="541"/>
      <c r="BD638" s="1190"/>
      <c r="BE638" s="541"/>
      <c r="BF638" s="1190"/>
      <c r="BG638" s="541"/>
      <c r="BH638" s="1190"/>
      <c r="BI638" s="541"/>
      <c r="BJ638" s="1190"/>
      <c r="BK638" s="541"/>
      <c r="BL638" s="541"/>
      <c r="BM638" s="541"/>
      <c r="BP638" s="541"/>
      <c r="BQ638" s="633"/>
      <c r="BR638" s="541"/>
      <c r="BS638" s="541"/>
      <c r="BT638" s="541"/>
      <c r="BU638" s="541"/>
    </row>
    <row r="639" ht="15.75" customHeight="1">
      <c r="A639" s="1591"/>
      <c r="B639" s="1591"/>
      <c r="C639" s="2217"/>
      <c r="D639" s="1541"/>
      <c r="E639" s="906"/>
      <c r="F639" s="541"/>
      <c r="G639" s="541"/>
      <c r="H639" s="541"/>
      <c r="I639" s="541"/>
      <c r="J639" s="1748"/>
      <c r="K639" s="541"/>
      <c r="L639" s="1748"/>
      <c r="M639" s="541"/>
      <c r="N639" s="1748"/>
      <c r="O639" s="541"/>
      <c r="P639" s="1748"/>
      <c r="Q639" s="541"/>
      <c r="R639" s="1748"/>
      <c r="S639" s="541"/>
      <c r="T639" s="1748"/>
      <c r="U639" s="541"/>
      <c r="V639" s="1748"/>
      <c r="W639" s="541"/>
      <c r="X639" s="1748"/>
      <c r="Y639" s="1748"/>
      <c r="Z639" s="1748"/>
      <c r="AA639" s="541"/>
      <c r="AB639" s="1748"/>
      <c r="AC639" s="541"/>
      <c r="AD639" s="541"/>
      <c r="AE639" s="541"/>
      <c r="AF639" s="541"/>
      <c r="AG639" s="541"/>
      <c r="AH639" s="541"/>
      <c r="AI639" s="541"/>
      <c r="AJ639" s="541"/>
      <c r="AK639" s="541"/>
      <c r="AL639" s="541"/>
      <c r="AM639" s="541"/>
      <c r="AN639" s="1748"/>
      <c r="AO639" s="1748"/>
      <c r="AP639" s="1748"/>
      <c r="AQ639" s="1748"/>
      <c r="AR639" s="1748"/>
      <c r="AS639" s="541"/>
      <c r="AT639" s="541"/>
      <c r="AU639" s="541"/>
      <c r="AV639" s="541"/>
      <c r="AW639" s="541"/>
      <c r="AY639" s="541"/>
      <c r="AZ639" s="633"/>
      <c r="BA639" s="541"/>
      <c r="BB639" s="1190"/>
      <c r="BC639" s="541"/>
      <c r="BD639" s="1190"/>
      <c r="BE639" s="541"/>
      <c r="BF639" s="1190"/>
      <c r="BG639" s="541"/>
      <c r="BH639" s="1190"/>
      <c r="BI639" s="541"/>
      <c r="BJ639" s="1190"/>
      <c r="BK639" s="541"/>
      <c r="BL639" s="541"/>
      <c r="BM639" s="541"/>
      <c r="BP639" s="541"/>
      <c r="BQ639" s="633"/>
      <c r="BR639" s="541"/>
      <c r="BS639" s="541"/>
      <c r="BT639" s="541"/>
      <c r="BU639" s="541"/>
    </row>
    <row r="640" ht="15.75" customHeight="1">
      <c r="A640" s="1591"/>
      <c r="B640" s="1591"/>
      <c r="C640" s="2217"/>
      <c r="D640" s="1541"/>
      <c r="E640" s="906"/>
      <c r="F640" s="541"/>
      <c r="G640" s="541"/>
      <c r="H640" s="541"/>
      <c r="I640" s="541"/>
      <c r="J640" s="1748"/>
      <c r="K640" s="541"/>
      <c r="L640" s="1748"/>
      <c r="M640" s="541"/>
      <c r="N640" s="1748"/>
      <c r="O640" s="541"/>
      <c r="P640" s="1748"/>
      <c r="Q640" s="541"/>
      <c r="R640" s="1748"/>
      <c r="S640" s="541"/>
      <c r="T640" s="1748"/>
      <c r="U640" s="541"/>
      <c r="V640" s="1748"/>
      <c r="W640" s="541"/>
      <c r="X640" s="1748"/>
      <c r="Y640" s="1748"/>
      <c r="Z640" s="1748"/>
      <c r="AA640" s="541"/>
      <c r="AB640" s="1748"/>
      <c r="AC640" s="541"/>
      <c r="AD640" s="541"/>
      <c r="AE640" s="541"/>
      <c r="AF640" s="541"/>
      <c r="AG640" s="541"/>
      <c r="AH640" s="541"/>
      <c r="AI640" s="541"/>
      <c r="AJ640" s="541"/>
      <c r="AK640" s="541"/>
      <c r="AL640" s="541"/>
      <c r="AM640" s="541"/>
      <c r="AN640" s="1748"/>
      <c r="AO640" s="1748"/>
      <c r="AP640" s="1748"/>
      <c r="AQ640" s="1748"/>
      <c r="AR640" s="1748"/>
      <c r="AS640" s="541"/>
      <c r="AT640" s="541"/>
      <c r="AU640" s="541"/>
      <c r="AV640" s="541"/>
      <c r="AW640" s="541"/>
      <c r="AY640" s="541"/>
      <c r="AZ640" s="633"/>
      <c r="BA640" s="541"/>
      <c r="BB640" s="1190"/>
      <c r="BC640" s="541"/>
      <c r="BD640" s="1190"/>
      <c r="BE640" s="541"/>
      <c r="BF640" s="1190"/>
      <c r="BG640" s="541"/>
      <c r="BH640" s="1190"/>
      <c r="BI640" s="541"/>
      <c r="BJ640" s="1190"/>
      <c r="BK640" s="541"/>
      <c r="BL640" s="541"/>
      <c r="BM640" s="541"/>
      <c r="BP640" s="541"/>
      <c r="BQ640" s="633"/>
      <c r="BR640" s="541"/>
      <c r="BS640" s="541"/>
      <c r="BT640" s="541"/>
      <c r="BU640" s="541"/>
    </row>
    <row r="641" ht="15.75" customHeight="1">
      <c r="A641" s="1591"/>
      <c r="B641" s="1591"/>
      <c r="C641" s="2217"/>
      <c r="D641" s="1541"/>
      <c r="E641" s="906"/>
      <c r="F641" s="541"/>
      <c r="G641" s="541"/>
      <c r="H641" s="541"/>
      <c r="I641" s="541"/>
      <c r="J641" s="1748"/>
      <c r="K641" s="541"/>
      <c r="L641" s="1748"/>
      <c r="M641" s="541"/>
      <c r="N641" s="1748"/>
      <c r="O641" s="541"/>
      <c r="P641" s="1748"/>
      <c r="Q641" s="541"/>
      <c r="R641" s="1748"/>
      <c r="S641" s="541"/>
      <c r="T641" s="1748"/>
      <c r="U641" s="541"/>
      <c r="V641" s="1748"/>
      <c r="W641" s="541"/>
      <c r="X641" s="1748"/>
      <c r="Y641" s="1748"/>
      <c r="Z641" s="1748"/>
      <c r="AA641" s="541"/>
      <c r="AB641" s="1748"/>
      <c r="AC641" s="541"/>
      <c r="AD641" s="541"/>
      <c r="AE641" s="541"/>
      <c r="AF641" s="541"/>
      <c r="AG641" s="541"/>
      <c r="AH641" s="541"/>
      <c r="AI641" s="541"/>
      <c r="AJ641" s="541"/>
      <c r="AK641" s="541"/>
      <c r="AL641" s="541"/>
      <c r="AM641" s="541"/>
      <c r="AN641" s="1748"/>
      <c r="AO641" s="1748"/>
      <c r="AP641" s="1748"/>
      <c r="AQ641" s="1748"/>
      <c r="AR641" s="1748"/>
      <c r="AS641" s="541"/>
      <c r="AT641" s="541"/>
      <c r="AU641" s="541"/>
      <c r="AV641" s="541"/>
      <c r="AW641" s="541"/>
      <c r="AY641" s="541"/>
      <c r="AZ641" s="633"/>
      <c r="BA641" s="541"/>
      <c r="BB641" s="1190"/>
      <c r="BC641" s="541"/>
      <c r="BD641" s="1190"/>
      <c r="BE641" s="541"/>
      <c r="BF641" s="1190"/>
      <c r="BG641" s="541"/>
      <c r="BH641" s="1190"/>
      <c r="BI641" s="541"/>
      <c r="BJ641" s="1190"/>
      <c r="BK641" s="541"/>
      <c r="BL641" s="541"/>
      <c r="BM641" s="541"/>
      <c r="BP641" s="541"/>
      <c r="BQ641" s="633"/>
      <c r="BR641" s="541"/>
      <c r="BS641" s="541"/>
      <c r="BT641" s="541"/>
      <c r="BU641" s="541"/>
    </row>
    <row r="642" ht="15.75" customHeight="1">
      <c r="A642" s="1591"/>
      <c r="B642" s="1591"/>
      <c r="C642" s="2217"/>
      <c r="D642" s="1541"/>
      <c r="E642" s="906"/>
      <c r="F642" s="541"/>
      <c r="G642" s="541"/>
      <c r="H642" s="541"/>
      <c r="I642" s="541"/>
      <c r="J642" s="1748"/>
      <c r="K642" s="541"/>
      <c r="L642" s="1748"/>
      <c r="M642" s="541"/>
      <c r="N642" s="1748"/>
      <c r="O642" s="541"/>
      <c r="P642" s="1748"/>
      <c r="Q642" s="541"/>
      <c r="R642" s="1748"/>
      <c r="S642" s="541"/>
      <c r="T642" s="1748"/>
      <c r="U642" s="541"/>
      <c r="V642" s="1748"/>
      <c r="W642" s="541"/>
      <c r="X642" s="1748"/>
      <c r="Y642" s="1748"/>
      <c r="Z642" s="1748"/>
      <c r="AA642" s="541"/>
      <c r="AB642" s="1748"/>
      <c r="AC642" s="541"/>
      <c r="AD642" s="541"/>
      <c r="AE642" s="541"/>
      <c r="AF642" s="541"/>
      <c r="AG642" s="541"/>
      <c r="AH642" s="541"/>
      <c r="AI642" s="541"/>
      <c r="AJ642" s="541"/>
      <c r="AK642" s="541"/>
      <c r="AL642" s="541"/>
      <c r="AM642" s="541"/>
      <c r="AN642" s="1748"/>
      <c r="AO642" s="1748"/>
      <c r="AP642" s="1748"/>
      <c r="AQ642" s="1748"/>
      <c r="AR642" s="1748"/>
      <c r="AS642" s="541"/>
      <c r="AT642" s="541"/>
      <c r="AU642" s="541"/>
      <c r="AV642" s="541"/>
      <c r="AW642" s="541"/>
      <c r="AY642" s="541"/>
      <c r="AZ642" s="633"/>
      <c r="BA642" s="541"/>
      <c r="BB642" s="1190"/>
      <c r="BC642" s="541"/>
      <c r="BD642" s="1190"/>
      <c r="BE642" s="541"/>
      <c r="BF642" s="1190"/>
      <c r="BG642" s="541"/>
      <c r="BH642" s="1190"/>
      <c r="BI642" s="541"/>
      <c r="BJ642" s="1190"/>
      <c r="BK642" s="541"/>
      <c r="BL642" s="541"/>
      <c r="BM642" s="541"/>
      <c r="BP642" s="541"/>
      <c r="BQ642" s="633"/>
      <c r="BR642" s="541"/>
      <c r="BS642" s="541"/>
      <c r="BT642" s="541"/>
      <c r="BU642" s="541"/>
    </row>
    <row r="643" ht="15.75" customHeight="1">
      <c r="A643" s="1591"/>
      <c r="B643" s="1591"/>
      <c r="C643" s="2217"/>
      <c r="D643" s="1541"/>
      <c r="E643" s="906"/>
      <c r="F643" s="541"/>
      <c r="G643" s="541"/>
      <c r="H643" s="541"/>
      <c r="I643" s="541"/>
      <c r="J643" s="1748"/>
      <c r="K643" s="541"/>
      <c r="L643" s="1748"/>
      <c r="M643" s="541"/>
      <c r="N643" s="1748"/>
      <c r="O643" s="541"/>
      <c r="P643" s="1748"/>
      <c r="Q643" s="541"/>
      <c r="R643" s="1748"/>
      <c r="S643" s="541"/>
      <c r="T643" s="1748"/>
      <c r="U643" s="541"/>
      <c r="V643" s="1748"/>
      <c r="W643" s="541"/>
      <c r="X643" s="1748"/>
      <c r="Y643" s="1748"/>
      <c r="Z643" s="1748"/>
      <c r="AA643" s="541"/>
      <c r="AB643" s="1748"/>
      <c r="AC643" s="541"/>
      <c r="AD643" s="541"/>
      <c r="AE643" s="541"/>
      <c r="AF643" s="541"/>
      <c r="AG643" s="541"/>
      <c r="AH643" s="541"/>
      <c r="AI643" s="541"/>
      <c r="AJ643" s="541"/>
      <c r="AK643" s="541"/>
      <c r="AL643" s="541"/>
      <c r="AM643" s="541"/>
      <c r="AN643" s="1748"/>
      <c r="AO643" s="1748"/>
      <c r="AP643" s="1748"/>
      <c r="AQ643" s="1748"/>
      <c r="AR643" s="1748"/>
      <c r="AS643" s="541"/>
      <c r="AT643" s="541"/>
      <c r="AU643" s="541"/>
      <c r="AV643" s="541"/>
      <c r="AW643" s="541"/>
      <c r="AY643" s="541"/>
      <c r="AZ643" s="633"/>
      <c r="BA643" s="541"/>
      <c r="BB643" s="1190"/>
      <c r="BC643" s="541"/>
      <c r="BD643" s="1190"/>
      <c r="BE643" s="541"/>
      <c r="BF643" s="1190"/>
      <c r="BG643" s="541"/>
      <c r="BH643" s="1190"/>
      <c r="BI643" s="541"/>
      <c r="BJ643" s="1190"/>
      <c r="BK643" s="541"/>
      <c r="BL643" s="541"/>
      <c r="BM643" s="541"/>
      <c r="BP643" s="541"/>
      <c r="BQ643" s="633"/>
      <c r="BR643" s="541"/>
      <c r="BS643" s="541"/>
      <c r="BT643" s="541"/>
      <c r="BU643" s="541"/>
    </row>
    <row r="644" ht="15.75" customHeight="1">
      <c r="A644" s="1591"/>
      <c r="B644" s="1591"/>
      <c r="C644" s="2217"/>
      <c r="D644" s="1541"/>
      <c r="E644" s="906"/>
      <c r="F644" s="541"/>
      <c r="G644" s="541"/>
      <c r="H644" s="541"/>
      <c r="I644" s="541"/>
      <c r="J644" s="1748"/>
      <c r="K644" s="541"/>
      <c r="L644" s="1748"/>
      <c r="M644" s="541"/>
      <c r="N644" s="1748"/>
      <c r="O644" s="541"/>
      <c r="P644" s="1748"/>
      <c r="Q644" s="541"/>
      <c r="R644" s="1748"/>
      <c r="S644" s="541"/>
      <c r="T644" s="1748"/>
      <c r="U644" s="541"/>
      <c r="V644" s="1748"/>
      <c r="W644" s="541"/>
      <c r="X644" s="1748"/>
      <c r="Y644" s="1748"/>
      <c r="Z644" s="1748"/>
      <c r="AA644" s="541"/>
      <c r="AB644" s="1748"/>
      <c r="AC644" s="541"/>
      <c r="AD644" s="541"/>
      <c r="AE644" s="541"/>
      <c r="AF644" s="541"/>
      <c r="AG644" s="541"/>
      <c r="AH644" s="541"/>
      <c r="AI644" s="541"/>
      <c r="AJ644" s="541"/>
      <c r="AK644" s="541"/>
      <c r="AL644" s="541"/>
      <c r="AM644" s="541"/>
      <c r="AN644" s="1748"/>
      <c r="AO644" s="1748"/>
      <c r="AP644" s="1748"/>
      <c r="AQ644" s="1748"/>
      <c r="AR644" s="1748"/>
      <c r="AS644" s="541"/>
      <c r="AT644" s="541"/>
      <c r="AU644" s="541"/>
      <c r="AV644" s="541"/>
      <c r="AW644" s="541"/>
      <c r="AY644" s="541"/>
      <c r="AZ644" s="633"/>
      <c r="BA644" s="541"/>
      <c r="BB644" s="1190"/>
      <c r="BC644" s="541"/>
      <c r="BD644" s="1190"/>
      <c r="BE644" s="541"/>
      <c r="BF644" s="1190"/>
      <c r="BG644" s="541"/>
      <c r="BH644" s="1190"/>
      <c r="BI644" s="541"/>
      <c r="BJ644" s="1190"/>
      <c r="BK644" s="541"/>
      <c r="BL644" s="541"/>
      <c r="BM644" s="541"/>
      <c r="BP644" s="541"/>
      <c r="BQ644" s="633"/>
      <c r="BR644" s="541"/>
      <c r="BS644" s="541"/>
      <c r="BT644" s="541"/>
      <c r="BU644" s="541"/>
    </row>
    <row r="645" ht="15.75" customHeight="1">
      <c r="A645" s="1591"/>
      <c r="B645" s="1591"/>
      <c r="C645" s="2217"/>
      <c r="D645" s="1541"/>
      <c r="E645" s="906"/>
      <c r="F645" s="541"/>
      <c r="G645" s="541"/>
      <c r="H645" s="541"/>
      <c r="I645" s="541"/>
      <c r="J645" s="1748"/>
      <c r="K645" s="541"/>
      <c r="L645" s="1748"/>
      <c r="M645" s="541"/>
      <c r="N645" s="1748"/>
      <c r="O645" s="541"/>
      <c r="P645" s="1748"/>
      <c r="Q645" s="541"/>
      <c r="R645" s="1748"/>
      <c r="S645" s="541"/>
      <c r="T645" s="1748"/>
      <c r="U645" s="541"/>
      <c r="V645" s="1748"/>
      <c r="W645" s="541"/>
      <c r="X645" s="1748"/>
      <c r="Y645" s="1748"/>
      <c r="Z645" s="1748"/>
      <c r="AA645" s="541"/>
      <c r="AB645" s="1748"/>
      <c r="AC645" s="541"/>
      <c r="AD645" s="541"/>
      <c r="AE645" s="541"/>
      <c r="AF645" s="541"/>
      <c r="AG645" s="541"/>
      <c r="AH645" s="541"/>
      <c r="AI645" s="541"/>
      <c r="AJ645" s="541"/>
      <c r="AK645" s="541"/>
      <c r="AL645" s="541"/>
      <c r="AM645" s="541"/>
      <c r="AN645" s="1748"/>
      <c r="AO645" s="1748"/>
      <c r="AP645" s="1748"/>
      <c r="AQ645" s="1748"/>
      <c r="AR645" s="1748"/>
      <c r="AS645" s="541"/>
      <c r="AT645" s="541"/>
      <c r="AU645" s="541"/>
      <c r="AV645" s="541"/>
      <c r="AW645" s="541"/>
      <c r="AY645" s="541"/>
      <c r="AZ645" s="633"/>
      <c r="BA645" s="541"/>
      <c r="BB645" s="1190"/>
      <c r="BC645" s="541"/>
      <c r="BD645" s="1190"/>
      <c r="BE645" s="541"/>
      <c r="BF645" s="1190"/>
      <c r="BG645" s="541"/>
      <c r="BH645" s="1190"/>
      <c r="BI645" s="541"/>
      <c r="BJ645" s="1190"/>
      <c r="BK645" s="541"/>
      <c r="BL645" s="541"/>
      <c r="BM645" s="541"/>
      <c r="BP645" s="541"/>
      <c r="BQ645" s="633"/>
      <c r="BR645" s="541"/>
      <c r="BS645" s="541"/>
      <c r="BT645" s="541"/>
      <c r="BU645" s="541"/>
    </row>
    <row r="646" ht="15.75" customHeight="1">
      <c r="A646" s="1591"/>
      <c r="B646" s="1591"/>
      <c r="C646" s="2217"/>
      <c r="D646" s="1541"/>
      <c r="E646" s="906"/>
      <c r="F646" s="541"/>
      <c r="G646" s="541"/>
      <c r="H646" s="541"/>
      <c r="I646" s="541"/>
      <c r="J646" s="1748"/>
      <c r="K646" s="541"/>
      <c r="L646" s="1748"/>
      <c r="M646" s="541"/>
      <c r="N646" s="1748"/>
      <c r="O646" s="541"/>
      <c r="P646" s="1748"/>
      <c r="Q646" s="541"/>
      <c r="R646" s="1748"/>
      <c r="S646" s="541"/>
      <c r="T646" s="1748"/>
      <c r="U646" s="541"/>
      <c r="V646" s="1748"/>
      <c r="W646" s="541"/>
      <c r="X646" s="1748"/>
      <c r="Y646" s="1748"/>
      <c r="Z646" s="1748"/>
      <c r="AA646" s="541"/>
      <c r="AB646" s="1748"/>
      <c r="AC646" s="541"/>
      <c r="AD646" s="541"/>
      <c r="AE646" s="541"/>
      <c r="AF646" s="541"/>
      <c r="AG646" s="541"/>
      <c r="AH646" s="541"/>
      <c r="AI646" s="541"/>
      <c r="AJ646" s="541"/>
      <c r="AK646" s="541"/>
      <c r="AL646" s="541"/>
      <c r="AM646" s="541"/>
      <c r="AN646" s="1748"/>
      <c r="AO646" s="1748"/>
      <c r="AP646" s="1748"/>
      <c r="AQ646" s="1748"/>
      <c r="AR646" s="1748"/>
      <c r="AS646" s="541"/>
      <c r="AT646" s="541"/>
      <c r="AU646" s="541"/>
      <c r="AV646" s="541"/>
      <c r="AW646" s="541"/>
      <c r="AY646" s="541"/>
      <c r="AZ646" s="633"/>
      <c r="BA646" s="541"/>
      <c r="BB646" s="1190"/>
      <c r="BC646" s="541"/>
      <c r="BD646" s="1190"/>
      <c r="BE646" s="541"/>
      <c r="BF646" s="1190"/>
      <c r="BG646" s="541"/>
      <c r="BH646" s="1190"/>
      <c r="BI646" s="541"/>
      <c r="BJ646" s="1190"/>
      <c r="BK646" s="541"/>
      <c r="BL646" s="541"/>
      <c r="BM646" s="541"/>
      <c r="BP646" s="541"/>
      <c r="BQ646" s="633"/>
      <c r="BR646" s="541"/>
      <c r="BS646" s="541"/>
      <c r="BT646" s="541"/>
      <c r="BU646" s="541"/>
    </row>
    <row r="647" ht="15.75" customHeight="1">
      <c r="A647" s="1591"/>
      <c r="B647" s="1591"/>
      <c r="C647" s="2217"/>
      <c r="D647" s="1541"/>
      <c r="E647" s="906"/>
      <c r="F647" s="541"/>
      <c r="G647" s="541"/>
      <c r="H647" s="541"/>
      <c r="I647" s="541"/>
      <c r="J647" s="1748"/>
      <c r="K647" s="541"/>
      <c r="L647" s="1748"/>
      <c r="M647" s="541"/>
      <c r="N647" s="1748"/>
      <c r="O647" s="541"/>
      <c r="P647" s="1748"/>
      <c r="Q647" s="541"/>
      <c r="R647" s="1748"/>
      <c r="S647" s="541"/>
      <c r="T647" s="1748"/>
      <c r="U647" s="541"/>
      <c r="V647" s="1748"/>
      <c r="W647" s="541"/>
      <c r="X647" s="1748"/>
      <c r="Y647" s="1748"/>
      <c r="Z647" s="1748"/>
      <c r="AA647" s="541"/>
      <c r="AB647" s="1748"/>
      <c r="AC647" s="541"/>
      <c r="AD647" s="541"/>
      <c r="AE647" s="541"/>
      <c r="AF647" s="541"/>
      <c r="AG647" s="541"/>
      <c r="AH647" s="541"/>
      <c r="AI647" s="541"/>
      <c r="AJ647" s="541"/>
      <c r="AK647" s="541"/>
      <c r="AL647" s="541"/>
      <c r="AM647" s="541"/>
      <c r="AN647" s="1748"/>
      <c r="AO647" s="1748"/>
      <c r="AP647" s="1748"/>
      <c r="AQ647" s="1748"/>
      <c r="AR647" s="1748"/>
      <c r="AS647" s="541"/>
      <c r="AT647" s="541"/>
      <c r="AU647" s="541"/>
      <c r="AV647" s="541"/>
      <c r="AW647" s="541"/>
      <c r="AY647" s="541"/>
      <c r="AZ647" s="633"/>
      <c r="BA647" s="541"/>
      <c r="BB647" s="1190"/>
      <c r="BC647" s="541"/>
      <c r="BD647" s="1190"/>
      <c r="BE647" s="541"/>
      <c r="BF647" s="1190"/>
      <c r="BG647" s="541"/>
      <c r="BH647" s="1190"/>
      <c r="BI647" s="541"/>
      <c r="BJ647" s="1190"/>
      <c r="BK647" s="541"/>
      <c r="BL647" s="541"/>
      <c r="BM647" s="541"/>
      <c r="BP647" s="541"/>
      <c r="BQ647" s="633"/>
      <c r="BR647" s="541"/>
      <c r="BS647" s="541"/>
      <c r="BT647" s="541"/>
      <c r="BU647" s="541"/>
    </row>
    <row r="648" ht="15.75" customHeight="1">
      <c r="A648" s="1591"/>
      <c r="B648" s="1591"/>
      <c r="C648" s="2217"/>
      <c r="D648" s="1541"/>
      <c r="E648" s="906"/>
      <c r="F648" s="541"/>
      <c r="G648" s="541"/>
      <c r="H648" s="541"/>
      <c r="I648" s="541"/>
      <c r="J648" s="1748"/>
      <c r="K648" s="541"/>
      <c r="L648" s="1748"/>
      <c r="M648" s="541"/>
      <c r="N648" s="1748"/>
      <c r="O648" s="541"/>
      <c r="P648" s="1748"/>
      <c r="Q648" s="541"/>
      <c r="R648" s="1748"/>
      <c r="S648" s="541"/>
      <c r="T648" s="1748"/>
      <c r="U648" s="541"/>
      <c r="V648" s="1748"/>
      <c r="W648" s="541"/>
      <c r="X648" s="1748"/>
      <c r="Y648" s="1748"/>
      <c r="Z648" s="1748"/>
      <c r="AA648" s="541"/>
      <c r="AB648" s="1748"/>
      <c r="AC648" s="541"/>
      <c r="AD648" s="541"/>
      <c r="AE648" s="541"/>
      <c r="AF648" s="541"/>
      <c r="AG648" s="541"/>
      <c r="AH648" s="541"/>
      <c r="AI648" s="541"/>
      <c r="AJ648" s="541"/>
      <c r="AK648" s="541"/>
      <c r="AL648" s="541"/>
      <c r="AM648" s="541"/>
      <c r="AN648" s="1748"/>
      <c r="AO648" s="1748"/>
      <c r="AP648" s="1748"/>
      <c r="AQ648" s="1748"/>
      <c r="AR648" s="1748"/>
      <c r="AS648" s="541"/>
      <c r="AT648" s="541"/>
      <c r="AU648" s="541"/>
      <c r="AV648" s="541"/>
      <c r="AW648" s="541"/>
      <c r="AY648" s="541"/>
      <c r="AZ648" s="633"/>
      <c r="BA648" s="541"/>
      <c r="BB648" s="1190"/>
      <c r="BC648" s="541"/>
      <c r="BD648" s="1190"/>
      <c r="BE648" s="541"/>
      <c r="BF648" s="1190"/>
      <c r="BG648" s="541"/>
      <c r="BH648" s="1190"/>
      <c r="BI648" s="541"/>
      <c r="BJ648" s="1190"/>
      <c r="BK648" s="541"/>
      <c r="BL648" s="541"/>
      <c r="BM648" s="541"/>
      <c r="BP648" s="541"/>
      <c r="BQ648" s="633"/>
      <c r="BR648" s="541"/>
      <c r="BS648" s="541"/>
      <c r="BT648" s="541"/>
      <c r="BU648" s="541"/>
    </row>
    <row r="649" ht="15.75" customHeight="1">
      <c r="A649" s="1591"/>
      <c r="B649" s="1591"/>
      <c r="C649" s="2217"/>
      <c r="D649" s="1541"/>
      <c r="E649" s="906"/>
      <c r="F649" s="541"/>
      <c r="G649" s="541"/>
      <c r="H649" s="541"/>
      <c r="I649" s="541"/>
      <c r="J649" s="1748"/>
      <c r="K649" s="541"/>
      <c r="L649" s="1748"/>
      <c r="M649" s="541"/>
      <c r="N649" s="1748"/>
      <c r="O649" s="541"/>
      <c r="P649" s="1748"/>
      <c r="Q649" s="541"/>
      <c r="R649" s="1748"/>
      <c r="S649" s="541"/>
      <c r="T649" s="1748"/>
      <c r="U649" s="541"/>
      <c r="V649" s="1748"/>
      <c r="W649" s="541"/>
      <c r="X649" s="1748"/>
      <c r="Y649" s="1748"/>
      <c r="Z649" s="1748"/>
      <c r="AA649" s="541"/>
      <c r="AB649" s="1748"/>
      <c r="AC649" s="541"/>
      <c r="AD649" s="541"/>
      <c r="AE649" s="541"/>
      <c r="AF649" s="541"/>
      <c r="AG649" s="541"/>
      <c r="AH649" s="541"/>
      <c r="AI649" s="541"/>
      <c r="AJ649" s="541"/>
      <c r="AK649" s="541"/>
      <c r="AL649" s="541"/>
      <c r="AM649" s="541"/>
      <c r="AN649" s="1748"/>
      <c r="AO649" s="1748"/>
      <c r="AP649" s="1748"/>
      <c r="AQ649" s="1748"/>
      <c r="AR649" s="1748"/>
      <c r="AS649" s="541"/>
      <c r="AT649" s="541"/>
      <c r="AU649" s="541"/>
      <c r="AV649" s="541"/>
      <c r="AW649" s="541"/>
      <c r="AY649" s="541"/>
      <c r="AZ649" s="633"/>
      <c r="BA649" s="541"/>
      <c r="BB649" s="1190"/>
      <c r="BC649" s="541"/>
      <c r="BD649" s="1190"/>
      <c r="BE649" s="541"/>
      <c r="BF649" s="1190"/>
      <c r="BG649" s="541"/>
      <c r="BH649" s="1190"/>
      <c r="BI649" s="541"/>
      <c r="BJ649" s="1190"/>
      <c r="BK649" s="541"/>
      <c r="BL649" s="541"/>
      <c r="BM649" s="541"/>
      <c r="BP649" s="541"/>
      <c r="BQ649" s="633"/>
      <c r="BR649" s="541"/>
      <c r="BS649" s="541"/>
      <c r="BT649" s="541"/>
      <c r="BU649" s="541"/>
    </row>
    <row r="650" ht="15.75" customHeight="1">
      <c r="A650" s="1591"/>
      <c r="B650" s="1591"/>
      <c r="C650" s="2217"/>
      <c r="D650" s="1541"/>
      <c r="E650" s="906"/>
      <c r="F650" s="541"/>
      <c r="G650" s="541"/>
      <c r="H650" s="541"/>
      <c r="I650" s="541"/>
      <c r="J650" s="1748"/>
      <c r="K650" s="541"/>
      <c r="L650" s="1748"/>
      <c r="M650" s="541"/>
      <c r="N650" s="1748"/>
      <c r="O650" s="541"/>
      <c r="P650" s="1748"/>
      <c r="Q650" s="541"/>
      <c r="R650" s="1748"/>
      <c r="S650" s="541"/>
      <c r="T650" s="1748"/>
      <c r="U650" s="541"/>
      <c r="V650" s="1748"/>
      <c r="W650" s="541"/>
      <c r="X650" s="1748"/>
      <c r="Y650" s="1748"/>
      <c r="Z650" s="1748"/>
      <c r="AA650" s="541"/>
      <c r="AB650" s="1748"/>
      <c r="AC650" s="541"/>
      <c r="AD650" s="541"/>
      <c r="AE650" s="541"/>
      <c r="AF650" s="541"/>
      <c r="AG650" s="541"/>
      <c r="AH650" s="541"/>
      <c r="AI650" s="541"/>
      <c r="AJ650" s="541"/>
      <c r="AK650" s="541"/>
      <c r="AL650" s="541"/>
      <c r="AM650" s="541"/>
      <c r="AN650" s="1748"/>
      <c r="AO650" s="1748"/>
      <c r="AP650" s="1748"/>
      <c r="AQ650" s="1748"/>
      <c r="AR650" s="1748"/>
      <c r="AS650" s="541"/>
      <c r="AT650" s="541"/>
      <c r="AU650" s="541"/>
      <c r="AV650" s="541"/>
      <c r="AW650" s="541"/>
      <c r="AY650" s="541"/>
      <c r="AZ650" s="633"/>
      <c r="BA650" s="541"/>
      <c r="BB650" s="1190"/>
      <c r="BC650" s="541"/>
      <c r="BD650" s="1190"/>
      <c r="BE650" s="541"/>
      <c r="BF650" s="1190"/>
      <c r="BG650" s="541"/>
      <c r="BH650" s="1190"/>
      <c r="BI650" s="541"/>
      <c r="BJ650" s="1190"/>
      <c r="BK650" s="541"/>
      <c r="BL650" s="541"/>
      <c r="BM650" s="541"/>
      <c r="BP650" s="541"/>
      <c r="BQ650" s="633"/>
      <c r="BR650" s="541"/>
      <c r="BS650" s="541"/>
      <c r="BT650" s="541"/>
      <c r="BU650" s="541"/>
    </row>
    <row r="651" ht="15.75" customHeight="1">
      <c r="A651" s="1591"/>
      <c r="B651" s="1591"/>
      <c r="C651" s="2217"/>
      <c r="D651" s="1541"/>
      <c r="E651" s="906"/>
      <c r="F651" s="541"/>
      <c r="G651" s="541"/>
      <c r="H651" s="541"/>
      <c r="I651" s="541"/>
      <c r="J651" s="1748"/>
      <c r="K651" s="541"/>
      <c r="L651" s="1748"/>
      <c r="M651" s="541"/>
      <c r="N651" s="1748"/>
      <c r="O651" s="541"/>
      <c r="P651" s="1748"/>
      <c r="Q651" s="541"/>
      <c r="R651" s="1748"/>
      <c r="S651" s="541"/>
      <c r="T651" s="1748"/>
      <c r="U651" s="541"/>
      <c r="V651" s="1748"/>
      <c r="W651" s="541"/>
      <c r="X651" s="1748"/>
      <c r="Y651" s="1748"/>
      <c r="Z651" s="1748"/>
      <c r="AA651" s="541"/>
      <c r="AB651" s="1748"/>
      <c r="AC651" s="541"/>
      <c r="AD651" s="541"/>
      <c r="AE651" s="541"/>
      <c r="AF651" s="541"/>
      <c r="AG651" s="541"/>
      <c r="AH651" s="541"/>
      <c r="AI651" s="541"/>
      <c r="AJ651" s="541"/>
      <c r="AK651" s="541"/>
      <c r="AL651" s="541"/>
      <c r="AM651" s="541"/>
      <c r="AN651" s="1748"/>
      <c r="AO651" s="1748"/>
      <c r="AP651" s="1748"/>
      <c r="AQ651" s="1748"/>
      <c r="AR651" s="1748"/>
      <c r="AS651" s="541"/>
      <c r="AT651" s="541"/>
      <c r="AU651" s="541"/>
      <c r="AV651" s="541"/>
      <c r="AW651" s="541"/>
      <c r="AY651" s="541"/>
      <c r="AZ651" s="633"/>
      <c r="BA651" s="541"/>
      <c r="BB651" s="1190"/>
      <c r="BC651" s="541"/>
      <c r="BD651" s="1190"/>
      <c r="BE651" s="541"/>
      <c r="BF651" s="1190"/>
      <c r="BG651" s="541"/>
      <c r="BH651" s="1190"/>
      <c r="BI651" s="541"/>
      <c r="BJ651" s="1190"/>
      <c r="BK651" s="541"/>
      <c r="BL651" s="541"/>
      <c r="BM651" s="541"/>
      <c r="BP651" s="541"/>
      <c r="BQ651" s="633"/>
      <c r="BR651" s="541"/>
      <c r="BS651" s="541"/>
      <c r="BT651" s="541"/>
      <c r="BU651" s="541"/>
    </row>
    <row r="652" ht="15.75" customHeight="1">
      <c r="A652" s="1591"/>
      <c r="B652" s="1591"/>
      <c r="C652" s="2217"/>
      <c r="D652" s="1541"/>
      <c r="E652" s="906"/>
      <c r="F652" s="541"/>
      <c r="G652" s="541"/>
      <c r="H652" s="541"/>
      <c r="I652" s="541"/>
      <c r="J652" s="1748"/>
      <c r="K652" s="541"/>
      <c r="L652" s="1748"/>
      <c r="M652" s="541"/>
      <c r="N652" s="1748"/>
      <c r="O652" s="541"/>
      <c r="P652" s="1748"/>
      <c r="Q652" s="541"/>
      <c r="R652" s="1748"/>
      <c r="S652" s="541"/>
      <c r="T652" s="1748"/>
      <c r="U652" s="541"/>
      <c r="V652" s="1748"/>
      <c r="W652" s="541"/>
      <c r="X652" s="1748"/>
      <c r="Y652" s="1748"/>
      <c r="Z652" s="1748"/>
      <c r="AA652" s="541"/>
      <c r="AB652" s="1748"/>
      <c r="AC652" s="541"/>
      <c r="AD652" s="541"/>
      <c r="AE652" s="541"/>
      <c r="AF652" s="541"/>
      <c r="AG652" s="541"/>
      <c r="AH652" s="541"/>
      <c r="AI652" s="541"/>
      <c r="AJ652" s="541"/>
      <c r="AK652" s="541"/>
      <c r="AL652" s="541"/>
      <c r="AM652" s="541"/>
      <c r="AN652" s="1748"/>
      <c r="AO652" s="1748"/>
      <c r="AP652" s="1748"/>
      <c r="AQ652" s="1748"/>
      <c r="AR652" s="1748"/>
      <c r="AS652" s="541"/>
      <c r="AT652" s="541"/>
      <c r="AU652" s="541"/>
      <c r="AV652" s="541"/>
      <c r="AW652" s="541"/>
      <c r="AY652" s="541"/>
      <c r="AZ652" s="633"/>
      <c r="BA652" s="541"/>
      <c r="BB652" s="1190"/>
      <c r="BC652" s="541"/>
      <c r="BD652" s="1190"/>
      <c r="BE652" s="541"/>
      <c r="BF652" s="1190"/>
      <c r="BG652" s="541"/>
      <c r="BH652" s="1190"/>
      <c r="BI652" s="541"/>
      <c r="BJ652" s="1190"/>
      <c r="BK652" s="541"/>
      <c r="BL652" s="541"/>
      <c r="BM652" s="541"/>
      <c r="BP652" s="541"/>
      <c r="BQ652" s="633"/>
      <c r="BR652" s="541"/>
      <c r="BS652" s="541"/>
      <c r="BT652" s="541"/>
      <c r="BU652" s="541"/>
    </row>
    <row r="653" ht="15.75" customHeight="1">
      <c r="A653" s="1591"/>
      <c r="B653" s="1591"/>
      <c r="C653" s="2217"/>
      <c r="D653" s="1541"/>
      <c r="E653" s="906"/>
      <c r="F653" s="541"/>
      <c r="G653" s="541"/>
      <c r="H653" s="541"/>
      <c r="I653" s="541"/>
      <c r="J653" s="1748"/>
      <c r="K653" s="541"/>
      <c r="L653" s="1748"/>
      <c r="M653" s="541"/>
      <c r="N653" s="1748"/>
      <c r="O653" s="541"/>
      <c r="P653" s="1748"/>
      <c r="Q653" s="541"/>
      <c r="R653" s="1748"/>
      <c r="S653" s="541"/>
      <c r="T653" s="1748"/>
      <c r="U653" s="541"/>
      <c r="V653" s="1748"/>
      <c r="W653" s="541"/>
      <c r="X653" s="1748"/>
      <c r="Y653" s="1748"/>
      <c r="Z653" s="1748"/>
      <c r="AA653" s="541"/>
      <c r="AB653" s="1748"/>
      <c r="AC653" s="541"/>
      <c r="AD653" s="541"/>
      <c r="AE653" s="541"/>
      <c r="AF653" s="541"/>
      <c r="AG653" s="541"/>
      <c r="AH653" s="541"/>
      <c r="AI653" s="541"/>
      <c r="AJ653" s="541"/>
      <c r="AK653" s="541"/>
      <c r="AL653" s="541"/>
      <c r="AM653" s="541"/>
      <c r="AN653" s="1748"/>
      <c r="AO653" s="1748"/>
      <c r="AP653" s="1748"/>
      <c r="AQ653" s="1748"/>
      <c r="AR653" s="1748"/>
      <c r="AS653" s="541"/>
      <c r="AT653" s="541"/>
      <c r="AU653" s="541"/>
      <c r="AV653" s="541"/>
      <c r="AW653" s="541"/>
      <c r="AY653" s="541"/>
      <c r="AZ653" s="633"/>
      <c r="BA653" s="541"/>
      <c r="BB653" s="1190"/>
      <c r="BC653" s="541"/>
      <c r="BD653" s="1190"/>
      <c r="BE653" s="541"/>
      <c r="BF653" s="1190"/>
      <c r="BG653" s="541"/>
      <c r="BH653" s="1190"/>
      <c r="BI653" s="541"/>
      <c r="BJ653" s="1190"/>
      <c r="BK653" s="541"/>
      <c r="BL653" s="541"/>
      <c r="BM653" s="541"/>
      <c r="BP653" s="541"/>
      <c r="BQ653" s="633"/>
      <c r="BR653" s="541"/>
      <c r="BS653" s="541"/>
      <c r="BT653" s="541"/>
      <c r="BU653" s="541"/>
    </row>
    <row r="654" ht="15.75" customHeight="1">
      <c r="A654" s="1591"/>
      <c r="B654" s="1591"/>
      <c r="C654" s="2217"/>
      <c r="D654" s="1541"/>
      <c r="E654" s="906"/>
      <c r="F654" s="541"/>
      <c r="G654" s="541"/>
      <c r="H654" s="541"/>
      <c r="I654" s="541"/>
      <c r="J654" s="1748"/>
      <c r="K654" s="541"/>
      <c r="L654" s="1748"/>
      <c r="M654" s="541"/>
      <c r="N654" s="1748"/>
      <c r="O654" s="541"/>
      <c r="P654" s="1748"/>
      <c r="Q654" s="541"/>
      <c r="R654" s="1748"/>
      <c r="S654" s="541"/>
      <c r="T654" s="1748"/>
      <c r="U654" s="541"/>
      <c r="V654" s="1748"/>
      <c r="W654" s="541"/>
      <c r="X654" s="1748"/>
      <c r="Y654" s="1748"/>
      <c r="Z654" s="1748"/>
      <c r="AA654" s="541"/>
      <c r="AB654" s="1748"/>
      <c r="AC654" s="541"/>
      <c r="AD654" s="541"/>
      <c r="AE654" s="541"/>
      <c r="AF654" s="541"/>
      <c r="AG654" s="541"/>
      <c r="AH654" s="541"/>
      <c r="AI654" s="541"/>
      <c r="AJ654" s="541"/>
      <c r="AK654" s="541"/>
      <c r="AL654" s="541"/>
      <c r="AM654" s="541"/>
      <c r="AN654" s="1748"/>
      <c r="AO654" s="1748"/>
      <c r="AP654" s="1748"/>
      <c r="AQ654" s="1748"/>
      <c r="AR654" s="1748"/>
      <c r="AS654" s="541"/>
      <c r="AT654" s="541"/>
      <c r="AU654" s="541"/>
      <c r="AV654" s="541"/>
      <c r="AW654" s="541"/>
      <c r="AY654" s="541"/>
      <c r="AZ654" s="633"/>
      <c r="BA654" s="541"/>
      <c r="BB654" s="1190"/>
      <c r="BC654" s="541"/>
      <c r="BD654" s="1190"/>
      <c r="BE654" s="541"/>
      <c r="BF654" s="1190"/>
      <c r="BG654" s="541"/>
      <c r="BH654" s="1190"/>
      <c r="BI654" s="541"/>
      <c r="BJ654" s="1190"/>
      <c r="BK654" s="541"/>
      <c r="BL654" s="541"/>
      <c r="BM654" s="541"/>
      <c r="BP654" s="541"/>
      <c r="BQ654" s="633"/>
      <c r="BR654" s="541"/>
      <c r="BS654" s="541"/>
      <c r="BT654" s="541"/>
      <c r="BU654" s="541"/>
    </row>
    <row r="655" ht="15.75" customHeight="1">
      <c r="A655" s="1591"/>
      <c r="B655" s="1591"/>
      <c r="C655" s="2217"/>
      <c r="D655" s="1541"/>
      <c r="E655" s="906"/>
      <c r="F655" s="541"/>
      <c r="G655" s="541"/>
      <c r="H655" s="541"/>
      <c r="I655" s="541"/>
      <c r="J655" s="1748"/>
      <c r="K655" s="541"/>
      <c r="L655" s="1748"/>
      <c r="M655" s="541"/>
      <c r="N655" s="1748"/>
      <c r="O655" s="541"/>
      <c r="P655" s="1748"/>
      <c r="Q655" s="541"/>
      <c r="R655" s="1748"/>
      <c r="S655" s="541"/>
      <c r="T655" s="1748"/>
      <c r="U655" s="541"/>
      <c r="V655" s="1748"/>
      <c r="W655" s="541"/>
      <c r="X655" s="1748"/>
      <c r="Y655" s="1748"/>
      <c r="Z655" s="1748"/>
      <c r="AA655" s="541"/>
      <c r="AB655" s="1748"/>
      <c r="AC655" s="541"/>
      <c r="AD655" s="541"/>
      <c r="AE655" s="541"/>
      <c r="AF655" s="541"/>
      <c r="AG655" s="541"/>
      <c r="AH655" s="541"/>
      <c r="AI655" s="541"/>
      <c r="AJ655" s="541"/>
      <c r="AK655" s="541"/>
      <c r="AL655" s="541"/>
      <c r="AM655" s="541"/>
      <c r="AN655" s="1748"/>
      <c r="AO655" s="1748"/>
      <c r="AP655" s="1748"/>
      <c r="AQ655" s="1748"/>
      <c r="AR655" s="1748"/>
      <c r="AS655" s="541"/>
      <c r="AT655" s="541"/>
      <c r="AU655" s="541"/>
      <c r="AV655" s="541"/>
      <c r="AW655" s="541"/>
      <c r="AY655" s="541"/>
      <c r="AZ655" s="633"/>
      <c r="BA655" s="541"/>
      <c r="BB655" s="1190"/>
      <c r="BC655" s="541"/>
      <c r="BD655" s="1190"/>
      <c r="BE655" s="541"/>
      <c r="BF655" s="1190"/>
      <c r="BG655" s="541"/>
      <c r="BH655" s="1190"/>
      <c r="BI655" s="541"/>
      <c r="BJ655" s="1190"/>
      <c r="BK655" s="541"/>
      <c r="BL655" s="541"/>
      <c r="BM655" s="541"/>
      <c r="BP655" s="541"/>
      <c r="BQ655" s="633"/>
      <c r="BR655" s="541"/>
      <c r="BS655" s="541"/>
      <c r="BT655" s="541"/>
      <c r="BU655" s="541"/>
    </row>
    <row r="656" ht="15.75" customHeight="1">
      <c r="A656" s="1591"/>
      <c r="B656" s="1591"/>
      <c r="C656" s="2217"/>
      <c r="D656" s="1541"/>
      <c r="E656" s="906"/>
      <c r="F656" s="541"/>
      <c r="G656" s="541"/>
      <c r="H656" s="541"/>
      <c r="I656" s="541"/>
      <c r="J656" s="1748"/>
      <c r="K656" s="541"/>
      <c r="L656" s="1748"/>
      <c r="M656" s="541"/>
      <c r="N656" s="1748"/>
      <c r="O656" s="541"/>
      <c r="P656" s="1748"/>
      <c r="Q656" s="541"/>
      <c r="R656" s="1748"/>
      <c r="S656" s="541"/>
      <c r="T656" s="1748"/>
      <c r="U656" s="541"/>
      <c r="V656" s="1748"/>
      <c r="W656" s="541"/>
      <c r="X656" s="1748"/>
      <c r="Y656" s="1748"/>
      <c r="Z656" s="1748"/>
      <c r="AA656" s="541"/>
      <c r="AB656" s="1748"/>
      <c r="AC656" s="541"/>
      <c r="AD656" s="541"/>
      <c r="AE656" s="541"/>
      <c r="AF656" s="541"/>
      <c r="AG656" s="541"/>
      <c r="AH656" s="541"/>
      <c r="AI656" s="541"/>
      <c r="AJ656" s="541"/>
      <c r="AK656" s="541"/>
      <c r="AL656" s="541"/>
      <c r="AM656" s="541"/>
      <c r="AN656" s="1748"/>
      <c r="AO656" s="1748"/>
      <c r="AP656" s="1748"/>
      <c r="AQ656" s="1748"/>
      <c r="AR656" s="1748"/>
      <c r="AS656" s="541"/>
      <c r="AT656" s="541"/>
      <c r="AU656" s="541"/>
      <c r="AV656" s="541"/>
      <c r="AW656" s="541"/>
      <c r="AY656" s="541"/>
      <c r="AZ656" s="633"/>
      <c r="BA656" s="541"/>
      <c r="BB656" s="1190"/>
      <c r="BC656" s="541"/>
      <c r="BD656" s="1190"/>
      <c r="BE656" s="541"/>
      <c r="BF656" s="1190"/>
      <c r="BG656" s="541"/>
      <c r="BH656" s="1190"/>
      <c r="BI656" s="541"/>
      <c r="BJ656" s="1190"/>
      <c r="BK656" s="541"/>
      <c r="BL656" s="541"/>
      <c r="BM656" s="541"/>
      <c r="BP656" s="541"/>
      <c r="BQ656" s="633"/>
      <c r="BR656" s="541"/>
      <c r="BS656" s="541"/>
      <c r="BT656" s="541"/>
      <c r="BU656" s="541"/>
    </row>
    <row r="657" ht="15.75" customHeight="1">
      <c r="A657" s="1591"/>
      <c r="B657" s="1591"/>
      <c r="C657" s="2217"/>
      <c r="D657" s="1541"/>
      <c r="E657" s="906"/>
      <c r="F657" s="541"/>
      <c r="G657" s="541"/>
      <c r="H657" s="541"/>
      <c r="I657" s="541"/>
      <c r="J657" s="1748"/>
      <c r="K657" s="541"/>
      <c r="L657" s="1748"/>
      <c r="M657" s="541"/>
      <c r="N657" s="1748"/>
      <c r="O657" s="541"/>
      <c r="P657" s="1748"/>
      <c r="Q657" s="541"/>
      <c r="R657" s="1748"/>
      <c r="S657" s="541"/>
      <c r="T657" s="1748"/>
      <c r="U657" s="541"/>
      <c r="V657" s="1748"/>
      <c r="W657" s="541"/>
      <c r="X657" s="1748"/>
      <c r="Y657" s="1748"/>
      <c r="Z657" s="1748"/>
      <c r="AA657" s="541"/>
      <c r="AB657" s="1748"/>
      <c r="AC657" s="541"/>
      <c r="AD657" s="541"/>
      <c r="AE657" s="541"/>
      <c r="AF657" s="541"/>
      <c r="AG657" s="541"/>
      <c r="AH657" s="541"/>
      <c r="AI657" s="541"/>
      <c r="AJ657" s="541"/>
      <c r="AK657" s="541"/>
      <c r="AL657" s="541"/>
      <c r="AM657" s="541"/>
      <c r="AN657" s="1748"/>
      <c r="AO657" s="1748"/>
      <c r="AP657" s="1748"/>
      <c r="AQ657" s="1748"/>
      <c r="AR657" s="1748"/>
      <c r="AS657" s="541"/>
      <c r="AT657" s="541"/>
      <c r="AU657" s="541"/>
      <c r="AV657" s="541"/>
      <c r="AW657" s="541"/>
      <c r="AY657" s="541"/>
      <c r="AZ657" s="633"/>
      <c r="BA657" s="541"/>
      <c r="BB657" s="1190"/>
      <c r="BC657" s="541"/>
      <c r="BD657" s="1190"/>
      <c r="BE657" s="541"/>
      <c r="BF657" s="1190"/>
      <c r="BG657" s="541"/>
      <c r="BH657" s="1190"/>
      <c r="BI657" s="541"/>
      <c r="BJ657" s="1190"/>
      <c r="BK657" s="541"/>
      <c r="BL657" s="541"/>
      <c r="BM657" s="541"/>
      <c r="BP657" s="541"/>
      <c r="BQ657" s="633"/>
      <c r="BR657" s="541"/>
      <c r="BS657" s="541"/>
      <c r="BT657" s="541"/>
      <c r="BU657" s="541"/>
    </row>
    <row r="658" ht="15.75" customHeight="1">
      <c r="A658" s="1591"/>
      <c r="B658" s="1591"/>
      <c r="C658" s="2217"/>
      <c r="D658" s="1541"/>
      <c r="E658" s="906"/>
      <c r="F658" s="541"/>
      <c r="G658" s="541"/>
      <c r="H658" s="541"/>
      <c r="I658" s="541"/>
      <c r="J658" s="1748"/>
      <c r="K658" s="541"/>
      <c r="L658" s="1748"/>
      <c r="M658" s="541"/>
      <c r="N658" s="1748"/>
      <c r="O658" s="541"/>
      <c r="P658" s="1748"/>
      <c r="Q658" s="541"/>
      <c r="R658" s="1748"/>
      <c r="S658" s="541"/>
      <c r="T658" s="1748"/>
      <c r="U658" s="541"/>
      <c r="V658" s="1748"/>
      <c r="W658" s="541"/>
      <c r="X658" s="1748"/>
      <c r="Y658" s="1748"/>
      <c r="Z658" s="1748"/>
      <c r="AA658" s="541"/>
      <c r="AB658" s="1748"/>
      <c r="AC658" s="541"/>
      <c r="AD658" s="541"/>
      <c r="AE658" s="541"/>
      <c r="AF658" s="541"/>
      <c r="AG658" s="541"/>
      <c r="AH658" s="541"/>
      <c r="AI658" s="541"/>
      <c r="AJ658" s="541"/>
      <c r="AK658" s="541"/>
      <c r="AL658" s="541"/>
      <c r="AM658" s="541"/>
      <c r="AN658" s="1748"/>
      <c r="AO658" s="1748"/>
      <c r="AP658" s="1748"/>
      <c r="AQ658" s="1748"/>
      <c r="AR658" s="1748"/>
      <c r="AS658" s="541"/>
      <c r="AT658" s="541"/>
      <c r="AU658" s="541"/>
      <c r="AV658" s="541"/>
      <c r="AW658" s="541"/>
      <c r="AY658" s="541"/>
      <c r="AZ658" s="633"/>
      <c r="BA658" s="541"/>
      <c r="BB658" s="1190"/>
      <c r="BC658" s="541"/>
      <c r="BD658" s="1190"/>
      <c r="BE658" s="541"/>
      <c r="BF658" s="1190"/>
      <c r="BG658" s="541"/>
      <c r="BH658" s="1190"/>
      <c r="BI658" s="541"/>
      <c r="BJ658" s="1190"/>
      <c r="BK658" s="541"/>
      <c r="BL658" s="541"/>
      <c r="BM658" s="541"/>
      <c r="BP658" s="541"/>
      <c r="BQ658" s="633"/>
      <c r="BR658" s="541"/>
      <c r="BS658" s="541"/>
      <c r="BT658" s="541"/>
      <c r="BU658" s="541"/>
    </row>
    <row r="659" ht="15.75" customHeight="1">
      <c r="A659" s="1591"/>
      <c r="B659" s="1591"/>
      <c r="C659" s="2217"/>
      <c r="D659" s="1541"/>
      <c r="E659" s="906"/>
      <c r="F659" s="541"/>
      <c r="G659" s="541"/>
      <c r="H659" s="541"/>
      <c r="I659" s="541"/>
      <c r="J659" s="1748"/>
      <c r="K659" s="541"/>
      <c r="L659" s="1748"/>
      <c r="M659" s="541"/>
      <c r="N659" s="1748"/>
      <c r="O659" s="541"/>
      <c r="P659" s="1748"/>
      <c r="Q659" s="541"/>
      <c r="R659" s="1748"/>
      <c r="S659" s="541"/>
      <c r="T659" s="1748"/>
      <c r="U659" s="541"/>
      <c r="V659" s="1748"/>
      <c r="W659" s="541"/>
      <c r="X659" s="1748"/>
      <c r="Y659" s="1748"/>
      <c r="Z659" s="1748"/>
      <c r="AA659" s="541"/>
      <c r="AB659" s="1748"/>
      <c r="AC659" s="541"/>
      <c r="AD659" s="541"/>
      <c r="AE659" s="541"/>
      <c r="AF659" s="541"/>
      <c r="AG659" s="541"/>
      <c r="AH659" s="541"/>
      <c r="AI659" s="541"/>
      <c r="AJ659" s="541"/>
      <c r="AK659" s="541"/>
      <c r="AL659" s="541"/>
      <c r="AM659" s="541"/>
      <c r="AN659" s="1748"/>
      <c r="AO659" s="1748"/>
      <c r="AP659" s="1748"/>
      <c r="AQ659" s="1748"/>
      <c r="AR659" s="1748"/>
      <c r="AS659" s="541"/>
      <c r="AT659" s="541"/>
      <c r="AU659" s="541"/>
      <c r="AV659" s="541"/>
      <c r="AW659" s="541"/>
      <c r="AY659" s="541"/>
      <c r="AZ659" s="633"/>
      <c r="BA659" s="541"/>
      <c r="BB659" s="1190"/>
      <c r="BC659" s="541"/>
      <c r="BD659" s="1190"/>
      <c r="BE659" s="541"/>
      <c r="BF659" s="1190"/>
      <c r="BG659" s="541"/>
      <c r="BH659" s="1190"/>
      <c r="BI659" s="541"/>
      <c r="BJ659" s="1190"/>
      <c r="BK659" s="541"/>
      <c r="BL659" s="541"/>
      <c r="BM659" s="541"/>
      <c r="BP659" s="541"/>
      <c r="BQ659" s="633"/>
      <c r="BR659" s="541"/>
      <c r="BS659" s="541"/>
      <c r="BT659" s="541"/>
      <c r="BU659" s="541"/>
    </row>
    <row r="660" ht="15.75" customHeight="1">
      <c r="A660" s="1591"/>
      <c r="B660" s="1591"/>
      <c r="C660" s="2217"/>
      <c r="D660" s="1541"/>
      <c r="E660" s="906"/>
      <c r="F660" s="541"/>
      <c r="G660" s="541"/>
      <c r="H660" s="541"/>
      <c r="I660" s="541"/>
      <c r="J660" s="1748"/>
      <c r="K660" s="541"/>
      <c r="L660" s="1748"/>
      <c r="M660" s="541"/>
      <c r="N660" s="1748"/>
      <c r="O660" s="541"/>
      <c r="P660" s="1748"/>
      <c r="Q660" s="541"/>
      <c r="R660" s="1748"/>
      <c r="S660" s="541"/>
      <c r="T660" s="1748"/>
      <c r="U660" s="541"/>
      <c r="V660" s="1748"/>
      <c r="W660" s="541"/>
      <c r="X660" s="1748"/>
      <c r="Y660" s="1748"/>
      <c r="Z660" s="1748"/>
      <c r="AA660" s="541"/>
      <c r="AB660" s="1748"/>
      <c r="AC660" s="541"/>
      <c r="AD660" s="541"/>
      <c r="AE660" s="541"/>
      <c r="AF660" s="541"/>
      <c r="AG660" s="541"/>
      <c r="AH660" s="541"/>
      <c r="AI660" s="541"/>
      <c r="AJ660" s="541"/>
      <c r="AK660" s="541"/>
      <c r="AL660" s="541"/>
      <c r="AM660" s="541"/>
      <c r="AN660" s="1748"/>
      <c r="AO660" s="1748"/>
      <c r="AP660" s="1748"/>
      <c r="AQ660" s="1748"/>
      <c r="AR660" s="1748"/>
      <c r="AS660" s="541"/>
      <c r="AT660" s="541"/>
      <c r="AU660" s="541"/>
      <c r="AV660" s="541"/>
      <c r="AW660" s="541"/>
      <c r="AY660" s="541"/>
      <c r="AZ660" s="633"/>
      <c r="BA660" s="541"/>
      <c r="BB660" s="1190"/>
      <c r="BC660" s="541"/>
      <c r="BD660" s="1190"/>
      <c r="BE660" s="541"/>
      <c r="BF660" s="1190"/>
      <c r="BG660" s="541"/>
      <c r="BH660" s="1190"/>
      <c r="BI660" s="541"/>
      <c r="BJ660" s="1190"/>
      <c r="BK660" s="541"/>
      <c r="BL660" s="541"/>
      <c r="BM660" s="541"/>
      <c r="BP660" s="541"/>
      <c r="BQ660" s="633"/>
      <c r="BR660" s="541"/>
      <c r="BS660" s="541"/>
      <c r="BT660" s="541"/>
      <c r="BU660" s="541"/>
    </row>
    <row r="661" ht="15.75" customHeight="1">
      <c r="A661" s="1591"/>
      <c r="B661" s="1591"/>
      <c r="C661" s="2217"/>
      <c r="D661" s="1541"/>
      <c r="E661" s="906"/>
      <c r="F661" s="541"/>
      <c r="G661" s="541"/>
      <c r="H661" s="541"/>
      <c r="I661" s="541"/>
      <c r="J661" s="1748"/>
      <c r="K661" s="541"/>
      <c r="L661" s="1748"/>
      <c r="M661" s="541"/>
      <c r="N661" s="1748"/>
      <c r="O661" s="541"/>
      <c r="P661" s="1748"/>
      <c r="Q661" s="541"/>
      <c r="R661" s="1748"/>
      <c r="S661" s="541"/>
      <c r="T661" s="1748"/>
      <c r="U661" s="541"/>
      <c r="V661" s="1748"/>
      <c r="W661" s="541"/>
      <c r="X661" s="1748"/>
      <c r="Y661" s="1748"/>
      <c r="Z661" s="1748"/>
      <c r="AA661" s="541"/>
      <c r="AB661" s="1748"/>
      <c r="AC661" s="541"/>
      <c r="AD661" s="541"/>
      <c r="AE661" s="541"/>
      <c r="AF661" s="541"/>
      <c r="AG661" s="541"/>
      <c r="AH661" s="541"/>
      <c r="AI661" s="541"/>
      <c r="AJ661" s="541"/>
      <c r="AK661" s="541"/>
      <c r="AL661" s="541"/>
      <c r="AM661" s="541"/>
      <c r="AN661" s="1748"/>
      <c r="AO661" s="1748"/>
      <c r="AP661" s="1748"/>
      <c r="AQ661" s="1748"/>
      <c r="AR661" s="1748"/>
      <c r="AS661" s="541"/>
      <c r="AT661" s="541"/>
      <c r="AU661" s="541"/>
      <c r="AV661" s="541"/>
      <c r="AW661" s="541"/>
      <c r="AY661" s="541"/>
      <c r="AZ661" s="633"/>
      <c r="BA661" s="541"/>
      <c r="BB661" s="1190"/>
      <c r="BC661" s="541"/>
      <c r="BD661" s="1190"/>
      <c r="BE661" s="541"/>
      <c r="BF661" s="1190"/>
      <c r="BG661" s="541"/>
      <c r="BH661" s="1190"/>
      <c r="BI661" s="541"/>
      <c r="BJ661" s="1190"/>
      <c r="BK661" s="541"/>
      <c r="BL661" s="541"/>
      <c r="BM661" s="541"/>
      <c r="BP661" s="541"/>
      <c r="BQ661" s="633"/>
      <c r="BR661" s="541"/>
      <c r="BS661" s="541"/>
      <c r="BT661" s="541"/>
      <c r="BU661" s="541"/>
    </row>
    <row r="662" ht="15.75" customHeight="1">
      <c r="A662" s="1591"/>
      <c r="B662" s="1591"/>
      <c r="C662" s="2217"/>
      <c r="D662" s="1541"/>
      <c r="E662" s="906"/>
      <c r="F662" s="541"/>
      <c r="G662" s="541"/>
      <c r="H662" s="541"/>
      <c r="I662" s="541"/>
      <c r="J662" s="1748"/>
      <c r="K662" s="541"/>
      <c r="L662" s="1748"/>
      <c r="M662" s="541"/>
      <c r="N662" s="1748"/>
      <c r="O662" s="541"/>
      <c r="P662" s="1748"/>
      <c r="Q662" s="541"/>
      <c r="R662" s="1748"/>
      <c r="S662" s="541"/>
      <c r="T662" s="1748"/>
      <c r="U662" s="541"/>
      <c r="V662" s="1748"/>
      <c r="W662" s="541"/>
      <c r="X662" s="1748"/>
      <c r="Y662" s="1748"/>
      <c r="Z662" s="1748"/>
      <c r="AA662" s="541"/>
      <c r="AB662" s="1748"/>
      <c r="AC662" s="541"/>
      <c r="AD662" s="541"/>
      <c r="AE662" s="541"/>
      <c r="AF662" s="541"/>
      <c r="AG662" s="541"/>
      <c r="AH662" s="541"/>
      <c r="AI662" s="541"/>
      <c r="AJ662" s="541"/>
      <c r="AK662" s="541"/>
      <c r="AL662" s="541"/>
      <c r="AM662" s="541"/>
      <c r="AN662" s="1748"/>
      <c r="AO662" s="1748"/>
      <c r="AP662" s="1748"/>
      <c r="AQ662" s="1748"/>
      <c r="AR662" s="1748"/>
      <c r="AS662" s="541"/>
      <c r="AT662" s="541"/>
      <c r="AU662" s="541"/>
      <c r="AV662" s="541"/>
      <c r="AW662" s="541"/>
      <c r="AY662" s="541"/>
      <c r="AZ662" s="633"/>
      <c r="BA662" s="541"/>
      <c r="BB662" s="1190"/>
      <c r="BC662" s="541"/>
      <c r="BD662" s="1190"/>
      <c r="BE662" s="541"/>
      <c r="BF662" s="1190"/>
      <c r="BG662" s="541"/>
      <c r="BH662" s="1190"/>
      <c r="BI662" s="541"/>
      <c r="BJ662" s="1190"/>
      <c r="BK662" s="541"/>
      <c r="BL662" s="541"/>
      <c r="BM662" s="541"/>
      <c r="BP662" s="541"/>
      <c r="BQ662" s="633"/>
      <c r="BR662" s="541"/>
      <c r="BS662" s="541"/>
      <c r="BT662" s="541"/>
      <c r="BU662" s="541"/>
    </row>
    <row r="663" ht="15.75" customHeight="1">
      <c r="A663" s="1591"/>
      <c r="B663" s="1591"/>
      <c r="C663" s="2217"/>
      <c r="D663" s="1541"/>
      <c r="E663" s="906"/>
      <c r="F663" s="541"/>
      <c r="G663" s="541"/>
      <c r="H663" s="541"/>
      <c r="I663" s="541"/>
      <c r="J663" s="1748"/>
      <c r="K663" s="541"/>
      <c r="L663" s="1748"/>
      <c r="M663" s="541"/>
      <c r="N663" s="1748"/>
      <c r="O663" s="541"/>
      <c r="P663" s="1748"/>
      <c r="Q663" s="541"/>
      <c r="R663" s="1748"/>
      <c r="S663" s="541"/>
      <c r="T663" s="1748"/>
      <c r="U663" s="541"/>
      <c r="V663" s="1748"/>
      <c r="W663" s="541"/>
      <c r="X663" s="1748"/>
      <c r="Y663" s="1748"/>
      <c r="Z663" s="1748"/>
      <c r="AA663" s="541"/>
      <c r="AB663" s="1748"/>
      <c r="AC663" s="541"/>
      <c r="AD663" s="541"/>
      <c r="AE663" s="541"/>
      <c r="AF663" s="541"/>
      <c r="AG663" s="541"/>
      <c r="AH663" s="541"/>
      <c r="AI663" s="541"/>
      <c r="AJ663" s="541"/>
      <c r="AK663" s="541"/>
      <c r="AL663" s="541"/>
      <c r="AM663" s="541"/>
      <c r="AN663" s="1748"/>
      <c r="AO663" s="1748"/>
      <c r="AP663" s="1748"/>
      <c r="AQ663" s="1748"/>
      <c r="AR663" s="1748"/>
      <c r="AS663" s="541"/>
      <c r="AT663" s="541"/>
      <c r="AU663" s="541"/>
      <c r="AV663" s="541"/>
      <c r="AW663" s="541"/>
      <c r="AY663" s="541"/>
      <c r="AZ663" s="633"/>
      <c r="BA663" s="541"/>
      <c r="BB663" s="1190"/>
      <c r="BC663" s="541"/>
      <c r="BD663" s="1190"/>
      <c r="BE663" s="541"/>
      <c r="BF663" s="1190"/>
      <c r="BG663" s="541"/>
      <c r="BH663" s="1190"/>
      <c r="BI663" s="541"/>
      <c r="BJ663" s="1190"/>
      <c r="BK663" s="541"/>
      <c r="BL663" s="541"/>
      <c r="BM663" s="541"/>
      <c r="BP663" s="541"/>
      <c r="BQ663" s="633"/>
      <c r="BR663" s="541"/>
      <c r="BS663" s="541"/>
      <c r="BT663" s="541"/>
      <c r="BU663" s="541"/>
    </row>
    <row r="664" ht="15.75" customHeight="1">
      <c r="A664" s="1591"/>
      <c r="B664" s="1591"/>
      <c r="C664" s="2217"/>
      <c r="D664" s="1541"/>
      <c r="E664" s="906"/>
      <c r="F664" s="541"/>
      <c r="G664" s="541"/>
      <c r="H664" s="541"/>
      <c r="I664" s="541"/>
      <c r="J664" s="1748"/>
      <c r="K664" s="541"/>
      <c r="L664" s="1748"/>
      <c r="M664" s="541"/>
      <c r="N664" s="1748"/>
      <c r="O664" s="541"/>
      <c r="P664" s="1748"/>
      <c r="Q664" s="541"/>
      <c r="R664" s="1748"/>
      <c r="S664" s="541"/>
      <c r="T664" s="1748"/>
      <c r="U664" s="541"/>
      <c r="V664" s="1748"/>
      <c r="W664" s="541"/>
      <c r="X664" s="1748"/>
      <c r="Y664" s="1748"/>
      <c r="Z664" s="1748"/>
      <c r="AA664" s="541"/>
      <c r="AB664" s="1748"/>
      <c r="AC664" s="541"/>
      <c r="AD664" s="541"/>
      <c r="AE664" s="541"/>
      <c r="AF664" s="541"/>
      <c r="AG664" s="541"/>
      <c r="AH664" s="541"/>
      <c r="AI664" s="541"/>
      <c r="AJ664" s="541"/>
      <c r="AK664" s="541"/>
      <c r="AL664" s="541"/>
      <c r="AM664" s="541"/>
      <c r="AN664" s="1748"/>
      <c r="AO664" s="1748"/>
      <c r="AP664" s="1748"/>
      <c r="AQ664" s="1748"/>
      <c r="AR664" s="1748"/>
      <c r="AS664" s="541"/>
      <c r="AT664" s="541"/>
      <c r="AU664" s="541"/>
      <c r="AV664" s="541"/>
      <c r="AW664" s="541"/>
      <c r="AY664" s="541"/>
      <c r="AZ664" s="633"/>
      <c r="BA664" s="541"/>
      <c r="BB664" s="1190"/>
      <c r="BC664" s="541"/>
      <c r="BD664" s="1190"/>
      <c r="BE664" s="541"/>
      <c r="BF664" s="1190"/>
      <c r="BG664" s="541"/>
      <c r="BH664" s="1190"/>
      <c r="BI664" s="541"/>
      <c r="BJ664" s="1190"/>
      <c r="BK664" s="541"/>
      <c r="BL664" s="541"/>
      <c r="BM664" s="541"/>
      <c r="BP664" s="541"/>
      <c r="BQ664" s="633"/>
      <c r="BR664" s="541"/>
      <c r="BS664" s="541"/>
      <c r="BT664" s="541"/>
      <c r="BU664" s="541"/>
    </row>
    <row r="665" ht="15.75" customHeight="1">
      <c r="A665" s="1591"/>
      <c r="B665" s="1591"/>
      <c r="C665" s="2217"/>
      <c r="D665" s="1541"/>
      <c r="E665" s="906"/>
      <c r="F665" s="541"/>
      <c r="G665" s="541"/>
      <c r="H665" s="541"/>
      <c r="I665" s="541"/>
      <c r="J665" s="1748"/>
      <c r="K665" s="541"/>
      <c r="L665" s="1748"/>
      <c r="M665" s="541"/>
      <c r="N665" s="1748"/>
      <c r="O665" s="541"/>
      <c r="P665" s="1748"/>
      <c r="Q665" s="541"/>
      <c r="R665" s="1748"/>
      <c r="S665" s="541"/>
      <c r="T665" s="1748"/>
      <c r="U665" s="541"/>
      <c r="V665" s="1748"/>
      <c r="W665" s="541"/>
      <c r="X665" s="1748"/>
      <c r="Y665" s="1748"/>
      <c r="Z665" s="1748"/>
      <c r="AA665" s="541"/>
      <c r="AB665" s="1748"/>
      <c r="AC665" s="541"/>
      <c r="AD665" s="541"/>
      <c r="AE665" s="541"/>
      <c r="AF665" s="541"/>
      <c r="AG665" s="541"/>
      <c r="AH665" s="541"/>
      <c r="AI665" s="541"/>
      <c r="AJ665" s="541"/>
      <c r="AK665" s="541"/>
      <c r="AL665" s="541"/>
      <c r="AM665" s="541"/>
      <c r="AN665" s="1748"/>
      <c r="AO665" s="1748"/>
      <c r="AP665" s="1748"/>
      <c r="AQ665" s="1748"/>
      <c r="AR665" s="1748"/>
      <c r="AS665" s="541"/>
      <c r="AT665" s="541"/>
      <c r="AU665" s="541"/>
      <c r="AV665" s="541"/>
      <c r="AW665" s="541"/>
      <c r="AY665" s="541"/>
      <c r="AZ665" s="633"/>
      <c r="BA665" s="541"/>
      <c r="BB665" s="1190"/>
      <c r="BC665" s="541"/>
      <c r="BD665" s="1190"/>
      <c r="BE665" s="541"/>
      <c r="BF665" s="1190"/>
      <c r="BG665" s="541"/>
      <c r="BH665" s="1190"/>
      <c r="BI665" s="541"/>
      <c r="BJ665" s="1190"/>
      <c r="BK665" s="541"/>
      <c r="BL665" s="541"/>
      <c r="BM665" s="541"/>
      <c r="BP665" s="541"/>
      <c r="BQ665" s="633"/>
      <c r="BR665" s="541"/>
      <c r="BS665" s="541"/>
      <c r="BT665" s="541"/>
      <c r="BU665" s="541"/>
    </row>
    <row r="666" ht="15.75" customHeight="1">
      <c r="A666" s="1591"/>
      <c r="B666" s="1591"/>
      <c r="C666" s="2217"/>
      <c r="D666" s="1541"/>
      <c r="E666" s="906"/>
      <c r="F666" s="541"/>
      <c r="G666" s="541"/>
      <c r="H666" s="541"/>
      <c r="I666" s="541"/>
      <c r="J666" s="1748"/>
      <c r="K666" s="541"/>
      <c r="L666" s="1748"/>
      <c r="M666" s="541"/>
      <c r="N666" s="1748"/>
      <c r="O666" s="541"/>
      <c r="P666" s="1748"/>
      <c r="Q666" s="541"/>
      <c r="R666" s="1748"/>
      <c r="S666" s="541"/>
      <c r="T666" s="1748"/>
      <c r="U666" s="541"/>
      <c r="V666" s="1748"/>
      <c r="W666" s="541"/>
      <c r="X666" s="1748"/>
      <c r="Y666" s="1748"/>
      <c r="Z666" s="1748"/>
      <c r="AA666" s="541"/>
      <c r="AB666" s="1748"/>
      <c r="AC666" s="541"/>
      <c r="AD666" s="541"/>
      <c r="AE666" s="541"/>
      <c r="AF666" s="541"/>
      <c r="AG666" s="541"/>
      <c r="AH666" s="541"/>
      <c r="AI666" s="541"/>
      <c r="AJ666" s="541"/>
      <c r="AK666" s="541"/>
      <c r="AL666" s="541"/>
      <c r="AM666" s="541"/>
      <c r="AN666" s="1748"/>
      <c r="AO666" s="1748"/>
      <c r="AP666" s="1748"/>
      <c r="AQ666" s="1748"/>
      <c r="AR666" s="1748"/>
      <c r="AS666" s="541"/>
      <c r="AT666" s="541"/>
      <c r="AU666" s="541"/>
      <c r="AV666" s="541"/>
      <c r="AW666" s="541"/>
      <c r="AY666" s="541"/>
      <c r="AZ666" s="633"/>
      <c r="BA666" s="541"/>
      <c r="BB666" s="1190"/>
      <c r="BC666" s="541"/>
      <c r="BD666" s="1190"/>
      <c r="BE666" s="541"/>
      <c r="BF666" s="1190"/>
      <c r="BG666" s="541"/>
      <c r="BH666" s="1190"/>
      <c r="BI666" s="541"/>
      <c r="BJ666" s="1190"/>
      <c r="BK666" s="541"/>
      <c r="BL666" s="541"/>
      <c r="BM666" s="541"/>
      <c r="BP666" s="541"/>
      <c r="BQ666" s="633"/>
      <c r="BR666" s="541"/>
      <c r="BS666" s="541"/>
      <c r="BT666" s="541"/>
      <c r="BU666" s="541"/>
    </row>
    <row r="667" ht="15.75" customHeight="1">
      <c r="A667" s="1591"/>
      <c r="B667" s="1591"/>
      <c r="C667" s="2217"/>
      <c r="D667" s="1541"/>
      <c r="E667" s="906"/>
      <c r="F667" s="541"/>
      <c r="G667" s="541"/>
      <c r="H667" s="541"/>
      <c r="I667" s="541"/>
      <c r="J667" s="1748"/>
      <c r="K667" s="541"/>
      <c r="L667" s="1748"/>
      <c r="M667" s="541"/>
      <c r="N667" s="1748"/>
      <c r="O667" s="541"/>
      <c r="P667" s="1748"/>
      <c r="Q667" s="541"/>
      <c r="R667" s="1748"/>
      <c r="S667" s="541"/>
      <c r="T667" s="1748"/>
      <c r="U667" s="541"/>
      <c r="V667" s="1748"/>
      <c r="W667" s="541"/>
      <c r="X667" s="1748"/>
      <c r="Y667" s="1748"/>
      <c r="Z667" s="1748"/>
      <c r="AA667" s="541"/>
      <c r="AB667" s="1748"/>
      <c r="AC667" s="541"/>
      <c r="AD667" s="541"/>
      <c r="AE667" s="541"/>
      <c r="AF667" s="541"/>
      <c r="AG667" s="541"/>
      <c r="AH667" s="541"/>
      <c r="AI667" s="541"/>
      <c r="AJ667" s="541"/>
      <c r="AK667" s="541"/>
      <c r="AL667" s="541"/>
      <c r="AM667" s="541"/>
      <c r="AN667" s="1748"/>
      <c r="AO667" s="1748"/>
      <c r="AP667" s="1748"/>
      <c r="AQ667" s="1748"/>
      <c r="AR667" s="1748"/>
      <c r="AS667" s="541"/>
      <c r="AT667" s="541"/>
      <c r="AU667" s="541"/>
      <c r="AV667" s="541"/>
      <c r="AW667" s="541"/>
      <c r="AY667" s="541"/>
      <c r="AZ667" s="633"/>
      <c r="BA667" s="541"/>
      <c r="BB667" s="1190"/>
      <c r="BC667" s="541"/>
      <c r="BD667" s="1190"/>
      <c r="BE667" s="541"/>
      <c r="BF667" s="1190"/>
      <c r="BG667" s="541"/>
      <c r="BH667" s="1190"/>
      <c r="BI667" s="541"/>
      <c r="BJ667" s="1190"/>
      <c r="BK667" s="541"/>
      <c r="BL667" s="541"/>
      <c r="BM667" s="541"/>
      <c r="BP667" s="541"/>
      <c r="BQ667" s="633"/>
      <c r="BR667" s="541"/>
      <c r="BS667" s="541"/>
      <c r="BT667" s="541"/>
      <c r="BU667" s="541"/>
    </row>
    <row r="668" ht="15.75" customHeight="1">
      <c r="A668" s="1591"/>
      <c r="B668" s="1591"/>
      <c r="C668" s="2217"/>
      <c r="D668" s="1541"/>
      <c r="E668" s="906"/>
      <c r="F668" s="541"/>
      <c r="G668" s="541"/>
      <c r="H668" s="541"/>
      <c r="I668" s="541"/>
      <c r="J668" s="1748"/>
      <c r="K668" s="541"/>
      <c r="L668" s="1748"/>
      <c r="M668" s="541"/>
      <c r="N668" s="1748"/>
      <c r="O668" s="541"/>
      <c r="P668" s="1748"/>
      <c r="Q668" s="541"/>
      <c r="R668" s="1748"/>
      <c r="S668" s="541"/>
      <c r="T668" s="1748"/>
      <c r="U668" s="541"/>
      <c r="V668" s="1748"/>
      <c r="W668" s="541"/>
      <c r="X668" s="1748"/>
      <c r="Y668" s="1748"/>
      <c r="Z668" s="1748"/>
      <c r="AA668" s="541"/>
      <c r="AB668" s="1748"/>
      <c r="AC668" s="541"/>
      <c r="AD668" s="541"/>
      <c r="AE668" s="541"/>
      <c r="AF668" s="541"/>
      <c r="AG668" s="541"/>
      <c r="AH668" s="541"/>
      <c r="AI668" s="541"/>
      <c r="AJ668" s="541"/>
      <c r="AK668" s="541"/>
      <c r="AL668" s="541"/>
      <c r="AM668" s="541"/>
      <c r="AN668" s="1748"/>
      <c r="AO668" s="1748"/>
      <c r="AP668" s="1748"/>
      <c r="AQ668" s="1748"/>
      <c r="AR668" s="1748"/>
      <c r="AS668" s="541"/>
      <c r="AT668" s="541"/>
      <c r="AU668" s="541"/>
      <c r="AV668" s="541"/>
      <c r="AW668" s="541"/>
      <c r="AY668" s="541"/>
      <c r="AZ668" s="633"/>
      <c r="BA668" s="541"/>
      <c r="BB668" s="1190"/>
      <c r="BC668" s="541"/>
      <c r="BD668" s="1190"/>
      <c r="BE668" s="541"/>
      <c r="BF668" s="1190"/>
      <c r="BG668" s="541"/>
      <c r="BH668" s="1190"/>
      <c r="BI668" s="541"/>
      <c r="BJ668" s="1190"/>
      <c r="BK668" s="541"/>
      <c r="BL668" s="541"/>
      <c r="BM668" s="541"/>
      <c r="BP668" s="541"/>
      <c r="BQ668" s="633"/>
      <c r="BR668" s="541"/>
      <c r="BS668" s="541"/>
      <c r="BT668" s="541"/>
      <c r="BU668" s="541"/>
    </row>
    <row r="669" ht="15.75" customHeight="1">
      <c r="A669" s="1591"/>
      <c r="B669" s="1591"/>
      <c r="C669" s="2217"/>
      <c r="D669" s="1541"/>
      <c r="E669" s="906"/>
      <c r="F669" s="541"/>
      <c r="G669" s="541"/>
      <c r="H669" s="541"/>
      <c r="I669" s="541"/>
      <c r="J669" s="1748"/>
      <c r="K669" s="541"/>
      <c r="L669" s="1748"/>
      <c r="M669" s="541"/>
      <c r="N669" s="1748"/>
      <c r="O669" s="541"/>
      <c r="P669" s="1748"/>
      <c r="Q669" s="541"/>
      <c r="R669" s="1748"/>
      <c r="S669" s="541"/>
      <c r="T669" s="1748"/>
      <c r="U669" s="541"/>
      <c r="V669" s="1748"/>
      <c r="W669" s="541"/>
      <c r="X669" s="1748"/>
      <c r="Y669" s="1748"/>
      <c r="Z669" s="1748"/>
      <c r="AA669" s="541"/>
      <c r="AB669" s="1748"/>
      <c r="AC669" s="541"/>
      <c r="AD669" s="541"/>
      <c r="AE669" s="541"/>
      <c r="AF669" s="541"/>
      <c r="AG669" s="541"/>
      <c r="AH669" s="541"/>
      <c r="AI669" s="541"/>
      <c r="AJ669" s="541"/>
      <c r="AK669" s="541"/>
      <c r="AL669" s="541"/>
      <c r="AM669" s="541"/>
      <c r="AN669" s="1748"/>
      <c r="AO669" s="1748"/>
      <c r="AP669" s="1748"/>
      <c r="AQ669" s="1748"/>
      <c r="AR669" s="1748"/>
      <c r="AS669" s="541"/>
      <c r="AT669" s="541"/>
      <c r="AU669" s="541"/>
      <c r="AV669" s="541"/>
      <c r="AW669" s="541"/>
      <c r="AY669" s="541"/>
      <c r="AZ669" s="633"/>
      <c r="BA669" s="541"/>
      <c r="BB669" s="1190"/>
      <c r="BC669" s="541"/>
      <c r="BD669" s="1190"/>
      <c r="BE669" s="541"/>
      <c r="BF669" s="1190"/>
      <c r="BG669" s="541"/>
      <c r="BH669" s="1190"/>
      <c r="BI669" s="541"/>
      <c r="BJ669" s="1190"/>
      <c r="BK669" s="541"/>
      <c r="BL669" s="541"/>
      <c r="BM669" s="541"/>
      <c r="BP669" s="541"/>
      <c r="BQ669" s="633"/>
      <c r="BR669" s="541"/>
      <c r="BS669" s="541"/>
      <c r="BT669" s="541"/>
      <c r="BU669" s="541"/>
    </row>
    <row r="670" ht="15.75" customHeight="1">
      <c r="A670" s="1591"/>
      <c r="B670" s="1591"/>
      <c r="C670" s="2217"/>
      <c r="D670" s="1541"/>
      <c r="E670" s="906"/>
      <c r="F670" s="541"/>
      <c r="G670" s="541"/>
      <c r="H670" s="541"/>
      <c r="I670" s="541"/>
      <c r="J670" s="1748"/>
      <c r="K670" s="541"/>
      <c r="L670" s="1748"/>
      <c r="M670" s="541"/>
      <c r="N670" s="1748"/>
      <c r="O670" s="541"/>
      <c r="P670" s="1748"/>
      <c r="Q670" s="541"/>
      <c r="R670" s="1748"/>
      <c r="S670" s="541"/>
      <c r="T670" s="1748"/>
      <c r="U670" s="541"/>
      <c r="V670" s="1748"/>
      <c r="W670" s="541"/>
      <c r="X670" s="1748"/>
      <c r="Y670" s="1748"/>
      <c r="Z670" s="1748"/>
      <c r="AA670" s="541"/>
      <c r="AB670" s="1748"/>
      <c r="AC670" s="541"/>
      <c r="AD670" s="541"/>
      <c r="AE670" s="541"/>
      <c r="AF670" s="541"/>
      <c r="AG670" s="541"/>
      <c r="AH670" s="541"/>
      <c r="AI670" s="541"/>
      <c r="AJ670" s="541"/>
      <c r="AK670" s="541"/>
      <c r="AL670" s="541"/>
      <c r="AM670" s="541"/>
      <c r="AN670" s="1748"/>
      <c r="AO670" s="1748"/>
      <c r="AP670" s="1748"/>
      <c r="AQ670" s="1748"/>
      <c r="AR670" s="1748"/>
      <c r="AS670" s="541"/>
      <c r="AT670" s="541"/>
      <c r="AU670" s="541"/>
      <c r="AV670" s="541"/>
      <c r="AW670" s="541"/>
      <c r="AY670" s="541"/>
      <c r="AZ670" s="633"/>
      <c r="BA670" s="541"/>
      <c r="BB670" s="1190"/>
      <c r="BC670" s="541"/>
      <c r="BD670" s="1190"/>
      <c r="BE670" s="541"/>
      <c r="BF670" s="1190"/>
      <c r="BG670" s="541"/>
      <c r="BH670" s="1190"/>
      <c r="BI670" s="541"/>
      <c r="BJ670" s="1190"/>
      <c r="BK670" s="541"/>
      <c r="BL670" s="541"/>
      <c r="BM670" s="541"/>
      <c r="BP670" s="541"/>
      <c r="BQ670" s="633"/>
      <c r="BR670" s="541"/>
      <c r="BS670" s="541"/>
      <c r="BT670" s="541"/>
      <c r="BU670" s="541"/>
    </row>
    <row r="671" ht="15.75" customHeight="1">
      <c r="A671" s="1591"/>
      <c r="B671" s="1591"/>
      <c r="C671" s="2217"/>
      <c r="D671" s="1541"/>
      <c r="E671" s="906"/>
      <c r="F671" s="541"/>
      <c r="G671" s="541"/>
      <c r="H671" s="541"/>
      <c r="I671" s="541"/>
      <c r="J671" s="1748"/>
      <c r="K671" s="541"/>
      <c r="L671" s="1748"/>
      <c r="M671" s="541"/>
      <c r="N671" s="1748"/>
      <c r="O671" s="541"/>
      <c r="P671" s="1748"/>
      <c r="Q671" s="541"/>
      <c r="R671" s="1748"/>
      <c r="S671" s="541"/>
      <c r="T671" s="1748"/>
      <c r="U671" s="541"/>
      <c r="V671" s="1748"/>
      <c r="W671" s="541"/>
      <c r="X671" s="1748"/>
      <c r="Y671" s="1748"/>
      <c r="Z671" s="1748"/>
      <c r="AA671" s="541"/>
      <c r="AB671" s="1748"/>
      <c r="AC671" s="541"/>
      <c r="AD671" s="541"/>
      <c r="AE671" s="541"/>
      <c r="AF671" s="541"/>
      <c r="AG671" s="541"/>
      <c r="AH671" s="541"/>
      <c r="AI671" s="541"/>
      <c r="AJ671" s="541"/>
      <c r="AK671" s="541"/>
      <c r="AL671" s="541"/>
      <c r="AM671" s="541"/>
      <c r="AN671" s="1748"/>
      <c r="AO671" s="1748"/>
      <c r="AP671" s="1748"/>
      <c r="AQ671" s="1748"/>
      <c r="AR671" s="1748"/>
      <c r="AS671" s="541"/>
      <c r="AT671" s="541"/>
      <c r="AU671" s="541"/>
      <c r="AV671" s="541"/>
      <c r="AW671" s="541"/>
      <c r="AY671" s="541"/>
      <c r="AZ671" s="633"/>
      <c r="BA671" s="541"/>
      <c r="BB671" s="1190"/>
      <c r="BC671" s="541"/>
      <c r="BD671" s="1190"/>
      <c r="BE671" s="541"/>
      <c r="BF671" s="1190"/>
      <c r="BG671" s="541"/>
      <c r="BH671" s="1190"/>
      <c r="BI671" s="541"/>
      <c r="BJ671" s="1190"/>
      <c r="BK671" s="541"/>
      <c r="BL671" s="541"/>
      <c r="BM671" s="541"/>
      <c r="BP671" s="541"/>
      <c r="BQ671" s="633"/>
      <c r="BR671" s="541"/>
      <c r="BS671" s="541"/>
      <c r="BT671" s="541"/>
      <c r="BU671" s="541"/>
    </row>
    <row r="672" ht="15.75" customHeight="1">
      <c r="A672" s="1591"/>
      <c r="B672" s="1591"/>
      <c r="C672" s="2217"/>
      <c r="D672" s="1541"/>
      <c r="E672" s="906"/>
      <c r="F672" s="541"/>
      <c r="G672" s="541"/>
      <c r="H672" s="541"/>
      <c r="I672" s="541"/>
      <c r="J672" s="1748"/>
      <c r="K672" s="541"/>
      <c r="L672" s="1748"/>
      <c r="M672" s="541"/>
      <c r="N672" s="1748"/>
      <c r="O672" s="541"/>
      <c r="P672" s="1748"/>
      <c r="Q672" s="541"/>
      <c r="R672" s="1748"/>
      <c r="S672" s="541"/>
      <c r="T672" s="1748"/>
      <c r="U672" s="541"/>
      <c r="V672" s="1748"/>
      <c r="W672" s="541"/>
      <c r="X672" s="1748"/>
      <c r="Y672" s="1748"/>
      <c r="Z672" s="1748"/>
      <c r="AA672" s="541"/>
      <c r="AB672" s="1748"/>
      <c r="AC672" s="541"/>
      <c r="AD672" s="541"/>
      <c r="AE672" s="541"/>
      <c r="AF672" s="541"/>
      <c r="AG672" s="541"/>
      <c r="AH672" s="541"/>
      <c r="AI672" s="541"/>
      <c r="AJ672" s="541"/>
      <c r="AK672" s="541"/>
      <c r="AL672" s="541"/>
      <c r="AM672" s="541"/>
      <c r="AN672" s="1748"/>
      <c r="AO672" s="1748"/>
      <c r="AP672" s="1748"/>
      <c r="AQ672" s="1748"/>
      <c r="AR672" s="1748"/>
      <c r="AS672" s="541"/>
      <c r="AT672" s="541"/>
      <c r="AU672" s="541"/>
      <c r="AV672" s="541"/>
      <c r="AW672" s="541"/>
      <c r="AY672" s="541"/>
      <c r="AZ672" s="633"/>
      <c r="BA672" s="541"/>
      <c r="BB672" s="1190"/>
      <c r="BC672" s="541"/>
      <c r="BD672" s="1190"/>
      <c r="BE672" s="541"/>
      <c r="BF672" s="1190"/>
      <c r="BG672" s="541"/>
      <c r="BH672" s="1190"/>
      <c r="BI672" s="541"/>
      <c r="BJ672" s="1190"/>
      <c r="BK672" s="541"/>
      <c r="BL672" s="541"/>
      <c r="BM672" s="541"/>
      <c r="BP672" s="541"/>
      <c r="BQ672" s="633"/>
      <c r="BR672" s="541"/>
      <c r="BS672" s="541"/>
      <c r="BT672" s="541"/>
      <c r="BU672" s="541"/>
    </row>
    <row r="673" ht="15.75" customHeight="1">
      <c r="A673" s="1591"/>
      <c r="B673" s="1591"/>
      <c r="C673" s="2217"/>
      <c r="D673" s="1541"/>
      <c r="E673" s="906"/>
      <c r="F673" s="541"/>
      <c r="G673" s="541"/>
      <c r="H673" s="541"/>
      <c r="I673" s="541"/>
      <c r="J673" s="1748"/>
      <c r="K673" s="541"/>
      <c r="L673" s="1748"/>
      <c r="M673" s="541"/>
      <c r="N673" s="1748"/>
      <c r="O673" s="541"/>
      <c r="P673" s="1748"/>
      <c r="Q673" s="541"/>
      <c r="R673" s="1748"/>
      <c r="S673" s="541"/>
      <c r="T673" s="1748"/>
      <c r="U673" s="541"/>
      <c r="V673" s="1748"/>
      <c r="W673" s="541"/>
      <c r="X673" s="1748"/>
      <c r="Y673" s="1748"/>
      <c r="Z673" s="1748"/>
      <c r="AA673" s="541"/>
      <c r="AB673" s="1748"/>
      <c r="AC673" s="541"/>
      <c r="AD673" s="541"/>
      <c r="AE673" s="541"/>
      <c r="AF673" s="541"/>
      <c r="AG673" s="541"/>
      <c r="AH673" s="541"/>
      <c r="AI673" s="541"/>
      <c r="AJ673" s="541"/>
      <c r="AK673" s="541"/>
      <c r="AL673" s="541"/>
      <c r="AM673" s="541"/>
      <c r="AN673" s="1748"/>
      <c r="AO673" s="1748"/>
      <c r="AP673" s="1748"/>
      <c r="AQ673" s="1748"/>
      <c r="AR673" s="1748"/>
      <c r="AS673" s="541"/>
      <c r="AT673" s="541"/>
      <c r="AU673" s="541"/>
      <c r="AV673" s="541"/>
      <c r="AW673" s="541"/>
      <c r="AY673" s="541"/>
      <c r="AZ673" s="633"/>
      <c r="BA673" s="541"/>
      <c r="BB673" s="1190"/>
      <c r="BC673" s="541"/>
      <c r="BD673" s="1190"/>
      <c r="BE673" s="541"/>
      <c r="BF673" s="1190"/>
      <c r="BG673" s="541"/>
      <c r="BH673" s="1190"/>
      <c r="BI673" s="541"/>
      <c r="BJ673" s="1190"/>
      <c r="BK673" s="541"/>
      <c r="BL673" s="541"/>
      <c r="BM673" s="541"/>
      <c r="BP673" s="541"/>
      <c r="BQ673" s="633"/>
      <c r="BR673" s="541"/>
      <c r="BS673" s="541"/>
      <c r="BT673" s="541"/>
      <c r="BU673" s="541"/>
    </row>
    <row r="674" ht="15.75" customHeight="1">
      <c r="A674" s="1591"/>
      <c r="B674" s="1591"/>
      <c r="C674" s="2217"/>
      <c r="D674" s="1541"/>
      <c r="E674" s="906"/>
      <c r="F674" s="541"/>
      <c r="G674" s="541"/>
      <c r="H674" s="541"/>
      <c r="I674" s="541"/>
      <c r="J674" s="1748"/>
      <c r="K674" s="541"/>
      <c r="L674" s="1748"/>
      <c r="M674" s="541"/>
      <c r="N674" s="1748"/>
      <c r="O674" s="541"/>
      <c r="P674" s="1748"/>
      <c r="Q674" s="541"/>
      <c r="R674" s="1748"/>
      <c r="S674" s="541"/>
      <c r="T674" s="1748"/>
      <c r="U674" s="541"/>
      <c r="V674" s="1748"/>
      <c r="W674" s="541"/>
      <c r="X674" s="1748"/>
      <c r="Y674" s="1748"/>
      <c r="Z674" s="1748"/>
      <c r="AA674" s="541"/>
      <c r="AB674" s="1748"/>
      <c r="AC674" s="541"/>
      <c r="AD674" s="541"/>
      <c r="AE674" s="541"/>
      <c r="AF674" s="541"/>
      <c r="AG674" s="541"/>
      <c r="AH674" s="541"/>
      <c r="AI674" s="541"/>
      <c r="AJ674" s="541"/>
      <c r="AK674" s="541"/>
      <c r="AL674" s="541"/>
      <c r="AM674" s="541"/>
      <c r="AN674" s="1748"/>
      <c r="AO674" s="1748"/>
      <c r="AP674" s="1748"/>
      <c r="AQ674" s="1748"/>
      <c r="AR674" s="1748"/>
      <c r="AS674" s="541"/>
      <c r="AT674" s="541"/>
      <c r="AU674" s="541"/>
      <c r="AV674" s="541"/>
      <c r="AW674" s="541"/>
      <c r="AY674" s="541"/>
      <c r="AZ674" s="633"/>
      <c r="BA674" s="541"/>
      <c r="BB674" s="1190"/>
      <c r="BC674" s="541"/>
      <c r="BD674" s="1190"/>
      <c r="BE674" s="541"/>
      <c r="BF674" s="1190"/>
      <c r="BG674" s="541"/>
      <c r="BH674" s="1190"/>
      <c r="BI674" s="541"/>
      <c r="BJ674" s="1190"/>
      <c r="BK674" s="541"/>
      <c r="BL674" s="541"/>
      <c r="BM674" s="541"/>
      <c r="BP674" s="541"/>
      <c r="BQ674" s="633"/>
      <c r="BR674" s="541"/>
      <c r="BS674" s="541"/>
      <c r="BT674" s="541"/>
      <c r="BU674" s="541"/>
    </row>
    <row r="675" ht="15.75" customHeight="1">
      <c r="A675" s="1591"/>
      <c r="B675" s="1591"/>
      <c r="C675" s="2217"/>
      <c r="D675" s="1541"/>
      <c r="E675" s="906"/>
      <c r="F675" s="541"/>
      <c r="G675" s="541"/>
      <c r="H675" s="541"/>
      <c r="I675" s="541"/>
      <c r="J675" s="1748"/>
      <c r="K675" s="541"/>
      <c r="L675" s="1748"/>
      <c r="M675" s="541"/>
      <c r="N675" s="1748"/>
      <c r="O675" s="541"/>
      <c r="P675" s="1748"/>
      <c r="Q675" s="541"/>
      <c r="R675" s="1748"/>
      <c r="S675" s="541"/>
      <c r="T675" s="1748"/>
      <c r="U675" s="541"/>
      <c r="V675" s="1748"/>
      <c r="W675" s="541"/>
      <c r="X675" s="1748"/>
      <c r="Y675" s="1748"/>
      <c r="Z675" s="1748"/>
      <c r="AA675" s="541"/>
      <c r="AB675" s="1748"/>
      <c r="AC675" s="541"/>
      <c r="AD675" s="541"/>
      <c r="AE675" s="541"/>
      <c r="AF675" s="541"/>
      <c r="AG675" s="541"/>
      <c r="AH675" s="541"/>
      <c r="AI675" s="541"/>
      <c r="AJ675" s="541"/>
      <c r="AK675" s="541"/>
      <c r="AL675" s="541"/>
      <c r="AM675" s="541"/>
      <c r="AN675" s="1748"/>
      <c r="AO675" s="1748"/>
      <c r="AP675" s="1748"/>
      <c r="AQ675" s="1748"/>
      <c r="AR675" s="1748"/>
      <c r="AS675" s="541"/>
      <c r="AT675" s="541"/>
      <c r="AU675" s="541"/>
      <c r="AV675" s="541"/>
      <c r="AW675" s="541"/>
      <c r="AY675" s="541"/>
      <c r="AZ675" s="633"/>
      <c r="BA675" s="541"/>
      <c r="BB675" s="1190"/>
      <c r="BC675" s="541"/>
      <c r="BD675" s="1190"/>
      <c r="BE675" s="541"/>
      <c r="BF675" s="1190"/>
      <c r="BG675" s="541"/>
      <c r="BH675" s="1190"/>
      <c r="BI675" s="541"/>
      <c r="BJ675" s="1190"/>
      <c r="BK675" s="541"/>
      <c r="BL675" s="541"/>
      <c r="BM675" s="541"/>
      <c r="BP675" s="541"/>
      <c r="BQ675" s="633"/>
      <c r="BR675" s="541"/>
      <c r="BS675" s="541"/>
      <c r="BT675" s="541"/>
      <c r="BU675" s="541"/>
    </row>
    <row r="676" ht="15.75" customHeight="1">
      <c r="A676" s="1591"/>
      <c r="B676" s="1591"/>
      <c r="C676" s="2217"/>
      <c r="D676" s="1541"/>
      <c r="E676" s="906"/>
      <c r="F676" s="541"/>
      <c r="G676" s="541"/>
      <c r="H676" s="541"/>
      <c r="I676" s="541"/>
      <c r="J676" s="1748"/>
      <c r="K676" s="541"/>
      <c r="L676" s="1748"/>
      <c r="M676" s="541"/>
      <c r="N676" s="1748"/>
      <c r="O676" s="541"/>
      <c r="P676" s="1748"/>
      <c r="Q676" s="541"/>
      <c r="R676" s="1748"/>
      <c r="S676" s="541"/>
      <c r="T676" s="1748"/>
      <c r="U676" s="541"/>
      <c r="V676" s="1748"/>
      <c r="W676" s="541"/>
      <c r="X676" s="1748"/>
      <c r="Y676" s="1748"/>
      <c r="Z676" s="1748"/>
      <c r="AA676" s="541"/>
      <c r="AB676" s="1748"/>
      <c r="AC676" s="541"/>
      <c r="AD676" s="541"/>
      <c r="AE676" s="541"/>
      <c r="AF676" s="541"/>
      <c r="AG676" s="541"/>
      <c r="AH676" s="541"/>
      <c r="AI676" s="541"/>
      <c r="AJ676" s="541"/>
      <c r="AK676" s="541"/>
      <c r="AL676" s="541"/>
      <c r="AM676" s="541"/>
      <c r="AN676" s="1748"/>
      <c r="AO676" s="1748"/>
      <c r="AP676" s="1748"/>
      <c r="AQ676" s="1748"/>
      <c r="AR676" s="1748"/>
      <c r="AS676" s="541"/>
      <c r="AT676" s="541"/>
      <c r="AU676" s="541"/>
      <c r="AV676" s="541"/>
      <c r="AW676" s="541"/>
      <c r="AY676" s="541"/>
      <c r="AZ676" s="633"/>
      <c r="BA676" s="541"/>
      <c r="BB676" s="1190"/>
      <c r="BC676" s="541"/>
      <c r="BD676" s="1190"/>
      <c r="BE676" s="541"/>
      <c r="BF676" s="1190"/>
      <c r="BG676" s="541"/>
      <c r="BH676" s="1190"/>
      <c r="BI676" s="541"/>
      <c r="BJ676" s="1190"/>
      <c r="BK676" s="541"/>
      <c r="BL676" s="541"/>
      <c r="BM676" s="541"/>
      <c r="BP676" s="541"/>
      <c r="BQ676" s="633"/>
      <c r="BR676" s="541"/>
      <c r="BS676" s="541"/>
      <c r="BT676" s="541"/>
      <c r="BU676" s="541"/>
    </row>
    <row r="677" ht="15.75" customHeight="1">
      <c r="A677" s="1591"/>
      <c r="B677" s="1591"/>
      <c r="C677" s="2217"/>
      <c r="D677" s="1541"/>
      <c r="E677" s="906"/>
      <c r="F677" s="541"/>
      <c r="G677" s="541"/>
      <c r="H677" s="541"/>
      <c r="I677" s="541"/>
      <c r="J677" s="1748"/>
      <c r="K677" s="541"/>
      <c r="L677" s="1748"/>
      <c r="M677" s="541"/>
      <c r="N677" s="1748"/>
      <c r="O677" s="541"/>
      <c r="P677" s="1748"/>
      <c r="Q677" s="541"/>
      <c r="R677" s="1748"/>
      <c r="S677" s="541"/>
      <c r="T677" s="1748"/>
      <c r="U677" s="541"/>
      <c r="V677" s="1748"/>
      <c r="W677" s="541"/>
      <c r="X677" s="1748"/>
      <c r="Y677" s="1748"/>
      <c r="Z677" s="1748"/>
      <c r="AA677" s="541"/>
      <c r="AB677" s="1748"/>
      <c r="AC677" s="541"/>
      <c r="AD677" s="541"/>
      <c r="AE677" s="541"/>
      <c r="AF677" s="541"/>
      <c r="AG677" s="541"/>
      <c r="AH677" s="541"/>
      <c r="AI677" s="541"/>
      <c r="AJ677" s="541"/>
      <c r="AK677" s="541"/>
      <c r="AL677" s="541"/>
      <c r="AM677" s="541"/>
      <c r="AN677" s="1748"/>
      <c r="AO677" s="1748"/>
      <c r="AP677" s="1748"/>
      <c r="AQ677" s="1748"/>
      <c r="AR677" s="1748"/>
      <c r="AS677" s="541"/>
      <c r="AT677" s="541"/>
      <c r="AU677" s="541"/>
      <c r="AV677" s="541"/>
      <c r="AW677" s="541"/>
      <c r="AY677" s="541"/>
      <c r="AZ677" s="633"/>
      <c r="BA677" s="541"/>
      <c r="BB677" s="1190"/>
      <c r="BC677" s="541"/>
      <c r="BD677" s="1190"/>
      <c r="BE677" s="541"/>
      <c r="BF677" s="1190"/>
      <c r="BG677" s="541"/>
      <c r="BH677" s="1190"/>
      <c r="BI677" s="541"/>
      <c r="BJ677" s="1190"/>
      <c r="BK677" s="541"/>
      <c r="BL677" s="541"/>
      <c r="BM677" s="541"/>
      <c r="BP677" s="541"/>
      <c r="BQ677" s="633"/>
      <c r="BR677" s="541"/>
      <c r="BS677" s="541"/>
      <c r="BT677" s="541"/>
      <c r="BU677" s="541"/>
    </row>
    <row r="678" ht="15.75" customHeight="1">
      <c r="A678" s="1591"/>
      <c r="B678" s="1591"/>
      <c r="C678" s="2217"/>
      <c r="D678" s="1541"/>
      <c r="E678" s="906"/>
      <c r="F678" s="541"/>
      <c r="G678" s="541"/>
      <c r="H678" s="541"/>
      <c r="I678" s="541"/>
      <c r="J678" s="1748"/>
      <c r="K678" s="541"/>
      <c r="L678" s="1748"/>
      <c r="M678" s="541"/>
      <c r="N678" s="1748"/>
      <c r="O678" s="541"/>
      <c r="P678" s="1748"/>
      <c r="Q678" s="541"/>
      <c r="R678" s="1748"/>
      <c r="S678" s="541"/>
      <c r="T678" s="1748"/>
      <c r="U678" s="541"/>
      <c r="V678" s="1748"/>
      <c r="W678" s="541"/>
      <c r="X678" s="1748"/>
      <c r="Y678" s="1748"/>
      <c r="Z678" s="1748"/>
      <c r="AA678" s="541"/>
      <c r="AB678" s="1748"/>
      <c r="AC678" s="541"/>
      <c r="AD678" s="541"/>
      <c r="AE678" s="541"/>
      <c r="AF678" s="541"/>
      <c r="AG678" s="541"/>
      <c r="AH678" s="541"/>
      <c r="AI678" s="541"/>
      <c r="AJ678" s="541"/>
      <c r="AK678" s="541"/>
      <c r="AL678" s="541"/>
      <c r="AM678" s="541"/>
      <c r="AN678" s="1748"/>
      <c r="AO678" s="1748"/>
      <c r="AP678" s="1748"/>
      <c r="AQ678" s="1748"/>
      <c r="AR678" s="1748"/>
      <c r="AS678" s="541"/>
      <c r="AT678" s="541"/>
      <c r="AU678" s="541"/>
      <c r="AV678" s="541"/>
      <c r="AW678" s="541"/>
      <c r="AY678" s="541"/>
      <c r="AZ678" s="633"/>
      <c r="BA678" s="541"/>
      <c r="BB678" s="1190"/>
      <c r="BC678" s="541"/>
      <c r="BD678" s="1190"/>
      <c r="BE678" s="541"/>
      <c r="BF678" s="1190"/>
      <c r="BG678" s="541"/>
      <c r="BH678" s="1190"/>
      <c r="BI678" s="541"/>
      <c r="BJ678" s="1190"/>
      <c r="BK678" s="541"/>
      <c r="BL678" s="541"/>
      <c r="BM678" s="541"/>
      <c r="BP678" s="541"/>
      <c r="BQ678" s="633"/>
      <c r="BR678" s="541"/>
      <c r="BS678" s="541"/>
      <c r="BT678" s="541"/>
      <c r="BU678" s="541"/>
    </row>
    <row r="679" ht="15.75" customHeight="1">
      <c r="A679" s="1591"/>
      <c r="B679" s="1591"/>
      <c r="C679" s="2217"/>
      <c r="D679" s="1541"/>
      <c r="E679" s="906"/>
      <c r="F679" s="541"/>
      <c r="G679" s="541"/>
      <c r="H679" s="541"/>
      <c r="I679" s="541"/>
      <c r="J679" s="1748"/>
      <c r="K679" s="541"/>
      <c r="L679" s="1748"/>
      <c r="M679" s="541"/>
      <c r="N679" s="1748"/>
      <c r="O679" s="541"/>
      <c r="P679" s="1748"/>
      <c r="Q679" s="541"/>
      <c r="R679" s="1748"/>
      <c r="S679" s="541"/>
      <c r="T679" s="1748"/>
      <c r="U679" s="541"/>
      <c r="V679" s="1748"/>
      <c r="W679" s="541"/>
      <c r="X679" s="1748"/>
      <c r="Y679" s="1748"/>
      <c r="Z679" s="1748"/>
      <c r="AA679" s="541"/>
      <c r="AB679" s="1748"/>
      <c r="AC679" s="541"/>
      <c r="AD679" s="541"/>
      <c r="AE679" s="541"/>
      <c r="AF679" s="541"/>
      <c r="AG679" s="541"/>
      <c r="AH679" s="541"/>
      <c r="AI679" s="541"/>
      <c r="AJ679" s="541"/>
      <c r="AK679" s="541"/>
      <c r="AL679" s="541"/>
      <c r="AM679" s="541"/>
      <c r="AN679" s="1748"/>
      <c r="AO679" s="1748"/>
      <c r="AP679" s="1748"/>
      <c r="AQ679" s="1748"/>
      <c r="AR679" s="1748"/>
      <c r="AS679" s="541"/>
      <c r="AT679" s="541"/>
      <c r="AU679" s="541"/>
      <c r="AV679" s="541"/>
      <c r="AW679" s="541"/>
      <c r="AY679" s="541"/>
      <c r="AZ679" s="633"/>
      <c r="BA679" s="541"/>
      <c r="BB679" s="1190"/>
      <c r="BC679" s="541"/>
      <c r="BD679" s="1190"/>
      <c r="BE679" s="541"/>
      <c r="BF679" s="1190"/>
      <c r="BG679" s="541"/>
      <c r="BH679" s="1190"/>
      <c r="BI679" s="541"/>
      <c r="BJ679" s="1190"/>
      <c r="BK679" s="541"/>
      <c r="BL679" s="541"/>
      <c r="BM679" s="541"/>
      <c r="BP679" s="541"/>
      <c r="BQ679" s="633"/>
      <c r="BR679" s="541"/>
      <c r="BS679" s="541"/>
      <c r="BT679" s="541"/>
      <c r="BU679" s="541"/>
    </row>
    <row r="680" ht="15.75" customHeight="1">
      <c r="A680" s="1591"/>
      <c r="B680" s="1591"/>
      <c r="C680" s="2217"/>
      <c r="D680" s="1541"/>
      <c r="E680" s="906"/>
      <c r="F680" s="541"/>
      <c r="G680" s="541"/>
      <c r="H680" s="541"/>
      <c r="I680" s="541"/>
      <c r="J680" s="1748"/>
      <c r="K680" s="541"/>
      <c r="L680" s="1748"/>
      <c r="M680" s="541"/>
      <c r="N680" s="1748"/>
      <c r="O680" s="541"/>
      <c r="P680" s="1748"/>
      <c r="Q680" s="541"/>
      <c r="R680" s="1748"/>
      <c r="S680" s="541"/>
      <c r="T680" s="1748"/>
      <c r="U680" s="541"/>
      <c r="V680" s="1748"/>
      <c r="W680" s="541"/>
      <c r="X680" s="1748"/>
      <c r="Y680" s="1748"/>
      <c r="Z680" s="1748"/>
      <c r="AA680" s="541"/>
      <c r="AB680" s="1748"/>
      <c r="AC680" s="541"/>
      <c r="AD680" s="541"/>
      <c r="AE680" s="541"/>
      <c r="AF680" s="541"/>
      <c r="AG680" s="541"/>
      <c r="AH680" s="541"/>
      <c r="AI680" s="541"/>
      <c r="AJ680" s="541"/>
      <c r="AK680" s="541"/>
      <c r="AL680" s="541"/>
      <c r="AM680" s="541"/>
      <c r="AN680" s="1748"/>
      <c r="AO680" s="1748"/>
      <c r="AP680" s="1748"/>
      <c r="AQ680" s="1748"/>
      <c r="AR680" s="1748"/>
      <c r="AS680" s="541"/>
      <c r="AT680" s="541"/>
      <c r="AU680" s="541"/>
      <c r="AV680" s="541"/>
      <c r="AW680" s="541"/>
      <c r="AY680" s="541"/>
      <c r="AZ680" s="633"/>
      <c r="BA680" s="541"/>
      <c r="BB680" s="1190"/>
      <c r="BC680" s="541"/>
      <c r="BD680" s="1190"/>
      <c r="BE680" s="541"/>
      <c r="BF680" s="1190"/>
      <c r="BG680" s="541"/>
      <c r="BH680" s="1190"/>
      <c r="BI680" s="541"/>
      <c r="BJ680" s="1190"/>
      <c r="BK680" s="541"/>
      <c r="BL680" s="541"/>
      <c r="BM680" s="541"/>
      <c r="BP680" s="541"/>
      <c r="BQ680" s="633"/>
      <c r="BR680" s="541"/>
      <c r="BS680" s="541"/>
      <c r="BT680" s="541"/>
      <c r="BU680" s="541"/>
    </row>
    <row r="681" ht="15.75" customHeight="1">
      <c r="A681" s="1591"/>
      <c r="B681" s="1591"/>
      <c r="C681" s="2217"/>
      <c r="D681" s="1541"/>
      <c r="E681" s="906"/>
      <c r="F681" s="541"/>
      <c r="G681" s="541"/>
      <c r="H681" s="541"/>
      <c r="I681" s="541"/>
      <c r="J681" s="1748"/>
      <c r="K681" s="541"/>
      <c r="L681" s="1748"/>
      <c r="M681" s="541"/>
      <c r="N681" s="1748"/>
      <c r="O681" s="541"/>
      <c r="P681" s="1748"/>
      <c r="Q681" s="541"/>
      <c r="R681" s="1748"/>
      <c r="S681" s="541"/>
      <c r="T681" s="1748"/>
      <c r="U681" s="541"/>
      <c r="V681" s="1748"/>
      <c r="W681" s="541"/>
      <c r="X681" s="1748"/>
      <c r="Y681" s="1748"/>
      <c r="Z681" s="1748"/>
      <c r="AA681" s="541"/>
      <c r="AB681" s="1748"/>
      <c r="AC681" s="541"/>
      <c r="AD681" s="541"/>
      <c r="AE681" s="541"/>
      <c r="AF681" s="541"/>
      <c r="AG681" s="541"/>
      <c r="AH681" s="541"/>
      <c r="AI681" s="541"/>
      <c r="AJ681" s="541"/>
      <c r="AK681" s="541"/>
      <c r="AL681" s="541"/>
      <c r="AM681" s="541"/>
      <c r="AN681" s="1748"/>
      <c r="AO681" s="1748"/>
      <c r="AP681" s="1748"/>
      <c r="AQ681" s="1748"/>
      <c r="AR681" s="1748"/>
      <c r="AS681" s="541"/>
      <c r="AT681" s="541"/>
      <c r="AU681" s="541"/>
      <c r="AV681" s="541"/>
      <c r="AW681" s="541"/>
      <c r="AY681" s="541"/>
      <c r="AZ681" s="633"/>
      <c r="BA681" s="541"/>
      <c r="BB681" s="1190"/>
      <c r="BC681" s="541"/>
      <c r="BD681" s="1190"/>
      <c r="BE681" s="541"/>
      <c r="BF681" s="1190"/>
      <c r="BG681" s="541"/>
      <c r="BH681" s="1190"/>
      <c r="BI681" s="541"/>
      <c r="BJ681" s="1190"/>
      <c r="BK681" s="541"/>
      <c r="BL681" s="541"/>
      <c r="BM681" s="541"/>
      <c r="BP681" s="541"/>
      <c r="BQ681" s="633"/>
      <c r="BR681" s="541"/>
      <c r="BS681" s="541"/>
      <c r="BT681" s="541"/>
      <c r="BU681" s="541"/>
    </row>
    <row r="682" ht="15.75" customHeight="1">
      <c r="A682" s="1591"/>
      <c r="B682" s="1591"/>
      <c r="C682" s="2217"/>
      <c r="D682" s="1541"/>
      <c r="E682" s="906"/>
      <c r="F682" s="541"/>
      <c r="G682" s="541"/>
      <c r="H682" s="541"/>
      <c r="I682" s="541"/>
      <c r="J682" s="1748"/>
      <c r="K682" s="541"/>
      <c r="L682" s="1748"/>
      <c r="M682" s="541"/>
      <c r="N682" s="1748"/>
      <c r="O682" s="541"/>
      <c r="P682" s="1748"/>
      <c r="Q682" s="541"/>
      <c r="R682" s="1748"/>
      <c r="S682" s="541"/>
      <c r="T682" s="1748"/>
      <c r="U682" s="541"/>
      <c r="V682" s="1748"/>
      <c r="W682" s="541"/>
      <c r="X682" s="1748"/>
      <c r="Y682" s="1748"/>
      <c r="Z682" s="1748"/>
      <c r="AA682" s="541"/>
      <c r="AB682" s="1748"/>
      <c r="AC682" s="541"/>
      <c r="AD682" s="541"/>
      <c r="AE682" s="541"/>
      <c r="AF682" s="541"/>
      <c r="AG682" s="541"/>
      <c r="AH682" s="541"/>
      <c r="AI682" s="541"/>
      <c r="AJ682" s="541"/>
      <c r="AK682" s="541"/>
      <c r="AL682" s="541"/>
      <c r="AM682" s="541"/>
      <c r="AN682" s="1748"/>
      <c r="AO682" s="1748"/>
      <c r="AP682" s="1748"/>
      <c r="AQ682" s="1748"/>
      <c r="AR682" s="1748"/>
      <c r="AS682" s="541"/>
      <c r="AT682" s="541"/>
      <c r="AU682" s="541"/>
      <c r="AV682" s="541"/>
      <c r="AW682" s="541"/>
      <c r="AY682" s="541"/>
      <c r="AZ682" s="633"/>
      <c r="BA682" s="541"/>
      <c r="BB682" s="1190"/>
      <c r="BC682" s="541"/>
      <c r="BD682" s="1190"/>
      <c r="BE682" s="541"/>
      <c r="BF682" s="1190"/>
      <c r="BG682" s="541"/>
      <c r="BH682" s="1190"/>
      <c r="BI682" s="541"/>
      <c r="BJ682" s="1190"/>
      <c r="BK682" s="541"/>
      <c r="BL682" s="541"/>
      <c r="BM682" s="541"/>
      <c r="BP682" s="541"/>
      <c r="BQ682" s="633"/>
      <c r="BR682" s="541"/>
      <c r="BS682" s="541"/>
      <c r="BT682" s="541"/>
      <c r="BU682" s="541"/>
    </row>
    <row r="683" ht="15.75" customHeight="1">
      <c r="A683" s="1591"/>
      <c r="B683" s="1591"/>
      <c r="C683" s="2217"/>
      <c r="D683" s="1541"/>
      <c r="E683" s="906"/>
      <c r="F683" s="541"/>
      <c r="G683" s="541"/>
      <c r="H683" s="541"/>
      <c r="I683" s="541"/>
      <c r="J683" s="1748"/>
      <c r="K683" s="541"/>
      <c r="L683" s="1748"/>
      <c r="M683" s="541"/>
      <c r="N683" s="1748"/>
      <c r="O683" s="541"/>
      <c r="P683" s="1748"/>
      <c r="Q683" s="541"/>
      <c r="R683" s="1748"/>
      <c r="S683" s="541"/>
      <c r="T683" s="1748"/>
      <c r="U683" s="541"/>
      <c r="V683" s="1748"/>
      <c r="W683" s="541"/>
      <c r="X683" s="1748"/>
      <c r="Y683" s="1748"/>
      <c r="Z683" s="1748"/>
      <c r="AA683" s="541"/>
      <c r="AB683" s="1748"/>
      <c r="AC683" s="541"/>
      <c r="AD683" s="541"/>
      <c r="AE683" s="541"/>
      <c r="AF683" s="541"/>
      <c r="AG683" s="541"/>
      <c r="AH683" s="541"/>
      <c r="AI683" s="541"/>
      <c r="AJ683" s="541"/>
      <c r="AK683" s="541"/>
      <c r="AL683" s="541"/>
      <c r="AM683" s="541"/>
      <c r="AN683" s="1748"/>
      <c r="AO683" s="1748"/>
      <c r="AP683" s="1748"/>
      <c r="AQ683" s="1748"/>
      <c r="AR683" s="1748"/>
      <c r="AS683" s="541"/>
      <c r="AT683" s="541"/>
      <c r="AU683" s="541"/>
      <c r="AV683" s="541"/>
      <c r="AW683" s="541"/>
      <c r="AY683" s="541"/>
      <c r="AZ683" s="633"/>
      <c r="BA683" s="541"/>
      <c r="BB683" s="1190"/>
      <c r="BC683" s="541"/>
      <c r="BD683" s="1190"/>
      <c r="BE683" s="541"/>
      <c r="BF683" s="1190"/>
      <c r="BG683" s="541"/>
      <c r="BH683" s="1190"/>
      <c r="BI683" s="541"/>
      <c r="BJ683" s="1190"/>
      <c r="BK683" s="541"/>
      <c r="BL683" s="541"/>
      <c r="BM683" s="541"/>
      <c r="BP683" s="541"/>
      <c r="BQ683" s="633"/>
      <c r="BR683" s="541"/>
      <c r="BS683" s="541"/>
      <c r="BT683" s="541"/>
      <c r="BU683" s="541"/>
    </row>
    <row r="684" ht="15.75" customHeight="1">
      <c r="A684" s="1591"/>
      <c r="B684" s="1591"/>
      <c r="C684" s="2217"/>
      <c r="D684" s="1541"/>
      <c r="E684" s="906"/>
      <c r="F684" s="541"/>
      <c r="G684" s="541"/>
      <c r="H684" s="541"/>
      <c r="I684" s="541"/>
      <c r="J684" s="1748"/>
      <c r="K684" s="541"/>
      <c r="L684" s="1748"/>
      <c r="M684" s="541"/>
      <c r="N684" s="1748"/>
      <c r="O684" s="541"/>
      <c r="P684" s="1748"/>
      <c r="Q684" s="541"/>
      <c r="R684" s="1748"/>
      <c r="S684" s="541"/>
      <c r="T684" s="1748"/>
      <c r="U684" s="541"/>
      <c r="V684" s="1748"/>
      <c r="W684" s="541"/>
      <c r="X684" s="1748"/>
      <c r="Y684" s="1748"/>
      <c r="Z684" s="1748"/>
      <c r="AA684" s="541"/>
      <c r="AB684" s="1748"/>
      <c r="AC684" s="541"/>
      <c r="AD684" s="541"/>
      <c r="AE684" s="541"/>
      <c r="AF684" s="541"/>
      <c r="AG684" s="541"/>
      <c r="AH684" s="541"/>
      <c r="AI684" s="541"/>
      <c r="AJ684" s="541"/>
      <c r="AK684" s="541"/>
      <c r="AL684" s="541"/>
      <c r="AM684" s="541"/>
      <c r="AN684" s="1748"/>
      <c r="AO684" s="1748"/>
      <c r="AP684" s="1748"/>
      <c r="AQ684" s="1748"/>
      <c r="AR684" s="1748"/>
      <c r="AS684" s="541"/>
      <c r="AT684" s="541"/>
      <c r="AU684" s="541"/>
      <c r="AV684" s="541"/>
      <c r="AW684" s="541"/>
      <c r="AY684" s="541"/>
      <c r="AZ684" s="633"/>
      <c r="BA684" s="541"/>
      <c r="BB684" s="1190"/>
      <c r="BC684" s="541"/>
      <c r="BD684" s="1190"/>
      <c r="BE684" s="541"/>
      <c r="BF684" s="1190"/>
      <c r="BG684" s="541"/>
      <c r="BH684" s="1190"/>
      <c r="BI684" s="541"/>
      <c r="BJ684" s="1190"/>
      <c r="BK684" s="541"/>
      <c r="BL684" s="541"/>
      <c r="BM684" s="541"/>
      <c r="BP684" s="541"/>
      <c r="BQ684" s="633"/>
      <c r="BR684" s="541"/>
      <c r="BS684" s="541"/>
      <c r="BT684" s="541"/>
      <c r="BU684" s="541"/>
    </row>
    <row r="685" ht="15.75" customHeight="1">
      <c r="A685" s="1591"/>
      <c r="B685" s="1591"/>
      <c r="C685" s="2217"/>
      <c r="D685" s="1541"/>
      <c r="E685" s="906"/>
      <c r="F685" s="541"/>
      <c r="G685" s="541"/>
      <c r="H685" s="541"/>
      <c r="I685" s="541"/>
      <c r="J685" s="1748"/>
      <c r="K685" s="541"/>
      <c r="L685" s="1748"/>
      <c r="M685" s="541"/>
      <c r="N685" s="1748"/>
      <c r="O685" s="541"/>
      <c r="P685" s="1748"/>
      <c r="Q685" s="541"/>
      <c r="R685" s="1748"/>
      <c r="S685" s="541"/>
      <c r="T685" s="1748"/>
      <c r="U685" s="541"/>
      <c r="V685" s="1748"/>
      <c r="W685" s="541"/>
      <c r="X685" s="1748"/>
      <c r="Y685" s="1748"/>
      <c r="Z685" s="1748"/>
      <c r="AA685" s="541"/>
      <c r="AB685" s="1748"/>
      <c r="AC685" s="541"/>
      <c r="AD685" s="541"/>
      <c r="AE685" s="541"/>
      <c r="AF685" s="541"/>
      <c r="AG685" s="541"/>
      <c r="AH685" s="541"/>
      <c r="AI685" s="541"/>
      <c r="AJ685" s="541"/>
      <c r="AK685" s="541"/>
      <c r="AL685" s="541"/>
      <c r="AM685" s="541"/>
      <c r="AN685" s="1748"/>
      <c r="AO685" s="1748"/>
      <c r="AP685" s="1748"/>
      <c r="AQ685" s="1748"/>
      <c r="AR685" s="1748"/>
      <c r="AS685" s="541"/>
      <c r="AT685" s="541"/>
      <c r="AU685" s="541"/>
      <c r="AV685" s="541"/>
      <c r="AW685" s="541"/>
      <c r="AY685" s="541"/>
      <c r="AZ685" s="633"/>
      <c r="BA685" s="541"/>
      <c r="BB685" s="1190"/>
      <c r="BC685" s="541"/>
      <c r="BD685" s="1190"/>
      <c r="BE685" s="541"/>
      <c r="BF685" s="1190"/>
      <c r="BG685" s="541"/>
      <c r="BH685" s="1190"/>
      <c r="BI685" s="541"/>
      <c r="BJ685" s="1190"/>
      <c r="BK685" s="541"/>
      <c r="BL685" s="541"/>
      <c r="BM685" s="541"/>
      <c r="BP685" s="541"/>
      <c r="BQ685" s="633"/>
      <c r="BR685" s="541"/>
      <c r="BS685" s="541"/>
      <c r="BT685" s="541"/>
      <c r="BU685" s="541"/>
    </row>
    <row r="686" ht="15.75" customHeight="1">
      <c r="A686" s="1591"/>
      <c r="B686" s="1591"/>
      <c r="C686" s="2217"/>
      <c r="D686" s="1541"/>
      <c r="E686" s="906"/>
      <c r="F686" s="541"/>
      <c r="G686" s="541"/>
      <c r="H686" s="541"/>
      <c r="I686" s="541"/>
      <c r="J686" s="1748"/>
      <c r="K686" s="541"/>
      <c r="L686" s="1748"/>
      <c r="M686" s="541"/>
      <c r="N686" s="1748"/>
      <c r="O686" s="541"/>
      <c r="P686" s="1748"/>
      <c r="Q686" s="541"/>
      <c r="R686" s="1748"/>
      <c r="S686" s="541"/>
      <c r="T686" s="1748"/>
      <c r="U686" s="541"/>
      <c r="V686" s="1748"/>
      <c r="W686" s="541"/>
      <c r="X686" s="1748"/>
      <c r="Y686" s="1748"/>
      <c r="Z686" s="1748"/>
      <c r="AA686" s="541"/>
      <c r="AB686" s="1748"/>
      <c r="AC686" s="541"/>
      <c r="AD686" s="541"/>
      <c r="AE686" s="541"/>
      <c r="AF686" s="541"/>
      <c r="AG686" s="541"/>
      <c r="AH686" s="541"/>
      <c r="AI686" s="541"/>
      <c r="AJ686" s="541"/>
      <c r="AK686" s="541"/>
      <c r="AL686" s="541"/>
      <c r="AM686" s="541"/>
      <c r="AN686" s="1748"/>
      <c r="AO686" s="1748"/>
      <c r="AP686" s="1748"/>
      <c r="AQ686" s="1748"/>
      <c r="AR686" s="1748"/>
      <c r="AS686" s="541"/>
      <c r="AT686" s="541"/>
      <c r="AU686" s="541"/>
      <c r="AV686" s="541"/>
      <c r="AW686" s="541"/>
      <c r="AY686" s="541"/>
      <c r="AZ686" s="633"/>
      <c r="BA686" s="541"/>
      <c r="BB686" s="1190"/>
      <c r="BC686" s="541"/>
      <c r="BD686" s="1190"/>
      <c r="BE686" s="541"/>
      <c r="BF686" s="1190"/>
      <c r="BG686" s="541"/>
      <c r="BH686" s="1190"/>
      <c r="BI686" s="541"/>
      <c r="BJ686" s="1190"/>
      <c r="BK686" s="541"/>
      <c r="BL686" s="541"/>
      <c r="BM686" s="541"/>
      <c r="BP686" s="541"/>
      <c r="BQ686" s="633"/>
      <c r="BR686" s="541"/>
      <c r="BS686" s="541"/>
      <c r="BT686" s="541"/>
      <c r="BU686" s="541"/>
    </row>
    <row r="687" ht="15.75" customHeight="1">
      <c r="A687" s="1591"/>
      <c r="B687" s="1591"/>
      <c r="C687" s="2217"/>
      <c r="D687" s="1541"/>
      <c r="E687" s="906"/>
      <c r="F687" s="541"/>
      <c r="G687" s="541"/>
      <c r="H687" s="541"/>
      <c r="I687" s="541"/>
      <c r="J687" s="1748"/>
      <c r="K687" s="541"/>
      <c r="L687" s="1748"/>
      <c r="M687" s="541"/>
      <c r="N687" s="1748"/>
      <c r="O687" s="541"/>
      <c r="P687" s="1748"/>
      <c r="Q687" s="541"/>
      <c r="R687" s="1748"/>
      <c r="S687" s="541"/>
      <c r="T687" s="1748"/>
      <c r="U687" s="541"/>
      <c r="V687" s="1748"/>
      <c r="W687" s="541"/>
      <c r="X687" s="1748"/>
      <c r="Y687" s="1748"/>
      <c r="Z687" s="1748"/>
      <c r="AA687" s="541"/>
      <c r="AB687" s="1748"/>
      <c r="AC687" s="541"/>
      <c r="AD687" s="541"/>
      <c r="AE687" s="541"/>
      <c r="AF687" s="541"/>
      <c r="AG687" s="541"/>
      <c r="AH687" s="541"/>
      <c r="AI687" s="541"/>
      <c r="AJ687" s="541"/>
      <c r="AK687" s="541"/>
      <c r="AL687" s="541"/>
      <c r="AM687" s="541"/>
      <c r="AN687" s="1748"/>
      <c r="AO687" s="1748"/>
      <c r="AP687" s="1748"/>
      <c r="AQ687" s="1748"/>
      <c r="AR687" s="1748"/>
      <c r="AS687" s="541"/>
      <c r="AT687" s="541"/>
      <c r="AU687" s="541"/>
      <c r="AV687" s="541"/>
      <c r="AW687" s="541"/>
      <c r="AY687" s="541"/>
      <c r="AZ687" s="633"/>
      <c r="BA687" s="541"/>
      <c r="BB687" s="1190"/>
      <c r="BC687" s="541"/>
      <c r="BD687" s="1190"/>
      <c r="BE687" s="541"/>
      <c r="BF687" s="1190"/>
      <c r="BG687" s="541"/>
      <c r="BH687" s="1190"/>
      <c r="BI687" s="541"/>
      <c r="BJ687" s="1190"/>
      <c r="BK687" s="541"/>
      <c r="BL687" s="541"/>
      <c r="BM687" s="541"/>
      <c r="BP687" s="541"/>
      <c r="BQ687" s="633"/>
      <c r="BR687" s="541"/>
      <c r="BS687" s="541"/>
      <c r="BT687" s="541"/>
      <c r="BU687" s="541"/>
    </row>
    <row r="688" ht="15.75" customHeight="1">
      <c r="A688" s="1591"/>
      <c r="B688" s="1591"/>
      <c r="C688" s="2217"/>
      <c r="D688" s="1541"/>
      <c r="E688" s="906"/>
      <c r="F688" s="541"/>
      <c r="G688" s="541"/>
      <c r="H688" s="541"/>
      <c r="I688" s="541"/>
      <c r="J688" s="1748"/>
      <c r="K688" s="541"/>
      <c r="L688" s="1748"/>
      <c r="M688" s="541"/>
      <c r="N688" s="1748"/>
      <c r="O688" s="541"/>
      <c r="P688" s="1748"/>
      <c r="Q688" s="541"/>
      <c r="R688" s="1748"/>
      <c r="S688" s="541"/>
      <c r="T688" s="1748"/>
      <c r="U688" s="541"/>
      <c r="V688" s="1748"/>
      <c r="W688" s="541"/>
      <c r="X688" s="1748"/>
      <c r="Y688" s="1748"/>
      <c r="Z688" s="1748"/>
      <c r="AA688" s="541"/>
      <c r="AB688" s="1748"/>
      <c r="AC688" s="541"/>
      <c r="AD688" s="541"/>
      <c r="AE688" s="541"/>
      <c r="AF688" s="541"/>
      <c r="AG688" s="541"/>
      <c r="AH688" s="541"/>
      <c r="AI688" s="541"/>
      <c r="AJ688" s="541"/>
      <c r="AK688" s="541"/>
      <c r="AL688" s="541"/>
      <c r="AM688" s="541"/>
      <c r="AN688" s="1748"/>
      <c r="AO688" s="1748"/>
      <c r="AP688" s="1748"/>
      <c r="AQ688" s="1748"/>
      <c r="AR688" s="1748"/>
      <c r="AS688" s="541"/>
      <c r="AT688" s="541"/>
      <c r="AU688" s="541"/>
      <c r="AV688" s="541"/>
      <c r="AW688" s="541"/>
      <c r="AY688" s="541"/>
      <c r="AZ688" s="633"/>
      <c r="BA688" s="541"/>
      <c r="BB688" s="1190"/>
      <c r="BC688" s="541"/>
      <c r="BD688" s="1190"/>
      <c r="BE688" s="541"/>
      <c r="BF688" s="1190"/>
      <c r="BG688" s="541"/>
      <c r="BH688" s="1190"/>
      <c r="BI688" s="541"/>
      <c r="BJ688" s="1190"/>
      <c r="BK688" s="541"/>
      <c r="BL688" s="541"/>
      <c r="BM688" s="541"/>
      <c r="BP688" s="541"/>
      <c r="BQ688" s="633"/>
      <c r="BR688" s="541"/>
      <c r="BS688" s="541"/>
      <c r="BT688" s="541"/>
      <c r="BU688" s="541"/>
    </row>
    <row r="689" ht="15.75" customHeight="1">
      <c r="A689" s="1591"/>
      <c r="B689" s="1591"/>
      <c r="C689" s="2217"/>
      <c r="D689" s="1541"/>
      <c r="E689" s="906"/>
      <c r="F689" s="541"/>
      <c r="G689" s="541"/>
      <c r="H689" s="541"/>
      <c r="I689" s="541"/>
      <c r="J689" s="1748"/>
      <c r="K689" s="541"/>
      <c r="L689" s="1748"/>
      <c r="M689" s="541"/>
      <c r="N689" s="1748"/>
      <c r="O689" s="541"/>
      <c r="P689" s="1748"/>
      <c r="Q689" s="541"/>
      <c r="R689" s="1748"/>
      <c r="S689" s="541"/>
      <c r="T689" s="1748"/>
      <c r="U689" s="541"/>
      <c r="V689" s="1748"/>
      <c r="W689" s="541"/>
      <c r="X689" s="1748"/>
      <c r="Y689" s="1748"/>
      <c r="Z689" s="1748"/>
      <c r="AA689" s="541"/>
      <c r="AB689" s="1748"/>
      <c r="AC689" s="541"/>
      <c r="AD689" s="541"/>
      <c r="AE689" s="541"/>
      <c r="AF689" s="541"/>
      <c r="AG689" s="541"/>
      <c r="AH689" s="541"/>
      <c r="AI689" s="541"/>
      <c r="AJ689" s="541"/>
      <c r="AK689" s="541"/>
      <c r="AL689" s="541"/>
      <c r="AM689" s="541"/>
      <c r="AN689" s="1748"/>
      <c r="AO689" s="1748"/>
      <c r="AP689" s="1748"/>
      <c r="AQ689" s="1748"/>
      <c r="AR689" s="1748"/>
      <c r="AS689" s="541"/>
      <c r="AT689" s="541"/>
      <c r="AU689" s="541"/>
      <c r="AV689" s="541"/>
      <c r="AW689" s="541"/>
      <c r="AY689" s="541"/>
      <c r="AZ689" s="633"/>
      <c r="BA689" s="541"/>
      <c r="BB689" s="1190"/>
      <c r="BC689" s="541"/>
      <c r="BD689" s="1190"/>
      <c r="BE689" s="541"/>
      <c r="BF689" s="1190"/>
      <c r="BG689" s="541"/>
      <c r="BH689" s="1190"/>
      <c r="BI689" s="541"/>
      <c r="BJ689" s="1190"/>
      <c r="BK689" s="541"/>
      <c r="BL689" s="541"/>
      <c r="BM689" s="541"/>
      <c r="BP689" s="541"/>
      <c r="BQ689" s="633"/>
      <c r="BR689" s="541"/>
      <c r="BS689" s="541"/>
      <c r="BT689" s="541"/>
      <c r="BU689" s="541"/>
    </row>
    <row r="690" ht="15.75" customHeight="1">
      <c r="A690" s="1591"/>
      <c r="B690" s="1591"/>
      <c r="C690" s="2217"/>
      <c r="D690" s="1541"/>
      <c r="E690" s="906"/>
      <c r="F690" s="541"/>
      <c r="G690" s="541"/>
      <c r="H690" s="541"/>
      <c r="I690" s="541"/>
      <c r="J690" s="1748"/>
      <c r="K690" s="541"/>
      <c r="L690" s="1748"/>
      <c r="M690" s="541"/>
      <c r="N690" s="1748"/>
      <c r="O690" s="541"/>
      <c r="P690" s="1748"/>
      <c r="Q690" s="541"/>
      <c r="R690" s="1748"/>
      <c r="S690" s="541"/>
      <c r="T690" s="1748"/>
      <c r="U690" s="541"/>
      <c r="V690" s="1748"/>
      <c r="W690" s="541"/>
      <c r="X690" s="1748"/>
      <c r="Y690" s="1748"/>
      <c r="Z690" s="1748"/>
      <c r="AA690" s="541"/>
      <c r="AB690" s="1748"/>
      <c r="AC690" s="541"/>
      <c r="AD690" s="541"/>
      <c r="AE690" s="541"/>
      <c r="AF690" s="541"/>
      <c r="AG690" s="541"/>
      <c r="AH690" s="541"/>
      <c r="AI690" s="541"/>
      <c r="AJ690" s="541"/>
      <c r="AK690" s="541"/>
      <c r="AL690" s="541"/>
      <c r="AM690" s="541"/>
      <c r="AN690" s="1748"/>
      <c r="AO690" s="1748"/>
      <c r="AP690" s="1748"/>
      <c r="AQ690" s="1748"/>
      <c r="AR690" s="1748"/>
      <c r="AS690" s="541"/>
      <c r="AT690" s="541"/>
      <c r="AU690" s="541"/>
      <c r="AV690" s="541"/>
      <c r="AW690" s="541"/>
      <c r="AY690" s="541"/>
      <c r="AZ690" s="633"/>
      <c r="BA690" s="541"/>
      <c r="BB690" s="1190"/>
      <c r="BC690" s="541"/>
      <c r="BD690" s="1190"/>
      <c r="BE690" s="541"/>
      <c r="BF690" s="1190"/>
      <c r="BG690" s="541"/>
      <c r="BH690" s="1190"/>
      <c r="BI690" s="541"/>
      <c r="BJ690" s="1190"/>
      <c r="BK690" s="541"/>
      <c r="BL690" s="541"/>
      <c r="BM690" s="541"/>
      <c r="BP690" s="541"/>
      <c r="BQ690" s="633"/>
      <c r="BR690" s="541"/>
      <c r="BS690" s="541"/>
      <c r="BT690" s="541"/>
      <c r="BU690" s="541"/>
    </row>
    <row r="691" ht="15.75" customHeight="1">
      <c r="A691" s="1591"/>
      <c r="B691" s="1591"/>
      <c r="C691" s="2217"/>
      <c r="D691" s="1541"/>
      <c r="E691" s="906"/>
      <c r="F691" s="541"/>
      <c r="G691" s="541"/>
      <c r="H691" s="541"/>
      <c r="I691" s="541"/>
      <c r="J691" s="1748"/>
      <c r="K691" s="541"/>
      <c r="L691" s="1748"/>
      <c r="M691" s="541"/>
      <c r="N691" s="1748"/>
      <c r="O691" s="541"/>
      <c r="P691" s="1748"/>
      <c r="Q691" s="541"/>
      <c r="R691" s="1748"/>
      <c r="S691" s="541"/>
      <c r="T691" s="1748"/>
      <c r="U691" s="541"/>
      <c r="V691" s="1748"/>
      <c r="W691" s="541"/>
      <c r="X691" s="1748"/>
      <c r="Y691" s="1748"/>
      <c r="Z691" s="1748"/>
      <c r="AA691" s="541"/>
      <c r="AB691" s="1748"/>
      <c r="AC691" s="541"/>
      <c r="AD691" s="541"/>
      <c r="AE691" s="541"/>
      <c r="AF691" s="541"/>
      <c r="AG691" s="541"/>
      <c r="AH691" s="541"/>
      <c r="AI691" s="541"/>
      <c r="AJ691" s="541"/>
      <c r="AK691" s="541"/>
      <c r="AL691" s="541"/>
      <c r="AM691" s="541"/>
      <c r="AN691" s="1748"/>
      <c r="AO691" s="1748"/>
      <c r="AP691" s="1748"/>
      <c r="AQ691" s="1748"/>
      <c r="AR691" s="1748"/>
      <c r="AS691" s="541"/>
      <c r="AT691" s="541"/>
      <c r="AU691" s="541"/>
      <c r="AV691" s="541"/>
      <c r="AW691" s="541"/>
      <c r="AY691" s="541"/>
      <c r="AZ691" s="633"/>
      <c r="BA691" s="541"/>
      <c r="BB691" s="1190"/>
      <c r="BC691" s="541"/>
      <c r="BD691" s="1190"/>
      <c r="BE691" s="541"/>
      <c r="BF691" s="1190"/>
      <c r="BG691" s="541"/>
      <c r="BH691" s="1190"/>
      <c r="BI691" s="541"/>
      <c r="BJ691" s="1190"/>
      <c r="BK691" s="541"/>
      <c r="BL691" s="541"/>
      <c r="BM691" s="541"/>
      <c r="BP691" s="541"/>
      <c r="BQ691" s="633"/>
      <c r="BR691" s="541"/>
      <c r="BS691" s="541"/>
      <c r="BT691" s="541"/>
      <c r="BU691" s="541"/>
    </row>
    <row r="692" ht="15.75" customHeight="1">
      <c r="A692" s="1591"/>
      <c r="B692" s="1591"/>
      <c r="C692" s="2217"/>
      <c r="D692" s="1541"/>
      <c r="E692" s="906"/>
      <c r="F692" s="541"/>
      <c r="G692" s="541"/>
      <c r="H692" s="541"/>
      <c r="I692" s="541"/>
      <c r="J692" s="1748"/>
      <c r="K692" s="541"/>
      <c r="L692" s="1748"/>
      <c r="M692" s="541"/>
      <c r="N692" s="1748"/>
      <c r="O692" s="541"/>
      <c r="P692" s="1748"/>
      <c r="Q692" s="541"/>
      <c r="R692" s="1748"/>
      <c r="S692" s="541"/>
      <c r="T692" s="1748"/>
      <c r="U692" s="541"/>
      <c r="V692" s="1748"/>
      <c r="W692" s="541"/>
      <c r="X692" s="1748"/>
      <c r="Y692" s="1748"/>
      <c r="Z692" s="1748"/>
      <c r="AA692" s="541"/>
      <c r="AB692" s="1748"/>
      <c r="AC692" s="541"/>
      <c r="AD692" s="541"/>
      <c r="AE692" s="541"/>
      <c r="AF692" s="541"/>
      <c r="AG692" s="541"/>
      <c r="AH692" s="541"/>
      <c r="AI692" s="541"/>
      <c r="AJ692" s="541"/>
      <c r="AK692" s="541"/>
      <c r="AL692" s="541"/>
      <c r="AM692" s="541"/>
      <c r="AN692" s="1748"/>
      <c r="AO692" s="1748"/>
      <c r="AP692" s="1748"/>
      <c r="AQ692" s="1748"/>
      <c r="AR692" s="1748"/>
      <c r="AS692" s="541"/>
      <c r="AT692" s="541"/>
      <c r="AU692" s="541"/>
      <c r="AV692" s="541"/>
      <c r="AW692" s="541"/>
      <c r="AY692" s="541"/>
      <c r="AZ692" s="633"/>
      <c r="BA692" s="541"/>
      <c r="BB692" s="1190"/>
      <c r="BC692" s="541"/>
      <c r="BD692" s="1190"/>
      <c r="BE692" s="541"/>
      <c r="BF692" s="1190"/>
      <c r="BG692" s="541"/>
      <c r="BH692" s="1190"/>
      <c r="BI692" s="541"/>
      <c r="BJ692" s="1190"/>
      <c r="BK692" s="541"/>
      <c r="BL692" s="541"/>
      <c r="BM692" s="541"/>
      <c r="BP692" s="541"/>
      <c r="BQ692" s="633"/>
      <c r="BR692" s="541"/>
      <c r="BS692" s="541"/>
      <c r="BT692" s="541"/>
      <c r="BU692" s="541"/>
    </row>
    <row r="693" ht="15.75" customHeight="1">
      <c r="A693" s="1591"/>
      <c r="B693" s="1591"/>
      <c r="C693" s="2217"/>
      <c r="D693" s="1541"/>
      <c r="E693" s="906"/>
      <c r="F693" s="541"/>
      <c r="G693" s="541"/>
      <c r="H693" s="541"/>
      <c r="I693" s="541"/>
      <c r="J693" s="1748"/>
      <c r="K693" s="541"/>
      <c r="L693" s="1748"/>
      <c r="M693" s="541"/>
      <c r="N693" s="1748"/>
      <c r="O693" s="541"/>
      <c r="P693" s="1748"/>
      <c r="Q693" s="541"/>
      <c r="R693" s="1748"/>
      <c r="S693" s="541"/>
      <c r="T693" s="1748"/>
      <c r="U693" s="541"/>
      <c r="V693" s="1748"/>
      <c r="W693" s="541"/>
      <c r="X693" s="1748"/>
      <c r="Y693" s="1748"/>
      <c r="Z693" s="1748"/>
      <c r="AA693" s="541"/>
      <c r="AB693" s="1748"/>
      <c r="AC693" s="541"/>
      <c r="AD693" s="541"/>
      <c r="AE693" s="541"/>
      <c r="AF693" s="541"/>
      <c r="AG693" s="541"/>
      <c r="AH693" s="541"/>
      <c r="AI693" s="541"/>
      <c r="AJ693" s="541"/>
      <c r="AK693" s="541"/>
      <c r="AL693" s="541"/>
      <c r="AM693" s="541"/>
      <c r="AN693" s="1748"/>
      <c r="AO693" s="1748"/>
      <c r="AP693" s="1748"/>
      <c r="AQ693" s="1748"/>
      <c r="AR693" s="1748"/>
      <c r="AS693" s="541"/>
      <c r="AT693" s="541"/>
      <c r="AU693" s="541"/>
      <c r="AV693" s="541"/>
      <c r="AW693" s="541"/>
      <c r="AY693" s="541"/>
      <c r="AZ693" s="633"/>
      <c r="BA693" s="541"/>
      <c r="BB693" s="1190"/>
      <c r="BC693" s="541"/>
      <c r="BD693" s="1190"/>
      <c r="BE693" s="541"/>
      <c r="BF693" s="1190"/>
      <c r="BG693" s="541"/>
      <c r="BH693" s="1190"/>
      <c r="BI693" s="541"/>
      <c r="BJ693" s="1190"/>
      <c r="BK693" s="541"/>
      <c r="BL693" s="541"/>
      <c r="BM693" s="541"/>
      <c r="BP693" s="541"/>
      <c r="BQ693" s="633"/>
      <c r="BR693" s="541"/>
      <c r="BS693" s="541"/>
      <c r="BT693" s="541"/>
      <c r="BU693" s="541"/>
    </row>
    <row r="694" ht="15.75" customHeight="1">
      <c r="A694" s="1591"/>
      <c r="B694" s="1591"/>
      <c r="C694" s="2217"/>
      <c r="D694" s="1541"/>
      <c r="E694" s="906"/>
      <c r="F694" s="541"/>
      <c r="G694" s="541"/>
      <c r="H694" s="541"/>
      <c r="I694" s="541"/>
      <c r="J694" s="1748"/>
      <c r="K694" s="541"/>
      <c r="L694" s="1748"/>
      <c r="M694" s="541"/>
      <c r="N694" s="1748"/>
      <c r="O694" s="541"/>
      <c r="P694" s="1748"/>
      <c r="Q694" s="541"/>
      <c r="R694" s="1748"/>
      <c r="S694" s="541"/>
      <c r="T694" s="1748"/>
      <c r="U694" s="541"/>
      <c r="V694" s="1748"/>
      <c r="W694" s="541"/>
      <c r="X694" s="1748"/>
      <c r="Y694" s="1748"/>
      <c r="Z694" s="1748"/>
      <c r="AA694" s="541"/>
      <c r="AB694" s="1748"/>
      <c r="AC694" s="541"/>
      <c r="AD694" s="541"/>
      <c r="AE694" s="541"/>
      <c r="AF694" s="541"/>
      <c r="AG694" s="541"/>
      <c r="AH694" s="541"/>
      <c r="AI694" s="541"/>
      <c r="AJ694" s="541"/>
      <c r="AK694" s="541"/>
      <c r="AL694" s="541"/>
      <c r="AM694" s="541"/>
      <c r="AN694" s="1748"/>
      <c r="AO694" s="1748"/>
      <c r="AP694" s="1748"/>
      <c r="AQ694" s="1748"/>
      <c r="AR694" s="1748"/>
      <c r="AS694" s="541"/>
      <c r="AT694" s="541"/>
      <c r="AU694" s="541"/>
      <c r="AV694" s="541"/>
      <c r="AW694" s="541"/>
      <c r="AY694" s="541"/>
      <c r="AZ694" s="633"/>
      <c r="BA694" s="541"/>
      <c r="BB694" s="1190"/>
      <c r="BC694" s="541"/>
      <c r="BD694" s="1190"/>
      <c r="BE694" s="541"/>
      <c r="BF694" s="1190"/>
      <c r="BG694" s="541"/>
      <c r="BH694" s="1190"/>
      <c r="BI694" s="541"/>
      <c r="BJ694" s="1190"/>
      <c r="BK694" s="541"/>
      <c r="BL694" s="541"/>
      <c r="BM694" s="541"/>
      <c r="BP694" s="541"/>
      <c r="BQ694" s="633"/>
      <c r="BR694" s="541"/>
      <c r="BS694" s="541"/>
      <c r="BT694" s="541"/>
      <c r="BU694" s="541"/>
    </row>
    <row r="695" ht="15.75" customHeight="1">
      <c r="A695" s="1591"/>
      <c r="B695" s="1591"/>
      <c r="C695" s="2217"/>
      <c r="D695" s="1541"/>
      <c r="E695" s="906"/>
      <c r="F695" s="541"/>
      <c r="G695" s="541"/>
      <c r="H695" s="541"/>
      <c r="I695" s="541"/>
      <c r="J695" s="1748"/>
      <c r="K695" s="541"/>
      <c r="L695" s="1748"/>
      <c r="M695" s="541"/>
      <c r="N695" s="1748"/>
      <c r="O695" s="541"/>
      <c r="P695" s="1748"/>
      <c r="Q695" s="541"/>
      <c r="R695" s="1748"/>
      <c r="S695" s="541"/>
      <c r="T695" s="1748"/>
      <c r="U695" s="541"/>
      <c r="V695" s="1748"/>
      <c r="W695" s="541"/>
      <c r="X695" s="1748"/>
      <c r="Y695" s="1748"/>
      <c r="Z695" s="1748"/>
      <c r="AA695" s="541"/>
      <c r="AB695" s="1748"/>
      <c r="AC695" s="541"/>
      <c r="AD695" s="541"/>
      <c r="AE695" s="541"/>
      <c r="AF695" s="541"/>
      <c r="AG695" s="541"/>
      <c r="AH695" s="541"/>
      <c r="AI695" s="541"/>
      <c r="AJ695" s="541"/>
      <c r="AK695" s="541"/>
      <c r="AL695" s="541"/>
      <c r="AM695" s="541"/>
      <c r="AN695" s="1748"/>
      <c r="AO695" s="1748"/>
      <c r="AP695" s="1748"/>
      <c r="AQ695" s="1748"/>
      <c r="AR695" s="1748"/>
      <c r="AS695" s="541"/>
      <c r="AT695" s="541"/>
      <c r="AU695" s="541"/>
      <c r="AV695" s="541"/>
      <c r="AW695" s="541"/>
      <c r="AY695" s="541"/>
      <c r="AZ695" s="633"/>
      <c r="BA695" s="541"/>
      <c r="BB695" s="1190"/>
      <c r="BC695" s="541"/>
      <c r="BD695" s="1190"/>
      <c r="BE695" s="541"/>
      <c r="BF695" s="1190"/>
      <c r="BG695" s="541"/>
      <c r="BH695" s="1190"/>
      <c r="BI695" s="541"/>
      <c r="BJ695" s="1190"/>
      <c r="BK695" s="541"/>
      <c r="BL695" s="541"/>
      <c r="BM695" s="541"/>
      <c r="BP695" s="541"/>
      <c r="BQ695" s="633"/>
      <c r="BR695" s="541"/>
      <c r="BS695" s="541"/>
      <c r="BT695" s="541"/>
      <c r="BU695" s="541"/>
    </row>
    <row r="696" ht="15.75" customHeight="1">
      <c r="A696" s="1591"/>
      <c r="B696" s="1591"/>
      <c r="C696" s="2217"/>
      <c r="D696" s="1541"/>
      <c r="E696" s="906"/>
      <c r="F696" s="541"/>
      <c r="G696" s="541"/>
      <c r="H696" s="541"/>
      <c r="I696" s="541"/>
      <c r="J696" s="1748"/>
      <c r="K696" s="541"/>
      <c r="L696" s="1748"/>
      <c r="M696" s="541"/>
      <c r="N696" s="1748"/>
      <c r="O696" s="541"/>
      <c r="P696" s="1748"/>
      <c r="Q696" s="541"/>
      <c r="R696" s="1748"/>
      <c r="S696" s="541"/>
      <c r="T696" s="1748"/>
      <c r="U696" s="541"/>
      <c r="V696" s="1748"/>
      <c r="W696" s="541"/>
      <c r="X696" s="1748"/>
      <c r="Y696" s="1748"/>
      <c r="Z696" s="1748"/>
      <c r="AA696" s="541"/>
      <c r="AB696" s="1748"/>
      <c r="AC696" s="541"/>
      <c r="AD696" s="541"/>
      <c r="AE696" s="541"/>
      <c r="AF696" s="541"/>
      <c r="AG696" s="541"/>
      <c r="AH696" s="541"/>
      <c r="AI696" s="541"/>
      <c r="AJ696" s="541"/>
      <c r="AK696" s="541"/>
      <c r="AL696" s="541"/>
      <c r="AM696" s="541"/>
      <c r="AN696" s="1748"/>
      <c r="AO696" s="1748"/>
      <c r="AP696" s="1748"/>
      <c r="AQ696" s="1748"/>
      <c r="AR696" s="1748"/>
      <c r="AS696" s="541"/>
      <c r="AT696" s="541"/>
      <c r="AU696" s="541"/>
      <c r="AV696" s="541"/>
      <c r="AW696" s="541"/>
      <c r="AY696" s="541"/>
      <c r="AZ696" s="633"/>
      <c r="BA696" s="541"/>
      <c r="BB696" s="1190"/>
      <c r="BC696" s="541"/>
      <c r="BD696" s="1190"/>
      <c r="BE696" s="541"/>
      <c r="BF696" s="1190"/>
      <c r="BG696" s="541"/>
      <c r="BH696" s="1190"/>
      <c r="BI696" s="541"/>
      <c r="BJ696" s="1190"/>
      <c r="BK696" s="541"/>
      <c r="BL696" s="541"/>
      <c r="BM696" s="541"/>
      <c r="BP696" s="541"/>
      <c r="BQ696" s="633"/>
      <c r="BR696" s="541"/>
      <c r="BS696" s="541"/>
      <c r="BT696" s="541"/>
      <c r="BU696" s="541"/>
    </row>
    <row r="697" ht="15.75" customHeight="1">
      <c r="A697" s="1591"/>
      <c r="B697" s="1591"/>
      <c r="C697" s="2217"/>
      <c r="D697" s="1541"/>
      <c r="E697" s="906"/>
      <c r="F697" s="541"/>
      <c r="G697" s="541"/>
      <c r="H697" s="541"/>
      <c r="I697" s="541"/>
      <c r="J697" s="1748"/>
      <c r="K697" s="541"/>
      <c r="L697" s="1748"/>
      <c r="M697" s="541"/>
      <c r="N697" s="1748"/>
      <c r="O697" s="541"/>
      <c r="P697" s="1748"/>
      <c r="Q697" s="541"/>
      <c r="R697" s="1748"/>
      <c r="S697" s="541"/>
      <c r="T697" s="1748"/>
      <c r="U697" s="541"/>
      <c r="V697" s="1748"/>
      <c r="W697" s="541"/>
      <c r="X697" s="1748"/>
      <c r="Y697" s="1748"/>
      <c r="Z697" s="1748"/>
      <c r="AA697" s="541"/>
      <c r="AB697" s="1748"/>
      <c r="AC697" s="541"/>
      <c r="AD697" s="541"/>
      <c r="AE697" s="541"/>
      <c r="AF697" s="541"/>
      <c r="AG697" s="541"/>
      <c r="AH697" s="541"/>
      <c r="AI697" s="541"/>
      <c r="AJ697" s="541"/>
      <c r="AK697" s="541"/>
      <c r="AL697" s="541"/>
      <c r="AM697" s="541"/>
      <c r="AN697" s="1748"/>
      <c r="AO697" s="1748"/>
      <c r="AP697" s="1748"/>
      <c r="AQ697" s="1748"/>
      <c r="AR697" s="1748"/>
      <c r="AS697" s="541"/>
      <c r="AT697" s="541"/>
      <c r="AU697" s="541"/>
      <c r="AV697" s="541"/>
      <c r="AW697" s="541"/>
      <c r="AY697" s="541"/>
      <c r="AZ697" s="633"/>
      <c r="BA697" s="541"/>
      <c r="BB697" s="1190"/>
      <c r="BC697" s="541"/>
      <c r="BD697" s="1190"/>
      <c r="BE697" s="541"/>
      <c r="BF697" s="1190"/>
      <c r="BG697" s="541"/>
      <c r="BH697" s="1190"/>
      <c r="BI697" s="541"/>
      <c r="BJ697" s="1190"/>
      <c r="BK697" s="541"/>
      <c r="BL697" s="541"/>
      <c r="BM697" s="541"/>
      <c r="BP697" s="541"/>
      <c r="BQ697" s="633"/>
      <c r="BR697" s="541"/>
      <c r="BS697" s="541"/>
      <c r="BT697" s="541"/>
      <c r="BU697" s="541"/>
    </row>
    <row r="698" ht="15.75" customHeight="1">
      <c r="A698" s="1591"/>
      <c r="B698" s="1591"/>
      <c r="C698" s="2217"/>
      <c r="D698" s="1541"/>
      <c r="E698" s="906"/>
      <c r="F698" s="541"/>
      <c r="G698" s="541"/>
      <c r="H698" s="541"/>
      <c r="I698" s="541"/>
      <c r="J698" s="1748"/>
      <c r="K698" s="541"/>
      <c r="L698" s="1748"/>
      <c r="M698" s="541"/>
      <c r="N698" s="1748"/>
      <c r="O698" s="541"/>
      <c r="P698" s="1748"/>
      <c r="Q698" s="541"/>
      <c r="R698" s="1748"/>
      <c r="S698" s="541"/>
      <c r="T698" s="1748"/>
      <c r="U698" s="541"/>
      <c r="V698" s="1748"/>
      <c r="W698" s="541"/>
      <c r="X698" s="1748"/>
      <c r="Y698" s="1748"/>
      <c r="Z698" s="1748"/>
      <c r="AA698" s="541"/>
      <c r="AB698" s="1748"/>
      <c r="AC698" s="541"/>
      <c r="AD698" s="541"/>
      <c r="AE698" s="541"/>
      <c r="AF698" s="541"/>
      <c r="AG698" s="541"/>
      <c r="AH698" s="541"/>
      <c r="AI698" s="541"/>
      <c r="AJ698" s="541"/>
      <c r="AK698" s="541"/>
      <c r="AL698" s="541"/>
      <c r="AM698" s="541"/>
      <c r="AN698" s="1748"/>
      <c r="AO698" s="1748"/>
      <c r="AP698" s="1748"/>
      <c r="AQ698" s="1748"/>
      <c r="AR698" s="1748"/>
      <c r="AS698" s="541"/>
      <c r="AT698" s="541"/>
      <c r="AU698" s="541"/>
      <c r="AV698" s="541"/>
      <c r="AW698" s="541"/>
      <c r="AY698" s="541"/>
      <c r="AZ698" s="633"/>
      <c r="BA698" s="541"/>
      <c r="BB698" s="1190"/>
      <c r="BC698" s="541"/>
      <c r="BD698" s="1190"/>
      <c r="BE698" s="541"/>
      <c r="BF698" s="1190"/>
      <c r="BG698" s="541"/>
      <c r="BH698" s="1190"/>
      <c r="BI698" s="541"/>
      <c r="BJ698" s="1190"/>
      <c r="BK698" s="541"/>
      <c r="BL698" s="541"/>
      <c r="BM698" s="541"/>
      <c r="BP698" s="541"/>
      <c r="BQ698" s="633"/>
      <c r="BR698" s="541"/>
      <c r="BS698" s="541"/>
      <c r="BT698" s="541"/>
      <c r="BU698" s="541"/>
    </row>
    <row r="699" ht="15.75" customHeight="1">
      <c r="A699" s="1591"/>
      <c r="B699" s="1591"/>
      <c r="C699" s="2217"/>
      <c r="D699" s="1541"/>
      <c r="E699" s="906"/>
      <c r="F699" s="541"/>
      <c r="G699" s="541"/>
      <c r="H699" s="541"/>
      <c r="I699" s="541"/>
      <c r="J699" s="1748"/>
      <c r="K699" s="541"/>
      <c r="L699" s="1748"/>
      <c r="M699" s="541"/>
      <c r="N699" s="1748"/>
      <c r="O699" s="541"/>
      <c r="P699" s="1748"/>
      <c r="Q699" s="541"/>
      <c r="R699" s="1748"/>
      <c r="S699" s="541"/>
      <c r="T699" s="1748"/>
      <c r="U699" s="541"/>
      <c r="V699" s="1748"/>
      <c r="W699" s="541"/>
      <c r="X699" s="1748"/>
      <c r="Y699" s="1748"/>
      <c r="Z699" s="1748"/>
      <c r="AA699" s="541"/>
      <c r="AB699" s="1748"/>
      <c r="AC699" s="541"/>
      <c r="AD699" s="541"/>
      <c r="AE699" s="541"/>
      <c r="AF699" s="541"/>
      <c r="AG699" s="541"/>
      <c r="AH699" s="541"/>
      <c r="AI699" s="541"/>
      <c r="AJ699" s="541"/>
      <c r="AK699" s="541"/>
      <c r="AL699" s="541"/>
      <c r="AM699" s="541"/>
      <c r="AN699" s="1748"/>
      <c r="AO699" s="1748"/>
      <c r="AP699" s="1748"/>
      <c r="AQ699" s="1748"/>
      <c r="AR699" s="1748"/>
      <c r="AS699" s="541"/>
      <c r="AT699" s="541"/>
      <c r="AU699" s="541"/>
      <c r="AV699" s="541"/>
      <c r="AW699" s="541"/>
      <c r="AY699" s="541"/>
      <c r="AZ699" s="633"/>
      <c r="BA699" s="541"/>
      <c r="BB699" s="1190"/>
      <c r="BC699" s="541"/>
      <c r="BD699" s="1190"/>
      <c r="BE699" s="541"/>
      <c r="BF699" s="1190"/>
      <c r="BG699" s="541"/>
      <c r="BH699" s="1190"/>
      <c r="BI699" s="541"/>
      <c r="BJ699" s="1190"/>
      <c r="BK699" s="541"/>
      <c r="BL699" s="541"/>
      <c r="BM699" s="541"/>
      <c r="BP699" s="541"/>
      <c r="BQ699" s="633"/>
      <c r="BR699" s="541"/>
      <c r="BS699" s="541"/>
      <c r="BT699" s="541"/>
      <c r="BU699" s="541"/>
    </row>
    <row r="700" ht="15.75" customHeight="1">
      <c r="A700" s="1591"/>
      <c r="B700" s="1591"/>
      <c r="C700" s="2217"/>
      <c r="D700" s="1541"/>
      <c r="E700" s="906"/>
      <c r="F700" s="541"/>
      <c r="G700" s="541"/>
      <c r="H700" s="541"/>
      <c r="I700" s="541"/>
      <c r="J700" s="1748"/>
      <c r="K700" s="541"/>
      <c r="L700" s="1748"/>
      <c r="M700" s="541"/>
      <c r="N700" s="1748"/>
      <c r="O700" s="541"/>
      <c r="P700" s="1748"/>
      <c r="Q700" s="541"/>
      <c r="R700" s="1748"/>
      <c r="S700" s="541"/>
      <c r="T700" s="1748"/>
      <c r="U700" s="541"/>
      <c r="V700" s="1748"/>
      <c r="W700" s="541"/>
      <c r="X700" s="1748"/>
      <c r="Y700" s="1748"/>
      <c r="Z700" s="1748"/>
      <c r="AA700" s="541"/>
      <c r="AB700" s="1748"/>
      <c r="AC700" s="541"/>
      <c r="AD700" s="541"/>
      <c r="AE700" s="541"/>
      <c r="AF700" s="541"/>
      <c r="AG700" s="541"/>
      <c r="AH700" s="541"/>
      <c r="AI700" s="541"/>
      <c r="AJ700" s="541"/>
      <c r="AK700" s="541"/>
      <c r="AL700" s="541"/>
      <c r="AM700" s="541"/>
      <c r="AN700" s="1748"/>
      <c r="AO700" s="1748"/>
      <c r="AP700" s="1748"/>
      <c r="AQ700" s="1748"/>
      <c r="AR700" s="1748"/>
      <c r="AS700" s="541"/>
      <c r="AT700" s="541"/>
      <c r="AU700" s="541"/>
      <c r="AV700" s="541"/>
      <c r="AW700" s="541"/>
      <c r="AY700" s="541"/>
      <c r="AZ700" s="633"/>
      <c r="BA700" s="541"/>
      <c r="BB700" s="1190"/>
      <c r="BC700" s="541"/>
      <c r="BD700" s="1190"/>
      <c r="BE700" s="541"/>
      <c r="BF700" s="1190"/>
      <c r="BG700" s="541"/>
      <c r="BH700" s="1190"/>
      <c r="BI700" s="541"/>
      <c r="BJ700" s="1190"/>
      <c r="BK700" s="541"/>
      <c r="BL700" s="541"/>
      <c r="BM700" s="541"/>
      <c r="BP700" s="541"/>
      <c r="BQ700" s="633"/>
      <c r="BR700" s="541"/>
      <c r="BS700" s="541"/>
      <c r="BT700" s="541"/>
      <c r="BU700" s="541"/>
    </row>
    <row r="701" ht="15.75" customHeight="1">
      <c r="A701" s="1591"/>
      <c r="B701" s="1591"/>
      <c r="C701" s="2217"/>
      <c r="D701" s="1541"/>
      <c r="E701" s="906"/>
      <c r="F701" s="541"/>
      <c r="G701" s="541"/>
      <c r="H701" s="541"/>
      <c r="I701" s="541"/>
      <c r="J701" s="1748"/>
      <c r="K701" s="541"/>
      <c r="L701" s="1748"/>
      <c r="M701" s="541"/>
      <c r="N701" s="1748"/>
      <c r="O701" s="541"/>
      <c r="P701" s="1748"/>
      <c r="Q701" s="541"/>
      <c r="R701" s="1748"/>
      <c r="S701" s="541"/>
      <c r="T701" s="1748"/>
      <c r="U701" s="541"/>
      <c r="V701" s="1748"/>
      <c r="W701" s="541"/>
      <c r="X701" s="1748"/>
      <c r="Y701" s="1748"/>
      <c r="Z701" s="1748"/>
      <c r="AA701" s="541"/>
      <c r="AB701" s="1748"/>
      <c r="AC701" s="541"/>
      <c r="AD701" s="541"/>
      <c r="AE701" s="541"/>
      <c r="AF701" s="541"/>
      <c r="AG701" s="541"/>
      <c r="AH701" s="541"/>
      <c r="AI701" s="541"/>
      <c r="AJ701" s="541"/>
      <c r="AK701" s="541"/>
      <c r="AL701" s="541"/>
      <c r="AM701" s="541"/>
      <c r="AN701" s="1748"/>
      <c r="AO701" s="1748"/>
      <c r="AP701" s="1748"/>
      <c r="AQ701" s="1748"/>
      <c r="AR701" s="1748"/>
      <c r="AS701" s="541"/>
      <c r="AT701" s="541"/>
      <c r="AU701" s="541"/>
      <c r="AV701" s="541"/>
      <c r="AW701" s="541"/>
      <c r="AY701" s="541"/>
      <c r="AZ701" s="633"/>
      <c r="BA701" s="541"/>
      <c r="BB701" s="1190"/>
      <c r="BC701" s="541"/>
      <c r="BD701" s="1190"/>
      <c r="BE701" s="541"/>
      <c r="BF701" s="1190"/>
      <c r="BG701" s="541"/>
      <c r="BH701" s="1190"/>
      <c r="BI701" s="541"/>
      <c r="BJ701" s="1190"/>
      <c r="BK701" s="541"/>
      <c r="BL701" s="541"/>
      <c r="BM701" s="541"/>
      <c r="BP701" s="541"/>
      <c r="BQ701" s="633"/>
      <c r="BR701" s="541"/>
      <c r="BS701" s="541"/>
      <c r="BT701" s="541"/>
      <c r="BU701" s="541"/>
    </row>
    <row r="702" ht="15.75" customHeight="1">
      <c r="A702" s="1591"/>
      <c r="B702" s="1591"/>
      <c r="C702" s="2217"/>
      <c r="D702" s="1541"/>
      <c r="E702" s="906"/>
      <c r="F702" s="541"/>
      <c r="G702" s="541"/>
      <c r="H702" s="541"/>
      <c r="I702" s="541"/>
      <c r="J702" s="1748"/>
      <c r="K702" s="541"/>
      <c r="L702" s="1748"/>
      <c r="M702" s="541"/>
      <c r="N702" s="1748"/>
      <c r="O702" s="541"/>
      <c r="P702" s="1748"/>
      <c r="Q702" s="541"/>
      <c r="R702" s="1748"/>
      <c r="S702" s="541"/>
      <c r="T702" s="1748"/>
      <c r="U702" s="541"/>
      <c r="V702" s="1748"/>
      <c r="W702" s="541"/>
      <c r="X702" s="1748"/>
      <c r="Y702" s="1748"/>
      <c r="Z702" s="1748"/>
      <c r="AA702" s="541"/>
      <c r="AB702" s="1748"/>
      <c r="AC702" s="541"/>
      <c r="AD702" s="541"/>
      <c r="AE702" s="541"/>
      <c r="AF702" s="541"/>
      <c r="AG702" s="541"/>
      <c r="AH702" s="541"/>
      <c r="AI702" s="541"/>
      <c r="AJ702" s="541"/>
      <c r="AK702" s="541"/>
      <c r="AL702" s="541"/>
      <c r="AM702" s="541"/>
      <c r="AN702" s="1748"/>
      <c r="AO702" s="1748"/>
      <c r="AP702" s="1748"/>
      <c r="AQ702" s="1748"/>
      <c r="AR702" s="1748"/>
      <c r="AS702" s="541"/>
      <c r="AT702" s="541"/>
      <c r="AU702" s="541"/>
      <c r="AV702" s="541"/>
      <c r="AW702" s="541"/>
      <c r="AY702" s="541"/>
      <c r="AZ702" s="633"/>
      <c r="BA702" s="541"/>
      <c r="BB702" s="1190"/>
      <c r="BC702" s="541"/>
      <c r="BD702" s="1190"/>
      <c r="BE702" s="541"/>
      <c r="BF702" s="1190"/>
      <c r="BG702" s="541"/>
      <c r="BH702" s="1190"/>
      <c r="BI702" s="541"/>
      <c r="BJ702" s="1190"/>
      <c r="BK702" s="541"/>
      <c r="BL702" s="541"/>
      <c r="BM702" s="541"/>
      <c r="BP702" s="541"/>
      <c r="BQ702" s="633"/>
      <c r="BR702" s="541"/>
      <c r="BS702" s="541"/>
      <c r="BT702" s="541"/>
      <c r="BU702" s="541"/>
    </row>
    <row r="703" ht="15.75" customHeight="1">
      <c r="A703" s="1591"/>
      <c r="B703" s="1591"/>
      <c r="C703" s="2217"/>
      <c r="D703" s="1541"/>
      <c r="E703" s="906"/>
      <c r="F703" s="541"/>
      <c r="G703" s="541"/>
      <c r="H703" s="541"/>
      <c r="I703" s="541"/>
      <c r="J703" s="1748"/>
      <c r="K703" s="541"/>
      <c r="L703" s="1748"/>
      <c r="M703" s="541"/>
      <c r="N703" s="1748"/>
      <c r="O703" s="541"/>
      <c r="P703" s="1748"/>
      <c r="Q703" s="541"/>
      <c r="R703" s="1748"/>
      <c r="S703" s="541"/>
      <c r="T703" s="1748"/>
      <c r="U703" s="541"/>
      <c r="V703" s="1748"/>
      <c r="W703" s="541"/>
      <c r="X703" s="1748"/>
      <c r="Y703" s="1748"/>
      <c r="Z703" s="1748"/>
      <c r="AA703" s="541"/>
      <c r="AB703" s="1748"/>
      <c r="AC703" s="541"/>
      <c r="AD703" s="541"/>
      <c r="AE703" s="541"/>
      <c r="AF703" s="541"/>
      <c r="AG703" s="541"/>
      <c r="AH703" s="541"/>
      <c r="AI703" s="541"/>
      <c r="AJ703" s="541"/>
      <c r="AK703" s="541"/>
      <c r="AL703" s="541"/>
      <c r="AM703" s="541"/>
      <c r="AN703" s="1748"/>
      <c r="AO703" s="1748"/>
      <c r="AP703" s="1748"/>
      <c r="AQ703" s="1748"/>
      <c r="AR703" s="1748"/>
      <c r="AS703" s="541"/>
      <c r="AT703" s="541"/>
      <c r="AU703" s="541"/>
      <c r="AV703" s="541"/>
      <c r="AW703" s="541"/>
      <c r="AY703" s="541"/>
      <c r="AZ703" s="633"/>
      <c r="BA703" s="541"/>
      <c r="BB703" s="1190"/>
      <c r="BC703" s="541"/>
      <c r="BD703" s="1190"/>
      <c r="BE703" s="541"/>
      <c r="BF703" s="1190"/>
      <c r="BG703" s="541"/>
      <c r="BH703" s="1190"/>
      <c r="BI703" s="541"/>
      <c r="BJ703" s="1190"/>
      <c r="BK703" s="541"/>
      <c r="BL703" s="541"/>
      <c r="BM703" s="541"/>
      <c r="BP703" s="541"/>
      <c r="BQ703" s="633"/>
      <c r="BR703" s="541"/>
      <c r="BS703" s="541"/>
      <c r="BT703" s="541"/>
      <c r="BU703" s="541"/>
    </row>
    <row r="704" ht="15.75" customHeight="1">
      <c r="A704" s="1591"/>
      <c r="B704" s="1591"/>
      <c r="C704" s="2217"/>
      <c r="D704" s="1541"/>
      <c r="E704" s="906"/>
      <c r="F704" s="541"/>
      <c r="G704" s="541"/>
      <c r="H704" s="541"/>
      <c r="I704" s="541"/>
      <c r="J704" s="1748"/>
      <c r="K704" s="541"/>
      <c r="L704" s="1748"/>
      <c r="M704" s="541"/>
      <c r="N704" s="1748"/>
      <c r="O704" s="541"/>
      <c r="P704" s="1748"/>
      <c r="Q704" s="541"/>
      <c r="R704" s="1748"/>
      <c r="S704" s="541"/>
      <c r="T704" s="1748"/>
      <c r="U704" s="541"/>
      <c r="V704" s="1748"/>
      <c r="W704" s="541"/>
      <c r="X704" s="1748"/>
      <c r="Y704" s="1748"/>
      <c r="Z704" s="1748"/>
      <c r="AA704" s="541"/>
      <c r="AB704" s="1748"/>
      <c r="AC704" s="541"/>
      <c r="AD704" s="541"/>
      <c r="AE704" s="541"/>
      <c r="AF704" s="541"/>
      <c r="AG704" s="541"/>
      <c r="AH704" s="541"/>
      <c r="AI704" s="541"/>
      <c r="AJ704" s="541"/>
      <c r="AK704" s="541"/>
      <c r="AL704" s="541"/>
      <c r="AM704" s="541"/>
      <c r="AN704" s="1748"/>
      <c r="AO704" s="1748"/>
      <c r="AP704" s="1748"/>
      <c r="AQ704" s="1748"/>
      <c r="AR704" s="1748"/>
      <c r="AS704" s="541"/>
      <c r="AT704" s="541"/>
      <c r="AU704" s="541"/>
      <c r="AV704" s="541"/>
      <c r="AW704" s="541"/>
      <c r="AY704" s="541"/>
      <c r="AZ704" s="633"/>
      <c r="BA704" s="541"/>
      <c r="BB704" s="1190"/>
      <c r="BC704" s="541"/>
      <c r="BD704" s="1190"/>
      <c r="BE704" s="541"/>
      <c r="BF704" s="1190"/>
      <c r="BG704" s="541"/>
      <c r="BH704" s="1190"/>
      <c r="BI704" s="541"/>
      <c r="BJ704" s="1190"/>
      <c r="BK704" s="541"/>
      <c r="BL704" s="541"/>
      <c r="BM704" s="541"/>
      <c r="BP704" s="541"/>
      <c r="BQ704" s="633"/>
      <c r="BR704" s="541"/>
      <c r="BS704" s="541"/>
      <c r="BT704" s="541"/>
      <c r="BU704" s="541"/>
    </row>
    <row r="705" ht="15.75" customHeight="1">
      <c r="A705" s="1591"/>
      <c r="B705" s="1591"/>
      <c r="C705" s="2217"/>
      <c r="D705" s="1541"/>
      <c r="E705" s="906"/>
      <c r="F705" s="541"/>
      <c r="G705" s="541"/>
      <c r="H705" s="541"/>
      <c r="I705" s="541"/>
      <c r="J705" s="1748"/>
      <c r="K705" s="541"/>
      <c r="L705" s="1748"/>
      <c r="M705" s="541"/>
      <c r="N705" s="1748"/>
      <c r="O705" s="541"/>
      <c r="P705" s="1748"/>
      <c r="Q705" s="541"/>
      <c r="R705" s="1748"/>
      <c r="S705" s="541"/>
      <c r="T705" s="1748"/>
      <c r="U705" s="541"/>
      <c r="V705" s="1748"/>
      <c r="W705" s="541"/>
      <c r="X705" s="1748"/>
      <c r="Y705" s="1748"/>
      <c r="Z705" s="1748"/>
      <c r="AA705" s="541"/>
      <c r="AB705" s="1748"/>
      <c r="AC705" s="541"/>
      <c r="AD705" s="541"/>
      <c r="AE705" s="541"/>
      <c r="AF705" s="541"/>
      <c r="AG705" s="541"/>
      <c r="AH705" s="541"/>
      <c r="AI705" s="541"/>
      <c r="AJ705" s="541"/>
      <c r="AK705" s="541"/>
      <c r="AL705" s="541"/>
      <c r="AM705" s="541"/>
      <c r="AN705" s="1748"/>
      <c r="AO705" s="1748"/>
      <c r="AP705" s="1748"/>
      <c r="AQ705" s="1748"/>
      <c r="AR705" s="1748"/>
      <c r="AS705" s="541"/>
      <c r="AT705" s="541"/>
      <c r="AU705" s="541"/>
      <c r="AV705" s="541"/>
      <c r="AW705" s="541"/>
      <c r="AY705" s="541"/>
      <c r="AZ705" s="633"/>
      <c r="BA705" s="541"/>
      <c r="BB705" s="1190"/>
      <c r="BC705" s="541"/>
      <c r="BD705" s="1190"/>
      <c r="BE705" s="541"/>
      <c r="BF705" s="1190"/>
      <c r="BG705" s="541"/>
      <c r="BH705" s="1190"/>
      <c r="BI705" s="541"/>
      <c r="BJ705" s="1190"/>
      <c r="BK705" s="541"/>
      <c r="BL705" s="541"/>
      <c r="BM705" s="541"/>
      <c r="BP705" s="541"/>
      <c r="BQ705" s="633"/>
      <c r="BR705" s="541"/>
      <c r="BS705" s="541"/>
      <c r="BT705" s="541"/>
      <c r="BU705" s="541"/>
    </row>
    <row r="706" ht="15.75" customHeight="1">
      <c r="A706" s="1591"/>
      <c r="B706" s="1591"/>
      <c r="C706" s="2217"/>
      <c r="D706" s="1541"/>
      <c r="E706" s="906"/>
      <c r="F706" s="541"/>
      <c r="G706" s="541"/>
      <c r="H706" s="541"/>
      <c r="I706" s="541"/>
      <c r="J706" s="1748"/>
      <c r="K706" s="541"/>
      <c r="L706" s="1748"/>
      <c r="M706" s="541"/>
      <c r="N706" s="1748"/>
      <c r="O706" s="541"/>
      <c r="P706" s="1748"/>
      <c r="Q706" s="541"/>
      <c r="R706" s="1748"/>
      <c r="S706" s="541"/>
      <c r="T706" s="1748"/>
      <c r="U706" s="541"/>
      <c r="V706" s="1748"/>
      <c r="W706" s="541"/>
      <c r="X706" s="1748"/>
      <c r="Y706" s="1748"/>
      <c r="Z706" s="1748"/>
      <c r="AA706" s="541"/>
      <c r="AB706" s="1748"/>
      <c r="AC706" s="541"/>
      <c r="AD706" s="541"/>
      <c r="AE706" s="541"/>
      <c r="AF706" s="541"/>
      <c r="AG706" s="541"/>
      <c r="AH706" s="541"/>
      <c r="AI706" s="541"/>
      <c r="AJ706" s="541"/>
      <c r="AK706" s="541"/>
      <c r="AL706" s="541"/>
      <c r="AM706" s="541"/>
      <c r="AN706" s="1748"/>
      <c r="AO706" s="1748"/>
      <c r="AP706" s="1748"/>
      <c r="AQ706" s="1748"/>
      <c r="AR706" s="1748"/>
      <c r="AS706" s="541"/>
      <c r="AT706" s="541"/>
      <c r="AU706" s="541"/>
      <c r="AV706" s="541"/>
      <c r="AW706" s="541"/>
      <c r="AY706" s="541"/>
      <c r="AZ706" s="633"/>
      <c r="BA706" s="541"/>
      <c r="BB706" s="1190"/>
      <c r="BC706" s="541"/>
      <c r="BD706" s="1190"/>
      <c r="BE706" s="541"/>
      <c r="BF706" s="1190"/>
      <c r="BG706" s="541"/>
      <c r="BH706" s="1190"/>
      <c r="BI706" s="541"/>
      <c r="BJ706" s="1190"/>
      <c r="BK706" s="541"/>
      <c r="BL706" s="541"/>
      <c r="BM706" s="541"/>
      <c r="BP706" s="541"/>
      <c r="BQ706" s="633"/>
      <c r="BR706" s="541"/>
      <c r="BS706" s="541"/>
      <c r="BT706" s="541"/>
      <c r="BU706" s="541"/>
    </row>
    <row r="707" ht="15.75" customHeight="1">
      <c r="A707" s="1591"/>
      <c r="B707" s="1591"/>
      <c r="C707" s="2217"/>
      <c r="D707" s="1541"/>
      <c r="E707" s="906"/>
      <c r="F707" s="541"/>
      <c r="G707" s="541"/>
      <c r="H707" s="541"/>
      <c r="I707" s="541"/>
      <c r="J707" s="1748"/>
      <c r="K707" s="541"/>
      <c r="L707" s="1748"/>
      <c r="M707" s="541"/>
      <c r="N707" s="1748"/>
      <c r="O707" s="541"/>
      <c r="P707" s="1748"/>
      <c r="Q707" s="541"/>
      <c r="R707" s="1748"/>
      <c r="S707" s="541"/>
      <c r="T707" s="1748"/>
      <c r="U707" s="541"/>
      <c r="V707" s="1748"/>
      <c r="W707" s="541"/>
      <c r="X707" s="1748"/>
      <c r="Y707" s="1748"/>
      <c r="Z707" s="1748"/>
      <c r="AA707" s="541"/>
      <c r="AB707" s="1748"/>
      <c r="AC707" s="541"/>
      <c r="AD707" s="541"/>
      <c r="AE707" s="541"/>
      <c r="AF707" s="541"/>
      <c r="AG707" s="541"/>
      <c r="AH707" s="541"/>
      <c r="AI707" s="541"/>
      <c r="AJ707" s="541"/>
      <c r="AK707" s="541"/>
      <c r="AL707" s="541"/>
      <c r="AM707" s="541"/>
      <c r="AN707" s="1748"/>
      <c r="AO707" s="1748"/>
      <c r="AP707" s="1748"/>
      <c r="AQ707" s="1748"/>
      <c r="AR707" s="1748"/>
      <c r="AS707" s="541"/>
      <c r="AT707" s="541"/>
      <c r="AU707" s="541"/>
      <c r="AV707" s="541"/>
      <c r="AW707" s="541"/>
      <c r="AY707" s="541"/>
      <c r="AZ707" s="633"/>
      <c r="BA707" s="541"/>
      <c r="BB707" s="1190"/>
      <c r="BC707" s="541"/>
      <c r="BD707" s="1190"/>
      <c r="BE707" s="541"/>
      <c r="BF707" s="1190"/>
      <c r="BG707" s="541"/>
      <c r="BH707" s="1190"/>
      <c r="BI707" s="541"/>
      <c r="BJ707" s="1190"/>
      <c r="BK707" s="541"/>
      <c r="BL707" s="541"/>
      <c r="BM707" s="541"/>
      <c r="BP707" s="541"/>
      <c r="BQ707" s="633"/>
      <c r="BR707" s="541"/>
      <c r="BS707" s="541"/>
      <c r="BT707" s="541"/>
      <c r="BU707" s="541"/>
    </row>
    <row r="708" ht="15.75" customHeight="1">
      <c r="A708" s="1591"/>
      <c r="B708" s="1591"/>
      <c r="C708" s="2217"/>
      <c r="D708" s="1541"/>
      <c r="E708" s="906"/>
      <c r="F708" s="541"/>
      <c r="G708" s="541"/>
      <c r="H708" s="541"/>
      <c r="I708" s="541"/>
      <c r="J708" s="1748"/>
      <c r="K708" s="541"/>
      <c r="L708" s="1748"/>
      <c r="M708" s="541"/>
      <c r="N708" s="1748"/>
      <c r="O708" s="541"/>
      <c r="P708" s="1748"/>
      <c r="Q708" s="541"/>
      <c r="R708" s="1748"/>
      <c r="S708" s="541"/>
      <c r="T708" s="1748"/>
      <c r="U708" s="541"/>
      <c r="V708" s="1748"/>
      <c r="W708" s="541"/>
      <c r="X708" s="1748"/>
      <c r="Y708" s="1748"/>
      <c r="Z708" s="1748"/>
      <c r="AA708" s="541"/>
      <c r="AB708" s="1748"/>
      <c r="AC708" s="541"/>
      <c r="AD708" s="541"/>
      <c r="AE708" s="541"/>
      <c r="AF708" s="541"/>
      <c r="AG708" s="541"/>
      <c r="AH708" s="541"/>
      <c r="AI708" s="541"/>
      <c r="AJ708" s="541"/>
      <c r="AK708" s="541"/>
      <c r="AL708" s="541"/>
      <c r="AM708" s="541"/>
      <c r="AN708" s="1748"/>
      <c r="AO708" s="1748"/>
      <c r="AP708" s="1748"/>
      <c r="AQ708" s="1748"/>
      <c r="AR708" s="1748"/>
      <c r="AS708" s="541"/>
      <c r="AT708" s="541"/>
      <c r="AU708" s="541"/>
      <c r="AV708" s="541"/>
      <c r="AW708" s="541"/>
      <c r="AY708" s="541"/>
      <c r="AZ708" s="633"/>
      <c r="BA708" s="541"/>
      <c r="BB708" s="1190"/>
      <c r="BC708" s="541"/>
      <c r="BD708" s="1190"/>
      <c r="BE708" s="541"/>
      <c r="BF708" s="1190"/>
      <c r="BG708" s="541"/>
      <c r="BH708" s="1190"/>
      <c r="BI708" s="541"/>
      <c r="BJ708" s="1190"/>
      <c r="BK708" s="541"/>
      <c r="BL708" s="541"/>
      <c r="BM708" s="541"/>
      <c r="BP708" s="541"/>
      <c r="BQ708" s="633"/>
      <c r="BR708" s="541"/>
      <c r="BS708" s="541"/>
      <c r="BT708" s="541"/>
      <c r="BU708" s="541"/>
    </row>
    <row r="709" ht="15.75" customHeight="1">
      <c r="A709" s="1591"/>
      <c r="B709" s="1591"/>
      <c r="C709" s="2217"/>
      <c r="D709" s="1541"/>
      <c r="E709" s="906"/>
      <c r="F709" s="541"/>
      <c r="G709" s="541"/>
      <c r="H709" s="541"/>
      <c r="I709" s="541"/>
      <c r="J709" s="1748"/>
      <c r="K709" s="541"/>
      <c r="L709" s="1748"/>
      <c r="M709" s="541"/>
      <c r="N709" s="1748"/>
      <c r="O709" s="541"/>
      <c r="P709" s="1748"/>
      <c r="Q709" s="541"/>
      <c r="R709" s="1748"/>
      <c r="S709" s="541"/>
      <c r="T709" s="1748"/>
      <c r="U709" s="541"/>
      <c r="V709" s="1748"/>
      <c r="W709" s="541"/>
      <c r="X709" s="1748"/>
      <c r="Y709" s="1748"/>
      <c r="Z709" s="1748"/>
      <c r="AA709" s="541"/>
      <c r="AB709" s="1748"/>
      <c r="AC709" s="541"/>
      <c r="AD709" s="541"/>
      <c r="AE709" s="541"/>
      <c r="AF709" s="541"/>
      <c r="AG709" s="541"/>
      <c r="AH709" s="541"/>
      <c r="AI709" s="541"/>
      <c r="AJ709" s="541"/>
      <c r="AK709" s="541"/>
      <c r="AL709" s="541"/>
      <c r="AM709" s="541"/>
      <c r="AN709" s="1748"/>
      <c r="AO709" s="1748"/>
      <c r="AP709" s="1748"/>
      <c r="AQ709" s="1748"/>
      <c r="AR709" s="1748"/>
      <c r="AS709" s="541"/>
      <c r="AT709" s="541"/>
      <c r="AU709" s="541"/>
      <c r="AV709" s="541"/>
      <c r="AW709" s="541"/>
      <c r="AY709" s="541"/>
      <c r="AZ709" s="633"/>
      <c r="BA709" s="541"/>
      <c r="BB709" s="1190"/>
      <c r="BC709" s="541"/>
      <c r="BD709" s="1190"/>
      <c r="BE709" s="541"/>
      <c r="BF709" s="1190"/>
      <c r="BG709" s="541"/>
      <c r="BH709" s="1190"/>
      <c r="BI709" s="541"/>
      <c r="BJ709" s="1190"/>
      <c r="BK709" s="541"/>
      <c r="BL709" s="541"/>
      <c r="BM709" s="541"/>
      <c r="BP709" s="541"/>
      <c r="BQ709" s="633"/>
      <c r="BR709" s="541"/>
      <c r="BS709" s="541"/>
      <c r="BT709" s="541"/>
      <c r="BU709" s="541"/>
    </row>
    <row r="710" ht="15.75" customHeight="1">
      <c r="A710" s="1591"/>
      <c r="B710" s="1591"/>
      <c r="C710" s="2217"/>
      <c r="D710" s="1541"/>
      <c r="E710" s="906"/>
      <c r="F710" s="541"/>
      <c r="G710" s="541"/>
      <c r="H710" s="541"/>
      <c r="I710" s="541"/>
      <c r="J710" s="1748"/>
      <c r="K710" s="541"/>
      <c r="L710" s="1748"/>
      <c r="M710" s="541"/>
      <c r="N710" s="1748"/>
      <c r="O710" s="541"/>
      <c r="P710" s="1748"/>
      <c r="Q710" s="541"/>
      <c r="R710" s="1748"/>
      <c r="S710" s="541"/>
      <c r="T710" s="1748"/>
      <c r="U710" s="541"/>
      <c r="V710" s="1748"/>
      <c r="W710" s="541"/>
      <c r="X710" s="1748"/>
      <c r="Y710" s="1748"/>
      <c r="Z710" s="1748"/>
      <c r="AA710" s="541"/>
      <c r="AB710" s="1748"/>
      <c r="AC710" s="541"/>
      <c r="AD710" s="541"/>
      <c r="AE710" s="541"/>
      <c r="AF710" s="541"/>
      <c r="AG710" s="541"/>
      <c r="AH710" s="541"/>
      <c r="AI710" s="541"/>
      <c r="AJ710" s="541"/>
      <c r="AK710" s="541"/>
      <c r="AL710" s="541"/>
      <c r="AM710" s="541"/>
      <c r="AN710" s="1748"/>
      <c r="AO710" s="1748"/>
      <c r="AP710" s="1748"/>
      <c r="AQ710" s="1748"/>
      <c r="AR710" s="1748"/>
      <c r="AS710" s="541"/>
      <c r="AT710" s="541"/>
      <c r="AU710" s="541"/>
      <c r="AV710" s="541"/>
      <c r="AW710" s="541"/>
      <c r="AY710" s="541"/>
      <c r="AZ710" s="633"/>
      <c r="BA710" s="541"/>
      <c r="BB710" s="1190"/>
      <c r="BC710" s="541"/>
      <c r="BD710" s="1190"/>
      <c r="BE710" s="541"/>
      <c r="BF710" s="1190"/>
      <c r="BG710" s="541"/>
      <c r="BH710" s="1190"/>
      <c r="BI710" s="541"/>
      <c r="BJ710" s="1190"/>
      <c r="BK710" s="541"/>
      <c r="BL710" s="541"/>
      <c r="BM710" s="541"/>
      <c r="BP710" s="541"/>
      <c r="BQ710" s="633"/>
      <c r="BR710" s="541"/>
      <c r="BS710" s="541"/>
      <c r="BT710" s="541"/>
      <c r="BU710" s="541"/>
    </row>
    <row r="711" ht="15.75" customHeight="1">
      <c r="A711" s="1591"/>
      <c r="B711" s="1591"/>
      <c r="C711" s="2217"/>
      <c r="D711" s="1541"/>
      <c r="E711" s="906"/>
      <c r="F711" s="541"/>
      <c r="G711" s="541"/>
      <c r="H711" s="541"/>
      <c r="I711" s="541"/>
      <c r="J711" s="1748"/>
      <c r="K711" s="541"/>
      <c r="L711" s="1748"/>
      <c r="M711" s="541"/>
      <c r="N711" s="1748"/>
      <c r="O711" s="541"/>
      <c r="P711" s="1748"/>
      <c r="Q711" s="541"/>
      <c r="R711" s="1748"/>
      <c r="S711" s="541"/>
      <c r="T711" s="1748"/>
      <c r="U711" s="541"/>
      <c r="V711" s="1748"/>
      <c r="W711" s="541"/>
      <c r="X711" s="1748"/>
      <c r="Y711" s="1748"/>
      <c r="Z711" s="1748"/>
      <c r="AA711" s="541"/>
      <c r="AB711" s="1748"/>
      <c r="AC711" s="541"/>
      <c r="AD711" s="541"/>
      <c r="AE711" s="541"/>
      <c r="AF711" s="541"/>
      <c r="AG711" s="541"/>
      <c r="AH711" s="541"/>
      <c r="AI711" s="541"/>
      <c r="AJ711" s="541"/>
      <c r="AK711" s="541"/>
      <c r="AL711" s="541"/>
      <c r="AM711" s="541"/>
      <c r="AN711" s="1748"/>
      <c r="AO711" s="1748"/>
      <c r="AP711" s="1748"/>
      <c r="AQ711" s="1748"/>
      <c r="AR711" s="1748"/>
      <c r="AS711" s="541"/>
      <c r="AT711" s="541"/>
      <c r="AU711" s="541"/>
      <c r="AV711" s="541"/>
      <c r="AW711" s="541"/>
      <c r="AY711" s="541"/>
      <c r="AZ711" s="633"/>
      <c r="BA711" s="541"/>
      <c r="BB711" s="1190"/>
      <c r="BC711" s="541"/>
      <c r="BD711" s="1190"/>
      <c r="BE711" s="541"/>
      <c r="BF711" s="1190"/>
      <c r="BG711" s="541"/>
      <c r="BH711" s="1190"/>
      <c r="BI711" s="541"/>
      <c r="BJ711" s="1190"/>
      <c r="BK711" s="541"/>
      <c r="BL711" s="541"/>
      <c r="BM711" s="541"/>
      <c r="BP711" s="541"/>
      <c r="BQ711" s="633"/>
      <c r="BR711" s="541"/>
      <c r="BS711" s="541"/>
      <c r="BT711" s="541"/>
      <c r="BU711" s="541"/>
    </row>
    <row r="712" ht="15.75" customHeight="1">
      <c r="A712" s="1591"/>
      <c r="B712" s="1591"/>
      <c r="C712" s="2217"/>
      <c r="D712" s="1541"/>
      <c r="E712" s="906"/>
      <c r="F712" s="541"/>
      <c r="G712" s="541"/>
      <c r="H712" s="541"/>
      <c r="I712" s="541"/>
      <c r="J712" s="1748"/>
      <c r="K712" s="541"/>
      <c r="L712" s="1748"/>
      <c r="M712" s="541"/>
      <c r="N712" s="1748"/>
      <c r="O712" s="541"/>
      <c r="P712" s="1748"/>
      <c r="Q712" s="541"/>
      <c r="R712" s="1748"/>
      <c r="S712" s="541"/>
      <c r="T712" s="1748"/>
      <c r="U712" s="541"/>
      <c r="V712" s="1748"/>
      <c r="W712" s="541"/>
      <c r="X712" s="1748"/>
      <c r="Y712" s="1748"/>
      <c r="Z712" s="1748"/>
      <c r="AA712" s="541"/>
      <c r="AB712" s="1748"/>
      <c r="AC712" s="541"/>
      <c r="AD712" s="541"/>
      <c r="AE712" s="541"/>
      <c r="AF712" s="541"/>
      <c r="AG712" s="541"/>
      <c r="AH712" s="541"/>
      <c r="AI712" s="541"/>
      <c r="AJ712" s="541"/>
      <c r="AK712" s="541"/>
      <c r="AL712" s="541"/>
      <c r="AM712" s="541"/>
      <c r="AN712" s="1748"/>
      <c r="AO712" s="1748"/>
      <c r="AP712" s="1748"/>
      <c r="AQ712" s="1748"/>
      <c r="AR712" s="1748"/>
      <c r="AS712" s="541"/>
      <c r="AT712" s="541"/>
      <c r="AU712" s="541"/>
      <c r="AV712" s="541"/>
      <c r="AW712" s="541"/>
      <c r="AY712" s="541"/>
      <c r="AZ712" s="633"/>
      <c r="BA712" s="541"/>
      <c r="BB712" s="1190"/>
      <c r="BC712" s="541"/>
      <c r="BD712" s="1190"/>
      <c r="BE712" s="541"/>
      <c r="BF712" s="1190"/>
      <c r="BG712" s="541"/>
      <c r="BH712" s="1190"/>
      <c r="BI712" s="541"/>
      <c r="BJ712" s="1190"/>
      <c r="BK712" s="541"/>
      <c r="BL712" s="541"/>
      <c r="BM712" s="541"/>
      <c r="BP712" s="541"/>
      <c r="BQ712" s="633"/>
      <c r="BR712" s="541"/>
      <c r="BS712" s="541"/>
      <c r="BT712" s="541"/>
      <c r="BU712" s="541"/>
    </row>
    <row r="713" ht="15.75" customHeight="1">
      <c r="A713" s="1591"/>
      <c r="B713" s="1591"/>
      <c r="C713" s="2217"/>
      <c r="D713" s="1541"/>
      <c r="E713" s="906"/>
      <c r="F713" s="541"/>
      <c r="G713" s="541"/>
      <c r="H713" s="541"/>
      <c r="I713" s="541"/>
      <c r="J713" s="1748"/>
      <c r="K713" s="541"/>
      <c r="L713" s="1748"/>
      <c r="M713" s="541"/>
      <c r="N713" s="1748"/>
      <c r="O713" s="541"/>
      <c r="P713" s="1748"/>
      <c r="Q713" s="541"/>
      <c r="R713" s="1748"/>
      <c r="S713" s="541"/>
      <c r="T713" s="1748"/>
      <c r="U713" s="541"/>
      <c r="V713" s="1748"/>
      <c r="W713" s="541"/>
      <c r="X713" s="1748"/>
      <c r="Y713" s="1748"/>
      <c r="Z713" s="1748"/>
      <c r="AA713" s="541"/>
      <c r="AB713" s="1748"/>
      <c r="AC713" s="541"/>
      <c r="AD713" s="541"/>
      <c r="AE713" s="541"/>
      <c r="AF713" s="541"/>
      <c r="AG713" s="541"/>
      <c r="AH713" s="541"/>
      <c r="AI713" s="541"/>
      <c r="AJ713" s="541"/>
      <c r="AK713" s="541"/>
      <c r="AL713" s="541"/>
      <c r="AM713" s="541"/>
      <c r="AN713" s="1748"/>
      <c r="AO713" s="1748"/>
      <c r="AP713" s="1748"/>
      <c r="AQ713" s="1748"/>
      <c r="AR713" s="1748"/>
      <c r="AS713" s="541"/>
      <c r="AT713" s="541"/>
      <c r="AU713" s="541"/>
      <c r="AV713" s="541"/>
      <c r="AW713" s="541"/>
      <c r="AY713" s="541"/>
      <c r="AZ713" s="633"/>
      <c r="BA713" s="541"/>
      <c r="BB713" s="1190"/>
      <c r="BC713" s="541"/>
      <c r="BD713" s="1190"/>
      <c r="BE713" s="541"/>
      <c r="BF713" s="1190"/>
      <c r="BG713" s="541"/>
      <c r="BH713" s="1190"/>
      <c r="BI713" s="541"/>
      <c r="BJ713" s="1190"/>
      <c r="BK713" s="541"/>
      <c r="BL713" s="541"/>
      <c r="BM713" s="541"/>
      <c r="BP713" s="541"/>
      <c r="BQ713" s="633"/>
      <c r="BR713" s="541"/>
      <c r="BS713" s="541"/>
      <c r="BT713" s="541"/>
      <c r="BU713" s="541"/>
    </row>
    <row r="714" ht="15.75" customHeight="1">
      <c r="A714" s="1591"/>
      <c r="B714" s="1591"/>
      <c r="C714" s="2217"/>
      <c r="D714" s="1541"/>
      <c r="E714" s="906"/>
      <c r="F714" s="541"/>
      <c r="G714" s="541"/>
      <c r="H714" s="541"/>
      <c r="I714" s="541"/>
      <c r="J714" s="1748"/>
      <c r="K714" s="541"/>
      <c r="L714" s="1748"/>
      <c r="M714" s="541"/>
      <c r="N714" s="1748"/>
      <c r="O714" s="541"/>
      <c r="P714" s="1748"/>
      <c r="Q714" s="541"/>
      <c r="R714" s="1748"/>
      <c r="S714" s="541"/>
      <c r="T714" s="1748"/>
      <c r="U714" s="541"/>
      <c r="V714" s="1748"/>
      <c r="W714" s="541"/>
      <c r="X714" s="1748"/>
      <c r="Y714" s="1748"/>
      <c r="Z714" s="1748"/>
      <c r="AA714" s="541"/>
      <c r="AB714" s="1748"/>
      <c r="AC714" s="541"/>
      <c r="AD714" s="541"/>
      <c r="AE714" s="541"/>
      <c r="AF714" s="541"/>
      <c r="AG714" s="541"/>
      <c r="AH714" s="541"/>
      <c r="AI714" s="541"/>
      <c r="AJ714" s="541"/>
      <c r="AK714" s="541"/>
      <c r="AL714" s="541"/>
      <c r="AM714" s="541"/>
      <c r="AN714" s="1748"/>
      <c r="AO714" s="1748"/>
      <c r="AP714" s="1748"/>
      <c r="AQ714" s="1748"/>
      <c r="AR714" s="1748"/>
      <c r="AS714" s="541"/>
      <c r="AT714" s="541"/>
      <c r="AU714" s="541"/>
      <c r="AV714" s="541"/>
      <c r="AW714" s="541"/>
      <c r="AY714" s="541"/>
      <c r="AZ714" s="633"/>
      <c r="BA714" s="541"/>
      <c r="BB714" s="1190"/>
      <c r="BC714" s="541"/>
      <c r="BD714" s="1190"/>
      <c r="BE714" s="541"/>
      <c r="BF714" s="1190"/>
      <c r="BG714" s="541"/>
      <c r="BH714" s="1190"/>
      <c r="BI714" s="541"/>
      <c r="BJ714" s="1190"/>
      <c r="BK714" s="541"/>
      <c r="BL714" s="541"/>
      <c r="BM714" s="541"/>
      <c r="BP714" s="541"/>
      <c r="BQ714" s="633"/>
      <c r="BR714" s="541"/>
      <c r="BS714" s="541"/>
      <c r="BT714" s="541"/>
      <c r="BU714" s="541"/>
    </row>
    <row r="715" ht="15.75" customHeight="1">
      <c r="A715" s="1591"/>
      <c r="B715" s="1591"/>
      <c r="C715" s="2217"/>
      <c r="D715" s="1541"/>
      <c r="E715" s="906"/>
      <c r="F715" s="541"/>
      <c r="G715" s="541"/>
      <c r="H715" s="541"/>
      <c r="I715" s="541"/>
      <c r="J715" s="1748"/>
      <c r="K715" s="541"/>
      <c r="L715" s="1748"/>
      <c r="M715" s="541"/>
      <c r="N715" s="1748"/>
      <c r="O715" s="541"/>
      <c r="P715" s="1748"/>
      <c r="Q715" s="541"/>
      <c r="R715" s="1748"/>
      <c r="S715" s="541"/>
      <c r="T715" s="1748"/>
      <c r="U715" s="541"/>
      <c r="V715" s="1748"/>
      <c r="W715" s="541"/>
      <c r="X715" s="1748"/>
      <c r="Y715" s="1748"/>
      <c r="Z715" s="1748"/>
      <c r="AA715" s="541"/>
      <c r="AB715" s="1748"/>
      <c r="AC715" s="541"/>
      <c r="AD715" s="541"/>
      <c r="AE715" s="541"/>
      <c r="AF715" s="541"/>
      <c r="AG715" s="541"/>
      <c r="AH715" s="541"/>
      <c r="AI715" s="541"/>
      <c r="AJ715" s="541"/>
      <c r="AK715" s="541"/>
      <c r="AL715" s="541"/>
      <c r="AM715" s="541"/>
      <c r="AN715" s="1748"/>
      <c r="AO715" s="1748"/>
      <c r="AP715" s="1748"/>
      <c r="AQ715" s="1748"/>
      <c r="AR715" s="1748"/>
      <c r="AS715" s="541"/>
      <c r="AT715" s="541"/>
      <c r="AU715" s="541"/>
      <c r="AV715" s="541"/>
      <c r="AW715" s="541"/>
      <c r="AY715" s="541"/>
      <c r="AZ715" s="633"/>
      <c r="BA715" s="541"/>
      <c r="BB715" s="1190"/>
      <c r="BC715" s="541"/>
      <c r="BD715" s="1190"/>
      <c r="BE715" s="541"/>
      <c r="BF715" s="1190"/>
      <c r="BG715" s="541"/>
      <c r="BH715" s="1190"/>
      <c r="BI715" s="541"/>
      <c r="BJ715" s="1190"/>
      <c r="BK715" s="541"/>
      <c r="BL715" s="541"/>
      <c r="BM715" s="541"/>
      <c r="BP715" s="541"/>
      <c r="BQ715" s="633"/>
      <c r="BR715" s="541"/>
      <c r="BS715" s="541"/>
      <c r="BT715" s="541"/>
      <c r="BU715" s="541"/>
    </row>
    <row r="716" ht="15.75" customHeight="1">
      <c r="A716" s="1591"/>
      <c r="B716" s="1591"/>
      <c r="C716" s="2217"/>
      <c r="D716" s="1541"/>
      <c r="E716" s="906"/>
      <c r="F716" s="541"/>
      <c r="G716" s="541"/>
      <c r="H716" s="541"/>
      <c r="I716" s="541"/>
      <c r="J716" s="1748"/>
      <c r="K716" s="541"/>
      <c r="L716" s="1748"/>
      <c r="M716" s="541"/>
      <c r="N716" s="1748"/>
      <c r="O716" s="541"/>
      <c r="P716" s="1748"/>
      <c r="Q716" s="541"/>
      <c r="R716" s="1748"/>
      <c r="S716" s="541"/>
      <c r="T716" s="1748"/>
      <c r="U716" s="541"/>
      <c r="V716" s="1748"/>
      <c r="W716" s="541"/>
      <c r="X716" s="1748"/>
      <c r="Y716" s="1748"/>
      <c r="Z716" s="1748"/>
      <c r="AA716" s="541"/>
      <c r="AB716" s="1748"/>
      <c r="AC716" s="541"/>
      <c r="AD716" s="541"/>
      <c r="AE716" s="541"/>
      <c r="AF716" s="541"/>
      <c r="AG716" s="541"/>
      <c r="AH716" s="541"/>
      <c r="AI716" s="541"/>
      <c r="AJ716" s="541"/>
      <c r="AK716" s="541"/>
      <c r="AL716" s="541"/>
      <c r="AM716" s="541"/>
      <c r="AN716" s="1748"/>
      <c r="AO716" s="1748"/>
      <c r="AP716" s="1748"/>
      <c r="AQ716" s="1748"/>
      <c r="AR716" s="1748"/>
      <c r="AS716" s="541"/>
      <c r="AT716" s="541"/>
      <c r="AU716" s="541"/>
      <c r="AV716" s="541"/>
      <c r="AW716" s="541"/>
      <c r="AY716" s="541"/>
      <c r="AZ716" s="633"/>
      <c r="BA716" s="541"/>
      <c r="BB716" s="1190"/>
      <c r="BC716" s="541"/>
      <c r="BD716" s="1190"/>
      <c r="BE716" s="541"/>
      <c r="BF716" s="1190"/>
      <c r="BG716" s="541"/>
      <c r="BH716" s="1190"/>
      <c r="BI716" s="541"/>
      <c r="BJ716" s="1190"/>
      <c r="BK716" s="541"/>
      <c r="BL716" s="541"/>
      <c r="BM716" s="541"/>
      <c r="BP716" s="541"/>
      <c r="BQ716" s="633"/>
      <c r="BR716" s="541"/>
      <c r="BS716" s="541"/>
      <c r="BT716" s="541"/>
      <c r="BU716" s="541"/>
    </row>
    <row r="717" ht="15.75" customHeight="1">
      <c r="A717" s="1591"/>
      <c r="B717" s="1591"/>
      <c r="C717" s="2217"/>
      <c r="D717" s="1541"/>
      <c r="E717" s="906"/>
      <c r="F717" s="541"/>
      <c r="G717" s="541"/>
      <c r="H717" s="541"/>
      <c r="I717" s="541"/>
      <c r="J717" s="1748"/>
      <c r="K717" s="541"/>
      <c r="L717" s="1748"/>
      <c r="M717" s="541"/>
      <c r="N717" s="1748"/>
      <c r="O717" s="541"/>
      <c r="P717" s="1748"/>
      <c r="Q717" s="541"/>
      <c r="R717" s="1748"/>
      <c r="S717" s="541"/>
      <c r="T717" s="1748"/>
      <c r="U717" s="541"/>
      <c r="V717" s="1748"/>
      <c r="W717" s="541"/>
      <c r="X717" s="1748"/>
      <c r="Y717" s="1748"/>
      <c r="Z717" s="1748"/>
      <c r="AA717" s="541"/>
      <c r="AB717" s="1748"/>
      <c r="AC717" s="541"/>
      <c r="AD717" s="541"/>
      <c r="AE717" s="541"/>
      <c r="AF717" s="541"/>
      <c r="AG717" s="541"/>
      <c r="AH717" s="541"/>
      <c r="AI717" s="541"/>
      <c r="AJ717" s="541"/>
      <c r="AK717" s="541"/>
      <c r="AL717" s="541"/>
      <c r="AM717" s="541"/>
      <c r="AN717" s="1748"/>
      <c r="AO717" s="1748"/>
      <c r="AP717" s="1748"/>
      <c r="AQ717" s="1748"/>
      <c r="AR717" s="1748"/>
      <c r="AS717" s="541"/>
      <c r="AT717" s="541"/>
      <c r="AU717" s="541"/>
      <c r="AV717" s="541"/>
      <c r="AW717" s="541"/>
      <c r="AY717" s="541"/>
      <c r="AZ717" s="633"/>
      <c r="BA717" s="541"/>
      <c r="BB717" s="1190"/>
      <c r="BC717" s="541"/>
      <c r="BD717" s="1190"/>
      <c r="BE717" s="541"/>
      <c r="BF717" s="1190"/>
      <c r="BG717" s="541"/>
      <c r="BH717" s="1190"/>
      <c r="BI717" s="541"/>
      <c r="BJ717" s="1190"/>
      <c r="BK717" s="541"/>
      <c r="BL717" s="541"/>
      <c r="BM717" s="541"/>
      <c r="BP717" s="541"/>
      <c r="BQ717" s="633"/>
      <c r="BR717" s="541"/>
      <c r="BS717" s="541"/>
      <c r="BT717" s="541"/>
      <c r="BU717" s="541"/>
    </row>
    <row r="718" ht="15.75" customHeight="1">
      <c r="A718" s="1591"/>
      <c r="B718" s="1591"/>
      <c r="C718" s="2217"/>
      <c r="D718" s="1541"/>
      <c r="E718" s="906"/>
      <c r="F718" s="541"/>
      <c r="G718" s="541"/>
      <c r="H718" s="541"/>
      <c r="I718" s="541"/>
      <c r="J718" s="1748"/>
      <c r="K718" s="541"/>
      <c r="L718" s="1748"/>
      <c r="M718" s="541"/>
      <c r="N718" s="1748"/>
      <c r="O718" s="541"/>
      <c r="P718" s="1748"/>
      <c r="Q718" s="541"/>
      <c r="R718" s="1748"/>
      <c r="S718" s="541"/>
      <c r="T718" s="1748"/>
      <c r="U718" s="541"/>
      <c r="V718" s="1748"/>
      <c r="W718" s="541"/>
      <c r="X718" s="1748"/>
      <c r="Y718" s="1748"/>
      <c r="Z718" s="1748"/>
      <c r="AA718" s="541"/>
      <c r="AB718" s="1748"/>
      <c r="AC718" s="541"/>
      <c r="AD718" s="541"/>
      <c r="AE718" s="541"/>
      <c r="AF718" s="541"/>
      <c r="AG718" s="541"/>
      <c r="AH718" s="541"/>
      <c r="AI718" s="541"/>
      <c r="AJ718" s="541"/>
      <c r="AK718" s="541"/>
      <c r="AL718" s="541"/>
      <c r="AM718" s="541"/>
      <c r="AN718" s="1748"/>
      <c r="AO718" s="1748"/>
      <c r="AP718" s="1748"/>
      <c r="AQ718" s="1748"/>
      <c r="AR718" s="1748"/>
      <c r="AS718" s="541"/>
      <c r="AT718" s="541"/>
      <c r="AU718" s="541"/>
      <c r="AV718" s="541"/>
      <c r="AW718" s="541"/>
      <c r="AY718" s="541"/>
      <c r="AZ718" s="633"/>
      <c r="BA718" s="541"/>
      <c r="BB718" s="1190"/>
      <c r="BC718" s="541"/>
      <c r="BD718" s="1190"/>
      <c r="BE718" s="541"/>
      <c r="BF718" s="1190"/>
      <c r="BG718" s="541"/>
      <c r="BH718" s="1190"/>
      <c r="BI718" s="541"/>
      <c r="BJ718" s="1190"/>
      <c r="BK718" s="541"/>
      <c r="BL718" s="541"/>
      <c r="BM718" s="541"/>
      <c r="BP718" s="541"/>
      <c r="BQ718" s="633"/>
      <c r="BR718" s="541"/>
      <c r="BS718" s="541"/>
      <c r="BT718" s="541"/>
      <c r="BU718" s="541"/>
    </row>
    <row r="719" ht="15.75" customHeight="1">
      <c r="A719" s="1591"/>
      <c r="B719" s="1591"/>
      <c r="C719" s="2217"/>
      <c r="D719" s="1541"/>
      <c r="E719" s="906"/>
      <c r="F719" s="541"/>
      <c r="G719" s="541"/>
      <c r="H719" s="541"/>
      <c r="I719" s="541"/>
      <c r="J719" s="1748"/>
      <c r="K719" s="541"/>
      <c r="L719" s="1748"/>
      <c r="M719" s="541"/>
      <c r="N719" s="1748"/>
      <c r="O719" s="541"/>
      <c r="P719" s="1748"/>
      <c r="Q719" s="541"/>
      <c r="R719" s="1748"/>
      <c r="S719" s="541"/>
      <c r="T719" s="1748"/>
      <c r="U719" s="541"/>
      <c r="V719" s="1748"/>
      <c r="W719" s="541"/>
      <c r="X719" s="1748"/>
      <c r="Y719" s="1748"/>
      <c r="Z719" s="1748"/>
      <c r="AA719" s="541"/>
      <c r="AB719" s="1748"/>
      <c r="AC719" s="541"/>
      <c r="AD719" s="541"/>
      <c r="AE719" s="541"/>
      <c r="AF719" s="541"/>
      <c r="AG719" s="541"/>
      <c r="AH719" s="541"/>
      <c r="AI719" s="541"/>
      <c r="AJ719" s="541"/>
      <c r="AK719" s="541"/>
      <c r="AL719" s="541"/>
      <c r="AM719" s="541"/>
      <c r="AN719" s="1748"/>
      <c r="AO719" s="1748"/>
      <c r="AP719" s="1748"/>
      <c r="AQ719" s="1748"/>
      <c r="AR719" s="1748"/>
      <c r="AS719" s="541"/>
      <c r="AT719" s="541"/>
      <c r="AU719" s="541"/>
      <c r="AV719" s="541"/>
      <c r="AW719" s="541"/>
      <c r="AY719" s="541"/>
      <c r="AZ719" s="633"/>
      <c r="BA719" s="541"/>
      <c r="BB719" s="1190"/>
      <c r="BC719" s="541"/>
      <c r="BD719" s="1190"/>
      <c r="BE719" s="541"/>
      <c r="BF719" s="1190"/>
      <c r="BG719" s="541"/>
      <c r="BH719" s="1190"/>
      <c r="BI719" s="541"/>
      <c r="BJ719" s="1190"/>
      <c r="BK719" s="541"/>
      <c r="BL719" s="541"/>
      <c r="BM719" s="541"/>
      <c r="BP719" s="541"/>
      <c r="BQ719" s="633"/>
      <c r="BR719" s="541"/>
      <c r="BS719" s="541"/>
      <c r="BT719" s="541"/>
      <c r="BU719" s="541"/>
    </row>
    <row r="720" ht="15.75" customHeight="1">
      <c r="A720" s="1591"/>
      <c r="B720" s="1591"/>
      <c r="C720" s="2217"/>
      <c r="D720" s="1541"/>
      <c r="E720" s="906"/>
      <c r="F720" s="541"/>
      <c r="G720" s="541"/>
      <c r="H720" s="541"/>
      <c r="I720" s="541"/>
      <c r="J720" s="1748"/>
      <c r="K720" s="541"/>
      <c r="L720" s="1748"/>
      <c r="M720" s="541"/>
      <c r="N720" s="1748"/>
      <c r="O720" s="541"/>
      <c r="P720" s="1748"/>
      <c r="Q720" s="541"/>
      <c r="R720" s="1748"/>
      <c r="S720" s="541"/>
      <c r="T720" s="1748"/>
      <c r="U720" s="541"/>
      <c r="V720" s="1748"/>
      <c r="W720" s="541"/>
      <c r="X720" s="1748"/>
      <c r="Y720" s="1748"/>
      <c r="Z720" s="1748"/>
      <c r="AA720" s="541"/>
      <c r="AB720" s="1748"/>
      <c r="AC720" s="541"/>
      <c r="AD720" s="541"/>
      <c r="AE720" s="541"/>
      <c r="AF720" s="541"/>
      <c r="AG720" s="541"/>
      <c r="AH720" s="541"/>
      <c r="AI720" s="541"/>
      <c r="AJ720" s="541"/>
      <c r="AK720" s="541"/>
      <c r="AL720" s="541"/>
      <c r="AM720" s="541"/>
      <c r="AN720" s="1748"/>
      <c r="AO720" s="1748"/>
      <c r="AP720" s="1748"/>
      <c r="AQ720" s="1748"/>
      <c r="AR720" s="1748"/>
      <c r="AS720" s="541"/>
      <c r="AT720" s="541"/>
      <c r="AU720" s="541"/>
      <c r="AV720" s="541"/>
      <c r="AW720" s="541"/>
      <c r="AY720" s="541"/>
      <c r="AZ720" s="633"/>
      <c r="BA720" s="541"/>
      <c r="BB720" s="1190"/>
      <c r="BC720" s="541"/>
      <c r="BD720" s="1190"/>
      <c r="BE720" s="541"/>
      <c r="BF720" s="1190"/>
      <c r="BG720" s="541"/>
      <c r="BH720" s="1190"/>
      <c r="BI720" s="541"/>
      <c r="BJ720" s="1190"/>
      <c r="BK720" s="541"/>
      <c r="BL720" s="541"/>
      <c r="BM720" s="541"/>
      <c r="BP720" s="541"/>
      <c r="BQ720" s="633"/>
      <c r="BR720" s="541"/>
      <c r="BS720" s="541"/>
      <c r="BT720" s="541"/>
      <c r="BU720" s="541"/>
    </row>
    <row r="721" ht="15.75" customHeight="1">
      <c r="A721" s="1591"/>
      <c r="B721" s="1591"/>
      <c r="C721" s="2217"/>
      <c r="D721" s="1541"/>
      <c r="E721" s="906"/>
      <c r="F721" s="541"/>
      <c r="G721" s="541"/>
      <c r="H721" s="541"/>
      <c r="I721" s="541"/>
      <c r="J721" s="1748"/>
      <c r="K721" s="541"/>
      <c r="L721" s="1748"/>
      <c r="M721" s="541"/>
      <c r="N721" s="1748"/>
      <c r="O721" s="541"/>
      <c r="P721" s="1748"/>
      <c r="Q721" s="541"/>
      <c r="R721" s="1748"/>
      <c r="S721" s="541"/>
      <c r="T721" s="1748"/>
      <c r="U721" s="541"/>
      <c r="V721" s="1748"/>
      <c r="W721" s="541"/>
      <c r="X721" s="1748"/>
      <c r="Y721" s="1748"/>
      <c r="Z721" s="1748"/>
      <c r="AA721" s="541"/>
      <c r="AB721" s="1748"/>
      <c r="AC721" s="541"/>
      <c r="AD721" s="541"/>
      <c r="AE721" s="541"/>
      <c r="AF721" s="541"/>
      <c r="AG721" s="541"/>
      <c r="AH721" s="541"/>
      <c r="AI721" s="541"/>
      <c r="AJ721" s="541"/>
      <c r="AK721" s="541"/>
      <c r="AL721" s="541"/>
      <c r="AM721" s="541"/>
      <c r="AN721" s="1748"/>
      <c r="AO721" s="1748"/>
      <c r="AP721" s="1748"/>
      <c r="AQ721" s="1748"/>
      <c r="AR721" s="1748"/>
      <c r="AS721" s="541"/>
      <c r="AT721" s="541"/>
      <c r="AU721" s="541"/>
      <c r="AV721" s="541"/>
      <c r="AW721" s="541"/>
      <c r="AY721" s="541"/>
      <c r="AZ721" s="633"/>
      <c r="BA721" s="541"/>
      <c r="BB721" s="1190"/>
      <c r="BC721" s="541"/>
      <c r="BD721" s="1190"/>
      <c r="BE721" s="541"/>
      <c r="BF721" s="1190"/>
      <c r="BG721" s="541"/>
      <c r="BH721" s="1190"/>
      <c r="BI721" s="541"/>
      <c r="BJ721" s="1190"/>
      <c r="BK721" s="541"/>
      <c r="BL721" s="541"/>
      <c r="BM721" s="541"/>
      <c r="BP721" s="541"/>
      <c r="BQ721" s="633"/>
      <c r="BR721" s="541"/>
      <c r="BS721" s="541"/>
      <c r="BT721" s="541"/>
      <c r="BU721" s="541"/>
    </row>
    <row r="722" ht="15.75" customHeight="1">
      <c r="A722" s="1591"/>
      <c r="B722" s="1591"/>
      <c r="C722" s="2217"/>
      <c r="D722" s="1541"/>
      <c r="E722" s="906"/>
      <c r="F722" s="541"/>
      <c r="G722" s="541"/>
      <c r="H722" s="541"/>
      <c r="I722" s="541"/>
      <c r="J722" s="1748"/>
      <c r="K722" s="541"/>
      <c r="L722" s="1748"/>
      <c r="M722" s="541"/>
      <c r="N722" s="1748"/>
      <c r="O722" s="541"/>
      <c r="P722" s="1748"/>
      <c r="Q722" s="541"/>
      <c r="R722" s="1748"/>
      <c r="S722" s="541"/>
      <c r="T722" s="1748"/>
      <c r="U722" s="541"/>
      <c r="V722" s="1748"/>
      <c r="W722" s="541"/>
      <c r="X722" s="1748"/>
      <c r="Y722" s="1748"/>
      <c r="Z722" s="1748"/>
      <c r="AA722" s="541"/>
      <c r="AB722" s="1748"/>
      <c r="AC722" s="541"/>
      <c r="AD722" s="541"/>
      <c r="AE722" s="541"/>
      <c r="AF722" s="541"/>
      <c r="AG722" s="541"/>
      <c r="AH722" s="541"/>
      <c r="AI722" s="541"/>
      <c r="AJ722" s="541"/>
      <c r="AK722" s="541"/>
      <c r="AL722" s="541"/>
      <c r="AM722" s="541"/>
      <c r="AN722" s="1748"/>
      <c r="AO722" s="1748"/>
      <c r="AP722" s="1748"/>
      <c r="AQ722" s="1748"/>
      <c r="AR722" s="1748"/>
      <c r="AS722" s="541"/>
      <c r="AT722" s="541"/>
      <c r="AU722" s="541"/>
      <c r="AV722" s="541"/>
      <c r="AW722" s="541"/>
      <c r="AY722" s="541"/>
      <c r="AZ722" s="633"/>
      <c r="BA722" s="541"/>
      <c r="BB722" s="1190"/>
      <c r="BC722" s="541"/>
      <c r="BD722" s="1190"/>
      <c r="BE722" s="541"/>
      <c r="BF722" s="1190"/>
      <c r="BG722" s="541"/>
      <c r="BH722" s="1190"/>
      <c r="BI722" s="541"/>
      <c r="BJ722" s="1190"/>
      <c r="BK722" s="541"/>
      <c r="BL722" s="541"/>
      <c r="BM722" s="541"/>
      <c r="BP722" s="541"/>
      <c r="BQ722" s="633"/>
      <c r="BR722" s="541"/>
      <c r="BS722" s="541"/>
      <c r="BT722" s="541"/>
      <c r="BU722" s="541"/>
    </row>
    <row r="723" ht="15.75" customHeight="1">
      <c r="A723" s="1591"/>
      <c r="B723" s="1591"/>
      <c r="C723" s="2217"/>
      <c r="D723" s="1541"/>
      <c r="E723" s="906"/>
      <c r="F723" s="541"/>
      <c r="G723" s="541"/>
      <c r="H723" s="541"/>
      <c r="I723" s="541"/>
      <c r="J723" s="1748"/>
      <c r="K723" s="541"/>
      <c r="L723" s="1748"/>
      <c r="M723" s="541"/>
      <c r="N723" s="1748"/>
      <c r="O723" s="541"/>
      <c r="P723" s="1748"/>
      <c r="Q723" s="541"/>
      <c r="R723" s="1748"/>
      <c r="S723" s="541"/>
      <c r="T723" s="1748"/>
      <c r="U723" s="541"/>
      <c r="V723" s="1748"/>
      <c r="W723" s="541"/>
      <c r="X723" s="1748"/>
      <c r="Y723" s="1748"/>
      <c r="Z723" s="1748"/>
      <c r="AA723" s="541"/>
      <c r="AB723" s="1748"/>
      <c r="AC723" s="541"/>
      <c r="AD723" s="541"/>
      <c r="AE723" s="541"/>
      <c r="AF723" s="541"/>
      <c r="AG723" s="541"/>
      <c r="AH723" s="541"/>
      <c r="AI723" s="541"/>
      <c r="AJ723" s="541"/>
      <c r="AK723" s="541"/>
      <c r="AL723" s="541"/>
      <c r="AM723" s="541"/>
      <c r="AN723" s="1748"/>
      <c r="AO723" s="1748"/>
      <c r="AP723" s="1748"/>
      <c r="AQ723" s="1748"/>
      <c r="AR723" s="1748"/>
      <c r="AS723" s="541"/>
      <c r="AT723" s="541"/>
      <c r="AU723" s="541"/>
      <c r="AV723" s="541"/>
      <c r="AW723" s="541"/>
      <c r="AY723" s="541"/>
      <c r="AZ723" s="633"/>
      <c r="BA723" s="541"/>
      <c r="BB723" s="1190"/>
      <c r="BC723" s="541"/>
      <c r="BD723" s="1190"/>
      <c r="BE723" s="541"/>
      <c r="BF723" s="1190"/>
      <c r="BG723" s="541"/>
      <c r="BH723" s="1190"/>
      <c r="BI723" s="541"/>
      <c r="BJ723" s="1190"/>
      <c r="BK723" s="541"/>
      <c r="BL723" s="541"/>
      <c r="BM723" s="541"/>
      <c r="BP723" s="541"/>
      <c r="BQ723" s="633"/>
      <c r="BR723" s="541"/>
      <c r="BS723" s="541"/>
      <c r="BT723" s="541"/>
      <c r="BU723" s="541"/>
    </row>
    <row r="724" ht="15.75" customHeight="1">
      <c r="A724" s="1591"/>
      <c r="B724" s="1591"/>
      <c r="C724" s="2217"/>
      <c r="D724" s="1541"/>
      <c r="E724" s="906"/>
      <c r="F724" s="541"/>
      <c r="G724" s="541"/>
      <c r="H724" s="541"/>
      <c r="I724" s="541"/>
      <c r="J724" s="1748"/>
      <c r="K724" s="541"/>
      <c r="L724" s="1748"/>
      <c r="M724" s="541"/>
      <c r="N724" s="1748"/>
      <c r="O724" s="541"/>
      <c r="P724" s="1748"/>
      <c r="Q724" s="541"/>
      <c r="R724" s="1748"/>
      <c r="S724" s="541"/>
      <c r="T724" s="1748"/>
      <c r="U724" s="541"/>
      <c r="V724" s="1748"/>
      <c r="W724" s="541"/>
      <c r="X724" s="1748"/>
      <c r="Y724" s="1748"/>
      <c r="Z724" s="1748"/>
      <c r="AA724" s="541"/>
      <c r="AB724" s="1748"/>
      <c r="AC724" s="541"/>
      <c r="AD724" s="541"/>
      <c r="AE724" s="541"/>
      <c r="AF724" s="541"/>
      <c r="AG724" s="541"/>
      <c r="AH724" s="541"/>
      <c r="AI724" s="541"/>
      <c r="AJ724" s="541"/>
      <c r="AK724" s="541"/>
      <c r="AL724" s="541"/>
      <c r="AM724" s="541"/>
      <c r="AN724" s="1748"/>
      <c r="AO724" s="1748"/>
      <c r="AP724" s="1748"/>
      <c r="AQ724" s="1748"/>
      <c r="AR724" s="1748"/>
      <c r="AS724" s="541"/>
      <c r="AT724" s="541"/>
      <c r="AU724" s="541"/>
      <c r="AV724" s="541"/>
      <c r="AW724" s="541"/>
      <c r="AY724" s="541"/>
      <c r="AZ724" s="633"/>
      <c r="BA724" s="541"/>
      <c r="BB724" s="1190"/>
      <c r="BC724" s="541"/>
      <c r="BD724" s="1190"/>
      <c r="BE724" s="541"/>
      <c r="BF724" s="1190"/>
      <c r="BG724" s="541"/>
      <c r="BH724" s="1190"/>
      <c r="BI724" s="541"/>
      <c r="BJ724" s="1190"/>
      <c r="BK724" s="541"/>
      <c r="BL724" s="541"/>
      <c r="BM724" s="541"/>
      <c r="BP724" s="541"/>
      <c r="BQ724" s="633"/>
      <c r="BR724" s="541"/>
      <c r="BS724" s="541"/>
      <c r="BT724" s="541"/>
      <c r="BU724" s="541"/>
    </row>
    <row r="725" ht="15.75" customHeight="1">
      <c r="A725" s="1591"/>
      <c r="B725" s="1591"/>
      <c r="C725" s="2217"/>
      <c r="D725" s="1541"/>
      <c r="E725" s="906"/>
      <c r="F725" s="541"/>
      <c r="G725" s="541"/>
      <c r="H725" s="541"/>
      <c r="I725" s="541"/>
      <c r="J725" s="1748"/>
      <c r="K725" s="541"/>
      <c r="L725" s="1748"/>
      <c r="M725" s="541"/>
      <c r="N725" s="1748"/>
      <c r="O725" s="541"/>
      <c r="P725" s="1748"/>
      <c r="Q725" s="541"/>
      <c r="R725" s="1748"/>
      <c r="S725" s="541"/>
      <c r="T725" s="1748"/>
      <c r="U725" s="541"/>
      <c r="V725" s="1748"/>
      <c r="W725" s="541"/>
      <c r="X725" s="1748"/>
      <c r="Y725" s="1748"/>
      <c r="Z725" s="1748"/>
      <c r="AA725" s="541"/>
      <c r="AB725" s="1748"/>
      <c r="AC725" s="541"/>
      <c r="AD725" s="541"/>
      <c r="AE725" s="541"/>
      <c r="AF725" s="541"/>
      <c r="AG725" s="541"/>
      <c r="AH725" s="541"/>
      <c r="AI725" s="541"/>
      <c r="AJ725" s="541"/>
      <c r="AK725" s="541"/>
      <c r="AL725" s="541"/>
      <c r="AM725" s="541"/>
      <c r="AN725" s="1748"/>
      <c r="AO725" s="1748"/>
      <c r="AP725" s="1748"/>
      <c r="AQ725" s="1748"/>
      <c r="AR725" s="1748"/>
      <c r="AS725" s="541"/>
      <c r="AT725" s="541"/>
      <c r="AU725" s="541"/>
      <c r="AV725" s="541"/>
      <c r="AW725" s="541"/>
      <c r="AY725" s="541"/>
      <c r="AZ725" s="633"/>
      <c r="BA725" s="541"/>
      <c r="BB725" s="1190"/>
      <c r="BC725" s="541"/>
      <c r="BD725" s="1190"/>
      <c r="BE725" s="541"/>
      <c r="BF725" s="1190"/>
      <c r="BG725" s="541"/>
      <c r="BH725" s="1190"/>
      <c r="BI725" s="541"/>
      <c r="BJ725" s="1190"/>
      <c r="BK725" s="541"/>
      <c r="BL725" s="541"/>
      <c r="BM725" s="541"/>
      <c r="BP725" s="541"/>
      <c r="BQ725" s="633"/>
      <c r="BR725" s="541"/>
      <c r="BS725" s="541"/>
      <c r="BT725" s="541"/>
      <c r="BU725" s="541"/>
    </row>
    <row r="726" ht="15.75" customHeight="1">
      <c r="A726" s="1591"/>
      <c r="B726" s="1591"/>
      <c r="C726" s="2217"/>
      <c r="D726" s="1541"/>
      <c r="E726" s="906"/>
      <c r="F726" s="541"/>
      <c r="G726" s="541"/>
      <c r="H726" s="541"/>
      <c r="I726" s="541"/>
      <c r="J726" s="1748"/>
      <c r="K726" s="541"/>
      <c r="L726" s="1748"/>
      <c r="M726" s="541"/>
      <c r="N726" s="1748"/>
      <c r="O726" s="541"/>
      <c r="P726" s="1748"/>
      <c r="Q726" s="541"/>
      <c r="R726" s="1748"/>
      <c r="S726" s="541"/>
      <c r="T726" s="1748"/>
      <c r="U726" s="541"/>
      <c r="V726" s="1748"/>
      <c r="W726" s="541"/>
      <c r="X726" s="1748"/>
      <c r="Y726" s="1748"/>
      <c r="Z726" s="1748"/>
      <c r="AA726" s="541"/>
      <c r="AB726" s="1748"/>
      <c r="AC726" s="541"/>
      <c r="AD726" s="541"/>
      <c r="AE726" s="541"/>
      <c r="AF726" s="541"/>
      <c r="AG726" s="541"/>
      <c r="AH726" s="541"/>
      <c r="AI726" s="541"/>
      <c r="AJ726" s="541"/>
      <c r="AK726" s="541"/>
      <c r="AL726" s="541"/>
      <c r="AM726" s="541"/>
      <c r="AN726" s="1748"/>
      <c r="AO726" s="1748"/>
      <c r="AP726" s="1748"/>
      <c r="AQ726" s="1748"/>
      <c r="AR726" s="1748"/>
      <c r="AS726" s="541"/>
      <c r="AT726" s="541"/>
      <c r="AU726" s="541"/>
      <c r="AV726" s="541"/>
      <c r="AW726" s="541"/>
      <c r="AY726" s="541"/>
      <c r="AZ726" s="633"/>
      <c r="BA726" s="541"/>
      <c r="BB726" s="1190"/>
      <c r="BC726" s="541"/>
      <c r="BD726" s="1190"/>
      <c r="BE726" s="541"/>
      <c r="BF726" s="1190"/>
      <c r="BG726" s="541"/>
      <c r="BH726" s="1190"/>
      <c r="BI726" s="541"/>
      <c r="BJ726" s="1190"/>
      <c r="BK726" s="541"/>
      <c r="BL726" s="541"/>
      <c r="BM726" s="541"/>
      <c r="BP726" s="541"/>
      <c r="BQ726" s="633"/>
      <c r="BR726" s="541"/>
      <c r="BS726" s="541"/>
      <c r="BT726" s="541"/>
      <c r="BU726" s="541"/>
    </row>
    <row r="727" ht="15.75" customHeight="1">
      <c r="A727" s="1591"/>
      <c r="B727" s="1591"/>
      <c r="C727" s="2217"/>
      <c r="D727" s="1541"/>
      <c r="E727" s="906"/>
      <c r="F727" s="541"/>
      <c r="G727" s="541"/>
      <c r="H727" s="541"/>
      <c r="I727" s="541"/>
      <c r="J727" s="1748"/>
      <c r="K727" s="541"/>
      <c r="L727" s="1748"/>
      <c r="M727" s="541"/>
      <c r="N727" s="1748"/>
      <c r="O727" s="541"/>
      <c r="P727" s="1748"/>
      <c r="Q727" s="541"/>
      <c r="R727" s="1748"/>
      <c r="S727" s="541"/>
      <c r="T727" s="1748"/>
      <c r="U727" s="541"/>
      <c r="V727" s="1748"/>
      <c r="W727" s="541"/>
      <c r="X727" s="1748"/>
      <c r="Y727" s="1748"/>
      <c r="Z727" s="1748"/>
      <c r="AA727" s="541"/>
      <c r="AB727" s="1748"/>
      <c r="AC727" s="541"/>
      <c r="AD727" s="541"/>
      <c r="AE727" s="541"/>
      <c r="AF727" s="541"/>
      <c r="AG727" s="541"/>
      <c r="AH727" s="541"/>
      <c r="AI727" s="541"/>
      <c r="AJ727" s="541"/>
      <c r="AK727" s="541"/>
      <c r="AL727" s="541"/>
      <c r="AM727" s="541"/>
      <c r="AN727" s="1748"/>
      <c r="AO727" s="1748"/>
      <c r="AP727" s="1748"/>
      <c r="AQ727" s="1748"/>
      <c r="AR727" s="1748"/>
      <c r="AS727" s="541"/>
      <c r="AT727" s="541"/>
      <c r="AU727" s="541"/>
      <c r="AV727" s="541"/>
      <c r="AW727" s="541"/>
      <c r="AY727" s="541"/>
      <c r="AZ727" s="633"/>
      <c r="BA727" s="541"/>
      <c r="BB727" s="1190"/>
      <c r="BC727" s="541"/>
      <c r="BD727" s="1190"/>
      <c r="BE727" s="541"/>
      <c r="BF727" s="1190"/>
      <c r="BG727" s="541"/>
      <c r="BH727" s="1190"/>
      <c r="BI727" s="541"/>
      <c r="BJ727" s="1190"/>
      <c r="BK727" s="541"/>
      <c r="BL727" s="541"/>
      <c r="BM727" s="541"/>
      <c r="BP727" s="541"/>
      <c r="BQ727" s="633"/>
      <c r="BR727" s="541"/>
      <c r="BS727" s="541"/>
      <c r="BT727" s="541"/>
      <c r="BU727" s="541"/>
    </row>
    <row r="728" ht="15.75" customHeight="1">
      <c r="A728" s="1591"/>
      <c r="B728" s="1591"/>
      <c r="C728" s="2217"/>
      <c r="D728" s="1541"/>
      <c r="E728" s="906"/>
      <c r="F728" s="541"/>
      <c r="G728" s="541"/>
      <c r="H728" s="541"/>
      <c r="I728" s="541"/>
      <c r="J728" s="1748"/>
      <c r="K728" s="541"/>
      <c r="L728" s="1748"/>
      <c r="M728" s="541"/>
      <c r="N728" s="1748"/>
      <c r="O728" s="541"/>
      <c r="P728" s="1748"/>
      <c r="Q728" s="541"/>
      <c r="R728" s="1748"/>
      <c r="S728" s="541"/>
      <c r="T728" s="1748"/>
      <c r="U728" s="541"/>
      <c r="V728" s="1748"/>
      <c r="W728" s="541"/>
      <c r="X728" s="1748"/>
      <c r="Y728" s="1748"/>
      <c r="Z728" s="1748"/>
      <c r="AA728" s="541"/>
      <c r="AB728" s="1748"/>
      <c r="AC728" s="541"/>
      <c r="AD728" s="541"/>
      <c r="AE728" s="541"/>
      <c r="AF728" s="541"/>
      <c r="AG728" s="541"/>
      <c r="AH728" s="541"/>
      <c r="AI728" s="541"/>
      <c r="AJ728" s="541"/>
      <c r="AK728" s="541"/>
      <c r="AL728" s="541"/>
      <c r="AM728" s="541"/>
      <c r="AN728" s="1748"/>
      <c r="AO728" s="1748"/>
      <c r="AP728" s="1748"/>
      <c r="AQ728" s="1748"/>
      <c r="AR728" s="1748"/>
      <c r="AS728" s="541"/>
      <c r="AT728" s="541"/>
      <c r="AU728" s="541"/>
      <c r="AV728" s="541"/>
      <c r="AW728" s="541"/>
      <c r="AY728" s="541"/>
      <c r="AZ728" s="633"/>
      <c r="BA728" s="541"/>
      <c r="BB728" s="1190"/>
      <c r="BC728" s="541"/>
      <c r="BD728" s="1190"/>
      <c r="BE728" s="541"/>
      <c r="BF728" s="1190"/>
      <c r="BG728" s="541"/>
      <c r="BH728" s="1190"/>
      <c r="BI728" s="541"/>
      <c r="BJ728" s="1190"/>
      <c r="BK728" s="541"/>
      <c r="BL728" s="541"/>
      <c r="BM728" s="541"/>
      <c r="BP728" s="541"/>
      <c r="BQ728" s="633"/>
      <c r="BR728" s="541"/>
      <c r="BS728" s="541"/>
      <c r="BT728" s="541"/>
      <c r="BU728" s="541"/>
    </row>
    <row r="729" ht="15.75" customHeight="1">
      <c r="A729" s="1591"/>
      <c r="B729" s="1591"/>
      <c r="C729" s="2217"/>
      <c r="D729" s="1541"/>
      <c r="E729" s="906"/>
      <c r="F729" s="541"/>
      <c r="G729" s="541"/>
      <c r="H729" s="541"/>
      <c r="I729" s="541"/>
      <c r="J729" s="1748"/>
      <c r="K729" s="541"/>
      <c r="L729" s="1748"/>
      <c r="M729" s="541"/>
      <c r="N729" s="1748"/>
      <c r="O729" s="541"/>
      <c r="P729" s="1748"/>
      <c r="Q729" s="541"/>
      <c r="R729" s="1748"/>
      <c r="S729" s="541"/>
      <c r="T729" s="1748"/>
      <c r="U729" s="541"/>
      <c r="V729" s="1748"/>
      <c r="W729" s="541"/>
      <c r="X729" s="1748"/>
      <c r="Y729" s="1748"/>
      <c r="Z729" s="1748"/>
      <c r="AA729" s="541"/>
      <c r="AB729" s="1748"/>
      <c r="AC729" s="541"/>
      <c r="AD729" s="541"/>
      <c r="AE729" s="541"/>
      <c r="AF729" s="541"/>
      <c r="AG729" s="541"/>
      <c r="AH729" s="541"/>
      <c r="AI729" s="541"/>
      <c r="AJ729" s="541"/>
      <c r="AK729" s="541"/>
      <c r="AL729" s="541"/>
      <c r="AM729" s="541"/>
      <c r="AN729" s="1748"/>
      <c r="AO729" s="1748"/>
      <c r="AP729" s="1748"/>
      <c r="AQ729" s="1748"/>
      <c r="AR729" s="1748"/>
      <c r="AS729" s="541"/>
      <c r="AT729" s="541"/>
      <c r="AU729" s="541"/>
      <c r="AV729" s="541"/>
      <c r="AW729" s="541"/>
      <c r="AY729" s="541"/>
      <c r="AZ729" s="633"/>
      <c r="BA729" s="541"/>
      <c r="BB729" s="1190"/>
      <c r="BC729" s="541"/>
      <c r="BD729" s="1190"/>
      <c r="BE729" s="541"/>
      <c r="BF729" s="1190"/>
      <c r="BG729" s="541"/>
      <c r="BH729" s="1190"/>
      <c r="BI729" s="541"/>
      <c r="BJ729" s="1190"/>
      <c r="BK729" s="541"/>
      <c r="BL729" s="541"/>
      <c r="BM729" s="541"/>
      <c r="BP729" s="541"/>
      <c r="BQ729" s="633"/>
      <c r="BR729" s="541"/>
      <c r="BS729" s="541"/>
      <c r="BT729" s="541"/>
      <c r="BU729" s="541"/>
    </row>
    <row r="730" ht="15.75" customHeight="1">
      <c r="A730" s="1591"/>
      <c r="B730" s="1591"/>
      <c r="C730" s="2217"/>
      <c r="D730" s="1541"/>
      <c r="E730" s="906"/>
      <c r="F730" s="541"/>
      <c r="G730" s="541"/>
      <c r="H730" s="541"/>
      <c r="I730" s="541"/>
      <c r="J730" s="1748"/>
      <c r="K730" s="541"/>
      <c r="L730" s="1748"/>
      <c r="M730" s="541"/>
      <c r="N730" s="1748"/>
      <c r="O730" s="541"/>
      <c r="P730" s="1748"/>
      <c r="Q730" s="541"/>
      <c r="R730" s="1748"/>
      <c r="S730" s="541"/>
      <c r="T730" s="1748"/>
      <c r="U730" s="541"/>
      <c r="V730" s="1748"/>
      <c r="W730" s="541"/>
      <c r="X730" s="1748"/>
      <c r="Y730" s="1748"/>
      <c r="Z730" s="1748"/>
      <c r="AA730" s="541"/>
      <c r="AB730" s="1748"/>
      <c r="AC730" s="541"/>
      <c r="AD730" s="541"/>
      <c r="AE730" s="541"/>
      <c r="AF730" s="541"/>
      <c r="AG730" s="541"/>
      <c r="AH730" s="541"/>
      <c r="AI730" s="541"/>
      <c r="AJ730" s="541"/>
      <c r="AK730" s="541"/>
      <c r="AL730" s="541"/>
      <c r="AM730" s="541"/>
      <c r="AN730" s="1748"/>
      <c r="AO730" s="1748"/>
      <c r="AP730" s="1748"/>
      <c r="AQ730" s="1748"/>
      <c r="AR730" s="1748"/>
      <c r="AS730" s="541"/>
      <c r="AT730" s="541"/>
      <c r="AU730" s="541"/>
      <c r="AV730" s="541"/>
      <c r="AW730" s="541"/>
      <c r="AY730" s="541"/>
      <c r="AZ730" s="633"/>
      <c r="BA730" s="541"/>
      <c r="BB730" s="1190"/>
      <c r="BC730" s="541"/>
      <c r="BD730" s="1190"/>
      <c r="BE730" s="541"/>
      <c r="BF730" s="1190"/>
      <c r="BG730" s="541"/>
      <c r="BH730" s="1190"/>
      <c r="BI730" s="541"/>
      <c r="BJ730" s="1190"/>
      <c r="BK730" s="541"/>
      <c r="BL730" s="541"/>
      <c r="BM730" s="541"/>
      <c r="BP730" s="541"/>
      <c r="BQ730" s="633"/>
      <c r="BR730" s="541"/>
      <c r="BS730" s="541"/>
      <c r="BT730" s="541"/>
      <c r="BU730" s="541"/>
    </row>
    <row r="731" ht="15.75" customHeight="1">
      <c r="A731" s="1591"/>
      <c r="B731" s="1591"/>
      <c r="C731" s="2217"/>
      <c r="D731" s="1541"/>
      <c r="E731" s="906"/>
      <c r="F731" s="541"/>
      <c r="G731" s="541"/>
      <c r="H731" s="541"/>
      <c r="I731" s="541"/>
      <c r="J731" s="1748"/>
      <c r="K731" s="541"/>
      <c r="L731" s="1748"/>
      <c r="M731" s="541"/>
      <c r="N731" s="1748"/>
      <c r="O731" s="541"/>
      <c r="P731" s="1748"/>
      <c r="Q731" s="541"/>
      <c r="R731" s="1748"/>
      <c r="S731" s="541"/>
      <c r="T731" s="1748"/>
      <c r="U731" s="541"/>
      <c r="V731" s="1748"/>
      <c r="W731" s="541"/>
      <c r="X731" s="1748"/>
      <c r="Y731" s="1748"/>
      <c r="Z731" s="1748"/>
      <c r="AA731" s="541"/>
      <c r="AB731" s="1748"/>
      <c r="AC731" s="541"/>
      <c r="AD731" s="541"/>
      <c r="AE731" s="541"/>
      <c r="AF731" s="541"/>
      <c r="AG731" s="541"/>
      <c r="AH731" s="541"/>
      <c r="AI731" s="541"/>
      <c r="AJ731" s="541"/>
      <c r="AK731" s="541"/>
      <c r="AL731" s="541"/>
      <c r="AM731" s="541"/>
      <c r="AN731" s="1748"/>
      <c r="AO731" s="1748"/>
      <c r="AP731" s="1748"/>
      <c r="AQ731" s="1748"/>
      <c r="AR731" s="1748"/>
      <c r="AS731" s="541"/>
      <c r="AT731" s="541"/>
      <c r="AU731" s="541"/>
      <c r="AV731" s="541"/>
      <c r="AW731" s="541"/>
      <c r="AY731" s="541"/>
      <c r="AZ731" s="633"/>
      <c r="BA731" s="541"/>
      <c r="BB731" s="1190"/>
      <c r="BC731" s="541"/>
      <c r="BD731" s="1190"/>
      <c r="BE731" s="541"/>
      <c r="BF731" s="1190"/>
      <c r="BG731" s="541"/>
      <c r="BH731" s="1190"/>
      <c r="BI731" s="541"/>
      <c r="BJ731" s="1190"/>
      <c r="BK731" s="541"/>
      <c r="BL731" s="541"/>
      <c r="BM731" s="541"/>
      <c r="BP731" s="541"/>
      <c r="BQ731" s="633"/>
      <c r="BR731" s="541"/>
      <c r="BS731" s="541"/>
      <c r="BT731" s="541"/>
      <c r="BU731" s="541"/>
    </row>
    <row r="732" ht="15.75" customHeight="1">
      <c r="A732" s="1591"/>
      <c r="B732" s="1591"/>
      <c r="C732" s="2217"/>
      <c r="D732" s="1541"/>
      <c r="E732" s="906"/>
      <c r="F732" s="541"/>
      <c r="G732" s="541"/>
      <c r="H732" s="541"/>
      <c r="I732" s="541"/>
      <c r="J732" s="1748"/>
      <c r="K732" s="541"/>
      <c r="L732" s="1748"/>
      <c r="M732" s="541"/>
      <c r="N732" s="1748"/>
      <c r="O732" s="541"/>
      <c r="P732" s="1748"/>
      <c r="Q732" s="541"/>
      <c r="R732" s="1748"/>
      <c r="S732" s="541"/>
      <c r="T732" s="1748"/>
      <c r="U732" s="541"/>
      <c r="V732" s="1748"/>
      <c r="W732" s="541"/>
      <c r="X732" s="1748"/>
      <c r="Y732" s="1748"/>
      <c r="Z732" s="1748"/>
      <c r="AA732" s="541"/>
      <c r="AB732" s="1748"/>
      <c r="AC732" s="541"/>
      <c r="AD732" s="541"/>
      <c r="AE732" s="541"/>
      <c r="AF732" s="541"/>
      <c r="AG732" s="541"/>
      <c r="AH732" s="541"/>
      <c r="AI732" s="541"/>
      <c r="AJ732" s="541"/>
      <c r="AK732" s="541"/>
      <c r="AL732" s="541"/>
      <c r="AM732" s="541"/>
      <c r="AN732" s="1748"/>
      <c r="AO732" s="1748"/>
      <c r="AP732" s="1748"/>
      <c r="AQ732" s="1748"/>
      <c r="AR732" s="1748"/>
      <c r="AS732" s="541"/>
      <c r="AT732" s="541"/>
      <c r="AU732" s="541"/>
      <c r="AV732" s="541"/>
      <c r="AW732" s="541"/>
      <c r="AY732" s="541"/>
      <c r="AZ732" s="633"/>
      <c r="BA732" s="541"/>
      <c r="BB732" s="1190"/>
      <c r="BC732" s="541"/>
      <c r="BD732" s="1190"/>
      <c r="BE732" s="541"/>
      <c r="BF732" s="1190"/>
      <c r="BG732" s="541"/>
      <c r="BH732" s="1190"/>
      <c r="BI732" s="541"/>
      <c r="BJ732" s="1190"/>
      <c r="BK732" s="541"/>
      <c r="BL732" s="541"/>
      <c r="BM732" s="541"/>
      <c r="BP732" s="541"/>
      <c r="BQ732" s="633"/>
      <c r="BR732" s="541"/>
      <c r="BS732" s="541"/>
      <c r="BT732" s="541"/>
      <c r="BU732" s="541"/>
    </row>
    <row r="733" ht="15.75" customHeight="1">
      <c r="A733" s="1591"/>
      <c r="B733" s="1591"/>
      <c r="C733" s="2217"/>
      <c r="D733" s="1541"/>
      <c r="E733" s="906"/>
      <c r="F733" s="541"/>
      <c r="G733" s="541"/>
      <c r="H733" s="541"/>
      <c r="I733" s="541"/>
      <c r="J733" s="1748"/>
      <c r="K733" s="541"/>
      <c r="L733" s="1748"/>
      <c r="M733" s="541"/>
      <c r="N733" s="1748"/>
      <c r="O733" s="541"/>
      <c r="P733" s="1748"/>
      <c r="Q733" s="541"/>
      <c r="R733" s="1748"/>
      <c r="S733" s="541"/>
      <c r="T733" s="1748"/>
      <c r="U733" s="541"/>
      <c r="V733" s="1748"/>
      <c r="W733" s="541"/>
      <c r="X733" s="1748"/>
      <c r="Y733" s="1748"/>
      <c r="Z733" s="1748"/>
      <c r="AA733" s="541"/>
      <c r="AB733" s="1748"/>
      <c r="AC733" s="541"/>
      <c r="AD733" s="541"/>
      <c r="AE733" s="541"/>
      <c r="AF733" s="541"/>
      <c r="AG733" s="541"/>
      <c r="AH733" s="541"/>
      <c r="AI733" s="541"/>
      <c r="AJ733" s="541"/>
      <c r="AK733" s="541"/>
      <c r="AL733" s="541"/>
      <c r="AM733" s="541"/>
      <c r="AN733" s="1748"/>
      <c r="AO733" s="1748"/>
      <c r="AP733" s="1748"/>
      <c r="AQ733" s="1748"/>
      <c r="AR733" s="1748"/>
      <c r="AS733" s="541"/>
      <c r="AT733" s="541"/>
      <c r="AU733" s="541"/>
      <c r="AV733" s="541"/>
      <c r="AW733" s="541"/>
      <c r="AY733" s="541"/>
      <c r="AZ733" s="633"/>
      <c r="BA733" s="541"/>
      <c r="BB733" s="1190"/>
      <c r="BC733" s="541"/>
      <c r="BD733" s="1190"/>
      <c r="BE733" s="541"/>
      <c r="BF733" s="1190"/>
      <c r="BG733" s="541"/>
      <c r="BH733" s="1190"/>
      <c r="BI733" s="541"/>
      <c r="BJ733" s="1190"/>
      <c r="BK733" s="541"/>
      <c r="BL733" s="541"/>
      <c r="BM733" s="541"/>
      <c r="BP733" s="541"/>
      <c r="BQ733" s="633"/>
      <c r="BR733" s="541"/>
      <c r="BS733" s="541"/>
      <c r="BT733" s="541"/>
      <c r="BU733" s="541"/>
    </row>
    <row r="734" ht="15.75" customHeight="1">
      <c r="A734" s="1591"/>
      <c r="B734" s="1591"/>
      <c r="C734" s="2217"/>
      <c r="D734" s="1541"/>
      <c r="E734" s="906"/>
      <c r="F734" s="541"/>
      <c r="G734" s="541"/>
      <c r="H734" s="541"/>
      <c r="I734" s="541"/>
      <c r="J734" s="1748"/>
      <c r="K734" s="541"/>
      <c r="L734" s="1748"/>
      <c r="M734" s="541"/>
      <c r="N734" s="1748"/>
      <c r="O734" s="541"/>
      <c r="P734" s="1748"/>
      <c r="Q734" s="541"/>
      <c r="R734" s="1748"/>
      <c r="S734" s="541"/>
      <c r="T734" s="1748"/>
      <c r="U734" s="541"/>
      <c r="V734" s="1748"/>
      <c r="W734" s="541"/>
      <c r="X734" s="1748"/>
      <c r="Y734" s="1748"/>
      <c r="Z734" s="1748"/>
      <c r="AA734" s="541"/>
      <c r="AB734" s="1748"/>
      <c r="AC734" s="541"/>
      <c r="AD734" s="541"/>
      <c r="AE734" s="541"/>
      <c r="AF734" s="541"/>
      <c r="AG734" s="541"/>
      <c r="AH734" s="541"/>
      <c r="AI734" s="541"/>
      <c r="AJ734" s="541"/>
      <c r="AK734" s="541"/>
      <c r="AL734" s="541"/>
      <c r="AM734" s="541"/>
      <c r="AN734" s="1748"/>
      <c r="AO734" s="1748"/>
      <c r="AP734" s="1748"/>
      <c r="AQ734" s="1748"/>
      <c r="AR734" s="1748"/>
      <c r="AS734" s="541"/>
      <c r="AT734" s="541"/>
      <c r="AU734" s="541"/>
      <c r="AV734" s="541"/>
      <c r="AW734" s="541"/>
      <c r="AY734" s="541"/>
      <c r="AZ734" s="633"/>
      <c r="BA734" s="541"/>
      <c r="BB734" s="1190"/>
      <c r="BC734" s="541"/>
      <c r="BD734" s="1190"/>
      <c r="BE734" s="541"/>
      <c r="BF734" s="1190"/>
      <c r="BG734" s="541"/>
      <c r="BH734" s="1190"/>
      <c r="BI734" s="541"/>
      <c r="BJ734" s="1190"/>
      <c r="BK734" s="541"/>
      <c r="BL734" s="541"/>
      <c r="BM734" s="541"/>
      <c r="BP734" s="541"/>
      <c r="BQ734" s="633"/>
      <c r="BR734" s="541"/>
      <c r="BS734" s="541"/>
      <c r="BT734" s="541"/>
      <c r="BU734" s="541"/>
    </row>
    <row r="735" ht="15.75" customHeight="1">
      <c r="A735" s="1591"/>
      <c r="B735" s="1591"/>
      <c r="C735" s="2217"/>
      <c r="D735" s="1541"/>
      <c r="E735" s="906"/>
      <c r="F735" s="541"/>
      <c r="G735" s="541"/>
      <c r="H735" s="541"/>
      <c r="I735" s="541"/>
      <c r="J735" s="1748"/>
      <c r="K735" s="541"/>
      <c r="L735" s="1748"/>
      <c r="M735" s="541"/>
      <c r="N735" s="1748"/>
      <c r="O735" s="541"/>
      <c r="P735" s="1748"/>
      <c r="Q735" s="541"/>
      <c r="R735" s="1748"/>
      <c r="S735" s="541"/>
      <c r="T735" s="1748"/>
      <c r="U735" s="541"/>
      <c r="V735" s="1748"/>
      <c r="W735" s="541"/>
      <c r="X735" s="1748"/>
      <c r="Y735" s="1748"/>
      <c r="Z735" s="1748"/>
      <c r="AA735" s="541"/>
      <c r="AB735" s="1748"/>
      <c r="AC735" s="541"/>
      <c r="AD735" s="541"/>
      <c r="AE735" s="541"/>
      <c r="AF735" s="541"/>
      <c r="AG735" s="541"/>
      <c r="AH735" s="541"/>
      <c r="AI735" s="541"/>
      <c r="AJ735" s="541"/>
      <c r="AK735" s="541"/>
      <c r="AL735" s="541"/>
      <c r="AM735" s="541"/>
      <c r="AN735" s="1748"/>
      <c r="AO735" s="1748"/>
      <c r="AP735" s="1748"/>
      <c r="AQ735" s="1748"/>
      <c r="AR735" s="1748"/>
      <c r="AS735" s="541"/>
      <c r="AT735" s="541"/>
      <c r="AU735" s="541"/>
      <c r="AV735" s="541"/>
      <c r="AW735" s="541"/>
      <c r="AY735" s="541"/>
      <c r="AZ735" s="633"/>
      <c r="BA735" s="541"/>
      <c r="BB735" s="1190"/>
      <c r="BC735" s="541"/>
      <c r="BD735" s="1190"/>
      <c r="BE735" s="541"/>
      <c r="BF735" s="1190"/>
      <c r="BG735" s="541"/>
      <c r="BH735" s="1190"/>
      <c r="BI735" s="541"/>
      <c r="BJ735" s="1190"/>
      <c r="BK735" s="541"/>
      <c r="BL735" s="541"/>
      <c r="BM735" s="541"/>
      <c r="BP735" s="541"/>
      <c r="BQ735" s="633"/>
      <c r="BR735" s="541"/>
      <c r="BS735" s="541"/>
      <c r="BT735" s="541"/>
      <c r="BU735" s="541"/>
    </row>
    <row r="736" ht="15.75" customHeight="1">
      <c r="A736" s="1591"/>
      <c r="B736" s="1591"/>
      <c r="C736" s="2217"/>
      <c r="D736" s="1541"/>
      <c r="E736" s="906"/>
      <c r="F736" s="541"/>
      <c r="G736" s="541"/>
      <c r="H736" s="541"/>
      <c r="I736" s="541"/>
      <c r="J736" s="1748"/>
      <c r="K736" s="541"/>
      <c r="L736" s="1748"/>
      <c r="M736" s="541"/>
      <c r="N736" s="1748"/>
      <c r="O736" s="541"/>
      <c r="P736" s="1748"/>
      <c r="Q736" s="541"/>
      <c r="R736" s="1748"/>
      <c r="S736" s="541"/>
      <c r="T736" s="1748"/>
      <c r="U736" s="541"/>
      <c r="V736" s="1748"/>
      <c r="W736" s="541"/>
      <c r="X736" s="1748"/>
      <c r="Y736" s="1748"/>
      <c r="Z736" s="1748"/>
      <c r="AA736" s="541"/>
      <c r="AB736" s="1748"/>
      <c r="AC736" s="541"/>
      <c r="AD736" s="541"/>
      <c r="AE736" s="541"/>
      <c r="AF736" s="541"/>
      <c r="AG736" s="541"/>
      <c r="AH736" s="541"/>
      <c r="AI736" s="541"/>
      <c r="AJ736" s="541"/>
      <c r="AK736" s="541"/>
      <c r="AL736" s="541"/>
      <c r="AM736" s="541"/>
      <c r="AN736" s="1748"/>
      <c r="AO736" s="1748"/>
      <c r="AP736" s="1748"/>
      <c r="AQ736" s="1748"/>
      <c r="AR736" s="1748"/>
      <c r="AS736" s="541"/>
      <c r="AT736" s="541"/>
      <c r="AU736" s="541"/>
      <c r="AV736" s="541"/>
      <c r="AW736" s="541"/>
      <c r="AY736" s="541"/>
      <c r="AZ736" s="633"/>
      <c r="BA736" s="541"/>
      <c r="BB736" s="1190"/>
      <c r="BC736" s="541"/>
      <c r="BD736" s="1190"/>
      <c r="BE736" s="541"/>
      <c r="BF736" s="1190"/>
      <c r="BG736" s="541"/>
      <c r="BH736" s="1190"/>
      <c r="BI736" s="541"/>
      <c r="BJ736" s="1190"/>
      <c r="BK736" s="541"/>
      <c r="BL736" s="541"/>
      <c r="BM736" s="541"/>
      <c r="BP736" s="541"/>
      <c r="BQ736" s="633"/>
      <c r="BR736" s="541"/>
      <c r="BS736" s="541"/>
      <c r="BT736" s="541"/>
      <c r="BU736" s="541"/>
    </row>
    <row r="737" ht="15.75" customHeight="1">
      <c r="A737" s="1591"/>
      <c r="B737" s="1591"/>
      <c r="C737" s="2217"/>
      <c r="D737" s="1541"/>
      <c r="E737" s="906"/>
      <c r="F737" s="541"/>
      <c r="G737" s="541"/>
      <c r="H737" s="541"/>
      <c r="I737" s="541"/>
      <c r="J737" s="1748"/>
      <c r="K737" s="541"/>
      <c r="L737" s="1748"/>
      <c r="M737" s="541"/>
      <c r="N737" s="1748"/>
      <c r="O737" s="541"/>
      <c r="P737" s="1748"/>
      <c r="Q737" s="541"/>
      <c r="R737" s="1748"/>
      <c r="S737" s="541"/>
      <c r="T737" s="1748"/>
      <c r="U737" s="541"/>
      <c r="V737" s="1748"/>
      <c r="W737" s="541"/>
      <c r="X737" s="1748"/>
      <c r="Y737" s="1748"/>
      <c r="Z737" s="1748"/>
      <c r="AA737" s="541"/>
      <c r="AB737" s="1748"/>
      <c r="AC737" s="541"/>
      <c r="AD737" s="541"/>
      <c r="AE737" s="541"/>
      <c r="AF737" s="541"/>
      <c r="AG737" s="541"/>
      <c r="AH737" s="541"/>
      <c r="AI737" s="541"/>
      <c r="AJ737" s="541"/>
      <c r="AK737" s="541"/>
      <c r="AL737" s="541"/>
      <c r="AM737" s="541"/>
      <c r="AN737" s="1748"/>
      <c r="AO737" s="1748"/>
      <c r="AP737" s="1748"/>
      <c r="AQ737" s="1748"/>
      <c r="AR737" s="1748"/>
      <c r="AS737" s="541"/>
      <c r="AT737" s="541"/>
      <c r="AU737" s="541"/>
      <c r="AV737" s="541"/>
      <c r="AW737" s="541"/>
      <c r="AY737" s="541"/>
      <c r="AZ737" s="633"/>
      <c r="BA737" s="541"/>
      <c r="BB737" s="1190"/>
      <c r="BC737" s="541"/>
      <c r="BD737" s="1190"/>
      <c r="BE737" s="541"/>
      <c r="BF737" s="1190"/>
      <c r="BG737" s="541"/>
      <c r="BH737" s="1190"/>
      <c r="BI737" s="541"/>
      <c r="BJ737" s="1190"/>
      <c r="BK737" s="541"/>
      <c r="BL737" s="541"/>
      <c r="BM737" s="541"/>
      <c r="BP737" s="541"/>
      <c r="BQ737" s="633"/>
      <c r="BR737" s="541"/>
      <c r="BS737" s="541"/>
      <c r="BT737" s="541"/>
      <c r="BU737" s="541"/>
    </row>
    <row r="738" ht="15.75" customHeight="1">
      <c r="A738" s="1591"/>
      <c r="B738" s="1591"/>
      <c r="C738" s="2217"/>
      <c r="D738" s="1541"/>
      <c r="E738" s="906"/>
      <c r="F738" s="541"/>
      <c r="G738" s="541"/>
      <c r="H738" s="541"/>
      <c r="I738" s="541"/>
      <c r="J738" s="1748"/>
      <c r="K738" s="541"/>
      <c r="L738" s="1748"/>
      <c r="M738" s="541"/>
      <c r="N738" s="1748"/>
      <c r="O738" s="541"/>
      <c r="P738" s="1748"/>
      <c r="Q738" s="541"/>
      <c r="R738" s="1748"/>
      <c r="S738" s="541"/>
      <c r="T738" s="1748"/>
      <c r="U738" s="541"/>
      <c r="V738" s="1748"/>
      <c r="W738" s="541"/>
      <c r="X738" s="1748"/>
      <c r="Y738" s="1748"/>
      <c r="Z738" s="1748"/>
      <c r="AA738" s="541"/>
      <c r="AB738" s="1748"/>
      <c r="AC738" s="541"/>
      <c r="AD738" s="541"/>
      <c r="AE738" s="541"/>
      <c r="AF738" s="541"/>
      <c r="AG738" s="541"/>
      <c r="AH738" s="541"/>
      <c r="AI738" s="541"/>
      <c r="AJ738" s="541"/>
      <c r="AK738" s="541"/>
      <c r="AL738" s="541"/>
      <c r="AM738" s="541"/>
      <c r="AN738" s="1748"/>
      <c r="AO738" s="1748"/>
      <c r="AP738" s="1748"/>
      <c r="AQ738" s="1748"/>
      <c r="AR738" s="1748"/>
      <c r="AS738" s="541"/>
      <c r="AT738" s="541"/>
      <c r="AU738" s="541"/>
      <c r="AV738" s="541"/>
      <c r="AW738" s="541"/>
      <c r="AY738" s="541"/>
      <c r="AZ738" s="633"/>
      <c r="BA738" s="541"/>
      <c r="BB738" s="1190"/>
      <c r="BC738" s="541"/>
      <c r="BD738" s="1190"/>
      <c r="BE738" s="541"/>
      <c r="BF738" s="1190"/>
      <c r="BG738" s="541"/>
      <c r="BH738" s="1190"/>
      <c r="BI738" s="541"/>
      <c r="BJ738" s="1190"/>
      <c r="BK738" s="541"/>
      <c r="BL738" s="541"/>
      <c r="BM738" s="541"/>
      <c r="BP738" s="541"/>
      <c r="BQ738" s="633"/>
      <c r="BR738" s="541"/>
      <c r="BS738" s="541"/>
      <c r="BT738" s="541"/>
      <c r="BU738" s="541"/>
    </row>
    <row r="739" ht="15.75" customHeight="1">
      <c r="A739" s="1591"/>
      <c r="B739" s="1591"/>
      <c r="C739" s="2217"/>
      <c r="D739" s="1541"/>
      <c r="E739" s="906"/>
      <c r="F739" s="541"/>
      <c r="G739" s="541"/>
      <c r="H739" s="541"/>
      <c r="I739" s="541"/>
      <c r="J739" s="1748"/>
      <c r="K739" s="541"/>
      <c r="L739" s="1748"/>
      <c r="M739" s="541"/>
      <c r="N739" s="1748"/>
      <c r="O739" s="541"/>
      <c r="P739" s="1748"/>
      <c r="Q739" s="541"/>
      <c r="R739" s="1748"/>
      <c r="S739" s="541"/>
      <c r="T739" s="1748"/>
      <c r="U739" s="541"/>
      <c r="V739" s="1748"/>
      <c r="W739" s="541"/>
      <c r="X739" s="1748"/>
      <c r="Y739" s="1748"/>
      <c r="Z739" s="1748"/>
      <c r="AA739" s="541"/>
      <c r="AB739" s="1748"/>
      <c r="AC739" s="541"/>
      <c r="AD739" s="541"/>
      <c r="AE739" s="541"/>
      <c r="AF739" s="541"/>
      <c r="AG739" s="541"/>
      <c r="AH739" s="541"/>
      <c r="AI739" s="541"/>
      <c r="AJ739" s="541"/>
      <c r="AK739" s="541"/>
      <c r="AL739" s="541"/>
      <c r="AM739" s="541"/>
      <c r="AN739" s="1748"/>
      <c r="AO739" s="1748"/>
      <c r="AP739" s="1748"/>
      <c r="AQ739" s="1748"/>
      <c r="AR739" s="1748"/>
      <c r="AS739" s="541"/>
      <c r="AT739" s="541"/>
      <c r="AU739" s="541"/>
      <c r="AV739" s="541"/>
      <c r="AW739" s="541"/>
      <c r="AY739" s="541"/>
      <c r="AZ739" s="633"/>
      <c r="BA739" s="541"/>
      <c r="BB739" s="1190"/>
      <c r="BC739" s="541"/>
      <c r="BD739" s="1190"/>
      <c r="BE739" s="541"/>
      <c r="BF739" s="1190"/>
      <c r="BG739" s="541"/>
      <c r="BH739" s="1190"/>
      <c r="BI739" s="541"/>
      <c r="BJ739" s="1190"/>
      <c r="BK739" s="541"/>
      <c r="BL739" s="541"/>
      <c r="BM739" s="541"/>
      <c r="BP739" s="541"/>
      <c r="BQ739" s="633"/>
      <c r="BR739" s="541"/>
      <c r="BS739" s="541"/>
      <c r="BT739" s="541"/>
      <c r="BU739" s="541"/>
    </row>
    <row r="740" ht="15.75" customHeight="1">
      <c r="A740" s="1591"/>
      <c r="B740" s="1591"/>
      <c r="C740" s="2217"/>
      <c r="D740" s="1541"/>
      <c r="E740" s="906"/>
      <c r="F740" s="541"/>
      <c r="G740" s="541"/>
      <c r="H740" s="541"/>
      <c r="I740" s="541"/>
      <c r="J740" s="1748"/>
      <c r="K740" s="541"/>
      <c r="L740" s="1748"/>
      <c r="M740" s="541"/>
      <c r="N740" s="1748"/>
      <c r="O740" s="541"/>
      <c r="P740" s="1748"/>
      <c r="Q740" s="541"/>
      <c r="R740" s="1748"/>
      <c r="S740" s="541"/>
      <c r="T740" s="1748"/>
      <c r="U740" s="541"/>
      <c r="V740" s="1748"/>
      <c r="W740" s="541"/>
      <c r="X740" s="1748"/>
      <c r="Y740" s="1748"/>
      <c r="Z740" s="1748"/>
      <c r="AA740" s="541"/>
      <c r="AB740" s="1748"/>
      <c r="AC740" s="541"/>
      <c r="AD740" s="541"/>
      <c r="AE740" s="541"/>
      <c r="AF740" s="541"/>
      <c r="AG740" s="541"/>
      <c r="AH740" s="541"/>
      <c r="AI740" s="541"/>
      <c r="AJ740" s="541"/>
      <c r="AK740" s="541"/>
      <c r="AL740" s="541"/>
      <c r="AM740" s="541"/>
      <c r="AN740" s="1748"/>
      <c r="AO740" s="1748"/>
      <c r="AP740" s="1748"/>
      <c r="AQ740" s="1748"/>
      <c r="AR740" s="1748"/>
      <c r="AS740" s="541"/>
      <c r="AT740" s="541"/>
      <c r="AU740" s="541"/>
      <c r="AV740" s="541"/>
      <c r="AW740" s="541"/>
      <c r="AY740" s="541"/>
      <c r="AZ740" s="633"/>
      <c r="BA740" s="541"/>
      <c r="BB740" s="1190"/>
      <c r="BC740" s="541"/>
      <c r="BD740" s="1190"/>
      <c r="BE740" s="541"/>
      <c r="BF740" s="1190"/>
      <c r="BG740" s="541"/>
      <c r="BH740" s="1190"/>
      <c r="BI740" s="541"/>
      <c r="BJ740" s="1190"/>
      <c r="BK740" s="541"/>
      <c r="BL740" s="541"/>
      <c r="BM740" s="541"/>
      <c r="BP740" s="541"/>
      <c r="BQ740" s="633"/>
      <c r="BR740" s="541"/>
      <c r="BS740" s="541"/>
      <c r="BT740" s="541"/>
      <c r="BU740" s="541"/>
    </row>
    <row r="741" ht="15.75" customHeight="1">
      <c r="A741" s="1591"/>
      <c r="B741" s="1591"/>
      <c r="C741" s="2217"/>
      <c r="D741" s="1541"/>
      <c r="E741" s="906"/>
      <c r="F741" s="541"/>
      <c r="G741" s="541"/>
      <c r="H741" s="541"/>
      <c r="I741" s="541"/>
      <c r="J741" s="1748"/>
      <c r="K741" s="541"/>
      <c r="L741" s="1748"/>
      <c r="M741" s="541"/>
      <c r="N741" s="1748"/>
      <c r="O741" s="541"/>
      <c r="P741" s="1748"/>
      <c r="Q741" s="541"/>
      <c r="R741" s="1748"/>
      <c r="S741" s="541"/>
      <c r="T741" s="1748"/>
      <c r="U741" s="541"/>
      <c r="V741" s="1748"/>
      <c r="W741" s="541"/>
      <c r="X741" s="1748"/>
      <c r="Y741" s="1748"/>
      <c r="Z741" s="1748"/>
      <c r="AA741" s="541"/>
      <c r="AB741" s="1748"/>
      <c r="AC741" s="541"/>
      <c r="AD741" s="541"/>
      <c r="AE741" s="541"/>
      <c r="AF741" s="541"/>
      <c r="AG741" s="541"/>
      <c r="AH741" s="541"/>
      <c r="AI741" s="541"/>
      <c r="AJ741" s="541"/>
      <c r="AK741" s="541"/>
      <c r="AL741" s="541"/>
      <c r="AM741" s="541"/>
      <c r="AN741" s="1748"/>
      <c r="AO741" s="1748"/>
      <c r="AP741" s="1748"/>
      <c r="AQ741" s="1748"/>
      <c r="AR741" s="1748"/>
      <c r="AS741" s="541"/>
      <c r="AT741" s="541"/>
      <c r="AU741" s="541"/>
      <c r="AV741" s="541"/>
      <c r="AW741" s="541"/>
      <c r="AY741" s="541"/>
      <c r="AZ741" s="633"/>
      <c r="BA741" s="541"/>
      <c r="BB741" s="1190"/>
      <c r="BC741" s="541"/>
      <c r="BD741" s="1190"/>
      <c r="BE741" s="541"/>
      <c r="BF741" s="1190"/>
      <c r="BG741" s="541"/>
      <c r="BH741" s="1190"/>
      <c r="BI741" s="541"/>
      <c r="BJ741" s="1190"/>
      <c r="BK741" s="541"/>
      <c r="BL741" s="541"/>
      <c r="BM741" s="541"/>
      <c r="BP741" s="541"/>
      <c r="BQ741" s="633"/>
      <c r="BR741" s="541"/>
      <c r="BS741" s="541"/>
      <c r="BT741" s="541"/>
      <c r="BU741" s="541"/>
    </row>
    <row r="742" ht="15.75" customHeight="1">
      <c r="A742" s="1591"/>
      <c r="B742" s="1591"/>
      <c r="C742" s="2217"/>
      <c r="D742" s="1541"/>
      <c r="E742" s="906"/>
      <c r="F742" s="541"/>
      <c r="G742" s="541"/>
      <c r="H742" s="541"/>
      <c r="I742" s="541"/>
      <c r="J742" s="1748"/>
      <c r="K742" s="541"/>
      <c r="L742" s="1748"/>
      <c r="M742" s="541"/>
      <c r="N742" s="1748"/>
      <c r="O742" s="541"/>
      <c r="P742" s="1748"/>
      <c r="Q742" s="541"/>
      <c r="R742" s="1748"/>
      <c r="S742" s="541"/>
      <c r="T742" s="1748"/>
      <c r="U742" s="541"/>
      <c r="V742" s="1748"/>
      <c r="W742" s="541"/>
      <c r="X742" s="1748"/>
      <c r="Y742" s="1748"/>
      <c r="Z742" s="1748"/>
      <c r="AA742" s="541"/>
      <c r="AB742" s="1748"/>
      <c r="AC742" s="541"/>
      <c r="AD742" s="541"/>
      <c r="AE742" s="541"/>
      <c r="AF742" s="541"/>
      <c r="AG742" s="541"/>
      <c r="AH742" s="541"/>
      <c r="AI742" s="541"/>
      <c r="AJ742" s="541"/>
      <c r="AK742" s="541"/>
      <c r="AL742" s="541"/>
      <c r="AM742" s="541"/>
      <c r="AN742" s="1748"/>
      <c r="AO742" s="1748"/>
      <c r="AP742" s="1748"/>
      <c r="AQ742" s="1748"/>
      <c r="AR742" s="1748"/>
      <c r="AS742" s="541"/>
      <c r="AT742" s="541"/>
      <c r="AU742" s="541"/>
      <c r="AV742" s="541"/>
      <c r="AW742" s="541"/>
      <c r="AY742" s="541"/>
      <c r="AZ742" s="633"/>
      <c r="BA742" s="541"/>
      <c r="BB742" s="1190"/>
      <c r="BC742" s="541"/>
      <c r="BD742" s="1190"/>
      <c r="BE742" s="541"/>
      <c r="BF742" s="1190"/>
      <c r="BG742" s="541"/>
      <c r="BH742" s="1190"/>
      <c r="BI742" s="541"/>
      <c r="BJ742" s="1190"/>
      <c r="BK742" s="541"/>
      <c r="BL742" s="541"/>
      <c r="BM742" s="541"/>
      <c r="BP742" s="541"/>
      <c r="BQ742" s="633"/>
      <c r="BR742" s="541"/>
      <c r="BS742" s="541"/>
      <c r="BT742" s="541"/>
      <c r="BU742" s="541"/>
    </row>
    <row r="743" ht="15.75" customHeight="1">
      <c r="A743" s="1591"/>
      <c r="B743" s="1591"/>
      <c r="C743" s="2217"/>
      <c r="D743" s="1541"/>
      <c r="E743" s="906"/>
      <c r="F743" s="541"/>
      <c r="G743" s="541"/>
      <c r="H743" s="541"/>
      <c r="I743" s="541"/>
      <c r="J743" s="1748"/>
      <c r="K743" s="541"/>
      <c r="L743" s="1748"/>
      <c r="M743" s="541"/>
      <c r="N743" s="1748"/>
      <c r="O743" s="541"/>
      <c r="P743" s="1748"/>
      <c r="Q743" s="541"/>
      <c r="R743" s="1748"/>
      <c r="S743" s="541"/>
      <c r="T743" s="1748"/>
      <c r="U743" s="541"/>
      <c r="V743" s="1748"/>
      <c r="W743" s="541"/>
      <c r="X743" s="1748"/>
      <c r="Y743" s="1748"/>
      <c r="Z743" s="1748"/>
      <c r="AA743" s="541"/>
      <c r="AB743" s="1748"/>
      <c r="AC743" s="541"/>
      <c r="AD743" s="541"/>
      <c r="AE743" s="541"/>
      <c r="AF743" s="541"/>
      <c r="AG743" s="541"/>
      <c r="AH743" s="541"/>
      <c r="AI743" s="541"/>
      <c r="AJ743" s="541"/>
      <c r="AK743" s="541"/>
      <c r="AL743" s="541"/>
      <c r="AM743" s="541"/>
      <c r="AN743" s="1748"/>
      <c r="AO743" s="1748"/>
      <c r="AP743" s="1748"/>
      <c r="AQ743" s="1748"/>
      <c r="AR743" s="1748"/>
      <c r="AS743" s="541"/>
      <c r="AT743" s="541"/>
      <c r="AU743" s="541"/>
      <c r="AV743" s="541"/>
      <c r="AW743" s="541"/>
      <c r="AY743" s="541"/>
      <c r="AZ743" s="633"/>
      <c r="BA743" s="541"/>
      <c r="BB743" s="1190"/>
      <c r="BC743" s="541"/>
      <c r="BD743" s="1190"/>
      <c r="BE743" s="541"/>
      <c r="BF743" s="1190"/>
      <c r="BG743" s="541"/>
      <c r="BH743" s="1190"/>
      <c r="BI743" s="541"/>
      <c r="BJ743" s="1190"/>
      <c r="BK743" s="541"/>
      <c r="BL743" s="541"/>
      <c r="BM743" s="541"/>
      <c r="BP743" s="541"/>
      <c r="BQ743" s="633"/>
      <c r="BR743" s="541"/>
      <c r="BS743" s="541"/>
      <c r="BT743" s="541"/>
      <c r="BU743" s="541"/>
    </row>
    <row r="744" ht="15.75" customHeight="1">
      <c r="A744" s="1591"/>
      <c r="B744" s="1591"/>
      <c r="C744" s="2217"/>
      <c r="D744" s="1541"/>
      <c r="E744" s="906"/>
      <c r="F744" s="541"/>
      <c r="G744" s="541"/>
      <c r="H744" s="541"/>
      <c r="I744" s="541"/>
      <c r="J744" s="1748"/>
      <c r="K744" s="541"/>
      <c r="L744" s="1748"/>
      <c r="M744" s="541"/>
      <c r="N744" s="1748"/>
      <c r="O744" s="541"/>
      <c r="P744" s="1748"/>
      <c r="Q744" s="541"/>
      <c r="R744" s="1748"/>
      <c r="S744" s="541"/>
      <c r="T744" s="1748"/>
      <c r="U744" s="541"/>
      <c r="V744" s="1748"/>
      <c r="W744" s="541"/>
      <c r="X744" s="1748"/>
      <c r="Y744" s="1748"/>
      <c r="Z744" s="1748"/>
      <c r="AA744" s="541"/>
      <c r="AB744" s="1748"/>
      <c r="AC744" s="541"/>
      <c r="AD744" s="541"/>
      <c r="AE744" s="541"/>
      <c r="AF744" s="541"/>
      <c r="AG744" s="541"/>
      <c r="AH744" s="541"/>
      <c r="AI744" s="541"/>
      <c r="AJ744" s="541"/>
      <c r="AK744" s="541"/>
      <c r="AL744" s="541"/>
      <c r="AM744" s="541"/>
      <c r="AN744" s="1748"/>
      <c r="AO744" s="1748"/>
      <c r="AP744" s="1748"/>
      <c r="AQ744" s="1748"/>
      <c r="AR744" s="1748"/>
      <c r="AS744" s="541"/>
      <c r="AT744" s="541"/>
      <c r="AU744" s="541"/>
      <c r="AV744" s="541"/>
      <c r="AW744" s="541"/>
      <c r="AY744" s="541"/>
      <c r="AZ744" s="633"/>
      <c r="BA744" s="541"/>
      <c r="BB744" s="1190"/>
      <c r="BC744" s="541"/>
      <c r="BD744" s="1190"/>
      <c r="BE744" s="541"/>
      <c r="BF744" s="1190"/>
      <c r="BG744" s="541"/>
      <c r="BH744" s="1190"/>
      <c r="BI744" s="541"/>
      <c r="BJ744" s="1190"/>
      <c r="BK744" s="541"/>
      <c r="BL744" s="541"/>
      <c r="BM744" s="541"/>
      <c r="BP744" s="541"/>
      <c r="BQ744" s="633"/>
      <c r="BR744" s="541"/>
      <c r="BS744" s="541"/>
      <c r="BT744" s="541"/>
      <c r="BU744" s="541"/>
    </row>
    <row r="745" ht="15.75" customHeight="1">
      <c r="A745" s="1591"/>
      <c r="B745" s="1591"/>
      <c r="C745" s="2217"/>
      <c r="D745" s="1541"/>
      <c r="E745" s="906"/>
      <c r="F745" s="541"/>
      <c r="G745" s="541"/>
      <c r="H745" s="541"/>
      <c r="I745" s="541"/>
      <c r="J745" s="1748"/>
      <c r="K745" s="541"/>
      <c r="L745" s="1748"/>
      <c r="M745" s="541"/>
      <c r="N745" s="1748"/>
      <c r="O745" s="541"/>
      <c r="P745" s="1748"/>
      <c r="Q745" s="541"/>
      <c r="R745" s="1748"/>
      <c r="S745" s="541"/>
      <c r="T745" s="1748"/>
      <c r="U745" s="541"/>
      <c r="V745" s="1748"/>
      <c r="W745" s="541"/>
      <c r="X745" s="1748"/>
      <c r="Y745" s="1748"/>
      <c r="Z745" s="1748"/>
      <c r="AA745" s="541"/>
      <c r="AB745" s="1748"/>
      <c r="AC745" s="541"/>
      <c r="AD745" s="541"/>
      <c r="AE745" s="541"/>
      <c r="AF745" s="541"/>
      <c r="AG745" s="541"/>
      <c r="AH745" s="541"/>
      <c r="AI745" s="541"/>
      <c r="AJ745" s="541"/>
      <c r="AK745" s="541"/>
      <c r="AL745" s="541"/>
      <c r="AM745" s="541"/>
      <c r="AN745" s="1748"/>
      <c r="AO745" s="1748"/>
      <c r="AP745" s="1748"/>
      <c r="AQ745" s="1748"/>
      <c r="AR745" s="1748"/>
      <c r="AS745" s="541"/>
      <c r="AT745" s="541"/>
      <c r="AU745" s="541"/>
      <c r="AV745" s="541"/>
      <c r="AW745" s="541"/>
      <c r="AY745" s="541"/>
      <c r="AZ745" s="633"/>
      <c r="BA745" s="541"/>
      <c r="BB745" s="1190"/>
      <c r="BC745" s="541"/>
      <c r="BD745" s="1190"/>
      <c r="BE745" s="541"/>
      <c r="BF745" s="1190"/>
      <c r="BG745" s="541"/>
      <c r="BH745" s="1190"/>
      <c r="BI745" s="541"/>
      <c r="BJ745" s="1190"/>
      <c r="BK745" s="541"/>
      <c r="BL745" s="541"/>
      <c r="BM745" s="541"/>
      <c r="BP745" s="541"/>
      <c r="BQ745" s="633"/>
      <c r="BR745" s="541"/>
      <c r="BS745" s="541"/>
      <c r="BT745" s="541"/>
      <c r="BU745" s="541"/>
    </row>
    <row r="746" ht="15.75" customHeight="1">
      <c r="A746" s="1591"/>
      <c r="B746" s="1591"/>
      <c r="C746" s="2217"/>
      <c r="D746" s="1541"/>
      <c r="E746" s="906"/>
      <c r="F746" s="541"/>
      <c r="G746" s="541"/>
      <c r="H746" s="541"/>
      <c r="I746" s="541"/>
      <c r="J746" s="1748"/>
      <c r="K746" s="541"/>
      <c r="L746" s="1748"/>
      <c r="M746" s="541"/>
      <c r="N746" s="1748"/>
      <c r="O746" s="541"/>
      <c r="P746" s="1748"/>
      <c r="Q746" s="541"/>
      <c r="R746" s="1748"/>
      <c r="S746" s="541"/>
      <c r="T746" s="1748"/>
      <c r="U746" s="541"/>
      <c r="V746" s="1748"/>
      <c r="W746" s="541"/>
      <c r="X746" s="1748"/>
      <c r="Y746" s="1748"/>
      <c r="Z746" s="1748"/>
      <c r="AA746" s="541"/>
      <c r="AB746" s="1748"/>
      <c r="AC746" s="541"/>
      <c r="AD746" s="541"/>
      <c r="AE746" s="541"/>
      <c r="AF746" s="541"/>
      <c r="AG746" s="541"/>
      <c r="AH746" s="541"/>
      <c r="AI746" s="541"/>
      <c r="AJ746" s="541"/>
      <c r="AK746" s="541"/>
      <c r="AL746" s="541"/>
      <c r="AM746" s="541"/>
      <c r="AN746" s="1748"/>
      <c r="AO746" s="1748"/>
      <c r="AP746" s="1748"/>
      <c r="AQ746" s="1748"/>
      <c r="AR746" s="1748"/>
      <c r="AS746" s="541"/>
      <c r="AT746" s="541"/>
      <c r="AU746" s="541"/>
      <c r="AV746" s="541"/>
      <c r="AW746" s="541"/>
      <c r="AY746" s="541"/>
      <c r="AZ746" s="633"/>
      <c r="BA746" s="541"/>
      <c r="BB746" s="1190"/>
      <c r="BC746" s="541"/>
      <c r="BD746" s="1190"/>
      <c r="BE746" s="541"/>
      <c r="BF746" s="1190"/>
      <c r="BG746" s="541"/>
      <c r="BH746" s="1190"/>
      <c r="BI746" s="541"/>
      <c r="BJ746" s="1190"/>
      <c r="BK746" s="541"/>
      <c r="BL746" s="541"/>
      <c r="BM746" s="541"/>
      <c r="BP746" s="541"/>
      <c r="BQ746" s="633"/>
      <c r="BR746" s="541"/>
      <c r="BS746" s="541"/>
      <c r="BT746" s="541"/>
      <c r="BU746" s="541"/>
    </row>
    <row r="747" ht="15.75" customHeight="1">
      <c r="A747" s="1591"/>
      <c r="B747" s="1591"/>
      <c r="C747" s="2217"/>
      <c r="D747" s="1541"/>
      <c r="E747" s="906"/>
      <c r="F747" s="541"/>
      <c r="G747" s="541"/>
      <c r="H747" s="541"/>
      <c r="I747" s="541"/>
      <c r="J747" s="1748"/>
      <c r="K747" s="541"/>
      <c r="L747" s="1748"/>
      <c r="M747" s="541"/>
      <c r="N747" s="1748"/>
      <c r="O747" s="541"/>
      <c r="P747" s="1748"/>
      <c r="Q747" s="541"/>
      <c r="R747" s="1748"/>
      <c r="S747" s="541"/>
      <c r="T747" s="1748"/>
      <c r="U747" s="541"/>
      <c r="V747" s="1748"/>
      <c r="W747" s="541"/>
      <c r="X747" s="1748"/>
      <c r="Y747" s="1748"/>
      <c r="Z747" s="1748"/>
      <c r="AA747" s="541"/>
      <c r="AB747" s="1748"/>
      <c r="AC747" s="541"/>
      <c r="AD747" s="541"/>
      <c r="AE747" s="541"/>
      <c r="AF747" s="541"/>
      <c r="AG747" s="541"/>
      <c r="AH747" s="541"/>
      <c r="AI747" s="541"/>
      <c r="AJ747" s="541"/>
      <c r="AK747" s="541"/>
      <c r="AL747" s="541"/>
      <c r="AM747" s="541"/>
      <c r="AN747" s="1748"/>
      <c r="AO747" s="1748"/>
      <c r="AP747" s="1748"/>
      <c r="AQ747" s="1748"/>
      <c r="AR747" s="1748"/>
      <c r="AS747" s="541"/>
      <c r="AT747" s="541"/>
      <c r="AU747" s="541"/>
      <c r="AV747" s="541"/>
      <c r="AW747" s="541"/>
      <c r="AY747" s="541"/>
      <c r="AZ747" s="633"/>
      <c r="BA747" s="541"/>
      <c r="BB747" s="1190"/>
      <c r="BC747" s="541"/>
      <c r="BD747" s="1190"/>
      <c r="BE747" s="541"/>
      <c r="BF747" s="1190"/>
      <c r="BG747" s="541"/>
      <c r="BH747" s="1190"/>
      <c r="BI747" s="541"/>
      <c r="BJ747" s="1190"/>
      <c r="BK747" s="541"/>
      <c r="BL747" s="541"/>
      <c r="BM747" s="541"/>
      <c r="BP747" s="541"/>
      <c r="BQ747" s="633"/>
      <c r="BR747" s="541"/>
      <c r="BS747" s="541"/>
      <c r="BT747" s="541"/>
      <c r="BU747" s="541"/>
    </row>
    <row r="748" ht="15.75" customHeight="1">
      <c r="A748" s="1591"/>
      <c r="B748" s="1591"/>
      <c r="C748" s="2217"/>
      <c r="D748" s="1541"/>
      <c r="E748" s="906"/>
      <c r="F748" s="541"/>
      <c r="G748" s="541"/>
      <c r="H748" s="541"/>
      <c r="I748" s="541"/>
      <c r="J748" s="1748"/>
      <c r="K748" s="541"/>
      <c r="L748" s="1748"/>
      <c r="M748" s="541"/>
      <c r="N748" s="1748"/>
      <c r="O748" s="541"/>
      <c r="P748" s="1748"/>
      <c r="Q748" s="541"/>
      <c r="R748" s="1748"/>
      <c r="S748" s="541"/>
      <c r="T748" s="1748"/>
      <c r="U748" s="541"/>
      <c r="V748" s="1748"/>
      <c r="W748" s="541"/>
      <c r="X748" s="1748"/>
      <c r="Y748" s="1748"/>
      <c r="Z748" s="1748"/>
      <c r="AA748" s="541"/>
      <c r="AB748" s="1748"/>
      <c r="AC748" s="541"/>
      <c r="AD748" s="541"/>
      <c r="AE748" s="541"/>
      <c r="AF748" s="541"/>
      <c r="AG748" s="541"/>
      <c r="AH748" s="541"/>
      <c r="AI748" s="541"/>
      <c r="AJ748" s="541"/>
      <c r="AK748" s="541"/>
      <c r="AL748" s="541"/>
      <c r="AM748" s="541"/>
      <c r="AN748" s="1748"/>
      <c r="AO748" s="1748"/>
      <c r="AP748" s="1748"/>
      <c r="AQ748" s="1748"/>
      <c r="AR748" s="1748"/>
      <c r="AS748" s="541"/>
      <c r="AT748" s="541"/>
      <c r="AU748" s="541"/>
      <c r="AV748" s="541"/>
      <c r="AW748" s="541"/>
      <c r="AY748" s="541"/>
      <c r="AZ748" s="633"/>
      <c r="BA748" s="541"/>
      <c r="BB748" s="1190"/>
      <c r="BC748" s="541"/>
      <c r="BD748" s="1190"/>
      <c r="BE748" s="541"/>
      <c r="BF748" s="1190"/>
      <c r="BG748" s="541"/>
      <c r="BH748" s="1190"/>
      <c r="BI748" s="541"/>
      <c r="BJ748" s="1190"/>
      <c r="BK748" s="541"/>
      <c r="BL748" s="541"/>
      <c r="BM748" s="541"/>
      <c r="BP748" s="541"/>
      <c r="BQ748" s="633"/>
      <c r="BR748" s="541"/>
      <c r="BS748" s="541"/>
      <c r="BT748" s="541"/>
      <c r="BU748" s="541"/>
    </row>
    <row r="749" ht="15.75" customHeight="1">
      <c r="A749" s="1591"/>
      <c r="B749" s="1591"/>
      <c r="C749" s="2217"/>
      <c r="D749" s="1541"/>
      <c r="E749" s="906"/>
      <c r="F749" s="541"/>
      <c r="G749" s="541"/>
      <c r="H749" s="541"/>
      <c r="I749" s="541"/>
      <c r="J749" s="1748"/>
      <c r="K749" s="541"/>
      <c r="L749" s="1748"/>
      <c r="M749" s="541"/>
      <c r="N749" s="1748"/>
      <c r="O749" s="541"/>
      <c r="P749" s="1748"/>
      <c r="Q749" s="541"/>
      <c r="R749" s="1748"/>
      <c r="S749" s="541"/>
      <c r="T749" s="1748"/>
      <c r="U749" s="541"/>
      <c r="V749" s="1748"/>
      <c r="W749" s="541"/>
      <c r="X749" s="1748"/>
      <c r="Y749" s="1748"/>
      <c r="Z749" s="1748"/>
      <c r="AA749" s="541"/>
      <c r="AB749" s="1748"/>
      <c r="AC749" s="541"/>
      <c r="AD749" s="541"/>
      <c r="AE749" s="541"/>
      <c r="AF749" s="541"/>
      <c r="AG749" s="541"/>
      <c r="AH749" s="541"/>
      <c r="AI749" s="541"/>
      <c r="AJ749" s="541"/>
      <c r="AK749" s="541"/>
      <c r="AL749" s="541"/>
      <c r="AM749" s="541"/>
      <c r="AN749" s="1748"/>
      <c r="AO749" s="1748"/>
      <c r="AP749" s="1748"/>
      <c r="AQ749" s="1748"/>
      <c r="AR749" s="1748"/>
      <c r="AS749" s="541"/>
      <c r="AT749" s="541"/>
      <c r="AU749" s="541"/>
      <c r="AV749" s="541"/>
      <c r="AW749" s="541"/>
      <c r="AY749" s="541"/>
      <c r="AZ749" s="633"/>
      <c r="BA749" s="541"/>
      <c r="BB749" s="1190"/>
      <c r="BC749" s="541"/>
      <c r="BD749" s="1190"/>
      <c r="BE749" s="541"/>
      <c r="BF749" s="1190"/>
      <c r="BG749" s="541"/>
      <c r="BH749" s="1190"/>
      <c r="BI749" s="541"/>
      <c r="BJ749" s="1190"/>
      <c r="BK749" s="541"/>
      <c r="BL749" s="541"/>
      <c r="BM749" s="541"/>
      <c r="BP749" s="541"/>
      <c r="BQ749" s="633"/>
      <c r="BR749" s="541"/>
      <c r="BS749" s="541"/>
      <c r="BT749" s="541"/>
      <c r="BU749" s="541"/>
    </row>
    <row r="750" ht="15.75" customHeight="1">
      <c r="A750" s="1591"/>
      <c r="B750" s="1591"/>
      <c r="C750" s="2217"/>
      <c r="D750" s="1541"/>
      <c r="E750" s="906"/>
      <c r="F750" s="541"/>
      <c r="G750" s="541"/>
      <c r="H750" s="541"/>
      <c r="I750" s="541"/>
      <c r="J750" s="1748"/>
      <c r="K750" s="541"/>
      <c r="L750" s="1748"/>
      <c r="M750" s="541"/>
      <c r="N750" s="1748"/>
      <c r="O750" s="541"/>
      <c r="P750" s="1748"/>
      <c r="Q750" s="541"/>
      <c r="R750" s="1748"/>
      <c r="S750" s="541"/>
      <c r="T750" s="1748"/>
      <c r="U750" s="541"/>
      <c r="V750" s="1748"/>
      <c r="W750" s="541"/>
      <c r="X750" s="1748"/>
      <c r="Y750" s="1748"/>
      <c r="Z750" s="1748"/>
      <c r="AA750" s="541"/>
      <c r="AB750" s="1748"/>
      <c r="AC750" s="541"/>
      <c r="AD750" s="541"/>
      <c r="AE750" s="541"/>
      <c r="AF750" s="541"/>
      <c r="AG750" s="541"/>
      <c r="AH750" s="541"/>
      <c r="AI750" s="541"/>
      <c r="AJ750" s="541"/>
      <c r="AK750" s="541"/>
      <c r="AL750" s="541"/>
      <c r="AM750" s="541"/>
      <c r="AN750" s="1748"/>
      <c r="AO750" s="1748"/>
      <c r="AP750" s="1748"/>
      <c r="AQ750" s="1748"/>
      <c r="AR750" s="1748"/>
      <c r="AS750" s="541"/>
      <c r="AT750" s="541"/>
      <c r="AU750" s="541"/>
      <c r="AV750" s="541"/>
      <c r="AW750" s="541"/>
      <c r="AY750" s="541"/>
      <c r="AZ750" s="633"/>
      <c r="BA750" s="541"/>
      <c r="BB750" s="1190"/>
      <c r="BC750" s="541"/>
      <c r="BD750" s="1190"/>
      <c r="BE750" s="541"/>
      <c r="BF750" s="1190"/>
      <c r="BG750" s="541"/>
      <c r="BH750" s="1190"/>
      <c r="BI750" s="541"/>
      <c r="BJ750" s="1190"/>
      <c r="BK750" s="541"/>
      <c r="BL750" s="541"/>
      <c r="BM750" s="541"/>
      <c r="BP750" s="541"/>
      <c r="BQ750" s="633"/>
      <c r="BR750" s="541"/>
      <c r="BS750" s="541"/>
      <c r="BT750" s="541"/>
      <c r="BU750" s="541"/>
    </row>
    <row r="751" ht="15.75" customHeight="1">
      <c r="A751" s="1591"/>
      <c r="B751" s="1591"/>
      <c r="C751" s="2217"/>
      <c r="D751" s="1541"/>
      <c r="E751" s="906"/>
      <c r="F751" s="541"/>
      <c r="G751" s="541"/>
      <c r="H751" s="541"/>
      <c r="I751" s="541"/>
      <c r="J751" s="1748"/>
      <c r="K751" s="541"/>
      <c r="L751" s="1748"/>
      <c r="M751" s="541"/>
      <c r="N751" s="1748"/>
      <c r="O751" s="541"/>
      <c r="P751" s="1748"/>
      <c r="Q751" s="541"/>
      <c r="R751" s="1748"/>
      <c r="S751" s="541"/>
      <c r="T751" s="1748"/>
      <c r="U751" s="541"/>
      <c r="V751" s="1748"/>
      <c r="W751" s="541"/>
      <c r="X751" s="1748"/>
      <c r="Y751" s="1748"/>
      <c r="Z751" s="1748"/>
      <c r="AA751" s="541"/>
      <c r="AB751" s="1748"/>
      <c r="AC751" s="541"/>
      <c r="AD751" s="541"/>
      <c r="AE751" s="541"/>
      <c r="AF751" s="541"/>
      <c r="AG751" s="541"/>
      <c r="AH751" s="541"/>
      <c r="AI751" s="541"/>
      <c r="AJ751" s="541"/>
      <c r="AK751" s="541"/>
      <c r="AL751" s="541"/>
      <c r="AM751" s="541"/>
      <c r="AN751" s="1748"/>
      <c r="AO751" s="1748"/>
      <c r="AP751" s="1748"/>
      <c r="AQ751" s="1748"/>
      <c r="AR751" s="1748"/>
      <c r="AS751" s="541"/>
      <c r="AT751" s="541"/>
      <c r="AU751" s="541"/>
      <c r="AV751" s="541"/>
      <c r="AW751" s="541"/>
      <c r="AY751" s="541"/>
      <c r="AZ751" s="633"/>
      <c r="BA751" s="541"/>
      <c r="BB751" s="1190"/>
      <c r="BC751" s="541"/>
      <c r="BD751" s="1190"/>
      <c r="BE751" s="541"/>
      <c r="BF751" s="1190"/>
      <c r="BG751" s="541"/>
      <c r="BH751" s="1190"/>
      <c r="BI751" s="541"/>
      <c r="BJ751" s="1190"/>
      <c r="BK751" s="541"/>
      <c r="BL751" s="541"/>
      <c r="BM751" s="541"/>
      <c r="BP751" s="541"/>
      <c r="BQ751" s="633"/>
      <c r="BR751" s="541"/>
      <c r="BS751" s="541"/>
      <c r="BT751" s="541"/>
      <c r="BU751" s="541"/>
    </row>
    <row r="752" ht="15.75" customHeight="1">
      <c r="A752" s="1591"/>
      <c r="B752" s="1591"/>
      <c r="C752" s="2217"/>
      <c r="D752" s="1541"/>
      <c r="E752" s="906"/>
      <c r="F752" s="541"/>
      <c r="G752" s="541"/>
      <c r="H752" s="541"/>
      <c r="I752" s="541"/>
      <c r="J752" s="1748"/>
      <c r="K752" s="541"/>
      <c r="L752" s="1748"/>
      <c r="M752" s="541"/>
      <c r="N752" s="1748"/>
      <c r="O752" s="541"/>
      <c r="P752" s="1748"/>
      <c r="Q752" s="541"/>
      <c r="R752" s="1748"/>
      <c r="S752" s="541"/>
      <c r="T752" s="1748"/>
      <c r="U752" s="541"/>
      <c r="V752" s="1748"/>
      <c r="W752" s="541"/>
      <c r="X752" s="1748"/>
      <c r="Y752" s="1748"/>
      <c r="Z752" s="1748"/>
      <c r="AA752" s="541"/>
      <c r="AB752" s="1748"/>
      <c r="AC752" s="541"/>
      <c r="AD752" s="541"/>
      <c r="AE752" s="541"/>
      <c r="AF752" s="541"/>
      <c r="AG752" s="541"/>
      <c r="AH752" s="541"/>
      <c r="AI752" s="541"/>
      <c r="AJ752" s="541"/>
      <c r="AK752" s="541"/>
      <c r="AL752" s="541"/>
      <c r="AM752" s="541"/>
      <c r="AN752" s="1748"/>
      <c r="AO752" s="1748"/>
      <c r="AP752" s="1748"/>
      <c r="AQ752" s="1748"/>
      <c r="AR752" s="1748"/>
      <c r="AS752" s="541"/>
      <c r="AT752" s="541"/>
      <c r="AU752" s="541"/>
      <c r="AV752" s="541"/>
      <c r="AW752" s="541"/>
      <c r="AY752" s="541"/>
      <c r="AZ752" s="633"/>
      <c r="BA752" s="541"/>
      <c r="BB752" s="1190"/>
      <c r="BC752" s="541"/>
      <c r="BD752" s="1190"/>
      <c r="BE752" s="541"/>
      <c r="BF752" s="1190"/>
      <c r="BG752" s="541"/>
      <c r="BH752" s="1190"/>
      <c r="BI752" s="541"/>
      <c r="BJ752" s="1190"/>
      <c r="BK752" s="541"/>
      <c r="BL752" s="541"/>
      <c r="BM752" s="541"/>
      <c r="BP752" s="541"/>
      <c r="BQ752" s="633"/>
      <c r="BR752" s="541"/>
      <c r="BS752" s="541"/>
      <c r="BT752" s="541"/>
      <c r="BU752" s="541"/>
    </row>
    <row r="753" ht="15.75" customHeight="1">
      <c r="A753" s="1591"/>
      <c r="B753" s="1591"/>
      <c r="C753" s="2217"/>
      <c r="D753" s="1541"/>
      <c r="E753" s="906"/>
      <c r="F753" s="541"/>
      <c r="G753" s="541"/>
      <c r="H753" s="541"/>
      <c r="I753" s="541"/>
      <c r="J753" s="1748"/>
      <c r="K753" s="541"/>
      <c r="L753" s="1748"/>
      <c r="M753" s="541"/>
      <c r="N753" s="1748"/>
      <c r="O753" s="541"/>
      <c r="P753" s="1748"/>
      <c r="Q753" s="541"/>
      <c r="R753" s="1748"/>
      <c r="S753" s="541"/>
      <c r="T753" s="1748"/>
      <c r="U753" s="541"/>
      <c r="V753" s="1748"/>
      <c r="W753" s="541"/>
      <c r="X753" s="1748"/>
      <c r="Y753" s="1748"/>
      <c r="Z753" s="1748"/>
      <c r="AA753" s="541"/>
      <c r="AB753" s="1748"/>
      <c r="AC753" s="541"/>
      <c r="AD753" s="541"/>
      <c r="AE753" s="541"/>
      <c r="AF753" s="541"/>
      <c r="AG753" s="541"/>
      <c r="AH753" s="541"/>
      <c r="AI753" s="541"/>
      <c r="AJ753" s="541"/>
      <c r="AK753" s="541"/>
      <c r="AL753" s="541"/>
      <c r="AM753" s="541"/>
      <c r="AN753" s="1748"/>
      <c r="AO753" s="1748"/>
      <c r="AP753" s="1748"/>
      <c r="AQ753" s="1748"/>
      <c r="AR753" s="1748"/>
      <c r="AS753" s="541"/>
      <c r="AT753" s="541"/>
      <c r="AU753" s="541"/>
      <c r="AV753" s="541"/>
      <c r="AW753" s="541"/>
      <c r="AY753" s="541"/>
      <c r="AZ753" s="633"/>
      <c r="BA753" s="541"/>
      <c r="BB753" s="1190"/>
      <c r="BC753" s="541"/>
      <c r="BD753" s="1190"/>
      <c r="BE753" s="541"/>
      <c r="BF753" s="1190"/>
      <c r="BG753" s="541"/>
      <c r="BH753" s="1190"/>
      <c r="BI753" s="541"/>
      <c r="BJ753" s="1190"/>
      <c r="BK753" s="541"/>
      <c r="BL753" s="541"/>
      <c r="BM753" s="541"/>
      <c r="BP753" s="541"/>
      <c r="BQ753" s="633"/>
      <c r="BR753" s="541"/>
      <c r="BS753" s="541"/>
      <c r="BT753" s="541"/>
      <c r="BU753" s="541"/>
    </row>
    <row r="754" ht="15.75" customHeight="1">
      <c r="A754" s="1591"/>
      <c r="B754" s="1591"/>
      <c r="C754" s="2217"/>
      <c r="D754" s="1541"/>
      <c r="E754" s="906"/>
      <c r="F754" s="541"/>
      <c r="G754" s="541"/>
      <c r="H754" s="541"/>
      <c r="I754" s="541"/>
      <c r="J754" s="1748"/>
      <c r="K754" s="541"/>
      <c r="L754" s="1748"/>
      <c r="M754" s="541"/>
      <c r="N754" s="1748"/>
      <c r="O754" s="541"/>
      <c r="P754" s="1748"/>
      <c r="Q754" s="541"/>
      <c r="R754" s="1748"/>
      <c r="S754" s="541"/>
      <c r="T754" s="1748"/>
      <c r="U754" s="541"/>
      <c r="V754" s="1748"/>
      <c r="W754" s="541"/>
      <c r="X754" s="1748"/>
      <c r="Y754" s="1748"/>
      <c r="Z754" s="1748"/>
      <c r="AA754" s="541"/>
      <c r="AB754" s="1748"/>
      <c r="AC754" s="541"/>
      <c r="AD754" s="541"/>
      <c r="AE754" s="541"/>
      <c r="AF754" s="541"/>
      <c r="AG754" s="541"/>
      <c r="AH754" s="541"/>
      <c r="AI754" s="541"/>
      <c r="AJ754" s="541"/>
      <c r="AK754" s="541"/>
      <c r="AL754" s="541"/>
      <c r="AM754" s="541"/>
      <c r="AN754" s="1748"/>
      <c r="AO754" s="1748"/>
      <c r="AP754" s="1748"/>
      <c r="AQ754" s="1748"/>
      <c r="AR754" s="1748"/>
      <c r="AS754" s="541"/>
      <c r="AT754" s="541"/>
      <c r="AU754" s="541"/>
      <c r="AV754" s="541"/>
      <c r="AW754" s="541"/>
      <c r="AY754" s="541"/>
      <c r="AZ754" s="633"/>
      <c r="BA754" s="541"/>
      <c r="BB754" s="1190"/>
      <c r="BC754" s="541"/>
      <c r="BD754" s="1190"/>
      <c r="BE754" s="541"/>
      <c r="BF754" s="1190"/>
      <c r="BG754" s="541"/>
      <c r="BH754" s="1190"/>
      <c r="BI754" s="541"/>
      <c r="BJ754" s="1190"/>
      <c r="BK754" s="541"/>
      <c r="BL754" s="541"/>
      <c r="BM754" s="541"/>
      <c r="BP754" s="541"/>
      <c r="BQ754" s="633"/>
      <c r="BR754" s="541"/>
      <c r="BS754" s="541"/>
      <c r="BT754" s="541"/>
      <c r="BU754" s="541"/>
    </row>
    <row r="755" ht="15.75" customHeight="1">
      <c r="A755" s="1591"/>
      <c r="B755" s="1591"/>
      <c r="C755" s="2217"/>
      <c r="D755" s="1541"/>
      <c r="E755" s="906"/>
      <c r="F755" s="541"/>
      <c r="G755" s="541"/>
      <c r="H755" s="541"/>
      <c r="I755" s="541"/>
      <c r="J755" s="1748"/>
      <c r="K755" s="541"/>
      <c r="L755" s="1748"/>
      <c r="M755" s="541"/>
      <c r="N755" s="1748"/>
      <c r="O755" s="541"/>
      <c r="P755" s="1748"/>
      <c r="Q755" s="541"/>
      <c r="R755" s="1748"/>
      <c r="S755" s="541"/>
      <c r="T755" s="1748"/>
      <c r="U755" s="541"/>
      <c r="V755" s="1748"/>
      <c r="W755" s="541"/>
      <c r="X755" s="1748"/>
      <c r="Y755" s="1748"/>
      <c r="Z755" s="1748"/>
      <c r="AA755" s="541"/>
      <c r="AB755" s="1748"/>
      <c r="AC755" s="541"/>
      <c r="AD755" s="541"/>
      <c r="AE755" s="541"/>
      <c r="AF755" s="541"/>
      <c r="AG755" s="541"/>
      <c r="AH755" s="541"/>
      <c r="AI755" s="541"/>
      <c r="AJ755" s="541"/>
      <c r="AK755" s="541"/>
      <c r="AL755" s="541"/>
      <c r="AM755" s="541"/>
      <c r="AN755" s="1748"/>
      <c r="AO755" s="1748"/>
      <c r="AP755" s="1748"/>
      <c r="AQ755" s="1748"/>
      <c r="AR755" s="1748"/>
      <c r="AS755" s="541"/>
      <c r="AT755" s="541"/>
      <c r="AU755" s="541"/>
      <c r="AV755" s="541"/>
      <c r="AW755" s="541"/>
      <c r="AY755" s="541"/>
      <c r="AZ755" s="633"/>
      <c r="BA755" s="541"/>
      <c r="BB755" s="1190"/>
      <c r="BC755" s="541"/>
      <c r="BD755" s="1190"/>
      <c r="BE755" s="541"/>
      <c r="BF755" s="1190"/>
      <c r="BG755" s="541"/>
      <c r="BH755" s="1190"/>
      <c r="BI755" s="541"/>
      <c r="BJ755" s="1190"/>
      <c r="BK755" s="541"/>
      <c r="BL755" s="541"/>
      <c r="BM755" s="541"/>
      <c r="BP755" s="541"/>
      <c r="BQ755" s="633"/>
      <c r="BR755" s="541"/>
      <c r="BS755" s="541"/>
      <c r="BT755" s="541"/>
      <c r="BU755" s="541"/>
    </row>
    <row r="756" ht="15.75" customHeight="1">
      <c r="A756" s="1591"/>
      <c r="B756" s="1591"/>
      <c r="C756" s="2217"/>
      <c r="D756" s="1541"/>
      <c r="E756" s="906"/>
      <c r="F756" s="541"/>
      <c r="G756" s="541"/>
      <c r="H756" s="541"/>
      <c r="I756" s="541"/>
      <c r="J756" s="1748"/>
      <c r="K756" s="541"/>
      <c r="L756" s="1748"/>
      <c r="M756" s="541"/>
      <c r="N756" s="1748"/>
      <c r="O756" s="541"/>
      <c r="P756" s="1748"/>
      <c r="Q756" s="541"/>
      <c r="R756" s="1748"/>
      <c r="S756" s="541"/>
      <c r="T756" s="1748"/>
      <c r="U756" s="541"/>
      <c r="V756" s="1748"/>
      <c r="W756" s="541"/>
      <c r="X756" s="1748"/>
      <c r="Y756" s="1748"/>
      <c r="Z756" s="1748"/>
      <c r="AA756" s="541"/>
      <c r="AB756" s="1748"/>
      <c r="AC756" s="541"/>
      <c r="AD756" s="541"/>
      <c r="AE756" s="541"/>
      <c r="AF756" s="541"/>
      <c r="AG756" s="541"/>
      <c r="AH756" s="541"/>
      <c r="AI756" s="541"/>
      <c r="AJ756" s="541"/>
      <c r="AK756" s="541"/>
      <c r="AL756" s="541"/>
      <c r="AM756" s="541"/>
      <c r="AN756" s="1748"/>
      <c r="AO756" s="1748"/>
      <c r="AP756" s="1748"/>
      <c r="AQ756" s="1748"/>
      <c r="AR756" s="1748"/>
      <c r="AS756" s="541"/>
      <c r="AT756" s="541"/>
      <c r="AU756" s="541"/>
      <c r="AV756" s="541"/>
      <c r="AW756" s="541"/>
      <c r="AY756" s="541"/>
      <c r="AZ756" s="633"/>
      <c r="BA756" s="541"/>
      <c r="BB756" s="1190"/>
      <c r="BC756" s="541"/>
      <c r="BD756" s="1190"/>
      <c r="BE756" s="541"/>
      <c r="BF756" s="1190"/>
      <c r="BG756" s="541"/>
      <c r="BH756" s="1190"/>
      <c r="BI756" s="541"/>
      <c r="BJ756" s="1190"/>
      <c r="BK756" s="541"/>
      <c r="BL756" s="541"/>
      <c r="BM756" s="541"/>
      <c r="BP756" s="541"/>
      <c r="BQ756" s="633"/>
      <c r="BR756" s="541"/>
      <c r="BS756" s="541"/>
      <c r="BT756" s="541"/>
      <c r="BU756" s="541"/>
    </row>
    <row r="757" ht="15.75" customHeight="1">
      <c r="A757" s="1591"/>
      <c r="B757" s="1591"/>
      <c r="C757" s="2217"/>
      <c r="D757" s="1541"/>
      <c r="E757" s="906"/>
      <c r="F757" s="541"/>
      <c r="G757" s="541"/>
      <c r="H757" s="541"/>
      <c r="I757" s="541"/>
      <c r="J757" s="1748"/>
      <c r="K757" s="541"/>
      <c r="L757" s="1748"/>
      <c r="M757" s="541"/>
      <c r="N757" s="1748"/>
      <c r="O757" s="541"/>
      <c r="P757" s="1748"/>
      <c r="Q757" s="541"/>
      <c r="R757" s="1748"/>
      <c r="S757" s="541"/>
      <c r="T757" s="1748"/>
      <c r="U757" s="541"/>
      <c r="V757" s="1748"/>
      <c r="W757" s="541"/>
      <c r="X757" s="1748"/>
      <c r="Y757" s="1748"/>
      <c r="Z757" s="1748"/>
      <c r="AA757" s="541"/>
      <c r="AB757" s="1748"/>
      <c r="AC757" s="541"/>
      <c r="AD757" s="541"/>
      <c r="AE757" s="541"/>
      <c r="AF757" s="541"/>
      <c r="AG757" s="541"/>
      <c r="AH757" s="541"/>
      <c r="AI757" s="541"/>
      <c r="AJ757" s="541"/>
      <c r="AK757" s="541"/>
      <c r="AL757" s="541"/>
      <c r="AM757" s="541"/>
      <c r="AN757" s="1748"/>
      <c r="AO757" s="1748"/>
      <c r="AP757" s="1748"/>
      <c r="AQ757" s="1748"/>
      <c r="AR757" s="1748"/>
      <c r="AS757" s="541"/>
      <c r="AT757" s="541"/>
      <c r="AU757" s="541"/>
      <c r="AV757" s="541"/>
      <c r="AW757" s="541"/>
      <c r="AY757" s="541"/>
      <c r="AZ757" s="633"/>
      <c r="BA757" s="541"/>
      <c r="BB757" s="1190"/>
      <c r="BC757" s="541"/>
      <c r="BD757" s="1190"/>
      <c r="BE757" s="541"/>
      <c r="BF757" s="1190"/>
      <c r="BG757" s="541"/>
      <c r="BH757" s="1190"/>
      <c r="BI757" s="541"/>
      <c r="BJ757" s="1190"/>
      <c r="BK757" s="541"/>
      <c r="BL757" s="541"/>
      <c r="BM757" s="541"/>
      <c r="BP757" s="541"/>
      <c r="BQ757" s="633"/>
      <c r="BR757" s="541"/>
      <c r="BS757" s="541"/>
      <c r="BT757" s="541"/>
      <c r="BU757" s="541"/>
    </row>
    <row r="758" ht="15.75" customHeight="1">
      <c r="A758" s="1591"/>
      <c r="B758" s="1591"/>
      <c r="C758" s="2217"/>
      <c r="D758" s="1541"/>
      <c r="E758" s="906"/>
      <c r="F758" s="541"/>
      <c r="G758" s="541"/>
      <c r="H758" s="541"/>
      <c r="I758" s="541"/>
      <c r="J758" s="1748"/>
      <c r="K758" s="541"/>
      <c r="L758" s="1748"/>
      <c r="M758" s="541"/>
      <c r="N758" s="1748"/>
      <c r="O758" s="541"/>
      <c r="P758" s="1748"/>
      <c r="Q758" s="541"/>
      <c r="R758" s="1748"/>
      <c r="S758" s="541"/>
      <c r="T758" s="1748"/>
      <c r="U758" s="541"/>
      <c r="V758" s="1748"/>
      <c r="W758" s="541"/>
      <c r="X758" s="1748"/>
      <c r="Y758" s="1748"/>
      <c r="Z758" s="1748"/>
      <c r="AA758" s="541"/>
      <c r="AB758" s="1748"/>
      <c r="AC758" s="541"/>
      <c r="AD758" s="541"/>
      <c r="AE758" s="541"/>
      <c r="AF758" s="541"/>
      <c r="AG758" s="541"/>
      <c r="AH758" s="541"/>
      <c r="AI758" s="541"/>
      <c r="AJ758" s="541"/>
      <c r="AK758" s="541"/>
      <c r="AL758" s="541"/>
      <c r="AM758" s="541"/>
      <c r="AN758" s="1748"/>
      <c r="AO758" s="1748"/>
      <c r="AP758" s="1748"/>
      <c r="AQ758" s="1748"/>
      <c r="AR758" s="1748"/>
      <c r="AS758" s="541"/>
      <c r="AT758" s="541"/>
      <c r="AU758" s="541"/>
      <c r="AV758" s="541"/>
      <c r="AW758" s="541"/>
      <c r="AY758" s="541"/>
      <c r="AZ758" s="633"/>
      <c r="BA758" s="541"/>
      <c r="BB758" s="1190"/>
      <c r="BC758" s="541"/>
      <c r="BD758" s="1190"/>
      <c r="BE758" s="541"/>
      <c r="BF758" s="1190"/>
      <c r="BG758" s="541"/>
      <c r="BH758" s="1190"/>
      <c r="BI758" s="541"/>
      <c r="BJ758" s="1190"/>
      <c r="BK758" s="541"/>
      <c r="BL758" s="541"/>
      <c r="BM758" s="541"/>
      <c r="BP758" s="541"/>
      <c r="BQ758" s="633"/>
      <c r="BR758" s="541"/>
      <c r="BS758" s="541"/>
      <c r="BT758" s="541"/>
      <c r="BU758" s="541"/>
    </row>
    <row r="759" ht="15.75" customHeight="1">
      <c r="A759" s="1591"/>
      <c r="B759" s="1591"/>
      <c r="C759" s="2217"/>
      <c r="D759" s="1541"/>
      <c r="E759" s="906"/>
      <c r="F759" s="541"/>
      <c r="G759" s="541"/>
      <c r="H759" s="541"/>
      <c r="I759" s="541"/>
      <c r="J759" s="1748"/>
      <c r="K759" s="541"/>
      <c r="L759" s="1748"/>
      <c r="M759" s="541"/>
      <c r="N759" s="1748"/>
      <c r="O759" s="541"/>
      <c r="P759" s="1748"/>
      <c r="Q759" s="541"/>
      <c r="R759" s="1748"/>
      <c r="S759" s="541"/>
      <c r="T759" s="1748"/>
      <c r="U759" s="541"/>
      <c r="V759" s="1748"/>
      <c r="W759" s="541"/>
      <c r="X759" s="1748"/>
      <c r="Y759" s="1748"/>
      <c r="Z759" s="1748"/>
      <c r="AA759" s="541"/>
      <c r="AB759" s="1748"/>
      <c r="AC759" s="541"/>
      <c r="AD759" s="541"/>
      <c r="AE759" s="541"/>
      <c r="AF759" s="541"/>
      <c r="AG759" s="541"/>
      <c r="AH759" s="541"/>
      <c r="AI759" s="541"/>
      <c r="AJ759" s="541"/>
      <c r="AK759" s="541"/>
      <c r="AL759" s="541"/>
      <c r="AM759" s="541"/>
      <c r="AN759" s="1748"/>
      <c r="AO759" s="1748"/>
      <c r="AP759" s="1748"/>
      <c r="AQ759" s="1748"/>
      <c r="AR759" s="1748"/>
      <c r="AS759" s="541"/>
      <c r="AT759" s="541"/>
      <c r="AU759" s="541"/>
      <c r="AV759" s="541"/>
      <c r="AW759" s="541"/>
      <c r="AY759" s="541"/>
      <c r="AZ759" s="633"/>
      <c r="BA759" s="541"/>
      <c r="BB759" s="1190"/>
      <c r="BC759" s="541"/>
      <c r="BD759" s="1190"/>
      <c r="BE759" s="541"/>
      <c r="BF759" s="1190"/>
      <c r="BG759" s="541"/>
      <c r="BH759" s="1190"/>
      <c r="BI759" s="541"/>
      <c r="BJ759" s="1190"/>
      <c r="BK759" s="541"/>
      <c r="BL759" s="541"/>
      <c r="BM759" s="541"/>
      <c r="BP759" s="541"/>
      <c r="BQ759" s="633"/>
      <c r="BR759" s="541"/>
      <c r="BS759" s="541"/>
      <c r="BT759" s="541"/>
      <c r="BU759" s="541"/>
    </row>
    <row r="760" ht="15.75" customHeight="1">
      <c r="A760" s="1591"/>
      <c r="B760" s="1591"/>
      <c r="C760" s="2217"/>
      <c r="D760" s="1541"/>
      <c r="E760" s="906"/>
      <c r="F760" s="541"/>
      <c r="G760" s="541"/>
      <c r="H760" s="541"/>
      <c r="I760" s="541"/>
      <c r="J760" s="1748"/>
      <c r="K760" s="541"/>
      <c r="L760" s="1748"/>
      <c r="M760" s="541"/>
      <c r="N760" s="1748"/>
      <c r="O760" s="541"/>
      <c r="P760" s="1748"/>
      <c r="Q760" s="541"/>
      <c r="R760" s="1748"/>
      <c r="S760" s="541"/>
      <c r="T760" s="1748"/>
      <c r="U760" s="541"/>
      <c r="V760" s="1748"/>
      <c r="W760" s="541"/>
      <c r="X760" s="1748"/>
      <c r="Y760" s="1748"/>
      <c r="Z760" s="1748"/>
      <c r="AA760" s="541"/>
      <c r="AB760" s="1748"/>
      <c r="AC760" s="541"/>
      <c r="AD760" s="541"/>
      <c r="AE760" s="541"/>
      <c r="AF760" s="541"/>
      <c r="AG760" s="541"/>
      <c r="AH760" s="541"/>
      <c r="AI760" s="541"/>
      <c r="AJ760" s="541"/>
      <c r="AK760" s="541"/>
      <c r="AL760" s="541"/>
      <c r="AM760" s="541"/>
      <c r="AN760" s="1748"/>
      <c r="AO760" s="1748"/>
      <c r="AP760" s="1748"/>
      <c r="AQ760" s="1748"/>
      <c r="AR760" s="1748"/>
      <c r="AS760" s="541"/>
      <c r="AT760" s="541"/>
      <c r="AU760" s="541"/>
      <c r="AV760" s="541"/>
      <c r="AW760" s="541"/>
      <c r="AY760" s="541"/>
      <c r="AZ760" s="633"/>
      <c r="BA760" s="541"/>
      <c r="BB760" s="1190"/>
      <c r="BC760" s="541"/>
      <c r="BD760" s="1190"/>
      <c r="BE760" s="541"/>
      <c r="BF760" s="1190"/>
      <c r="BG760" s="541"/>
      <c r="BH760" s="1190"/>
      <c r="BI760" s="541"/>
      <c r="BJ760" s="1190"/>
      <c r="BK760" s="541"/>
      <c r="BL760" s="541"/>
      <c r="BM760" s="541"/>
      <c r="BP760" s="541"/>
      <c r="BQ760" s="633"/>
      <c r="BR760" s="541"/>
      <c r="BS760" s="541"/>
      <c r="BT760" s="541"/>
      <c r="BU760" s="541"/>
    </row>
    <row r="761" ht="15.75" customHeight="1">
      <c r="A761" s="1591"/>
      <c r="B761" s="1591"/>
      <c r="C761" s="2217"/>
      <c r="D761" s="1541"/>
      <c r="E761" s="906"/>
      <c r="F761" s="541"/>
      <c r="G761" s="541"/>
      <c r="H761" s="541"/>
      <c r="I761" s="541"/>
      <c r="J761" s="1748"/>
      <c r="K761" s="541"/>
      <c r="L761" s="1748"/>
      <c r="M761" s="541"/>
      <c r="N761" s="1748"/>
      <c r="O761" s="541"/>
      <c r="P761" s="1748"/>
      <c r="Q761" s="541"/>
      <c r="R761" s="1748"/>
      <c r="S761" s="541"/>
      <c r="T761" s="1748"/>
      <c r="U761" s="541"/>
      <c r="V761" s="1748"/>
      <c r="W761" s="541"/>
      <c r="X761" s="1748"/>
      <c r="Y761" s="1748"/>
      <c r="Z761" s="1748"/>
      <c r="AA761" s="541"/>
      <c r="AB761" s="1748"/>
      <c r="AC761" s="541"/>
      <c r="AD761" s="541"/>
      <c r="AE761" s="541"/>
      <c r="AF761" s="541"/>
      <c r="AG761" s="541"/>
      <c r="AH761" s="541"/>
      <c r="AI761" s="541"/>
      <c r="AJ761" s="541"/>
      <c r="AK761" s="541"/>
      <c r="AL761" s="541"/>
      <c r="AM761" s="541"/>
      <c r="AN761" s="1748"/>
      <c r="AO761" s="1748"/>
      <c r="AP761" s="1748"/>
      <c r="AQ761" s="1748"/>
      <c r="AR761" s="1748"/>
      <c r="AS761" s="541"/>
      <c r="AT761" s="541"/>
      <c r="AU761" s="541"/>
      <c r="AV761" s="541"/>
      <c r="AW761" s="541"/>
      <c r="AY761" s="541"/>
      <c r="AZ761" s="633"/>
      <c r="BA761" s="541"/>
      <c r="BB761" s="1190"/>
      <c r="BC761" s="541"/>
      <c r="BD761" s="1190"/>
      <c r="BE761" s="541"/>
      <c r="BF761" s="1190"/>
      <c r="BG761" s="541"/>
      <c r="BH761" s="1190"/>
      <c r="BI761" s="541"/>
      <c r="BJ761" s="1190"/>
      <c r="BK761" s="541"/>
      <c r="BL761" s="541"/>
      <c r="BM761" s="541"/>
      <c r="BP761" s="541"/>
      <c r="BQ761" s="633"/>
      <c r="BR761" s="541"/>
      <c r="BS761" s="541"/>
      <c r="BT761" s="541"/>
      <c r="BU761" s="541"/>
    </row>
    <row r="762" ht="15.75" customHeight="1">
      <c r="A762" s="1591"/>
      <c r="B762" s="1591"/>
      <c r="C762" s="2217"/>
      <c r="D762" s="1541"/>
      <c r="E762" s="906"/>
      <c r="F762" s="541"/>
      <c r="G762" s="541"/>
      <c r="H762" s="541"/>
      <c r="I762" s="541"/>
      <c r="J762" s="1748"/>
      <c r="K762" s="541"/>
      <c r="L762" s="1748"/>
      <c r="M762" s="541"/>
      <c r="N762" s="1748"/>
      <c r="O762" s="541"/>
      <c r="P762" s="1748"/>
      <c r="Q762" s="541"/>
      <c r="R762" s="1748"/>
      <c r="S762" s="541"/>
      <c r="T762" s="1748"/>
      <c r="U762" s="541"/>
      <c r="V762" s="1748"/>
      <c r="W762" s="541"/>
      <c r="X762" s="1748"/>
      <c r="Y762" s="1748"/>
      <c r="Z762" s="1748"/>
      <c r="AA762" s="541"/>
      <c r="AB762" s="1748"/>
      <c r="AC762" s="541"/>
      <c r="AD762" s="541"/>
      <c r="AE762" s="541"/>
      <c r="AF762" s="541"/>
      <c r="AG762" s="541"/>
      <c r="AH762" s="541"/>
      <c r="AI762" s="541"/>
      <c r="AJ762" s="541"/>
      <c r="AK762" s="541"/>
      <c r="AL762" s="541"/>
      <c r="AM762" s="541"/>
      <c r="AN762" s="1748"/>
      <c r="AO762" s="1748"/>
      <c r="AP762" s="1748"/>
      <c r="AQ762" s="1748"/>
      <c r="AR762" s="1748"/>
      <c r="AS762" s="541"/>
      <c r="AT762" s="541"/>
      <c r="AU762" s="541"/>
      <c r="AV762" s="541"/>
      <c r="AW762" s="541"/>
      <c r="AY762" s="541"/>
      <c r="AZ762" s="633"/>
      <c r="BA762" s="541"/>
      <c r="BB762" s="1190"/>
      <c r="BC762" s="541"/>
      <c r="BD762" s="1190"/>
      <c r="BE762" s="541"/>
      <c r="BF762" s="1190"/>
      <c r="BG762" s="541"/>
      <c r="BH762" s="1190"/>
      <c r="BI762" s="541"/>
      <c r="BJ762" s="1190"/>
      <c r="BK762" s="541"/>
      <c r="BL762" s="541"/>
      <c r="BM762" s="541"/>
      <c r="BP762" s="541"/>
      <c r="BQ762" s="633"/>
      <c r="BR762" s="541"/>
      <c r="BS762" s="541"/>
      <c r="BT762" s="541"/>
      <c r="BU762" s="541"/>
    </row>
    <row r="763" ht="15.75" customHeight="1">
      <c r="A763" s="1591"/>
      <c r="B763" s="1591"/>
      <c r="C763" s="2217"/>
      <c r="D763" s="1541"/>
      <c r="E763" s="906"/>
      <c r="F763" s="541"/>
      <c r="G763" s="541"/>
      <c r="H763" s="541"/>
      <c r="I763" s="541"/>
      <c r="J763" s="1748"/>
      <c r="K763" s="541"/>
      <c r="L763" s="1748"/>
      <c r="M763" s="541"/>
      <c r="N763" s="1748"/>
      <c r="O763" s="541"/>
      <c r="P763" s="1748"/>
      <c r="Q763" s="541"/>
      <c r="R763" s="1748"/>
      <c r="S763" s="541"/>
      <c r="T763" s="1748"/>
      <c r="U763" s="541"/>
      <c r="V763" s="1748"/>
      <c r="W763" s="541"/>
      <c r="X763" s="1748"/>
      <c r="Y763" s="1748"/>
      <c r="Z763" s="1748"/>
      <c r="AA763" s="541"/>
      <c r="AB763" s="1748"/>
      <c r="AC763" s="541"/>
      <c r="AD763" s="541"/>
      <c r="AE763" s="541"/>
      <c r="AF763" s="541"/>
      <c r="AG763" s="541"/>
      <c r="AH763" s="541"/>
      <c r="AI763" s="541"/>
      <c r="AJ763" s="541"/>
      <c r="AK763" s="541"/>
      <c r="AL763" s="541"/>
      <c r="AM763" s="541"/>
      <c r="AN763" s="1748"/>
      <c r="AO763" s="1748"/>
      <c r="AP763" s="1748"/>
      <c r="AQ763" s="1748"/>
      <c r="AR763" s="1748"/>
      <c r="AS763" s="541"/>
      <c r="AT763" s="541"/>
      <c r="AU763" s="541"/>
      <c r="AV763" s="541"/>
      <c r="AW763" s="541"/>
      <c r="AY763" s="541"/>
      <c r="AZ763" s="633"/>
      <c r="BA763" s="541"/>
      <c r="BB763" s="1190"/>
      <c r="BC763" s="541"/>
      <c r="BD763" s="1190"/>
      <c r="BE763" s="541"/>
      <c r="BF763" s="1190"/>
      <c r="BG763" s="541"/>
      <c r="BH763" s="1190"/>
      <c r="BI763" s="541"/>
      <c r="BJ763" s="1190"/>
      <c r="BK763" s="541"/>
      <c r="BL763" s="541"/>
      <c r="BM763" s="541"/>
      <c r="BP763" s="541"/>
      <c r="BQ763" s="633"/>
      <c r="BR763" s="541"/>
      <c r="BS763" s="541"/>
      <c r="BT763" s="541"/>
      <c r="BU763" s="541"/>
    </row>
    <row r="764" ht="15.75" customHeight="1">
      <c r="A764" s="1591"/>
      <c r="B764" s="1591"/>
      <c r="C764" s="2217"/>
      <c r="D764" s="1541"/>
      <c r="E764" s="906"/>
      <c r="F764" s="541"/>
      <c r="G764" s="541"/>
      <c r="H764" s="541"/>
      <c r="I764" s="541"/>
      <c r="J764" s="1748"/>
      <c r="K764" s="541"/>
      <c r="L764" s="1748"/>
      <c r="M764" s="541"/>
      <c r="N764" s="1748"/>
      <c r="O764" s="541"/>
      <c r="P764" s="1748"/>
      <c r="Q764" s="541"/>
      <c r="R764" s="1748"/>
      <c r="S764" s="541"/>
      <c r="T764" s="1748"/>
      <c r="U764" s="541"/>
      <c r="V764" s="1748"/>
      <c r="W764" s="541"/>
      <c r="X764" s="1748"/>
      <c r="Y764" s="1748"/>
      <c r="Z764" s="1748"/>
      <c r="AA764" s="541"/>
      <c r="AB764" s="1748"/>
      <c r="AC764" s="541"/>
      <c r="AD764" s="541"/>
      <c r="AE764" s="541"/>
      <c r="AF764" s="541"/>
      <c r="AG764" s="541"/>
      <c r="AH764" s="541"/>
      <c r="AI764" s="541"/>
      <c r="AJ764" s="541"/>
      <c r="AK764" s="541"/>
      <c r="AL764" s="541"/>
      <c r="AM764" s="541"/>
      <c r="AN764" s="1748"/>
      <c r="AO764" s="1748"/>
      <c r="AP764" s="1748"/>
      <c r="AQ764" s="1748"/>
      <c r="AR764" s="1748"/>
      <c r="AS764" s="541"/>
      <c r="AT764" s="541"/>
      <c r="AU764" s="541"/>
      <c r="AV764" s="541"/>
      <c r="AW764" s="541"/>
      <c r="AY764" s="541"/>
      <c r="AZ764" s="633"/>
      <c r="BA764" s="541"/>
      <c r="BB764" s="1190"/>
      <c r="BC764" s="541"/>
      <c r="BD764" s="1190"/>
      <c r="BE764" s="541"/>
      <c r="BF764" s="1190"/>
      <c r="BG764" s="541"/>
      <c r="BH764" s="1190"/>
      <c r="BI764" s="541"/>
      <c r="BJ764" s="1190"/>
      <c r="BK764" s="541"/>
      <c r="BL764" s="541"/>
      <c r="BM764" s="541"/>
      <c r="BP764" s="541"/>
      <c r="BQ764" s="633"/>
      <c r="BR764" s="541"/>
      <c r="BS764" s="541"/>
      <c r="BT764" s="541"/>
      <c r="BU764" s="541"/>
    </row>
    <row r="765" ht="15.75" customHeight="1">
      <c r="A765" s="1591"/>
      <c r="B765" s="1591"/>
      <c r="C765" s="2217"/>
      <c r="D765" s="1541"/>
      <c r="E765" s="906"/>
      <c r="F765" s="541"/>
      <c r="G765" s="541"/>
      <c r="H765" s="541"/>
      <c r="I765" s="541"/>
      <c r="J765" s="1748"/>
      <c r="K765" s="541"/>
      <c r="L765" s="1748"/>
      <c r="M765" s="541"/>
      <c r="N765" s="1748"/>
      <c r="O765" s="541"/>
      <c r="P765" s="1748"/>
      <c r="Q765" s="541"/>
      <c r="R765" s="1748"/>
      <c r="S765" s="541"/>
      <c r="T765" s="1748"/>
      <c r="U765" s="541"/>
      <c r="V765" s="1748"/>
      <c r="W765" s="541"/>
      <c r="X765" s="1748"/>
      <c r="Y765" s="1748"/>
      <c r="Z765" s="1748"/>
      <c r="AA765" s="541"/>
      <c r="AB765" s="1748"/>
      <c r="AC765" s="541"/>
      <c r="AD765" s="541"/>
      <c r="AE765" s="541"/>
      <c r="AF765" s="541"/>
      <c r="AG765" s="541"/>
      <c r="AH765" s="541"/>
      <c r="AI765" s="541"/>
      <c r="AJ765" s="541"/>
      <c r="AK765" s="541"/>
      <c r="AL765" s="541"/>
      <c r="AM765" s="541"/>
      <c r="AN765" s="1748"/>
      <c r="AO765" s="1748"/>
      <c r="AP765" s="1748"/>
      <c r="AQ765" s="1748"/>
      <c r="AR765" s="1748"/>
      <c r="AS765" s="541"/>
      <c r="AT765" s="541"/>
      <c r="AU765" s="541"/>
      <c r="AV765" s="541"/>
      <c r="AW765" s="541"/>
      <c r="AY765" s="541"/>
      <c r="AZ765" s="633"/>
      <c r="BA765" s="541"/>
      <c r="BB765" s="1190"/>
      <c r="BC765" s="541"/>
      <c r="BD765" s="1190"/>
      <c r="BE765" s="541"/>
      <c r="BF765" s="1190"/>
      <c r="BG765" s="541"/>
      <c r="BH765" s="1190"/>
      <c r="BI765" s="541"/>
      <c r="BJ765" s="1190"/>
      <c r="BK765" s="541"/>
      <c r="BL765" s="541"/>
      <c r="BM765" s="541"/>
      <c r="BP765" s="541"/>
      <c r="BQ765" s="633"/>
      <c r="BR765" s="541"/>
      <c r="BS765" s="541"/>
      <c r="BT765" s="541"/>
      <c r="BU765" s="541"/>
    </row>
    <row r="766" ht="15.75" customHeight="1">
      <c r="A766" s="1591"/>
      <c r="B766" s="1591"/>
      <c r="C766" s="2217"/>
      <c r="D766" s="1541"/>
      <c r="E766" s="906"/>
      <c r="F766" s="541"/>
      <c r="G766" s="541"/>
      <c r="H766" s="541"/>
      <c r="I766" s="541"/>
      <c r="J766" s="1748"/>
      <c r="K766" s="541"/>
      <c r="L766" s="1748"/>
      <c r="M766" s="541"/>
      <c r="N766" s="1748"/>
      <c r="O766" s="541"/>
      <c r="P766" s="1748"/>
      <c r="Q766" s="541"/>
      <c r="R766" s="1748"/>
      <c r="S766" s="541"/>
      <c r="T766" s="1748"/>
      <c r="U766" s="541"/>
      <c r="V766" s="1748"/>
      <c r="W766" s="541"/>
      <c r="X766" s="1748"/>
      <c r="Y766" s="1748"/>
      <c r="Z766" s="1748"/>
      <c r="AA766" s="541"/>
      <c r="AB766" s="1748"/>
      <c r="AC766" s="541"/>
      <c r="AD766" s="541"/>
      <c r="AE766" s="541"/>
      <c r="AF766" s="541"/>
      <c r="AG766" s="541"/>
      <c r="AH766" s="541"/>
      <c r="AI766" s="541"/>
      <c r="AJ766" s="541"/>
      <c r="AK766" s="541"/>
      <c r="AL766" s="541"/>
      <c r="AM766" s="541"/>
      <c r="AN766" s="1748"/>
      <c r="AO766" s="1748"/>
      <c r="AP766" s="1748"/>
      <c r="AQ766" s="1748"/>
      <c r="AR766" s="1748"/>
      <c r="AS766" s="541"/>
      <c r="AT766" s="541"/>
      <c r="AU766" s="541"/>
      <c r="AV766" s="541"/>
      <c r="AW766" s="541"/>
      <c r="AY766" s="541"/>
      <c r="AZ766" s="633"/>
      <c r="BA766" s="541"/>
      <c r="BB766" s="1190"/>
      <c r="BC766" s="541"/>
      <c r="BD766" s="1190"/>
      <c r="BE766" s="541"/>
      <c r="BF766" s="1190"/>
      <c r="BG766" s="541"/>
      <c r="BH766" s="1190"/>
      <c r="BI766" s="541"/>
      <c r="BJ766" s="1190"/>
      <c r="BK766" s="541"/>
      <c r="BL766" s="541"/>
      <c r="BM766" s="541"/>
      <c r="BP766" s="541"/>
      <c r="BQ766" s="633"/>
      <c r="BR766" s="541"/>
      <c r="BS766" s="541"/>
      <c r="BT766" s="541"/>
      <c r="BU766" s="541"/>
    </row>
    <row r="767" ht="15.75" customHeight="1">
      <c r="A767" s="1591"/>
      <c r="B767" s="1591"/>
      <c r="C767" s="2217"/>
      <c r="D767" s="1541"/>
      <c r="E767" s="906"/>
      <c r="F767" s="541"/>
      <c r="G767" s="541"/>
      <c r="H767" s="541"/>
      <c r="I767" s="541"/>
      <c r="J767" s="1748"/>
      <c r="K767" s="541"/>
      <c r="L767" s="1748"/>
      <c r="M767" s="541"/>
      <c r="N767" s="1748"/>
      <c r="O767" s="541"/>
      <c r="P767" s="1748"/>
      <c r="Q767" s="541"/>
      <c r="R767" s="1748"/>
      <c r="S767" s="541"/>
      <c r="T767" s="1748"/>
      <c r="U767" s="541"/>
      <c r="V767" s="1748"/>
      <c r="W767" s="541"/>
      <c r="X767" s="1748"/>
      <c r="Y767" s="1748"/>
      <c r="Z767" s="1748"/>
      <c r="AA767" s="541"/>
      <c r="AB767" s="1748"/>
      <c r="AC767" s="541"/>
      <c r="AD767" s="541"/>
      <c r="AE767" s="541"/>
      <c r="AF767" s="541"/>
      <c r="AG767" s="541"/>
      <c r="AH767" s="541"/>
      <c r="AI767" s="541"/>
      <c r="AJ767" s="541"/>
      <c r="AK767" s="541"/>
      <c r="AL767" s="541"/>
      <c r="AM767" s="541"/>
      <c r="AN767" s="1748"/>
      <c r="AO767" s="1748"/>
      <c r="AP767" s="1748"/>
      <c r="AQ767" s="1748"/>
      <c r="AR767" s="1748"/>
      <c r="AS767" s="541"/>
      <c r="AT767" s="541"/>
      <c r="AU767" s="541"/>
      <c r="AV767" s="541"/>
      <c r="AW767" s="541"/>
      <c r="AY767" s="541"/>
      <c r="AZ767" s="633"/>
      <c r="BA767" s="541"/>
      <c r="BB767" s="1190"/>
      <c r="BC767" s="541"/>
      <c r="BD767" s="1190"/>
      <c r="BE767" s="541"/>
      <c r="BF767" s="1190"/>
      <c r="BG767" s="541"/>
      <c r="BH767" s="1190"/>
      <c r="BI767" s="541"/>
      <c r="BJ767" s="1190"/>
      <c r="BK767" s="541"/>
      <c r="BL767" s="541"/>
      <c r="BM767" s="541"/>
      <c r="BP767" s="541"/>
      <c r="BQ767" s="633"/>
      <c r="BR767" s="541"/>
      <c r="BS767" s="541"/>
      <c r="BT767" s="541"/>
      <c r="BU767" s="541"/>
    </row>
    <row r="768" ht="15.75" customHeight="1">
      <c r="A768" s="1591"/>
      <c r="B768" s="1591"/>
      <c r="C768" s="2217"/>
      <c r="D768" s="1541"/>
      <c r="E768" s="906"/>
      <c r="F768" s="541"/>
      <c r="G768" s="541"/>
      <c r="H768" s="541"/>
      <c r="I768" s="541"/>
      <c r="J768" s="1748"/>
      <c r="K768" s="541"/>
      <c r="L768" s="1748"/>
      <c r="M768" s="541"/>
      <c r="N768" s="1748"/>
      <c r="O768" s="541"/>
      <c r="P768" s="1748"/>
      <c r="Q768" s="541"/>
      <c r="R768" s="1748"/>
      <c r="S768" s="541"/>
      <c r="T768" s="1748"/>
      <c r="U768" s="541"/>
      <c r="V768" s="1748"/>
      <c r="W768" s="541"/>
      <c r="X768" s="1748"/>
      <c r="Y768" s="1748"/>
      <c r="Z768" s="1748"/>
      <c r="AA768" s="541"/>
      <c r="AB768" s="1748"/>
      <c r="AC768" s="541"/>
      <c r="AD768" s="541"/>
      <c r="AE768" s="541"/>
      <c r="AF768" s="541"/>
      <c r="AG768" s="541"/>
      <c r="AH768" s="541"/>
      <c r="AI768" s="541"/>
      <c r="AJ768" s="541"/>
      <c r="AK768" s="541"/>
      <c r="AL768" s="541"/>
      <c r="AM768" s="541"/>
      <c r="AN768" s="1748"/>
      <c r="AO768" s="1748"/>
      <c r="AP768" s="1748"/>
      <c r="AQ768" s="1748"/>
      <c r="AR768" s="1748"/>
      <c r="AS768" s="541"/>
      <c r="AT768" s="541"/>
      <c r="AU768" s="541"/>
      <c r="AV768" s="541"/>
      <c r="AW768" s="541"/>
      <c r="AY768" s="541"/>
      <c r="AZ768" s="633"/>
      <c r="BA768" s="541"/>
      <c r="BB768" s="1190"/>
      <c r="BC768" s="541"/>
      <c r="BD768" s="1190"/>
      <c r="BE768" s="541"/>
      <c r="BF768" s="1190"/>
      <c r="BG768" s="541"/>
      <c r="BH768" s="1190"/>
      <c r="BI768" s="541"/>
      <c r="BJ768" s="1190"/>
      <c r="BK768" s="541"/>
      <c r="BL768" s="541"/>
      <c r="BM768" s="541"/>
      <c r="BP768" s="541"/>
      <c r="BQ768" s="633"/>
      <c r="BR768" s="541"/>
      <c r="BS768" s="541"/>
      <c r="BT768" s="541"/>
      <c r="BU768" s="541"/>
    </row>
    <row r="769" ht="15.75" customHeight="1">
      <c r="A769" s="1591"/>
      <c r="B769" s="1591"/>
      <c r="C769" s="2217"/>
      <c r="D769" s="1541"/>
      <c r="E769" s="906"/>
      <c r="F769" s="541"/>
      <c r="G769" s="541"/>
      <c r="H769" s="541"/>
      <c r="I769" s="541"/>
      <c r="J769" s="1748"/>
      <c r="K769" s="541"/>
      <c r="L769" s="1748"/>
      <c r="M769" s="541"/>
      <c r="N769" s="1748"/>
      <c r="O769" s="541"/>
      <c r="P769" s="1748"/>
      <c r="Q769" s="541"/>
      <c r="R769" s="1748"/>
      <c r="S769" s="541"/>
      <c r="T769" s="1748"/>
      <c r="U769" s="541"/>
      <c r="V769" s="1748"/>
      <c r="W769" s="541"/>
      <c r="X769" s="1748"/>
      <c r="Y769" s="1748"/>
      <c r="Z769" s="1748"/>
      <c r="AA769" s="541"/>
      <c r="AB769" s="1748"/>
      <c r="AC769" s="541"/>
      <c r="AD769" s="541"/>
      <c r="AE769" s="541"/>
      <c r="AF769" s="541"/>
      <c r="AG769" s="541"/>
      <c r="AH769" s="541"/>
      <c r="AI769" s="541"/>
      <c r="AJ769" s="541"/>
      <c r="AK769" s="541"/>
      <c r="AL769" s="541"/>
      <c r="AM769" s="541"/>
      <c r="AN769" s="1748"/>
      <c r="AO769" s="1748"/>
      <c r="AP769" s="1748"/>
      <c r="AQ769" s="1748"/>
      <c r="AR769" s="1748"/>
      <c r="AS769" s="541"/>
      <c r="AT769" s="541"/>
      <c r="AU769" s="541"/>
      <c r="AV769" s="541"/>
      <c r="AW769" s="541"/>
      <c r="AY769" s="541"/>
      <c r="AZ769" s="633"/>
      <c r="BA769" s="541"/>
      <c r="BB769" s="1190"/>
      <c r="BC769" s="541"/>
      <c r="BD769" s="1190"/>
      <c r="BE769" s="541"/>
      <c r="BF769" s="1190"/>
      <c r="BG769" s="541"/>
      <c r="BH769" s="1190"/>
      <c r="BI769" s="541"/>
      <c r="BJ769" s="1190"/>
      <c r="BK769" s="541"/>
      <c r="BL769" s="541"/>
      <c r="BM769" s="541"/>
      <c r="BP769" s="541"/>
      <c r="BQ769" s="633"/>
      <c r="BR769" s="541"/>
      <c r="BS769" s="541"/>
      <c r="BT769" s="541"/>
      <c r="BU769" s="541"/>
    </row>
    <row r="770" ht="15.75" customHeight="1">
      <c r="A770" s="1591"/>
      <c r="B770" s="1591"/>
      <c r="C770" s="2217"/>
      <c r="D770" s="1541"/>
      <c r="E770" s="906"/>
      <c r="F770" s="541"/>
      <c r="G770" s="541"/>
      <c r="H770" s="541"/>
      <c r="I770" s="541"/>
      <c r="J770" s="1748"/>
      <c r="K770" s="541"/>
      <c r="L770" s="1748"/>
      <c r="M770" s="541"/>
      <c r="N770" s="1748"/>
      <c r="O770" s="541"/>
      <c r="P770" s="1748"/>
      <c r="Q770" s="541"/>
      <c r="R770" s="1748"/>
      <c r="S770" s="541"/>
      <c r="T770" s="1748"/>
      <c r="U770" s="541"/>
      <c r="V770" s="1748"/>
      <c r="W770" s="541"/>
      <c r="X770" s="1748"/>
      <c r="Y770" s="1748"/>
      <c r="Z770" s="1748"/>
      <c r="AA770" s="541"/>
      <c r="AB770" s="1748"/>
      <c r="AC770" s="541"/>
      <c r="AD770" s="541"/>
      <c r="AE770" s="541"/>
      <c r="AF770" s="541"/>
      <c r="AG770" s="541"/>
      <c r="AH770" s="541"/>
      <c r="AI770" s="541"/>
      <c r="AJ770" s="541"/>
      <c r="AK770" s="541"/>
      <c r="AL770" s="541"/>
      <c r="AM770" s="541"/>
      <c r="AN770" s="1748"/>
      <c r="AO770" s="1748"/>
      <c r="AP770" s="1748"/>
      <c r="AQ770" s="1748"/>
      <c r="AR770" s="1748"/>
      <c r="AS770" s="541"/>
      <c r="AT770" s="541"/>
      <c r="AU770" s="541"/>
      <c r="AV770" s="541"/>
      <c r="AW770" s="541"/>
      <c r="AY770" s="541"/>
      <c r="AZ770" s="633"/>
      <c r="BA770" s="541"/>
      <c r="BB770" s="1190"/>
      <c r="BC770" s="541"/>
      <c r="BD770" s="1190"/>
      <c r="BE770" s="541"/>
      <c r="BF770" s="1190"/>
      <c r="BG770" s="541"/>
      <c r="BH770" s="1190"/>
      <c r="BI770" s="541"/>
      <c r="BJ770" s="1190"/>
      <c r="BK770" s="541"/>
      <c r="BL770" s="541"/>
      <c r="BM770" s="541"/>
      <c r="BP770" s="541"/>
      <c r="BQ770" s="633"/>
      <c r="BR770" s="541"/>
      <c r="BS770" s="541"/>
      <c r="BT770" s="541"/>
      <c r="BU770" s="541"/>
    </row>
    <row r="771" ht="15.75" customHeight="1">
      <c r="A771" s="1591"/>
      <c r="B771" s="1591"/>
      <c r="C771" s="2217"/>
      <c r="D771" s="1541"/>
      <c r="E771" s="906"/>
      <c r="F771" s="541"/>
      <c r="G771" s="541"/>
      <c r="H771" s="541"/>
      <c r="I771" s="541"/>
      <c r="J771" s="1748"/>
      <c r="K771" s="541"/>
      <c r="L771" s="1748"/>
      <c r="M771" s="541"/>
      <c r="N771" s="1748"/>
      <c r="O771" s="541"/>
      <c r="P771" s="1748"/>
      <c r="Q771" s="541"/>
      <c r="R771" s="1748"/>
      <c r="S771" s="541"/>
      <c r="T771" s="1748"/>
      <c r="U771" s="541"/>
      <c r="V771" s="1748"/>
      <c r="W771" s="541"/>
      <c r="X771" s="1748"/>
      <c r="Y771" s="1748"/>
      <c r="Z771" s="1748"/>
      <c r="AA771" s="541"/>
      <c r="AB771" s="1748"/>
      <c r="AC771" s="541"/>
      <c r="AD771" s="541"/>
      <c r="AE771" s="541"/>
      <c r="AF771" s="541"/>
      <c r="AG771" s="541"/>
      <c r="AH771" s="541"/>
      <c r="AI771" s="541"/>
      <c r="AJ771" s="541"/>
      <c r="AK771" s="541"/>
      <c r="AL771" s="541"/>
      <c r="AM771" s="541"/>
      <c r="AN771" s="1748"/>
      <c r="AO771" s="1748"/>
      <c r="AP771" s="1748"/>
      <c r="AQ771" s="1748"/>
      <c r="AR771" s="1748"/>
      <c r="AS771" s="541"/>
      <c r="AT771" s="541"/>
      <c r="AU771" s="541"/>
      <c r="AV771" s="541"/>
      <c r="AW771" s="541"/>
      <c r="AY771" s="541"/>
      <c r="AZ771" s="633"/>
      <c r="BA771" s="541"/>
      <c r="BB771" s="1190"/>
      <c r="BC771" s="541"/>
      <c r="BD771" s="1190"/>
      <c r="BE771" s="541"/>
      <c r="BF771" s="1190"/>
      <c r="BG771" s="541"/>
      <c r="BH771" s="1190"/>
      <c r="BI771" s="541"/>
      <c r="BJ771" s="1190"/>
      <c r="BK771" s="541"/>
      <c r="BL771" s="541"/>
      <c r="BM771" s="541"/>
      <c r="BP771" s="541"/>
      <c r="BQ771" s="633"/>
      <c r="BR771" s="541"/>
      <c r="BS771" s="541"/>
      <c r="BT771" s="541"/>
      <c r="BU771" s="541"/>
    </row>
    <row r="772" ht="15.75" customHeight="1">
      <c r="A772" s="1591"/>
      <c r="B772" s="1591"/>
      <c r="C772" s="2217"/>
      <c r="D772" s="1541"/>
      <c r="E772" s="906"/>
      <c r="F772" s="541"/>
      <c r="G772" s="541"/>
      <c r="H772" s="541"/>
      <c r="I772" s="541"/>
      <c r="J772" s="1748"/>
      <c r="K772" s="541"/>
      <c r="L772" s="1748"/>
      <c r="M772" s="541"/>
      <c r="N772" s="1748"/>
      <c r="O772" s="541"/>
      <c r="P772" s="1748"/>
      <c r="Q772" s="541"/>
      <c r="R772" s="1748"/>
      <c r="S772" s="541"/>
      <c r="T772" s="1748"/>
      <c r="U772" s="541"/>
      <c r="V772" s="1748"/>
      <c r="W772" s="541"/>
      <c r="X772" s="1748"/>
      <c r="Y772" s="1748"/>
      <c r="Z772" s="1748"/>
      <c r="AA772" s="541"/>
      <c r="AB772" s="1748"/>
      <c r="AC772" s="541"/>
      <c r="AD772" s="541"/>
      <c r="AE772" s="541"/>
      <c r="AF772" s="541"/>
      <c r="AG772" s="541"/>
      <c r="AH772" s="541"/>
      <c r="AI772" s="541"/>
      <c r="AJ772" s="541"/>
      <c r="AK772" s="541"/>
      <c r="AL772" s="541"/>
      <c r="AM772" s="541"/>
      <c r="AN772" s="1748"/>
      <c r="AO772" s="1748"/>
      <c r="AP772" s="1748"/>
      <c r="AQ772" s="1748"/>
      <c r="AR772" s="1748"/>
      <c r="AS772" s="541"/>
      <c r="AT772" s="541"/>
      <c r="AU772" s="541"/>
      <c r="AV772" s="541"/>
      <c r="AW772" s="541"/>
      <c r="AY772" s="541"/>
      <c r="AZ772" s="633"/>
      <c r="BA772" s="541"/>
      <c r="BB772" s="1190"/>
      <c r="BC772" s="541"/>
      <c r="BD772" s="1190"/>
      <c r="BE772" s="541"/>
      <c r="BF772" s="1190"/>
      <c r="BG772" s="541"/>
      <c r="BH772" s="1190"/>
      <c r="BI772" s="541"/>
      <c r="BJ772" s="1190"/>
      <c r="BK772" s="541"/>
      <c r="BL772" s="541"/>
      <c r="BM772" s="541"/>
      <c r="BP772" s="541"/>
      <c r="BQ772" s="633"/>
      <c r="BR772" s="541"/>
      <c r="BS772" s="541"/>
      <c r="BT772" s="541"/>
      <c r="BU772" s="541"/>
    </row>
    <row r="773" ht="15.75" customHeight="1">
      <c r="A773" s="1591"/>
      <c r="B773" s="1591"/>
      <c r="C773" s="2217"/>
      <c r="D773" s="1541"/>
      <c r="E773" s="906"/>
      <c r="F773" s="541"/>
      <c r="G773" s="541"/>
      <c r="H773" s="541"/>
      <c r="I773" s="541"/>
      <c r="J773" s="1748"/>
      <c r="K773" s="541"/>
      <c r="L773" s="1748"/>
      <c r="M773" s="541"/>
      <c r="N773" s="1748"/>
      <c r="O773" s="541"/>
      <c r="P773" s="1748"/>
      <c r="Q773" s="541"/>
      <c r="R773" s="1748"/>
      <c r="S773" s="541"/>
      <c r="T773" s="1748"/>
      <c r="U773" s="541"/>
      <c r="V773" s="1748"/>
      <c r="W773" s="541"/>
      <c r="X773" s="1748"/>
      <c r="Y773" s="1748"/>
      <c r="Z773" s="1748"/>
      <c r="AA773" s="541"/>
      <c r="AB773" s="1748"/>
      <c r="AC773" s="541"/>
      <c r="AD773" s="541"/>
      <c r="AE773" s="541"/>
      <c r="AF773" s="541"/>
      <c r="AG773" s="541"/>
      <c r="AH773" s="541"/>
      <c r="AI773" s="541"/>
      <c r="AJ773" s="541"/>
      <c r="AK773" s="541"/>
      <c r="AL773" s="541"/>
      <c r="AM773" s="541"/>
      <c r="AN773" s="1748"/>
      <c r="AO773" s="1748"/>
      <c r="AP773" s="1748"/>
      <c r="AQ773" s="1748"/>
      <c r="AR773" s="1748"/>
      <c r="AS773" s="541"/>
      <c r="AT773" s="541"/>
      <c r="AU773" s="541"/>
      <c r="AV773" s="541"/>
      <c r="AW773" s="541"/>
      <c r="AY773" s="541"/>
      <c r="AZ773" s="633"/>
      <c r="BA773" s="541"/>
      <c r="BB773" s="1190"/>
      <c r="BC773" s="541"/>
      <c r="BD773" s="1190"/>
      <c r="BE773" s="541"/>
      <c r="BF773" s="1190"/>
      <c r="BG773" s="541"/>
      <c r="BH773" s="1190"/>
      <c r="BI773" s="541"/>
      <c r="BJ773" s="1190"/>
      <c r="BK773" s="541"/>
      <c r="BL773" s="541"/>
      <c r="BM773" s="541"/>
      <c r="BP773" s="541"/>
      <c r="BQ773" s="633"/>
      <c r="BR773" s="541"/>
      <c r="BS773" s="541"/>
      <c r="BT773" s="541"/>
      <c r="BU773" s="541"/>
    </row>
    <row r="774" ht="15.75" customHeight="1">
      <c r="A774" s="1591"/>
      <c r="B774" s="1591"/>
      <c r="C774" s="2217"/>
      <c r="D774" s="1541"/>
      <c r="E774" s="906"/>
      <c r="F774" s="541"/>
      <c r="G774" s="541"/>
      <c r="H774" s="541"/>
      <c r="I774" s="541"/>
      <c r="J774" s="1748"/>
      <c r="K774" s="541"/>
      <c r="L774" s="1748"/>
      <c r="M774" s="541"/>
      <c r="N774" s="1748"/>
      <c r="O774" s="541"/>
      <c r="P774" s="1748"/>
      <c r="Q774" s="541"/>
      <c r="R774" s="1748"/>
      <c r="S774" s="541"/>
      <c r="T774" s="1748"/>
      <c r="U774" s="541"/>
      <c r="V774" s="1748"/>
      <c r="W774" s="541"/>
      <c r="X774" s="1748"/>
      <c r="Y774" s="1748"/>
      <c r="Z774" s="1748"/>
      <c r="AA774" s="541"/>
      <c r="AB774" s="1748"/>
      <c r="AC774" s="541"/>
      <c r="AD774" s="541"/>
      <c r="AE774" s="541"/>
      <c r="AF774" s="541"/>
      <c r="AG774" s="541"/>
      <c r="AH774" s="541"/>
      <c r="AI774" s="541"/>
      <c r="AJ774" s="541"/>
      <c r="AK774" s="541"/>
      <c r="AL774" s="541"/>
      <c r="AM774" s="541"/>
      <c r="AN774" s="1748"/>
      <c r="AO774" s="1748"/>
      <c r="AP774" s="1748"/>
      <c r="AQ774" s="1748"/>
      <c r="AR774" s="1748"/>
      <c r="AS774" s="541"/>
      <c r="AT774" s="541"/>
      <c r="AU774" s="541"/>
      <c r="AV774" s="541"/>
      <c r="AW774" s="541"/>
      <c r="AY774" s="541"/>
      <c r="AZ774" s="633"/>
      <c r="BA774" s="541"/>
      <c r="BB774" s="1190"/>
      <c r="BC774" s="541"/>
      <c r="BD774" s="1190"/>
      <c r="BE774" s="541"/>
      <c r="BF774" s="1190"/>
      <c r="BG774" s="541"/>
      <c r="BH774" s="1190"/>
      <c r="BI774" s="541"/>
      <c r="BJ774" s="1190"/>
      <c r="BK774" s="541"/>
      <c r="BL774" s="541"/>
      <c r="BM774" s="541"/>
      <c r="BP774" s="541"/>
      <c r="BQ774" s="633"/>
      <c r="BR774" s="541"/>
      <c r="BS774" s="541"/>
      <c r="BT774" s="541"/>
      <c r="BU774" s="541"/>
    </row>
    <row r="775" ht="15.75" customHeight="1">
      <c r="A775" s="1591"/>
      <c r="B775" s="1591"/>
      <c r="C775" s="2217"/>
      <c r="D775" s="1541"/>
      <c r="E775" s="906"/>
      <c r="F775" s="541"/>
      <c r="G775" s="541"/>
      <c r="H775" s="541"/>
      <c r="I775" s="541"/>
      <c r="J775" s="1748"/>
      <c r="K775" s="541"/>
      <c r="L775" s="1748"/>
      <c r="M775" s="541"/>
      <c r="N775" s="1748"/>
      <c r="O775" s="541"/>
      <c r="P775" s="1748"/>
      <c r="Q775" s="541"/>
      <c r="R775" s="1748"/>
      <c r="S775" s="541"/>
      <c r="T775" s="1748"/>
      <c r="U775" s="541"/>
      <c r="V775" s="1748"/>
      <c r="W775" s="541"/>
      <c r="X775" s="1748"/>
      <c r="Y775" s="1748"/>
      <c r="Z775" s="1748"/>
      <c r="AA775" s="541"/>
      <c r="AB775" s="1748"/>
      <c r="AC775" s="541"/>
      <c r="AD775" s="541"/>
      <c r="AE775" s="541"/>
      <c r="AF775" s="541"/>
      <c r="AG775" s="541"/>
      <c r="AH775" s="541"/>
      <c r="AI775" s="541"/>
      <c r="AJ775" s="541"/>
      <c r="AK775" s="541"/>
      <c r="AL775" s="541"/>
      <c r="AM775" s="541"/>
      <c r="AN775" s="1748"/>
      <c r="AO775" s="1748"/>
      <c r="AP775" s="1748"/>
      <c r="AQ775" s="1748"/>
      <c r="AR775" s="1748"/>
      <c r="AS775" s="541"/>
      <c r="AT775" s="541"/>
      <c r="AU775" s="541"/>
      <c r="AV775" s="541"/>
      <c r="AW775" s="541"/>
      <c r="AY775" s="541"/>
      <c r="AZ775" s="633"/>
      <c r="BA775" s="541"/>
      <c r="BB775" s="1190"/>
      <c r="BC775" s="541"/>
      <c r="BD775" s="1190"/>
      <c r="BE775" s="541"/>
      <c r="BF775" s="1190"/>
      <c r="BG775" s="541"/>
      <c r="BH775" s="1190"/>
      <c r="BI775" s="541"/>
      <c r="BJ775" s="1190"/>
      <c r="BK775" s="541"/>
      <c r="BL775" s="541"/>
      <c r="BM775" s="541"/>
      <c r="BP775" s="541"/>
      <c r="BQ775" s="633"/>
      <c r="BR775" s="541"/>
      <c r="BS775" s="541"/>
      <c r="BT775" s="541"/>
      <c r="BU775" s="541"/>
    </row>
    <row r="776" ht="15.75" customHeight="1">
      <c r="A776" s="1591"/>
      <c r="B776" s="1591"/>
      <c r="C776" s="2217"/>
      <c r="D776" s="1541"/>
      <c r="E776" s="906"/>
      <c r="F776" s="541"/>
      <c r="G776" s="541"/>
      <c r="H776" s="541"/>
      <c r="I776" s="541"/>
      <c r="J776" s="1748"/>
      <c r="K776" s="541"/>
      <c r="L776" s="1748"/>
      <c r="M776" s="541"/>
      <c r="N776" s="1748"/>
      <c r="O776" s="541"/>
      <c r="P776" s="1748"/>
      <c r="Q776" s="541"/>
      <c r="R776" s="1748"/>
      <c r="S776" s="541"/>
      <c r="T776" s="1748"/>
      <c r="U776" s="541"/>
      <c r="V776" s="1748"/>
      <c r="W776" s="541"/>
      <c r="X776" s="1748"/>
      <c r="Y776" s="1748"/>
      <c r="Z776" s="1748"/>
      <c r="AA776" s="541"/>
      <c r="AB776" s="1748"/>
      <c r="AC776" s="541"/>
      <c r="AD776" s="541"/>
      <c r="AE776" s="541"/>
      <c r="AF776" s="541"/>
      <c r="AG776" s="541"/>
      <c r="AH776" s="541"/>
      <c r="AI776" s="541"/>
      <c r="AJ776" s="541"/>
      <c r="AK776" s="541"/>
      <c r="AL776" s="541"/>
      <c r="AM776" s="541"/>
      <c r="AN776" s="1748"/>
      <c r="AO776" s="1748"/>
      <c r="AP776" s="1748"/>
      <c r="AQ776" s="1748"/>
      <c r="AR776" s="1748"/>
      <c r="AS776" s="541"/>
      <c r="AT776" s="541"/>
      <c r="AU776" s="541"/>
      <c r="AV776" s="541"/>
      <c r="AW776" s="541"/>
      <c r="AY776" s="541"/>
      <c r="AZ776" s="633"/>
      <c r="BA776" s="541"/>
      <c r="BB776" s="1190"/>
      <c r="BC776" s="541"/>
      <c r="BD776" s="1190"/>
      <c r="BE776" s="541"/>
      <c r="BF776" s="1190"/>
      <c r="BG776" s="541"/>
      <c r="BH776" s="1190"/>
      <c r="BI776" s="541"/>
      <c r="BJ776" s="1190"/>
      <c r="BK776" s="541"/>
      <c r="BL776" s="541"/>
      <c r="BM776" s="541"/>
      <c r="BP776" s="541"/>
      <c r="BQ776" s="633"/>
      <c r="BR776" s="541"/>
      <c r="BS776" s="541"/>
      <c r="BT776" s="541"/>
      <c r="BU776" s="541"/>
    </row>
    <row r="777" ht="15.75" customHeight="1">
      <c r="A777" s="1591"/>
      <c r="B777" s="1591"/>
      <c r="C777" s="2217"/>
      <c r="D777" s="1541"/>
      <c r="E777" s="906"/>
      <c r="F777" s="541"/>
      <c r="G777" s="541"/>
      <c r="H777" s="541"/>
      <c r="I777" s="541"/>
      <c r="J777" s="1748"/>
      <c r="K777" s="541"/>
      <c r="L777" s="1748"/>
      <c r="M777" s="541"/>
      <c r="N777" s="1748"/>
      <c r="O777" s="541"/>
      <c r="P777" s="1748"/>
      <c r="Q777" s="541"/>
      <c r="R777" s="1748"/>
      <c r="S777" s="541"/>
      <c r="T777" s="1748"/>
      <c r="U777" s="541"/>
      <c r="V777" s="1748"/>
      <c r="W777" s="541"/>
      <c r="X777" s="1748"/>
      <c r="Y777" s="1748"/>
      <c r="Z777" s="1748"/>
      <c r="AA777" s="541"/>
      <c r="AB777" s="1748"/>
      <c r="AC777" s="541"/>
      <c r="AD777" s="541"/>
      <c r="AE777" s="541"/>
      <c r="AF777" s="541"/>
      <c r="AG777" s="541"/>
      <c r="AH777" s="541"/>
      <c r="AI777" s="541"/>
      <c r="AJ777" s="541"/>
      <c r="AK777" s="541"/>
      <c r="AL777" s="541"/>
      <c r="AM777" s="541"/>
      <c r="AN777" s="1748"/>
      <c r="AO777" s="1748"/>
      <c r="AP777" s="1748"/>
      <c r="AQ777" s="1748"/>
      <c r="AR777" s="1748"/>
      <c r="AS777" s="541"/>
      <c r="AT777" s="541"/>
      <c r="AU777" s="541"/>
      <c r="AV777" s="541"/>
      <c r="AW777" s="541"/>
      <c r="AY777" s="541"/>
      <c r="AZ777" s="633"/>
      <c r="BA777" s="541"/>
      <c r="BB777" s="1190"/>
      <c r="BC777" s="541"/>
      <c r="BD777" s="1190"/>
      <c r="BE777" s="541"/>
      <c r="BF777" s="1190"/>
      <c r="BG777" s="541"/>
      <c r="BH777" s="1190"/>
      <c r="BI777" s="541"/>
      <c r="BJ777" s="1190"/>
      <c r="BK777" s="541"/>
      <c r="BL777" s="541"/>
      <c r="BM777" s="541"/>
      <c r="BP777" s="541"/>
      <c r="BQ777" s="633"/>
      <c r="BR777" s="541"/>
      <c r="BS777" s="541"/>
      <c r="BT777" s="541"/>
      <c r="BU777" s="541"/>
    </row>
    <row r="778" ht="15.75" customHeight="1">
      <c r="A778" s="1591"/>
      <c r="B778" s="1591"/>
      <c r="C778" s="2217"/>
      <c r="D778" s="1541"/>
      <c r="E778" s="906"/>
      <c r="F778" s="541"/>
      <c r="G778" s="541"/>
      <c r="H778" s="541"/>
      <c r="I778" s="541"/>
      <c r="J778" s="1748"/>
      <c r="K778" s="541"/>
      <c r="L778" s="1748"/>
      <c r="M778" s="541"/>
      <c r="N778" s="1748"/>
      <c r="O778" s="541"/>
      <c r="P778" s="1748"/>
      <c r="Q778" s="541"/>
      <c r="R778" s="1748"/>
      <c r="S778" s="541"/>
      <c r="T778" s="1748"/>
      <c r="U778" s="541"/>
      <c r="V778" s="1748"/>
      <c r="W778" s="541"/>
      <c r="X778" s="1748"/>
      <c r="Y778" s="1748"/>
      <c r="Z778" s="1748"/>
      <c r="AA778" s="541"/>
      <c r="AB778" s="1748"/>
      <c r="AC778" s="541"/>
      <c r="AD778" s="541"/>
      <c r="AE778" s="541"/>
      <c r="AF778" s="541"/>
      <c r="AG778" s="541"/>
      <c r="AH778" s="541"/>
      <c r="AI778" s="541"/>
      <c r="AJ778" s="541"/>
      <c r="AK778" s="541"/>
      <c r="AL778" s="541"/>
      <c r="AM778" s="541"/>
      <c r="AN778" s="1748"/>
      <c r="AO778" s="1748"/>
      <c r="AP778" s="1748"/>
      <c r="AQ778" s="1748"/>
      <c r="AR778" s="1748"/>
      <c r="AS778" s="541"/>
      <c r="AT778" s="541"/>
      <c r="AU778" s="541"/>
      <c r="AV778" s="541"/>
      <c r="AW778" s="541"/>
      <c r="AY778" s="541"/>
      <c r="AZ778" s="633"/>
      <c r="BA778" s="541"/>
      <c r="BB778" s="1190"/>
      <c r="BC778" s="541"/>
      <c r="BD778" s="1190"/>
      <c r="BE778" s="541"/>
      <c r="BF778" s="1190"/>
      <c r="BG778" s="541"/>
      <c r="BH778" s="1190"/>
      <c r="BI778" s="541"/>
      <c r="BJ778" s="1190"/>
      <c r="BK778" s="541"/>
      <c r="BL778" s="541"/>
      <c r="BM778" s="541"/>
      <c r="BP778" s="541"/>
      <c r="BQ778" s="633"/>
      <c r="BR778" s="541"/>
      <c r="BS778" s="541"/>
      <c r="BT778" s="541"/>
      <c r="BU778" s="541"/>
    </row>
    <row r="779" ht="15.75" customHeight="1">
      <c r="A779" s="1591"/>
      <c r="B779" s="1591"/>
      <c r="C779" s="2217"/>
      <c r="D779" s="1541"/>
      <c r="E779" s="906"/>
      <c r="F779" s="541"/>
      <c r="G779" s="541"/>
      <c r="H779" s="541"/>
      <c r="I779" s="541"/>
      <c r="J779" s="1748"/>
      <c r="K779" s="541"/>
      <c r="L779" s="1748"/>
      <c r="M779" s="541"/>
      <c r="N779" s="1748"/>
      <c r="O779" s="541"/>
      <c r="P779" s="1748"/>
      <c r="Q779" s="541"/>
      <c r="R779" s="1748"/>
      <c r="S779" s="541"/>
      <c r="T779" s="1748"/>
      <c r="U779" s="541"/>
      <c r="V779" s="1748"/>
      <c r="W779" s="541"/>
      <c r="X779" s="1748"/>
      <c r="Y779" s="1748"/>
      <c r="Z779" s="1748"/>
      <c r="AA779" s="541"/>
      <c r="AB779" s="1748"/>
      <c r="AC779" s="541"/>
      <c r="AD779" s="541"/>
      <c r="AE779" s="541"/>
      <c r="AF779" s="541"/>
      <c r="AG779" s="541"/>
      <c r="AH779" s="541"/>
      <c r="AI779" s="541"/>
      <c r="AJ779" s="541"/>
      <c r="AK779" s="541"/>
      <c r="AL779" s="541"/>
      <c r="AM779" s="541"/>
      <c r="AN779" s="1748"/>
      <c r="AO779" s="1748"/>
      <c r="AP779" s="1748"/>
      <c r="AQ779" s="1748"/>
      <c r="AR779" s="1748"/>
      <c r="AS779" s="541"/>
      <c r="AT779" s="541"/>
      <c r="AU779" s="541"/>
      <c r="AV779" s="541"/>
      <c r="AW779" s="541"/>
      <c r="AY779" s="541"/>
      <c r="AZ779" s="633"/>
      <c r="BA779" s="541"/>
      <c r="BB779" s="1190"/>
      <c r="BC779" s="541"/>
      <c r="BD779" s="1190"/>
      <c r="BE779" s="541"/>
      <c r="BF779" s="1190"/>
      <c r="BG779" s="541"/>
      <c r="BH779" s="1190"/>
      <c r="BI779" s="541"/>
      <c r="BJ779" s="1190"/>
      <c r="BK779" s="541"/>
      <c r="BL779" s="541"/>
      <c r="BM779" s="541"/>
      <c r="BP779" s="541"/>
      <c r="BQ779" s="633"/>
      <c r="BR779" s="541"/>
      <c r="BS779" s="541"/>
      <c r="BT779" s="541"/>
      <c r="BU779" s="541"/>
    </row>
    <row r="780" ht="15.75" customHeight="1">
      <c r="A780" s="1591"/>
      <c r="B780" s="1591"/>
      <c r="C780" s="2217"/>
      <c r="D780" s="1541"/>
      <c r="E780" s="906"/>
      <c r="F780" s="541"/>
      <c r="G780" s="541"/>
      <c r="H780" s="541"/>
      <c r="I780" s="541"/>
      <c r="J780" s="1748"/>
      <c r="K780" s="541"/>
      <c r="L780" s="1748"/>
      <c r="M780" s="541"/>
      <c r="N780" s="1748"/>
      <c r="O780" s="541"/>
      <c r="P780" s="1748"/>
      <c r="Q780" s="541"/>
      <c r="R780" s="1748"/>
      <c r="S780" s="541"/>
      <c r="T780" s="1748"/>
      <c r="U780" s="541"/>
      <c r="V780" s="1748"/>
      <c r="W780" s="541"/>
      <c r="X780" s="1748"/>
      <c r="Y780" s="1748"/>
      <c r="Z780" s="1748"/>
      <c r="AA780" s="541"/>
      <c r="AB780" s="1748"/>
      <c r="AC780" s="541"/>
      <c r="AD780" s="541"/>
      <c r="AE780" s="541"/>
      <c r="AF780" s="541"/>
      <c r="AG780" s="541"/>
      <c r="AH780" s="541"/>
      <c r="AI780" s="541"/>
      <c r="AJ780" s="541"/>
      <c r="AK780" s="541"/>
      <c r="AL780" s="541"/>
      <c r="AM780" s="541"/>
      <c r="AN780" s="1748"/>
      <c r="AO780" s="1748"/>
      <c r="AP780" s="1748"/>
      <c r="AQ780" s="1748"/>
      <c r="AR780" s="1748"/>
      <c r="AS780" s="541"/>
      <c r="AT780" s="541"/>
      <c r="AU780" s="541"/>
      <c r="AV780" s="541"/>
      <c r="AW780" s="541"/>
      <c r="AY780" s="541"/>
      <c r="AZ780" s="633"/>
      <c r="BA780" s="541"/>
      <c r="BB780" s="1190"/>
      <c r="BC780" s="541"/>
      <c r="BD780" s="1190"/>
      <c r="BE780" s="541"/>
      <c r="BF780" s="1190"/>
      <c r="BG780" s="541"/>
      <c r="BH780" s="1190"/>
      <c r="BI780" s="541"/>
      <c r="BJ780" s="1190"/>
      <c r="BK780" s="541"/>
      <c r="BL780" s="541"/>
      <c r="BM780" s="541"/>
      <c r="BP780" s="541"/>
      <c r="BQ780" s="633"/>
      <c r="BR780" s="541"/>
      <c r="BS780" s="541"/>
      <c r="BT780" s="541"/>
      <c r="BU780" s="541"/>
    </row>
    <row r="781" ht="15.75" customHeight="1">
      <c r="A781" s="1591"/>
      <c r="B781" s="1591"/>
      <c r="C781" s="2217"/>
      <c r="D781" s="1541"/>
      <c r="E781" s="906"/>
      <c r="F781" s="541"/>
      <c r="G781" s="541"/>
      <c r="H781" s="541"/>
      <c r="I781" s="541"/>
      <c r="J781" s="1748"/>
      <c r="K781" s="541"/>
      <c r="L781" s="1748"/>
      <c r="M781" s="541"/>
      <c r="N781" s="1748"/>
      <c r="O781" s="541"/>
      <c r="P781" s="1748"/>
      <c r="Q781" s="541"/>
      <c r="R781" s="1748"/>
      <c r="S781" s="541"/>
      <c r="T781" s="1748"/>
      <c r="U781" s="541"/>
      <c r="V781" s="1748"/>
      <c r="W781" s="541"/>
      <c r="X781" s="1748"/>
      <c r="Y781" s="1748"/>
      <c r="Z781" s="1748"/>
      <c r="AA781" s="541"/>
      <c r="AB781" s="1748"/>
      <c r="AC781" s="541"/>
      <c r="AD781" s="541"/>
      <c r="AE781" s="541"/>
      <c r="AF781" s="541"/>
      <c r="AG781" s="541"/>
      <c r="AH781" s="541"/>
      <c r="AI781" s="541"/>
      <c r="AJ781" s="541"/>
      <c r="AK781" s="541"/>
      <c r="AL781" s="541"/>
      <c r="AM781" s="541"/>
      <c r="AN781" s="1748"/>
      <c r="AO781" s="1748"/>
      <c r="AP781" s="1748"/>
      <c r="AQ781" s="1748"/>
      <c r="AR781" s="1748"/>
      <c r="AS781" s="541"/>
      <c r="AT781" s="541"/>
      <c r="AU781" s="541"/>
      <c r="AV781" s="541"/>
      <c r="AW781" s="541"/>
      <c r="AY781" s="541"/>
      <c r="AZ781" s="633"/>
      <c r="BA781" s="541"/>
      <c r="BB781" s="1190"/>
      <c r="BC781" s="541"/>
      <c r="BD781" s="1190"/>
      <c r="BE781" s="541"/>
      <c r="BF781" s="1190"/>
      <c r="BG781" s="541"/>
      <c r="BH781" s="1190"/>
      <c r="BI781" s="541"/>
      <c r="BJ781" s="1190"/>
      <c r="BK781" s="541"/>
      <c r="BL781" s="541"/>
      <c r="BM781" s="541"/>
      <c r="BP781" s="541"/>
      <c r="BQ781" s="633"/>
      <c r="BR781" s="541"/>
      <c r="BS781" s="541"/>
      <c r="BT781" s="541"/>
      <c r="BU781" s="541"/>
    </row>
    <row r="782" ht="15.75" customHeight="1">
      <c r="A782" s="1591"/>
      <c r="B782" s="1591"/>
      <c r="C782" s="2217"/>
      <c r="D782" s="1541"/>
      <c r="E782" s="906"/>
      <c r="F782" s="541"/>
      <c r="G782" s="541"/>
      <c r="H782" s="541"/>
      <c r="I782" s="541"/>
      <c r="J782" s="1748"/>
      <c r="K782" s="541"/>
      <c r="L782" s="1748"/>
      <c r="M782" s="541"/>
      <c r="N782" s="1748"/>
      <c r="O782" s="541"/>
      <c r="P782" s="1748"/>
      <c r="Q782" s="541"/>
      <c r="R782" s="1748"/>
      <c r="S782" s="541"/>
      <c r="T782" s="1748"/>
      <c r="U782" s="541"/>
      <c r="V782" s="1748"/>
      <c r="W782" s="541"/>
      <c r="X782" s="1748"/>
      <c r="Y782" s="1748"/>
      <c r="Z782" s="1748"/>
      <c r="AA782" s="541"/>
      <c r="AB782" s="1748"/>
      <c r="AC782" s="541"/>
      <c r="AD782" s="541"/>
      <c r="AE782" s="541"/>
      <c r="AF782" s="541"/>
      <c r="AG782" s="541"/>
      <c r="AH782" s="541"/>
      <c r="AI782" s="541"/>
      <c r="AJ782" s="541"/>
      <c r="AK782" s="541"/>
      <c r="AL782" s="541"/>
      <c r="AM782" s="541"/>
      <c r="AN782" s="1748"/>
      <c r="AO782" s="1748"/>
      <c r="AP782" s="1748"/>
      <c r="AQ782" s="1748"/>
      <c r="AR782" s="1748"/>
      <c r="AS782" s="541"/>
      <c r="AT782" s="541"/>
      <c r="AU782" s="541"/>
      <c r="AV782" s="541"/>
      <c r="AW782" s="541"/>
      <c r="AY782" s="541"/>
      <c r="AZ782" s="633"/>
      <c r="BA782" s="541"/>
      <c r="BB782" s="1190"/>
      <c r="BC782" s="541"/>
      <c r="BD782" s="1190"/>
      <c r="BE782" s="541"/>
      <c r="BF782" s="1190"/>
      <c r="BG782" s="541"/>
      <c r="BH782" s="1190"/>
      <c r="BI782" s="541"/>
      <c r="BJ782" s="1190"/>
      <c r="BK782" s="541"/>
      <c r="BL782" s="541"/>
      <c r="BM782" s="541"/>
      <c r="BP782" s="541"/>
      <c r="BQ782" s="633"/>
      <c r="BR782" s="541"/>
      <c r="BS782" s="541"/>
      <c r="BT782" s="541"/>
      <c r="BU782" s="541"/>
    </row>
    <row r="783" ht="15.75" customHeight="1">
      <c r="A783" s="1591"/>
      <c r="B783" s="1591"/>
      <c r="C783" s="2217"/>
      <c r="D783" s="1541"/>
      <c r="E783" s="906"/>
      <c r="F783" s="541"/>
      <c r="G783" s="541"/>
      <c r="H783" s="541"/>
      <c r="I783" s="541"/>
      <c r="J783" s="1748"/>
      <c r="K783" s="541"/>
      <c r="L783" s="1748"/>
      <c r="M783" s="541"/>
      <c r="N783" s="1748"/>
      <c r="O783" s="541"/>
      <c r="P783" s="1748"/>
      <c r="Q783" s="541"/>
      <c r="R783" s="1748"/>
      <c r="S783" s="541"/>
      <c r="T783" s="1748"/>
      <c r="U783" s="541"/>
      <c r="V783" s="1748"/>
      <c r="W783" s="541"/>
      <c r="X783" s="1748"/>
      <c r="Y783" s="1748"/>
      <c r="Z783" s="1748"/>
      <c r="AA783" s="541"/>
      <c r="AB783" s="1748"/>
      <c r="AC783" s="541"/>
      <c r="AD783" s="541"/>
      <c r="AE783" s="541"/>
      <c r="AF783" s="541"/>
      <c r="AG783" s="541"/>
      <c r="AH783" s="541"/>
      <c r="AI783" s="541"/>
      <c r="AJ783" s="541"/>
      <c r="AK783" s="541"/>
      <c r="AL783" s="541"/>
      <c r="AM783" s="541"/>
      <c r="AN783" s="1748"/>
      <c r="AO783" s="1748"/>
      <c r="AP783" s="1748"/>
      <c r="AQ783" s="1748"/>
      <c r="AR783" s="1748"/>
      <c r="AS783" s="541"/>
      <c r="AT783" s="541"/>
      <c r="AU783" s="541"/>
      <c r="AV783" s="541"/>
      <c r="AW783" s="541"/>
      <c r="AY783" s="541"/>
      <c r="AZ783" s="633"/>
      <c r="BA783" s="541"/>
      <c r="BB783" s="1190"/>
      <c r="BC783" s="541"/>
      <c r="BD783" s="1190"/>
      <c r="BE783" s="541"/>
      <c r="BF783" s="1190"/>
      <c r="BG783" s="541"/>
      <c r="BH783" s="1190"/>
      <c r="BI783" s="541"/>
      <c r="BJ783" s="1190"/>
      <c r="BK783" s="541"/>
      <c r="BL783" s="541"/>
      <c r="BM783" s="541"/>
      <c r="BP783" s="541"/>
      <c r="BQ783" s="633"/>
      <c r="BR783" s="541"/>
      <c r="BS783" s="541"/>
      <c r="BT783" s="541"/>
      <c r="BU783" s="541"/>
    </row>
    <row r="784" ht="15.75" customHeight="1">
      <c r="A784" s="1591"/>
      <c r="B784" s="1591"/>
      <c r="C784" s="2217"/>
      <c r="D784" s="1541"/>
      <c r="E784" s="906"/>
      <c r="F784" s="541"/>
      <c r="G784" s="541"/>
      <c r="H784" s="541"/>
      <c r="I784" s="541"/>
      <c r="J784" s="1748"/>
      <c r="K784" s="541"/>
      <c r="L784" s="1748"/>
      <c r="M784" s="541"/>
      <c r="N784" s="1748"/>
      <c r="O784" s="541"/>
      <c r="P784" s="1748"/>
      <c r="Q784" s="541"/>
      <c r="R784" s="1748"/>
      <c r="S784" s="541"/>
      <c r="T784" s="1748"/>
      <c r="U784" s="541"/>
      <c r="V784" s="1748"/>
      <c r="W784" s="541"/>
      <c r="X784" s="1748"/>
      <c r="Y784" s="1748"/>
      <c r="Z784" s="1748"/>
      <c r="AA784" s="541"/>
      <c r="AB784" s="1748"/>
      <c r="AC784" s="541"/>
      <c r="AD784" s="541"/>
      <c r="AE784" s="541"/>
      <c r="AF784" s="541"/>
      <c r="AG784" s="541"/>
      <c r="AH784" s="541"/>
      <c r="AI784" s="541"/>
      <c r="AJ784" s="541"/>
      <c r="AK784" s="541"/>
      <c r="AL784" s="541"/>
      <c r="AM784" s="541"/>
      <c r="AN784" s="1748"/>
      <c r="AO784" s="1748"/>
      <c r="AP784" s="1748"/>
      <c r="AQ784" s="1748"/>
      <c r="AR784" s="1748"/>
      <c r="AS784" s="541"/>
      <c r="AT784" s="541"/>
      <c r="AU784" s="541"/>
      <c r="AV784" s="541"/>
      <c r="AW784" s="541"/>
      <c r="AY784" s="541"/>
      <c r="AZ784" s="633"/>
      <c r="BA784" s="541"/>
      <c r="BB784" s="1190"/>
      <c r="BC784" s="541"/>
      <c r="BD784" s="1190"/>
      <c r="BE784" s="541"/>
      <c r="BF784" s="1190"/>
      <c r="BG784" s="541"/>
      <c r="BH784" s="1190"/>
      <c r="BI784" s="541"/>
      <c r="BJ784" s="1190"/>
      <c r="BK784" s="541"/>
      <c r="BL784" s="541"/>
      <c r="BM784" s="541"/>
      <c r="BP784" s="541"/>
      <c r="BQ784" s="633"/>
      <c r="BR784" s="541"/>
      <c r="BS784" s="541"/>
      <c r="BT784" s="541"/>
      <c r="BU784" s="541"/>
    </row>
    <row r="785" ht="15.75" customHeight="1">
      <c r="A785" s="1591"/>
      <c r="B785" s="1591"/>
      <c r="C785" s="2217"/>
      <c r="D785" s="1541"/>
      <c r="E785" s="906"/>
      <c r="F785" s="541"/>
      <c r="G785" s="541"/>
      <c r="H785" s="541"/>
      <c r="I785" s="541"/>
      <c r="J785" s="1748"/>
      <c r="K785" s="541"/>
      <c r="L785" s="1748"/>
      <c r="M785" s="541"/>
      <c r="N785" s="1748"/>
      <c r="O785" s="541"/>
      <c r="P785" s="1748"/>
      <c r="Q785" s="541"/>
      <c r="R785" s="1748"/>
      <c r="S785" s="541"/>
      <c r="T785" s="1748"/>
      <c r="U785" s="541"/>
      <c r="V785" s="1748"/>
      <c r="W785" s="541"/>
      <c r="X785" s="1748"/>
      <c r="Y785" s="1748"/>
      <c r="Z785" s="1748"/>
      <c r="AA785" s="541"/>
      <c r="AB785" s="1748"/>
      <c r="AC785" s="541"/>
      <c r="AD785" s="541"/>
      <c r="AE785" s="541"/>
      <c r="AF785" s="541"/>
      <c r="AG785" s="541"/>
      <c r="AH785" s="541"/>
      <c r="AI785" s="541"/>
      <c r="AJ785" s="541"/>
      <c r="AK785" s="541"/>
      <c r="AL785" s="541"/>
      <c r="AM785" s="541"/>
      <c r="AN785" s="1748"/>
      <c r="AO785" s="1748"/>
      <c r="AP785" s="1748"/>
      <c r="AQ785" s="1748"/>
      <c r="AR785" s="1748"/>
      <c r="AS785" s="541"/>
      <c r="AT785" s="541"/>
      <c r="AU785" s="541"/>
      <c r="AV785" s="541"/>
      <c r="AW785" s="541"/>
      <c r="AY785" s="541"/>
      <c r="AZ785" s="633"/>
      <c r="BA785" s="541"/>
      <c r="BB785" s="1190"/>
      <c r="BC785" s="541"/>
      <c r="BD785" s="1190"/>
      <c r="BE785" s="541"/>
      <c r="BF785" s="1190"/>
      <c r="BG785" s="541"/>
      <c r="BH785" s="1190"/>
      <c r="BI785" s="541"/>
      <c r="BJ785" s="1190"/>
      <c r="BK785" s="541"/>
      <c r="BL785" s="541"/>
      <c r="BM785" s="541"/>
      <c r="BP785" s="541"/>
      <c r="BQ785" s="633"/>
      <c r="BR785" s="541"/>
      <c r="BS785" s="541"/>
      <c r="BT785" s="541"/>
      <c r="BU785" s="541"/>
    </row>
    <row r="786" ht="15.75" customHeight="1">
      <c r="A786" s="1591"/>
      <c r="B786" s="1591"/>
      <c r="C786" s="2217"/>
      <c r="D786" s="1541"/>
      <c r="E786" s="906"/>
      <c r="F786" s="541"/>
      <c r="G786" s="541"/>
      <c r="H786" s="541"/>
      <c r="I786" s="541"/>
      <c r="J786" s="1748"/>
      <c r="K786" s="541"/>
      <c r="L786" s="1748"/>
      <c r="M786" s="541"/>
      <c r="N786" s="1748"/>
      <c r="O786" s="541"/>
      <c r="P786" s="1748"/>
      <c r="Q786" s="541"/>
      <c r="R786" s="1748"/>
      <c r="S786" s="541"/>
      <c r="T786" s="1748"/>
      <c r="U786" s="541"/>
      <c r="V786" s="1748"/>
      <c r="W786" s="541"/>
      <c r="X786" s="1748"/>
      <c r="Y786" s="1748"/>
      <c r="Z786" s="1748"/>
      <c r="AA786" s="541"/>
      <c r="AB786" s="1748"/>
      <c r="AC786" s="541"/>
      <c r="AD786" s="541"/>
      <c r="AE786" s="541"/>
      <c r="AF786" s="541"/>
      <c r="AG786" s="541"/>
      <c r="AH786" s="541"/>
      <c r="AI786" s="541"/>
      <c r="AJ786" s="541"/>
      <c r="AK786" s="541"/>
      <c r="AL786" s="541"/>
      <c r="AM786" s="541"/>
      <c r="AN786" s="1748"/>
      <c r="AO786" s="1748"/>
      <c r="AP786" s="1748"/>
      <c r="AQ786" s="1748"/>
      <c r="AR786" s="1748"/>
      <c r="AS786" s="541"/>
      <c r="AT786" s="541"/>
      <c r="AU786" s="541"/>
      <c r="AV786" s="541"/>
      <c r="AW786" s="541"/>
      <c r="AY786" s="541"/>
      <c r="AZ786" s="633"/>
      <c r="BA786" s="541"/>
      <c r="BB786" s="1190"/>
      <c r="BC786" s="541"/>
      <c r="BD786" s="1190"/>
      <c r="BE786" s="541"/>
      <c r="BF786" s="1190"/>
      <c r="BG786" s="541"/>
      <c r="BH786" s="1190"/>
      <c r="BI786" s="541"/>
      <c r="BJ786" s="1190"/>
      <c r="BK786" s="541"/>
      <c r="BL786" s="541"/>
      <c r="BM786" s="541"/>
      <c r="BP786" s="541"/>
      <c r="BQ786" s="633"/>
      <c r="BR786" s="541"/>
      <c r="BS786" s="541"/>
      <c r="BT786" s="541"/>
      <c r="BU786" s="541"/>
    </row>
    <row r="787" ht="15.75" customHeight="1">
      <c r="A787" s="1591"/>
      <c r="B787" s="1591"/>
      <c r="C787" s="2217"/>
      <c r="D787" s="1541"/>
      <c r="E787" s="906"/>
      <c r="F787" s="541"/>
      <c r="G787" s="541"/>
      <c r="H787" s="541"/>
      <c r="I787" s="541"/>
      <c r="J787" s="1748"/>
      <c r="K787" s="541"/>
      <c r="L787" s="1748"/>
      <c r="M787" s="541"/>
      <c r="N787" s="1748"/>
      <c r="O787" s="541"/>
      <c r="P787" s="1748"/>
      <c r="Q787" s="541"/>
      <c r="R787" s="1748"/>
      <c r="S787" s="541"/>
      <c r="T787" s="1748"/>
      <c r="U787" s="541"/>
      <c r="V787" s="1748"/>
      <c r="W787" s="541"/>
      <c r="X787" s="1748"/>
      <c r="Y787" s="1748"/>
      <c r="Z787" s="1748"/>
      <c r="AA787" s="541"/>
      <c r="AB787" s="1748"/>
      <c r="AC787" s="541"/>
      <c r="AD787" s="541"/>
      <c r="AE787" s="541"/>
      <c r="AF787" s="541"/>
      <c r="AG787" s="541"/>
      <c r="AH787" s="541"/>
      <c r="AI787" s="541"/>
      <c r="AJ787" s="541"/>
      <c r="AK787" s="541"/>
      <c r="AL787" s="541"/>
      <c r="AM787" s="541"/>
      <c r="AN787" s="1748"/>
      <c r="AO787" s="1748"/>
      <c r="AP787" s="1748"/>
      <c r="AQ787" s="1748"/>
      <c r="AR787" s="1748"/>
      <c r="AS787" s="541"/>
      <c r="AT787" s="541"/>
      <c r="AU787" s="541"/>
      <c r="AV787" s="541"/>
      <c r="AW787" s="541"/>
      <c r="AY787" s="541"/>
      <c r="AZ787" s="633"/>
      <c r="BA787" s="541"/>
      <c r="BB787" s="1190"/>
      <c r="BC787" s="541"/>
      <c r="BD787" s="1190"/>
      <c r="BE787" s="541"/>
      <c r="BF787" s="1190"/>
      <c r="BG787" s="541"/>
      <c r="BH787" s="1190"/>
      <c r="BI787" s="541"/>
      <c r="BJ787" s="1190"/>
      <c r="BK787" s="541"/>
      <c r="BL787" s="541"/>
      <c r="BM787" s="541"/>
      <c r="BP787" s="541"/>
      <c r="BQ787" s="633"/>
      <c r="BR787" s="541"/>
      <c r="BS787" s="541"/>
      <c r="BT787" s="541"/>
      <c r="BU787" s="541"/>
    </row>
    <row r="788" ht="15.75" customHeight="1">
      <c r="A788" s="1591"/>
      <c r="B788" s="1591"/>
      <c r="C788" s="2217"/>
      <c r="D788" s="1541"/>
      <c r="E788" s="906"/>
      <c r="F788" s="541"/>
      <c r="G788" s="541"/>
      <c r="H788" s="541"/>
      <c r="I788" s="541"/>
      <c r="J788" s="1748"/>
      <c r="K788" s="541"/>
      <c r="L788" s="1748"/>
      <c r="M788" s="541"/>
      <c r="N788" s="1748"/>
      <c r="O788" s="541"/>
      <c r="P788" s="1748"/>
      <c r="Q788" s="541"/>
      <c r="R788" s="1748"/>
      <c r="S788" s="541"/>
      <c r="T788" s="1748"/>
      <c r="U788" s="541"/>
      <c r="V788" s="1748"/>
      <c r="W788" s="541"/>
      <c r="X788" s="1748"/>
      <c r="Y788" s="1748"/>
      <c r="Z788" s="1748"/>
      <c r="AA788" s="541"/>
      <c r="AB788" s="1748"/>
      <c r="AC788" s="541"/>
      <c r="AD788" s="541"/>
      <c r="AE788" s="541"/>
      <c r="AF788" s="541"/>
      <c r="AG788" s="541"/>
      <c r="AH788" s="541"/>
      <c r="AI788" s="541"/>
      <c r="AJ788" s="541"/>
      <c r="AK788" s="541"/>
      <c r="AL788" s="541"/>
      <c r="AM788" s="541"/>
      <c r="AN788" s="1748"/>
      <c r="AO788" s="1748"/>
      <c r="AP788" s="1748"/>
      <c r="AQ788" s="1748"/>
      <c r="AR788" s="1748"/>
      <c r="AS788" s="541"/>
      <c r="AT788" s="541"/>
      <c r="AU788" s="541"/>
      <c r="AV788" s="541"/>
      <c r="AW788" s="541"/>
      <c r="AY788" s="541"/>
      <c r="AZ788" s="633"/>
      <c r="BA788" s="541"/>
      <c r="BB788" s="1190"/>
      <c r="BC788" s="541"/>
      <c r="BD788" s="1190"/>
      <c r="BE788" s="541"/>
      <c r="BF788" s="1190"/>
      <c r="BG788" s="541"/>
      <c r="BH788" s="1190"/>
      <c r="BI788" s="541"/>
      <c r="BJ788" s="1190"/>
      <c r="BK788" s="541"/>
      <c r="BL788" s="541"/>
      <c r="BM788" s="541"/>
      <c r="BP788" s="541"/>
      <c r="BQ788" s="633"/>
      <c r="BR788" s="541"/>
      <c r="BS788" s="541"/>
      <c r="BT788" s="541"/>
      <c r="BU788" s="541"/>
    </row>
    <row r="789" ht="15.75" customHeight="1">
      <c r="A789" s="1591"/>
      <c r="B789" s="1591"/>
      <c r="C789" s="2217"/>
      <c r="D789" s="1541"/>
      <c r="E789" s="906"/>
      <c r="F789" s="541"/>
      <c r="G789" s="541"/>
      <c r="H789" s="541"/>
      <c r="I789" s="541"/>
      <c r="J789" s="1748"/>
      <c r="K789" s="541"/>
      <c r="L789" s="1748"/>
      <c r="M789" s="541"/>
      <c r="N789" s="1748"/>
      <c r="O789" s="541"/>
      <c r="P789" s="1748"/>
      <c r="Q789" s="541"/>
      <c r="R789" s="1748"/>
      <c r="S789" s="541"/>
      <c r="T789" s="1748"/>
      <c r="U789" s="541"/>
      <c r="V789" s="1748"/>
      <c r="W789" s="541"/>
      <c r="X789" s="1748"/>
      <c r="Y789" s="1748"/>
      <c r="Z789" s="1748"/>
      <c r="AA789" s="541"/>
      <c r="AB789" s="1748"/>
      <c r="AC789" s="541"/>
      <c r="AD789" s="541"/>
      <c r="AE789" s="541"/>
      <c r="AF789" s="541"/>
      <c r="AG789" s="541"/>
      <c r="AH789" s="541"/>
      <c r="AI789" s="541"/>
      <c r="AJ789" s="541"/>
      <c r="AK789" s="541"/>
      <c r="AL789" s="541"/>
      <c r="AM789" s="541"/>
      <c r="AN789" s="1748"/>
      <c r="AO789" s="1748"/>
      <c r="AP789" s="1748"/>
      <c r="AQ789" s="1748"/>
      <c r="AR789" s="1748"/>
      <c r="AS789" s="541"/>
      <c r="AT789" s="541"/>
      <c r="AU789" s="541"/>
      <c r="AV789" s="541"/>
      <c r="AW789" s="541"/>
      <c r="AY789" s="541"/>
      <c r="AZ789" s="633"/>
      <c r="BA789" s="541"/>
      <c r="BB789" s="1190"/>
      <c r="BC789" s="541"/>
      <c r="BD789" s="1190"/>
      <c r="BE789" s="541"/>
      <c r="BF789" s="1190"/>
      <c r="BG789" s="541"/>
      <c r="BH789" s="1190"/>
      <c r="BI789" s="541"/>
      <c r="BJ789" s="1190"/>
      <c r="BK789" s="541"/>
      <c r="BL789" s="541"/>
      <c r="BM789" s="541"/>
      <c r="BP789" s="541"/>
      <c r="BQ789" s="633"/>
      <c r="BR789" s="541"/>
      <c r="BS789" s="541"/>
      <c r="BT789" s="541"/>
      <c r="BU789" s="541"/>
    </row>
    <row r="790" ht="15.75" customHeight="1">
      <c r="A790" s="1591"/>
      <c r="B790" s="1591"/>
      <c r="C790" s="2217"/>
      <c r="D790" s="1541"/>
      <c r="E790" s="906"/>
      <c r="F790" s="541"/>
      <c r="G790" s="541"/>
      <c r="H790" s="541"/>
      <c r="I790" s="541"/>
      <c r="J790" s="1748"/>
      <c r="K790" s="541"/>
      <c r="L790" s="1748"/>
      <c r="M790" s="541"/>
      <c r="N790" s="1748"/>
      <c r="O790" s="541"/>
      <c r="P790" s="1748"/>
      <c r="Q790" s="541"/>
      <c r="R790" s="1748"/>
      <c r="S790" s="541"/>
      <c r="T790" s="1748"/>
      <c r="U790" s="541"/>
      <c r="V790" s="1748"/>
      <c r="W790" s="541"/>
      <c r="X790" s="1748"/>
      <c r="Y790" s="1748"/>
      <c r="Z790" s="1748"/>
      <c r="AA790" s="541"/>
      <c r="AB790" s="1748"/>
      <c r="AC790" s="541"/>
      <c r="AD790" s="541"/>
      <c r="AE790" s="541"/>
      <c r="AF790" s="541"/>
      <c r="AG790" s="541"/>
      <c r="AH790" s="541"/>
      <c r="AI790" s="541"/>
      <c r="AJ790" s="541"/>
      <c r="AK790" s="541"/>
      <c r="AL790" s="541"/>
      <c r="AM790" s="541"/>
      <c r="AN790" s="1748"/>
      <c r="AO790" s="1748"/>
      <c r="AP790" s="1748"/>
      <c r="AQ790" s="1748"/>
      <c r="AR790" s="1748"/>
      <c r="AS790" s="541"/>
      <c r="AT790" s="541"/>
      <c r="AU790" s="541"/>
      <c r="AV790" s="541"/>
      <c r="AW790" s="541"/>
      <c r="AY790" s="541"/>
      <c r="AZ790" s="633"/>
      <c r="BA790" s="541"/>
      <c r="BB790" s="1190"/>
      <c r="BC790" s="541"/>
      <c r="BD790" s="1190"/>
      <c r="BE790" s="541"/>
      <c r="BF790" s="1190"/>
      <c r="BG790" s="541"/>
      <c r="BH790" s="1190"/>
      <c r="BI790" s="541"/>
      <c r="BJ790" s="1190"/>
      <c r="BK790" s="541"/>
      <c r="BL790" s="541"/>
      <c r="BM790" s="541"/>
      <c r="BP790" s="541"/>
      <c r="BQ790" s="633"/>
      <c r="BR790" s="541"/>
      <c r="BS790" s="541"/>
      <c r="BT790" s="541"/>
      <c r="BU790" s="541"/>
    </row>
    <row r="791" ht="15.75" customHeight="1">
      <c r="A791" s="1591"/>
      <c r="B791" s="1591"/>
      <c r="C791" s="2217"/>
      <c r="D791" s="1541"/>
      <c r="E791" s="906"/>
      <c r="F791" s="541"/>
      <c r="G791" s="541"/>
      <c r="H791" s="541"/>
      <c r="I791" s="541"/>
      <c r="J791" s="1748"/>
      <c r="K791" s="541"/>
      <c r="L791" s="1748"/>
      <c r="M791" s="541"/>
      <c r="N791" s="1748"/>
      <c r="O791" s="541"/>
      <c r="P791" s="1748"/>
      <c r="Q791" s="541"/>
      <c r="R791" s="1748"/>
      <c r="S791" s="541"/>
      <c r="T791" s="1748"/>
      <c r="U791" s="541"/>
      <c r="V791" s="1748"/>
      <c r="W791" s="541"/>
      <c r="X791" s="1748"/>
      <c r="Y791" s="1748"/>
      <c r="Z791" s="1748"/>
      <c r="AA791" s="541"/>
      <c r="AB791" s="1748"/>
      <c r="AC791" s="541"/>
      <c r="AD791" s="541"/>
      <c r="AE791" s="541"/>
      <c r="AF791" s="541"/>
      <c r="AG791" s="541"/>
      <c r="AH791" s="541"/>
      <c r="AI791" s="541"/>
      <c r="AJ791" s="541"/>
      <c r="AK791" s="541"/>
      <c r="AL791" s="541"/>
      <c r="AM791" s="541"/>
      <c r="AN791" s="1748"/>
      <c r="AO791" s="1748"/>
      <c r="AP791" s="1748"/>
      <c r="AQ791" s="1748"/>
      <c r="AR791" s="1748"/>
      <c r="AS791" s="541"/>
      <c r="AT791" s="541"/>
      <c r="AU791" s="541"/>
      <c r="AV791" s="541"/>
      <c r="AW791" s="541"/>
      <c r="AY791" s="541"/>
      <c r="AZ791" s="633"/>
      <c r="BA791" s="541"/>
      <c r="BB791" s="1190"/>
      <c r="BC791" s="541"/>
      <c r="BD791" s="1190"/>
      <c r="BE791" s="541"/>
      <c r="BF791" s="1190"/>
      <c r="BG791" s="541"/>
      <c r="BH791" s="1190"/>
      <c r="BI791" s="541"/>
      <c r="BJ791" s="1190"/>
      <c r="BK791" s="541"/>
      <c r="BL791" s="541"/>
      <c r="BM791" s="541"/>
      <c r="BP791" s="541"/>
      <c r="BQ791" s="633"/>
      <c r="BR791" s="541"/>
      <c r="BS791" s="541"/>
      <c r="BT791" s="541"/>
      <c r="BU791" s="541"/>
    </row>
    <row r="792" ht="15.75" customHeight="1">
      <c r="A792" s="1591"/>
      <c r="B792" s="1591"/>
      <c r="C792" s="2217"/>
      <c r="D792" s="1541"/>
      <c r="E792" s="906"/>
      <c r="F792" s="541"/>
      <c r="G792" s="541"/>
      <c r="H792" s="541"/>
      <c r="I792" s="541"/>
      <c r="J792" s="1748"/>
      <c r="K792" s="541"/>
      <c r="L792" s="1748"/>
      <c r="M792" s="541"/>
      <c r="N792" s="1748"/>
      <c r="O792" s="541"/>
      <c r="P792" s="1748"/>
      <c r="Q792" s="541"/>
      <c r="R792" s="1748"/>
      <c r="S792" s="541"/>
      <c r="T792" s="1748"/>
      <c r="U792" s="541"/>
      <c r="V792" s="1748"/>
      <c r="W792" s="541"/>
      <c r="X792" s="1748"/>
      <c r="Y792" s="1748"/>
      <c r="Z792" s="1748"/>
      <c r="AA792" s="541"/>
      <c r="AB792" s="1748"/>
      <c r="AC792" s="541"/>
      <c r="AD792" s="541"/>
      <c r="AE792" s="541"/>
      <c r="AF792" s="541"/>
      <c r="AG792" s="541"/>
      <c r="AH792" s="541"/>
      <c r="AI792" s="541"/>
      <c r="AJ792" s="541"/>
      <c r="AK792" s="541"/>
      <c r="AL792" s="541"/>
      <c r="AM792" s="541"/>
      <c r="AN792" s="1748"/>
      <c r="AO792" s="1748"/>
      <c r="AP792" s="1748"/>
      <c r="AQ792" s="1748"/>
      <c r="AR792" s="1748"/>
      <c r="AS792" s="541"/>
      <c r="AT792" s="541"/>
      <c r="AU792" s="541"/>
      <c r="AV792" s="541"/>
      <c r="AW792" s="541"/>
      <c r="AY792" s="541"/>
      <c r="AZ792" s="633"/>
      <c r="BA792" s="541"/>
      <c r="BB792" s="1190"/>
      <c r="BC792" s="541"/>
      <c r="BD792" s="1190"/>
      <c r="BE792" s="541"/>
      <c r="BF792" s="1190"/>
      <c r="BG792" s="541"/>
      <c r="BH792" s="1190"/>
      <c r="BI792" s="541"/>
      <c r="BJ792" s="1190"/>
      <c r="BK792" s="541"/>
      <c r="BL792" s="541"/>
      <c r="BM792" s="541"/>
      <c r="BP792" s="541"/>
      <c r="BQ792" s="633"/>
      <c r="BR792" s="541"/>
      <c r="BS792" s="541"/>
      <c r="BT792" s="541"/>
      <c r="BU792" s="541"/>
    </row>
    <row r="793" ht="15.75" customHeight="1">
      <c r="A793" s="1591"/>
      <c r="B793" s="1591"/>
      <c r="C793" s="2217"/>
      <c r="D793" s="1541"/>
      <c r="E793" s="906"/>
      <c r="F793" s="541"/>
      <c r="G793" s="541"/>
      <c r="H793" s="541"/>
      <c r="I793" s="541"/>
      <c r="J793" s="1748"/>
      <c r="K793" s="541"/>
      <c r="L793" s="1748"/>
      <c r="M793" s="541"/>
      <c r="N793" s="1748"/>
      <c r="O793" s="541"/>
      <c r="P793" s="1748"/>
      <c r="Q793" s="541"/>
      <c r="R793" s="1748"/>
      <c r="S793" s="541"/>
      <c r="T793" s="1748"/>
      <c r="U793" s="541"/>
      <c r="V793" s="1748"/>
      <c r="W793" s="541"/>
      <c r="X793" s="1748"/>
      <c r="Y793" s="1748"/>
      <c r="Z793" s="1748"/>
      <c r="AA793" s="541"/>
      <c r="AB793" s="1748"/>
      <c r="AC793" s="541"/>
      <c r="AD793" s="541"/>
      <c r="AE793" s="541"/>
      <c r="AF793" s="541"/>
      <c r="AG793" s="541"/>
      <c r="AH793" s="541"/>
      <c r="AI793" s="541"/>
      <c r="AJ793" s="541"/>
      <c r="AK793" s="541"/>
      <c r="AL793" s="541"/>
      <c r="AM793" s="541"/>
      <c r="AN793" s="1748"/>
      <c r="AO793" s="1748"/>
      <c r="AP793" s="1748"/>
      <c r="AQ793" s="1748"/>
      <c r="AR793" s="1748"/>
      <c r="AS793" s="541"/>
      <c r="AT793" s="541"/>
      <c r="AU793" s="541"/>
      <c r="AV793" s="541"/>
      <c r="AW793" s="541"/>
      <c r="AY793" s="541"/>
      <c r="AZ793" s="633"/>
      <c r="BA793" s="541"/>
      <c r="BB793" s="1190"/>
      <c r="BC793" s="541"/>
      <c r="BD793" s="1190"/>
      <c r="BE793" s="541"/>
      <c r="BF793" s="1190"/>
      <c r="BG793" s="541"/>
      <c r="BH793" s="1190"/>
      <c r="BI793" s="541"/>
      <c r="BJ793" s="1190"/>
      <c r="BK793" s="541"/>
      <c r="BL793" s="541"/>
      <c r="BM793" s="541"/>
      <c r="BP793" s="541"/>
      <c r="BQ793" s="633"/>
      <c r="BR793" s="541"/>
      <c r="BS793" s="541"/>
      <c r="BT793" s="541"/>
      <c r="BU793" s="541"/>
    </row>
    <row r="794" ht="15.75" customHeight="1">
      <c r="A794" s="1591"/>
      <c r="B794" s="1591"/>
      <c r="C794" s="2217"/>
      <c r="D794" s="1541"/>
      <c r="E794" s="906"/>
      <c r="F794" s="541"/>
      <c r="G794" s="541"/>
      <c r="H794" s="541"/>
      <c r="I794" s="541"/>
      <c r="J794" s="1748"/>
      <c r="K794" s="541"/>
      <c r="L794" s="1748"/>
      <c r="M794" s="541"/>
      <c r="N794" s="1748"/>
      <c r="O794" s="541"/>
      <c r="P794" s="1748"/>
      <c r="Q794" s="541"/>
      <c r="R794" s="1748"/>
      <c r="S794" s="541"/>
      <c r="T794" s="1748"/>
      <c r="U794" s="541"/>
      <c r="V794" s="1748"/>
      <c r="W794" s="541"/>
      <c r="X794" s="1748"/>
      <c r="Y794" s="1748"/>
      <c r="Z794" s="1748"/>
      <c r="AA794" s="541"/>
      <c r="AB794" s="1748"/>
      <c r="AC794" s="541"/>
      <c r="AD794" s="541"/>
      <c r="AE794" s="541"/>
      <c r="AF794" s="541"/>
      <c r="AG794" s="541"/>
      <c r="AH794" s="541"/>
      <c r="AI794" s="541"/>
      <c r="AJ794" s="541"/>
      <c r="AK794" s="541"/>
      <c r="AL794" s="541"/>
      <c r="AM794" s="541"/>
      <c r="AN794" s="1748"/>
      <c r="AO794" s="1748"/>
      <c r="AP794" s="1748"/>
      <c r="AQ794" s="1748"/>
      <c r="AR794" s="1748"/>
      <c r="AS794" s="541"/>
      <c r="AT794" s="541"/>
      <c r="AU794" s="541"/>
      <c r="AV794" s="541"/>
      <c r="AW794" s="541"/>
      <c r="AY794" s="541"/>
      <c r="AZ794" s="633"/>
      <c r="BA794" s="541"/>
      <c r="BB794" s="1190"/>
      <c r="BC794" s="541"/>
      <c r="BD794" s="1190"/>
      <c r="BE794" s="541"/>
      <c r="BF794" s="1190"/>
      <c r="BG794" s="541"/>
      <c r="BH794" s="1190"/>
      <c r="BI794" s="541"/>
      <c r="BJ794" s="1190"/>
      <c r="BK794" s="541"/>
      <c r="BL794" s="541"/>
      <c r="BM794" s="541"/>
      <c r="BP794" s="541"/>
      <c r="BQ794" s="633"/>
      <c r="BR794" s="541"/>
      <c r="BS794" s="541"/>
      <c r="BT794" s="541"/>
      <c r="BU794" s="541"/>
    </row>
    <row r="795" ht="15.75" customHeight="1">
      <c r="A795" s="1591"/>
      <c r="B795" s="1591"/>
      <c r="C795" s="2217"/>
      <c r="D795" s="1541"/>
      <c r="E795" s="906"/>
      <c r="F795" s="541"/>
      <c r="G795" s="541"/>
      <c r="H795" s="541"/>
      <c r="I795" s="541"/>
      <c r="J795" s="1748"/>
      <c r="K795" s="541"/>
      <c r="L795" s="1748"/>
      <c r="M795" s="541"/>
      <c r="N795" s="1748"/>
      <c r="O795" s="541"/>
      <c r="P795" s="1748"/>
      <c r="Q795" s="541"/>
      <c r="R795" s="1748"/>
      <c r="S795" s="541"/>
      <c r="T795" s="1748"/>
      <c r="U795" s="541"/>
      <c r="V795" s="1748"/>
      <c r="W795" s="541"/>
      <c r="X795" s="1748"/>
      <c r="Y795" s="1748"/>
      <c r="Z795" s="1748"/>
      <c r="AA795" s="541"/>
      <c r="AB795" s="1748"/>
      <c r="AC795" s="541"/>
      <c r="AD795" s="541"/>
      <c r="AE795" s="541"/>
      <c r="AF795" s="541"/>
      <c r="AG795" s="541"/>
      <c r="AH795" s="541"/>
      <c r="AI795" s="541"/>
      <c r="AJ795" s="541"/>
      <c r="AK795" s="541"/>
      <c r="AL795" s="541"/>
      <c r="AM795" s="541"/>
      <c r="AN795" s="1748"/>
      <c r="AO795" s="1748"/>
      <c r="AP795" s="1748"/>
      <c r="AQ795" s="1748"/>
      <c r="AR795" s="1748"/>
      <c r="AS795" s="541"/>
      <c r="AT795" s="541"/>
      <c r="AU795" s="541"/>
      <c r="AV795" s="541"/>
      <c r="AW795" s="541"/>
      <c r="AY795" s="541"/>
      <c r="AZ795" s="633"/>
      <c r="BA795" s="541"/>
      <c r="BB795" s="1190"/>
      <c r="BC795" s="541"/>
      <c r="BD795" s="1190"/>
      <c r="BE795" s="541"/>
      <c r="BF795" s="1190"/>
      <c r="BG795" s="541"/>
      <c r="BH795" s="1190"/>
      <c r="BI795" s="541"/>
      <c r="BJ795" s="1190"/>
      <c r="BK795" s="541"/>
      <c r="BL795" s="541"/>
      <c r="BM795" s="541"/>
      <c r="BP795" s="541"/>
      <c r="BQ795" s="633"/>
      <c r="BR795" s="541"/>
      <c r="BS795" s="541"/>
      <c r="BT795" s="541"/>
      <c r="BU795" s="541"/>
    </row>
    <row r="796" ht="15.75" customHeight="1">
      <c r="A796" s="1591"/>
      <c r="B796" s="1591"/>
      <c r="C796" s="2217"/>
      <c r="D796" s="1541"/>
      <c r="E796" s="906"/>
      <c r="F796" s="541"/>
      <c r="G796" s="541"/>
      <c r="H796" s="541"/>
      <c r="I796" s="541"/>
      <c r="J796" s="1748"/>
      <c r="K796" s="541"/>
      <c r="L796" s="1748"/>
      <c r="M796" s="541"/>
      <c r="N796" s="1748"/>
      <c r="O796" s="541"/>
      <c r="P796" s="1748"/>
      <c r="Q796" s="541"/>
      <c r="R796" s="1748"/>
      <c r="S796" s="541"/>
      <c r="T796" s="1748"/>
      <c r="U796" s="541"/>
      <c r="V796" s="1748"/>
      <c r="W796" s="541"/>
      <c r="X796" s="1748"/>
      <c r="Y796" s="1748"/>
      <c r="Z796" s="1748"/>
      <c r="AA796" s="541"/>
      <c r="AB796" s="1748"/>
      <c r="AC796" s="541"/>
      <c r="AD796" s="541"/>
      <c r="AE796" s="541"/>
      <c r="AF796" s="541"/>
      <c r="AG796" s="541"/>
      <c r="AH796" s="541"/>
      <c r="AI796" s="541"/>
      <c r="AJ796" s="541"/>
      <c r="AK796" s="541"/>
      <c r="AL796" s="541"/>
      <c r="AM796" s="541"/>
      <c r="AN796" s="1748"/>
      <c r="AO796" s="1748"/>
      <c r="AP796" s="1748"/>
      <c r="AQ796" s="1748"/>
      <c r="AR796" s="1748"/>
      <c r="AS796" s="541"/>
      <c r="AT796" s="541"/>
      <c r="AU796" s="541"/>
      <c r="AV796" s="541"/>
      <c r="AW796" s="541"/>
      <c r="AY796" s="541"/>
      <c r="AZ796" s="633"/>
      <c r="BA796" s="541"/>
      <c r="BB796" s="1190"/>
      <c r="BC796" s="541"/>
      <c r="BD796" s="1190"/>
      <c r="BE796" s="541"/>
      <c r="BF796" s="1190"/>
      <c r="BG796" s="541"/>
      <c r="BH796" s="1190"/>
      <c r="BI796" s="541"/>
      <c r="BJ796" s="1190"/>
      <c r="BK796" s="541"/>
      <c r="BL796" s="541"/>
      <c r="BM796" s="541"/>
      <c r="BP796" s="541"/>
      <c r="BQ796" s="633"/>
      <c r="BR796" s="541"/>
      <c r="BS796" s="541"/>
      <c r="BT796" s="541"/>
      <c r="BU796" s="541"/>
    </row>
    <row r="797" ht="15.75" customHeight="1">
      <c r="A797" s="1591"/>
      <c r="B797" s="1591"/>
      <c r="C797" s="2217"/>
      <c r="D797" s="1541"/>
      <c r="E797" s="906"/>
      <c r="F797" s="541"/>
      <c r="G797" s="541"/>
      <c r="H797" s="541"/>
      <c r="I797" s="541"/>
      <c r="J797" s="1748"/>
      <c r="K797" s="541"/>
      <c r="L797" s="1748"/>
      <c r="M797" s="541"/>
      <c r="N797" s="1748"/>
      <c r="O797" s="541"/>
      <c r="P797" s="1748"/>
      <c r="Q797" s="541"/>
      <c r="R797" s="1748"/>
      <c r="S797" s="541"/>
      <c r="T797" s="1748"/>
      <c r="U797" s="541"/>
      <c r="V797" s="1748"/>
      <c r="W797" s="541"/>
      <c r="X797" s="1748"/>
      <c r="Y797" s="1748"/>
      <c r="Z797" s="1748"/>
      <c r="AA797" s="541"/>
      <c r="AB797" s="1748"/>
      <c r="AC797" s="541"/>
      <c r="AD797" s="541"/>
      <c r="AE797" s="541"/>
      <c r="AF797" s="541"/>
      <c r="AG797" s="541"/>
      <c r="AH797" s="541"/>
      <c r="AI797" s="541"/>
      <c r="AJ797" s="541"/>
      <c r="AK797" s="541"/>
      <c r="AL797" s="541"/>
      <c r="AM797" s="541"/>
      <c r="AN797" s="1748"/>
      <c r="AO797" s="1748"/>
      <c r="AP797" s="1748"/>
      <c r="AQ797" s="1748"/>
      <c r="AR797" s="1748"/>
      <c r="AS797" s="541"/>
      <c r="AT797" s="541"/>
      <c r="AU797" s="541"/>
      <c r="AV797" s="541"/>
      <c r="AW797" s="541"/>
      <c r="AY797" s="541"/>
      <c r="AZ797" s="633"/>
      <c r="BA797" s="541"/>
      <c r="BB797" s="1190"/>
      <c r="BC797" s="541"/>
      <c r="BD797" s="1190"/>
      <c r="BE797" s="541"/>
      <c r="BF797" s="1190"/>
      <c r="BG797" s="541"/>
      <c r="BH797" s="1190"/>
      <c r="BI797" s="541"/>
      <c r="BJ797" s="1190"/>
      <c r="BK797" s="541"/>
      <c r="BL797" s="541"/>
      <c r="BM797" s="541"/>
      <c r="BP797" s="541"/>
      <c r="BQ797" s="633"/>
      <c r="BR797" s="541"/>
      <c r="BS797" s="541"/>
      <c r="BT797" s="541"/>
      <c r="BU797" s="541"/>
    </row>
    <row r="798" ht="15.75" customHeight="1">
      <c r="A798" s="1591"/>
      <c r="B798" s="1591"/>
      <c r="C798" s="2217"/>
      <c r="D798" s="1541"/>
      <c r="E798" s="906"/>
      <c r="F798" s="541"/>
      <c r="G798" s="541"/>
      <c r="H798" s="541"/>
      <c r="I798" s="541"/>
      <c r="J798" s="1748"/>
      <c r="K798" s="541"/>
      <c r="L798" s="1748"/>
      <c r="M798" s="541"/>
      <c r="N798" s="1748"/>
      <c r="O798" s="541"/>
      <c r="P798" s="1748"/>
      <c r="Q798" s="541"/>
      <c r="R798" s="1748"/>
      <c r="S798" s="541"/>
      <c r="T798" s="1748"/>
      <c r="U798" s="541"/>
      <c r="V798" s="1748"/>
      <c r="W798" s="541"/>
      <c r="X798" s="1748"/>
      <c r="Y798" s="1748"/>
      <c r="Z798" s="1748"/>
      <c r="AA798" s="541"/>
      <c r="AB798" s="1748"/>
      <c r="AC798" s="541"/>
      <c r="AD798" s="541"/>
      <c r="AE798" s="541"/>
      <c r="AF798" s="541"/>
      <c r="AG798" s="541"/>
      <c r="AH798" s="541"/>
      <c r="AI798" s="541"/>
      <c r="AJ798" s="541"/>
      <c r="AK798" s="541"/>
      <c r="AL798" s="541"/>
      <c r="AM798" s="541"/>
      <c r="AN798" s="1748"/>
      <c r="AO798" s="1748"/>
      <c r="AP798" s="1748"/>
      <c r="AQ798" s="1748"/>
      <c r="AR798" s="1748"/>
      <c r="AS798" s="541"/>
      <c r="AT798" s="541"/>
      <c r="AU798" s="541"/>
      <c r="AV798" s="541"/>
      <c r="AW798" s="541"/>
      <c r="AY798" s="541"/>
      <c r="AZ798" s="633"/>
      <c r="BA798" s="541"/>
      <c r="BB798" s="1190"/>
      <c r="BC798" s="541"/>
      <c r="BD798" s="1190"/>
      <c r="BE798" s="541"/>
      <c r="BF798" s="1190"/>
      <c r="BG798" s="541"/>
      <c r="BH798" s="1190"/>
      <c r="BI798" s="541"/>
      <c r="BJ798" s="1190"/>
      <c r="BK798" s="541"/>
      <c r="BL798" s="541"/>
      <c r="BM798" s="541"/>
      <c r="BP798" s="541"/>
      <c r="BQ798" s="633"/>
      <c r="BR798" s="541"/>
      <c r="BS798" s="541"/>
      <c r="BT798" s="541"/>
      <c r="BU798" s="541"/>
    </row>
    <row r="799" ht="15.75" customHeight="1">
      <c r="A799" s="1591"/>
      <c r="B799" s="1591"/>
      <c r="C799" s="2217"/>
      <c r="D799" s="1541"/>
      <c r="E799" s="906"/>
      <c r="F799" s="541"/>
      <c r="G799" s="541"/>
      <c r="H799" s="541"/>
      <c r="I799" s="541"/>
      <c r="J799" s="1748"/>
      <c r="K799" s="541"/>
      <c r="L799" s="1748"/>
      <c r="M799" s="541"/>
      <c r="N799" s="1748"/>
      <c r="O799" s="541"/>
      <c r="P799" s="1748"/>
      <c r="Q799" s="541"/>
      <c r="R799" s="1748"/>
      <c r="S799" s="541"/>
      <c r="T799" s="1748"/>
      <c r="U799" s="541"/>
      <c r="V799" s="1748"/>
      <c r="W799" s="541"/>
      <c r="X799" s="1748"/>
      <c r="Y799" s="1748"/>
      <c r="Z799" s="1748"/>
      <c r="AA799" s="541"/>
      <c r="AB799" s="1748"/>
      <c r="AC799" s="541"/>
      <c r="AD799" s="541"/>
      <c r="AE799" s="541"/>
      <c r="AF799" s="541"/>
      <c r="AG799" s="541"/>
      <c r="AH799" s="541"/>
      <c r="AI799" s="541"/>
      <c r="AJ799" s="541"/>
      <c r="AK799" s="541"/>
      <c r="AL799" s="541"/>
      <c r="AM799" s="541"/>
      <c r="AN799" s="1748"/>
      <c r="AO799" s="1748"/>
      <c r="AP799" s="1748"/>
      <c r="AQ799" s="1748"/>
      <c r="AR799" s="1748"/>
      <c r="AS799" s="541"/>
      <c r="AT799" s="541"/>
      <c r="AU799" s="541"/>
      <c r="AV799" s="541"/>
      <c r="AW799" s="541"/>
      <c r="AY799" s="541"/>
      <c r="AZ799" s="633"/>
      <c r="BA799" s="541"/>
      <c r="BB799" s="1190"/>
      <c r="BC799" s="541"/>
      <c r="BD799" s="1190"/>
      <c r="BE799" s="541"/>
      <c r="BF799" s="1190"/>
      <c r="BG799" s="541"/>
      <c r="BH799" s="1190"/>
      <c r="BI799" s="541"/>
      <c r="BJ799" s="1190"/>
      <c r="BK799" s="541"/>
      <c r="BL799" s="541"/>
      <c r="BM799" s="541"/>
      <c r="BP799" s="541"/>
      <c r="BQ799" s="633"/>
      <c r="BR799" s="541"/>
      <c r="BS799" s="541"/>
      <c r="BT799" s="541"/>
      <c r="BU799" s="541"/>
    </row>
    <row r="800" ht="15.75" customHeight="1">
      <c r="A800" s="1591"/>
      <c r="B800" s="1591"/>
      <c r="C800" s="2217"/>
      <c r="D800" s="1541"/>
      <c r="E800" s="906"/>
      <c r="F800" s="541"/>
      <c r="G800" s="541"/>
      <c r="H800" s="541"/>
      <c r="I800" s="541"/>
      <c r="J800" s="1748"/>
      <c r="K800" s="541"/>
      <c r="L800" s="1748"/>
      <c r="M800" s="541"/>
      <c r="N800" s="1748"/>
      <c r="O800" s="541"/>
      <c r="P800" s="1748"/>
      <c r="Q800" s="541"/>
      <c r="R800" s="1748"/>
      <c r="S800" s="541"/>
      <c r="T800" s="1748"/>
      <c r="U800" s="541"/>
      <c r="V800" s="1748"/>
      <c r="W800" s="541"/>
      <c r="X800" s="1748"/>
      <c r="Y800" s="1748"/>
      <c r="Z800" s="1748"/>
      <c r="AA800" s="541"/>
      <c r="AB800" s="1748"/>
      <c r="AC800" s="541"/>
      <c r="AD800" s="541"/>
      <c r="AE800" s="541"/>
      <c r="AF800" s="541"/>
      <c r="AG800" s="541"/>
      <c r="AH800" s="541"/>
      <c r="AI800" s="541"/>
      <c r="AJ800" s="541"/>
      <c r="AK800" s="541"/>
      <c r="AL800" s="541"/>
      <c r="AM800" s="541"/>
      <c r="AN800" s="1748"/>
      <c r="AO800" s="1748"/>
      <c r="AP800" s="1748"/>
      <c r="AQ800" s="1748"/>
      <c r="AR800" s="1748"/>
      <c r="AS800" s="541"/>
      <c r="AT800" s="541"/>
      <c r="AU800" s="541"/>
      <c r="AV800" s="541"/>
      <c r="AW800" s="541"/>
      <c r="AY800" s="541"/>
      <c r="AZ800" s="633"/>
      <c r="BA800" s="541"/>
      <c r="BB800" s="1190"/>
      <c r="BC800" s="541"/>
      <c r="BD800" s="1190"/>
      <c r="BE800" s="541"/>
      <c r="BF800" s="1190"/>
      <c r="BG800" s="541"/>
      <c r="BH800" s="1190"/>
      <c r="BI800" s="541"/>
      <c r="BJ800" s="1190"/>
      <c r="BK800" s="541"/>
      <c r="BL800" s="541"/>
      <c r="BM800" s="541"/>
      <c r="BP800" s="541"/>
      <c r="BQ800" s="633"/>
      <c r="BR800" s="541"/>
      <c r="BS800" s="541"/>
      <c r="BT800" s="541"/>
      <c r="BU800" s="541"/>
    </row>
    <row r="801" ht="15.75" customHeight="1">
      <c r="A801" s="1591"/>
      <c r="B801" s="1591"/>
      <c r="C801" s="2217"/>
      <c r="D801" s="1541"/>
      <c r="E801" s="906"/>
      <c r="F801" s="541"/>
      <c r="G801" s="541"/>
      <c r="H801" s="541"/>
      <c r="I801" s="541"/>
      <c r="J801" s="1748"/>
      <c r="K801" s="541"/>
      <c r="L801" s="1748"/>
      <c r="M801" s="541"/>
      <c r="N801" s="1748"/>
      <c r="O801" s="541"/>
      <c r="P801" s="1748"/>
      <c r="Q801" s="541"/>
      <c r="R801" s="1748"/>
      <c r="S801" s="541"/>
      <c r="T801" s="1748"/>
      <c r="U801" s="541"/>
      <c r="V801" s="1748"/>
      <c r="W801" s="541"/>
      <c r="X801" s="1748"/>
      <c r="Y801" s="1748"/>
      <c r="Z801" s="1748"/>
      <c r="AA801" s="541"/>
      <c r="AB801" s="1748"/>
      <c r="AC801" s="541"/>
      <c r="AD801" s="541"/>
      <c r="AE801" s="541"/>
      <c r="AF801" s="541"/>
      <c r="AG801" s="541"/>
      <c r="AH801" s="541"/>
      <c r="AI801" s="541"/>
      <c r="AJ801" s="541"/>
      <c r="AK801" s="541"/>
      <c r="AL801" s="541"/>
      <c r="AM801" s="541"/>
      <c r="AN801" s="1748"/>
      <c r="AO801" s="1748"/>
      <c r="AP801" s="1748"/>
      <c r="AQ801" s="1748"/>
      <c r="AR801" s="1748"/>
      <c r="AS801" s="541"/>
      <c r="AT801" s="541"/>
      <c r="AU801" s="541"/>
      <c r="AV801" s="541"/>
      <c r="AW801" s="541"/>
      <c r="AY801" s="541"/>
      <c r="AZ801" s="633"/>
      <c r="BA801" s="541"/>
      <c r="BB801" s="1190"/>
      <c r="BC801" s="541"/>
      <c r="BD801" s="1190"/>
      <c r="BE801" s="541"/>
      <c r="BF801" s="1190"/>
      <c r="BG801" s="541"/>
      <c r="BH801" s="1190"/>
      <c r="BI801" s="541"/>
      <c r="BJ801" s="1190"/>
      <c r="BK801" s="541"/>
      <c r="BL801" s="541"/>
      <c r="BM801" s="541"/>
      <c r="BP801" s="541"/>
      <c r="BQ801" s="633"/>
      <c r="BR801" s="541"/>
      <c r="BS801" s="541"/>
      <c r="BT801" s="541"/>
      <c r="BU801" s="541"/>
    </row>
    <row r="802" ht="15.75" customHeight="1">
      <c r="A802" s="1591"/>
      <c r="B802" s="1591"/>
      <c r="C802" s="2217"/>
      <c r="D802" s="1541"/>
      <c r="E802" s="906"/>
      <c r="F802" s="541"/>
      <c r="G802" s="541"/>
      <c r="H802" s="541"/>
      <c r="I802" s="541"/>
      <c r="J802" s="1748"/>
      <c r="K802" s="541"/>
      <c r="L802" s="1748"/>
      <c r="M802" s="541"/>
      <c r="N802" s="1748"/>
      <c r="O802" s="541"/>
      <c r="P802" s="1748"/>
      <c r="Q802" s="541"/>
      <c r="R802" s="1748"/>
      <c r="S802" s="541"/>
      <c r="T802" s="1748"/>
      <c r="U802" s="541"/>
      <c r="V802" s="1748"/>
      <c r="W802" s="541"/>
      <c r="X802" s="1748"/>
      <c r="Y802" s="1748"/>
      <c r="Z802" s="1748"/>
      <c r="AA802" s="541"/>
      <c r="AB802" s="1748"/>
      <c r="AC802" s="541"/>
      <c r="AD802" s="541"/>
      <c r="AE802" s="541"/>
      <c r="AF802" s="541"/>
      <c r="AG802" s="541"/>
      <c r="AH802" s="541"/>
      <c r="AI802" s="541"/>
      <c r="AJ802" s="541"/>
      <c r="AK802" s="541"/>
      <c r="AL802" s="541"/>
      <c r="AM802" s="541"/>
      <c r="AN802" s="1748"/>
      <c r="AO802" s="1748"/>
      <c r="AP802" s="1748"/>
      <c r="AQ802" s="1748"/>
      <c r="AR802" s="1748"/>
      <c r="AS802" s="541"/>
      <c r="AT802" s="541"/>
      <c r="AU802" s="541"/>
      <c r="AV802" s="541"/>
      <c r="AW802" s="541"/>
      <c r="AY802" s="541"/>
      <c r="AZ802" s="633"/>
      <c r="BA802" s="541"/>
      <c r="BB802" s="1190"/>
      <c r="BC802" s="541"/>
      <c r="BD802" s="1190"/>
      <c r="BE802" s="541"/>
      <c r="BF802" s="1190"/>
      <c r="BG802" s="541"/>
      <c r="BH802" s="1190"/>
      <c r="BI802" s="541"/>
      <c r="BJ802" s="1190"/>
      <c r="BK802" s="541"/>
      <c r="BL802" s="541"/>
      <c r="BM802" s="541"/>
      <c r="BP802" s="541"/>
      <c r="BQ802" s="633"/>
      <c r="BR802" s="541"/>
      <c r="BS802" s="541"/>
      <c r="BT802" s="541"/>
      <c r="BU802" s="541"/>
    </row>
    <row r="803" ht="15.75" customHeight="1">
      <c r="A803" s="1591"/>
      <c r="B803" s="1591"/>
      <c r="C803" s="2217"/>
      <c r="D803" s="1541"/>
      <c r="E803" s="906"/>
      <c r="F803" s="541"/>
      <c r="G803" s="541"/>
      <c r="H803" s="541"/>
      <c r="I803" s="541"/>
      <c r="J803" s="1748"/>
      <c r="K803" s="541"/>
      <c r="L803" s="1748"/>
      <c r="M803" s="541"/>
      <c r="N803" s="1748"/>
      <c r="O803" s="541"/>
      <c r="P803" s="1748"/>
      <c r="Q803" s="541"/>
      <c r="R803" s="1748"/>
      <c r="S803" s="541"/>
      <c r="T803" s="1748"/>
      <c r="U803" s="541"/>
      <c r="V803" s="1748"/>
      <c r="W803" s="541"/>
      <c r="X803" s="1748"/>
      <c r="Y803" s="1748"/>
      <c r="Z803" s="1748"/>
      <c r="AA803" s="541"/>
      <c r="AB803" s="1748"/>
      <c r="AC803" s="541"/>
      <c r="AD803" s="541"/>
      <c r="AE803" s="541"/>
      <c r="AF803" s="541"/>
      <c r="AG803" s="541"/>
      <c r="AH803" s="541"/>
      <c r="AI803" s="541"/>
      <c r="AJ803" s="541"/>
      <c r="AK803" s="541"/>
      <c r="AL803" s="541"/>
      <c r="AM803" s="541"/>
      <c r="AN803" s="1748"/>
      <c r="AO803" s="1748"/>
      <c r="AP803" s="1748"/>
      <c r="AQ803" s="1748"/>
      <c r="AR803" s="1748"/>
      <c r="AS803" s="541"/>
      <c r="AT803" s="541"/>
      <c r="AU803" s="541"/>
      <c r="AV803" s="541"/>
      <c r="AW803" s="541"/>
      <c r="AY803" s="541"/>
      <c r="AZ803" s="633"/>
      <c r="BA803" s="541"/>
      <c r="BB803" s="1190"/>
      <c r="BC803" s="541"/>
      <c r="BD803" s="1190"/>
      <c r="BE803" s="541"/>
      <c r="BF803" s="1190"/>
      <c r="BG803" s="541"/>
      <c r="BH803" s="1190"/>
      <c r="BI803" s="541"/>
      <c r="BJ803" s="1190"/>
      <c r="BK803" s="541"/>
      <c r="BL803" s="541"/>
      <c r="BM803" s="541"/>
      <c r="BP803" s="541"/>
      <c r="BQ803" s="633"/>
      <c r="BR803" s="541"/>
      <c r="BS803" s="541"/>
      <c r="BT803" s="541"/>
      <c r="BU803" s="541"/>
    </row>
    <row r="804" ht="15.75" customHeight="1">
      <c r="A804" s="1591"/>
      <c r="B804" s="1591"/>
      <c r="C804" s="2217"/>
      <c r="D804" s="1541"/>
      <c r="E804" s="906"/>
      <c r="F804" s="541"/>
      <c r="G804" s="541"/>
      <c r="H804" s="541"/>
      <c r="I804" s="541"/>
      <c r="J804" s="1748"/>
      <c r="K804" s="541"/>
      <c r="L804" s="1748"/>
      <c r="M804" s="541"/>
      <c r="N804" s="1748"/>
      <c r="O804" s="541"/>
      <c r="P804" s="1748"/>
      <c r="Q804" s="541"/>
      <c r="R804" s="1748"/>
      <c r="S804" s="541"/>
      <c r="T804" s="1748"/>
      <c r="U804" s="541"/>
      <c r="V804" s="1748"/>
      <c r="W804" s="541"/>
      <c r="X804" s="1748"/>
      <c r="Y804" s="1748"/>
      <c r="Z804" s="1748"/>
      <c r="AA804" s="541"/>
      <c r="AB804" s="1748"/>
      <c r="AC804" s="541"/>
      <c r="AD804" s="541"/>
      <c r="AE804" s="541"/>
      <c r="AF804" s="541"/>
      <c r="AG804" s="541"/>
      <c r="AH804" s="541"/>
      <c r="AI804" s="541"/>
      <c r="AJ804" s="541"/>
      <c r="AK804" s="541"/>
      <c r="AL804" s="541"/>
      <c r="AM804" s="541"/>
      <c r="AN804" s="1748"/>
      <c r="AO804" s="1748"/>
      <c r="AP804" s="1748"/>
      <c r="AQ804" s="1748"/>
      <c r="AR804" s="1748"/>
      <c r="AS804" s="541"/>
      <c r="AT804" s="541"/>
      <c r="AU804" s="541"/>
      <c r="AV804" s="541"/>
      <c r="AW804" s="541"/>
      <c r="AY804" s="541"/>
      <c r="AZ804" s="633"/>
      <c r="BA804" s="541"/>
      <c r="BB804" s="1190"/>
      <c r="BC804" s="541"/>
      <c r="BD804" s="1190"/>
      <c r="BE804" s="541"/>
      <c r="BF804" s="1190"/>
      <c r="BG804" s="541"/>
      <c r="BH804" s="1190"/>
      <c r="BI804" s="541"/>
      <c r="BJ804" s="1190"/>
      <c r="BK804" s="541"/>
      <c r="BL804" s="541"/>
      <c r="BM804" s="541"/>
      <c r="BP804" s="541"/>
      <c r="BQ804" s="633"/>
      <c r="BR804" s="541"/>
      <c r="BS804" s="541"/>
      <c r="BT804" s="541"/>
      <c r="BU804" s="541"/>
    </row>
    <row r="805" ht="15.75" customHeight="1">
      <c r="A805" s="1591"/>
      <c r="B805" s="1591"/>
      <c r="C805" s="2217"/>
      <c r="D805" s="1541"/>
      <c r="E805" s="906"/>
      <c r="F805" s="541"/>
      <c r="G805" s="541"/>
      <c r="H805" s="541"/>
      <c r="I805" s="541"/>
      <c r="J805" s="1748"/>
      <c r="K805" s="541"/>
      <c r="L805" s="1748"/>
      <c r="M805" s="541"/>
      <c r="N805" s="1748"/>
      <c r="O805" s="541"/>
      <c r="P805" s="1748"/>
      <c r="Q805" s="541"/>
      <c r="R805" s="1748"/>
      <c r="S805" s="541"/>
      <c r="T805" s="1748"/>
      <c r="U805" s="541"/>
      <c r="V805" s="1748"/>
      <c r="W805" s="541"/>
      <c r="X805" s="1748"/>
      <c r="Y805" s="1748"/>
      <c r="Z805" s="1748"/>
      <c r="AA805" s="541"/>
      <c r="AB805" s="1748"/>
      <c r="AC805" s="541"/>
      <c r="AD805" s="541"/>
      <c r="AE805" s="541"/>
      <c r="AF805" s="541"/>
      <c r="AG805" s="541"/>
      <c r="AH805" s="541"/>
      <c r="AI805" s="541"/>
      <c r="AJ805" s="541"/>
      <c r="AK805" s="541"/>
      <c r="AL805" s="541"/>
      <c r="AM805" s="541"/>
      <c r="AN805" s="1748"/>
      <c r="AO805" s="1748"/>
      <c r="AP805" s="1748"/>
      <c r="AQ805" s="1748"/>
      <c r="AR805" s="1748"/>
      <c r="AS805" s="541"/>
      <c r="AT805" s="541"/>
      <c r="AU805" s="541"/>
      <c r="AV805" s="541"/>
      <c r="AW805" s="541"/>
      <c r="AY805" s="541"/>
      <c r="AZ805" s="633"/>
      <c r="BA805" s="541"/>
      <c r="BB805" s="1190"/>
      <c r="BC805" s="541"/>
      <c r="BD805" s="1190"/>
      <c r="BE805" s="541"/>
      <c r="BF805" s="1190"/>
      <c r="BG805" s="541"/>
      <c r="BH805" s="1190"/>
      <c r="BI805" s="541"/>
      <c r="BJ805" s="1190"/>
      <c r="BK805" s="541"/>
      <c r="BL805" s="541"/>
      <c r="BM805" s="541"/>
      <c r="BP805" s="541"/>
      <c r="BQ805" s="633"/>
      <c r="BR805" s="541"/>
      <c r="BS805" s="541"/>
      <c r="BT805" s="541"/>
      <c r="BU805" s="541"/>
    </row>
    <row r="806" ht="15.75" customHeight="1">
      <c r="A806" s="1591"/>
      <c r="B806" s="1591"/>
      <c r="C806" s="2217"/>
      <c r="D806" s="1541"/>
      <c r="E806" s="906"/>
      <c r="F806" s="541"/>
      <c r="G806" s="541"/>
      <c r="H806" s="541"/>
      <c r="I806" s="541"/>
      <c r="J806" s="1748"/>
      <c r="K806" s="541"/>
      <c r="L806" s="1748"/>
      <c r="M806" s="541"/>
      <c r="N806" s="1748"/>
      <c r="O806" s="541"/>
      <c r="P806" s="1748"/>
      <c r="Q806" s="541"/>
      <c r="R806" s="1748"/>
      <c r="S806" s="541"/>
      <c r="T806" s="1748"/>
      <c r="U806" s="541"/>
      <c r="V806" s="1748"/>
      <c r="W806" s="541"/>
      <c r="X806" s="1748"/>
      <c r="Y806" s="1748"/>
      <c r="Z806" s="1748"/>
      <c r="AA806" s="541"/>
      <c r="AB806" s="1748"/>
      <c r="AC806" s="541"/>
      <c r="AD806" s="541"/>
      <c r="AE806" s="541"/>
      <c r="AF806" s="541"/>
      <c r="AG806" s="541"/>
      <c r="AH806" s="541"/>
      <c r="AI806" s="541"/>
      <c r="AJ806" s="541"/>
      <c r="AK806" s="541"/>
      <c r="AL806" s="541"/>
      <c r="AM806" s="541"/>
      <c r="AN806" s="1748"/>
      <c r="AO806" s="1748"/>
      <c r="AP806" s="1748"/>
      <c r="AQ806" s="1748"/>
      <c r="AR806" s="1748"/>
      <c r="AS806" s="541"/>
      <c r="AT806" s="541"/>
      <c r="AU806" s="541"/>
      <c r="AV806" s="541"/>
      <c r="AW806" s="541"/>
      <c r="AY806" s="541"/>
      <c r="AZ806" s="633"/>
      <c r="BA806" s="541"/>
      <c r="BB806" s="1190"/>
      <c r="BC806" s="541"/>
      <c r="BD806" s="1190"/>
      <c r="BE806" s="541"/>
      <c r="BF806" s="1190"/>
      <c r="BG806" s="541"/>
      <c r="BH806" s="1190"/>
      <c r="BI806" s="541"/>
      <c r="BJ806" s="1190"/>
      <c r="BK806" s="541"/>
      <c r="BL806" s="541"/>
      <c r="BM806" s="541"/>
      <c r="BP806" s="541"/>
      <c r="BQ806" s="633"/>
      <c r="BR806" s="541"/>
      <c r="BS806" s="541"/>
      <c r="BT806" s="541"/>
      <c r="BU806" s="541"/>
    </row>
    <row r="807" ht="15.75" customHeight="1">
      <c r="A807" s="1591"/>
      <c r="B807" s="1591"/>
      <c r="C807" s="2217"/>
      <c r="D807" s="1541"/>
      <c r="E807" s="906"/>
      <c r="F807" s="541"/>
      <c r="G807" s="541"/>
      <c r="H807" s="541"/>
      <c r="I807" s="541"/>
      <c r="J807" s="1748"/>
      <c r="K807" s="541"/>
      <c r="L807" s="1748"/>
      <c r="M807" s="541"/>
      <c r="N807" s="1748"/>
      <c r="O807" s="541"/>
      <c r="P807" s="1748"/>
      <c r="Q807" s="541"/>
      <c r="R807" s="1748"/>
      <c r="S807" s="541"/>
      <c r="T807" s="1748"/>
      <c r="U807" s="541"/>
      <c r="V807" s="1748"/>
      <c r="W807" s="541"/>
      <c r="X807" s="1748"/>
      <c r="Y807" s="1748"/>
      <c r="Z807" s="1748"/>
      <c r="AA807" s="541"/>
      <c r="AB807" s="1748"/>
      <c r="AC807" s="541"/>
      <c r="AD807" s="541"/>
      <c r="AE807" s="541"/>
      <c r="AF807" s="541"/>
      <c r="AG807" s="541"/>
      <c r="AH807" s="541"/>
      <c r="AI807" s="541"/>
      <c r="AJ807" s="541"/>
      <c r="AK807" s="541"/>
      <c r="AL807" s="541"/>
      <c r="AM807" s="541"/>
      <c r="AN807" s="1748"/>
      <c r="AO807" s="1748"/>
      <c r="AP807" s="1748"/>
      <c r="AQ807" s="1748"/>
      <c r="AR807" s="1748"/>
      <c r="AS807" s="541"/>
      <c r="AT807" s="541"/>
      <c r="AU807" s="541"/>
      <c r="AV807" s="541"/>
      <c r="AW807" s="541"/>
      <c r="AY807" s="541"/>
      <c r="AZ807" s="633"/>
      <c r="BA807" s="541"/>
      <c r="BB807" s="1190"/>
      <c r="BC807" s="541"/>
      <c r="BD807" s="1190"/>
      <c r="BE807" s="541"/>
      <c r="BF807" s="1190"/>
      <c r="BG807" s="541"/>
      <c r="BH807" s="1190"/>
      <c r="BI807" s="541"/>
      <c r="BJ807" s="1190"/>
      <c r="BK807" s="541"/>
      <c r="BL807" s="541"/>
      <c r="BM807" s="541"/>
      <c r="BP807" s="541"/>
      <c r="BQ807" s="633"/>
      <c r="BR807" s="541"/>
      <c r="BS807" s="541"/>
      <c r="BT807" s="541"/>
      <c r="BU807" s="541"/>
    </row>
    <row r="808" ht="15.75" customHeight="1">
      <c r="A808" s="1591"/>
      <c r="B808" s="1591"/>
      <c r="C808" s="2217"/>
      <c r="D808" s="1541"/>
      <c r="E808" s="906"/>
      <c r="F808" s="541"/>
      <c r="G808" s="541"/>
      <c r="H808" s="541"/>
      <c r="I808" s="541"/>
      <c r="J808" s="1748"/>
      <c r="K808" s="541"/>
      <c r="L808" s="1748"/>
      <c r="M808" s="541"/>
      <c r="N808" s="1748"/>
      <c r="O808" s="541"/>
      <c r="P808" s="1748"/>
      <c r="Q808" s="541"/>
      <c r="R808" s="1748"/>
      <c r="S808" s="541"/>
      <c r="T808" s="1748"/>
      <c r="U808" s="541"/>
      <c r="V808" s="1748"/>
      <c r="W808" s="541"/>
      <c r="X808" s="1748"/>
      <c r="Y808" s="1748"/>
      <c r="Z808" s="1748"/>
      <c r="AA808" s="541"/>
      <c r="AB808" s="1748"/>
      <c r="AC808" s="541"/>
      <c r="AD808" s="541"/>
      <c r="AE808" s="541"/>
      <c r="AF808" s="541"/>
      <c r="AG808" s="541"/>
      <c r="AH808" s="541"/>
      <c r="AI808" s="541"/>
      <c r="AJ808" s="541"/>
      <c r="AK808" s="541"/>
      <c r="AL808" s="541"/>
      <c r="AM808" s="541"/>
      <c r="AN808" s="1748"/>
      <c r="AO808" s="1748"/>
      <c r="AP808" s="1748"/>
      <c r="AQ808" s="1748"/>
      <c r="AR808" s="1748"/>
      <c r="AS808" s="541"/>
      <c r="AT808" s="541"/>
      <c r="AU808" s="541"/>
      <c r="AV808" s="541"/>
      <c r="AW808" s="541"/>
      <c r="AY808" s="541"/>
      <c r="AZ808" s="633"/>
      <c r="BA808" s="541"/>
      <c r="BB808" s="1190"/>
      <c r="BC808" s="541"/>
      <c r="BD808" s="1190"/>
      <c r="BE808" s="541"/>
      <c r="BF808" s="1190"/>
      <c r="BG808" s="541"/>
      <c r="BH808" s="1190"/>
      <c r="BI808" s="541"/>
      <c r="BJ808" s="1190"/>
      <c r="BK808" s="541"/>
      <c r="BL808" s="541"/>
      <c r="BM808" s="541"/>
      <c r="BP808" s="541"/>
      <c r="BQ808" s="633"/>
      <c r="BR808" s="541"/>
      <c r="BS808" s="541"/>
      <c r="BT808" s="541"/>
      <c r="BU808" s="541"/>
    </row>
    <row r="809" ht="15.75" customHeight="1">
      <c r="A809" s="1591"/>
      <c r="B809" s="1591"/>
      <c r="C809" s="2217"/>
      <c r="D809" s="1541"/>
      <c r="E809" s="906"/>
      <c r="F809" s="541"/>
      <c r="G809" s="541"/>
      <c r="H809" s="541"/>
      <c r="I809" s="541"/>
      <c r="J809" s="1748"/>
      <c r="K809" s="541"/>
      <c r="L809" s="1748"/>
      <c r="M809" s="541"/>
      <c r="N809" s="1748"/>
      <c r="O809" s="541"/>
      <c r="P809" s="1748"/>
      <c r="Q809" s="541"/>
      <c r="R809" s="1748"/>
      <c r="S809" s="541"/>
      <c r="T809" s="1748"/>
      <c r="U809" s="541"/>
      <c r="V809" s="1748"/>
      <c r="W809" s="541"/>
      <c r="X809" s="1748"/>
      <c r="Y809" s="1748"/>
      <c r="Z809" s="1748"/>
      <c r="AA809" s="541"/>
      <c r="AB809" s="1748"/>
      <c r="AC809" s="541"/>
      <c r="AD809" s="541"/>
      <c r="AE809" s="541"/>
      <c r="AF809" s="541"/>
      <c r="AG809" s="541"/>
      <c r="AH809" s="541"/>
      <c r="AI809" s="541"/>
      <c r="AJ809" s="541"/>
      <c r="AK809" s="541"/>
      <c r="AL809" s="541"/>
      <c r="AM809" s="541"/>
      <c r="AN809" s="1748"/>
      <c r="AO809" s="1748"/>
      <c r="AP809" s="1748"/>
      <c r="AQ809" s="1748"/>
      <c r="AR809" s="1748"/>
      <c r="AS809" s="541"/>
      <c r="AT809" s="541"/>
      <c r="AU809" s="541"/>
      <c r="AV809" s="541"/>
      <c r="AW809" s="541"/>
      <c r="AY809" s="541"/>
      <c r="AZ809" s="633"/>
      <c r="BA809" s="541"/>
      <c r="BB809" s="1190"/>
      <c r="BC809" s="541"/>
      <c r="BD809" s="1190"/>
      <c r="BE809" s="541"/>
      <c r="BF809" s="1190"/>
      <c r="BG809" s="541"/>
      <c r="BH809" s="1190"/>
      <c r="BI809" s="541"/>
      <c r="BJ809" s="1190"/>
      <c r="BK809" s="541"/>
      <c r="BL809" s="541"/>
      <c r="BM809" s="541"/>
      <c r="BP809" s="541"/>
      <c r="BQ809" s="633"/>
      <c r="BR809" s="541"/>
      <c r="BS809" s="541"/>
      <c r="BT809" s="541"/>
      <c r="BU809" s="541"/>
    </row>
    <row r="810" ht="15.75" customHeight="1">
      <c r="A810" s="1591"/>
      <c r="B810" s="1591"/>
      <c r="C810" s="2217"/>
      <c r="D810" s="1541"/>
      <c r="E810" s="906"/>
      <c r="F810" s="541"/>
      <c r="G810" s="541"/>
      <c r="H810" s="541"/>
      <c r="I810" s="541"/>
      <c r="J810" s="1748"/>
      <c r="K810" s="541"/>
      <c r="L810" s="1748"/>
      <c r="M810" s="541"/>
      <c r="N810" s="1748"/>
      <c r="O810" s="541"/>
      <c r="P810" s="1748"/>
      <c r="Q810" s="541"/>
      <c r="R810" s="1748"/>
      <c r="S810" s="541"/>
      <c r="T810" s="1748"/>
      <c r="U810" s="541"/>
      <c r="V810" s="1748"/>
      <c r="W810" s="541"/>
      <c r="X810" s="1748"/>
      <c r="Y810" s="1748"/>
      <c r="Z810" s="1748"/>
      <c r="AA810" s="541"/>
      <c r="AB810" s="1748"/>
      <c r="AC810" s="541"/>
      <c r="AD810" s="541"/>
      <c r="AE810" s="541"/>
      <c r="AF810" s="541"/>
      <c r="AG810" s="541"/>
      <c r="AH810" s="541"/>
      <c r="AI810" s="541"/>
      <c r="AJ810" s="541"/>
      <c r="AK810" s="541"/>
      <c r="AL810" s="541"/>
      <c r="AM810" s="541"/>
      <c r="AN810" s="1748"/>
      <c r="AO810" s="1748"/>
      <c r="AP810" s="1748"/>
      <c r="AQ810" s="1748"/>
      <c r="AR810" s="1748"/>
      <c r="AS810" s="541"/>
      <c r="AT810" s="541"/>
      <c r="AU810" s="541"/>
      <c r="AV810" s="541"/>
      <c r="AW810" s="541"/>
      <c r="AY810" s="541"/>
      <c r="AZ810" s="633"/>
      <c r="BA810" s="541"/>
      <c r="BB810" s="1190"/>
      <c r="BC810" s="541"/>
      <c r="BD810" s="1190"/>
      <c r="BE810" s="541"/>
      <c r="BF810" s="1190"/>
      <c r="BG810" s="541"/>
      <c r="BH810" s="1190"/>
      <c r="BI810" s="541"/>
      <c r="BJ810" s="1190"/>
      <c r="BK810" s="541"/>
      <c r="BL810" s="541"/>
      <c r="BM810" s="541"/>
      <c r="BP810" s="541"/>
      <c r="BQ810" s="633"/>
      <c r="BR810" s="541"/>
      <c r="BS810" s="541"/>
      <c r="BT810" s="541"/>
      <c r="BU810" s="541"/>
    </row>
    <row r="811" ht="15.75" customHeight="1">
      <c r="A811" s="1591"/>
      <c r="B811" s="1591"/>
      <c r="C811" s="2217"/>
      <c r="D811" s="1541"/>
      <c r="E811" s="906"/>
      <c r="F811" s="541"/>
      <c r="G811" s="541"/>
      <c r="H811" s="541"/>
      <c r="I811" s="541"/>
      <c r="J811" s="1748"/>
      <c r="K811" s="541"/>
      <c r="L811" s="1748"/>
      <c r="M811" s="541"/>
      <c r="N811" s="1748"/>
      <c r="O811" s="541"/>
      <c r="P811" s="1748"/>
      <c r="Q811" s="541"/>
      <c r="R811" s="1748"/>
      <c r="S811" s="541"/>
      <c r="T811" s="1748"/>
      <c r="U811" s="541"/>
      <c r="V811" s="1748"/>
      <c r="W811" s="541"/>
      <c r="X811" s="1748"/>
      <c r="Y811" s="1748"/>
      <c r="Z811" s="1748"/>
      <c r="AA811" s="541"/>
      <c r="AB811" s="1748"/>
      <c r="AC811" s="541"/>
      <c r="AD811" s="541"/>
      <c r="AE811" s="541"/>
      <c r="AF811" s="541"/>
      <c r="AG811" s="541"/>
      <c r="AH811" s="541"/>
      <c r="AI811" s="541"/>
      <c r="AJ811" s="541"/>
      <c r="AK811" s="541"/>
      <c r="AL811" s="541"/>
      <c r="AM811" s="541"/>
      <c r="AN811" s="1748"/>
      <c r="AO811" s="1748"/>
      <c r="AP811" s="1748"/>
      <c r="AQ811" s="1748"/>
      <c r="AR811" s="1748"/>
      <c r="AS811" s="541"/>
      <c r="AT811" s="541"/>
      <c r="AU811" s="541"/>
      <c r="AV811" s="541"/>
      <c r="AW811" s="541"/>
      <c r="AY811" s="541"/>
      <c r="AZ811" s="633"/>
      <c r="BA811" s="541"/>
      <c r="BB811" s="1190"/>
      <c r="BC811" s="541"/>
      <c r="BD811" s="1190"/>
      <c r="BE811" s="541"/>
      <c r="BF811" s="1190"/>
      <c r="BG811" s="541"/>
      <c r="BH811" s="1190"/>
      <c r="BI811" s="541"/>
      <c r="BJ811" s="1190"/>
      <c r="BK811" s="541"/>
      <c r="BL811" s="541"/>
      <c r="BM811" s="541"/>
      <c r="BP811" s="541"/>
      <c r="BQ811" s="633"/>
      <c r="BR811" s="541"/>
      <c r="BS811" s="541"/>
      <c r="BT811" s="541"/>
      <c r="BU811" s="541"/>
    </row>
    <row r="812" ht="15.75" customHeight="1">
      <c r="A812" s="1591"/>
      <c r="B812" s="1591"/>
      <c r="C812" s="2217"/>
      <c r="D812" s="1541"/>
      <c r="E812" s="906"/>
      <c r="F812" s="541"/>
      <c r="G812" s="541"/>
      <c r="H812" s="541"/>
      <c r="I812" s="541"/>
      <c r="J812" s="1748"/>
      <c r="K812" s="541"/>
      <c r="L812" s="1748"/>
      <c r="M812" s="541"/>
      <c r="N812" s="1748"/>
      <c r="O812" s="541"/>
      <c r="P812" s="1748"/>
      <c r="Q812" s="541"/>
      <c r="R812" s="1748"/>
      <c r="S812" s="541"/>
      <c r="T812" s="1748"/>
      <c r="U812" s="541"/>
      <c r="V812" s="1748"/>
      <c r="W812" s="541"/>
      <c r="X812" s="1748"/>
      <c r="Y812" s="1748"/>
      <c r="Z812" s="1748"/>
      <c r="AA812" s="541"/>
      <c r="AB812" s="1748"/>
      <c r="AC812" s="541"/>
      <c r="AD812" s="541"/>
      <c r="AE812" s="541"/>
      <c r="AF812" s="541"/>
      <c r="AG812" s="541"/>
      <c r="AH812" s="541"/>
      <c r="AI812" s="541"/>
      <c r="AJ812" s="541"/>
      <c r="AK812" s="541"/>
      <c r="AL812" s="541"/>
      <c r="AM812" s="541"/>
      <c r="AN812" s="1748"/>
      <c r="AO812" s="1748"/>
      <c r="AP812" s="1748"/>
      <c r="AQ812" s="1748"/>
      <c r="AR812" s="1748"/>
      <c r="AS812" s="541"/>
      <c r="AT812" s="541"/>
      <c r="AU812" s="541"/>
      <c r="AV812" s="541"/>
      <c r="AW812" s="541"/>
      <c r="AY812" s="541"/>
      <c r="AZ812" s="633"/>
      <c r="BA812" s="541"/>
      <c r="BB812" s="1190"/>
      <c r="BC812" s="541"/>
      <c r="BD812" s="1190"/>
      <c r="BE812" s="541"/>
      <c r="BF812" s="1190"/>
      <c r="BG812" s="541"/>
      <c r="BH812" s="1190"/>
      <c r="BI812" s="541"/>
      <c r="BJ812" s="1190"/>
      <c r="BK812" s="541"/>
      <c r="BL812" s="541"/>
      <c r="BM812" s="541"/>
      <c r="BP812" s="541"/>
      <c r="BQ812" s="633"/>
      <c r="BR812" s="541"/>
      <c r="BS812" s="541"/>
      <c r="BT812" s="541"/>
      <c r="BU812" s="541"/>
    </row>
    <row r="813" ht="15.75" customHeight="1">
      <c r="A813" s="1591"/>
      <c r="B813" s="1591"/>
      <c r="C813" s="2217"/>
      <c r="D813" s="1541"/>
      <c r="E813" s="906"/>
      <c r="F813" s="541"/>
      <c r="G813" s="541"/>
      <c r="H813" s="541"/>
      <c r="I813" s="541"/>
      <c r="J813" s="1748"/>
      <c r="K813" s="541"/>
      <c r="L813" s="1748"/>
      <c r="M813" s="541"/>
      <c r="N813" s="1748"/>
      <c r="O813" s="541"/>
      <c r="P813" s="1748"/>
      <c r="Q813" s="541"/>
      <c r="R813" s="1748"/>
      <c r="S813" s="541"/>
      <c r="T813" s="1748"/>
      <c r="U813" s="541"/>
      <c r="V813" s="1748"/>
      <c r="W813" s="541"/>
      <c r="X813" s="1748"/>
      <c r="Y813" s="1748"/>
      <c r="Z813" s="1748"/>
      <c r="AA813" s="541"/>
      <c r="AB813" s="1748"/>
      <c r="AC813" s="541"/>
      <c r="AD813" s="541"/>
      <c r="AE813" s="541"/>
      <c r="AF813" s="541"/>
      <c r="AG813" s="541"/>
      <c r="AH813" s="541"/>
      <c r="AI813" s="541"/>
      <c r="AJ813" s="541"/>
      <c r="AK813" s="541"/>
      <c r="AL813" s="541"/>
      <c r="AM813" s="541"/>
      <c r="AN813" s="1748"/>
      <c r="AO813" s="1748"/>
      <c r="AP813" s="1748"/>
      <c r="AQ813" s="1748"/>
      <c r="AR813" s="1748"/>
      <c r="AS813" s="541"/>
      <c r="AT813" s="541"/>
      <c r="AU813" s="541"/>
      <c r="AV813" s="541"/>
      <c r="AW813" s="541"/>
      <c r="AY813" s="541"/>
      <c r="AZ813" s="633"/>
      <c r="BA813" s="541"/>
      <c r="BB813" s="1190"/>
      <c r="BC813" s="541"/>
      <c r="BD813" s="1190"/>
      <c r="BE813" s="541"/>
      <c r="BF813" s="1190"/>
      <c r="BG813" s="541"/>
      <c r="BH813" s="1190"/>
      <c r="BI813" s="541"/>
      <c r="BJ813" s="1190"/>
      <c r="BK813" s="541"/>
      <c r="BL813" s="541"/>
      <c r="BM813" s="541"/>
      <c r="BP813" s="541"/>
      <c r="BQ813" s="633"/>
      <c r="BR813" s="541"/>
      <c r="BS813" s="541"/>
      <c r="BT813" s="541"/>
      <c r="BU813" s="541"/>
    </row>
    <row r="814" ht="15.75" customHeight="1">
      <c r="A814" s="1591"/>
      <c r="B814" s="1591"/>
      <c r="C814" s="2217"/>
      <c r="D814" s="1541"/>
      <c r="E814" s="906"/>
      <c r="F814" s="541"/>
      <c r="G814" s="541"/>
      <c r="H814" s="541"/>
      <c r="I814" s="541"/>
      <c r="J814" s="1748"/>
      <c r="K814" s="541"/>
      <c r="L814" s="1748"/>
      <c r="M814" s="541"/>
      <c r="N814" s="1748"/>
      <c r="O814" s="541"/>
      <c r="P814" s="1748"/>
      <c r="Q814" s="541"/>
      <c r="R814" s="1748"/>
      <c r="S814" s="541"/>
      <c r="T814" s="1748"/>
      <c r="U814" s="541"/>
      <c r="V814" s="1748"/>
      <c r="W814" s="541"/>
      <c r="X814" s="1748"/>
      <c r="Y814" s="1748"/>
      <c r="Z814" s="1748"/>
      <c r="AA814" s="541"/>
      <c r="AB814" s="1748"/>
      <c r="AC814" s="541"/>
      <c r="AD814" s="541"/>
      <c r="AE814" s="541"/>
      <c r="AF814" s="541"/>
      <c r="AG814" s="541"/>
      <c r="AH814" s="541"/>
      <c r="AI814" s="541"/>
      <c r="AJ814" s="541"/>
      <c r="AK814" s="541"/>
      <c r="AL814" s="541"/>
      <c r="AM814" s="541"/>
      <c r="AN814" s="1748"/>
      <c r="AO814" s="1748"/>
      <c r="AP814" s="1748"/>
      <c r="AQ814" s="1748"/>
      <c r="AR814" s="1748"/>
      <c r="AS814" s="541"/>
      <c r="AT814" s="541"/>
      <c r="AU814" s="541"/>
      <c r="AV814" s="541"/>
      <c r="AW814" s="541"/>
      <c r="AY814" s="541"/>
      <c r="AZ814" s="633"/>
      <c r="BA814" s="541"/>
      <c r="BB814" s="1190"/>
      <c r="BC814" s="541"/>
      <c r="BD814" s="1190"/>
      <c r="BE814" s="541"/>
      <c r="BF814" s="1190"/>
      <c r="BG814" s="541"/>
      <c r="BH814" s="1190"/>
      <c r="BI814" s="541"/>
      <c r="BJ814" s="1190"/>
      <c r="BK814" s="541"/>
      <c r="BL814" s="541"/>
      <c r="BM814" s="541"/>
      <c r="BP814" s="541"/>
      <c r="BQ814" s="633"/>
      <c r="BR814" s="541"/>
      <c r="BS814" s="541"/>
      <c r="BT814" s="541"/>
      <c r="BU814" s="541"/>
    </row>
    <row r="815" ht="15.75" customHeight="1">
      <c r="A815" s="1591"/>
      <c r="B815" s="1591"/>
      <c r="C815" s="2217"/>
      <c r="D815" s="1541"/>
      <c r="E815" s="906"/>
      <c r="F815" s="541"/>
      <c r="G815" s="541"/>
      <c r="H815" s="541"/>
      <c r="I815" s="541"/>
      <c r="J815" s="1748"/>
      <c r="K815" s="541"/>
      <c r="L815" s="1748"/>
      <c r="M815" s="541"/>
      <c r="N815" s="1748"/>
      <c r="O815" s="541"/>
      <c r="P815" s="1748"/>
      <c r="Q815" s="541"/>
      <c r="R815" s="1748"/>
      <c r="S815" s="541"/>
      <c r="T815" s="1748"/>
      <c r="U815" s="541"/>
      <c r="V815" s="1748"/>
      <c r="W815" s="541"/>
      <c r="X815" s="1748"/>
      <c r="Y815" s="1748"/>
      <c r="Z815" s="1748"/>
      <c r="AA815" s="541"/>
      <c r="AB815" s="1748"/>
      <c r="AC815" s="541"/>
      <c r="AD815" s="541"/>
      <c r="AE815" s="541"/>
      <c r="AF815" s="541"/>
      <c r="AG815" s="541"/>
      <c r="AH815" s="541"/>
      <c r="AI815" s="541"/>
      <c r="AJ815" s="541"/>
      <c r="AK815" s="541"/>
      <c r="AL815" s="541"/>
      <c r="AM815" s="541"/>
      <c r="AN815" s="1748"/>
      <c r="AO815" s="1748"/>
      <c r="AP815" s="1748"/>
      <c r="AQ815" s="1748"/>
      <c r="AR815" s="1748"/>
      <c r="AS815" s="541"/>
      <c r="AT815" s="541"/>
      <c r="AU815" s="541"/>
      <c r="AV815" s="541"/>
      <c r="AW815" s="541"/>
      <c r="AY815" s="541"/>
      <c r="AZ815" s="633"/>
      <c r="BA815" s="541"/>
      <c r="BB815" s="1190"/>
      <c r="BC815" s="541"/>
      <c r="BD815" s="1190"/>
      <c r="BE815" s="541"/>
      <c r="BF815" s="1190"/>
      <c r="BG815" s="541"/>
      <c r="BH815" s="1190"/>
      <c r="BI815" s="541"/>
      <c r="BJ815" s="1190"/>
      <c r="BK815" s="541"/>
      <c r="BL815" s="541"/>
      <c r="BM815" s="541"/>
      <c r="BP815" s="541"/>
      <c r="BQ815" s="633"/>
      <c r="BR815" s="541"/>
      <c r="BS815" s="541"/>
      <c r="BT815" s="541"/>
      <c r="BU815" s="541"/>
    </row>
    <row r="816" ht="15.75" customHeight="1">
      <c r="A816" s="1591"/>
      <c r="B816" s="1591"/>
      <c r="C816" s="2217"/>
      <c r="D816" s="1541"/>
      <c r="E816" s="906"/>
      <c r="F816" s="541"/>
      <c r="G816" s="541"/>
      <c r="H816" s="541"/>
      <c r="I816" s="541"/>
      <c r="J816" s="1748"/>
      <c r="K816" s="541"/>
      <c r="L816" s="1748"/>
      <c r="M816" s="541"/>
      <c r="N816" s="1748"/>
      <c r="O816" s="541"/>
      <c r="P816" s="1748"/>
      <c r="Q816" s="541"/>
      <c r="R816" s="1748"/>
      <c r="S816" s="541"/>
      <c r="T816" s="1748"/>
      <c r="U816" s="541"/>
      <c r="V816" s="1748"/>
      <c r="W816" s="541"/>
      <c r="X816" s="1748"/>
      <c r="Y816" s="1748"/>
      <c r="Z816" s="1748"/>
      <c r="AA816" s="541"/>
      <c r="AB816" s="1748"/>
      <c r="AC816" s="541"/>
      <c r="AD816" s="541"/>
      <c r="AE816" s="541"/>
      <c r="AF816" s="541"/>
      <c r="AG816" s="541"/>
      <c r="AH816" s="541"/>
      <c r="AI816" s="541"/>
      <c r="AJ816" s="541"/>
      <c r="AK816" s="541"/>
      <c r="AL816" s="541"/>
      <c r="AM816" s="541"/>
      <c r="AN816" s="1748"/>
      <c r="AO816" s="1748"/>
      <c r="AP816" s="1748"/>
      <c r="AQ816" s="1748"/>
      <c r="AR816" s="1748"/>
      <c r="AS816" s="541"/>
      <c r="AT816" s="541"/>
      <c r="AU816" s="541"/>
      <c r="AV816" s="541"/>
      <c r="AW816" s="541"/>
      <c r="AY816" s="541"/>
      <c r="AZ816" s="633"/>
      <c r="BA816" s="541"/>
      <c r="BB816" s="1190"/>
      <c r="BC816" s="541"/>
      <c r="BD816" s="1190"/>
      <c r="BE816" s="541"/>
      <c r="BF816" s="1190"/>
      <c r="BG816" s="541"/>
      <c r="BH816" s="1190"/>
      <c r="BI816" s="541"/>
      <c r="BJ816" s="1190"/>
      <c r="BK816" s="541"/>
      <c r="BL816" s="541"/>
      <c r="BM816" s="541"/>
      <c r="BP816" s="541"/>
      <c r="BQ816" s="633"/>
      <c r="BR816" s="541"/>
      <c r="BS816" s="541"/>
      <c r="BT816" s="541"/>
      <c r="BU816" s="541"/>
    </row>
    <row r="817" ht="15.75" customHeight="1">
      <c r="A817" s="1591"/>
      <c r="B817" s="1591"/>
      <c r="C817" s="2217"/>
      <c r="D817" s="1541"/>
      <c r="E817" s="906"/>
      <c r="F817" s="541"/>
      <c r="G817" s="541"/>
      <c r="H817" s="541"/>
      <c r="I817" s="541"/>
      <c r="J817" s="1748"/>
      <c r="K817" s="541"/>
      <c r="L817" s="1748"/>
      <c r="M817" s="541"/>
      <c r="N817" s="1748"/>
      <c r="O817" s="541"/>
      <c r="P817" s="1748"/>
      <c r="Q817" s="541"/>
      <c r="R817" s="1748"/>
      <c r="S817" s="541"/>
      <c r="T817" s="1748"/>
      <c r="U817" s="541"/>
      <c r="V817" s="1748"/>
      <c r="W817" s="541"/>
      <c r="X817" s="1748"/>
      <c r="Y817" s="1748"/>
      <c r="Z817" s="1748"/>
      <c r="AA817" s="541"/>
      <c r="AB817" s="1748"/>
      <c r="AC817" s="541"/>
      <c r="AD817" s="541"/>
      <c r="AE817" s="541"/>
      <c r="AF817" s="541"/>
      <c r="AG817" s="541"/>
      <c r="AH817" s="541"/>
      <c r="AI817" s="541"/>
      <c r="AJ817" s="541"/>
      <c r="AK817" s="541"/>
      <c r="AL817" s="541"/>
      <c r="AM817" s="541"/>
      <c r="AN817" s="1748"/>
      <c r="AO817" s="1748"/>
      <c r="AP817" s="1748"/>
      <c r="AQ817" s="1748"/>
      <c r="AR817" s="1748"/>
      <c r="AS817" s="541"/>
      <c r="AT817" s="541"/>
      <c r="AU817" s="541"/>
      <c r="AV817" s="541"/>
      <c r="AW817" s="541"/>
      <c r="AY817" s="541"/>
      <c r="AZ817" s="633"/>
      <c r="BA817" s="541"/>
      <c r="BB817" s="1190"/>
      <c r="BC817" s="541"/>
      <c r="BD817" s="1190"/>
      <c r="BE817" s="541"/>
      <c r="BF817" s="1190"/>
      <c r="BG817" s="541"/>
      <c r="BH817" s="1190"/>
      <c r="BI817" s="541"/>
      <c r="BJ817" s="1190"/>
      <c r="BK817" s="541"/>
      <c r="BL817" s="541"/>
      <c r="BM817" s="541"/>
      <c r="BP817" s="541"/>
      <c r="BQ817" s="633"/>
      <c r="BR817" s="541"/>
      <c r="BS817" s="541"/>
      <c r="BT817" s="541"/>
      <c r="BU817" s="541"/>
    </row>
    <row r="818" ht="15.75" customHeight="1">
      <c r="A818" s="1591"/>
      <c r="B818" s="1591"/>
      <c r="C818" s="2217"/>
      <c r="D818" s="1541"/>
      <c r="E818" s="906"/>
      <c r="F818" s="541"/>
      <c r="G818" s="541"/>
      <c r="H818" s="541"/>
      <c r="I818" s="541"/>
      <c r="J818" s="1748"/>
      <c r="K818" s="541"/>
      <c r="L818" s="1748"/>
      <c r="M818" s="541"/>
      <c r="N818" s="1748"/>
      <c r="O818" s="541"/>
      <c r="P818" s="1748"/>
      <c r="Q818" s="541"/>
      <c r="R818" s="1748"/>
      <c r="S818" s="541"/>
      <c r="T818" s="1748"/>
      <c r="U818" s="541"/>
      <c r="V818" s="1748"/>
      <c r="W818" s="541"/>
      <c r="X818" s="1748"/>
      <c r="Y818" s="1748"/>
      <c r="Z818" s="1748"/>
      <c r="AA818" s="541"/>
      <c r="AB818" s="1748"/>
      <c r="AC818" s="541"/>
      <c r="AD818" s="541"/>
      <c r="AE818" s="541"/>
      <c r="AF818" s="541"/>
      <c r="AG818" s="541"/>
      <c r="AH818" s="541"/>
      <c r="AI818" s="541"/>
      <c r="AJ818" s="541"/>
      <c r="AK818" s="541"/>
      <c r="AL818" s="541"/>
      <c r="AM818" s="541"/>
      <c r="AN818" s="1748"/>
      <c r="AO818" s="1748"/>
      <c r="AP818" s="1748"/>
      <c r="AQ818" s="1748"/>
      <c r="AR818" s="1748"/>
      <c r="AS818" s="541"/>
      <c r="AT818" s="541"/>
      <c r="AU818" s="541"/>
      <c r="AV818" s="541"/>
      <c r="AW818" s="541"/>
      <c r="AY818" s="541"/>
      <c r="AZ818" s="633"/>
      <c r="BA818" s="541"/>
      <c r="BB818" s="1190"/>
      <c r="BC818" s="541"/>
      <c r="BD818" s="1190"/>
      <c r="BE818" s="541"/>
      <c r="BF818" s="1190"/>
      <c r="BG818" s="541"/>
      <c r="BH818" s="1190"/>
      <c r="BI818" s="541"/>
      <c r="BJ818" s="1190"/>
      <c r="BK818" s="541"/>
      <c r="BL818" s="541"/>
      <c r="BM818" s="541"/>
      <c r="BP818" s="541"/>
      <c r="BQ818" s="633"/>
      <c r="BR818" s="541"/>
      <c r="BS818" s="541"/>
      <c r="BT818" s="541"/>
      <c r="BU818" s="541"/>
    </row>
    <row r="819" ht="15.75" customHeight="1">
      <c r="A819" s="1591"/>
      <c r="B819" s="1591"/>
      <c r="C819" s="2217"/>
      <c r="D819" s="1541"/>
      <c r="E819" s="906"/>
      <c r="F819" s="541"/>
      <c r="G819" s="541"/>
      <c r="H819" s="541"/>
      <c r="I819" s="541"/>
      <c r="J819" s="1748"/>
      <c r="K819" s="541"/>
      <c r="L819" s="1748"/>
      <c r="M819" s="541"/>
      <c r="N819" s="1748"/>
      <c r="O819" s="541"/>
      <c r="P819" s="1748"/>
      <c r="Q819" s="541"/>
      <c r="R819" s="1748"/>
      <c r="S819" s="541"/>
      <c r="T819" s="1748"/>
      <c r="U819" s="541"/>
      <c r="V819" s="1748"/>
      <c r="W819" s="541"/>
      <c r="X819" s="1748"/>
      <c r="Y819" s="1748"/>
      <c r="Z819" s="1748"/>
      <c r="AA819" s="541"/>
      <c r="AB819" s="1748"/>
      <c r="AC819" s="541"/>
      <c r="AD819" s="541"/>
      <c r="AE819" s="541"/>
      <c r="AF819" s="541"/>
      <c r="AG819" s="541"/>
      <c r="AH819" s="541"/>
      <c r="AI819" s="541"/>
      <c r="AJ819" s="541"/>
      <c r="AK819" s="541"/>
      <c r="AL819" s="541"/>
      <c r="AM819" s="541"/>
      <c r="AN819" s="1748"/>
      <c r="AO819" s="1748"/>
      <c r="AP819" s="1748"/>
      <c r="AQ819" s="1748"/>
      <c r="AR819" s="1748"/>
      <c r="AS819" s="541"/>
      <c r="AT819" s="541"/>
      <c r="AU819" s="541"/>
      <c r="AV819" s="541"/>
      <c r="AW819" s="541"/>
      <c r="AY819" s="541"/>
      <c r="AZ819" s="633"/>
      <c r="BA819" s="541"/>
      <c r="BB819" s="1190"/>
      <c r="BC819" s="541"/>
      <c r="BD819" s="1190"/>
      <c r="BE819" s="541"/>
      <c r="BF819" s="1190"/>
      <c r="BG819" s="541"/>
      <c r="BH819" s="1190"/>
      <c r="BI819" s="541"/>
      <c r="BJ819" s="1190"/>
      <c r="BK819" s="541"/>
      <c r="BL819" s="541"/>
      <c r="BM819" s="541"/>
      <c r="BP819" s="541"/>
      <c r="BQ819" s="633"/>
      <c r="BR819" s="541"/>
      <c r="BS819" s="541"/>
      <c r="BT819" s="541"/>
      <c r="BU819" s="541"/>
    </row>
    <row r="820" ht="15.75" customHeight="1">
      <c r="A820" s="1591"/>
      <c r="B820" s="1591"/>
      <c r="C820" s="2217"/>
      <c r="D820" s="1541"/>
      <c r="E820" s="906"/>
      <c r="F820" s="541"/>
      <c r="G820" s="541"/>
      <c r="H820" s="541"/>
      <c r="I820" s="541"/>
      <c r="J820" s="1748"/>
      <c r="K820" s="541"/>
      <c r="L820" s="1748"/>
      <c r="M820" s="541"/>
      <c r="N820" s="1748"/>
      <c r="O820" s="541"/>
      <c r="P820" s="1748"/>
      <c r="Q820" s="541"/>
      <c r="R820" s="1748"/>
      <c r="S820" s="541"/>
      <c r="T820" s="1748"/>
      <c r="U820" s="541"/>
      <c r="V820" s="1748"/>
      <c r="W820" s="541"/>
      <c r="X820" s="1748"/>
      <c r="Y820" s="1748"/>
      <c r="Z820" s="1748"/>
      <c r="AA820" s="541"/>
      <c r="AB820" s="1748"/>
      <c r="AC820" s="541"/>
      <c r="AD820" s="541"/>
      <c r="AE820" s="541"/>
      <c r="AF820" s="541"/>
      <c r="AG820" s="541"/>
      <c r="AH820" s="541"/>
      <c r="AI820" s="541"/>
      <c r="AJ820" s="541"/>
      <c r="AK820" s="541"/>
      <c r="AL820" s="541"/>
      <c r="AM820" s="541"/>
      <c r="AN820" s="1748"/>
      <c r="AO820" s="1748"/>
      <c r="AP820" s="1748"/>
      <c r="AQ820" s="1748"/>
      <c r="AR820" s="1748"/>
      <c r="AS820" s="541"/>
      <c r="AT820" s="541"/>
      <c r="AU820" s="541"/>
      <c r="AV820" s="541"/>
      <c r="AW820" s="541"/>
      <c r="AY820" s="541"/>
      <c r="AZ820" s="633"/>
      <c r="BA820" s="541"/>
      <c r="BB820" s="1190"/>
      <c r="BC820" s="541"/>
      <c r="BD820" s="1190"/>
      <c r="BE820" s="541"/>
      <c r="BF820" s="1190"/>
      <c r="BG820" s="541"/>
      <c r="BH820" s="1190"/>
      <c r="BI820" s="541"/>
      <c r="BJ820" s="1190"/>
      <c r="BK820" s="541"/>
      <c r="BL820" s="541"/>
      <c r="BM820" s="541"/>
      <c r="BP820" s="541"/>
      <c r="BQ820" s="633"/>
      <c r="BR820" s="541"/>
      <c r="BS820" s="541"/>
      <c r="BT820" s="541"/>
      <c r="BU820" s="541"/>
    </row>
    <row r="821" ht="15.75" customHeight="1">
      <c r="A821" s="1591"/>
      <c r="B821" s="1591"/>
      <c r="C821" s="2217"/>
      <c r="D821" s="1541"/>
      <c r="E821" s="906"/>
      <c r="F821" s="541"/>
      <c r="G821" s="541"/>
      <c r="H821" s="541"/>
      <c r="I821" s="541"/>
      <c r="J821" s="1748"/>
      <c r="K821" s="541"/>
      <c r="L821" s="1748"/>
      <c r="M821" s="541"/>
      <c r="N821" s="1748"/>
      <c r="O821" s="541"/>
      <c r="P821" s="1748"/>
      <c r="Q821" s="541"/>
      <c r="R821" s="1748"/>
      <c r="S821" s="541"/>
      <c r="T821" s="1748"/>
      <c r="U821" s="541"/>
      <c r="V821" s="1748"/>
      <c r="W821" s="541"/>
      <c r="X821" s="1748"/>
      <c r="Y821" s="1748"/>
      <c r="Z821" s="1748"/>
      <c r="AA821" s="541"/>
      <c r="AB821" s="1748"/>
      <c r="AC821" s="541"/>
      <c r="AD821" s="541"/>
      <c r="AE821" s="541"/>
      <c r="AF821" s="541"/>
      <c r="AG821" s="541"/>
      <c r="AH821" s="541"/>
      <c r="AI821" s="541"/>
      <c r="AJ821" s="541"/>
      <c r="AK821" s="541"/>
      <c r="AL821" s="541"/>
      <c r="AM821" s="541"/>
      <c r="AN821" s="1748"/>
      <c r="AO821" s="1748"/>
      <c r="AP821" s="1748"/>
      <c r="AQ821" s="1748"/>
      <c r="AR821" s="1748"/>
      <c r="AS821" s="541"/>
      <c r="AT821" s="541"/>
      <c r="AU821" s="541"/>
      <c r="AV821" s="541"/>
      <c r="AW821" s="541"/>
      <c r="AY821" s="541"/>
      <c r="AZ821" s="633"/>
      <c r="BA821" s="541"/>
      <c r="BB821" s="1190"/>
      <c r="BC821" s="541"/>
      <c r="BD821" s="1190"/>
      <c r="BE821" s="541"/>
      <c r="BF821" s="1190"/>
      <c r="BG821" s="541"/>
      <c r="BH821" s="1190"/>
      <c r="BI821" s="541"/>
      <c r="BJ821" s="1190"/>
      <c r="BK821" s="541"/>
      <c r="BL821" s="541"/>
      <c r="BM821" s="541"/>
      <c r="BP821" s="541"/>
      <c r="BQ821" s="633"/>
      <c r="BR821" s="541"/>
      <c r="BS821" s="541"/>
      <c r="BT821" s="541"/>
      <c r="BU821" s="541"/>
    </row>
    <row r="822" ht="15.75" customHeight="1">
      <c r="A822" s="1591"/>
      <c r="B822" s="1591"/>
      <c r="C822" s="2217"/>
      <c r="D822" s="1541"/>
      <c r="E822" s="906"/>
      <c r="F822" s="541"/>
      <c r="G822" s="541"/>
      <c r="H822" s="541"/>
      <c r="I822" s="541"/>
      <c r="J822" s="1748"/>
      <c r="K822" s="541"/>
      <c r="L822" s="1748"/>
      <c r="M822" s="541"/>
      <c r="N822" s="1748"/>
      <c r="O822" s="541"/>
      <c r="P822" s="1748"/>
      <c r="Q822" s="541"/>
      <c r="R822" s="1748"/>
      <c r="S822" s="541"/>
      <c r="T822" s="1748"/>
      <c r="U822" s="541"/>
      <c r="V822" s="1748"/>
      <c r="W822" s="541"/>
      <c r="X822" s="1748"/>
      <c r="Y822" s="1748"/>
      <c r="Z822" s="1748"/>
      <c r="AA822" s="541"/>
      <c r="AB822" s="1748"/>
      <c r="AC822" s="541"/>
      <c r="AD822" s="541"/>
      <c r="AE822" s="541"/>
      <c r="AF822" s="541"/>
      <c r="AG822" s="541"/>
      <c r="AH822" s="541"/>
      <c r="AI822" s="541"/>
      <c r="AJ822" s="541"/>
      <c r="AK822" s="541"/>
      <c r="AL822" s="541"/>
      <c r="AM822" s="541"/>
      <c r="AN822" s="1748"/>
      <c r="AO822" s="1748"/>
      <c r="AP822" s="1748"/>
      <c r="AQ822" s="1748"/>
      <c r="AR822" s="1748"/>
      <c r="AS822" s="541"/>
      <c r="AT822" s="541"/>
      <c r="AU822" s="541"/>
      <c r="AV822" s="541"/>
      <c r="AW822" s="541"/>
      <c r="AY822" s="541"/>
      <c r="AZ822" s="633"/>
      <c r="BA822" s="541"/>
      <c r="BB822" s="1190"/>
      <c r="BC822" s="541"/>
      <c r="BD822" s="1190"/>
      <c r="BE822" s="541"/>
      <c r="BF822" s="1190"/>
      <c r="BG822" s="541"/>
      <c r="BH822" s="1190"/>
      <c r="BI822" s="541"/>
      <c r="BJ822" s="1190"/>
      <c r="BK822" s="541"/>
      <c r="BL822" s="541"/>
      <c r="BM822" s="541"/>
      <c r="BP822" s="541"/>
      <c r="BQ822" s="633"/>
      <c r="BR822" s="541"/>
      <c r="BS822" s="541"/>
      <c r="BT822" s="541"/>
      <c r="BU822" s="541"/>
    </row>
    <row r="823" ht="15.75" customHeight="1">
      <c r="A823" s="1591"/>
      <c r="B823" s="1591"/>
      <c r="C823" s="2217"/>
      <c r="D823" s="1541"/>
      <c r="E823" s="906"/>
      <c r="F823" s="541"/>
      <c r="G823" s="541"/>
      <c r="H823" s="541"/>
      <c r="I823" s="541"/>
      <c r="J823" s="1748"/>
      <c r="K823" s="541"/>
      <c r="L823" s="1748"/>
      <c r="M823" s="541"/>
      <c r="N823" s="1748"/>
      <c r="O823" s="541"/>
      <c r="P823" s="1748"/>
      <c r="Q823" s="541"/>
      <c r="R823" s="1748"/>
      <c r="S823" s="541"/>
      <c r="T823" s="1748"/>
      <c r="U823" s="541"/>
      <c r="V823" s="1748"/>
      <c r="W823" s="541"/>
      <c r="X823" s="1748"/>
      <c r="Y823" s="1748"/>
      <c r="Z823" s="1748"/>
      <c r="AA823" s="541"/>
      <c r="AB823" s="1748"/>
      <c r="AC823" s="541"/>
      <c r="AD823" s="541"/>
      <c r="AE823" s="541"/>
      <c r="AF823" s="541"/>
      <c r="AG823" s="541"/>
      <c r="AH823" s="541"/>
      <c r="AI823" s="541"/>
      <c r="AJ823" s="541"/>
      <c r="AK823" s="541"/>
      <c r="AL823" s="541"/>
      <c r="AM823" s="541"/>
      <c r="AN823" s="1748"/>
      <c r="AO823" s="1748"/>
      <c r="AP823" s="1748"/>
      <c r="AQ823" s="1748"/>
      <c r="AR823" s="1748"/>
      <c r="AS823" s="541"/>
      <c r="AT823" s="541"/>
      <c r="AU823" s="541"/>
      <c r="AV823" s="541"/>
      <c r="AW823" s="541"/>
      <c r="AY823" s="541"/>
      <c r="AZ823" s="633"/>
      <c r="BA823" s="541"/>
      <c r="BB823" s="1190"/>
      <c r="BC823" s="541"/>
      <c r="BD823" s="1190"/>
      <c r="BE823" s="541"/>
      <c r="BF823" s="1190"/>
      <c r="BG823" s="541"/>
      <c r="BH823" s="1190"/>
      <c r="BI823" s="541"/>
      <c r="BJ823" s="1190"/>
      <c r="BK823" s="541"/>
      <c r="BL823" s="541"/>
      <c r="BM823" s="541"/>
      <c r="BP823" s="541"/>
      <c r="BQ823" s="633"/>
      <c r="BR823" s="541"/>
      <c r="BS823" s="541"/>
      <c r="BT823" s="541"/>
      <c r="BU823" s="541"/>
    </row>
    <row r="824" ht="15.75" customHeight="1">
      <c r="A824" s="1591"/>
      <c r="B824" s="1591"/>
      <c r="C824" s="2217"/>
      <c r="D824" s="1541"/>
      <c r="E824" s="906"/>
      <c r="F824" s="541"/>
      <c r="G824" s="541"/>
      <c r="H824" s="541"/>
      <c r="I824" s="541"/>
      <c r="J824" s="1748"/>
      <c r="K824" s="541"/>
      <c r="L824" s="1748"/>
      <c r="M824" s="541"/>
      <c r="N824" s="1748"/>
      <c r="O824" s="541"/>
      <c r="P824" s="1748"/>
      <c r="Q824" s="541"/>
      <c r="R824" s="1748"/>
      <c r="S824" s="541"/>
      <c r="T824" s="1748"/>
      <c r="U824" s="541"/>
      <c r="V824" s="1748"/>
      <c r="W824" s="541"/>
      <c r="X824" s="1748"/>
      <c r="Y824" s="1748"/>
      <c r="Z824" s="1748"/>
      <c r="AA824" s="541"/>
      <c r="AB824" s="1748"/>
      <c r="AC824" s="541"/>
      <c r="AD824" s="541"/>
      <c r="AE824" s="541"/>
      <c r="AF824" s="541"/>
      <c r="AG824" s="541"/>
      <c r="AH824" s="541"/>
      <c r="AI824" s="541"/>
      <c r="AJ824" s="541"/>
      <c r="AK824" s="541"/>
      <c r="AL824" s="541"/>
      <c r="AM824" s="541"/>
      <c r="AN824" s="1748"/>
      <c r="AO824" s="1748"/>
      <c r="AP824" s="1748"/>
      <c r="AQ824" s="1748"/>
      <c r="AR824" s="1748"/>
      <c r="AS824" s="541"/>
      <c r="AT824" s="541"/>
      <c r="AU824" s="541"/>
      <c r="AV824" s="541"/>
      <c r="AW824" s="541"/>
      <c r="AY824" s="541"/>
      <c r="AZ824" s="633"/>
      <c r="BA824" s="541"/>
      <c r="BB824" s="1190"/>
      <c r="BC824" s="541"/>
      <c r="BD824" s="1190"/>
      <c r="BE824" s="541"/>
      <c r="BF824" s="1190"/>
      <c r="BG824" s="541"/>
      <c r="BH824" s="1190"/>
      <c r="BI824" s="541"/>
      <c r="BJ824" s="1190"/>
      <c r="BK824" s="541"/>
      <c r="BL824" s="541"/>
      <c r="BM824" s="541"/>
      <c r="BP824" s="541"/>
      <c r="BQ824" s="633"/>
      <c r="BR824" s="541"/>
      <c r="BS824" s="541"/>
      <c r="BT824" s="541"/>
      <c r="BU824" s="541"/>
    </row>
    <row r="825" ht="15.75" customHeight="1">
      <c r="A825" s="1591"/>
      <c r="B825" s="1591"/>
      <c r="C825" s="2217"/>
      <c r="D825" s="1541"/>
      <c r="E825" s="906"/>
      <c r="F825" s="541"/>
      <c r="G825" s="541"/>
      <c r="H825" s="541"/>
      <c r="I825" s="541"/>
      <c r="J825" s="1748"/>
      <c r="K825" s="541"/>
      <c r="L825" s="1748"/>
      <c r="M825" s="541"/>
      <c r="N825" s="1748"/>
      <c r="O825" s="541"/>
      <c r="P825" s="1748"/>
      <c r="Q825" s="541"/>
      <c r="R825" s="1748"/>
      <c r="S825" s="541"/>
      <c r="T825" s="1748"/>
      <c r="U825" s="541"/>
      <c r="V825" s="1748"/>
      <c r="W825" s="541"/>
      <c r="X825" s="1748"/>
      <c r="Y825" s="1748"/>
      <c r="Z825" s="1748"/>
      <c r="AA825" s="541"/>
      <c r="AB825" s="1748"/>
      <c r="AC825" s="541"/>
      <c r="AD825" s="541"/>
      <c r="AE825" s="541"/>
      <c r="AF825" s="541"/>
      <c r="AG825" s="541"/>
      <c r="AH825" s="541"/>
      <c r="AI825" s="541"/>
      <c r="AJ825" s="541"/>
      <c r="AK825" s="541"/>
      <c r="AL825" s="541"/>
      <c r="AM825" s="541"/>
      <c r="AN825" s="1748"/>
      <c r="AO825" s="1748"/>
      <c r="AP825" s="1748"/>
      <c r="AQ825" s="1748"/>
      <c r="AR825" s="1748"/>
      <c r="AS825" s="541"/>
      <c r="AT825" s="541"/>
      <c r="AU825" s="541"/>
      <c r="AV825" s="541"/>
      <c r="AW825" s="541"/>
      <c r="AY825" s="541"/>
      <c r="AZ825" s="633"/>
      <c r="BA825" s="541"/>
      <c r="BB825" s="1190"/>
      <c r="BC825" s="541"/>
      <c r="BD825" s="1190"/>
      <c r="BE825" s="541"/>
      <c r="BF825" s="1190"/>
      <c r="BG825" s="541"/>
      <c r="BH825" s="1190"/>
      <c r="BI825" s="541"/>
      <c r="BJ825" s="1190"/>
      <c r="BK825" s="541"/>
      <c r="BL825" s="541"/>
      <c r="BM825" s="541"/>
      <c r="BP825" s="541"/>
      <c r="BQ825" s="633"/>
      <c r="BR825" s="541"/>
      <c r="BS825" s="541"/>
      <c r="BT825" s="541"/>
      <c r="BU825" s="541"/>
    </row>
    <row r="826" ht="15.75" customHeight="1">
      <c r="A826" s="1591"/>
      <c r="B826" s="1591"/>
      <c r="C826" s="2217"/>
      <c r="D826" s="1541"/>
      <c r="E826" s="906"/>
      <c r="F826" s="541"/>
      <c r="G826" s="541"/>
      <c r="H826" s="541"/>
      <c r="I826" s="541"/>
      <c r="J826" s="1748"/>
      <c r="K826" s="541"/>
      <c r="L826" s="1748"/>
      <c r="M826" s="541"/>
      <c r="N826" s="1748"/>
      <c r="O826" s="541"/>
      <c r="P826" s="1748"/>
      <c r="Q826" s="541"/>
      <c r="R826" s="1748"/>
      <c r="S826" s="541"/>
      <c r="T826" s="1748"/>
      <c r="U826" s="541"/>
      <c r="V826" s="1748"/>
      <c r="W826" s="541"/>
      <c r="X826" s="1748"/>
      <c r="Y826" s="1748"/>
      <c r="Z826" s="1748"/>
      <c r="AA826" s="541"/>
      <c r="AB826" s="1748"/>
      <c r="AC826" s="541"/>
      <c r="AD826" s="541"/>
      <c r="AE826" s="541"/>
      <c r="AF826" s="541"/>
      <c r="AG826" s="541"/>
      <c r="AH826" s="541"/>
      <c r="AI826" s="541"/>
      <c r="AJ826" s="541"/>
      <c r="AK826" s="541"/>
      <c r="AL826" s="541"/>
      <c r="AM826" s="541"/>
      <c r="AN826" s="1748"/>
      <c r="AO826" s="1748"/>
      <c r="AP826" s="1748"/>
      <c r="AQ826" s="1748"/>
      <c r="AR826" s="1748"/>
      <c r="AS826" s="541"/>
      <c r="AT826" s="541"/>
      <c r="AU826" s="541"/>
      <c r="AV826" s="541"/>
      <c r="AW826" s="541"/>
      <c r="AY826" s="541"/>
      <c r="AZ826" s="633"/>
      <c r="BA826" s="541"/>
      <c r="BB826" s="1190"/>
      <c r="BC826" s="541"/>
      <c r="BD826" s="1190"/>
      <c r="BE826" s="541"/>
      <c r="BF826" s="1190"/>
      <c r="BG826" s="541"/>
      <c r="BH826" s="1190"/>
      <c r="BI826" s="541"/>
      <c r="BJ826" s="1190"/>
      <c r="BK826" s="541"/>
      <c r="BL826" s="541"/>
      <c r="BM826" s="541"/>
      <c r="BP826" s="541"/>
      <c r="BQ826" s="633"/>
      <c r="BR826" s="541"/>
      <c r="BS826" s="541"/>
      <c r="BT826" s="541"/>
      <c r="BU826" s="541"/>
    </row>
    <row r="827" ht="15.75" customHeight="1">
      <c r="A827" s="1591"/>
      <c r="B827" s="1591"/>
      <c r="C827" s="2217"/>
      <c r="D827" s="1541"/>
      <c r="E827" s="906"/>
      <c r="F827" s="541"/>
      <c r="G827" s="541"/>
      <c r="H827" s="541"/>
      <c r="I827" s="541"/>
      <c r="J827" s="1748"/>
      <c r="K827" s="541"/>
      <c r="L827" s="1748"/>
      <c r="M827" s="541"/>
      <c r="N827" s="1748"/>
      <c r="O827" s="541"/>
      <c r="P827" s="1748"/>
      <c r="Q827" s="541"/>
      <c r="R827" s="1748"/>
      <c r="S827" s="541"/>
      <c r="T827" s="1748"/>
      <c r="U827" s="541"/>
      <c r="V827" s="1748"/>
      <c r="W827" s="541"/>
      <c r="X827" s="1748"/>
      <c r="Y827" s="1748"/>
      <c r="Z827" s="1748"/>
      <c r="AA827" s="541"/>
      <c r="AB827" s="1748"/>
      <c r="AC827" s="541"/>
      <c r="AD827" s="541"/>
      <c r="AE827" s="541"/>
      <c r="AF827" s="541"/>
      <c r="AG827" s="541"/>
      <c r="AH827" s="541"/>
      <c r="AI827" s="541"/>
      <c r="AJ827" s="541"/>
      <c r="AK827" s="541"/>
      <c r="AL827" s="541"/>
      <c r="AM827" s="541"/>
      <c r="AN827" s="1748"/>
      <c r="AO827" s="1748"/>
      <c r="AP827" s="1748"/>
      <c r="AQ827" s="1748"/>
      <c r="AR827" s="1748"/>
      <c r="AS827" s="541"/>
      <c r="AT827" s="541"/>
      <c r="AU827" s="541"/>
      <c r="AV827" s="541"/>
      <c r="AW827" s="541"/>
      <c r="AY827" s="541"/>
      <c r="AZ827" s="633"/>
      <c r="BA827" s="541"/>
      <c r="BB827" s="1190"/>
      <c r="BC827" s="541"/>
      <c r="BD827" s="1190"/>
      <c r="BE827" s="541"/>
      <c r="BF827" s="1190"/>
      <c r="BG827" s="541"/>
      <c r="BH827" s="1190"/>
      <c r="BI827" s="541"/>
      <c r="BJ827" s="1190"/>
      <c r="BK827" s="541"/>
      <c r="BL827" s="541"/>
      <c r="BM827" s="541"/>
      <c r="BP827" s="541"/>
      <c r="BQ827" s="633"/>
      <c r="BR827" s="541"/>
      <c r="BS827" s="541"/>
      <c r="BT827" s="541"/>
      <c r="BU827" s="541"/>
    </row>
    <row r="828" ht="15.75" customHeight="1">
      <c r="A828" s="1591"/>
      <c r="B828" s="1591"/>
      <c r="C828" s="2217"/>
      <c r="D828" s="1541"/>
      <c r="E828" s="906"/>
      <c r="F828" s="541"/>
      <c r="G828" s="541"/>
      <c r="H828" s="541"/>
      <c r="I828" s="541"/>
      <c r="J828" s="1748"/>
      <c r="K828" s="541"/>
      <c r="L828" s="1748"/>
      <c r="M828" s="541"/>
      <c r="N828" s="1748"/>
      <c r="O828" s="541"/>
      <c r="P828" s="1748"/>
      <c r="Q828" s="541"/>
      <c r="R828" s="1748"/>
      <c r="S828" s="541"/>
      <c r="T828" s="1748"/>
      <c r="U828" s="541"/>
      <c r="V828" s="1748"/>
      <c r="W828" s="541"/>
      <c r="X828" s="1748"/>
      <c r="Y828" s="1748"/>
      <c r="Z828" s="1748"/>
      <c r="AA828" s="541"/>
      <c r="AB828" s="1748"/>
      <c r="AC828" s="541"/>
      <c r="AD828" s="541"/>
      <c r="AE828" s="541"/>
      <c r="AF828" s="541"/>
      <c r="AG828" s="541"/>
      <c r="AH828" s="541"/>
      <c r="AI828" s="541"/>
      <c r="AJ828" s="541"/>
      <c r="AK828" s="541"/>
      <c r="AL828" s="541"/>
      <c r="AM828" s="541"/>
      <c r="AN828" s="1748"/>
      <c r="AO828" s="1748"/>
      <c r="AP828" s="1748"/>
      <c r="AQ828" s="1748"/>
      <c r="AR828" s="1748"/>
      <c r="AS828" s="541"/>
      <c r="AT828" s="541"/>
      <c r="AU828" s="541"/>
      <c r="AV828" s="541"/>
      <c r="AW828" s="541"/>
      <c r="AY828" s="541"/>
      <c r="AZ828" s="633"/>
      <c r="BA828" s="541"/>
      <c r="BB828" s="1190"/>
      <c r="BC828" s="541"/>
      <c r="BD828" s="1190"/>
      <c r="BE828" s="541"/>
      <c r="BF828" s="1190"/>
      <c r="BG828" s="541"/>
      <c r="BH828" s="1190"/>
      <c r="BI828" s="541"/>
      <c r="BJ828" s="1190"/>
      <c r="BK828" s="541"/>
      <c r="BL828" s="541"/>
      <c r="BM828" s="541"/>
      <c r="BP828" s="541"/>
      <c r="BQ828" s="633"/>
      <c r="BR828" s="541"/>
      <c r="BS828" s="541"/>
      <c r="BT828" s="541"/>
      <c r="BU828" s="541"/>
    </row>
    <row r="829" ht="15.75" customHeight="1">
      <c r="A829" s="1591"/>
      <c r="B829" s="1591"/>
      <c r="C829" s="2217"/>
      <c r="D829" s="1541"/>
      <c r="E829" s="906"/>
      <c r="F829" s="541"/>
      <c r="G829" s="541"/>
      <c r="H829" s="541"/>
      <c r="I829" s="541"/>
      <c r="J829" s="1748"/>
      <c r="K829" s="541"/>
      <c r="L829" s="1748"/>
      <c r="M829" s="541"/>
      <c r="N829" s="1748"/>
      <c r="O829" s="541"/>
      <c r="P829" s="1748"/>
      <c r="Q829" s="541"/>
      <c r="R829" s="1748"/>
      <c r="S829" s="541"/>
      <c r="T829" s="1748"/>
      <c r="U829" s="541"/>
      <c r="V829" s="1748"/>
      <c r="W829" s="541"/>
      <c r="X829" s="1748"/>
      <c r="Y829" s="1748"/>
      <c r="Z829" s="1748"/>
      <c r="AA829" s="541"/>
      <c r="AB829" s="1748"/>
      <c r="AC829" s="541"/>
      <c r="AD829" s="541"/>
      <c r="AE829" s="541"/>
      <c r="AF829" s="541"/>
      <c r="AG829" s="541"/>
      <c r="AH829" s="541"/>
      <c r="AI829" s="541"/>
      <c r="AJ829" s="541"/>
      <c r="AK829" s="541"/>
      <c r="AL829" s="541"/>
      <c r="AM829" s="541"/>
      <c r="AN829" s="1748"/>
      <c r="AO829" s="1748"/>
      <c r="AP829" s="1748"/>
      <c r="AQ829" s="1748"/>
      <c r="AR829" s="1748"/>
      <c r="AS829" s="541"/>
      <c r="AT829" s="541"/>
      <c r="AU829" s="541"/>
      <c r="AV829" s="541"/>
      <c r="AW829" s="541"/>
      <c r="AY829" s="541"/>
      <c r="AZ829" s="633"/>
      <c r="BA829" s="541"/>
      <c r="BB829" s="1190"/>
      <c r="BC829" s="541"/>
      <c r="BD829" s="1190"/>
      <c r="BE829" s="541"/>
      <c r="BF829" s="1190"/>
      <c r="BG829" s="541"/>
      <c r="BH829" s="1190"/>
      <c r="BI829" s="541"/>
      <c r="BJ829" s="1190"/>
      <c r="BK829" s="541"/>
      <c r="BL829" s="541"/>
      <c r="BM829" s="541"/>
      <c r="BP829" s="541"/>
      <c r="BQ829" s="633"/>
      <c r="BR829" s="541"/>
      <c r="BS829" s="541"/>
      <c r="BT829" s="541"/>
      <c r="BU829" s="541"/>
    </row>
    <row r="830" ht="15.75" customHeight="1">
      <c r="A830" s="1591"/>
      <c r="B830" s="1591"/>
      <c r="C830" s="2217"/>
      <c r="D830" s="1541"/>
      <c r="E830" s="906"/>
      <c r="F830" s="541"/>
      <c r="G830" s="541"/>
      <c r="H830" s="541"/>
      <c r="I830" s="541"/>
      <c r="J830" s="1748"/>
      <c r="K830" s="541"/>
      <c r="L830" s="1748"/>
      <c r="M830" s="541"/>
      <c r="N830" s="1748"/>
      <c r="O830" s="541"/>
      <c r="P830" s="1748"/>
      <c r="Q830" s="541"/>
      <c r="R830" s="1748"/>
      <c r="S830" s="541"/>
      <c r="T830" s="1748"/>
      <c r="U830" s="541"/>
      <c r="V830" s="1748"/>
      <c r="W830" s="541"/>
      <c r="X830" s="1748"/>
      <c r="Y830" s="1748"/>
      <c r="Z830" s="1748"/>
      <c r="AA830" s="541"/>
      <c r="AB830" s="1748"/>
      <c r="AC830" s="541"/>
      <c r="AD830" s="541"/>
      <c r="AE830" s="541"/>
      <c r="AF830" s="541"/>
      <c r="AG830" s="541"/>
      <c r="AH830" s="541"/>
      <c r="AI830" s="541"/>
      <c r="AJ830" s="541"/>
      <c r="AK830" s="541"/>
      <c r="AL830" s="541"/>
      <c r="AM830" s="541"/>
      <c r="AN830" s="1748"/>
      <c r="AO830" s="1748"/>
      <c r="AP830" s="1748"/>
      <c r="AQ830" s="1748"/>
      <c r="AR830" s="1748"/>
      <c r="AS830" s="541"/>
      <c r="AT830" s="541"/>
      <c r="AU830" s="541"/>
      <c r="AV830" s="541"/>
      <c r="AW830" s="541"/>
      <c r="AY830" s="541"/>
      <c r="AZ830" s="633"/>
      <c r="BA830" s="541"/>
      <c r="BB830" s="1190"/>
      <c r="BC830" s="541"/>
      <c r="BD830" s="1190"/>
      <c r="BE830" s="541"/>
      <c r="BF830" s="1190"/>
      <c r="BG830" s="541"/>
      <c r="BH830" s="1190"/>
      <c r="BI830" s="541"/>
      <c r="BJ830" s="1190"/>
      <c r="BK830" s="541"/>
      <c r="BL830" s="541"/>
      <c r="BM830" s="541"/>
      <c r="BP830" s="541"/>
      <c r="BQ830" s="633"/>
      <c r="BR830" s="541"/>
      <c r="BS830" s="541"/>
      <c r="BT830" s="541"/>
      <c r="BU830" s="541"/>
    </row>
    <row r="831" ht="15.75" customHeight="1">
      <c r="A831" s="1591"/>
      <c r="B831" s="1591"/>
      <c r="C831" s="2217"/>
      <c r="D831" s="1541"/>
      <c r="E831" s="906"/>
      <c r="F831" s="541"/>
      <c r="G831" s="541"/>
      <c r="H831" s="541"/>
      <c r="I831" s="541"/>
      <c r="J831" s="1748"/>
      <c r="K831" s="541"/>
      <c r="L831" s="1748"/>
      <c r="M831" s="541"/>
      <c r="N831" s="1748"/>
      <c r="O831" s="541"/>
      <c r="P831" s="1748"/>
      <c r="Q831" s="541"/>
      <c r="R831" s="1748"/>
      <c r="S831" s="541"/>
      <c r="T831" s="1748"/>
      <c r="U831" s="541"/>
      <c r="V831" s="1748"/>
      <c r="W831" s="541"/>
      <c r="X831" s="1748"/>
      <c r="Y831" s="1748"/>
      <c r="Z831" s="1748"/>
      <c r="AA831" s="541"/>
      <c r="AB831" s="1748"/>
      <c r="AC831" s="541"/>
      <c r="AD831" s="541"/>
      <c r="AE831" s="541"/>
      <c r="AF831" s="541"/>
      <c r="AG831" s="541"/>
      <c r="AH831" s="541"/>
      <c r="AI831" s="541"/>
      <c r="AJ831" s="541"/>
      <c r="AK831" s="541"/>
      <c r="AL831" s="541"/>
      <c r="AM831" s="541"/>
      <c r="AN831" s="1748"/>
      <c r="AO831" s="1748"/>
      <c r="AP831" s="1748"/>
      <c r="AQ831" s="1748"/>
      <c r="AR831" s="1748"/>
      <c r="AS831" s="541"/>
      <c r="AT831" s="541"/>
      <c r="AU831" s="541"/>
      <c r="AV831" s="541"/>
      <c r="AW831" s="541"/>
      <c r="AY831" s="541"/>
      <c r="AZ831" s="633"/>
      <c r="BA831" s="541"/>
      <c r="BB831" s="1190"/>
      <c r="BC831" s="541"/>
      <c r="BD831" s="1190"/>
      <c r="BE831" s="541"/>
      <c r="BF831" s="1190"/>
      <c r="BG831" s="541"/>
      <c r="BH831" s="1190"/>
      <c r="BI831" s="541"/>
      <c r="BJ831" s="1190"/>
      <c r="BK831" s="541"/>
      <c r="BL831" s="541"/>
      <c r="BM831" s="541"/>
      <c r="BP831" s="541"/>
      <c r="BQ831" s="633"/>
      <c r="BR831" s="541"/>
      <c r="BS831" s="541"/>
      <c r="BT831" s="541"/>
      <c r="BU831" s="541"/>
    </row>
    <row r="832" ht="15.75" customHeight="1">
      <c r="A832" s="1591"/>
      <c r="B832" s="1591"/>
      <c r="C832" s="2217"/>
      <c r="D832" s="1541"/>
      <c r="E832" s="906"/>
      <c r="F832" s="541"/>
      <c r="G832" s="541"/>
      <c r="H832" s="541"/>
      <c r="I832" s="541"/>
      <c r="J832" s="1748"/>
      <c r="K832" s="541"/>
      <c r="L832" s="1748"/>
      <c r="M832" s="541"/>
      <c r="N832" s="1748"/>
      <c r="O832" s="541"/>
      <c r="P832" s="1748"/>
      <c r="Q832" s="541"/>
      <c r="R832" s="1748"/>
      <c r="S832" s="541"/>
      <c r="T832" s="1748"/>
      <c r="U832" s="541"/>
      <c r="V832" s="1748"/>
      <c r="W832" s="541"/>
      <c r="X832" s="1748"/>
      <c r="Y832" s="1748"/>
      <c r="Z832" s="1748"/>
      <c r="AA832" s="541"/>
      <c r="AB832" s="1748"/>
      <c r="AC832" s="541"/>
      <c r="AD832" s="541"/>
      <c r="AE832" s="541"/>
      <c r="AF832" s="541"/>
      <c r="AG832" s="541"/>
      <c r="AH832" s="541"/>
      <c r="AI832" s="541"/>
      <c r="AJ832" s="541"/>
      <c r="AK832" s="541"/>
      <c r="AL832" s="541"/>
      <c r="AM832" s="541"/>
      <c r="AN832" s="1748"/>
      <c r="AO832" s="1748"/>
      <c r="AP832" s="1748"/>
      <c r="AQ832" s="1748"/>
      <c r="AR832" s="1748"/>
      <c r="AS832" s="541"/>
      <c r="AT832" s="541"/>
      <c r="AU832" s="541"/>
      <c r="AV832" s="541"/>
      <c r="AW832" s="541"/>
      <c r="AY832" s="541"/>
      <c r="AZ832" s="633"/>
      <c r="BA832" s="541"/>
      <c r="BB832" s="1190"/>
      <c r="BC832" s="541"/>
      <c r="BD832" s="1190"/>
      <c r="BE832" s="541"/>
      <c r="BF832" s="1190"/>
      <c r="BG832" s="541"/>
      <c r="BH832" s="1190"/>
      <c r="BI832" s="541"/>
      <c r="BJ832" s="1190"/>
      <c r="BK832" s="541"/>
      <c r="BL832" s="541"/>
      <c r="BM832" s="541"/>
      <c r="BP832" s="541"/>
      <c r="BQ832" s="633"/>
      <c r="BR832" s="541"/>
      <c r="BS832" s="541"/>
      <c r="BT832" s="541"/>
      <c r="BU832" s="541"/>
    </row>
    <row r="833" ht="15.75" customHeight="1">
      <c r="A833" s="1591"/>
      <c r="B833" s="1591"/>
      <c r="C833" s="2217"/>
      <c r="D833" s="1541"/>
      <c r="E833" s="906"/>
      <c r="F833" s="541"/>
      <c r="G833" s="541"/>
      <c r="H833" s="541"/>
      <c r="I833" s="541"/>
      <c r="J833" s="1748"/>
      <c r="K833" s="541"/>
      <c r="L833" s="1748"/>
      <c r="M833" s="541"/>
      <c r="N833" s="1748"/>
      <c r="O833" s="541"/>
      <c r="P833" s="1748"/>
      <c r="Q833" s="541"/>
      <c r="R833" s="1748"/>
      <c r="S833" s="541"/>
      <c r="T833" s="1748"/>
      <c r="U833" s="541"/>
      <c r="V833" s="1748"/>
      <c r="W833" s="541"/>
      <c r="X833" s="1748"/>
      <c r="Y833" s="1748"/>
      <c r="Z833" s="1748"/>
      <c r="AA833" s="541"/>
      <c r="AB833" s="1748"/>
      <c r="AC833" s="541"/>
      <c r="AD833" s="541"/>
      <c r="AE833" s="541"/>
      <c r="AF833" s="541"/>
      <c r="AG833" s="541"/>
      <c r="AH833" s="541"/>
      <c r="AI833" s="541"/>
      <c r="AJ833" s="541"/>
      <c r="AK833" s="541"/>
      <c r="AL833" s="541"/>
      <c r="AM833" s="541"/>
      <c r="AN833" s="1748"/>
      <c r="AO833" s="1748"/>
      <c r="AP833" s="1748"/>
      <c r="AQ833" s="1748"/>
      <c r="AR833" s="1748"/>
      <c r="AS833" s="541"/>
      <c r="AT833" s="541"/>
      <c r="AU833" s="541"/>
      <c r="AV833" s="541"/>
      <c r="AW833" s="541"/>
      <c r="AY833" s="541"/>
      <c r="AZ833" s="633"/>
      <c r="BA833" s="541"/>
      <c r="BB833" s="1190"/>
      <c r="BC833" s="541"/>
      <c r="BD833" s="1190"/>
      <c r="BE833" s="541"/>
      <c r="BF833" s="1190"/>
      <c r="BG833" s="541"/>
      <c r="BH833" s="1190"/>
      <c r="BI833" s="541"/>
      <c r="BJ833" s="1190"/>
      <c r="BK833" s="541"/>
      <c r="BL833" s="541"/>
      <c r="BM833" s="541"/>
      <c r="BP833" s="541"/>
      <c r="BQ833" s="633"/>
      <c r="BR833" s="541"/>
      <c r="BS833" s="541"/>
      <c r="BT833" s="541"/>
      <c r="BU833" s="541"/>
    </row>
    <row r="834" ht="15.75" customHeight="1">
      <c r="A834" s="1591"/>
      <c r="B834" s="1591"/>
      <c r="C834" s="2217"/>
      <c r="D834" s="1541"/>
      <c r="E834" s="906"/>
      <c r="F834" s="541"/>
      <c r="G834" s="541"/>
      <c r="H834" s="541"/>
      <c r="I834" s="541"/>
      <c r="J834" s="1748"/>
      <c r="K834" s="541"/>
      <c r="L834" s="1748"/>
      <c r="M834" s="541"/>
      <c r="N834" s="1748"/>
      <c r="O834" s="541"/>
      <c r="P834" s="1748"/>
      <c r="Q834" s="541"/>
      <c r="R834" s="1748"/>
      <c r="S834" s="541"/>
      <c r="T834" s="1748"/>
      <c r="U834" s="541"/>
      <c r="V834" s="1748"/>
      <c r="W834" s="541"/>
      <c r="X834" s="1748"/>
      <c r="Y834" s="1748"/>
      <c r="Z834" s="1748"/>
      <c r="AA834" s="541"/>
      <c r="AB834" s="1748"/>
      <c r="AC834" s="541"/>
      <c r="AD834" s="541"/>
      <c r="AE834" s="541"/>
      <c r="AF834" s="541"/>
      <c r="AG834" s="541"/>
      <c r="AH834" s="541"/>
      <c r="AI834" s="541"/>
      <c r="AJ834" s="541"/>
      <c r="AK834" s="541"/>
      <c r="AL834" s="541"/>
      <c r="AM834" s="541"/>
      <c r="AN834" s="1748"/>
      <c r="AO834" s="1748"/>
      <c r="AP834" s="1748"/>
      <c r="AQ834" s="1748"/>
      <c r="AR834" s="1748"/>
      <c r="AS834" s="541"/>
      <c r="AT834" s="541"/>
      <c r="AU834" s="541"/>
      <c r="AV834" s="541"/>
      <c r="AW834" s="541"/>
      <c r="AY834" s="541"/>
      <c r="AZ834" s="633"/>
      <c r="BA834" s="541"/>
      <c r="BB834" s="1190"/>
      <c r="BC834" s="541"/>
      <c r="BD834" s="1190"/>
      <c r="BE834" s="541"/>
      <c r="BF834" s="1190"/>
      <c r="BG834" s="541"/>
      <c r="BH834" s="1190"/>
      <c r="BI834" s="541"/>
      <c r="BJ834" s="1190"/>
      <c r="BK834" s="541"/>
      <c r="BL834" s="541"/>
      <c r="BM834" s="541"/>
      <c r="BP834" s="541"/>
      <c r="BQ834" s="633"/>
      <c r="BR834" s="541"/>
      <c r="BS834" s="541"/>
      <c r="BT834" s="541"/>
      <c r="BU834" s="541"/>
    </row>
    <row r="835" ht="15.75" customHeight="1">
      <c r="A835" s="1591"/>
      <c r="B835" s="1591"/>
      <c r="C835" s="2217"/>
      <c r="D835" s="1541"/>
      <c r="E835" s="906"/>
      <c r="F835" s="541"/>
      <c r="G835" s="541"/>
      <c r="H835" s="541"/>
      <c r="I835" s="541"/>
      <c r="J835" s="1748"/>
      <c r="K835" s="541"/>
      <c r="L835" s="1748"/>
      <c r="M835" s="541"/>
      <c r="N835" s="1748"/>
      <c r="O835" s="541"/>
      <c r="P835" s="1748"/>
      <c r="Q835" s="541"/>
      <c r="R835" s="1748"/>
      <c r="S835" s="541"/>
      <c r="T835" s="1748"/>
      <c r="U835" s="541"/>
      <c r="V835" s="1748"/>
      <c r="W835" s="541"/>
      <c r="X835" s="1748"/>
      <c r="Y835" s="1748"/>
      <c r="Z835" s="1748"/>
      <c r="AA835" s="541"/>
      <c r="AB835" s="1748"/>
      <c r="AC835" s="541"/>
      <c r="AD835" s="541"/>
      <c r="AE835" s="541"/>
      <c r="AF835" s="541"/>
      <c r="AG835" s="541"/>
      <c r="AH835" s="541"/>
      <c r="AI835" s="541"/>
      <c r="AJ835" s="541"/>
      <c r="AK835" s="541"/>
      <c r="AL835" s="541"/>
      <c r="AM835" s="541"/>
      <c r="AN835" s="1748"/>
      <c r="AO835" s="1748"/>
      <c r="AP835" s="1748"/>
      <c r="AQ835" s="1748"/>
      <c r="AR835" s="1748"/>
      <c r="AS835" s="541"/>
      <c r="AT835" s="541"/>
      <c r="AU835" s="541"/>
      <c r="AV835" s="541"/>
      <c r="AW835" s="541"/>
      <c r="AY835" s="541"/>
      <c r="AZ835" s="633"/>
      <c r="BA835" s="541"/>
      <c r="BB835" s="1190"/>
      <c r="BC835" s="541"/>
      <c r="BD835" s="1190"/>
      <c r="BE835" s="541"/>
      <c r="BF835" s="1190"/>
      <c r="BG835" s="541"/>
      <c r="BH835" s="1190"/>
      <c r="BI835" s="541"/>
      <c r="BJ835" s="1190"/>
      <c r="BK835" s="541"/>
      <c r="BL835" s="541"/>
      <c r="BM835" s="541"/>
      <c r="BP835" s="541"/>
      <c r="BQ835" s="633"/>
      <c r="BR835" s="541"/>
      <c r="BS835" s="541"/>
      <c r="BT835" s="541"/>
      <c r="BU835" s="541"/>
    </row>
    <row r="836" ht="15.75" customHeight="1">
      <c r="A836" s="1591"/>
      <c r="B836" s="1591"/>
      <c r="C836" s="2217"/>
      <c r="D836" s="1541"/>
      <c r="E836" s="906"/>
      <c r="F836" s="541"/>
      <c r="G836" s="541"/>
      <c r="H836" s="541"/>
      <c r="I836" s="541"/>
      <c r="J836" s="1748"/>
      <c r="K836" s="541"/>
      <c r="L836" s="1748"/>
      <c r="M836" s="541"/>
      <c r="N836" s="1748"/>
      <c r="O836" s="541"/>
      <c r="P836" s="1748"/>
      <c r="Q836" s="541"/>
      <c r="R836" s="1748"/>
      <c r="S836" s="541"/>
      <c r="T836" s="1748"/>
      <c r="U836" s="541"/>
      <c r="V836" s="1748"/>
      <c r="W836" s="541"/>
      <c r="X836" s="1748"/>
      <c r="Y836" s="1748"/>
      <c r="Z836" s="1748"/>
      <c r="AA836" s="541"/>
      <c r="AB836" s="1748"/>
      <c r="AC836" s="541"/>
      <c r="AD836" s="541"/>
      <c r="AE836" s="541"/>
      <c r="AF836" s="541"/>
      <c r="AG836" s="541"/>
      <c r="AH836" s="541"/>
      <c r="AI836" s="541"/>
      <c r="AJ836" s="541"/>
      <c r="AK836" s="541"/>
      <c r="AL836" s="541"/>
      <c r="AM836" s="541"/>
      <c r="AN836" s="1748"/>
      <c r="AO836" s="1748"/>
      <c r="AP836" s="1748"/>
      <c r="AQ836" s="1748"/>
      <c r="AR836" s="1748"/>
      <c r="AS836" s="541"/>
      <c r="AT836" s="541"/>
      <c r="AU836" s="541"/>
      <c r="AV836" s="541"/>
      <c r="AW836" s="541"/>
      <c r="AY836" s="541"/>
      <c r="AZ836" s="633"/>
      <c r="BA836" s="541"/>
      <c r="BB836" s="1190"/>
      <c r="BC836" s="541"/>
      <c r="BD836" s="1190"/>
      <c r="BE836" s="541"/>
      <c r="BF836" s="1190"/>
      <c r="BG836" s="541"/>
      <c r="BH836" s="1190"/>
      <c r="BI836" s="541"/>
      <c r="BJ836" s="1190"/>
      <c r="BK836" s="541"/>
      <c r="BL836" s="541"/>
      <c r="BM836" s="541"/>
      <c r="BP836" s="541"/>
      <c r="BQ836" s="633"/>
      <c r="BR836" s="541"/>
      <c r="BS836" s="541"/>
      <c r="BT836" s="541"/>
      <c r="BU836" s="541"/>
    </row>
    <row r="837" ht="15.75" customHeight="1">
      <c r="A837" s="1591"/>
      <c r="B837" s="1591"/>
      <c r="C837" s="2217"/>
      <c r="D837" s="1541"/>
      <c r="E837" s="906"/>
      <c r="F837" s="541"/>
      <c r="G837" s="541"/>
      <c r="H837" s="541"/>
      <c r="I837" s="541"/>
      <c r="J837" s="1748"/>
      <c r="K837" s="541"/>
      <c r="L837" s="1748"/>
      <c r="M837" s="541"/>
      <c r="N837" s="1748"/>
      <c r="O837" s="541"/>
      <c r="P837" s="1748"/>
      <c r="Q837" s="541"/>
      <c r="R837" s="1748"/>
      <c r="S837" s="541"/>
      <c r="T837" s="1748"/>
      <c r="U837" s="541"/>
      <c r="V837" s="1748"/>
      <c r="W837" s="541"/>
      <c r="X837" s="1748"/>
      <c r="Y837" s="1748"/>
      <c r="Z837" s="1748"/>
      <c r="AA837" s="541"/>
      <c r="AB837" s="1748"/>
      <c r="AC837" s="541"/>
      <c r="AD837" s="541"/>
      <c r="AE837" s="541"/>
      <c r="AF837" s="541"/>
      <c r="AG837" s="541"/>
      <c r="AH837" s="541"/>
      <c r="AI837" s="541"/>
      <c r="AJ837" s="541"/>
      <c r="AK837" s="541"/>
      <c r="AL837" s="541"/>
      <c r="AM837" s="541"/>
      <c r="AN837" s="1748"/>
      <c r="AO837" s="1748"/>
      <c r="AP837" s="1748"/>
      <c r="AQ837" s="1748"/>
      <c r="AR837" s="1748"/>
      <c r="AS837" s="541"/>
      <c r="AT837" s="541"/>
      <c r="AU837" s="541"/>
      <c r="AV837" s="541"/>
      <c r="AW837" s="541"/>
      <c r="AY837" s="541"/>
      <c r="AZ837" s="633"/>
      <c r="BA837" s="541"/>
      <c r="BB837" s="1190"/>
      <c r="BC837" s="541"/>
      <c r="BD837" s="1190"/>
      <c r="BE837" s="541"/>
      <c r="BF837" s="1190"/>
      <c r="BG837" s="541"/>
      <c r="BH837" s="1190"/>
      <c r="BI837" s="541"/>
      <c r="BJ837" s="1190"/>
      <c r="BK837" s="541"/>
      <c r="BL837" s="541"/>
      <c r="BM837" s="541"/>
      <c r="BP837" s="541"/>
      <c r="BQ837" s="633"/>
      <c r="BR837" s="541"/>
      <c r="BS837" s="541"/>
      <c r="BT837" s="541"/>
      <c r="BU837" s="541"/>
    </row>
    <row r="838" ht="15.75" customHeight="1">
      <c r="A838" s="1591"/>
      <c r="B838" s="1591"/>
      <c r="C838" s="2217"/>
      <c r="D838" s="1541"/>
      <c r="E838" s="906"/>
      <c r="F838" s="541"/>
      <c r="G838" s="541"/>
      <c r="H838" s="541"/>
      <c r="I838" s="541"/>
      <c r="J838" s="1748"/>
      <c r="K838" s="541"/>
      <c r="L838" s="1748"/>
      <c r="M838" s="541"/>
      <c r="N838" s="1748"/>
      <c r="O838" s="541"/>
      <c r="P838" s="1748"/>
      <c r="Q838" s="541"/>
      <c r="R838" s="1748"/>
      <c r="S838" s="541"/>
      <c r="T838" s="1748"/>
      <c r="U838" s="541"/>
      <c r="V838" s="1748"/>
      <c r="W838" s="541"/>
      <c r="X838" s="1748"/>
      <c r="Y838" s="1748"/>
      <c r="Z838" s="1748"/>
      <c r="AA838" s="541"/>
      <c r="AB838" s="1748"/>
      <c r="AC838" s="541"/>
      <c r="AD838" s="541"/>
      <c r="AE838" s="541"/>
      <c r="AF838" s="541"/>
      <c r="AG838" s="541"/>
      <c r="AH838" s="541"/>
      <c r="AI838" s="541"/>
      <c r="AJ838" s="541"/>
      <c r="AK838" s="541"/>
      <c r="AL838" s="541"/>
      <c r="AM838" s="541"/>
      <c r="AN838" s="1748"/>
      <c r="AO838" s="1748"/>
      <c r="AP838" s="1748"/>
      <c r="AQ838" s="1748"/>
      <c r="AR838" s="1748"/>
      <c r="AS838" s="541"/>
      <c r="AT838" s="541"/>
      <c r="AU838" s="541"/>
      <c r="AV838" s="541"/>
      <c r="AW838" s="541"/>
      <c r="AY838" s="541"/>
      <c r="AZ838" s="633"/>
      <c r="BA838" s="541"/>
      <c r="BB838" s="1190"/>
      <c r="BC838" s="541"/>
      <c r="BD838" s="1190"/>
      <c r="BE838" s="541"/>
      <c r="BF838" s="1190"/>
      <c r="BG838" s="541"/>
      <c r="BH838" s="1190"/>
      <c r="BI838" s="541"/>
      <c r="BJ838" s="1190"/>
      <c r="BK838" s="541"/>
      <c r="BL838" s="541"/>
      <c r="BM838" s="541"/>
      <c r="BP838" s="541"/>
      <c r="BQ838" s="633"/>
      <c r="BR838" s="541"/>
      <c r="BS838" s="541"/>
      <c r="BT838" s="541"/>
      <c r="BU838" s="541"/>
    </row>
    <row r="839" ht="15.75" customHeight="1">
      <c r="A839" s="1591"/>
      <c r="B839" s="1591"/>
      <c r="C839" s="2217"/>
      <c r="D839" s="1541"/>
      <c r="E839" s="906"/>
      <c r="F839" s="541"/>
      <c r="G839" s="541"/>
      <c r="H839" s="541"/>
      <c r="I839" s="541"/>
      <c r="J839" s="1748"/>
      <c r="K839" s="541"/>
      <c r="L839" s="1748"/>
      <c r="M839" s="541"/>
      <c r="N839" s="1748"/>
      <c r="O839" s="541"/>
      <c r="P839" s="1748"/>
      <c r="Q839" s="541"/>
      <c r="R839" s="1748"/>
      <c r="S839" s="541"/>
      <c r="T839" s="1748"/>
      <c r="U839" s="541"/>
      <c r="V839" s="1748"/>
      <c r="W839" s="541"/>
      <c r="X839" s="1748"/>
      <c r="Y839" s="1748"/>
      <c r="Z839" s="1748"/>
      <c r="AA839" s="541"/>
      <c r="AB839" s="1748"/>
      <c r="AC839" s="541"/>
      <c r="AD839" s="541"/>
      <c r="AE839" s="541"/>
      <c r="AF839" s="541"/>
      <c r="AG839" s="541"/>
      <c r="AH839" s="541"/>
      <c r="AI839" s="541"/>
      <c r="AJ839" s="541"/>
      <c r="AK839" s="541"/>
      <c r="AL839" s="541"/>
      <c r="AM839" s="541"/>
      <c r="AN839" s="1748"/>
      <c r="AO839" s="1748"/>
      <c r="AP839" s="1748"/>
      <c r="AQ839" s="1748"/>
      <c r="AR839" s="1748"/>
      <c r="AS839" s="541"/>
      <c r="AT839" s="541"/>
      <c r="AU839" s="541"/>
      <c r="AV839" s="541"/>
      <c r="AW839" s="541"/>
      <c r="AY839" s="541"/>
      <c r="AZ839" s="633"/>
      <c r="BA839" s="541"/>
      <c r="BB839" s="1190"/>
      <c r="BC839" s="541"/>
      <c r="BD839" s="1190"/>
      <c r="BE839" s="541"/>
      <c r="BF839" s="1190"/>
      <c r="BG839" s="541"/>
      <c r="BH839" s="1190"/>
      <c r="BI839" s="541"/>
      <c r="BJ839" s="1190"/>
      <c r="BK839" s="541"/>
      <c r="BL839" s="541"/>
      <c r="BM839" s="541"/>
      <c r="BP839" s="541"/>
      <c r="BQ839" s="633"/>
      <c r="BR839" s="541"/>
      <c r="BS839" s="541"/>
      <c r="BT839" s="541"/>
      <c r="BU839" s="541"/>
    </row>
    <row r="840" ht="15.75" customHeight="1">
      <c r="A840" s="1591"/>
      <c r="B840" s="1591"/>
      <c r="C840" s="2217"/>
      <c r="D840" s="1541"/>
      <c r="E840" s="906"/>
      <c r="F840" s="541"/>
      <c r="G840" s="541"/>
      <c r="H840" s="541"/>
      <c r="I840" s="541"/>
      <c r="J840" s="1748"/>
      <c r="K840" s="541"/>
      <c r="L840" s="1748"/>
      <c r="M840" s="541"/>
      <c r="N840" s="1748"/>
      <c r="O840" s="541"/>
      <c r="P840" s="1748"/>
      <c r="Q840" s="541"/>
      <c r="R840" s="1748"/>
      <c r="S840" s="541"/>
      <c r="T840" s="1748"/>
      <c r="U840" s="541"/>
      <c r="V840" s="1748"/>
      <c r="W840" s="541"/>
      <c r="X840" s="1748"/>
      <c r="Y840" s="1748"/>
      <c r="Z840" s="1748"/>
      <c r="AA840" s="541"/>
      <c r="AB840" s="1748"/>
      <c r="AC840" s="541"/>
      <c r="AD840" s="541"/>
      <c r="AE840" s="541"/>
      <c r="AF840" s="541"/>
      <c r="AG840" s="541"/>
      <c r="AH840" s="541"/>
      <c r="AI840" s="541"/>
      <c r="AJ840" s="541"/>
      <c r="AK840" s="541"/>
      <c r="AL840" s="541"/>
      <c r="AM840" s="541"/>
      <c r="AN840" s="1748"/>
      <c r="AO840" s="1748"/>
      <c r="AP840" s="1748"/>
      <c r="AQ840" s="1748"/>
      <c r="AR840" s="1748"/>
      <c r="AS840" s="541"/>
      <c r="AT840" s="541"/>
      <c r="AU840" s="541"/>
      <c r="AV840" s="541"/>
      <c r="AW840" s="541"/>
      <c r="AY840" s="541"/>
      <c r="AZ840" s="633"/>
      <c r="BA840" s="541"/>
      <c r="BB840" s="1190"/>
      <c r="BC840" s="541"/>
      <c r="BD840" s="1190"/>
      <c r="BE840" s="541"/>
      <c r="BF840" s="1190"/>
      <c r="BG840" s="541"/>
      <c r="BH840" s="1190"/>
      <c r="BI840" s="541"/>
      <c r="BJ840" s="1190"/>
      <c r="BK840" s="541"/>
      <c r="BL840" s="541"/>
      <c r="BM840" s="541"/>
      <c r="BP840" s="541"/>
      <c r="BQ840" s="633"/>
      <c r="BR840" s="541"/>
      <c r="BS840" s="541"/>
      <c r="BT840" s="541"/>
      <c r="BU840" s="541"/>
    </row>
    <row r="841" ht="15.75" customHeight="1">
      <c r="A841" s="1591"/>
      <c r="B841" s="1591"/>
      <c r="C841" s="2217"/>
      <c r="D841" s="1541"/>
      <c r="E841" s="906"/>
      <c r="F841" s="541"/>
      <c r="G841" s="541"/>
      <c r="H841" s="541"/>
      <c r="I841" s="541"/>
      <c r="J841" s="1748"/>
      <c r="K841" s="541"/>
      <c r="L841" s="1748"/>
      <c r="M841" s="541"/>
      <c r="N841" s="1748"/>
      <c r="O841" s="541"/>
      <c r="P841" s="1748"/>
      <c r="Q841" s="541"/>
      <c r="R841" s="1748"/>
      <c r="S841" s="541"/>
      <c r="T841" s="1748"/>
      <c r="U841" s="541"/>
      <c r="V841" s="1748"/>
      <c r="W841" s="541"/>
      <c r="X841" s="1748"/>
      <c r="Y841" s="1748"/>
      <c r="Z841" s="1748"/>
      <c r="AA841" s="541"/>
      <c r="AB841" s="1748"/>
      <c r="AC841" s="541"/>
      <c r="AD841" s="541"/>
      <c r="AE841" s="541"/>
      <c r="AF841" s="541"/>
      <c r="AG841" s="541"/>
      <c r="AH841" s="541"/>
      <c r="AI841" s="541"/>
      <c r="AJ841" s="541"/>
      <c r="AK841" s="541"/>
      <c r="AL841" s="541"/>
      <c r="AM841" s="541"/>
      <c r="AN841" s="1748"/>
      <c r="AO841" s="1748"/>
      <c r="AP841" s="1748"/>
      <c r="AQ841" s="1748"/>
      <c r="AR841" s="1748"/>
      <c r="AS841" s="541"/>
      <c r="AT841" s="541"/>
      <c r="AU841" s="541"/>
      <c r="AV841" s="541"/>
      <c r="AW841" s="541"/>
      <c r="AY841" s="541"/>
      <c r="AZ841" s="633"/>
      <c r="BA841" s="541"/>
      <c r="BB841" s="1190"/>
      <c r="BC841" s="541"/>
      <c r="BD841" s="1190"/>
      <c r="BE841" s="541"/>
      <c r="BF841" s="1190"/>
      <c r="BG841" s="541"/>
      <c r="BH841" s="1190"/>
      <c r="BI841" s="541"/>
      <c r="BJ841" s="1190"/>
      <c r="BK841" s="541"/>
      <c r="BL841" s="541"/>
      <c r="BM841" s="541"/>
      <c r="BP841" s="541"/>
      <c r="BQ841" s="633"/>
      <c r="BR841" s="541"/>
      <c r="BS841" s="541"/>
      <c r="BT841" s="541"/>
      <c r="BU841" s="541"/>
    </row>
    <row r="842" ht="15.75" customHeight="1">
      <c r="A842" s="1591"/>
      <c r="B842" s="1591"/>
      <c r="C842" s="2217"/>
      <c r="D842" s="1541"/>
      <c r="E842" s="906"/>
      <c r="F842" s="541"/>
      <c r="G842" s="541"/>
      <c r="H842" s="541"/>
      <c r="I842" s="541"/>
      <c r="J842" s="1748"/>
      <c r="K842" s="541"/>
      <c r="L842" s="1748"/>
      <c r="M842" s="541"/>
      <c r="N842" s="1748"/>
      <c r="O842" s="541"/>
      <c r="P842" s="1748"/>
      <c r="Q842" s="541"/>
      <c r="R842" s="1748"/>
      <c r="S842" s="541"/>
      <c r="T842" s="1748"/>
      <c r="U842" s="541"/>
      <c r="V842" s="1748"/>
      <c r="W842" s="541"/>
      <c r="X842" s="1748"/>
      <c r="Y842" s="1748"/>
      <c r="Z842" s="1748"/>
      <c r="AA842" s="541"/>
      <c r="AB842" s="1748"/>
      <c r="AC842" s="541"/>
      <c r="AD842" s="541"/>
      <c r="AE842" s="541"/>
      <c r="AF842" s="541"/>
      <c r="AG842" s="541"/>
      <c r="AH842" s="541"/>
      <c r="AI842" s="541"/>
      <c r="AJ842" s="541"/>
      <c r="AK842" s="541"/>
      <c r="AL842" s="541"/>
      <c r="AM842" s="541"/>
      <c r="AN842" s="1748"/>
      <c r="AO842" s="1748"/>
      <c r="AP842" s="1748"/>
      <c r="AQ842" s="1748"/>
      <c r="AR842" s="1748"/>
      <c r="AS842" s="541"/>
      <c r="AT842" s="541"/>
      <c r="AU842" s="541"/>
      <c r="AV842" s="541"/>
      <c r="AW842" s="541"/>
      <c r="AY842" s="541"/>
      <c r="AZ842" s="633"/>
      <c r="BA842" s="541"/>
      <c r="BB842" s="1190"/>
      <c r="BC842" s="541"/>
      <c r="BD842" s="1190"/>
      <c r="BE842" s="541"/>
      <c r="BF842" s="1190"/>
      <c r="BG842" s="541"/>
      <c r="BH842" s="1190"/>
      <c r="BI842" s="541"/>
      <c r="BJ842" s="1190"/>
      <c r="BK842" s="541"/>
      <c r="BL842" s="541"/>
      <c r="BM842" s="541"/>
      <c r="BP842" s="541"/>
      <c r="BQ842" s="633"/>
      <c r="BR842" s="541"/>
      <c r="BS842" s="541"/>
      <c r="BT842" s="541"/>
      <c r="BU842" s="541"/>
    </row>
    <row r="843" ht="15.75" customHeight="1">
      <c r="A843" s="1591"/>
      <c r="B843" s="1591"/>
      <c r="C843" s="2217"/>
      <c r="D843" s="1541"/>
      <c r="E843" s="906"/>
      <c r="F843" s="541"/>
      <c r="G843" s="541"/>
      <c r="H843" s="541"/>
      <c r="I843" s="541"/>
      <c r="J843" s="1748"/>
      <c r="K843" s="541"/>
      <c r="L843" s="1748"/>
      <c r="M843" s="541"/>
      <c r="N843" s="1748"/>
      <c r="O843" s="541"/>
      <c r="P843" s="1748"/>
      <c r="Q843" s="541"/>
      <c r="R843" s="1748"/>
      <c r="S843" s="541"/>
      <c r="T843" s="1748"/>
      <c r="U843" s="541"/>
      <c r="V843" s="1748"/>
      <c r="W843" s="541"/>
      <c r="X843" s="1748"/>
      <c r="Y843" s="1748"/>
      <c r="Z843" s="1748"/>
      <c r="AA843" s="541"/>
      <c r="AB843" s="1748"/>
      <c r="AC843" s="541"/>
      <c r="AD843" s="541"/>
      <c r="AE843" s="541"/>
      <c r="AF843" s="541"/>
      <c r="AG843" s="541"/>
      <c r="AH843" s="541"/>
      <c r="AI843" s="541"/>
      <c r="AJ843" s="541"/>
      <c r="AK843" s="541"/>
      <c r="AL843" s="541"/>
      <c r="AM843" s="541"/>
      <c r="AN843" s="1748"/>
      <c r="AO843" s="1748"/>
      <c r="AP843" s="1748"/>
      <c r="AQ843" s="1748"/>
      <c r="AR843" s="1748"/>
      <c r="AS843" s="541"/>
      <c r="AT843" s="541"/>
      <c r="AU843" s="541"/>
      <c r="AV843" s="541"/>
      <c r="AW843" s="541"/>
      <c r="AY843" s="541"/>
      <c r="AZ843" s="633"/>
      <c r="BA843" s="541"/>
      <c r="BB843" s="1190"/>
      <c r="BC843" s="541"/>
      <c r="BD843" s="1190"/>
      <c r="BE843" s="541"/>
      <c r="BF843" s="1190"/>
      <c r="BG843" s="541"/>
      <c r="BH843" s="1190"/>
      <c r="BI843" s="541"/>
      <c r="BJ843" s="1190"/>
      <c r="BK843" s="541"/>
      <c r="BL843" s="541"/>
      <c r="BM843" s="541"/>
      <c r="BP843" s="541"/>
      <c r="BQ843" s="633"/>
      <c r="BR843" s="541"/>
      <c r="BS843" s="541"/>
      <c r="BT843" s="541"/>
      <c r="BU843" s="541"/>
    </row>
    <row r="844" ht="15.75" customHeight="1">
      <c r="A844" s="1591"/>
      <c r="B844" s="1591"/>
      <c r="C844" s="2217"/>
      <c r="D844" s="1541"/>
      <c r="E844" s="906"/>
      <c r="F844" s="541"/>
      <c r="G844" s="541"/>
      <c r="H844" s="541"/>
      <c r="I844" s="541"/>
      <c r="J844" s="1748"/>
      <c r="K844" s="541"/>
      <c r="L844" s="1748"/>
      <c r="M844" s="541"/>
      <c r="N844" s="1748"/>
      <c r="O844" s="541"/>
      <c r="P844" s="1748"/>
      <c r="Q844" s="541"/>
      <c r="R844" s="1748"/>
      <c r="S844" s="541"/>
      <c r="T844" s="1748"/>
      <c r="U844" s="541"/>
      <c r="V844" s="1748"/>
      <c r="W844" s="541"/>
      <c r="X844" s="1748"/>
      <c r="Y844" s="1748"/>
      <c r="Z844" s="1748"/>
      <c r="AA844" s="541"/>
      <c r="AB844" s="1748"/>
      <c r="AC844" s="541"/>
      <c r="AD844" s="541"/>
      <c r="AE844" s="541"/>
      <c r="AF844" s="541"/>
      <c r="AG844" s="541"/>
      <c r="AH844" s="541"/>
      <c r="AI844" s="541"/>
      <c r="AJ844" s="541"/>
      <c r="AK844" s="541"/>
      <c r="AL844" s="541"/>
      <c r="AM844" s="541"/>
      <c r="AN844" s="1748"/>
      <c r="AO844" s="1748"/>
      <c r="AP844" s="1748"/>
      <c r="AQ844" s="1748"/>
      <c r="AR844" s="1748"/>
      <c r="AS844" s="541"/>
      <c r="AT844" s="541"/>
      <c r="AU844" s="541"/>
      <c r="AV844" s="541"/>
      <c r="AW844" s="541"/>
      <c r="AY844" s="541"/>
      <c r="AZ844" s="633"/>
      <c r="BA844" s="541"/>
      <c r="BB844" s="1190"/>
      <c r="BC844" s="541"/>
      <c r="BD844" s="1190"/>
      <c r="BE844" s="541"/>
      <c r="BF844" s="1190"/>
      <c r="BG844" s="541"/>
      <c r="BH844" s="1190"/>
      <c r="BI844" s="541"/>
      <c r="BJ844" s="1190"/>
      <c r="BK844" s="541"/>
      <c r="BL844" s="541"/>
      <c r="BM844" s="541"/>
      <c r="BP844" s="541"/>
      <c r="BQ844" s="633"/>
      <c r="BR844" s="541"/>
      <c r="BS844" s="541"/>
      <c r="BT844" s="541"/>
      <c r="BU844" s="541"/>
    </row>
    <row r="845" ht="15.75" customHeight="1">
      <c r="A845" s="1591"/>
      <c r="B845" s="1591"/>
      <c r="C845" s="2217"/>
      <c r="D845" s="1541"/>
      <c r="E845" s="906"/>
      <c r="F845" s="541"/>
      <c r="G845" s="541"/>
      <c r="H845" s="541"/>
      <c r="I845" s="541"/>
      <c r="J845" s="1748"/>
      <c r="K845" s="541"/>
      <c r="L845" s="1748"/>
      <c r="M845" s="541"/>
      <c r="N845" s="1748"/>
      <c r="O845" s="541"/>
      <c r="P845" s="1748"/>
      <c r="Q845" s="541"/>
      <c r="R845" s="1748"/>
      <c r="S845" s="541"/>
      <c r="T845" s="1748"/>
      <c r="U845" s="541"/>
      <c r="V845" s="1748"/>
      <c r="W845" s="541"/>
      <c r="X845" s="1748"/>
      <c r="Y845" s="1748"/>
      <c r="Z845" s="1748"/>
      <c r="AA845" s="541"/>
      <c r="AB845" s="1748"/>
      <c r="AC845" s="541"/>
      <c r="AD845" s="541"/>
      <c r="AE845" s="541"/>
      <c r="AF845" s="541"/>
      <c r="AG845" s="541"/>
      <c r="AH845" s="541"/>
      <c r="AI845" s="541"/>
      <c r="AJ845" s="541"/>
      <c r="AK845" s="541"/>
      <c r="AL845" s="541"/>
      <c r="AM845" s="541"/>
      <c r="AN845" s="1748"/>
      <c r="AO845" s="1748"/>
      <c r="AP845" s="1748"/>
      <c r="AQ845" s="1748"/>
      <c r="AR845" s="1748"/>
      <c r="AS845" s="541"/>
      <c r="AT845" s="541"/>
      <c r="AU845" s="541"/>
      <c r="AV845" s="541"/>
      <c r="AW845" s="541"/>
      <c r="AY845" s="541"/>
      <c r="AZ845" s="633"/>
      <c r="BA845" s="541"/>
      <c r="BB845" s="1190"/>
      <c r="BC845" s="541"/>
      <c r="BD845" s="1190"/>
      <c r="BE845" s="541"/>
      <c r="BF845" s="1190"/>
      <c r="BG845" s="541"/>
      <c r="BH845" s="1190"/>
      <c r="BI845" s="541"/>
      <c r="BJ845" s="1190"/>
      <c r="BK845" s="541"/>
      <c r="BL845" s="541"/>
      <c r="BM845" s="541"/>
      <c r="BP845" s="541"/>
      <c r="BQ845" s="633"/>
      <c r="BR845" s="541"/>
      <c r="BS845" s="541"/>
      <c r="BT845" s="541"/>
      <c r="BU845" s="541"/>
    </row>
    <row r="846" ht="15.75" customHeight="1">
      <c r="A846" s="1591"/>
      <c r="B846" s="1591"/>
      <c r="C846" s="2217"/>
      <c r="D846" s="1541"/>
      <c r="E846" s="906"/>
      <c r="F846" s="541"/>
      <c r="G846" s="541"/>
      <c r="H846" s="541"/>
      <c r="I846" s="541"/>
      <c r="J846" s="1748"/>
      <c r="K846" s="541"/>
      <c r="L846" s="1748"/>
      <c r="M846" s="541"/>
      <c r="N846" s="1748"/>
      <c r="O846" s="541"/>
      <c r="P846" s="1748"/>
      <c r="Q846" s="541"/>
      <c r="R846" s="1748"/>
      <c r="S846" s="541"/>
      <c r="T846" s="1748"/>
      <c r="U846" s="541"/>
      <c r="V846" s="1748"/>
      <c r="W846" s="541"/>
      <c r="X846" s="1748"/>
      <c r="Y846" s="1748"/>
      <c r="Z846" s="1748"/>
      <c r="AA846" s="541"/>
      <c r="AB846" s="1748"/>
      <c r="AC846" s="541"/>
      <c r="AD846" s="541"/>
      <c r="AE846" s="541"/>
      <c r="AF846" s="541"/>
      <c r="AG846" s="541"/>
      <c r="AH846" s="541"/>
      <c r="AI846" s="541"/>
      <c r="AJ846" s="541"/>
      <c r="AK846" s="541"/>
      <c r="AL846" s="541"/>
      <c r="AM846" s="541"/>
      <c r="AN846" s="1748"/>
      <c r="AO846" s="1748"/>
      <c r="AP846" s="1748"/>
      <c r="AQ846" s="1748"/>
      <c r="AR846" s="1748"/>
      <c r="AS846" s="541"/>
      <c r="AT846" s="541"/>
      <c r="AU846" s="541"/>
      <c r="AV846" s="541"/>
      <c r="AW846" s="541"/>
      <c r="AY846" s="541"/>
      <c r="AZ846" s="633"/>
      <c r="BA846" s="541"/>
      <c r="BB846" s="1190"/>
      <c r="BC846" s="541"/>
      <c r="BD846" s="1190"/>
      <c r="BE846" s="541"/>
      <c r="BF846" s="1190"/>
      <c r="BG846" s="541"/>
      <c r="BH846" s="1190"/>
      <c r="BI846" s="541"/>
      <c r="BJ846" s="1190"/>
      <c r="BK846" s="541"/>
      <c r="BL846" s="541"/>
      <c r="BM846" s="541"/>
      <c r="BP846" s="541"/>
      <c r="BQ846" s="633"/>
      <c r="BR846" s="541"/>
      <c r="BS846" s="541"/>
      <c r="BT846" s="541"/>
      <c r="BU846" s="541"/>
    </row>
    <row r="847" ht="15.75" customHeight="1">
      <c r="A847" s="1591"/>
      <c r="B847" s="1591"/>
      <c r="C847" s="2217"/>
      <c r="D847" s="1541"/>
      <c r="E847" s="906"/>
      <c r="F847" s="541"/>
      <c r="G847" s="541"/>
      <c r="H847" s="541"/>
      <c r="I847" s="541"/>
      <c r="J847" s="1748"/>
      <c r="K847" s="541"/>
      <c r="L847" s="1748"/>
      <c r="M847" s="541"/>
      <c r="N847" s="1748"/>
      <c r="O847" s="541"/>
      <c r="P847" s="1748"/>
      <c r="Q847" s="541"/>
      <c r="R847" s="1748"/>
      <c r="S847" s="541"/>
      <c r="T847" s="1748"/>
      <c r="U847" s="541"/>
      <c r="V847" s="1748"/>
      <c r="W847" s="541"/>
      <c r="X847" s="1748"/>
      <c r="Y847" s="1748"/>
      <c r="Z847" s="1748"/>
      <c r="AA847" s="541"/>
      <c r="AB847" s="1748"/>
      <c r="AC847" s="541"/>
      <c r="AD847" s="541"/>
      <c r="AE847" s="541"/>
      <c r="AF847" s="541"/>
      <c r="AG847" s="541"/>
      <c r="AH847" s="541"/>
      <c r="AI847" s="541"/>
      <c r="AJ847" s="541"/>
      <c r="AK847" s="541"/>
      <c r="AL847" s="541"/>
      <c r="AM847" s="541"/>
      <c r="AN847" s="1748"/>
      <c r="AO847" s="1748"/>
      <c r="AP847" s="1748"/>
      <c r="AQ847" s="1748"/>
      <c r="AR847" s="1748"/>
      <c r="AS847" s="541"/>
      <c r="AT847" s="541"/>
      <c r="AU847" s="541"/>
      <c r="AV847" s="541"/>
      <c r="AW847" s="541"/>
      <c r="AY847" s="541"/>
      <c r="AZ847" s="633"/>
      <c r="BA847" s="541"/>
      <c r="BB847" s="1190"/>
      <c r="BC847" s="541"/>
      <c r="BD847" s="1190"/>
      <c r="BE847" s="541"/>
      <c r="BF847" s="1190"/>
      <c r="BG847" s="541"/>
      <c r="BH847" s="1190"/>
      <c r="BI847" s="541"/>
      <c r="BJ847" s="1190"/>
      <c r="BK847" s="541"/>
      <c r="BL847" s="541"/>
      <c r="BM847" s="541"/>
      <c r="BP847" s="541"/>
      <c r="BQ847" s="633"/>
      <c r="BR847" s="541"/>
      <c r="BS847" s="541"/>
      <c r="BT847" s="541"/>
      <c r="BU847" s="541"/>
    </row>
    <row r="848" ht="15.75" customHeight="1">
      <c r="A848" s="1591"/>
      <c r="B848" s="1591"/>
      <c r="C848" s="2217"/>
      <c r="D848" s="1541"/>
      <c r="E848" s="906"/>
      <c r="F848" s="541"/>
      <c r="G848" s="541"/>
      <c r="H848" s="541"/>
      <c r="I848" s="541"/>
      <c r="J848" s="1748"/>
      <c r="K848" s="541"/>
      <c r="L848" s="1748"/>
      <c r="M848" s="541"/>
      <c r="N848" s="1748"/>
      <c r="O848" s="541"/>
      <c r="P848" s="1748"/>
      <c r="Q848" s="541"/>
      <c r="R848" s="1748"/>
      <c r="S848" s="541"/>
      <c r="T848" s="1748"/>
      <c r="U848" s="541"/>
      <c r="V848" s="1748"/>
      <c r="W848" s="541"/>
      <c r="X848" s="1748"/>
      <c r="Y848" s="1748"/>
      <c r="Z848" s="1748"/>
      <c r="AA848" s="541"/>
      <c r="AB848" s="1748"/>
      <c r="AC848" s="541"/>
      <c r="AD848" s="541"/>
      <c r="AE848" s="541"/>
      <c r="AF848" s="541"/>
      <c r="AG848" s="541"/>
      <c r="AH848" s="541"/>
      <c r="AI848" s="541"/>
      <c r="AJ848" s="541"/>
      <c r="AK848" s="541"/>
      <c r="AL848" s="541"/>
      <c r="AM848" s="541"/>
      <c r="AN848" s="1748"/>
      <c r="AO848" s="1748"/>
      <c r="AP848" s="1748"/>
      <c r="AQ848" s="1748"/>
      <c r="AR848" s="1748"/>
      <c r="AS848" s="541"/>
      <c r="AT848" s="541"/>
      <c r="AU848" s="541"/>
      <c r="AV848" s="541"/>
      <c r="AW848" s="541"/>
      <c r="AY848" s="541"/>
      <c r="AZ848" s="633"/>
      <c r="BA848" s="541"/>
      <c r="BB848" s="1190"/>
      <c r="BC848" s="541"/>
      <c r="BD848" s="1190"/>
      <c r="BE848" s="541"/>
      <c r="BF848" s="1190"/>
      <c r="BG848" s="541"/>
      <c r="BH848" s="1190"/>
      <c r="BI848" s="541"/>
      <c r="BJ848" s="1190"/>
      <c r="BK848" s="541"/>
      <c r="BL848" s="541"/>
      <c r="BM848" s="541"/>
      <c r="BP848" s="541"/>
      <c r="BQ848" s="633"/>
      <c r="BR848" s="541"/>
      <c r="BS848" s="541"/>
      <c r="BT848" s="541"/>
      <c r="BU848" s="541"/>
    </row>
    <row r="849" ht="15.75" customHeight="1">
      <c r="A849" s="1591"/>
      <c r="B849" s="1591"/>
      <c r="C849" s="2217"/>
      <c r="D849" s="1541"/>
      <c r="E849" s="906"/>
      <c r="F849" s="541"/>
      <c r="G849" s="541"/>
      <c r="H849" s="541"/>
      <c r="I849" s="541"/>
      <c r="J849" s="1748"/>
      <c r="K849" s="541"/>
      <c r="L849" s="1748"/>
      <c r="M849" s="541"/>
      <c r="N849" s="1748"/>
      <c r="O849" s="541"/>
      <c r="P849" s="1748"/>
      <c r="Q849" s="541"/>
      <c r="R849" s="1748"/>
      <c r="S849" s="541"/>
      <c r="T849" s="1748"/>
      <c r="U849" s="541"/>
      <c r="V849" s="1748"/>
      <c r="W849" s="541"/>
      <c r="X849" s="1748"/>
      <c r="Y849" s="1748"/>
      <c r="Z849" s="1748"/>
      <c r="AA849" s="541"/>
      <c r="AB849" s="1748"/>
      <c r="AC849" s="541"/>
      <c r="AD849" s="541"/>
      <c r="AE849" s="541"/>
      <c r="AF849" s="541"/>
      <c r="AG849" s="541"/>
      <c r="AH849" s="541"/>
      <c r="AI849" s="541"/>
      <c r="AJ849" s="541"/>
      <c r="AK849" s="541"/>
      <c r="AL849" s="541"/>
      <c r="AM849" s="541"/>
      <c r="AN849" s="1748"/>
      <c r="AO849" s="1748"/>
      <c r="AP849" s="1748"/>
      <c r="AQ849" s="1748"/>
      <c r="AR849" s="1748"/>
      <c r="AS849" s="541"/>
      <c r="AT849" s="541"/>
      <c r="AU849" s="541"/>
      <c r="AV849" s="541"/>
      <c r="AW849" s="541"/>
      <c r="AY849" s="541"/>
      <c r="AZ849" s="633"/>
      <c r="BA849" s="541"/>
      <c r="BB849" s="1190"/>
      <c r="BC849" s="541"/>
      <c r="BD849" s="1190"/>
      <c r="BE849" s="541"/>
      <c r="BF849" s="1190"/>
      <c r="BG849" s="541"/>
      <c r="BH849" s="1190"/>
      <c r="BI849" s="541"/>
      <c r="BJ849" s="1190"/>
      <c r="BK849" s="541"/>
      <c r="BL849" s="541"/>
      <c r="BM849" s="541"/>
      <c r="BP849" s="541"/>
      <c r="BQ849" s="633"/>
      <c r="BR849" s="541"/>
      <c r="BS849" s="541"/>
      <c r="BT849" s="541"/>
      <c r="BU849" s="541"/>
    </row>
    <row r="850" ht="15.75" customHeight="1">
      <c r="A850" s="1591"/>
      <c r="B850" s="1591"/>
      <c r="C850" s="2217"/>
      <c r="D850" s="1541"/>
      <c r="E850" s="906"/>
      <c r="F850" s="541"/>
      <c r="G850" s="541"/>
      <c r="H850" s="541"/>
      <c r="I850" s="541"/>
      <c r="J850" s="1748"/>
      <c r="K850" s="541"/>
      <c r="L850" s="1748"/>
      <c r="M850" s="541"/>
      <c r="N850" s="1748"/>
      <c r="O850" s="541"/>
      <c r="P850" s="1748"/>
      <c r="Q850" s="541"/>
      <c r="R850" s="1748"/>
      <c r="S850" s="541"/>
      <c r="T850" s="1748"/>
      <c r="U850" s="541"/>
      <c r="V850" s="1748"/>
      <c r="W850" s="541"/>
      <c r="X850" s="1748"/>
      <c r="Y850" s="1748"/>
      <c r="Z850" s="1748"/>
      <c r="AA850" s="541"/>
      <c r="AB850" s="1748"/>
      <c r="AC850" s="541"/>
      <c r="AD850" s="541"/>
      <c r="AE850" s="541"/>
      <c r="AF850" s="541"/>
      <c r="AG850" s="541"/>
      <c r="AH850" s="541"/>
      <c r="AI850" s="541"/>
      <c r="AJ850" s="541"/>
      <c r="AK850" s="541"/>
      <c r="AL850" s="541"/>
      <c r="AM850" s="541"/>
      <c r="AN850" s="1748"/>
      <c r="AO850" s="1748"/>
      <c r="AP850" s="1748"/>
      <c r="AQ850" s="1748"/>
      <c r="AR850" s="1748"/>
      <c r="AS850" s="541"/>
      <c r="AT850" s="541"/>
      <c r="AU850" s="541"/>
      <c r="AV850" s="541"/>
      <c r="AW850" s="541"/>
      <c r="AY850" s="541"/>
      <c r="AZ850" s="633"/>
      <c r="BA850" s="541"/>
      <c r="BB850" s="1190"/>
      <c r="BC850" s="541"/>
      <c r="BD850" s="1190"/>
      <c r="BE850" s="541"/>
      <c r="BF850" s="1190"/>
      <c r="BG850" s="541"/>
      <c r="BH850" s="1190"/>
      <c r="BI850" s="541"/>
      <c r="BJ850" s="1190"/>
      <c r="BK850" s="541"/>
      <c r="BL850" s="541"/>
      <c r="BM850" s="541"/>
      <c r="BP850" s="541"/>
      <c r="BQ850" s="633"/>
      <c r="BR850" s="541"/>
      <c r="BS850" s="541"/>
      <c r="BT850" s="541"/>
      <c r="BU850" s="541"/>
    </row>
    <row r="851" ht="15.75" customHeight="1">
      <c r="A851" s="1591"/>
      <c r="B851" s="1591"/>
      <c r="C851" s="2217"/>
      <c r="D851" s="1541"/>
      <c r="E851" s="906"/>
      <c r="F851" s="541"/>
      <c r="G851" s="541"/>
      <c r="H851" s="541"/>
      <c r="I851" s="541"/>
      <c r="J851" s="1748"/>
      <c r="K851" s="541"/>
      <c r="L851" s="1748"/>
      <c r="M851" s="541"/>
      <c r="N851" s="1748"/>
      <c r="O851" s="541"/>
      <c r="P851" s="1748"/>
      <c r="Q851" s="541"/>
      <c r="R851" s="1748"/>
      <c r="S851" s="541"/>
      <c r="T851" s="1748"/>
      <c r="U851" s="541"/>
      <c r="V851" s="1748"/>
      <c r="W851" s="541"/>
      <c r="X851" s="1748"/>
      <c r="Y851" s="1748"/>
      <c r="Z851" s="1748"/>
      <c r="AA851" s="541"/>
      <c r="AB851" s="1748"/>
      <c r="AC851" s="541"/>
      <c r="AD851" s="541"/>
      <c r="AE851" s="541"/>
      <c r="AF851" s="541"/>
      <c r="AG851" s="541"/>
      <c r="AH851" s="541"/>
      <c r="AI851" s="541"/>
      <c r="AJ851" s="541"/>
      <c r="AK851" s="541"/>
      <c r="AL851" s="541"/>
      <c r="AM851" s="541"/>
      <c r="AN851" s="1748"/>
      <c r="AO851" s="1748"/>
      <c r="AP851" s="1748"/>
      <c r="AQ851" s="1748"/>
      <c r="AR851" s="1748"/>
      <c r="AS851" s="541"/>
      <c r="AT851" s="541"/>
      <c r="AU851" s="541"/>
      <c r="AV851" s="541"/>
      <c r="AW851" s="541"/>
      <c r="AY851" s="541"/>
      <c r="AZ851" s="633"/>
      <c r="BA851" s="541"/>
      <c r="BB851" s="1190"/>
      <c r="BC851" s="541"/>
      <c r="BD851" s="1190"/>
      <c r="BE851" s="541"/>
      <c r="BF851" s="1190"/>
      <c r="BG851" s="541"/>
      <c r="BH851" s="1190"/>
      <c r="BI851" s="541"/>
      <c r="BJ851" s="1190"/>
      <c r="BK851" s="541"/>
      <c r="BL851" s="541"/>
      <c r="BM851" s="541"/>
      <c r="BP851" s="541"/>
      <c r="BQ851" s="633"/>
      <c r="BR851" s="541"/>
      <c r="BS851" s="541"/>
      <c r="BT851" s="541"/>
      <c r="BU851" s="541"/>
    </row>
    <row r="852" ht="15.75" customHeight="1">
      <c r="A852" s="1591"/>
      <c r="B852" s="1591"/>
      <c r="C852" s="2217"/>
      <c r="D852" s="1541"/>
      <c r="E852" s="906"/>
      <c r="F852" s="541"/>
      <c r="G852" s="541"/>
      <c r="H852" s="541"/>
      <c r="I852" s="541"/>
      <c r="J852" s="1748"/>
      <c r="K852" s="541"/>
      <c r="L852" s="1748"/>
      <c r="M852" s="541"/>
      <c r="N852" s="1748"/>
      <c r="O852" s="541"/>
      <c r="P852" s="1748"/>
      <c r="Q852" s="541"/>
      <c r="R852" s="1748"/>
      <c r="S852" s="541"/>
      <c r="T852" s="1748"/>
      <c r="U852" s="541"/>
      <c r="V852" s="1748"/>
      <c r="W852" s="541"/>
      <c r="X852" s="1748"/>
      <c r="Y852" s="1748"/>
      <c r="Z852" s="1748"/>
      <c r="AA852" s="541"/>
      <c r="AB852" s="1748"/>
      <c r="AC852" s="541"/>
      <c r="AD852" s="541"/>
      <c r="AE852" s="541"/>
      <c r="AF852" s="541"/>
      <c r="AG852" s="541"/>
      <c r="AH852" s="541"/>
      <c r="AI852" s="541"/>
      <c r="AJ852" s="541"/>
      <c r="AK852" s="541"/>
      <c r="AL852" s="541"/>
      <c r="AM852" s="541"/>
      <c r="AN852" s="1748"/>
      <c r="AO852" s="1748"/>
      <c r="AP852" s="1748"/>
      <c r="AQ852" s="1748"/>
      <c r="AR852" s="1748"/>
      <c r="AS852" s="541"/>
      <c r="AT852" s="541"/>
      <c r="AU852" s="541"/>
      <c r="AV852" s="541"/>
      <c r="AW852" s="541"/>
      <c r="AY852" s="541"/>
      <c r="AZ852" s="633"/>
      <c r="BA852" s="541"/>
      <c r="BB852" s="1190"/>
      <c r="BC852" s="541"/>
      <c r="BD852" s="1190"/>
      <c r="BE852" s="541"/>
      <c r="BF852" s="1190"/>
      <c r="BG852" s="541"/>
      <c r="BH852" s="1190"/>
      <c r="BI852" s="541"/>
      <c r="BJ852" s="1190"/>
      <c r="BK852" s="541"/>
      <c r="BL852" s="541"/>
      <c r="BM852" s="541"/>
      <c r="BP852" s="541"/>
      <c r="BQ852" s="633"/>
      <c r="BR852" s="541"/>
      <c r="BS852" s="541"/>
      <c r="BT852" s="541"/>
      <c r="BU852" s="541"/>
    </row>
    <row r="853" ht="15.75" customHeight="1">
      <c r="A853" s="1591"/>
      <c r="B853" s="1591"/>
      <c r="C853" s="2217"/>
      <c r="D853" s="1541"/>
      <c r="E853" s="906"/>
      <c r="F853" s="541"/>
      <c r="G853" s="541"/>
      <c r="H853" s="541"/>
      <c r="I853" s="541"/>
      <c r="J853" s="1748"/>
      <c r="K853" s="541"/>
      <c r="L853" s="1748"/>
      <c r="M853" s="541"/>
      <c r="N853" s="1748"/>
      <c r="O853" s="541"/>
      <c r="P853" s="1748"/>
      <c r="Q853" s="541"/>
      <c r="R853" s="1748"/>
      <c r="S853" s="541"/>
      <c r="T853" s="1748"/>
      <c r="U853" s="541"/>
      <c r="V853" s="1748"/>
      <c r="W853" s="541"/>
      <c r="X853" s="1748"/>
      <c r="Y853" s="1748"/>
      <c r="Z853" s="1748"/>
      <c r="AA853" s="541"/>
      <c r="AB853" s="1748"/>
      <c r="AC853" s="541"/>
      <c r="AD853" s="541"/>
      <c r="AE853" s="541"/>
      <c r="AF853" s="541"/>
      <c r="AG853" s="541"/>
      <c r="AH853" s="541"/>
      <c r="AI853" s="541"/>
      <c r="AJ853" s="541"/>
      <c r="AK853" s="541"/>
      <c r="AL853" s="541"/>
      <c r="AM853" s="541"/>
      <c r="AN853" s="1748"/>
      <c r="AO853" s="1748"/>
      <c r="AP853" s="1748"/>
      <c r="AQ853" s="1748"/>
      <c r="AR853" s="1748"/>
      <c r="AS853" s="541"/>
      <c r="AT853" s="541"/>
      <c r="AU853" s="541"/>
      <c r="AV853" s="541"/>
      <c r="AW853" s="541"/>
      <c r="AY853" s="541"/>
      <c r="AZ853" s="633"/>
      <c r="BA853" s="541"/>
      <c r="BB853" s="1190"/>
      <c r="BC853" s="541"/>
      <c r="BD853" s="1190"/>
      <c r="BE853" s="541"/>
      <c r="BF853" s="1190"/>
      <c r="BG853" s="541"/>
      <c r="BH853" s="1190"/>
      <c r="BI853" s="541"/>
      <c r="BJ853" s="1190"/>
      <c r="BK853" s="541"/>
      <c r="BL853" s="541"/>
      <c r="BM853" s="541"/>
      <c r="BP853" s="541"/>
      <c r="BQ853" s="633"/>
      <c r="BR853" s="541"/>
      <c r="BS853" s="541"/>
      <c r="BT853" s="541"/>
      <c r="BU853" s="541"/>
    </row>
    <row r="854" ht="15.75" customHeight="1">
      <c r="A854" s="1591"/>
      <c r="B854" s="1591"/>
      <c r="C854" s="2217"/>
      <c r="D854" s="1541"/>
      <c r="E854" s="906"/>
      <c r="F854" s="541"/>
      <c r="G854" s="541"/>
      <c r="H854" s="541"/>
      <c r="I854" s="541"/>
      <c r="J854" s="1748"/>
      <c r="K854" s="541"/>
      <c r="L854" s="1748"/>
      <c r="M854" s="541"/>
      <c r="N854" s="1748"/>
      <c r="O854" s="541"/>
      <c r="P854" s="1748"/>
      <c r="Q854" s="541"/>
      <c r="R854" s="1748"/>
      <c r="S854" s="541"/>
      <c r="T854" s="1748"/>
      <c r="U854" s="541"/>
      <c r="V854" s="1748"/>
      <c r="W854" s="541"/>
      <c r="X854" s="1748"/>
      <c r="Y854" s="1748"/>
      <c r="Z854" s="1748"/>
      <c r="AA854" s="541"/>
      <c r="AB854" s="1748"/>
      <c r="AC854" s="541"/>
      <c r="AD854" s="541"/>
      <c r="AE854" s="541"/>
      <c r="AF854" s="541"/>
      <c r="AG854" s="541"/>
      <c r="AH854" s="541"/>
      <c r="AI854" s="541"/>
      <c r="AJ854" s="541"/>
      <c r="AK854" s="541"/>
      <c r="AL854" s="541"/>
      <c r="AM854" s="541"/>
      <c r="AN854" s="1748"/>
      <c r="AO854" s="1748"/>
      <c r="AP854" s="1748"/>
      <c r="AQ854" s="1748"/>
      <c r="AR854" s="1748"/>
      <c r="AS854" s="541"/>
      <c r="AT854" s="541"/>
      <c r="AU854" s="541"/>
      <c r="AV854" s="541"/>
      <c r="AW854" s="541"/>
      <c r="AY854" s="541"/>
      <c r="AZ854" s="633"/>
      <c r="BA854" s="541"/>
      <c r="BB854" s="1190"/>
      <c r="BC854" s="541"/>
      <c r="BD854" s="1190"/>
      <c r="BE854" s="541"/>
      <c r="BF854" s="1190"/>
      <c r="BG854" s="541"/>
      <c r="BH854" s="1190"/>
      <c r="BI854" s="541"/>
      <c r="BJ854" s="1190"/>
      <c r="BK854" s="541"/>
      <c r="BL854" s="541"/>
      <c r="BM854" s="541"/>
      <c r="BP854" s="541"/>
      <c r="BQ854" s="633"/>
      <c r="BR854" s="541"/>
      <c r="BS854" s="541"/>
      <c r="BT854" s="541"/>
      <c r="BU854" s="541"/>
    </row>
    <row r="855" ht="15.75" customHeight="1">
      <c r="A855" s="1591"/>
      <c r="B855" s="1591"/>
      <c r="C855" s="2217"/>
      <c r="D855" s="1541"/>
      <c r="E855" s="906"/>
      <c r="F855" s="541"/>
      <c r="G855" s="541"/>
      <c r="H855" s="541"/>
      <c r="I855" s="541"/>
      <c r="J855" s="1748"/>
      <c r="K855" s="541"/>
      <c r="L855" s="1748"/>
      <c r="M855" s="541"/>
      <c r="N855" s="1748"/>
      <c r="O855" s="541"/>
      <c r="P855" s="1748"/>
      <c r="Q855" s="541"/>
      <c r="R855" s="1748"/>
      <c r="S855" s="541"/>
      <c r="T855" s="1748"/>
      <c r="U855" s="541"/>
      <c r="V855" s="1748"/>
      <c r="W855" s="541"/>
      <c r="X855" s="1748"/>
      <c r="Y855" s="1748"/>
      <c r="Z855" s="1748"/>
      <c r="AA855" s="541"/>
      <c r="AB855" s="1748"/>
      <c r="AC855" s="541"/>
      <c r="AD855" s="541"/>
      <c r="AE855" s="541"/>
      <c r="AF855" s="541"/>
      <c r="AG855" s="541"/>
      <c r="AH855" s="541"/>
      <c r="AI855" s="541"/>
      <c r="AJ855" s="541"/>
      <c r="AK855" s="541"/>
      <c r="AL855" s="541"/>
      <c r="AM855" s="541"/>
      <c r="AN855" s="1748"/>
      <c r="AO855" s="1748"/>
      <c r="AP855" s="1748"/>
      <c r="AQ855" s="1748"/>
      <c r="AR855" s="1748"/>
      <c r="AS855" s="541"/>
      <c r="AT855" s="541"/>
      <c r="AU855" s="541"/>
      <c r="AV855" s="541"/>
      <c r="AW855" s="541"/>
      <c r="AY855" s="541"/>
      <c r="AZ855" s="633"/>
      <c r="BA855" s="541"/>
      <c r="BB855" s="1190"/>
      <c r="BC855" s="541"/>
      <c r="BD855" s="1190"/>
      <c r="BE855" s="541"/>
      <c r="BF855" s="1190"/>
      <c r="BG855" s="541"/>
      <c r="BH855" s="1190"/>
      <c r="BI855" s="541"/>
      <c r="BJ855" s="1190"/>
      <c r="BK855" s="541"/>
      <c r="BL855" s="541"/>
      <c r="BM855" s="541"/>
      <c r="BP855" s="541"/>
      <c r="BQ855" s="633"/>
      <c r="BR855" s="541"/>
      <c r="BS855" s="541"/>
      <c r="BT855" s="541"/>
      <c r="BU855" s="541"/>
    </row>
    <row r="856" ht="15.75" customHeight="1">
      <c r="A856" s="1591"/>
      <c r="B856" s="1591"/>
      <c r="C856" s="2217"/>
      <c r="D856" s="1541"/>
      <c r="E856" s="906"/>
      <c r="F856" s="541"/>
      <c r="G856" s="541"/>
      <c r="H856" s="541"/>
      <c r="I856" s="541"/>
      <c r="J856" s="1748"/>
      <c r="K856" s="541"/>
      <c r="L856" s="1748"/>
      <c r="M856" s="541"/>
      <c r="N856" s="1748"/>
      <c r="O856" s="541"/>
      <c r="P856" s="1748"/>
      <c r="Q856" s="541"/>
      <c r="R856" s="1748"/>
      <c r="S856" s="541"/>
      <c r="T856" s="1748"/>
      <c r="U856" s="541"/>
      <c r="V856" s="1748"/>
      <c r="W856" s="541"/>
      <c r="X856" s="1748"/>
      <c r="Y856" s="1748"/>
      <c r="Z856" s="1748"/>
      <c r="AA856" s="541"/>
      <c r="AB856" s="1748"/>
      <c r="AC856" s="541"/>
      <c r="AD856" s="541"/>
      <c r="AE856" s="541"/>
      <c r="AF856" s="541"/>
      <c r="AG856" s="541"/>
      <c r="AH856" s="541"/>
      <c r="AI856" s="541"/>
      <c r="AJ856" s="541"/>
      <c r="AK856" s="541"/>
      <c r="AL856" s="541"/>
      <c r="AM856" s="541"/>
      <c r="AN856" s="1748"/>
      <c r="AO856" s="1748"/>
      <c r="AP856" s="1748"/>
      <c r="AQ856" s="1748"/>
      <c r="AR856" s="1748"/>
      <c r="AS856" s="541"/>
      <c r="AT856" s="541"/>
      <c r="AU856" s="541"/>
      <c r="AV856" s="541"/>
      <c r="AW856" s="541"/>
      <c r="AY856" s="541"/>
      <c r="AZ856" s="633"/>
      <c r="BA856" s="541"/>
      <c r="BB856" s="1190"/>
      <c r="BC856" s="541"/>
      <c r="BD856" s="1190"/>
      <c r="BE856" s="541"/>
      <c r="BF856" s="1190"/>
      <c r="BG856" s="541"/>
      <c r="BH856" s="1190"/>
      <c r="BI856" s="541"/>
      <c r="BJ856" s="1190"/>
      <c r="BK856" s="541"/>
      <c r="BL856" s="541"/>
      <c r="BM856" s="541"/>
      <c r="BP856" s="541"/>
      <c r="BQ856" s="633"/>
      <c r="BR856" s="541"/>
      <c r="BS856" s="541"/>
      <c r="BT856" s="541"/>
      <c r="BU856" s="541"/>
    </row>
    <row r="857" ht="15.75" customHeight="1">
      <c r="A857" s="1591"/>
      <c r="B857" s="1591"/>
      <c r="C857" s="2217"/>
      <c r="D857" s="1541"/>
      <c r="E857" s="906"/>
      <c r="F857" s="541"/>
      <c r="G857" s="541"/>
      <c r="H857" s="541"/>
      <c r="I857" s="541"/>
      <c r="J857" s="1748"/>
      <c r="K857" s="541"/>
      <c r="L857" s="1748"/>
      <c r="M857" s="541"/>
      <c r="N857" s="1748"/>
      <c r="O857" s="541"/>
      <c r="P857" s="1748"/>
      <c r="Q857" s="541"/>
      <c r="R857" s="1748"/>
      <c r="S857" s="541"/>
      <c r="T857" s="1748"/>
      <c r="U857" s="541"/>
      <c r="V857" s="1748"/>
      <c r="W857" s="541"/>
      <c r="X857" s="1748"/>
      <c r="Y857" s="1748"/>
      <c r="Z857" s="1748"/>
      <c r="AA857" s="541"/>
      <c r="AB857" s="1748"/>
      <c r="AC857" s="541"/>
      <c r="AD857" s="541"/>
      <c r="AE857" s="541"/>
      <c r="AF857" s="541"/>
      <c r="AG857" s="541"/>
      <c r="AH857" s="541"/>
      <c r="AI857" s="541"/>
      <c r="AJ857" s="541"/>
      <c r="AK857" s="541"/>
      <c r="AL857" s="541"/>
      <c r="AM857" s="541"/>
      <c r="AN857" s="1748"/>
      <c r="AO857" s="1748"/>
      <c r="AP857" s="1748"/>
      <c r="AQ857" s="1748"/>
      <c r="AR857" s="1748"/>
      <c r="AS857" s="541"/>
      <c r="AT857" s="541"/>
      <c r="AU857" s="541"/>
      <c r="AV857" s="541"/>
      <c r="AW857" s="541"/>
      <c r="AY857" s="541"/>
      <c r="AZ857" s="633"/>
      <c r="BA857" s="541"/>
      <c r="BB857" s="1190"/>
      <c r="BC857" s="541"/>
      <c r="BD857" s="1190"/>
      <c r="BE857" s="541"/>
      <c r="BF857" s="1190"/>
      <c r="BG857" s="541"/>
      <c r="BH857" s="1190"/>
      <c r="BI857" s="541"/>
      <c r="BJ857" s="1190"/>
      <c r="BK857" s="541"/>
      <c r="BL857" s="541"/>
      <c r="BM857" s="541"/>
      <c r="BP857" s="541"/>
      <c r="BQ857" s="633"/>
      <c r="BR857" s="541"/>
      <c r="BS857" s="541"/>
      <c r="BT857" s="541"/>
      <c r="BU857" s="541"/>
    </row>
    <row r="858" ht="15.75" customHeight="1">
      <c r="A858" s="1591"/>
      <c r="B858" s="1591"/>
      <c r="C858" s="2217"/>
      <c r="D858" s="1541"/>
      <c r="E858" s="906"/>
      <c r="F858" s="541"/>
      <c r="G858" s="541"/>
      <c r="H858" s="541"/>
      <c r="I858" s="541"/>
      <c r="J858" s="1748"/>
      <c r="K858" s="541"/>
      <c r="L858" s="1748"/>
      <c r="M858" s="541"/>
      <c r="N858" s="1748"/>
      <c r="O858" s="541"/>
      <c r="P858" s="1748"/>
      <c r="Q858" s="541"/>
      <c r="R858" s="1748"/>
      <c r="S858" s="541"/>
      <c r="T858" s="1748"/>
      <c r="U858" s="541"/>
      <c r="V858" s="1748"/>
      <c r="W858" s="541"/>
      <c r="X858" s="1748"/>
      <c r="Y858" s="1748"/>
      <c r="Z858" s="1748"/>
      <c r="AA858" s="541"/>
      <c r="AB858" s="1748"/>
      <c r="AC858" s="541"/>
      <c r="AD858" s="541"/>
      <c r="AE858" s="541"/>
      <c r="AF858" s="541"/>
      <c r="AG858" s="541"/>
      <c r="AH858" s="541"/>
      <c r="AI858" s="541"/>
      <c r="AJ858" s="541"/>
      <c r="AK858" s="541"/>
      <c r="AL858" s="541"/>
      <c r="AM858" s="541"/>
      <c r="AN858" s="1748"/>
      <c r="AO858" s="1748"/>
      <c r="AP858" s="1748"/>
      <c r="AQ858" s="1748"/>
      <c r="AR858" s="1748"/>
      <c r="AS858" s="541"/>
      <c r="AT858" s="541"/>
      <c r="AU858" s="541"/>
      <c r="AV858" s="541"/>
      <c r="AW858" s="541"/>
      <c r="AY858" s="541"/>
      <c r="AZ858" s="633"/>
      <c r="BA858" s="541"/>
      <c r="BB858" s="1190"/>
      <c r="BC858" s="541"/>
      <c r="BD858" s="1190"/>
      <c r="BE858" s="541"/>
      <c r="BF858" s="1190"/>
      <c r="BG858" s="541"/>
      <c r="BH858" s="1190"/>
      <c r="BI858" s="541"/>
      <c r="BJ858" s="1190"/>
      <c r="BK858" s="541"/>
      <c r="BL858" s="541"/>
      <c r="BM858" s="541"/>
      <c r="BP858" s="541"/>
      <c r="BQ858" s="633"/>
      <c r="BR858" s="541"/>
      <c r="BS858" s="541"/>
      <c r="BT858" s="541"/>
      <c r="BU858" s="541"/>
    </row>
    <row r="859" ht="15.75" customHeight="1">
      <c r="A859" s="1591"/>
      <c r="B859" s="1591"/>
      <c r="C859" s="2217"/>
      <c r="D859" s="1541"/>
      <c r="E859" s="906"/>
      <c r="F859" s="541"/>
      <c r="G859" s="541"/>
      <c r="H859" s="541"/>
      <c r="I859" s="541"/>
      <c r="J859" s="1748"/>
      <c r="K859" s="541"/>
      <c r="L859" s="1748"/>
      <c r="M859" s="541"/>
      <c r="N859" s="1748"/>
      <c r="O859" s="541"/>
      <c r="P859" s="1748"/>
      <c r="Q859" s="541"/>
      <c r="R859" s="1748"/>
      <c r="S859" s="541"/>
      <c r="T859" s="1748"/>
      <c r="U859" s="541"/>
      <c r="V859" s="1748"/>
      <c r="W859" s="541"/>
      <c r="X859" s="1748"/>
      <c r="Y859" s="1748"/>
      <c r="Z859" s="1748"/>
      <c r="AA859" s="541"/>
      <c r="AB859" s="1748"/>
      <c r="AC859" s="541"/>
      <c r="AD859" s="541"/>
      <c r="AE859" s="541"/>
      <c r="AF859" s="541"/>
      <c r="AG859" s="541"/>
      <c r="AH859" s="541"/>
      <c r="AI859" s="541"/>
      <c r="AJ859" s="541"/>
      <c r="AK859" s="541"/>
      <c r="AL859" s="541"/>
      <c r="AM859" s="541"/>
      <c r="AN859" s="1748"/>
      <c r="AO859" s="1748"/>
      <c r="AP859" s="1748"/>
      <c r="AQ859" s="1748"/>
      <c r="AR859" s="1748"/>
      <c r="AS859" s="541"/>
      <c r="AT859" s="541"/>
      <c r="AU859" s="541"/>
      <c r="AV859" s="541"/>
      <c r="AW859" s="541"/>
      <c r="AY859" s="541"/>
      <c r="AZ859" s="633"/>
      <c r="BA859" s="541"/>
      <c r="BB859" s="1190"/>
      <c r="BC859" s="541"/>
      <c r="BD859" s="1190"/>
      <c r="BE859" s="541"/>
      <c r="BF859" s="1190"/>
      <c r="BG859" s="541"/>
      <c r="BH859" s="1190"/>
      <c r="BI859" s="541"/>
      <c r="BJ859" s="1190"/>
      <c r="BK859" s="541"/>
      <c r="BL859" s="541"/>
      <c r="BM859" s="541"/>
      <c r="BP859" s="541"/>
      <c r="BQ859" s="633"/>
      <c r="BR859" s="541"/>
      <c r="BS859" s="541"/>
      <c r="BT859" s="541"/>
      <c r="BU859" s="541"/>
    </row>
    <row r="860" ht="15.75" customHeight="1">
      <c r="A860" s="1591"/>
      <c r="B860" s="1591"/>
      <c r="C860" s="2217"/>
      <c r="D860" s="1541"/>
      <c r="E860" s="906"/>
      <c r="F860" s="541"/>
      <c r="G860" s="541"/>
      <c r="H860" s="541"/>
      <c r="I860" s="541"/>
      <c r="J860" s="1748"/>
      <c r="K860" s="541"/>
      <c r="L860" s="1748"/>
      <c r="M860" s="541"/>
      <c r="N860" s="1748"/>
      <c r="O860" s="541"/>
      <c r="P860" s="1748"/>
      <c r="Q860" s="541"/>
      <c r="R860" s="1748"/>
      <c r="S860" s="541"/>
      <c r="T860" s="1748"/>
      <c r="U860" s="541"/>
      <c r="V860" s="1748"/>
      <c r="W860" s="541"/>
      <c r="X860" s="1748"/>
      <c r="Y860" s="1748"/>
      <c r="Z860" s="1748"/>
      <c r="AA860" s="541"/>
      <c r="AB860" s="1748"/>
      <c r="AC860" s="541"/>
      <c r="AD860" s="541"/>
      <c r="AE860" s="541"/>
      <c r="AF860" s="541"/>
      <c r="AG860" s="541"/>
      <c r="AH860" s="541"/>
      <c r="AI860" s="541"/>
      <c r="AJ860" s="541"/>
      <c r="AK860" s="541"/>
      <c r="AL860" s="541"/>
      <c r="AM860" s="541"/>
      <c r="AN860" s="1748"/>
      <c r="AO860" s="1748"/>
      <c r="AP860" s="1748"/>
      <c r="AQ860" s="1748"/>
      <c r="AR860" s="1748"/>
      <c r="AS860" s="541"/>
      <c r="AT860" s="541"/>
      <c r="AU860" s="541"/>
      <c r="AV860" s="541"/>
      <c r="AW860" s="541"/>
      <c r="AY860" s="541"/>
      <c r="AZ860" s="633"/>
      <c r="BA860" s="541"/>
      <c r="BB860" s="1190"/>
      <c r="BC860" s="541"/>
      <c r="BD860" s="1190"/>
      <c r="BE860" s="541"/>
      <c r="BF860" s="1190"/>
      <c r="BG860" s="541"/>
      <c r="BH860" s="1190"/>
      <c r="BI860" s="541"/>
      <c r="BJ860" s="1190"/>
      <c r="BK860" s="541"/>
      <c r="BL860" s="541"/>
      <c r="BM860" s="541"/>
      <c r="BP860" s="541"/>
      <c r="BQ860" s="633"/>
      <c r="BR860" s="541"/>
      <c r="BS860" s="541"/>
      <c r="BT860" s="541"/>
      <c r="BU860" s="541"/>
    </row>
    <row r="861" ht="15.75" customHeight="1">
      <c r="A861" s="1591"/>
      <c r="B861" s="1591"/>
      <c r="C861" s="2217"/>
      <c r="D861" s="1541"/>
      <c r="E861" s="906"/>
      <c r="F861" s="541"/>
      <c r="G861" s="541"/>
      <c r="H861" s="541"/>
      <c r="I861" s="541"/>
      <c r="J861" s="1748"/>
      <c r="K861" s="541"/>
      <c r="L861" s="1748"/>
      <c r="M861" s="541"/>
      <c r="N861" s="1748"/>
      <c r="O861" s="541"/>
      <c r="P861" s="1748"/>
      <c r="Q861" s="541"/>
      <c r="R861" s="1748"/>
      <c r="S861" s="541"/>
      <c r="T861" s="1748"/>
      <c r="U861" s="541"/>
      <c r="V861" s="1748"/>
      <c r="W861" s="541"/>
      <c r="X861" s="1748"/>
      <c r="Y861" s="1748"/>
      <c r="Z861" s="1748"/>
      <c r="AA861" s="541"/>
      <c r="AB861" s="1748"/>
      <c r="AC861" s="541"/>
      <c r="AD861" s="541"/>
      <c r="AE861" s="541"/>
      <c r="AF861" s="541"/>
      <c r="AG861" s="541"/>
      <c r="AH861" s="541"/>
      <c r="AI861" s="541"/>
      <c r="AJ861" s="541"/>
      <c r="AK861" s="541"/>
      <c r="AL861" s="541"/>
      <c r="AM861" s="541"/>
      <c r="AN861" s="1748"/>
      <c r="AO861" s="1748"/>
      <c r="AP861" s="1748"/>
      <c r="AQ861" s="1748"/>
      <c r="AR861" s="1748"/>
      <c r="AS861" s="541"/>
      <c r="AT861" s="541"/>
      <c r="AU861" s="541"/>
      <c r="AV861" s="541"/>
      <c r="AW861" s="541"/>
      <c r="AY861" s="541"/>
      <c r="AZ861" s="633"/>
      <c r="BA861" s="541"/>
      <c r="BB861" s="1190"/>
      <c r="BC861" s="541"/>
      <c r="BD861" s="1190"/>
      <c r="BE861" s="541"/>
      <c r="BF861" s="1190"/>
      <c r="BG861" s="541"/>
      <c r="BH861" s="1190"/>
      <c r="BI861" s="541"/>
      <c r="BJ861" s="1190"/>
      <c r="BK861" s="541"/>
      <c r="BL861" s="541"/>
      <c r="BM861" s="541"/>
      <c r="BP861" s="541"/>
      <c r="BQ861" s="633"/>
      <c r="BR861" s="541"/>
      <c r="BS861" s="541"/>
      <c r="BT861" s="541"/>
      <c r="BU861" s="541"/>
    </row>
    <row r="862" ht="15.75" customHeight="1">
      <c r="A862" s="1591"/>
      <c r="B862" s="1591"/>
      <c r="C862" s="2217"/>
      <c r="D862" s="1541"/>
      <c r="E862" s="906"/>
      <c r="F862" s="541"/>
      <c r="G862" s="541"/>
      <c r="H862" s="541"/>
      <c r="I862" s="541"/>
      <c r="J862" s="1748"/>
      <c r="K862" s="541"/>
      <c r="L862" s="1748"/>
      <c r="M862" s="541"/>
      <c r="N862" s="1748"/>
      <c r="O862" s="541"/>
      <c r="P862" s="1748"/>
      <c r="Q862" s="541"/>
      <c r="R862" s="1748"/>
      <c r="S862" s="541"/>
      <c r="T862" s="1748"/>
      <c r="U862" s="541"/>
      <c r="V862" s="1748"/>
      <c r="W862" s="541"/>
      <c r="X862" s="1748"/>
      <c r="Y862" s="1748"/>
      <c r="Z862" s="1748"/>
      <c r="AA862" s="541"/>
      <c r="AB862" s="1748"/>
      <c r="AC862" s="541"/>
      <c r="AD862" s="541"/>
      <c r="AE862" s="541"/>
      <c r="AF862" s="541"/>
      <c r="AG862" s="541"/>
      <c r="AH862" s="541"/>
      <c r="AI862" s="541"/>
      <c r="AJ862" s="541"/>
      <c r="AK862" s="541"/>
      <c r="AL862" s="541"/>
      <c r="AM862" s="541"/>
      <c r="AN862" s="1748"/>
      <c r="AO862" s="1748"/>
      <c r="AP862" s="1748"/>
      <c r="AQ862" s="1748"/>
      <c r="AR862" s="1748"/>
      <c r="AS862" s="541"/>
      <c r="AT862" s="541"/>
      <c r="AU862" s="541"/>
      <c r="AV862" s="541"/>
      <c r="AW862" s="541"/>
      <c r="AY862" s="541"/>
      <c r="AZ862" s="633"/>
      <c r="BA862" s="541"/>
      <c r="BB862" s="1190"/>
      <c r="BC862" s="541"/>
      <c r="BD862" s="1190"/>
      <c r="BE862" s="541"/>
      <c r="BF862" s="1190"/>
      <c r="BG862" s="541"/>
      <c r="BH862" s="1190"/>
      <c r="BI862" s="541"/>
      <c r="BJ862" s="1190"/>
      <c r="BK862" s="541"/>
      <c r="BL862" s="541"/>
      <c r="BM862" s="541"/>
      <c r="BP862" s="541"/>
      <c r="BQ862" s="633"/>
      <c r="BR862" s="541"/>
      <c r="BS862" s="541"/>
      <c r="BT862" s="541"/>
      <c r="BU862" s="541"/>
    </row>
    <row r="863" ht="15.75" customHeight="1">
      <c r="A863" s="1591"/>
      <c r="B863" s="1591"/>
      <c r="C863" s="2217"/>
      <c r="D863" s="1541"/>
      <c r="E863" s="906"/>
      <c r="F863" s="541"/>
      <c r="G863" s="541"/>
      <c r="H863" s="541"/>
      <c r="I863" s="541"/>
      <c r="J863" s="1748"/>
      <c r="K863" s="541"/>
      <c r="L863" s="1748"/>
      <c r="M863" s="541"/>
      <c r="N863" s="1748"/>
      <c r="O863" s="541"/>
      <c r="P863" s="1748"/>
      <c r="Q863" s="541"/>
      <c r="R863" s="1748"/>
      <c r="S863" s="541"/>
      <c r="T863" s="1748"/>
      <c r="U863" s="541"/>
      <c r="V863" s="1748"/>
      <c r="W863" s="541"/>
      <c r="X863" s="1748"/>
      <c r="Y863" s="1748"/>
      <c r="Z863" s="1748"/>
      <c r="AA863" s="541"/>
      <c r="AB863" s="1748"/>
      <c r="AC863" s="541"/>
      <c r="AD863" s="541"/>
      <c r="AE863" s="541"/>
      <c r="AF863" s="541"/>
      <c r="AG863" s="541"/>
      <c r="AH863" s="541"/>
      <c r="AI863" s="541"/>
      <c r="AJ863" s="541"/>
      <c r="AK863" s="541"/>
      <c r="AL863" s="541"/>
      <c r="AM863" s="541"/>
      <c r="AN863" s="1748"/>
      <c r="AO863" s="1748"/>
      <c r="AP863" s="1748"/>
      <c r="AQ863" s="1748"/>
      <c r="AR863" s="1748"/>
      <c r="AS863" s="541"/>
      <c r="AT863" s="541"/>
      <c r="AU863" s="541"/>
      <c r="AV863" s="541"/>
      <c r="AW863" s="541"/>
      <c r="AY863" s="541"/>
      <c r="AZ863" s="633"/>
      <c r="BA863" s="541"/>
      <c r="BB863" s="1190"/>
      <c r="BC863" s="541"/>
      <c r="BD863" s="1190"/>
      <c r="BE863" s="541"/>
      <c r="BF863" s="1190"/>
      <c r="BG863" s="541"/>
      <c r="BH863" s="1190"/>
      <c r="BI863" s="541"/>
      <c r="BJ863" s="1190"/>
      <c r="BK863" s="541"/>
      <c r="BL863" s="541"/>
      <c r="BM863" s="541"/>
      <c r="BP863" s="541"/>
      <c r="BQ863" s="633"/>
      <c r="BR863" s="541"/>
      <c r="BS863" s="541"/>
      <c r="BT863" s="541"/>
      <c r="BU863" s="541"/>
    </row>
    <row r="864" ht="15.75" customHeight="1">
      <c r="A864" s="1591"/>
      <c r="B864" s="1591"/>
      <c r="C864" s="2217"/>
      <c r="D864" s="1541"/>
      <c r="E864" s="906"/>
      <c r="F864" s="541"/>
      <c r="G864" s="541"/>
      <c r="H864" s="541"/>
      <c r="I864" s="541"/>
      <c r="J864" s="1748"/>
      <c r="K864" s="541"/>
      <c r="L864" s="1748"/>
      <c r="M864" s="541"/>
      <c r="N864" s="1748"/>
      <c r="O864" s="541"/>
      <c r="P864" s="1748"/>
      <c r="Q864" s="541"/>
      <c r="R864" s="1748"/>
      <c r="S864" s="541"/>
      <c r="T864" s="1748"/>
      <c r="U864" s="541"/>
      <c r="V864" s="1748"/>
      <c r="W864" s="541"/>
      <c r="X864" s="1748"/>
      <c r="Y864" s="1748"/>
      <c r="Z864" s="1748"/>
      <c r="AA864" s="541"/>
      <c r="AB864" s="1748"/>
      <c r="AC864" s="541"/>
      <c r="AD864" s="541"/>
      <c r="AE864" s="541"/>
      <c r="AF864" s="541"/>
      <c r="AG864" s="541"/>
      <c r="AH864" s="541"/>
      <c r="AI864" s="541"/>
      <c r="AJ864" s="541"/>
      <c r="AK864" s="541"/>
      <c r="AL864" s="541"/>
      <c r="AM864" s="541"/>
      <c r="AN864" s="1748"/>
      <c r="AO864" s="1748"/>
      <c r="AP864" s="1748"/>
      <c r="AQ864" s="1748"/>
      <c r="AR864" s="1748"/>
      <c r="AS864" s="541"/>
      <c r="AT864" s="541"/>
      <c r="AU864" s="541"/>
      <c r="AV864" s="541"/>
      <c r="AW864" s="541"/>
      <c r="AY864" s="541"/>
      <c r="AZ864" s="633"/>
      <c r="BA864" s="541"/>
      <c r="BB864" s="1190"/>
      <c r="BC864" s="541"/>
      <c r="BD864" s="1190"/>
      <c r="BE864" s="541"/>
      <c r="BF864" s="1190"/>
      <c r="BG864" s="541"/>
      <c r="BH864" s="1190"/>
      <c r="BI864" s="541"/>
      <c r="BJ864" s="1190"/>
      <c r="BK864" s="541"/>
      <c r="BL864" s="541"/>
      <c r="BM864" s="541"/>
      <c r="BP864" s="541"/>
      <c r="BQ864" s="633"/>
      <c r="BR864" s="541"/>
      <c r="BS864" s="541"/>
      <c r="BT864" s="541"/>
      <c r="BU864" s="541"/>
    </row>
    <row r="865" ht="15.75" customHeight="1">
      <c r="A865" s="1591"/>
      <c r="B865" s="1591"/>
      <c r="C865" s="2217"/>
      <c r="D865" s="1541"/>
      <c r="E865" s="906"/>
      <c r="F865" s="541"/>
      <c r="G865" s="541"/>
      <c r="H865" s="541"/>
      <c r="I865" s="541"/>
      <c r="J865" s="1748"/>
      <c r="K865" s="541"/>
      <c r="L865" s="1748"/>
      <c r="M865" s="541"/>
      <c r="N865" s="1748"/>
      <c r="O865" s="541"/>
      <c r="P865" s="1748"/>
      <c r="Q865" s="541"/>
      <c r="R865" s="1748"/>
      <c r="S865" s="541"/>
      <c r="T865" s="1748"/>
      <c r="U865" s="541"/>
      <c r="V865" s="1748"/>
      <c r="W865" s="541"/>
      <c r="X865" s="1748"/>
      <c r="Y865" s="1748"/>
      <c r="Z865" s="1748"/>
      <c r="AA865" s="541"/>
      <c r="AB865" s="1748"/>
      <c r="AC865" s="541"/>
      <c r="AD865" s="541"/>
      <c r="AE865" s="541"/>
      <c r="AF865" s="541"/>
      <c r="AG865" s="541"/>
      <c r="AH865" s="541"/>
      <c r="AI865" s="541"/>
      <c r="AJ865" s="541"/>
      <c r="AK865" s="541"/>
      <c r="AL865" s="541"/>
      <c r="AM865" s="541"/>
      <c r="AN865" s="1748"/>
      <c r="AO865" s="1748"/>
      <c r="AP865" s="1748"/>
      <c r="AQ865" s="1748"/>
      <c r="AR865" s="1748"/>
      <c r="AS865" s="541"/>
      <c r="AT865" s="541"/>
      <c r="AU865" s="541"/>
      <c r="AV865" s="541"/>
      <c r="AW865" s="541"/>
      <c r="AY865" s="541"/>
      <c r="AZ865" s="633"/>
      <c r="BA865" s="541"/>
      <c r="BB865" s="1190"/>
      <c r="BC865" s="541"/>
      <c r="BD865" s="1190"/>
      <c r="BE865" s="541"/>
      <c r="BF865" s="1190"/>
      <c r="BG865" s="541"/>
      <c r="BH865" s="1190"/>
      <c r="BI865" s="541"/>
      <c r="BJ865" s="1190"/>
      <c r="BK865" s="541"/>
      <c r="BL865" s="541"/>
      <c r="BM865" s="541"/>
      <c r="BP865" s="541"/>
      <c r="BQ865" s="633"/>
      <c r="BR865" s="541"/>
      <c r="BS865" s="541"/>
      <c r="BT865" s="541"/>
      <c r="BU865" s="541"/>
    </row>
    <row r="866" ht="15.75" customHeight="1">
      <c r="A866" s="1591"/>
      <c r="B866" s="1591"/>
      <c r="C866" s="2217"/>
      <c r="D866" s="1541"/>
      <c r="E866" s="906"/>
      <c r="F866" s="541"/>
      <c r="G866" s="541"/>
      <c r="H866" s="541"/>
      <c r="I866" s="541"/>
      <c r="J866" s="1748"/>
      <c r="K866" s="541"/>
      <c r="L866" s="1748"/>
      <c r="M866" s="541"/>
      <c r="N866" s="1748"/>
      <c r="O866" s="541"/>
      <c r="P866" s="1748"/>
      <c r="Q866" s="541"/>
      <c r="R866" s="1748"/>
      <c r="S866" s="541"/>
      <c r="T866" s="1748"/>
      <c r="U866" s="541"/>
      <c r="V866" s="1748"/>
      <c r="W866" s="541"/>
      <c r="X866" s="1748"/>
      <c r="Y866" s="1748"/>
      <c r="Z866" s="1748"/>
      <c r="AA866" s="541"/>
      <c r="AB866" s="1748"/>
      <c r="AC866" s="541"/>
      <c r="AD866" s="541"/>
      <c r="AE866" s="541"/>
      <c r="AF866" s="541"/>
      <c r="AG866" s="541"/>
      <c r="AH866" s="541"/>
      <c r="AI866" s="541"/>
      <c r="AJ866" s="541"/>
      <c r="AK866" s="541"/>
      <c r="AL866" s="541"/>
      <c r="AM866" s="541"/>
      <c r="AN866" s="1748"/>
      <c r="AO866" s="1748"/>
      <c r="AP866" s="1748"/>
      <c r="AQ866" s="1748"/>
      <c r="AR866" s="1748"/>
      <c r="AS866" s="541"/>
      <c r="AT866" s="541"/>
      <c r="AU866" s="541"/>
      <c r="AV866" s="541"/>
      <c r="AW866" s="541"/>
      <c r="AY866" s="541"/>
      <c r="AZ866" s="633"/>
      <c r="BA866" s="541"/>
      <c r="BB866" s="1190"/>
      <c r="BC866" s="541"/>
      <c r="BD866" s="1190"/>
      <c r="BE866" s="541"/>
      <c r="BF866" s="1190"/>
      <c r="BG866" s="541"/>
      <c r="BH866" s="1190"/>
      <c r="BI866" s="541"/>
      <c r="BJ866" s="1190"/>
      <c r="BK866" s="541"/>
      <c r="BL866" s="541"/>
      <c r="BM866" s="541"/>
      <c r="BP866" s="541"/>
      <c r="BQ866" s="633"/>
      <c r="BR866" s="541"/>
      <c r="BS866" s="541"/>
      <c r="BT866" s="541"/>
      <c r="BU866" s="541"/>
    </row>
    <row r="867" ht="15.75" customHeight="1">
      <c r="A867" s="1591"/>
      <c r="B867" s="1591"/>
      <c r="C867" s="2217"/>
      <c r="D867" s="1541"/>
      <c r="E867" s="906"/>
      <c r="F867" s="541"/>
      <c r="G867" s="541"/>
      <c r="H867" s="541"/>
      <c r="I867" s="541"/>
      <c r="J867" s="1748"/>
      <c r="K867" s="541"/>
      <c r="L867" s="1748"/>
      <c r="M867" s="541"/>
      <c r="N867" s="1748"/>
      <c r="O867" s="541"/>
      <c r="P867" s="1748"/>
      <c r="Q867" s="541"/>
      <c r="R867" s="1748"/>
      <c r="S867" s="541"/>
      <c r="T867" s="1748"/>
      <c r="U867" s="541"/>
      <c r="V867" s="1748"/>
      <c r="W867" s="541"/>
      <c r="X867" s="1748"/>
      <c r="Y867" s="1748"/>
      <c r="Z867" s="1748"/>
      <c r="AA867" s="541"/>
      <c r="AB867" s="1748"/>
      <c r="AC867" s="541"/>
      <c r="AD867" s="541"/>
      <c r="AE867" s="541"/>
      <c r="AF867" s="541"/>
      <c r="AG867" s="541"/>
      <c r="AH867" s="541"/>
      <c r="AI867" s="541"/>
      <c r="AJ867" s="541"/>
      <c r="AK867" s="541"/>
      <c r="AL867" s="541"/>
      <c r="AM867" s="541"/>
      <c r="AN867" s="1748"/>
      <c r="AO867" s="1748"/>
      <c r="AP867" s="1748"/>
      <c r="AQ867" s="1748"/>
      <c r="AR867" s="1748"/>
      <c r="AS867" s="541"/>
      <c r="AT867" s="541"/>
      <c r="AU867" s="541"/>
      <c r="AV867" s="541"/>
      <c r="AW867" s="541"/>
      <c r="AY867" s="541"/>
      <c r="AZ867" s="633"/>
      <c r="BA867" s="541"/>
      <c r="BB867" s="1190"/>
      <c r="BC867" s="541"/>
      <c r="BD867" s="1190"/>
      <c r="BE867" s="541"/>
      <c r="BF867" s="1190"/>
      <c r="BG867" s="541"/>
      <c r="BH867" s="1190"/>
      <c r="BI867" s="541"/>
      <c r="BJ867" s="1190"/>
      <c r="BK867" s="541"/>
      <c r="BL867" s="541"/>
      <c r="BM867" s="541"/>
      <c r="BP867" s="541"/>
      <c r="BQ867" s="633"/>
      <c r="BR867" s="541"/>
      <c r="BS867" s="541"/>
      <c r="BT867" s="541"/>
      <c r="BU867" s="541"/>
    </row>
    <row r="868" ht="15.75" customHeight="1">
      <c r="A868" s="1591"/>
      <c r="B868" s="1591"/>
      <c r="C868" s="2217"/>
      <c r="D868" s="1541"/>
      <c r="E868" s="906"/>
      <c r="F868" s="541"/>
      <c r="G868" s="541"/>
      <c r="H868" s="541"/>
      <c r="I868" s="541"/>
      <c r="J868" s="1748"/>
      <c r="K868" s="541"/>
      <c r="L868" s="1748"/>
      <c r="M868" s="541"/>
      <c r="N868" s="1748"/>
      <c r="O868" s="541"/>
      <c r="P868" s="1748"/>
      <c r="Q868" s="541"/>
      <c r="R868" s="1748"/>
      <c r="S868" s="541"/>
      <c r="T868" s="1748"/>
      <c r="U868" s="541"/>
      <c r="V868" s="1748"/>
      <c r="W868" s="541"/>
      <c r="X868" s="1748"/>
      <c r="Y868" s="1748"/>
      <c r="Z868" s="1748"/>
      <c r="AA868" s="541"/>
      <c r="AB868" s="1748"/>
      <c r="AC868" s="541"/>
      <c r="AD868" s="541"/>
      <c r="AE868" s="541"/>
      <c r="AF868" s="541"/>
      <c r="AG868" s="541"/>
      <c r="AH868" s="541"/>
      <c r="AI868" s="541"/>
      <c r="AJ868" s="541"/>
      <c r="AK868" s="541"/>
      <c r="AL868" s="541"/>
      <c r="AM868" s="541"/>
      <c r="AN868" s="1748"/>
      <c r="AO868" s="1748"/>
      <c r="AP868" s="1748"/>
      <c r="AQ868" s="1748"/>
      <c r="AR868" s="1748"/>
      <c r="AS868" s="541"/>
      <c r="AT868" s="541"/>
      <c r="AU868" s="541"/>
      <c r="AV868" s="541"/>
      <c r="AW868" s="541"/>
      <c r="AY868" s="541"/>
      <c r="AZ868" s="633"/>
      <c r="BA868" s="541"/>
      <c r="BB868" s="1190"/>
      <c r="BC868" s="541"/>
      <c r="BD868" s="1190"/>
      <c r="BE868" s="541"/>
      <c r="BF868" s="1190"/>
      <c r="BG868" s="541"/>
      <c r="BH868" s="1190"/>
      <c r="BI868" s="541"/>
      <c r="BJ868" s="1190"/>
      <c r="BK868" s="541"/>
      <c r="BL868" s="541"/>
      <c r="BM868" s="541"/>
      <c r="BP868" s="541"/>
      <c r="BQ868" s="633"/>
      <c r="BR868" s="541"/>
      <c r="BS868" s="541"/>
      <c r="BT868" s="541"/>
      <c r="BU868" s="541"/>
    </row>
    <row r="869" ht="15.75" customHeight="1">
      <c r="A869" s="1591"/>
      <c r="B869" s="1591"/>
      <c r="C869" s="2217"/>
      <c r="D869" s="1541"/>
      <c r="E869" s="906"/>
      <c r="F869" s="541"/>
      <c r="G869" s="541"/>
      <c r="H869" s="541"/>
      <c r="I869" s="541"/>
      <c r="J869" s="1748"/>
      <c r="K869" s="541"/>
      <c r="L869" s="1748"/>
      <c r="M869" s="541"/>
      <c r="N869" s="1748"/>
      <c r="O869" s="541"/>
      <c r="P869" s="1748"/>
      <c r="Q869" s="541"/>
      <c r="R869" s="1748"/>
      <c r="S869" s="541"/>
      <c r="T869" s="1748"/>
      <c r="U869" s="541"/>
      <c r="V869" s="1748"/>
      <c r="W869" s="541"/>
      <c r="X869" s="1748"/>
      <c r="Y869" s="1748"/>
      <c r="Z869" s="1748"/>
      <c r="AA869" s="541"/>
      <c r="AB869" s="1748"/>
      <c r="AC869" s="541"/>
      <c r="AD869" s="541"/>
      <c r="AE869" s="541"/>
      <c r="AF869" s="541"/>
      <c r="AG869" s="541"/>
      <c r="AH869" s="541"/>
      <c r="AI869" s="541"/>
      <c r="AJ869" s="541"/>
      <c r="AK869" s="541"/>
      <c r="AL869" s="541"/>
      <c r="AM869" s="541"/>
      <c r="AN869" s="1748"/>
      <c r="AO869" s="1748"/>
      <c r="AP869" s="1748"/>
      <c r="AQ869" s="1748"/>
      <c r="AR869" s="1748"/>
      <c r="AS869" s="541"/>
      <c r="AT869" s="541"/>
      <c r="AU869" s="541"/>
      <c r="AV869" s="541"/>
      <c r="AW869" s="541"/>
      <c r="AY869" s="541"/>
      <c r="AZ869" s="633"/>
      <c r="BA869" s="541"/>
      <c r="BB869" s="1190"/>
      <c r="BC869" s="541"/>
      <c r="BD869" s="1190"/>
      <c r="BE869" s="541"/>
      <c r="BF869" s="1190"/>
      <c r="BG869" s="541"/>
      <c r="BH869" s="1190"/>
      <c r="BI869" s="541"/>
      <c r="BJ869" s="1190"/>
      <c r="BK869" s="541"/>
      <c r="BL869" s="541"/>
      <c r="BM869" s="541"/>
      <c r="BP869" s="541"/>
      <c r="BQ869" s="633"/>
      <c r="BR869" s="541"/>
      <c r="BS869" s="541"/>
      <c r="BT869" s="541"/>
      <c r="BU869" s="541"/>
    </row>
    <row r="870" ht="15.75" customHeight="1">
      <c r="A870" s="1591"/>
      <c r="B870" s="1591"/>
      <c r="C870" s="2217"/>
      <c r="D870" s="1541"/>
      <c r="E870" s="906"/>
      <c r="F870" s="541"/>
      <c r="G870" s="541"/>
      <c r="H870" s="541"/>
      <c r="I870" s="541"/>
      <c r="J870" s="1748"/>
      <c r="K870" s="541"/>
      <c r="L870" s="1748"/>
      <c r="M870" s="541"/>
      <c r="N870" s="1748"/>
      <c r="O870" s="541"/>
      <c r="P870" s="1748"/>
      <c r="Q870" s="541"/>
      <c r="R870" s="1748"/>
      <c r="S870" s="541"/>
      <c r="T870" s="1748"/>
      <c r="U870" s="541"/>
      <c r="V870" s="1748"/>
      <c r="W870" s="541"/>
      <c r="X870" s="1748"/>
      <c r="Y870" s="1748"/>
      <c r="Z870" s="1748"/>
      <c r="AA870" s="541"/>
      <c r="AB870" s="1748"/>
      <c r="AC870" s="541"/>
      <c r="AD870" s="541"/>
      <c r="AE870" s="541"/>
      <c r="AF870" s="541"/>
      <c r="AG870" s="541"/>
      <c r="AH870" s="541"/>
      <c r="AI870" s="541"/>
      <c r="AJ870" s="541"/>
      <c r="AK870" s="541"/>
      <c r="AL870" s="541"/>
      <c r="AM870" s="541"/>
      <c r="AN870" s="1748"/>
      <c r="AO870" s="1748"/>
      <c r="AP870" s="1748"/>
      <c r="AQ870" s="1748"/>
      <c r="AR870" s="1748"/>
      <c r="AS870" s="541"/>
      <c r="AT870" s="541"/>
      <c r="AU870" s="541"/>
      <c r="AV870" s="541"/>
      <c r="AW870" s="541"/>
      <c r="AY870" s="541"/>
      <c r="AZ870" s="633"/>
      <c r="BA870" s="541"/>
      <c r="BB870" s="1190"/>
      <c r="BC870" s="541"/>
      <c r="BD870" s="1190"/>
      <c r="BE870" s="541"/>
      <c r="BF870" s="1190"/>
      <c r="BG870" s="541"/>
      <c r="BH870" s="1190"/>
      <c r="BI870" s="541"/>
      <c r="BJ870" s="1190"/>
      <c r="BK870" s="541"/>
      <c r="BL870" s="541"/>
      <c r="BM870" s="541"/>
      <c r="BP870" s="541"/>
      <c r="BQ870" s="633"/>
      <c r="BR870" s="541"/>
      <c r="BS870" s="541"/>
      <c r="BT870" s="541"/>
      <c r="BU870" s="541"/>
    </row>
    <row r="871" ht="15.75" customHeight="1">
      <c r="A871" s="1591"/>
      <c r="B871" s="1591"/>
      <c r="C871" s="2217"/>
      <c r="D871" s="1541"/>
      <c r="E871" s="906"/>
      <c r="F871" s="541"/>
      <c r="G871" s="541"/>
      <c r="H871" s="541"/>
      <c r="I871" s="541"/>
      <c r="J871" s="1748"/>
      <c r="K871" s="541"/>
      <c r="L871" s="1748"/>
      <c r="M871" s="541"/>
      <c r="N871" s="1748"/>
      <c r="O871" s="541"/>
      <c r="P871" s="1748"/>
      <c r="Q871" s="541"/>
      <c r="R871" s="1748"/>
      <c r="S871" s="541"/>
      <c r="T871" s="1748"/>
      <c r="U871" s="541"/>
      <c r="V871" s="1748"/>
      <c r="W871" s="541"/>
      <c r="X871" s="1748"/>
      <c r="Y871" s="1748"/>
      <c r="Z871" s="1748"/>
      <c r="AA871" s="541"/>
      <c r="AB871" s="1748"/>
      <c r="AC871" s="541"/>
      <c r="AD871" s="541"/>
      <c r="AE871" s="541"/>
      <c r="AF871" s="541"/>
      <c r="AG871" s="541"/>
      <c r="AH871" s="541"/>
      <c r="AI871" s="541"/>
      <c r="AJ871" s="541"/>
      <c r="AK871" s="541"/>
      <c r="AL871" s="541"/>
      <c r="AM871" s="541"/>
      <c r="AN871" s="1748"/>
      <c r="AO871" s="1748"/>
      <c r="AP871" s="1748"/>
      <c r="AQ871" s="1748"/>
      <c r="AR871" s="1748"/>
      <c r="AS871" s="541"/>
      <c r="AT871" s="541"/>
      <c r="AU871" s="541"/>
      <c r="AV871" s="541"/>
      <c r="AW871" s="541"/>
      <c r="AY871" s="541"/>
      <c r="AZ871" s="633"/>
      <c r="BA871" s="541"/>
      <c r="BB871" s="1190"/>
      <c r="BC871" s="541"/>
      <c r="BD871" s="1190"/>
      <c r="BE871" s="541"/>
      <c r="BF871" s="1190"/>
      <c r="BG871" s="541"/>
      <c r="BH871" s="1190"/>
      <c r="BI871" s="541"/>
      <c r="BJ871" s="1190"/>
      <c r="BK871" s="541"/>
      <c r="BL871" s="541"/>
      <c r="BM871" s="541"/>
      <c r="BP871" s="541"/>
      <c r="BQ871" s="633"/>
      <c r="BR871" s="541"/>
      <c r="BS871" s="541"/>
      <c r="BT871" s="541"/>
      <c r="BU871" s="541"/>
    </row>
    <row r="872" ht="15.75" customHeight="1">
      <c r="A872" s="1591"/>
      <c r="B872" s="1591"/>
      <c r="C872" s="2217"/>
      <c r="D872" s="1541"/>
      <c r="E872" s="906"/>
      <c r="F872" s="541"/>
      <c r="G872" s="541"/>
      <c r="H872" s="541"/>
      <c r="I872" s="541"/>
      <c r="J872" s="1748"/>
      <c r="K872" s="541"/>
      <c r="L872" s="1748"/>
      <c r="M872" s="541"/>
      <c r="N872" s="1748"/>
      <c r="O872" s="541"/>
      <c r="P872" s="1748"/>
      <c r="Q872" s="541"/>
      <c r="R872" s="1748"/>
      <c r="S872" s="541"/>
      <c r="T872" s="1748"/>
      <c r="U872" s="541"/>
      <c r="V872" s="1748"/>
      <c r="W872" s="541"/>
      <c r="X872" s="1748"/>
      <c r="Y872" s="1748"/>
      <c r="Z872" s="1748"/>
      <c r="AA872" s="541"/>
      <c r="AB872" s="1748"/>
      <c r="AC872" s="541"/>
      <c r="AD872" s="541"/>
      <c r="AE872" s="541"/>
      <c r="AF872" s="541"/>
      <c r="AG872" s="541"/>
      <c r="AH872" s="541"/>
      <c r="AI872" s="541"/>
      <c r="AJ872" s="541"/>
      <c r="AK872" s="541"/>
      <c r="AL872" s="541"/>
      <c r="AM872" s="541"/>
      <c r="AN872" s="1748"/>
      <c r="AO872" s="1748"/>
      <c r="AP872" s="1748"/>
      <c r="AQ872" s="1748"/>
      <c r="AR872" s="1748"/>
      <c r="AS872" s="541"/>
      <c r="AT872" s="541"/>
      <c r="AU872" s="541"/>
      <c r="AV872" s="541"/>
      <c r="AW872" s="541"/>
      <c r="AY872" s="541"/>
      <c r="AZ872" s="633"/>
      <c r="BA872" s="541"/>
      <c r="BB872" s="1190"/>
      <c r="BC872" s="541"/>
      <c r="BD872" s="1190"/>
      <c r="BE872" s="541"/>
      <c r="BF872" s="1190"/>
      <c r="BG872" s="541"/>
      <c r="BH872" s="1190"/>
      <c r="BI872" s="541"/>
      <c r="BJ872" s="1190"/>
      <c r="BK872" s="541"/>
      <c r="BL872" s="541"/>
      <c r="BM872" s="541"/>
      <c r="BP872" s="541"/>
      <c r="BQ872" s="633"/>
      <c r="BR872" s="541"/>
      <c r="BS872" s="541"/>
      <c r="BT872" s="541"/>
      <c r="BU872" s="541"/>
    </row>
    <row r="873" ht="15.75" customHeight="1">
      <c r="A873" s="1591"/>
      <c r="B873" s="1591"/>
      <c r="C873" s="2217"/>
      <c r="D873" s="1541"/>
      <c r="E873" s="906"/>
      <c r="F873" s="541"/>
      <c r="G873" s="541"/>
      <c r="H873" s="541"/>
      <c r="I873" s="541"/>
      <c r="J873" s="1748"/>
      <c r="K873" s="541"/>
      <c r="L873" s="1748"/>
      <c r="M873" s="541"/>
      <c r="N873" s="1748"/>
      <c r="O873" s="541"/>
      <c r="P873" s="1748"/>
      <c r="Q873" s="541"/>
      <c r="R873" s="1748"/>
      <c r="S873" s="541"/>
      <c r="T873" s="1748"/>
      <c r="U873" s="541"/>
      <c r="V873" s="1748"/>
      <c r="W873" s="541"/>
      <c r="X873" s="1748"/>
      <c r="Y873" s="1748"/>
      <c r="Z873" s="1748"/>
      <c r="AA873" s="541"/>
      <c r="AB873" s="1748"/>
      <c r="AC873" s="541"/>
      <c r="AD873" s="541"/>
      <c r="AE873" s="541"/>
      <c r="AF873" s="541"/>
      <c r="AG873" s="541"/>
      <c r="AH873" s="541"/>
      <c r="AI873" s="541"/>
      <c r="AJ873" s="541"/>
      <c r="AK873" s="541"/>
      <c r="AL873" s="541"/>
      <c r="AM873" s="541"/>
      <c r="AN873" s="1748"/>
      <c r="AO873" s="1748"/>
      <c r="AP873" s="1748"/>
      <c r="AQ873" s="1748"/>
      <c r="AR873" s="1748"/>
      <c r="AS873" s="541"/>
      <c r="AT873" s="541"/>
      <c r="AU873" s="541"/>
      <c r="AV873" s="541"/>
      <c r="AW873" s="541"/>
      <c r="AY873" s="541"/>
      <c r="AZ873" s="633"/>
      <c r="BA873" s="541"/>
      <c r="BB873" s="1190"/>
      <c r="BC873" s="541"/>
      <c r="BD873" s="1190"/>
      <c r="BE873" s="541"/>
      <c r="BF873" s="1190"/>
      <c r="BG873" s="541"/>
      <c r="BH873" s="1190"/>
      <c r="BI873" s="541"/>
      <c r="BJ873" s="1190"/>
      <c r="BK873" s="541"/>
      <c r="BL873" s="541"/>
      <c r="BM873" s="541"/>
      <c r="BP873" s="541"/>
      <c r="BQ873" s="633"/>
      <c r="BR873" s="541"/>
      <c r="BS873" s="541"/>
      <c r="BT873" s="541"/>
      <c r="BU873" s="541"/>
    </row>
    <row r="874" ht="15.75" customHeight="1">
      <c r="A874" s="1591"/>
      <c r="B874" s="1591"/>
      <c r="C874" s="2217"/>
      <c r="D874" s="1541"/>
      <c r="E874" s="906"/>
      <c r="F874" s="541"/>
      <c r="G874" s="541"/>
      <c r="H874" s="541"/>
      <c r="I874" s="541"/>
      <c r="J874" s="1748"/>
      <c r="K874" s="541"/>
      <c r="L874" s="1748"/>
      <c r="M874" s="541"/>
      <c r="N874" s="1748"/>
      <c r="O874" s="541"/>
      <c r="P874" s="1748"/>
      <c r="Q874" s="541"/>
      <c r="R874" s="1748"/>
      <c r="S874" s="541"/>
      <c r="T874" s="1748"/>
      <c r="U874" s="541"/>
      <c r="V874" s="1748"/>
      <c r="W874" s="541"/>
      <c r="X874" s="1748"/>
      <c r="Y874" s="1748"/>
      <c r="Z874" s="1748"/>
      <c r="AA874" s="541"/>
      <c r="AB874" s="1748"/>
      <c r="AC874" s="541"/>
      <c r="AD874" s="541"/>
      <c r="AE874" s="541"/>
      <c r="AF874" s="541"/>
      <c r="AG874" s="541"/>
      <c r="AH874" s="541"/>
      <c r="AI874" s="541"/>
      <c r="AJ874" s="541"/>
      <c r="AK874" s="541"/>
      <c r="AL874" s="541"/>
      <c r="AM874" s="541"/>
      <c r="AN874" s="1748"/>
      <c r="AO874" s="1748"/>
      <c r="AP874" s="1748"/>
      <c r="AQ874" s="1748"/>
      <c r="AR874" s="1748"/>
      <c r="AS874" s="541"/>
      <c r="AT874" s="541"/>
      <c r="AU874" s="541"/>
      <c r="AV874" s="541"/>
      <c r="AW874" s="541"/>
      <c r="AY874" s="541"/>
      <c r="AZ874" s="633"/>
      <c r="BA874" s="541"/>
      <c r="BB874" s="1190"/>
      <c r="BC874" s="541"/>
      <c r="BD874" s="1190"/>
      <c r="BE874" s="541"/>
      <c r="BF874" s="1190"/>
      <c r="BG874" s="541"/>
      <c r="BH874" s="1190"/>
      <c r="BI874" s="541"/>
      <c r="BJ874" s="1190"/>
      <c r="BK874" s="541"/>
      <c r="BL874" s="541"/>
      <c r="BM874" s="541"/>
      <c r="BP874" s="541"/>
      <c r="BQ874" s="633"/>
      <c r="BR874" s="541"/>
      <c r="BS874" s="541"/>
      <c r="BT874" s="541"/>
      <c r="BU874" s="541"/>
    </row>
    <row r="875" ht="15.75" customHeight="1">
      <c r="A875" s="1591"/>
      <c r="B875" s="1591"/>
      <c r="C875" s="2217"/>
      <c r="D875" s="1541"/>
      <c r="E875" s="906"/>
      <c r="F875" s="541"/>
      <c r="G875" s="541"/>
      <c r="H875" s="541"/>
      <c r="I875" s="541"/>
      <c r="J875" s="1748"/>
      <c r="K875" s="541"/>
      <c r="L875" s="1748"/>
      <c r="M875" s="541"/>
      <c r="N875" s="1748"/>
      <c r="O875" s="541"/>
      <c r="P875" s="1748"/>
      <c r="Q875" s="541"/>
      <c r="R875" s="1748"/>
      <c r="S875" s="541"/>
      <c r="T875" s="1748"/>
      <c r="U875" s="541"/>
      <c r="V875" s="1748"/>
      <c r="W875" s="541"/>
      <c r="X875" s="1748"/>
      <c r="Y875" s="1748"/>
      <c r="Z875" s="1748"/>
      <c r="AA875" s="541"/>
      <c r="AB875" s="1748"/>
      <c r="AC875" s="541"/>
      <c r="AD875" s="541"/>
      <c r="AE875" s="541"/>
      <c r="AF875" s="541"/>
      <c r="AG875" s="541"/>
      <c r="AH875" s="541"/>
      <c r="AI875" s="541"/>
      <c r="AJ875" s="541"/>
      <c r="AK875" s="541"/>
      <c r="AL875" s="541"/>
      <c r="AM875" s="541"/>
      <c r="AN875" s="1748"/>
      <c r="AO875" s="1748"/>
      <c r="AP875" s="1748"/>
      <c r="AQ875" s="1748"/>
      <c r="AR875" s="1748"/>
      <c r="AS875" s="541"/>
      <c r="AT875" s="541"/>
      <c r="AU875" s="541"/>
      <c r="AV875" s="541"/>
      <c r="AW875" s="541"/>
      <c r="AY875" s="541"/>
      <c r="AZ875" s="633"/>
      <c r="BA875" s="541"/>
      <c r="BB875" s="1190"/>
      <c r="BC875" s="541"/>
      <c r="BD875" s="1190"/>
      <c r="BE875" s="541"/>
      <c r="BF875" s="1190"/>
      <c r="BG875" s="541"/>
      <c r="BH875" s="1190"/>
      <c r="BI875" s="541"/>
      <c r="BJ875" s="1190"/>
      <c r="BK875" s="541"/>
      <c r="BL875" s="541"/>
      <c r="BM875" s="541"/>
      <c r="BP875" s="541"/>
      <c r="BQ875" s="633"/>
      <c r="BR875" s="541"/>
      <c r="BS875" s="541"/>
      <c r="BT875" s="541"/>
      <c r="BU875" s="541"/>
    </row>
    <row r="876" ht="15.75" customHeight="1">
      <c r="A876" s="1591"/>
      <c r="B876" s="1591"/>
      <c r="C876" s="2217"/>
      <c r="D876" s="1541"/>
      <c r="E876" s="906"/>
      <c r="F876" s="541"/>
      <c r="G876" s="541"/>
      <c r="H876" s="541"/>
      <c r="I876" s="541"/>
      <c r="J876" s="1748"/>
      <c r="K876" s="541"/>
      <c r="L876" s="1748"/>
      <c r="M876" s="541"/>
      <c r="N876" s="1748"/>
      <c r="O876" s="541"/>
      <c r="P876" s="1748"/>
      <c r="Q876" s="541"/>
      <c r="R876" s="1748"/>
      <c r="S876" s="541"/>
      <c r="T876" s="1748"/>
      <c r="U876" s="541"/>
      <c r="V876" s="1748"/>
      <c r="W876" s="541"/>
      <c r="X876" s="1748"/>
      <c r="Y876" s="1748"/>
      <c r="Z876" s="1748"/>
      <c r="AA876" s="541"/>
      <c r="AB876" s="1748"/>
      <c r="AC876" s="541"/>
      <c r="AD876" s="541"/>
      <c r="AE876" s="541"/>
      <c r="AF876" s="541"/>
      <c r="AG876" s="541"/>
      <c r="AH876" s="541"/>
      <c r="AI876" s="541"/>
      <c r="AJ876" s="541"/>
      <c r="AK876" s="541"/>
      <c r="AL876" s="541"/>
      <c r="AM876" s="541"/>
      <c r="AN876" s="1748"/>
      <c r="AO876" s="1748"/>
      <c r="AP876" s="1748"/>
      <c r="AQ876" s="1748"/>
      <c r="AR876" s="1748"/>
      <c r="AS876" s="541"/>
      <c r="AT876" s="541"/>
      <c r="AU876" s="541"/>
      <c r="AV876" s="541"/>
      <c r="AW876" s="541"/>
      <c r="AY876" s="541"/>
      <c r="AZ876" s="633"/>
      <c r="BA876" s="541"/>
      <c r="BB876" s="1190"/>
      <c r="BC876" s="541"/>
      <c r="BD876" s="1190"/>
      <c r="BE876" s="541"/>
      <c r="BF876" s="1190"/>
      <c r="BG876" s="541"/>
      <c r="BH876" s="1190"/>
      <c r="BI876" s="541"/>
      <c r="BJ876" s="1190"/>
      <c r="BK876" s="541"/>
      <c r="BL876" s="541"/>
      <c r="BM876" s="541"/>
      <c r="BP876" s="541"/>
      <c r="BQ876" s="633"/>
      <c r="BR876" s="541"/>
      <c r="BS876" s="541"/>
      <c r="BT876" s="541"/>
      <c r="BU876" s="541"/>
    </row>
    <row r="877" ht="15.75" customHeight="1">
      <c r="A877" s="1591"/>
      <c r="B877" s="1591"/>
      <c r="C877" s="2217"/>
      <c r="D877" s="1541"/>
      <c r="E877" s="906"/>
      <c r="F877" s="541"/>
      <c r="G877" s="541"/>
      <c r="H877" s="541"/>
      <c r="I877" s="541"/>
      <c r="J877" s="1748"/>
      <c r="K877" s="541"/>
      <c r="L877" s="1748"/>
      <c r="M877" s="541"/>
      <c r="N877" s="1748"/>
      <c r="O877" s="541"/>
      <c r="P877" s="1748"/>
      <c r="Q877" s="541"/>
      <c r="R877" s="1748"/>
      <c r="S877" s="541"/>
      <c r="T877" s="1748"/>
      <c r="U877" s="541"/>
      <c r="V877" s="1748"/>
      <c r="W877" s="541"/>
      <c r="X877" s="1748"/>
      <c r="Y877" s="1748"/>
      <c r="Z877" s="1748"/>
      <c r="AA877" s="541"/>
      <c r="AB877" s="1748"/>
      <c r="AC877" s="541"/>
      <c r="AD877" s="541"/>
      <c r="AE877" s="541"/>
      <c r="AF877" s="541"/>
      <c r="AG877" s="541"/>
      <c r="AH877" s="541"/>
      <c r="AI877" s="541"/>
      <c r="AJ877" s="541"/>
      <c r="AK877" s="541"/>
      <c r="AL877" s="541"/>
      <c r="AM877" s="541"/>
      <c r="AN877" s="1748"/>
      <c r="AO877" s="1748"/>
      <c r="AP877" s="1748"/>
      <c r="AQ877" s="1748"/>
      <c r="AR877" s="1748"/>
      <c r="AS877" s="541"/>
      <c r="AT877" s="541"/>
      <c r="AU877" s="541"/>
      <c r="AV877" s="541"/>
      <c r="AW877" s="541"/>
      <c r="AY877" s="541"/>
      <c r="AZ877" s="633"/>
      <c r="BA877" s="541"/>
      <c r="BB877" s="1190"/>
      <c r="BC877" s="541"/>
      <c r="BD877" s="1190"/>
      <c r="BE877" s="541"/>
      <c r="BF877" s="1190"/>
      <c r="BG877" s="541"/>
      <c r="BH877" s="1190"/>
      <c r="BI877" s="541"/>
      <c r="BJ877" s="1190"/>
      <c r="BK877" s="541"/>
      <c r="BL877" s="541"/>
      <c r="BM877" s="541"/>
      <c r="BP877" s="541"/>
      <c r="BQ877" s="633"/>
      <c r="BR877" s="541"/>
      <c r="BS877" s="541"/>
      <c r="BT877" s="541"/>
      <c r="BU877" s="541"/>
    </row>
    <row r="878" ht="15.75" customHeight="1">
      <c r="A878" s="1591"/>
      <c r="B878" s="1591"/>
      <c r="C878" s="2217"/>
      <c r="D878" s="1541"/>
      <c r="E878" s="906"/>
      <c r="F878" s="541"/>
      <c r="G878" s="541"/>
      <c r="H878" s="541"/>
      <c r="I878" s="541"/>
      <c r="J878" s="1748"/>
      <c r="K878" s="541"/>
      <c r="L878" s="1748"/>
      <c r="M878" s="541"/>
      <c r="N878" s="1748"/>
      <c r="O878" s="541"/>
      <c r="P878" s="1748"/>
      <c r="Q878" s="541"/>
      <c r="R878" s="1748"/>
      <c r="S878" s="541"/>
      <c r="T878" s="1748"/>
      <c r="U878" s="541"/>
      <c r="V878" s="1748"/>
      <c r="W878" s="541"/>
      <c r="X878" s="1748"/>
      <c r="Y878" s="1748"/>
      <c r="Z878" s="1748"/>
      <c r="AA878" s="541"/>
      <c r="AB878" s="1748"/>
      <c r="AC878" s="541"/>
      <c r="AD878" s="541"/>
      <c r="AE878" s="541"/>
      <c r="AF878" s="541"/>
      <c r="AG878" s="541"/>
      <c r="AH878" s="541"/>
      <c r="AI878" s="541"/>
      <c r="AJ878" s="541"/>
      <c r="AK878" s="541"/>
      <c r="AL878" s="541"/>
      <c r="AM878" s="541"/>
      <c r="AN878" s="1748"/>
      <c r="AO878" s="1748"/>
      <c r="AP878" s="1748"/>
      <c r="AQ878" s="1748"/>
      <c r="AR878" s="1748"/>
      <c r="AS878" s="541"/>
      <c r="AT878" s="541"/>
      <c r="AU878" s="541"/>
      <c r="AV878" s="541"/>
      <c r="AW878" s="541"/>
      <c r="AY878" s="541"/>
      <c r="AZ878" s="633"/>
      <c r="BA878" s="541"/>
      <c r="BB878" s="1190"/>
      <c r="BC878" s="541"/>
      <c r="BD878" s="1190"/>
      <c r="BE878" s="541"/>
      <c r="BF878" s="1190"/>
      <c r="BG878" s="541"/>
      <c r="BH878" s="1190"/>
      <c r="BI878" s="541"/>
      <c r="BJ878" s="1190"/>
      <c r="BK878" s="541"/>
      <c r="BL878" s="541"/>
      <c r="BM878" s="541"/>
      <c r="BP878" s="541"/>
      <c r="BQ878" s="633"/>
      <c r="BR878" s="541"/>
      <c r="BS878" s="541"/>
      <c r="BT878" s="541"/>
      <c r="BU878" s="541"/>
    </row>
    <row r="879" ht="15.75" customHeight="1">
      <c r="A879" s="1591"/>
      <c r="B879" s="1591"/>
      <c r="C879" s="2217"/>
      <c r="D879" s="1541"/>
      <c r="E879" s="906"/>
      <c r="F879" s="541"/>
      <c r="G879" s="541"/>
      <c r="H879" s="541"/>
      <c r="I879" s="541"/>
      <c r="J879" s="1748"/>
      <c r="K879" s="541"/>
      <c r="L879" s="1748"/>
      <c r="M879" s="541"/>
      <c r="N879" s="1748"/>
      <c r="O879" s="541"/>
      <c r="P879" s="1748"/>
      <c r="Q879" s="541"/>
      <c r="R879" s="1748"/>
      <c r="S879" s="541"/>
      <c r="T879" s="1748"/>
      <c r="U879" s="541"/>
      <c r="V879" s="1748"/>
      <c r="W879" s="541"/>
      <c r="X879" s="1748"/>
      <c r="Y879" s="1748"/>
      <c r="Z879" s="1748"/>
      <c r="AA879" s="541"/>
      <c r="AB879" s="1748"/>
      <c r="AC879" s="541"/>
      <c r="AD879" s="541"/>
      <c r="AE879" s="541"/>
      <c r="AF879" s="541"/>
      <c r="AG879" s="541"/>
      <c r="AH879" s="541"/>
      <c r="AI879" s="541"/>
      <c r="AJ879" s="541"/>
      <c r="AK879" s="541"/>
      <c r="AL879" s="541"/>
      <c r="AM879" s="541"/>
      <c r="AN879" s="1748"/>
      <c r="AO879" s="1748"/>
      <c r="AP879" s="1748"/>
      <c r="AQ879" s="1748"/>
      <c r="AR879" s="1748"/>
      <c r="AS879" s="541"/>
      <c r="AT879" s="541"/>
      <c r="AU879" s="541"/>
      <c r="AV879" s="541"/>
      <c r="AW879" s="541"/>
      <c r="AY879" s="541"/>
      <c r="AZ879" s="633"/>
      <c r="BA879" s="541"/>
      <c r="BB879" s="1190"/>
      <c r="BC879" s="541"/>
      <c r="BD879" s="1190"/>
      <c r="BE879" s="541"/>
      <c r="BF879" s="1190"/>
      <c r="BG879" s="541"/>
      <c r="BH879" s="1190"/>
      <c r="BI879" s="541"/>
      <c r="BJ879" s="1190"/>
      <c r="BK879" s="541"/>
      <c r="BL879" s="541"/>
      <c r="BM879" s="541"/>
      <c r="BP879" s="541"/>
      <c r="BQ879" s="633"/>
      <c r="BR879" s="541"/>
      <c r="BS879" s="541"/>
      <c r="BT879" s="541"/>
      <c r="BU879" s="541"/>
    </row>
    <row r="880" ht="15.75" customHeight="1">
      <c r="A880" s="1591"/>
      <c r="B880" s="1591"/>
      <c r="C880" s="2217"/>
      <c r="D880" s="1541"/>
      <c r="E880" s="906"/>
      <c r="F880" s="541"/>
      <c r="G880" s="541"/>
      <c r="H880" s="541"/>
      <c r="I880" s="541"/>
      <c r="J880" s="1748"/>
      <c r="K880" s="541"/>
      <c r="L880" s="1748"/>
      <c r="M880" s="541"/>
      <c r="N880" s="1748"/>
      <c r="O880" s="541"/>
      <c r="P880" s="1748"/>
      <c r="Q880" s="541"/>
      <c r="R880" s="1748"/>
      <c r="S880" s="541"/>
      <c r="T880" s="1748"/>
      <c r="U880" s="541"/>
      <c r="V880" s="1748"/>
      <c r="W880" s="541"/>
      <c r="X880" s="1748"/>
      <c r="Y880" s="1748"/>
      <c r="Z880" s="1748"/>
      <c r="AA880" s="541"/>
      <c r="AB880" s="1748"/>
      <c r="AC880" s="541"/>
      <c r="AD880" s="541"/>
      <c r="AE880" s="541"/>
      <c r="AF880" s="541"/>
      <c r="AG880" s="541"/>
      <c r="AH880" s="541"/>
      <c r="AI880" s="541"/>
      <c r="AJ880" s="541"/>
      <c r="AK880" s="541"/>
      <c r="AL880" s="541"/>
      <c r="AM880" s="541"/>
      <c r="AN880" s="1748"/>
      <c r="AO880" s="1748"/>
      <c r="AP880" s="1748"/>
      <c r="AQ880" s="1748"/>
      <c r="AR880" s="1748"/>
      <c r="AS880" s="541"/>
      <c r="AT880" s="541"/>
      <c r="AU880" s="541"/>
      <c r="AV880" s="541"/>
      <c r="AW880" s="541"/>
      <c r="AY880" s="541"/>
      <c r="AZ880" s="633"/>
      <c r="BA880" s="541"/>
      <c r="BB880" s="1190"/>
      <c r="BC880" s="541"/>
      <c r="BD880" s="1190"/>
      <c r="BE880" s="541"/>
      <c r="BF880" s="1190"/>
      <c r="BG880" s="541"/>
      <c r="BH880" s="1190"/>
      <c r="BI880" s="541"/>
      <c r="BJ880" s="1190"/>
      <c r="BK880" s="541"/>
      <c r="BL880" s="541"/>
      <c r="BM880" s="541"/>
      <c r="BP880" s="541"/>
      <c r="BQ880" s="633"/>
      <c r="BR880" s="541"/>
      <c r="BS880" s="541"/>
      <c r="BT880" s="541"/>
      <c r="BU880" s="541"/>
    </row>
    <row r="881" ht="15.75" customHeight="1">
      <c r="A881" s="1591"/>
      <c r="B881" s="1591"/>
      <c r="C881" s="2217"/>
      <c r="D881" s="1541"/>
      <c r="E881" s="906"/>
      <c r="F881" s="541"/>
      <c r="G881" s="541"/>
      <c r="H881" s="541"/>
      <c r="I881" s="541"/>
      <c r="J881" s="1748"/>
      <c r="K881" s="541"/>
      <c r="L881" s="1748"/>
      <c r="M881" s="541"/>
      <c r="N881" s="1748"/>
      <c r="O881" s="541"/>
      <c r="P881" s="1748"/>
      <c r="Q881" s="541"/>
      <c r="R881" s="1748"/>
      <c r="S881" s="541"/>
      <c r="T881" s="1748"/>
      <c r="U881" s="541"/>
      <c r="V881" s="1748"/>
      <c r="W881" s="541"/>
      <c r="X881" s="1748"/>
      <c r="Y881" s="1748"/>
      <c r="Z881" s="1748"/>
      <c r="AA881" s="541"/>
      <c r="AB881" s="1748"/>
      <c r="AC881" s="541"/>
      <c r="AD881" s="541"/>
      <c r="AE881" s="541"/>
      <c r="AF881" s="541"/>
      <c r="AG881" s="541"/>
      <c r="AH881" s="541"/>
      <c r="AI881" s="541"/>
      <c r="AJ881" s="541"/>
      <c r="AK881" s="541"/>
      <c r="AL881" s="541"/>
      <c r="AM881" s="541"/>
      <c r="AN881" s="1748"/>
      <c r="AO881" s="1748"/>
      <c r="AP881" s="1748"/>
      <c r="AQ881" s="1748"/>
      <c r="AR881" s="1748"/>
      <c r="AS881" s="541"/>
      <c r="AT881" s="541"/>
      <c r="AU881" s="541"/>
      <c r="AV881" s="541"/>
      <c r="AW881" s="541"/>
      <c r="AY881" s="541"/>
      <c r="AZ881" s="633"/>
      <c r="BA881" s="541"/>
      <c r="BB881" s="1190"/>
      <c r="BC881" s="541"/>
      <c r="BD881" s="1190"/>
      <c r="BE881" s="541"/>
      <c r="BF881" s="1190"/>
      <c r="BG881" s="541"/>
      <c r="BH881" s="1190"/>
      <c r="BI881" s="541"/>
      <c r="BJ881" s="1190"/>
      <c r="BK881" s="541"/>
      <c r="BL881" s="541"/>
      <c r="BM881" s="541"/>
      <c r="BP881" s="541"/>
      <c r="BQ881" s="633"/>
      <c r="BR881" s="541"/>
      <c r="BS881" s="541"/>
      <c r="BT881" s="541"/>
      <c r="BU881" s="541"/>
    </row>
    <row r="882" ht="15.75" customHeight="1">
      <c r="A882" s="1591"/>
      <c r="B882" s="1591"/>
      <c r="C882" s="2217"/>
      <c r="D882" s="1541"/>
      <c r="E882" s="906"/>
      <c r="F882" s="541"/>
      <c r="G882" s="541"/>
      <c r="H882" s="541"/>
      <c r="I882" s="541"/>
      <c r="J882" s="1748"/>
      <c r="K882" s="541"/>
      <c r="L882" s="1748"/>
      <c r="M882" s="541"/>
      <c r="N882" s="1748"/>
      <c r="O882" s="541"/>
      <c r="P882" s="1748"/>
      <c r="Q882" s="541"/>
      <c r="R882" s="1748"/>
      <c r="S882" s="541"/>
      <c r="T882" s="1748"/>
      <c r="U882" s="541"/>
      <c r="V882" s="1748"/>
      <c r="W882" s="541"/>
      <c r="X882" s="1748"/>
      <c r="Y882" s="1748"/>
      <c r="Z882" s="1748"/>
      <c r="AA882" s="541"/>
      <c r="AB882" s="1748"/>
      <c r="AC882" s="541"/>
      <c r="AD882" s="541"/>
      <c r="AE882" s="541"/>
      <c r="AF882" s="541"/>
      <c r="AG882" s="541"/>
      <c r="AH882" s="541"/>
      <c r="AI882" s="541"/>
      <c r="AJ882" s="541"/>
      <c r="AK882" s="541"/>
      <c r="AL882" s="541"/>
      <c r="AM882" s="541"/>
      <c r="AN882" s="1748"/>
      <c r="AO882" s="1748"/>
      <c r="AP882" s="1748"/>
      <c r="AQ882" s="1748"/>
      <c r="AR882" s="1748"/>
      <c r="AS882" s="541"/>
      <c r="AT882" s="541"/>
      <c r="AU882" s="541"/>
      <c r="AV882" s="541"/>
      <c r="AW882" s="541"/>
      <c r="AY882" s="541"/>
      <c r="AZ882" s="633"/>
      <c r="BA882" s="541"/>
      <c r="BB882" s="1190"/>
      <c r="BC882" s="541"/>
      <c r="BD882" s="1190"/>
      <c r="BE882" s="541"/>
      <c r="BF882" s="1190"/>
      <c r="BG882" s="541"/>
      <c r="BH882" s="1190"/>
      <c r="BI882" s="541"/>
      <c r="BJ882" s="1190"/>
      <c r="BK882" s="541"/>
      <c r="BL882" s="541"/>
      <c r="BM882" s="541"/>
      <c r="BP882" s="541"/>
      <c r="BQ882" s="633"/>
      <c r="BR882" s="541"/>
      <c r="BS882" s="541"/>
      <c r="BT882" s="541"/>
      <c r="BU882" s="541"/>
    </row>
    <row r="883" ht="15.75" customHeight="1">
      <c r="A883" s="1591"/>
      <c r="B883" s="1591"/>
      <c r="C883" s="2217"/>
      <c r="D883" s="1541"/>
      <c r="E883" s="906"/>
      <c r="F883" s="541"/>
      <c r="G883" s="541"/>
      <c r="H883" s="541"/>
      <c r="I883" s="541"/>
      <c r="J883" s="1748"/>
      <c r="K883" s="541"/>
      <c r="L883" s="1748"/>
      <c r="M883" s="541"/>
      <c r="N883" s="1748"/>
      <c r="O883" s="541"/>
      <c r="P883" s="1748"/>
      <c r="Q883" s="541"/>
      <c r="R883" s="1748"/>
      <c r="S883" s="541"/>
      <c r="T883" s="1748"/>
      <c r="U883" s="541"/>
      <c r="V883" s="1748"/>
      <c r="W883" s="541"/>
      <c r="X883" s="1748"/>
      <c r="Y883" s="1748"/>
      <c r="Z883" s="1748"/>
      <c r="AA883" s="541"/>
      <c r="AB883" s="1748"/>
      <c r="AC883" s="541"/>
      <c r="AD883" s="541"/>
      <c r="AE883" s="541"/>
      <c r="AF883" s="541"/>
      <c r="AG883" s="541"/>
      <c r="AH883" s="541"/>
      <c r="AI883" s="541"/>
      <c r="AJ883" s="541"/>
      <c r="AK883" s="541"/>
      <c r="AL883" s="541"/>
      <c r="AM883" s="541"/>
      <c r="AN883" s="1748"/>
      <c r="AO883" s="1748"/>
      <c r="AP883" s="1748"/>
      <c r="AQ883" s="1748"/>
      <c r="AR883" s="1748"/>
      <c r="AS883" s="541"/>
      <c r="AT883" s="541"/>
      <c r="AU883" s="541"/>
      <c r="AV883" s="541"/>
      <c r="AW883" s="541"/>
      <c r="AY883" s="541"/>
      <c r="AZ883" s="633"/>
      <c r="BA883" s="541"/>
      <c r="BB883" s="1190"/>
      <c r="BC883" s="541"/>
      <c r="BD883" s="1190"/>
      <c r="BE883" s="541"/>
      <c r="BF883" s="1190"/>
      <c r="BG883" s="541"/>
      <c r="BH883" s="1190"/>
      <c r="BI883" s="541"/>
      <c r="BJ883" s="1190"/>
      <c r="BK883" s="541"/>
      <c r="BL883" s="541"/>
      <c r="BM883" s="541"/>
      <c r="BP883" s="541"/>
      <c r="BQ883" s="633"/>
      <c r="BR883" s="541"/>
      <c r="BS883" s="541"/>
      <c r="BT883" s="541"/>
      <c r="BU883" s="541"/>
    </row>
    <row r="884" ht="15.75" customHeight="1">
      <c r="A884" s="1591"/>
      <c r="B884" s="1591"/>
      <c r="C884" s="2217"/>
      <c r="D884" s="1541"/>
      <c r="E884" s="906"/>
      <c r="F884" s="541"/>
      <c r="G884" s="541"/>
      <c r="H884" s="541"/>
      <c r="I884" s="541"/>
      <c r="J884" s="1748"/>
      <c r="K884" s="541"/>
      <c r="L884" s="1748"/>
      <c r="M884" s="541"/>
      <c r="N884" s="1748"/>
      <c r="O884" s="541"/>
      <c r="P884" s="1748"/>
      <c r="Q884" s="541"/>
      <c r="R884" s="1748"/>
      <c r="S884" s="541"/>
      <c r="T884" s="1748"/>
      <c r="U884" s="541"/>
      <c r="V884" s="1748"/>
      <c r="W884" s="541"/>
      <c r="X884" s="1748"/>
      <c r="Y884" s="1748"/>
      <c r="Z884" s="1748"/>
      <c r="AA884" s="541"/>
      <c r="AB884" s="1748"/>
      <c r="AC884" s="541"/>
      <c r="AD884" s="541"/>
      <c r="AE884" s="541"/>
      <c r="AF884" s="541"/>
      <c r="AG884" s="541"/>
      <c r="AH884" s="541"/>
      <c r="AI884" s="541"/>
      <c r="AJ884" s="541"/>
      <c r="AK884" s="541"/>
      <c r="AL884" s="541"/>
      <c r="AM884" s="541"/>
      <c r="AN884" s="1748"/>
      <c r="AO884" s="1748"/>
      <c r="AP884" s="1748"/>
      <c r="AQ884" s="1748"/>
      <c r="AR884" s="1748"/>
      <c r="AS884" s="541"/>
      <c r="AT884" s="541"/>
      <c r="AU884" s="541"/>
      <c r="AV884" s="541"/>
      <c r="AW884" s="541"/>
      <c r="AY884" s="541"/>
      <c r="AZ884" s="633"/>
      <c r="BA884" s="541"/>
      <c r="BB884" s="1190"/>
      <c r="BC884" s="541"/>
      <c r="BD884" s="1190"/>
      <c r="BE884" s="541"/>
      <c r="BF884" s="1190"/>
      <c r="BG884" s="541"/>
      <c r="BH884" s="1190"/>
      <c r="BI884" s="541"/>
      <c r="BJ884" s="1190"/>
      <c r="BK884" s="541"/>
      <c r="BL884" s="541"/>
      <c r="BM884" s="541"/>
      <c r="BP884" s="541"/>
      <c r="BQ884" s="633"/>
      <c r="BR884" s="541"/>
      <c r="BS884" s="541"/>
      <c r="BT884" s="541"/>
      <c r="BU884" s="541"/>
    </row>
    <row r="885" ht="15.75" customHeight="1">
      <c r="A885" s="1591"/>
      <c r="B885" s="1591"/>
      <c r="C885" s="2217"/>
      <c r="D885" s="1541"/>
      <c r="E885" s="906"/>
      <c r="F885" s="541"/>
      <c r="G885" s="541"/>
      <c r="H885" s="541"/>
      <c r="I885" s="541"/>
      <c r="J885" s="1748"/>
      <c r="K885" s="541"/>
      <c r="L885" s="1748"/>
      <c r="M885" s="541"/>
      <c r="N885" s="1748"/>
      <c r="O885" s="541"/>
      <c r="P885" s="1748"/>
      <c r="Q885" s="541"/>
      <c r="R885" s="1748"/>
      <c r="S885" s="541"/>
      <c r="T885" s="1748"/>
      <c r="U885" s="541"/>
      <c r="V885" s="1748"/>
      <c r="W885" s="541"/>
      <c r="X885" s="1748"/>
      <c r="Y885" s="1748"/>
      <c r="Z885" s="1748"/>
      <c r="AA885" s="541"/>
      <c r="AB885" s="1748"/>
      <c r="AC885" s="541"/>
      <c r="AD885" s="541"/>
      <c r="AE885" s="541"/>
      <c r="AF885" s="541"/>
      <c r="AG885" s="541"/>
      <c r="AH885" s="541"/>
      <c r="AI885" s="541"/>
      <c r="AJ885" s="541"/>
      <c r="AK885" s="541"/>
      <c r="AL885" s="541"/>
      <c r="AM885" s="541"/>
      <c r="AN885" s="1748"/>
      <c r="AO885" s="1748"/>
      <c r="AP885" s="1748"/>
      <c r="AQ885" s="1748"/>
      <c r="AR885" s="1748"/>
      <c r="AS885" s="541"/>
      <c r="AT885" s="541"/>
      <c r="AU885" s="541"/>
      <c r="AV885" s="541"/>
      <c r="AW885" s="541"/>
      <c r="AY885" s="541"/>
      <c r="AZ885" s="633"/>
      <c r="BA885" s="541"/>
      <c r="BB885" s="1190"/>
      <c r="BC885" s="541"/>
      <c r="BD885" s="1190"/>
      <c r="BE885" s="541"/>
      <c r="BF885" s="1190"/>
      <c r="BG885" s="541"/>
      <c r="BH885" s="1190"/>
      <c r="BI885" s="541"/>
      <c r="BJ885" s="1190"/>
      <c r="BK885" s="541"/>
      <c r="BL885" s="541"/>
      <c r="BM885" s="541"/>
      <c r="BP885" s="541"/>
      <c r="BQ885" s="633"/>
      <c r="BR885" s="541"/>
      <c r="BS885" s="541"/>
      <c r="BT885" s="541"/>
      <c r="BU885" s="541"/>
    </row>
    <row r="886" ht="15.75" customHeight="1">
      <c r="A886" s="1591"/>
      <c r="B886" s="1591"/>
      <c r="C886" s="2217"/>
      <c r="D886" s="1541"/>
      <c r="E886" s="906"/>
      <c r="F886" s="541"/>
      <c r="G886" s="541"/>
      <c r="H886" s="541"/>
      <c r="I886" s="541"/>
      <c r="J886" s="1748"/>
      <c r="K886" s="541"/>
      <c r="L886" s="1748"/>
      <c r="M886" s="541"/>
      <c r="N886" s="1748"/>
      <c r="O886" s="541"/>
      <c r="P886" s="1748"/>
      <c r="Q886" s="541"/>
      <c r="R886" s="1748"/>
      <c r="S886" s="541"/>
      <c r="T886" s="1748"/>
      <c r="U886" s="541"/>
      <c r="V886" s="1748"/>
      <c r="W886" s="541"/>
      <c r="X886" s="1748"/>
      <c r="Y886" s="1748"/>
      <c r="Z886" s="1748"/>
      <c r="AA886" s="541"/>
      <c r="AB886" s="1748"/>
      <c r="AC886" s="541"/>
      <c r="AD886" s="541"/>
      <c r="AE886" s="541"/>
      <c r="AF886" s="541"/>
      <c r="AG886" s="541"/>
      <c r="AH886" s="541"/>
      <c r="AI886" s="541"/>
      <c r="AJ886" s="541"/>
      <c r="AK886" s="541"/>
      <c r="AL886" s="541"/>
      <c r="AM886" s="541"/>
      <c r="AN886" s="1748"/>
      <c r="AO886" s="1748"/>
      <c r="AP886" s="1748"/>
      <c r="AQ886" s="1748"/>
      <c r="AR886" s="1748"/>
      <c r="AS886" s="541"/>
      <c r="AT886" s="541"/>
      <c r="AU886" s="541"/>
      <c r="AV886" s="541"/>
      <c r="AW886" s="541"/>
      <c r="AY886" s="541"/>
      <c r="AZ886" s="633"/>
      <c r="BA886" s="541"/>
      <c r="BB886" s="1190"/>
      <c r="BC886" s="541"/>
      <c r="BD886" s="1190"/>
      <c r="BE886" s="541"/>
      <c r="BF886" s="1190"/>
      <c r="BG886" s="541"/>
      <c r="BH886" s="1190"/>
      <c r="BI886" s="541"/>
      <c r="BJ886" s="1190"/>
      <c r="BK886" s="541"/>
      <c r="BL886" s="541"/>
      <c r="BM886" s="541"/>
      <c r="BP886" s="541"/>
      <c r="BQ886" s="633"/>
      <c r="BR886" s="541"/>
      <c r="BS886" s="541"/>
      <c r="BT886" s="541"/>
      <c r="BU886" s="541"/>
    </row>
    <row r="887" ht="15.75" customHeight="1">
      <c r="A887" s="1591"/>
      <c r="B887" s="1591"/>
      <c r="C887" s="2217"/>
      <c r="D887" s="1541"/>
      <c r="E887" s="906"/>
      <c r="F887" s="541"/>
      <c r="G887" s="541"/>
      <c r="H887" s="541"/>
      <c r="I887" s="541"/>
      <c r="J887" s="1748"/>
      <c r="K887" s="541"/>
      <c r="L887" s="1748"/>
      <c r="M887" s="541"/>
      <c r="N887" s="1748"/>
      <c r="O887" s="541"/>
      <c r="P887" s="1748"/>
      <c r="Q887" s="541"/>
      <c r="R887" s="1748"/>
      <c r="S887" s="541"/>
      <c r="T887" s="1748"/>
      <c r="U887" s="541"/>
      <c r="V887" s="1748"/>
      <c r="W887" s="541"/>
      <c r="X887" s="1748"/>
      <c r="Y887" s="1748"/>
      <c r="Z887" s="1748"/>
      <c r="AA887" s="541"/>
      <c r="AB887" s="1748"/>
      <c r="AC887" s="541"/>
      <c r="AD887" s="541"/>
      <c r="AE887" s="541"/>
      <c r="AF887" s="541"/>
      <c r="AG887" s="541"/>
      <c r="AH887" s="541"/>
      <c r="AI887" s="541"/>
      <c r="AJ887" s="541"/>
      <c r="AK887" s="541"/>
      <c r="AL887" s="541"/>
      <c r="AM887" s="541"/>
      <c r="AN887" s="1748"/>
      <c r="AO887" s="1748"/>
      <c r="AP887" s="1748"/>
      <c r="AQ887" s="1748"/>
      <c r="AR887" s="1748"/>
      <c r="AS887" s="541"/>
      <c r="AT887" s="541"/>
      <c r="AU887" s="541"/>
      <c r="AV887" s="541"/>
      <c r="AW887" s="541"/>
      <c r="AY887" s="541"/>
      <c r="AZ887" s="633"/>
      <c r="BA887" s="541"/>
      <c r="BB887" s="1190"/>
      <c r="BC887" s="541"/>
      <c r="BD887" s="1190"/>
      <c r="BE887" s="541"/>
      <c r="BF887" s="1190"/>
      <c r="BG887" s="541"/>
      <c r="BH887" s="1190"/>
      <c r="BI887" s="541"/>
      <c r="BJ887" s="1190"/>
      <c r="BK887" s="541"/>
      <c r="BL887" s="541"/>
      <c r="BM887" s="541"/>
      <c r="BP887" s="541"/>
      <c r="BQ887" s="633"/>
      <c r="BR887" s="541"/>
      <c r="BS887" s="541"/>
      <c r="BT887" s="541"/>
      <c r="BU887" s="541"/>
    </row>
    <row r="888" ht="15.75" customHeight="1">
      <c r="A888" s="1591"/>
      <c r="B888" s="1591"/>
      <c r="C888" s="2217"/>
      <c r="D888" s="1541"/>
      <c r="E888" s="906"/>
      <c r="F888" s="541"/>
      <c r="G888" s="541"/>
      <c r="H888" s="541"/>
      <c r="I888" s="541"/>
      <c r="J888" s="1748"/>
      <c r="K888" s="541"/>
      <c r="L888" s="1748"/>
      <c r="M888" s="541"/>
      <c r="N888" s="1748"/>
      <c r="O888" s="541"/>
      <c r="P888" s="1748"/>
      <c r="Q888" s="541"/>
      <c r="R888" s="1748"/>
      <c r="S888" s="541"/>
      <c r="T888" s="1748"/>
      <c r="U888" s="541"/>
      <c r="V888" s="1748"/>
      <c r="W888" s="541"/>
      <c r="X888" s="1748"/>
      <c r="Y888" s="1748"/>
      <c r="Z888" s="1748"/>
      <c r="AA888" s="541"/>
      <c r="AB888" s="1748"/>
      <c r="AC888" s="541"/>
      <c r="AD888" s="541"/>
      <c r="AE888" s="541"/>
      <c r="AF888" s="541"/>
      <c r="AG888" s="541"/>
      <c r="AH888" s="541"/>
      <c r="AI888" s="541"/>
      <c r="AJ888" s="541"/>
      <c r="AK888" s="541"/>
      <c r="AL888" s="541"/>
      <c r="AM888" s="541"/>
      <c r="AN888" s="1748"/>
      <c r="AO888" s="1748"/>
      <c r="AP888" s="1748"/>
      <c r="AQ888" s="1748"/>
      <c r="AR888" s="1748"/>
      <c r="AS888" s="541"/>
      <c r="AT888" s="541"/>
      <c r="AU888" s="541"/>
      <c r="AV888" s="541"/>
      <c r="AW888" s="541"/>
      <c r="AY888" s="541"/>
      <c r="AZ888" s="633"/>
      <c r="BA888" s="541"/>
      <c r="BB888" s="1190"/>
      <c r="BC888" s="541"/>
      <c r="BD888" s="1190"/>
      <c r="BE888" s="541"/>
      <c r="BF888" s="1190"/>
      <c r="BG888" s="541"/>
      <c r="BH888" s="1190"/>
      <c r="BI888" s="541"/>
      <c r="BJ888" s="1190"/>
      <c r="BK888" s="541"/>
      <c r="BL888" s="541"/>
      <c r="BM888" s="541"/>
      <c r="BP888" s="541"/>
      <c r="BQ888" s="633"/>
      <c r="BR888" s="541"/>
      <c r="BS888" s="541"/>
      <c r="BT888" s="541"/>
      <c r="BU888" s="541"/>
    </row>
    <row r="889" ht="15.75" customHeight="1">
      <c r="A889" s="1591"/>
      <c r="B889" s="1591"/>
      <c r="C889" s="2217"/>
      <c r="D889" s="1541"/>
      <c r="E889" s="906"/>
      <c r="F889" s="541"/>
      <c r="G889" s="541"/>
      <c r="H889" s="541"/>
      <c r="I889" s="541"/>
      <c r="J889" s="1748"/>
      <c r="K889" s="541"/>
      <c r="L889" s="1748"/>
      <c r="M889" s="541"/>
      <c r="N889" s="1748"/>
      <c r="O889" s="541"/>
      <c r="P889" s="1748"/>
      <c r="Q889" s="541"/>
      <c r="R889" s="1748"/>
      <c r="S889" s="541"/>
      <c r="T889" s="1748"/>
      <c r="U889" s="541"/>
      <c r="V889" s="1748"/>
      <c r="W889" s="541"/>
      <c r="X889" s="1748"/>
      <c r="Y889" s="1748"/>
      <c r="Z889" s="1748"/>
      <c r="AA889" s="541"/>
      <c r="AB889" s="1748"/>
      <c r="AC889" s="541"/>
      <c r="AD889" s="541"/>
      <c r="AE889" s="541"/>
      <c r="AF889" s="541"/>
      <c r="AG889" s="541"/>
      <c r="AH889" s="541"/>
      <c r="AI889" s="541"/>
      <c r="AJ889" s="541"/>
      <c r="AK889" s="541"/>
      <c r="AL889" s="541"/>
      <c r="AM889" s="541"/>
      <c r="AN889" s="1748"/>
      <c r="AO889" s="1748"/>
      <c r="AP889" s="1748"/>
      <c r="AQ889" s="1748"/>
      <c r="AR889" s="1748"/>
      <c r="AS889" s="541"/>
      <c r="AT889" s="541"/>
      <c r="AU889" s="541"/>
      <c r="AV889" s="541"/>
      <c r="AW889" s="541"/>
      <c r="AY889" s="541"/>
      <c r="AZ889" s="633"/>
      <c r="BA889" s="541"/>
      <c r="BB889" s="1190"/>
      <c r="BC889" s="541"/>
      <c r="BD889" s="1190"/>
      <c r="BE889" s="541"/>
      <c r="BF889" s="1190"/>
      <c r="BG889" s="541"/>
      <c r="BH889" s="1190"/>
      <c r="BI889" s="541"/>
      <c r="BJ889" s="1190"/>
      <c r="BK889" s="541"/>
      <c r="BL889" s="541"/>
      <c r="BM889" s="541"/>
      <c r="BP889" s="541"/>
      <c r="BQ889" s="633"/>
      <c r="BR889" s="541"/>
      <c r="BS889" s="541"/>
      <c r="BT889" s="541"/>
      <c r="BU889" s="541"/>
    </row>
    <row r="890" ht="15.75" customHeight="1">
      <c r="A890" s="1591"/>
      <c r="B890" s="1591"/>
      <c r="C890" s="2217"/>
      <c r="D890" s="1541"/>
      <c r="E890" s="906"/>
      <c r="F890" s="541"/>
      <c r="G890" s="541"/>
      <c r="H890" s="541"/>
      <c r="I890" s="541"/>
      <c r="J890" s="1748"/>
      <c r="K890" s="541"/>
      <c r="L890" s="1748"/>
      <c r="M890" s="541"/>
      <c r="N890" s="1748"/>
      <c r="O890" s="541"/>
      <c r="P890" s="1748"/>
      <c r="Q890" s="541"/>
      <c r="R890" s="1748"/>
      <c r="S890" s="541"/>
      <c r="T890" s="1748"/>
      <c r="U890" s="541"/>
      <c r="V890" s="1748"/>
      <c r="W890" s="541"/>
      <c r="X890" s="1748"/>
      <c r="Y890" s="1748"/>
      <c r="Z890" s="1748"/>
      <c r="AA890" s="541"/>
      <c r="AB890" s="1748"/>
      <c r="AC890" s="541"/>
      <c r="AD890" s="541"/>
      <c r="AE890" s="541"/>
      <c r="AF890" s="541"/>
      <c r="AG890" s="541"/>
      <c r="AH890" s="541"/>
      <c r="AI890" s="541"/>
      <c r="AJ890" s="541"/>
      <c r="AK890" s="541"/>
      <c r="AL890" s="541"/>
      <c r="AM890" s="541"/>
      <c r="AN890" s="1748"/>
      <c r="AO890" s="1748"/>
      <c r="AP890" s="1748"/>
      <c r="AQ890" s="1748"/>
      <c r="AR890" s="1748"/>
      <c r="AS890" s="541"/>
      <c r="AT890" s="541"/>
      <c r="AU890" s="541"/>
      <c r="AV890" s="541"/>
      <c r="AW890" s="541"/>
      <c r="AY890" s="541"/>
      <c r="AZ890" s="633"/>
      <c r="BA890" s="541"/>
      <c r="BB890" s="1190"/>
      <c r="BC890" s="541"/>
      <c r="BD890" s="1190"/>
      <c r="BE890" s="541"/>
      <c r="BF890" s="1190"/>
      <c r="BG890" s="541"/>
      <c r="BH890" s="1190"/>
      <c r="BI890" s="541"/>
      <c r="BJ890" s="1190"/>
      <c r="BK890" s="541"/>
      <c r="BL890" s="541"/>
      <c r="BM890" s="541"/>
      <c r="BP890" s="541"/>
      <c r="BQ890" s="633"/>
      <c r="BR890" s="541"/>
      <c r="BS890" s="541"/>
      <c r="BT890" s="541"/>
      <c r="BU890" s="541"/>
    </row>
    <row r="891" ht="15.75" customHeight="1">
      <c r="A891" s="1591"/>
      <c r="B891" s="1591"/>
      <c r="C891" s="2217"/>
      <c r="D891" s="1541"/>
      <c r="E891" s="906"/>
      <c r="F891" s="541"/>
      <c r="G891" s="541"/>
      <c r="H891" s="541"/>
      <c r="I891" s="541"/>
      <c r="J891" s="1748"/>
      <c r="K891" s="541"/>
      <c r="L891" s="1748"/>
      <c r="M891" s="541"/>
      <c r="N891" s="1748"/>
      <c r="O891" s="541"/>
      <c r="P891" s="1748"/>
      <c r="Q891" s="541"/>
      <c r="R891" s="1748"/>
      <c r="S891" s="541"/>
      <c r="T891" s="1748"/>
      <c r="U891" s="541"/>
      <c r="V891" s="1748"/>
      <c r="W891" s="541"/>
      <c r="X891" s="1748"/>
      <c r="Y891" s="1748"/>
      <c r="Z891" s="1748"/>
      <c r="AA891" s="541"/>
      <c r="AB891" s="1748"/>
      <c r="AC891" s="541"/>
      <c r="AD891" s="541"/>
      <c r="AE891" s="541"/>
      <c r="AF891" s="541"/>
      <c r="AG891" s="541"/>
      <c r="AH891" s="541"/>
      <c r="AI891" s="541"/>
      <c r="AJ891" s="541"/>
      <c r="AK891" s="541"/>
      <c r="AL891" s="541"/>
      <c r="AM891" s="541"/>
      <c r="AN891" s="1748"/>
      <c r="AO891" s="1748"/>
      <c r="AP891" s="1748"/>
      <c r="AQ891" s="1748"/>
      <c r="AR891" s="1748"/>
      <c r="AS891" s="541"/>
      <c r="AT891" s="541"/>
      <c r="AU891" s="541"/>
      <c r="AV891" s="541"/>
      <c r="AW891" s="541"/>
      <c r="AY891" s="541"/>
      <c r="AZ891" s="633"/>
      <c r="BA891" s="541"/>
      <c r="BB891" s="1190"/>
      <c r="BC891" s="541"/>
      <c r="BD891" s="1190"/>
      <c r="BE891" s="541"/>
      <c r="BF891" s="1190"/>
      <c r="BG891" s="541"/>
      <c r="BH891" s="1190"/>
      <c r="BI891" s="541"/>
      <c r="BJ891" s="1190"/>
      <c r="BK891" s="541"/>
      <c r="BL891" s="541"/>
      <c r="BM891" s="541"/>
      <c r="BP891" s="541"/>
      <c r="BQ891" s="633"/>
      <c r="BR891" s="541"/>
      <c r="BS891" s="541"/>
      <c r="BT891" s="541"/>
      <c r="BU891" s="541"/>
    </row>
    <row r="892" ht="15.75" customHeight="1">
      <c r="A892" s="1591"/>
      <c r="B892" s="1591"/>
      <c r="C892" s="2217"/>
      <c r="D892" s="1541"/>
      <c r="E892" s="906"/>
      <c r="F892" s="541"/>
      <c r="G892" s="541"/>
      <c r="H892" s="541"/>
      <c r="I892" s="541"/>
      <c r="J892" s="1748"/>
      <c r="K892" s="541"/>
      <c r="L892" s="1748"/>
      <c r="M892" s="541"/>
      <c r="N892" s="1748"/>
      <c r="O892" s="541"/>
      <c r="P892" s="1748"/>
      <c r="Q892" s="541"/>
      <c r="R892" s="1748"/>
      <c r="S892" s="541"/>
      <c r="T892" s="1748"/>
      <c r="U892" s="541"/>
      <c r="V892" s="1748"/>
      <c r="W892" s="541"/>
      <c r="X892" s="1748"/>
      <c r="Y892" s="1748"/>
      <c r="Z892" s="1748"/>
      <c r="AA892" s="541"/>
      <c r="AB892" s="1748"/>
      <c r="AC892" s="541"/>
      <c r="AD892" s="541"/>
      <c r="AE892" s="541"/>
      <c r="AF892" s="541"/>
      <c r="AG892" s="541"/>
      <c r="AH892" s="541"/>
      <c r="AI892" s="541"/>
      <c r="AJ892" s="541"/>
      <c r="AK892" s="541"/>
      <c r="AL892" s="541"/>
      <c r="AM892" s="541"/>
      <c r="AN892" s="1748"/>
      <c r="AO892" s="1748"/>
      <c r="AP892" s="1748"/>
      <c r="AQ892" s="1748"/>
      <c r="AR892" s="1748"/>
      <c r="AS892" s="541"/>
      <c r="AT892" s="541"/>
      <c r="AU892" s="541"/>
      <c r="AV892" s="541"/>
      <c r="AW892" s="541"/>
      <c r="AY892" s="541"/>
      <c r="AZ892" s="633"/>
      <c r="BA892" s="541"/>
      <c r="BB892" s="1190"/>
      <c r="BC892" s="541"/>
      <c r="BD892" s="1190"/>
      <c r="BE892" s="541"/>
      <c r="BF892" s="1190"/>
      <c r="BG892" s="541"/>
      <c r="BH892" s="1190"/>
      <c r="BI892" s="541"/>
      <c r="BJ892" s="1190"/>
      <c r="BK892" s="541"/>
      <c r="BL892" s="541"/>
      <c r="BM892" s="541"/>
      <c r="BP892" s="541"/>
      <c r="BQ892" s="633"/>
      <c r="BR892" s="541"/>
      <c r="BS892" s="541"/>
      <c r="BT892" s="541"/>
      <c r="BU892" s="541"/>
    </row>
    <row r="893" ht="15.75" customHeight="1">
      <c r="A893" s="1591"/>
      <c r="B893" s="1591"/>
      <c r="C893" s="2217"/>
      <c r="D893" s="1541"/>
      <c r="E893" s="906"/>
      <c r="F893" s="541"/>
      <c r="G893" s="541"/>
      <c r="H893" s="541"/>
      <c r="I893" s="541"/>
      <c r="J893" s="1748"/>
      <c r="K893" s="541"/>
      <c r="L893" s="1748"/>
      <c r="M893" s="541"/>
      <c r="N893" s="1748"/>
      <c r="O893" s="541"/>
      <c r="P893" s="1748"/>
      <c r="Q893" s="541"/>
      <c r="R893" s="1748"/>
      <c r="S893" s="541"/>
      <c r="T893" s="1748"/>
      <c r="U893" s="541"/>
      <c r="V893" s="1748"/>
      <c r="W893" s="541"/>
      <c r="X893" s="1748"/>
      <c r="Y893" s="1748"/>
      <c r="Z893" s="1748"/>
      <c r="AA893" s="541"/>
      <c r="AB893" s="1748"/>
      <c r="AC893" s="541"/>
      <c r="AD893" s="541"/>
      <c r="AE893" s="541"/>
      <c r="AF893" s="541"/>
      <c r="AG893" s="541"/>
      <c r="AH893" s="541"/>
      <c r="AI893" s="541"/>
      <c r="AJ893" s="541"/>
      <c r="AK893" s="541"/>
      <c r="AL893" s="541"/>
      <c r="AM893" s="541"/>
      <c r="AN893" s="1748"/>
      <c r="AO893" s="1748"/>
      <c r="AP893" s="1748"/>
      <c r="AQ893" s="1748"/>
      <c r="AR893" s="1748"/>
      <c r="AS893" s="541"/>
      <c r="AT893" s="541"/>
      <c r="AU893" s="541"/>
      <c r="AV893" s="541"/>
      <c r="AW893" s="541"/>
      <c r="AY893" s="541"/>
      <c r="AZ893" s="633"/>
      <c r="BA893" s="541"/>
      <c r="BB893" s="1190"/>
      <c r="BC893" s="541"/>
      <c r="BD893" s="1190"/>
      <c r="BE893" s="541"/>
      <c r="BF893" s="1190"/>
      <c r="BG893" s="541"/>
      <c r="BH893" s="1190"/>
      <c r="BI893" s="541"/>
      <c r="BJ893" s="1190"/>
      <c r="BK893" s="541"/>
      <c r="BL893" s="541"/>
      <c r="BM893" s="541"/>
      <c r="BP893" s="541"/>
      <c r="BQ893" s="633"/>
      <c r="BR893" s="541"/>
      <c r="BS893" s="541"/>
      <c r="BT893" s="541"/>
      <c r="BU893" s="541"/>
    </row>
    <row r="894" ht="15.75" customHeight="1">
      <c r="A894" s="1591"/>
      <c r="B894" s="1591"/>
      <c r="C894" s="2217"/>
      <c r="D894" s="1541"/>
      <c r="E894" s="906"/>
      <c r="F894" s="541"/>
      <c r="G894" s="541"/>
      <c r="H894" s="541"/>
      <c r="I894" s="541"/>
      <c r="J894" s="1748"/>
      <c r="K894" s="541"/>
      <c r="L894" s="1748"/>
      <c r="M894" s="541"/>
      <c r="N894" s="1748"/>
      <c r="O894" s="541"/>
      <c r="P894" s="1748"/>
      <c r="Q894" s="541"/>
      <c r="R894" s="1748"/>
      <c r="S894" s="541"/>
      <c r="T894" s="1748"/>
      <c r="U894" s="541"/>
      <c r="V894" s="1748"/>
      <c r="W894" s="541"/>
      <c r="X894" s="1748"/>
      <c r="Y894" s="1748"/>
      <c r="Z894" s="1748"/>
      <c r="AA894" s="541"/>
      <c r="AB894" s="1748"/>
      <c r="AC894" s="541"/>
      <c r="AD894" s="541"/>
      <c r="AE894" s="541"/>
      <c r="AF894" s="541"/>
      <c r="AG894" s="541"/>
      <c r="AH894" s="541"/>
      <c r="AI894" s="541"/>
      <c r="AJ894" s="541"/>
      <c r="AK894" s="541"/>
      <c r="AL894" s="541"/>
      <c r="AM894" s="541"/>
      <c r="AN894" s="1748"/>
      <c r="AO894" s="1748"/>
      <c r="AP894" s="1748"/>
      <c r="AQ894" s="1748"/>
      <c r="AR894" s="1748"/>
      <c r="AS894" s="541"/>
      <c r="AT894" s="541"/>
      <c r="AU894" s="541"/>
      <c r="AV894" s="541"/>
      <c r="AW894" s="541"/>
      <c r="AY894" s="541"/>
      <c r="AZ894" s="633"/>
      <c r="BA894" s="541"/>
      <c r="BB894" s="1190"/>
      <c r="BC894" s="541"/>
      <c r="BD894" s="1190"/>
      <c r="BE894" s="541"/>
      <c r="BF894" s="1190"/>
      <c r="BG894" s="541"/>
      <c r="BH894" s="1190"/>
      <c r="BI894" s="541"/>
      <c r="BJ894" s="1190"/>
      <c r="BK894" s="541"/>
      <c r="BL894" s="541"/>
      <c r="BM894" s="541"/>
      <c r="BP894" s="541"/>
      <c r="BQ894" s="633"/>
      <c r="BR894" s="541"/>
      <c r="BS894" s="541"/>
      <c r="BT894" s="541"/>
      <c r="BU894" s="541"/>
    </row>
    <row r="895" ht="15.75" customHeight="1">
      <c r="A895" s="1591"/>
      <c r="B895" s="1591"/>
      <c r="C895" s="2217"/>
      <c r="D895" s="1541"/>
      <c r="E895" s="906"/>
      <c r="F895" s="541"/>
      <c r="G895" s="541"/>
      <c r="H895" s="541"/>
      <c r="I895" s="541"/>
      <c r="J895" s="1748"/>
      <c r="K895" s="541"/>
      <c r="L895" s="1748"/>
      <c r="M895" s="541"/>
      <c r="N895" s="1748"/>
      <c r="O895" s="541"/>
      <c r="P895" s="1748"/>
      <c r="Q895" s="541"/>
      <c r="R895" s="1748"/>
      <c r="S895" s="541"/>
      <c r="T895" s="1748"/>
      <c r="U895" s="541"/>
      <c r="V895" s="1748"/>
      <c r="W895" s="541"/>
      <c r="X895" s="1748"/>
      <c r="Y895" s="1748"/>
      <c r="Z895" s="1748"/>
      <c r="AA895" s="541"/>
      <c r="AB895" s="1748"/>
      <c r="AC895" s="541"/>
      <c r="AD895" s="541"/>
      <c r="AE895" s="541"/>
      <c r="AF895" s="541"/>
      <c r="AG895" s="541"/>
      <c r="AH895" s="541"/>
      <c r="AI895" s="541"/>
      <c r="AJ895" s="541"/>
      <c r="AK895" s="541"/>
      <c r="AL895" s="541"/>
      <c r="AM895" s="541"/>
      <c r="AN895" s="1748"/>
      <c r="AO895" s="1748"/>
      <c r="AP895" s="1748"/>
      <c r="AQ895" s="1748"/>
      <c r="AR895" s="1748"/>
      <c r="AS895" s="541"/>
      <c r="AT895" s="541"/>
      <c r="AU895" s="541"/>
      <c r="AV895" s="541"/>
      <c r="AW895" s="541"/>
      <c r="AY895" s="541"/>
      <c r="AZ895" s="633"/>
      <c r="BA895" s="541"/>
      <c r="BB895" s="1190"/>
      <c r="BC895" s="541"/>
      <c r="BD895" s="1190"/>
      <c r="BE895" s="541"/>
      <c r="BF895" s="1190"/>
      <c r="BG895" s="541"/>
      <c r="BH895" s="1190"/>
      <c r="BI895" s="541"/>
      <c r="BJ895" s="1190"/>
      <c r="BK895" s="541"/>
      <c r="BL895" s="541"/>
      <c r="BM895" s="541"/>
      <c r="BP895" s="541"/>
      <c r="BQ895" s="633"/>
      <c r="BR895" s="541"/>
      <c r="BS895" s="541"/>
      <c r="BT895" s="541"/>
      <c r="BU895" s="541"/>
    </row>
    <row r="896" ht="15.75" customHeight="1">
      <c r="A896" s="1591"/>
      <c r="B896" s="1591"/>
      <c r="C896" s="2217"/>
      <c r="D896" s="1541"/>
      <c r="E896" s="906"/>
      <c r="F896" s="541"/>
      <c r="G896" s="541"/>
      <c r="H896" s="541"/>
      <c r="I896" s="541"/>
      <c r="J896" s="1748"/>
      <c r="K896" s="541"/>
      <c r="L896" s="1748"/>
      <c r="M896" s="541"/>
      <c r="N896" s="1748"/>
      <c r="O896" s="541"/>
      <c r="P896" s="1748"/>
      <c r="Q896" s="541"/>
      <c r="R896" s="1748"/>
      <c r="S896" s="541"/>
      <c r="T896" s="1748"/>
      <c r="U896" s="541"/>
      <c r="V896" s="1748"/>
      <c r="W896" s="541"/>
      <c r="X896" s="1748"/>
      <c r="Y896" s="1748"/>
      <c r="Z896" s="1748"/>
      <c r="AA896" s="541"/>
      <c r="AB896" s="1748"/>
      <c r="AC896" s="541"/>
      <c r="AD896" s="541"/>
      <c r="AE896" s="541"/>
      <c r="AF896" s="541"/>
      <c r="AG896" s="541"/>
      <c r="AH896" s="541"/>
      <c r="AI896" s="541"/>
      <c r="AJ896" s="541"/>
      <c r="AK896" s="541"/>
      <c r="AL896" s="541"/>
      <c r="AM896" s="541"/>
      <c r="AN896" s="1748"/>
      <c r="AO896" s="1748"/>
      <c r="AP896" s="1748"/>
      <c r="AQ896" s="1748"/>
      <c r="AR896" s="1748"/>
      <c r="AS896" s="541"/>
      <c r="AT896" s="541"/>
      <c r="AU896" s="541"/>
      <c r="AV896" s="541"/>
      <c r="AW896" s="541"/>
      <c r="AY896" s="541"/>
      <c r="AZ896" s="633"/>
      <c r="BA896" s="541"/>
      <c r="BB896" s="1190"/>
      <c r="BC896" s="541"/>
      <c r="BD896" s="1190"/>
      <c r="BE896" s="541"/>
      <c r="BF896" s="1190"/>
      <c r="BG896" s="541"/>
      <c r="BH896" s="1190"/>
      <c r="BI896" s="541"/>
      <c r="BJ896" s="1190"/>
      <c r="BK896" s="541"/>
      <c r="BL896" s="541"/>
      <c r="BM896" s="541"/>
      <c r="BP896" s="541"/>
      <c r="BQ896" s="633"/>
      <c r="BR896" s="541"/>
      <c r="BS896" s="541"/>
      <c r="BT896" s="541"/>
      <c r="BU896" s="541"/>
    </row>
    <row r="897" ht="15.75" customHeight="1">
      <c r="A897" s="1591"/>
      <c r="B897" s="1591"/>
      <c r="C897" s="2217"/>
      <c r="D897" s="1541"/>
      <c r="E897" s="906"/>
      <c r="F897" s="541"/>
      <c r="G897" s="541"/>
      <c r="H897" s="541"/>
      <c r="I897" s="541"/>
      <c r="J897" s="1748"/>
      <c r="K897" s="541"/>
      <c r="L897" s="1748"/>
      <c r="M897" s="541"/>
      <c r="N897" s="1748"/>
      <c r="O897" s="541"/>
      <c r="P897" s="1748"/>
      <c r="Q897" s="541"/>
      <c r="R897" s="1748"/>
      <c r="S897" s="541"/>
      <c r="T897" s="1748"/>
      <c r="U897" s="541"/>
      <c r="V897" s="1748"/>
      <c r="W897" s="541"/>
      <c r="X897" s="1748"/>
      <c r="Y897" s="1748"/>
      <c r="Z897" s="1748"/>
      <c r="AA897" s="541"/>
      <c r="AB897" s="1748"/>
      <c r="AC897" s="541"/>
      <c r="AD897" s="541"/>
      <c r="AE897" s="541"/>
      <c r="AF897" s="541"/>
      <c r="AG897" s="541"/>
      <c r="AH897" s="541"/>
      <c r="AI897" s="541"/>
      <c r="AJ897" s="541"/>
      <c r="AK897" s="541"/>
      <c r="AL897" s="541"/>
      <c r="AM897" s="541"/>
      <c r="AN897" s="1748"/>
      <c r="AO897" s="1748"/>
      <c r="AP897" s="1748"/>
      <c r="AQ897" s="1748"/>
      <c r="AR897" s="1748"/>
      <c r="AS897" s="541"/>
      <c r="AT897" s="541"/>
      <c r="AU897" s="541"/>
      <c r="AV897" s="541"/>
      <c r="AW897" s="541"/>
      <c r="AY897" s="541"/>
      <c r="AZ897" s="633"/>
      <c r="BA897" s="541"/>
      <c r="BB897" s="1190"/>
      <c r="BC897" s="541"/>
      <c r="BD897" s="1190"/>
      <c r="BE897" s="541"/>
      <c r="BF897" s="1190"/>
      <c r="BG897" s="541"/>
      <c r="BH897" s="1190"/>
      <c r="BI897" s="541"/>
      <c r="BJ897" s="1190"/>
      <c r="BK897" s="541"/>
      <c r="BL897" s="541"/>
      <c r="BM897" s="541"/>
      <c r="BP897" s="541"/>
      <c r="BQ897" s="633"/>
      <c r="BR897" s="541"/>
      <c r="BS897" s="541"/>
      <c r="BT897" s="541"/>
      <c r="BU897" s="541"/>
    </row>
    <row r="898" ht="15.75" customHeight="1">
      <c r="A898" s="1591"/>
      <c r="B898" s="1591"/>
      <c r="C898" s="2217"/>
      <c r="D898" s="1541"/>
      <c r="E898" s="906"/>
      <c r="F898" s="541"/>
      <c r="G898" s="541"/>
      <c r="H898" s="541"/>
      <c r="I898" s="541"/>
      <c r="J898" s="1748"/>
      <c r="K898" s="541"/>
      <c r="L898" s="1748"/>
      <c r="M898" s="541"/>
      <c r="N898" s="1748"/>
      <c r="O898" s="541"/>
      <c r="P898" s="1748"/>
      <c r="Q898" s="541"/>
      <c r="R898" s="1748"/>
      <c r="S898" s="541"/>
      <c r="T898" s="1748"/>
      <c r="U898" s="541"/>
      <c r="V898" s="1748"/>
      <c r="W898" s="541"/>
      <c r="X898" s="1748"/>
      <c r="Y898" s="1748"/>
      <c r="Z898" s="1748"/>
      <c r="AA898" s="541"/>
      <c r="AB898" s="1748"/>
      <c r="AC898" s="541"/>
      <c r="AD898" s="541"/>
      <c r="AE898" s="541"/>
      <c r="AF898" s="541"/>
      <c r="AG898" s="541"/>
      <c r="AH898" s="541"/>
      <c r="AI898" s="541"/>
      <c r="AJ898" s="541"/>
      <c r="AK898" s="541"/>
      <c r="AL898" s="541"/>
      <c r="AM898" s="541"/>
      <c r="AN898" s="1748"/>
      <c r="AO898" s="1748"/>
      <c r="AP898" s="1748"/>
      <c r="AQ898" s="1748"/>
      <c r="AR898" s="1748"/>
      <c r="AS898" s="541"/>
      <c r="AT898" s="541"/>
      <c r="AU898" s="541"/>
      <c r="AV898" s="541"/>
      <c r="AW898" s="541"/>
      <c r="AY898" s="541"/>
      <c r="AZ898" s="633"/>
      <c r="BA898" s="541"/>
      <c r="BB898" s="1190"/>
      <c r="BC898" s="541"/>
      <c r="BD898" s="1190"/>
      <c r="BE898" s="541"/>
      <c r="BF898" s="1190"/>
      <c r="BG898" s="541"/>
      <c r="BH898" s="1190"/>
      <c r="BI898" s="541"/>
      <c r="BJ898" s="1190"/>
      <c r="BK898" s="541"/>
      <c r="BL898" s="541"/>
      <c r="BM898" s="541"/>
      <c r="BP898" s="541"/>
      <c r="BQ898" s="633"/>
      <c r="BR898" s="541"/>
      <c r="BS898" s="541"/>
      <c r="BT898" s="541"/>
      <c r="BU898" s="541"/>
    </row>
    <row r="899" ht="15.75" customHeight="1">
      <c r="A899" s="1591"/>
      <c r="B899" s="1591"/>
      <c r="C899" s="2217"/>
      <c r="D899" s="1541"/>
      <c r="E899" s="906"/>
      <c r="F899" s="541"/>
      <c r="G899" s="541"/>
      <c r="H899" s="541"/>
      <c r="I899" s="541"/>
      <c r="J899" s="1748"/>
      <c r="K899" s="541"/>
      <c r="L899" s="1748"/>
      <c r="M899" s="541"/>
      <c r="N899" s="1748"/>
      <c r="O899" s="541"/>
      <c r="P899" s="1748"/>
      <c r="Q899" s="541"/>
      <c r="R899" s="1748"/>
      <c r="S899" s="541"/>
      <c r="T899" s="1748"/>
      <c r="U899" s="541"/>
      <c r="V899" s="1748"/>
      <c r="W899" s="541"/>
      <c r="X899" s="1748"/>
      <c r="Y899" s="1748"/>
      <c r="Z899" s="1748"/>
      <c r="AA899" s="541"/>
      <c r="AB899" s="1748"/>
      <c r="AC899" s="541"/>
      <c r="AD899" s="541"/>
      <c r="AE899" s="541"/>
      <c r="AF899" s="541"/>
      <c r="AG899" s="541"/>
      <c r="AH899" s="541"/>
      <c r="AI899" s="541"/>
      <c r="AJ899" s="541"/>
      <c r="AK899" s="541"/>
      <c r="AL899" s="541"/>
      <c r="AM899" s="541"/>
      <c r="AN899" s="1748"/>
      <c r="AO899" s="1748"/>
      <c r="AP899" s="1748"/>
      <c r="AQ899" s="1748"/>
      <c r="AR899" s="1748"/>
      <c r="AS899" s="541"/>
      <c r="AT899" s="541"/>
      <c r="AU899" s="541"/>
      <c r="AV899" s="541"/>
      <c r="AW899" s="541"/>
      <c r="AY899" s="541"/>
      <c r="AZ899" s="633"/>
      <c r="BA899" s="541"/>
      <c r="BB899" s="1190"/>
      <c r="BC899" s="541"/>
      <c r="BD899" s="1190"/>
      <c r="BE899" s="541"/>
      <c r="BF899" s="1190"/>
      <c r="BG899" s="541"/>
      <c r="BH899" s="1190"/>
      <c r="BI899" s="541"/>
      <c r="BJ899" s="1190"/>
      <c r="BK899" s="541"/>
      <c r="BL899" s="541"/>
      <c r="BM899" s="541"/>
      <c r="BP899" s="541"/>
      <c r="BQ899" s="633"/>
      <c r="BR899" s="541"/>
      <c r="BS899" s="541"/>
      <c r="BT899" s="541"/>
      <c r="BU899" s="541"/>
    </row>
    <row r="900" ht="15.75" customHeight="1">
      <c r="A900" s="1591"/>
      <c r="B900" s="1591"/>
      <c r="C900" s="2217"/>
      <c r="D900" s="1541"/>
      <c r="E900" s="906"/>
      <c r="F900" s="541"/>
      <c r="G900" s="541"/>
      <c r="H900" s="541"/>
      <c r="I900" s="541"/>
      <c r="J900" s="1748"/>
      <c r="K900" s="541"/>
      <c r="L900" s="1748"/>
      <c r="M900" s="541"/>
      <c r="N900" s="1748"/>
      <c r="O900" s="541"/>
      <c r="P900" s="1748"/>
      <c r="Q900" s="541"/>
      <c r="R900" s="1748"/>
      <c r="S900" s="541"/>
      <c r="T900" s="1748"/>
      <c r="U900" s="541"/>
      <c r="V900" s="1748"/>
      <c r="W900" s="541"/>
      <c r="X900" s="1748"/>
      <c r="Y900" s="1748"/>
      <c r="Z900" s="1748"/>
      <c r="AA900" s="541"/>
      <c r="AB900" s="1748"/>
      <c r="AC900" s="541"/>
      <c r="AD900" s="541"/>
      <c r="AE900" s="541"/>
      <c r="AF900" s="541"/>
      <c r="AG900" s="541"/>
      <c r="AH900" s="541"/>
      <c r="AI900" s="541"/>
      <c r="AJ900" s="541"/>
      <c r="AK900" s="541"/>
      <c r="AL900" s="541"/>
      <c r="AM900" s="541"/>
      <c r="AN900" s="1748"/>
      <c r="AO900" s="1748"/>
      <c r="AP900" s="1748"/>
      <c r="AQ900" s="1748"/>
      <c r="AR900" s="1748"/>
      <c r="AS900" s="541"/>
      <c r="AT900" s="541"/>
      <c r="AU900" s="541"/>
      <c r="AV900" s="541"/>
      <c r="AW900" s="541"/>
      <c r="AY900" s="541"/>
      <c r="AZ900" s="633"/>
      <c r="BA900" s="541"/>
      <c r="BB900" s="1190"/>
      <c r="BC900" s="541"/>
      <c r="BD900" s="1190"/>
      <c r="BE900" s="541"/>
      <c r="BF900" s="1190"/>
      <c r="BG900" s="541"/>
      <c r="BH900" s="1190"/>
      <c r="BI900" s="541"/>
      <c r="BJ900" s="1190"/>
      <c r="BK900" s="541"/>
      <c r="BL900" s="541"/>
      <c r="BM900" s="541"/>
      <c r="BP900" s="541"/>
      <c r="BQ900" s="633"/>
      <c r="BR900" s="541"/>
      <c r="BS900" s="541"/>
      <c r="BT900" s="541"/>
      <c r="BU900" s="541"/>
    </row>
    <row r="901" ht="15.75" customHeight="1">
      <c r="A901" s="1591"/>
      <c r="B901" s="1591"/>
      <c r="C901" s="2217"/>
      <c r="D901" s="1541"/>
      <c r="E901" s="906"/>
      <c r="F901" s="541"/>
      <c r="G901" s="541"/>
      <c r="H901" s="541"/>
      <c r="I901" s="541"/>
      <c r="J901" s="1748"/>
      <c r="K901" s="541"/>
      <c r="L901" s="1748"/>
      <c r="M901" s="541"/>
      <c r="N901" s="1748"/>
      <c r="O901" s="541"/>
      <c r="P901" s="1748"/>
      <c r="Q901" s="541"/>
      <c r="R901" s="1748"/>
      <c r="S901" s="541"/>
      <c r="T901" s="1748"/>
      <c r="U901" s="541"/>
      <c r="V901" s="1748"/>
      <c r="W901" s="541"/>
      <c r="X901" s="1748"/>
      <c r="Y901" s="1748"/>
      <c r="Z901" s="1748"/>
      <c r="AA901" s="541"/>
      <c r="AB901" s="1748"/>
      <c r="AC901" s="541"/>
      <c r="AD901" s="541"/>
      <c r="AE901" s="541"/>
      <c r="AF901" s="541"/>
      <c r="AG901" s="541"/>
      <c r="AH901" s="541"/>
      <c r="AI901" s="541"/>
      <c r="AJ901" s="541"/>
      <c r="AK901" s="541"/>
      <c r="AL901" s="541"/>
      <c r="AM901" s="541"/>
      <c r="AN901" s="1748"/>
      <c r="AO901" s="1748"/>
      <c r="AP901" s="1748"/>
      <c r="AQ901" s="1748"/>
      <c r="AR901" s="1748"/>
      <c r="AS901" s="541"/>
      <c r="AT901" s="541"/>
      <c r="AU901" s="541"/>
      <c r="AV901" s="541"/>
      <c r="AW901" s="541"/>
      <c r="AY901" s="541"/>
      <c r="AZ901" s="633"/>
      <c r="BA901" s="541"/>
      <c r="BB901" s="1190"/>
      <c r="BC901" s="541"/>
      <c r="BD901" s="1190"/>
      <c r="BE901" s="541"/>
      <c r="BF901" s="1190"/>
      <c r="BG901" s="541"/>
      <c r="BH901" s="1190"/>
      <c r="BI901" s="541"/>
      <c r="BJ901" s="1190"/>
      <c r="BK901" s="541"/>
      <c r="BL901" s="541"/>
      <c r="BM901" s="541"/>
      <c r="BP901" s="541"/>
      <c r="BQ901" s="633"/>
      <c r="BR901" s="541"/>
      <c r="BS901" s="541"/>
      <c r="BT901" s="541"/>
      <c r="BU901" s="541"/>
    </row>
    <row r="902" ht="15.75" customHeight="1">
      <c r="A902" s="1591"/>
      <c r="B902" s="1591"/>
      <c r="C902" s="2217"/>
      <c r="D902" s="1541"/>
      <c r="E902" s="906"/>
      <c r="F902" s="541"/>
      <c r="G902" s="541"/>
      <c r="H902" s="541"/>
      <c r="I902" s="541"/>
      <c r="J902" s="1748"/>
      <c r="K902" s="541"/>
      <c r="L902" s="1748"/>
      <c r="M902" s="541"/>
      <c r="N902" s="1748"/>
      <c r="O902" s="541"/>
      <c r="P902" s="1748"/>
      <c r="Q902" s="541"/>
      <c r="R902" s="1748"/>
      <c r="S902" s="541"/>
      <c r="T902" s="1748"/>
      <c r="U902" s="541"/>
      <c r="V902" s="1748"/>
      <c r="W902" s="541"/>
      <c r="X902" s="1748"/>
      <c r="Y902" s="1748"/>
      <c r="Z902" s="1748"/>
      <c r="AA902" s="541"/>
      <c r="AB902" s="1748"/>
      <c r="AC902" s="541"/>
      <c r="AD902" s="541"/>
      <c r="AE902" s="541"/>
      <c r="AF902" s="541"/>
      <c r="AG902" s="541"/>
      <c r="AH902" s="541"/>
      <c r="AI902" s="541"/>
      <c r="AJ902" s="541"/>
      <c r="AK902" s="541"/>
      <c r="AL902" s="541"/>
      <c r="AM902" s="541"/>
      <c r="AN902" s="1748"/>
      <c r="AO902" s="1748"/>
      <c r="AP902" s="1748"/>
      <c r="AQ902" s="1748"/>
      <c r="AR902" s="1748"/>
      <c r="AS902" s="541"/>
      <c r="AT902" s="541"/>
      <c r="AU902" s="541"/>
      <c r="AV902" s="541"/>
      <c r="AW902" s="541"/>
      <c r="AY902" s="541"/>
      <c r="AZ902" s="633"/>
      <c r="BA902" s="541"/>
      <c r="BB902" s="1190"/>
      <c r="BC902" s="541"/>
      <c r="BD902" s="1190"/>
      <c r="BE902" s="541"/>
      <c r="BF902" s="1190"/>
      <c r="BG902" s="541"/>
      <c r="BH902" s="1190"/>
      <c r="BI902" s="541"/>
      <c r="BJ902" s="1190"/>
      <c r="BK902" s="541"/>
      <c r="BL902" s="541"/>
      <c r="BM902" s="541"/>
      <c r="BP902" s="541"/>
      <c r="BQ902" s="633"/>
      <c r="BR902" s="541"/>
      <c r="BS902" s="541"/>
      <c r="BT902" s="541"/>
      <c r="BU902" s="541"/>
    </row>
    <row r="903" ht="15.75" customHeight="1">
      <c r="A903" s="1591"/>
      <c r="B903" s="1591"/>
      <c r="C903" s="2217"/>
      <c r="D903" s="1541"/>
      <c r="E903" s="906"/>
      <c r="F903" s="541"/>
      <c r="G903" s="541"/>
      <c r="H903" s="541"/>
      <c r="I903" s="541"/>
      <c r="J903" s="1748"/>
      <c r="K903" s="541"/>
      <c r="L903" s="1748"/>
      <c r="M903" s="541"/>
      <c r="N903" s="1748"/>
      <c r="O903" s="541"/>
      <c r="P903" s="1748"/>
      <c r="Q903" s="541"/>
      <c r="R903" s="1748"/>
      <c r="S903" s="541"/>
      <c r="T903" s="1748"/>
      <c r="U903" s="541"/>
      <c r="V903" s="1748"/>
      <c r="W903" s="541"/>
      <c r="X903" s="1748"/>
      <c r="Y903" s="1748"/>
      <c r="Z903" s="1748"/>
      <c r="AA903" s="541"/>
      <c r="AB903" s="1748"/>
      <c r="AC903" s="541"/>
      <c r="AD903" s="541"/>
      <c r="AE903" s="541"/>
      <c r="AF903" s="541"/>
      <c r="AG903" s="541"/>
      <c r="AH903" s="541"/>
      <c r="AI903" s="541"/>
      <c r="AJ903" s="541"/>
      <c r="AK903" s="541"/>
      <c r="AL903" s="541"/>
      <c r="AM903" s="541"/>
      <c r="AN903" s="1748"/>
      <c r="AO903" s="1748"/>
      <c r="AP903" s="1748"/>
      <c r="AQ903" s="1748"/>
      <c r="AR903" s="1748"/>
      <c r="AS903" s="541"/>
      <c r="AT903" s="541"/>
      <c r="AU903" s="541"/>
      <c r="AV903" s="541"/>
      <c r="AW903" s="541"/>
      <c r="AY903" s="541"/>
      <c r="AZ903" s="633"/>
      <c r="BA903" s="541"/>
      <c r="BB903" s="1190"/>
      <c r="BC903" s="541"/>
      <c r="BD903" s="1190"/>
      <c r="BE903" s="541"/>
      <c r="BF903" s="1190"/>
      <c r="BG903" s="541"/>
      <c r="BH903" s="1190"/>
      <c r="BI903" s="541"/>
      <c r="BJ903" s="1190"/>
      <c r="BK903" s="541"/>
      <c r="BL903" s="541"/>
      <c r="BM903" s="541"/>
      <c r="BP903" s="541"/>
      <c r="BQ903" s="633"/>
      <c r="BR903" s="541"/>
      <c r="BS903" s="541"/>
      <c r="BT903" s="541"/>
      <c r="BU903" s="541"/>
    </row>
    <row r="904" ht="15.75" customHeight="1">
      <c r="A904" s="1591"/>
      <c r="B904" s="1591"/>
      <c r="C904" s="2217"/>
      <c r="D904" s="1541"/>
      <c r="E904" s="906"/>
      <c r="F904" s="541"/>
      <c r="G904" s="541"/>
      <c r="H904" s="541"/>
      <c r="I904" s="541"/>
      <c r="J904" s="1748"/>
      <c r="K904" s="541"/>
      <c r="L904" s="1748"/>
      <c r="M904" s="541"/>
      <c r="N904" s="1748"/>
      <c r="O904" s="541"/>
      <c r="P904" s="1748"/>
      <c r="Q904" s="541"/>
      <c r="R904" s="1748"/>
      <c r="S904" s="541"/>
      <c r="T904" s="1748"/>
      <c r="U904" s="541"/>
      <c r="V904" s="1748"/>
      <c r="W904" s="541"/>
      <c r="X904" s="1748"/>
      <c r="Y904" s="1748"/>
      <c r="Z904" s="1748"/>
      <c r="AA904" s="541"/>
      <c r="AB904" s="1748"/>
      <c r="AC904" s="541"/>
      <c r="AD904" s="541"/>
      <c r="AE904" s="541"/>
      <c r="AF904" s="541"/>
      <c r="AG904" s="541"/>
      <c r="AH904" s="541"/>
      <c r="AI904" s="541"/>
      <c r="AJ904" s="541"/>
      <c r="AK904" s="541"/>
      <c r="AL904" s="541"/>
      <c r="AM904" s="541"/>
      <c r="AN904" s="1748"/>
      <c r="AO904" s="1748"/>
      <c r="AP904" s="1748"/>
      <c r="AQ904" s="1748"/>
      <c r="AR904" s="1748"/>
      <c r="AS904" s="541"/>
      <c r="AT904" s="541"/>
      <c r="AU904" s="541"/>
      <c r="AV904" s="541"/>
      <c r="AW904" s="541"/>
      <c r="AY904" s="541"/>
      <c r="AZ904" s="633"/>
      <c r="BA904" s="541"/>
      <c r="BB904" s="1190"/>
      <c r="BC904" s="541"/>
      <c r="BD904" s="1190"/>
      <c r="BE904" s="541"/>
      <c r="BF904" s="1190"/>
      <c r="BG904" s="541"/>
      <c r="BH904" s="1190"/>
      <c r="BI904" s="541"/>
      <c r="BJ904" s="1190"/>
      <c r="BK904" s="541"/>
      <c r="BL904" s="541"/>
      <c r="BM904" s="541"/>
      <c r="BP904" s="541"/>
      <c r="BQ904" s="633"/>
      <c r="BR904" s="541"/>
      <c r="BS904" s="541"/>
      <c r="BT904" s="541"/>
      <c r="BU904" s="541"/>
    </row>
    <row r="905" ht="15.75" customHeight="1">
      <c r="A905" s="1591"/>
      <c r="B905" s="1591"/>
      <c r="C905" s="2217"/>
      <c r="D905" s="1541"/>
      <c r="E905" s="906"/>
      <c r="F905" s="541"/>
      <c r="G905" s="541"/>
      <c r="H905" s="541"/>
      <c r="I905" s="541"/>
      <c r="J905" s="1748"/>
      <c r="K905" s="541"/>
      <c r="L905" s="1748"/>
      <c r="M905" s="541"/>
      <c r="N905" s="1748"/>
      <c r="O905" s="541"/>
      <c r="P905" s="1748"/>
      <c r="Q905" s="541"/>
      <c r="R905" s="1748"/>
      <c r="S905" s="541"/>
      <c r="T905" s="1748"/>
      <c r="U905" s="541"/>
      <c r="V905" s="1748"/>
      <c r="W905" s="541"/>
      <c r="X905" s="1748"/>
      <c r="Y905" s="1748"/>
      <c r="Z905" s="1748"/>
      <c r="AA905" s="541"/>
      <c r="AB905" s="1748"/>
      <c r="AC905" s="541"/>
      <c r="AD905" s="541"/>
      <c r="AE905" s="541"/>
      <c r="AF905" s="541"/>
      <c r="AG905" s="541"/>
      <c r="AH905" s="541"/>
      <c r="AI905" s="541"/>
      <c r="AJ905" s="541"/>
      <c r="AK905" s="541"/>
      <c r="AL905" s="541"/>
      <c r="AM905" s="541"/>
      <c r="AN905" s="1748"/>
      <c r="AO905" s="1748"/>
      <c r="AP905" s="1748"/>
      <c r="AQ905" s="1748"/>
      <c r="AR905" s="1748"/>
      <c r="AS905" s="541"/>
      <c r="AT905" s="541"/>
      <c r="AU905" s="541"/>
      <c r="AV905" s="541"/>
      <c r="AW905" s="541"/>
      <c r="AY905" s="541"/>
      <c r="AZ905" s="633"/>
      <c r="BA905" s="541"/>
      <c r="BB905" s="1190"/>
      <c r="BC905" s="541"/>
      <c r="BD905" s="1190"/>
      <c r="BE905" s="541"/>
      <c r="BF905" s="1190"/>
      <c r="BG905" s="541"/>
      <c r="BH905" s="1190"/>
      <c r="BI905" s="541"/>
      <c r="BJ905" s="1190"/>
      <c r="BK905" s="541"/>
      <c r="BL905" s="541"/>
      <c r="BM905" s="541"/>
      <c r="BP905" s="541"/>
      <c r="BQ905" s="633"/>
      <c r="BR905" s="541"/>
      <c r="BS905" s="541"/>
      <c r="BT905" s="541"/>
      <c r="BU905" s="541"/>
    </row>
    <row r="906" ht="15.75" customHeight="1">
      <c r="A906" s="1591"/>
      <c r="B906" s="1591"/>
      <c r="C906" s="2217"/>
      <c r="D906" s="1541"/>
      <c r="E906" s="906"/>
      <c r="F906" s="541"/>
      <c r="G906" s="541"/>
      <c r="H906" s="541"/>
      <c r="I906" s="541"/>
      <c r="J906" s="1748"/>
      <c r="K906" s="541"/>
      <c r="L906" s="1748"/>
      <c r="M906" s="541"/>
      <c r="N906" s="1748"/>
      <c r="O906" s="541"/>
      <c r="P906" s="1748"/>
      <c r="Q906" s="541"/>
      <c r="R906" s="1748"/>
      <c r="S906" s="541"/>
      <c r="T906" s="1748"/>
      <c r="U906" s="541"/>
      <c r="V906" s="1748"/>
      <c r="W906" s="541"/>
      <c r="X906" s="1748"/>
      <c r="Y906" s="1748"/>
      <c r="Z906" s="1748"/>
      <c r="AA906" s="541"/>
      <c r="AB906" s="1748"/>
      <c r="AC906" s="541"/>
      <c r="AD906" s="541"/>
      <c r="AE906" s="541"/>
      <c r="AF906" s="541"/>
      <c r="AG906" s="541"/>
      <c r="AH906" s="541"/>
      <c r="AI906" s="541"/>
      <c r="AJ906" s="541"/>
      <c r="AK906" s="541"/>
      <c r="AL906" s="541"/>
      <c r="AM906" s="541"/>
      <c r="AN906" s="1748"/>
      <c r="AO906" s="1748"/>
      <c r="AP906" s="1748"/>
      <c r="AQ906" s="1748"/>
      <c r="AR906" s="1748"/>
      <c r="AS906" s="541"/>
      <c r="AT906" s="541"/>
      <c r="AU906" s="541"/>
      <c r="AV906" s="541"/>
      <c r="AW906" s="541"/>
      <c r="AY906" s="541"/>
      <c r="AZ906" s="633"/>
      <c r="BA906" s="541"/>
      <c r="BB906" s="1190"/>
      <c r="BC906" s="541"/>
      <c r="BD906" s="1190"/>
      <c r="BE906" s="541"/>
      <c r="BF906" s="1190"/>
      <c r="BG906" s="541"/>
      <c r="BH906" s="1190"/>
      <c r="BI906" s="541"/>
      <c r="BJ906" s="1190"/>
      <c r="BK906" s="541"/>
      <c r="BL906" s="541"/>
      <c r="BM906" s="541"/>
      <c r="BP906" s="541"/>
      <c r="BQ906" s="633"/>
      <c r="BR906" s="541"/>
      <c r="BS906" s="541"/>
      <c r="BT906" s="541"/>
      <c r="BU906" s="541"/>
    </row>
    <row r="907" ht="15.75" customHeight="1">
      <c r="A907" s="1591"/>
      <c r="B907" s="1591"/>
      <c r="C907" s="2217"/>
      <c r="D907" s="1541"/>
      <c r="E907" s="906"/>
      <c r="F907" s="541"/>
      <c r="G907" s="541"/>
      <c r="H907" s="541"/>
      <c r="I907" s="541"/>
      <c r="J907" s="1748"/>
      <c r="K907" s="541"/>
      <c r="L907" s="1748"/>
      <c r="M907" s="541"/>
      <c r="N907" s="1748"/>
      <c r="O907" s="541"/>
      <c r="P907" s="1748"/>
      <c r="Q907" s="541"/>
      <c r="R907" s="1748"/>
      <c r="S907" s="541"/>
      <c r="T907" s="1748"/>
      <c r="U907" s="541"/>
      <c r="V907" s="1748"/>
      <c r="W907" s="541"/>
      <c r="X907" s="1748"/>
      <c r="Y907" s="1748"/>
      <c r="Z907" s="1748"/>
      <c r="AA907" s="541"/>
      <c r="AB907" s="1748"/>
      <c r="AC907" s="541"/>
      <c r="AD907" s="541"/>
      <c r="AE907" s="541"/>
      <c r="AF907" s="541"/>
      <c r="AG907" s="541"/>
      <c r="AH907" s="541"/>
      <c r="AI907" s="541"/>
      <c r="AJ907" s="541"/>
      <c r="AK907" s="541"/>
      <c r="AL907" s="541"/>
      <c r="AM907" s="541"/>
      <c r="AN907" s="1748"/>
      <c r="AO907" s="1748"/>
      <c r="AP907" s="1748"/>
      <c r="AQ907" s="1748"/>
      <c r="AR907" s="1748"/>
      <c r="AS907" s="541"/>
      <c r="AT907" s="541"/>
      <c r="AU907" s="541"/>
      <c r="AV907" s="541"/>
      <c r="AW907" s="541"/>
      <c r="AY907" s="541"/>
      <c r="AZ907" s="633"/>
      <c r="BA907" s="541"/>
      <c r="BB907" s="1190"/>
      <c r="BC907" s="541"/>
      <c r="BD907" s="1190"/>
      <c r="BE907" s="541"/>
      <c r="BF907" s="1190"/>
      <c r="BG907" s="541"/>
      <c r="BH907" s="1190"/>
      <c r="BI907" s="541"/>
      <c r="BJ907" s="1190"/>
      <c r="BK907" s="541"/>
      <c r="BL907" s="541"/>
      <c r="BM907" s="541"/>
      <c r="BP907" s="541"/>
      <c r="BQ907" s="633"/>
      <c r="BR907" s="541"/>
      <c r="BS907" s="541"/>
      <c r="BT907" s="541"/>
      <c r="BU907" s="541"/>
    </row>
    <row r="908" ht="15.75" customHeight="1">
      <c r="A908" s="1591"/>
      <c r="B908" s="1591"/>
      <c r="C908" s="2217"/>
      <c r="D908" s="1541"/>
      <c r="E908" s="906"/>
      <c r="F908" s="541"/>
      <c r="G908" s="541"/>
      <c r="H908" s="541"/>
      <c r="I908" s="541"/>
      <c r="J908" s="1748"/>
      <c r="K908" s="541"/>
      <c r="L908" s="1748"/>
      <c r="M908" s="541"/>
      <c r="N908" s="1748"/>
      <c r="O908" s="541"/>
      <c r="P908" s="1748"/>
      <c r="Q908" s="541"/>
      <c r="R908" s="1748"/>
      <c r="S908" s="541"/>
      <c r="T908" s="1748"/>
      <c r="U908" s="541"/>
      <c r="V908" s="1748"/>
      <c r="W908" s="541"/>
      <c r="X908" s="1748"/>
      <c r="Y908" s="1748"/>
      <c r="Z908" s="1748"/>
      <c r="AA908" s="541"/>
      <c r="AB908" s="1748"/>
      <c r="AC908" s="541"/>
      <c r="AD908" s="541"/>
      <c r="AE908" s="541"/>
      <c r="AF908" s="541"/>
      <c r="AG908" s="541"/>
      <c r="AH908" s="541"/>
      <c r="AI908" s="541"/>
      <c r="AJ908" s="541"/>
      <c r="AK908" s="541"/>
      <c r="AL908" s="541"/>
      <c r="AM908" s="541"/>
      <c r="AN908" s="1748"/>
      <c r="AO908" s="1748"/>
      <c r="AP908" s="1748"/>
      <c r="AQ908" s="1748"/>
      <c r="AR908" s="1748"/>
      <c r="AS908" s="541"/>
      <c r="AT908" s="541"/>
      <c r="AU908" s="541"/>
      <c r="AV908" s="541"/>
      <c r="AW908" s="541"/>
      <c r="AY908" s="541"/>
      <c r="AZ908" s="633"/>
      <c r="BA908" s="541"/>
      <c r="BB908" s="1190"/>
      <c r="BC908" s="541"/>
      <c r="BD908" s="1190"/>
      <c r="BE908" s="541"/>
      <c r="BF908" s="1190"/>
      <c r="BG908" s="541"/>
      <c r="BH908" s="1190"/>
      <c r="BI908" s="541"/>
      <c r="BJ908" s="1190"/>
      <c r="BK908" s="541"/>
      <c r="BL908" s="541"/>
      <c r="BM908" s="541"/>
      <c r="BP908" s="541"/>
      <c r="BQ908" s="633"/>
      <c r="BR908" s="541"/>
      <c r="BS908" s="541"/>
      <c r="BT908" s="541"/>
      <c r="BU908" s="541"/>
    </row>
    <row r="909" ht="15.75" customHeight="1">
      <c r="A909" s="1591"/>
      <c r="B909" s="1591"/>
      <c r="C909" s="2217"/>
      <c r="D909" s="1541"/>
      <c r="E909" s="906"/>
      <c r="F909" s="541"/>
      <c r="G909" s="541"/>
      <c r="H909" s="541"/>
      <c r="I909" s="541"/>
      <c r="J909" s="1748"/>
      <c r="K909" s="541"/>
      <c r="L909" s="1748"/>
      <c r="M909" s="541"/>
      <c r="N909" s="1748"/>
      <c r="O909" s="541"/>
      <c r="P909" s="1748"/>
      <c r="Q909" s="541"/>
      <c r="R909" s="1748"/>
      <c r="S909" s="541"/>
      <c r="T909" s="1748"/>
      <c r="U909" s="541"/>
      <c r="V909" s="1748"/>
      <c r="W909" s="541"/>
      <c r="X909" s="1748"/>
      <c r="Y909" s="1748"/>
      <c r="Z909" s="1748"/>
      <c r="AA909" s="541"/>
      <c r="AB909" s="1748"/>
      <c r="AC909" s="541"/>
      <c r="AD909" s="541"/>
      <c r="AE909" s="541"/>
      <c r="AF909" s="541"/>
      <c r="AG909" s="541"/>
      <c r="AH909" s="541"/>
      <c r="AI909" s="541"/>
      <c r="AJ909" s="541"/>
      <c r="AK909" s="541"/>
      <c r="AL909" s="541"/>
      <c r="AM909" s="541"/>
      <c r="AN909" s="1748"/>
      <c r="AO909" s="1748"/>
      <c r="AP909" s="1748"/>
      <c r="AQ909" s="1748"/>
      <c r="AR909" s="1748"/>
      <c r="AS909" s="541"/>
      <c r="AT909" s="541"/>
      <c r="AU909" s="541"/>
      <c r="AV909" s="541"/>
      <c r="AW909" s="541"/>
      <c r="AY909" s="541"/>
      <c r="AZ909" s="633"/>
      <c r="BA909" s="541"/>
      <c r="BB909" s="1190"/>
      <c r="BC909" s="541"/>
      <c r="BD909" s="1190"/>
      <c r="BE909" s="541"/>
      <c r="BF909" s="1190"/>
      <c r="BG909" s="541"/>
      <c r="BH909" s="1190"/>
      <c r="BI909" s="541"/>
      <c r="BJ909" s="1190"/>
      <c r="BK909" s="541"/>
      <c r="BL909" s="541"/>
      <c r="BM909" s="541"/>
      <c r="BP909" s="541"/>
      <c r="BQ909" s="633"/>
      <c r="BR909" s="541"/>
      <c r="BS909" s="541"/>
      <c r="BT909" s="541"/>
      <c r="BU909" s="541"/>
    </row>
    <row r="910" ht="15.75" customHeight="1">
      <c r="A910" s="1591"/>
      <c r="B910" s="1591"/>
      <c r="C910" s="2217"/>
      <c r="D910" s="1541"/>
      <c r="E910" s="906"/>
      <c r="F910" s="541"/>
      <c r="G910" s="541"/>
      <c r="H910" s="541"/>
      <c r="I910" s="541"/>
      <c r="J910" s="1748"/>
      <c r="K910" s="541"/>
      <c r="L910" s="1748"/>
      <c r="M910" s="541"/>
      <c r="N910" s="1748"/>
      <c r="O910" s="541"/>
      <c r="P910" s="1748"/>
      <c r="Q910" s="541"/>
      <c r="R910" s="1748"/>
      <c r="S910" s="541"/>
      <c r="T910" s="1748"/>
      <c r="U910" s="541"/>
      <c r="V910" s="1748"/>
      <c r="W910" s="541"/>
      <c r="X910" s="1748"/>
      <c r="Y910" s="1748"/>
      <c r="Z910" s="1748"/>
      <c r="AA910" s="541"/>
      <c r="AB910" s="1748"/>
      <c r="AC910" s="541"/>
      <c r="AD910" s="541"/>
      <c r="AE910" s="541"/>
      <c r="AF910" s="541"/>
      <c r="AG910" s="541"/>
      <c r="AH910" s="541"/>
      <c r="AI910" s="541"/>
      <c r="AJ910" s="541"/>
      <c r="AK910" s="541"/>
      <c r="AL910" s="541"/>
      <c r="AM910" s="541"/>
      <c r="AN910" s="1748"/>
      <c r="AO910" s="1748"/>
      <c r="AP910" s="1748"/>
      <c r="AQ910" s="1748"/>
      <c r="AR910" s="1748"/>
      <c r="AS910" s="541"/>
      <c r="AT910" s="541"/>
      <c r="AU910" s="541"/>
      <c r="AV910" s="541"/>
      <c r="AW910" s="541"/>
      <c r="AY910" s="541"/>
      <c r="AZ910" s="633"/>
      <c r="BA910" s="541"/>
      <c r="BB910" s="1190"/>
      <c r="BC910" s="541"/>
      <c r="BD910" s="1190"/>
      <c r="BE910" s="541"/>
      <c r="BF910" s="1190"/>
      <c r="BG910" s="541"/>
      <c r="BH910" s="1190"/>
      <c r="BI910" s="541"/>
      <c r="BJ910" s="1190"/>
      <c r="BK910" s="541"/>
      <c r="BL910" s="541"/>
      <c r="BM910" s="541"/>
      <c r="BP910" s="541"/>
      <c r="BQ910" s="633"/>
      <c r="BR910" s="541"/>
      <c r="BS910" s="541"/>
      <c r="BT910" s="541"/>
      <c r="BU910" s="541"/>
    </row>
    <row r="911" ht="15.75" customHeight="1">
      <c r="A911" s="1591"/>
      <c r="B911" s="1591"/>
      <c r="C911" s="2217"/>
      <c r="D911" s="1541"/>
      <c r="E911" s="906"/>
      <c r="F911" s="541"/>
      <c r="G911" s="541"/>
      <c r="H911" s="541"/>
      <c r="I911" s="541"/>
      <c r="J911" s="1748"/>
      <c r="K911" s="541"/>
      <c r="L911" s="1748"/>
      <c r="M911" s="541"/>
      <c r="N911" s="1748"/>
      <c r="O911" s="541"/>
      <c r="P911" s="1748"/>
      <c r="Q911" s="541"/>
      <c r="R911" s="1748"/>
      <c r="S911" s="541"/>
      <c r="T911" s="1748"/>
      <c r="U911" s="541"/>
      <c r="V911" s="1748"/>
      <c r="W911" s="541"/>
      <c r="X911" s="1748"/>
      <c r="Y911" s="1748"/>
      <c r="Z911" s="1748"/>
      <c r="AA911" s="541"/>
      <c r="AB911" s="1748"/>
      <c r="AC911" s="541"/>
      <c r="AD911" s="541"/>
      <c r="AE911" s="541"/>
      <c r="AF911" s="541"/>
      <c r="AG911" s="541"/>
      <c r="AH911" s="541"/>
      <c r="AI911" s="541"/>
      <c r="AJ911" s="541"/>
      <c r="AK911" s="541"/>
      <c r="AL911" s="541"/>
      <c r="AM911" s="541"/>
      <c r="AN911" s="1748"/>
      <c r="AO911" s="1748"/>
      <c r="AP911" s="1748"/>
      <c r="AQ911" s="1748"/>
      <c r="AR911" s="1748"/>
      <c r="AS911" s="541"/>
      <c r="AT911" s="541"/>
      <c r="AU911" s="541"/>
      <c r="AV911" s="541"/>
      <c r="AW911" s="541"/>
      <c r="AY911" s="541"/>
      <c r="AZ911" s="633"/>
      <c r="BA911" s="541"/>
      <c r="BB911" s="1190"/>
      <c r="BC911" s="541"/>
      <c r="BD911" s="1190"/>
      <c r="BE911" s="541"/>
      <c r="BF911" s="1190"/>
      <c r="BG911" s="541"/>
      <c r="BH911" s="1190"/>
      <c r="BI911" s="541"/>
      <c r="BJ911" s="1190"/>
      <c r="BK911" s="541"/>
      <c r="BL911" s="541"/>
      <c r="BM911" s="541"/>
      <c r="BP911" s="541"/>
      <c r="BQ911" s="633"/>
      <c r="BR911" s="541"/>
      <c r="BS911" s="541"/>
      <c r="BT911" s="541"/>
      <c r="BU911" s="541"/>
    </row>
    <row r="912" ht="15.75" customHeight="1">
      <c r="A912" s="1591"/>
      <c r="B912" s="1591"/>
      <c r="C912" s="2217"/>
      <c r="D912" s="1541"/>
      <c r="E912" s="906"/>
      <c r="F912" s="541"/>
      <c r="G912" s="541"/>
      <c r="H912" s="541"/>
      <c r="I912" s="541"/>
      <c r="J912" s="1748"/>
      <c r="K912" s="541"/>
      <c r="L912" s="1748"/>
      <c r="M912" s="541"/>
      <c r="N912" s="1748"/>
      <c r="O912" s="541"/>
      <c r="P912" s="1748"/>
      <c r="Q912" s="541"/>
      <c r="R912" s="1748"/>
      <c r="S912" s="541"/>
      <c r="T912" s="1748"/>
      <c r="U912" s="541"/>
      <c r="V912" s="1748"/>
      <c r="W912" s="541"/>
      <c r="X912" s="1748"/>
      <c r="Y912" s="1748"/>
      <c r="Z912" s="1748"/>
      <c r="AA912" s="541"/>
      <c r="AB912" s="1748"/>
      <c r="AC912" s="541"/>
      <c r="AD912" s="541"/>
      <c r="AE912" s="541"/>
      <c r="AF912" s="541"/>
      <c r="AG912" s="541"/>
      <c r="AH912" s="541"/>
      <c r="AI912" s="541"/>
      <c r="AJ912" s="541"/>
      <c r="AK912" s="541"/>
      <c r="AL912" s="541"/>
      <c r="AM912" s="541"/>
      <c r="AN912" s="1748"/>
      <c r="AO912" s="1748"/>
      <c r="AP912" s="1748"/>
      <c r="AQ912" s="1748"/>
      <c r="AR912" s="1748"/>
      <c r="AS912" s="541"/>
      <c r="AT912" s="541"/>
      <c r="AU912" s="541"/>
      <c r="AV912" s="541"/>
      <c r="AW912" s="541"/>
      <c r="AY912" s="541"/>
      <c r="AZ912" s="633"/>
      <c r="BA912" s="541"/>
      <c r="BB912" s="1190"/>
      <c r="BC912" s="541"/>
      <c r="BD912" s="1190"/>
      <c r="BE912" s="541"/>
      <c r="BF912" s="1190"/>
      <c r="BG912" s="541"/>
      <c r="BH912" s="1190"/>
      <c r="BI912" s="541"/>
      <c r="BJ912" s="1190"/>
      <c r="BK912" s="541"/>
      <c r="BL912" s="541"/>
      <c r="BM912" s="541"/>
      <c r="BP912" s="541"/>
      <c r="BQ912" s="633"/>
      <c r="BR912" s="541"/>
      <c r="BS912" s="541"/>
      <c r="BT912" s="541"/>
      <c r="BU912" s="541"/>
    </row>
    <row r="913" ht="15.75" customHeight="1">
      <c r="A913" s="1591"/>
      <c r="B913" s="1591"/>
      <c r="C913" s="2217"/>
      <c r="D913" s="1541"/>
      <c r="E913" s="906"/>
      <c r="F913" s="541"/>
      <c r="G913" s="541"/>
      <c r="H913" s="541"/>
      <c r="I913" s="541"/>
      <c r="J913" s="1748"/>
      <c r="K913" s="541"/>
      <c r="L913" s="1748"/>
      <c r="M913" s="541"/>
      <c r="N913" s="1748"/>
      <c r="O913" s="541"/>
      <c r="P913" s="1748"/>
      <c r="Q913" s="541"/>
      <c r="R913" s="1748"/>
      <c r="S913" s="541"/>
      <c r="T913" s="1748"/>
      <c r="U913" s="541"/>
      <c r="V913" s="1748"/>
      <c r="W913" s="541"/>
      <c r="X913" s="1748"/>
      <c r="Y913" s="1748"/>
      <c r="Z913" s="1748"/>
      <c r="AA913" s="541"/>
      <c r="AB913" s="1748"/>
      <c r="AC913" s="541"/>
      <c r="AD913" s="541"/>
      <c r="AE913" s="541"/>
      <c r="AF913" s="541"/>
      <c r="AG913" s="541"/>
      <c r="AH913" s="541"/>
      <c r="AI913" s="541"/>
      <c r="AJ913" s="541"/>
      <c r="AK913" s="541"/>
      <c r="AL913" s="541"/>
      <c r="AM913" s="541"/>
      <c r="AN913" s="1748"/>
      <c r="AO913" s="1748"/>
      <c r="AP913" s="1748"/>
      <c r="AQ913" s="1748"/>
      <c r="AR913" s="1748"/>
      <c r="AS913" s="541"/>
      <c r="AT913" s="541"/>
      <c r="AU913" s="541"/>
      <c r="AV913" s="541"/>
      <c r="AW913" s="541"/>
      <c r="AY913" s="541"/>
      <c r="AZ913" s="633"/>
      <c r="BA913" s="541"/>
      <c r="BB913" s="1190"/>
      <c r="BC913" s="541"/>
      <c r="BD913" s="1190"/>
      <c r="BE913" s="541"/>
      <c r="BF913" s="1190"/>
      <c r="BG913" s="541"/>
      <c r="BH913" s="1190"/>
      <c r="BI913" s="541"/>
      <c r="BJ913" s="1190"/>
      <c r="BK913" s="541"/>
      <c r="BL913" s="541"/>
      <c r="BM913" s="541"/>
      <c r="BP913" s="541"/>
      <c r="BQ913" s="633"/>
      <c r="BR913" s="541"/>
      <c r="BS913" s="541"/>
      <c r="BT913" s="541"/>
      <c r="BU913" s="541"/>
    </row>
    <row r="914" ht="15.75" customHeight="1">
      <c r="A914" s="1591"/>
      <c r="B914" s="1591"/>
      <c r="C914" s="2217"/>
      <c r="D914" s="1541"/>
      <c r="E914" s="906"/>
      <c r="F914" s="541"/>
      <c r="G914" s="541"/>
      <c r="H914" s="541"/>
      <c r="I914" s="541"/>
      <c r="J914" s="1748"/>
      <c r="K914" s="541"/>
      <c r="L914" s="1748"/>
      <c r="M914" s="541"/>
      <c r="N914" s="1748"/>
      <c r="O914" s="541"/>
      <c r="P914" s="1748"/>
      <c r="Q914" s="541"/>
      <c r="R914" s="1748"/>
      <c r="S914" s="541"/>
      <c r="T914" s="1748"/>
      <c r="U914" s="541"/>
      <c r="V914" s="1748"/>
      <c r="W914" s="541"/>
      <c r="X914" s="1748"/>
      <c r="Y914" s="1748"/>
      <c r="Z914" s="1748"/>
      <c r="AA914" s="541"/>
      <c r="AB914" s="1748"/>
      <c r="AC914" s="541"/>
      <c r="AD914" s="541"/>
      <c r="AE914" s="541"/>
      <c r="AF914" s="541"/>
      <c r="AG914" s="541"/>
      <c r="AH914" s="541"/>
      <c r="AI914" s="541"/>
      <c r="AJ914" s="541"/>
      <c r="AK914" s="541"/>
      <c r="AL914" s="541"/>
      <c r="AM914" s="541"/>
      <c r="AN914" s="1748"/>
      <c r="AO914" s="1748"/>
      <c r="AP914" s="1748"/>
      <c r="AQ914" s="1748"/>
      <c r="AR914" s="1748"/>
      <c r="AS914" s="541"/>
      <c r="AT914" s="541"/>
      <c r="AU914" s="541"/>
      <c r="AV914" s="541"/>
      <c r="AW914" s="541"/>
      <c r="AY914" s="541"/>
      <c r="AZ914" s="633"/>
      <c r="BA914" s="541"/>
      <c r="BB914" s="1190"/>
      <c r="BC914" s="541"/>
      <c r="BD914" s="1190"/>
      <c r="BE914" s="541"/>
      <c r="BF914" s="1190"/>
      <c r="BG914" s="541"/>
      <c r="BH914" s="1190"/>
      <c r="BI914" s="541"/>
      <c r="BJ914" s="1190"/>
      <c r="BK914" s="541"/>
      <c r="BL914" s="541"/>
      <c r="BM914" s="541"/>
      <c r="BP914" s="541"/>
      <c r="BQ914" s="633"/>
      <c r="BR914" s="541"/>
      <c r="BS914" s="541"/>
      <c r="BT914" s="541"/>
      <c r="BU914" s="541"/>
    </row>
    <row r="915" ht="15.75" customHeight="1">
      <c r="A915" s="1591"/>
      <c r="B915" s="1591"/>
      <c r="C915" s="2217"/>
      <c r="D915" s="1541"/>
      <c r="E915" s="906"/>
      <c r="F915" s="541"/>
      <c r="G915" s="541"/>
      <c r="H915" s="541"/>
      <c r="I915" s="541"/>
      <c r="J915" s="1748"/>
      <c r="K915" s="541"/>
      <c r="L915" s="1748"/>
      <c r="M915" s="541"/>
      <c r="N915" s="1748"/>
      <c r="O915" s="541"/>
      <c r="P915" s="1748"/>
      <c r="Q915" s="541"/>
      <c r="R915" s="1748"/>
      <c r="S915" s="541"/>
      <c r="T915" s="1748"/>
      <c r="U915" s="541"/>
      <c r="V915" s="1748"/>
      <c r="W915" s="541"/>
      <c r="X915" s="1748"/>
      <c r="Y915" s="1748"/>
      <c r="Z915" s="1748"/>
      <c r="AA915" s="541"/>
      <c r="AB915" s="1748"/>
      <c r="AC915" s="541"/>
      <c r="AD915" s="541"/>
      <c r="AE915" s="541"/>
      <c r="AF915" s="541"/>
      <c r="AG915" s="541"/>
      <c r="AH915" s="541"/>
      <c r="AI915" s="541"/>
      <c r="AJ915" s="541"/>
      <c r="AK915" s="541"/>
      <c r="AL915" s="541"/>
      <c r="AM915" s="541"/>
      <c r="AN915" s="1748"/>
      <c r="AO915" s="1748"/>
      <c r="AP915" s="1748"/>
      <c r="AQ915" s="1748"/>
      <c r="AR915" s="1748"/>
      <c r="AS915" s="541"/>
      <c r="AT915" s="541"/>
      <c r="AU915" s="541"/>
      <c r="AV915" s="541"/>
      <c r="AW915" s="541"/>
      <c r="AY915" s="541"/>
      <c r="AZ915" s="633"/>
      <c r="BA915" s="541"/>
      <c r="BB915" s="1190"/>
      <c r="BC915" s="541"/>
      <c r="BD915" s="1190"/>
      <c r="BE915" s="541"/>
      <c r="BF915" s="1190"/>
      <c r="BG915" s="541"/>
      <c r="BH915" s="1190"/>
      <c r="BI915" s="541"/>
      <c r="BJ915" s="1190"/>
      <c r="BK915" s="541"/>
      <c r="BL915" s="541"/>
      <c r="BM915" s="541"/>
      <c r="BP915" s="541"/>
      <c r="BQ915" s="633"/>
      <c r="BR915" s="541"/>
      <c r="BS915" s="541"/>
      <c r="BT915" s="541"/>
      <c r="BU915" s="541"/>
    </row>
    <row r="916" ht="15.75" customHeight="1">
      <c r="A916" s="1591"/>
      <c r="B916" s="1591"/>
      <c r="C916" s="2217"/>
      <c r="D916" s="1541"/>
      <c r="E916" s="906"/>
      <c r="F916" s="541"/>
      <c r="G916" s="541"/>
      <c r="H916" s="541"/>
      <c r="I916" s="541"/>
      <c r="J916" s="1748"/>
      <c r="K916" s="541"/>
      <c r="L916" s="1748"/>
      <c r="M916" s="541"/>
      <c r="N916" s="1748"/>
      <c r="O916" s="541"/>
      <c r="P916" s="1748"/>
      <c r="Q916" s="541"/>
      <c r="R916" s="1748"/>
      <c r="S916" s="541"/>
      <c r="T916" s="1748"/>
      <c r="U916" s="541"/>
      <c r="V916" s="1748"/>
      <c r="W916" s="541"/>
      <c r="X916" s="1748"/>
      <c r="Y916" s="1748"/>
      <c r="Z916" s="1748"/>
      <c r="AA916" s="541"/>
      <c r="AB916" s="1748"/>
      <c r="AC916" s="541"/>
      <c r="AD916" s="541"/>
      <c r="AE916" s="541"/>
      <c r="AF916" s="541"/>
      <c r="AG916" s="541"/>
      <c r="AH916" s="541"/>
      <c r="AI916" s="541"/>
      <c r="AJ916" s="541"/>
      <c r="AK916" s="541"/>
      <c r="AL916" s="541"/>
      <c r="AM916" s="541"/>
      <c r="AN916" s="1748"/>
      <c r="AO916" s="1748"/>
      <c r="AP916" s="1748"/>
      <c r="AQ916" s="1748"/>
      <c r="AR916" s="1748"/>
      <c r="AS916" s="541"/>
      <c r="AT916" s="541"/>
      <c r="AU916" s="541"/>
      <c r="AV916" s="541"/>
      <c r="AW916" s="541"/>
      <c r="AY916" s="541"/>
      <c r="AZ916" s="633"/>
      <c r="BA916" s="541"/>
      <c r="BB916" s="1190"/>
      <c r="BC916" s="541"/>
      <c r="BD916" s="1190"/>
      <c r="BE916" s="541"/>
      <c r="BF916" s="1190"/>
      <c r="BG916" s="541"/>
      <c r="BH916" s="1190"/>
      <c r="BI916" s="541"/>
      <c r="BJ916" s="1190"/>
      <c r="BK916" s="541"/>
      <c r="BL916" s="541"/>
      <c r="BM916" s="541"/>
      <c r="BP916" s="541"/>
      <c r="BQ916" s="633"/>
      <c r="BR916" s="541"/>
      <c r="BS916" s="541"/>
      <c r="BT916" s="541"/>
      <c r="BU916" s="541"/>
    </row>
    <row r="917" ht="15.75" customHeight="1">
      <c r="A917" s="1591"/>
      <c r="B917" s="1591"/>
      <c r="C917" s="2217"/>
      <c r="D917" s="1541"/>
      <c r="E917" s="906"/>
      <c r="F917" s="541"/>
      <c r="G917" s="541"/>
      <c r="H917" s="541"/>
      <c r="I917" s="541"/>
      <c r="J917" s="1748"/>
      <c r="K917" s="541"/>
      <c r="L917" s="1748"/>
      <c r="M917" s="541"/>
      <c r="N917" s="1748"/>
      <c r="O917" s="541"/>
      <c r="P917" s="1748"/>
      <c r="Q917" s="541"/>
      <c r="R917" s="1748"/>
      <c r="S917" s="541"/>
      <c r="T917" s="1748"/>
      <c r="U917" s="541"/>
      <c r="V917" s="1748"/>
      <c r="W917" s="541"/>
      <c r="X917" s="1748"/>
      <c r="Y917" s="1748"/>
      <c r="Z917" s="1748"/>
      <c r="AA917" s="541"/>
      <c r="AB917" s="1748"/>
      <c r="AC917" s="541"/>
      <c r="AD917" s="541"/>
      <c r="AE917" s="541"/>
      <c r="AF917" s="541"/>
      <c r="AG917" s="541"/>
      <c r="AH917" s="541"/>
      <c r="AI917" s="541"/>
      <c r="AJ917" s="541"/>
      <c r="AK917" s="541"/>
      <c r="AL917" s="541"/>
      <c r="AM917" s="541"/>
      <c r="AN917" s="1748"/>
      <c r="AO917" s="1748"/>
      <c r="AP917" s="1748"/>
      <c r="AQ917" s="1748"/>
      <c r="AR917" s="1748"/>
      <c r="AS917" s="541"/>
      <c r="AT917" s="541"/>
      <c r="AU917" s="541"/>
      <c r="AV917" s="541"/>
      <c r="AW917" s="541"/>
      <c r="AY917" s="541"/>
      <c r="AZ917" s="633"/>
      <c r="BA917" s="541"/>
      <c r="BB917" s="1190"/>
      <c r="BC917" s="541"/>
      <c r="BD917" s="1190"/>
      <c r="BE917" s="541"/>
      <c r="BF917" s="1190"/>
      <c r="BG917" s="541"/>
      <c r="BH917" s="1190"/>
      <c r="BI917" s="541"/>
      <c r="BJ917" s="1190"/>
      <c r="BK917" s="541"/>
      <c r="BL917" s="541"/>
      <c r="BM917" s="541"/>
      <c r="BP917" s="541"/>
      <c r="BQ917" s="633"/>
      <c r="BR917" s="541"/>
      <c r="BS917" s="541"/>
      <c r="BT917" s="541"/>
      <c r="BU917" s="541"/>
    </row>
    <row r="918" ht="15.75" customHeight="1">
      <c r="A918" s="1591"/>
      <c r="B918" s="1591"/>
      <c r="C918" s="2217"/>
      <c r="D918" s="1541"/>
      <c r="E918" s="906"/>
      <c r="F918" s="541"/>
      <c r="G918" s="541"/>
      <c r="H918" s="541"/>
      <c r="I918" s="541"/>
      <c r="J918" s="1748"/>
      <c r="K918" s="541"/>
      <c r="L918" s="1748"/>
      <c r="M918" s="541"/>
      <c r="N918" s="1748"/>
      <c r="O918" s="541"/>
      <c r="P918" s="1748"/>
      <c r="Q918" s="541"/>
      <c r="R918" s="1748"/>
      <c r="S918" s="541"/>
      <c r="T918" s="1748"/>
      <c r="U918" s="541"/>
      <c r="V918" s="1748"/>
      <c r="W918" s="541"/>
      <c r="X918" s="1748"/>
      <c r="Y918" s="1748"/>
      <c r="Z918" s="1748"/>
      <c r="AA918" s="541"/>
      <c r="AB918" s="1748"/>
      <c r="AC918" s="541"/>
      <c r="AD918" s="541"/>
      <c r="AE918" s="541"/>
      <c r="AF918" s="541"/>
      <c r="AG918" s="541"/>
      <c r="AH918" s="541"/>
      <c r="AI918" s="541"/>
      <c r="AJ918" s="541"/>
      <c r="AK918" s="541"/>
      <c r="AL918" s="541"/>
      <c r="AM918" s="541"/>
      <c r="AN918" s="1748"/>
      <c r="AO918" s="1748"/>
      <c r="AP918" s="1748"/>
      <c r="AQ918" s="1748"/>
      <c r="AR918" s="1748"/>
      <c r="AS918" s="541"/>
      <c r="AT918" s="541"/>
      <c r="AU918" s="541"/>
      <c r="AV918" s="541"/>
      <c r="AW918" s="541"/>
      <c r="AY918" s="541"/>
      <c r="AZ918" s="633"/>
      <c r="BA918" s="541"/>
      <c r="BB918" s="1190"/>
      <c r="BC918" s="541"/>
      <c r="BD918" s="1190"/>
      <c r="BE918" s="541"/>
      <c r="BF918" s="1190"/>
      <c r="BG918" s="541"/>
      <c r="BH918" s="1190"/>
      <c r="BI918" s="541"/>
      <c r="BJ918" s="1190"/>
      <c r="BK918" s="541"/>
      <c r="BL918" s="541"/>
      <c r="BM918" s="541"/>
      <c r="BP918" s="541"/>
      <c r="BQ918" s="633"/>
      <c r="BR918" s="541"/>
      <c r="BS918" s="541"/>
      <c r="BT918" s="541"/>
      <c r="BU918" s="541"/>
    </row>
    <row r="919" ht="15.75" customHeight="1">
      <c r="A919" s="1591"/>
      <c r="B919" s="1591"/>
      <c r="C919" s="2217"/>
      <c r="D919" s="1541"/>
      <c r="E919" s="906"/>
      <c r="F919" s="541"/>
      <c r="G919" s="541"/>
      <c r="H919" s="541"/>
      <c r="I919" s="541"/>
      <c r="J919" s="1748"/>
      <c r="K919" s="541"/>
      <c r="L919" s="1748"/>
      <c r="M919" s="541"/>
      <c r="N919" s="1748"/>
      <c r="O919" s="541"/>
      <c r="P919" s="1748"/>
      <c r="Q919" s="541"/>
      <c r="R919" s="1748"/>
      <c r="S919" s="541"/>
      <c r="T919" s="1748"/>
      <c r="U919" s="541"/>
      <c r="V919" s="1748"/>
      <c r="W919" s="541"/>
      <c r="X919" s="1748"/>
      <c r="Y919" s="1748"/>
      <c r="Z919" s="1748"/>
      <c r="AA919" s="541"/>
      <c r="AB919" s="1748"/>
      <c r="AC919" s="541"/>
      <c r="AD919" s="541"/>
      <c r="AE919" s="541"/>
      <c r="AF919" s="541"/>
      <c r="AG919" s="541"/>
      <c r="AH919" s="541"/>
      <c r="AI919" s="541"/>
      <c r="AJ919" s="541"/>
      <c r="AK919" s="541"/>
      <c r="AL919" s="541"/>
      <c r="AM919" s="541"/>
      <c r="AN919" s="1748"/>
      <c r="AO919" s="1748"/>
      <c r="AP919" s="1748"/>
      <c r="AQ919" s="1748"/>
      <c r="AR919" s="1748"/>
      <c r="AS919" s="541"/>
      <c r="AT919" s="541"/>
      <c r="AU919" s="541"/>
      <c r="AV919" s="541"/>
      <c r="AW919" s="541"/>
      <c r="AY919" s="541"/>
      <c r="AZ919" s="633"/>
      <c r="BA919" s="541"/>
      <c r="BB919" s="1190"/>
      <c r="BC919" s="541"/>
      <c r="BD919" s="1190"/>
      <c r="BE919" s="541"/>
      <c r="BF919" s="1190"/>
      <c r="BG919" s="541"/>
      <c r="BH919" s="1190"/>
      <c r="BI919" s="541"/>
      <c r="BJ919" s="1190"/>
      <c r="BK919" s="541"/>
      <c r="BL919" s="541"/>
      <c r="BM919" s="541"/>
      <c r="BP919" s="541"/>
      <c r="BQ919" s="633"/>
      <c r="BR919" s="541"/>
      <c r="BS919" s="541"/>
      <c r="BT919" s="541"/>
      <c r="BU919" s="541"/>
    </row>
    <row r="920" ht="15.75" customHeight="1">
      <c r="A920" s="1591"/>
      <c r="B920" s="1591"/>
      <c r="C920" s="2217"/>
      <c r="D920" s="1541"/>
      <c r="E920" s="906"/>
      <c r="F920" s="541"/>
      <c r="G920" s="541"/>
      <c r="H920" s="541"/>
      <c r="I920" s="541"/>
      <c r="J920" s="1748"/>
      <c r="K920" s="541"/>
      <c r="L920" s="1748"/>
      <c r="M920" s="541"/>
      <c r="N920" s="1748"/>
      <c r="O920" s="541"/>
      <c r="P920" s="1748"/>
      <c r="Q920" s="541"/>
      <c r="R920" s="1748"/>
      <c r="S920" s="541"/>
      <c r="T920" s="1748"/>
      <c r="U920" s="541"/>
      <c r="V920" s="1748"/>
      <c r="W920" s="541"/>
      <c r="X920" s="1748"/>
      <c r="Y920" s="1748"/>
      <c r="Z920" s="1748"/>
      <c r="AA920" s="541"/>
      <c r="AB920" s="1748"/>
      <c r="AC920" s="541"/>
      <c r="AD920" s="541"/>
      <c r="AE920" s="541"/>
      <c r="AF920" s="541"/>
      <c r="AG920" s="541"/>
      <c r="AH920" s="541"/>
      <c r="AI920" s="541"/>
      <c r="AJ920" s="541"/>
      <c r="AK920" s="541"/>
      <c r="AL920" s="541"/>
      <c r="AM920" s="541"/>
      <c r="AN920" s="1748"/>
      <c r="AO920" s="1748"/>
      <c r="AP920" s="1748"/>
      <c r="AQ920" s="1748"/>
      <c r="AR920" s="1748"/>
      <c r="AS920" s="541"/>
      <c r="AT920" s="541"/>
      <c r="AU920" s="541"/>
      <c r="AV920" s="541"/>
      <c r="AW920" s="541"/>
      <c r="AY920" s="541"/>
      <c r="AZ920" s="633"/>
      <c r="BA920" s="541"/>
      <c r="BB920" s="1190"/>
      <c r="BC920" s="541"/>
      <c r="BD920" s="1190"/>
      <c r="BE920" s="541"/>
      <c r="BF920" s="1190"/>
      <c r="BG920" s="541"/>
      <c r="BH920" s="1190"/>
      <c r="BI920" s="541"/>
      <c r="BJ920" s="1190"/>
      <c r="BK920" s="541"/>
      <c r="BL920" s="541"/>
      <c r="BM920" s="541"/>
      <c r="BP920" s="541"/>
      <c r="BQ920" s="633"/>
      <c r="BR920" s="541"/>
      <c r="BS920" s="541"/>
      <c r="BT920" s="541"/>
      <c r="BU920" s="541"/>
    </row>
    <row r="921" ht="15.75" customHeight="1">
      <c r="A921" s="1591"/>
      <c r="B921" s="1591"/>
      <c r="C921" s="2217"/>
      <c r="D921" s="1541"/>
      <c r="E921" s="906"/>
      <c r="F921" s="541"/>
      <c r="G921" s="541"/>
      <c r="H921" s="541"/>
      <c r="I921" s="541"/>
      <c r="J921" s="1748"/>
      <c r="K921" s="541"/>
      <c r="L921" s="1748"/>
      <c r="M921" s="541"/>
      <c r="N921" s="1748"/>
      <c r="O921" s="541"/>
      <c r="P921" s="1748"/>
      <c r="Q921" s="541"/>
      <c r="R921" s="1748"/>
      <c r="S921" s="541"/>
      <c r="T921" s="1748"/>
      <c r="U921" s="541"/>
      <c r="V921" s="1748"/>
      <c r="W921" s="541"/>
      <c r="X921" s="1748"/>
      <c r="Y921" s="1748"/>
      <c r="Z921" s="1748"/>
      <c r="AA921" s="541"/>
      <c r="AB921" s="1748"/>
      <c r="AC921" s="541"/>
      <c r="AD921" s="541"/>
      <c r="AE921" s="541"/>
      <c r="AF921" s="541"/>
      <c r="AG921" s="541"/>
      <c r="AH921" s="541"/>
      <c r="AI921" s="541"/>
      <c r="AJ921" s="541"/>
      <c r="AK921" s="541"/>
      <c r="AL921" s="541"/>
      <c r="AM921" s="541"/>
      <c r="AN921" s="1748"/>
      <c r="AO921" s="1748"/>
      <c r="AP921" s="1748"/>
      <c r="AQ921" s="1748"/>
      <c r="AR921" s="1748"/>
      <c r="AS921" s="541"/>
      <c r="AT921" s="541"/>
      <c r="AU921" s="541"/>
      <c r="AV921" s="541"/>
      <c r="AW921" s="541"/>
      <c r="AY921" s="541"/>
      <c r="AZ921" s="633"/>
      <c r="BA921" s="541"/>
      <c r="BB921" s="1190"/>
      <c r="BC921" s="541"/>
      <c r="BD921" s="1190"/>
      <c r="BE921" s="541"/>
      <c r="BF921" s="1190"/>
      <c r="BG921" s="541"/>
      <c r="BH921" s="1190"/>
      <c r="BI921" s="541"/>
      <c r="BJ921" s="1190"/>
      <c r="BK921" s="541"/>
      <c r="BL921" s="541"/>
      <c r="BM921" s="541"/>
      <c r="BP921" s="541"/>
      <c r="BQ921" s="633"/>
      <c r="BR921" s="541"/>
      <c r="BS921" s="541"/>
      <c r="BT921" s="541"/>
      <c r="BU921" s="541"/>
    </row>
    <row r="922" ht="15.75" customHeight="1">
      <c r="A922" s="1591"/>
      <c r="B922" s="1591"/>
      <c r="C922" s="2217"/>
      <c r="D922" s="1541"/>
      <c r="E922" s="906"/>
      <c r="F922" s="541"/>
      <c r="G922" s="541"/>
      <c r="H922" s="541"/>
      <c r="I922" s="541"/>
      <c r="J922" s="1748"/>
      <c r="K922" s="541"/>
      <c r="L922" s="1748"/>
      <c r="M922" s="541"/>
      <c r="N922" s="1748"/>
      <c r="O922" s="541"/>
      <c r="P922" s="1748"/>
      <c r="Q922" s="541"/>
      <c r="R922" s="1748"/>
      <c r="S922" s="541"/>
      <c r="T922" s="1748"/>
      <c r="U922" s="541"/>
      <c r="V922" s="1748"/>
      <c r="W922" s="541"/>
      <c r="X922" s="1748"/>
      <c r="Y922" s="1748"/>
      <c r="Z922" s="1748"/>
      <c r="AA922" s="541"/>
      <c r="AB922" s="1748"/>
      <c r="AC922" s="541"/>
      <c r="AD922" s="541"/>
      <c r="AE922" s="541"/>
      <c r="AF922" s="541"/>
      <c r="AG922" s="541"/>
      <c r="AH922" s="541"/>
      <c r="AI922" s="541"/>
      <c r="AJ922" s="541"/>
      <c r="AK922" s="541"/>
      <c r="AL922" s="541"/>
      <c r="AM922" s="541"/>
      <c r="AN922" s="1748"/>
      <c r="AO922" s="1748"/>
      <c r="AP922" s="1748"/>
      <c r="AQ922" s="1748"/>
      <c r="AR922" s="1748"/>
      <c r="AS922" s="541"/>
      <c r="AT922" s="541"/>
      <c r="AU922" s="541"/>
      <c r="AV922" s="541"/>
      <c r="AW922" s="541"/>
      <c r="AY922" s="541"/>
      <c r="AZ922" s="633"/>
      <c r="BA922" s="541"/>
      <c r="BB922" s="1190"/>
      <c r="BC922" s="541"/>
      <c r="BD922" s="1190"/>
      <c r="BE922" s="541"/>
      <c r="BF922" s="1190"/>
      <c r="BG922" s="541"/>
      <c r="BH922" s="1190"/>
      <c r="BI922" s="541"/>
      <c r="BJ922" s="1190"/>
      <c r="BK922" s="541"/>
      <c r="BL922" s="541"/>
      <c r="BM922" s="541"/>
      <c r="BP922" s="541"/>
      <c r="BQ922" s="633"/>
      <c r="BR922" s="541"/>
      <c r="BS922" s="541"/>
      <c r="BT922" s="541"/>
      <c r="BU922" s="541"/>
    </row>
    <row r="923" ht="15.75" customHeight="1">
      <c r="A923" s="1591"/>
      <c r="B923" s="1591"/>
      <c r="C923" s="2217"/>
      <c r="D923" s="1541"/>
      <c r="E923" s="906"/>
      <c r="F923" s="541"/>
      <c r="G923" s="541"/>
      <c r="H923" s="541"/>
      <c r="I923" s="541"/>
      <c r="J923" s="1748"/>
      <c r="K923" s="541"/>
      <c r="L923" s="1748"/>
      <c r="M923" s="541"/>
      <c r="N923" s="1748"/>
      <c r="O923" s="541"/>
      <c r="P923" s="1748"/>
      <c r="Q923" s="541"/>
      <c r="R923" s="1748"/>
      <c r="S923" s="541"/>
      <c r="T923" s="1748"/>
      <c r="U923" s="541"/>
      <c r="V923" s="1748"/>
      <c r="W923" s="541"/>
      <c r="X923" s="1748"/>
      <c r="Y923" s="1748"/>
      <c r="Z923" s="1748"/>
      <c r="AA923" s="541"/>
      <c r="AB923" s="1748"/>
      <c r="AC923" s="541"/>
      <c r="AD923" s="541"/>
      <c r="AE923" s="541"/>
      <c r="AF923" s="541"/>
      <c r="AG923" s="541"/>
      <c r="AH923" s="541"/>
      <c r="AI923" s="541"/>
      <c r="AJ923" s="541"/>
      <c r="AK923" s="541"/>
      <c r="AL923" s="541"/>
      <c r="AM923" s="541"/>
      <c r="AN923" s="1748"/>
      <c r="AO923" s="1748"/>
      <c r="AP923" s="1748"/>
      <c r="AQ923" s="1748"/>
      <c r="AR923" s="1748"/>
      <c r="AS923" s="541"/>
      <c r="AT923" s="541"/>
      <c r="AU923" s="541"/>
      <c r="AV923" s="541"/>
      <c r="AW923" s="541"/>
      <c r="AY923" s="541"/>
      <c r="AZ923" s="633"/>
      <c r="BA923" s="541"/>
      <c r="BB923" s="1190"/>
      <c r="BC923" s="541"/>
      <c r="BD923" s="1190"/>
      <c r="BE923" s="541"/>
      <c r="BF923" s="1190"/>
      <c r="BG923" s="541"/>
      <c r="BH923" s="1190"/>
      <c r="BI923" s="541"/>
      <c r="BJ923" s="1190"/>
      <c r="BK923" s="541"/>
      <c r="BL923" s="541"/>
      <c r="BM923" s="541"/>
      <c r="BP923" s="541"/>
      <c r="BQ923" s="633"/>
      <c r="BR923" s="541"/>
      <c r="BS923" s="541"/>
      <c r="BT923" s="541"/>
      <c r="BU923" s="541"/>
    </row>
    <row r="924" ht="15.75" customHeight="1">
      <c r="A924" s="1591"/>
      <c r="B924" s="1591"/>
      <c r="C924" s="2217"/>
      <c r="D924" s="1541"/>
      <c r="E924" s="906"/>
      <c r="F924" s="541"/>
      <c r="G924" s="541"/>
      <c r="H924" s="541"/>
      <c r="I924" s="541"/>
      <c r="J924" s="1748"/>
      <c r="K924" s="541"/>
      <c r="L924" s="1748"/>
      <c r="M924" s="541"/>
      <c r="N924" s="1748"/>
      <c r="O924" s="541"/>
      <c r="P924" s="1748"/>
      <c r="Q924" s="541"/>
      <c r="R924" s="1748"/>
      <c r="S924" s="541"/>
      <c r="T924" s="1748"/>
      <c r="U924" s="541"/>
      <c r="V924" s="1748"/>
      <c r="W924" s="541"/>
      <c r="X924" s="1748"/>
      <c r="Y924" s="1748"/>
      <c r="Z924" s="1748"/>
      <c r="AA924" s="541"/>
      <c r="AB924" s="1748"/>
      <c r="AC924" s="541"/>
      <c r="AD924" s="541"/>
      <c r="AE924" s="541"/>
      <c r="AF924" s="541"/>
      <c r="AG924" s="541"/>
      <c r="AH924" s="541"/>
      <c r="AI924" s="541"/>
      <c r="AJ924" s="541"/>
      <c r="AK924" s="541"/>
      <c r="AL924" s="541"/>
      <c r="AM924" s="541"/>
      <c r="AN924" s="1748"/>
      <c r="AO924" s="1748"/>
      <c r="AP924" s="1748"/>
      <c r="AQ924" s="1748"/>
      <c r="AR924" s="1748"/>
      <c r="AS924" s="541"/>
      <c r="AT924" s="541"/>
      <c r="AU924" s="541"/>
      <c r="AV924" s="541"/>
      <c r="AW924" s="541"/>
      <c r="AY924" s="541"/>
      <c r="AZ924" s="633"/>
      <c r="BA924" s="541"/>
      <c r="BB924" s="1190"/>
      <c r="BC924" s="541"/>
      <c r="BD924" s="1190"/>
      <c r="BE924" s="541"/>
      <c r="BF924" s="1190"/>
      <c r="BG924" s="541"/>
      <c r="BH924" s="1190"/>
      <c r="BI924" s="541"/>
      <c r="BJ924" s="1190"/>
      <c r="BK924" s="541"/>
      <c r="BL924" s="541"/>
      <c r="BM924" s="541"/>
      <c r="BP924" s="541"/>
      <c r="BQ924" s="633"/>
      <c r="BR924" s="541"/>
      <c r="BS924" s="541"/>
      <c r="BT924" s="541"/>
      <c r="BU924" s="541"/>
    </row>
    <row r="925" ht="15.75" customHeight="1">
      <c r="A925" s="1591"/>
      <c r="B925" s="1591"/>
      <c r="C925" s="2217"/>
      <c r="D925" s="1541"/>
      <c r="E925" s="906"/>
      <c r="F925" s="541"/>
      <c r="G925" s="541"/>
      <c r="H925" s="541"/>
      <c r="I925" s="541"/>
      <c r="J925" s="1748"/>
      <c r="K925" s="541"/>
      <c r="L925" s="1748"/>
      <c r="M925" s="541"/>
      <c r="N925" s="1748"/>
      <c r="O925" s="541"/>
      <c r="P925" s="1748"/>
      <c r="Q925" s="541"/>
      <c r="R925" s="1748"/>
      <c r="S925" s="541"/>
      <c r="T925" s="1748"/>
      <c r="U925" s="541"/>
      <c r="V925" s="1748"/>
      <c r="W925" s="541"/>
      <c r="X925" s="1748"/>
      <c r="Y925" s="1748"/>
      <c r="Z925" s="1748"/>
      <c r="AA925" s="541"/>
      <c r="AB925" s="1748"/>
      <c r="AC925" s="541"/>
      <c r="AD925" s="541"/>
      <c r="AE925" s="541"/>
      <c r="AF925" s="541"/>
      <c r="AG925" s="541"/>
      <c r="AH925" s="541"/>
      <c r="AI925" s="541"/>
      <c r="AJ925" s="541"/>
      <c r="AK925" s="541"/>
      <c r="AL925" s="541"/>
      <c r="AM925" s="541"/>
      <c r="AN925" s="1748"/>
      <c r="AO925" s="1748"/>
      <c r="AP925" s="1748"/>
      <c r="AQ925" s="1748"/>
      <c r="AR925" s="1748"/>
      <c r="AS925" s="541"/>
      <c r="AT925" s="541"/>
      <c r="AU925" s="541"/>
      <c r="AV925" s="541"/>
      <c r="AW925" s="541"/>
      <c r="AY925" s="541"/>
      <c r="AZ925" s="633"/>
      <c r="BA925" s="541"/>
      <c r="BB925" s="1190"/>
      <c r="BC925" s="541"/>
      <c r="BD925" s="1190"/>
      <c r="BE925" s="541"/>
      <c r="BF925" s="1190"/>
      <c r="BG925" s="541"/>
      <c r="BH925" s="1190"/>
      <c r="BI925" s="541"/>
      <c r="BJ925" s="1190"/>
      <c r="BK925" s="541"/>
      <c r="BL925" s="541"/>
      <c r="BM925" s="541"/>
      <c r="BP925" s="541"/>
      <c r="BQ925" s="633"/>
      <c r="BR925" s="541"/>
      <c r="BS925" s="541"/>
      <c r="BT925" s="541"/>
      <c r="BU925" s="541"/>
    </row>
    <row r="926" ht="15.75" customHeight="1">
      <c r="A926" s="1591"/>
      <c r="B926" s="1591"/>
      <c r="C926" s="2217"/>
      <c r="D926" s="1541"/>
      <c r="E926" s="906"/>
      <c r="F926" s="541"/>
      <c r="G926" s="541"/>
      <c r="H926" s="541"/>
      <c r="I926" s="541"/>
      <c r="J926" s="1748"/>
      <c r="K926" s="541"/>
      <c r="L926" s="1748"/>
      <c r="M926" s="541"/>
      <c r="N926" s="1748"/>
      <c r="O926" s="541"/>
      <c r="P926" s="1748"/>
      <c r="Q926" s="541"/>
      <c r="R926" s="1748"/>
      <c r="S926" s="541"/>
      <c r="T926" s="1748"/>
      <c r="U926" s="541"/>
      <c r="V926" s="1748"/>
      <c r="W926" s="541"/>
      <c r="X926" s="1748"/>
      <c r="Y926" s="1748"/>
      <c r="Z926" s="1748"/>
      <c r="AA926" s="541"/>
      <c r="AB926" s="1748"/>
      <c r="AC926" s="541"/>
      <c r="AD926" s="541"/>
      <c r="AE926" s="541"/>
      <c r="AF926" s="541"/>
      <c r="AG926" s="541"/>
      <c r="AH926" s="541"/>
      <c r="AI926" s="541"/>
      <c r="AJ926" s="541"/>
      <c r="AK926" s="541"/>
      <c r="AL926" s="541"/>
      <c r="AM926" s="541"/>
      <c r="AN926" s="1748"/>
      <c r="AO926" s="1748"/>
      <c r="AP926" s="1748"/>
      <c r="AQ926" s="1748"/>
      <c r="AR926" s="1748"/>
      <c r="AS926" s="541"/>
      <c r="AT926" s="541"/>
      <c r="AU926" s="541"/>
      <c r="AV926" s="541"/>
      <c r="AW926" s="541"/>
      <c r="AY926" s="541"/>
      <c r="AZ926" s="633"/>
      <c r="BA926" s="541"/>
      <c r="BB926" s="1190"/>
      <c r="BC926" s="541"/>
      <c r="BD926" s="1190"/>
      <c r="BE926" s="541"/>
      <c r="BF926" s="1190"/>
      <c r="BG926" s="541"/>
      <c r="BH926" s="1190"/>
      <c r="BI926" s="541"/>
      <c r="BJ926" s="1190"/>
      <c r="BK926" s="541"/>
      <c r="BL926" s="541"/>
      <c r="BM926" s="541"/>
      <c r="BP926" s="541"/>
      <c r="BQ926" s="633"/>
      <c r="BR926" s="541"/>
      <c r="BS926" s="541"/>
      <c r="BT926" s="541"/>
      <c r="BU926" s="541"/>
    </row>
    <row r="927" ht="15.75" customHeight="1">
      <c r="A927" s="1591"/>
      <c r="B927" s="1591"/>
      <c r="C927" s="2217"/>
      <c r="D927" s="1541"/>
      <c r="E927" s="906"/>
      <c r="F927" s="541"/>
      <c r="G927" s="541"/>
      <c r="H927" s="541"/>
      <c r="I927" s="541"/>
      <c r="J927" s="1748"/>
      <c r="K927" s="541"/>
      <c r="L927" s="1748"/>
      <c r="M927" s="541"/>
      <c r="N927" s="1748"/>
      <c r="O927" s="541"/>
      <c r="P927" s="1748"/>
      <c r="Q927" s="541"/>
      <c r="R927" s="1748"/>
      <c r="S927" s="541"/>
      <c r="T927" s="1748"/>
      <c r="U927" s="541"/>
      <c r="V927" s="1748"/>
      <c r="W927" s="541"/>
      <c r="X927" s="1748"/>
      <c r="Y927" s="1748"/>
      <c r="Z927" s="1748"/>
      <c r="AA927" s="541"/>
      <c r="AB927" s="1748"/>
      <c r="AC927" s="541"/>
      <c r="AD927" s="541"/>
      <c r="AE927" s="541"/>
      <c r="AF927" s="541"/>
      <c r="AG927" s="541"/>
      <c r="AH927" s="541"/>
      <c r="AI927" s="541"/>
      <c r="AJ927" s="541"/>
      <c r="AK927" s="541"/>
      <c r="AL927" s="541"/>
      <c r="AM927" s="541"/>
      <c r="AN927" s="1748"/>
      <c r="AO927" s="1748"/>
      <c r="AP927" s="1748"/>
      <c r="AQ927" s="1748"/>
      <c r="AR927" s="1748"/>
      <c r="AS927" s="541"/>
      <c r="AT927" s="541"/>
      <c r="AU927" s="541"/>
      <c r="AV927" s="541"/>
      <c r="AW927" s="541"/>
      <c r="AY927" s="541"/>
      <c r="AZ927" s="633"/>
      <c r="BA927" s="541"/>
      <c r="BB927" s="1190"/>
      <c r="BC927" s="541"/>
      <c r="BD927" s="1190"/>
      <c r="BE927" s="541"/>
      <c r="BF927" s="1190"/>
      <c r="BG927" s="541"/>
      <c r="BH927" s="1190"/>
      <c r="BI927" s="541"/>
      <c r="BJ927" s="1190"/>
      <c r="BK927" s="541"/>
      <c r="BL927" s="541"/>
      <c r="BM927" s="541"/>
      <c r="BP927" s="541"/>
      <c r="BQ927" s="633"/>
      <c r="BR927" s="541"/>
      <c r="BS927" s="541"/>
      <c r="BT927" s="541"/>
      <c r="BU927" s="541"/>
    </row>
    <row r="928" ht="15.75" customHeight="1">
      <c r="A928" s="1591"/>
      <c r="B928" s="1591"/>
      <c r="C928" s="2217"/>
      <c r="D928" s="1541"/>
      <c r="E928" s="906"/>
      <c r="F928" s="541"/>
      <c r="G928" s="541"/>
      <c r="H928" s="541"/>
      <c r="I928" s="541"/>
      <c r="J928" s="1748"/>
      <c r="K928" s="541"/>
      <c r="L928" s="1748"/>
      <c r="M928" s="541"/>
      <c r="N928" s="1748"/>
      <c r="O928" s="541"/>
      <c r="P928" s="1748"/>
      <c r="Q928" s="541"/>
      <c r="R928" s="1748"/>
      <c r="S928" s="541"/>
      <c r="T928" s="1748"/>
      <c r="U928" s="541"/>
      <c r="V928" s="1748"/>
      <c r="W928" s="541"/>
      <c r="X928" s="1748"/>
      <c r="Y928" s="1748"/>
      <c r="Z928" s="1748"/>
      <c r="AA928" s="541"/>
      <c r="AB928" s="1748"/>
      <c r="AC928" s="541"/>
      <c r="AD928" s="541"/>
      <c r="AE928" s="541"/>
      <c r="AF928" s="541"/>
      <c r="AG928" s="541"/>
      <c r="AH928" s="541"/>
      <c r="AI928" s="541"/>
      <c r="AJ928" s="541"/>
      <c r="AK928" s="541"/>
      <c r="AL928" s="541"/>
      <c r="AM928" s="541"/>
      <c r="AN928" s="1748"/>
      <c r="AO928" s="1748"/>
      <c r="AP928" s="1748"/>
      <c r="AQ928" s="1748"/>
      <c r="AR928" s="1748"/>
      <c r="AS928" s="541"/>
      <c r="AT928" s="541"/>
      <c r="AU928" s="541"/>
      <c r="AV928" s="541"/>
      <c r="AW928" s="541"/>
      <c r="AY928" s="541"/>
      <c r="AZ928" s="633"/>
      <c r="BA928" s="541"/>
      <c r="BB928" s="1190"/>
      <c r="BC928" s="541"/>
      <c r="BD928" s="1190"/>
      <c r="BE928" s="541"/>
      <c r="BF928" s="1190"/>
      <c r="BG928" s="541"/>
      <c r="BH928" s="1190"/>
      <c r="BI928" s="541"/>
      <c r="BJ928" s="1190"/>
      <c r="BK928" s="541"/>
      <c r="BL928" s="541"/>
      <c r="BM928" s="541"/>
      <c r="BP928" s="541"/>
      <c r="BQ928" s="633"/>
      <c r="BR928" s="541"/>
      <c r="BS928" s="541"/>
      <c r="BT928" s="541"/>
      <c r="BU928" s="541"/>
    </row>
    <row r="929" ht="15.75" customHeight="1">
      <c r="A929" s="1591"/>
      <c r="B929" s="1591"/>
      <c r="C929" s="2217"/>
      <c r="D929" s="1541"/>
      <c r="E929" s="906"/>
      <c r="F929" s="541"/>
      <c r="G929" s="541"/>
      <c r="H929" s="541"/>
      <c r="I929" s="541"/>
      <c r="J929" s="1748"/>
      <c r="K929" s="541"/>
      <c r="L929" s="1748"/>
      <c r="M929" s="541"/>
      <c r="N929" s="1748"/>
      <c r="O929" s="541"/>
      <c r="P929" s="1748"/>
      <c r="Q929" s="541"/>
      <c r="R929" s="1748"/>
      <c r="S929" s="541"/>
      <c r="T929" s="1748"/>
      <c r="U929" s="541"/>
      <c r="V929" s="1748"/>
      <c r="W929" s="541"/>
      <c r="X929" s="1748"/>
      <c r="Y929" s="1748"/>
      <c r="Z929" s="1748"/>
      <c r="AA929" s="541"/>
      <c r="AB929" s="1748"/>
      <c r="AC929" s="541"/>
      <c r="AD929" s="541"/>
      <c r="AE929" s="541"/>
      <c r="AF929" s="541"/>
      <c r="AG929" s="541"/>
      <c r="AH929" s="541"/>
      <c r="AI929" s="541"/>
      <c r="AJ929" s="541"/>
      <c r="AK929" s="541"/>
      <c r="AL929" s="541"/>
      <c r="AM929" s="541"/>
      <c r="AN929" s="1748"/>
      <c r="AO929" s="1748"/>
      <c r="AP929" s="1748"/>
      <c r="AQ929" s="1748"/>
      <c r="AR929" s="1748"/>
      <c r="AS929" s="541"/>
      <c r="AT929" s="541"/>
      <c r="AU929" s="541"/>
      <c r="AV929" s="541"/>
      <c r="AW929" s="541"/>
      <c r="AY929" s="541"/>
      <c r="AZ929" s="633"/>
      <c r="BA929" s="541"/>
      <c r="BB929" s="1190"/>
      <c r="BC929" s="541"/>
      <c r="BD929" s="1190"/>
      <c r="BE929" s="541"/>
      <c r="BF929" s="1190"/>
      <c r="BG929" s="541"/>
      <c r="BH929" s="1190"/>
      <c r="BI929" s="541"/>
      <c r="BJ929" s="1190"/>
      <c r="BK929" s="541"/>
      <c r="BL929" s="541"/>
      <c r="BM929" s="541"/>
      <c r="BP929" s="541"/>
      <c r="BQ929" s="633"/>
      <c r="BR929" s="541"/>
      <c r="BS929" s="541"/>
      <c r="BT929" s="541"/>
      <c r="BU929" s="541"/>
    </row>
    <row r="930" ht="15.75" customHeight="1">
      <c r="A930" s="1591"/>
      <c r="B930" s="1591"/>
      <c r="C930" s="2217"/>
      <c r="D930" s="1541"/>
      <c r="E930" s="906"/>
      <c r="F930" s="541"/>
      <c r="G930" s="541"/>
      <c r="H930" s="541"/>
      <c r="I930" s="541"/>
      <c r="J930" s="1748"/>
      <c r="K930" s="541"/>
      <c r="L930" s="1748"/>
      <c r="M930" s="541"/>
      <c r="N930" s="1748"/>
      <c r="O930" s="541"/>
      <c r="P930" s="1748"/>
      <c r="Q930" s="541"/>
      <c r="R930" s="1748"/>
      <c r="S930" s="541"/>
      <c r="T930" s="1748"/>
      <c r="U930" s="541"/>
      <c r="V930" s="1748"/>
      <c r="W930" s="541"/>
      <c r="X930" s="1748"/>
      <c r="Y930" s="1748"/>
      <c r="Z930" s="1748"/>
      <c r="AA930" s="541"/>
      <c r="AB930" s="1748"/>
      <c r="AC930" s="541"/>
      <c r="AD930" s="541"/>
      <c r="AE930" s="541"/>
      <c r="AF930" s="541"/>
      <c r="AG930" s="541"/>
      <c r="AH930" s="541"/>
      <c r="AI930" s="541"/>
      <c r="AJ930" s="541"/>
      <c r="AK930" s="541"/>
      <c r="AL930" s="541"/>
      <c r="AM930" s="541"/>
      <c r="AN930" s="1748"/>
      <c r="AO930" s="1748"/>
      <c r="AP930" s="1748"/>
      <c r="AQ930" s="1748"/>
      <c r="AR930" s="1748"/>
      <c r="AS930" s="541"/>
      <c r="AT930" s="541"/>
      <c r="AU930" s="541"/>
      <c r="AV930" s="541"/>
      <c r="AW930" s="541"/>
      <c r="AY930" s="541"/>
      <c r="AZ930" s="633"/>
      <c r="BA930" s="541"/>
      <c r="BB930" s="1190"/>
      <c r="BC930" s="541"/>
      <c r="BD930" s="1190"/>
      <c r="BE930" s="541"/>
      <c r="BF930" s="1190"/>
      <c r="BG930" s="541"/>
      <c r="BH930" s="1190"/>
      <c r="BI930" s="541"/>
      <c r="BJ930" s="1190"/>
      <c r="BK930" s="541"/>
      <c r="BL930" s="541"/>
      <c r="BM930" s="541"/>
      <c r="BP930" s="541"/>
      <c r="BQ930" s="633"/>
      <c r="BR930" s="541"/>
      <c r="BS930" s="541"/>
      <c r="BT930" s="541"/>
      <c r="BU930" s="541"/>
    </row>
    <row r="931" ht="15.75" customHeight="1">
      <c r="A931" s="1591"/>
      <c r="B931" s="1591"/>
      <c r="C931" s="2217"/>
      <c r="D931" s="1541"/>
      <c r="E931" s="906"/>
      <c r="F931" s="541"/>
      <c r="G931" s="541"/>
      <c r="H931" s="541"/>
      <c r="I931" s="541"/>
      <c r="J931" s="1748"/>
      <c r="K931" s="541"/>
      <c r="L931" s="1748"/>
      <c r="M931" s="541"/>
      <c r="N931" s="1748"/>
      <c r="O931" s="541"/>
      <c r="P931" s="1748"/>
      <c r="Q931" s="541"/>
      <c r="R931" s="1748"/>
      <c r="S931" s="541"/>
      <c r="T931" s="1748"/>
      <c r="U931" s="541"/>
      <c r="V931" s="1748"/>
      <c r="W931" s="541"/>
      <c r="X931" s="1748"/>
      <c r="Y931" s="1748"/>
      <c r="Z931" s="1748"/>
      <c r="AA931" s="541"/>
      <c r="AB931" s="1748"/>
      <c r="AC931" s="541"/>
      <c r="AD931" s="541"/>
      <c r="AE931" s="541"/>
      <c r="AF931" s="541"/>
      <c r="AG931" s="541"/>
      <c r="AH931" s="541"/>
      <c r="AI931" s="541"/>
      <c r="AJ931" s="541"/>
      <c r="AK931" s="541"/>
      <c r="AL931" s="541"/>
      <c r="AM931" s="541"/>
      <c r="AN931" s="1748"/>
      <c r="AO931" s="1748"/>
      <c r="AP931" s="1748"/>
      <c r="AQ931" s="1748"/>
      <c r="AR931" s="1748"/>
      <c r="AS931" s="541"/>
      <c r="AT931" s="541"/>
      <c r="AU931" s="541"/>
      <c r="AV931" s="541"/>
      <c r="AW931" s="541"/>
      <c r="AY931" s="541"/>
      <c r="AZ931" s="633"/>
      <c r="BA931" s="541"/>
      <c r="BB931" s="1190"/>
      <c r="BC931" s="541"/>
      <c r="BD931" s="1190"/>
      <c r="BE931" s="541"/>
      <c r="BF931" s="1190"/>
      <c r="BG931" s="541"/>
      <c r="BH931" s="1190"/>
      <c r="BI931" s="541"/>
      <c r="BJ931" s="1190"/>
      <c r="BK931" s="541"/>
      <c r="BL931" s="541"/>
      <c r="BM931" s="541"/>
      <c r="BP931" s="541"/>
      <c r="BQ931" s="633"/>
      <c r="BR931" s="541"/>
      <c r="BS931" s="541"/>
      <c r="BT931" s="541"/>
      <c r="BU931" s="541"/>
    </row>
    <row r="932" ht="15.75" customHeight="1">
      <c r="A932" s="1591"/>
      <c r="B932" s="1591"/>
      <c r="C932" s="2217"/>
      <c r="D932" s="1541"/>
      <c r="E932" s="906"/>
      <c r="F932" s="541"/>
      <c r="G932" s="541"/>
      <c r="H932" s="541"/>
      <c r="I932" s="541"/>
      <c r="J932" s="1748"/>
      <c r="K932" s="541"/>
      <c r="L932" s="1748"/>
      <c r="M932" s="541"/>
      <c r="N932" s="1748"/>
      <c r="O932" s="541"/>
      <c r="P932" s="1748"/>
      <c r="Q932" s="541"/>
      <c r="R932" s="1748"/>
      <c r="S932" s="541"/>
      <c r="T932" s="1748"/>
      <c r="U932" s="541"/>
      <c r="V932" s="1748"/>
      <c r="W932" s="541"/>
      <c r="X932" s="1748"/>
      <c r="Y932" s="1748"/>
      <c r="Z932" s="1748"/>
      <c r="AA932" s="541"/>
      <c r="AB932" s="1748"/>
      <c r="AC932" s="541"/>
      <c r="AD932" s="541"/>
      <c r="AE932" s="541"/>
      <c r="AF932" s="541"/>
      <c r="AG932" s="541"/>
      <c r="AH932" s="541"/>
      <c r="AI932" s="541"/>
      <c r="AJ932" s="541"/>
      <c r="AK932" s="541"/>
      <c r="AL932" s="541"/>
      <c r="AM932" s="541"/>
      <c r="AN932" s="1748"/>
      <c r="AO932" s="1748"/>
      <c r="AP932" s="1748"/>
      <c r="AQ932" s="1748"/>
      <c r="AR932" s="1748"/>
      <c r="AS932" s="541"/>
      <c r="AT932" s="541"/>
      <c r="AU932" s="541"/>
      <c r="AV932" s="541"/>
      <c r="AW932" s="541"/>
      <c r="AY932" s="541"/>
      <c r="AZ932" s="633"/>
      <c r="BA932" s="541"/>
      <c r="BB932" s="1190"/>
      <c r="BC932" s="541"/>
      <c r="BD932" s="1190"/>
      <c r="BE932" s="541"/>
      <c r="BF932" s="1190"/>
      <c r="BG932" s="541"/>
      <c r="BH932" s="1190"/>
      <c r="BI932" s="541"/>
      <c r="BJ932" s="1190"/>
      <c r="BK932" s="541"/>
      <c r="BL932" s="541"/>
      <c r="BM932" s="541"/>
      <c r="BP932" s="541"/>
      <c r="BQ932" s="633"/>
      <c r="BR932" s="541"/>
      <c r="BS932" s="541"/>
      <c r="BT932" s="541"/>
      <c r="BU932" s="541"/>
    </row>
    <row r="933" ht="15.75" customHeight="1">
      <c r="A933" s="1591"/>
      <c r="B933" s="1591"/>
      <c r="C933" s="2217"/>
      <c r="D933" s="1541"/>
      <c r="E933" s="906"/>
      <c r="F933" s="541"/>
      <c r="G933" s="541"/>
      <c r="H933" s="541"/>
      <c r="I933" s="541"/>
      <c r="J933" s="1748"/>
      <c r="K933" s="541"/>
      <c r="L933" s="1748"/>
      <c r="M933" s="541"/>
      <c r="N933" s="1748"/>
      <c r="O933" s="541"/>
      <c r="P933" s="1748"/>
      <c r="Q933" s="541"/>
      <c r="R933" s="1748"/>
      <c r="S933" s="541"/>
      <c r="T933" s="1748"/>
      <c r="U933" s="541"/>
      <c r="V933" s="1748"/>
      <c r="W933" s="541"/>
      <c r="X933" s="1748"/>
      <c r="Y933" s="1748"/>
      <c r="Z933" s="1748"/>
      <c r="AA933" s="541"/>
      <c r="AB933" s="1748"/>
      <c r="AC933" s="541"/>
      <c r="AD933" s="541"/>
      <c r="AE933" s="541"/>
      <c r="AF933" s="541"/>
      <c r="AG933" s="541"/>
      <c r="AH933" s="541"/>
      <c r="AI933" s="541"/>
      <c r="AJ933" s="541"/>
      <c r="AK933" s="541"/>
      <c r="AL933" s="541"/>
      <c r="AM933" s="541"/>
      <c r="AN933" s="1748"/>
      <c r="AO933" s="1748"/>
      <c r="AP933" s="1748"/>
      <c r="AQ933" s="1748"/>
      <c r="AR933" s="1748"/>
      <c r="AS933" s="541"/>
      <c r="AT933" s="541"/>
      <c r="AU933" s="541"/>
      <c r="AV933" s="541"/>
      <c r="AW933" s="541"/>
      <c r="AY933" s="541"/>
      <c r="AZ933" s="633"/>
      <c r="BA933" s="541"/>
      <c r="BB933" s="1190"/>
      <c r="BC933" s="541"/>
      <c r="BD933" s="1190"/>
      <c r="BE933" s="541"/>
      <c r="BF933" s="1190"/>
      <c r="BG933" s="541"/>
      <c r="BH933" s="1190"/>
      <c r="BI933" s="541"/>
      <c r="BJ933" s="1190"/>
      <c r="BK933" s="541"/>
      <c r="BL933" s="541"/>
      <c r="BM933" s="541"/>
      <c r="BP933" s="541"/>
      <c r="BQ933" s="633"/>
      <c r="BR933" s="541"/>
      <c r="BS933" s="541"/>
      <c r="BT933" s="541"/>
      <c r="BU933" s="541"/>
    </row>
    <row r="934" ht="15.75" customHeight="1">
      <c r="A934" s="1591"/>
      <c r="B934" s="1591"/>
      <c r="C934" s="2217"/>
      <c r="D934" s="1541"/>
      <c r="E934" s="906"/>
      <c r="F934" s="541"/>
      <c r="G934" s="541"/>
      <c r="H934" s="541"/>
      <c r="I934" s="541"/>
      <c r="J934" s="1748"/>
      <c r="K934" s="541"/>
      <c r="L934" s="1748"/>
      <c r="M934" s="541"/>
      <c r="N934" s="1748"/>
      <c r="O934" s="541"/>
      <c r="P934" s="1748"/>
      <c r="Q934" s="541"/>
      <c r="R934" s="1748"/>
      <c r="S934" s="541"/>
      <c r="T934" s="1748"/>
      <c r="U934" s="541"/>
      <c r="V934" s="1748"/>
      <c r="W934" s="541"/>
      <c r="X934" s="1748"/>
      <c r="Y934" s="1748"/>
      <c r="Z934" s="1748"/>
      <c r="AA934" s="541"/>
      <c r="AB934" s="1748"/>
      <c r="AC934" s="541"/>
      <c r="AD934" s="541"/>
      <c r="AE934" s="541"/>
      <c r="AF934" s="541"/>
      <c r="AG934" s="541"/>
      <c r="AH934" s="541"/>
      <c r="AI934" s="541"/>
      <c r="AJ934" s="541"/>
      <c r="AK934" s="541"/>
      <c r="AL934" s="541"/>
      <c r="AM934" s="541"/>
      <c r="AN934" s="1748"/>
      <c r="AO934" s="1748"/>
      <c r="AP934" s="1748"/>
      <c r="AQ934" s="1748"/>
      <c r="AR934" s="1748"/>
      <c r="AS934" s="541"/>
      <c r="AT934" s="541"/>
      <c r="AU934" s="541"/>
      <c r="AV934" s="541"/>
      <c r="AW934" s="541"/>
      <c r="AY934" s="541"/>
      <c r="AZ934" s="633"/>
      <c r="BA934" s="541"/>
      <c r="BB934" s="1190"/>
      <c r="BC934" s="541"/>
      <c r="BD934" s="1190"/>
      <c r="BE934" s="541"/>
      <c r="BF934" s="1190"/>
      <c r="BG934" s="541"/>
      <c r="BH934" s="1190"/>
      <c r="BI934" s="541"/>
      <c r="BJ934" s="1190"/>
      <c r="BK934" s="541"/>
      <c r="BL934" s="541"/>
      <c r="BM934" s="541"/>
      <c r="BP934" s="541"/>
      <c r="BQ934" s="633"/>
      <c r="BR934" s="541"/>
      <c r="BS934" s="541"/>
      <c r="BT934" s="541"/>
      <c r="BU934" s="541"/>
    </row>
    <row r="935" ht="15.75" customHeight="1">
      <c r="A935" s="1591"/>
      <c r="B935" s="1591"/>
      <c r="C935" s="2217"/>
      <c r="D935" s="1541"/>
      <c r="E935" s="906"/>
      <c r="F935" s="541"/>
      <c r="G935" s="541"/>
      <c r="H935" s="541"/>
      <c r="I935" s="541"/>
      <c r="J935" s="1748"/>
      <c r="K935" s="541"/>
      <c r="L935" s="1748"/>
      <c r="M935" s="541"/>
      <c r="N935" s="1748"/>
      <c r="O935" s="541"/>
      <c r="P935" s="1748"/>
      <c r="Q935" s="541"/>
      <c r="R935" s="1748"/>
      <c r="S935" s="541"/>
      <c r="T935" s="1748"/>
      <c r="U935" s="541"/>
      <c r="V935" s="1748"/>
      <c r="W935" s="541"/>
      <c r="X935" s="1748"/>
      <c r="Y935" s="1748"/>
      <c r="Z935" s="1748"/>
      <c r="AA935" s="541"/>
      <c r="AB935" s="1748"/>
      <c r="AC935" s="541"/>
      <c r="AD935" s="541"/>
      <c r="AE935" s="541"/>
      <c r="AF935" s="541"/>
      <c r="AG935" s="541"/>
      <c r="AH935" s="541"/>
      <c r="AI935" s="541"/>
      <c r="AJ935" s="541"/>
      <c r="AK935" s="541"/>
      <c r="AL935" s="541"/>
      <c r="AM935" s="541"/>
      <c r="AN935" s="1748"/>
      <c r="AO935" s="1748"/>
      <c r="AP935" s="1748"/>
      <c r="AQ935" s="1748"/>
      <c r="AR935" s="1748"/>
      <c r="AS935" s="541"/>
      <c r="AT935" s="541"/>
      <c r="AU935" s="541"/>
      <c r="AV935" s="541"/>
      <c r="AW935" s="541"/>
      <c r="AY935" s="541"/>
      <c r="AZ935" s="633"/>
      <c r="BA935" s="541"/>
      <c r="BB935" s="1190"/>
      <c r="BC935" s="541"/>
      <c r="BD935" s="1190"/>
      <c r="BE935" s="541"/>
      <c r="BF935" s="1190"/>
      <c r="BG935" s="541"/>
      <c r="BH935" s="1190"/>
      <c r="BI935" s="541"/>
      <c r="BJ935" s="1190"/>
      <c r="BK935" s="541"/>
      <c r="BL935" s="541"/>
      <c r="BM935" s="541"/>
      <c r="BP935" s="541"/>
      <c r="BQ935" s="633"/>
      <c r="BR935" s="541"/>
      <c r="BS935" s="541"/>
      <c r="BT935" s="541"/>
      <c r="BU935" s="541"/>
    </row>
    <row r="936" ht="15.75" customHeight="1">
      <c r="A936" s="1591"/>
      <c r="B936" s="1591"/>
      <c r="C936" s="2217"/>
      <c r="D936" s="1541"/>
      <c r="E936" s="906"/>
      <c r="F936" s="541"/>
      <c r="G936" s="541"/>
      <c r="H936" s="541"/>
      <c r="I936" s="541"/>
      <c r="J936" s="1748"/>
      <c r="K936" s="541"/>
      <c r="L936" s="1748"/>
      <c r="M936" s="541"/>
      <c r="N936" s="1748"/>
      <c r="O936" s="541"/>
      <c r="P936" s="1748"/>
      <c r="Q936" s="541"/>
      <c r="R936" s="1748"/>
      <c r="S936" s="541"/>
      <c r="T936" s="1748"/>
      <c r="U936" s="541"/>
      <c r="V936" s="1748"/>
      <c r="W936" s="541"/>
      <c r="X936" s="1748"/>
      <c r="Y936" s="1748"/>
      <c r="Z936" s="1748"/>
      <c r="AA936" s="541"/>
      <c r="AB936" s="1748"/>
      <c r="AC936" s="541"/>
      <c r="AD936" s="541"/>
      <c r="AE936" s="541"/>
      <c r="AF936" s="541"/>
      <c r="AG936" s="541"/>
      <c r="AH936" s="541"/>
      <c r="AI936" s="541"/>
      <c r="AJ936" s="541"/>
      <c r="AK936" s="541"/>
      <c r="AL936" s="541"/>
      <c r="AM936" s="541"/>
      <c r="AN936" s="1748"/>
      <c r="AO936" s="1748"/>
      <c r="AP936" s="1748"/>
      <c r="AQ936" s="1748"/>
      <c r="AR936" s="1748"/>
      <c r="AS936" s="541"/>
      <c r="AT936" s="541"/>
      <c r="AU936" s="541"/>
      <c r="AV936" s="541"/>
      <c r="AW936" s="541"/>
      <c r="AY936" s="541"/>
      <c r="AZ936" s="633"/>
      <c r="BA936" s="541"/>
      <c r="BB936" s="1190"/>
      <c r="BC936" s="541"/>
      <c r="BD936" s="1190"/>
      <c r="BE936" s="541"/>
      <c r="BF936" s="1190"/>
      <c r="BG936" s="541"/>
      <c r="BH936" s="1190"/>
      <c r="BI936" s="541"/>
      <c r="BJ936" s="1190"/>
      <c r="BK936" s="541"/>
      <c r="BL936" s="541"/>
      <c r="BM936" s="541"/>
      <c r="BP936" s="541"/>
      <c r="BQ936" s="633"/>
      <c r="BR936" s="541"/>
      <c r="BS936" s="541"/>
      <c r="BT936" s="541"/>
      <c r="BU936" s="541"/>
    </row>
    <row r="937" ht="15.75" customHeight="1">
      <c r="A937" s="1591"/>
      <c r="B937" s="1591"/>
      <c r="C937" s="2217"/>
      <c r="D937" s="1541"/>
      <c r="E937" s="906"/>
      <c r="F937" s="541"/>
      <c r="G937" s="541"/>
      <c r="H937" s="541"/>
      <c r="I937" s="541"/>
      <c r="J937" s="1748"/>
      <c r="K937" s="541"/>
      <c r="L937" s="1748"/>
      <c r="M937" s="541"/>
      <c r="N937" s="1748"/>
      <c r="O937" s="541"/>
      <c r="P937" s="1748"/>
      <c r="Q937" s="541"/>
      <c r="R937" s="1748"/>
      <c r="S937" s="541"/>
      <c r="T937" s="1748"/>
      <c r="U937" s="541"/>
      <c r="V937" s="1748"/>
      <c r="W937" s="541"/>
      <c r="X937" s="1748"/>
      <c r="Y937" s="1748"/>
      <c r="Z937" s="1748"/>
      <c r="AA937" s="541"/>
      <c r="AB937" s="1748"/>
      <c r="AC937" s="541"/>
      <c r="AD937" s="541"/>
      <c r="AE937" s="541"/>
      <c r="AF937" s="541"/>
      <c r="AG937" s="541"/>
      <c r="AH937" s="541"/>
      <c r="AI937" s="541"/>
      <c r="AJ937" s="541"/>
      <c r="AK937" s="541"/>
      <c r="AL937" s="541"/>
      <c r="AM937" s="541"/>
      <c r="AN937" s="1748"/>
      <c r="AO937" s="1748"/>
      <c r="AP937" s="1748"/>
      <c r="AQ937" s="1748"/>
      <c r="AR937" s="1748"/>
      <c r="AS937" s="541"/>
      <c r="AT937" s="541"/>
      <c r="AU937" s="541"/>
      <c r="AV937" s="541"/>
      <c r="AW937" s="541"/>
      <c r="AY937" s="541"/>
      <c r="AZ937" s="633"/>
      <c r="BA937" s="541"/>
      <c r="BB937" s="1190"/>
      <c r="BC937" s="541"/>
      <c r="BD937" s="1190"/>
      <c r="BE937" s="541"/>
      <c r="BF937" s="1190"/>
      <c r="BG937" s="541"/>
      <c r="BH937" s="1190"/>
      <c r="BI937" s="541"/>
      <c r="BJ937" s="1190"/>
      <c r="BK937" s="541"/>
      <c r="BL937" s="541"/>
      <c r="BM937" s="541"/>
      <c r="BP937" s="541"/>
      <c r="BQ937" s="633"/>
      <c r="BR937" s="541"/>
      <c r="BS937" s="541"/>
      <c r="BT937" s="541"/>
      <c r="BU937" s="541"/>
    </row>
    <row r="938" ht="15.75" customHeight="1">
      <c r="A938" s="1591"/>
      <c r="B938" s="1591"/>
      <c r="C938" s="2217"/>
      <c r="D938" s="1541"/>
      <c r="E938" s="906"/>
      <c r="F938" s="541"/>
      <c r="G938" s="541"/>
      <c r="H938" s="541"/>
      <c r="I938" s="541"/>
      <c r="J938" s="1748"/>
      <c r="K938" s="541"/>
      <c r="L938" s="1748"/>
      <c r="M938" s="541"/>
      <c r="N938" s="1748"/>
      <c r="O938" s="541"/>
      <c r="P938" s="1748"/>
      <c r="Q938" s="541"/>
      <c r="R938" s="1748"/>
      <c r="S938" s="541"/>
      <c r="T938" s="1748"/>
      <c r="U938" s="541"/>
      <c r="V938" s="1748"/>
      <c r="W938" s="541"/>
      <c r="X938" s="1748"/>
      <c r="Y938" s="1748"/>
      <c r="Z938" s="1748"/>
      <c r="AA938" s="541"/>
      <c r="AB938" s="1748"/>
      <c r="AC938" s="541"/>
      <c r="AD938" s="541"/>
      <c r="AE938" s="541"/>
      <c r="AF938" s="541"/>
      <c r="AG938" s="541"/>
      <c r="AH938" s="541"/>
      <c r="AI938" s="541"/>
      <c r="AJ938" s="541"/>
      <c r="AK938" s="541"/>
      <c r="AL938" s="541"/>
      <c r="AM938" s="541"/>
      <c r="AN938" s="1748"/>
      <c r="AO938" s="1748"/>
      <c r="AP938" s="1748"/>
      <c r="AQ938" s="1748"/>
      <c r="AR938" s="1748"/>
      <c r="AS938" s="541"/>
      <c r="AT938" s="541"/>
      <c r="AU938" s="541"/>
      <c r="AV938" s="541"/>
      <c r="AW938" s="541"/>
      <c r="AY938" s="541"/>
      <c r="AZ938" s="633"/>
      <c r="BA938" s="541"/>
      <c r="BB938" s="1190"/>
      <c r="BC938" s="541"/>
      <c r="BD938" s="1190"/>
      <c r="BE938" s="541"/>
      <c r="BF938" s="1190"/>
      <c r="BG938" s="541"/>
      <c r="BH938" s="1190"/>
      <c r="BI938" s="541"/>
      <c r="BJ938" s="1190"/>
      <c r="BK938" s="541"/>
      <c r="BL938" s="541"/>
      <c r="BM938" s="541"/>
      <c r="BP938" s="541"/>
      <c r="BQ938" s="633"/>
      <c r="BR938" s="541"/>
      <c r="BS938" s="541"/>
      <c r="BT938" s="541"/>
      <c r="BU938" s="541"/>
    </row>
    <row r="939" ht="15.75" customHeight="1">
      <c r="A939" s="1591"/>
      <c r="B939" s="1591"/>
      <c r="C939" s="2217"/>
      <c r="D939" s="1541"/>
      <c r="E939" s="906"/>
      <c r="F939" s="541"/>
      <c r="G939" s="541"/>
      <c r="H939" s="541"/>
      <c r="I939" s="541"/>
      <c r="J939" s="1748"/>
      <c r="K939" s="541"/>
      <c r="L939" s="1748"/>
      <c r="M939" s="541"/>
      <c r="N939" s="1748"/>
      <c r="O939" s="541"/>
      <c r="P939" s="1748"/>
      <c r="Q939" s="541"/>
      <c r="R939" s="1748"/>
      <c r="S939" s="541"/>
      <c r="T939" s="1748"/>
      <c r="U939" s="541"/>
      <c r="V939" s="1748"/>
      <c r="W939" s="541"/>
      <c r="X939" s="1748"/>
      <c r="Y939" s="1748"/>
      <c r="Z939" s="1748"/>
      <c r="AA939" s="541"/>
      <c r="AB939" s="1748"/>
      <c r="AC939" s="541"/>
      <c r="AD939" s="541"/>
      <c r="AE939" s="541"/>
      <c r="AF939" s="541"/>
      <c r="AG939" s="541"/>
      <c r="AH939" s="541"/>
      <c r="AI939" s="541"/>
      <c r="AJ939" s="541"/>
      <c r="AK939" s="541"/>
      <c r="AL939" s="541"/>
      <c r="AM939" s="541"/>
      <c r="AN939" s="1748"/>
      <c r="AO939" s="1748"/>
      <c r="AP939" s="1748"/>
      <c r="AQ939" s="1748"/>
      <c r="AR939" s="1748"/>
      <c r="AS939" s="541"/>
      <c r="AT939" s="541"/>
      <c r="AU939" s="541"/>
      <c r="AV939" s="541"/>
      <c r="AW939" s="541"/>
      <c r="AY939" s="541"/>
      <c r="AZ939" s="633"/>
      <c r="BA939" s="541"/>
      <c r="BB939" s="1190"/>
      <c r="BC939" s="541"/>
      <c r="BD939" s="1190"/>
      <c r="BE939" s="541"/>
      <c r="BF939" s="1190"/>
      <c r="BG939" s="541"/>
      <c r="BH939" s="1190"/>
      <c r="BI939" s="541"/>
      <c r="BJ939" s="1190"/>
      <c r="BK939" s="541"/>
      <c r="BL939" s="541"/>
      <c r="BM939" s="541"/>
      <c r="BP939" s="541"/>
      <c r="BQ939" s="633"/>
      <c r="BR939" s="541"/>
      <c r="BS939" s="541"/>
      <c r="BT939" s="541"/>
      <c r="BU939" s="541"/>
    </row>
    <row r="940" ht="15.75" customHeight="1">
      <c r="A940" s="1591"/>
      <c r="B940" s="1591"/>
      <c r="C940" s="2217"/>
      <c r="D940" s="1541"/>
      <c r="E940" s="906"/>
      <c r="F940" s="541"/>
      <c r="G940" s="541"/>
      <c r="H940" s="541"/>
      <c r="I940" s="541"/>
      <c r="J940" s="1748"/>
      <c r="K940" s="541"/>
      <c r="L940" s="1748"/>
      <c r="M940" s="541"/>
      <c r="N940" s="1748"/>
      <c r="O940" s="541"/>
      <c r="P940" s="1748"/>
      <c r="Q940" s="541"/>
      <c r="R940" s="1748"/>
      <c r="S940" s="541"/>
      <c r="T940" s="1748"/>
      <c r="U940" s="541"/>
      <c r="V940" s="1748"/>
      <c r="W940" s="541"/>
      <c r="X940" s="1748"/>
      <c r="Y940" s="1748"/>
      <c r="Z940" s="1748"/>
      <c r="AA940" s="541"/>
      <c r="AB940" s="1748"/>
      <c r="AC940" s="541"/>
      <c r="AD940" s="541"/>
      <c r="AE940" s="541"/>
      <c r="AF940" s="541"/>
      <c r="AG940" s="541"/>
      <c r="AH940" s="541"/>
      <c r="AI940" s="541"/>
      <c r="AJ940" s="541"/>
      <c r="AK940" s="541"/>
      <c r="AL940" s="541"/>
      <c r="AM940" s="541"/>
      <c r="AN940" s="1748"/>
      <c r="AO940" s="1748"/>
      <c r="AP940" s="1748"/>
      <c r="AQ940" s="1748"/>
      <c r="AR940" s="1748"/>
      <c r="AS940" s="541"/>
      <c r="AT940" s="541"/>
      <c r="AU940" s="541"/>
      <c r="AV940" s="541"/>
      <c r="AW940" s="541"/>
      <c r="AY940" s="541"/>
      <c r="AZ940" s="633"/>
      <c r="BA940" s="541"/>
      <c r="BB940" s="1190"/>
      <c r="BC940" s="541"/>
      <c r="BD940" s="1190"/>
      <c r="BE940" s="541"/>
      <c r="BF940" s="1190"/>
      <c r="BG940" s="541"/>
      <c r="BH940" s="1190"/>
      <c r="BI940" s="541"/>
      <c r="BJ940" s="1190"/>
      <c r="BK940" s="541"/>
      <c r="BL940" s="541"/>
      <c r="BM940" s="541"/>
      <c r="BP940" s="541"/>
      <c r="BQ940" s="633"/>
      <c r="BR940" s="541"/>
      <c r="BS940" s="541"/>
      <c r="BT940" s="541"/>
      <c r="BU940" s="541"/>
    </row>
    <row r="941" ht="15.75" customHeight="1">
      <c r="A941" s="1591"/>
      <c r="B941" s="1591"/>
      <c r="C941" s="2217"/>
      <c r="D941" s="1541"/>
      <c r="E941" s="906"/>
      <c r="F941" s="541"/>
      <c r="G941" s="541"/>
      <c r="H941" s="541"/>
      <c r="I941" s="541"/>
      <c r="J941" s="1748"/>
      <c r="K941" s="541"/>
      <c r="L941" s="1748"/>
      <c r="M941" s="541"/>
      <c r="N941" s="1748"/>
      <c r="O941" s="541"/>
      <c r="P941" s="1748"/>
      <c r="Q941" s="541"/>
      <c r="R941" s="1748"/>
      <c r="S941" s="541"/>
      <c r="T941" s="1748"/>
      <c r="U941" s="541"/>
      <c r="V941" s="1748"/>
      <c r="W941" s="541"/>
      <c r="X941" s="1748"/>
      <c r="Y941" s="1748"/>
      <c r="Z941" s="1748"/>
      <c r="AA941" s="541"/>
      <c r="AB941" s="1748"/>
      <c r="AC941" s="541"/>
      <c r="AD941" s="541"/>
      <c r="AE941" s="541"/>
      <c r="AF941" s="541"/>
      <c r="AG941" s="541"/>
      <c r="AH941" s="541"/>
      <c r="AI941" s="541"/>
      <c r="AJ941" s="541"/>
      <c r="AK941" s="541"/>
      <c r="AL941" s="541"/>
      <c r="AM941" s="541"/>
      <c r="AN941" s="1748"/>
      <c r="AO941" s="1748"/>
      <c r="AP941" s="1748"/>
      <c r="AQ941" s="1748"/>
      <c r="AR941" s="1748"/>
      <c r="AS941" s="541"/>
      <c r="AT941" s="541"/>
      <c r="AU941" s="541"/>
      <c r="AV941" s="541"/>
      <c r="AW941" s="541"/>
      <c r="AY941" s="541"/>
      <c r="AZ941" s="633"/>
      <c r="BA941" s="541"/>
      <c r="BB941" s="1190"/>
      <c r="BC941" s="541"/>
      <c r="BD941" s="1190"/>
      <c r="BE941" s="541"/>
      <c r="BF941" s="1190"/>
      <c r="BG941" s="541"/>
      <c r="BH941" s="1190"/>
      <c r="BI941" s="541"/>
      <c r="BJ941" s="1190"/>
      <c r="BK941" s="541"/>
      <c r="BL941" s="541"/>
      <c r="BM941" s="541"/>
      <c r="BP941" s="541"/>
      <c r="BQ941" s="633"/>
      <c r="BR941" s="541"/>
      <c r="BS941" s="541"/>
      <c r="BT941" s="541"/>
      <c r="BU941" s="541"/>
    </row>
    <row r="942" ht="15.75" customHeight="1">
      <c r="A942" s="1591"/>
      <c r="B942" s="1591"/>
      <c r="C942" s="2217"/>
      <c r="D942" s="1541"/>
      <c r="E942" s="906"/>
      <c r="F942" s="541"/>
      <c r="G942" s="541"/>
      <c r="H942" s="541"/>
      <c r="I942" s="541"/>
      <c r="J942" s="1748"/>
      <c r="K942" s="541"/>
      <c r="L942" s="1748"/>
      <c r="M942" s="541"/>
      <c r="N942" s="1748"/>
      <c r="O942" s="541"/>
      <c r="P942" s="1748"/>
      <c r="Q942" s="541"/>
      <c r="R942" s="1748"/>
      <c r="S942" s="541"/>
      <c r="T942" s="1748"/>
      <c r="U942" s="541"/>
      <c r="V942" s="1748"/>
      <c r="W942" s="541"/>
      <c r="X942" s="1748"/>
      <c r="Y942" s="1748"/>
      <c r="Z942" s="1748"/>
      <c r="AA942" s="541"/>
      <c r="AB942" s="1748"/>
      <c r="AC942" s="541"/>
      <c r="AD942" s="541"/>
      <c r="AE942" s="541"/>
      <c r="AF942" s="541"/>
      <c r="AG942" s="541"/>
      <c r="AH942" s="541"/>
      <c r="AI942" s="541"/>
      <c r="AJ942" s="541"/>
      <c r="AK942" s="541"/>
      <c r="AL942" s="541"/>
      <c r="AM942" s="541"/>
      <c r="AN942" s="1748"/>
      <c r="AO942" s="1748"/>
      <c r="AP942" s="1748"/>
      <c r="AQ942" s="1748"/>
      <c r="AR942" s="1748"/>
      <c r="AS942" s="541"/>
      <c r="AT942" s="541"/>
      <c r="AU942" s="541"/>
      <c r="AV942" s="541"/>
      <c r="AW942" s="541"/>
      <c r="AY942" s="541"/>
      <c r="AZ942" s="633"/>
      <c r="BA942" s="541"/>
      <c r="BB942" s="1190"/>
      <c r="BC942" s="541"/>
      <c r="BD942" s="1190"/>
      <c r="BE942" s="541"/>
      <c r="BF942" s="1190"/>
      <c r="BG942" s="541"/>
      <c r="BH942" s="1190"/>
      <c r="BI942" s="541"/>
      <c r="BJ942" s="1190"/>
      <c r="BK942" s="541"/>
      <c r="BL942" s="541"/>
      <c r="BM942" s="541"/>
      <c r="BP942" s="541"/>
      <c r="BQ942" s="633"/>
      <c r="BR942" s="541"/>
      <c r="BS942" s="541"/>
      <c r="BT942" s="541"/>
      <c r="BU942" s="541"/>
    </row>
    <row r="943" ht="15.75" customHeight="1">
      <c r="A943" s="1591"/>
      <c r="B943" s="1591"/>
      <c r="C943" s="2217"/>
      <c r="D943" s="1541"/>
      <c r="E943" s="906"/>
      <c r="F943" s="541"/>
      <c r="G943" s="541"/>
      <c r="H943" s="541"/>
      <c r="I943" s="541"/>
      <c r="J943" s="1748"/>
      <c r="K943" s="541"/>
      <c r="L943" s="1748"/>
      <c r="M943" s="541"/>
      <c r="N943" s="1748"/>
      <c r="O943" s="541"/>
      <c r="P943" s="1748"/>
      <c r="Q943" s="541"/>
      <c r="R943" s="1748"/>
      <c r="S943" s="541"/>
      <c r="T943" s="1748"/>
      <c r="U943" s="541"/>
      <c r="V943" s="1748"/>
      <c r="W943" s="541"/>
      <c r="X943" s="1748"/>
      <c r="Y943" s="1748"/>
      <c r="Z943" s="1748"/>
      <c r="AA943" s="541"/>
      <c r="AB943" s="1748"/>
      <c r="AC943" s="541"/>
      <c r="AD943" s="541"/>
      <c r="AE943" s="541"/>
      <c r="AF943" s="541"/>
      <c r="AG943" s="541"/>
      <c r="AH943" s="541"/>
      <c r="AI943" s="541"/>
      <c r="AJ943" s="541"/>
      <c r="AK943" s="541"/>
      <c r="AL943" s="541"/>
      <c r="AM943" s="541"/>
      <c r="AN943" s="1748"/>
      <c r="AO943" s="1748"/>
      <c r="AP943" s="1748"/>
      <c r="AQ943" s="1748"/>
      <c r="AR943" s="1748"/>
      <c r="AS943" s="541"/>
      <c r="AT943" s="541"/>
      <c r="AU943" s="541"/>
      <c r="AV943" s="541"/>
      <c r="AW943" s="541"/>
      <c r="AY943" s="541"/>
      <c r="AZ943" s="633"/>
      <c r="BA943" s="541"/>
      <c r="BB943" s="1190"/>
      <c r="BC943" s="541"/>
      <c r="BD943" s="1190"/>
      <c r="BE943" s="541"/>
      <c r="BF943" s="1190"/>
      <c r="BG943" s="541"/>
      <c r="BH943" s="1190"/>
      <c r="BI943" s="541"/>
      <c r="BJ943" s="1190"/>
      <c r="BK943" s="541"/>
      <c r="BL943" s="541"/>
      <c r="BM943" s="541"/>
      <c r="BP943" s="541"/>
      <c r="BQ943" s="633"/>
      <c r="BR943" s="541"/>
      <c r="BS943" s="541"/>
      <c r="BT943" s="541"/>
      <c r="BU943" s="541"/>
    </row>
    <row r="944" ht="15.75" customHeight="1">
      <c r="A944" s="1591"/>
      <c r="B944" s="1591"/>
      <c r="C944" s="2217"/>
      <c r="D944" s="1541"/>
      <c r="E944" s="906"/>
      <c r="F944" s="541"/>
      <c r="G944" s="541"/>
      <c r="H944" s="541"/>
      <c r="I944" s="541"/>
      <c r="J944" s="1748"/>
      <c r="K944" s="541"/>
      <c r="L944" s="1748"/>
      <c r="M944" s="541"/>
      <c r="N944" s="1748"/>
      <c r="O944" s="541"/>
      <c r="P944" s="1748"/>
      <c r="Q944" s="541"/>
      <c r="R944" s="1748"/>
      <c r="S944" s="541"/>
      <c r="T944" s="1748"/>
      <c r="U944" s="541"/>
      <c r="V944" s="1748"/>
      <c r="W944" s="541"/>
      <c r="X944" s="1748"/>
      <c r="Y944" s="1748"/>
      <c r="Z944" s="1748"/>
      <c r="AA944" s="541"/>
      <c r="AB944" s="1748"/>
      <c r="AC944" s="541"/>
      <c r="AD944" s="541"/>
      <c r="AE944" s="541"/>
      <c r="AF944" s="541"/>
      <c r="AG944" s="541"/>
      <c r="AH944" s="541"/>
      <c r="AI944" s="541"/>
      <c r="AJ944" s="541"/>
      <c r="AK944" s="541"/>
      <c r="AL944" s="541"/>
      <c r="AM944" s="541"/>
      <c r="AN944" s="1748"/>
      <c r="AO944" s="1748"/>
      <c r="AP944" s="1748"/>
      <c r="AQ944" s="1748"/>
      <c r="AR944" s="1748"/>
      <c r="AS944" s="541"/>
      <c r="AT944" s="541"/>
      <c r="AU944" s="541"/>
      <c r="AV944" s="541"/>
      <c r="AW944" s="541"/>
      <c r="AY944" s="541"/>
      <c r="AZ944" s="633"/>
      <c r="BA944" s="541"/>
      <c r="BB944" s="1190"/>
      <c r="BC944" s="541"/>
      <c r="BD944" s="1190"/>
      <c r="BE944" s="541"/>
      <c r="BF944" s="1190"/>
      <c r="BG944" s="541"/>
      <c r="BH944" s="1190"/>
      <c r="BI944" s="541"/>
      <c r="BJ944" s="1190"/>
      <c r="BK944" s="541"/>
      <c r="BL944" s="541"/>
      <c r="BM944" s="541"/>
      <c r="BP944" s="541"/>
      <c r="BQ944" s="633"/>
      <c r="BR944" s="541"/>
      <c r="BS944" s="541"/>
      <c r="BT944" s="541"/>
      <c r="BU944" s="541"/>
    </row>
    <row r="945" ht="15.75" customHeight="1">
      <c r="A945" s="1591"/>
      <c r="B945" s="1591"/>
      <c r="C945" s="2217"/>
      <c r="D945" s="1541"/>
      <c r="E945" s="906"/>
      <c r="F945" s="541"/>
      <c r="G945" s="541"/>
      <c r="H945" s="541"/>
      <c r="I945" s="541"/>
      <c r="J945" s="1748"/>
      <c r="K945" s="541"/>
      <c r="L945" s="1748"/>
      <c r="M945" s="541"/>
      <c r="N945" s="1748"/>
      <c r="O945" s="541"/>
      <c r="P945" s="1748"/>
      <c r="Q945" s="541"/>
      <c r="R945" s="1748"/>
      <c r="S945" s="541"/>
      <c r="T945" s="1748"/>
      <c r="U945" s="541"/>
      <c r="V945" s="1748"/>
      <c r="W945" s="541"/>
      <c r="X945" s="1748"/>
      <c r="Y945" s="1748"/>
      <c r="Z945" s="1748"/>
      <c r="AA945" s="541"/>
      <c r="AB945" s="1748"/>
      <c r="AC945" s="541"/>
      <c r="AD945" s="541"/>
      <c r="AE945" s="541"/>
      <c r="AF945" s="541"/>
      <c r="AG945" s="541"/>
      <c r="AH945" s="541"/>
      <c r="AI945" s="541"/>
      <c r="AJ945" s="541"/>
      <c r="AK945" s="541"/>
      <c r="AL945" s="541"/>
      <c r="AM945" s="541"/>
      <c r="AN945" s="1748"/>
      <c r="AO945" s="1748"/>
      <c r="AP945" s="1748"/>
      <c r="AQ945" s="1748"/>
      <c r="AR945" s="1748"/>
      <c r="AS945" s="541"/>
      <c r="AT945" s="541"/>
      <c r="AU945" s="541"/>
      <c r="AV945" s="541"/>
      <c r="AW945" s="541"/>
      <c r="AY945" s="541"/>
      <c r="AZ945" s="633"/>
      <c r="BA945" s="541"/>
      <c r="BB945" s="1190"/>
      <c r="BC945" s="541"/>
      <c r="BD945" s="1190"/>
      <c r="BE945" s="541"/>
      <c r="BF945" s="1190"/>
      <c r="BG945" s="541"/>
      <c r="BH945" s="1190"/>
      <c r="BI945" s="541"/>
      <c r="BJ945" s="1190"/>
      <c r="BK945" s="541"/>
      <c r="BL945" s="541"/>
      <c r="BM945" s="541"/>
      <c r="BP945" s="541"/>
      <c r="BQ945" s="633"/>
      <c r="BR945" s="541"/>
      <c r="BS945" s="541"/>
      <c r="BT945" s="541"/>
      <c r="BU945" s="541"/>
    </row>
    <row r="946" ht="15.75" customHeight="1">
      <c r="A946" s="1591"/>
      <c r="B946" s="1591"/>
      <c r="C946" s="2217"/>
      <c r="D946" s="1541"/>
      <c r="E946" s="906"/>
      <c r="F946" s="541"/>
      <c r="G946" s="541"/>
      <c r="H946" s="541"/>
      <c r="I946" s="541"/>
      <c r="J946" s="1748"/>
      <c r="K946" s="541"/>
      <c r="L946" s="1748"/>
      <c r="M946" s="541"/>
      <c r="N946" s="1748"/>
      <c r="O946" s="541"/>
      <c r="P946" s="1748"/>
      <c r="Q946" s="541"/>
      <c r="R946" s="1748"/>
      <c r="S946" s="541"/>
      <c r="T946" s="1748"/>
      <c r="U946" s="541"/>
      <c r="V946" s="1748"/>
      <c r="W946" s="541"/>
      <c r="X946" s="1748"/>
      <c r="Y946" s="1748"/>
      <c r="Z946" s="1748"/>
      <c r="AA946" s="541"/>
      <c r="AB946" s="1748"/>
      <c r="AC946" s="541"/>
      <c r="AD946" s="541"/>
      <c r="AE946" s="541"/>
      <c r="AF946" s="541"/>
      <c r="AG946" s="541"/>
      <c r="AH946" s="541"/>
      <c r="AI946" s="541"/>
      <c r="AJ946" s="541"/>
      <c r="AK946" s="541"/>
      <c r="AL946" s="541"/>
      <c r="AM946" s="541"/>
      <c r="AN946" s="1748"/>
      <c r="AO946" s="1748"/>
      <c r="AP946" s="1748"/>
      <c r="AQ946" s="1748"/>
      <c r="AR946" s="1748"/>
      <c r="AS946" s="541"/>
      <c r="AT946" s="541"/>
      <c r="AU946" s="541"/>
      <c r="AV946" s="541"/>
      <c r="AW946" s="541"/>
      <c r="AY946" s="541"/>
      <c r="AZ946" s="633"/>
      <c r="BA946" s="541"/>
      <c r="BB946" s="1190"/>
      <c r="BC946" s="541"/>
      <c r="BD946" s="1190"/>
      <c r="BE946" s="541"/>
      <c r="BF946" s="1190"/>
      <c r="BG946" s="541"/>
      <c r="BH946" s="1190"/>
      <c r="BI946" s="541"/>
      <c r="BJ946" s="1190"/>
      <c r="BK946" s="541"/>
      <c r="BL946" s="541"/>
      <c r="BM946" s="541"/>
      <c r="BP946" s="541"/>
      <c r="BQ946" s="633"/>
      <c r="BR946" s="541"/>
      <c r="BS946" s="541"/>
      <c r="BT946" s="541"/>
      <c r="BU946" s="541"/>
    </row>
    <row r="947" ht="15.75" customHeight="1">
      <c r="A947" s="1591"/>
      <c r="B947" s="1591"/>
      <c r="C947" s="2217"/>
      <c r="D947" s="1541"/>
      <c r="E947" s="906"/>
      <c r="F947" s="541"/>
      <c r="G947" s="541"/>
      <c r="H947" s="541"/>
      <c r="I947" s="541"/>
      <c r="J947" s="1748"/>
      <c r="K947" s="541"/>
      <c r="L947" s="1748"/>
      <c r="M947" s="541"/>
      <c r="N947" s="1748"/>
      <c r="O947" s="541"/>
      <c r="P947" s="1748"/>
      <c r="Q947" s="541"/>
      <c r="R947" s="1748"/>
      <c r="S947" s="541"/>
      <c r="T947" s="1748"/>
      <c r="U947" s="541"/>
      <c r="V947" s="1748"/>
      <c r="W947" s="541"/>
      <c r="X947" s="1748"/>
      <c r="Y947" s="1748"/>
      <c r="Z947" s="1748"/>
      <c r="AA947" s="541"/>
      <c r="AB947" s="1748"/>
      <c r="AC947" s="541"/>
      <c r="AD947" s="541"/>
      <c r="AE947" s="541"/>
      <c r="AF947" s="541"/>
      <c r="AG947" s="541"/>
      <c r="AH947" s="541"/>
      <c r="AI947" s="541"/>
      <c r="AJ947" s="541"/>
      <c r="AK947" s="541"/>
      <c r="AL947" s="541"/>
      <c r="AM947" s="541"/>
      <c r="AN947" s="1748"/>
      <c r="AO947" s="1748"/>
      <c r="AP947" s="1748"/>
      <c r="AQ947" s="1748"/>
      <c r="AR947" s="1748"/>
      <c r="AS947" s="541"/>
      <c r="AT947" s="541"/>
      <c r="AU947" s="541"/>
      <c r="AV947" s="541"/>
      <c r="AW947" s="541"/>
      <c r="AY947" s="541"/>
      <c r="AZ947" s="633"/>
      <c r="BA947" s="541"/>
      <c r="BB947" s="1190"/>
      <c r="BC947" s="541"/>
      <c r="BD947" s="1190"/>
      <c r="BE947" s="541"/>
      <c r="BF947" s="1190"/>
      <c r="BG947" s="541"/>
      <c r="BH947" s="1190"/>
      <c r="BI947" s="541"/>
      <c r="BJ947" s="1190"/>
      <c r="BK947" s="541"/>
      <c r="BL947" s="541"/>
      <c r="BM947" s="541"/>
      <c r="BP947" s="541"/>
      <c r="BQ947" s="633"/>
      <c r="BR947" s="541"/>
      <c r="BS947" s="541"/>
      <c r="BT947" s="541"/>
      <c r="BU947" s="541"/>
    </row>
    <row r="948" ht="15.75" customHeight="1">
      <c r="A948" s="1591"/>
      <c r="B948" s="1591"/>
      <c r="C948" s="2217"/>
      <c r="D948" s="1541"/>
      <c r="E948" s="906"/>
      <c r="F948" s="541"/>
      <c r="G948" s="541"/>
      <c r="H948" s="541"/>
      <c r="I948" s="541"/>
      <c r="J948" s="1748"/>
      <c r="K948" s="541"/>
      <c r="L948" s="1748"/>
      <c r="M948" s="541"/>
      <c r="N948" s="1748"/>
      <c r="O948" s="541"/>
      <c r="P948" s="1748"/>
      <c r="Q948" s="541"/>
      <c r="R948" s="1748"/>
      <c r="S948" s="541"/>
      <c r="T948" s="1748"/>
      <c r="U948" s="541"/>
      <c r="V948" s="1748"/>
      <c r="W948" s="541"/>
      <c r="X948" s="1748"/>
      <c r="Y948" s="1748"/>
      <c r="Z948" s="1748"/>
      <c r="AA948" s="541"/>
      <c r="AB948" s="1748"/>
      <c r="AC948" s="541"/>
      <c r="AD948" s="541"/>
      <c r="AE948" s="541"/>
      <c r="AF948" s="541"/>
      <c r="AG948" s="541"/>
      <c r="AH948" s="541"/>
      <c r="AI948" s="541"/>
      <c r="AJ948" s="541"/>
      <c r="AK948" s="541"/>
      <c r="AL948" s="541"/>
      <c r="AM948" s="541"/>
      <c r="AN948" s="1748"/>
      <c r="AO948" s="1748"/>
      <c r="AP948" s="1748"/>
      <c r="AQ948" s="1748"/>
      <c r="AR948" s="1748"/>
      <c r="AS948" s="541"/>
      <c r="AT948" s="541"/>
      <c r="AU948" s="541"/>
      <c r="AV948" s="541"/>
      <c r="AW948" s="541"/>
      <c r="AY948" s="541"/>
      <c r="AZ948" s="633"/>
      <c r="BA948" s="541"/>
      <c r="BB948" s="1190"/>
      <c r="BC948" s="541"/>
      <c r="BD948" s="1190"/>
      <c r="BE948" s="541"/>
      <c r="BF948" s="1190"/>
      <c r="BG948" s="541"/>
      <c r="BH948" s="1190"/>
      <c r="BI948" s="541"/>
      <c r="BJ948" s="1190"/>
      <c r="BK948" s="541"/>
      <c r="BL948" s="541"/>
      <c r="BM948" s="541"/>
      <c r="BP948" s="541"/>
      <c r="BQ948" s="633"/>
      <c r="BR948" s="541"/>
      <c r="BS948" s="541"/>
      <c r="BT948" s="541"/>
      <c r="BU948" s="541"/>
    </row>
    <row r="949" ht="15.75" customHeight="1">
      <c r="A949" s="1591"/>
      <c r="B949" s="1591"/>
      <c r="C949" s="2217"/>
      <c r="D949" s="1541"/>
      <c r="E949" s="906"/>
      <c r="F949" s="541"/>
      <c r="G949" s="541"/>
      <c r="H949" s="541"/>
      <c r="I949" s="541"/>
      <c r="J949" s="1748"/>
      <c r="K949" s="541"/>
      <c r="L949" s="1748"/>
      <c r="M949" s="541"/>
      <c r="N949" s="1748"/>
      <c r="O949" s="541"/>
      <c r="P949" s="1748"/>
      <c r="Q949" s="541"/>
      <c r="R949" s="1748"/>
      <c r="S949" s="541"/>
      <c r="T949" s="1748"/>
      <c r="U949" s="541"/>
      <c r="V949" s="1748"/>
      <c r="W949" s="541"/>
      <c r="X949" s="1748"/>
      <c r="Y949" s="1748"/>
      <c r="Z949" s="1748"/>
      <c r="AA949" s="541"/>
      <c r="AB949" s="1748"/>
      <c r="AC949" s="541"/>
      <c r="AD949" s="541"/>
      <c r="AE949" s="541"/>
      <c r="AF949" s="541"/>
      <c r="AG949" s="541"/>
      <c r="AH949" s="541"/>
      <c r="AI949" s="541"/>
      <c r="AJ949" s="541"/>
      <c r="AK949" s="541"/>
      <c r="AL949" s="541"/>
      <c r="AM949" s="541"/>
      <c r="AN949" s="1748"/>
      <c r="AO949" s="1748"/>
      <c r="AP949" s="1748"/>
      <c r="AQ949" s="1748"/>
      <c r="AR949" s="1748"/>
      <c r="AS949" s="541"/>
      <c r="AT949" s="541"/>
      <c r="AU949" s="541"/>
      <c r="AV949" s="541"/>
      <c r="AW949" s="541"/>
      <c r="AY949" s="541"/>
      <c r="AZ949" s="633"/>
      <c r="BA949" s="541"/>
      <c r="BB949" s="1190"/>
      <c r="BC949" s="541"/>
      <c r="BD949" s="1190"/>
      <c r="BE949" s="541"/>
      <c r="BF949" s="1190"/>
      <c r="BG949" s="541"/>
      <c r="BH949" s="1190"/>
      <c r="BI949" s="541"/>
      <c r="BJ949" s="1190"/>
      <c r="BK949" s="541"/>
      <c r="BL949" s="541"/>
      <c r="BM949" s="541"/>
      <c r="BP949" s="541"/>
      <c r="BQ949" s="633"/>
      <c r="BR949" s="541"/>
      <c r="BS949" s="541"/>
      <c r="BT949" s="541"/>
      <c r="BU949" s="541"/>
    </row>
    <row r="950" ht="15.75" customHeight="1">
      <c r="A950" s="1591"/>
      <c r="B950" s="1591"/>
      <c r="C950" s="2217"/>
      <c r="D950" s="1541"/>
      <c r="E950" s="906"/>
      <c r="F950" s="541"/>
      <c r="G950" s="541"/>
      <c r="H950" s="541"/>
      <c r="I950" s="541"/>
      <c r="J950" s="1748"/>
      <c r="K950" s="541"/>
      <c r="L950" s="1748"/>
      <c r="M950" s="541"/>
      <c r="N950" s="1748"/>
      <c r="O950" s="541"/>
      <c r="P950" s="1748"/>
      <c r="Q950" s="541"/>
      <c r="R950" s="1748"/>
      <c r="S950" s="541"/>
      <c r="T950" s="1748"/>
      <c r="U950" s="541"/>
      <c r="V950" s="1748"/>
      <c r="W950" s="541"/>
      <c r="X950" s="1748"/>
      <c r="Y950" s="1748"/>
      <c r="Z950" s="1748"/>
      <c r="AA950" s="541"/>
      <c r="AB950" s="1748"/>
      <c r="AC950" s="541"/>
      <c r="AD950" s="541"/>
      <c r="AE950" s="541"/>
      <c r="AF950" s="541"/>
      <c r="AG950" s="541"/>
      <c r="AH950" s="541"/>
      <c r="AI950" s="541"/>
      <c r="AJ950" s="541"/>
      <c r="AK950" s="541"/>
      <c r="AL950" s="541"/>
      <c r="AM950" s="541"/>
      <c r="AN950" s="1748"/>
      <c r="AO950" s="1748"/>
      <c r="AP950" s="1748"/>
      <c r="AQ950" s="1748"/>
      <c r="AR950" s="1748"/>
      <c r="AS950" s="541"/>
      <c r="AT950" s="541"/>
      <c r="AU950" s="541"/>
      <c r="AV950" s="541"/>
      <c r="AW950" s="541"/>
      <c r="AY950" s="541"/>
      <c r="AZ950" s="633"/>
      <c r="BA950" s="541"/>
      <c r="BB950" s="1190"/>
      <c r="BC950" s="541"/>
      <c r="BD950" s="1190"/>
      <c r="BE950" s="541"/>
      <c r="BF950" s="1190"/>
      <c r="BG950" s="541"/>
      <c r="BH950" s="1190"/>
      <c r="BI950" s="541"/>
      <c r="BJ950" s="1190"/>
      <c r="BK950" s="541"/>
      <c r="BL950" s="541"/>
      <c r="BM950" s="541"/>
      <c r="BP950" s="541"/>
      <c r="BQ950" s="633"/>
      <c r="BR950" s="541"/>
      <c r="BS950" s="541"/>
      <c r="BT950" s="541"/>
      <c r="BU950" s="541"/>
    </row>
    <row r="951" ht="15.75" customHeight="1">
      <c r="A951" s="1591"/>
      <c r="B951" s="1591"/>
      <c r="C951" s="2217"/>
      <c r="D951" s="1541"/>
      <c r="E951" s="906"/>
      <c r="F951" s="541"/>
      <c r="G951" s="541"/>
      <c r="H951" s="541"/>
      <c r="I951" s="541"/>
      <c r="J951" s="1748"/>
      <c r="K951" s="541"/>
      <c r="L951" s="1748"/>
      <c r="M951" s="541"/>
      <c r="N951" s="1748"/>
      <c r="O951" s="541"/>
      <c r="P951" s="1748"/>
      <c r="Q951" s="541"/>
      <c r="R951" s="1748"/>
      <c r="S951" s="541"/>
      <c r="T951" s="1748"/>
      <c r="U951" s="541"/>
      <c r="V951" s="1748"/>
      <c r="W951" s="541"/>
      <c r="X951" s="1748"/>
      <c r="Y951" s="1748"/>
      <c r="Z951" s="1748"/>
      <c r="AA951" s="541"/>
      <c r="AB951" s="1748"/>
      <c r="AC951" s="541"/>
      <c r="AD951" s="541"/>
      <c r="AE951" s="541"/>
      <c r="AF951" s="541"/>
      <c r="AG951" s="541"/>
      <c r="AH951" s="541"/>
      <c r="AI951" s="541"/>
      <c r="AJ951" s="541"/>
      <c r="AK951" s="541"/>
      <c r="AL951" s="541"/>
      <c r="AM951" s="541"/>
      <c r="AN951" s="1748"/>
      <c r="AO951" s="1748"/>
      <c r="AP951" s="1748"/>
      <c r="AQ951" s="1748"/>
      <c r="AR951" s="1748"/>
      <c r="AS951" s="541"/>
      <c r="AT951" s="541"/>
      <c r="AU951" s="541"/>
      <c r="AV951" s="541"/>
      <c r="AW951" s="541"/>
      <c r="AY951" s="541"/>
      <c r="AZ951" s="633"/>
      <c r="BA951" s="541"/>
      <c r="BB951" s="1190"/>
      <c r="BC951" s="541"/>
      <c r="BD951" s="1190"/>
      <c r="BE951" s="541"/>
      <c r="BF951" s="1190"/>
      <c r="BG951" s="541"/>
      <c r="BH951" s="1190"/>
      <c r="BI951" s="541"/>
      <c r="BJ951" s="1190"/>
      <c r="BK951" s="541"/>
      <c r="BL951" s="541"/>
      <c r="BM951" s="541"/>
      <c r="BP951" s="541"/>
      <c r="BQ951" s="633"/>
      <c r="BR951" s="541"/>
      <c r="BS951" s="541"/>
      <c r="BT951" s="541"/>
      <c r="BU951" s="541"/>
    </row>
    <row r="952" ht="15.75" customHeight="1">
      <c r="A952" s="1591"/>
      <c r="B952" s="1591"/>
      <c r="C952" s="2217"/>
      <c r="D952" s="1541"/>
      <c r="E952" s="906"/>
      <c r="F952" s="541"/>
      <c r="G952" s="541"/>
      <c r="H952" s="541"/>
      <c r="I952" s="541"/>
      <c r="J952" s="1748"/>
      <c r="K952" s="541"/>
      <c r="L952" s="1748"/>
      <c r="M952" s="541"/>
      <c r="N952" s="1748"/>
      <c r="O952" s="541"/>
      <c r="P952" s="1748"/>
      <c r="Q952" s="541"/>
      <c r="R952" s="1748"/>
      <c r="S952" s="541"/>
      <c r="T952" s="1748"/>
      <c r="U952" s="541"/>
      <c r="V952" s="1748"/>
      <c r="W952" s="541"/>
      <c r="X952" s="1748"/>
      <c r="Y952" s="1748"/>
      <c r="Z952" s="1748"/>
      <c r="AA952" s="541"/>
      <c r="AB952" s="1748"/>
      <c r="AC952" s="541"/>
      <c r="AD952" s="541"/>
      <c r="AE952" s="541"/>
      <c r="AF952" s="541"/>
      <c r="AG952" s="541"/>
      <c r="AH952" s="541"/>
      <c r="AI952" s="541"/>
      <c r="AJ952" s="541"/>
      <c r="AK952" s="541"/>
      <c r="AL952" s="541"/>
      <c r="AM952" s="541"/>
      <c r="AN952" s="1748"/>
      <c r="AO952" s="1748"/>
      <c r="AP952" s="1748"/>
      <c r="AQ952" s="1748"/>
      <c r="AR952" s="1748"/>
      <c r="AS952" s="541"/>
      <c r="AT952" s="541"/>
      <c r="AU952" s="541"/>
      <c r="AV952" s="541"/>
      <c r="AW952" s="541"/>
      <c r="AY952" s="541"/>
      <c r="AZ952" s="633"/>
      <c r="BA952" s="541"/>
      <c r="BB952" s="1190"/>
      <c r="BC952" s="541"/>
      <c r="BD952" s="1190"/>
      <c r="BE952" s="541"/>
      <c r="BF952" s="1190"/>
      <c r="BG952" s="541"/>
      <c r="BH952" s="1190"/>
      <c r="BI952" s="541"/>
      <c r="BJ952" s="1190"/>
      <c r="BK952" s="541"/>
      <c r="BL952" s="541"/>
      <c r="BM952" s="541"/>
      <c r="BP952" s="541"/>
      <c r="BQ952" s="633"/>
      <c r="BR952" s="541"/>
      <c r="BS952" s="541"/>
      <c r="BT952" s="541"/>
      <c r="BU952" s="541"/>
    </row>
    <row r="953" ht="15.75" customHeight="1">
      <c r="A953" s="1591"/>
      <c r="B953" s="1591"/>
      <c r="C953" s="2217"/>
      <c r="D953" s="1541"/>
      <c r="E953" s="906"/>
      <c r="F953" s="541"/>
      <c r="G953" s="541"/>
      <c r="H953" s="541"/>
      <c r="I953" s="541"/>
      <c r="J953" s="1748"/>
      <c r="K953" s="541"/>
      <c r="L953" s="1748"/>
      <c r="M953" s="541"/>
      <c r="N953" s="1748"/>
      <c r="O953" s="541"/>
      <c r="P953" s="1748"/>
      <c r="Q953" s="541"/>
      <c r="R953" s="1748"/>
      <c r="S953" s="541"/>
      <c r="T953" s="1748"/>
      <c r="U953" s="541"/>
      <c r="V953" s="1748"/>
      <c r="W953" s="541"/>
      <c r="X953" s="1748"/>
      <c r="Y953" s="1748"/>
      <c r="Z953" s="1748"/>
      <c r="AA953" s="541"/>
      <c r="AB953" s="1748"/>
      <c r="AC953" s="541"/>
      <c r="AD953" s="541"/>
      <c r="AE953" s="541"/>
      <c r="AF953" s="541"/>
      <c r="AG953" s="541"/>
      <c r="AH953" s="541"/>
      <c r="AI953" s="541"/>
      <c r="AJ953" s="541"/>
      <c r="AK953" s="541"/>
      <c r="AL953" s="541"/>
      <c r="AM953" s="541"/>
      <c r="AN953" s="1748"/>
      <c r="AO953" s="1748"/>
      <c r="AP953" s="1748"/>
      <c r="AQ953" s="1748"/>
      <c r="AR953" s="1748"/>
      <c r="AS953" s="541"/>
      <c r="AT953" s="541"/>
      <c r="AU953" s="541"/>
      <c r="AV953" s="541"/>
      <c r="AW953" s="541"/>
      <c r="AY953" s="541"/>
      <c r="AZ953" s="633"/>
      <c r="BA953" s="541"/>
      <c r="BB953" s="1190"/>
      <c r="BC953" s="541"/>
      <c r="BD953" s="1190"/>
      <c r="BE953" s="541"/>
      <c r="BF953" s="1190"/>
      <c r="BG953" s="541"/>
      <c r="BH953" s="1190"/>
      <c r="BI953" s="541"/>
      <c r="BJ953" s="1190"/>
      <c r="BK953" s="541"/>
      <c r="BL953" s="541"/>
      <c r="BM953" s="541"/>
      <c r="BP953" s="541"/>
      <c r="BQ953" s="633"/>
      <c r="BR953" s="541"/>
      <c r="BS953" s="541"/>
      <c r="BT953" s="541"/>
      <c r="BU953" s="541"/>
    </row>
    <row r="954" ht="15.75" customHeight="1">
      <c r="A954" s="1591"/>
      <c r="B954" s="1591"/>
      <c r="C954" s="2217"/>
      <c r="D954" s="1541"/>
      <c r="E954" s="906"/>
      <c r="F954" s="541"/>
      <c r="G954" s="541"/>
      <c r="H954" s="541"/>
      <c r="I954" s="541"/>
      <c r="J954" s="1748"/>
      <c r="K954" s="541"/>
      <c r="L954" s="1748"/>
      <c r="M954" s="541"/>
      <c r="N954" s="1748"/>
      <c r="O954" s="541"/>
      <c r="P954" s="1748"/>
      <c r="Q954" s="541"/>
      <c r="R954" s="1748"/>
      <c r="S954" s="541"/>
      <c r="T954" s="1748"/>
      <c r="U954" s="541"/>
      <c r="V954" s="1748"/>
      <c r="W954" s="541"/>
      <c r="X954" s="1748"/>
      <c r="Y954" s="1748"/>
      <c r="Z954" s="1748"/>
      <c r="AA954" s="541"/>
      <c r="AB954" s="1748"/>
      <c r="AC954" s="541"/>
      <c r="AD954" s="541"/>
      <c r="AE954" s="541"/>
      <c r="AF954" s="541"/>
      <c r="AG954" s="541"/>
      <c r="AH954" s="541"/>
      <c r="AI954" s="541"/>
      <c r="AJ954" s="541"/>
      <c r="AK954" s="541"/>
      <c r="AL954" s="541"/>
      <c r="AM954" s="541"/>
      <c r="AN954" s="1748"/>
      <c r="AO954" s="1748"/>
      <c r="AP954" s="1748"/>
      <c r="AQ954" s="1748"/>
      <c r="AR954" s="1748"/>
      <c r="AS954" s="541"/>
      <c r="AT954" s="541"/>
      <c r="AU954" s="541"/>
      <c r="AV954" s="541"/>
      <c r="AW954" s="541"/>
      <c r="AY954" s="541"/>
      <c r="AZ954" s="633"/>
      <c r="BA954" s="541"/>
      <c r="BB954" s="1190"/>
      <c r="BC954" s="541"/>
      <c r="BD954" s="1190"/>
      <c r="BE954" s="541"/>
      <c r="BF954" s="1190"/>
      <c r="BG954" s="541"/>
      <c r="BH954" s="1190"/>
      <c r="BI954" s="541"/>
      <c r="BJ954" s="1190"/>
      <c r="BK954" s="541"/>
      <c r="BL954" s="541"/>
      <c r="BM954" s="541"/>
      <c r="BP954" s="541"/>
      <c r="BQ954" s="633"/>
      <c r="BR954" s="541"/>
      <c r="BS954" s="541"/>
      <c r="BT954" s="541"/>
      <c r="BU954" s="541"/>
    </row>
    <row r="955" ht="15.75" customHeight="1">
      <c r="A955" s="1591"/>
      <c r="B955" s="1591"/>
      <c r="C955" s="2217"/>
      <c r="D955" s="1541"/>
      <c r="E955" s="906"/>
      <c r="F955" s="541"/>
      <c r="G955" s="541"/>
      <c r="H955" s="541"/>
      <c r="I955" s="541"/>
      <c r="J955" s="1748"/>
      <c r="K955" s="541"/>
      <c r="L955" s="1748"/>
      <c r="M955" s="541"/>
      <c r="N955" s="1748"/>
      <c r="O955" s="541"/>
      <c r="P955" s="1748"/>
      <c r="Q955" s="541"/>
      <c r="R955" s="1748"/>
      <c r="S955" s="541"/>
      <c r="T955" s="1748"/>
      <c r="U955" s="541"/>
      <c r="V955" s="1748"/>
      <c r="W955" s="541"/>
      <c r="X955" s="1748"/>
      <c r="Y955" s="1748"/>
      <c r="Z955" s="1748"/>
      <c r="AA955" s="541"/>
      <c r="AB955" s="1748"/>
      <c r="AC955" s="541"/>
      <c r="AD955" s="541"/>
      <c r="AE955" s="541"/>
      <c r="AF955" s="541"/>
      <c r="AG955" s="541"/>
      <c r="AH955" s="541"/>
      <c r="AI955" s="541"/>
      <c r="AJ955" s="541"/>
      <c r="AK955" s="541"/>
      <c r="AL955" s="541"/>
      <c r="AM955" s="541"/>
      <c r="AN955" s="1748"/>
      <c r="AO955" s="1748"/>
      <c r="AP955" s="1748"/>
      <c r="AQ955" s="1748"/>
      <c r="AR955" s="1748"/>
      <c r="AS955" s="541"/>
      <c r="AT955" s="541"/>
      <c r="AU955" s="541"/>
      <c r="AV955" s="541"/>
      <c r="AW955" s="541"/>
      <c r="AY955" s="541"/>
      <c r="AZ955" s="633"/>
      <c r="BA955" s="541"/>
      <c r="BB955" s="1190"/>
      <c r="BC955" s="541"/>
      <c r="BD955" s="1190"/>
      <c r="BE955" s="541"/>
      <c r="BF955" s="1190"/>
      <c r="BG955" s="541"/>
      <c r="BH955" s="1190"/>
      <c r="BI955" s="541"/>
      <c r="BJ955" s="1190"/>
      <c r="BK955" s="541"/>
      <c r="BL955" s="541"/>
      <c r="BM955" s="541"/>
      <c r="BP955" s="541"/>
      <c r="BQ955" s="633"/>
      <c r="BR955" s="541"/>
      <c r="BS955" s="541"/>
      <c r="BT955" s="541"/>
      <c r="BU955" s="541"/>
    </row>
    <row r="956" ht="15.75" customHeight="1">
      <c r="A956" s="1591"/>
      <c r="B956" s="1591"/>
      <c r="C956" s="2217"/>
      <c r="D956" s="1541"/>
      <c r="E956" s="906"/>
      <c r="F956" s="541"/>
      <c r="G956" s="541"/>
      <c r="H956" s="541"/>
      <c r="I956" s="541"/>
      <c r="J956" s="1748"/>
      <c r="K956" s="541"/>
      <c r="L956" s="1748"/>
      <c r="M956" s="541"/>
      <c r="N956" s="1748"/>
      <c r="O956" s="541"/>
      <c r="P956" s="1748"/>
      <c r="Q956" s="541"/>
      <c r="R956" s="1748"/>
      <c r="S956" s="541"/>
      <c r="T956" s="1748"/>
      <c r="U956" s="541"/>
      <c r="V956" s="1748"/>
      <c r="W956" s="541"/>
      <c r="X956" s="1748"/>
      <c r="Y956" s="1748"/>
      <c r="Z956" s="1748"/>
      <c r="AA956" s="541"/>
      <c r="AB956" s="1748"/>
      <c r="AC956" s="541"/>
      <c r="AD956" s="541"/>
      <c r="AE956" s="541"/>
      <c r="AF956" s="541"/>
      <c r="AG956" s="541"/>
      <c r="AH956" s="541"/>
      <c r="AI956" s="541"/>
      <c r="AJ956" s="541"/>
      <c r="AK956" s="541"/>
      <c r="AL956" s="541"/>
      <c r="AM956" s="541"/>
      <c r="AN956" s="1748"/>
      <c r="AO956" s="1748"/>
      <c r="AP956" s="1748"/>
      <c r="AQ956" s="1748"/>
      <c r="AR956" s="1748"/>
      <c r="AS956" s="541"/>
      <c r="AT956" s="541"/>
      <c r="AU956" s="541"/>
      <c r="AV956" s="541"/>
      <c r="AW956" s="541"/>
      <c r="AY956" s="541"/>
      <c r="AZ956" s="633"/>
      <c r="BA956" s="541"/>
      <c r="BB956" s="1190"/>
      <c r="BC956" s="541"/>
      <c r="BD956" s="1190"/>
      <c r="BE956" s="541"/>
      <c r="BF956" s="1190"/>
      <c r="BG956" s="541"/>
      <c r="BH956" s="1190"/>
      <c r="BI956" s="541"/>
      <c r="BJ956" s="1190"/>
      <c r="BK956" s="541"/>
      <c r="BL956" s="541"/>
      <c r="BM956" s="541"/>
      <c r="BP956" s="541"/>
      <c r="BQ956" s="633"/>
      <c r="BR956" s="541"/>
      <c r="BS956" s="541"/>
      <c r="BT956" s="541"/>
      <c r="BU956" s="541"/>
    </row>
    <row r="957" ht="15.75" customHeight="1">
      <c r="A957" s="1591"/>
      <c r="B957" s="1591"/>
      <c r="C957" s="2217"/>
      <c r="D957" s="1541"/>
      <c r="E957" s="906"/>
      <c r="F957" s="541"/>
      <c r="G957" s="541"/>
      <c r="H957" s="541"/>
      <c r="I957" s="541"/>
      <c r="J957" s="1748"/>
      <c r="K957" s="541"/>
      <c r="L957" s="1748"/>
      <c r="M957" s="541"/>
      <c r="N957" s="1748"/>
      <c r="O957" s="541"/>
      <c r="P957" s="1748"/>
      <c r="Q957" s="541"/>
      <c r="R957" s="1748"/>
      <c r="S957" s="541"/>
      <c r="T957" s="1748"/>
      <c r="U957" s="541"/>
      <c r="V957" s="1748"/>
      <c r="W957" s="541"/>
      <c r="X957" s="1748"/>
      <c r="Y957" s="1748"/>
      <c r="Z957" s="1748"/>
      <c r="AA957" s="541"/>
      <c r="AB957" s="1748"/>
      <c r="AC957" s="541"/>
      <c r="AD957" s="541"/>
      <c r="AE957" s="541"/>
      <c r="AF957" s="541"/>
      <c r="AG957" s="541"/>
      <c r="AH957" s="541"/>
      <c r="AI957" s="541"/>
      <c r="AJ957" s="541"/>
      <c r="AK957" s="541"/>
      <c r="AL957" s="541"/>
      <c r="AM957" s="541"/>
      <c r="AN957" s="1748"/>
      <c r="AO957" s="1748"/>
      <c r="AP957" s="1748"/>
      <c r="AQ957" s="1748"/>
      <c r="AR957" s="1748"/>
      <c r="AS957" s="541"/>
      <c r="AT957" s="541"/>
      <c r="AU957" s="541"/>
      <c r="AV957" s="541"/>
      <c r="AW957" s="541"/>
      <c r="AY957" s="541"/>
      <c r="AZ957" s="633"/>
      <c r="BA957" s="541"/>
      <c r="BB957" s="1190"/>
      <c r="BC957" s="541"/>
      <c r="BD957" s="1190"/>
      <c r="BE957" s="541"/>
      <c r="BF957" s="1190"/>
      <c r="BG957" s="541"/>
      <c r="BH957" s="1190"/>
      <c r="BI957" s="541"/>
      <c r="BJ957" s="1190"/>
      <c r="BK957" s="541"/>
      <c r="BL957" s="541"/>
      <c r="BM957" s="541"/>
      <c r="BP957" s="541"/>
      <c r="BQ957" s="633"/>
      <c r="BR957" s="541"/>
      <c r="BS957" s="541"/>
      <c r="BT957" s="541"/>
      <c r="BU957" s="541"/>
    </row>
    <row r="958" ht="15.75" customHeight="1">
      <c r="A958" s="1591"/>
      <c r="B958" s="1591"/>
      <c r="C958" s="2217"/>
      <c r="D958" s="1541"/>
      <c r="E958" s="906"/>
      <c r="F958" s="541"/>
      <c r="G958" s="541"/>
      <c r="H958" s="541"/>
      <c r="I958" s="541"/>
      <c r="J958" s="1748"/>
      <c r="K958" s="541"/>
      <c r="L958" s="1748"/>
      <c r="M958" s="541"/>
      <c r="N958" s="1748"/>
      <c r="O958" s="541"/>
      <c r="P958" s="1748"/>
      <c r="Q958" s="541"/>
      <c r="R958" s="1748"/>
      <c r="S958" s="541"/>
      <c r="T958" s="1748"/>
      <c r="U958" s="541"/>
      <c r="V958" s="1748"/>
      <c r="W958" s="541"/>
      <c r="X958" s="1748"/>
      <c r="Y958" s="1748"/>
      <c r="Z958" s="1748"/>
      <c r="AA958" s="541"/>
      <c r="AB958" s="1748"/>
      <c r="AC958" s="541"/>
      <c r="AD958" s="541"/>
      <c r="AE958" s="541"/>
      <c r="AF958" s="541"/>
      <c r="AG958" s="541"/>
      <c r="AH958" s="541"/>
      <c r="AI958" s="541"/>
      <c r="AJ958" s="541"/>
      <c r="AK958" s="541"/>
      <c r="AL958" s="541"/>
      <c r="AM958" s="541"/>
      <c r="AN958" s="1748"/>
      <c r="AO958" s="1748"/>
      <c r="AP958" s="1748"/>
      <c r="AQ958" s="1748"/>
      <c r="AR958" s="1748"/>
      <c r="AS958" s="541"/>
      <c r="AT958" s="541"/>
      <c r="AU958" s="541"/>
      <c r="AV958" s="541"/>
      <c r="AW958" s="541"/>
      <c r="AY958" s="541"/>
      <c r="AZ958" s="633"/>
      <c r="BA958" s="541"/>
      <c r="BB958" s="1190"/>
      <c r="BC958" s="541"/>
      <c r="BD958" s="1190"/>
      <c r="BE958" s="541"/>
      <c r="BF958" s="1190"/>
      <c r="BG958" s="541"/>
      <c r="BH958" s="1190"/>
      <c r="BI958" s="541"/>
      <c r="BJ958" s="1190"/>
      <c r="BK958" s="541"/>
      <c r="BL958" s="541"/>
      <c r="BM958" s="541"/>
      <c r="BP958" s="541"/>
      <c r="BQ958" s="633"/>
      <c r="BR958" s="541"/>
      <c r="BS958" s="541"/>
      <c r="BT958" s="541"/>
      <c r="BU958" s="541"/>
    </row>
    <row r="959" ht="15.75" customHeight="1">
      <c r="A959" s="1591"/>
      <c r="B959" s="1591"/>
      <c r="C959" s="2217"/>
      <c r="D959" s="1541"/>
      <c r="E959" s="906"/>
      <c r="F959" s="541"/>
      <c r="G959" s="541"/>
      <c r="H959" s="541"/>
      <c r="I959" s="541"/>
      <c r="J959" s="1748"/>
      <c r="K959" s="541"/>
      <c r="L959" s="1748"/>
      <c r="M959" s="541"/>
      <c r="N959" s="1748"/>
      <c r="O959" s="541"/>
      <c r="P959" s="1748"/>
      <c r="Q959" s="541"/>
      <c r="R959" s="1748"/>
      <c r="S959" s="541"/>
      <c r="T959" s="1748"/>
      <c r="U959" s="541"/>
      <c r="V959" s="1748"/>
      <c r="W959" s="541"/>
      <c r="X959" s="1748"/>
      <c r="Y959" s="1748"/>
      <c r="Z959" s="1748"/>
      <c r="AA959" s="541"/>
      <c r="AB959" s="1748"/>
      <c r="AC959" s="541"/>
      <c r="AD959" s="541"/>
      <c r="AE959" s="541"/>
      <c r="AF959" s="541"/>
      <c r="AG959" s="541"/>
      <c r="AH959" s="541"/>
      <c r="AI959" s="541"/>
      <c r="AJ959" s="541"/>
      <c r="AK959" s="541"/>
      <c r="AL959" s="541"/>
      <c r="AM959" s="541"/>
      <c r="AN959" s="1748"/>
      <c r="AO959" s="1748"/>
      <c r="AP959" s="1748"/>
      <c r="AQ959" s="1748"/>
      <c r="AR959" s="1748"/>
      <c r="AS959" s="541"/>
      <c r="AT959" s="541"/>
      <c r="AU959" s="541"/>
      <c r="AV959" s="541"/>
      <c r="AW959" s="541"/>
      <c r="AY959" s="541"/>
      <c r="AZ959" s="633"/>
      <c r="BA959" s="541"/>
      <c r="BB959" s="1190"/>
      <c r="BC959" s="541"/>
      <c r="BD959" s="1190"/>
      <c r="BE959" s="541"/>
      <c r="BF959" s="1190"/>
      <c r="BG959" s="541"/>
      <c r="BH959" s="1190"/>
      <c r="BI959" s="541"/>
      <c r="BJ959" s="1190"/>
      <c r="BK959" s="541"/>
      <c r="BL959" s="541"/>
      <c r="BM959" s="541"/>
      <c r="BP959" s="541"/>
      <c r="BQ959" s="633"/>
      <c r="BR959" s="541"/>
      <c r="BS959" s="541"/>
      <c r="BT959" s="541"/>
      <c r="BU959" s="541"/>
    </row>
    <row r="960" ht="15.75" customHeight="1">
      <c r="A960" s="1591"/>
      <c r="B960" s="1591"/>
      <c r="C960" s="2217"/>
      <c r="D960" s="1541"/>
      <c r="E960" s="906"/>
      <c r="F960" s="541"/>
      <c r="G960" s="541"/>
      <c r="H960" s="541"/>
      <c r="I960" s="541"/>
      <c r="J960" s="1748"/>
      <c r="K960" s="541"/>
      <c r="L960" s="1748"/>
      <c r="M960" s="541"/>
      <c r="N960" s="1748"/>
      <c r="O960" s="541"/>
      <c r="P960" s="1748"/>
      <c r="Q960" s="541"/>
      <c r="R960" s="1748"/>
      <c r="S960" s="541"/>
      <c r="T960" s="1748"/>
      <c r="U960" s="541"/>
      <c r="V960" s="1748"/>
      <c r="W960" s="541"/>
      <c r="X960" s="1748"/>
      <c r="Y960" s="1748"/>
      <c r="Z960" s="1748"/>
      <c r="AA960" s="541"/>
      <c r="AB960" s="1748"/>
      <c r="AC960" s="541"/>
      <c r="AD960" s="541"/>
      <c r="AE960" s="541"/>
      <c r="AF960" s="541"/>
      <c r="AG960" s="541"/>
      <c r="AH960" s="541"/>
      <c r="AI960" s="541"/>
      <c r="AJ960" s="541"/>
      <c r="AK960" s="541"/>
      <c r="AL960" s="541"/>
      <c r="AM960" s="541"/>
      <c r="AN960" s="1748"/>
      <c r="AO960" s="1748"/>
      <c r="AP960" s="1748"/>
      <c r="AQ960" s="1748"/>
      <c r="AR960" s="1748"/>
      <c r="AS960" s="541"/>
      <c r="AT960" s="541"/>
      <c r="AU960" s="541"/>
      <c r="AV960" s="541"/>
      <c r="AW960" s="541"/>
      <c r="AY960" s="541"/>
      <c r="AZ960" s="633"/>
      <c r="BA960" s="541"/>
      <c r="BB960" s="1190"/>
      <c r="BC960" s="541"/>
      <c r="BD960" s="1190"/>
      <c r="BE960" s="541"/>
      <c r="BF960" s="1190"/>
      <c r="BG960" s="541"/>
      <c r="BH960" s="1190"/>
      <c r="BI960" s="541"/>
      <c r="BJ960" s="1190"/>
      <c r="BK960" s="541"/>
      <c r="BL960" s="541"/>
      <c r="BM960" s="541"/>
      <c r="BP960" s="541"/>
      <c r="BQ960" s="633"/>
      <c r="BR960" s="541"/>
      <c r="BS960" s="541"/>
      <c r="BT960" s="541"/>
      <c r="BU960" s="541"/>
    </row>
    <row r="961" ht="15.75" customHeight="1">
      <c r="A961" s="1591"/>
      <c r="B961" s="1591"/>
      <c r="C961" s="2217"/>
      <c r="D961" s="1541"/>
      <c r="E961" s="906"/>
      <c r="F961" s="541"/>
      <c r="G961" s="541"/>
      <c r="H961" s="541"/>
      <c r="I961" s="541"/>
      <c r="J961" s="1748"/>
      <c r="K961" s="541"/>
      <c r="L961" s="1748"/>
      <c r="M961" s="541"/>
      <c r="N961" s="1748"/>
      <c r="O961" s="541"/>
      <c r="P961" s="1748"/>
      <c r="Q961" s="541"/>
      <c r="R961" s="1748"/>
      <c r="S961" s="541"/>
      <c r="T961" s="1748"/>
      <c r="U961" s="541"/>
      <c r="V961" s="1748"/>
      <c r="W961" s="541"/>
      <c r="X961" s="1748"/>
      <c r="Y961" s="1748"/>
      <c r="Z961" s="1748"/>
      <c r="AA961" s="541"/>
      <c r="AB961" s="1748"/>
      <c r="AC961" s="541"/>
      <c r="AD961" s="541"/>
      <c r="AE961" s="541"/>
      <c r="AF961" s="541"/>
      <c r="AG961" s="541"/>
      <c r="AH961" s="541"/>
      <c r="AI961" s="541"/>
      <c r="AJ961" s="541"/>
      <c r="AK961" s="541"/>
      <c r="AL961" s="541"/>
      <c r="AM961" s="541"/>
      <c r="AN961" s="1748"/>
      <c r="AO961" s="1748"/>
      <c r="AP961" s="1748"/>
      <c r="AQ961" s="1748"/>
      <c r="AR961" s="1748"/>
      <c r="AS961" s="541"/>
      <c r="AT961" s="541"/>
      <c r="AU961" s="541"/>
      <c r="AV961" s="541"/>
      <c r="AW961" s="541"/>
      <c r="AY961" s="541"/>
      <c r="AZ961" s="633"/>
      <c r="BA961" s="541"/>
      <c r="BB961" s="1190"/>
      <c r="BC961" s="541"/>
      <c r="BD961" s="1190"/>
      <c r="BE961" s="541"/>
      <c r="BF961" s="1190"/>
      <c r="BG961" s="541"/>
      <c r="BH961" s="1190"/>
      <c r="BI961" s="541"/>
      <c r="BJ961" s="1190"/>
      <c r="BK961" s="541"/>
      <c r="BL961" s="541"/>
      <c r="BM961" s="541"/>
      <c r="BP961" s="541"/>
      <c r="BQ961" s="633"/>
      <c r="BR961" s="541"/>
      <c r="BS961" s="541"/>
      <c r="BT961" s="541"/>
      <c r="BU961" s="541"/>
    </row>
    <row r="962" ht="15.75" customHeight="1">
      <c r="A962" s="1591"/>
      <c r="B962" s="1591"/>
      <c r="C962" s="2217"/>
      <c r="D962" s="1541"/>
      <c r="E962" s="906"/>
      <c r="F962" s="541"/>
      <c r="G962" s="541"/>
      <c r="H962" s="541"/>
      <c r="I962" s="541"/>
      <c r="J962" s="1748"/>
      <c r="K962" s="541"/>
      <c r="L962" s="1748"/>
      <c r="M962" s="541"/>
      <c r="N962" s="1748"/>
      <c r="O962" s="541"/>
      <c r="P962" s="1748"/>
      <c r="Q962" s="541"/>
      <c r="R962" s="1748"/>
      <c r="S962" s="541"/>
      <c r="T962" s="1748"/>
      <c r="U962" s="541"/>
      <c r="V962" s="1748"/>
      <c r="W962" s="541"/>
      <c r="X962" s="1748"/>
      <c r="Y962" s="1748"/>
      <c r="Z962" s="1748"/>
      <c r="AA962" s="541"/>
      <c r="AB962" s="1748"/>
      <c r="AC962" s="541"/>
      <c r="AD962" s="541"/>
      <c r="AE962" s="541"/>
      <c r="AF962" s="541"/>
      <c r="AG962" s="541"/>
      <c r="AH962" s="541"/>
      <c r="AI962" s="541"/>
      <c r="AJ962" s="541"/>
      <c r="AK962" s="541"/>
      <c r="AL962" s="541"/>
      <c r="AM962" s="541"/>
      <c r="AN962" s="1748"/>
      <c r="AO962" s="1748"/>
      <c r="AP962" s="1748"/>
      <c r="AQ962" s="1748"/>
      <c r="AR962" s="1748"/>
      <c r="AS962" s="541"/>
      <c r="AT962" s="541"/>
      <c r="AU962" s="541"/>
      <c r="AV962" s="541"/>
      <c r="AW962" s="541"/>
      <c r="AY962" s="541"/>
      <c r="AZ962" s="633"/>
      <c r="BA962" s="541"/>
      <c r="BB962" s="1190"/>
      <c r="BC962" s="541"/>
      <c r="BD962" s="1190"/>
      <c r="BE962" s="541"/>
      <c r="BF962" s="1190"/>
      <c r="BG962" s="541"/>
      <c r="BH962" s="1190"/>
      <c r="BI962" s="541"/>
      <c r="BJ962" s="1190"/>
      <c r="BK962" s="541"/>
      <c r="BL962" s="541"/>
      <c r="BM962" s="541"/>
      <c r="BP962" s="541"/>
      <c r="BQ962" s="633"/>
      <c r="BR962" s="541"/>
      <c r="BS962" s="541"/>
      <c r="BT962" s="541"/>
      <c r="BU962" s="541"/>
    </row>
    <row r="963" ht="15.75" customHeight="1">
      <c r="A963" s="1591"/>
      <c r="B963" s="1591"/>
      <c r="C963" s="2217"/>
      <c r="D963" s="1541"/>
      <c r="E963" s="906"/>
      <c r="F963" s="541"/>
      <c r="G963" s="541"/>
      <c r="H963" s="541"/>
      <c r="I963" s="541"/>
      <c r="J963" s="1748"/>
      <c r="K963" s="541"/>
      <c r="L963" s="1748"/>
      <c r="M963" s="541"/>
      <c r="N963" s="1748"/>
      <c r="O963" s="541"/>
      <c r="P963" s="1748"/>
      <c r="Q963" s="541"/>
      <c r="R963" s="1748"/>
      <c r="S963" s="541"/>
      <c r="T963" s="1748"/>
      <c r="U963" s="541"/>
      <c r="V963" s="1748"/>
      <c r="W963" s="541"/>
      <c r="X963" s="1748"/>
      <c r="Y963" s="1748"/>
      <c r="Z963" s="1748"/>
      <c r="AA963" s="541"/>
      <c r="AB963" s="1748"/>
      <c r="AC963" s="541"/>
      <c r="AD963" s="541"/>
      <c r="AE963" s="541"/>
      <c r="AF963" s="541"/>
      <c r="AG963" s="541"/>
      <c r="AH963" s="541"/>
      <c r="AI963" s="541"/>
      <c r="AJ963" s="541"/>
      <c r="AK963" s="541"/>
      <c r="AL963" s="541"/>
      <c r="AM963" s="541"/>
      <c r="AN963" s="1748"/>
      <c r="AO963" s="1748"/>
      <c r="AP963" s="1748"/>
      <c r="AQ963" s="1748"/>
      <c r="AR963" s="1748"/>
      <c r="AS963" s="541"/>
      <c r="AT963" s="541"/>
      <c r="AU963" s="541"/>
      <c r="AV963" s="541"/>
      <c r="AW963" s="541"/>
      <c r="AY963" s="541"/>
      <c r="AZ963" s="633"/>
      <c r="BA963" s="541"/>
      <c r="BB963" s="1190"/>
      <c r="BC963" s="541"/>
      <c r="BD963" s="1190"/>
      <c r="BE963" s="541"/>
      <c r="BF963" s="1190"/>
      <c r="BG963" s="541"/>
      <c r="BH963" s="1190"/>
      <c r="BI963" s="541"/>
      <c r="BJ963" s="1190"/>
      <c r="BK963" s="541"/>
      <c r="BL963" s="541"/>
      <c r="BM963" s="541"/>
      <c r="BP963" s="541"/>
      <c r="BQ963" s="633"/>
      <c r="BR963" s="541"/>
      <c r="BS963" s="541"/>
      <c r="BT963" s="541"/>
      <c r="BU963" s="541"/>
    </row>
    <row r="964" ht="15.75" customHeight="1">
      <c r="A964" s="1591"/>
      <c r="B964" s="1591"/>
      <c r="C964" s="2217"/>
      <c r="D964" s="1541"/>
      <c r="E964" s="906"/>
      <c r="F964" s="541"/>
      <c r="G964" s="541"/>
      <c r="H964" s="541"/>
      <c r="I964" s="541"/>
      <c r="J964" s="1748"/>
      <c r="K964" s="541"/>
      <c r="L964" s="1748"/>
      <c r="M964" s="541"/>
      <c r="N964" s="1748"/>
      <c r="O964" s="541"/>
      <c r="P964" s="1748"/>
      <c r="Q964" s="541"/>
      <c r="R964" s="1748"/>
      <c r="S964" s="541"/>
      <c r="T964" s="1748"/>
      <c r="U964" s="541"/>
      <c r="V964" s="1748"/>
      <c r="W964" s="541"/>
      <c r="X964" s="1748"/>
      <c r="Y964" s="1748"/>
      <c r="Z964" s="1748"/>
      <c r="AA964" s="541"/>
      <c r="AB964" s="1748"/>
      <c r="AC964" s="541"/>
      <c r="AD964" s="541"/>
      <c r="AE964" s="541"/>
      <c r="AF964" s="541"/>
      <c r="AG964" s="541"/>
      <c r="AH964" s="541"/>
      <c r="AI964" s="541"/>
      <c r="AJ964" s="541"/>
      <c r="AK964" s="541"/>
      <c r="AL964" s="541"/>
      <c r="AM964" s="541"/>
      <c r="AN964" s="1748"/>
      <c r="AO964" s="1748"/>
      <c r="AP964" s="1748"/>
      <c r="AQ964" s="1748"/>
      <c r="AR964" s="1748"/>
      <c r="AS964" s="541"/>
      <c r="AT964" s="541"/>
      <c r="AU964" s="541"/>
      <c r="AV964" s="541"/>
      <c r="AW964" s="541"/>
      <c r="AY964" s="541"/>
      <c r="AZ964" s="633"/>
      <c r="BA964" s="541"/>
      <c r="BB964" s="1190"/>
      <c r="BC964" s="541"/>
      <c r="BD964" s="1190"/>
      <c r="BE964" s="541"/>
      <c r="BF964" s="1190"/>
      <c r="BG964" s="541"/>
      <c r="BH964" s="1190"/>
      <c r="BI964" s="541"/>
      <c r="BJ964" s="1190"/>
      <c r="BK964" s="541"/>
      <c r="BL964" s="541"/>
      <c r="BM964" s="541"/>
      <c r="BP964" s="541"/>
      <c r="BQ964" s="633"/>
      <c r="BR964" s="541"/>
      <c r="BS964" s="541"/>
      <c r="BT964" s="541"/>
      <c r="BU964" s="541"/>
    </row>
    <row r="965" ht="15.75" customHeight="1">
      <c r="A965" s="1591"/>
      <c r="B965" s="1591"/>
      <c r="C965" s="2217"/>
      <c r="D965" s="1541"/>
      <c r="E965" s="906"/>
      <c r="F965" s="541"/>
      <c r="G965" s="541"/>
      <c r="H965" s="541"/>
      <c r="I965" s="541"/>
      <c r="J965" s="1748"/>
      <c r="K965" s="541"/>
      <c r="L965" s="1748"/>
      <c r="M965" s="541"/>
      <c r="N965" s="1748"/>
      <c r="O965" s="541"/>
      <c r="P965" s="1748"/>
      <c r="Q965" s="541"/>
      <c r="R965" s="1748"/>
      <c r="S965" s="541"/>
      <c r="T965" s="1748"/>
      <c r="U965" s="541"/>
      <c r="V965" s="1748"/>
      <c r="W965" s="541"/>
      <c r="X965" s="1748"/>
      <c r="Y965" s="1748"/>
      <c r="Z965" s="1748"/>
      <c r="AA965" s="541"/>
      <c r="AB965" s="1748"/>
      <c r="AC965" s="541"/>
      <c r="AD965" s="541"/>
      <c r="AE965" s="541"/>
      <c r="AF965" s="541"/>
      <c r="AG965" s="541"/>
      <c r="AH965" s="541"/>
      <c r="AI965" s="541"/>
      <c r="AJ965" s="541"/>
      <c r="AK965" s="541"/>
      <c r="AL965" s="541"/>
      <c r="AM965" s="541"/>
      <c r="AN965" s="1748"/>
      <c r="AO965" s="1748"/>
      <c r="AP965" s="1748"/>
      <c r="AQ965" s="1748"/>
      <c r="AR965" s="1748"/>
      <c r="AS965" s="541"/>
      <c r="AT965" s="541"/>
      <c r="AU965" s="541"/>
      <c r="AV965" s="541"/>
      <c r="AW965" s="541"/>
      <c r="AY965" s="541"/>
      <c r="AZ965" s="633"/>
      <c r="BA965" s="541"/>
      <c r="BB965" s="1190"/>
      <c r="BC965" s="541"/>
      <c r="BD965" s="1190"/>
      <c r="BE965" s="541"/>
      <c r="BF965" s="1190"/>
      <c r="BG965" s="541"/>
      <c r="BH965" s="1190"/>
      <c r="BI965" s="541"/>
      <c r="BJ965" s="1190"/>
      <c r="BK965" s="541"/>
      <c r="BL965" s="541"/>
      <c r="BM965" s="541"/>
      <c r="BP965" s="541"/>
      <c r="BQ965" s="633"/>
      <c r="BR965" s="541"/>
      <c r="BS965" s="541"/>
      <c r="BT965" s="541"/>
      <c r="BU965" s="541"/>
    </row>
    <row r="966" ht="15.75" customHeight="1">
      <c r="A966" s="1591"/>
      <c r="B966" s="1591"/>
      <c r="C966" s="2217"/>
      <c r="D966" s="1541"/>
      <c r="E966" s="906"/>
      <c r="F966" s="541"/>
      <c r="G966" s="541"/>
      <c r="H966" s="541"/>
      <c r="I966" s="541"/>
      <c r="J966" s="1748"/>
      <c r="K966" s="541"/>
      <c r="L966" s="1748"/>
      <c r="M966" s="541"/>
      <c r="N966" s="1748"/>
      <c r="O966" s="541"/>
      <c r="P966" s="1748"/>
      <c r="Q966" s="541"/>
      <c r="R966" s="1748"/>
      <c r="S966" s="541"/>
      <c r="T966" s="1748"/>
      <c r="U966" s="541"/>
      <c r="V966" s="1748"/>
      <c r="W966" s="541"/>
      <c r="X966" s="1748"/>
      <c r="Y966" s="1748"/>
      <c r="Z966" s="1748"/>
      <c r="AA966" s="541"/>
      <c r="AB966" s="1748"/>
      <c r="AC966" s="541"/>
      <c r="AD966" s="541"/>
      <c r="AE966" s="541"/>
      <c r="AF966" s="541"/>
      <c r="AG966" s="541"/>
      <c r="AH966" s="541"/>
      <c r="AI966" s="541"/>
      <c r="AJ966" s="541"/>
      <c r="AK966" s="541"/>
      <c r="AL966" s="541"/>
      <c r="AM966" s="541"/>
      <c r="AN966" s="1748"/>
      <c r="AO966" s="1748"/>
      <c r="AP966" s="1748"/>
      <c r="AQ966" s="1748"/>
      <c r="AR966" s="1748"/>
      <c r="AS966" s="541"/>
      <c r="AT966" s="541"/>
      <c r="AU966" s="541"/>
      <c r="AV966" s="541"/>
      <c r="AW966" s="541"/>
      <c r="AY966" s="541"/>
      <c r="AZ966" s="633"/>
      <c r="BA966" s="541"/>
      <c r="BB966" s="1190"/>
      <c r="BC966" s="541"/>
      <c r="BD966" s="1190"/>
      <c r="BE966" s="541"/>
      <c r="BF966" s="1190"/>
      <c r="BG966" s="541"/>
      <c r="BH966" s="1190"/>
      <c r="BI966" s="541"/>
      <c r="BJ966" s="1190"/>
      <c r="BK966" s="541"/>
      <c r="BL966" s="541"/>
      <c r="BM966" s="541"/>
      <c r="BP966" s="541"/>
      <c r="BQ966" s="633"/>
      <c r="BR966" s="541"/>
      <c r="BS966" s="541"/>
      <c r="BT966" s="541"/>
      <c r="BU966" s="541"/>
    </row>
    <row r="967" ht="15.75" customHeight="1">
      <c r="A967" s="1591"/>
      <c r="B967" s="1591"/>
      <c r="C967" s="2217"/>
      <c r="D967" s="1541"/>
      <c r="E967" s="906"/>
      <c r="F967" s="541"/>
      <c r="G967" s="541"/>
      <c r="H967" s="541"/>
      <c r="I967" s="541"/>
      <c r="J967" s="1748"/>
      <c r="K967" s="541"/>
      <c r="L967" s="1748"/>
      <c r="M967" s="541"/>
      <c r="N967" s="1748"/>
      <c r="O967" s="541"/>
      <c r="P967" s="1748"/>
      <c r="Q967" s="541"/>
      <c r="R967" s="1748"/>
      <c r="S967" s="541"/>
      <c r="T967" s="1748"/>
      <c r="U967" s="541"/>
      <c r="V967" s="1748"/>
      <c r="W967" s="541"/>
      <c r="X967" s="1748"/>
      <c r="Y967" s="1748"/>
      <c r="Z967" s="1748"/>
      <c r="AA967" s="541"/>
      <c r="AB967" s="1748"/>
      <c r="AC967" s="541"/>
      <c r="AD967" s="541"/>
      <c r="AE967" s="541"/>
      <c r="AF967" s="541"/>
      <c r="AG967" s="541"/>
      <c r="AH967" s="541"/>
      <c r="AI967" s="541"/>
      <c r="AJ967" s="541"/>
      <c r="AK967" s="541"/>
      <c r="AL967" s="541"/>
      <c r="AM967" s="541"/>
      <c r="AN967" s="1748"/>
      <c r="AO967" s="1748"/>
      <c r="AP967" s="1748"/>
      <c r="AQ967" s="1748"/>
      <c r="AR967" s="1748"/>
      <c r="AS967" s="541"/>
      <c r="AT967" s="541"/>
      <c r="AU967" s="541"/>
      <c r="AV967" s="541"/>
      <c r="AW967" s="541"/>
      <c r="AY967" s="541"/>
      <c r="AZ967" s="633"/>
      <c r="BA967" s="541"/>
      <c r="BB967" s="1190"/>
      <c r="BC967" s="541"/>
      <c r="BD967" s="1190"/>
      <c r="BE967" s="541"/>
      <c r="BF967" s="1190"/>
      <c r="BG967" s="541"/>
      <c r="BH967" s="1190"/>
      <c r="BI967" s="541"/>
      <c r="BJ967" s="1190"/>
      <c r="BK967" s="541"/>
      <c r="BL967" s="541"/>
      <c r="BM967" s="541"/>
      <c r="BP967" s="541"/>
      <c r="BQ967" s="633"/>
      <c r="BR967" s="541"/>
      <c r="BS967" s="541"/>
      <c r="BT967" s="541"/>
      <c r="BU967" s="541"/>
    </row>
    <row r="968" ht="15.75" customHeight="1">
      <c r="A968" s="1591"/>
      <c r="B968" s="1591"/>
      <c r="C968" s="2217"/>
      <c r="D968" s="1541"/>
      <c r="E968" s="906"/>
      <c r="F968" s="541"/>
      <c r="G968" s="541"/>
      <c r="H968" s="541"/>
      <c r="I968" s="541"/>
      <c r="J968" s="1748"/>
      <c r="K968" s="541"/>
      <c r="L968" s="1748"/>
      <c r="M968" s="541"/>
      <c r="N968" s="1748"/>
      <c r="O968" s="541"/>
      <c r="P968" s="1748"/>
      <c r="Q968" s="541"/>
      <c r="R968" s="1748"/>
      <c r="S968" s="541"/>
      <c r="T968" s="1748"/>
      <c r="U968" s="541"/>
      <c r="V968" s="1748"/>
      <c r="W968" s="541"/>
      <c r="X968" s="1748"/>
      <c r="Y968" s="1748"/>
      <c r="Z968" s="1748"/>
      <c r="AA968" s="541"/>
      <c r="AB968" s="1748"/>
      <c r="AC968" s="541"/>
      <c r="AD968" s="541"/>
      <c r="AE968" s="541"/>
      <c r="AF968" s="541"/>
      <c r="AG968" s="541"/>
      <c r="AH968" s="541"/>
      <c r="AI968" s="541"/>
      <c r="AJ968" s="541"/>
      <c r="AK968" s="541"/>
      <c r="AL968" s="541"/>
      <c r="AM968" s="541"/>
      <c r="AN968" s="1748"/>
      <c r="AO968" s="1748"/>
      <c r="AP968" s="1748"/>
      <c r="AQ968" s="1748"/>
      <c r="AR968" s="1748"/>
      <c r="AS968" s="541"/>
      <c r="AT968" s="541"/>
      <c r="AU968" s="541"/>
      <c r="AV968" s="541"/>
      <c r="AW968" s="541"/>
      <c r="AY968" s="541"/>
      <c r="AZ968" s="633"/>
      <c r="BA968" s="541"/>
      <c r="BB968" s="1190"/>
      <c r="BC968" s="541"/>
      <c r="BD968" s="1190"/>
      <c r="BE968" s="541"/>
      <c r="BF968" s="1190"/>
      <c r="BG968" s="541"/>
      <c r="BH968" s="1190"/>
      <c r="BI968" s="541"/>
      <c r="BJ968" s="1190"/>
      <c r="BK968" s="541"/>
      <c r="BL968" s="541"/>
      <c r="BM968" s="541"/>
      <c r="BP968" s="541"/>
      <c r="BQ968" s="633"/>
      <c r="BR968" s="541"/>
      <c r="BS968" s="541"/>
      <c r="BT968" s="541"/>
      <c r="BU968" s="541"/>
    </row>
    <row r="969" ht="15.75" customHeight="1">
      <c r="A969" s="1591"/>
      <c r="B969" s="1591"/>
      <c r="C969" s="2217"/>
      <c r="D969" s="1541"/>
      <c r="E969" s="906"/>
      <c r="F969" s="541"/>
      <c r="G969" s="541"/>
      <c r="H969" s="541"/>
      <c r="I969" s="541"/>
      <c r="J969" s="1748"/>
      <c r="K969" s="541"/>
      <c r="L969" s="1748"/>
      <c r="M969" s="541"/>
      <c r="N969" s="1748"/>
      <c r="O969" s="541"/>
      <c r="P969" s="1748"/>
      <c r="Q969" s="541"/>
      <c r="R969" s="1748"/>
      <c r="S969" s="541"/>
      <c r="T969" s="1748"/>
      <c r="U969" s="541"/>
      <c r="V969" s="1748"/>
      <c r="W969" s="541"/>
      <c r="X969" s="1748"/>
      <c r="Y969" s="1748"/>
      <c r="Z969" s="1748"/>
      <c r="AA969" s="541"/>
      <c r="AB969" s="1748"/>
      <c r="AC969" s="541"/>
      <c r="AD969" s="541"/>
      <c r="AE969" s="541"/>
      <c r="AF969" s="541"/>
      <c r="AG969" s="541"/>
      <c r="AH969" s="541"/>
      <c r="AI969" s="541"/>
      <c r="AJ969" s="541"/>
      <c r="AK969" s="541"/>
      <c r="AL969" s="541"/>
      <c r="AM969" s="541"/>
      <c r="AN969" s="1748"/>
      <c r="AO969" s="1748"/>
      <c r="AP969" s="1748"/>
      <c r="AQ969" s="1748"/>
      <c r="AR969" s="1748"/>
      <c r="AS969" s="541"/>
      <c r="AT969" s="541"/>
      <c r="AU969" s="541"/>
      <c r="AV969" s="541"/>
      <c r="AW969" s="541"/>
      <c r="AY969" s="541"/>
      <c r="AZ969" s="633"/>
      <c r="BA969" s="541"/>
      <c r="BB969" s="1190"/>
      <c r="BC969" s="541"/>
      <c r="BD969" s="1190"/>
      <c r="BE969" s="541"/>
      <c r="BF969" s="1190"/>
      <c r="BG969" s="541"/>
      <c r="BH969" s="1190"/>
      <c r="BI969" s="541"/>
      <c r="BJ969" s="1190"/>
      <c r="BK969" s="541"/>
      <c r="BL969" s="541"/>
      <c r="BM969" s="541"/>
      <c r="BP969" s="541"/>
      <c r="BQ969" s="633"/>
      <c r="BR969" s="541"/>
      <c r="BS969" s="541"/>
      <c r="BT969" s="541"/>
      <c r="BU969" s="541"/>
    </row>
    <row r="970" ht="15.75" customHeight="1">
      <c r="A970" s="1591"/>
      <c r="B970" s="1591"/>
      <c r="C970" s="2217"/>
      <c r="D970" s="1541"/>
      <c r="E970" s="906"/>
      <c r="F970" s="541"/>
      <c r="G970" s="541"/>
      <c r="H970" s="541"/>
      <c r="I970" s="541"/>
      <c r="J970" s="1748"/>
      <c r="K970" s="541"/>
      <c r="L970" s="1748"/>
      <c r="M970" s="541"/>
      <c r="N970" s="1748"/>
      <c r="O970" s="541"/>
      <c r="P970" s="1748"/>
      <c r="Q970" s="541"/>
      <c r="R970" s="1748"/>
      <c r="S970" s="541"/>
      <c r="T970" s="1748"/>
      <c r="U970" s="541"/>
      <c r="V970" s="1748"/>
      <c r="W970" s="541"/>
      <c r="X970" s="1748"/>
      <c r="Y970" s="1748"/>
      <c r="Z970" s="1748"/>
      <c r="AA970" s="541"/>
      <c r="AB970" s="1748"/>
      <c r="AC970" s="541"/>
      <c r="AD970" s="541"/>
      <c r="AE970" s="541"/>
      <c r="AF970" s="541"/>
      <c r="AG970" s="541"/>
      <c r="AH970" s="541"/>
      <c r="AI970" s="541"/>
      <c r="AJ970" s="541"/>
      <c r="AK970" s="541"/>
      <c r="AL970" s="541"/>
      <c r="AM970" s="541"/>
      <c r="AN970" s="1748"/>
      <c r="AO970" s="1748"/>
      <c r="AP970" s="1748"/>
      <c r="AQ970" s="1748"/>
      <c r="AR970" s="1748"/>
      <c r="AS970" s="541"/>
      <c r="AT970" s="541"/>
      <c r="AU970" s="541"/>
      <c r="AV970" s="541"/>
      <c r="AW970" s="541"/>
      <c r="AY970" s="541"/>
      <c r="AZ970" s="633"/>
      <c r="BA970" s="541"/>
      <c r="BB970" s="1190"/>
      <c r="BC970" s="541"/>
      <c r="BD970" s="1190"/>
      <c r="BE970" s="541"/>
      <c r="BF970" s="1190"/>
      <c r="BG970" s="541"/>
      <c r="BH970" s="1190"/>
      <c r="BI970" s="541"/>
      <c r="BJ970" s="1190"/>
      <c r="BK970" s="541"/>
      <c r="BL970" s="541"/>
      <c r="BM970" s="541"/>
      <c r="BP970" s="541"/>
      <c r="BQ970" s="633"/>
      <c r="BR970" s="541"/>
      <c r="BS970" s="541"/>
      <c r="BT970" s="541"/>
      <c r="BU970" s="541"/>
    </row>
    <row r="971" ht="15.75" customHeight="1">
      <c r="A971" s="1591"/>
      <c r="B971" s="1591"/>
      <c r="C971" s="2217"/>
      <c r="D971" s="1541"/>
      <c r="E971" s="906"/>
      <c r="F971" s="541"/>
      <c r="G971" s="541"/>
      <c r="H971" s="541"/>
      <c r="I971" s="541"/>
      <c r="J971" s="1748"/>
      <c r="K971" s="541"/>
      <c r="L971" s="1748"/>
      <c r="M971" s="541"/>
      <c r="N971" s="1748"/>
      <c r="O971" s="541"/>
      <c r="P971" s="1748"/>
      <c r="Q971" s="541"/>
      <c r="R971" s="1748"/>
      <c r="S971" s="541"/>
      <c r="T971" s="1748"/>
      <c r="U971" s="541"/>
      <c r="V971" s="1748"/>
      <c r="W971" s="541"/>
      <c r="X971" s="1748"/>
      <c r="Y971" s="1748"/>
      <c r="Z971" s="1748"/>
      <c r="AA971" s="541"/>
      <c r="AB971" s="1748"/>
      <c r="AC971" s="541"/>
      <c r="AD971" s="541"/>
      <c r="AE971" s="541"/>
      <c r="AF971" s="541"/>
      <c r="AG971" s="541"/>
      <c r="AH971" s="541"/>
      <c r="AI971" s="541"/>
      <c r="AJ971" s="541"/>
      <c r="AK971" s="541"/>
      <c r="AL971" s="541"/>
      <c r="AM971" s="541"/>
      <c r="AN971" s="1748"/>
      <c r="AO971" s="1748"/>
      <c r="AP971" s="1748"/>
      <c r="AQ971" s="1748"/>
      <c r="AR971" s="1748"/>
      <c r="AS971" s="541"/>
      <c r="AT971" s="541"/>
      <c r="AU971" s="541"/>
      <c r="AV971" s="541"/>
      <c r="AW971" s="541"/>
      <c r="AY971" s="541"/>
      <c r="AZ971" s="633"/>
      <c r="BA971" s="541"/>
      <c r="BB971" s="1190"/>
      <c r="BC971" s="541"/>
      <c r="BD971" s="1190"/>
      <c r="BE971" s="541"/>
      <c r="BF971" s="1190"/>
      <c r="BG971" s="541"/>
      <c r="BH971" s="1190"/>
      <c r="BI971" s="541"/>
      <c r="BJ971" s="1190"/>
      <c r="BK971" s="541"/>
      <c r="BL971" s="541"/>
      <c r="BM971" s="541"/>
      <c r="BP971" s="541"/>
      <c r="BQ971" s="633"/>
      <c r="BR971" s="541"/>
      <c r="BS971" s="541"/>
      <c r="BT971" s="541"/>
      <c r="BU971" s="541"/>
    </row>
    <row r="972" ht="15.75" customHeight="1">
      <c r="A972" s="1591"/>
      <c r="B972" s="1591"/>
      <c r="C972" s="2217"/>
      <c r="D972" s="1541"/>
      <c r="E972" s="906"/>
      <c r="F972" s="541"/>
      <c r="G972" s="541"/>
      <c r="H972" s="541"/>
      <c r="I972" s="541"/>
      <c r="J972" s="1748"/>
      <c r="K972" s="541"/>
      <c r="L972" s="1748"/>
      <c r="M972" s="541"/>
      <c r="N972" s="1748"/>
      <c r="O972" s="541"/>
      <c r="P972" s="1748"/>
      <c r="Q972" s="541"/>
      <c r="R972" s="1748"/>
      <c r="S972" s="541"/>
      <c r="T972" s="1748"/>
      <c r="U972" s="541"/>
      <c r="V972" s="1748"/>
      <c r="W972" s="541"/>
      <c r="X972" s="1748"/>
      <c r="Y972" s="1748"/>
      <c r="Z972" s="1748"/>
      <c r="AA972" s="541"/>
      <c r="AB972" s="1748"/>
      <c r="AC972" s="541"/>
      <c r="AD972" s="541"/>
      <c r="AE972" s="541"/>
      <c r="AF972" s="541"/>
      <c r="AG972" s="541"/>
      <c r="AH972" s="541"/>
      <c r="AI972" s="541"/>
      <c r="AJ972" s="541"/>
      <c r="AK972" s="541"/>
      <c r="AL972" s="541"/>
      <c r="AM972" s="541"/>
      <c r="AN972" s="1748"/>
      <c r="AO972" s="1748"/>
      <c r="AP972" s="1748"/>
      <c r="AQ972" s="1748"/>
      <c r="AR972" s="1748"/>
      <c r="AS972" s="541"/>
      <c r="AT972" s="541"/>
      <c r="AU972" s="541"/>
      <c r="AV972" s="541"/>
      <c r="AW972" s="541"/>
      <c r="AY972" s="541"/>
      <c r="AZ972" s="633"/>
      <c r="BA972" s="541"/>
      <c r="BB972" s="1190"/>
      <c r="BC972" s="541"/>
      <c r="BD972" s="1190"/>
      <c r="BE972" s="541"/>
      <c r="BF972" s="1190"/>
      <c r="BG972" s="541"/>
      <c r="BH972" s="1190"/>
      <c r="BI972" s="541"/>
      <c r="BJ972" s="1190"/>
      <c r="BK972" s="541"/>
      <c r="BL972" s="541"/>
      <c r="BM972" s="541"/>
      <c r="BP972" s="541"/>
      <c r="BQ972" s="633"/>
      <c r="BR972" s="541"/>
      <c r="BS972" s="541"/>
      <c r="BT972" s="541"/>
      <c r="BU972" s="541"/>
    </row>
    <row r="973" ht="15.75" customHeight="1">
      <c r="A973" s="1591"/>
      <c r="B973" s="1591"/>
      <c r="C973" s="2217"/>
      <c r="D973" s="1541"/>
      <c r="E973" s="906"/>
      <c r="F973" s="541"/>
      <c r="G973" s="541"/>
      <c r="H973" s="541"/>
      <c r="I973" s="541"/>
      <c r="J973" s="1748"/>
      <c r="K973" s="541"/>
      <c r="L973" s="1748"/>
      <c r="M973" s="541"/>
      <c r="N973" s="1748"/>
      <c r="O973" s="541"/>
      <c r="P973" s="1748"/>
      <c r="Q973" s="541"/>
      <c r="R973" s="1748"/>
      <c r="S973" s="541"/>
      <c r="T973" s="1748"/>
      <c r="U973" s="541"/>
      <c r="V973" s="1748"/>
      <c r="W973" s="541"/>
      <c r="X973" s="1748"/>
      <c r="Y973" s="1748"/>
      <c r="Z973" s="1748"/>
      <c r="AA973" s="541"/>
      <c r="AB973" s="1748"/>
      <c r="AC973" s="541"/>
      <c r="AD973" s="541"/>
      <c r="AE973" s="541"/>
      <c r="AF973" s="541"/>
      <c r="AG973" s="541"/>
      <c r="AH973" s="541"/>
      <c r="AI973" s="541"/>
      <c r="AJ973" s="541"/>
      <c r="AK973" s="541"/>
      <c r="AL973" s="541"/>
      <c r="AM973" s="541"/>
      <c r="AN973" s="1748"/>
      <c r="AO973" s="1748"/>
      <c r="AP973" s="1748"/>
      <c r="AQ973" s="1748"/>
      <c r="AR973" s="1748"/>
      <c r="AS973" s="541"/>
      <c r="AT973" s="541"/>
      <c r="AU973" s="541"/>
      <c r="AV973" s="541"/>
      <c r="AW973" s="541"/>
      <c r="AY973" s="541"/>
      <c r="AZ973" s="633"/>
      <c r="BA973" s="541"/>
      <c r="BB973" s="1190"/>
      <c r="BC973" s="541"/>
      <c r="BD973" s="1190"/>
      <c r="BE973" s="541"/>
      <c r="BF973" s="1190"/>
      <c r="BG973" s="541"/>
      <c r="BH973" s="1190"/>
      <c r="BI973" s="541"/>
      <c r="BJ973" s="1190"/>
      <c r="BK973" s="541"/>
      <c r="BL973" s="541"/>
      <c r="BM973" s="541"/>
      <c r="BP973" s="541"/>
      <c r="BQ973" s="633"/>
      <c r="BR973" s="541"/>
      <c r="BS973" s="541"/>
      <c r="BT973" s="541"/>
      <c r="BU973" s="541"/>
    </row>
    <row r="974" ht="15.75" customHeight="1">
      <c r="A974" s="1591"/>
      <c r="B974" s="1591"/>
      <c r="C974" s="2217"/>
      <c r="D974" s="1541"/>
      <c r="E974" s="906"/>
      <c r="F974" s="541"/>
      <c r="G974" s="541"/>
      <c r="H974" s="541"/>
      <c r="I974" s="541"/>
      <c r="J974" s="1748"/>
      <c r="K974" s="541"/>
      <c r="L974" s="1748"/>
      <c r="M974" s="541"/>
      <c r="N974" s="1748"/>
      <c r="O974" s="541"/>
      <c r="P974" s="1748"/>
      <c r="Q974" s="541"/>
      <c r="R974" s="1748"/>
      <c r="S974" s="541"/>
      <c r="T974" s="1748"/>
      <c r="U974" s="541"/>
      <c r="V974" s="1748"/>
      <c r="W974" s="541"/>
      <c r="X974" s="1748"/>
      <c r="Y974" s="1748"/>
      <c r="Z974" s="1748"/>
      <c r="AA974" s="541"/>
      <c r="AB974" s="1748"/>
      <c r="AC974" s="541"/>
      <c r="AD974" s="541"/>
      <c r="AE974" s="541"/>
      <c r="AF974" s="541"/>
      <c r="AG974" s="541"/>
      <c r="AH974" s="541"/>
      <c r="AI974" s="541"/>
      <c r="AJ974" s="541"/>
      <c r="AK974" s="541"/>
      <c r="AL974" s="541"/>
      <c r="AM974" s="541"/>
      <c r="AN974" s="1748"/>
      <c r="AO974" s="1748"/>
      <c r="AP974" s="1748"/>
      <c r="AQ974" s="1748"/>
      <c r="AR974" s="1748"/>
      <c r="AS974" s="541"/>
      <c r="AT974" s="541"/>
      <c r="AU974" s="541"/>
      <c r="AV974" s="541"/>
      <c r="AW974" s="541"/>
      <c r="AY974" s="541"/>
      <c r="AZ974" s="633"/>
      <c r="BA974" s="541"/>
      <c r="BB974" s="1190"/>
      <c r="BC974" s="541"/>
      <c r="BD974" s="1190"/>
      <c r="BE974" s="541"/>
      <c r="BF974" s="1190"/>
      <c r="BG974" s="541"/>
      <c r="BH974" s="1190"/>
      <c r="BI974" s="541"/>
      <c r="BJ974" s="1190"/>
      <c r="BK974" s="541"/>
      <c r="BL974" s="541"/>
      <c r="BM974" s="541"/>
      <c r="BP974" s="541"/>
      <c r="BQ974" s="633"/>
      <c r="BR974" s="541"/>
      <c r="BS974" s="541"/>
      <c r="BT974" s="541"/>
      <c r="BU974" s="541"/>
    </row>
    <row r="975" ht="15.75" customHeight="1">
      <c r="A975" s="1591"/>
      <c r="B975" s="1591"/>
      <c r="C975" s="2217"/>
      <c r="D975" s="1541"/>
      <c r="E975" s="906"/>
      <c r="F975" s="541"/>
      <c r="G975" s="541"/>
      <c r="H975" s="541"/>
      <c r="I975" s="541"/>
      <c r="J975" s="1748"/>
      <c r="K975" s="541"/>
      <c r="L975" s="1748"/>
      <c r="M975" s="541"/>
      <c r="N975" s="1748"/>
      <c r="O975" s="541"/>
      <c r="P975" s="1748"/>
      <c r="Q975" s="541"/>
      <c r="R975" s="1748"/>
      <c r="S975" s="541"/>
      <c r="T975" s="1748"/>
      <c r="U975" s="541"/>
      <c r="V975" s="1748"/>
      <c r="W975" s="541"/>
      <c r="X975" s="1748"/>
      <c r="Y975" s="1748"/>
      <c r="Z975" s="1748"/>
      <c r="AA975" s="541"/>
      <c r="AB975" s="1748"/>
      <c r="AC975" s="541"/>
      <c r="AD975" s="541"/>
      <c r="AE975" s="541"/>
      <c r="AF975" s="541"/>
      <c r="AG975" s="541"/>
      <c r="AH975" s="541"/>
      <c r="AI975" s="541"/>
      <c r="AJ975" s="541"/>
      <c r="AK975" s="541"/>
      <c r="AL975" s="541"/>
      <c r="AM975" s="541"/>
      <c r="AN975" s="1748"/>
      <c r="AO975" s="1748"/>
      <c r="AP975" s="1748"/>
      <c r="AQ975" s="1748"/>
      <c r="AR975" s="1748"/>
      <c r="AS975" s="541"/>
      <c r="AT975" s="541"/>
      <c r="AU975" s="541"/>
      <c r="AV975" s="541"/>
      <c r="AW975" s="541"/>
      <c r="AY975" s="541"/>
      <c r="AZ975" s="633"/>
      <c r="BA975" s="541"/>
      <c r="BB975" s="1190"/>
      <c r="BC975" s="541"/>
      <c r="BD975" s="1190"/>
      <c r="BE975" s="541"/>
      <c r="BF975" s="1190"/>
      <c r="BG975" s="541"/>
      <c r="BH975" s="1190"/>
      <c r="BI975" s="541"/>
      <c r="BJ975" s="1190"/>
      <c r="BK975" s="541"/>
      <c r="BL975" s="541"/>
      <c r="BM975" s="541"/>
      <c r="BP975" s="541"/>
      <c r="BQ975" s="633"/>
      <c r="BR975" s="541"/>
      <c r="BS975" s="541"/>
      <c r="BT975" s="541"/>
      <c r="BU975" s="541"/>
    </row>
    <row r="976" ht="15.75" customHeight="1">
      <c r="A976" s="1591"/>
      <c r="B976" s="1591"/>
      <c r="C976" s="2217"/>
      <c r="D976" s="1541"/>
      <c r="E976" s="906"/>
      <c r="F976" s="541"/>
      <c r="G976" s="541"/>
      <c r="H976" s="541"/>
      <c r="I976" s="541"/>
      <c r="J976" s="1748"/>
      <c r="K976" s="541"/>
      <c r="L976" s="1748"/>
      <c r="M976" s="541"/>
      <c r="N976" s="1748"/>
      <c r="O976" s="541"/>
      <c r="P976" s="1748"/>
      <c r="Q976" s="541"/>
      <c r="R976" s="1748"/>
      <c r="S976" s="541"/>
      <c r="T976" s="1748"/>
      <c r="U976" s="541"/>
      <c r="V976" s="1748"/>
      <c r="W976" s="541"/>
      <c r="X976" s="1748"/>
      <c r="Y976" s="1748"/>
      <c r="Z976" s="1748"/>
      <c r="AA976" s="541"/>
      <c r="AB976" s="1748"/>
      <c r="AC976" s="541"/>
      <c r="AD976" s="541"/>
      <c r="AE976" s="541"/>
      <c r="AF976" s="541"/>
      <c r="AG976" s="541"/>
      <c r="AH976" s="541"/>
      <c r="AI976" s="541"/>
      <c r="AJ976" s="541"/>
      <c r="AK976" s="541"/>
      <c r="AL976" s="541"/>
      <c r="AM976" s="541"/>
      <c r="AN976" s="1748"/>
      <c r="AO976" s="1748"/>
      <c r="AP976" s="1748"/>
      <c r="AQ976" s="1748"/>
      <c r="AR976" s="1748"/>
      <c r="AS976" s="541"/>
      <c r="AT976" s="541"/>
      <c r="AU976" s="541"/>
      <c r="AV976" s="541"/>
      <c r="AW976" s="541"/>
      <c r="AY976" s="541"/>
      <c r="AZ976" s="633"/>
      <c r="BA976" s="541"/>
      <c r="BB976" s="1190"/>
      <c r="BC976" s="541"/>
      <c r="BD976" s="1190"/>
      <c r="BE976" s="541"/>
      <c r="BF976" s="1190"/>
      <c r="BG976" s="541"/>
      <c r="BH976" s="1190"/>
      <c r="BI976" s="541"/>
      <c r="BJ976" s="1190"/>
      <c r="BK976" s="541"/>
      <c r="BL976" s="541"/>
      <c r="BM976" s="541"/>
      <c r="BP976" s="541"/>
      <c r="BQ976" s="633"/>
      <c r="BR976" s="541"/>
      <c r="BS976" s="541"/>
      <c r="BT976" s="541"/>
      <c r="BU976" s="541"/>
    </row>
    <row r="977" ht="15.75" customHeight="1">
      <c r="A977" s="1591"/>
      <c r="B977" s="1591"/>
      <c r="C977" s="2217"/>
      <c r="D977" s="1541"/>
      <c r="E977" s="906"/>
      <c r="F977" s="541"/>
      <c r="G977" s="541"/>
      <c r="H977" s="541"/>
      <c r="I977" s="541"/>
      <c r="J977" s="1748"/>
      <c r="K977" s="541"/>
      <c r="L977" s="1748"/>
      <c r="M977" s="541"/>
      <c r="N977" s="1748"/>
      <c r="O977" s="541"/>
      <c r="P977" s="1748"/>
      <c r="Q977" s="541"/>
      <c r="R977" s="1748"/>
      <c r="S977" s="541"/>
      <c r="T977" s="1748"/>
      <c r="U977" s="541"/>
      <c r="V977" s="1748"/>
      <c r="W977" s="541"/>
      <c r="X977" s="1748"/>
      <c r="Y977" s="1748"/>
      <c r="Z977" s="1748"/>
      <c r="AA977" s="541"/>
      <c r="AB977" s="1748"/>
      <c r="AC977" s="541"/>
      <c r="AD977" s="541"/>
      <c r="AE977" s="541"/>
      <c r="AF977" s="541"/>
      <c r="AG977" s="541"/>
      <c r="AH977" s="541"/>
      <c r="AI977" s="541"/>
      <c r="AJ977" s="541"/>
      <c r="AK977" s="541"/>
      <c r="AL977" s="541"/>
      <c r="AM977" s="541"/>
      <c r="AN977" s="1748"/>
      <c r="AO977" s="1748"/>
      <c r="AP977" s="1748"/>
      <c r="AQ977" s="1748"/>
      <c r="AR977" s="1748"/>
      <c r="AS977" s="541"/>
      <c r="AT977" s="541"/>
      <c r="AU977" s="541"/>
      <c r="AV977" s="541"/>
      <c r="AW977" s="541"/>
      <c r="AY977" s="541"/>
      <c r="AZ977" s="633"/>
      <c r="BA977" s="541"/>
      <c r="BB977" s="1190"/>
      <c r="BC977" s="541"/>
      <c r="BD977" s="1190"/>
      <c r="BE977" s="541"/>
      <c r="BF977" s="1190"/>
      <c r="BG977" s="541"/>
      <c r="BH977" s="1190"/>
      <c r="BI977" s="541"/>
      <c r="BJ977" s="1190"/>
      <c r="BK977" s="541"/>
      <c r="BL977" s="541"/>
      <c r="BM977" s="541"/>
      <c r="BP977" s="541"/>
      <c r="BQ977" s="633"/>
      <c r="BR977" s="541"/>
      <c r="BS977" s="541"/>
      <c r="BT977" s="541"/>
      <c r="BU977" s="541"/>
    </row>
    <row r="978" ht="15.75" customHeight="1">
      <c r="A978" s="1591"/>
      <c r="B978" s="1591"/>
      <c r="C978" s="2217"/>
      <c r="D978" s="1541"/>
      <c r="E978" s="906"/>
      <c r="F978" s="541"/>
      <c r="G978" s="541"/>
      <c r="H978" s="541"/>
      <c r="I978" s="541"/>
      <c r="J978" s="1748"/>
      <c r="K978" s="541"/>
      <c r="L978" s="1748"/>
      <c r="M978" s="541"/>
      <c r="N978" s="1748"/>
      <c r="O978" s="541"/>
      <c r="P978" s="1748"/>
      <c r="Q978" s="541"/>
      <c r="R978" s="1748"/>
      <c r="S978" s="541"/>
      <c r="T978" s="1748"/>
      <c r="U978" s="541"/>
      <c r="V978" s="1748"/>
      <c r="W978" s="541"/>
      <c r="X978" s="1748"/>
      <c r="Y978" s="1748"/>
      <c r="Z978" s="1748"/>
      <c r="AA978" s="541"/>
      <c r="AB978" s="1748"/>
      <c r="AC978" s="541"/>
      <c r="AD978" s="541"/>
      <c r="AE978" s="541"/>
      <c r="AF978" s="541"/>
      <c r="AG978" s="541"/>
      <c r="AH978" s="541"/>
      <c r="AI978" s="541"/>
      <c r="AJ978" s="541"/>
      <c r="AK978" s="541"/>
      <c r="AL978" s="541"/>
      <c r="AM978" s="541"/>
      <c r="AN978" s="1748"/>
      <c r="AO978" s="1748"/>
      <c r="AP978" s="1748"/>
      <c r="AQ978" s="1748"/>
      <c r="AR978" s="1748"/>
      <c r="AS978" s="541"/>
      <c r="AT978" s="541"/>
      <c r="AU978" s="541"/>
      <c r="AV978" s="541"/>
      <c r="AW978" s="541"/>
      <c r="AY978" s="541"/>
      <c r="AZ978" s="633"/>
      <c r="BA978" s="541"/>
      <c r="BB978" s="1190"/>
      <c r="BC978" s="541"/>
      <c r="BD978" s="1190"/>
      <c r="BE978" s="541"/>
      <c r="BF978" s="1190"/>
      <c r="BG978" s="541"/>
      <c r="BH978" s="1190"/>
      <c r="BI978" s="541"/>
      <c r="BJ978" s="1190"/>
      <c r="BK978" s="541"/>
      <c r="BL978" s="541"/>
      <c r="BM978" s="541"/>
      <c r="BP978" s="541"/>
      <c r="BQ978" s="633"/>
      <c r="BR978" s="541"/>
      <c r="BS978" s="541"/>
      <c r="BT978" s="541"/>
      <c r="BU978" s="541"/>
    </row>
    <row r="979" ht="15.75" customHeight="1">
      <c r="A979" s="1591"/>
      <c r="B979" s="1591"/>
      <c r="C979" s="2217"/>
      <c r="D979" s="1541"/>
      <c r="E979" s="906"/>
      <c r="F979" s="541"/>
      <c r="G979" s="541"/>
      <c r="H979" s="541"/>
      <c r="I979" s="541"/>
      <c r="J979" s="1748"/>
      <c r="K979" s="541"/>
      <c r="L979" s="1748"/>
      <c r="M979" s="541"/>
      <c r="N979" s="1748"/>
      <c r="O979" s="541"/>
      <c r="P979" s="1748"/>
      <c r="Q979" s="541"/>
      <c r="R979" s="1748"/>
      <c r="S979" s="541"/>
      <c r="T979" s="1748"/>
      <c r="U979" s="541"/>
      <c r="V979" s="1748"/>
      <c r="W979" s="541"/>
      <c r="X979" s="1748"/>
      <c r="Y979" s="1748"/>
      <c r="Z979" s="1748"/>
      <c r="AA979" s="541"/>
      <c r="AB979" s="1748"/>
      <c r="AC979" s="541"/>
      <c r="AD979" s="541"/>
      <c r="AE979" s="541"/>
      <c r="AF979" s="541"/>
      <c r="AG979" s="541"/>
      <c r="AH979" s="541"/>
      <c r="AI979" s="541"/>
      <c r="AJ979" s="541"/>
      <c r="AK979" s="541"/>
      <c r="AL979" s="541"/>
      <c r="AM979" s="541"/>
      <c r="AN979" s="1748"/>
      <c r="AO979" s="1748"/>
      <c r="AP979" s="1748"/>
      <c r="AQ979" s="1748"/>
      <c r="AR979" s="1748"/>
      <c r="AS979" s="541"/>
      <c r="AT979" s="541"/>
      <c r="AU979" s="541"/>
      <c r="AV979" s="541"/>
      <c r="AW979" s="541"/>
      <c r="AY979" s="541"/>
      <c r="AZ979" s="633"/>
      <c r="BA979" s="541"/>
      <c r="BB979" s="1190"/>
      <c r="BC979" s="541"/>
      <c r="BD979" s="1190"/>
      <c r="BE979" s="541"/>
      <c r="BF979" s="1190"/>
      <c r="BG979" s="541"/>
      <c r="BH979" s="1190"/>
      <c r="BI979" s="541"/>
      <c r="BJ979" s="1190"/>
      <c r="BK979" s="541"/>
      <c r="BL979" s="541"/>
      <c r="BM979" s="541"/>
      <c r="BP979" s="541"/>
      <c r="BQ979" s="633"/>
      <c r="BR979" s="541"/>
      <c r="BS979" s="541"/>
      <c r="BT979" s="541"/>
      <c r="BU979" s="541"/>
    </row>
    <row r="980" ht="15.75" customHeight="1">
      <c r="A980" s="1591"/>
      <c r="B980" s="1591"/>
      <c r="C980" s="2217"/>
      <c r="D980" s="1541"/>
      <c r="E980" s="906"/>
      <c r="F980" s="541"/>
      <c r="G980" s="541"/>
      <c r="H980" s="541"/>
      <c r="I980" s="541"/>
      <c r="J980" s="1748"/>
      <c r="K980" s="541"/>
      <c r="L980" s="1748"/>
      <c r="M980" s="541"/>
      <c r="N980" s="1748"/>
      <c r="O980" s="541"/>
      <c r="P980" s="1748"/>
      <c r="Q980" s="541"/>
      <c r="R980" s="1748"/>
      <c r="S980" s="541"/>
      <c r="T980" s="1748"/>
      <c r="U980" s="541"/>
      <c r="V980" s="1748"/>
      <c r="W980" s="541"/>
      <c r="X980" s="1748"/>
      <c r="Y980" s="1748"/>
      <c r="Z980" s="1748"/>
      <c r="AA980" s="541"/>
      <c r="AB980" s="1748"/>
      <c r="AC980" s="541"/>
      <c r="AD980" s="541"/>
      <c r="AE980" s="541"/>
      <c r="AF980" s="541"/>
      <c r="AG980" s="541"/>
      <c r="AH980" s="541"/>
      <c r="AI980" s="541"/>
      <c r="AJ980" s="541"/>
      <c r="AK980" s="541"/>
      <c r="AL980" s="541"/>
      <c r="AM980" s="541"/>
      <c r="AN980" s="1748"/>
      <c r="AO980" s="1748"/>
      <c r="AP980" s="1748"/>
      <c r="AQ980" s="1748"/>
      <c r="AR980" s="1748"/>
      <c r="AS980" s="541"/>
      <c r="AT980" s="541"/>
      <c r="AU980" s="541"/>
      <c r="AV980" s="541"/>
      <c r="AW980" s="541"/>
      <c r="AY980" s="541"/>
      <c r="AZ980" s="633"/>
      <c r="BA980" s="541"/>
      <c r="BB980" s="1190"/>
      <c r="BC980" s="541"/>
      <c r="BD980" s="1190"/>
      <c r="BE980" s="541"/>
      <c r="BF980" s="1190"/>
      <c r="BG980" s="541"/>
      <c r="BH980" s="1190"/>
      <c r="BI980" s="541"/>
      <c r="BJ980" s="1190"/>
      <c r="BK980" s="541"/>
      <c r="BL980" s="541"/>
      <c r="BM980" s="541"/>
      <c r="BP980" s="541"/>
      <c r="BQ980" s="633"/>
      <c r="BR980" s="541"/>
      <c r="BS980" s="541"/>
      <c r="BT980" s="541"/>
      <c r="BU980" s="541"/>
    </row>
    <row r="981" ht="15.75" customHeight="1">
      <c r="A981" s="1591"/>
      <c r="B981" s="1591"/>
      <c r="C981" s="2217"/>
      <c r="D981" s="1541"/>
      <c r="E981" s="906"/>
      <c r="F981" s="541"/>
      <c r="G981" s="541"/>
      <c r="H981" s="541"/>
      <c r="I981" s="541"/>
      <c r="J981" s="1748"/>
      <c r="K981" s="541"/>
      <c r="L981" s="1748"/>
      <c r="M981" s="541"/>
      <c r="N981" s="1748"/>
      <c r="O981" s="541"/>
      <c r="P981" s="1748"/>
      <c r="Q981" s="541"/>
      <c r="R981" s="1748"/>
      <c r="S981" s="541"/>
      <c r="T981" s="1748"/>
      <c r="U981" s="541"/>
      <c r="V981" s="1748"/>
      <c r="W981" s="541"/>
      <c r="X981" s="1748"/>
      <c r="Y981" s="1748"/>
      <c r="Z981" s="1748"/>
      <c r="AA981" s="541"/>
      <c r="AB981" s="1748"/>
      <c r="AC981" s="541"/>
      <c r="AD981" s="541"/>
      <c r="AE981" s="541"/>
      <c r="AF981" s="541"/>
      <c r="AG981" s="541"/>
      <c r="AH981" s="541"/>
      <c r="AI981" s="541"/>
      <c r="AJ981" s="541"/>
      <c r="AK981" s="541"/>
      <c r="AL981" s="541"/>
      <c r="AM981" s="541"/>
      <c r="AN981" s="1748"/>
      <c r="AO981" s="1748"/>
      <c r="AP981" s="1748"/>
      <c r="AQ981" s="1748"/>
      <c r="AR981" s="1748"/>
      <c r="AS981" s="541"/>
      <c r="AT981" s="541"/>
      <c r="AU981" s="541"/>
      <c r="AV981" s="541"/>
      <c r="AW981" s="541"/>
      <c r="AY981" s="541"/>
      <c r="AZ981" s="633"/>
      <c r="BA981" s="541"/>
      <c r="BB981" s="1190"/>
      <c r="BC981" s="541"/>
      <c r="BD981" s="1190"/>
      <c r="BE981" s="541"/>
      <c r="BF981" s="1190"/>
      <c r="BG981" s="541"/>
      <c r="BH981" s="1190"/>
      <c r="BI981" s="541"/>
      <c r="BJ981" s="1190"/>
      <c r="BK981" s="541"/>
      <c r="BL981" s="541"/>
      <c r="BM981" s="541"/>
      <c r="BP981" s="541"/>
      <c r="BQ981" s="633"/>
      <c r="BR981" s="541"/>
      <c r="BS981" s="541"/>
      <c r="BT981" s="541"/>
      <c r="BU981" s="541"/>
    </row>
    <row r="982" ht="15.75" customHeight="1">
      <c r="A982" s="1591"/>
      <c r="B982" s="1591"/>
      <c r="C982" s="2217"/>
      <c r="D982" s="1541"/>
      <c r="E982" s="906"/>
      <c r="F982" s="541"/>
      <c r="G982" s="541"/>
      <c r="H982" s="541"/>
      <c r="I982" s="541"/>
      <c r="J982" s="1748"/>
      <c r="K982" s="541"/>
      <c r="L982" s="1748"/>
      <c r="M982" s="541"/>
      <c r="N982" s="1748"/>
      <c r="O982" s="541"/>
      <c r="P982" s="1748"/>
      <c r="Q982" s="541"/>
      <c r="R982" s="1748"/>
      <c r="S982" s="541"/>
      <c r="T982" s="1748"/>
      <c r="U982" s="541"/>
      <c r="V982" s="1748"/>
      <c r="W982" s="541"/>
      <c r="X982" s="1748"/>
      <c r="Y982" s="1748"/>
      <c r="Z982" s="1748"/>
      <c r="AA982" s="541"/>
      <c r="AB982" s="1748"/>
      <c r="AC982" s="541"/>
      <c r="AD982" s="541"/>
      <c r="AE982" s="541"/>
      <c r="AF982" s="541"/>
      <c r="AG982" s="541"/>
      <c r="AH982" s="541"/>
      <c r="AI982" s="541"/>
      <c r="AJ982" s="541"/>
      <c r="AK982" s="541"/>
      <c r="AL982" s="541"/>
      <c r="AM982" s="541"/>
      <c r="AN982" s="1748"/>
      <c r="AO982" s="1748"/>
      <c r="AP982" s="1748"/>
      <c r="AQ982" s="1748"/>
      <c r="AR982" s="1748"/>
      <c r="AS982" s="541"/>
      <c r="AT982" s="541"/>
      <c r="AU982" s="541"/>
      <c r="AV982" s="541"/>
      <c r="AW982" s="541"/>
      <c r="AY982" s="541"/>
      <c r="AZ982" s="633"/>
      <c r="BA982" s="541"/>
      <c r="BB982" s="1190"/>
      <c r="BC982" s="541"/>
      <c r="BD982" s="1190"/>
      <c r="BE982" s="541"/>
      <c r="BF982" s="1190"/>
      <c r="BG982" s="541"/>
      <c r="BH982" s="1190"/>
      <c r="BI982" s="541"/>
      <c r="BJ982" s="1190"/>
      <c r="BK982" s="541"/>
      <c r="BL982" s="541"/>
      <c r="BM982" s="541"/>
      <c r="BP982" s="541"/>
      <c r="BQ982" s="633"/>
      <c r="BR982" s="541"/>
      <c r="BS982" s="541"/>
      <c r="BT982" s="541"/>
      <c r="BU982" s="541"/>
    </row>
    <row r="983" ht="15.75" customHeight="1">
      <c r="A983" s="1591"/>
      <c r="B983" s="1591"/>
      <c r="C983" s="2217"/>
      <c r="D983" s="1541"/>
      <c r="E983" s="906"/>
      <c r="F983" s="541"/>
      <c r="G983" s="541"/>
      <c r="H983" s="541"/>
      <c r="I983" s="541"/>
      <c r="J983" s="1748"/>
      <c r="K983" s="541"/>
      <c r="L983" s="1748"/>
      <c r="M983" s="541"/>
      <c r="N983" s="1748"/>
      <c r="O983" s="541"/>
      <c r="P983" s="1748"/>
      <c r="Q983" s="541"/>
      <c r="R983" s="1748"/>
      <c r="S983" s="541"/>
      <c r="T983" s="1748"/>
      <c r="U983" s="541"/>
      <c r="V983" s="1748"/>
      <c r="W983" s="541"/>
      <c r="X983" s="1748"/>
      <c r="Y983" s="1748"/>
      <c r="Z983" s="1748"/>
      <c r="AA983" s="541"/>
      <c r="AB983" s="1748"/>
      <c r="AC983" s="541"/>
      <c r="AD983" s="541"/>
      <c r="AE983" s="541"/>
      <c r="AF983" s="541"/>
      <c r="AG983" s="541"/>
      <c r="AH983" s="541"/>
      <c r="AI983" s="541"/>
      <c r="AJ983" s="541"/>
      <c r="AK983" s="541"/>
      <c r="AL983" s="541"/>
      <c r="AM983" s="541"/>
      <c r="AN983" s="1748"/>
      <c r="AO983" s="1748"/>
      <c r="AP983" s="1748"/>
      <c r="AQ983" s="1748"/>
      <c r="AR983" s="1748"/>
      <c r="AS983" s="541"/>
      <c r="AT983" s="541"/>
      <c r="AU983" s="541"/>
      <c r="AV983" s="541"/>
      <c r="AW983" s="541"/>
      <c r="AY983" s="541"/>
      <c r="AZ983" s="633"/>
      <c r="BA983" s="541"/>
      <c r="BB983" s="1190"/>
      <c r="BC983" s="541"/>
      <c r="BD983" s="1190"/>
      <c r="BE983" s="541"/>
      <c r="BF983" s="1190"/>
      <c r="BG983" s="541"/>
      <c r="BH983" s="1190"/>
      <c r="BI983" s="541"/>
      <c r="BJ983" s="1190"/>
      <c r="BK983" s="541"/>
      <c r="BL983" s="541"/>
      <c r="BM983" s="541"/>
      <c r="BP983" s="541"/>
      <c r="BQ983" s="633"/>
      <c r="BR983" s="541"/>
      <c r="BS983" s="541"/>
      <c r="BT983" s="541"/>
      <c r="BU983" s="541"/>
    </row>
    <row r="984" ht="15.75" customHeight="1">
      <c r="A984" s="1591"/>
      <c r="B984" s="1591"/>
      <c r="C984" s="2217"/>
      <c r="D984" s="1541"/>
      <c r="E984" s="906"/>
      <c r="F984" s="541"/>
      <c r="G984" s="541"/>
      <c r="H984" s="541"/>
      <c r="I984" s="541"/>
      <c r="J984" s="1748"/>
      <c r="K984" s="541"/>
      <c r="L984" s="1748"/>
      <c r="M984" s="541"/>
      <c r="N984" s="1748"/>
      <c r="O984" s="541"/>
      <c r="P984" s="1748"/>
      <c r="Q984" s="541"/>
      <c r="R984" s="1748"/>
      <c r="S984" s="541"/>
      <c r="T984" s="1748"/>
      <c r="U984" s="541"/>
      <c r="V984" s="1748"/>
      <c r="W984" s="541"/>
      <c r="X984" s="1748"/>
      <c r="Y984" s="1748"/>
      <c r="Z984" s="1748"/>
      <c r="AA984" s="541"/>
      <c r="AB984" s="1748"/>
      <c r="AC984" s="541"/>
      <c r="AD984" s="541"/>
      <c r="AE984" s="541"/>
      <c r="AF984" s="541"/>
      <c r="AG984" s="541"/>
      <c r="AH984" s="541"/>
      <c r="AI984" s="541"/>
      <c r="AJ984" s="541"/>
      <c r="AK984" s="541"/>
      <c r="AL984" s="541"/>
      <c r="AM984" s="541"/>
      <c r="AN984" s="1748"/>
      <c r="AO984" s="1748"/>
      <c r="AP984" s="1748"/>
      <c r="AQ984" s="1748"/>
      <c r="AR984" s="1748"/>
      <c r="AS984" s="541"/>
      <c r="AT984" s="541"/>
      <c r="AU984" s="541"/>
      <c r="AV984" s="541"/>
      <c r="AW984" s="541"/>
      <c r="AY984" s="541"/>
      <c r="AZ984" s="633"/>
      <c r="BA984" s="541"/>
      <c r="BB984" s="1190"/>
      <c r="BC984" s="541"/>
      <c r="BD984" s="1190"/>
      <c r="BE984" s="541"/>
      <c r="BF984" s="1190"/>
      <c r="BG984" s="541"/>
      <c r="BH984" s="1190"/>
      <c r="BI984" s="541"/>
      <c r="BJ984" s="1190"/>
      <c r="BK984" s="541"/>
      <c r="BL984" s="541"/>
      <c r="BM984" s="541"/>
      <c r="BP984" s="541"/>
      <c r="BQ984" s="633"/>
      <c r="BR984" s="541"/>
      <c r="BS984" s="541"/>
      <c r="BT984" s="541"/>
      <c r="BU984" s="541"/>
    </row>
    <row r="985" ht="15.75" customHeight="1">
      <c r="A985" s="1591"/>
      <c r="B985" s="1591"/>
      <c r="C985" s="2217"/>
      <c r="D985" s="1541"/>
      <c r="E985" s="906"/>
      <c r="F985" s="541"/>
      <c r="G985" s="541"/>
      <c r="H985" s="541"/>
      <c r="I985" s="541"/>
      <c r="J985" s="1748"/>
      <c r="K985" s="541"/>
      <c r="L985" s="1748"/>
      <c r="M985" s="541"/>
      <c r="N985" s="1748"/>
      <c r="O985" s="541"/>
      <c r="P985" s="1748"/>
      <c r="Q985" s="541"/>
      <c r="R985" s="1748"/>
      <c r="S985" s="541"/>
      <c r="T985" s="1748"/>
      <c r="U985" s="541"/>
      <c r="V985" s="1748"/>
      <c r="W985" s="541"/>
      <c r="X985" s="1748"/>
      <c r="Y985" s="1748"/>
      <c r="Z985" s="1748"/>
      <c r="AA985" s="541"/>
      <c r="AB985" s="1748"/>
      <c r="AC985" s="541"/>
      <c r="AD985" s="541"/>
      <c r="AE985" s="541"/>
      <c r="AF985" s="541"/>
      <c r="AG985" s="541"/>
      <c r="AH985" s="541"/>
      <c r="AI985" s="541"/>
      <c r="AJ985" s="541"/>
      <c r="AK985" s="541"/>
      <c r="AL985" s="541"/>
      <c r="AM985" s="541"/>
      <c r="AN985" s="1748"/>
      <c r="AO985" s="1748"/>
      <c r="AP985" s="1748"/>
      <c r="AQ985" s="1748"/>
      <c r="AR985" s="1748"/>
      <c r="AS985" s="541"/>
      <c r="AT985" s="541"/>
      <c r="AU985" s="541"/>
      <c r="AV985" s="541"/>
      <c r="AW985" s="541"/>
      <c r="AY985" s="541"/>
      <c r="AZ985" s="633"/>
      <c r="BA985" s="541"/>
      <c r="BB985" s="1190"/>
      <c r="BC985" s="541"/>
      <c r="BD985" s="1190"/>
      <c r="BE985" s="541"/>
      <c r="BF985" s="1190"/>
      <c r="BG985" s="541"/>
      <c r="BH985" s="1190"/>
      <c r="BI985" s="541"/>
      <c r="BJ985" s="1190"/>
      <c r="BK985" s="541"/>
      <c r="BL985" s="541"/>
      <c r="BM985" s="541"/>
      <c r="BP985" s="541"/>
      <c r="BQ985" s="633"/>
      <c r="BR985" s="541"/>
      <c r="BS985" s="541"/>
      <c r="BT985" s="541"/>
      <c r="BU985" s="541"/>
    </row>
    <row r="986" ht="15.75" customHeight="1">
      <c r="A986" s="1591"/>
      <c r="B986" s="1591"/>
      <c r="C986" s="2217"/>
      <c r="D986" s="1541"/>
      <c r="E986" s="906"/>
      <c r="F986" s="541"/>
      <c r="G986" s="541"/>
      <c r="H986" s="541"/>
      <c r="I986" s="541"/>
      <c r="J986" s="1748"/>
      <c r="K986" s="541"/>
      <c r="L986" s="1748"/>
      <c r="M986" s="541"/>
      <c r="N986" s="1748"/>
      <c r="O986" s="541"/>
      <c r="P986" s="1748"/>
      <c r="Q986" s="541"/>
      <c r="R986" s="1748"/>
      <c r="S986" s="541"/>
      <c r="T986" s="1748"/>
      <c r="U986" s="541"/>
      <c r="V986" s="1748"/>
      <c r="W986" s="541"/>
      <c r="X986" s="1748"/>
      <c r="Y986" s="1748"/>
      <c r="Z986" s="1748"/>
      <c r="AA986" s="541"/>
      <c r="AB986" s="1748"/>
      <c r="AC986" s="541"/>
      <c r="AD986" s="541"/>
      <c r="AE986" s="541"/>
      <c r="AF986" s="541"/>
      <c r="AG986" s="541"/>
      <c r="AH986" s="541"/>
      <c r="AI986" s="541"/>
      <c r="AJ986" s="541"/>
      <c r="AK986" s="541"/>
      <c r="AL986" s="541"/>
      <c r="AM986" s="541"/>
      <c r="AN986" s="1748"/>
      <c r="AO986" s="1748"/>
      <c r="AP986" s="1748"/>
      <c r="AQ986" s="1748"/>
      <c r="AR986" s="1748"/>
      <c r="AS986" s="541"/>
      <c r="AT986" s="541"/>
      <c r="AU986" s="541"/>
      <c r="AV986" s="541"/>
      <c r="AW986" s="541"/>
      <c r="AY986" s="541"/>
      <c r="AZ986" s="633"/>
      <c r="BA986" s="541"/>
      <c r="BB986" s="1190"/>
      <c r="BC986" s="541"/>
      <c r="BD986" s="1190"/>
      <c r="BE986" s="541"/>
      <c r="BF986" s="1190"/>
      <c r="BG986" s="541"/>
      <c r="BH986" s="1190"/>
      <c r="BI986" s="541"/>
      <c r="BJ986" s="1190"/>
      <c r="BK986" s="541"/>
      <c r="BL986" s="541"/>
      <c r="BM986" s="541"/>
      <c r="BP986" s="541"/>
      <c r="BQ986" s="633"/>
      <c r="BR986" s="541"/>
      <c r="BS986" s="541"/>
      <c r="BT986" s="541"/>
      <c r="BU986" s="541"/>
    </row>
    <row r="987" ht="15.75" customHeight="1">
      <c r="A987" s="1591"/>
      <c r="B987" s="1591"/>
      <c r="C987" s="2217"/>
      <c r="D987" s="1541"/>
      <c r="E987" s="906"/>
      <c r="F987" s="541"/>
      <c r="G987" s="541"/>
      <c r="H987" s="541"/>
      <c r="I987" s="541"/>
      <c r="J987" s="1748"/>
      <c r="K987" s="541"/>
      <c r="L987" s="1748"/>
      <c r="M987" s="541"/>
      <c r="N987" s="1748"/>
      <c r="O987" s="541"/>
      <c r="P987" s="1748"/>
      <c r="Q987" s="541"/>
      <c r="R987" s="1748"/>
      <c r="S987" s="541"/>
      <c r="T987" s="1748"/>
      <c r="U987" s="541"/>
      <c r="V987" s="1748"/>
      <c r="W987" s="541"/>
      <c r="X987" s="1748"/>
      <c r="Y987" s="1748"/>
      <c r="Z987" s="1748"/>
      <c r="AA987" s="541"/>
      <c r="AB987" s="1748"/>
      <c r="AC987" s="541"/>
      <c r="AD987" s="541"/>
      <c r="AE987" s="541"/>
      <c r="AF987" s="541"/>
      <c r="AG987" s="541"/>
      <c r="AH987" s="541"/>
      <c r="AI987" s="541"/>
      <c r="AJ987" s="541"/>
      <c r="AK987" s="541"/>
      <c r="AL987" s="541"/>
      <c r="AM987" s="541"/>
      <c r="AN987" s="1748"/>
      <c r="AO987" s="1748"/>
      <c r="AP987" s="1748"/>
      <c r="AQ987" s="1748"/>
      <c r="AR987" s="1748"/>
      <c r="AS987" s="541"/>
      <c r="AT987" s="541"/>
      <c r="AU987" s="541"/>
      <c r="AV987" s="541"/>
      <c r="AW987" s="541"/>
      <c r="AY987" s="541"/>
      <c r="AZ987" s="633"/>
      <c r="BA987" s="541"/>
      <c r="BB987" s="1190"/>
      <c r="BC987" s="541"/>
      <c r="BD987" s="1190"/>
      <c r="BE987" s="541"/>
      <c r="BF987" s="1190"/>
      <c r="BG987" s="541"/>
      <c r="BH987" s="1190"/>
      <c r="BI987" s="541"/>
      <c r="BJ987" s="1190"/>
      <c r="BK987" s="541"/>
      <c r="BL987" s="541"/>
      <c r="BM987" s="541"/>
      <c r="BP987" s="541"/>
      <c r="BQ987" s="633"/>
      <c r="BR987" s="541"/>
      <c r="BS987" s="541"/>
      <c r="BT987" s="541"/>
      <c r="BU987" s="541"/>
    </row>
    <row r="988" ht="15.75" customHeight="1">
      <c r="A988" s="1591"/>
      <c r="B988" s="1591"/>
      <c r="C988" s="2217"/>
      <c r="D988" s="1541"/>
      <c r="E988" s="906"/>
      <c r="F988" s="541"/>
      <c r="G988" s="541"/>
      <c r="H988" s="541"/>
      <c r="I988" s="541"/>
      <c r="J988" s="1748"/>
      <c r="K988" s="541"/>
      <c r="L988" s="1748"/>
      <c r="M988" s="541"/>
      <c r="N988" s="1748"/>
      <c r="O988" s="541"/>
      <c r="P988" s="1748"/>
      <c r="Q988" s="541"/>
      <c r="R988" s="1748"/>
      <c r="S988" s="541"/>
      <c r="T988" s="1748"/>
      <c r="U988" s="541"/>
      <c r="V988" s="1748"/>
      <c r="W988" s="541"/>
      <c r="X988" s="1748"/>
      <c r="Y988" s="1748"/>
      <c r="Z988" s="1748"/>
      <c r="AA988" s="541"/>
      <c r="AB988" s="1748"/>
      <c r="AC988" s="541"/>
      <c r="AD988" s="541"/>
      <c r="AE988" s="541"/>
      <c r="AF988" s="541"/>
      <c r="AG988" s="541"/>
      <c r="AH988" s="541"/>
      <c r="AI988" s="541"/>
      <c r="AJ988" s="541"/>
      <c r="AK988" s="541"/>
      <c r="AL988" s="541"/>
      <c r="AM988" s="541"/>
      <c r="AN988" s="1748"/>
      <c r="AO988" s="1748"/>
      <c r="AP988" s="1748"/>
      <c r="AQ988" s="1748"/>
      <c r="AR988" s="1748"/>
      <c r="AS988" s="541"/>
      <c r="AT988" s="541"/>
      <c r="AU988" s="541"/>
      <c r="AV988" s="541"/>
      <c r="AW988" s="541"/>
      <c r="AY988" s="541"/>
      <c r="AZ988" s="633"/>
      <c r="BA988" s="541"/>
      <c r="BB988" s="1190"/>
      <c r="BC988" s="541"/>
      <c r="BD988" s="1190"/>
      <c r="BE988" s="541"/>
      <c r="BF988" s="1190"/>
      <c r="BG988" s="541"/>
      <c r="BH988" s="1190"/>
      <c r="BI988" s="541"/>
      <c r="BJ988" s="1190"/>
      <c r="BK988" s="541"/>
      <c r="BL988" s="541"/>
      <c r="BM988" s="541"/>
      <c r="BP988" s="541"/>
      <c r="BQ988" s="633"/>
      <c r="BR988" s="541"/>
      <c r="BS988" s="541"/>
      <c r="BT988" s="541"/>
      <c r="BU988" s="541"/>
    </row>
    <row r="989" ht="15.75" customHeight="1">
      <c r="A989" s="1591"/>
      <c r="B989" s="1591"/>
      <c r="C989" s="2217"/>
      <c r="D989" s="1541"/>
      <c r="E989" s="906"/>
      <c r="F989" s="541"/>
      <c r="G989" s="541"/>
      <c r="H989" s="541"/>
      <c r="I989" s="541"/>
      <c r="J989" s="1748"/>
      <c r="K989" s="541"/>
      <c r="L989" s="1748"/>
      <c r="M989" s="541"/>
      <c r="N989" s="1748"/>
      <c r="O989" s="541"/>
      <c r="P989" s="1748"/>
      <c r="Q989" s="541"/>
      <c r="R989" s="1748"/>
      <c r="S989" s="541"/>
      <c r="T989" s="1748"/>
      <c r="U989" s="541"/>
      <c r="V989" s="1748"/>
      <c r="W989" s="541"/>
      <c r="X989" s="1748"/>
      <c r="Y989" s="1748"/>
      <c r="Z989" s="1748"/>
      <c r="AA989" s="541"/>
      <c r="AB989" s="1748"/>
      <c r="AC989" s="541"/>
      <c r="AD989" s="541"/>
      <c r="AE989" s="541"/>
      <c r="AF989" s="541"/>
      <c r="AG989" s="541"/>
      <c r="AH989" s="541"/>
      <c r="AI989" s="541"/>
      <c r="AJ989" s="541"/>
      <c r="AK989" s="541"/>
      <c r="AL989" s="541"/>
      <c r="AM989" s="541"/>
      <c r="AN989" s="1748"/>
      <c r="AO989" s="1748"/>
      <c r="AP989" s="1748"/>
      <c r="AQ989" s="1748"/>
      <c r="AR989" s="1748"/>
      <c r="AS989" s="541"/>
      <c r="AT989" s="541"/>
      <c r="AU989" s="541"/>
      <c r="AV989" s="541"/>
      <c r="AW989" s="541"/>
      <c r="AY989" s="541"/>
      <c r="AZ989" s="633"/>
      <c r="BA989" s="541"/>
      <c r="BB989" s="1190"/>
      <c r="BC989" s="541"/>
      <c r="BD989" s="1190"/>
      <c r="BE989" s="541"/>
      <c r="BF989" s="1190"/>
      <c r="BG989" s="541"/>
      <c r="BH989" s="1190"/>
      <c r="BI989" s="541"/>
      <c r="BJ989" s="1190"/>
      <c r="BK989" s="541"/>
      <c r="BL989" s="541"/>
      <c r="BM989" s="541"/>
      <c r="BP989" s="541"/>
      <c r="BQ989" s="633"/>
      <c r="BR989" s="541"/>
      <c r="BS989" s="541"/>
      <c r="BT989" s="541"/>
      <c r="BU989" s="541"/>
    </row>
    <row r="990" ht="15.75" customHeight="1">
      <c r="A990" s="1591"/>
      <c r="B990" s="1591"/>
      <c r="C990" s="2217"/>
      <c r="D990" s="1541"/>
      <c r="E990" s="906"/>
      <c r="F990" s="541"/>
      <c r="G990" s="541"/>
      <c r="H990" s="541"/>
      <c r="I990" s="541"/>
      <c r="J990" s="1748"/>
      <c r="K990" s="541"/>
      <c r="L990" s="1748"/>
      <c r="M990" s="541"/>
      <c r="N990" s="1748"/>
      <c r="O990" s="541"/>
      <c r="P990" s="1748"/>
      <c r="Q990" s="541"/>
      <c r="R990" s="1748"/>
      <c r="S990" s="541"/>
      <c r="T990" s="1748"/>
      <c r="U990" s="541"/>
      <c r="V990" s="1748"/>
      <c r="W990" s="541"/>
      <c r="X990" s="1748"/>
      <c r="Y990" s="1748"/>
      <c r="Z990" s="1748"/>
      <c r="AA990" s="541"/>
      <c r="AB990" s="1748"/>
      <c r="AC990" s="541"/>
      <c r="AD990" s="541"/>
      <c r="AE990" s="541"/>
      <c r="AF990" s="541"/>
      <c r="AG990" s="541"/>
      <c r="AH990" s="541"/>
      <c r="AI990" s="541"/>
      <c r="AJ990" s="541"/>
      <c r="AK990" s="541"/>
      <c r="AL990" s="541"/>
      <c r="AM990" s="541"/>
      <c r="AN990" s="1748"/>
      <c r="AO990" s="1748"/>
      <c r="AP990" s="1748"/>
      <c r="AQ990" s="1748"/>
      <c r="AR990" s="1748"/>
      <c r="AS990" s="541"/>
      <c r="AT990" s="541"/>
      <c r="AU990" s="541"/>
      <c r="AV990" s="541"/>
      <c r="AW990" s="541"/>
      <c r="AY990" s="541"/>
      <c r="AZ990" s="633"/>
      <c r="BA990" s="541"/>
      <c r="BB990" s="1190"/>
      <c r="BC990" s="541"/>
      <c r="BD990" s="1190"/>
      <c r="BE990" s="541"/>
      <c r="BF990" s="1190"/>
      <c r="BG990" s="541"/>
      <c r="BH990" s="1190"/>
      <c r="BI990" s="541"/>
      <c r="BJ990" s="1190"/>
      <c r="BK990" s="541"/>
      <c r="BL990" s="541"/>
      <c r="BM990" s="541"/>
      <c r="BP990" s="541"/>
      <c r="BQ990" s="633"/>
      <c r="BR990" s="541"/>
      <c r="BS990" s="541"/>
      <c r="BT990" s="541"/>
      <c r="BU990" s="541"/>
    </row>
    <row r="991" ht="15.75" customHeight="1">
      <c r="A991" s="1591"/>
      <c r="B991" s="1591"/>
      <c r="C991" s="2217"/>
      <c r="D991" s="1541"/>
      <c r="E991" s="906"/>
      <c r="F991" s="541"/>
      <c r="G991" s="541"/>
      <c r="H991" s="541"/>
      <c r="I991" s="541"/>
      <c r="J991" s="1748"/>
      <c r="K991" s="541"/>
      <c r="L991" s="1748"/>
      <c r="M991" s="541"/>
      <c r="N991" s="1748"/>
      <c r="O991" s="541"/>
      <c r="P991" s="1748"/>
      <c r="Q991" s="541"/>
      <c r="R991" s="1748"/>
      <c r="S991" s="541"/>
      <c r="T991" s="1748"/>
      <c r="U991" s="541"/>
      <c r="V991" s="1748"/>
      <c r="W991" s="541"/>
      <c r="X991" s="1748"/>
      <c r="Y991" s="1748"/>
      <c r="Z991" s="1748"/>
      <c r="AA991" s="541"/>
      <c r="AB991" s="1748"/>
      <c r="AC991" s="541"/>
      <c r="AD991" s="541"/>
      <c r="AE991" s="541"/>
      <c r="AF991" s="541"/>
      <c r="AG991" s="541"/>
      <c r="AH991" s="541"/>
      <c r="AI991" s="541"/>
      <c r="AJ991" s="541"/>
      <c r="AK991" s="541"/>
      <c r="AL991" s="541"/>
      <c r="AM991" s="541"/>
      <c r="AN991" s="1748"/>
      <c r="AO991" s="1748"/>
      <c r="AP991" s="1748"/>
      <c r="AQ991" s="1748"/>
      <c r="AR991" s="1748"/>
      <c r="AS991" s="541"/>
      <c r="AT991" s="541"/>
      <c r="AU991" s="541"/>
      <c r="AV991" s="541"/>
      <c r="AW991" s="541"/>
      <c r="AY991" s="541"/>
      <c r="AZ991" s="633"/>
      <c r="BA991" s="541"/>
      <c r="BB991" s="1190"/>
      <c r="BC991" s="541"/>
      <c r="BD991" s="1190"/>
      <c r="BE991" s="541"/>
      <c r="BF991" s="1190"/>
      <c r="BG991" s="541"/>
      <c r="BH991" s="1190"/>
      <c r="BI991" s="541"/>
      <c r="BJ991" s="1190"/>
      <c r="BK991" s="541"/>
      <c r="BL991" s="541"/>
      <c r="BM991" s="541"/>
      <c r="BP991" s="541"/>
      <c r="BQ991" s="633"/>
      <c r="BR991" s="541"/>
      <c r="BS991" s="541"/>
      <c r="BT991" s="541"/>
      <c r="BU991" s="541"/>
    </row>
    <row r="992" ht="15.75" customHeight="1">
      <c r="A992" s="1591"/>
      <c r="B992" s="1591"/>
      <c r="C992" s="2217"/>
      <c r="D992" s="1541"/>
      <c r="E992" s="906"/>
      <c r="F992" s="541"/>
      <c r="G992" s="541"/>
      <c r="H992" s="541"/>
      <c r="I992" s="541"/>
      <c r="J992" s="1748"/>
      <c r="K992" s="541"/>
      <c r="L992" s="1748"/>
      <c r="M992" s="541"/>
      <c r="N992" s="1748"/>
      <c r="O992" s="541"/>
      <c r="P992" s="1748"/>
      <c r="Q992" s="541"/>
      <c r="R992" s="1748"/>
      <c r="S992" s="541"/>
      <c r="T992" s="1748"/>
      <c r="U992" s="541"/>
      <c r="V992" s="1748"/>
      <c r="W992" s="541"/>
      <c r="X992" s="1748"/>
      <c r="Y992" s="1748"/>
      <c r="Z992" s="1748"/>
      <c r="AA992" s="541"/>
      <c r="AB992" s="1748"/>
      <c r="AC992" s="541"/>
      <c r="AD992" s="541"/>
      <c r="AE992" s="541"/>
      <c r="AF992" s="541"/>
      <c r="AG992" s="541"/>
      <c r="AH992" s="541"/>
      <c r="AI992" s="541"/>
      <c r="AJ992" s="541"/>
      <c r="AK992" s="541"/>
      <c r="AL992" s="541"/>
      <c r="AM992" s="541"/>
      <c r="AN992" s="1748"/>
      <c r="AO992" s="1748"/>
      <c r="AP992" s="1748"/>
      <c r="AQ992" s="1748"/>
      <c r="AR992" s="1748"/>
      <c r="AS992" s="541"/>
      <c r="AT992" s="541"/>
      <c r="AU992" s="541"/>
      <c r="AV992" s="541"/>
      <c r="AW992" s="541"/>
      <c r="AY992" s="541"/>
      <c r="AZ992" s="633"/>
      <c r="BA992" s="541"/>
      <c r="BB992" s="1190"/>
      <c r="BC992" s="541"/>
      <c r="BD992" s="1190"/>
      <c r="BE992" s="541"/>
      <c r="BF992" s="1190"/>
      <c r="BG992" s="541"/>
      <c r="BH992" s="1190"/>
      <c r="BI992" s="541"/>
      <c r="BJ992" s="1190"/>
      <c r="BK992" s="541"/>
      <c r="BL992" s="541"/>
      <c r="BM992" s="541"/>
      <c r="BP992" s="541"/>
      <c r="BQ992" s="633"/>
      <c r="BR992" s="541"/>
      <c r="BS992" s="541"/>
      <c r="BT992" s="541"/>
      <c r="BU992" s="541"/>
    </row>
    <row r="993" ht="15.75" customHeight="1">
      <c r="A993" s="1591"/>
      <c r="B993" s="1591"/>
      <c r="C993" s="2217"/>
      <c r="D993" s="1541"/>
      <c r="E993" s="906"/>
      <c r="F993" s="541"/>
      <c r="G993" s="541"/>
      <c r="H993" s="541"/>
      <c r="I993" s="541"/>
      <c r="J993" s="1748"/>
      <c r="K993" s="541"/>
      <c r="L993" s="1748"/>
      <c r="M993" s="541"/>
      <c r="N993" s="1748"/>
      <c r="O993" s="541"/>
      <c r="P993" s="1748"/>
      <c r="Q993" s="541"/>
      <c r="R993" s="1748"/>
      <c r="S993" s="541"/>
      <c r="T993" s="1748"/>
      <c r="U993" s="541"/>
      <c r="V993" s="1748"/>
      <c r="W993" s="541"/>
      <c r="X993" s="1748"/>
      <c r="Y993" s="1748"/>
      <c r="Z993" s="1748"/>
      <c r="AA993" s="541"/>
      <c r="AB993" s="1748"/>
      <c r="AC993" s="541"/>
      <c r="AD993" s="541"/>
      <c r="AE993" s="541"/>
      <c r="AF993" s="541"/>
      <c r="AG993" s="541"/>
      <c r="AH993" s="541"/>
      <c r="AI993" s="541"/>
      <c r="AJ993" s="541"/>
      <c r="AK993" s="541"/>
      <c r="AL993" s="541"/>
      <c r="AM993" s="541"/>
      <c r="AN993" s="1748"/>
      <c r="AO993" s="1748"/>
      <c r="AP993" s="1748"/>
      <c r="AQ993" s="1748"/>
      <c r="AR993" s="1748"/>
      <c r="AS993" s="541"/>
      <c r="AT993" s="541"/>
      <c r="AU993" s="541"/>
      <c r="AV993" s="541"/>
      <c r="AW993" s="541"/>
      <c r="AY993" s="541"/>
      <c r="AZ993" s="633"/>
      <c r="BA993" s="541"/>
      <c r="BB993" s="1190"/>
      <c r="BC993" s="541"/>
      <c r="BD993" s="1190"/>
      <c r="BE993" s="541"/>
      <c r="BF993" s="1190"/>
      <c r="BG993" s="541"/>
      <c r="BH993" s="1190"/>
      <c r="BI993" s="541"/>
      <c r="BJ993" s="1190"/>
      <c r="BK993" s="541"/>
      <c r="BL993" s="541"/>
      <c r="BM993" s="541"/>
      <c r="BP993" s="541"/>
      <c r="BQ993" s="633"/>
      <c r="BR993" s="541"/>
      <c r="BS993" s="541"/>
      <c r="BT993" s="541"/>
      <c r="BU993" s="541"/>
    </row>
    <row r="994" ht="15.75" customHeight="1">
      <c r="A994" s="1591"/>
      <c r="B994" s="1591"/>
      <c r="C994" s="2217"/>
      <c r="D994" s="1541"/>
      <c r="E994" s="906"/>
      <c r="F994" s="541"/>
      <c r="G994" s="541"/>
      <c r="H994" s="541"/>
      <c r="I994" s="541"/>
      <c r="J994" s="1748"/>
      <c r="K994" s="541"/>
      <c r="L994" s="1748"/>
      <c r="M994" s="541"/>
      <c r="N994" s="1748"/>
      <c r="O994" s="541"/>
      <c r="P994" s="1748"/>
      <c r="Q994" s="541"/>
      <c r="R994" s="1748"/>
      <c r="S994" s="541"/>
      <c r="T994" s="1748"/>
      <c r="U994" s="541"/>
      <c r="V994" s="1748"/>
      <c r="W994" s="541"/>
      <c r="X994" s="1748"/>
      <c r="Y994" s="1748"/>
      <c r="Z994" s="1748"/>
      <c r="AA994" s="541"/>
      <c r="AB994" s="1748"/>
      <c r="AC994" s="541"/>
      <c r="AD994" s="541"/>
      <c r="AE994" s="541"/>
      <c r="AF994" s="541"/>
      <c r="AG994" s="541"/>
      <c r="AH994" s="541"/>
      <c r="AI994" s="541"/>
      <c r="AJ994" s="541"/>
      <c r="AK994" s="541"/>
      <c r="AL994" s="541"/>
      <c r="AM994" s="541"/>
      <c r="AN994" s="1748"/>
      <c r="AO994" s="1748"/>
      <c r="AP994" s="1748"/>
      <c r="AQ994" s="1748"/>
      <c r="AR994" s="1748"/>
      <c r="AS994" s="541"/>
      <c r="AT994" s="541"/>
      <c r="AU994" s="541"/>
      <c r="AV994" s="541"/>
      <c r="AW994" s="541"/>
      <c r="AY994" s="541"/>
      <c r="AZ994" s="633"/>
      <c r="BA994" s="541"/>
      <c r="BB994" s="1190"/>
      <c r="BC994" s="541"/>
      <c r="BD994" s="1190"/>
      <c r="BE994" s="541"/>
      <c r="BF994" s="1190"/>
      <c r="BG994" s="541"/>
      <c r="BH994" s="1190"/>
      <c r="BI994" s="541"/>
      <c r="BJ994" s="1190"/>
      <c r="BK994" s="541"/>
      <c r="BL994" s="541"/>
      <c r="BM994" s="541"/>
      <c r="BP994" s="541"/>
      <c r="BQ994" s="633"/>
      <c r="BR994" s="541"/>
      <c r="BS994" s="541"/>
      <c r="BT994" s="541"/>
      <c r="BU994" s="541"/>
    </row>
    <row r="995" ht="15.75" customHeight="1">
      <c r="A995" s="1591"/>
      <c r="B995" s="1591"/>
      <c r="C995" s="2217"/>
      <c r="D995" s="1541"/>
      <c r="E995" s="906"/>
      <c r="F995" s="541"/>
      <c r="G995" s="541"/>
      <c r="H995" s="541"/>
      <c r="I995" s="541"/>
      <c r="J995" s="1748"/>
      <c r="K995" s="541"/>
      <c r="L995" s="1748"/>
      <c r="M995" s="541"/>
      <c r="N995" s="1748"/>
      <c r="O995" s="541"/>
      <c r="P995" s="1748"/>
      <c r="Q995" s="541"/>
      <c r="R995" s="1748"/>
      <c r="S995" s="541"/>
      <c r="T995" s="1748"/>
      <c r="U995" s="541"/>
      <c r="V995" s="1748"/>
      <c r="W995" s="541"/>
      <c r="X995" s="1748"/>
      <c r="Y995" s="1748"/>
      <c r="Z995" s="1748"/>
      <c r="AA995" s="541"/>
      <c r="AB995" s="1748"/>
      <c r="AC995" s="541"/>
      <c r="AD995" s="541"/>
      <c r="AE995" s="541"/>
      <c r="AF995" s="541"/>
      <c r="AG995" s="541"/>
      <c r="AH995" s="541"/>
      <c r="AI995" s="541"/>
      <c r="AJ995" s="541"/>
      <c r="AK995" s="541"/>
      <c r="AL995" s="541"/>
      <c r="AM995" s="541"/>
      <c r="AN995" s="1748"/>
      <c r="AO995" s="1748"/>
      <c r="AP995" s="1748"/>
      <c r="AQ995" s="1748"/>
      <c r="AR995" s="1748"/>
      <c r="AS995" s="541"/>
      <c r="AT995" s="541"/>
      <c r="AU995" s="541"/>
      <c r="AV995" s="541"/>
      <c r="AW995" s="541"/>
      <c r="AY995" s="541"/>
      <c r="AZ995" s="633"/>
      <c r="BA995" s="541"/>
      <c r="BB995" s="1190"/>
      <c r="BC995" s="541"/>
      <c r="BD995" s="1190"/>
      <c r="BE995" s="541"/>
      <c r="BF995" s="1190"/>
      <c r="BG995" s="541"/>
      <c r="BH995" s="1190"/>
      <c r="BI995" s="541"/>
      <c r="BJ995" s="1190"/>
      <c r="BK995" s="541"/>
      <c r="BL995" s="541"/>
      <c r="BM995" s="541"/>
      <c r="BP995" s="541"/>
      <c r="BQ995" s="633"/>
      <c r="BR995" s="541"/>
      <c r="BS995" s="541"/>
      <c r="BT995" s="541"/>
      <c r="BU995" s="541"/>
    </row>
    <row r="996" ht="15.75" customHeight="1">
      <c r="A996" s="1591"/>
      <c r="B996" s="1591"/>
      <c r="C996" s="2217"/>
      <c r="D996" s="1541"/>
      <c r="E996" s="906"/>
      <c r="F996" s="541"/>
      <c r="G996" s="541"/>
      <c r="H996" s="541"/>
      <c r="I996" s="541"/>
      <c r="J996" s="1748"/>
      <c r="K996" s="541"/>
      <c r="L996" s="1748"/>
      <c r="M996" s="541"/>
      <c r="N996" s="1748"/>
      <c r="O996" s="541"/>
      <c r="P996" s="1748"/>
      <c r="Q996" s="541"/>
      <c r="R996" s="1748"/>
      <c r="S996" s="541"/>
      <c r="T996" s="1748"/>
      <c r="U996" s="541"/>
      <c r="V996" s="1748"/>
      <c r="W996" s="541"/>
      <c r="X996" s="1748"/>
      <c r="Y996" s="1748"/>
      <c r="Z996" s="1748"/>
      <c r="AA996" s="541"/>
      <c r="AB996" s="1748"/>
      <c r="AC996" s="541"/>
      <c r="AD996" s="541"/>
      <c r="AE996" s="541"/>
      <c r="AF996" s="541"/>
      <c r="AG996" s="541"/>
      <c r="AH996" s="541"/>
      <c r="AI996" s="541"/>
      <c r="AJ996" s="541"/>
      <c r="AK996" s="541"/>
      <c r="AL996" s="541"/>
      <c r="AM996" s="541"/>
      <c r="AN996" s="1748"/>
      <c r="AO996" s="1748"/>
      <c r="AP996" s="1748"/>
      <c r="AQ996" s="1748"/>
      <c r="AR996" s="1748"/>
      <c r="AS996" s="541"/>
      <c r="AT996" s="541"/>
      <c r="AU996" s="541"/>
      <c r="AV996" s="541"/>
      <c r="AW996" s="541"/>
      <c r="AY996" s="541"/>
      <c r="AZ996" s="633"/>
      <c r="BA996" s="541"/>
      <c r="BB996" s="1190"/>
      <c r="BC996" s="541"/>
      <c r="BD996" s="1190"/>
      <c r="BE996" s="541"/>
      <c r="BF996" s="1190"/>
      <c r="BG996" s="541"/>
      <c r="BH996" s="1190"/>
      <c r="BI996" s="541"/>
      <c r="BJ996" s="1190"/>
      <c r="BK996" s="541"/>
      <c r="BL996" s="541"/>
      <c r="BM996" s="541"/>
      <c r="BP996" s="541"/>
      <c r="BQ996" s="633"/>
      <c r="BR996" s="541"/>
      <c r="BS996" s="541"/>
      <c r="BT996" s="541"/>
      <c r="BU996" s="541"/>
    </row>
    <row r="997" ht="15.75" customHeight="1">
      <c r="A997" s="1591"/>
      <c r="B997" s="1591"/>
      <c r="C997" s="2217"/>
      <c r="D997" s="1541"/>
      <c r="E997" s="906"/>
      <c r="F997" s="541"/>
      <c r="G997" s="541"/>
      <c r="H997" s="541"/>
      <c r="I997" s="541"/>
      <c r="J997" s="1748"/>
      <c r="K997" s="541"/>
      <c r="L997" s="1748"/>
      <c r="M997" s="541"/>
      <c r="N997" s="1748"/>
      <c r="O997" s="541"/>
      <c r="P997" s="1748"/>
      <c r="Q997" s="541"/>
      <c r="R997" s="1748"/>
      <c r="S997" s="541"/>
      <c r="T997" s="1748"/>
      <c r="U997" s="541"/>
      <c r="V997" s="1748"/>
      <c r="W997" s="541"/>
      <c r="X997" s="1748"/>
      <c r="Y997" s="1748"/>
      <c r="Z997" s="1748"/>
      <c r="AA997" s="541"/>
      <c r="AB997" s="1748"/>
      <c r="AC997" s="541"/>
      <c r="AD997" s="541"/>
      <c r="AE997" s="541"/>
      <c r="AF997" s="541"/>
      <c r="AG997" s="541"/>
      <c r="AH997" s="541"/>
      <c r="AI997" s="541"/>
      <c r="AJ997" s="541"/>
      <c r="AK997" s="541"/>
      <c r="AL997" s="541"/>
      <c r="AM997" s="541"/>
      <c r="AN997" s="1748"/>
      <c r="AO997" s="1748"/>
      <c r="AP997" s="1748"/>
      <c r="AQ997" s="1748"/>
      <c r="AR997" s="1748"/>
      <c r="AS997" s="541"/>
      <c r="AT997" s="541"/>
      <c r="AU997" s="541"/>
      <c r="AV997" s="541"/>
      <c r="AW997" s="541"/>
      <c r="AY997" s="541"/>
      <c r="AZ997" s="633"/>
      <c r="BA997" s="541"/>
      <c r="BB997" s="1190"/>
      <c r="BC997" s="541"/>
      <c r="BD997" s="1190"/>
      <c r="BE997" s="541"/>
      <c r="BF997" s="1190"/>
      <c r="BG997" s="541"/>
      <c r="BH997" s="1190"/>
      <c r="BI997" s="541"/>
      <c r="BJ997" s="1190"/>
      <c r="BK997" s="541"/>
      <c r="BL997" s="541"/>
      <c r="BM997" s="541"/>
      <c r="BP997" s="541"/>
      <c r="BQ997" s="633"/>
      <c r="BR997" s="541"/>
      <c r="BS997" s="541"/>
      <c r="BT997" s="541"/>
      <c r="BU997" s="541"/>
    </row>
    <row r="998" ht="15.75" customHeight="1">
      <c r="A998" s="1591"/>
      <c r="B998" s="1591"/>
      <c r="C998" s="2217"/>
      <c r="D998" s="1541"/>
      <c r="E998" s="906"/>
      <c r="F998" s="541"/>
      <c r="G998" s="541"/>
      <c r="H998" s="541"/>
      <c r="I998" s="541"/>
      <c r="J998" s="1748"/>
      <c r="K998" s="541"/>
      <c r="L998" s="1748"/>
      <c r="M998" s="541"/>
      <c r="N998" s="1748"/>
      <c r="O998" s="541"/>
      <c r="P998" s="1748"/>
      <c r="Q998" s="541"/>
      <c r="R998" s="1748"/>
      <c r="S998" s="541"/>
      <c r="T998" s="1748"/>
      <c r="U998" s="541"/>
      <c r="V998" s="1748"/>
      <c r="W998" s="541"/>
      <c r="X998" s="1748"/>
      <c r="Y998" s="1748"/>
      <c r="Z998" s="1748"/>
      <c r="AA998" s="541"/>
      <c r="AB998" s="1748"/>
      <c r="AC998" s="541"/>
      <c r="AD998" s="541"/>
      <c r="AE998" s="541"/>
      <c r="AF998" s="541"/>
      <c r="AG998" s="541"/>
      <c r="AH998" s="541"/>
      <c r="AI998" s="541"/>
      <c r="AJ998" s="541"/>
      <c r="AK998" s="541"/>
      <c r="AL998" s="541"/>
      <c r="AM998" s="541"/>
      <c r="AN998" s="1748"/>
      <c r="AO998" s="1748"/>
      <c r="AP998" s="1748"/>
      <c r="AQ998" s="1748"/>
      <c r="AR998" s="1748"/>
      <c r="AS998" s="541"/>
      <c r="AT998" s="541"/>
      <c r="AU998" s="541"/>
      <c r="AV998" s="541"/>
      <c r="AW998" s="541"/>
      <c r="AY998" s="541"/>
      <c r="AZ998" s="633"/>
      <c r="BA998" s="541"/>
      <c r="BB998" s="1190"/>
      <c r="BC998" s="541"/>
      <c r="BD998" s="1190"/>
      <c r="BE998" s="541"/>
      <c r="BF998" s="1190"/>
      <c r="BG998" s="541"/>
      <c r="BH998" s="1190"/>
      <c r="BI998" s="541"/>
      <c r="BJ998" s="1190"/>
      <c r="BK998" s="541"/>
      <c r="BL998" s="541"/>
      <c r="BM998" s="541"/>
      <c r="BP998" s="541"/>
      <c r="BQ998" s="633"/>
      <c r="BR998" s="541"/>
      <c r="BS998" s="541"/>
      <c r="BT998" s="541"/>
      <c r="BU998" s="541"/>
    </row>
    <row r="999" ht="15.75" customHeight="1">
      <c r="A999" s="1591"/>
      <c r="B999" s="1591"/>
      <c r="C999" s="2217"/>
      <c r="D999" s="1541"/>
      <c r="E999" s="906"/>
      <c r="F999" s="541"/>
      <c r="G999" s="541"/>
      <c r="H999" s="541"/>
      <c r="I999" s="541"/>
      <c r="J999" s="1748"/>
      <c r="K999" s="541"/>
      <c r="L999" s="1748"/>
      <c r="M999" s="541"/>
      <c r="N999" s="1748"/>
      <c r="O999" s="541"/>
      <c r="P999" s="1748"/>
      <c r="Q999" s="541"/>
      <c r="R999" s="1748"/>
      <c r="S999" s="541"/>
      <c r="T999" s="1748"/>
      <c r="U999" s="541"/>
      <c r="V999" s="1748"/>
      <c r="W999" s="541"/>
      <c r="X999" s="1748"/>
      <c r="Y999" s="1748"/>
      <c r="Z999" s="1748"/>
      <c r="AA999" s="541"/>
      <c r="AB999" s="1748"/>
      <c r="AC999" s="541"/>
      <c r="AD999" s="541"/>
      <c r="AE999" s="541"/>
      <c r="AF999" s="541"/>
      <c r="AG999" s="541"/>
      <c r="AH999" s="541"/>
      <c r="AI999" s="541"/>
      <c r="AJ999" s="541"/>
      <c r="AK999" s="541"/>
      <c r="AL999" s="541"/>
      <c r="AM999" s="541"/>
      <c r="AN999" s="1748"/>
      <c r="AO999" s="1748"/>
      <c r="AP999" s="1748"/>
      <c r="AQ999" s="1748"/>
      <c r="AR999" s="1748"/>
      <c r="AS999" s="541"/>
      <c r="AT999" s="541"/>
      <c r="AU999" s="541"/>
      <c r="AV999" s="541"/>
      <c r="AW999" s="541"/>
      <c r="AY999" s="541"/>
      <c r="AZ999" s="633"/>
      <c r="BA999" s="541"/>
      <c r="BB999" s="1190"/>
      <c r="BC999" s="541"/>
      <c r="BD999" s="1190"/>
      <c r="BE999" s="541"/>
      <c r="BF999" s="1190"/>
      <c r="BG999" s="541"/>
      <c r="BH999" s="1190"/>
      <c r="BI999" s="541"/>
      <c r="BJ999" s="1190"/>
      <c r="BK999" s="541"/>
      <c r="BL999" s="541"/>
      <c r="BM999" s="541"/>
      <c r="BP999" s="541"/>
      <c r="BQ999" s="633"/>
      <c r="BR999" s="541"/>
      <c r="BS999" s="541"/>
      <c r="BT999" s="541"/>
      <c r="BU999" s="541"/>
    </row>
    <row r="1000" ht="15.75" customHeight="1">
      <c r="A1000" s="1591"/>
      <c r="B1000" s="1591"/>
      <c r="C1000" s="2217"/>
      <c r="D1000" s="1541"/>
      <c r="E1000" s="906"/>
      <c r="F1000" s="541"/>
      <c r="G1000" s="541"/>
      <c r="H1000" s="541"/>
      <c r="I1000" s="541"/>
      <c r="J1000" s="1748"/>
      <c r="K1000" s="541"/>
      <c r="L1000" s="1748"/>
      <c r="M1000" s="541"/>
      <c r="N1000" s="1748"/>
      <c r="O1000" s="541"/>
      <c r="P1000" s="1748"/>
      <c r="Q1000" s="541"/>
      <c r="R1000" s="1748"/>
      <c r="S1000" s="541"/>
      <c r="T1000" s="1748"/>
      <c r="U1000" s="541"/>
      <c r="V1000" s="1748"/>
      <c r="W1000" s="541"/>
      <c r="X1000" s="1748"/>
      <c r="Y1000" s="1748"/>
      <c r="Z1000" s="1748"/>
      <c r="AA1000" s="541"/>
      <c r="AB1000" s="1748"/>
      <c r="AC1000" s="541"/>
      <c r="AD1000" s="541"/>
      <c r="AE1000" s="541"/>
      <c r="AF1000" s="541"/>
      <c r="AG1000" s="541"/>
      <c r="AH1000" s="541"/>
      <c r="AI1000" s="541"/>
      <c r="AJ1000" s="541"/>
      <c r="AK1000" s="541"/>
      <c r="AL1000" s="541"/>
      <c r="AM1000" s="541"/>
      <c r="AN1000" s="1748"/>
      <c r="AO1000" s="1748"/>
      <c r="AP1000" s="1748"/>
      <c r="AQ1000" s="1748"/>
      <c r="AR1000" s="1748"/>
      <c r="AS1000" s="541"/>
      <c r="AT1000" s="541"/>
      <c r="AU1000" s="541"/>
      <c r="AV1000" s="541"/>
      <c r="AW1000" s="541"/>
      <c r="AY1000" s="541"/>
      <c r="AZ1000" s="633"/>
      <c r="BA1000" s="541"/>
      <c r="BB1000" s="1190"/>
      <c r="BC1000" s="541"/>
      <c r="BD1000" s="1190"/>
      <c r="BE1000" s="541"/>
      <c r="BF1000" s="1190"/>
      <c r="BG1000" s="541"/>
      <c r="BH1000" s="1190"/>
      <c r="BI1000" s="541"/>
      <c r="BJ1000" s="1190"/>
      <c r="BK1000" s="541"/>
      <c r="BL1000" s="541"/>
      <c r="BM1000" s="541"/>
      <c r="BP1000" s="541"/>
      <c r="BQ1000" s="633"/>
      <c r="BR1000" s="541"/>
      <c r="BS1000" s="541"/>
      <c r="BT1000" s="541"/>
      <c r="BU1000" s="541"/>
    </row>
    <row r="1001" ht="15.75" customHeight="1">
      <c r="A1001" s="1591"/>
      <c r="B1001" s="1591"/>
      <c r="C1001" s="2217"/>
      <c r="D1001" s="1541"/>
      <c r="E1001" s="906"/>
      <c r="F1001" s="541"/>
      <c r="G1001" s="541"/>
      <c r="H1001" s="541"/>
      <c r="I1001" s="541"/>
      <c r="J1001" s="1748"/>
      <c r="K1001" s="541"/>
      <c r="L1001" s="1748"/>
      <c r="M1001" s="541"/>
      <c r="N1001" s="1748"/>
      <c r="O1001" s="541"/>
      <c r="P1001" s="1748"/>
      <c r="Q1001" s="541"/>
      <c r="R1001" s="1748"/>
      <c r="S1001" s="541"/>
      <c r="T1001" s="1748"/>
      <c r="U1001" s="541"/>
      <c r="V1001" s="1748"/>
      <c r="W1001" s="541"/>
      <c r="X1001" s="1748"/>
      <c r="Y1001" s="1748"/>
      <c r="Z1001" s="1748"/>
      <c r="AA1001" s="541"/>
      <c r="AB1001" s="1748"/>
      <c r="AC1001" s="541"/>
      <c r="AD1001" s="541"/>
      <c r="AE1001" s="541"/>
      <c r="AF1001" s="541"/>
      <c r="AG1001" s="541"/>
      <c r="AH1001" s="541"/>
      <c r="AI1001" s="541"/>
      <c r="AJ1001" s="541"/>
      <c r="AK1001" s="541"/>
      <c r="AL1001" s="541"/>
      <c r="AM1001" s="541"/>
      <c r="AN1001" s="1748"/>
      <c r="AO1001" s="1748"/>
      <c r="AP1001" s="1748"/>
      <c r="AQ1001" s="1748"/>
      <c r="AR1001" s="1748"/>
      <c r="AS1001" s="541"/>
      <c r="AT1001" s="541"/>
      <c r="AU1001" s="541"/>
      <c r="AV1001" s="541"/>
      <c r="AW1001" s="541"/>
      <c r="AY1001" s="541"/>
      <c r="AZ1001" s="633"/>
      <c r="BA1001" s="541"/>
      <c r="BB1001" s="1190"/>
      <c r="BC1001" s="541"/>
      <c r="BD1001" s="1190"/>
      <c r="BE1001" s="541"/>
      <c r="BF1001" s="1190"/>
      <c r="BG1001" s="541"/>
      <c r="BH1001" s="1190"/>
      <c r="BI1001" s="541"/>
      <c r="BJ1001" s="1190"/>
      <c r="BK1001" s="541"/>
      <c r="BL1001" s="541"/>
      <c r="BM1001" s="541"/>
      <c r="BP1001" s="541"/>
      <c r="BQ1001" s="633"/>
      <c r="BR1001" s="541"/>
      <c r="BS1001" s="541"/>
      <c r="BT1001" s="541"/>
      <c r="BU1001" s="541"/>
    </row>
    <row r="1002" ht="15.75" customHeight="1">
      <c r="A1002" s="1591"/>
      <c r="B1002" s="1591"/>
      <c r="C1002" s="2217"/>
      <c r="D1002" s="1541"/>
      <c r="E1002" s="906"/>
      <c r="F1002" s="541"/>
      <c r="G1002" s="541"/>
      <c r="H1002" s="541"/>
      <c r="I1002" s="541"/>
      <c r="J1002" s="1748"/>
      <c r="K1002" s="541"/>
      <c r="L1002" s="1748"/>
      <c r="M1002" s="541"/>
      <c r="N1002" s="1748"/>
      <c r="O1002" s="541"/>
      <c r="P1002" s="1748"/>
      <c r="Q1002" s="541"/>
      <c r="R1002" s="1748"/>
      <c r="S1002" s="541"/>
      <c r="T1002" s="1748"/>
      <c r="U1002" s="541"/>
      <c r="V1002" s="1748"/>
      <c r="W1002" s="541"/>
      <c r="X1002" s="1748"/>
      <c r="Y1002" s="1748"/>
      <c r="Z1002" s="1748"/>
      <c r="AA1002" s="541"/>
      <c r="AB1002" s="1748"/>
      <c r="AC1002" s="541"/>
      <c r="AD1002" s="541"/>
      <c r="AE1002" s="541"/>
      <c r="AF1002" s="541"/>
      <c r="AG1002" s="541"/>
      <c r="AH1002" s="541"/>
      <c r="AI1002" s="541"/>
      <c r="AJ1002" s="541"/>
      <c r="AK1002" s="541"/>
      <c r="AL1002" s="541"/>
      <c r="AM1002" s="541"/>
      <c r="AN1002" s="1748"/>
      <c r="AO1002" s="1748"/>
      <c r="AP1002" s="1748"/>
      <c r="AQ1002" s="1748"/>
      <c r="AR1002" s="1748"/>
      <c r="AS1002" s="541"/>
      <c r="AT1002" s="541"/>
      <c r="AU1002" s="541"/>
      <c r="AV1002" s="541"/>
      <c r="AW1002" s="541"/>
      <c r="AY1002" s="541"/>
      <c r="AZ1002" s="633"/>
      <c r="BA1002" s="541"/>
      <c r="BB1002" s="1190"/>
      <c r="BC1002" s="541"/>
      <c r="BD1002" s="1190"/>
      <c r="BE1002" s="541"/>
      <c r="BF1002" s="1190"/>
      <c r="BG1002" s="541"/>
      <c r="BH1002" s="1190"/>
      <c r="BI1002" s="541"/>
      <c r="BJ1002" s="1190"/>
      <c r="BK1002" s="541"/>
      <c r="BL1002" s="541"/>
      <c r="BM1002" s="541"/>
      <c r="BP1002" s="541"/>
      <c r="BQ1002" s="633"/>
      <c r="BR1002" s="541"/>
      <c r="BS1002" s="541"/>
      <c r="BT1002" s="541"/>
      <c r="BU1002" s="541"/>
    </row>
    <row r="1003" ht="15.75" customHeight="1">
      <c r="A1003" s="1591"/>
      <c r="B1003" s="1591"/>
      <c r="C1003" s="2217"/>
      <c r="D1003" s="1541"/>
      <c r="E1003" s="906"/>
      <c r="F1003" s="541"/>
      <c r="G1003" s="541"/>
      <c r="H1003" s="541"/>
      <c r="I1003" s="541"/>
      <c r="J1003" s="1748"/>
      <c r="K1003" s="541"/>
      <c r="L1003" s="1748"/>
      <c r="M1003" s="541"/>
      <c r="N1003" s="1748"/>
      <c r="O1003" s="541"/>
      <c r="P1003" s="1748"/>
      <c r="Q1003" s="541"/>
      <c r="R1003" s="1748"/>
      <c r="S1003" s="541"/>
      <c r="T1003" s="1748"/>
      <c r="U1003" s="541"/>
      <c r="V1003" s="1748"/>
      <c r="W1003" s="541"/>
      <c r="X1003" s="1748"/>
      <c r="Y1003" s="1748"/>
      <c r="Z1003" s="1748"/>
      <c r="AA1003" s="541"/>
      <c r="AB1003" s="1748"/>
      <c r="AC1003" s="541"/>
      <c r="AD1003" s="541"/>
      <c r="AE1003" s="541"/>
      <c r="AF1003" s="541"/>
      <c r="AG1003" s="541"/>
      <c r="AH1003" s="541"/>
      <c r="AI1003" s="541"/>
      <c r="AJ1003" s="541"/>
      <c r="AK1003" s="541"/>
      <c r="AL1003" s="541"/>
      <c r="AM1003" s="541"/>
      <c r="AN1003" s="1748"/>
      <c r="AO1003" s="1748"/>
      <c r="AP1003" s="1748"/>
      <c r="AQ1003" s="1748"/>
      <c r="AR1003" s="1748"/>
      <c r="AS1003" s="541"/>
      <c r="AT1003" s="541"/>
      <c r="AU1003" s="541"/>
      <c r="AV1003" s="541"/>
      <c r="AW1003" s="541"/>
      <c r="AY1003" s="541"/>
      <c r="AZ1003" s="633"/>
      <c r="BA1003" s="541"/>
      <c r="BB1003" s="1190"/>
      <c r="BC1003" s="541"/>
      <c r="BD1003" s="1190"/>
      <c r="BE1003" s="541"/>
      <c r="BF1003" s="1190"/>
      <c r="BG1003" s="541"/>
      <c r="BH1003" s="1190"/>
      <c r="BI1003" s="541"/>
      <c r="BJ1003" s="1190"/>
      <c r="BK1003" s="541"/>
      <c r="BL1003" s="541"/>
      <c r="BM1003" s="541"/>
      <c r="BP1003" s="541"/>
      <c r="BQ1003" s="633"/>
      <c r="BR1003" s="541"/>
      <c r="BS1003" s="541"/>
      <c r="BT1003" s="541"/>
      <c r="BU1003" s="541"/>
    </row>
    <row r="1004" ht="15.75" customHeight="1">
      <c r="A1004" s="1591"/>
      <c r="B1004" s="1591"/>
      <c r="C1004" s="2217"/>
      <c r="D1004" s="1541"/>
      <c r="E1004" s="906"/>
      <c r="F1004" s="541"/>
      <c r="G1004" s="541"/>
      <c r="H1004" s="541"/>
      <c r="I1004" s="541"/>
      <c r="J1004" s="1748"/>
      <c r="K1004" s="541"/>
      <c r="L1004" s="1748"/>
      <c r="M1004" s="541"/>
      <c r="N1004" s="1748"/>
      <c r="O1004" s="541"/>
      <c r="P1004" s="1748"/>
      <c r="Q1004" s="541"/>
      <c r="R1004" s="1748"/>
      <c r="S1004" s="541"/>
      <c r="T1004" s="1748"/>
      <c r="U1004" s="541"/>
      <c r="V1004" s="1748"/>
      <c r="W1004" s="541"/>
      <c r="X1004" s="1748"/>
      <c r="Y1004" s="1748"/>
      <c r="Z1004" s="1748"/>
      <c r="AA1004" s="541"/>
      <c r="AB1004" s="1748"/>
      <c r="AC1004" s="541"/>
      <c r="AD1004" s="541"/>
      <c r="AE1004" s="541"/>
      <c r="AF1004" s="541"/>
      <c r="AG1004" s="541"/>
      <c r="AH1004" s="541"/>
      <c r="AI1004" s="541"/>
      <c r="AJ1004" s="541"/>
      <c r="AK1004" s="541"/>
      <c r="AL1004" s="541"/>
      <c r="AM1004" s="541"/>
      <c r="AN1004" s="1748"/>
      <c r="AO1004" s="1748"/>
      <c r="AP1004" s="1748"/>
      <c r="AQ1004" s="1748"/>
      <c r="AR1004" s="1748"/>
      <c r="AS1004" s="541"/>
      <c r="AT1004" s="541"/>
      <c r="AU1004" s="541"/>
      <c r="AV1004" s="541"/>
      <c r="AW1004" s="541"/>
      <c r="AY1004" s="541"/>
      <c r="AZ1004" s="633"/>
      <c r="BA1004" s="541"/>
      <c r="BB1004" s="1190"/>
      <c r="BC1004" s="541"/>
      <c r="BD1004" s="1190"/>
      <c r="BE1004" s="541"/>
      <c r="BF1004" s="1190"/>
      <c r="BG1004" s="541"/>
      <c r="BH1004" s="1190"/>
      <c r="BI1004" s="541"/>
      <c r="BJ1004" s="1190"/>
      <c r="BK1004" s="541"/>
      <c r="BL1004" s="541"/>
      <c r="BM1004" s="541"/>
      <c r="BP1004" s="541"/>
      <c r="BQ1004" s="633"/>
      <c r="BR1004" s="541"/>
      <c r="BS1004" s="541"/>
      <c r="BT1004" s="541"/>
      <c r="BU1004" s="541"/>
    </row>
    <row r="1005" ht="15.75" customHeight="1">
      <c r="A1005" s="1591"/>
      <c r="B1005" s="1591"/>
      <c r="C1005" s="2217"/>
      <c r="D1005" s="1541"/>
      <c r="E1005" s="906"/>
      <c r="F1005" s="541"/>
      <c r="G1005" s="541"/>
      <c r="H1005" s="541"/>
      <c r="I1005" s="541"/>
      <c r="J1005" s="1748"/>
      <c r="K1005" s="541"/>
      <c r="L1005" s="1748"/>
      <c r="M1005" s="541"/>
      <c r="N1005" s="1748"/>
      <c r="O1005" s="541"/>
      <c r="P1005" s="1748"/>
      <c r="Q1005" s="541"/>
      <c r="R1005" s="1748"/>
      <c r="S1005" s="541"/>
      <c r="T1005" s="1748"/>
      <c r="U1005" s="541"/>
      <c r="V1005" s="1748"/>
      <c r="W1005" s="541"/>
      <c r="X1005" s="1748"/>
      <c r="Y1005" s="1748"/>
      <c r="Z1005" s="1748"/>
      <c r="AA1005" s="541"/>
      <c r="AB1005" s="1748"/>
      <c r="AC1005" s="541"/>
      <c r="AD1005" s="541"/>
      <c r="AE1005" s="541"/>
      <c r="AF1005" s="541"/>
      <c r="AG1005" s="541"/>
      <c r="AH1005" s="541"/>
      <c r="AI1005" s="541"/>
      <c r="AJ1005" s="541"/>
      <c r="AK1005" s="541"/>
      <c r="AL1005" s="541"/>
      <c r="AM1005" s="541"/>
      <c r="AN1005" s="1748"/>
      <c r="AO1005" s="1748"/>
      <c r="AP1005" s="1748"/>
      <c r="AQ1005" s="1748"/>
      <c r="AR1005" s="1748"/>
      <c r="AS1005" s="541"/>
      <c r="AT1005" s="541"/>
      <c r="AU1005" s="541"/>
      <c r="AV1005" s="541"/>
      <c r="AW1005" s="541"/>
      <c r="AY1005" s="541"/>
      <c r="AZ1005" s="633"/>
      <c r="BA1005" s="541"/>
      <c r="BB1005" s="1190"/>
      <c r="BC1005" s="541"/>
      <c r="BD1005" s="1190"/>
      <c r="BE1005" s="541"/>
      <c r="BF1005" s="1190"/>
      <c r="BG1005" s="541"/>
      <c r="BH1005" s="1190"/>
      <c r="BI1005" s="541"/>
      <c r="BJ1005" s="1190"/>
      <c r="BK1005" s="541"/>
      <c r="BL1005" s="541"/>
      <c r="BM1005" s="541"/>
      <c r="BP1005" s="541"/>
      <c r="BQ1005" s="633"/>
      <c r="BR1005" s="541"/>
      <c r="BS1005" s="541"/>
      <c r="BT1005" s="541"/>
      <c r="BU1005" s="541"/>
    </row>
    <row r="1006" ht="15.75" customHeight="1">
      <c r="A1006" s="1591"/>
      <c r="B1006" s="1591"/>
      <c r="C1006" s="2217"/>
      <c r="D1006" s="1541"/>
      <c r="E1006" s="906"/>
      <c r="F1006" s="541"/>
      <c r="G1006" s="541"/>
      <c r="H1006" s="541"/>
      <c r="I1006" s="541"/>
      <c r="J1006" s="1748"/>
      <c r="K1006" s="541"/>
      <c r="L1006" s="1748"/>
      <c r="M1006" s="541"/>
      <c r="N1006" s="1748"/>
      <c r="O1006" s="541"/>
      <c r="P1006" s="1748"/>
      <c r="Q1006" s="541"/>
      <c r="R1006" s="1748"/>
      <c r="S1006" s="541"/>
      <c r="T1006" s="1748"/>
      <c r="U1006" s="541"/>
      <c r="V1006" s="1748"/>
      <c r="W1006" s="541"/>
      <c r="X1006" s="1748"/>
      <c r="Y1006" s="1748"/>
      <c r="Z1006" s="1748"/>
      <c r="AA1006" s="541"/>
      <c r="AB1006" s="1748"/>
      <c r="AC1006" s="541"/>
      <c r="AD1006" s="541"/>
      <c r="AE1006" s="541"/>
      <c r="AF1006" s="541"/>
      <c r="AG1006" s="541"/>
      <c r="AH1006" s="541"/>
      <c r="AI1006" s="541"/>
      <c r="AJ1006" s="541"/>
      <c r="AK1006" s="541"/>
      <c r="AL1006" s="541"/>
      <c r="AM1006" s="541"/>
      <c r="AN1006" s="1748"/>
      <c r="AO1006" s="1748"/>
      <c r="AP1006" s="1748"/>
      <c r="AQ1006" s="1748"/>
      <c r="AR1006" s="1748"/>
      <c r="AS1006" s="541"/>
      <c r="AT1006" s="541"/>
      <c r="AU1006" s="541"/>
      <c r="AV1006" s="541"/>
      <c r="AW1006" s="541"/>
      <c r="AY1006" s="541"/>
      <c r="AZ1006" s="633"/>
      <c r="BA1006" s="541"/>
      <c r="BB1006" s="1190"/>
      <c r="BC1006" s="541"/>
      <c r="BD1006" s="1190"/>
      <c r="BE1006" s="541"/>
      <c r="BF1006" s="1190"/>
      <c r="BG1006" s="541"/>
      <c r="BH1006" s="1190"/>
      <c r="BI1006" s="541"/>
      <c r="BJ1006" s="1190"/>
      <c r="BK1006" s="541"/>
      <c r="BL1006" s="541"/>
      <c r="BM1006" s="541"/>
      <c r="BP1006" s="541"/>
      <c r="BQ1006" s="633"/>
      <c r="BR1006" s="541"/>
      <c r="BS1006" s="541"/>
      <c r="BT1006" s="541"/>
      <c r="BU1006" s="541"/>
    </row>
    <row r="1007" ht="15.75" customHeight="1">
      <c r="A1007" s="1591"/>
      <c r="B1007" s="1591"/>
      <c r="C1007" s="2217"/>
      <c r="D1007" s="1541"/>
      <c r="E1007" s="906"/>
      <c r="F1007" s="541"/>
      <c r="G1007" s="541"/>
      <c r="H1007" s="541"/>
      <c r="I1007" s="541"/>
      <c r="J1007" s="1748"/>
      <c r="K1007" s="541"/>
      <c r="L1007" s="1748"/>
      <c r="M1007" s="541"/>
      <c r="N1007" s="1748"/>
      <c r="O1007" s="541"/>
      <c r="P1007" s="1748"/>
      <c r="Q1007" s="541"/>
      <c r="R1007" s="1748"/>
      <c r="S1007" s="541"/>
      <c r="T1007" s="1748"/>
      <c r="U1007" s="541"/>
      <c r="V1007" s="1748"/>
      <c r="W1007" s="541"/>
      <c r="X1007" s="1748"/>
      <c r="Y1007" s="1748"/>
      <c r="Z1007" s="1748"/>
      <c r="AA1007" s="541"/>
      <c r="AB1007" s="1748"/>
      <c r="AC1007" s="541"/>
      <c r="AD1007" s="541"/>
      <c r="AE1007" s="541"/>
      <c r="AF1007" s="541"/>
      <c r="AG1007" s="541"/>
      <c r="AH1007" s="541"/>
      <c r="AI1007" s="541"/>
      <c r="AJ1007" s="541"/>
      <c r="AK1007" s="541"/>
      <c r="AL1007" s="541"/>
      <c r="AM1007" s="541"/>
      <c r="AN1007" s="1748"/>
      <c r="AO1007" s="1748"/>
      <c r="AP1007" s="1748"/>
      <c r="AQ1007" s="1748"/>
      <c r="AR1007" s="1748"/>
      <c r="AS1007" s="541"/>
      <c r="AT1007" s="541"/>
      <c r="AU1007" s="541"/>
      <c r="AV1007" s="541"/>
      <c r="AW1007" s="541"/>
      <c r="AY1007" s="541"/>
      <c r="AZ1007" s="633"/>
      <c r="BA1007" s="541"/>
      <c r="BB1007" s="1190"/>
      <c r="BC1007" s="541"/>
      <c r="BD1007" s="1190"/>
      <c r="BE1007" s="541"/>
      <c r="BF1007" s="1190"/>
      <c r="BG1007" s="541"/>
      <c r="BH1007" s="1190"/>
      <c r="BI1007" s="541"/>
      <c r="BJ1007" s="1190"/>
      <c r="BK1007" s="541"/>
      <c r="BL1007" s="541"/>
      <c r="BM1007" s="541"/>
      <c r="BP1007" s="541"/>
      <c r="BQ1007" s="633"/>
      <c r="BR1007" s="541"/>
      <c r="BS1007" s="541"/>
      <c r="BT1007" s="541"/>
      <c r="BU1007" s="541"/>
    </row>
    <row r="1008" ht="15.75" customHeight="1">
      <c r="A1008" s="1591"/>
      <c r="B1008" s="1591"/>
      <c r="C1008" s="2217"/>
      <c r="D1008" s="1541"/>
      <c r="E1008" s="906"/>
      <c r="F1008" s="541"/>
      <c r="G1008" s="541"/>
      <c r="H1008" s="541"/>
      <c r="I1008" s="541"/>
      <c r="J1008" s="1748"/>
      <c r="K1008" s="541"/>
      <c r="L1008" s="1748"/>
      <c r="M1008" s="541"/>
      <c r="N1008" s="1748"/>
      <c r="O1008" s="541"/>
      <c r="P1008" s="1748"/>
      <c r="Q1008" s="541"/>
      <c r="R1008" s="1748"/>
      <c r="S1008" s="541"/>
      <c r="T1008" s="1748"/>
      <c r="U1008" s="541"/>
      <c r="V1008" s="1748"/>
      <c r="W1008" s="541"/>
      <c r="X1008" s="1748"/>
      <c r="Y1008" s="1748"/>
      <c r="Z1008" s="1748"/>
      <c r="AA1008" s="541"/>
      <c r="AB1008" s="1748"/>
      <c r="AC1008" s="541"/>
      <c r="AD1008" s="541"/>
      <c r="AE1008" s="541"/>
      <c r="AF1008" s="541"/>
      <c r="AG1008" s="541"/>
      <c r="AH1008" s="541"/>
      <c r="AI1008" s="541"/>
      <c r="AJ1008" s="541"/>
      <c r="AK1008" s="541"/>
      <c r="AL1008" s="541"/>
      <c r="AM1008" s="541"/>
      <c r="AN1008" s="1748"/>
      <c r="AO1008" s="1748"/>
      <c r="AP1008" s="1748"/>
      <c r="AQ1008" s="1748"/>
      <c r="AR1008" s="1748"/>
      <c r="AS1008" s="541"/>
      <c r="AT1008" s="541"/>
      <c r="AU1008" s="541"/>
      <c r="AV1008" s="541"/>
      <c r="AW1008" s="541"/>
      <c r="AY1008" s="541"/>
      <c r="AZ1008" s="633"/>
      <c r="BA1008" s="541"/>
      <c r="BB1008" s="1190"/>
      <c r="BC1008" s="541"/>
      <c r="BD1008" s="1190"/>
      <c r="BE1008" s="541"/>
      <c r="BF1008" s="1190"/>
      <c r="BG1008" s="541"/>
      <c r="BH1008" s="1190"/>
      <c r="BI1008" s="541"/>
      <c r="BJ1008" s="1190"/>
      <c r="BK1008" s="541"/>
      <c r="BL1008" s="541"/>
      <c r="BM1008" s="541"/>
      <c r="BP1008" s="541"/>
      <c r="BQ1008" s="633"/>
      <c r="BR1008" s="541"/>
      <c r="BS1008" s="541"/>
      <c r="BT1008" s="541"/>
      <c r="BU1008" s="541"/>
    </row>
    <row r="1009" ht="15.75" customHeight="1">
      <c r="A1009" s="1591"/>
      <c r="B1009" s="1591"/>
      <c r="C1009" s="2217"/>
      <c r="D1009" s="1541"/>
      <c r="E1009" s="906"/>
      <c r="F1009" s="541"/>
      <c r="G1009" s="541"/>
      <c r="H1009" s="541"/>
      <c r="I1009" s="541"/>
      <c r="J1009" s="1748"/>
      <c r="K1009" s="541"/>
      <c r="L1009" s="1748"/>
      <c r="M1009" s="541"/>
      <c r="N1009" s="1748"/>
      <c r="O1009" s="541"/>
      <c r="P1009" s="1748"/>
      <c r="Q1009" s="541"/>
      <c r="R1009" s="1748"/>
      <c r="S1009" s="541"/>
      <c r="T1009" s="1748"/>
      <c r="U1009" s="541"/>
      <c r="V1009" s="1748"/>
      <c r="W1009" s="541"/>
      <c r="X1009" s="1748"/>
      <c r="Y1009" s="1748"/>
      <c r="Z1009" s="1748"/>
      <c r="AA1009" s="541"/>
      <c r="AB1009" s="1748"/>
      <c r="AC1009" s="541"/>
      <c r="AD1009" s="541"/>
      <c r="AE1009" s="541"/>
      <c r="AF1009" s="541"/>
      <c r="AG1009" s="541"/>
      <c r="AH1009" s="541"/>
      <c r="AI1009" s="541"/>
      <c r="AJ1009" s="541"/>
      <c r="AK1009" s="541"/>
      <c r="AL1009" s="541"/>
      <c r="AM1009" s="541"/>
      <c r="AN1009" s="1748"/>
      <c r="AO1009" s="1748"/>
      <c r="AP1009" s="1748"/>
      <c r="AQ1009" s="1748"/>
      <c r="AR1009" s="1748"/>
      <c r="AS1009" s="541"/>
      <c r="AT1009" s="541"/>
      <c r="AU1009" s="541"/>
      <c r="AV1009" s="541"/>
      <c r="AW1009" s="541"/>
      <c r="AY1009" s="541"/>
      <c r="AZ1009" s="633"/>
      <c r="BA1009" s="541"/>
      <c r="BB1009" s="1190"/>
      <c r="BC1009" s="541"/>
      <c r="BD1009" s="1190"/>
      <c r="BE1009" s="541"/>
      <c r="BF1009" s="1190"/>
      <c r="BG1009" s="541"/>
      <c r="BH1009" s="1190"/>
      <c r="BI1009" s="541"/>
      <c r="BJ1009" s="1190"/>
      <c r="BK1009" s="541"/>
      <c r="BL1009" s="541"/>
      <c r="BM1009" s="541"/>
      <c r="BP1009" s="541"/>
      <c r="BQ1009" s="633"/>
      <c r="BR1009" s="541"/>
      <c r="BS1009" s="541"/>
      <c r="BT1009" s="541"/>
      <c r="BU1009" s="541"/>
    </row>
    <row r="1010" ht="15.75" customHeight="1">
      <c r="A1010" s="1591"/>
      <c r="B1010" s="1591"/>
      <c r="C1010" s="2217"/>
      <c r="D1010" s="1541"/>
      <c r="E1010" s="906"/>
      <c r="F1010" s="541"/>
      <c r="G1010" s="541"/>
      <c r="H1010" s="541"/>
      <c r="I1010" s="541"/>
      <c r="J1010" s="1748"/>
      <c r="K1010" s="541"/>
      <c r="L1010" s="1748"/>
      <c r="M1010" s="541"/>
      <c r="N1010" s="1748"/>
      <c r="O1010" s="541"/>
      <c r="P1010" s="1748"/>
      <c r="Q1010" s="541"/>
      <c r="R1010" s="1748"/>
      <c r="S1010" s="541"/>
      <c r="T1010" s="1748"/>
      <c r="U1010" s="541"/>
      <c r="V1010" s="1748"/>
      <c r="W1010" s="541"/>
      <c r="X1010" s="1748"/>
      <c r="Y1010" s="1748"/>
      <c r="Z1010" s="1748"/>
      <c r="AA1010" s="541"/>
      <c r="AB1010" s="1748"/>
      <c r="AC1010" s="541"/>
      <c r="AD1010" s="541"/>
      <c r="AE1010" s="541"/>
      <c r="AF1010" s="541"/>
      <c r="AG1010" s="541"/>
      <c r="AH1010" s="541"/>
      <c r="AI1010" s="541"/>
      <c r="AJ1010" s="541"/>
      <c r="AK1010" s="541"/>
      <c r="AL1010" s="541"/>
      <c r="AM1010" s="541"/>
      <c r="AN1010" s="1748"/>
      <c r="AO1010" s="1748"/>
      <c r="AP1010" s="1748"/>
      <c r="AQ1010" s="1748"/>
      <c r="AR1010" s="1748"/>
      <c r="AS1010" s="541"/>
      <c r="AT1010" s="541"/>
      <c r="AU1010" s="541"/>
      <c r="AV1010" s="541"/>
      <c r="AW1010" s="541"/>
      <c r="AY1010" s="541"/>
      <c r="AZ1010" s="633"/>
      <c r="BA1010" s="541"/>
      <c r="BB1010" s="1190"/>
      <c r="BC1010" s="541"/>
      <c r="BD1010" s="1190"/>
      <c r="BE1010" s="541"/>
      <c r="BF1010" s="1190"/>
      <c r="BG1010" s="541"/>
      <c r="BH1010" s="1190"/>
      <c r="BI1010" s="541"/>
      <c r="BJ1010" s="1190"/>
      <c r="BK1010" s="541"/>
      <c r="BL1010" s="541"/>
      <c r="BM1010" s="541"/>
      <c r="BP1010" s="541"/>
      <c r="BQ1010" s="633"/>
      <c r="BR1010" s="541"/>
      <c r="BS1010" s="541"/>
      <c r="BT1010" s="541"/>
      <c r="BU1010" s="541"/>
    </row>
    <row r="1011" ht="15.75" customHeight="1">
      <c r="A1011" s="1591"/>
      <c r="B1011" s="1591"/>
      <c r="C1011" s="2217"/>
      <c r="D1011" s="1541"/>
      <c r="E1011" s="906"/>
      <c r="F1011" s="541"/>
      <c r="G1011" s="541"/>
      <c r="H1011" s="541"/>
      <c r="I1011" s="541"/>
      <c r="J1011" s="1748"/>
      <c r="K1011" s="541"/>
      <c r="L1011" s="1748"/>
      <c r="M1011" s="541"/>
      <c r="N1011" s="1748"/>
      <c r="O1011" s="541"/>
      <c r="P1011" s="1748"/>
      <c r="Q1011" s="541"/>
      <c r="R1011" s="1748"/>
      <c r="S1011" s="541"/>
      <c r="T1011" s="1748"/>
      <c r="U1011" s="541"/>
      <c r="V1011" s="1748"/>
      <c r="W1011" s="541"/>
      <c r="X1011" s="1748"/>
      <c r="Y1011" s="1748"/>
      <c r="Z1011" s="1748"/>
      <c r="AA1011" s="541"/>
      <c r="AB1011" s="1748"/>
      <c r="AC1011" s="541"/>
      <c r="AD1011" s="541"/>
      <c r="AE1011" s="541"/>
      <c r="AF1011" s="541"/>
      <c r="AG1011" s="541"/>
      <c r="AH1011" s="541"/>
      <c r="AI1011" s="541"/>
      <c r="AJ1011" s="541"/>
      <c r="AK1011" s="541"/>
      <c r="AL1011" s="541"/>
      <c r="AM1011" s="541"/>
      <c r="AN1011" s="1748"/>
      <c r="AO1011" s="1748"/>
      <c r="AP1011" s="1748"/>
      <c r="AQ1011" s="1748"/>
      <c r="AR1011" s="1748"/>
      <c r="AS1011" s="541"/>
      <c r="AT1011" s="541"/>
      <c r="AU1011" s="541"/>
      <c r="AV1011" s="541"/>
      <c r="AW1011" s="541"/>
      <c r="AY1011" s="541"/>
      <c r="AZ1011" s="633"/>
      <c r="BA1011" s="541"/>
      <c r="BB1011" s="1190"/>
      <c r="BC1011" s="541"/>
      <c r="BD1011" s="1190"/>
      <c r="BE1011" s="541"/>
      <c r="BF1011" s="1190"/>
      <c r="BG1011" s="541"/>
      <c r="BH1011" s="1190"/>
      <c r="BI1011" s="541"/>
      <c r="BJ1011" s="1190"/>
      <c r="BK1011" s="541"/>
      <c r="BL1011" s="541"/>
      <c r="BM1011" s="541"/>
      <c r="BP1011" s="541"/>
      <c r="BQ1011" s="633"/>
      <c r="BR1011" s="541"/>
      <c r="BS1011" s="541"/>
      <c r="BT1011" s="541"/>
      <c r="BU1011" s="541"/>
    </row>
    <row r="1012" ht="15.75" customHeight="1">
      <c r="A1012" s="1591"/>
      <c r="B1012" s="1591"/>
      <c r="C1012" s="2217"/>
      <c r="D1012" s="1541"/>
      <c r="E1012" s="906"/>
      <c r="F1012" s="541"/>
      <c r="G1012" s="541"/>
      <c r="H1012" s="541"/>
      <c r="I1012" s="541"/>
      <c r="J1012" s="1748"/>
      <c r="K1012" s="541"/>
      <c r="L1012" s="1748"/>
      <c r="M1012" s="541"/>
      <c r="N1012" s="1748"/>
      <c r="O1012" s="541"/>
      <c r="P1012" s="1748"/>
      <c r="Q1012" s="541"/>
      <c r="R1012" s="1748"/>
      <c r="S1012" s="541"/>
      <c r="T1012" s="1748"/>
      <c r="U1012" s="541"/>
      <c r="V1012" s="1748"/>
      <c r="W1012" s="541"/>
      <c r="X1012" s="1748"/>
      <c r="Y1012" s="1748"/>
      <c r="Z1012" s="1748"/>
      <c r="AA1012" s="541"/>
      <c r="AB1012" s="1748"/>
      <c r="AC1012" s="541"/>
      <c r="AD1012" s="541"/>
      <c r="AE1012" s="541"/>
      <c r="AF1012" s="541"/>
      <c r="AG1012" s="541"/>
      <c r="AH1012" s="541"/>
      <c r="AI1012" s="541"/>
      <c r="AJ1012" s="541"/>
      <c r="AK1012" s="541"/>
      <c r="AL1012" s="541"/>
      <c r="AM1012" s="541"/>
      <c r="AN1012" s="1748"/>
      <c r="AO1012" s="1748"/>
      <c r="AP1012" s="1748"/>
      <c r="AQ1012" s="1748"/>
      <c r="AR1012" s="1748"/>
      <c r="AS1012" s="541"/>
      <c r="AT1012" s="541"/>
      <c r="AU1012" s="541"/>
      <c r="AV1012" s="541"/>
      <c r="AW1012" s="541"/>
      <c r="AY1012" s="541"/>
      <c r="AZ1012" s="633"/>
      <c r="BA1012" s="541"/>
      <c r="BB1012" s="1190"/>
      <c r="BC1012" s="541"/>
      <c r="BD1012" s="1190"/>
      <c r="BE1012" s="541"/>
      <c r="BF1012" s="1190"/>
      <c r="BG1012" s="541"/>
      <c r="BH1012" s="1190"/>
      <c r="BI1012" s="541"/>
      <c r="BJ1012" s="1190"/>
      <c r="BK1012" s="541"/>
      <c r="BL1012" s="541"/>
      <c r="BM1012" s="541"/>
      <c r="BP1012" s="541"/>
      <c r="BQ1012" s="633"/>
      <c r="BR1012" s="541"/>
      <c r="BS1012" s="541"/>
      <c r="BT1012" s="541"/>
      <c r="BU1012" s="541"/>
    </row>
    <row r="1013" ht="15.75" customHeight="1">
      <c r="A1013" s="1591"/>
      <c r="B1013" s="1591"/>
      <c r="C1013" s="2217"/>
      <c r="D1013" s="1541"/>
      <c r="E1013" s="906"/>
      <c r="F1013" s="541"/>
      <c r="G1013" s="541"/>
      <c r="H1013" s="541"/>
      <c r="I1013" s="541"/>
      <c r="J1013" s="1748"/>
      <c r="K1013" s="541"/>
      <c r="L1013" s="1748"/>
      <c r="M1013" s="541"/>
      <c r="N1013" s="1748"/>
      <c r="O1013" s="541"/>
      <c r="P1013" s="1748"/>
      <c r="Q1013" s="541"/>
      <c r="R1013" s="1748"/>
      <c r="S1013" s="541"/>
      <c r="T1013" s="1748"/>
      <c r="U1013" s="541"/>
      <c r="V1013" s="1748"/>
      <c r="W1013" s="541"/>
      <c r="X1013" s="1748"/>
      <c r="Y1013" s="1748"/>
      <c r="Z1013" s="1748"/>
      <c r="AA1013" s="541"/>
      <c r="AB1013" s="1748"/>
      <c r="AC1013" s="541"/>
      <c r="AD1013" s="541"/>
      <c r="AE1013" s="541"/>
      <c r="AF1013" s="541"/>
      <c r="AG1013" s="541"/>
      <c r="AH1013" s="541"/>
      <c r="AI1013" s="541"/>
      <c r="AJ1013" s="541"/>
      <c r="AK1013" s="541"/>
      <c r="AL1013" s="541"/>
      <c r="AM1013" s="541"/>
      <c r="AN1013" s="1748"/>
      <c r="AO1013" s="1748"/>
      <c r="AP1013" s="1748"/>
      <c r="AQ1013" s="1748"/>
      <c r="AR1013" s="1748"/>
      <c r="AS1013" s="541"/>
      <c r="AT1013" s="541"/>
      <c r="AU1013" s="541"/>
      <c r="AV1013" s="541"/>
      <c r="AW1013" s="541"/>
      <c r="AY1013" s="541"/>
      <c r="AZ1013" s="633"/>
      <c r="BA1013" s="541"/>
      <c r="BB1013" s="1190"/>
      <c r="BC1013" s="541"/>
      <c r="BD1013" s="1190"/>
      <c r="BE1013" s="541"/>
      <c r="BF1013" s="1190"/>
      <c r="BG1013" s="541"/>
      <c r="BH1013" s="1190"/>
      <c r="BI1013" s="541"/>
      <c r="BJ1013" s="1190"/>
      <c r="BK1013" s="541"/>
      <c r="BL1013" s="541"/>
      <c r="BM1013" s="541"/>
      <c r="BP1013" s="541"/>
      <c r="BQ1013" s="633"/>
      <c r="BR1013" s="541"/>
      <c r="BS1013" s="541"/>
      <c r="BT1013" s="541"/>
      <c r="BU1013" s="541"/>
    </row>
    <row r="1014" ht="15.75" customHeight="1">
      <c r="A1014" s="1591"/>
      <c r="B1014" s="1591"/>
      <c r="C1014" s="2217"/>
      <c r="D1014" s="1541"/>
      <c r="E1014" s="906"/>
      <c r="F1014" s="541"/>
      <c r="G1014" s="541"/>
      <c r="H1014" s="541"/>
      <c r="I1014" s="541"/>
      <c r="J1014" s="1748"/>
      <c r="K1014" s="541"/>
      <c r="L1014" s="1748"/>
      <c r="M1014" s="541"/>
      <c r="N1014" s="1748"/>
      <c r="O1014" s="541"/>
      <c r="P1014" s="1748"/>
      <c r="Q1014" s="541"/>
      <c r="R1014" s="1748"/>
      <c r="S1014" s="541"/>
      <c r="T1014" s="1748"/>
      <c r="U1014" s="541"/>
      <c r="V1014" s="1748"/>
      <c r="W1014" s="541"/>
      <c r="X1014" s="1748"/>
      <c r="Y1014" s="1748"/>
      <c r="Z1014" s="1748"/>
      <c r="AA1014" s="541"/>
      <c r="AB1014" s="1748"/>
      <c r="AC1014" s="541"/>
      <c r="AD1014" s="541"/>
      <c r="AE1014" s="541"/>
      <c r="AF1014" s="541"/>
      <c r="AG1014" s="541"/>
      <c r="AH1014" s="541"/>
      <c r="AI1014" s="541"/>
      <c r="AJ1014" s="541"/>
      <c r="AK1014" s="541"/>
      <c r="AL1014" s="541"/>
      <c r="AM1014" s="541"/>
      <c r="AN1014" s="1748"/>
      <c r="AO1014" s="1748"/>
      <c r="AP1014" s="1748"/>
      <c r="AQ1014" s="1748"/>
      <c r="AR1014" s="1748"/>
      <c r="AS1014" s="541"/>
      <c r="AT1014" s="541"/>
      <c r="AU1014" s="541"/>
      <c r="AV1014" s="541"/>
      <c r="AW1014" s="541"/>
      <c r="AY1014" s="541"/>
      <c r="AZ1014" s="633"/>
      <c r="BA1014" s="541"/>
      <c r="BB1014" s="1190"/>
      <c r="BC1014" s="541"/>
      <c r="BD1014" s="1190"/>
      <c r="BE1014" s="541"/>
      <c r="BF1014" s="1190"/>
      <c r="BG1014" s="541"/>
      <c r="BH1014" s="1190"/>
      <c r="BI1014" s="541"/>
      <c r="BJ1014" s="1190"/>
      <c r="BK1014" s="541"/>
      <c r="BL1014" s="541"/>
      <c r="BM1014" s="541"/>
      <c r="BP1014" s="541"/>
      <c r="BQ1014" s="633"/>
      <c r="BR1014" s="541"/>
      <c r="BS1014" s="541"/>
      <c r="BT1014" s="541"/>
      <c r="BU1014" s="541"/>
    </row>
    <row r="1015" ht="15.75" customHeight="1">
      <c r="A1015" s="1591"/>
      <c r="B1015" s="1591"/>
      <c r="C1015" s="2217"/>
      <c r="D1015" s="1541"/>
      <c r="E1015" s="906"/>
      <c r="F1015" s="541"/>
      <c r="G1015" s="541"/>
      <c r="H1015" s="541"/>
      <c r="I1015" s="541"/>
      <c r="J1015" s="1748"/>
      <c r="K1015" s="541"/>
      <c r="L1015" s="1748"/>
      <c r="M1015" s="541"/>
      <c r="N1015" s="1748"/>
      <c r="O1015" s="541"/>
      <c r="P1015" s="1748"/>
      <c r="Q1015" s="541"/>
      <c r="R1015" s="1748"/>
      <c r="S1015" s="541"/>
      <c r="T1015" s="1748"/>
      <c r="U1015" s="541"/>
      <c r="V1015" s="1748"/>
      <c r="W1015" s="541"/>
      <c r="X1015" s="1748"/>
      <c r="Y1015" s="1748"/>
      <c r="Z1015" s="1748"/>
      <c r="AA1015" s="541"/>
      <c r="AB1015" s="1748"/>
      <c r="AC1015" s="541"/>
      <c r="AD1015" s="541"/>
      <c r="AE1015" s="541"/>
      <c r="AF1015" s="541"/>
      <c r="AG1015" s="541"/>
      <c r="AH1015" s="541"/>
      <c r="AI1015" s="541"/>
      <c r="AJ1015" s="541"/>
      <c r="AK1015" s="541"/>
      <c r="AL1015" s="541"/>
      <c r="AM1015" s="541"/>
      <c r="AN1015" s="1748"/>
      <c r="AO1015" s="1748"/>
      <c r="AP1015" s="1748"/>
      <c r="AQ1015" s="1748"/>
      <c r="AR1015" s="1748"/>
      <c r="AS1015" s="541"/>
      <c r="AT1015" s="541"/>
      <c r="AU1015" s="541"/>
      <c r="AV1015" s="541"/>
      <c r="AW1015" s="541"/>
      <c r="AY1015" s="541"/>
      <c r="AZ1015" s="633"/>
      <c r="BA1015" s="541"/>
      <c r="BB1015" s="1190"/>
      <c r="BC1015" s="541"/>
      <c r="BD1015" s="1190"/>
      <c r="BE1015" s="541"/>
      <c r="BF1015" s="1190"/>
      <c r="BG1015" s="541"/>
      <c r="BH1015" s="1190"/>
      <c r="BI1015" s="541"/>
      <c r="BJ1015" s="1190"/>
      <c r="BK1015" s="541"/>
      <c r="BL1015" s="541"/>
      <c r="BM1015" s="541"/>
      <c r="BP1015" s="541"/>
      <c r="BQ1015" s="633"/>
      <c r="BR1015" s="541"/>
      <c r="BS1015" s="541"/>
      <c r="BT1015" s="541"/>
      <c r="BU1015" s="541"/>
    </row>
    <row r="1016" ht="15.75" customHeight="1">
      <c r="A1016" s="1591"/>
      <c r="B1016" s="1591"/>
      <c r="C1016" s="2217"/>
      <c r="D1016" s="1541"/>
      <c r="E1016" s="906"/>
      <c r="F1016" s="541"/>
      <c r="G1016" s="541"/>
      <c r="H1016" s="541"/>
      <c r="I1016" s="541"/>
      <c r="J1016" s="1748"/>
      <c r="K1016" s="541"/>
      <c r="L1016" s="1748"/>
      <c r="M1016" s="541"/>
      <c r="N1016" s="1748"/>
      <c r="O1016" s="541"/>
      <c r="P1016" s="1748"/>
      <c r="Q1016" s="541"/>
      <c r="R1016" s="1748"/>
      <c r="S1016" s="541"/>
      <c r="T1016" s="1748"/>
      <c r="U1016" s="541"/>
      <c r="V1016" s="1748"/>
      <c r="W1016" s="541"/>
      <c r="X1016" s="1748"/>
      <c r="Y1016" s="1748"/>
      <c r="Z1016" s="1748"/>
      <c r="AA1016" s="541"/>
      <c r="AB1016" s="1748"/>
      <c r="AC1016" s="541"/>
      <c r="AD1016" s="541"/>
      <c r="AE1016" s="541"/>
      <c r="AF1016" s="541"/>
      <c r="AG1016" s="541"/>
      <c r="AH1016" s="541"/>
      <c r="AI1016" s="541"/>
      <c r="AJ1016" s="541"/>
      <c r="AK1016" s="541"/>
      <c r="AL1016" s="541"/>
      <c r="AM1016" s="541"/>
      <c r="AN1016" s="1748"/>
      <c r="AO1016" s="1748"/>
      <c r="AP1016" s="1748"/>
      <c r="AQ1016" s="1748"/>
      <c r="AR1016" s="1748"/>
      <c r="AS1016" s="541"/>
      <c r="AT1016" s="541"/>
      <c r="AU1016" s="541"/>
      <c r="AV1016" s="541"/>
      <c r="AW1016" s="541"/>
      <c r="AY1016" s="541"/>
      <c r="AZ1016" s="633"/>
      <c r="BA1016" s="541"/>
      <c r="BB1016" s="1190"/>
      <c r="BC1016" s="541"/>
      <c r="BD1016" s="1190"/>
      <c r="BE1016" s="541"/>
      <c r="BF1016" s="1190"/>
      <c r="BG1016" s="541"/>
      <c r="BH1016" s="1190"/>
      <c r="BI1016" s="541"/>
      <c r="BJ1016" s="1190"/>
      <c r="BK1016" s="541"/>
      <c r="BL1016" s="541"/>
      <c r="BM1016" s="541"/>
      <c r="BP1016" s="541"/>
      <c r="BQ1016" s="633"/>
      <c r="BR1016" s="541"/>
      <c r="BS1016" s="541"/>
      <c r="BT1016" s="541"/>
      <c r="BU1016" s="541"/>
    </row>
    <row r="1017" ht="15.75" customHeight="1">
      <c r="A1017" s="1591"/>
      <c r="B1017" s="1591"/>
      <c r="C1017" s="2217"/>
      <c r="D1017" s="1541"/>
      <c r="E1017" s="906"/>
      <c r="F1017" s="541"/>
      <c r="G1017" s="541"/>
      <c r="H1017" s="541"/>
      <c r="I1017" s="541"/>
      <c r="J1017" s="1748"/>
      <c r="K1017" s="541"/>
      <c r="L1017" s="1748"/>
      <c r="M1017" s="541"/>
      <c r="N1017" s="1748"/>
      <c r="O1017" s="541"/>
      <c r="P1017" s="1748"/>
      <c r="Q1017" s="541"/>
      <c r="R1017" s="1748"/>
      <c r="S1017" s="541"/>
      <c r="T1017" s="1748"/>
      <c r="U1017" s="541"/>
      <c r="V1017" s="1748"/>
      <c r="W1017" s="541"/>
      <c r="X1017" s="1748"/>
      <c r="Y1017" s="1748"/>
      <c r="Z1017" s="1748"/>
      <c r="AA1017" s="541"/>
      <c r="AB1017" s="1748"/>
      <c r="AC1017" s="541"/>
      <c r="AD1017" s="541"/>
      <c r="AE1017" s="541"/>
      <c r="AF1017" s="541"/>
      <c r="AG1017" s="541"/>
      <c r="AH1017" s="541"/>
      <c r="AI1017" s="541"/>
      <c r="AJ1017" s="541"/>
      <c r="AK1017" s="541"/>
      <c r="AL1017" s="541"/>
      <c r="AM1017" s="541"/>
      <c r="AN1017" s="1748"/>
      <c r="AO1017" s="1748"/>
      <c r="AP1017" s="1748"/>
      <c r="AQ1017" s="1748"/>
      <c r="AR1017" s="1748"/>
      <c r="AS1017" s="541"/>
      <c r="AT1017" s="541"/>
      <c r="AU1017" s="541"/>
      <c r="AV1017" s="541"/>
      <c r="AW1017" s="541"/>
      <c r="AY1017" s="541"/>
      <c r="AZ1017" s="633"/>
      <c r="BA1017" s="541"/>
      <c r="BB1017" s="1190"/>
      <c r="BC1017" s="541"/>
      <c r="BD1017" s="1190"/>
      <c r="BE1017" s="541"/>
      <c r="BF1017" s="1190"/>
      <c r="BG1017" s="541"/>
      <c r="BH1017" s="1190"/>
      <c r="BI1017" s="541"/>
      <c r="BJ1017" s="1190"/>
      <c r="BK1017" s="541"/>
      <c r="BL1017" s="541"/>
      <c r="BM1017" s="541"/>
      <c r="BP1017" s="541"/>
      <c r="BQ1017" s="633"/>
      <c r="BR1017" s="541"/>
      <c r="BS1017" s="541"/>
      <c r="BT1017" s="541"/>
      <c r="BU1017" s="541"/>
    </row>
    <row r="1018" ht="15.75" customHeight="1">
      <c r="A1018" s="1591"/>
      <c r="B1018" s="1591"/>
      <c r="C1018" s="2217"/>
      <c r="D1018" s="1541"/>
      <c r="E1018" s="906"/>
      <c r="F1018" s="541"/>
      <c r="G1018" s="541"/>
      <c r="H1018" s="541"/>
      <c r="I1018" s="541"/>
      <c r="J1018" s="1748"/>
      <c r="K1018" s="541"/>
      <c r="L1018" s="1748"/>
      <c r="M1018" s="541"/>
      <c r="N1018" s="1748"/>
      <c r="O1018" s="541"/>
      <c r="P1018" s="1748"/>
      <c r="Q1018" s="541"/>
      <c r="R1018" s="1748"/>
      <c r="S1018" s="541"/>
      <c r="T1018" s="1748"/>
      <c r="U1018" s="541"/>
      <c r="V1018" s="1748"/>
      <c r="W1018" s="541"/>
      <c r="X1018" s="1748"/>
      <c r="Y1018" s="1748"/>
      <c r="Z1018" s="1748"/>
      <c r="AA1018" s="541"/>
      <c r="AB1018" s="1748"/>
      <c r="AC1018" s="541"/>
      <c r="AD1018" s="541"/>
      <c r="AE1018" s="541"/>
      <c r="AF1018" s="541"/>
      <c r="AG1018" s="541"/>
      <c r="AH1018" s="541"/>
      <c r="AI1018" s="541"/>
      <c r="AJ1018" s="541"/>
      <c r="AK1018" s="541"/>
      <c r="AL1018" s="541"/>
      <c r="AM1018" s="541"/>
      <c r="AN1018" s="1748"/>
      <c r="AO1018" s="1748"/>
      <c r="AP1018" s="1748"/>
      <c r="AQ1018" s="1748"/>
      <c r="AR1018" s="1748"/>
      <c r="AS1018" s="541"/>
      <c r="AT1018" s="541"/>
      <c r="AU1018" s="541"/>
      <c r="AV1018" s="541"/>
      <c r="AW1018" s="541"/>
      <c r="AY1018" s="541"/>
      <c r="AZ1018" s="633"/>
      <c r="BA1018" s="541"/>
      <c r="BB1018" s="1190"/>
      <c r="BC1018" s="541"/>
      <c r="BD1018" s="1190"/>
      <c r="BE1018" s="541"/>
      <c r="BF1018" s="1190"/>
      <c r="BG1018" s="541"/>
      <c r="BH1018" s="1190"/>
      <c r="BI1018" s="541"/>
      <c r="BJ1018" s="1190"/>
      <c r="BK1018" s="541"/>
      <c r="BL1018" s="541"/>
      <c r="BM1018" s="541"/>
      <c r="BP1018" s="541"/>
      <c r="BQ1018" s="633"/>
      <c r="BR1018" s="541"/>
      <c r="BS1018" s="541"/>
      <c r="BT1018" s="541"/>
      <c r="BU1018" s="541"/>
    </row>
    <row r="1019" ht="15.75" customHeight="1">
      <c r="A1019" s="1591"/>
      <c r="B1019" s="1591"/>
      <c r="C1019" s="2217"/>
      <c r="D1019" s="1541"/>
      <c r="E1019" s="906"/>
      <c r="F1019" s="541"/>
      <c r="G1019" s="541"/>
      <c r="H1019" s="541"/>
      <c r="I1019" s="541"/>
      <c r="J1019" s="1748"/>
      <c r="K1019" s="541"/>
      <c r="L1019" s="1748"/>
      <c r="M1019" s="541"/>
      <c r="N1019" s="1748"/>
      <c r="O1019" s="541"/>
      <c r="P1019" s="1748"/>
      <c r="Q1019" s="541"/>
      <c r="R1019" s="1748"/>
      <c r="S1019" s="541"/>
      <c r="T1019" s="1748"/>
      <c r="U1019" s="541"/>
      <c r="V1019" s="1748"/>
      <c r="W1019" s="541"/>
      <c r="X1019" s="1748"/>
      <c r="Y1019" s="1748"/>
      <c r="Z1019" s="1748"/>
      <c r="AA1019" s="541"/>
      <c r="AB1019" s="1748"/>
      <c r="AC1019" s="541"/>
      <c r="AD1019" s="541"/>
      <c r="AE1019" s="541"/>
      <c r="AF1019" s="541"/>
      <c r="AG1019" s="541"/>
      <c r="AH1019" s="541"/>
      <c r="AI1019" s="541"/>
      <c r="AJ1019" s="541"/>
      <c r="AK1019" s="541"/>
      <c r="AL1019" s="541"/>
      <c r="AM1019" s="541"/>
      <c r="AN1019" s="1748"/>
      <c r="AO1019" s="1748"/>
      <c r="AP1019" s="1748"/>
      <c r="AQ1019" s="1748"/>
      <c r="AR1019" s="1748"/>
      <c r="AS1019" s="541"/>
      <c r="AT1019" s="541"/>
      <c r="AU1019" s="541"/>
      <c r="AV1019" s="541"/>
      <c r="AW1019" s="541"/>
      <c r="AY1019" s="541"/>
      <c r="AZ1019" s="633"/>
      <c r="BA1019" s="541"/>
      <c r="BB1019" s="1190"/>
      <c r="BC1019" s="541"/>
      <c r="BD1019" s="1190"/>
      <c r="BE1019" s="541"/>
      <c r="BF1019" s="1190"/>
      <c r="BG1019" s="541"/>
      <c r="BH1019" s="1190"/>
      <c r="BI1019" s="541"/>
      <c r="BJ1019" s="1190"/>
      <c r="BK1019" s="541"/>
      <c r="BL1019" s="541"/>
      <c r="BM1019" s="541"/>
      <c r="BP1019" s="541"/>
      <c r="BQ1019" s="633"/>
      <c r="BR1019" s="541"/>
      <c r="BS1019" s="541"/>
      <c r="BT1019" s="541"/>
      <c r="BU1019" s="541"/>
    </row>
    <row r="1020" ht="15.75" customHeight="1">
      <c r="A1020" s="1591"/>
      <c r="B1020" s="1591"/>
      <c r="C1020" s="2217"/>
      <c r="D1020" s="1541"/>
      <c r="E1020" s="906"/>
      <c r="F1020" s="541"/>
      <c r="G1020" s="541"/>
      <c r="H1020" s="541"/>
      <c r="I1020" s="541"/>
      <c r="J1020" s="1748"/>
      <c r="K1020" s="541"/>
      <c r="L1020" s="1748"/>
      <c r="M1020" s="541"/>
      <c r="N1020" s="1748"/>
      <c r="O1020" s="541"/>
      <c r="P1020" s="1748"/>
      <c r="Q1020" s="541"/>
      <c r="R1020" s="1748"/>
      <c r="S1020" s="541"/>
      <c r="T1020" s="1748"/>
      <c r="U1020" s="541"/>
      <c r="V1020" s="1748"/>
      <c r="W1020" s="541"/>
      <c r="X1020" s="1748"/>
      <c r="Y1020" s="1748"/>
      <c r="Z1020" s="1748"/>
      <c r="AA1020" s="541"/>
      <c r="AB1020" s="1748"/>
      <c r="AC1020" s="541"/>
      <c r="AD1020" s="541"/>
      <c r="AE1020" s="541"/>
      <c r="AF1020" s="541"/>
      <c r="AG1020" s="541"/>
      <c r="AH1020" s="541"/>
      <c r="AI1020" s="541"/>
      <c r="AJ1020" s="541"/>
      <c r="AK1020" s="541"/>
      <c r="AL1020" s="541"/>
      <c r="AM1020" s="541"/>
      <c r="AN1020" s="1748"/>
      <c r="AO1020" s="1748"/>
      <c r="AP1020" s="1748"/>
      <c r="AQ1020" s="1748"/>
      <c r="AR1020" s="1748"/>
      <c r="AS1020" s="541"/>
      <c r="AT1020" s="541"/>
      <c r="AU1020" s="541"/>
      <c r="AV1020" s="541"/>
      <c r="AW1020" s="541"/>
      <c r="AY1020" s="541"/>
      <c r="AZ1020" s="633"/>
      <c r="BA1020" s="541"/>
      <c r="BB1020" s="1190"/>
      <c r="BC1020" s="541"/>
      <c r="BD1020" s="1190"/>
      <c r="BE1020" s="541"/>
      <c r="BF1020" s="1190"/>
      <c r="BG1020" s="541"/>
      <c r="BH1020" s="1190"/>
      <c r="BI1020" s="541"/>
      <c r="BJ1020" s="1190"/>
      <c r="BK1020" s="541"/>
      <c r="BL1020" s="541"/>
      <c r="BM1020" s="541"/>
      <c r="BP1020" s="541"/>
      <c r="BQ1020" s="633"/>
      <c r="BR1020" s="541"/>
      <c r="BS1020" s="541"/>
      <c r="BT1020" s="541"/>
      <c r="BU1020" s="541"/>
    </row>
    <row r="1021" ht="15.75" customHeight="1">
      <c r="A1021" s="1591"/>
      <c r="B1021" s="1591"/>
      <c r="C1021" s="2217"/>
      <c r="D1021" s="1541"/>
      <c r="E1021" s="906"/>
      <c r="F1021" s="541"/>
      <c r="G1021" s="541"/>
      <c r="H1021" s="541"/>
      <c r="I1021" s="541"/>
      <c r="J1021" s="1748"/>
      <c r="K1021" s="541"/>
      <c r="L1021" s="1748"/>
      <c r="M1021" s="541"/>
      <c r="N1021" s="1748"/>
      <c r="O1021" s="541"/>
      <c r="P1021" s="1748"/>
      <c r="Q1021" s="541"/>
      <c r="R1021" s="1748"/>
      <c r="S1021" s="541"/>
      <c r="T1021" s="1748"/>
      <c r="U1021" s="541"/>
      <c r="V1021" s="1748"/>
      <c r="W1021" s="541"/>
      <c r="X1021" s="1748"/>
      <c r="Y1021" s="1748"/>
      <c r="Z1021" s="1748"/>
      <c r="AA1021" s="541"/>
      <c r="AB1021" s="1748"/>
      <c r="AC1021" s="541"/>
      <c r="AD1021" s="541"/>
      <c r="AE1021" s="541"/>
      <c r="AF1021" s="541"/>
      <c r="AG1021" s="541"/>
      <c r="AH1021" s="541"/>
      <c r="AI1021" s="541"/>
      <c r="AJ1021" s="541"/>
      <c r="AK1021" s="541"/>
      <c r="AL1021" s="541"/>
      <c r="AM1021" s="541"/>
      <c r="AN1021" s="1748"/>
      <c r="AO1021" s="1748"/>
      <c r="AP1021" s="1748"/>
      <c r="AQ1021" s="1748"/>
      <c r="AR1021" s="1748"/>
      <c r="AS1021" s="541"/>
      <c r="AT1021" s="541"/>
      <c r="AU1021" s="541"/>
      <c r="AV1021" s="541"/>
      <c r="AW1021" s="541"/>
      <c r="AY1021" s="541"/>
      <c r="AZ1021" s="633"/>
      <c r="BA1021" s="541"/>
      <c r="BB1021" s="1190"/>
      <c r="BC1021" s="541"/>
      <c r="BD1021" s="1190"/>
      <c r="BE1021" s="541"/>
      <c r="BF1021" s="1190"/>
      <c r="BG1021" s="541"/>
      <c r="BH1021" s="1190"/>
      <c r="BI1021" s="541"/>
      <c r="BJ1021" s="1190"/>
      <c r="BK1021" s="541"/>
      <c r="BL1021" s="541"/>
      <c r="BM1021" s="541"/>
      <c r="BP1021" s="541"/>
      <c r="BQ1021" s="633"/>
      <c r="BR1021" s="541"/>
      <c r="BS1021" s="541"/>
      <c r="BT1021" s="541"/>
      <c r="BU1021" s="541"/>
    </row>
    <row r="1022" ht="15.75" customHeight="1">
      <c r="A1022" s="1591"/>
      <c r="B1022" s="1591"/>
      <c r="C1022" s="2217"/>
      <c r="D1022" s="1541"/>
      <c r="E1022" s="906"/>
      <c r="F1022" s="541"/>
      <c r="G1022" s="541"/>
      <c r="H1022" s="541"/>
      <c r="I1022" s="541"/>
      <c r="J1022" s="1748"/>
      <c r="K1022" s="541"/>
      <c r="L1022" s="1748"/>
      <c r="M1022" s="541"/>
      <c r="N1022" s="1748"/>
      <c r="O1022" s="541"/>
      <c r="P1022" s="1748"/>
      <c r="Q1022" s="541"/>
      <c r="R1022" s="1748"/>
      <c r="S1022" s="541"/>
      <c r="T1022" s="1748"/>
      <c r="U1022" s="541"/>
      <c r="V1022" s="1748"/>
      <c r="W1022" s="541"/>
      <c r="X1022" s="1748"/>
      <c r="Y1022" s="1748"/>
      <c r="Z1022" s="1748"/>
      <c r="AA1022" s="541"/>
      <c r="AB1022" s="1748"/>
      <c r="AC1022" s="541"/>
      <c r="AD1022" s="541"/>
      <c r="AE1022" s="541"/>
      <c r="AF1022" s="541"/>
      <c r="AG1022" s="541"/>
      <c r="AH1022" s="541"/>
      <c r="AI1022" s="541"/>
      <c r="AJ1022" s="541"/>
      <c r="AK1022" s="541"/>
      <c r="AL1022" s="541"/>
      <c r="AM1022" s="541"/>
      <c r="AN1022" s="1748"/>
      <c r="AO1022" s="1748"/>
      <c r="AP1022" s="1748"/>
      <c r="AQ1022" s="1748"/>
      <c r="AR1022" s="1748"/>
      <c r="AS1022" s="541"/>
      <c r="AT1022" s="541"/>
      <c r="AU1022" s="541"/>
      <c r="AV1022" s="541"/>
      <c r="AW1022" s="541"/>
      <c r="AY1022" s="541"/>
      <c r="AZ1022" s="633"/>
      <c r="BA1022" s="541"/>
      <c r="BB1022" s="1190"/>
      <c r="BC1022" s="541"/>
      <c r="BD1022" s="1190"/>
      <c r="BE1022" s="541"/>
      <c r="BF1022" s="1190"/>
      <c r="BG1022" s="541"/>
      <c r="BH1022" s="1190"/>
      <c r="BI1022" s="541"/>
      <c r="BJ1022" s="1190"/>
      <c r="BK1022" s="541"/>
      <c r="BL1022" s="541"/>
      <c r="BM1022" s="541"/>
      <c r="BP1022" s="541"/>
      <c r="BQ1022" s="633"/>
      <c r="BR1022" s="541"/>
      <c r="BS1022" s="541"/>
      <c r="BT1022" s="541"/>
      <c r="BU1022" s="541"/>
    </row>
    <row r="1023" ht="15.75" customHeight="1">
      <c r="A1023" s="1591"/>
      <c r="B1023" s="1591"/>
      <c r="C1023" s="2217"/>
      <c r="D1023" s="1541"/>
      <c r="E1023" s="906"/>
      <c r="F1023" s="541"/>
      <c r="G1023" s="541"/>
      <c r="H1023" s="541"/>
      <c r="I1023" s="541"/>
      <c r="J1023" s="1748"/>
      <c r="K1023" s="541"/>
      <c r="L1023" s="1748"/>
      <c r="M1023" s="541"/>
      <c r="N1023" s="1748"/>
      <c r="O1023" s="541"/>
      <c r="P1023" s="1748"/>
      <c r="Q1023" s="541"/>
      <c r="R1023" s="1748"/>
      <c r="S1023" s="541"/>
      <c r="T1023" s="1748"/>
      <c r="U1023" s="541"/>
      <c r="V1023" s="1748"/>
      <c r="W1023" s="541"/>
      <c r="X1023" s="1748"/>
      <c r="Y1023" s="1748"/>
      <c r="Z1023" s="1748"/>
      <c r="AA1023" s="541"/>
      <c r="AB1023" s="1748"/>
      <c r="AC1023" s="541"/>
      <c r="AD1023" s="541"/>
      <c r="AE1023" s="541"/>
      <c r="AF1023" s="541"/>
      <c r="AG1023" s="541"/>
      <c r="AH1023" s="541"/>
      <c r="AI1023" s="541"/>
      <c r="AJ1023" s="541"/>
      <c r="AK1023" s="541"/>
      <c r="AL1023" s="541"/>
      <c r="AM1023" s="541"/>
      <c r="AN1023" s="1748"/>
      <c r="AO1023" s="1748"/>
      <c r="AP1023" s="1748"/>
      <c r="AQ1023" s="1748"/>
      <c r="AR1023" s="1748"/>
      <c r="AS1023" s="541"/>
      <c r="AT1023" s="541"/>
      <c r="AU1023" s="541"/>
      <c r="AV1023" s="541"/>
      <c r="AW1023" s="541"/>
      <c r="AY1023" s="541"/>
      <c r="AZ1023" s="633"/>
      <c r="BA1023" s="541"/>
      <c r="BB1023" s="1190"/>
      <c r="BC1023" s="541"/>
      <c r="BD1023" s="1190"/>
      <c r="BE1023" s="541"/>
      <c r="BF1023" s="1190"/>
      <c r="BG1023" s="541"/>
      <c r="BH1023" s="1190"/>
      <c r="BI1023" s="541"/>
      <c r="BJ1023" s="1190"/>
      <c r="BK1023" s="541"/>
      <c r="BL1023" s="541"/>
      <c r="BM1023" s="541"/>
      <c r="BP1023" s="541"/>
      <c r="BQ1023" s="633"/>
      <c r="BR1023" s="541"/>
      <c r="BS1023" s="541"/>
      <c r="BT1023" s="541"/>
      <c r="BU1023" s="541"/>
    </row>
    <row r="1024" ht="15.75" customHeight="1">
      <c r="A1024" s="1591"/>
      <c r="B1024" s="1591"/>
      <c r="C1024" s="2217"/>
      <c r="D1024" s="1541"/>
      <c r="E1024" s="906"/>
      <c r="F1024" s="541"/>
      <c r="G1024" s="541"/>
      <c r="H1024" s="541"/>
      <c r="I1024" s="541"/>
      <c r="J1024" s="1748"/>
      <c r="K1024" s="541"/>
      <c r="L1024" s="1748"/>
      <c r="M1024" s="541"/>
      <c r="N1024" s="1748"/>
      <c r="O1024" s="541"/>
      <c r="P1024" s="1748"/>
      <c r="Q1024" s="541"/>
      <c r="R1024" s="1748"/>
      <c r="S1024" s="541"/>
      <c r="T1024" s="1748"/>
      <c r="U1024" s="541"/>
      <c r="V1024" s="1748"/>
      <c r="W1024" s="541"/>
      <c r="X1024" s="1748"/>
      <c r="Y1024" s="1748"/>
      <c r="Z1024" s="1748"/>
      <c r="AA1024" s="541"/>
      <c r="AB1024" s="1748"/>
      <c r="AC1024" s="541"/>
      <c r="AD1024" s="541"/>
      <c r="AE1024" s="541"/>
      <c r="AF1024" s="541"/>
      <c r="AG1024" s="541"/>
      <c r="AH1024" s="541"/>
      <c r="AI1024" s="541"/>
      <c r="AJ1024" s="541"/>
      <c r="AK1024" s="541"/>
      <c r="AL1024" s="541"/>
      <c r="AM1024" s="541"/>
      <c r="AN1024" s="1748"/>
      <c r="AO1024" s="1748"/>
      <c r="AP1024" s="1748"/>
      <c r="AQ1024" s="1748"/>
      <c r="AR1024" s="1748"/>
      <c r="AS1024" s="541"/>
      <c r="AT1024" s="541"/>
      <c r="AU1024" s="541"/>
      <c r="AV1024" s="541"/>
      <c r="AW1024" s="541"/>
      <c r="AY1024" s="541"/>
      <c r="AZ1024" s="633"/>
      <c r="BA1024" s="541"/>
      <c r="BB1024" s="1190"/>
      <c r="BC1024" s="541"/>
      <c r="BD1024" s="1190"/>
      <c r="BE1024" s="541"/>
      <c r="BF1024" s="1190"/>
      <c r="BG1024" s="541"/>
      <c r="BH1024" s="1190"/>
      <c r="BI1024" s="541"/>
      <c r="BJ1024" s="1190"/>
      <c r="BK1024" s="541"/>
      <c r="BL1024" s="541"/>
      <c r="BM1024" s="541"/>
      <c r="BP1024" s="541"/>
      <c r="BQ1024" s="633"/>
      <c r="BR1024" s="541"/>
      <c r="BS1024" s="541"/>
      <c r="BT1024" s="541"/>
      <c r="BU1024" s="541"/>
    </row>
    <row r="1025" ht="15.75" customHeight="1">
      <c r="A1025" s="1591"/>
      <c r="B1025" s="1591"/>
      <c r="C1025" s="2217"/>
      <c r="D1025" s="1541"/>
      <c r="E1025" s="906"/>
      <c r="F1025" s="541"/>
      <c r="G1025" s="541"/>
      <c r="H1025" s="541"/>
      <c r="I1025" s="541"/>
      <c r="J1025" s="1748"/>
      <c r="K1025" s="541"/>
      <c r="L1025" s="1748"/>
      <c r="M1025" s="541"/>
      <c r="N1025" s="1748"/>
      <c r="O1025" s="541"/>
      <c r="P1025" s="1748"/>
      <c r="Q1025" s="541"/>
      <c r="R1025" s="1748"/>
      <c r="S1025" s="541"/>
      <c r="T1025" s="1748"/>
      <c r="U1025" s="541"/>
      <c r="V1025" s="1748"/>
      <c r="W1025" s="541"/>
      <c r="X1025" s="1748"/>
      <c r="Y1025" s="1748"/>
      <c r="Z1025" s="1748"/>
      <c r="AA1025" s="541"/>
      <c r="AB1025" s="1748"/>
      <c r="AC1025" s="541"/>
      <c r="AD1025" s="541"/>
      <c r="AE1025" s="541"/>
      <c r="AF1025" s="541"/>
      <c r="AG1025" s="541"/>
      <c r="AH1025" s="541"/>
      <c r="AI1025" s="541"/>
      <c r="AJ1025" s="541"/>
      <c r="AK1025" s="541"/>
      <c r="AL1025" s="541"/>
      <c r="AM1025" s="541"/>
      <c r="AN1025" s="1748"/>
      <c r="AO1025" s="1748"/>
      <c r="AP1025" s="1748"/>
      <c r="AQ1025" s="1748"/>
      <c r="AR1025" s="1748"/>
      <c r="AS1025" s="541"/>
      <c r="AT1025" s="541"/>
      <c r="AU1025" s="541"/>
      <c r="AV1025" s="541"/>
      <c r="AW1025" s="541"/>
      <c r="AY1025" s="541"/>
      <c r="AZ1025" s="633"/>
      <c r="BA1025" s="541"/>
      <c r="BB1025" s="1190"/>
      <c r="BC1025" s="541"/>
      <c r="BD1025" s="1190"/>
      <c r="BE1025" s="541"/>
      <c r="BF1025" s="1190"/>
      <c r="BG1025" s="541"/>
      <c r="BH1025" s="1190"/>
      <c r="BI1025" s="541"/>
      <c r="BJ1025" s="1190"/>
      <c r="BK1025" s="541"/>
      <c r="BL1025" s="541"/>
      <c r="BM1025" s="541"/>
      <c r="BP1025" s="541"/>
      <c r="BQ1025" s="633"/>
      <c r="BR1025" s="541"/>
      <c r="BS1025" s="541"/>
      <c r="BT1025" s="541"/>
      <c r="BU1025" s="541"/>
    </row>
    <row r="1026" ht="15.75" customHeight="1">
      <c r="A1026" s="1591"/>
      <c r="B1026" s="1591"/>
      <c r="C1026" s="2217"/>
      <c r="D1026" s="1541"/>
      <c r="E1026" s="906"/>
      <c r="F1026" s="541"/>
      <c r="G1026" s="541"/>
      <c r="H1026" s="541"/>
      <c r="I1026" s="541"/>
      <c r="J1026" s="1748"/>
      <c r="K1026" s="541"/>
      <c r="L1026" s="1748"/>
      <c r="M1026" s="541"/>
      <c r="N1026" s="1748"/>
      <c r="O1026" s="541"/>
      <c r="P1026" s="1748"/>
      <c r="Q1026" s="541"/>
      <c r="R1026" s="1748"/>
      <c r="S1026" s="541"/>
      <c r="T1026" s="1748"/>
      <c r="U1026" s="541"/>
      <c r="V1026" s="1748"/>
      <c r="W1026" s="541"/>
      <c r="X1026" s="1748"/>
      <c r="Y1026" s="1748"/>
      <c r="Z1026" s="1748"/>
      <c r="AA1026" s="541"/>
      <c r="AB1026" s="1748"/>
      <c r="AC1026" s="541"/>
      <c r="AD1026" s="541"/>
      <c r="AE1026" s="541"/>
      <c r="AF1026" s="541"/>
      <c r="AG1026" s="541"/>
      <c r="AH1026" s="541"/>
      <c r="AI1026" s="541"/>
      <c r="AJ1026" s="541"/>
      <c r="AK1026" s="541"/>
      <c r="AL1026" s="541"/>
      <c r="AM1026" s="541"/>
      <c r="AN1026" s="1748"/>
      <c r="AO1026" s="1748"/>
      <c r="AP1026" s="1748"/>
      <c r="AQ1026" s="1748"/>
      <c r="AR1026" s="1748"/>
      <c r="AS1026" s="541"/>
      <c r="AT1026" s="541"/>
      <c r="AU1026" s="541"/>
      <c r="AV1026" s="541"/>
      <c r="AW1026" s="541"/>
      <c r="AY1026" s="541"/>
      <c r="AZ1026" s="633"/>
      <c r="BA1026" s="541"/>
      <c r="BB1026" s="1190"/>
      <c r="BC1026" s="541"/>
      <c r="BD1026" s="1190"/>
      <c r="BE1026" s="541"/>
      <c r="BF1026" s="1190"/>
      <c r="BG1026" s="541"/>
      <c r="BH1026" s="1190"/>
      <c r="BI1026" s="541"/>
      <c r="BJ1026" s="1190"/>
      <c r="BK1026" s="541"/>
      <c r="BL1026" s="541"/>
      <c r="BM1026" s="541"/>
      <c r="BP1026" s="541"/>
      <c r="BQ1026" s="633"/>
      <c r="BR1026" s="541"/>
      <c r="BS1026" s="541"/>
      <c r="BT1026" s="541"/>
      <c r="BU1026" s="541"/>
    </row>
    <row r="1027" ht="15.75" customHeight="1">
      <c r="A1027" s="1591"/>
      <c r="B1027" s="1591"/>
      <c r="C1027" s="2217"/>
      <c r="D1027" s="1541"/>
      <c r="E1027" s="906"/>
      <c r="F1027" s="541"/>
      <c r="G1027" s="541"/>
      <c r="H1027" s="541"/>
      <c r="I1027" s="541"/>
      <c r="J1027" s="1748"/>
      <c r="K1027" s="541"/>
      <c r="L1027" s="1748"/>
      <c r="M1027" s="541"/>
      <c r="N1027" s="1748"/>
      <c r="O1027" s="541"/>
      <c r="P1027" s="1748"/>
      <c r="Q1027" s="541"/>
      <c r="R1027" s="1748"/>
      <c r="S1027" s="541"/>
      <c r="T1027" s="1748"/>
      <c r="U1027" s="541"/>
      <c r="V1027" s="1748"/>
      <c r="W1027" s="541"/>
      <c r="X1027" s="1748"/>
      <c r="Y1027" s="1748"/>
      <c r="Z1027" s="1748"/>
      <c r="AA1027" s="541"/>
      <c r="AB1027" s="1748"/>
      <c r="AC1027" s="541"/>
      <c r="AD1027" s="541"/>
      <c r="AE1027" s="541"/>
      <c r="AF1027" s="541"/>
      <c r="AG1027" s="541"/>
      <c r="AH1027" s="541"/>
      <c r="AI1027" s="541"/>
      <c r="AJ1027" s="541"/>
      <c r="AK1027" s="541"/>
      <c r="AL1027" s="541"/>
      <c r="AM1027" s="541"/>
      <c r="AN1027" s="1748"/>
      <c r="AO1027" s="1748"/>
      <c r="AP1027" s="1748"/>
      <c r="AQ1027" s="1748"/>
      <c r="AR1027" s="1748"/>
      <c r="AS1027" s="541"/>
      <c r="AT1027" s="541"/>
      <c r="AU1027" s="541"/>
      <c r="AV1027" s="541"/>
      <c r="AW1027" s="541"/>
      <c r="AY1027" s="541"/>
      <c r="AZ1027" s="633"/>
      <c r="BA1027" s="541"/>
      <c r="BB1027" s="1190"/>
      <c r="BC1027" s="541"/>
      <c r="BD1027" s="1190"/>
      <c r="BE1027" s="541"/>
      <c r="BF1027" s="1190"/>
      <c r="BG1027" s="541"/>
      <c r="BH1027" s="1190"/>
      <c r="BI1027" s="541"/>
      <c r="BJ1027" s="1190"/>
      <c r="BK1027" s="541"/>
      <c r="BL1027" s="541"/>
      <c r="BM1027" s="541"/>
      <c r="BP1027" s="541"/>
      <c r="BQ1027" s="633"/>
      <c r="BR1027" s="541"/>
      <c r="BS1027" s="541"/>
      <c r="BT1027" s="541"/>
      <c r="BU1027" s="541"/>
    </row>
    <row r="1028" ht="15.75" customHeight="1">
      <c r="A1028" s="1591"/>
      <c r="B1028" s="1591"/>
      <c r="C1028" s="2217"/>
      <c r="D1028" s="1541"/>
      <c r="E1028" s="906"/>
      <c r="F1028" s="541"/>
      <c r="G1028" s="541"/>
      <c r="H1028" s="541"/>
      <c r="I1028" s="541"/>
      <c r="J1028" s="1748"/>
      <c r="K1028" s="541"/>
      <c r="L1028" s="1748"/>
      <c r="M1028" s="541"/>
      <c r="N1028" s="1748"/>
      <c r="O1028" s="541"/>
      <c r="P1028" s="1748"/>
      <c r="Q1028" s="541"/>
      <c r="R1028" s="1748"/>
      <c r="S1028" s="541"/>
      <c r="T1028" s="1748"/>
      <c r="U1028" s="541"/>
      <c r="V1028" s="1748"/>
      <c r="W1028" s="541"/>
      <c r="X1028" s="1748"/>
      <c r="Y1028" s="1748"/>
      <c r="Z1028" s="1748"/>
      <c r="AA1028" s="541"/>
      <c r="AB1028" s="1748"/>
      <c r="AC1028" s="541"/>
      <c r="AD1028" s="541"/>
      <c r="AE1028" s="541"/>
      <c r="AF1028" s="541"/>
      <c r="AG1028" s="541"/>
      <c r="AH1028" s="541"/>
      <c r="AI1028" s="541"/>
      <c r="AJ1028" s="541"/>
      <c r="AK1028" s="541"/>
      <c r="AL1028" s="541"/>
      <c r="AM1028" s="541"/>
      <c r="AN1028" s="1748"/>
      <c r="AO1028" s="1748"/>
      <c r="AP1028" s="1748"/>
      <c r="AQ1028" s="1748"/>
      <c r="AR1028" s="1748"/>
      <c r="AS1028" s="541"/>
      <c r="AT1028" s="541"/>
      <c r="AU1028" s="541"/>
      <c r="AV1028" s="541"/>
      <c r="AW1028" s="541"/>
      <c r="AY1028" s="541"/>
      <c r="AZ1028" s="633"/>
      <c r="BA1028" s="541"/>
      <c r="BB1028" s="1190"/>
      <c r="BC1028" s="541"/>
      <c r="BD1028" s="1190"/>
      <c r="BE1028" s="541"/>
      <c r="BF1028" s="1190"/>
      <c r="BG1028" s="541"/>
      <c r="BH1028" s="1190"/>
      <c r="BI1028" s="541"/>
      <c r="BJ1028" s="1190"/>
      <c r="BK1028" s="541"/>
      <c r="BL1028" s="541"/>
      <c r="BM1028" s="541"/>
      <c r="BP1028" s="541"/>
      <c r="BQ1028" s="633"/>
      <c r="BR1028" s="541"/>
      <c r="BS1028" s="541"/>
      <c r="BT1028" s="541"/>
      <c r="BU1028" s="541"/>
    </row>
    <row r="1029" ht="15.75" customHeight="1">
      <c r="A1029" s="1591"/>
      <c r="B1029" s="1591"/>
      <c r="C1029" s="2217"/>
      <c r="D1029" s="1541"/>
      <c r="E1029" s="906"/>
      <c r="F1029" s="541"/>
      <c r="G1029" s="541"/>
      <c r="H1029" s="541"/>
      <c r="I1029" s="541"/>
      <c r="J1029" s="1748"/>
      <c r="K1029" s="541"/>
      <c r="L1029" s="1748"/>
      <c r="M1029" s="541"/>
      <c r="N1029" s="1748"/>
      <c r="O1029" s="541"/>
      <c r="P1029" s="1748"/>
      <c r="Q1029" s="541"/>
      <c r="R1029" s="1748"/>
      <c r="S1029" s="541"/>
      <c r="T1029" s="1748"/>
      <c r="U1029" s="541"/>
      <c r="V1029" s="1748"/>
      <c r="W1029" s="541"/>
      <c r="X1029" s="1748"/>
      <c r="Y1029" s="1748"/>
      <c r="Z1029" s="1748"/>
      <c r="AA1029" s="541"/>
      <c r="AB1029" s="1748"/>
      <c r="AC1029" s="541"/>
      <c r="AD1029" s="541"/>
      <c r="AE1029" s="541"/>
      <c r="AF1029" s="541"/>
      <c r="AG1029" s="541"/>
      <c r="AH1029" s="541"/>
      <c r="AI1029" s="541"/>
      <c r="AJ1029" s="541"/>
      <c r="AK1029" s="541"/>
      <c r="AL1029" s="541"/>
      <c r="AM1029" s="541"/>
      <c r="AN1029" s="1748"/>
      <c r="AO1029" s="1748"/>
      <c r="AP1029" s="1748"/>
      <c r="AQ1029" s="1748"/>
      <c r="AR1029" s="1748"/>
      <c r="AS1029" s="541"/>
      <c r="AT1029" s="541"/>
      <c r="AU1029" s="541"/>
      <c r="AV1029" s="541"/>
      <c r="AW1029" s="541"/>
      <c r="AY1029" s="541"/>
      <c r="AZ1029" s="633"/>
      <c r="BA1029" s="541"/>
      <c r="BB1029" s="1190"/>
      <c r="BC1029" s="541"/>
      <c r="BD1029" s="1190"/>
      <c r="BE1029" s="541"/>
      <c r="BF1029" s="1190"/>
      <c r="BG1029" s="541"/>
      <c r="BH1029" s="1190"/>
      <c r="BI1029" s="541"/>
      <c r="BJ1029" s="1190"/>
      <c r="BK1029" s="541"/>
      <c r="BL1029" s="541"/>
      <c r="BM1029" s="541"/>
      <c r="BP1029" s="541"/>
      <c r="BQ1029" s="633"/>
      <c r="BR1029" s="541"/>
      <c r="BS1029" s="541"/>
      <c r="BT1029" s="541"/>
      <c r="BU1029" s="541"/>
    </row>
    <row r="1030" ht="15.75" customHeight="1">
      <c r="A1030" s="1591"/>
      <c r="B1030" s="1591"/>
      <c r="C1030" s="2217"/>
      <c r="D1030" s="1541"/>
      <c r="E1030" s="906"/>
      <c r="F1030" s="541"/>
      <c r="G1030" s="541"/>
      <c r="H1030" s="541"/>
      <c r="I1030" s="541"/>
      <c r="J1030" s="1748"/>
      <c r="K1030" s="541"/>
      <c r="L1030" s="1748"/>
      <c r="M1030" s="541"/>
      <c r="N1030" s="1748"/>
      <c r="O1030" s="541"/>
      <c r="P1030" s="1748"/>
      <c r="Q1030" s="541"/>
      <c r="R1030" s="1748"/>
      <c r="S1030" s="541"/>
      <c r="T1030" s="1748"/>
      <c r="U1030" s="541"/>
      <c r="V1030" s="1748"/>
      <c r="W1030" s="541"/>
      <c r="X1030" s="1748"/>
      <c r="Y1030" s="1748"/>
      <c r="Z1030" s="1748"/>
      <c r="AA1030" s="541"/>
      <c r="AB1030" s="1748"/>
      <c r="AC1030" s="541"/>
      <c r="AD1030" s="541"/>
      <c r="AE1030" s="541"/>
      <c r="AF1030" s="541"/>
      <c r="AG1030" s="541"/>
      <c r="AH1030" s="541"/>
      <c r="AI1030" s="541"/>
      <c r="AJ1030" s="541"/>
      <c r="AK1030" s="541"/>
      <c r="AL1030" s="541"/>
      <c r="AM1030" s="541"/>
      <c r="AN1030" s="1748"/>
      <c r="AO1030" s="1748"/>
      <c r="AP1030" s="1748"/>
      <c r="AQ1030" s="1748"/>
      <c r="AR1030" s="1748"/>
      <c r="AS1030" s="541"/>
      <c r="AT1030" s="541"/>
      <c r="AU1030" s="541"/>
      <c r="AV1030" s="541"/>
      <c r="AW1030" s="541"/>
      <c r="AY1030" s="541"/>
      <c r="AZ1030" s="633"/>
      <c r="BA1030" s="541"/>
      <c r="BB1030" s="1190"/>
      <c r="BC1030" s="541"/>
      <c r="BD1030" s="1190"/>
      <c r="BE1030" s="541"/>
      <c r="BF1030" s="1190"/>
      <c r="BG1030" s="541"/>
      <c r="BH1030" s="1190"/>
      <c r="BI1030" s="541"/>
      <c r="BJ1030" s="1190"/>
      <c r="BK1030" s="541"/>
      <c r="BL1030" s="541"/>
      <c r="BM1030" s="541"/>
      <c r="BP1030" s="541"/>
      <c r="BQ1030" s="633"/>
      <c r="BR1030" s="541"/>
      <c r="BS1030" s="541"/>
      <c r="BT1030" s="541"/>
      <c r="BU1030" s="541"/>
    </row>
    <row r="1031" ht="15.75" customHeight="1">
      <c r="A1031" s="1591"/>
      <c r="B1031" s="1591"/>
      <c r="C1031" s="2217"/>
      <c r="D1031" s="1541"/>
      <c r="E1031" s="906"/>
      <c r="F1031" s="541"/>
      <c r="G1031" s="541"/>
      <c r="H1031" s="541"/>
      <c r="I1031" s="541"/>
      <c r="J1031" s="1748"/>
      <c r="K1031" s="541"/>
      <c r="L1031" s="1748"/>
      <c r="M1031" s="541"/>
      <c r="N1031" s="1748"/>
      <c r="O1031" s="541"/>
      <c r="P1031" s="1748"/>
      <c r="Q1031" s="541"/>
      <c r="R1031" s="1748"/>
      <c r="S1031" s="541"/>
      <c r="T1031" s="1748"/>
      <c r="U1031" s="541"/>
      <c r="V1031" s="1748"/>
      <c r="W1031" s="541"/>
      <c r="X1031" s="1748"/>
      <c r="Y1031" s="1748"/>
      <c r="Z1031" s="1748"/>
      <c r="AA1031" s="541"/>
      <c r="AB1031" s="1748"/>
      <c r="AC1031" s="541"/>
      <c r="AD1031" s="541"/>
      <c r="AE1031" s="541"/>
      <c r="AF1031" s="541"/>
      <c r="AG1031" s="541"/>
      <c r="AH1031" s="541"/>
      <c r="AI1031" s="541"/>
      <c r="AJ1031" s="541"/>
      <c r="AK1031" s="541"/>
      <c r="AL1031" s="541"/>
      <c r="AM1031" s="541"/>
      <c r="AN1031" s="1748"/>
      <c r="AO1031" s="1748"/>
      <c r="AP1031" s="1748"/>
      <c r="AQ1031" s="1748"/>
      <c r="AR1031" s="1748"/>
      <c r="AS1031" s="541"/>
      <c r="AT1031" s="541"/>
      <c r="AU1031" s="541"/>
      <c r="AV1031" s="541"/>
      <c r="AW1031" s="541"/>
      <c r="AY1031" s="541"/>
      <c r="AZ1031" s="633"/>
      <c r="BA1031" s="541"/>
      <c r="BB1031" s="1190"/>
      <c r="BC1031" s="541"/>
      <c r="BD1031" s="1190"/>
      <c r="BE1031" s="541"/>
      <c r="BF1031" s="1190"/>
      <c r="BG1031" s="541"/>
      <c r="BH1031" s="1190"/>
      <c r="BI1031" s="541"/>
      <c r="BJ1031" s="1190"/>
      <c r="BK1031" s="541"/>
      <c r="BL1031" s="541"/>
      <c r="BM1031" s="541"/>
      <c r="BP1031" s="541"/>
      <c r="BQ1031" s="633"/>
      <c r="BR1031" s="541"/>
      <c r="BS1031" s="541"/>
      <c r="BT1031" s="541"/>
      <c r="BU1031" s="541"/>
    </row>
    <row r="1032" ht="15.75" customHeight="1">
      <c r="A1032" s="1591"/>
      <c r="B1032" s="1591"/>
      <c r="C1032" s="2217"/>
      <c r="D1032" s="1541"/>
      <c r="E1032" s="906"/>
      <c r="F1032" s="541"/>
      <c r="G1032" s="541"/>
      <c r="H1032" s="541"/>
      <c r="I1032" s="541"/>
      <c r="J1032" s="1748"/>
      <c r="K1032" s="541"/>
      <c r="L1032" s="1748"/>
      <c r="M1032" s="541"/>
      <c r="N1032" s="1748"/>
      <c r="O1032" s="541"/>
      <c r="P1032" s="1748"/>
      <c r="Q1032" s="541"/>
      <c r="R1032" s="1748"/>
      <c r="S1032" s="541"/>
      <c r="T1032" s="1748"/>
      <c r="U1032" s="541"/>
      <c r="V1032" s="1748"/>
      <c r="W1032" s="541"/>
      <c r="X1032" s="1748"/>
      <c r="Y1032" s="1748"/>
      <c r="Z1032" s="1748"/>
      <c r="AA1032" s="541"/>
      <c r="AB1032" s="1748"/>
      <c r="AC1032" s="541"/>
      <c r="AD1032" s="541"/>
      <c r="AE1032" s="541"/>
      <c r="AF1032" s="541"/>
      <c r="AG1032" s="541"/>
      <c r="AH1032" s="541"/>
      <c r="AI1032" s="541"/>
      <c r="AJ1032" s="541"/>
      <c r="AK1032" s="541"/>
      <c r="AL1032" s="541"/>
      <c r="AM1032" s="541"/>
      <c r="AN1032" s="1748"/>
      <c r="AO1032" s="1748"/>
      <c r="AP1032" s="1748"/>
      <c r="AQ1032" s="1748"/>
      <c r="AR1032" s="1748"/>
      <c r="AS1032" s="541"/>
      <c r="AT1032" s="541"/>
      <c r="AU1032" s="541"/>
      <c r="AV1032" s="541"/>
      <c r="AW1032" s="541"/>
      <c r="AY1032" s="541"/>
      <c r="AZ1032" s="633"/>
      <c r="BA1032" s="541"/>
      <c r="BB1032" s="1190"/>
      <c r="BC1032" s="541"/>
      <c r="BD1032" s="1190"/>
      <c r="BE1032" s="541"/>
      <c r="BF1032" s="1190"/>
      <c r="BG1032" s="541"/>
      <c r="BH1032" s="1190"/>
      <c r="BI1032" s="541"/>
      <c r="BJ1032" s="1190"/>
      <c r="BK1032" s="541"/>
      <c r="BL1032" s="541"/>
      <c r="BM1032" s="541"/>
      <c r="BP1032" s="541"/>
      <c r="BQ1032" s="633"/>
      <c r="BR1032" s="541"/>
      <c r="BS1032" s="541"/>
      <c r="BT1032" s="541"/>
      <c r="BU1032" s="541"/>
    </row>
    <row r="1033" ht="15.75" customHeight="1">
      <c r="A1033" s="1591"/>
      <c r="B1033" s="1591"/>
      <c r="C1033" s="2217"/>
      <c r="D1033" s="1541"/>
      <c r="E1033" s="906"/>
      <c r="F1033" s="541"/>
      <c r="G1033" s="541"/>
      <c r="H1033" s="541"/>
      <c r="I1033" s="541"/>
      <c r="J1033" s="1748"/>
      <c r="K1033" s="541"/>
      <c r="L1033" s="1748"/>
      <c r="M1033" s="541"/>
      <c r="N1033" s="1748"/>
      <c r="O1033" s="541"/>
      <c r="P1033" s="1748"/>
      <c r="Q1033" s="541"/>
      <c r="R1033" s="1748"/>
      <c r="S1033" s="541"/>
      <c r="T1033" s="1748"/>
      <c r="U1033" s="541"/>
      <c r="V1033" s="1748"/>
      <c r="W1033" s="541"/>
      <c r="X1033" s="1748"/>
      <c r="Y1033" s="1748"/>
      <c r="Z1033" s="1748"/>
      <c r="AA1033" s="541"/>
      <c r="AB1033" s="1748"/>
      <c r="AC1033" s="541"/>
      <c r="AD1033" s="541"/>
      <c r="AE1033" s="541"/>
      <c r="AF1033" s="541"/>
      <c r="AG1033" s="541"/>
      <c r="AH1033" s="541"/>
      <c r="AI1033" s="541"/>
      <c r="AJ1033" s="541"/>
      <c r="AK1033" s="541"/>
      <c r="AL1033" s="541"/>
      <c r="AM1033" s="541"/>
      <c r="AN1033" s="1748"/>
      <c r="AO1033" s="1748"/>
      <c r="AP1033" s="1748"/>
      <c r="AQ1033" s="1748"/>
      <c r="AR1033" s="1748"/>
      <c r="AS1033" s="541"/>
      <c r="AT1033" s="541"/>
      <c r="AU1033" s="541"/>
      <c r="AV1033" s="541"/>
      <c r="AW1033" s="541"/>
      <c r="AY1033" s="541"/>
      <c r="AZ1033" s="633"/>
      <c r="BA1033" s="541"/>
      <c r="BB1033" s="1190"/>
      <c r="BC1033" s="541"/>
      <c r="BD1033" s="1190"/>
      <c r="BE1033" s="541"/>
      <c r="BF1033" s="1190"/>
      <c r="BG1033" s="541"/>
      <c r="BH1033" s="1190"/>
      <c r="BI1033" s="541"/>
      <c r="BJ1033" s="1190"/>
      <c r="BK1033" s="541"/>
      <c r="BL1033" s="541"/>
      <c r="BM1033" s="541"/>
      <c r="BP1033" s="541"/>
      <c r="BQ1033" s="633"/>
      <c r="BR1033" s="541"/>
      <c r="BS1033" s="541"/>
      <c r="BT1033" s="541"/>
      <c r="BU1033" s="541"/>
    </row>
    <row r="1034" ht="15.75" customHeight="1">
      <c r="A1034" s="1591"/>
      <c r="B1034" s="1591"/>
      <c r="C1034" s="2217"/>
      <c r="D1034" s="1541"/>
      <c r="E1034" s="906"/>
      <c r="F1034" s="541"/>
      <c r="G1034" s="541"/>
      <c r="H1034" s="541"/>
      <c r="I1034" s="541"/>
      <c r="J1034" s="1748"/>
      <c r="K1034" s="541"/>
      <c r="L1034" s="1748"/>
      <c r="M1034" s="541"/>
      <c r="N1034" s="1748"/>
      <c r="O1034" s="541"/>
      <c r="P1034" s="1748"/>
      <c r="Q1034" s="541"/>
      <c r="R1034" s="1748"/>
      <c r="S1034" s="541"/>
      <c r="T1034" s="1748"/>
      <c r="U1034" s="541"/>
      <c r="V1034" s="1748"/>
      <c r="W1034" s="541"/>
      <c r="X1034" s="1748"/>
      <c r="Y1034" s="1748"/>
      <c r="Z1034" s="1748"/>
      <c r="AA1034" s="541"/>
      <c r="AB1034" s="1748"/>
      <c r="AC1034" s="541"/>
      <c r="AD1034" s="541"/>
      <c r="AE1034" s="541"/>
      <c r="AF1034" s="541"/>
      <c r="AG1034" s="541"/>
      <c r="AH1034" s="541"/>
      <c r="AI1034" s="541"/>
      <c r="AJ1034" s="541"/>
      <c r="AK1034" s="541"/>
      <c r="AL1034" s="541"/>
      <c r="AM1034" s="541"/>
      <c r="AN1034" s="1748"/>
      <c r="AO1034" s="1748"/>
      <c r="AP1034" s="1748"/>
      <c r="AQ1034" s="1748"/>
      <c r="AR1034" s="1748"/>
      <c r="AS1034" s="541"/>
      <c r="AT1034" s="541"/>
      <c r="AU1034" s="541"/>
      <c r="AV1034" s="541"/>
      <c r="AW1034" s="541"/>
      <c r="AY1034" s="541"/>
      <c r="AZ1034" s="633"/>
      <c r="BA1034" s="541"/>
      <c r="BB1034" s="1190"/>
      <c r="BC1034" s="541"/>
      <c r="BD1034" s="1190"/>
      <c r="BE1034" s="541"/>
      <c r="BF1034" s="1190"/>
      <c r="BG1034" s="541"/>
      <c r="BH1034" s="1190"/>
      <c r="BI1034" s="541"/>
      <c r="BJ1034" s="1190"/>
      <c r="BK1034" s="541"/>
      <c r="BL1034" s="541"/>
      <c r="BM1034" s="541"/>
      <c r="BP1034" s="541"/>
      <c r="BQ1034" s="633"/>
      <c r="BR1034" s="541"/>
      <c r="BS1034" s="541"/>
      <c r="BT1034" s="541"/>
      <c r="BU1034" s="541"/>
    </row>
    <row r="1035" ht="15.75" customHeight="1">
      <c r="A1035" s="1591"/>
      <c r="B1035" s="1591"/>
      <c r="C1035" s="2217"/>
      <c r="D1035" s="1541"/>
      <c r="E1035" s="906"/>
      <c r="F1035" s="541"/>
      <c r="G1035" s="541"/>
      <c r="H1035" s="541"/>
      <c r="I1035" s="541"/>
      <c r="J1035" s="1748"/>
      <c r="K1035" s="541"/>
      <c r="L1035" s="1748"/>
      <c r="M1035" s="541"/>
      <c r="N1035" s="1748"/>
      <c r="O1035" s="541"/>
      <c r="P1035" s="1748"/>
      <c r="Q1035" s="541"/>
      <c r="R1035" s="1748"/>
      <c r="S1035" s="541"/>
      <c r="T1035" s="1748"/>
      <c r="U1035" s="541"/>
      <c r="V1035" s="1748"/>
      <c r="W1035" s="541"/>
      <c r="X1035" s="1748"/>
      <c r="Y1035" s="1748"/>
      <c r="Z1035" s="1748"/>
      <c r="AA1035" s="541"/>
      <c r="AB1035" s="1748"/>
      <c r="AC1035" s="541"/>
      <c r="AD1035" s="541"/>
      <c r="AE1035" s="541"/>
      <c r="AF1035" s="541"/>
      <c r="AG1035" s="541"/>
      <c r="AH1035" s="541"/>
      <c r="AI1035" s="541"/>
      <c r="AJ1035" s="541"/>
      <c r="AK1035" s="541"/>
      <c r="AL1035" s="541"/>
      <c r="AM1035" s="541"/>
      <c r="AN1035" s="1748"/>
      <c r="AO1035" s="1748"/>
      <c r="AP1035" s="1748"/>
      <c r="AQ1035" s="1748"/>
      <c r="AR1035" s="1748"/>
      <c r="AS1035" s="541"/>
      <c r="AT1035" s="541"/>
      <c r="AU1035" s="541"/>
      <c r="AV1035" s="541"/>
      <c r="AW1035" s="541"/>
      <c r="AY1035" s="541"/>
      <c r="AZ1035" s="633"/>
      <c r="BA1035" s="541"/>
      <c r="BB1035" s="1190"/>
      <c r="BC1035" s="541"/>
      <c r="BD1035" s="1190"/>
      <c r="BE1035" s="541"/>
      <c r="BF1035" s="1190"/>
      <c r="BG1035" s="541"/>
      <c r="BH1035" s="1190"/>
      <c r="BI1035" s="541"/>
      <c r="BJ1035" s="1190"/>
      <c r="BK1035" s="541"/>
      <c r="BL1035" s="541"/>
      <c r="BM1035" s="541"/>
      <c r="BP1035" s="541"/>
      <c r="BQ1035" s="633"/>
      <c r="BR1035" s="541"/>
      <c r="BS1035" s="541"/>
      <c r="BT1035" s="541"/>
      <c r="BU1035" s="541"/>
    </row>
    <row r="1036" ht="15.75" customHeight="1">
      <c r="A1036" s="1591"/>
      <c r="B1036" s="1591"/>
      <c r="C1036" s="2217"/>
      <c r="D1036" s="1541"/>
      <c r="E1036" s="906"/>
      <c r="F1036" s="541"/>
      <c r="G1036" s="541"/>
      <c r="H1036" s="541"/>
      <c r="I1036" s="541"/>
      <c r="J1036" s="1748"/>
      <c r="K1036" s="541"/>
      <c r="L1036" s="1748"/>
      <c r="M1036" s="541"/>
      <c r="N1036" s="1748"/>
      <c r="O1036" s="541"/>
      <c r="P1036" s="1748"/>
      <c r="Q1036" s="541"/>
      <c r="R1036" s="1748"/>
      <c r="S1036" s="541"/>
      <c r="T1036" s="1748"/>
      <c r="U1036" s="541"/>
      <c r="V1036" s="1748"/>
      <c r="W1036" s="541"/>
      <c r="X1036" s="1748"/>
      <c r="Y1036" s="1748"/>
      <c r="Z1036" s="1748"/>
      <c r="AA1036" s="541"/>
      <c r="AB1036" s="1748"/>
      <c r="AC1036" s="541"/>
      <c r="AD1036" s="541"/>
      <c r="AE1036" s="541"/>
      <c r="AF1036" s="541"/>
      <c r="AG1036" s="541"/>
      <c r="AH1036" s="541"/>
      <c r="AI1036" s="541"/>
      <c r="AJ1036" s="541"/>
      <c r="AK1036" s="541"/>
      <c r="AL1036" s="541"/>
      <c r="AM1036" s="541"/>
      <c r="AN1036" s="1748"/>
      <c r="AO1036" s="1748"/>
      <c r="AP1036" s="1748"/>
      <c r="AQ1036" s="1748"/>
      <c r="AR1036" s="1748"/>
      <c r="AS1036" s="541"/>
      <c r="AT1036" s="541"/>
      <c r="AU1036" s="541"/>
      <c r="AV1036" s="541"/>
      <c r="AW1036" s="541"/>
      <c r="AY1036" s="541"/>
      <c r="AZ1036" s="633"/>
      <c r="BA1036" s="541"/>
      <c r="BB1036" s="1190"/>
      <c r="BC1036" s="541"/>
      <c r="BD1036" s="1190"/>
      <c r="BE1036" s="541"/>
      <c r="BF1036" s="1190"/>
      <c r="BG1036" s="541"/>
      <c r="BH1036" s="1190"/>
      <c r="BI1036" s="541"/>
      <c r="BJ1036" s="1190"/>
      <c r="BK1036" s="541"/>
      <c r="BL1036" s="541"/>
      <c r="BM1036" s="541"/>
      <c r="BP1036" s="541"/>
      <c r="BQ1036" s="633"/>
      <c r="BR1036" s="541"/>
      <c r="BS1036" s="541"/>
      <c r="BT1036" s="541"/>
      <c r="BU1036" s="541"/>
    </row>
    <row r="1037" ht="15.75" customHeight="1">
      <c r="A1037" s="1591"/>
      <c r="B1037" s="1591"/>
      <c r="C1037" s="2217"/>
      <c r="D1037" s="1541"/>
      <c r="E1037" s="906"/>
      <c r="F1037" s="541"/>
      <c r="G1037" s="541"/>
      <c r="H1037" s="541"/>
      <c r="I1037" s="541"/>
      <c r="J1037" s="1748"/>
      <c r="K1037" s="541"/>
      <c r="L1037" s="1748"/>
      <c r="M1037" s="541"/>
      <c r="N1037" s="1748"/>
      <c r="O1037" s="541"/>
      <c r="P1037" s="1748"/>
      <c r="Q1037" s="541"/>
      <c r="R1037" s="1748"/>
      <c r="S1037" s="541"/>
      <c r="T1037" s="1748"/>
      <c r="U1037" s="541"/>
      <c r="V1037" s="1748"/>
      <c r="W1037" s="541"/>
      <c r="X1037" s="1748"/>
      <c r="Y1037" s="1748"/>
      <c r="Z1037" s="1748"/>
      <c r="AA1037" s="541"/>
      <c r="AB1037" s="1748"/>
      <c r="AC1037" s="541"/>
      <c r="AD1037" s="541"/>
      <c r="AE1037" s="541"/>
      <c r="AF1037" s="541"/>
      <c r="AG1037" s="541"/>
      <c r="AH1037" s="541"/>
      <c r="AI1037" s="541"/>
      <c r="AJ1037" s="541"/>
      <c r="AK1037" s="541"/>
      <c r="AL1037" s="541"/>
      <c r="AM1037" s="541"/>
      <c r="AN1037" s="1748"/>
      <c r="AO1037" s="1748"/>
      <c r="AP1037" s="1748"/>
      <c r="AQ1037" s="1748"/>
      <c r="AR1037" s="1748"/>
      <c r="AS1037" s="541"/>
      <c r="AT1037" s="541"/>
      <c r="AU1037" s="541"/>
      <c r="AV1037" s="541"/>
      <c r="AW1037" s="541"/>
      <c r="AY1037" s="541"/>
      <c r="AZ1037" s="633"/>
      <c r="BA1037" s="541"/>
      <c r="BB1037" s="1190"/>
      <c r="BC1037" s="541"/>
      <c r="BD1037" s="1190"/>
      <c r="BE1037" s="541"/>
      <c r="BF1037" s="1190"/>
      <c r="BG1037" s="541"/>
      <c r="BH1037" s="1190"/>
      <c r="BI1037" s="541"/>
      <c r="BJ1037" s="1190"/>
      <c r="BK1037" s="541"/>
      <c r="BL1037" s="541"/>
      <c r="BM1037" s="541"/>
      <c r="BP1037" s="541"/>
      <c r="BQ1037" s="633"/>
      <c r="BR1037" s="541"/>
      <c r="BS1037" s="541"/>
      <c r="BT1037" s="541"/>
      <c r="BU1037" s="541"/>
    </row>
    <row r="1038" ht="15.75" customHeight="1">
      <c r="A1038" s="1591"/>
      <c r="B1038" s="1591"/>
      <c r="C1038" s="2217"/>
      <c r="D1038" s="1541"/>
      <c r="E1038" s="906"/>
      <c r="F1038" s="541"/>
      <c r="G1038" s="541"/>
      <c r="H1038" s="541"/>
      <c r="I1038" s="541"/>
      <c r="J1038" s="1748"/>
      <c r="K1038" s="541"/>
      <c r="L1038" s="1748"/>
      <c r="M1038" s="541"/>
      <c r="N1038" s="1748"/>
      <c r="O1038" s="541"/>
      <c r="P1038" s="1748"/>
      <c r="Q1038" s="541"/>
      <c r="R1038" s="1748"/>
      <c r="S1038" s="541"/>
      <c r="T1038" s="1748"/>
      <c r="U1038" s="541"/>
      <c r="V1038" s="1748"/>
      <c r="W1038" s="541"/>
      <c r="X1038" s="1748"/>
      <c r="Y1038" s="1748"/>
      <c r="Z1038" s="1748"/>
      <c r="AA1038" s="541"/>
      <c r="AB1038" s="1748"/>
      <c r="AC1038" s="541"/>
      <c r="AD1038" s="541"/>
      <c r="AE1038" s="541"/>
      <c r="AF1038" s="541"/>
      <c r="AG1038" s="541"/>
      <c r="AH1038" s="541"/>
      <c r="AI1038" s="541"/>
      <c r="AJ1038" s="541"/>
      <c r="AK1038" s="541"/>
      <c r="AL1038" s="541"/>
      <c r="AM1038" s="541"/>
      <c r="AN1038" s="1748"/>
      <c r="AO1038" s="1748"/>
      <c r="AP1038" s="1748"/>
      <c r="AQ1038" s="1748"/>
      <c r="AR1038" s="1748"/>
      <c r="AS1038" s="541"/>
      <c r="AT1038" s="541"/>
      <c r="AU1038" s="541"/>
      <c r="AV1038" s="541"/>
      <c r="AW1038" s="541"/>
      <c r="AY1038" s="541"/>
      <c r="AZ1038" s="633"/>
      <c r="BA1038" s="541"/>
      <c r="BB1038" s="1190"/>
      <c r="BC1038" s="541"/>
      <c r="BD1038" s="1190"/>
      <c r="BE1038" s="541"/>
      <c r="BF1038" s="1190"/>
      <c r="BG1038" s="541"/>
      <c r="BH1038" s="1190"/>
      <c r="BI1038" s="541"/>
      <c r="BJ1038" s="1190"/>
      <c r="BK1038" s="541"/>
      <c r="BL1038" s="541"/>
      <c r="BM1038" s="541"/>
      <c r="BP1038" s="541"/>
      <c r="BQ1038" s="633"/>
      <c r="BR1038" s="541"/>
      <c r="BS1038" s="541"/>
      <c r="BT1038" s="541"/>
      <c r="BU1038" s="541"/>
    </row>
    <row r="1039" ht="15.75" customHeight="1">
      <c r="A1039" s="1591"/>
      <c r="B1039" s="1591"/>
      <c r="C1039" s="2217"/>
      <c r="D1039" s="1541"/>
      <c r="E1039" s="906"/>
      <c r="F1039" s="541"/>
      <c r="G1039" s="541"/>
      <c r="H1039" s="541"/>
      <c r="I1039" s="541"/>
      <c r="J1039" s="1748"/>
      <c r="K1039" s="541"/>
      <c r="L1039" s="1748"/>
      <c r="M1039" s="541"/>
      <c r="N1039" s="1748"/>
      <c r="O1039" s="541"/>
      <c r="P1039" s="1748"/>
      <c r="Q1039" s="541"/>
      <c r="R1039" s="1748"/>
      <c r="S1039" s="541"/>
      <c r="T1039" s="1748"/>
      <c r="U1039" s="541"/>
      <c r="V1039" s="1748"/>
      <c r="W1039" s="541"/>
      <c r="X1039" s="1748"/>
      <c r="Y1039" s="1748"/>
      <c r="Z1039" s="1748"/>
      <c r="AA1039" s="541"/>
      <c r="AB1039" s="1748"/>
      <c r="AC1039" s="541"/>
      <c r="AD1039" s="541"/>
      <c r="AE1039" s="541"/>
      <c r="AF1039" s="541"/>
      <c r="AG1039" s="541"/>
      <c r="AH1039" s="541"/>
      <c r="AI1039" s="541"/>
      <c r="AJ1039" s="541"/>
      <c r="AK1039" s="541"/>
      <c r="AL1039" s="541"/>
      <c r="AM1039" s="541"/>
      <c r="AN1039" s="1748"/>
      <c r="AO1039" s="1748"/>
      <c r="AP1039" s="1748"/>
      <c r="AQ1039" s="1748"/>
      <c r="AR1039" s="1748"/>
      <c r="AS1039" s="541"/>
      <c r="AT1039" s="541"/>
      <c r="AU1039" s="541"/>
      <c r="AV1039" s="541"/>
      <c r="AW1039" s="541"/>
      <c r="AY1039" s="541"/>
      <c r="AZ1039" s="633"/>
      <c r="BA1039" s="541"/>
      <c r="BB1039" s="1190"/>
      <c r="BC1039" s="541"/>
      <c r="BD1039" s="1190"/>
      <c r="BE1039" s="541"/>
      <c r="BF1039" s="1190"/>
      <c r="BG1039" s="541"/>
      <c r="BH1039" s="1190"/>
      <c r="BI1039" s="541"/>
      <c r="BJ1039" s="1190"/>
      <c r="BK1039" s="541"/>
      <c r="BL1039" s="541"/>
      <c r="BM1039" s="541"/>
      <c r="BP1039" s="541"/>
      <c r="BQ1039" s="633"/>
      <c r="BR1039" s="541"/>
      <c r="BS1039" s="541"/>
      <c r="BT1039" s="541"/>
      <c r="BU1039" s="541"/>
    </row>
    <row r="1040" ht="15.75" customHeight="1">
      <c r="A1040" s="1591"/>
      <c r="B1040" s="1591"/>
      <c r="C1040" s="2217"/>
      <c r="D1040" s="1541"/>
      <c r="E1040" s="906"/>
      <c r="F1040" s="541"/>
      <c r="G1040" s="541"/>
      <c r="H1040" s="541"/>
      <c r="I1040" s="541"/>
      <c r="J1040" s="1748"/>
      <c r="K1040" s="541"/>
      <c r="L1040" s="1748"/>
      <c r="M1040" s="541"/>
      <c r="N1040" s="1748"/>
      <c r="O1040" s="541"/>
      <c r="P1040" s="1748"/>
      <c r="Q1040" s="541"/>
      <c r="R1040" s="1748"/>
      <c r="S1040" s="541"/>
      <c r="T1040" s="1748"/>
      <c r="U1040" s="541"/>
      <c r="V1040" s="1748"/>
      <c r="W1040" s="541"/>
      <c r="X1040" s="1748"/>
      <c r="Y1040" s="1748"/>
      <c r="Z1040" s="1748"/>
      <c r="AA1040" s="541"/>
      <c r="AB1040" s="1748"/>
      <c r="AC1040" s="541"/>
      <c r="AD1040" s="541"/>
      <c r="AE1040" s="541"/>
      <c r="AF1040" s="541"/>
      <c r="AG1040" s="541"/>
      <c r="AH1040" s="541"/>
      <c r="AI1040" s="541"/>
      <c r="AJ1040" s="541"/>
      <c r="AK1040" s="541"/>
      <c r="AL1040" s="541"/>
      <c r="AM1040" s="541"/>
      <c r="AN1040" s="1748"/>
      <c r="AO1040" s="1748"/>
      <c r="AP1040" s="1748"/>
      <c r="AQ1040" s="1748"/>
      <c r="AR1040" s="1748"/>
      <c r="AS1040" s="541"/>
      <c r="AT1040" s="541"/>
      <c r="AU1040" s="541"/>
      <c r="AV1040" s="541"/>
      <c r="AW1040" s="541"/>
      <c r="AY1040" s="541"/>
      <c r="AZ1040" s="633"/>
      <c r="BA1040" s="541"/>
      <c r="BB1040" s="1190"/>
      <c r="BC1040" s="541"/>
      <c r="BD1040" s="1190"/>
      <c r="BE1040" s="541"/>
      <c r="BF1040" s="1190"/>
      <c r="BG1040" s="541"/>
      <c r="BH1040" s="1190"/>
      <c r="BI1040" s="541"/>
      <c r="BJ1040" s="1190"/>
      <c r="BK1040" s="541"/>
      <c r="BL1040" s="541"/>
      <c r="BM1040" s="541"/>
      <c r="BP1040" s="541"/>
      <c r="BQ1040" s="633"/>
      <c r="BR1040" s="541"/>
      <c r="BS1040" s="541"/>
      <c r="BT1040" s="541"/>
      <c r="BU1040" s="541"/>
    </row>
    <row r="1041" ht="15.75" customHeight="1">
      <c r="A1041" s="1591"/>
      <c r="B1041" s="1591"/>
      <c r="C1041" s="2217"/>
      <c r="D1041" s="1541"/>
      <c r="E1041" s="906"/>
      <c r="F1041" s="541"/>
      <c r="G1041" s="541"/>
      <c r="H1041" s="541"/>
      <c r="I1041" s="541"/>
      <c r="J1041" s="1748"/>
      <c r="K1041" s="541"/>
      <c r="L1041" s="1748"/>
      <c r="M1041" s="541"/>
      <c r="N1041" s="1748"/>
      <c r="O1041" s="541"/>
      <c r="P1041" s="1748"/>
      <c r="Q1041" s="541"/>
      <c r="R1041" s="1748"/>
      <c r="S1041" s="541"/>
      <c r="T1041" s="1748"/>
      <c r="U1041" s="541"/>
      <c r="V1041" s="1748"/>
      <c r="W1041" s="541"/>
      <c r="X1041" s="1748"/>
      <c r="Y1041" s="1748"/>
      <c r="Z1041" s="1748"/>
      <c r="AA1041" s="541"/>
      <c r="AB1041" s="1748"/>
      <c r="AC1041" s="541"/>
      <c r="AD1041" s="541"/>
      <c r="AE1041" s="541"/>
      <c r="AF1041" s="541"/>
      <c r="AG1041" s="541"/>
      <c r="AH1041" s="541"/>
      <c r="AI1041" s="541"/>
      <c r="AJ1041" s="541"/>
      <c r="AK1041" s="541"/>
      <c r="AL1041" s="541"/>
      <c r="AM1041" s="541"/>
      <c r="AN1041" s="1748"/>
      <c r="AO1041" s="1748"/>
      <c r="AP1041" s="1748"/>
      <c r="AQ1041" s="1748"/>
      <c r="AR1041" s="1748"/>
      <c r="AS1041" s="541"/>
      <c r="AT1041" s="541"/>
      <c r="AU1041" s="541"/>
      <c r="AV1041" s="541"/>
      <c r="AW1041" s="541"/>
      <c r="AY1041" s="541"/>
      <c r="AZ1041" s="633"/>
      <c r="BA1041" s="541"/>
      <c r="BB1041" s="1190"/>
      <c r="BC1041" s="541"/>
      <c r="BD1041" s="1190"/>
      <c r="BE1041" s="541"/>
      <c r="BF1041" s="1190"/>
      <c r="BG1041" s="541"/>
      <c r="BH1041" s="1190"/>
      <c r="BI1041" s="541"/>
      <c r="BJ1041" s="1190"/>
      <c r="BK1041" s="541"/>
      <c r="BL1041" s="541"/>
      <c r="BM1041" s="541"/>
      <c r="BP1041" s="541"/>
      <c r="BQ1041" s="633"/>
      <c r="BR1041" s="541"/>
      <c r="BS1041" s="541"/>
      <c r="BT1041" s="541"/>
      <c r="BU1041" s="541"/>
    </row>
    <row r="1042" ht="15.75" customHeight="1">
      <c r="A1042" s="1591"/>
      <c r="B1042" s="1591"/>
      <c r="C1042" s="2217"/>
      <c r="D1042" s="1541"/>
      <c r="E1042" s="906"/>
      <c r="F1042" s="541"/>
      <c r="G1042" s="541"/>
      <c r="H1042" s="541"/>
      <c r="I1042" s="541"/>
      <c r="J1042" s="1748"/>
      <c r="K1042" s="541"/>
      <c r="L1042" s="1748"/>
      <c r="M1042" s="541"/>
      <c r="N1042" s="1748"/>
      <c r="O1042" s="541"/>
      <c r="P1042" s="1748"/>
      <c r="Q1042" s="541"/>
      <c r="R1042" s="1748"/>
      <c r="S1042" s="541"/>
      <c r="T1042" s="1748"/>
      <c r="U1042" s="541"/>
      <c r="V1042" s="1748"/>
      <c r="W1042" s="541"/>
      <c r="X1042" s="1748"/>
      <c r="Y1042" s="1748"/>
      <c r="Z1042" s="1748"/>
      <c r="AA1042" s="541"/>
      <c r="AB1042" s="1748"/>
      <c r="AC1042" s="541"/>
      <c r="AD1042" s="541"/>
      <c r="AE1042" s="541"/>
      <c r="AF1042" s="541"/>
      <c r="AG1042" s="541"/>
      <c r="AH1042" s="541"/>
      <c r="AI1042" s="541"/>
      <c r="AJ1042" s="541"/>
      <c r="AK1042" s="541"/>
      <c r="AL1042" s="541"/>
      <c r="AM1042" s="541"/>
      <c r="AN1042" s="1748"/>
      <c r="AO1042" s="1748"/>
      <c r="AP1042" s="1748"/>
      <c r="AQ1042" s="1748"/>
      <c r="AR1042" s="1748"/>
      <c r="AS1042" s="541"/>
      <c r="AT1042" s="541"/>
      <c r="AU1042" s="541"/>
      <c r="AV1042" s="541"/>
      <c r="AW1042" s="541"/>
      <c r="AY1042" s="541"/>
      <c r="AZ1042" s="633"/>
      <c r="BA1042" s="541"/>
      <c r="BB1042" s="1190"/>
      <c r="BC1042" s="541"/>
      <c r="BD1042" s="1190"/>
      <c r="BE1042" s="541"/>
      <c r="BF1042" s="1190"/>
      <c r="BG1042" s="541"/>
      <c r="BH1042" s="1190"/>
      <c r="BI1042" s="541"/>
      <c r="BJ1042" s="1190"/>
      <c r="BK1042" s="541"/>
      <c r="BL1042" s="541"/>
      <c r="BM1042" s="541"/>
      <c r="BP1042" s="541"/>
      <c r="BQ1042" s="633"/>
      <c r="BR1042" s="541"/>
      <c r="BS1042" s="541"/>
      <c r="BT1042" s="541"/>
      <c r="BU1042" s="541"/>
    </row>
    <row r="1043" ht="15.75" customHeight="1">
      <c r="A1043" s="1591"/>
      <c r="B1043" s="1591"/>
      <c r="C1043" s="2217"/>
      <c r="D1043" s="1541"/>
      <c r="E1043" s="906"/>
      <c r="F1043" s="541"/>
      <c r="G1043" s="541"/>
      <c r="H1043" s="541"/>
      <c r="I1043" s="541"/>
      <c r="J1043" s="1748"/>
      <c r="K1043" s="541"/>
      <c r="L1043" s="1748"/>
      <c r="M1043" s="541"/>
      <c r="N1043" s="1748"/>
      <c r="O1043" s="541"/>
      <c r="P1043" s="1748"/>
      <c r="Q1043" s="541"/>
      <c r="R1043" s="1748"/>
      <c r="S1043" s="541"/>
      <c r="T1043" s="1748"/>
      <c r="U1043" s="541"/>
      <c r="V1043" s="1748"/>
      <c r="W1043" s="541"/>
      <c r="X1043" s="1748"/>
      <c r="Y1043" s="1748"/>
      <c r="Z1043" s="1748"/>
      <c r="AA1043" s="541"/>
      <c r="AB1043" s="1748"/>
      <c r="AC1043" s="541"/>
      <c r="AD1043" s="541"/>
      <c r="AE1043" s="541"/>
      <c r="AF1043" s="541"/>
      <c r="AG1043" s="541"/>
      <c r="AH1043" s="541"/>
      <c r="AI1043" s="541"/>
      <c r="AJ1043" s="541"/>
      <c r="AK1043" s="541"/>
      <c r="AL1043" s="541"/>
      <c r="AM1043" s="541"/>
      <c r="AN1043" s="1748"/>
      <c r="AO1043" s="1748"/>
      <c r="AP1043" s="1748"/>
      <c r="AQ1043" s="1748"/>
      <c r="AR1043" s="1748"/>
      <c r="AS1043" s="541"/>
      <c r="AT1043" s="541"/>
      <c r="AU1043" s="541"/>
      <c r="AV1043" s="541"/>
      <c r="AW1043" s="541"/>
      <c r="AY1043" s="541"/>
      <c r="AZ1043" s="633"/>
      <c r="BA1043" s="541"/>
      <c r="BB1043" s="1190"/>
      <c r="BC1043" s="541"/>
      <c r="BD1043" s="1190"/>
      <c r="BE1043" s="541"/>
      <c r="BF1043" s="1190"/>
      <c r="BG1043" s="541"/>
      <c r="BH1043" s="1190"/>
      <c r="BI1043" s="541"/>
      <c r="BJ1043" s="1190"/>
      <c r="BK1043" s="541"/>
      <c r="BL1043" s="541"/>
      <c r="BM1043" s="541"/>
      <c r="BP1043" s="541"/>
      <c r="BQ1043" s="633"/>
      <c r="BR1043" s="541"/>
      <c r="BS1043" s="541"/>
      <c r="BT1043" s="541"/>
      <c r="BU1043" s="541"/>
    </row>
    <row r="1044" ht="15.75" customHeight="1">
      <c r="A1044" s="1591"/>
      <c r="B1044" s="1591"/>
      <c r="C1044" s="2217"/>
      <c r="D1044" s="1541"/>
      <c r="E1044" s="906"/>
      <c r="F1044" s="541"/>
      <c r="G1044" s="541"/>
      <c r="H1044" s="541"/>
      <c r="I1044" s="541"/>
      <c r="J1044" s="1748"/>
      <c r="K1044" s="541"/>
      <c r="L1044" s="1748"/>
      <c r="M1044" s="541"/>
      <c r="N1044" s="1748"/>
      <c r="O1044" s="541"/>
      <c r="P1044" s="1748"/>
      <c r="Q1044" s="541"/>
      <c r="R1044" s="1748"/>
      <c r="S1044" s="541"/>
      <c r="T1044" s="1748"/>
      <c r="U1044" s="541"/>
      <c r="V1044" s="1748"/>
      <c r="W1044" s="541"/>
      <c r="X1044" s="1748"/>
      <c r="Y1044" s="1748"/>
      <c r="Z1044" s="1748"/>
      <c r="AA1044" s="541"/>
      <c r="AB1044" s="1748"/>
      <c r="AC1044" s="541"/>
      <c r="AD1044" s="541"/>
      <c r="AE1044" s="541"/>
      <c r="AF1044" s="541"/>
      <c r="AG1044" s="541"/>
      <c r="AH1044" s="541"/>
      <c r="AI1044" s="541"/>
      <c r="AJ1044" s="541"/>
      <c r="AK1044" s="541"/>
      <c r="AL1044" s="541"/>
      <c r="AM1044" s="541"/>
      <c r="AN1044" s="1748"/>
      <c r="AO1044" s="1748"/>
      <c r="AP1044" s="1748"/>
      <c r="AQ1044" s="1748"/>
      <c r="AR1044" s="1748"/>
      <c r="AS1044" s="541"/>
      <c r="AT1044" s="541"/>
      <c r="AU1044" s="541"/>
      <c r="AV1044" s="541"/>
      <c r="AW1044" s="541"/>
      <c r="AY1044" s="541"/>
      <c r="AZ1044" s="633"/>
      <c r="BA1044" s="541"/>
      <c r="BB1044" s="1190"/>
      <c r="BC1044" s="541"/>
      <c r="BD1044" s="1190"/>
      <c r="BE1044" s="541"/>
      <c r="BF1044" s="1190"/>
      <c r="BG1044" s="541"/>
      <c r="BH1044" s="1190"/>
      <c r="BI1044" s="541"/>
      <c r="BJ1044" s="1190"/>
      <c r="BK1044" s="541"/>
      <c r="BL1044" s="541"/>
      <c r="BM1044" s="541"/>
      <c r="BP1044" s="541"/>
      <c r="BQ1044" s="633"/>
      <c r="BR1044" s="541"/>
      <c r="BS1044" s="541"/>
      <c r="BT1044" s="541"/>
      <c r="BU1044" s="541"/>
    </row>
    <row r="1045" ht="15.75" customHeight="1">
      <c r="A1045" s="1591"/>
      <c r="B1045" s="1591"/>
      <c r="C1045" s="2217"/>
      <c r="D1045" s="1541"/>
      <c r="E1045" s="906"/>
      <c r="F1045" s="541"/>
      <c r="G1045" s="541"/>
      <c r="H1045" s="541"/>
      <c r="I1045" s="541"/>
      <c r="J1045" s="1748"/>
      <c r="K1045" s="541"/>
      <c r="L1045" s="1748"/>
      <c r="M1045" s="541"/>
      <c r="N1045" s="1748"/>
      <c r="O1045" s="541"/>
      <c r="P1045" s="1748"/>
      <c r="Q1045" s="541"/>
      <c r="R1045" s="1748"/>
      <c r="S1045" s="541"/>
      <c r="T1045" s="1748"/>
      <c r="U1045" s="541"/>
      <c r="V1045" s="1748"/>
      <c r="W1045" s="541"/>
      <c r="X1045" s="1748"/>
      <c r="Y1045" s="1748"/>
      <c r="Z1045" s="1748"/>
      <c r="AA1045" s="541"/>
      <c r="AB1045" s="1748"/>
      <c r="AC1045" s="541"/>
      <c r="AD1045" s="541"/>
      <c r="AE1045" s="541"/>
      <c r="AF1045" s="541"/>
      <c r="AG1045" s="541"/>
      <c r="AH1045" s="541"/>
      <c r="AI1045" s="541"/>
      <c r="AJ1045" s="541"/>
      <c r="AK1045" s="541"/>
      <c r="AL1045" s="541"/>
      <c r="AM1045" s="541"/>
      <c r="AN1045" s="1748"/>
      <c r="AO1045" s="1748"/>
      <c r="AP1045" s="1748"/>
      <c r="AQ1045" s="1748"/>
      <c r="AR1045" s="1748"/>
      <c r="AS1045" s="541"/>
      <c r="AT1045" s="541"/>
      <c r="AU1045" s="541"/>
      <c r="AV1045" s="541"/>
      <c r="AW1045" s="541"/>
      <c r="AY1045" s="541"/>
      <c r="AZ1045" s="633"/>
      <c r="BA1045" s="541"/>
      <c r="BB1045" s="1190"/>
      <c r="BC1045" s="541"/>
      <c r="BD1045" s="1190"/>
      <c r="BE1045" s="541"/>
      <c r="BF1045" s="1190"/>
      <c r="BG1045" s="541"/>
      <c r="BH1045" s="1190"/>
      <c r="BI1045" s="541"/>
      <c r="BJ1045" s="1190"/>
      <c r="BK1045" s="541"/>
      <c r="BL1045" s="541"/>
      <c r="BM1045" s="541"/>
      <c r="BP1045" s="541"/>
      <c r="BQ1045" s="633"/>
      <c r="BR1045" s="541"/>
      <c r="BS1045" s="541"/>
      <c r="BT1045" s="541"/>
      <c r="BU1045" s="541"/>
    </row>
    <row r="1046" ht="15.75" customHeight="1">
      <c r="A1046" s="1591"/>
      <c r="B1046" s="1591"/>
      <c r="C1046" s="2217"/>
      <c r="D1046" s="1541"/>
      <c r="E1046" s="906"/>
      <c r="F1046" s="541"/>
      <c r="G1046" s="541"/>
      <c r="H1046" s="541"/>
      <c r="I1046" s="541"/>
      <c r="J1046" s="1748"/>
      <c r="K1046" s="541"/>
      <c r="L1046" s="1748"/>
      <c r="M1046" s="541"/>
      <c r="N1046" s="1748"/>
      <c r="O1046" s="541"/>
      <c r="P1046" s="1748"/>
      <c r="Q1046" s="541"/>
      <c r="R1046" s="1748"/>
      <c r="S1046" s="541"/>
      <c r="T1046" s="1748"/>
      <c r="U1046" s="541"/>
      <c r="V1046" s="1748"/>
      <c r="W1046" s="541"/>
      <c r="X1046" s="1748"/>
      <c r="Y1046" s="1748"/>
      <c r="Z1046" s="1748"/>
      <c r="AA1046" s="541"/>
      <c r="AB1046" s="1748"/>
      <c r="AC1046" s="541"/>
      <c r="AD1046" s="541"/>
      <c r="AE1046" s="541"/>
      <c r="AF1046" s="541"/>
      <c r="AG1046" s="541"/>
      <c r="AH1046" s="541"/>
      <c r="AI1046" s="541"/>
      <c r="AJ1046" s="541"/>
      <c r="AK1046" s="541"/>
      <c r="AL1046" s="541"/>
      <c r="AM1046" s="541"/>
      <c r="AN1046" s="1748"/>
      <c r="AO1046" s="1748"/>
      <c r="AP1046" s="1748"/>
      <c r="AQ1046" s="1748"/>
      <c r="AR1046" s="1748"/>
      <c r="AS1046" s="541"/>
      <c r="AT1046" s="541"/>
      <c r="AU1046" s="541"/>
      <c r="AV1046" s="541"/>
      <c r="AW1046" s="541"/>
      <c r="AY1046" s="541"/>
      <c r="AZ1046" s="633"/>
      <c r="BA1046" s="541"/>
      <c r="BB1046" s="1190"/>
      <c r="BC1046" s="541"/>
      <c r="BD1046" s="1190"/>
      <c r="BE1046" s="541"/>
      <c r="BF1046" s="1190"/>
      <c r="BG1046" s="541"/>
      <c r="BH1046" s="1190"/>
      <c r="BI1046" s="541"/>
      <c r="BJ1046" s="1190"/>
      <c r="BK1046" s="541"/>
      <c r="BL1046" s="541"/>
      <c r="BM1046" s="541"/>
      <c r="BP1046" s="541"/>
      <c r="BQ1046" s="633"/>
      <c r="BR1046" s="541"/>
      <c r="BS1046" s="541"/>
      <c r="BT1046" s="541"/>
      <c r="BU1046" s="541"/>
    </row>
    <row r="1047" ht="15.75" customHeight="1">
      <c r="A1047" s="1591"/>
      <c r="B1047" s="1591"/>
      <c r="C1047" s="2217"/>
      <c r="D1047" s="1541"/>
      <c r="E1047" s="906"/>
      <c r="F1047" s="541"/>
      <c r="G1047" s="541"/>
      <c r="H1047" s="541"/>
      <c r="I1047" s="541"/>
      <c r="J1047" s="1748"/>
      <c r="K1047" s="541"/>
      <c r="L1047" s="1748"/>
      <c r="M1047" s="541"/>
      <c r="N1047" s="1748"/>
      <c r="O1047" s="541"/>
      <c r="P1047" s="1748"/>
      <c r="Q1047" s="541"/>
      <c r="R1047" s="1748"/>
      <c r="S1047" s="541"/>
      <c r="T1047" s="1748"/>
      <c r="U1047" s="541"/>
      <c r="V1047" s="1748"/>
      <c r="W1047" s="541"/>
      <c r="X1047" s="1748"/>
      <c r="Y1047" s="1748"/>
      <c r="Z1047" s="1748"/>
      <c r="AA1047" s="541"/>
      <c r="AB1047" s="1748"/>
      <c r="AC1047" s="541"/>
      <c r="AD1047" s="541"/>
      <c r="AE1047" s="541"/>
      <c r="AF1047" s="541"/>
      <c r="AG1047" s="541"/>
      <c r="AH1047" s="541"/>
      <c r="AI1047" s="541"/>
      <c r="AJ1047" s="541"/>
      <c r="AK1047" s="541"/>
      <c r="AL1047" s="541"/>
      <c r="AM1047" s="541"/>
      <c r="AN1047" s="1748"/>
      <c r="AO1047" s="1748"/>
      <c r="AP1047" s="1748"/>
      <c r="AQ1047" s="1748"/>
      <c r="AR1047" s="1748"/>
      <c r="AS1047" s="541"/>
      <c r="AT1047" s="541"/>
      <c r="AU1047" s="541"/>
      <c r="AV1047" s="541"/>
      <c r="AW1047" s="541"/>
      <c r="AY1047" s="541"/>
      <c r="AZ1047" s="633"/>
      <c r="BA1047" s="541"/>
      <c r="BB1047" s="1190"/>
      <c r="BC1047" s="541"/>
      <c r="BD1047" s="1190"/>
      <c r="BE1047" s="541"/>
      <c r="BF1047" s="1190"/>
      <c r="BG1047" s="541"/>
      <c r="BH1047" s="1190"/>
      <c r="BI1047" s="541"/>
      <c r="BJ1047" s="1190"/>
      <c r="BK1047" s="541"/>
      <c r="BL1047" s="541"/>
      <c r="BM1047" s="541"/>
      <c r="BP1047" s="541"/>
      <c r="BQ1047" s="633"/>
      <c r="BR1047" s="541"/>
      <c r="BS1047" s="541"/>
      <c r="BT1047" s="541"/>
      <c r="BU1047" s="541"/>
    </row>
    <row r="1048" ht="15.75" customHeight="1">
      <c r="A1048" s="1591"/>
      <c r="B1048" s="1591"/>
      <c r="C1048" s="2217"/>
      <c r="D1048" s="1541"/>
      <c r="E1048" s="906"/>
      <c r="F1048" s="541"/>
      <c r="G1048" s="541"/>
      <c r="H1048" s="541"/>
      <c r="I1048" s="541"/>
      <c r="J1048" s="1748"/>
      <c r="K1048" s="541"/>
      <c r="L1048" s="1748"/>
      <c r="M1048" s="541"/>
      <c r="N1048" s="1748"/>
      <c r="O1048" s="541"/>
      <c r="P1048" s="1748"/>
      <c r="Q1048" s="541"/>
      <c r="R1048" s="1748"/>
      <c r="S1048" s="541"/>
      <c r="T1048" s="1748"/>
      <c r="U1048" s="541"/>
      <c r="V1048" s="1748"/>
      <c r="W1048" s="541"/>
      <c r="X1048" s="1748"/>
      <c r="Y1048" s="1748"/>
      <c r="Z1048" s="1748"/>
      <c r="AA1048" s="541"/>
      <c r="AB1048" s="1748"/>
      <c r="AC1048" s="541"/>
      <c r="AD1048" s="541"/>
      <c r="AE1048" s="541"/>
      <c r="AF1048" s="541"/>
      <c r="AG1048" s="541"/>
      <c r="AH1048" s="541"/>
      <c r="AI1048" s="541"/>
      <c r="AJ1048" s="541"/>
      <c r="AK1048" s="541"/>
      <c r="AL1048" s="541"/>
      <c r="AM1048" s="541"/>
      <c r="AN1048" s="1748"/>
      <c r="AO1048" s="1748"/>
      <c r="AP1048" s="1748"/>
      <c r="AQ1048" s="1748"/>
      <c r="AR1048" s="1748"/>
      <c r="AS1048" s="541"/>
      <c r="AT1048" s="541"/>
      <c r="AU1048" s="541"/>
      <c r="AV1048" s="541"/>
      <c r="AW1048" s="541"/>
      <c r="AY1048" s="541"/>
      <c r="AZ1048" s="633"/>
      <c r="BA1048" s="541"/>
      <c r="BB1048" s="1190"/>
      <c r="BC1048" s="541"/>
      <c r="BD1048" s="1190"/>
      <c r="BE1048" s="541"/>
      <c r="BF1048" s="1190"/>
      <c r="BG1048" s="541"/>
      <c r="BH1048" s="1190"/>
      <c r="BI1048" s="541"/>
      <c r="BJ1048" s="1190"/>
      <c r="BK1048" s="541"/>
      <c r="BL1048" s="541"/>
      <c r="BM1048" s="541"/>
      <c r="BP1048" s="541"/>
      <c r="BQ1048" s="633"/>
      <c r="BR1048" s="541"/>
      <c r="BS1048" s="541"/>
      <c r="BT1048" s="541"/>
      <c r="BU1048" s="541"/>
    </row>
    <row r="1049" ht="15.75" customHeight="1">
      <c r="A1049" s="1591"/>
      <c r="B1049" s="1591"/>
      <c r="C1049" s="2217"/>
      <c r="D1049" s="1541"/>
      <c r="E1049" s="906"/>
      <c r="F1049" s="541"/>
      <c r="G1049" s="541"/>
      <c r="H1049" s="541"/>
      <c r="I1049" s="541"/>
      <c r="J1049" s="1748"/>
      <c r="K1049" s="541"/>
      <c r="L1049" s="1748"/>
      <c r="M1049" s="541"/>
      <c r="N1049" s="1748"/>
      <c r="O1049" s="541"/>
      <c r="P1049" s="1748"/>
      <c r="Q1049" s="541"/>
      <c r="R1049" s="1748"/>
      <c r="S1049" s="541"/>
      <c r="T1049" s="1748"/>
      <c r="U1049" s="541"/>
      <c r="V1049" s="1748"/>
      <c r="W1049" s="541"/>
      <c r="X1049" s="1748"/>
      <c r="Y1049" s="1748"/>
      <c r="Z1049" s="1748"/>
      <c r="AA1049" s="541"/>
      <c r="AB1049" s="1748"/>
      <c r="AC1049" s="541"/>
      <c r="AD1049" s="541"/>
      <c r="AE1049" s="541"/>
      <c r="AF1049" s="541"/>
      <c r="AG1049" s="541"/>
      <c r="AH1049" s="541"/>
      <c r="AI1049" s="541"/>
      <c r="AJ1049" s="541"/>
      <c r="AK1049" s="541"/>
      <c r="AL1049" s="541"/>
      <c r="AM1049" s="541"/>
      <c r="AN1049" s="1748"/>
      <c r="AO1049" s="1748"/>
      <c r="AP1049" s="1748"/>
      <c r="AQ1049" s="1748"/>
      <c r="AR1049" s="1748"/>
      <c r="AS1049" s="541"/>
      <c r="AT1049" s="541"/>
      <c r="AU1049" s="541"/>
      <c r="AV1049" s="541"/>
      <c r="AW1049" s="541"/>
      <c r="AY1049" s="541"/>
      <c r="AZ1049" s="633"/>
      <c r="BA1049" s="541"/>
      <c r="BB1049" s="1190"/>
      <c r="BC1049" s="541"/>
      <c r="BD1049" s="1190"/>
      <c r="BE1049" s="541"/>
      <c r="BF1049" s="1190"/>
      <c r="BG1049" s="541"/>
      <c r="BH1049" s="1190"/>
      <c r="BI1049" s="541"/>
      <c r="BJ1049" s="1190"/>
      <c r="BK1049" s="541"/>
      <c r="BL1049" s="541"/>
      <c r="BM1049" s="541"/>
      <c r="BP1049" s="541"/>
      <c r="BQ1049" s="633"/>
      <c r="BR1049" s="541"/>
      <c r="BS1049" s="541"/>
      <c r="BT1049" s="541"/>
      <c r="BU1049" s="541"/>
    </row>
    <row r="1050" ht="15.75" customHeight="1">
      <c r="A1050" s="1591"/>
      <c r="B1050" s="1591"/>
      <c r="C1050" s="2217"/>
      <c r="D1050" s="1541"/>
      <c r="E1050" s="906"/>
      <c r="F1050" s="541"/>
      <c r="G1050" s="541"/>
      <c r="H1050" s="541"/>
      <c r="I1050" s="541"/>
      <c r="J1050" s="1748"/>
      <c r="K1050" s="541"/>
      <c r="L1050" s="1748"/>
      <c r="M1050" s="541"/>
      <c r="N1050" s="1748"/>
      <c r="O1050" s="541"/>
      <c r="P1050" s="1748"/>
      <c r="Q1050" s="541"/>
      <c r="R1050" s="1748"/>
      <c r="S1050" s="541"/>
      <c r="T1050" s="1748"/>
      <c r="U1050" s="541"/>
      <c r="V1050" s="1748"/>
      <c r="W1050" s="541"/>
      <c r="X1050" s="1748"/>
      <c r="Y1050" s="1748"/>
      <c r="Z1050" s="1748"/>
      <c r="AA1050" s="541"/>
      <c r="AB1050" s="1748"/>
      <c r="AC1050" s="541"/>
      <c r="AD1050" s="541"/>
      <c r="AE1050" s="541"/>
      <c r="AF1050" s="541"/>
      <c r="AG1050" s="541"/>
      <c r="AH1050" s="541"/>
      <c r="AI1050" s="541"/>
      <c r="AJ1050" s="541"/>
      <c r="AK1050" s="541"/>
      <c r="AL1050" s="541"/>
      <c r="AM1050" s="541"/>
      <c r="AN1050" s="1748"/>
      <c r="AO1050" s="1748"/>
      <c r="AP1050" s="1748"/>
      <c r="AQ1050" s="1748"/>
      <c r="AR1050" s="1748"/>
      <c r="AS1050" s="541"/>
      <c r="AT1050" s="541"/>
      <c r="AU1050" s="541"/>
      <c r="AV1050" s="541"/>
      <c r="AW1050" s="541"/>
      <c r="AY1050" s="541"/>
      <c r="AZ1050" s="633"/>
      <c r="BA1050" s="541"/>
      <c r="BB1050" s="1190"/>
      <c r="BC1050" s="541"/>
      <c r="BD1050" s="1190"/>
      <c r="BE1050" s="541"/>
      <c r="BF1050" s="1190"/>
      <c r="BG1050" s="541"/>
      <c r="BH1050" s="1190"/>
      <c r="BI1050" s="541"/>
      <c r="BJ1050" s="1190"/>
      <c r="BK1050" s="541"/>
      <c r="BL1050" s="541"/>
      <c r="BM1050" s="541"/>
      <c r="BP1050" s="541"/>
      <c r="BQ1050" s="633"/>
      <c r="BR1050" s="541"/>
      <c r="BS1050" s="541"/>
      <c r="BT1050" s="541"/>
      <c r="BU1050" s="541"/>
    </row>
    <row r="1051" ht="15.75" customHeight="1">
      <c r="A1051" s="1591"/>
      <c r="B1051" s="1591"/>
      <c r="C1051" s="2217"/>
      <c r="D1051" s="1541"/>
      <c r="E1051" s="906"/>
      <c r="F1051" s="541"/>
      <c r="G1051" s="541"/>
      <c r="H1051" s="541"/>
      <c r="I1051" s="541"/>
      <c r="J1051" s="1748"/>
      <c r="K1051" s="541"/>
      <c r="L1051" s="1748"/>
      <c r="M1051" s="541"/>
      <c r="N1051" s="1748"/>
      <c r="O1051" s="541"/>
      <c r="P1051" s="1748"/>
      <c r="Q1051" s="541"/>
      <c r="R1051" s="1748"/>
      <c r="S1051" s="541"/>
      <c r="T1051" s="1748"/>
      <c r="U1051" s="541"/>
      <c r="V1051" s="1748"/>
      <c r="W1051" s="541"/>
      <c r="X1051" s="1748"/>
      <c r="Y1051" s="1748"/>
      <c r="Z1051" s="1748"/>
      <c r="AA1051" s="541"/>
      <c r="AB1051" s="1748"/>
      <c r="AC1051" s="541"/>
      <c r="AD1051" s="541"/>
      <c r="AE1051" s="541"/>
      <c r="AF1051" s="541"/>
      <c r="AG1051" s="541"/>
      <c r="AH1051" s="541"/>
      <c r="AI1051" s="541"/>
      <c r="AJ1051" s="541"/>
      <c r="AK1051" s="541"/>
      <c r="AL1051" s="541"/>
      <c r="AM1051" s="541"/>
      <c r="AN1051" s="1748"/>
      <c r="AO1051" s="1748"/>
      <c r="AP1051" s="1748"/>
      <c r="AQ1051" s="1748"/>
      <c r="AR1051" s="1748"/>
      <c r="AS1051" s="541"/>
      <c r="AT1051" s="541"/>
      <c r="AU1051" s="541"/>
      <c r="AV1051" s="541"/>
      <c r="AW1051" s="541"/>
      <c r="AY1051" s="541"/>
      <c r="AZ1051" s="633"/>
      <c r="BA1051" s="541"/>
      <c r="BB1051" s="1190"/>
      <c r="BC1051" s="541"/>
      <c r="BD1051" s="1190"/>
      <c r="BE1051" s="541"/>
      <c r="BF1051" s="1190"/>
      <c r="BG1051" s="541"/>
      <c r="BH1051" s="1190"/>
      <c r="BI1051" s="541"/>
      <c r="BJ1051" s="1190"/>
      <c r="BK1051" s="541"/>
      <c r="BL1051" s="541"/>
      <c r="BM1051" s="541"/>
      <c r="BP1051" s="541"/>
      <c r="BQ1051" s="633"/>
      <c r="BR1051" s="541"/>
      <c r="BS1051" s="541"/>
      <c r="BT1051" s="541"/>
      <c r="BU1051" s="541"/>
    </row>
    <row r="1052" ht="15.75" customHeight="1">
      <c r="A1052" s="1591"/>
      <c r="B1052" s="1591"/>
      <c r="C1052" s="2217"/>
      <c r="D1052" s="1541"/>
      <c r="E1052" s="906"/>
      <c r="F1052" s="541"/>
      <c r="G1052" s="541"/>
      <c r="H1052" s="541"/>
      <c r="I1052" s="541"/>
      <c r="J1052" s="1748"/>
      <c r="K1052" s="541"/>
      <c r="L1052" s="1748"/>
      <c r="M1052" s="541"/>
      <c r="N1052" s="1748"/>
      <c r="O1052" s="541"/>
      <c r="P1052" s="1748"/>
      <c r="Q1052" s="541"/>
      <c r="R1052" s="1748"/>
      <c r="S1052" s="541"/>
      <c r="T1052" s="1748"/>
      <c r="U1052" s="541"/>
      <c r="V1052" s="1748"/>
      <c r="W1052" s="541"/>
      <c r="X1052" s="1748"/>
      <c r="Y1052" s="1748"/>
      <c r="Z1052" s="1748"/>
      <c r="AA1052" s="541"/>
      <c r="AB1052" s="1748"/>
      <c r="AC1052" s="541"/>
      <c r="AD1052" s="541"/>
      <c r="AE1052" s="541"/>
      <c r="AF1052" s="541"/>
      <c r="AG1052" s="541"/>
      <c r="AH1052" s="541"/>
      <c r="AI1052" s="541"/>
      <c r="AJ1052" s="541"/>
      <c r="AK1052" s="541"/>
      <c r="AL1052" s="541"/>
      <c r="AM1052" s="541"/>
      <c r="AN1052" s="1748"/>
      <c r="AO1052" s="1748"/>
      <c r="AP1052" s="1748"/>
      <c r="AQ1052" s="1748"/>
      <c r="AR1052" s="1748"/>
      <c r="AS1052" s="541"/>
      <c r="AT1052" s="541"/>
      <c r="AU1052" s="541"/>
      <c r="AV1052" s="541"/>
      <c r="AW1052" s="541"/>
      <c r="AY1052" s="541"/>
      <c r="AZ1052" s="633"/>
      <c r="BA1052" s="541"/>
      <c r="BB1052" s="1190"/>
      <c r="BC1052" s="541"/>
      <c r="BD1052" s="1190"/>
      <c r="BE1052" s="541"/>
      <c r="BF1052" s="1190"/>
      <c r="BG1052" s="541"/>
      <c r="BH1052" s="1190"/>
      <c r="BI1052" s="541"/>
      <c r="BJ1052" s="1190"/>
      <c r="BK1052" s="541"/>
      <c r="BL1052" s="541"/>
      <c r="BM1052" s="541"/>
      <c r="BP1052" s="541"/>
      <c r="BQ1052" s="633"/>
      <c r="BR1052" s="541"/>
      <c r="BS1052" s="541"/>
      <c r="BT1052" s="541"/>
      <c r="BU1052" s="541"/>
    </row>
    <row r="1053" ht="15.75" customHeight="1">
      <c r="A1053" s="1591"/>
      <c r="B1053" s="1591"/>
      <c r="C1053" s="2217"/>
      <c r="D1053" s="1541"/>
      <c r="E1053" s="906"/>
      <c r="F1053" s="541"/>
      <c r="G1053" s="541"/>
      <c r="H1053" s="541"/>
      <c r="I1053" s="541"/>
      <c r="J1053" s="1748"/>
      <c r="K1053" s="541"/>
      <c r="L1053" s="1748"/>
      <c r="M1053" s="541"/>
      <c r="N1053" s="1748"/>
      <c r="O1053" s="541"/>
      <c r="P1053" s="1748"/>
      <c r="Q1053" s="541"/>
      <c r="R1053" s="1748"/>
      <c r="S1053" s="541"/>
      <c r="T1053" s="1748"/>
      <c r="U1053" s="541"/>
      <c r="V1053" s="1748"/>
      <c r="W1053" s="541"/>
      <c r="X1053" s="1748"/>
      <c r="Y1053" s="1748"/>
      <c r="Z1053" s="1748"/>
      <c r="AA1053" s="541"/>
      <c r="AB1053" s="1748"/>
      <c r="AC1053" s="541"/>
      <c r="AD1053" s="541"/>
      <c r="AE1053" s="541"/>
      <c r="AF1053" s="541"/>
      <c r="AG1053" s="541"/>
      <c r="AH1053" s="541"/>
      <c r="AI1053" s="541"/>
      <c r="AJ1053" s="541"/>
      <c r="AK1053" s="541"/>
      <c r="AL1053" s="541"/>
      <c r="AM1053" s="541"/>
      <c r="AN1053" s="1748"/>
      <c r="AO1053" s="1748"/>
      <c r="AP1053" s="1748"/>
      <c r="AQ1053" s="1748"/>
      <c r="AR1053" s="1748"/>
      <c r="AS1053" s="541"/>
      <c r="AT1053" s="541"/>
      <c r="AU1053" s="541"/>
      <c r="AV1053" s="541"/>
      <c r="AW1053" s="541"/>
      <c r="AY1053" s="541"/>
      <c r="AZ1053" s="633"/>
      <c r="BA1053" s="541"/>
      <c r="BB1053" s="1190"/>
      <c r="BC1053" s="541"/>
      <c r="BD1053" s="1190"/>
      <c r="BE1053" s="541"/>
      <c r="BF1053" s="1190"/>
      <c r="BG1053" s="541"/>
      <c r="BH1053" s="1190"/>
      <c r="BI1053" s="541"/>
      <c r="BJ1053" s="1190"/>
      <c r="BK1053" s="541"/>
      <c r="BL1053" s="541"/>
      <c r="BM1053" s="541"/>
      <c r="BP1053" s="541"/>
      <c r="BQ1053" s="633"/>
      <c r="BR1053" s="541"/>
      <c r="BS1053" s="541"/>
      <c r="BT1053" s="541"/>
      <c r="BU1053" s="541"/>
    </row>
    <row r="1054" ht="15.75" customHeight="1">
      <c r="A1054" s="1591"/>
      <c r="B1054" s="1591"/>
      <c r="C1054" s="2217"/>
      <c r="D1054" s="1541"/>
      <c r="E1054" s="906"/>
      <c r="F1054" s="541"/>
      <c r="G1054" s="541"/>
      <c r="H1054" s="541"/>
      <c r="I1054" s="541"/>
      <c r="J1054" s="1748"/>
      <c r="K1054" s="541"/>
      <c r="L1054" s="1748"/>
      <c r="M1054" s="541"/>
      <c r="N1054" s="1748"/>
      <c r="O1054" s="541"/>
      <c r="P1054" s="1748"/>
      <c r="Q1054" s="541"/>
      <c r="R1054" s="1748"/>
      <c r="S1054" s="541"/>
      <c r="T1054" s="1748"/>
      <c r="U1054" s="541"/>
      <c r="V1054" s="1748"/>
      <c r="W1054" s="541"/>
      <c r="X1054" s="1748"/>
      <c r="Y1054" s="1748"/>
      <c r="Z1054" s="1748"/>
      <c r="AA1054" s="541"/>
      <c r="AB1054" s="1748"/>
      <c r="AC1054" s="541"/>
      <c r="AD1054" s="541"/>
      <c r="AE1054" s="541"/>
      <c r="AF1054" s="541"/>
      <c r="AG1054" s="541"/>
      <c r="AH1054" s="541"/>
      <c r="AI1054" s="541"/>
      <c r="AJ1054" s="541"/>
      <c r="AK1054" s="541"/>
      <c r="AL1054" s="541"/>
      <c r="AM1054" s="541"/>
      <c r="AN1054" s="1748"/>
      <c r="AO1054" s="1748"/>
      <c r="AP1054" s="1748"/>
      <c r="AQ1054" s="1748"/>
      <c r="AR1054" s="1748"/>
      <c r="AS1054" s="541"/>
      <c r="AT1054" s="541"/>
      <c r="AU1054" s="541"/>
      <c r="AV1054" s="541"/>
      <c r="AW1054" s="541"/>
      <c r="AY1054" s="541"/>
      <c r="AZ1054" s="633"/>
      <c r="BA1054" s="541"/>
      <c r="BB1054" s="1190"/>
      <c r="BC1054" s="541"/>
      <c r="BD1054" s="1190"/>
      <c r="BE1054" s="541"/>
      <c r="BF1054" s="1190"/>
      <c r="BG1054" s="541"/>
      <c r="BH1054" s="1190"/>
      <c r="BI1054" s="541"/>
      <c r="BJ1054" s="1190"/>
      <c r="BK1054" s="541"/>
      <c r="BL1054" s="541"/>
      <c r="BM1054" s="541"/>
      <c r="BP1054" s="541"/>
      <c r="BQ1054" s="633"/>
      <c r="BR1054" s="541"/>
      <c r="BS1054" s="541"/>
      <c r="BT1054" s="541"/>
      <c r="BU1054" s="541"/>
    </row>
    <row r="1055" ht="15.75" customHeight="1">
      <c r="A1055" s="1591"/>
      <c r="B1055" s="1591"/>
      <c r="C1055" s="2217"/>
      <c r="D1055" s="1541"/>
      <c r="E1055" s="906"/>
      <c r="F1055" s="541"/>
      <c r="G1055" s="541"/>
      <c r="H1055" s="541"/>
      <c r="I1055" s="541"/>
      <c r="J1055" s="1748"/>
      <c r="K1055" s="541"/>
      <c r="L1055" s="1748"/>
      <c r="M1055" s="541"/>
      <c r="N1055" s="1748"/>
      <c r="O1055" s="541"/>
      <c r="P1055" s="1748"/>
      <c r="Q1055" s="541"/>
      <c r="R1055" s="1748"/>
      <c r="S1055" s="541"/>
      <c r="T1055" s="1748"/>
      <c r="U1055" s="541"/>
      <c r="V1055" s="1748"/>
      <c r="W1055" s="541"/>
      <c r="X1055" s="1748"/>
      <c r="Y1055" s="1748"/>
      <c r="Z1055" s="1748"/>
      <c r="AA1055" s="541"/>
      <c r="AB1055" s="1748"/>
      <c r="AC1055" s="541"/>
      <c r="AD1055" s="541"/>
      <c r="AE1055" s="541"/>
      <c r="AF1055" s="541"/>
      <c r="AG1055" s="541"/>
      <c r="AH1055" s="541"/>
      <c r="AI1055" s="541"/>
      <c r="AJ1055" s="541"/>
      <c r="AK1055" s="541"/>
      <c r="AL1055" s="541"/>
      <c r="AM1055" s="541"/>
      <c r="AN1055" s="1748"/>
      <c r="AO1055" s="1748"/>
      <c r="AP1055" s="1748"/>
      <c r="AQ1055" s="1748"/>
      <c r="AR1055" s="1748"/>
      <c r="AS1055" s="541"/>
      <c r="AT1055" s="541"/>
      <c r="AU1055" s="541"/>
      <c r="AV1055" s="541"/>
      <c r="AW1055" s="541"/>
      <c r="AY1055" s="541"/>
      <c r="AZ1055" s="633"/>
      <c r="BA1055" s="541"/>
      <c r="BB1055" s="1190"/>
      <c r="BC1055" s="541"/>
      <c r="BD1055" s="1190"/>
      <c r="BE1055" s="541"/>
      <c r="BF1055" s="1190"/>
      <c r="BG1055" s="541"/>
      <c r="BH1055" s="1190"/>
      <c r="BI1055" s="541"/>
      <c r="BJ1055" s="1190"/>
      <c r="BK1055" s="541"/>
      <c r="BL1055" s="541"/>
      <c r="BM1055" s="541"/>
      <c r="BP1055" s="541"/>
      <c r="BQ1055" s="633"/>
      <c r="BR1055" s="541"/>
      <c r="BS1055" s="541"/>
      <c r="BT1055" s="541"/>
      <c r="BU1055" s="541"/>
    </row>
    <row r="1056" ht="15.75" customHeight="1">
      <c r="A1056" s="1591"/>
      <c r="B1056" s="1591"/>
      <c r="C1056" s="2217"/>
      <c r="D1056" s="1541"/>
      <c r="E1056" s="906"/>
      <c r="F1056" s="541"/>
      <c r="G1056" s="541"/>
      <c r="H1056" s="541"/>
      <c r="I1056" s="541"/>
      <c r="J1056" s="1748"/>
      <c r="K1056" s="541"/>
      <c r="L1056" s="1748"/>
      <c r="M1056" s="541"/>
      <c r="N1056" s="1748"/>
      <c r="O1056" s="541"/>
      <c r="P1056" s="1748"/>
      <c r="Q1056" s="541"/>
      <c r="R1056" s="1748"/>
      <c r="S1056" s="541"/>
      <c r="T1056" s="1748"/>
      <c r="U1056" s="541"/>
      <c r="V1056" s="1748"/>
      <c r="W1056" s="541"/>
      <c r="X1056" s="1748"/>
      <c r="Y1056" s="1748"/>
      <c r="Z1056" s="1748"/>
      <c r="AA1056" s="541"/>
      <c r="AB1056" s="1748"/>
      <c r="AC1056" s="541"/>
      <c r="AD1056" s="541"/>
      <c r="AE1056" s="541"/>
      <c r="AF1056" s="541"/>
      <c r="AG1056" s="541"/>
      <c r="AH1056" s="541"/>
      <c r="AI1056" s="541"/>
      <c r="AJ1056" s="541"/>
      <c r="AK1056" s="541"/>
      <c r="AL1056" s="541"/>
      <c r="AM1056" s="541"/>
      <c r="AN1056" s="1748"/>
      <c r="AO1056" s="1748"/>
      <c r="AP1056" s="1748"/>
      <c r="AQ1056" s="1748"/>
      <c r="AR1056" s="1748"/>
      <c r="AS1056" s="541"/>
      <c r="AT1056" s="541"/>
      <c r="AU1056" s="541"/>
      <c r="AV1056" s="541"/>
      <c r="AW1056" s="541"/>
      <c r="AY1056" s="541"/>
      <c r="AZ1056" s="633"/>
      <c r="BA1056" s="541"/>
      <c r="BB1056" s="1190"/>
      <c r="BC1056" s="541"/>
      <c r="BD1056" s="1190"/>
      <c r="BE1056" s="541"/>
      <c r="BF1056" s="1190"/>
      <c r="BG1056" s="541"/>
      <c r="BH1056" s="1190"/>
      <c r="BI1056" s="541"/>
      <c r="BJ1056" s="1190"/>
      <c r="BK1056" s="541"/>
      <c r="BL1056" s="541"/>
      <c r="BM1056" s="541"/>
      <c r="BP1056" s="541"/>
      <c r="BQ1056" s="633"/>
      <c r="BR1056" s="541"/>
      <c r="BS1056" s="541"/>
      <c r="BT1056" s="541"/>
      <c r="BU1056" s="541"/>
    </row>
    <row r="1057" ht="15.75" customHeight="1">
      <c r="A1057" s="1591"/>
      <c r="B1057" s="1591"/>
      <c r="C1057" s="2217"/>
      <c r="D1057" s="1541"/>
      <c r="E1057" s="906"/>
      <c r="F1057" s="541"/>
      <c r="G1057" s="541"/>
      <c r="H1057" s="541"/>
      <c r="I1057" s="541"/>
      <c r="J1057" s="1748"/>
      <c r="K1057" s="541"/>
      <c r="L1057" s="1748"/>
      <c r="M1057" s="541"/>
      <c r="N1057" s="1748"/>
      <c r="O1057" s="541"/>
      <c r="P1057" s="1748"/>
      <c r="Q1057" s="541"/>
      <c r="R1057" s="1748"/>
      <c r="S1057" s="541"/>
      <c r="T1057" s="1748"/>
      <c r="U1057" s="541"/>
      <c r="V1057" s="1748"/>
      <c r="W1057" s="541"/>
      <c r="X1057" s="1748"/>
      <c r="Y1057" s="1748"/>
      <c r="Z1057" s="1748"/>
      <c r="AA1057" s="541"/>
      <c r="AB1057" s="1748"/>
      <c r="AC1057" s="541"/>
      <c r="AD1057" s="541"/>
      <c r="AE1057" s="541"/>
      <c r="AF1057" s="541"/>
      <c r="AG1057" s="541"/>
      <c r="AH1057" s="541"/>
      <c r="AI1057" s="541"/>
      <c r="AJ1057" s="541"/>
      <c r="AK1057" s="541"/>
      <c r="AL1057" s="541"/>
      <c r="AM1057" s="541"/>
      <c r="AN1057" s="1748"/>
      <c r="AO1057" s="1748"/>
      <c r="AP1057" s="1748"/>
      <c r="AQ1057" s="1748"/>
      <c r="AR1057" s="1748"/>
      <c r="AS1057" s="541"/>
      <c r="AT1057" s="541"/>
      <c r="AU1057" s="541"/>
      <c r="AV1057" s="541"/>
      <c r="AW1057" s="541"/>
      <c r="AY1057" s="541"/>
      <c r="AZ1057" s="633"/>
      <c r="BA1057" s="541"/>
      <c r="BB1057" s="1190"/>
      <c r="BC1057" s="541"/>
      <c r="BD1057" s="1190"/>
      <c r="BE1057" s="541"/>
      <c r="BF1057" s="1190"/>
      <c r="BG1057" s="541"/>
      <c r="BH1057" s="1190"/>
      <c r="BI1057" s="541"/>
      <c r="BJ1057" s="1190"/>
      <c r="BK1057" s="541"/>
      <c r="BL1057" s="541"/>
      <c r="BM1057" s="541"/>
      <c r="BP1057" s="541"/>
      <c r="BQ1057" s="633"/>
      <c r="BR1057" s="541"/>
      <c r="BS1057" s="541"/>
      <c r="BT1057" s="541"/>
      <c r="BU1057" s="541"/>
    </row>
    <row r="1058" ht="15.75" customHeight="1">
      <c r="A1058" s="1591"/>
      <c r="B1058" s="1591"/>
      <c r="C1058" s="2217"/>
      <c r="D1058" s="1541"/>
      <c r="E1058" s="906"/>
      <c r="F1058" s="541"/>
      <c r="G1058" s="541"/>
      <c r="H1058" s="541"/>
      <c r="I1058" s="541"/>
      <c r="J1058" s="1748"/>
      <c r="K1058" s="541"/>
      <c r="L1058" s="1748"/>
      <c r="M1058" s="541"/>
      <c r="N1058" s="1748"/>
      <c r="O1058" s="541"/>
      <c r="P1058" s="1748"/>
      <c r="Q1058" s="541"/>
      <c r="R1058" s="1748"/>
      <c r="S1058" s="541"/>
      <c r="T1058" s="1748"/>
      <c r="U1058" s="541"/>
      <c r="V1058" s="1748"/>
      <c r="W1058" s="541"/>
      <c r="X1058" s="1748"/>
      <c r="Y1058" s="1748"/>
      <c r="Z1058" s="1748"/>
      <c r="AA1058" s="541"/>
      <c r="AB1058" s="1748"/>
      <c r="AC1058" s="541"/>
      <c r="AD1058" s="541"/>
      <c r="AE1058" s="541"/>
      <c r="AF1058" s="541"/>
      <c r="AG1058" s="541"/>
      <c r="AH1058" s="541"/>
      <c r="AI1058" s="541"/>
      <c r="AJ1058" s="541"/>
      <c r="AK1058" s="541"/>
      <c r="AL1058" s="541"/>
      <c r="AM1058" s="541"/>
      <c r="AN1058" s="1748"/>
      <c r="AO1058" s="1748"/>
      <c r="AP1058" s="1748"/>
      <c r="AQ1058" s="1748"/>
      <c r="AR1058" s="1748"/>
      <c r="AS1058" s="541"/>
      <c r="AT1058" s="541"/>
      <c r="AU1058" s="541"/>
      <c r="AV1058" s="541"/>
      <c r="AW1058" s="541"/>
      <c r="AY1058" s="541"/>
      <c r="AZ1058" s="633"/>
      <c r="BA1058" s="541"/>
      <c r="BB1058" s="1190"/>
      <c r="BC1058" s="541"/>
      <c r="BD1058" s="1190"/>
      <c r="BE1058" s="541"/>
      <c r="BF1058" s="1190"/>
      <c r="BG1058" s="541"/>
      <c r="BH1058" s="1190"/>
      <c r="BI1058" s="541"/>
      <c r="BJ1058" s="1190"/>
      <c r="BK1058" s="541"/>
      <c r="BL1058" s="541"/>
      <c r="BM1058" s="541"/>
      <c r="BP1058" s="541"/>
      <c r="BQ1058" s="633"/>
      <c r="BR1058" s="541"/>
      <c r="BS1058" s="541"/>
      <c r="BT1058" s="541"/>
      <c r="BU1058" s="541"/>
    </row>
    <row r="1059" ht="15.75" customHeight="1">
      <c r="A1059" s="1591"/>
      <c r="B1059" s="1591"/>
      <c r="C1059" s="2217"/>
      <c r="D1059" s="1541"/>
      <c r="E1059" s="906"/>
      <c r="F1059" s="541"/>
      <c r="G1059" s="541"/>
      <c r="H1059" s="541"/>
      <c r="I1059" s="541"/>
      <c r="J1059" s="1748"/>
      <c r="K1059" s="541"/>
      <c r="L1059" s="1748"/>
      <c r="M1059" s="541"/>
      <c r="N1059" s="1748"/>
      <c r="O1059" s="541"/>
      <c r="P1059" s="1748"/>
      <c r="Q1059" s="541"/>
      <c r="R1059" s="1748"/>
      <c r="S1059" s="541"/>
      <c r="T1059" s="1748"/>
      <c r="U1059" s="541"/>
      <c r="V1059" s="1748"/>
      <c r="W1059" s="541"/>
      <c r="X1059" s="1748"/>
      <c r="Y1059" s="1748"/>
      <c r="Z1059" s="1748"/>
      <c r="AA1059" s="541"/>
      <c r="AB1059" s="1748"/>
      <c r="AC1059" s="541"/>
      <c r="AD1059" s="541"/>
      <c r="AE1059" s="541"/>
      <c r="AF1059" s="541"/>
      <c r="AG1059" s="541"/>
      <c r="AH1059" s="541"/>
      <c r="AI1059" s="541"/>
      <c r="AJ1059" s="541"/>
      <c r="AK1059" s="541"/>
      <c r="AL1059" s="541"/>
      <c r="AM1059" s="541"/>
      <c r="AN1059" s="1748"/>
      <c r="AO1059" s="1748"/>
      <c r="AP1059" s="1748"/>
      <c r="AQ1059" s="1748"/>
      <c r="AR1059" s="1748"/>
      <c r="AS1059" s="541"/>
      <c r="AT1059" s="541"/>
      <c r="AU1059" s="541"/>
      <c r="AV1059" s="541"/>
      <c r="AW1059" s="541"/>
      <c r="AY1059" s="541"/>
      <c r="AZ1059" s="633"/>
      <c r="BA1059" s="541"/>
      <c r="BB1059" s="1190"/>
      <c r="BC1059" s="541"/>
      <c r="BD1059" s="1190"/>
      <c r="BE1059" s="541"/>
      <c r="BF1059" s="1190"/>
      <c r="BG1059" s="541"/>
      <c r="BH1059" s="1190"/>
      <c r="BI1059" s="541"/>
      <c r="BJ1059" s="1190"/>
      <c r="BK1059" s="541"/>
      <c r="BL1059" s="541"/>
      <c r="BM1059" s="541"/>
      <c r="BP1059" s="541"/>
      <c r="BQ1059" s="633"/>
      <c r="BR1059" s="541"/>
      <c r="BS1059" s="541"/>
      <c r="BT1059" s="541"/>
      <c r="BU1059" s="541"/>
    </row>
    <row r="1060" ht="15.75" customHeight="1">
      <c r="A1060" s="1591"/>
      <c r="B1060" s="1591"/>
      <c r="C1060" s="2217"/>
      <c r="D1060" s="1541"/>
      <c r="E1060" s="906"/>
      <c r="F1060" s="541"/>
      <c r="G1060" s="541"/>
      <c r="H1060" s="541"/>
      <c r="I1060" s="541"/>
      <c r="J1060" s="1748"/>
      <c r="K1060" s="541"/>
      <c r="L1060" s="1748"/>
      <c r="M1060" s="541"/>
      <c r="N1060" s="1748"/>
      <c r="O1060" s="541"/>
      <c r="P1060" s="1748"/>
      <c r="Q1060" s="541"/>
      <c r="R1060" s="1748"/>
      <c r="S1060" s="541"/>
      <c r="T1060" s="1748"/>
      <c r="U1060" s="541"/>
      <c r="V1060" s="1748"/>
      <c r="W1060" s="541"/>
      <c r="X1060" s="1748"/>
      <c r="Y1060" s="1748"/>
      <c r="Z1060" s="1748"/>
      <c r="AA1060" s="541"/>
      <c r="AB1060" s="1748"/>
      <c r="AC1060" s="541"/>
      <c r="AD1060" s="541"/>
      <c r="AE1060" s="541"/>
      <c r="AF1060" s="541"/>
      <c r="AG1060" s="541"/>
      <c r="AH1060" s="541"/>
      <c r="AI1060" s="541"/>
      <c r="AJ1060" s="541"/>
      <c r="AK1060" s="541"/>
      <c r="AL1060" s="541"/>
      <c r="AM1060" s="541"/>
      <c r="AN1060" s="1748"/>
      <c r="AO1060" s="1748"/>
      <c r="AP1060" s="1748"/>
      <c r="AQ1060" s="1748"/>
      <c r="AR1060" s="1748"/>
      <c r="AS1060" s="541"/>
      <c r="AT1060" s="541"/>
      <c r="AU1060" s="541"/>
      <c r="AV1060" s="541"/>
      <c r="AW1060" s="541"/>
      <c r="AY1060" s="541"/>
      <c r="AZ1060" s="633"/>
      <c r="BA1060" s="541"/>
      <c r="BB1060" s="1190"/>
      <c r="BC1060" s="541"/>
      <c r="BD1060" s="1190"/>
      <c r="BE1060" s="541"/>
      <c r="BF1060" s="1190"/>
      <c r="BG1060" s="541"/>
      <c r="BH1060" s="1190"/>
      <c r="BI1060" s="541"/>
      <c r="BJ1060" s="1190"/>
      <c r="BK1060" s="541"/>
      <c r="BL1060" s="541"/>
      <c r="BM1060" s="541"/>
      <c r="BP1060" s="541"/>
      <c r="BQ1060" s="633"/>
      <c r="BR1060" s="541"/>
      <c r="BS1060" s="541"/>
      <c r="BT1060" s="541"/>
      <c r="BU1060" s="541"/>
    </row>
    <row r="1061" ht="15.75" customHeight="1">
      <c r="A1061" s="1591"/>
      <c r="B1061" s="1591"/>
      <c r="C1061" s="2217"/>
      <c r="D1061" s="1541"/>
      <c r="E1061" s="906"/>
      <c r="F1061" s="541"/>
      <c r="G1061" s="541"/>
      <c r="H1061" s="541"/>
      <c r="I1061" s="541"/>
      <c r="J1061" s="1748"/>
      <c r="K1061" s="541"/>
      <c r="L1061" s="1748"/>
      <c r="M1061" s="541"/>
      <c r="N1061" s="1748"/>
      <c r="O1061" s="541"/>
      <c r="P1061" s="1748"/>
      <c r="Q1061" s="541"/>
      <c r="R1061" s="1748"/>
      <c r="S1061" s="541"/>
      <c r="T1061" s="1748"/>
      <c r="U1061" s="541"/>
      <c r="V1061" s="1748"/>
      <c r="W1061" s="541"/>
      <c r="X1061" s="1748"/>
      <c r="Y1061" s="1748"/>
      <c r="Z1061" s="1748"/>
      <c r="AA1061" s="541"/>
      <c r="AB1061" s="1748"/>
      <c r="AC1061" s="541"/>
      <c r="AD1061" s="541"/>
      <c r="AE1061" s="541"/>
      <c r="AF1061" s="541"/>
      <c r="AG1061" s="541"/>
      <c r="AH1061" s="541"/>
      <c r="AI1061" s="541"/>
      <c r="AJ1061" s="541"/>
      <c r="AK1061" s="541"/>
      <c r="AL1061" s="541"/>
      <c r="AM1061" s="541"/>
      <c r="AN1061" s="1748"/>
      <c r="AO1061" s="1748"/>
      <c r="AP1061" s="1748"/>
      <c r="AQ1061" s="1748"/>
      <c r="AR1061" s="1748"/>
      <c r="AS1061" s="541"/>
      <c r="AT1061" s="541"/>
      <c r="AU1061" s="541"/>
      <c r="AV1061" s="541"/>
      <c r="AW1061" s="541"/>
      <c r="AY1061" s="541"/>
      <c r="AZ1061" s="633"/>
      <c r="BA1061" s="541"/>
      <c r="BB1061" s="1190"/>
      <c r="BC1061" s="541"/>
      <c r="BD1061" s="1190"/>
      <c r="BE1061" s="541"/>
      <c r="BF1061" s="1190"/>
      <c r="BG1061" s="541"/>
      <c r="BH1061" s="1190"/>
      <c r="BI1061" s="541"/>
      <c r="BJ1061" s="1190"/>
      <c r="BK1061" s="541"/>
      <c r="BL1061" s="541"/>
      <c r="BM1061" s="541"/>
      <c r="BP1061" s="541"/>
      <c r="BQ1061" s="633"/>
      <c r="BR1061" s="541"/>
      <c r="BS1061" s="541"/>
      <c r="BT1061" s="541"/>
      <c r="BU1061" s="541"/>
    </row>
    <row r="1062" ht="15.75" customHeight="1">
      <c r="A1062" s="1591"/>
      <c r="B1062" s="1591"/>
      <c r="C1062" s="2217"/>
      <c r="D1062" s="1541"/>
      <c r="E1062" s="906"/>
      <c r="F1062" s="541"/>
      <c r="G1062" s="541"/>
      <c r="H1062" s="541"/>
      <c r="I1062" s="541"/>
      <c r="J1062" s="1748"/>
      <c r="K1062" s="541"/>
      <c r="L1062" s="1748"/>
      <c r="M1062" s="541"/>
      <c r="N1062" s="1748"/>
      <c r="O1062" s="541"/>
      <c r="P1062" s="1748"/>
      <c r="Q1062" s="541"/>
      <c r="R1062" s="1748"/>
      <c r="S1062" s="541"/>
      <c r="T1062" s="1748"/>
      <c r="U1062" s="541"/>
      <c r="V1062" s="1748"/>
      <c r="W1062" s="541"/>
      <c r="X1062" s="1748"/>
      <c r="Y1062" s="1748"/>
      <c r="Z1062" s="1748"/>
      <c r="AA1062" s="541"/>
      <c r="AB1062" s="1748"/>
      <c r="AC1062" s="541"/>
      <c r="AD1062" s="541"/>
      <c r="AE1062" s="541"/>
      <c r="AF1062" s="541"/>
      <c r="AG1062" s="541"/>
      <c r="AH1062" s="541"/>
      <c r="AI1062" s="541"/>
      <c r="AJ1062" s="541"/>
      <c r="AK1062" s="541"/>
      <c r="AL1062" s="541"/>
      <c r="AM1062" s="541"/>
      <c r="AN1062" s="1748"/>
      <c r="AO1062" s="1748"/>
      <c r="AP1062" s="1748"/>
      <c r="AQ1062" s="1748"/>
      <c r="AR1062" s="1748"/>
      <c r="AS1062" s="541"/>
      <c r="AT1062" s="541"/>
      <c r="AU1062" s="541"/>
      <c r="AV1062" s="541"/>
      <c r="AW1062" s="541"/>
      <c r="AY1062" s="541"/>
      <c r="AZ1062" s="633"/>
      <c r="BA1062" s="541"/>
      <c r="BB1062" s="1190"/>
      <c r="BC1062" s="541"/>
      <c r="BD1062" s="1190"/>
      <c r="BE1062" s="541"/>
      <c r="BF1062" s="1190"/>
      <c r="BG1062" s="541"/>
      <c r="BH1062" s="1190"/>
      <c r="BI1062" s="541"/>
      <c r="BJ1062" s="1190"/>
      <c r="BK1062" s="541"/>
      <c r="BL1062" s="541"/>
      <c r="BM1062" s="541"/>
      <c r="BP1062" s="541"/>
      <c r="BQ1062" s="633"/>
      <c r="BR1062" s="541"/>
      <c r="BS1062" s="541"/>
      <c r="BT1062" s="541"/>
      <c r="BU1062" s="541"/>
    </row>
    <row r="1063" ht="15.75" customHeight="1">
      <c r="A1063" s="1591"/>
      <c r="B1063" s="1591"/>
      <c r="C1063" s="2217"/>
      <c r="D1063" s="1541"/>
      <c r="E1063" s="906"/>
      <c r="F1063" s="541"/>
      <c r="G1063" s="541"/>
      <c r="H1063" s="541"/>
      <c r="I1063" s="541"/>
      <c r="J1063" s="1748"/>
      <c r="K1063" s="541"/>
      <c r="L1063" s="1748"/>
      <c r="M1063" s="541"/>
      <c r="N1063" s="1748"/>
      <c r="O1063" s="541"/>
      <c r="P1063" s="1748"/>
      <c r="Q1063" s="541"/>
      <c r="R1063" s="1748"/>
      <c r="S1063" s="541"/>
      <c r="T1063" s="1748"/>
      <c r="U1063" s="541"/>
      <c r="V1063" s="1748"/>
      <c r="W1063" s="541"/>
      <c r="X1063" s="1748"/>
      <c r="Y1063" s="1748"/>
      <c r="Z1063" s="1748"/>
      <c r="AA1063" s="541"/>
      <c r="AB1063" s="1748"/>
      <c r="AC1063" s="541"/>
      <c r="AD1063" s="541"/>
      <c r="AE1063" s="541"/>
      <c r="AF1063" s="541"/>
      <c r="AG1063" s="541"/>
      <c r="AH1063" s="541"/>
      <c r="AI1063" s="541"/>
      <c r="AJ1063" s="541"/>
      <c r="AK1063" s="541"/>
      <c r="AL1063" s="541"/>
      <c r="AM1063" s="541"/>
      <c r="AN1063" s="1748"/>
      <c r="AO1063" s="1748"/>
      <c r="AP1063" s="1748"/>
      <c r="AQ1063" s="1748"/>
      <c r="AR1063" s="1748"/>
      <c r="AS1063" s="541"/>
      <c r="AT1063" s="541"/>
      <c r="AU1063" s="541"/>
      <c r="AV1063" s="541"/>
      <c r="AW1063" s="541"/>
      <c r="AY1063" s="541"/>
      <c r="AZ1063" s="633"/>
      <c r="BA1063" s="541"/>
      <c r="BB1063" s="1190"/>
      <c r="BC1063" s="541"/>
      <c r="BD1063" s="1190"/>
      <c r="BE1063" s="541"/>
      <c r="BF1063" s="1190"/>
      <c r="BG1063" s="541"/>
      <c r="BH1063" s="1190"/>
      <c r="BI1063" s="541"/>
      <c r="BJ1063" s="1190"/>
      <c r="BK1063" s="541"/>
      <c r="BL1063" s="541"/>
      <c r="BM1063" s="541"/>
      <c r="BP1063" s="541"/>
      <c r="BQ1063" s="633"/>
      <c r="BR1063" s="541"/>
      <c r="BS1063" s="541"/>
      <c r="BT1063" s="541"/>
      <c r="BU1063" s="541"/>
    </row>
    <row r="1064" ht="15.75" customHeight="1">
      <c r="A1064" s="1591"/>
      <c r="B1064" s="1591"/>
      <c r="C1064" s="2217"/>
      <c r="D1064" s="1541"/>
      <c r="E1064" s="906"/>
      <c r="F1064" s="541"/>
      <c r="G1064" s="541"/>
      <c r="H1064" s="541"/>
      <c r="I1064" s="541"/>
      <c r="J1064" s="1748"/>
      <c r="K1064" s="541"/>
      <c r="L1064" s="1748"/>
      <c r="M1064" s="541"/>
      <c r="N1064" s="1748"/>
      <c r="O1064" s="541"/>
      <c r="P1064" s="1748"/>
      <c r="Q1064" s="541"/>
      <c r="R1064" s="1748"/>
      <c r="S1064" s="541"/>
      <c r="T1064" s="1748"/>
      <c r="U1064" s="541"/>
      <c r="V1064" s="1748"/>
      <c r="W1064" s="541"/>
      <c r="X1064" s="1748"/>
      <c r="Y1064" s="1748"/>
      <c r="Z1064" s="1748"/>
      <c r="AA1064" s="541"/>
      <c r="AB1064" s="1748"/>
      <c r="AC1064" s="541"/>
      <c r="AD1064" s="541"/>
      <c r="AE1064" s="541"/>
      <c r="AF1064" s="541"/>
      <c r="AG1064" s="541"/>
      <c r="AH1064" s="541"/>
      <c r="AI1064" s="541"/>
      <c r="AJ1064" s="541"/>
      <c r="AK1064" s="541"/>
      <c r="AL1064" s="541"/>
      <c r="AM1064" s="541"/>
      <c r="AN1064" s="1748"/>
      <c r="AO1064" s="1748"/>
      <c r="AP1064" s="1748"/>
      <c r="AQ1064" s="1748"/>
      <c r="AR1064" s="1748"/>
      <c r="AS1064" s="541"/>
      <c r="AT1064" s="541"/>
      <c r="AU1064" s="541"/>
      <c r="AV1064" s="541"/>
      <c r="AW1064" s="541"/>
      <c r="AY1064" s="541"/>
      <c r="AZ1064" s="633"/>
      <c r="BA1064" s="541"/>
      <c r="BB1064" s="1190"/>
      <c r="BC1064" s="541"/>
      <c r="BD1064" s="1190"/>
      <c r="BE1064" s="541"/>
      <c r="BF1064" s="1190"/>
      <c r="BG1064" s="541"/>
      <c r="BH1064" s="1190"/>
      <c r="BI1064" s="541"/>
      <c r="BJ1064" s="1190"/>
      <c r="BK1064" s="541"/>
      <c r="BL1064" s="541"/>
      <c r="BM1064" s="541"/>
      <c r="BP1064" s="541"/>
      <c r="BQ1064" s="633"/>
      <c r="BR1064" s="541"/>
      <c r="BS1064" s="541"/>
      <c r="BT1064" s="541"/>
      <c r="BU1064" s="541"/>
    </row>
    <row r="1065" ht="15.75" customHeight="1">
      <c r="A1065" s="1591"/>
      <c r="B1065" s="1591"/>
      <c r="C1065" s="2217"/>
      <c r="D1065" s="1541"/>
      <c r="E1065" s="906"/>
      <c r="F1065" s="541"/>
      <c r="G1065" s="541"/>
      <c r="H1065" s="541"/>
      <c r="I1065" s="541"/>
      <c r="J1065" s="1748"/>
      <c r="K1065" s="541"/>
      <c r="L1065" s="1748"/>
      <c r="M1065" s="541"/>
      <c r="N1065" s="1748"/>
      <c r="O1065" s="541"/>
      <c r="P1065" s="1748"/>
      <c r="Q1065" s="541"/>
      <c r="R1065" s="1748"/>
      <c r="S1065" s="541"/>
      <c r="T1065" s="1748"/>
      <c r="U1065" s="541"/>
      <c r="V1065" s="1748"/>
      <c r="W1065" s="541"/>
      <c r="X1065" s="1748"/>
      <c r="Y1065" s="1748"/>
      <c r="Z1065" s="1748"/>
      <c r="AA1065" s="541"/>
      <c r="AB1065" s="1748"/>
      <c r="AC1065" s="541"/>
      <c r="AD1065" s="541"/>
      <c r="AE1065" s="541"/>
      <c r="AF1065" s="541"/>
      <c r="AG1065" s="541"/>
      <c r="AH1065" s="541"/>
      <c r="AI1065" s="541"/>
      <c r="AJ1065" s="541"/>
      <c r="AK1065" s="541"/>
      <c r="AL1065" s="541"/>
      <c r="AM1065" s="541"/>
      <c r="AN1065" s="1748"/>
      <c r="AO1065" s="1748"/>
      <c r="AP1065" s="1748"/>
      <c r="AQ1065" s="1748"/>
      <c r="AR1065" s="1748"/>
      <c r="AS1065" s="541"/>
      <c r="AT1065" s="541"/>
      <c r="AU1065" s="541"/>
      <c r="AV1065" s="541"/>
      <c r="AW1065" s="541"/>
      <c r="AY1065" s="541"/>
      <c r="AZ1065" s="633"/>
      <c r="BA1065" s="541"/>
      <c r="BB1065" s="1190"/>
      <c r="BC1065" s="541"/>
      <c r="BD1065" s="1190"/>
      <c r="BE1065" s="541"/>
      <c r="BF1065" s="1190"/>
      <c r="BG1065" s="541"/>
      <c r="BH1065" s="1190"/>
      <c r="BI1065" s="541"/>
      <c r="BJ1065" s="1190"/>
      <c r="BK1065" s="541"/>
      <c r="BL1065" s="541"/>
      <c r="BM1065" s="541"/>
      <c r="BP1065" s="541"/>
      <c r="BQ1065" s="633"/>
      <c r="BR1065" s="541"/>
      <c r="BS1065" s="541"/>
      <c r="BT1065" s="541"/>
      <c r="BU1065" s="541"/>
    </row>
    <row r="1066" ht="15.75" customHeight="1">
      <c r="A1066" s="1591"/>
      <c r="B1066" s="1591"/>
      <c r="C1066" s="2217"/>
      <c r="D1066" s="1541"/>
      <c r="E1066" s="906"/>
      <c r="F1066" s="541"/>
      <c r="G1066" s="541"/>
      <c r="H1066" s="541"/>
      <c r="I1066" s="541"/>
      <c r="J1066" s="1748"/>
      <c r="K1066" s="541"/>
      <c r="L1066" s="1748"/>
      <c r="M1066" s="541"/>
      <c r="N1066" s="1748"/>
      <c r="O1066" s="541"/>
      <c r="P1066" s="1748"/>
      <c r="Q1066" s="541"/>
      <c r="R1066" s="1748"/>
      <c r="S1066" s="541"/>
      <c r="T1066" s="1748"/>
      <c r="U1066" s="541"/>
      <c r="V1066" s="1748"/>
      <c r="W1066" s="541"/>
      <c r="X1066" s="1748"/>
      <c r="Y1066" s="1748"/>
      <c r="Z1066" s="1748"/>
      <c r="AA1066" s="541"/>
      <c r="AB1066" s="1748"/>
      <c r="AC1066" s="541"/>
      <c r="AD1066" s="541"/>
      <c r="AE1066" s="541"/>
      <c r="AF1066" s="541"/>
      <c r="AG1066" s="541"/>
      <c r="AH1066" s="541"/>
      <c r="AI1066" s="541"/>
      <c r="AJ1066" s="541"/>
      <c r="AK1066" s="541"/>
      <c r="AL1066" s="541"/>
      <c r="AM1066" s="541"/>
      <c r="AN1066" s="1748"/>
      <c r="AO1066" s="1748"/>
      <c r="AP1066" s="1748"/>
      <c r="AQ1066" s="1748"/>
      <c r="AR1066" s="1748"/>
      <c r="AS1066" s="541"/>
      <c r="AT1066" s="541"/>
      <c r="AU1066" s="541"/>
      <c r="AV1066" s="541"/>
      <c r="AW1066" s="541"/>
      <c r="AY1066" s="541"/>
      <c r="AZ1066" s="633"/>
      <c r="BA1066" s="541"/>
      <c r="BB1066" s="1190"/>
      <c r="BC1066" s="541"/>
      <c r="BD1066" s="1190"/>
      <c r="BE1066" s="541"/>
      <c r="BF1066" s="1190"/>
      <c r="BG1066" s="541"/>
      <c r="BH1066" s="1190"/>
      <c r="BI1066" s="541"/>
      <c r="BJ1066" s="1190"/>
      <c r="BK1066" s="541"/>
      <c r="BL1066" s="541"/>
      <c r="BM1066" s="541"/>
      <c r="BP1066" s="541"/>
      <c r="BQ1066" s="633"/>
      <c r="BR1066" s="541"/>
      <c r="BS1066" s="541"/>
      <c r="BT1066" s="541"/>
      <c r="BU1066" s="541"/>
    </row>
    <row r="1067" ht="15.75" customHeight="1">
      <c r="A1067" s="1591"/>
      <c r="B1067" s="1591"/>
      <c r="C1067" s="2217"/>
      <c r="D1067" s="1541"/>
      <c r="E1067" s="906"/>
      <c r="F1067" s="541"/>
      <c r="G1067" s="541"/>
      <c r="H1067" s="541"/>
      <c r="I1067" s="541"/>
      <c r="J1067" s="1748"/>
      <c r="K1067" s="541"/>
      <c r="L1067" s="1748"/>
      <c r="M1067" s="541"/>
      <c r="N1067" s="1748"/>
      <c r="O1067" s="541"/>
      <c r="P1067" s="1748"/>
      <c r="Q1067" s="541"/>
      <c r="R1067" s="1748"/>
      <c r="S1067" s="541"/>
      <c r="T1067" s="1748"/>
      <c r="U1067" s="541"/>
      <c r="V1067" s="1748"/>
      <c r="W1067" s="541"/>
      <c r="X1067" s="1748"/>
      <c r="Y1067" s="1748"/>
      <c r="Z1067" s="1748"/>
      <c r="AA1067" s="541"/>
      <c r="AB1067" s="1748"/>
      <c r="AC1067" s="541"/>
      <c r="AD1067" s="541"/>
      <c r="AE1067" s="541"/>
      <c r="AF1067" s="541"/>
      <c r="AG1067" s="541"/>
      <c r="AH1067" s="541"/>
      <c r="AI1067" s="541"/>
      <c r="AJ1067" s="541"/>
      <c r="AK1067" s="541"/>
      <c r="AL1067" s="541"/>
      <c r="AM1067" s="541"/>
      <c r="AN1067" s="1748"/>
      <c r="AO1067" s="1748"/>
      <c r="AP1067" s="1748"/>
      <c r="AQ1067" s="1748"/>
      <c r="AR1067" s="1748"/>
      <c r="AS1067" s="541"/>
      <c r="AT1067" s="541"/>
      <c r="AU1067" s="541"/>
      <c r="AV1067" s="541"/>
      <c r="AW1067" s="541"/>
      <c r="AY1067" s="541"/>
      <c r="AZ1067" s="633"/>
      <c r="BA1067" s="541"/>
      <c r="BB1067" s="1190"/>
      <c r="BC1067" s="541"/>
      <c r="BD1067" s="1190"/>
      <c r="BE1067" s="541"/>
      <c r="BF1067" s="1190"/>
      <c r="BG1067" s="541"/>
      <c r="BH1067" s="1190"/>
      <c r="BI1067" s="541"/>
      <c r="BJ1067" s="1190"/>
      <c r="BK1067" s="541"/>
      <c r="BL1067" s="541"/>
      <c r="BM1067" s="541"/>
      <c r="BP1067" s="541"/>
      <c r="BQ1067" s="633"/>
      <c r="BR1067" s="541"/>
      <c r="BS1067" s="541"/>
      <c r="BT1067" s="541"/>
      <c r="BU1067" s="541"/>
    </row>
    <row r="1068" ht="15.75" customHeight="1">
      <c r="A1068" s="1591"/>
      <c r="B1068" s="1591"/>
      <c r="C1068" s="2217"/>
      <c r="D1068" s="1541"/>
      <c r="E1068" s="906"/>
      <c r="F1068" s="541"/>
      <c r="G1068" s="541"/>
      <c r="H1068" s="541"/>
      <c r="I1068" s="541"/>
      <c r="J1068" s="1748"/>
      <c r="K1068" s="541"/>
      <c r="L1068" s="1748"/>
      <c r="M1068" s="541"/>
      <c r="N1068" s="1748"/>
      <c r="O1068" s="541"/>
      <c r="P1068" s="1748"/>
      <c r="Q1068" s="541"/>
      <c r="R1068" s="1748"/>
      <c r="S1068" s="541"/>
      <c r="T1068" s="1748"/>
      <c r="U1068" s="541"/>
      <c r="V1068" s="1748"/>
      <c r="W1068" s="541"/>
      <c r="X1068" s="1748"/>
      <c r="Y1068" s="1748"/>
      <c r="Z1068" s="1748"/>
      <c r="AA1068" s="541"/>
      <c r="AB1068" s="1748"/>
      <c r="AC1068" s="541"/>
      <c r="AD1068" s="541"/>
      <c r="AE1068" s="541"/>
      <c r="AF1068" s="541"/>
      <c r="AG1068" s="541"/>
      <c r="AH1068" s="541"/>
      <c r="AI1068" s="541"/>
      <c r="AJ1068" s="541"/>
      <c r="AK1068" s="541"/>
      <c r="AL1068" s="541"/>
      <c r="AM1068" s="541"/>
      <c r="AN1068" s="1748"/>
      <c r="AO1068" s="1748"/>
      <c r="AP1068" s="1748"/>
      <c r="AQ1068" s="1748"/>
      <c r="AR1068" s="1748"/>
      <c r="AS1068" s="541"/>
      <c r="AT1068" s="541"/>
      <c r="AU1068" s="541"/>
      <c r="AV1068" s="541"/>
      <c r="AW1068" s="541"/>
      <c r="AY1068" s="541"/>
      <c r="AZ1068" s="633"/>
      <c r="BA1068" s="541"/>
      <c r="BB1068" s="1190"/>
      <c r="BC1068" s="541"/>
      <c r="BD1068" s="1190"/>
      <c r="BE1068" s="541"/>
      <c r="BF1068" s="1190"/>
      <c r="BG1068" s="541"/>
      <c r="BH1068" s="1190"/>
      <c r="BI1068" s="541"/>
      <c r="BJ1068" s="1190"/>
      <c r="BK1068" s="541"/>
      <c r="BL1068" s="541"/>
      <c r="BM1068" s="541"/>
      <c r="BP1068" s="541"/>
      <c r="BQ1068" s="633"/>
      <c r="BR1068" s="541"/>
      <c r="BS1068" s="541"/>
      <c r="BT1068" s="541"/>
      <c r="BU1068" s="541"/>
    </row>
    <row r="1069" ht="15.75" customHeight="1">
      <c r="A1069" s="1591"/>
      <c r="B1069" s="1591"/>
      <c r="C1069" s="2217"/>
      <c r="D1069" s="1541"/>
      <c r="E1069" s="906"/>
      <c r="F1069" s="541"/>
      <c r="G1069" s="541"/>
      <c r="H1069" s="541"/>
      <c r="I1069" s="541"/>
      <c r="J1069" s="1748"/>
      <c r="K1069" s="541"/>
      <c r="L1069" s="1748"/>
      <c r="M1069" s="541"/>
      <c r="N1069" s="1748"/>
      <c r="O1069" s="541"/>
      <c r="P1069" s="1748"/>
      <c r="Q1069" s="541"/>
      <c r="R1069" s="1748"/>
      <c r="S1069" s="541"/>
      <c r="T1069" s="1748"/>
      <c r="U1069" s="541"/>
      <c r="V1069" s="1748"/>
      <c r="W1069" s="541"/>
      <c r="X1069" s="1748"/>
      <c r="Y1069" s="1748"/>
      <c r="Z1069" s="1748"/>
      <c r="AA1069" s="541"/>
      <c r="AB1069" s="1748"/>
      <c r="AC1069" s="541"/>
      <c r="AD1069" s="541"/>
      <c r="AE1069" s="541"/>
      <c r="AF1069" s="541"/>
      <c r="AG1069" s="541"/>
      <c r="AH1069" s="541"/>
      <c r="AI1069" s="541"/>
      <c r="AJ1069" s="541"/>
      <c r="AK1069" s="541"/>
      <c r="AL1069" s="541"/>
      <c r="AM1069" s="541"/>
      <c r="AN1069" s="1748"/>
      <c r="AO1069" s="1748"/>
      <c r="AP1069" s="1748"/>
      <c r="AQ1069" s="1748"/>
      <c r="AR1069" s="1748"/>
      <c r="AS1069" s="541"/>
      <c r="AT1069" s="541"/>
      <c r="AU1069" s="541"/>
      <c r="AV1069" s="541"/>
      <c r="AW1069" s="541"/>
      <c r="AY1069" s="541"/>
      <c r="AZ1069" s="633"/>
      <c r="BA1069" s="541"/>
      <c r="BB1069" s="1190"/>
      <c r="BC1069" s="541"/>
      <c r="BD1069" s="1190"/>
      <c r="BE1069" s="541"/>
      <c r="BF1069" s="1190"/>
      <c r="BG1069" s="541"/>
      <c r="BH1069" s="1190"/>
      <c r="BI1069" s="541"/>
      <c r="BJ1069" s="1190"/>
      <c r="BK1069" s="541"/>
      <c r="BL1069" s="541"/>
      <c r="BM1069" s="541"/>
      <c r="BP1069" s="541"/>
      <c r="BQ1069" s="633"/>
      <c r="BR1069" s="541"/>
      <c r="BS1069" s="541"/>
      <c r="BT1069" s="541"/>
      <c r="BU1069" s="541"/>
    </row>
    <row r="1070" ht="15.75" customHeight="1">
      <c r="A1070" s="1591"/>
      <c r="B1070" s="1591"/>
      <c r="C1070" s="2217"/>
      <c r="D1070" s="1541"/>
      <c r="E1070" s="906"/>
      <c r="F1070" s="541"/>
      <c r="G1070" s="541"/>
      <c r="H1070" s="541"/>
      <c r="I1070" s="541"/>
      <c r="J1070" s="1748"/>
      <c r="K1070" s="541"/>
      <c r="L1070" s="1748"/>
      <c r="M1070" s="541"/>
      <c r="N1070" s="1748"/>
      <c r="O1070" s="541"/>
      <c r="P1070" s="1748"/>
      <c r="Q1070" s="541"/>
      <c r="R1070" s="1748"/>
      <c r="S1070" s="541"/>
      <c r="T1070" s="1748"/>
      <c r="U1070" s="541"/>
      <c r="V1070" s="1748"/>
      <c r="W1070" s="541"/>
      <c r="X1070" s="1748"/>
      <c r="Y1070" s="1748"/>
      <c r="Z1070" s="1748"/>
      <c r="AA1070" s="541"/>
      <c r="AB1070" s="1748"/>
      <c r="AC1070" s="541"/>
      <c r="AD1070" s="541"/>
      <c r="AE1070" s="541"/>
      <c r="AF1070" s="541"/>
      <c r="AG1070" s="541"/>
      <c r="AH1070" s="541"/>
      <c r="AI1070" s="541"/>
      <c r="AJ1070" s="541"/>
      <c r="AK1070" s="541"/>
      <c r="AL1070" s="541"/>
      <c r="AM1070" s="541"/>
      <c r="AN1070" s="1748"/>
      <c r="AO1070" s="1748"/>
      <c r="AP1070" s="1748"/>
      <c r="AQ1070" s="1748"/>
      <c r="AR1070" s="1748"/>
      <c r="AS1070" s="541"/>
      <c r="AT1070" s="541"/>
      <c r="AU1070" s="541"/>
      <c r="AV1070" s="541"/>
      <c r="AW1070" s="541"/>
      <c r="AY1070" s="541"/>
      <c r="AZ1070" s="633"/>
      <c r="BA1070" s="541"/>
      <c r="BB1070" s="1190"/>
      <c r="BC1070" s="541"/>
      <c r="BD1070" s="1190"/>
      <c r="BE1070" s="541"/>
      <c r="BF1070" s="1190"/>
      <c r="BG1070" s="541"/>
      <c r="BH1070" s="1190"/>
      <c r="BI1070" s="541"/>
      <c r="BJ1070" s="1190"/>
      <c r="BK1070" s="541"/>
      <c r="BL1070" s="541"/>
      <c r="BM1070" s="541"/>
      <c r="BP1070" s="541"/>
      <c r="BQ1070" s="633"/>
      <c r="BR1070" s="541"/>
      <c r="BS1070" s="541"/>
      <c r="BT1070" s="541"/>
      <c r="BU1070" s="541"/>
    </row>
    <row r="1071" ht="15.75" customHeight="1">
      <c r="A1071" s="1591"/>
      <c r="B1071" s="1591"/>
      <c r="C1071" s="2217"/>
      <c r="D1071" s="1541"/>
      <c r="E1071" s="906"/>
      <c r="F1071" s="541"/>
      <c r="G1071" s="541"/>
      <c r="H1071" s="541"/>
      <c r="I1071" s="541"/>
      <c r="J1071" s="1748"/>
      <c r="K1071" s="541"/>
      <c r="L1071" s="1748"/>
      <c r="M1071" s="541"/>
      <c r="N1071" s="1748"/>
      <c r="O1071" s="541"/>
      <c r="P1071" s="1748"/>
      <c r="Q1071" s="541"/>
      <c r="R1071" s="1748"/>
      <c r="S1071" s="541"/>
      <c r="T1071" s="1748"/>
      <c r="U1071" s="541"/>
      <c r="V1071" s="1748"/>
      <c r="W1071" s="541"/>
      <c r="X1071" s="1748"/>
      <c r="Y1071" s="1748"/>
      <c r="Z1071" s="1748"/>
      <c r="AA1071" s="541"/>
      <c r="AB1071" s="1748"/>
      <c r="AC1071" s="541"/>
      <c r="AD1071" s="541"/>
      <c r="AE1071" s="541"/>
      <c r="AF1071" s="541"/>
      <c r="AG1071" s="541"/>
      <c r="AH1071" s="541"/>
      <c r="AI1071" s="541"/>
      <c r="AJ1071" s="541"/>
      <c r="AK1071" s="541"/>
      <c r="AL1071" s="541"/>
      <c r="AM1071" s="541"/>
      <c r="AN1071" s="1748"/>
      <c r="AO1071" s="1748"/>
      <c r="AP1071" s="1748"/>
      <c r="AQ1071" s="1748"/>
      <c r="AR1071" s="1748"/>
      <c r="AS1071" s="541"/>
      <c r="AT1071" s="541"/>
      <c r="AU1071" s="541"/>
      <c r="AV1071" s="541"/>
      <c r="AW1071" s="541"/>
      <c r="AY1071" s="541"/>
      <c r="AZ1071" s="633"/>
      <c r="BA1071" s="541"/>
      <c r="BB1071" s="1190"/>
      <c r="BC1071" s="541"/>
      <c r="BD1071" s="1190"/>
      <c r="BE1071" s="541"/>
      <c r="BF1071" s="1190"/>
      <c r="BG1071" s="541"/>
      <c r="BH1071" s="1190"/>
      <c r="BI1071" s="541"/>
      <c r="BJ1071" s="1190"/>
      <c r="BK1071" s="541"/>
      <c r="BL1071" s="541"/>
      <c r="BM1071" s="541"/>
      <c r="BP1071" s="541"/>
      <c r="BQ1071" s="633"/>
      <c r="BR1071" s="541"/>
      <c r="BS1071" s="541"/>
      <c r="BT1071" s="541"/>
      <c r="BU1071" s="541"/>
    </row>
    <row r="1072" ht="15.75" customHeight="1">
      <c r="A1072" s="1591"/>
      <c r="B1072" s="1591"/>
      <c r="C1072" s="2217"/>
      <c r="D1072" s="1541"/>
      <c r="E1072" s="906"/>
      <c r="F1072" s="541"/>
      <c r="G1072" s="541"/>
      <c r="H1072" s="541"/>
      <c r="I1072" s="541"/>
      <c r="J1072" s="1748"/>
      <c r="K1072" s="541"/>
      <c r="L1072" s="1748"/>
      <c r="M1072" s="541"/>
      <c r="N1072" s="1748"/>
      <c r="O1072" s="541"/>
      <c r="P1072" s="1748"/>
      <c r="Q1072" s="541"/>
      <c r="R1072" s="1748"/>
      <c r="S1072" s="541"/>
      <c r="T1072" s="1748"/>
      <c r="U1072" s="541"/>
      <c r="V1072" s="1748"/>
      <c r="W1072" s="541"/>
      <c r="X1072" s="1748"/>
      <c r="Y1072" s="1748"/>
      <c r="Z1072" s="1748"/>
      <c r="AA1072" s="541"/>
      <c r="AB1072" s="1748"/>
      <c r="AC1072" s="541"/>
      <c r="AD1072" s="541"/>
      <c r="AE1072" s="541"/>
      <c r="AF1072" s="541"/>
      <c r="AG1072" s="541"/>
      <c r="AH1072" s="541"/>
      <c r="AI1072" s="541"/>
      <c r="AJ1072" s="541"/>
      <c r="AK1072" s="541"/>
      <c r="AL1072" s="541"/>
      <c r="AM1072" s="541"/>
      <c r="AN1072" s="1748"/>
      <c r="AO1072" s="1748"/>
      <c r="AP1072" s="1748"/>
      <c r="AQ1072" s="1748"/>
      <c r="AR1072" s="1748"/>
      <c r="AS1072" s="541"/>
      <c r="AT1072" s="541"/>
      <c r="AU1072" s="541"/>
      <c r="AV1072" s="541"/>
      <c r="AW1072" s="541"/>
      <c r="AY1072" s="541"/>
      <c r="AZ1072" s="633"/>
      <c r="BA1072" s="541"/>
      <c r="BB1072" s="1190"/>
      <c r="BC1072" s="541"/>
      <c r="BD1072" s="1190"/>
      <c r="BE1072" s="541"/>
      <c r="BF1072" s="1190"/>
      <c r="BG1072" s="541"/>
      <c r="BH1072" s="1190"/>
      <c r="BI1072" s="541"/>
      <c r="BJ1072" s="1190"/>
      <c r="BK1072" s="541"/>
      <c r="BL1072" s="541"/>
      <c r="BM1072" s="541"/>
      <c r="BP1072" s="541"/>
      <c r="BQ1072" s="633"/>
      <c r="BR1072" s="541"/>
      <c r="BS1072" s="541"/>
      <c r="BT1072" s="541"/>
      <c r="BU1072" s="541"/>
    </row>
    <row r="1073" ht="15.75" customHeight="1">
      <c r="A1073" s="1591"/>
      <c r="B1073" s="1591"/>
      <c r="C1073" s="2217"/>
      <c r="D1073" s="1541"/>
      <c r="E1073" s="906"/>
      <c r="F1073" s="541"/>
      <c r="G1073" s="541"/>
      <c r="H1073" s="541"/>
      <c r="I1073" s="541"/>
      <c r="J1073" s="1748"/>
      <c r="K1073" s="541"/>
      <c r="L1073" s="1748"/>
      <c r="M1073" s="541"/>
      <c r="N1073" s="1748"/>
      <c r="O1073" s="541"/>
      <c r="P1073" s="1748"/>
      <c r="Q1073" s="541"/>
      <c r="R1073" s="1748"/>
      <c r="S1073" s="541"/>
      <c r="T1073" s="1748"/>
      <c r="U1073" s="541"/>
      <c r="V1073" s="1748"/>
      <c r="W1073" s="541"/>
      <c r="X1073" s="1748"/>
      <c r="Y1073" s="1748"/>
      <c r="Z1073" s="1748"/>
      <c r="AA1073" s="541"/>
      <c r="AB1073" s="1748"/>
      <c r="AC1073" s="541"/>
      <c r="AD1073" s="541"/>
      <c r="AE1073" s="541"/>
      <c r="AF1073" s="541"/>
      <c r="AG1073" s="541"/>
      <c r="AH1073" s="541"/>
      <c r="AI1073" s="541"/>
      <c r="AJ1073" s="541"/>
      <c r="AK1073" s="541"/>
      <c r="AL1073" s="541"/>
      <c r="AM1073" s="541"/>
      <c r="AN1073" s="1748"/>
      <c r="AO1073" s="1748"/>
      <c r="AP1073" s="1748"/>
      <c r="AQ1073" s="1748"/>
      <c r="AR1073" s="1748"/>
      <c r="AS1073" s="541"/>
      <c r="AT1073" s="541"/>
      <c r="AU1073" s="541"/>
      <c r="AV1073" s="541"/>
      <c r="AW1073" s="541"/>
      <c r="AY1073" s="541"/>
      <c r="AZ1073" s="633"/>
      <c r="BA1073" s="541"/>
      <c r="BB1073" s="1190"/>
      <c r="BC1073" s="541"/>
      <c r="BD1073" s="1190"/>
      <c r="BE1073" s="541"/>
      <c r="BF1073" s="1190"/>
      <c r="BG1073" s="541"/>
      <c r="BH1073" s="1190"/>
      <c r="BI1073" s="541"/>
      <c r="BJ1073" s="1190"/>
      <c r="BK1073" s="541"/>
      <c r="BL1073" s="541"/>
      <c r="BM1073" s="541"/>
      <c r="BP1073" s="541"/>
      <c r="BQ1073" s="633"/>
      <c r="BR1073" s="541"/>
      <c r="BS1073" s="541"/>
      <c r="BT1073" s="541"/>
      <c r="BU1073" s="541"/>
    </row>
    <row r="1074" ht="15.75" customHeight="1">
      <c r="A1074" s="1591"/>
      <c r="B1074" s="1591"/>
      <c r="C1074" s="2217"/>
      <c r="D1074" s="1541"/>
      <c r="E1074" s="906"/>
      <c r="F1074" s="541"/>
      <c r="G1074" s="541"/>
      <c r="H1074" s="541"/>
      <c r="I1074" s="541"/>
      <c r="J1074" s="1748"/>
      <c r="K1074" s="541"/>
      <c r="L1074" s="1748"/>
      <c r="M1074" s="541"/>
      <c r="N1074" s="1748"/>
      <c r="O1074" s="541"/>
      <c r="P1074" s="1748"/>
      <c r="Q1074" s="541"/>
      <c r="R1074" s="1748"/>
      <c r="S1074" s="541"/>
      <c r="T1074" s="1748"/>
      <c r="U1074" s="541"/>
      <c r="V1074" s="1748"/>
      <c r="W1074" s="541"/>
      <c r="X1074" s="1748"/>
      <c r="Y1074" s="1748"/>
      <c r="Z1074" s="1748"/>
      <c r="AA1074" s="541"/>
      <c r="AB1074" s="1748"/>
      <c r="AC1074" s="541"/>
      <c r="AD1074" s="541"/>
      <c r="AE1074" s="541"/>
      <c r="AF1074" s="541"/>
      <c r="AG1074" s="541"/>
      <c r="AH1074" s="541"/>
      <c r="AI1074" s="541"/>
      <c r="AJ1074" s="541"/>
      <c r="AK1074" s="541"/>
      <c r="AL1074" s="541"/>
      <c r="AM1074" s="541"/>
      <c r="AN1074" s="1748"/>
      <c r="AO1074" s="1748"/>
      <c r="AP1074" s="1748"/>
      <c r="AQ1074" s="1748"/>
      <c r="AR1074" s="1748"/>
      <c r="AS1074" s="541"/>
      <c r="AT1074" s="541"/>
      <c r="AU1074" s="541"/>
      <c r="AV1074" s="541"/>
      <c r="AW1074" s="541"/>
      <c r="AY1074" s="541"/>
      <c r="AZ1074" s="633"/>
      <c r="BA1074" s="541"/>
      <c r="BB1074" s="1190"/>
      <c r="BC1074" s="541"/>
      <c r="BD1074" s="1190"/>
      <c r="BE1074" s="541"/>
      <c r="BF1074" s="1190"/>
      <c r="BG1074" s="541"/>
      <c r="BH1074" s="1190"/>
      <c r="BI1074" s="541"/>
      <c r="BJ1074" s="1190"/>
      <c r="BK1074" s="541"/>
      <c r="BL1074" s="541"/>
      <c r="BM1074" s="541"/>
      <c r="BP1074" s="541"/>
      <c r="BQ1074" s="633"/>
      <c r="BR1074" s="541"/>
      <c r="BS1074" s="541"/>
      <c r="BT1074" s="541"/>
      <c r="BU1074" s="541"/>
    </row>
    <row r="1075" ht="15.75" customHeight="1">
      <c r="A1075" s="1591"/>
      <c r="B1075" s="1591"/>
      <c r="C1075" s="2217"/>
      <c r="D1075" s="1541"/>
      <c r="E1075" s="906"/>
      <c r="F1075" s="541"/>
      <c r="G1075" s="541"/>
      <c r="H1075" s="541"/>
      <c r="I1075" s="541"/>
      <c r="J1075" s="1748"/>
      <c r="K1075" s="541"/>
      <c r="L1075" s="1748"/>
      <c r="M1075" s="541"/>
      <c r="N1075" s="1748"/>
      <c r="O1075" s="541"/>
      <c r="P1075" s="1748"/>
      <c r="Q1075" s="541"/>
      <c r="R1075" s="1748"/>
      <c r="S1075" s="541"/>
      <c r="T1075" s="1748"/>
      <c r="U1075" s="541"/>
      <c r="V1075" s="1748"/>
      <c r="W1075" s="541"/>
      <c r="X1075" s="1748"/>
      <c r="Y1075" s="1748"/>
      <c r="Z1075" s="1748"/>
      <c r="AA1075" s="541"/>
      <c r="AB1075" s="1748"/>
      <c r="AC1075" s="541"/>
      <c r="AD1075" s="541"/>
      <c r="AE1075" s="541"/>
      <c r="AF1075" s="541"/>
      <c r="AG1075" s="541"/>
      <c r="AH1075" s="541"/>
      <c r="AI1075" s="541"/>
      <c r="AJ1075" s="541"/>
      <c r="AK1075" s="541"/>
      <c r="AL1075" s="541"/>
      <c r="AM1075" s="541"/>
      <c r="AN1075" s="1748"/>
      <c r="AO1075" s="1748"/>
      <c r="AP1075" s="1748"/>
      <c r="AQ1075" s="1748"/>
      <c r="AR1075" s="1748"/>
      <c r="AS1075" s="541"/>
      <c r="AT1075" s="541"/>
      <c r="AU1075" s="541"/>
      <c r="AV1075" s="541"/>
      <c r="AW1075" s="541"/>
      <c r="AY1075" s="541"/>
      <c r="AZ1075" s="633"/>
      <c r="BA1075" s="541"/>
      <c r="BB1075" s="1190"/>
      <c r="BC1075" s="541"/>
      <c r="BD1075" s="1190"/>
      <c r="BE1075" s="541"/>
      <c r="BF1075" s="1190"/>
      <c r="BG1075" s="541"/>
      <c r="BH1075" s="1190"/>
      <c r="BI1075" s="541"/>
      <c r="BJ1075" s="1190"/>
      <c r="BK1075" s="541"/>
      <c r="BL1075" s="541"/>
      <c r="BM1075" s="541"/>
      <c r="BP1075" s="541"/>
      <c r="BQ1075" s="633"/>
      <c r="BR1075" s="541"/>
      <c r="BS1075" s="541"/>
      <c r="BT1075" s="541"/>
      <c r="BU1075" s="541"/>
    </row>
    <row r="1076" ht="15.75" customHeight="1">
      <c r="A1076" s="1591"/>
      <c r="B1076" s="1591"/>
      <c r="C1076" s="2217"/>
      <c r="D1076" s="1541"/>
      <c r="E1076" s="906"/>
      <c r="F1076" s="541"/>
      <c r="G1076" s="541"/>
      <c r="H1076" s="541"/>
      <c r="I1076" s="541"/>
      <c r="J1076" s="1748"/>
      <c r="K1076" s="541"/>
      <c r="L1076" s="1748"/>
      <c r="M1076" s="541"/>
      <c r="N1076" s="1748"/>
      <c r="O1076" s="541"/>
      <c r="P1076" s="1748"/>
      <c r="Q1076" s="541"/>
      <c r="R1076" s="1748"/>
      <c r="S1076" s="541"/>
      <c r="T1076" s="1748"/>
      <c r="U1076" s="541"/>
      <c r="V1076" s="1748"/>
      <c r="W1076" s="541"/>
      <c r="X1076" s="1748"/>
      <c r="Y1076" s="1748"/>
      <c r="Z1076" s="1748"/>
      <c r="AA1076" s="541"/>
      <c r="AB1076" s="1748"/>
      <c r="AC1076" s="541"/>
      <c r="AD1076" s="541"/>
      <c r="AE1076" s="541"/>
      <c r="AF1076" s="541"/>
      <c r="AG1076" s="541"/>
      <c r="AH1076" s="541"/>
      <c r="AI1076" s="541"/>
      <c r="AJ1076" s="541"/>
      <c r="AK1076" s="541"/>
      <c r="AL1076" s="541"/>
      <c r="AM1076" s="541"/>
      <c r="AN1076" s="1748"/>
      <c r="AO1076" s="1748"/>
      <c r="AP1076" s="1748"/>
      <c r="AQ1076" s="1748"/>
      <c r="AR1076" s="1748"/>
      <c r="AS1076" s="541"/>
      <c r="AT1076" s="541"/>
      <c r="AU1076" s="541"/>
      <c r="AV1076" s="541"/>
      <c r="AW1076" s="541"/>
      <c r="AY1076" s="541"/>
      <c r="AZ1076" s="633"/>
      <c r="BA1076" s="541"/>
      <c r="BB1076" s="1190"/>
      <c r="BC1076" s="541"/>
      <c r="BD1076" s="1190"/>
      <c r="BE1076" s="541"/>
      <c r="BF1076" s="1190"/>
      <c r="BG1076" s="541"/>
      <c r="BH1076" s="1190"/>
      <c r="BI1076" s="541"/>
      <c r="BJ1076" s="1190"/>
      <c r="BK1076" s="541"/>
      <c r="BL1076" s="541"/>
      <c r="BM1076" s="541"/>
      <c r="BP1076" s="541"/>
      <c r="BQ1076" s="633"/>
      <c r="BR1076" s="541"/>
      <c r="BS1076" s="541"/>
      <c r="BT1076" s="541"/>
      <c r="BU1076" s="541"/>
    </row>
    <row r="1077" ht="15.75" customHeight="1">
      <c r="A1077" s="1591"/>
      <c r="B1077" s="1591"/>
      <c r="C1077" s="2217"/>
      <c r="D1077" s="1541"/>
      <c r="E1077" s="906"/>
      <c r="F1077" s="541"/>
      <c r="G1077" s="541"/>
      <c r="H1077" s="541"/>
      <c r="I1077" s="541"/>
      <c r="J1077" s="1748"/>
      <c r="K1077" s="541"/>
      <c r="L1077" s="1748"/>
      <c r="M1077" s="541"/>
      <c r="N1077" s="1748"/>
      <c r="O1077" s="541"/>
      <c r="P1077" s="1748"/>
      <c r="Q1077" s="541"/>
      <c r="R1077" s="1748"/>
      <c r="S1077" s="541"/>
      <c r="T1077" s="1748"/>
      <c r="U1077" s="541"/>
      <c r="V1077" s="1748"/>
      <c r="W1077" s="541"/>
      <c r="X1077" s="1748"/>
      <c r="Y1077" s="1748"/>
      <c r="Z1077" s="1748"/>
      <c r="AA1077" s="541"/>
      <c r="AB1077" s="1748"/>
      <c r="AC1077" s="541"/>
      <c r="AD1077" s="541"/>
      <c r="AE1077" s="541"/>
      <c r="AF1077" s="541"/>
      <c r="AG1077" s="541"/>
      <c r="AH1077" s="541"/>
      <c r="AI1077" s="541"/>
      <c r="AJ1077" s="541"/>
      <c r="AK1077" s="541"/>
      <c r="AL1077" s="541"/>
      <c r="AM1077" s="541"/>
      <c r="AN1077" s="1748"/>
      <c r="AO1077" s="1748"/>
      <c r="AP1077" s="1748"/>
      <c r="AQ1077" s="1748"/>
      <c r="AR1077" s="1748"/>
      <c r="AS1077" s="541"/>
      <c r="AT1077" s="541"/>
      <c r="AU1077" s="541"/>
      <c r="AV1077" s="541"/>
      <c r="AW1077" s="541"/>
      <c r="AY1077" s="541"/>
      <c r="AZ1077" s="633"/>
      <c r="BA1077" s="541"/>
      <c r="BB1077" s="1190"/>
      <c r="BC1077" s="541"/>
      <c r="BD1077" s="1190"/>
      <c r="BE1077" s="541"/>
      <c r="BF1077" s="1190"/>
      <c r="BG1077" s="541"/>
      <c r="BH1077" s="1190"/>
      <c r="BI1077" s="541"/>
      <c r="BJ1077" s="1190"/>
      <c r="BK1077" s="541"/>
      <c r="BL1077" s="541"/>
      <c r="BM1077" s="541"/>
      <c r="BP1077" s="541"/>
      <c r="BQ1077" s="633"/>
      <c r="BR1077" s="541"/>
      <c r="BS1077" s="541"/>
      <c r="BT1077" s="541"/>
      <c r="BU1077" s="541"/>
    </row>
    <row r="1078" ht="15.75" customHeight="1">
      <c r="A1078" s="1591"/>
      <c r="B1078" s="1591"/>
      <c r="C1078" s="2217"/>
      <c r="D1078" s="1541"/>
      <c r="E1078" s="906"/>
      <c r="F1078" s="541"/>
      <c r="G1078" s="541"/>
      <c r="H1078" s="541"/>
      <c r="I1078" s="541"/>
      <c r="J1078" s="1748"/>
      <c r="K1078" s="541"/>
      <c r="L1078" s="1748"/>
      <c r="M1078" s="541"/>
      <c r="N1078" s="1748"/>
      <c r="O1078" s="541"/>
      <c r="P1078" s="1748"/>
      <c r="Q1078" s="541"/>
      <c r="R1078" s="1748"/>
      <c r="S1078" s="541"/>
      <c r="T1078" s="1748"/>
      <c r="U1078" s="541"/>
      <c r="V1078" s="1748"/>
      <c r="W1078" s="541"/>
      <c r="X1078" s="1748"/>
      <c r="Y1078" s="1748"/>
      <c r="Z1078" s="1748"/>
      <c r="AA1078" s="541"/>
      <c r="AB1078" s="1748"/>
      <c r="AC1078" s="541"/>
      <c r="AD1078" s="541"/>
      <c r="AE1078" s="541"/>
      <c r="AF1078" s="541"/>
      <c r="AG1078" s="541"/>
      <c r="AH1078" s="541"/>
      <c r="AI1078" s="541"/>
      <c r="AJ1078" s="541"/>
      <c r="AK1078" s="541"/>
      <c r="AL1078" s="541"/>
      <c r="AM1078" s="541"/>
      <c r="AN1078" s="1748"/>
      <c r="AO1078" s="1748"/>
      <c r="AP1078" s="1748"/>
      <c r="AQ1078" s="1748"/>
      <c r="AR1078" s="1748"/>
      <c r="AS1078" s="541"/>
      <c r="AT1078" s="541"/>
      <c r="AU1078" s="541"/>
      <c r="AV1078" s="541"/>
      <c r="AW1078" s="541"/>
      <c r="AY1078" s="541"/>
      <c r="AZ1078" s="633"/>
      <c r="BA1078" s="541"/>
      <c r="BB1078" s="1190"/>
      <c r="BC1078" s="541"/>
      <c r="BD1078" s="1190"/>
      <c r="BE1078" s="541"/>
      <c r="BF1078" s="1190"/>
      <c r="BG1078" s="541"/>
      <c r="BH1078" s="1190"/>
      <c r="BI1078" s="541"/>
      <c r="BJ1078" s="1190"/>
      <c r="BK1078" s="541"/>
      <c r="BL1078" s="541"/>
      <c r="BM1078" s="541"/>
      <c r="BP1078" s="541"/>
      <c r="BQ1078" s="633"/>
      <c r="BR1078" s="541"/>
      <c r="BS1078" s="541"/>
      <c r="BT1078" s="541"/>
      <c r="BU1078" s="541"/>
    </row>
    <row r="1079" ht="15.75" customHeight="1">
      <c r="A1079" s="1591"/>
      <c r="B1079" s="1591"/>
      <c r="C1079" s="2217"/>
      <c r="D1079" s="1541"/>
      <c r="E1079" s="906"/>
      <c r="F1079" s="541"/>
      <c r="G1079" s="541"/>
      <c r="H1079" s="541"/>
      <c r="I1079" s="541"/>
      <c r="J1079" s="1748"/>
      <c r="K1079" s="541"/>
      <c r="L1079" s="1748"/>
      <c r="M1079" s="541"/>
      <c r="N1079" s="1748"/>
      <c r="O1079" s="541"/>
      <c r="P1079" s="1748"/>
      <c r="Q1079" s="541"/>
      <c r="R1079" s="1748"/>
      <c r="S1079" s="541"/>
      <c r="T1079" s="1748"/>
      <c r="U1079" s="541"/>
      <c r="V1079" s="1748"/>
      <c r="W1079" s="541"/>
      <c r="X1079" s="1748"/>
      <c r="Y1079" s="1748"/>
      <c r="Z1079" s="1748"/>
      <c r="AA1079" s="541"/>
      <c r="AB1079" s="1748"/>
      <c r="AC1079" s="541"/>
      <c r="AD1079" s="541"/>
      <c r="AE1079" s="541"/>
      <c r="AF1079" s="541"/>
      <c r="AG1079" s="541"/>
      <c r="AH1079" s="541"/>
      <c r="AI1079" s="541"/>
      <c r="AJ1079" s="541"/>
      <c r="AK1079" s="541"/>
      <c r="AL1079" s="541"/>
      <c r="AM1079" s="541"/>
      <c r="AN1079" s="1748"/>
      <c r="AO1079" s="1748"/>
      <c r="AP1079" s="1748"/>
      <c r="AQ1079" s="1748"/>
      <c r="AR1079" s="1748"/>
      <c r="AS1079" s="541"/>
      <c r="AT1079" s="541"/>
      <c r="AU1079" s="541"/>
      <c r="AV1079" s="541"/>
      <c r="AW1079" s="541"/>
      <c r="AY1079" s="541"/>
      <c r="AZ1079" s="633"/>
      <c r="BA1079" s="541"/>
      <c r="BB1079" s="1190"/>
      <c r="BC1079" s="541"/>
      <c r="BD1079" s="1190"/>
      <c r="BE1079" s="541"/>
      <c r="BF1079" s="1190"/>
      <c r="BG1079" s="541"/>
      <c r="BH1079" s="1190"/>
      <c r="BI1079" s="541"/>
      <c r="BJ1079" s="1190"/>
      <c r="BK1079" s="541"/>
      <c r="BL1079" s="541"/>
      <c r="BM1079" s="541"/>
      <c r="BP1079" s="541"/>
      <c r="BQ1079" s="633"/>
      <c r="BR1079" s="541"/>
      <c r="BS1079" s="541"/>
      <c r="BT1079" s="541"/>
      <c r="BU1079" s="541"/>
    </row>
    <row r="1080" ht="15.75" customHeight="1">
      <c r="A1080" s="1591"/>
      <c r="B1080" s="1591"/>
      <c r="C1080" s="2217"/>
      <c r="D1080" s="1541"/>
      <c r="E1080" s="906"/>
      <c r="F1080" s="541"/>
      <c r="G1080" s="541"/>
      <c r="H1080" s="541"/>
      <c r="I1080" s="541"/>
      <c r="J1080" s="1748"/>
      <c r="K1080" s="541"/>
      <c r="L1080" s="1748"/>
      <c r="M1080" s="541"/>
      <c r="N1080" s="1748"/>
      <c r="O1080" s="541"/>
      <c r="P1080" s="1748"/>
      <c r="Q1080" s="541"/>
      <c r="R1080" s="1748"/>
      <c r="S1080" s="541"/>
      <c r="T1080" s="1748"/>
      <c r="U1080" s="541"/>
      <c r="V1080" s="1748"/>
      <c r="W1080" s="541"/>
      <c r="X1080" s="1748"/>
      <c r="Y1080" s="1748"/>
      <c r="Z1080" s="1748"/>
      <c r="AA1080" s="541"/>
      <c r="AB1080" s="1748"/>
      <c r="AC1080" s="541"/>
      <c r="AD1080" s="541"/>
      <c r="AE1080" s="541"/>
      <c r="AF1080" s="541"/>
      <c r="AG1080" s="541"/>
      <c r="AH1080" s="541"/>
      <c r="AI1080" s="541"/>
      <c r="AJ1080" s="541"/>
      <c r="AK1080" s="541"/>
      <c r="AL1080" s="541"/>
      <c r="AM1080" s="541"/>
      <c r="AN1080" s="1748"/>
      <c r="AO1080" s="1748"/>
      <c r="AP1080" s="1748"/>
      <c r="AQ1080" s="1748"/>
      <c r="AR1080" s="1748"/>
      <c r="AS1080" s="541"/>
      <c r="AT1080" s="541"/>
      <c r="AU1080" s="541"/>
      <c r="AV1080" s="541"/>
      <c r="AW1080" s="541"/>
      <c r="AY1080" s="541"/>
      <c r="AZ1080" s="633"/>
      <c r="BA1080" s="541"/>
      <c r="BB1080" s="1190"/>
      <c r="BC1080" s="541"/>
      <c r="BD1080" s="1190"/>
      <c r="BE1080" s="541"/>
      <c r="BF1080" s="1190"/>
      <c r="BG1080" s="541"/>
      <c r="BH1080" s="1190"/>
      <c r="BI1080" s="541"/>
      <c r="BJ1080" s="1190"/>
      <c r="BK1080" s="541"/>
      <c r="BL1080" s="541"/>
      <c r="BM1080" s="541"/>
      <c r="BP1080" s="541"/>
      <c r="BQ1080" s="633"/>
      <c r="BR1080" s="541"/>
      <c r="BS1080" s="541"/>
      <c r="BT1080" s="541"/>
      <c r="BU1080" s="541"/>
    </row>
    <row r="1081" ht="15.75" customHeight="1">
      <c r="A1081" s="1591"/>
      <c r="B1081" s="1591"/>
      <c r="C1081" s="2217"/>
      <c r="D1081" s="1541"/>
      <c r="E1081" s="906"/>
      <c r="F1081" s="541"/>
      <c r="G1081" s="541"/>
      <c r="H1081" s="541"/>
      <c r="I1081" s="541"/>
      <c r="J1081" s="1748"/>
      <c r="K1081" s="541"/>
      <c r="L1081" s="1748"/>
      <c r="M1081" s="541"/>
      <c r="N1081" s="1748"/>
      <c r="O1081" s="541"/>
      <c r="P1081" s="1748"/>
      <c r="Q1081" s="541"/>
      <c r="R1081" s="1748"/>
      <c r="S1081" s="541"/>
      <c r="T1081" s="1748"/>
      <c r="U1081" s="541"/>
      <c r="V1081" s="1748"/>
      <c r="W1081" s="541"/>
      <c r="X1081" s="1748"/>
      <c r="Y1081" s="1748"/>
      <c r="Z1081" s="1748"/>
      <c r="AA1081" s="541"/>
      <c r="AB1081" s="1748"/>
      <c r="AC1081" s="541"/>
      <c r="AD1081" s="541"/>
      <c r="AE1081" s="541"/>
      <c r="AF1081" s="541"/>
      <c r="AG1081" s="541"/>
      <c r="AH1081" s="541"/>
      <c r="AI1081" s="541"/>
      <c r="AJ1081" s="541"/>
      <c r="AK1081" s="541"/>
      <c r="AL1081" s="541"/>
      <c r="AM1081" s="541"/>
      <c r="AN1081" s="1748"/>
      <c r="AO1081" s="1748"/>
      <c r="AP1081" s="1748"/>
      <c r="AQ1081" s="1748"/>
      <c r="AR1081" s="1748"/>
      <c r="AS1081" s="541"/>
      <c r="AT1081" s="541"/>
      <c r="AU1081" s="541"/>
      <c r="AV1081" s="541"/>
      <c r="AW1081" s="541"/>
      <c r="AY1081" s="541"/>
      <c r="AZ1081" s="633"/>
      <c r="BA1081" s="541"/>
      <c r="BB1081" s="1190"/>
      <c r="BC1081" s="541"/>
      <c r="BD1081" s="1190"/>
      <c r="BE1081" s="541"/>
      <c r="BF1081" s="1190"/>
      <c r="BG1081" s="541"/>
      <c r="BH1081" s="1190"/>
      <c r="BI1081" s="541"/>
      <c r="BJ1081" s="1190"/>
      <c r="BK1081" s="541"/>
      <c r="BL1081" s="541"/>
      <c r="BM1081" s="541"/>
      <c r="BP1081" s="541"/>
      <c r="BQ1081" s="633"/>
      <c r="BR1081" s="541"/>
      <c r="BS1081" s="541"/>
      <c r="BT1081" s="541"/>
      <c r="BU1081" s="541"/>
    </row>
    <row r="1082" ht="15.75" customHeight="1">
      <c r="A1082" s="1591"/>
      <c r="B1082" s="1591"/>
      <c r="C1082" s="2217"/>
      <c r="D1082" s="1541"/>
      <c r="E1082" s="906"/>
      <c r="F1082" s="541"/>
      <c r="G1082" s="541"/>
      <c r="H1082" s="541"/>
      <c r="I1082" s="541"/>
      <c r="J1082" s="1748"/>
      <c r="K1082" s="541"/>
      <c r="L1082" s="1748"/>
      <c r="M1082" s="541"/>
      <c r="N1082" s="1748"/>
      <c r="O1082" s="541"/>
      <c r="P1082" s="1748"/>
      <c r="Q1082" s="541"/>
      <c r="R1082" s="1748"/>
      <c r="S1082" s="541"/>
      <c r="T1082" s="1748"/>
      <c r="U1082" s="541"/>
      <c r="V1082" s="1748"/>
      <c r="W1082" s="541"/>
      <c r="X1082" s="1748"/>
      <c r="Y1082" s="1748"/>
      <c r="Z1082" s="1748"/>
      <c r="AA1082" s="541"/>
      <c r="AB1082" s="1748"/>
      <c r="AC1082" s="541"/>
      <c r="AD1082" s="541"/>
      <c r="AE1082" s="541"/>
      <c r="AF1082" s="541"/>
      <c r="AG1082" s="541"/>
      <c r="AH1082" s="541"/>
      <c r="AI1082" s="541"/>
      <c r="AJ1082" s="541"/>
      <c r="AK1082" s="541"/>
      <c r="AL1082" s="541"/>
      <c r="AM1082" s="541"/>
      <c r="AN1082" s="1748"/>
      <c r="AO1082" s="1748"/>
      <c r="AP1082" s="1748"/>
      <c r="AQ1082" s="1748"/>
      <c r="AR1082" s="1748"/>
      <c r="AS1082" s="541"/>
      <c r="AT1082" s="541"/>
      <c r="AU1082" s="541"/>
      <c r="AV1082" s="541"/>
      <c r="AW1082" s="541"/>
      <c r="AY1082" s="541"/>
      <c r="AZ1082" s="633"/>
      <c r="BA1082" s="541"/>
      <c r="BB1082" s="1190"/>
      <c r="BC1082" s="541"/>
      <c r="BD1082" s="1190"/>
      <c r="BE1082" s="541"/>
      <c r="BF1082" s="1190"/>
      <c r="BG1082" s="541"/>
      <c r="BH1082" s="1190"/>
      <c r="BI1082" s="541"/>
      <c r="BJ1082" s="1190"/>
      <c r="BK1082" s="541"/>
      <c r="BL1082" s="541"/>
      <c r="BM1082" s="541"/>
      <c r="BP1082" s="541"/>
      <c r="BQ1082" s="633"/>
      <c r="BR1082" s="541"/>
      <c r="BS1082" s="541"/>
      <c r="BT1082" s="541"/>
      <c r="BU1082" s="541"/>
    </row>
    <row r="1083" ht="15.75" customHeight="1">
      <c r="A1083" s="1591"/>
      <c r="B1083" s="1591"/>
      <c r="C1083" s="2217"/>
      <c r="D1083" s="1541"/>
      <c r="E1083" s="906"/>
      <c r="F1083" s="541"/>
      <c r="G1083" s="541"/>
      <c r="H1083" s="541"/>
      <c r="I1083" s="541"/>
      <c r="J1083" s="1748"/>
      <c r="K1083" s="541"/>
      <c r="L1083" s="1748"/>
      <c r="M1083" s="541"/>
      <c r="N1083" s="1748"/>
      <c r="O1083" s="541"/>
      <c r="P1083" s="1748"/>
      <c r="Q1083" s="541"/>
      <c r="R1083" s="1748"/>
      <c r="S1083" s="541"/>
      <c r="T1083" s="1748"/>
      <c r="U1083" s="541"/>
      <c r="V1083" s="1748"/>
      <c r="W1083" s="541"/>
      <c r="X1083" s="1748"/>
      <c r="Y1083" s="1748"/>
      <c r="Z1083" s="1748"/>
      <c r="AA1083" s="541"/>
      <c r="AB1083" s="1748"/>
      <c r="AC1083" s="541"/>
      <c r="AD1083" s="541"/>
      <c r="AE1083" s="541"/>
      <c r="AF1083" s="541"/>
      <c r="AG1083" s="541"/>
      <c r="AH1083" s="541"/>
      <c r="AI1083" s="541"/>
      <c r="AJ1083" s="541"/>
      <c r="AK1083" s="541"/>
      <c r="AL1083" s="541"/>
      <c r="AM1083" s="541"/>
      <c r="AN1083" s="1748"/>
      <c r="AO1083" s="1748"/>
      <c r="AP1083" s="1748"/>
      <c r="AQ1083" s="1748"/>
      <c r="AR1083" s="1748"/>
      <c r="AS1083" s="541"/>
      <c r="AT1083" s="541"/>
      <c r="AU1083" s="541"/>
      <c r="AV1083" s="541"/>
      <c r="AW1083" s="541"/>
      <c r="AY1083" s="541"/>
      <c r="AZ1083" s="633"/>
      <c r="BA1083" s="541"/>
      <c r="BB1083" s="1190"/>
      <c r="BC1083" s="541"/>
      <c r="BD1083" s="1190"/>
      <c r="BE1083" s="541"/>
      <c r="BF1083" s="1190"/>
      <c r="BG1083" s="541"/>
      <c r="BH1083" s="1190"/>
      <c r="BI1083" s="541"/>
      <c r="BJ1083" s="1190"/>
      <c r="BK1083" s="541"/>
      <c r="BL1083" s="541"/>
      <c r="BM1083" s="541"/>
      <c r="BP1083" s="541"/>
      <c r="BQ1083" s="633"/>
      <c r="BR1083" s="541"/>
      <c r="BS1083" s="541"/>
      <c r="BT1083" s="541"/>
      <c r="BU1083" s="541"/>
    </row>
    <row r="1084" ht="15.75" customHeight="1">
      <c r="A1084" s="1591"/>
      <c r="B1084" s="1591"/>
      <c r="C1084" s="2217"/>
      <c r="D1084" s="1541"/>
      <c r="E1084" s="906"/>
      <c r="F1084" s="541"/>
      <c r="G1084" s="541"/>
      <c r="H1084" s="541"/>
      <c r="I1084" s="541"/>
      <c r="J1084" s="1748"/>
      <c r="K1084" s="541"/>
      <c r="L1084" s="1748"/>
      <c r="M1084" s="541"/>
      <c r="N1084" s="1748"/>
      <c r="O1084" s="541"/>
      <c r="P1084" s="1748"/>
      <c r="Q1084" s="541"/>
      <c r="R1084" s="1748"/>
      <c r="S1084" s="541"/>
      <c r="T1084" s="1748"/>
      <c r="U1084" s="541"/>
      <c r="V1084" s="1748"/>
      <c r="W1084" s="541"/>
      <c r="X1084" s="1748"/>
      <c r="Y1084" s="1748"/>
      <c r="Z1084" s="1748"/>
      <c r="AA1084" s="541"/>
      <c r="AB1084" s="1748"/>
      <c r="AC1084" s="541"/>
      <c r="AD1084" s="541"/>
      <c r="AE1084" s="541"/>
      <c r="AF1084" s="541"/>
      <c r="AG1084" s="541"/>
      <c r="AH1084" s="541"/>
      <c r="AI1084" s="541"/>
      <c r="AJ1084" s="541"/>
      <c r="AK1084" s="541"/>
      <c r="AL1084" s="541"/>
      <c r="AM1084" s="541"/>
      <c r="AN1084" s="1748"/>
      <c r="AO1084" s="1748"/>
      <c r="AP1084" s="1748"/>
      <c r="AQ1084" s="1748"/>
      <c r="AR1084" s="1748"/>
      <c r="AS1084" s="541"/>
      <c r="AT1084" s="541"/>
      <c r="AU1084" s="541"/>
      <c r="AV1084" s="541"/>
      <c r="AW1084" s="541"/>
      <c r="AY1084" s="541"/>
      <c r="AZ1084" s="633"/>
      <c r="BA1084" s="541"/>
      <c r="BB1084" s="1190"/>
      <c r="BC1084" s="541"/>
      <c r="BD1084" s="1190"/>
      <c r="BE1084" s="541"/>
      <c r="BF1084" s="1190"/>
      <c r="BG1084" s="541"/>
      <c r="BH1084" s="1190"/>
      <c r="BI1084" s="541"/>
      <c r="BJ1084" s="1190"/>
      <c r="BK1084" s="541"/>
      <c r="BL1084" s="541"/>
      <c r="BM1084" s="541"/>
      <c r="BP1084" s="541"/>
      <c r="BQ1084" s="633"/>
      <c r="BR1084" s="541"/>
      <c r="BS1084" s="541"/>
      <c r="BT1084" s="541"/>
      <c r="BU1084" s="541"/>
    </row>
    <row r="1085" ht="15.75" customHeight="1">
      <c r="A1085" s="1591"/>
      <c r="B1085" s="1591"/>
      <c r="C1085" s="2217"/>
      <c r="D1085" s="1541"/>
      <c r="E1085" s="906"/>
      <c r="F1085" s="541"/>
      <c r="G1085" s="541"/>
      <c r="H1085" s="541"/>
      <c r="I1085" s="541"/>
      <c r="J1085" s="1748"/>
      <c r="K1085" s="541"/>
      <c r="L1085" s="1748"/>
      <c r="M1085" s="541"/>
      <c r="N1085" s="1748"/>
      <c r="O1085" s="541"/>
      <c r="P1085" s="1748"/>
      <c r="Q1085" s="541"/>
      <c r="R1085" s="1748"/>
      <c r="S1085" s="541"/>
      <c r="T1085" s="1748"/>
      <c r="U1085" s="541"/>
      <c r="V1085" s="1748"/>
      <c r="W1085" s="541"/>
      <c r="X1085" s="1748"/>
      <c r="Y1085" s="1748"/>
      <c r="Z1085" s="1748"/>
      <c r="AA1085" s="541"/>
      <c r="AB1085" s="1748"/>
      <c r="AC1085" s="541"/>
      <c r="AD1085" s="541"/>
      <c r="AE1085" s="541"/>
      <c r="AF1085" s="541"/>
      <c r="AG1085" s="541"/>
      <c r="AH1085" s="541"/>
      <c r="AI1085" s="541"/>
      <c r="AJ1085" s="541"/>
      <c r="AK1085" s="541"/>
      <c r="AL1085" s="541"/>
      <c r="AM1085" s="541"/>
      <c r="AN1085" s="1748"/>
      <c r="AO1085" s="1748"/>
      <c r="AP1085" s="1748"/>
      <c r="AQ1085" s="1748"/>
      <c r="AR1085" s="1748"/>
      <c r="AS1085" s="541"/>
      <c r="AT1085" s="541"/>
      <c r="AU1085" s="541"/>
      <c r="AV1085" s="541"/>
      <c r="AW1085" s="541"/>
      <c r="AY1085" s="541"/>
      <c r="AZ1085" s="633"/>
      <c r="BA1085" s="541"/>
      <c r="BB1085" s="1190"/>
      <c r="BC1085" s="541"/>
      <c r="BD1085" s="1190"/>
      <c r="BE1085" s="541"/>
      <c r="BF1085" s="1190"/>
      <c r="BG1085" s="541"/>
      <c r="BH1085" s="1190"/>
      <c r="BI1085" s="541"/>
      <c r="BJ1085" s="1190"/>
      <c r="BK1085" s="541"/>
      <c r="BL1085" s="541"/>
      <c r="BM1085" s="541"/>
      <c r="BP1085" s="541"/>
      <c r="BQ1085" s="633"/>
      <c r="BR1085" s="541"/>
      <c r="BS1085" s="541"/>
      <c r="BT1085" s="541"/>
      <c r="BU1085" s="541"/>
    </row>
    <row r="1086" ht="15.75" customHeight="1">
      <c r="A1086" s="1591"/>
      <c r="B1086" s="1591"/>
      <c r="C1086" s="2217"/>
      <c r="D1086" s="1541"/>
      <c r="E1086" s="906"/>
      <c r="F1086" s="541"/>
      <c r="G1086" s="541"/>
      <c r="H1086" s="541"/>
      <c r="I1086" s="541"/>
      <c r="J1086" s="1748"/>
      <c r="K1086" s="541"/>
      <c r="L1086" s="1748"/>
      <c r="M1086" s="541"/>
      <c r="N1086" s="1748"/>
      <c r="O1086" s="541"/>
      <c r="P1086" s="1748"/>
      <c r="Q1086" s="541"/>
      <c r="R1086" s="1748"/>
      <c r="S1086" s="541"/>
      <c r="T1086" s="1748"/>
      <c r="U1086" s="541"/>
      <c r="V1086" s="1748"/>
      <c r="W1086" s="541"/>
      <c r="X1086" s="1748"/>
      <c r="Y1086" s="1748"/>
      <c r="Z1086" s="1748"/>
      <c r="AA1086" s="541"/>
      <c r="AB1086" s="1748"/>
      <c r="AC1086" s="541"/>
      <c r="AD1086" s="541"/>
      <c r="AE1086" s="541"/>
      <c r="AF1086" s="541"/>
      <c r="AG1086" s="541"/>
      <c r="AH1086" s="541"/>
      <c r="AI1086" s="541"/>
      <c r="AJ1086" s="541"/>
      <c r="AK1086" s="541"/>
      <c r="AL1086" s="541"/>
      <c r="AM1086" s="541"/>
      <c r="AN1086" s="1748"/>
      <c r="AO1086" s="1748"/>
      <c r="AP1086" s="1748"/>
      <c r="AQ1086" s="1748"/>
      <c r="AR1086" s="1748"/>
      <c r="AS1086" s="541"/>
      <c r="AT1086" s="541"/>
      <c r="AU1086" s="541"/>
      <c r="AV1086" s="541"/>
      <c r="AW1086" s="541"/>
      <c r="AY1086" s="541"/>
      <c r="AZ1086" s="633"/>
      <c r="BA1086" s="541"/>
      <c r="BB1086" s="1190"/>
      <c r="BC1086" s="541"/>
      <c r="BD1086" s="1190"/>
      <c r="BE1086" s="541"/>
      <c r="BF1086" s="1190"/>
      <c r="BG1086" s="541"/>
      <c r="BH1086" s="1190"/>
      <c r="BI1086" s="541"/>
      <c r="BJ1086" s="1190"/>
      <c r="BK1086" s="541"/>
      <c r="BL1086" s="541"/>
      <c r="BM1086" s="541"/>
      <c r="BP1086" s="541"/>
      <c r="BQ1086" s="633"/>
      <c r="BR1086" s="541"/>
      <c r="BS1086" s="541"/>
      <c r="BT1086" s="541"/>
      <c r="BU1086" s="541"/>
    </row>
    <row r="1087" ht="15.75" customHeight="1">
      <c r="A1087" s="1591"/>
      <c r="B1087" s="1591"/>
      <c r="C1087" s="2217"/>
      <c r="D1087" s="1541"/>
      <c r="E1087" s="906"/>
      <c r="F1087" s="541"/>
      <c r="G1087" s="541"/>
      <c r="H1087" s="541"/>
      <c r="I1087" s="541"/>
      <c r="J1087" s="1748"/>
      <c r="K1087" s="541"/>
      <c r="L1087" s="1748"/>
      <c r="M1087" s="541"/>
      <c r="N1087" s="1748"/>
      <c r="O1087" s="541"/>
      <c r="P1087" s="1748"/>
      <c r="Q1087" s="541"/>
      <c r="R1087" s="1748"/>
      <c r="S1087" s="541"/>
      <c r="T1087" s="1748"/>
      <c r="U1087" s="541"/>
      <c r="V1087" s="1748"/>
      <c r="W1087" s="541"/>
      <c r="X1087" s="1748"/>
      <c r="Y1087" s="1748"/>
      <c r="Z1087" s="1748"/>
      <c r="AA1087" s="541"/>
      <c r="AB1087" s="1748"/>
      <c r="AC1087" s="541"/>
      <c r="AD1087" s="541"/>
      <c r="AE1087" s="541"/>
      <c r="AF1087" s="541"/>
      <c r="AG1087" s="541"/>
      <c r="AH1087" s="541"/>
      <c r="AI1087" s="541"/>
      <c r="AJ1087" s="541"/>
      <c r="AK1087" s="541"/>
      <c r="AL1087" s="541"/>
      <c r="AM1087" s="541"/>
      <c r="AN1087" s="1748"/>
      <c r="AO1087" s="1748"/>
      <c r="AP1087" s="1748"/>
      <c r="AQ1087" s="1748"/>
      <c r="AR1087" s="1748"/>
      <c r="AS1087" s="541"/>
      <c r="AT1087" s="541"/>
      <c r="AU1087" s="541"/>
      <c r="AV1087" s="541"/>
      <c r="AW1087" s="541"/>
      <c r="AY1087" s="541"/>
      <c r="AZ1087" s="633"/>
      <c r="BA1087" s="541"/>
      <c r="BB1087" s="1190"/>
      <c r="BC1087" s="541"/>
      <c r="BD1087" s="1190"/>
      <c r="BE1087" s="541"/>
      <c r="BF1087" s="1190"/>
      <c r="BG1087" s="541"/>
      <c r="BH1087" s="1190"/>
      <c r="BI1087" s="541"/>
      <c r="BJ1087" s="1190"/>
      <c r="BK1087" s="541"/>
      <c r="BL1087" s="541"/>
      <c r="BM1087" s="541"/>
      <c r="BP1087" s="541"/>
      <c r="BQ1087" s="633"/>
      <c r="BR1087" s="541"/>
      <c r="BS1087" s="541"/>
      <c r="BT1087" s="541"/>
      <c r="BU1087" s="541"/>
    </row>
    <row r="1088" ht="15.75" customHeight="1">
      <c r="A1088" s="1591"/>
      <c r="B1088" s="1591"/>
      <c r="C1088" s="2217"/>
      <c r="D1088" s="1541"/>
      <c r="E1088" s="906"/>
      <c r="F1088" s="541"/>
      <c r="G1088" s="541"/>
      <c r="H1088" s="541"/>
      <c r="I1088" s="541"/>
      <c r="J1088" s="1748"/>
      <c r="K1088" s="541"/>
      <c r="L1088" s="1748"/>
      <c r="M1088" s="541"/>
      <c r="N1088" s="1748"/>
      <c r="O1088" s="541"/>
      <c r="P1088" s="1748"/>
      <c r="Q1088" s="541"/>
      <c r="R1088" s="1748"/>
      <c r="S1088" s="541"/>
      <c r="T1088" s="1748"/>
      <c r="U1088" s="541"/>
      <c r="V1088" s="1748"/>
      <c r="W1088" s="541"/>
      <c r="X1088" s="1748"/>
      <c r="Y1088" s="1748"/>
      <c r="Z1088" s="1748"/>
      <c r="AA1088" s="541"/>
      <c r="AB1088" s="1748"/>
      <c r="AC1088" s="541"/>
      <c r="AD1088" s="541"/>
      <c r="AE1088" s="541"/>
      <c r="AF1088" s="541"/>
      <c r="AG1088" s="541"/>
      <c r="AH1088" s="541"/>
      <c r="AI1088" s="541"/>
      <c r="AJ1088" s="541"/>
      <c r="AK1088" s="541"/>
      <c r="AL1088" s="541"/>
      <c r="AM1088" s="541"/>
      <c r="AN1088" s="1748"/>
      <c r="AO1088" s="1748"/>
      <c r="AP1088" s="1748"/>
      <c r="AQ1088" s="1748"/>
      <c r="AR1088" s="1748"/>
      <c r="AS1088" s="541"/>
      <c r="AT1088" s="541"/>
      <c r="AU1088" s="541"/>
      <c r="AV1088" s="541"/>
      <c r="AW1088" s="541"/>
      <c r="AY1088" s="541"/>
      <c r="AZ1088" s="633"/>
      <c r="BA1088" s="541"/>
      <c r="BB1088" s="1190"/>
      <c r="BC1088" s="541"/>
      <c r="BD1088" s="1190"/>
      <c r="BE1088" s="541"/>
      <c r="BF1088" s="1190"/>
      <c r="BG1088" s="541"/>
      <c r="BH1088" s="1190"/>
      <c r="BI1088" s="541"/>
      <c r="BJ1088" s="1190"/>
      <c r="BK1088" s="541"/>
      <c r="BL1088" s="541"/>
      <c r="BM1088" s="541"/>
      <c r="BP1088" s="541"/>
      <c r="BQ1088" s="633"/>
      <c r="BR1088" s="541"/>
      <c r="BS1088" s="541"/>
      <c r="BT1088" s="541"/>
      <c r="BU1088" s="541"/>
    </row>
    <row r="1089" ht="15.75" customHeight="1">
      <c r="A1089" s="1591"/>
      <c r="B1089" s="1591"/>
      <c r="C1089" s="2217"/>
      <c r="D1089" s="1541"/>
      <c r="E1089" s="906"/>
      <c r="F1089" s="541"/>
      <c r="G1089" s="541"/>
      <c r="H1089" s="541"/>
      <c r="I1089" s="541"/>
      <c r="J1089" s="1748"/>
      <c r="K1089" s="541"/>
      <c r="L1089" s="1748"/>
      <c r="M1089" s="541"/>
      <c r="N1089" s="1748"/>
      <c r="O1089" s="541"/>
      <c r="P1089" s="1748"/>
      <c r="Q1089" s="541"/>
      <c r="R1089" s="1748"/>
      <c r="S1089" s="541"/>
      <c r="T1089" s="1748"/>
      <c r="U1089" s="541"/>
      <c r="V1089" s="1748"/>
      <c r="W1089" s="541"/>
      <c r="X1089" s="1748"/>
      <c r="Y1089" s="1748"/>
      <c r="Z1089" s="1748"/>
      <c r="AA1089" s="541"/>
      <c r="AB1089" s="1748"/>
      <c r="AC1089" s="541"/>
      <c r="AD1089" s="541"/>
      <c r="AE1089" s="541"/>
      <c r="AF1089" s="541"/>
      <c r="AG1089" s="541"/>
      <c r="AH1089" s="541"/>
      <c r="AI1089" s="541"/>
      <c r="AJ1089" s="541"/>
      <c r="AK1089" s="541"/>
      <c r="AL1089" s="541"/>
      <c r="AM1089" s="541"/>
      <c r="AN1089" s="1748"/>
      <c r="AO1089" s="1748"/>
      <c r="AP1089" s="1748"/>
      <c r="AQ1089" s="1748"/>
      <c r="AR1089" s="1748"/>
      <c r="AS1089" s="541"/>
      <c r="AT1089" s="541"/>
      <c r="AU1089" s="541"/>
      <c r="AV1089" s="541"/>
      <c r="AW1089" s="541"/>
      <c r="AY1089" s="541"/>
      <c r="AZ1089" s="633"/>
      <c r="BA1089" s="541"/>
      <c r="BB1089" s="1190"/>
      <c r="BC1089" s="541"/>
      <c r="BD1089" s="1190"/>
      <c r="BE1089" s="541"/>
      <c r="BF1089" s="1190"/>
      <c r="BG1089" s="541"/>
      <c r="BH1089" s="1190"/>
      <c r="BI1089" s="541"/>
      <c r="BJ1089" s="1190"/>
      <c r="BK1089" s="541"/>
      <c r="BL1089" s="541"/>
      <c r="BM1089" s="541"/>
      <c r="BP1089" s="541"/>
      <c r="BQ1089" s="633"/>
      <c r="BR1089" s="541"/>
      <c r="BS1089" s="541"/>
      <c r="BT1089" s="541"/>
      <c r="BU1089" s="541"/>
    </row>
    <row r="1090" ht="15.75" customHeight="1">
      <c r="A1090" s="1591"/>
      <c r="B1090" s="1591"/>
      <c r="C1090" s="2217"/>
      <c r="D1090" s="1541"/>
      <c r="E1090" s="906"/>
      <c r="F1090" s="541"/>
      <c r="G1090" s="541"/>
      <c r="H1090" s="541"/>
      <c r="I1090" s="541"/>
      <c r="J1090" s="1748"/>
      <c r="K1090" s="541"/>
      <c r="L1090" s="1748"/>
      <c r="M1090" s="541"/>
      <c r="N1090" s="1748"/>
      <c r="O1090" s="541"/>
      <c r="P1090" s="1748"/>
      <c r="Q1090" s="541"/>
      <c r="R1090" s="1748"/>
      <c r="S1090" s="541"/>
      <c r="T1090" s="1748"/>
      <c r="U1090" s="541"/>
      <c r="V1090" s="1748"/>
      <c r="W1090" s="541"/>
      <c r="X1090" s="1748"/>
      <c r="Y1090" s="1748"/>
      <c r="Z1090" s="1748"/>
      <c r="AA1090" s="541"/>
      <c r="AB1090" s="1748"/>
      <c r="AC1090" s="541"/>
      <c r="AD1090" s="541"/>
      <c r="AE1090" s="541"/>
      <c r="AF1090" s="541"/>
      <c r="AG1090" s="541"/>
      <c r="AH1090" s="541"/>
      <c r="AI1090" s="541"/>
      <c r="AJ1090" s="541"/>
      <c r="AK1090" s="541"/>
      <c r="AL1090" s="541"/>
      <c r="AM1090" s="541"/>
      <c r="AN1090" s="1748"/>
      <c r="AO1090" s="1748"/>
      <c r="AP1090" s="1748"/>
      <c r="AQ1090" s="1748"/>
      <c r="AR1090" s="1748"/>
      <c r="AS1090" s="541"/>
      <c r="AT1090" s="541"/>
      <c r="AU1090" s="541"/>
      <c r="AV1090" s="541"/>
      <c r="AW1090" s="541"/>
      <c r="AY1090" s="541"/>
      <c r="AZ1090" s="633"/>
      <c r="BA1090" s="541"/>
      <c r="BB1090" s="1190"/>
      <c r="BC1090" s="541"/>
      <c r="BD1090" s="1190"/>
      <c r="BE1090" s="541"/>
      <c r="BF1090" s="1190"/>
      <c r="BG1090" s="541"/>
      <c r="BH1090" s="1190"/>
      <c r="BI1090" s="541"/>
      <c r="BJ1090" s="1190"/>
      <c r="BK1090" s="541"/>
      <c r="BL1090" s="541"/>
      <c r="BM1090" s="541"/>
      <c r="BP1090" s="541"/>
      <c r="BQ1090" s="633"/>
      <c r="BR1090" s="541"/>
      <c r="BS1090" s="541"/>
      <c r="BT1090" s="541"/>
      <c r="BU1090" s="541"/>
    </row>
    <row r="1091" ht="15.75" customHeight="1">
      <c r="A1091" s="1591"/>
      <c r="B1091" s="1591"/>
      <c r="C1091" s="2217"/>
      <c r="D1091" s="1541"/>
      <c r="E1091" s="906"/>
      <c r="F1091" s="541"/>
      <c r="G1091" s="541"/>
      <c r="H1091" s="541"/>
      <c r="I1091" s="541"/>
      <c r="J1091" s="1748"/>
      <c r="K1091" s="541"/>
      <c r="L1091" s="1748"/>
      <c r="M1091" s="541"/>
      <c r="N1091" s="1748"/>
      <c r="O1091" s="541"/>
      <c r="P1091" s="1748"/>
      <c r="Q1091" s="541"/>
      <c r="R1091" s="1748"/>
      <c r="S1091" s="541"/>
      <c r="T1091" s="1748"/>
      <c r="U1091" s="541"/>
      <c r="V1091" s="1748"/>
      <c r="W1091" s="541"/>
      <c r="X1091" s="1748"/>
      <c r="Y1091" s="1748"/>
      <c r="Z1091" s="1748"/>
      <c r="AA1091" s="541"/>
      <c r="AB1091" s="1748"/>
      <c r="AC1091" s="541"/>
      <c r="AD1091" s="541"/>
      <c r="AE1091" s="541"/>
      <c r="AF1091" s="541"/>
      <c r="AG1091" s="541"/>
      <c r="AH1091" s="541"/>
      <c r="AI1091" s="541"/>
      <c r="AJ1091" s="541"/>
      <c r="AK1091" s="541"/>
      <c r="AL1091" s="541"/>
      <c r="AM1091" s="541"/>
      <c r="AN1091" s="1748"/>
      <c r="AO1091" s="1748"/>
      <c r="AP1091" s="1748"/>
      <c r="AQ1091" s="1748"/>
      <c r="AR1091" s="1748"/>
      <c r="AS1091" s="541"/>
      <c r="AT1091" s="541"/>
      <c r="AU1091" s="541"/>
      <c r="AV1091" s="541"/>
      <c r="AW1091" s="541"/>
      <c r="AY1091" s="541"/>
      <c r="AZ1091" s="633"/>
      <c r="BA1091" s="541"/>
      <c r="BB1091" s="1190"/>
      <c r="BC1091" s="541"/>
      <c r="BD1091" s="1190"/>
      <c r="BE1091" s="541"/>
      <c r="BF1091" s="1190"/>
      <c r="BG1091" s="541"/>
      <c r="BH1091" s="1190"/>
      <c r="BI1091" s="541"/>
      <c r="BJ1091" s="1190"/>
      <c r="BK1091" s="541"/>
      <c r="BL1091" s="541"/>
      <c r="BM1091" s="541"/>
      <c r="BP1091" s="541"/>
      <c r="BQ1091" s="633"/>
      <c r="BR1091" s="541"/>
      <c r="BS1091" s="541"/>
      <c r="BT1091" s="541"/>
      <c r="BU1091" s="541"/>
    </row>
    <row r="1092" ht="15.75" customHeight="1">
      <c r="A1092" s="1591"/>
      <c r="B1092" s="1591"/>
      <c r="C1092" s="2217"/>
      <c r="D1092" s="1541"/>
      <c r="E1092" s="906"/>
      <c r="F1092" s="541"/>
      <c r="G1092" s="541"/>
      <c r="H1092" s="541"/>
      <c r="I1092" s="541"/>
      <c r="J1092" s="1748"/>
      <c r="K1092" s="541"/>
      <c r="L1092" s="1748"/>
      <c r="M1092" s="541"/>
      <c r="N1092" s="1748"/>
      <c r="O1092" s="541"/>
      <c r="P1092" s="1748"/>
      <c r="Q1092" s="541"/>
      <c r="R1092" s="1748"/>
      <c r="S1092" s="541"/>
      <c r="T1092" s="1748"/>
      <c r="U1092" s="541"/>
      <c r="V1092" s="1748"/>
      <c r="W1092" s="541"/>
      <c r="X1092" s="1748"/>
      <c r="Y1092" s="1748"/>
      <c r="Z1092" s="1748"/>
      <c r="AA1092" s="541"/>
      <c r="AB1092" s="1748"/>
      <c r="AC1092" s="541"/>
      <c r="AD1092" s="541"/>
      <c r="AE1092" s="541"/>
      <c r="AF1092" s="541"/>
      <c r="AG1092" s="541"/>
      <c r="AH1092" s="541"/>
      <c r="AI1092" s="541"/>
      <c r="AJ1092" s="541"/>
      <c r="AK1092" s="541"/>
      <c r="AL1092" s="541"/>
      <c r="AM1092" s="541"/>
      <c r="AN1092" s="1748"/>
      <c r="AO1092" s="1748"/>
      <c r="AP1092" s="1748"/>
      <c r="AQ1092" s="1748"/>
      <c r="AR1092" s="1748"/>
      <c r="AS1092" s="541"/>
      <c r="AT1092" s="541"/>
      <c r="AU1092" s="541"/>
      <c r="AV1092" s="541"/>
      <c r="AW1092" s="541"/>
      <c r="AY1092" s="541"/>
      <c r="AZ1092" s="633"/>
      <c r="BA1092" s="541"/>
      <c r="BB1092" s="1190"/>
      <c r="BC1092" s="541"/>
      <c r="BD1092" s="1190"/>
      <c r="BE1092" s="541"/>
      <c r="BF1092" s="1190"/>
      <c r="BG1092" s="541"/>
      <c r="BH1092" s="1190"/>
      <c r="BI1092" s="541"/>
      <c r="BJ1092" s="1190"/>
      <c r="BK1092" s="541"/>
      <c r="BL1092" s="541"/>
      <c r="BM1092" s="541"/>
      <c r="BP1092" s="541"/>
      <c r="BQ1092" s="633"/>
      <c r="BR1092" s="541"/>
      <c r="BS1092" s="541"/>
      <c r="BT1092" s="541"/>
      <c r="BU1092" s="541"/>
    </row>
    <row r="1093" ht="15.75" customHeight="1">
      <c r="A1093" s="1591"/>
      <c r="B1093" s="1591"/>
      <c r="C1093" s="2217"/>
      <c r="D1093" s="1541"/>
      <c r="E1093" s="906"/>
      <c r="F1093" s="541"/>
      <c r="G1093" s="541"/>
      <c r="H1093" s="541"/>
      <c r="I1093" s="541"/>
      <c r="J1093" s="1748"/>
      <c r="K1093" s="541"/>
      <c r="L1093" s="1748"/>
      <c r="M1093" s="541"/>
      <c r="N1093" s="1748"/>
      <c r="O1093" s="541"/>
      <c r="P1093" s="1748"/>
      <c r="Q1093" s="541"/>
      <c r="R1093" s="1748"/>
      <c r="S1093" s="541"/>
      <c r="T1093" s="1748"/>
      <c r="U1093" s="541"/>
      <c r="V1093" s="1748"/>
      <c r="W1093" s="541"/>
      <c r="X1093" s="1748"/>
      <c r="Y1093" s="1748"/>
      <c r="Z1093" s="1748"/>
      <c r="AA1093" s="541"/>
      <c r="AB1093" s="1748"/>
      <c r="AC1093" s="541"/>
      <c r="AD1093" s="541"/>
      <c r="AE1093" s="541"/>
      <c r="AF1093" s="541"/>
      <c r="AG1093" s="541"/>
      <c r="AH1093" s="541"/>
      <c r="AI1093" s="541"/>
      <c r="AJ1093" s="541"/>
      <c r="AK1093" s="541"/>
      <c r="AL1093" s="541"/>
      <c r="AM1093" s="541"/>
      <c r="AN1093" s="1748"/>
      <c r="AO1093" s="1748"/>
      <c r="AP1093" s="1748"/>
      <c r="AQ1093" s="1748"/>
      <c r="AR1093" s="1748"/>
      <c r="AS1093" s="541"/>
      <c r="AT1093" s="541"/>
      <c r="AU1093" s="541"/>
      <c r="AV1093" s="541"/>
      <c r="AW1093" s="541"/>
      <c r="AY1093" s="541"/>
      <c r="AZ1093" s="633"/>
      <c r="BA1093" s="541"/>
      <c r="BB1093" s="1190"/>
      <c r="BC1093" s="541"/>
      <c r="BD1093" s="1190"/>
      <c r="BE1093" s="541"/>
      <c r="BF1093" s="1190"/>
      <c r="BG1093" s="541"/>
      <c r="BH1093" s="1190"/>
      <c r="BI1093" s="541"/>
      <c r="BJ1093" s="1190"/>
      <c r="BK1093" s="541"/>
      <c r="BL1093" s="541"/>
      <c r="BM1093" s="541"/>
      <c r="BP1093" s="541"/>
      <c r="BQ1093" s="633"/>
      <c r="BR1093" s="541"/>
      <c r="BS1093" s="541"/>
      <c r="BT1093" s="541"/>
      <c r="BU1093" s="541"/>
    </row>
    <row r="1094" ht="15.75" customHeight="1">
      <c r="A1094" s="1591"/>
      <c r="B1094" s="1591"/>
      <c r="C1094" s="2217"/>
      <c r="D1094" s="1541"/>
      <c r="E1094" s="906"/>
      <c r="F1094" s="541"/>
      <c r="G1094" s="541"/>
      <c r="H1094" s="541"/>
      <c r="I1094" s="541"/>
      <c r="J1094" s="1748"/>
      <c r="K1094" s="541"/>
      <c r="L1094" s="1748"/>
      <c r="M1094" s="541"/>
      <c r="N1094" s="1748"/>
      <c r="O1094" s="541"/>
      <c r="P1094" s="1748"/>
      <c r="Q1094" s="541"/>
      <c r="R1094" s="1748"/>
      <c r="S1094" s="541"/>
      <c r="T1094" s="1748"/>
      <c r="U1094" s="541"/>
      <c r="V1094" s="1748"/>
      <c r="W1094" s="541"/>
      <c r="X1094" s="1748"/>
      <c r="Y1094" s="1748"/>
      <c r="Z1094" s="1748"/>
      <c r="AA1094" s="541"/>
      <c r="AB1094" s="1748"/>
      <c r="AC1094" s="541"/>
      <c r="AD1094" s="541"/>
      <c r="AE1094" s="541"/>
      <c r="AF1094" s="541"/>
      <c r="AG1094" s="541"/>
      <c r="AH1094" s="541"/>
      <c r="AI1094" s="541"/>
      <c r="AJ1094" s="541"/>
      <c r="AK1094" s="541"/>
      <c r="AL1094" s="541"/>
      <c r="AM1094" s="541"/>
      <c r="AN1094" s="1748"/>
      <c r="AO1094" s="1748"/>
      <c r="AP1094" s="1748"/>
      <c r="AQ1094" s="1748"/>
      <c r="AR1094" s="1748"/>
      <c r="AS1094" s="541"/>
      <c r="AT1094" s="541"/>
      <c r="AU1094" s="541"/>
      <c r="AV1094" s="541"/>
      <c r="AW1094" s="541"/>
      <c r="AY1094" s="541"/>
      <c r="AZ1094" s="633"/>
      <c r="BA1094" s="541"/>
      <c r="BB1094" s="1190"/>
      <c r="BC1094" s="541"/>
      <c r="BD1094" s="1190"/>
      <c r="BE1094" s="541"/>
      <c r="BF1094" s="1190"/>
      <c r="BG1094" s="541"/>
      <c r="BH1094" s="1190"/>
      <c r="BI1094" s="541"/>
      <c r="BJ1094" s="1190"/>
      <c r="BK1094" s="541"/>
      <c r="BL1094" s="541"/>
      <c r="BM1094" s="541"/>
      <c r="BP1094" s="541"/>
      <c r="BQ1094" s="633"/>
      <c r="BR1094" s="541"/>
      <c r="BS1094" s="541"/>
      <c r="BT1094" s="541"/>
      <c r="BU1094" s="541"/>
    </row>
    <row r="1095" ht="15.75" customHeight="1">
      <c r="A1095" s="1591"/>
      <c r="B1095" s="1591"/>
      <c r="C1095" s="2217"/>
      <c r="D1095" s="1541"/>
      <c r="E1095" s="906"/>
      <c r="F1095" s="541"/>
      <c r="G1095" s="541"/>
      <c r="H1095" s="541"/>
      <c r="I1095" s="541"/>
      <c r="J1095" s="1748"/>
      <c r="K1095" s="541"/>
      <c r="L1095" s="1748"/>
      <c r="M1095" s="541"/>
      <c r="N1095" s="1748"/>
      <c r="O1095" s="541"/>
      <c r="P1095" s="1748"/>
      <c r="Q1095" s="541"/>
      <c r="R1095" s="1748"/>
      <c r="S1095" s="541"/>
      <c r="T1095" s="1748"/>
      <c r="U1095" s="541"/>
      <c r="V1095" s="1748"/>
      <c r="W1095" s="541"/>
      <c r="X1095" s="1748"/>
      <c r="Y1095" s="1748"/>
      <c r="Z1095" s="1748"/>
      <c r="AA1095" s="541"/>
      <c r="AB1095" s="1748"/>
      <c r="AC1095" s="541"/>
      <c r="AD1095" s="541"/>
      <c r="AE1095" s="541"/>
      <c r="AF1095" s="541"/>
      <c r="AG1095" s="541"/>
      <c r="AH1095" s="541"/>
      <c r="AI1095" s="541"/>
      <c r="AJ1095" s="541"/>
      <c r="AK1095" s="541"/>
      <c r="AL1095" s="541"/>
      <c r="AM1095" s="541"/>
      <c r="AN1095" s="1748"/>
      <c r="AO1095" s="1748"/>
      <c r="AP1095" s="1748"/>
      <c r="AQ1095" s="1748"/>
      <c r="AR1095" s="1748"/>
      <c r="AS1095" s="541"/>
      <c r="AT1095" s="541"/>
      <c r="AU1095" s="541"/>
      <c r="AV1095" s="541"/>
      <c r="AW1095" s="541"/>
      <c r="AY1095" s="541"/>
      <c r="AZ1095" s="633"/>
      <c r="BA1095" s="541"/>
      <c r="BB1095" s="1190"/>
      <c r="BC1095" s="541"/>
      <c r="BD1095" s="1190"/>
      <c r="BE1095" s="541"/>
      <c r="BF1095" s="1190"/>
      <c r="BG1095" s="541"/>
      <c r="BH1095" s="1190"/>
      <c r="BI1095" s="541"/>
      <c r="BJ1095" s="1190"/>
      <c r="BK1095" s="541"/>
      <c r="BL1095" s="541"/>
      <c r="BM1095" s="541"/>
      <c r="BP1095" s="541"/>
      <c r="BQ1095" s="633"/>
      <c r="BR1095" s="541"/>
      <c r="BS1095" s="541"/>
      <c r="BT1095" s="541"/>
      <c r="BU1095" s="541"/>
    </row>
    <row r="1096" ht="15.75" customHeight="1">
      <c r="A1096" s="1591"/>
      <c r="B1096" s="1591"/>
      <c r="C1096" s="2217"/>
      <c r="D1096" s="1541"/>
      <c r="E1096" s="906"/>
      <c r="F1096" s="541"/>
      <c r="G1096" s="541"/>
      <c r="H1096" s="541"/>
      <c r="I1096" s="541"/>
      <c r="J1096" s="1748"/>
      <c r="K1096" s="541"/>
      <c r="L1096" s="1748"/>
      <c r="M1096" s="541"/>
      <c r="N1096" s="1748"/>
      <c r="O1096" s="541"/>
      <c r="P1096" s="1748"/>
      <c r="Q1096" s="541"/>
      <c r="R1096" s="1748"/>
      <c r="S1096" s="541"/>
      <c r="T1096" s="1748"/>
      <c r="U1096" s="541"/>
      <c r="V1096" s="1748"/>
      <c r="W1096" s="541"/>
      <c r="X1096" s="1748"/>
      <c r="Y1096" s="1748"/>
      <c r="Z1096" s="1748"/>
      <c r="AA1096" s="541"/>
      <c r="AB1096" s="1748"/>
      <c r="AC1096" s="541"/>
      <c r="AD1096" s="541"/>
      <c r="AE1096" s="541"/>
      <c r="AF1096" s="541"/>
      <c r="AG1096" s="541"/>
      <c r="AH1096" s="541"/>
      <c r="AI1096" s="541"/>
      <c r="AJ1096" s="541"/>
      <c r="AK1096" s="541"/>
      <c r="AL1096" s="541"/>
      <c r="AM1096" s="541"/>
      <c r="AN1096" s="1748"/>
      <c r="AO1096" s="1748"/>
      <c r="AP1096" s="1748"/>
      <c r="AQ1096" s="1748"/>
      <c r="AR1096" s="1748"/>
      <c r="AS1096" s="541"/>
      <c r="AT1096" s="541"/>
      <c r="AU1096" s="541"/>
      <c r="AV1096" s="541"/>
      <c r="AW1096" s="541"/>
      <c r="AY1096" s="541"/>
      <c r="AZ1096" s="633"/>
      <c r="BA1096" s="541"/>
      <c r="BB1096" s="1190"/>
      <c r="BC1096" s="541"/>
      <c r="BD1096" s="1190"/>
      <c r="BE1096" s="541"/>
      <c r="BF1096" s="1190"/>
      <c r="BG1096" s="541"/>
      <c r="BH1096" s="1190"/>
      <c r="BI1096" s="541"/>
      <c r="BJ1096" s="1190"/>
      <c r="BK1096" s="541"/>
      <c r="BL1096" s="541"/>
      <c r="BM1096" s="541"/>
      <c r="BP1096" s="541"/>
      <c r="BQ1096" s="633"/>
      <c r="BR1096" s="541"/>
      <c r="BS1096" s="541"/>
      <c r="BT1096" s="541"/>
      <c r="BU1096" s="541"/>
    </row>
    <row r="1097" ht="15.75" customHeight="1">
      <c r="A1097" s="1591"/>
      <c r="B1097" s="1591"/>
      <c r="C1097" s="2217"/>
      <c r="D1097" s="1541"/>
      <c r="E1097" s="906"/>
      <c r="F1097" s="541"/>
      <c r="G1097" s="541"/>
      <c r="H1097" s="541"/>
      <c r="I1097" s="541"/>
      <c r="J1097" s="1748"/>
      <c r="K1097" s="541"/>
      <c r="L1097" s="1748"/>
      <c r="M1097" s="541"/>
      <c r="N1097" s="1748"/>
      <c r="O1097" s="541"/>
      <c r="P1097" s="1748"/>
      <c r="Q1097" s="541"/>
      <c r="R1097" s="1748"/>
      <c r="S1097" s="541"/>
      <c r="T1097" s="1748"/>
      <c r="U1097" s="541"/>
      <c r="V1097" s="1748"/>
      <c r="W1097" s="541"/>
      <c r="X1097" s="1748"/>
      <c r="Y1097" s="1748"/>
      <c r="Z1097" s="1748"/>
      <c r="AA1097" s="541"/>
      <c r="AB1097" s="1748"/>
      <c r="AC1097" s="541"/>
      <c r="AD1097" s="541"/>
      <c r="AE1097" s="541"/>
      <c r="AF1097" s="541"/>
      <c r="AG1097" s="541"/>
      <c r="AH1097" s="541"/>
      <c r="AI1097" s="541"/>
      <c r="AJ1097" s="541"/>
      <c r="AK1097" s="541"/>
      <c r="AL1097" s="541"/>
      <c r="AM1097" s="541"/>
      <c r="AN1097" s="1748"/>
      <c r="AO1097" s="1748"/>
      <c r="AP1097" s="1748"/>
      <c r="AQ1097" s="1748"/>
      <c r="AR1097" s="1748"/>
      <c r="AS1097" s="541"/>
      <c r="AT1097" s="541"/>
      <c r="AU1097" s="541"/>
      <c r="AV1097" s="541"/>
      <c r="AW1097" s="541"/>
      <c r="AY1097" s="541"/>
      <c r="AZ1097" s="633"/>
      <c r="BA1097" s="541"/>
      <c r="BB1097" s="1190"/>
      <c r="BC1097" s="541"/>
      <c r="BD1097" s="1190"/>
      <c r="BE1097" s="541"/>
      <c r="BF1097" s="1190"/>
      <c r="BG1097" s="541"/>
      <c r="BH1097" s="1190"/>
      <c r="BI1097" s="541"/>
      <c r="BJ1097" s="1190"/>
      <c r="BK1097" s="541"/>
      <c r="BL1097" s="541"/>
      <c r="BM1097" s="541"/>
      <c r="BP1097" s="541"/>
      <c r="BQ1097" s="633"/>
      <c r="BR1097" s="541"/>
      <c r="BS1097" s="541"/>
      <c r="BT1097" s="541"/>
      <c r="BU1097" s="541"/>
    </row>
    <row r="1098" ht="15.75" customHeight="1">
      <c r="A1098" s="1591"/>
      <c r="B1098" s="1591"/>
      <c r="C1098" s="2217"/>
      <c r="D1098" s="1541"/>
      <c r="E1098" s="906"/>
      <c r="F1098" s="541"/>
      <c r="G1098" s="541"/>
      <c r="H1098" s="541"/>
      <c r="I1098" s="541"/>
      <c r="J1098" s="1748"/>
      <c r="K1098" s="541"/>
      <c r="L1098" s="1748"/>
      <c r="M1098" s="541"/>
      <c r="N1098" s="1748"/>
      <c r="O1098" s="541"/>
      <c r="P1098" s="1748"/>
      <c r="Q1098" s="541"/>
      <c r="R1098" s="1748"/>
      <c r="S1098" s="541"/>
      <c r="T1098" s="1748"/>
      <c r="U1098" s="541"/>
      <c r="V1098" s="1748"/>
      <c r="W1098" s="541"/>
      <c r="X1098" s="1748"/>
      <c r="Y1098" s="1748"/>
      <c r="Z1098" s="1748"/>
      <c r="AA1098" s="541"/>
      <c r="AB1098" s="1748"/>
      <c r="AC1098" s="541"/>
      <c r="AD1098" s="541"/>
      <c r="AE1098" s="541"/>
      <c r="AF1098" s="541"/>
      <c r="AG1098" s="541"/>
      <c r="AH1098" s="541"/>
      <c r="AI1098" s="541"/>
      <c r="AJ1098" s="541"/>
      <c r="AK1098" s="541"/>
      <c r="AL1098" s="541"/>
      <c r="AM1098" s="541"/>
      <c r="AN1098" s="1748"/>
      <c r="AO1098" s="1748"/>
      <c r="AP1098" s="1748"/>
      <c r="AQ1098" s="1748"/>
      <c r="AR1098" s="1748"/>
      <c r="AS1098" s="541"/>
      <c r="AT1098" s="541"/>
      <c r="AU1098" s="541"/>
      <c r="AV1098" s="541"/>
      <c r="AW1098" s="541"/>
      <c r="AY1098" s="541"/>
      <c r="AZ1098" s="633"/>
      <c r="BA1098" s="541"/>
      <c r="BB1098" s="1190"/>
      <c r="BC1098" s="541"/>
      <c r="BD1098" s="1190"/>
      <c r="BE1098" s="541"/>
      <c r="BF1098" s="1190"/>
      <c r="BG1098" s="541"/>
      <c r="BH1098" s="1190"/>
      <c r="BI1098" s="541"/>
      <c r="BJ1098" s="1190"/>
      <c r="BK1098" s="541"/>
      <c r="BL1098" s="541"/>
      <c r="BM1098" s="541"/>
      <c r="BP1098" s="541"/>
      <c r="BQ1098" s="633"/>
      <c r="BR1098" s="541"/>
      <c r="BS1098" s="541"/>
      <c r="BT1098" s="541"/>
      <c r="BU1098" s="541"/>
    </row>
    <row r="1099" ht="15.75" customHeight="1">
      <c r="A1099" s="1591"/>
      <c r="B1099" s="1591"/>
      <c r="C1099" s="2217"/>
      <c r="D1099" s="1541"/>
      <c r="E1099" s="906"/>
      <c r="F1099" s="541"/>
      <c r="G1099" s="541"/>
      <c r="H1099" s="541"/>
      <c r="I1099" s="541"/>
      <c r="J1099" s="1748"/>
      <c r="K1099" s="541"/>
      <c r="L1099" s="1748"/>
      <c r="M1099" s="541"/>
      <c r="N1099" s="1748"/>
      <c r="O1099" s="541"/>
      <c r="P1099" s="1748"/>
      <c r="Q1099" s="541"/>
      <c r="R1099" s="1748"/>
      <c r="S1099" s="541"/>
      <c r="T1099" s="1748"/>
      <c r="U1099" s="541"/>
      <c r="V1099" s="1748"/>
      <c r="W1099" s="541"/>
      <c r="X1099" s="1748"/>
      <c r="Y1099" s="1748"/>
      <c r="Z1099" s="1748"/>
      <c r="AA1099" s="541"/>
      <c r="AB1099" s="1748"/>
      <c r="AC1099" s="541"/>
      <c r="AD1099" s="541"/>
      <c r="AE1099" s="541"/>
      <c r="AF1099" s="541"/>
      <c r="AG1099" s="541"/>
      <c r="AH1099" s="541"/>
      <c r="AI1099" s="541"/>
      <c r="AJ1099" s="541"/>
      <c r="AK1099" s="541"/>
      <c r="AL1099" s="541"/>
      <c r="AM1099" s="541"/>
      <c r="AN1099" s="1748"/>
      <c r="AO1099" s="1748"/>
      <c r="AP1099" s="1748"/>
      <c r="AQ1099" s="1748"/>
      <c r="AR1099" s="1748"/>
      <c r="AS1099" s="541"/>
      <c r="AT1099" s="541"/>
      <c r="AU1099" s="541"/>
      <c r="AV1099" s="541"/>
      <c r="AW1099" s="541"/>
      <c r="AY1099" s="541"/>
      <c r="AZ1099" s="633"/>
      <c r="BA1099" s="541"/>
      <c r="BB1099" s="1190"/>
      <c r="BC1099" s="541"/>
      <c r="BD1099" s="1190"/>
      <c r="BE1099" s="541"/>
      <c r="BF1099" s="1190"/>
      <c r="BG1099" s="541"/>
      <c r="BH1099" s="1190"/>
      <c r="BI1099" s="541"/>
      <c r="BJ1099" s="1190"/>
      <c r="BK1099" s="541"/>
      <c r="BL1099" s="541"/>
      <c r="BM1099" s="541"/>
      <c r="BP1099" s="541"/>
      <c r="BQ1099" s="633"/>
      <c r="BR1099" s="541"/>
      <c r="BS1099" s="541"/>
      <c r="BT1099" s="541"/>
      <c r="BU1099" s="541"/>
    </row>
    <row r="1100" ht="15.75" customHeight="1">
      <c r="A1100" s="1591"/>
      <c r="B1100" s="1591"/>
      <c r="C1100" s="2217"/>
      <c r="D1100" s="1541"/>
      <c r="E1100" s="906"/>
      <c r="F1100" s="541"/>
      <c r="G1100" s="541"/>
      <c r="H1100" s="541"/>
      <c r="I1100" s="541"/>
      <c r="J1100" s="1748"/>
      <c r="K1100" s="541"/>
      <c r="L1100" s="1748"/>
      <c r="M1100" s="541"/>
      <c r="N1100" s="1748"/>
      <c r="O1100" s="541"/>
      <c r="P1100" s="1748"/>
      <c r="Q1100" s="541"/>
      <c r="R1100" s="1748"/>
      <c r="S1100" s="541"/>
      <c r="T1100" s="1748"/>
      <c r="U1100" s="541"/>
      <c r="V1100" s="1748"/>
      <c r="W1100" s="541"/>
      <c r="X1100" s="1748"/>
      <c r="Y1100" s="1748"/>
      <c r="Z1100" s="1748"/>
      <c r="AA1100" s="541"/>
      <c r="AB1100" s="1748"/>
      <c r="AC1100" s="541"/>
      <c r="AD1100" s="541"/>
      <c r="AE1100" s="541"/>
      <c r="AF1100" s="541"/>
      <c r="AG1100" s="541"/>
      <c r="AH1100" s="541"/>
      <c r="AI1100" s="541"/>
      <c r="AJ1100" s="541"/>
      <c r="AK1100" s="541"/>
      <c r="AL1100" s="541"/>
      <c r="AM1100" s="541"/>
      <c r="AN1100" s="1748"/>
      <c r="AO1100" s="1748"/>
      <c r="AP1100" s="1748"/>
      <c r="AQ1100" s="1748"/>
      <c r="AR1100" s="1748"/>
      <c r="AS1100" s="541"/>
      <c r="AT1100" s="541"/>
      <c r="AU1100" s="541"/>
      <c r="AV1100" s="541"/>
      <c r="AW1100" s="541"/>
      <c r="AY1100" s="541"/>
      <c r="AZ1100" s="633"/>
      <c r="BA1100" s="541"/>
      <c r="BB1100" s="1190"/>
      <c r="BC1100" s="541"/>
      <c r="BD1100" s="1190"/>
      <c r="BE1100" s="541"/>
      <c r="BF1100" s="1190"/>
      <c r="BG1100" s="541"/>
      <c r="BH1100" s="1190"/>
      <c r="BI1100" s="541"/>
      <c r="BJ1100" s="1190"/>
      <c r="BK1100" s="541"/>
      <c r="BL1100" s="541"/>
      <c r="BM1100" s="541"/>
      <c r="BP1100" s="541"/>
      <c r="BQ1100" s="633"/>
      <c r="BR1100" s="541"/>
      <c r="BS1100" s="541"/>
      <c r="BT1100" s="541"/>
      <c r="BU1100" s="541"/>
    </row>
    <row r="1101" ht="15.75" customHeight="1">
      <c r="A1101" s="1591"/>
      <c r="B1101" s="1591"/>
      <c r="C1101" s="2217"/>
      <c r="D1101" s="1541"/>
      <c r="E1101" s="906"/>
      <c r="F1101" s="541"/>
      <c r="G1101" s="541"/>
      <c r="H1101" s="541"/>
      <c r="I1101" s="541"/>
      <c r="J1101" s="1748"/>
      <c r="K1101" s="541"/>
      <c r="L1101" s="1748"/>
      <c r="M1101" s="541"/>
      <c r="N1101" s="1748"/>
      <c r="O1101" s="541"/>
      <c r="P1101" s="1748"/>
      <c r="Q1101" s="541"/>
      <c r="R1101" s="1748"/>
      <c r="S1101" s="541"/>
      <c r="T1101" s="1748"/>
      <c r="U1101" s="541"/>
      <c r="V1101" s="1748"/>
      <c r="W1101" s="541"/>
      <c r="X1101" s="1748"/>
      <c r="Y1101" s="1748"/>
      <c r="Z1101" s="1748"/>
      <c r="AA1101" s="541"/>
      <c r="AB1101" s="1748"/>
      <c r="AC1101" s="541"/>
      <c r="AD1101" s="541"/>
      <c r="AE1101" s="541"/>
      <c r="AF1101" s="541"/>
      <c r="AG1101" s="541"/>
      <c r="AH1101" s="541"/>
      <c r="AI1101" s="541"/>
      <c r="AJ1101" s="541"/>
      <c r="AK1101" s="541"/>
      <c r="AL1101" s="541"/>
      <c r="AM1101" s="541"/>
      <c r="AN1101" s="1748"/>
      <c r="AO1101" s="1748"/>
      <c r="AP1101" s="1748"/>
      <c r="AQ1101" s="1748"/>
      <c r="AR1101" s="1748"/>
      <c r="AS1101" s="541"/>
      <c r="AT1101" s="541"/>
      <c r="AU1101" s="541"/>
      <c r="AV1101" s="541"/>
      <c r="AW1101" s="541"/>
      <c r="AY1101" s="541"/>
      <c r="AZ1101" s="633"/>
      <c r="BA1101" s="541"/>
      <c r="BB1101" s="1190"/>
      <c r="BC1101" s="541"/>
      <c r="BD1101" s="1190"/>
      <c r="BE1101" s="541"/>
      <c r="BF1101" s="1190"/>
      <c r="BG1101" s="541"/>
      <c r="BH1101" s="1190"/>
      <c r="BI1101" s="541"/>
      <c r="BJ1101" s="1190"/>
      <c r="BK1101" s="541"/>
      <c r="BL1101" s="541"/>
      <c r="BM1101" s="541"/>
      <c r="BP1101" s="541"/>
      <c r="BQ1101" s="633"/>
      <c r="BR1101" s="541"/>
      <c r="BS1101" s="541"/>
      <c r="BT1101" s="541"/>
      <c r="BU1101" s="541"/>
    </row>
    <row r="1102" ht="15.75" customHeight="1">
      <c r="A1102" s="1591"/>
      <c r="B1102" s="1591"/>
      <c r="C1102" s="2217"/>
      <c r="D1102" s="1541"/>
      <c r="E1102" s="906"/>
      <c r="F1102" s="541"/>
      <c r="G1102" s="541"/>
      <c r="H1102" s="541"/>
      <c r="I1102" s="541"/>
      <c r="J1102" s="1748"/>
      <c r="K1102" s="541"/>
      <c r="L1102" s="1748"/>
      <c r="M1102" s="541"/>
      <c r="N1102" s="1748"/>
      <c r="O1102" s="541"/>
      <c r="P1102" s="1748"/>
      <c r="Q1102" s="541"/>
      <c r="R1102" s="1748"/>
      <c r="S1102" s="541"/>
      <c r="T1102" s="1748"/>
      <c r="U1102" s="541"/>
      <c r="V1102" s="1748"/>
      <c r="W1102" s="541"/>
      <c r="X1102" s="1748"/>
      <c r="Y1102" s="1748"/>
      <c r="Z1102" s="1748"/>
      <c r="AA1102" s="541"/>
      <c r="AB1102" s="1748"/>
      <c r="AC1102" s="541"/>
      <c r="AD1102" s="541"/>
      <c r="AE1102" s="541"/>
      <c r="AF1102" s="541"/>
      <c r="AG1102" s="541"/>
      <c r="AH1102" s="541"/>
      <c r="AI1102" s="541"/>
      <c r="AJ1102" s="541"/>
      <c r="AK1102" s="541"/>
      <c r="AL1102" s="541"/>
      <c r="AM1102" s="541"/>
      <c r="AN1102" s="1748"/>
      <c r="AO1102" s="1748"/>
      <c r="AP1102" s="1748"/>
      <c r="AQ1102" s="1748"/>
      <c r="AR1102" s="1748"/>
      <c r="AS1102" s="541"/>
      <c r="AT1102" s="541"/>
      <c r="AU1102" s="541"/>
      <c r="AV1102" s="541"/>
      <c r="AW1102" s="541"/>
      <c r="AY1102" s="541"/>
      <c r="AZ1102" s="633"/>
      <c r="BA1102" s="541"/>
      <c r="BB1102" s="1190"/>
      <c r="BC1102" s="541"/>
      <c r="BD1102" s="1190"/>
      <c r="BE1102" s="541"/>
      <c r="BF1102" s="1190"/>
      <c r="BG1102" s="541"/>
      <c r="BH1102" s="1190"/>
      <c r="BI1102" s="541"/>
      <c r="BJ1102" s="1190"/>
      <c r="BK1102" s="541"/>
      <c r="BL1102" s="541"/>
      <c r="BM1102" s="541"/>
      <c r="BP1102" s="541"/>
      <c r="BQ1102" s="633"/>
      <c r="BR1102" s="541"/>
      <c r="BS1102" s="541"/>
      <c r="BT1102" s="541"/>
      <c r="BU1102" s="541"/>
    </row>
    <row r="1103" ht="15.75" customHeight="1">
      <c r="A1103" s="1591"/>
      <c r="B1103" s="1591"/>
      <c r="C1103" s="2217"/>
      <c r="D1103" s="1541"/>
      <c r="E1103" s="906"/>
      <c r="F1103" s="541"/>
      <c r="G1103" s="541"/>
      <c r="H1103" s="541"/>
      <c r="I1103" s="541"/>
      <c r="J1103" s="1748"/>
      <c r="K1103" s="541"/>
      <c r="L1103" s="1748"/>
      <c r="M1103" s="541"/>
      <c r="N1103" s="1748"/>
      <c r="O1103" s="541"/>
      <c r="P1103" s="1748"/>
      <c r="Q1103" s="541"/>
      <c r="R1103" s="1748"/>
      <c r="S1103" s="541"/>
      <c r="T1103" s="1748"/>
      <c r="U1103" s="541"/>
      <c r="V1103" s="1748"/>
      <c r="W1103" s="541"/>
      <c r="X1103" s="1748"/>
      <c r="Y1103" s="1748"/>
      <c r="Z1103" s="1748"/>
      <c r="AA1103" s="541"/>
      <c r="AB1103" s="1748"/>
      <c r="AC1103" s="541"/>
      <c r="AD1103" s="541"/>
      <c r="AE1103" s="541"/>
      <c r="AF1103" s="541"/>
      <c r="AG1103" s="541"/>
      <c r="AH1103" s="541"/>
      <c r="AI1103" s="541"/>
      <c r="AJ1103" s="541"/>
      <c r="AK1103" s="541"/>
      <c r="AL1103" s="541"/>
      <c r="AM1103" s="541"/>
      <c r="AN1103" s="1748"/>
      <c r="AO1103" s="1748"/>
      <c r="AP1103" s="1748"/>
      <c r="AQ1103" s="1748"/>
      <c r="AR1103" s="1748"/>
      <c r="AS1103" s="541"/>
      <c r="AT1103" s="541"/>
      <c r="AU1103" s="541"/>
      <c r="AV1103" s="541"/>
      <c r="AW1103" s="541"/>
      <c r="AY1103" s="541"/>
      <c r="AZ1103" s="633"/>
      <c r="BA1103" s="541"/>
      <c r="BB1103" s="1190"/>
      <c r="BC1103" s="541"/>
      <c r="BD1103" s="1190"/>
      <c r="BE1103" s="541"/>
      <c r="BF1103" s="1190"/>
      <c r="BG1103" s="541"/>
      <c r="BH1103" s="1190"/>
      <c r="BI1103" s="541"/>
      <c r="BJ1103" s="1190"/>
      <c r="BK1103" s="541"/>
      <c r="BL1103" s="541"/>
      <c r="BM1103" s="541"/>
      <c r="BP1103" s="541"/>
      <c r="BQ1103" s="633"/>
      <c r="BR1103" s="541"/>
      <c r="BS1103" s="541"/>
      <c r="BT1103" s="541"/>
      <c r="BU1103" s="541"/>
    </row>
    <row r="1104" ht="15.75" customHeight="1">
      <c r="A1104" s="1591"/>
      <c r="B1104" s="1591"/>
      <c r="C1104" s="2217"/>
      <c r="D1104" s="1541"/>
      <c r="E1104" s="906"/>
      <c r="F1104" s="541"/>
      <c r="G1104" s="541"/>
      <c r="H1104" s="541"/>
      <c r="I1104" s="541"/>
      <c r="J1104" s="1748"/>
      <c r="K1104" s="541"/>
      <c r="L1104" s="1748"/>
      <c r="M1104" s="541"/>
      <c r="N1104" s="1748"/>
      <c r="O1104" s="541"/>
      <c r="P1104" s="1748"/>
      <c r="Q1104" s="541"/>
      <c r="R1104" s="1748"/>
      <c r="S1104" s="541"/>
      <c r="T1104" s="1748"/>
      <c r="U1104" s="541"/>
      <c r="V1104" s="1748"/>
      <c r="W1104" s="541"/>
      <c r="X1104" s="1748"/>
      <c r="Y1104" s="1748"/>
      <c r="Z1104" s="1748"/>
      <c r="AA1104" s="541"/>
      <c r="AB1104" s="1748"/>
      <c r="AC1104" s="541"/>
      <c r="AD1104" s="541"/>
      <c r="AE1104" s="541"/>
      <c r="AF1104" s="541"/>
      <c r="AG1104" s="541"/>
      <c r="AH1104" s="541"/>
      <c r="AI1104" s="541"/>
      <c r="AJ1104" s="541"/>
      <c r="AK1104" s="541"/>
      <c r="AL1104" s="541"/>
      <c r="AM1104" s="541"/>
      <c r="AN1104" s="1748"/>
      <c r="AO1104" s="1748"/>
      <c r="AP1104" s="1748"/>
      <c r="AQ1104" s="1748"/>
      <c r="AR1104" s="1748"/>
      <c r="AS1104" s="541"/>
      <c r="AT1104" s="541"/>
      <c r="AU1104" s="541"/>
      <c r="AV1104" s="541"/>
      <c r="AW1104" s="541"/>
      <c r="AY1104" s="541"/>
      <c r="AZ1104" s="633"/>
      <c r="BA1104" s="541"/>
      <c r="BB1104" s="1190"/>
      <c r="BC1104" s="541"/>
      <c r="BD1104" s="1190"/>
      <c r="BE1104" s="541"/>
      <c r="BF1104" s="1190"/>
      <c r="BG1104" s="541"/>
      <c r="BH1104" s="1190"/>
      <c r="BI1104" s="541"/>
      <c r="BJ1104" s="1190"/>
      <c r="BK1104" s="541"/>
      <c r="BL1104" s="541"/>
      <c r="BM1104" s="541"/>
      <c r="BP1104" s="541"/>
      <c r="BQ1104" s="633"/>
      <c r="BR1104" s="541"/>
      <c r="BS1104" s="541"/>
      <c r="BT1104" s="541"/>
      <c r="BU1104" s="541"/>
    </row>
    <row r="1105" ht="15.75" customHeight="1">
      <c r="A1105" s="1591"/>
      <c r="B1105" s="1591"/>
      <c r="C1105" s="2217"/>
      <c r="D1105" s="1541"/>
      <c r="E1105" s="906"/>
      <c r="F1105" s="541"/>
      <c r="G1105" s="541"/>
      <c r="H1105" s="541"/>
      <c r="I1105" s="541"/>
      <c r="J1105" s="1748"/>
      <c r="K1105" s="541"/>
      <c r="L1105" s="1748"/>
      <c r="M1105" s="541"/>
      <c r="N1105" s="1748"/>
      <c r="O1105" s="541"/>
      <c r="P1105" s="1748"/>
      <c r="Q1105" s="541"/>
      <c r="R1105" s="1748"/>
      <c r="S1105" s="541"/>
      <c r="T1105" s="1748"/>
      <c r="U1105" s="541"/>
      <c r="V1105" s="1748"/>
      <c r="W1105" s="541"/>
      <c r="X1105" s="1748"/>
      <c r="Y1105" s="1748"/>
      <c r="Z1105" s="1748"/>
      <c r="AA1105" s="541"/>
      <c r="AB1105" s="1748"/>
      <c r="AC1105" s="541"/>
      <c r="AD1105" s="541"/>
      <c r="AE1105" s="541"/>
      <c r="AF1105" s="541"/>
      <c r="AG1105" s="541"/>
      <c r="AH1105" s="541"/>
      <c r="AI1105" s="541"/>
      <c r="AJ1105" s="541"/>
      <c r="AK1105" s="541"/>
      <c r="AL1105" s="541"/>
      <c r="AM1105" s="541"/>
      <c r="AN1105" s="1748"/>
      <c r="AO1105" s="1748"/>
      <c r="AP1105" s="1748"/>
      <c r="AQ1105" s="1748"/>
      <c r="AR1105" s="1748"/>
      <c r="AS1105" s="541"/>
      <c r="AT1105" s="541"/>
      <c r="AU1105" s="541"/>
      <c r="AV1105" s="541"/>
      <c r="AW1105" s="541"/>
      <c r="AY1105" s="541"/>
      <c r="AZ1105" s="633"/>
      <c r="BA1105" s="541"/>
      <c r="BB1105" s="1190"/>
      <c r="BC1105" s="541"/>
      <c r="BD1105" s="1190"/>
      <c r="BE1105" s="541"/>
      <c r="BF1105" s="1190"/>
      <c r="BG1105" s="541"/>
      <c r="BH1105" s="1190"/>
      <c r="BI1105" s="541"/>
      <c r="BJ1105" s="1190"/>
      <c r="BK1105" s="541"/>
      <c r="BL1105" s="541"/>
      <c r="BM1105" s="541"/>
      <c r="BP1105" s="541"/>
      <c r="BQ1105" s="633"/>
      <c r="BR1105" s="541"/>
      <c r="BS1105" s="541"/>
      <c r="BT1105" s="541"/>
      <c r="BU1105" s="541"/>
    </row>
    <row r="1106" ht="15.75" customHeight="1">
      <c r="A1106" s="1591"/>
      <c r="B1106" s="1591"/>
      <c r="C1106" s="2217"/>
      <c r="D1106" s="1541"/>
      <c r="E1106" s="906"/>
      <c r="F1106" s="541"/>
      <c r="G1106" s="541"/>
      <c r="H1106" s="541"/>
      <c r="I1106" s="541"/>
      <c r="J1106" s="1748"/>
      <c r="K1106" s="541"/>
      <c r="L1106" s="1748"/>
      <c r="M1106" s="541"/>
      <c r="N1106" s="1748"/>
      <c r="O1106" s="541"/>
      <c r="P1106" s="1748"/>
      <c r="Q1106" s="541"/>
      <c r="R1106" s="1748"/>
      <c r="S1106" s="541"/>
      <c r="T1106" s="1748"/>
      <c r="U1106" s="541"/>
      <c r="V1106" s="1748"/>
      <c r="W1106" s="541"/>
      <c r="X1106" s="1748"/>
      <c r="Y1106" s="1748"/>
      <c r="Z1106" s="1748"/>
      <c r="AA1106" s="541"/>
      <c r="AB1106" s="1748"/>
      <c r="AC1106" s="541"/>
      <c r="AD1106" s="541"/>
      <c r="AE1106" s="541"/>
      <c r="AF1106" s="541"/>
      <c r="AG1106" s="541"/>
      <c r="AH1106" s="541"/>
      <c r="AI1106" s="541"/>
      <c r="AJ1106" s="541"/>
      <c r="AK1106" s="541"/>
      <c r="AL1106" s="541"/>
      <c r="AM1106" s="541"/>
      <c r="AN1106" s="1748"/>
      <c r="AO1106" s="1748"/>
      <c r="AP1106" s="1748"/>
      <c r="AQ1106" s="1748"/>
      <c r="AR1106" s="1748"/>
      <c r="AS1106" s="541"/>
      <c r="AT1106" s="541"/>
      <c r="AU1106" s="541"/>
      <c r="AV1106" s="541"/>
      <c r="AW1106" s="541"/>
      <c r="AY1106" s="541"/>
      <c r="AZ1106" s="633"/>
      <c r="BA1106" s="541"/>
      <c r="BB1106" s="1190"/>
      <c r="BC1106" s="541"/>
      <c r="BD1106" s="1190"/>
      <c r="BE1106" s="541"/>
      <c r="BF1106" s="1190"/>
      <c r="BG1106" s="541"/>
      <c r="BH1106" s="1190"/>
      <c r="BI1106" s="541"/>
      <c r="BJ1106" s="1190"/>
      <c r="BK1106" s="541"/>
      <c r="BL1106" s="541"/>
      <c r="BM1106" s="541"/>
      <c r="BP1106" s="541"/>
      <c r="BQ1106" s="633"/>
      <c r="BR1106" s="541"/>
      <c r="BS1106" s="541"/>
      <c r="BT1106" s="541"/>
      <c r="BU1106" s="541"/>
    </row>
    <row r="1107" ht="15.75" customHeight="1">
      <c r="A1107" s="1591"/>
      <c r="B1107" s="1591"/>
      <c r="C1107" s="2217"/>
      <c r="D1107" s="1541"/>
      <c r="E1107" s="906"/>
      <c r="F1107" s="541"/>
      <c r="G1107" s="541"/>
      <c r="H1107" s="541"/>
      <c r="I1107" s="541"/>
      <c r="J1107" s="1748"/>
      <c r="K1107" s="541"/>
      <c r="L1107" s="1748"/>
      <c r="M1107" s="541"/>
      <c r="N1107" s="1748"/>
      <c r="O1107" s="541"/>
      <c r="P1107" s="1748"/>
      <c r="Q1107" s="541"/>
      <c r="R1107" s="1748"/>
      <c r="S1107" s="541"/>
      <c r="T1107" s="1748"/>
      <c r="U1107" s="541"/>
      <c r="V1107" s="1748"/>
      <c r="W1107" s="541"/>
      <c r="X1107" s="1748"/>
      <c r="Y1107" s="1748"/>
      <c r="Z1107" s="1748"/>
      <c r="AA1107" s="541"/>
      <c r="AB1107" s="1748"/>
      <c r="AC1107" s="541"/>
      <c r="AD1107" s="541"/>
      <c r="AE1107" s="541"/>
      <c r="AF1107" s="541"/>
      <c r="AG1107" s="541"/>
      <c r="AH1107" s="541"/>
      <c r="AI1107" s="541"/>
      <c r="AJ1107" s="541"/>
      <c r="AK1107" s="541"/>
      <c r="AL1107" s="541"/>
      <c r="AM1107" s="541"/>
      <c r="AN1107" s="1748"/>
      <c r="AO1107" s="1748"/>
      <c r="AP1107" s="1748"/>
      <c r="AQ1107" s="1748"/>
      <c r="AR1107" s="1748"/>
      <c r="AS1107" s="541"/>
      <c r="AT1107" s="541"/>
      <c r="AU1107" s="541"/>
      <c r="AV1107" s="541"/>
      <c r="AW1107" s="541"/>
      <c r="AY1107" s="541"/>
      <c r="AZ1107" s="633"/>
      <c r="BA1107" s="541"/>
      <c r="BB1107" s="1190"/>
      <c r="BC1107" s="541"/>
      <c r="BD1107" s="1190"/>
      <c r="BE1107" s="541"/>
      <c r="BF1107" s="1190"/>
      <c r="BG1107" s="541"/>
      <c r="BH1107" s="1190"/>
      <c r="BI1107" s="541"/>
      <c r="BJ1107" s="1190"/>
      <c r="BK1107" s="541"/>
      <c r="BL1107" s="541"/>
      <c r="BM1107" s="541"/>
      <c r="BP1107" s="541"/>
      <c r="BQ1107" s="633"/>
      <c r="BR1107" s="541"/>
      <c r="BS1107" s="541"/>
      <c r="BT1107" s="541"/>
      <c r="BU1107" s="541"/>
    </row>
    <row r="1108" ht="15.75" customHeight="1">
      <c r="A1108" s="1591"/>
      <c r="B1108" s="1591"/>
      <c r="C1108" s="2217"/>
      <c r="D1108" s="1541"/>
      <c r="E1108" s="906"/>
      <c r="F1108" s="541"/>
      <c r="G1108" s="541"/>
      <c r="H1108" s="541"/>
      <c r="I1108" s="541"/>
      <c r="J1108" s="1748"/>
      <c r="K1108" s="541"/>
      <c r="L1108" s="1748"/>
      <c r="M1108" s="541"/>
      <c r="N1108" s="1748"/>
      <c r="O1108" s="541"/>
      <c r="P1108" s="1748"/>
      <c r="Q1108" s="541"/>
      <c r="R1108" s="1748"/>
      <c r="S1108" s="541"/>
      <c r="T1108" s="1748"/>
      <c r="U1108" s="541"/>
      <c r="V1108" s="1748"/>
      <c r="W1108" s="541"/>
      <c r="X1108" s="1748"/>
      <c r="Y1108" s="1748"/>
      <c r="Z1108" s="1748"/>
      <c r="AA1108" s="541"/>
      <c r="AB1108" s="1748"/>
      <c r="AC1108" s="541"/>
      <c r="AD1108" s="541"/>
      <c r="AE1108" s="541"/>
      <c r="AF1108" s="541"/>
      <c r="AG1108" s="541"/>
      <c r="AH1108" s="541"/>
      <c r="AI1108" s="541"/>
      <c r="AJ1108" s="541"/>
      <c r="AK1108" s="541"/>
      <c r="AL1108" s="541"/>
      <c r="AM1108" s="541"/>
      <c r="AN1108" s="1748"/>
      <c r="AO1108" s="1748"/>
      <c r="AP1108" s="1748"/>
      <c r="AQ1108" s="1748"/>
      <c r="AR1108" s="1748"/>
      <c r="AS1108" s="541"/>
      <c r="AT1108" s="541"/>
      <c r="AU1108" s="541"/>
      <c r="AV1108" s="541"/>
      <c r="AW1108" s="541"/>
      <c r="AY1108" s="541"/>
      <c r="AZ1108" s="633"/>
      <c r="BA1108" s="541"/>
      <c r="BB1108" s="1190"/>
      <c r="BC1108" s="541"/>
      <c r="BD1108" s="1190"/>
      <c r="BE1108" s="541"/>
      <c r="BF1108" s="1190"/>
      <c r="BG1108" s="541"/>
      <c r="BH1108" s="1190"/>
      <c r="BI1108" s="541"/>
      <c r="BJ1108" s="1190"/>
      <c r="BK1108" s="541"/>
      <c r="BL1108" s="541"/>
      <c r="BM1108" s="541"/>
      <c r="BP1108" s="541"/>
      <c r="BQ1108" s="633"/>
      <c r="BR1108" s="541"/>
      <c r="BS1108" s="541"/>
      <c r="BT1108" s="541"/>
      <c r="BU1108" s="541"/>
    </row>
    <row r="1109" ht="15.75" customHeight="1">
      <c r="A1109" s="1591"/>
      <c r="B1109" s="1591"/>
      <c r="C1109" s="2217"/>
      <c r="D1109" s="1541"/>
      <c r="E1109" s="906"/>
      <c r="F1109" s="541"/>
      <c r="G1109" s="541"/>
      <c r="H1109" s="541"/>
      <c r="I1109" s="541"/>
      <c r="J1109" s="1748"/>
      <c r="K1109" s="541"/>
      <c r="L1109" s="1748"/>
      <c r="M1109" s="541"/>
      <c r="N1109" s="1748"/>
      <c r="O1109" s="541"/>
      <c r="P1109" s="1748"/>
      <c r="Q1109" s="541"/>
      <c r="R1109" s="1748"/>
      <c r="S1109" s="541"/>
      <c r="T1109" s="1748"/>
      <c r="U1109" s="541"/>
      <c r="V1109" s="1748"/>
      <c r="W1109" s="541"/>
      <c r="X1109" s="1748"/>
      <c r="Y1109" s="1748"/>
      <c r="Z1109" s="1748"/>
      <c r="AA1109" s="541"/>
      <c r="AB1109" s="1748"/>
      <c r="AC1109" s="541"/>
      <c r="AD1109" s="541"/>
      <c r="AE1109" s="541"/>
      <c r="AF1109" s="541"/>
      <c r="AG1109" s="541"/>
      <c r="AH1109" s="541"/>
      <c r="AI1109" s="541"/>
      <c r="AJ1109" s="541"/>
      <c r="AK1109" s="541"/>
      <c r="AL1109" s="541"/>
      <c r="AM1109" s="541"/>
      <c r="AN1109" s="1748"/>
      <c r="AO1109" s="1748"/>
      <c r="AP1109" s="1748"/>
      <c r="AQ1109" s="1748"/>
      <c r="AR1109" s="1748"/>
      <c r="AS1109" s="541"/>
      <c r="AT1109" s="541"/>
      <c r="AU1109" s="541"/>
      <c r="AV1109" s="541"/>
      <c r="AW1109" s="541"/>
      <c r="AY1109" s="541"/>
      <c r="AZ1109" s="633"/>
      <c r="BA1109" s="541"/>
      <c r="BB1109" s="1190"/>
      <c r="BC1109" s="541"/>
      <c r="BD1109" s="1190"/>
      <c r="BE1109" s="541"/>
      <c r="BF1109" s="1190"/>
      <c r="BG1109" s="541"/>
      <c r="BH1109" s="1190"/>
      <c r="BI1109" s="541"/>
      <c r="BJ1109" s="1190"/>
      <c r="BK1109" s="541"/>
      <c r="BL1109" s="541"/>
      <c r="BM1109" s="541"/>
      <c r="BP1109" s="541"/>
      <c r="BQ1109" s="633"/>
      <c r="BR1109" s="541"/>
      <c r="BS1109" s="541"/>
      <c r="BT1109" s="541"/>
      <c r="BU1109" s="541"/>
    </row>
    <row r="1110" ht="15.75" customHeight="1">
      <c r="A1110" s="1591"/>
      <c r="B1110" s="1591"/>
      <c r="C1110" s="2217"/>
      <c r="D1110" s="1541"/>
      <c r="E1110" s="906"/>
      <c r="F1110" s="541"/>
      <c r="G1110" s="541"/>
      <c r="H1110" s="541"/>
      <c r="I1110" s="541"/>
      <c r="J1110" s="1748"/>
      <c r="K1110" s="541"/>
      <c r="L1110" s="1748"/>
      <c r="M1110" s="541"/>
      <c r="N1110" s="1748"/>
      <c r="O1110" s="541"/>
      <c r="P1110" s="1748"/>
      <c r="Q1110" s="541"/>
      <c r="R1110" s="1748"/>
      <c r="S1110" s="541"/>
      <c r="T1110" s="1748"/>
      <c r="U1110" s="541"/>
      <c r="V1110" s="1748"/>
      <c r="W1110" s="541"/>
      <c r="X1110" s="1748"/>
      <c r="Y1110" s="1748"/>
      <c r="Z1110" s="1748"/>
      <c r="AA1110" s="541"/>
      <c r="AB1110" s="1748"/>
      <c r="AC1110" s="541"/>
      <c r="AD1110" s="541"/>
      <c r="AE1110" s="541"/>
      <c r="AF1110" s="541"/>
      <c r="AG1110" s="541"/>
      <c r="AH1110" s="541"/>
      <c r="AI1110" s="541"/>
      <c r="AJ1110" s="541"/>
      <c r="AK1110" s="541"/>
      <c r="AL1110" s="541"/>
      <c r="AM1110" s="541"/>
      <c r="AN1110" s="1748"/>
      <c r="AO1110" s="1748"/>
      <c r="AP1110" s="1748"/>
      <c r="AQ1110" s="1748"/>
      <c r="AR1110" s="1748"/>
      <c r="AS1110" s="541"/>
      <c r="AT1110" s="541"/>
      <c r="AU1110" s="541"/>
      <c r="AV1110" s="541"/>
      <c r="AW1110" s="541"/>
      <c r="AY1110" s="541"/>
      <c r="AZ1110" s="633"/>
      <c r="BA1110" s="541"/>
      <c r="BB1110" s="1190"/>
      <c r="BC1110" s="541"/>
      <c r="BD1110" s="1190"/>
      <c r="BE1110" s="541"/>
      <c r="BF1110" s="1190"/>
      <c r="BG1110" s="541"/>
      <c r="BH1110" s="1190"/>
      <c r="BI1110" s="541"/>
      <c r="BJ1110" s="1190"/>
      <c r="BK1110" s="541"/>
      <c r="BL1110" s="541"/>
      <c r="BM1110" s="541"/>
      <c r="BP1110" s="541"/>
      <c r="BQ1110" s="633"/>
      <c r="BR1110" s="541"/>
      <c r="BS1110" s="541"/>
      <c r="BT1110" s="541"/>
      <c r="BU1110" s="541"/>
    </row>
    <row r="1111" ht="15.75" customHeight="1">
      <c r="A1111" s="1591"/>
      <c r="B1111" s="1591"/>
      <c r="C1111" s="2217"/>
      <c r="D1111" s="1541"/>
      <c r="E1111" s="906"/>
      <c r="F1111" s="541"/>
      <c r="G1111" s="541"/>
      <c r="H1111" s="541"/>
      <c r="I1111" s="541"/>
      <c r="J1111" s="1748"/>
      <c r="K1111" s="541"/>
      <c r="L1111" s="1748"/>
      <c r="M1111" s="541"/>
      <c r="N1111" s="1748"/>
      <c r="O1111" s="541"/>
      <c r="P1111" s="1748"/>
      <c r="Q1111" s="541"/>
      <c r="R1111" s="1748"/>
      <c r="S1111" s="541"/>
      <c r="T1111" s="1748"/>
      <c r="U1111" s="541"/>
      <c r="V1111" s="1748"/>
      <c r="W1111" s="541"/>
      <c r="X1111" s="1748"/>
      <c r="Y1111" s="1748"/>
      <c r="Z1111" s="1748"/>
      <c r="AA1111" s="541"/>
      <c r="AB1111" s="1748"/>
      <c r="AC1111" s="541"/>
      <c r="AD1111" s="541"/>
      <c r="AE1111" s="541"/>
      <c r="AF1111" s="541"/>
      <c r="AG1111" s="541"/>
      <c r="AH1111" s="541"/>
      <c r="AI1111" s="541"/>
      <c r="AJ1111" s="541"/>
      <c r="AK1111" s="541"/>
      <c r="AL1111" s="541"/>
      <c r="AM1111" s="541"/>
      <c r="AN1111" s="1748"/>
      <c r="AO1111" s="1748"/>
      <c r="AP1111" s="1748"/>
      <c r="AQ1111" s="1748"/>
      <c r="AR1111" s="1748"/>
      <c r="AS1111" s="541"/>
      <c r="AT1111" s="541"/>
      <c r="AU1111" s="541"/>
      <c r="AV1111" s="541"/>
      <c r="AW1111" s="541"/>
      <c r="AY1111" s="541"/>
      <c r="AZ1111" s="633"/>
      <c r="BA1111" s="541"/>
      <c r="BB1111" s="1190"/>
      <c r="BC1111" s="541"/>
      <c r="BD1111" s="1190"/>
      <c r="BE1111" s="541"/>
      <c r="BF1111" s="1190"/>
      <c r="BG1111" s="541"/>
      <c r="BH1111" s="1190"/>
      <c r="BI1111" s="541"/>
      <c r="BJ1111" s="1190"/>
      <c r="BK1111" s="541"/>
      <c r="BL1111" s="541"/>
      <c r="BM1111" s="541"/>
      <c r="BP1111" s="541"/>
      <c r="BQ1111" s="633"/>
      <c r="BR1111" s="541"/>
      <c r="BS1111" s="541"/>
      <c r="BT1111" s="541"/>
      <c r="BU1111" s="541"/>
    </row>
    <row r="1112" ht="15.75" customHeight="1">
      <c r="A1112" s="1591"/>
      <c r="B1112" s="1591"/>
      <c r="C1112" s="2217"/>
      <c r="D1112" s="1541"/>
      <c r="E1112" s="906"/>
      <c r="F1112" s="541"/>
      <c r="G1112" s="541"/>
      <c r="H1112" s="541"/>
      <c r="I1112" s="541"/>
      <c r="J1112" s="1748"/>
      <c r="K1112" s="541"/>
      <c r="L1112" s="1748"/>
      <c r="M1112" s="541"/>
      <c r="N1112" s="1748"/>
      <c r="O1112" s="541"/>
      <c r="P1112" s="1748"/>
      <c r="Q1112" s="541"/>
      <c r="R1112" s="1748"/>
      <c r="S1112" s="541"/>
      <c r="T1112" s="1748"/>
      <c r="U1112" s="541"/>
      <c r="V1112" s="1748"/>
      <c r="W1112" s="541"/>
      <c r="X1112" s="1748"/>
      <c r="Y1112" s="1748"/>
      <c r="Z1112" s="1748"/>
      <c r="AA1112" s="541"/>
      <c r="AB1112" s="1748"/>
      <c r="AC1112" s="541"/>
      <c r="AD1112" s="541"/>
      <c r="AE1112" s="541"/>
      <c r="AF1112" s="541"/>
      <c r="AG1112" s="541"/>
      <c r="AH1112" s="541"/>
      <c r="AI1112" s="541"/>
      <c r="AJ1112" s="541"/>
      <c r="AK1112" s="541"/>
      <c r="AL1112" s="541"/>
      <c r="AM1112" s="541"/>
      <c r="AN1112" s="1748"/>
      <c r="AO1112" s="1748"/>
      <c r="AP1112" s="1748"/>
      <c r="AQ1112" s="1748"/>
      <c r="AR1112" s="1748"/>
      <c r="AS1112" s="541"/>
      <c r="AT1112" s="541"/>
      <c r="AU1112" s="541"/>
      <c r="AV1112" s="541"/>
      <c r="AW1112" s="541"/>
      <c r="AY1112" s="541"/>
      <c r="AZ1112" s="633"/>
      <c r="BA1112" s="541"/>
      <c r="BB1112" s="1190"/>
      <c r="BC1112" s="541"/>
      <c r="BD1112" s="1190"/>
      <c r="BE1112" s="541"/>
      <c r="BF1112" s="1190"/>
      <c r="BG1112" s="541"/>
      <c r="BH1112" s="1190"/>
      <c r="BI1112" s="541"/>
      <c r="BJ1112" s="1190"/>
      <c r="BK1112" s="541"/>
      <c r="BL1112" s="541"/>
      <c r="BM1112" s="541"/>
      <c r="BP1112" s="541"/>
      <c r="BQ1112" s="633"/>
      <c r="BR1112" s="541"/>
      <c r="BS1112" s="541"/>
      <c r="BT1112" s="541"/>
      <c r="BU1112" s="541"/>
    </row>
    <row r="1113" ht="15.75" customHeight="1">
      <c r="A1113" s="1591"/>
      <c r="B1113" s="1591"/>
      <c r="C1113" s="2217"/>
      <c r="D1113" s="1541"/>
      <c r="E1113" s="906"/>
      <c r="F1113" s="541"/>
      <c r="G1113" s="541"/>
      <c r="H1113" s="541"/>
      <c r="I1113" s="541"/>
      <c r="J1113" s="1748"/>
      <c r="K1113" s="541"/>
      <c r="L1113" s="1748"/>
      <c r="M1113" s="541"/>
      <c r="N1113" s="1748"/>
      <c r="O1113" s="541"/>
      <c r="P1113" s="1748"/>
      <c r="Q1113" s="541"/>
      <c r="R1113" s="1748"/>
      <c r="S1113" s="541"/>
      <c r="T1113" s="1748"/>
      <c r="U1113" s="541"/>
      <c r="V1113" s="1748"/>
      <c r="W1113" s="541"/>
      <c r="X1113" s="1748"/>
      <c r="Y1113" s="1748"/>
      <c r="Z1113" s="1748"/>
      <c r="AA1113" s="541"/>
      <c r="AB1113" s="1748"/>
      <c r="AC1113" s="541"/>
      <c r="AD1113" s="541"/>
      <c r="AE1113" s="541"/>
      <c r="AF1113" s="541"/>
      <c r="AG1113" s="541"/>
      <c r="AH1113" s="541"/>
      <c r="AI1113" s="541"/>
      <c r="AJ1113" s="541"/>
      <c r="AK1113" s="541"/>
      <c r="AL1113" s="541"/>
      <c r="AM1113" s="541"/>
      <c r="AN1113" s="1748"/>
      <c r="AO1113" s="1748"/>
      <c r="AP1113" s="1748"/>
      <c r="AQ1113" s="1748"/>
      <c r="AR1113" s="1748"/>
      <c r="AS1113" s="541"/>
      <c r="AT1113" s="541"/>
      <c r="AU1113" s="541"/>
      <c r="AV1113" s="541"/>
      <c r="AW1113" s="541"/>
      <c r="AY1113" s="541"/>
      <c r="AZ1113" s="633"/>
      <c r="BA1113" s="541"/>
      <c r="BB1113" s="1190"/>
      <c r="BC1113" s="541"/>
      <c r="BD1113" s="1190"/>
      <c r="BE1113" s="541"/>
      <c r="BF1113" s="1190"/>
      <c r="BG1113" s="541"/>
      <c r="BH1113" s="1190"/>
      <c r="BI1113" s="541"/>
      <c r="BJ1113" s="1190"/>
      <c r="BK1113" s="541"/>
      <c r="BL1113" s="541"/>
      <c r="BM1113" s="541"/>
      <c r="BP1113" s="541"/>
      <c r="BQ1113" s="633"/>
      <c r="BR1113" s="541"/>
      <c r="BS1113" s="541"/>
      <c r="BT1113" s="541"/>
      <c r="BU1113" s="541"/>
    </row>
    <row r="1114" ht="15.75" customHeight="1">
      <c r="A1114" s="1591"/>
      <c r="B1114" s="1591"/>
      <c r="C1114" s="2217"/>
      <c r="D1114" s="1541"/>
      <c r="E1114" s="906"/>
      <c r="F1114" s="541"/>
      <c r="G1114" s="541"/>
      <c r="H1114" s="541"/>
      <c r="I1114" s="541"/>
      <c r="J1114" s="1748"/>
      <c r="K1114" s="541"/>
      <c r="L1114" s="1748"/>
      <c r="M1114" s="541"/>
      <c r="N1114" s="1748"/>
      <c r="O1114" s="541"/>
      <c r="P1114" s="1748"/>
      <c r="Q1114" s="541"/>
      <c r="R1114" s="1748"/>
      <c r="S1114" s="541"/>
      <c r="T1114" s="1748"/>
      <c r="U1114" s="541"/>
      <c r="V1114" s="1748"/>
      <c r="W1114" s="541"/>
      <c r="X1114" s="1748"/>
      <c r="Y1114" s="1748"/>
      <c r="Z1114" s="1748"/>
      <c r="AA1114" s="541"/>
      <c r="AB1114" s="1748"/>
      <c r="AC1114" s="541"/>
      <c r="AD1114" s="541"/>
      <c r="AE1114" s="541"/>
      <c r="AF1114" s="541"/>
      <c r="AG1114" s="541"/>
      <c r="AH1114" s="541"/>
      <c r="AI1114" s="541"/>
      <c r="AJ1114" s="541"/>
      <c r="AK1114" s="541"/>
      <c r="AL1114" s="541"/>
      <c r="AM1114" s="541"/>
      <c r="AN1114" s="1748"/>
      <c r="AO1114" s="1748"/>
      <c r="AP1114" s="1748"/>
      <c r="AQ1114" s="1748"/>
      <c r="AR1114" s="1748"/>
      <c r="AS1114" s="541"/>
      <c r="AT1114" s="541"/>
      <c r="AU1114" s="541"/>
      <c r="AV1114" s="541"/>
      <c r="AW1114" s="541"/>
      <c r="AY1114" s="541"/>
      <c r="AZ1114" s="633"/>
      <c r="BA1114" s="541"/>
      <c r="BB1114" s="1190"/>
      <c r="BC1114" s="541"/>
      <c r="BD1114" s="1190"/>
      <c r="BE1114" s="541"/>
      <c r="BF1114" s="1190"/>
      <c r="BG1114" s="541"/>
      <c r="BH1114" s="1190"/>
      <c r="BI1114" s="541"/>
      <c r="BJ1114" s="1190"/>
      <c r="BK1114" s="541"/>
      <c r="BL1114" s="541"/>
      <c r="BM1114" s="541"/>
      <c r="BP1114" s="541"/>
      <c r="BQ1114" s="633"/>
      <c r="BR1114" s="541"/>
      <c r="BS1114" s="541"/>
      <c r="BT1114" s="541"/>
      <c r="BU1114" s="541"/>
    </row>
    <row r="1115" ht="15.75" customHeight="1">
      <c r="A1115" s="1591"/>
      <c r="B1115" s="1591"/>
      <c r="C1115" s="2217"/>
      <c r="D1115" s="1541"/>
      <c r="E1115" s="906"/>
      <c r="F1115" s="541"/>
      <c r="G1115" s="541"/>
      <c r="H1115" s="541"/>
      <c r="I1115" s="541"/>
      <c r="J1115" s="1748"/>
      <c r="K1115" s="541"/>
      <c r="L1115" s="1748"/>
      <c r="M1115" s="541"/>
      <c r="N1115" s="1748"/>
      <c r="O1115" s="541"/>
      <c r="P1115" s="1748"/>
      <c r="Q1115" s="541"/>
      <c r="R1115" s="1748"/>
      <c r="S1115" s="541"/>
      <c r="T1115" s="1748"/>
      <c r="U1115" s="541"/>
      <c r="V1115" s="1748"/>
      <c r="W1115" s="541"/>
      <c r="X1115" s="1748"/>
      <c r="Y1115" s="1748"/>
      <c r="Z1115" s="1748"/>
      <c r="AA1115" s="541"/>
      <c r="AB1115" s="1748"/>
      <c r="AC1115" s="541"/>
      <c r="AD1115" s="541"/>
      <c r="AE1115" s="541"/>
      <c r="AF1115" s="541"/>
      <c r="AG1115" s="541"/>
      <c r="AH1115" s="541"/>
      <c r="AI1115" s="541"/>
      <c r="AJ1115" s="541"/>
      <c r="AK1115" s="541"/>
      <c r="AL1115" s="541"/>
      <c r="AM1115" s="541"/>
      <c r="AN1115" s="1748"/>
      <c r="AO1115" s="1748"/>
      <c r="AP1115" s="1748"/>
      <c r="AQ1115" s="1748"/>
      <c r="AR1115" s="1748"/>
      <c r="AS1115" s="541"/>
      <c r="AT1115" s="541"/>
      <c r="AU1115" s="541"/>
      <c r="AV1115" s="541"/>
      <c r="AW1115" s="541"/>
      <c r="AY1115" s="541"/>
      <c r="AZ1115" s="633"/>
      <c r="BA1115" s="541"/>
      <c r="BB1115" s="1190"/>
      <c r="BC1115" s="541"/>
      <c r="BD1115" s="1190"/>
      <c r="BE1115" s="541"/>
      <c r="BF1115" s="1190"/>
      <c r="BG1115" s="541"/>
      <c r="BH1115" s="1190"/>
      <c r="BI1115" s="541"/>
      <c r="BJ1115" s="1190"/>
      <c r="BK1115" s="541"/>
      <c r="BL1115" s="541"/>
      <c r="BM1115" s="541"/>
      <c r="BP1115" s="541"/>
      <c r="BQ1115" s="633"/>
      <c r="BR1115" s="541"/>
      <c r="BS1115" s="541"/>
      <c r="BT1115" s="541"/>
      <c r="BU1115" s="541"/>
    </row>
    <row r="1116" ht="15.75" customHeight="1">
      <c r="A1116" s="1591"/>
      <c r="B1116" s="1591"/>
      <c r="C1116" s="2217"/>
      <c r="D1116" s="1541"/>
      <c r="E1116" s="906"/>
      <c r="F1116" s="541"/>
      <c r="G1116" s="541"/>
      <c r="H1116" s="541"/>
      <c r="I1116" s="541"/>
      <c r="J1116" s="1748"/>
      <c r="K1116" s="541"/>
      <c r="L1116" s="1748"/>
      <c r="M1116" s="541"/>
      <c r="N1116" s="1748"/>
      <c r="O1116" s="541"/>
      <c r="P1116" s="1748"/>
      <c r="Q1116" s="541"/>
      <c r="R1116" s="1748"/>
      <c r="S1116" s="541"/>
      <c r="T1116" s="1748"/>
      <c r="U1116" s="541"/>
      <c r="V1116" s="1748"/>
      <c r="W1116" s="541"/>
      <c r="X1116" s="1748"/>
      <c r="Y1116" s="1748"/>
      <c r="Z1116" s="1748"/>
      <c r="AA1116" s="541"/>
      <c r="AB1116" s="1748"/>
      <c r="AC1116" s="541"/>
      <c r="AD1116" s="541"/>
      <c r="AE1116" s="541"/>
      <c r="AF1116" s="541"/>
      <c r="AG1116" s="541"/>
      <c r="AH1116" s="541"/>
      <c r="AI1116" s="541"/>
      <c r="AJ1116" s="541"/>
      <c r="AK1116" s="541"/>
      <c r="AL1116" s="541"/>
      <c r="AM1116" s="541"/>
      <c r="AN1116" s="1748"/>
      <c r="AO1116" s="1748"/>
      <c r="AP1116" s="1748"/>
      <c r="AQ1116" s="1748"/>
      <c r="AR1116" s="1748"/>
      <c r="AS1116" s="541"/>
      <c r="AT1116" s="541"/>
      <c r="AU1116" s="541"/>
      <c r="AV1116" s="541"/>
      <c r="AW1116" s="541"/>
      <c r="AY1116" s="541"/>
      <c r="AZ1116" s="633"/>
      <c r="BA1116" s="541"/>
      <c r="BB1116" s="1190"/>
      <c r="BC1116" s="541"/>
      <c r="BD1116" s="1190"/>
      <c r="BE1116" s="541"/>
      <c r="BF1116" s="1190"/>
      <c r="BG1116" s="541"/>
      <c r="BH1116" s="1190"/>
      <c r="BI1116" s="541"/>
      <c r="BJ1116" s="1190"/>
      <c r="BK1116" s="541"/>
      <c r="BL1116" s="541"/>
      <c r="BM1116" s="541"/>
      <c r="BP1116" s="541"/>
      <c r="BQ1116" s="633"/>
      <c r="BR1116" s="541"/>
      <c r="BS1116" s="541"/>
      <c r="BT1116" s="541"/>
      <c r="BU1116" s="541"/>
    </row>
    <row r="1117" ht="15.75" customHeight="1">
      <c r="A1117" s="1591"/>
      <c r="B1117" s="1591"/>
      <c r="C1117" s="2217"/>
      <c r="D1117" s="1541"/>
      <c r="E1117" s="906"/>
      <c r="F1117" s="541"/>
      <c r="G1117" s="541"/>
      <c r="H1117" s="541"/>
      <c r="I1117" s="541"/>
      <c r="J1117" s="1748"/>
      <c r="K1117" s="541"/>
      <c r="L1117" s="1748"/>
      <c r="M1117" s="541"/>
      <c r="N1117" s="1748"/>
      <c r="O1117" s="541"/>
      <c r="P1117" s="1748"/>
      <c r="Q1117" s="541"/>
      <c r="R1117" s="1748"/>
      <c r="S1117" s="541"/>
      <c r="T1117" s="1748"/>
      <c r="U1117" s="541"/>
      <c r="V1117" s="1748"/>
      <c r="W1117" s="541"/>
      <c r="X1117" s="1748"/>
      <c r="Y1117" s="1748"/>
      <c r="Z1117" s="1748"/>
      <c r="AA1117" s="541"/>
      <c r="AB1117" s="1748"/>
      <c r="AC1117" s="541"/>
      <c r="AD1117" s="541"/>
      <c r="AE1117" s="541"/>
      <c r="AF1117" s="541"/>
      <c r="AG1117" s="541"/>
      <c r="AH1117" s="541"/>
      <c r="AI1117" s="541"/>
      <c r="AJ1117" s="541"/>
      <c r="AK1117" s="541"/>
      <c r="AL1117" s="541"/>
      <c r="AM1117" s="541"/>
      <c r="AN1117" s="1748"/>
      <c r="AO1117" s="1748"/>
      <c r="AP1117" s="1748"/>
      <c r="AQ1117" s="1748"/>
      <c r="AR1117" s="1748"/>
      <c r="AS1117" s="541"/>
      <c r="AT1117" s="541"/>
      <c r="AU1117" s="541"/>
      <c r="AV1117" s="541"/>
      <c r="AW1117" s="541"/>
      <c r="AY1117" s="541"/>
      <c r="AZ1117" s="633"/>
      <c r="BA1117" s="541"/>
      <c r="BB1117" s="1190"/>
      <c r="BC1117" s="541"/>
      <c r="BD1117" s="1190"/>
      <c r="BE1117" s="541"/>
      <c r="BF1117" s="1190"/>
      <c r="BG1117" s="541"/>
      <c r="BH1117" s="1190"/>
      <c r="BI1117" s="541"/>
      <c r="BJ1117" s="1190"/>
      <c r="BK1117" s="541"/>
      <c r="BL1117" s="541"/>
      <c r="BM1117" s="541"/>
      <c r="BP1117" s="541"/>
      <c r="BQ1117" s="633"/>
      <c r="BR1117" s="541"/>
      <c r="BS1117" s="541"/>
      <c r="BT1117" s="541"/>
      <c r="BU1117" s="541"/>
    </row>
    <row r="1118" ht="15.75" customHeight="1">
      <c r="A1118" s="1591"/>
      <c r="B1118" s="1591"/>
      <c r="C1118" s="2217"/>
      <c r="D1118" s="1541"/>
      <c r="E1118" s="906"/>
      <c r="F1118" s="541"/>
      <c r="G1118" s="541"/>
      <c r="H1118" s="541"/>
      <c r="I1118" s="541"/>
      <c r="J1118" s="1748"/>
      <c r="K1118" s="541"/>
      <c r="L1118" s="1748"/>
      <c r="M1118" s="541"/>
      <c r="N1118" s="1748"/>
      <c r="O1118" s="541"/>
      <c r="P1118" s="1748"/>
      <c r="Q1118" s="541"/>
      <c r="R1118" s="1748"/>
      <c r="S1118" s="541"/>
      <c r="T1118" s="1748"/>
      <c r="U1118" s="541"/>
      <c r="V1118" s="1748"/>
      <c r="W1118" s="541"/>
      <c r="X1118" s="1748"/>
      <c r="Y1118" s="1748"/>
      <c r="Z1118" s="1748"/>
      <c r="AA1118" s="541"/>
      <c r="AB1118" s="1748"/>
      <c r="AC1118" s="541"/>
      <c r="AD1118" s="541"/>
      <c r="AE1118" s="541"/>
      <c r="AF1118" s="541"/>
      <c r="AG1118" s="541"/>
      <c r="AH1118" s="541"/>
      <c r="AI1118" s="541"/>
      <c r="AJ1118" s="541"/>
      <c r="AK1118" s="541"/>
      <c r="AL1118" s="541"/>
      <c r="AM1118" s="541"/>
      <c r="AN1118" s="1748"/>
      <c r="AO1118" s="1748"/>
      <c r="AP1118" s="1748"/>
      <c r="AQ1118" s="1748"/>
      <c r="AR1118" s="1748"/>
      <c r="AS1118" s="541"/>
      <c r="AT1118" s="541"/>
      <c r="AU1118" s="541"/>
      <c r="AV1118" s="541"/>
      <c r="AW1118" s="541"/>
      <c r="AY1118" s="541"/>
      <c r="AZ1118" s="633"/>
      <c r="BA1118" s="541"/>
      <c r="BB1118" s="1190"/>
      <c r="BC1118" s="541"/>
      <c r="BD1118" s="1190"/>
      <c r="BE1118" s="541"/>
      <c r="BF1118" s="1190"/>
      <c r="BG1118" s="541"/>
      <c r="BH1118" s="1190"/>
      <c r="BI1118" s="541"/>
      <c r="BJ1118" s="1190"/>
      <c r="BK1118" s="541"/>
      <c r="BL1118" s="541"/>
      <c r="BM1118" s="541"/>
      <c r="BP1118" s="541"/>
      <c r="BQ1118" s="633"/>
      <c r="BR1118" s="541"/>
      <c r="BS1118" s="541"/>
      <c r="BT1118" s="541"/>
      <c r="BU1118" s="541"/>
    </row>
    <row r="1119" ht="15.75" customHeight="1">
      <c r="A1119" s="1591"/>
      <c r="B1119" s="1591"/>
      <c r="C1119" s="2217"/>
      <c r="D1119" s="1541"/>
      <c r="E1119" s="906"/>
      <c r="F1119" s="541"/>
      <c r="G1119" s="541"/>
      <c r="H1119" s="541"/>
      <c r="I1119" s="541"/>
      <c r="J1119" s="1748"/>
      <c r="K1119" s="541"/>
      <c r="L1119" s="1748"/>
      <c r="M1119" s="541"/>
      <c r="N1119" s="1748"/>
      <c r="O1119" s="541"/>
      <c r="P1119" s="1748"/>
      <c r="Q1119" s="541"/>
      <c r="R1119" s="1748"/>
      <c r="S1119" s="541"/>
      <c r="T1119" s="1748"/>
      <c r="U1119" s="541"/>
      <c r="V1119" s="1748"/>
      <c r="W1119" s="541"/>
      <c r="X1119" s="1748"/>
      <c r="Y1119" s="1748"/>
      <c r="Z1119" s="1748"/>
      <c r="AA1119" s="541"/>
      <c r="AB1119" s="1748"/>
      <c r="AC1119" s="541"/>
      <c r="AD1119" s="541"/>
      <c r="AE1119" s="541"/>
      <c r="AF1119" s="541"/>
      <c r="AG1119" s="541"/>
      <c r="AH1119" s="541"/>
      <c r="AI1119" s="541"/>
      <c r="AJ1119" s="541"/>
      <c r="AK1119" s="541"/>
      <c r="AL1119" s="541"/>
      <c r="AM1119" s="541"/>
      <c r="AN1119" s="1748"/>
      <c r="AO1119" s="1748"/>
      <c r="AP1119" s="1748"/>
      <c r="AQ1119" s="1748"/>
      <c r="AR1119" s="1748"/>
      <c r="AS1119" s="541"/>
      <c r="AT1119" s="541"/>
      <c r="AU1119" s="541"/>
      <c r="AV1119" s="541"/>
      <c r="AW1119" s="541"/>
      <c r="AY1119" s="541"/>
      <c r="AZ1119" s="633"/>
      <c r="BA1119" s="541"/>
      <c r="BB1119" s="1190"/>
      <c r="BC1119" s="541"/>
      <c r="BD1119" s="1190"/>
      <c r="BE1119" s="541"/>
      <c r="BF1119" s="1190"/>
      <c r="BG1119" s="541"/>
      <c r="BH1119" s="1190"/>
      <c r="BI1119" s="541"/>
      <c r="BJ1119" s="1190"/>
      <c r="BK1119" s="541"/>
      <c r="BL1119" s="541"/>
      <c r="BM1119" s="541"/>
      <c r="BP1119" s="541"/>
      <c r="BQ1119" s="633"/>
      <c r="BR1119" s="541"/>
      <c r="BS1119" s="541"/>
      <c r="BT1119" s="541"/>
      <c r="BU1119" s="541"/>
    </row>
    <row r="1120" ht="15.75" customHeight="1">
      <c r="A1120" s="1591"/>
      <c r="B1120" s="1591"/>
      <c r="C1120" s="2217"/>
      <c r="D1120" s="1541"/>
      <c r="E1120" s="906"/>
      <c r="F1120" s="541"/>
      <c r="G1120" s="541"/>
      <c r="H1120" s="541"/>
      <c r="I1120" s="541"/>
      <c r="J1120" s="1748"/>
      <c r="K1120" s="541"/>
      <c r="L1120" s="1748"/>
      <c r="M1120" s="541"/>
      <c r="N1120" s="1748"/>
      <c r="O1120" s="541"/>
      <c r="P1120" s="1748"/>
      <c r="Q1120" s="541"/>
      <c r="R1120" s="1748"/>
      <c r="S1120" s="541"/>
      <c r="T1120" s="1748"/>
      <c r="U1120" s="541"/>
      <c r="V1120" s="1748"/>
      <c r="W1120" s="541"/>
      <c r="X1120" s="1748"/>
      <c r="Y1120" s="1748"/>
      <c r="Z1120" s="1748"/>
      <c r="AA1120" s="541"/>
      <c r="AB1120" s="1748"/>
      <c r="AC1120" s="541"/>
      <c r="AD1120" s="541"/>
      <c r="AE1120" s="541"/>
      <c r="AF1120" s="541"/>
      <c r="AG1120" s="541"/>
      <c r="AH1120" s="541"/>
      <c r="AI1120" s="541"/>
      <c r="AJ1120" s="541"/>
      <c r="AK1120" s="541"/>
      <c r="AL1120" s="541"/>
      <c r="AM1120" s="541"/>
      <c r="AN1120" s="1748"/>
      <c r="AO1120" s="1748"/>
      <c r="AP1120" s="1748"/>
      <c r="AQ1120" s="1748"/>
      <c r="AR1120" s="1748"/>
      <c r="AS1120" s="541"/>
      <c r="AT1120" s="541"/>
      <c r="AU1120" s="541"/>
      <c r="AV1120" s="541"/>
      <c r="AW1120" s="541"/>
      <c r="AY1120" s="541"/>
      <c r="AZ1120" s="633"/>
      <c r="BA1120" s="541"/>
      <c r="BB1120" s="1190"/>
      <c r="BC1120" s="541"/>
      <c r="BD1120" s="1190"/>
      <c r="BE1120" s="541"/>
      <c r="BF1120" s="1190"/>
      <c r="BG1120" s="541"/>
      <c r="BH1120" s="1190"/>
      <c r="BI1120" s="541"/>
      <c r="BJ1120" s="1190"/>
      <c r="BK1120" s="541"/>
      <c r="BL1120" s="541"/>
      <c r="BM1120" s="541"/>
      <c r="BP1120" s="541"/>
      <c r="BQ1120" s="633"/>
      <c r="BR1120" s="541"/>
      <c r="BS1120" s="541"/>
      <c r="BT1120" s="541"/>
      <c r="BU1120" s="541"/>
    </row>
    <row r="1121" ht="15.75" customHeight="1">
      <c r="A1121" s="1591"/>
      <c r="B1121" s="1591"/>
      <c r="C1121" s="2217"/>
      <c r="D1121" s="1541"/>
      <c r="E1121" s="906"/>
      <c r="F1121" s="541"/>
      <c r="G1121" s="541"/>
      <c r="H1121" s="541"/>
      <c r="I1121" s="541"/>
      <c r="J1121" s="1748"/>
      <c r="K1121" s="541"/>
      <c r="L1121" s="1748"/>
      <c r="M1121" s="541"/>
      <c r="N1121" s="1748"/>
      <c r="O1121" s="541"/>
      <c r="P1121" s="1748"/>
      <c r="Q1121" s="541"/>
      <c r="R1121" s="1748"/>
      <c r="S1121" s="541"/>
      <c r="T1121" s="1748"/>
      <c r="U1121" s="541"/>
      <c r="V1121" s="1748"/>
      <c r="W1121" s="541"/>
      <c r="X1121" s="1748"/>
      <c r="Y1121" s="1748"/>
      <c r="Z1121" s="1748"/>
      <c r="AA1121" s="541"/>
      <c r="AB1121" s="1748"/>
      <c r="AC1121" s="541"/>
      <c r="AD1121" s="541"/>
      <c r="AE1121" s="541"/>
      <c r="AF1121" s="541"/>
      <c r="AG1121" s="541"/>
      <c r="AH1121" s="541"/>
      <c r="AI1121" s="541"/>
      <c r="AJ1121" s="541"/>
      <c r="AK1121" s="541"/>
      <c r="AL1121" s="541"/>
      <c r="AM1121" s="541"/>
      <c r="AN1121" s="1748"/>
      <c r="AO1121" s="1748"/>
      <c r="AP1121" s="1748"/>
      <c r="AQ1121" s="1748"/>
      <c r="AR1121" s="1748"/>
      <c r="AS1121" s="541"/>
      <c r="AT1121" s="541"/>
      <c r="AU1121" s="541"/>
      <c r="AV1121" s="541"/>
      <c r="AW1121" s="541"/>
      <c r="AY1121" s="541"/>
      <c r="AZ1121" s="633"/>
      <c r="BA1121" s="541"/>
      <c r="BB1121" s="1190"/>
      <c r="BC1121" s="541"/>
      <c r="BD1121" s="1190"/>
      <c r="BE1121" s="541"/>
      <c r="BF1121" s="1190"/>
      <c r="BG1121" s="541"/>
      <c r="BH1121" s="1190"/>
      <c r="BI1121" s="541"/>
      <c r="BJ1121" s="1190"/>
      <c r="BK1121" s="541"/>
      <c r="BL1121" s="541"/>
      <c r="BM1121" s="541"/>
      <c r="BP1121" s="541"/>
      <c r="BQ1121" s="633"/>
      <c r="BR1121" s="541"/>
      <c r="BS1121" s="541"/>
      <c r="BT1121" s="541"/>
      <c r="BU1121" s="541"/>
    </row>
    <row r="1122" ht="15.75" customHeight="1">
      <c r="A1122" s="1591"/>
      <c r="B1122" s="1591"/>
      <c r="C1122" s="2217"/>
      <c r="D1122" s="1541"/>
      <c r="E1122" s="906"/>
      <c r="F1122" s="541"/>
      <c r="G1122" s="541"/>
      <c r="H1122" s="541"/>
      <c r="I1122" s="541"/>
      <c r="J1122" s="1748"/>
      <c r="K1122" s="541"/>
      <c r="L1122" s="1748"/>
      <c r="M1122" s="541"/>
      <c r="N1122" s="1748"/>
      <c r="O1122" s="541"/>
      <c r="P1122" s="1748"/>
      <c r="Q1122" s="541"/>
      <c r="R1122" s="1748"/>
      <c r="S1122" s="541"/>
      <c r="T1122" s="1748"/>
      <c r="U1122" s="541"/>
      <c r="V1122" s="1748"/>
      <c r="W1122" s="541"/>
      <c r="X1122" s="1748"/>
      <c r="Y1122" s="1748"/>
      <c r="Z1122" s="1748"/>
      <c r="AA1122" s="541"/>
      <c r="AB1122" s="1748"/>
      <c r="AC1122" s="541"/>
      <c r="AD1122" s="541"/>
      <c r="AE1122" s="541"/>
      <c r="AF1122" s="541"/>
      <c r="AG1122" s="541"/>
      <c r="AH1122" s="541"/>
      <c r="AI1122" s="541"/>
      <c r="AJ1122" s="541"/>
      <c r="AK1122" s="541"/>
      <c r="AL1122" s="541"/>
      <c r="AM1122" s="541"/>
      <c r="AN1122" s="1748"/>
      <c r="AO1122" s="1748"/>
      <c r="AP1122" s="1748"/>
      <c r="AQ1122" s="1748"/>
      <c r="AR1122" s="1748"/>
      <c r="AS1122" s="541"/>
      <c r="AT1122" s="541"/>
      <c r="AU1122" s="541"/>
      <c r="AV1122" s="541"/>
      <c r="AW1122" s="541"/>
      <c r="AY1122" s="541"/>
      <c r="AZ1122" s="633"/>
      <c r="BA1122" s="541"/>
      <c r="BB1122" s="1190"/>
      <c r="BC1122" s="541"/>
      <c r="BD1122" s="1190"/>
      <c r="BE1122" s="541"/>
      <c r="BF1122" s="1190"/>
      <c r="BG1122" s="541"/>
      <c r="BH1122" s="1190"/>
      <c r="BI1122" s="541"/>
      <c r="BJ1122" s="1190"/>
      <c r="BK1122" s="541"/>
      <c r="BL1122" s="541"/>
      <c r="BM1122" s="541"/>
      <c r="BP1122" s="541"/>
      <c r="BQ1122" s="633"/>
      <c r="BR1122" s="541"/>
      <c r="BS1122" s="541"/>
      <c r="BT1122" s="541"/>
      <c r="BU1122" s="541"/>
    </row>
    <row r="1123" ht="15.75" customHeight="1">
      <c r="A1123" s="1591"/>
      <c r="B1123" s="1591"/>
      <c r="C1123" s="2217"/>
      <c r="D1123" s="1541"/>
      <c r="E1123" s="906"/>
      <c r="F1123" s="541"/>
      <c r="G1123" s="541"/>
      <c r="H1123" s="541"/>
      <c r="I1123" s="541"/>
      <c r="J1123" s="1748"/>
      <c r="K1123" s="541"/>
      <c r="L1123" s="1748"/>
      <c r="M1123" s="541"/>
      <c r="N1123" s="1748"/>
      <c r="O1123" s="541"/>
      <c r="P1123" s="1748"/>
      <c r="Q1123" s="541"/>
      <c r="R1123" s="1748"/>
      <c r="S1123" s="541"/>
      <c r="T1123" s="1748"/>
      <c r="U1123" s="541"/>
      <c r="V1123" s="1748"/>
      <c r="W1123" s="541"/>
      <c r="X1123" s="1748"/>
      <c r="Y1123" s="1748"/>
      <c r="Z1123" s="1748"/>
      <c r="AA1123" s="541"/>
      <c r="AB1123" s="1748"/>
      <c r="AC1123" s="541"/>
      <c r="AD1123" s="541"/>
      <c r="AE1123" s="541"/>
      <c r="AF1123" s="541"/>
      <c r="AG1123" s="541"/>
      <c r="AH1123" s="541"/>
      <c r="AI1123" s="541"/>
      <c r="AJ1123" s="541"/>
      <c r="AK1123" s="541"/>
      <c r="AL1123" s="541"/>
      <c r="AM1123" s="541"/>
      <c r="AN1123" s="1748"/>
      <c r="AO1123" s="1748"/>
      <c r="AP1123" s="1748"/>
      <c r="AQ1123" s="1748"/>
      <c r="AR1123" s="1748"/>
      <c r="AS1123" s="541"/>
      <c r="AT1123" s="541"/>
      <c r="AU1123" s="541"/>
      <c r="AV1123" s="541"/>
      <c r="AW1123" s="541"/>
      <c r="AY1123" s="541"/>
      <c r="AZ1123" s="633"/>
      <c r="BA1123" s="541"/>
      <c r="BB1123" s="1190"/>
      <c r="BC1123" s="541"/>
      <c r="BD1123" s="1190"/>
      <c r="BE1123" s="541"/>
      <c r="BF1123" s="1190"/>
      <c r="BG1123" s="541"/>
      <c r="BH1123" s="1190"/>
      <c r="BI1123" s="541"/>
      <c r="BJ1123" s="1190"/>
      <c r="BK1123" s="541"/>
      <c r="BL1123" s="541"/>
      <c r="BM1123" s="541"/>
      <c r="BP1123" s="541"/>
      <c r="BQ1123" s="633"/>
      <c r="BR1123" s="541"/>
      <c r="BS1123" s="541"/>
      <c r="BT1123" s="541"/>
      <c r="BU1123" s="541"/>
    </row>
    <row r="1124" ht="15.75" customHeight="1">
      <c r="A1124" s="1591"/>
      <c r="B1124" s="1591"/>
      <c r="C1124" s="2217"/>
      <c r="D1124" s="1541"/>
      <c r="E1124" s="906"/>
      <c r="F1124" s="541"/>
      <c r="G1124" s="541"/>
      <c r="H1124" s="541"/>
      <c r="I1124" s="541"/>
      <c r="J1124" s="1748"/>
      <c r="K1124" s="541"/>
      <c r="L1124" s="1748"/>
      <c r="M1124" s="541"/>
      <c r="N1124" s="1748"/>
      <c r="O1124" s="541"/>
      <c r="P1124" s="1748"/>
      <c r="Q1124" s="541"/>
      <c r="R1124" s="1748"/>
      <c r="S1124" s="541"/>
      <c r="T1124" s="1748"/>
      <c r="U1124" s="541"/>
      <c r="V1124" s="1748"/>
      <c r="W1124" s="541"/>
      <c r="X1124" s="1748"/>
      <c r="Y1124" s="1748"/>
      <c r="Z1124" s="1748"/>
      <c r="AA1124" s="541"/>
      <c r="AB1124" s="1748"/>
      <c r="AC1124" s="541"/>
      <c r="AD1124" s="541"/>
      <c r="AE1124" s="541"/>
      <c r="AF1124" s="541"/>
      <c r="AG1124" s="541"/>
      <c r="AH1124" s="541"/>
      <c r="AI1124" s="541"/>
      <c r="AJ1124" s="541"/>
      <c r="AK1124" s="541"/>
      <c r="AL1124" s="541"/>
      <c r="AM1124" s="541"/>
      <c r="AN1124" s="1748"/>
      <c r="AO1124" s="1748"/>
      <c r="AP1124" s="1748"/>
      <c r="AQ1124" s="1748"/>
      <c r="AR1124" s="1748"/>
      <c r="AS1124" s="541"/>
      <c r="AT1124" s="541"/>
      <c r="AU1124" s="541"/>
      <c r="AV1124" s="541"/>
      <c r="AW1124" s="541"/>
      <c r="AY1124" s="541"/>
      <c r="AZ1124" s="633"/>
      <c r="BA1124" s="541"/>
      <c r="BB1124" s="1190"/>
      <c r="BC1124" s="541"/>
      <c r="BD1124" s="1190"/>
      <c r="BE1124" s="541"/>
      <c r="BF1124" s="1190"/>
      <c r="BG1124" s="541"/>
      <c r="BH1124" s="1190"/>
      <c r="BI1124" s="541"/>
      <c r="BJ1124" s="1190"/>
      <c r="BK1124" s="541"/>
      <c r="BL1124" s="541"/>
      <c r="BM1124" s="541"/>
      <c r="BP1124" s="541"/>
      <c r="BQ1124" s="633"/>
      <c r="BR1124" s="541"/>
      <c r="BS1124" s="541"/>
      <c r="BT1124" s="541"/>
      <c r="BU1124" s="541"/>
    </row>
    <row r="1125" ht="15.75" customHeight="1">
      <c r="A1125" s="1591"/>
      <c r="B1125" s="1591"/>
      <c r="C1125" s="2217"/>
      <c r="D1125" s="1541"/>
      <c r="E1125" s="906"/>
      <c r="F1125" s="541"/>
      <c r="G1125" s="541"/>
      <c r="H1125" s="541"/>
      <c r="I1125" s="541"/>
      <c r="J1125" s="1748"/>
      <c r="K1125" s="541"/>
      <c r="L1125" s="1748"/>
      <c r="M1125" s="541"/>
      <c r="N1125" s="1748"/>
      <c r="O1125" s="541"/>
      <c r="P1125" s="1748"/>
      <c r="Q1125" s="541"/>
      <c r="R1125" s="1748"/>
      <c r="S1125" s="541"/>
      <c r="T1125" s="1748"/>
      <c r="U1125" s="541"/>
      <c r="V1125" s="1748"/>
      <c r="W1125" s="541"/>
      <c r="X1125" s="1748"/>
      <c r="Y1125" s="1748"/>
      <c r="Z1125" s="1748"/>
      <c r="AA1125" s="541"/>
      <c r="AB1125" s="1748"/>
      <c r="AC1125" s="541"/>
      <c r="AD1125" s="541"/>
      <c r="AE1125" s="541"/>
      <c r="AF1125" s="541"/>
      <c r="AG1125" s="541"/>
      <c r="AH1125" s="541"/>
      <c r="AI1125" s="541"/>
      <c r="AJ1125" s="541"/>
      <c r="AK1125" s="541"/>
      <c r="AL1125" s="541"/>
      <c r="AM1125" s="541"/>
      <c r="AN1125" s="1748"/>
      <c r="AO1125" s="1748"/>
      <c r="AP1125" s="1748"/>
      <c r="AQ1125" s="1748"/>
      <c r="AR1125" s="1748"/>
      <c r="AS1125" s="541"/>
      <c r="AT1125" s="541"/>
      <c r="AU1125" s="541"/>
      <c r="AV1125" s="541"/>
      <c r="AW1125" s="541"/>
      <c r="AY1125" s="541"/>
      <c r="AZ1125" s="633"/>
      <c r="BA1125" s="541"/>
      <c r="BB1125" s="1190"/>
      <c r="BC1125" s="541"/>
      <c r="BD1125" s="1190"/>
      <c r="BE1125" s="541"/>
      <c r="BF1125" s="1190"/>
      <c r="BG1125" s="541"/>
      <c r="BH1125" s="1190"/>
      <c r="BI1125" s="541"/>
      <c r="BJ1125" s="1190"/>
      <c r="BK1125" s="541"/>
      <c r="BL1125" s="541"/>
      <c r="BM1125" s="541"/>
      <c r="BP1125" s="541"/>
      <c r="BQ1125" s="633"/>
      <c r="BR1125" s="541"/>
      <c r="BS1125" s="541"/>
      <c r="BT1125" s="541"/>
      <c r="BU1125" s="541"/>
    </row>
    <row r="1126" ht="15.75" customHeight="1">
      <c r="A1126" s="1591"/>
      <c r="B1126" s="1591"/>
      <c r="C1126" s="2217"/>
      <c r="D1126" s="1541"/>
      <c r="E1126" s="906"/>
      <c r="F1126" s="541"/>
      <c r="G1126" s="541"/>
      <c r="H1126" s="541"/>
      <c r="I1126" s="541"/>
      <c r="J1126" s="1748"/>
      <c r="K1126" s="541"/>
      <c r="L1126" s="1748"/>
      <c r="M1126" s="541"/>
      <c r="N1126" s="1748"/>
      <c r="O1126" s="541"/>
      <c r="P1126" s="1748"/>
      <c r="Q1126" s="541"/>
      <c r="R1126" s="1748"/>
      <c r="S1126" s="541"/>
      <c r="T1126" s="1748"/>
      <c r="U1126" s="541"/>
      <c r="V1126" s="1748"/>
      <c r="W1126" s="541"/>
      <c r="X1126" s="1748"/>
      <c r="Y1126" s="1748"/>
      <c r="Z1126" s="1748"/>
      <c r="AA1126" s="541"/>
      <c r="AB1126" s="1748"/>
      <c r="AC1126" s="541"/>
      <c r="AD1126" s="541"/>
      <c r="AE1126" s="541"/>
      <c r="AF1126" s="541"/>
      <c r="AG1126" s="541"/>
      <c r="AH1126" s="541"/>
      <c r="AI1126" s="541"/>
      <c r="AJ1126" s="541"/>
      <c r="AK1126" s="541"/>
      <c r="AL1126" s="541"/>
      <c r="AM1126" s="541"/>
      <c r="AN1126" s="1748"/>
      <c r="AO1126" s="1748"/>
      <c r="AP1126" s="1748"/>
      <c r="AQ1126" s="1748"/>
      <c r="AR1126" s="1748"/>
      <c r="AS1126" s="541"/>
      <c r="AT1126" s="541"/>
      <c r="AU1126" s="541"/>
      <c r="AV1126" s="541"/>
      <c r="AW1126" s="541"/>
      <c r="AY1126" s="541"/>
      <c r="AZ1126" s="633"/>
      <c r="BA1126" s="541"/>
      <c r="BB1126" s="1190"/>
      <c r="BC1126" s="541"/>
      <c r="BD1126" s="1190"/>
      <c r="BE1126" s="541"/>
      <c r="BF1126" s="1190"/>
      <c r="BG1126" s="541"/>
      <c r="BH1126" s="1190"/>
      <c r="BI1126" s="541"/>
      <c r="BJ1126" s="1190"/>
      <c r="BK1126" s="541"/>
      <c r="BL1126" s="541"/>
      <c r="BM1126" s="541"/>
      <c r="BP1126" s="541"/>
      <c r="BQ1126" s="633"/>
      <c r="BR1126" s="541"/>
      <c r="BS1126" s="541"/>
      <c r="BT1126" s="541"/>
      <c r="BU1126" s="541"/>
    </row>
    <row r="1127" ht="15.75" customHeight="1">
      <c r="A1127" s="1591"/>
      <c r="B1127" s="1591"/>
      <c r="C1127" s="2217"/>
      <c r="D1127" s="1541"/>
      <c r="E1127" s="906"/>
      <c r="F1127" s="541"/>
      <c r="G1127" s="541"/>
      <c r="H1127" s="541"/>
      <c r="I1127" s="541"/>
      <c r="J1127" s="1748"/>
      <c r="K1127" s="541"/>
      <c r="L1127" s="1748"/>
      <c r="M1127" s="541"/>
      <c r="N1127" s="1748"/>
      <c r="O1127" s="541"/>
      <c r="P1127" s="1748"/>
      <c r="Q1127" s="541"/>
      <c r="R1127" s="1748"/>
      <c r="S1127" s="541"/>
      <c r="T1127" s="1748"/>
      <c r="U1127" s="541"/>
      <c r="V1127" s="1748"/>
      <c r="W1127" s="541"/>
      <c r="X1127" s="1748"/>
      <c r="Y1127" s="1748"/>
      <c r="Z1127" s="1748"/>
      <c r="AA1127" s="541"/>
      <c r="AB1127" s="1748"/>
      <c r="AC1127" s="541"/>
      <c r="AD1127" s="541"/>
      <c r="AE1127" s="541"/>
      <c r="AF1127" s="541"/>
      <c r="AG1127" s="541"/>
      <c r="AH1127" s="541"/>
      <c r="AI1127" s="541"/>
      <c r="AJ1127" s="541"/>
      <c r="AK1127" s="541"/>
      <c r="AL1127" s="541"/>
      <c r="AM1127" s="541"/>
      <c r="AN1127" s="1748"/>
      <c r="AO1127" s="1748"/>
      <c r="AP1127" s="1748"/>
      <c r="AQ1127" s="1748"/>
      <c r="AR1127" s="1748"/>
      <c r="AS1127" s="541"/>
      <c r="AT1127" s="541"/>
      <c r="AU1127" s="541"/>
      <c r="AV1127" s="541"/>
      <c r="AW1127" s="541"/>
      <c r="AY1127" s="541"/>
      <c r="AZ1127" s="633"/>
      <c r="BA1127" s="541"/>
      <c r="BB1127" s="1190"/>
      <c r="BC1127" s="541"/>
      <c r="BD1127" s="1190"/>
      <c r="BE1127" s="541"/>
      <c r="BF1127" s="1190"/>
      <c r="BG1127" s="541"/>
      <c r="BH1127" s="1190"/>
      <c r="BI1127" s="541"/>
      <c r="BJ1127" s="1190"/>
      <c r="BK1127" s="541"/>
      <c r="BL1127" s="541"/>
      <c r="BM1127" s="541"/>
      <c r="BP1127" s="541"/>
      <c r="BQ1127" s="633"/>
      <c r="BR1127" s="541"/>
      <c r="BS1127" s="541"/>
      <c r="BT1127" s="541"/>
      <c r="BU1127" s="541"/>
    </row>
    <row r="1128" ht="15.75" customHeight="1">
      <c r="A1128" s="1591"/>
      <c r="B1128" s="1591"/>
      <c r="C1128" s="2217"/>
      <c r="D1128" s="1541"/>
      <c r="E1128" s="906"/>
      <c r="F1128" s="541"/>
      <c r="G1128" s="541"/>
      <c r="H1128" s="541"/>
      <c r="I1128" s="541"/>
      <c r="J1128" s="1748"/>
      <c r="K1128" s="541"/>
      <c r="L1128" s="1748"/>
      <c r="M1128" s="541"/>
      <c r="N1128" s="1748"/>
      <c r="O1128" s="541"/>
      <c r="P1128" s="1748"/>
      <c r="Q1128" s="541"/>
      <c r="R1128" s="1748"/>
      <c r="S1128" s="541"/>
      <c r="T1128" s="1748"/>
      <c r="U1128" s="541"/>
      <c r="V1128" s="1748"/>
      <c r="W1128" s="541"/>
      <c r="X1128" s="1748"/>
      <c r="Y1128" s="1748"/>
      <c r="Z1128" s="1748"/>
      <c r="AA1128" s="541"/>
      <c r="AB1128" s="1748"/>
      <c r="AC1128" s="541"/>
      <c r="AD1128" s="541"/>
      <c r="AE1128" s="541"/>
      <c r="AF1128" s="541"/>
      <c r="AG1128" s="541"/>
      <c r="AH1128" s="541"/>
      <c r="AI1128" s="541"/>
      <c r="AJ1128" s="541"/>
      <c r="AK1128" s="541"/>
      <c r="AL1128" s="541"/>
      <c r="AM1128" s="541"/>
      <c r="AN1128" s="1748"/>
      <c r="AO1128" s="1748"/>
      <c r="AP1128" s="1748"/>
      <c r="AQ1128" s="1748"/>
      <c r="AR1128" s="1748"/>
      <c r="AS1128" s="541"/>
      <c r="AT1128" s="541"/>
      <c r="AU1128" s="541"/>
      <c r="AV1128" s="541"/>
      <c r="AW1128" s="541"/>
      <c r="AY1128" s="541"/>
      <c r="AZ1128" s="633"/>
      <c r="BA1128" s="541"/>
      <c r="BB1128" s="1190"/>
      <c r="BC1128" s="541"/>
      <c r="BD1128" s="1190"/>
      <c r="BE1128" s="541"/>
      <c r="BF1128" s="1190"/>
      <c r="BG1128" s="541"/>
      <c r="BH1128" s="1190"/>
      <c r="BI1128" s="541"/>
      <c r="BJ1128" s="1190"/>
      <c r="BK1128" s="541"/>
      <c r="BL1128" s="541"/>
      <c r="BM1128" s="541"/>
      <c r="BP1128" s="541"/>
      <c r="BQ1128" s="633"/>
      <c r="BR1128" s="541"/>
      <c r="BS1128" s="541"/>
      <c r="BT1128" s="541"/>
      <c r="BU1128" s="541"/>
    </row>
    <row r="1129" ht="15.75" customHeight="1">
      <c r="A1129" s="1591"/>
      <c r="B1129" s="1591"/>
      <c r="C1129" s="2217"/>
      <c r="D1129" s="1541"/>
      <c r="E1129" s="906"/>
      <c r="F1129" s="541"/>
      <c r="G1129" s="541"/>
      <c r="H1129" s="541"/>
      <c r="I1129" s="541"/>
      <c r="J1129" s="1748"/>
      <c r="K1129" s="541"/>
      <c r="L1129" s="1748"/>
      <c r="M1129" s="541"/>
      <c r="N1129" s="1748"/>
      <c r="O1129" s="541"/>
      <c r="P1129" s="1748"/>
      <c r="Q1129" s="541"/>
      <c r="R1129" s="1748"/>
      <c r="S1129" s="541"/>
      <c r="T1129" s="1748"/>
      <c r="U1129" s="541"/>
      <c r="V1129" s="1748"/>
      <c r="W1129" s="541"/>
      <c r="X1129" s="1748"/>
      <c r="Y1129" s="1748"/>
      <c r="Z1129" s="1748"/>
      <c r="AA1129" s="541"/>
      <c r="AB1129" s="1748"/>
      <c r="AC1129" s="541"/>
      <c r="AD1129" s="541"/>
      <c r="AE1129" s="541"/>
      <c r="AF1129" s="541"/>
      <c r="AG1129" s="541"/>
      <c r="AH1129" s="541"/>
      <c r="AI1129" s="541"/>
      <c r="AJ1129" s="541"/>
      <c r="AK1129" s="541"/>
      <c r="AL1129" s="541"/>
      <c r="AM1129" s="541"/>
      <c r="AN1129" s="1748"/>
      <c r="AO1129" s="1748"/>
      <c r="AP1129" s="1748"/>
      <c r="AQ1129" s="1748"/>
      <c r="AR1129" s="1748"/>
      <c r="AS1129" s="541"/>
      <c r="AT1129" s="541"/>
      <c r="AU1129" s="541"/>
      <c r="AV1129" s="541"/>
      <c r="AW1129" s="541"/>
      <c r="AY1129" s="541"/>
      <c r="AZ1129" s="633"/>
      <c r="BA1129" s="541"/>
      <c r="BB1129" s="1190"/>
      <c r="BC1129" s="541"/>
      <c r="BD1129" s="1190"/>
      <c r="BE1129" s="541"/>
      <c r="BF1129" s="1190"/>
      <c r="BG1129" s="541"/>
      <c r="BH1129" s="1190"/>
      <c r="BI1129" s="541"/>
      <c r="BJ1129" s="1190"/>
      <c r="BK1129" s="541"/>
      <c r="BL1129" s="541"/>
      <c r="BM1129" s="541"/>
      <c r="BP1129" s="541"/>
      <c r="BQ1129" s="633"/>
      <c r="BR1129" s="541"/>
      <c r="BS1129" s="541"/>
      <c r="BT1129" s="541"/>
      <c r="BU1129" s="541"/>
    </row>
    <row r="1130" ht="15.75" customHeight="1">
      <c r="A1130" s="1591"/>
      <c r="B1130" s="1591"/>
      <c r="C1130" s="2217"/>
      <c r="D1130" s="1541"/>
      <c r="E1130" s="906"/>
      <c r="F1130" s="541"/>
      <c r="G1130" s="541"/>
      <c r="H1130" s="541"/>
      <c r="I1130" s="541"/>
      <c r="J1130" s="1748"/>
      <c r="K1130" s="541"/>
      <c r="L1130" s="1748"/>
      <c r="M1130" s="541"/>
      <c r="N1130" s="1748"/>
      <c r="O1130" s="541"/>
      <c r="P1130" s="1748"/>
      <c r="Q1130" s="541"/>
      <c r="R1130" s="1748"/>
      <c r="S1130" s="541"/>
      <c r="T1130" s="1748"/>
      <c r="U1130" s="541"/>
      <c r="V1130" s="1748"/>
      <c r="W1130" s="541"/>
      <c r="X1130" s="1748"/>
      <c r="Y1130" s="1748"/>
      <c r="Z1130" s="1748"/>
      <c r="AA1130" s="541"/>
      <c r="AB1130" s="1748"/>
      <c r="AC1130" s="541"/>
      <c r="AD1130" s="541"/>
      <c r="AE1130" s="541"/>
      <c r="AF1130" s="541"/>
      <c r="AG1130" s="541"/>
      <c r="AH1130" s="541"/>
      <c r="AI1130" s="541"/>
      <c r="AJ1130" s="541"/>
      <c r="AK1130" s="541"/>
      <c r="AL1130" s="541"/>
      <c r="AM1130" s="541"/>
      <c r="AN1130" s="1748"/>
      <c r="AO1130" s="1748"/>
      <c r="AP1130" s="1748"/>
      <c r="AQ1130" s="1748"/>
      <c r="AR1130" s="1748"/>
      <c r="AS1130" s="541"/>
      <c r="AT1130" s="541"/>
      <c r="AU1130" s="541"/>
      <c r="AV1130" s="541"/>
      <c r="AW1130" s="541"/>
      <c r="AY1130" s="541"/>
      <c r="AZ1130" s="633"/>
      <c r="BA1130" s="541"/>
      <c r="BB1130" s="1190"/>
      <c r="BC1130" s="541"/>
      <c r="BD1130" s="1190"/>
      <c r="BE1130" s="541"/>
      <c r="BF1130" s="1190"/>
      <c r="BG1130" s="541"/>
      <c r="BH1130" s="1190"/>
      <c r="BI1130" s="541"/>
      <c r="BJ1130" s="1190"/>
      <c r="BK1130" s="541"/>
      <c r="BL1130" s="541"/>
      <c r="BM1130" s="541"/>
      <c r="BP1130" s="541"/>
      <c r="BQ1130" s="633"/>
      <c r="BR1130" s="541"/>
      <c r="BS1130" s="541"/>
      <c r="BT1130" s="541"/>
      <c r="BU1130" s="541"/>
    </row>
    <row r="1131" ht="15.75" customHeight="1">
      <c r="A1131" s="1591"/>
      <c r="B1131" s="1591"/>
      <c r="C1131" s="2217"/>
      <c r="D1131" s="1541"/>
      <c r="E1131" s="906"/>
      <c r="F1131" s="541"/>
      <c r="G1131" s="541"/>
      <c r="H1131" s="541"/>
      <c r="I1131" s="541"/>
      <c r="J1131" s="1748"/>
      <c r="K1131" s="541"/>
      <c r="L1131" s="1748"/>
      <c r="M1131" s="541"/>
      <c r="N1131" s="1748"/>
      <c r="O1131" s="541"/>
      <c r="P1131" s="1748"/>
      <c r="Q1131" s="541"/>
      <c r="R1131" s="1748"/>
      <c r="S1131" s="541"/>
      <c r="T1131" s="1748"/>
      <c r="U1131" s="541"/>
      <c r="V1131" s="1748"/>
      <c r="W1131" s="541"/>
      <c r="X1131" s="1748"/>
      <c r="Y1131" s="1748"/>
      <c r="Z1131" s="1748"/>
      <c r="AA1131" s="541"/>
      <c r="AB1131" s="1748"/>
      <c r="AC1131" s="541"/>
      <c r="AD1131" s="541"/>
      <c r="AE1131" s="541"/>
      <c r="AF1131" s="541"/>
      <c r="AG1131" s="541"/>
      <c r="AH1131" s="541"/>
      <c r="AI1131" s="541"/>
      <c r="AJ1131" s="541"/>
      <c r="AK1131" s="541"/>
      <c r="AL1131" s="541"/>
      <c r="AM1131" s="541"/>
      <c r="AN1131" s="1748"/>
      <c r="AO1131" s="1748"/>
      <c r="AP1131" s="1748"/>
      <c r="AQ1131" s="1748"/>
      <c r="AR1131" s="1748"/>
      <c r="AS1131" s="541"/>
      <c r="AT1131" s="541"/>
      <c r="AU1131" s="541"/>
      <c r="AV1131" s="541"/>
      <c r="AW1131" s="541"/>
      <c r="AY1131" s="541"/>
      <c r="AZ1131" s="633"/>
      <c r="BA1131" s="541"/>
      <c r="BB1131" s="1190"/>
      <c r="BC1131" s="541"/>
      <c r="BD1131" s="1190"/>
      <c r="BE1131" s="541"/>
      <c r="BF1131" s="1190"/>
      <c r="BG1131" s="541"/>
      <c r="BH1131" s="1190"/>
      <c r="BI1131" s="541"/>
      <c r="BJ1131" s="1190"/>
      <c r="BK1131" s="541"/>
      <c r="BL1131" s="541"/>
      <c r="BM1131" s="541"/>
      <c r="BP1131" s="541"/>
      <c r="BQ1131" s="633"/>
      <c r="BR1131" s="541"/>
      <c r="BS1131" s="541"/>
      <c r="BT1131" s="541"/>
      <c r="BU1131" s="541"/>
    </row>
    <row r="1132" ht="15.75" customHeight="1">
      <c r="A1132" s="1591"/>
      <c r="B1132" s="1591"/>
      <c r="C1132" s="2217"/>
      <c r="D1132" s="1541"/>
      <c r="E1132" s="906"/>
      <c r="F1132" s="541"/>
      <c r="G1132" s="541"/>
      <c r="H1132" s="541"/>
      <c r="I1132" s="541"/>
      <c r="J1132" s="1748"/>
      <c r="K1132" s="541"/>
      <c r="L1132" s="1748"/>
      <c r="M1132" s="541"/>
      <c r="N1132" s="1748"/>
      <c r="O1132" s="541"/>
      <c r="P1132" s="1748"/>
      <c r="Q1132" s="541"/>
      <c r="R1132" s="1748"/>
      <c r="S1132" s="541"/>
      <c r="T1132" s="1748"/>
      <c r="U1132" s="541"/>
      <c r="V1132" s="1748"/>
      <c r="W1132" s="541"/>
      <c r="X1132" s="1748"/>
      <c r="Y1132" s="1748"/>
      <c r="Z1132" s="1748"/>
      <c r="AA1132" s="541"/>
      <c r="AB1132" s="1748"/>
      <c r="AC1132" s="541"/>
      <c r="AD1132" s="541"/>
      <c r="AE1132" s="541"/>
      <c r="AF1132" s="541"/>
      <c r="AG1132" s="541"/>
      <c r="AH1132" s="541"/>
      <c r="AI1132" s="541"/>
      <c r="AJ1132" s="541"/>
      <c r="AK1132" s="541"/>
      <c r="AL1132" s="541"/>
      <c r="AM1132" s="541"/>
      <c r="AN1132" s="1748"/>
      <c r="AO1132" s="1748"/>
      <c r="AP1132" s="1748"/>
      <c r="AQ1132" s="1748"/>
      <c r="AR1132" s="1748"/>
      <c r="AS1132" s="541"/>
      <c r="AT1132" s="541"/>
      <c r="AU1132" s="541"/>
      <c r="AV1132" s="541"/>
      <c r="AW1132" s="541"/>
      <c r="AY1132" s="541"/>
      <c r="AZ1132" s="633"/>
      <c r="BA1132" s="541"/>
      <c r="BB1132" s="1190"/>
      <c r="BC1132" s="541"/>
      <c r="BD1132" s="1190"/>
      <c r="BE1132" s="541"/>
      <c r="BF1132" s="1190"/>
      <c r="BG1132" s="541"/>
      <c r="BH1132" s="1190"/>
      <c r="BI1132" s="541"/>
      <c r="BJ1132" s="1190"/>
      <c r="BK1132" s="541"/>
      <c r="BL1132" s="541"/>
      <c r="BM1132" s="541"/>
      <c r="BP1132" s="541"/>
      <c r="BQ1132" s="633"/>
      <c r="BR1132" s="541"/>
      <c r="BS1132" s="541"/>
      <c r="BT1132" s="541"/>
      <c r="BU1132" s="541"/>
    </row>
    <row r="1133" ht="15.75" customHeight="1">
      <c r="A1133" s="977"/>
      <c r="B1133" s="977"/>
      <c r="C1133" s="1005"/>
      <c r="D1133" s="977"/>
      <c r="E1133" s="977"/>
      <c r="F1133" s="977"/>
      <c r="G1133" s="977"/>
      <c r="H1133" s="977"/>
      <c r="I1133" s="2388"/>
      <c r="J1133" s="977"/>
      <c r="K1133" s="2388"/>
      <c r="L1133" s="2254"/>
      <c r="M1133" s="2388"/>
      <c r="N1133" s="977"/>
      <c r="O1133" s="977"/>
      <c r="P1133" s="977"/>
      <c r="Q1133" s="2254"/>
      <c r="R1133" s="977"/>
      <c r="S1133" s="2254"/>
      <c r="T1133" s="977"/>
      <c r="U1133" s="2254"/>
      <c r="V1133" s="977"/>
      <c r="W1133" s="2254"/>
      <c r="X1133" s="977"/>
      <c r="Y1133" s="2254"/>
      <c r="Z1133" s="977"/>
      <c r="AA1133" s="2254"/>
      <c r="AB1133" s="977"/>
      <c r="AC1133" s="977"/>
      <c r="AD1133" s="977"/>
      <c r="AE1133" s="977"/>
      <c r="AF1133" s="977"/>
      <c r="AG1133" s="977"/>
      <c r="AH1133" s="977"/>
      <c r="AI1133" s="977"/>
      <c r="AJ1133" s="977"/>
      <c r="AK1133" s="977"/>
      <c r="AL1133" s="977"/>
      <c r="AM1133" s="977"/>
      <c r="AN1133" s="977"/>
      <c r="AO1133" s="977"/>
      <c r="AP1133" s="977"/>
      <c r="AQ1133" s="977"/>
      <c r="AR1133" s="977"/>
      <c r="AS1133" s="977"/>
      <c r="AT1133" s="977"/>
      <c r="AU1133" s="977"/>
      <c r="AV1133" s="977"/>
      <c r="AW1133" s="977"/>
      <c r="AX1133" s="977"/>
      <c r="AY1133" s="977"/>
      <c r="AZ1133" s="206"/>
      <c r="BA1133" s="977"/>
      <c r="BB1133" s="2254"/>
      <c r="BC1133" s="977"/>
      <c r="BD1133" s="2254"/>
      <c r="BE1133" s="977"/>
      <c r="BF1133" s="2254"/>
      <c r="BG1133" s="977"/>
      <c r="BH1133" s="2254"/>
      <c r="BI1133" s="977"/>
      <c r="BJ1133" s="2254"/>
      <c r="BK1133" s="977"/>
      <c r="BL1133" s="977"/>
      <c r="BM1133" s="977"/>
      <c r="BN1133" s="977"/>
      <c r="BO1133" s="977"/>
      <c r="BP1133" s="977"/>
      <c r="BQ1133" s="206"/>
      <c r="BR1133" s="977"/>
      <c r="BS1133" s="977"/>
      <c r="BT1133" s="977"/>
      <c r="BU1133" s="977"/>
    </row>
    <row r="1134" ht="15.75" customHeight="1">
      <c r="A1134" s="977"/>
      <c r="B1134" s="977"/>
      <c r="C1134" s="1005"/>
      <c r="D1134" s="977"/>
      <c r="E1134" s="977"/>
      <c r="F1134" s="977"/>
      <c r="G1134" s="977"/>
      <c r="H1134" s="977"/>
      <c r="I1134" s="2388"/>
      <c r="J1134" s="977"/>
      <c r="K1134" s="2388"/>
      <c r="L1134" s="2254"/>
      <c r="M1134" s="2388"/>
      <c r="N1134" s="977"/>
      <c r="O1134" s="977"/>
      <c r="P1134" s="977"/>
      <c r="Q1134" s="2254"/>
      <c r="R1134" s="977"/>
      <c r="S1134" s="2254"/>
      <c r="T1134" s="977"/>
      <c r="U1134" s="2254"/>
      <c r="V1134" s="977"/>
      <c r="W1134" s="2254"/>
      <c r="X1134" s="977"/>
      <c r="Y1134" s="2254"/>
      <c r="Z1134" s="977"/>
      <c r="AA1134" s="2254"/>
      <c r="AB1134" s="977"/>
      <c r="AC1134" s="977"/>
      <c r="AD1134" s="977"/>
      <c r="AE1134" s="977"/>
      <c r="AF1134" s="977"/>
      <c r="AG1134" s="977"/>
      <c r="AH1134" s="977"/>
      <c r="AI1134" s="977"/>
      <c r="AJ1134" s="977"/>
      <c r="AK1134" s="977"/>
      <c r="AL1134" s="977"/>
      <c r="AM1134" s="977"/>
      <c r="AN1134" s="977"/>
      <c r="AO1134" s="977"/>
      <c r="AP1134" s="977"/>
      <c r="AQ1134" s="977"/>
      <c r="AR1134" s="977"/>
      <c r="AS1134" s="977"/>
      <c r="AT1134" s="977"/>
      <c r="AU1134" s="977"/>
      <c r="AV1134" s="977"/>
      <c r="AW1134" s="977"/>
      <c r="AX1134" s="977"/>
      <c r="AY1134" s="977"/>
      <c r="AZ1134" s="206"/>
      <c r="BA1134" s="977"/>
      <c r="BB1134" s="2254"/>
      <c r="BC1134" s="977"/>
      <c r="BD1134" s="2254"/>
      <c r="BE1134" s="977"/>
      <c r="BF1134" s="2254"/>
      <c r="BG1134" s="977"/>
      <c r="BH1134" s="2254"/>
      <c r="BI1134" s="977"/>
      <c r="BJ1134" s="2254"/>
      <c r="BK1134" s="977"/>
      <c r="BL1134" s="977"/>
      <c r="BM1134" s="977"/>
      <c r="BN1134" s="977"/>
      <c r="BO1134" s="977"/>
      <c r="BP1134" s="977"/>
      <c r="BQ1134" s="206"/>
      <c r="BR1134" s="977"/>
      <c r="BS1134" s="977"/>
      <c r="BT1134" s="977"/>
      <c r="BU1134" s="977"/>
    </row>
    <row r="1135" ht="15.75" customHeight="1">
      <c r="A1135" s="977"/>
      <c r="B1135" s="977"/>
      <c r="C1135" s="1005"/>
      <c r="D1135" s="977"/>
      <c r="E1135" s="977"/>
      <c r="F1135" s="977"/>
      <c r="G1135" s="977"/>
      <c r="H1135" s="977"/>
      <c r="I1135" s="2388"/>
      <c r="J1135" s="977"/>
      <c r="K1135" s="2388"/>
      <c r="L1135" s="2254"/>
      <c r="M1135" s="2388"/>
      <c r="N1135" s="977"/>
      <c r="O1135" s="977"/>
      <c r="P1135" s="977"/>
      <c r="Q1135" s="2254"/>
      <c r="R1135" s="977"/>
      <c r="S1135" s="2254"/>
      <c r="T1135" s="977"/>
      <c r="U1135" s="2254"/>
      <c r="V1135" s="977"/>
      <c r="W1135" s="2254"/>
      <c r="X1135" s="977"/>
      <c r="Y1135" s="2254"/>
      <c r="Z1135" s="977"/>
      <c r="AA1135" s="2254"/>
      <c r="AB1135" s="977"/>
      <c r="AC1135" s="977"/>
      <c r="AD1135" s="977"/>
      <c r="AE1135" s="977"/>
      <c r="AF1135" s="977"/>
      <c r="AG1135" s="977"/>
      <c r="AH1135" s="977"/>
      <c r="AI1135" s="977"/>
      <c r="AJ1135" s="977"/>
      <c r="AK1135" s="977"/>
      <c r="AL1135" s="977"/>
      <c r="AM1135" s="977"/>
      <c r="AN1135" s="977"/>
      <c r="AO1135" s="977"/>
      <c r="AP1135" s="977"/>
      <c r="AQ1135" s="977"/>
      <c r="AR1135" s="977"/>
      <c r="AS1135" s="977"/>
      <c r="AT1135" s="977"/>
      <c r="AU1135" s="977"/>
      <c r="AV1135" s="977"/>
      <c r="AW1135" s="977"/>
      <c r="AX1135" s="977"/>
      <c r="AY1135" s="977"/>
      <c r="AZ1135" s="206"/>
      <c r="BA1135" s="977"/>
      <c r="BB1135" s="2254"/>
      <c r="BC1135" s="977"/>
      <c r="BD1135" s="2254"/>
      <c r="BE1135" s="977"/>
      <c r="BF1135" s="2254"/>
      <c r="BG1135" s="977"/>
      <c r="BH1135" s="2254"/>
      <c r="BI1135" s="977"/>
      <c r="BJ1135" s="2254"/>
      <c r="BK1135" s="977"/>
      <c r="BL1135" s="977"/>
      <c r="BM1135" s="977"/>
      <c r="BN1135" s="977"/>
      <c r="BO1135" s="977"/>
      <c r="BP1135" s="977"/>
      <c r="BQ1135" s="206"/>
      <c r="BR1135" s="977"/>
      <c r="BS1135" s="977"/>
      <c r="BT1135" s="977"/>
      <c r="BU1135" s="977"/>
    </row>
    <row r="1136" ht="15.75" customHeight="1">
      <c r="A1136" s="977"/>
      <c r="B1136" s="977"/>
      <c r="C1136" s="1005"/>
      <c r="D1136" s="977"/>
      <c r="E1136" s="977"/>
      <c r="F1136" s="977"/>
      <c r="G1136" s="977"/>
      <c r="H1136" s="977"/>
      <c r="I1136" s="2388"/>
      <c r="J1136" s="977"/>
      <c r="K1136" s="2388"/>
      <c r="L1136" s="2254"/>
      <c r="M1136" s="2388"/>
      <c r="N1136" s="977"/>
      <c r="O1136" s="977"/>
      <c r="P1136" s="977"/>
      <c r="Q1136" s="2254"/>
      <c r="R1136" s="977"/>
      <c r="S1136" s="2254"/>
      <c r="T1136" s="977"/>
      <c r="U1136" s="2254"/>
      <c r="V1136" s="977"/>
      <c r="W1136" s="2254"/>
      <c r="X1136" s="977"/>
      <c r="Y1136" s="2254"/>
      <c r="Z1136" s="977"/>
      <c r="AA1136" s="2254"/>
      <c r="AB1136" s="977"/>
      <c r="AC1136" s="977"/>
      <c r="AD1136" s="977"/>
      <c r="AE1136" s="977"/>
      <c r="AF1136" s="977"/>
      <c r="AG1136" s="977"/>
      <c r="AH1136" s="977"/>
      <c r="AI1136" s="977"/>
      <c r="AJ1136" s="977"/>
      <c r="AK1136" s="977"/>
      <c r="AL1136" s="977"/>
      <c r="AM1136" s="977"/>
      <c r="AN1136" s="977"/>
      <c r="AO1136" s="977"/>
      <c r="AP1136" s="977"/>
      <c r="AQ1136" s="977"/>
      <c r="AR1136" s="977"/>
      <c r="AS1136" s="977"/>
      <c r="AT1136" s="977"/>
      <c r="AU1136" s="977"/>
      <c r="AV1136" s="977"/>
      <c r="AW1136" s="977"/>
      <c r="AX1136" s="977"/>
      <c r="AY1136" s="977"/>
      <c r="AZ1136" s="206"/>
      <c r="BA1136" s="977"/>
      <c r="BB1136" s="2254"/>
      <c r="BC1136" s="977"/>
      <c r="BD1136" s="2254"/>
      <c r="BE1136" s="977"/>
      <c r="BF1136" s="2254"/>
      <c r="BG1136" s="977"/>
      <c r="BH1136" s="2254"/>
      <c r="BI1136" s="977"/>
      <c r="BJ1136" s="2254"/>
      <c r="BK1136" s="977"/>
      <c r="BL1136" s="977"/>
      <c r="BM1136" s="977"/>
      <c r="BN1136" s="977"/>
      <c r="BO1136" s="977"/>
      <c r="BP1136" s="977"/>
      <c r="BQ1136" s="206"/>
      <c r="BR1136" s="977"/>
      <c r="BS1136" s="977"/>
      <c r="BT1136" s="977"/>
      <c r="BU1136" s="977"/>
    </row>
    <row r="1137" ht="15.75" customHeight="1">
      <c r="A1137" s="977"/>
      <c r="B1137" s="977"/>
      <c r="C1137" s="1005"/>
      <c r="D1137" s="977"/>
      <c r="E1137" s="977"/>
      <c r="F1137" s="977"/>
      <c r="G1137" s="977"/>
      <c r="H1137" s="977"/>
      <c r="I1137" s="2388"/>
      <c r="J1137" s="977"/>
      <c r="K1137" s="2388"/>
      <c r="L1137" s="2254"/>
      <c r="M1137" s="2388"/>
      <c r="N1137" s="977"/>
      <c r="O1137" s="977"/>
      <c r="P1137" s="977"/>
      <c r="Q1137" s="2254"/>
      <c r="R1137" s="977"/>
      <c r="S1137" s="2254"/>
      <c r="T1137" s="977"/>
      <c r="U1137" s="2254"/>
      <c r="V1137" s="977"/>
      <c r="W1137" s="2254"/>
      <c r="X1137" s="977"/>
      <c r="Y1137" s="2254"/>
      <c r="Z1137" s="977"/>
      <c r="AA1137" s="2254"/>
      <c r="AB1137" s="977"/>
      <c r="AC1137" s="977"/>
      <c r="AD1137" s="977"/>
      <c r="AE1137" s="977"/>
      <c r="AF1137" s="977"/>
      <c r="AG1137" s="977"/>
      <c r="AH1137" s="977"/>
      <c r="AI1137" s="977"/>
      <c r="AJ1137" s="977"/>
      <c r="AK1137" s="977"/>
      <c r="AL1137" s="977"/>
      <c r="AM1137" s="977"/>
      <c r="AN1137" s="977"/>
      <c r="AO1137" s="977"/>
      <c r="AP1137" s="977"/>
      <c r="AQ1137" s="977"/>
      <c r="AR1137" s="977"/>
      <c r="AS1137" s="977"/>
      <c r="AT1137" s="977"/>
      <c r="AU1137" s="977"/>
      <c r="AV1137" s="977"/>
      <c r="AW1137" s="977"/>
      <c r="AX1137" s="977"/>
      <c r="AY1137" s="977"/>
      <c r="AZ1137" s="206"/>
      <c r="BA1137" s="977"/>
      <c r="BB1137" s="2254"/>
      <c r="BC1137" s="977"/>
      <c r="BD1137" s="2254"/>
      <c r="BE1137" s="977"/>
      <c r="BF1137" s="2254"/>
      <c r="BG1137" s="977"/>
      <c r="BH1137" s="2254"/>
      <c r="BI1137" s="977"/>
      <c r="BJ1137" s="2254"/>
      <c r="BK1137" s="977"/>
      <c r="BL1137" s="977"/>
      <c r="BM1137" s="977"/>
      <c r="BN1137" s="977"/>
      <c r="BO1137" s="977"/>
      <c r="BP1137" s="977"/>
      <c r="BQ1137" s="206"/>
      <c r="BR1137" s="977"/>
      <c r="BS1137" s="977"/>
      <c r="BT1137" s="977"/>
      <c r="BU1137" s="977"/>
    </row>
    <row r="1138" ht="15.75" customHeight="1">
      <c r="A1138" s="977"/>
      <c r="B1138" s="977"/>
      <c r="C1138" s="1005"/>
      <c r="D1138" s="977"/>
      <c r="E1138" s="977"/>
      <c r="F1138" s="977"/>
      <c r="G1138" s="977"/>
      <c r="H1138" s="977"/>
      <c r="I1138" s="2388"/>
      <c r="J1138" s="977"/>
      <c r="K1138" s="2388"/>
      <c r="L1138" s="2254"/>
      <c r="M1138" s="2388"/>
      <c r="N1138" s="977"/>
      <c r="O1138" s="977"/>
      <c r="P1138" s="977"/>
      <c r="Q1138" s="2254"/>
      <c r="R1138" s="977"/>
      <c r="S1138" s="2254"/>
      <c r="T1138" s="977"/>
      <c r="U1138" s="2254"/>
      <c r="V1138" s="977"/>
      <c r="W1138" s="2254"/>
      <c r="X1138" s="977"/>
      <c r="Y1138" s="2254"/>
      <c r="Z1138" s="977"/>
      <c r="AA1138" s="2254"/>
      <c r="AB1138" s="977"/>
      <c r="AC1138" s="977"/>
      <c r="AD1138" s="977"/>
      <c r="AE1138" s="977"/>
      <c r="AF1138" s="977"/>
      <c r="AG1138" s="977"/>
      <c r="AH1138" s="977"/>
      <c r="AI1138" s="977"/>
      <c r="AJ1138" s="977"/>
      <c r="AK1138" s="977"/>
      <c r="AL1138" s="977"/>
      <c r="AM1138" s="977"/>
      <c r="AN1138" s="977"/>
      <c r="AO1138" s="977"/>
      <c r="AP1138" s="977"/>
      <c r="AQ1138" s="977"/>
      <c r="AR1138" s="977"/>
      <c r="AS1138" s="977"/>
      <c r="AT1138" s="977"/>
      <c r="AU1138" s="977"/>
      <c r="AV1138" s="977"/>
      <c r="AW1138" s="977"/>
      <c r="AX1138" s="977"/>
      <c r="AY1138" s="977"/>
      <c r="AZ1138" s="206"/>
      <c r="BA1138" s="977"/>
      <c r="BB1138" s="2254"/>
      <c r="BC1138" s="977"/>
      <c r="BD1138" s="2254"/>
      <c r="BE1138" s="977"/>
      <c r="BF1138" s="2254"/>
      <c r="BG1138" s="977"/>
      <c r="BH1138" s="2254"/>
      <c r="BI1138" s="977"/>
      <c r="BJ1138" s="2254"/>
      <c r="BK1138" s="977"/>
      <c r="BL1138" s="977"/>
      <c r="BM1138" s="977"/>
      <c r="BN1138" s="977"/>
      <c r="BO1138" s="977"/>
      <c r="BP1138" s="977"/>
      <c r="BQ1138" s="206"/>
      <c r="BR1138" s="977"/>
      <c r="BS1138" s="977"/>
      <c r="BT1138" s="977"/>
      <c r="BU1138" s="977"/>
    </row>
    <row r="1139" ht="15.75" customHeight="1">
      <c r="A1139" s="977"/>
      <c r="B1139" s="977"/>
      <c r="C1139" s="1005"/>
      <c r="D1139" s="977"/>
      <c r="E1139" s="977"/>
      <c r="F1139" s="977"/>
      <c r="G1139" s="977"/>
      <c r="H1139" s="977"/>
      <c r="I1139" s="2388"/>
      <c r="J1139" s="977"/>
      <c r="K1139" s="2388"/>
      <c r="L1139" s="2254"/>
      <c r="M1139" s="2388"/>
      <c r="N1139" s="977"/>
      <c r="O1139" s="977"/>
      <c r="P1139" s="977"/>
      <c r="Q1139" s="2254"/>
      <c r="R1139" s="977"/>
      <c r="S1139" s="2254"/>
      <c r="T1139" s="977"/>
      <c r="U1139" s="2254"/>
      <c r="V1139" s="977"/>
      <c r="W1139" s="2254"/>
      <c r="X1139" s="977"/>
      <c r="Y1139" s="2254"/>
      <c r="Z1139" s="977"/>
      <c r="AA1139" s="2254"/>
      <c r="AB1139" s="977"/>
      <c r="AC1139" s="977"/>
      <c r="AD1139" s="977"/>
      <c r="AE1139" s="977"/>
      <c r="AF1139" s="977"/>
      <c r="AG1139" s="977"/>
      <c r="AH1139" s="977"/>
      <c r="AI1139" s="977"/>
      <c r="AJ1139" s="977"/>
      <c r="AK1139" s="977"/>
      <c r="AL1139" s="977"/>
      <c r="AM1139" s="977"/>
      <c r="AN1139" s="977"/>
      <c r="AO1139" s="977"/>
      <c r="AP1139" s="977"/>
      <c r="AQ1139" s="977"/>
      <c r="AR1139" s="977"/>
      <c r="AS1139" s="977"/>
      <c r="AT1139" s="977"/>
      <c r="AU1139" s="977"/>
      <c r="AV1139" s="977"/>
      <c r="AW1139" s="977"/>
      <c r="AX1139" s="977"/>
      <c r="AY1139" s="977"/>
      <c r="AZ1139" s="206"/>
      <c r="BA1139" s="977"/>
      <c r="BB1139" s="2254"/>
      <c r="BC1139" s="977"/>
      <c r="BD1139" s="2254"/>
      <c r="BE1139" s="977"/>
      <c r="BF1139" s="2254"/>
      <c r="BG1139" s="977"/>
      <c r="BH1139" s="2254"/>
      <c r="BI1139" s="977"/>
      <c r="BJ1139" s="2254"/>
      <c r="BK1139" s="977"/>
      <c r="BL1139" s="977"/>
      <c r="BM1139" s="977"/>
      <c r="BN1139" s="977"/>
      <c r="BO1139" s="977"/>
      <c r="BP1139" s="977"/>
      <c r="BQ1139" s="206"/>
      <c r="BR1139" s="977"/>
      <c r="BS1139" s="977"/>
      <c r="BT1139" s="977"/>
      <c r="BU1139" s="977"/>
    </row>
    <row r="1140" ht="15.75" customHeight="1">
      <c r="A1140" s="977"/>
      <c r="B1140" s="977"/>
      <c r="C1140" s="1005"/>
      <c r="D1140" s="977"/>
      <c r="E1140" s="977"/>
      <c r="F1140" s="977"/>
      <c r="G1140" s="977"/>
      <c r="H1140" s="977"/>
      <c r="I1140" s="2388"/>
      <c r="J1140" s="977"/>
      <c r="K1140" s="2388"/>
      <c r="L1140" s="2254"/>
      <c r="M1140" s="2388"/>
      <c r="N1140" s="977"/>
      <c r="O1140" s="977"/>
      <c r="P1140" s="977"/>
      <c r="Q1140" s="2254"/>
      <c r="R1140" s="977"/>
      <c r="S1140" s="2254"/>
      <c r="T1140" s="977"/>
      <c r="U1140" s="2254"/>
      <c r="V1140" s="977"/>
      <c r="W1140" s="2254"/>
      <c r="X1140" s="977"/>
      <c r="Y1140" s="2254"/>
      <c r="Z1140" s="977"/>
      <c r="AA1140" s="2254"/>
      <c r="AB1140" s="977"/>
      <c r="AC1140" s="977"/>
      <c r="AD1140" s="977"/>
      <c r="AE1140" s="977"/>
      <c r="AF1140" s="977"/>
      <c r="AG1140" s="977"/>
      <c r="AH1140" s="977"/>
      <c r="AI1140" s="977"/>
      <c r="AJ1140" s="977"/>
      <c r="AK1140" s="977"/>
      <c r="AL1140" s="977"/>
      <c r="AM1140" s="977"/>
      <c r="AN1140" s="977"/>
      <c r="AO1140" s="977"/>
      <c r="AP1140" s="977"/>
      <c r="AQ1140" s="977"/>
      <c r="AR1140" s="977"/>
      <c r="AS1140" s="977"/>
      <c r="AT1140" s="977"/>
      <c r="AU1140" s="977"/>
      <c r="AV1140" s="977"/>
      <c r="AW1140" s="977"/>
      <c r="AX1140" s="977"/>
      <c r="AY1140" s="977"/>
      <c r="AZ1140" s="206"/>
      <c r="BA1140" s="977"/>
      <c r="BB1140" s="2254"/>
      <c r="BC1140" s="977"/>
      <c r="BD1140" s="2254"/>
      <c r="BE1140" s="977"/>
      <c r="BF1140" s="2254"/>
      <c r="BG1140" s="977"/>
      <c r="BH1140" s="2254"/>
      <c r="BI1140" s="977"/>
      <c r="BJ1140" s="2254"/>
      <c r="BK1140" s="977"/>
      <c r="BL1140" s="977"/>
      <c r="BM1140" s="977"/>
      <c r="BN1140" s="977"/>
      <c r="BO1140" s="977"/>
      <c r="BP1140" s="977"/>
      <c r="BQ1140" s="206"/>
      <c r="BR1140" s="977"/>
      <c r="BS1140" s="977"/>
      <c r="BT1140" s="977"/>
      <c r="BU1140" s="977"/>
    </row>
    <row r="1141" ht="15.75" customHeight="1">
      <c r="A1141" s="977"/>
      <c r="B1141" s="977"/>
      <c r="C1141" s="1005"/>
      <c r="D1141" s="977"/>
      <c r="E1141" s="977"/>
      <c r="F1141" s="977"/>
      <c r="G1141" s="977"/>
      <c r="H1141" s="977"/>
      <c r="I1141" s="2388"/>
      <c r="J1141" s="977"/>
      <c r="K1141" s="2388"/>
      <c r="L1141" s="2254"/>
      <c r="M1141" s="2388"/>
      <c r="N1141" s="977"/>
      <c r="O1141" s="977"/>
      <c r="P1141" s="977"/>
      <c r="Q1141" s="2254"/>
      <c r="R1141" s="977"/>
      <c r="S1141" s="2254"/>
      <c r="T1141" s="977"/>
      <c r="U1141" s="2254"/>
      <c r="V1141" s="977"/>
      <c r="W1141" s="2254"/>
      <c r="X1141" s="977"/>
      <c r="Y1141" s="2254"/>
      <c r="Z1141" s="977"/>
      <c r="AA1141" s="2254"/>
      <c r="AB1141" s="977"/>
      <c r="AC1141" s="977"/>
      <c r="AD1141" s="977"/>
      <c r="AE1141" s="977"/>
      <c r="AF1141" s="977"/>
      <c r="AG1141" s="977"/>
      <c r="AH1141" s="977"/>
      <c r="AI1141" s="977"/>
      <c r="AJ1141" s="977"/>
      <c r="AK1141" s="977"/>
      <c r="AL1141" s="977"/>
      <c r="AM1141" s="977"/>
      <c r="AN1141" s="977"/>
      <c r="AO1141" s="977"/>
      <c r="AP1141" s="977"/>
      <c r="AQ1141" s="977"/>
      <c r="AR1141" s="977"/>
      <c r="AS1141" s="977"/>
      <c r="AT1141" s="977"/>
      <c r="AU1141" s="977"/>
      <c r="AV1141" s="977"/>
      <c r="AW1141" s="977"/>
      <c r="AX1141" s="977"/>
      <c r="AY1141" s="977"/>
      <c r="AZ1141" s="206"/>
      <c r="BA1141" s="977"/>
      <c r="BB1141" s="2254"/>
      <c r="BC1141" s="977"/>
      <c r="BD1141" s="2254"/>
      <c r="BE1141" s="977"/>
      <c r="BF1141" s="2254"/>
      <c r="BG1141" s="977"/>
      <c r="BH1141" s="2254"/>
      <c r="BI1141" s="977"/>
      <c r="BJ1141" s="2254"/>
      <c r="BK1141" s="977"/>
      <c r="BL1141" s="977"/>
      <c r="BM1141" s="977"/>
      <c r="BN1141" s="977"/>
      <c r="BO1141" s="977"/>
      <c r="BP1141" s="977"/>
      <c r="BQ1141" s="206"/>
      <c r="BR1141" s="977"/>
      <c r="BS1141" s="977"/>
      <c r="BT1141" s="977"/>
      <c r="BU1141" s="977"/>
    </row>
    <row r="1142" ht="15.75" customHeight="1">
      <c r="A1142" s="977"/>
      <c r="B1142" s="977"/>
      <c r="C1142" s="1005"/>
      <c r="D1142" s="977"/>
      <c r="E1142" s="977"/>
      <c r="F1142" s="977"/>
      <c r="G1142" s="977"/>
      <c r="H1142" s="977"/>
      <c r="I1142" s="2388"/>
      <c r="J1142" s="977"/>
      <c r="K1142" s="2388"/>
      <c r="L1142" s="2254"/>
      <c r="M1142" s="2388"/>
      <c r="N1142" s="977"/>
      <c r="O1142" s="977"/>
      <c r="P1142" s="977"/>
      <c r="Q1142" s="2254"/>
      <c r="R1142" s="977"/>
      <c r="S1142" s="2254"/>
      <c r="T1142" s="977"/>
      <c r="U1142" s="2254"/>
      <c r="V1142" s="977"/>
      <c r="W1142" s="2254"/>
      <c r="X1142" s="977"/>
      <c r="Y1142" s="2254"/>
      <c r="Z1142" s="977"/>
      <c r="AA1142" s="2254"/>
      <c r="AB1142" s="977"/>
      <c r="AC1142" s="977"/>
      <c r="AD1142" s="977"/>
      <c r="AE1142" s="977"/>
      <c r="AF1142" s="977"/>
      <c r="AG1142" s="977"/>
      <c r="AH1142" s="977"/>
      <c r="AI1142" s="977"/>
      <c r="AJ1142" s="977"/>
      <c r="AK1142" s="977"/>
      <c r="AL1142" s="977"/>
      <c r="AM1142" s="977"/>
      <c r="AN1142" s="977"/>
      <c r="AO1142" s="977"/>
      <c r="AP1142" s="977"/>
      <c r="AQ1142" s="977"/>
      <c r="AR1142" s="977"/>
      <c r="AS1142" s="977"/>
      <c r="AT1142" s="977"/>
      <c r="AU1142" s="977"/>
      <c r="AV1142" s="977"/>
      <c r="AW1142" s="977"/>
      <c r="AX1142" s="977"/>
      <c r="AY1142" s="977"/>
      <c r="AZ1142" s="206"/>
      <c r="BA1142" s="977"/>
      <c r="BB1142" s="2254"/>
      <c r="BC1142" s="977"/>
      <c r="BD1142" s="2254"/>
      <c r="BE1142" s="977"/>
      <c r="BF1142" s="2254"/>
      <c r="BG1142" s="977"/>
      <c r="BH1142" s="2254"/>
      <c r="BI1142" s="977"/>
      <c r="BJ1142" s="2254"/>
      <c r="BK1142" s="977"/>
      <c r="BL1142" s="977"/>
      <c r="BM1142" s="977"/>
      <c r="BN1142" s="977"/>
      <c r="BO1142" s="977"/>
      <c r="BP1142" s="977"/>
      <c r="BQ1142" s="206"/>
      <c r="BR1142" s="977"/>
      <c r="BS1142" s="977"/>
      <c r="BT1142" s="977"/>
      <c r="BU1142" s="977"/>
    </row>
    <row r="1143" ht="15.75" customHeight="1">
      <c r="A1143" s="977"/>
      <c r="B1143" s="977"/>
      <c r="C1143" s="1005"/>
      <c r="D1143" s="977"/>
      <c r="E1143" s="977"/>
      <c r="F1143" s="977"/>
      <c r="G1143" s="977"/>
      <c r="H1143" s="977"/>
      <c r="I1143" s="2388"/>
      <c r="J1143" s="977"/>
      <c r="K1143" s="2388"/>
      <c r="L1143" s="2254"/>
      <c r="M1143" s="2388"/>
      <c r="N1143" s="977"/>
      <c r="O1143" s="977"/>
      <c r="P1143" s="977"/>
      <c r="Q1143" s="2254"/>
      <c r="R1143" s="977"/>
      <c r="S1143" s="2254"/>
      <c r="T1143" s="977"/>
      <c r="U1143" s="2254"/>
      <c r="V1143" s="977"/>
      <c r="W1143" s="2254"/>
      <c r="X1143" s="977"/>
      <c r="Y1143" s="2254"/>
      <c r="Z1143" s="977"/>
      <c r="AA1143" s="2254"/>
      <c r="AB1143" s="977"/>
      <c r="AC1143" s="977"/>
      <c r="AD1143" s="977"/>
      <c r="AE1143" s="977"/>
      <c r="AF1143" s="977"/>
      <c r="AG1143" s="977"/>
      <c r="AH1143" s="977"/>
      <c r="AI1143" s="977"/>
      <c r="AJ1143" s="977"/>
      <c r="AK1143" s="977"/>
      <c r="AL1143" s="977"/>
      <c r="AM1143" s="977"/>
      <c r="AN1143" s="977"/>
      <c r="AO1143" s="977"/>
      <c r="AP1143" s="977"/>
      <c r="AQ1143" s="977"/>
      <c r="AR1143" s="977"/>
      <c r="AS1143" s="977"/>
      <c r="AT1143" s="977"/>
      <c r="AU1143" s="977"/>
      <c r="AV1143" s="977"/>
      <c r="AW1143" s="977"/>
      <c r="AX1143" s="977"/>
      <c r="AY1143" s="977"/>
      <c r="AZ1143" s="206"/>
      <c r="BA1143" s="977"/>
      <c r="BB1143" s="2254"/>
      <c r="BC1143" s="977"/>
      <c r="BD1143" s="2254"/>
      <c r="BE1143" s="977"/>
      <c r="BF1143" s="2254"/>
      <c r="BG1143" s="977"/>
      <c r="BH1143" s="2254"/>
      <c r="BI1143" s="977"/>
      <c r="BJ1143" s="2254"/>
      <c r="BK1143" s="977"/>
      <c r="BL1143" s="977"/>
      <c r="BM1143" s="977"/>
      <c r="BN1143" s="977"/>
      <c r="BO1143" s="977"/>
      <c r="BP1143" s="977"/>
      <c r="BQ1143" s="206"/>
      <c r="BR1143" s="977"/>
      <c r="BS1143" s="977"/>
      <c r="BT1143" s="977"/>
      <c r="BU1143" s="977"/>
    </row>
  </sheetData>
  <mergeCells count="4486">
    <mergeCell ref="BN303:BO303"/>
    <mergeCell ref="BP303:BQ303"/>
    <mergeCell ref="AZ303:BA303"/>
    <mergeCell ref="BB303:BC303"/>
    <mergeCell ref="BD303:BE303"/>
    <mergeCell ref="BF303:BG303"/>
    <mergeCell ref="BH303:BI303"/>
    <mergeCell ref="BJ303:BK303"/>
    <mergeCell ref="BL303:BM303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AJ302:AK302"/>
    <mergeCell ref="AL302:AM302"/>
    <mergeCell ref="AN302:AO302"/>
    <mergeCell ref="AP302:AQ302"/>
    <mergeCell ref="AR302:AS302"/>
    <mergeCell ref="AT302:AU302"/>
    <mergeCell ref="BJ302:BK302"/>
    <mergeCell ref="BL302:BM302"/>
    <mergeCell ref="BN302:BO302"/>
    <mergeCell ref="BP302:BQ302"/>
    <mergeCell ref="F302:G302"/>
    <mergeCell ref="H302:I302"/>
    <mergeCell ref="J302:K302"/>
    <mergeCell ref="L302:M302"/>
    <mergeCell ref="N302:O302"/>
    <mergeCell ref="P302:Q302"/>
    <mergeCell ref="R302:S302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V303:W303"/>
    <mergeCell ref="X303:Y303"/>
    <mergeCell ref="Z303:AA303"/>
    <mergeCell ref="AB303:AC303"/>
    <mergeCell ref="AD303:AE303"/>
    <mergeCell ref="AF303:AG303"/>
    <mergeCell ref="AV302:AW302"/>
    <mergeCell ref="AX302:AY302"/>
    <mergeCell ref="AZ302:BA302"/>
    <mergeCell ref="BB302:BC302"/>
    <mergeCell ref="BD302:BE302"/>
    <mergeCell ref="BF302:BG302"/>
    <mergeCell ref="BH302:BI302"/>
    <mergeCell ref="AV299:AW299"/>
    <mergeCell ref="AX299:AY299"/>
    <mergeCell ref="AH299:AI299"/>
    <mergeCell ref="AJ299:AK299"/>
    <mergeCell ref="AL299:AM299"/>
    <mergeCell ref="AN299:AO299"/>
    <mergeCell ref="AP299:AQ299"/>
    <mergeCell ref="AR299:AS299"/>
    <mergeCell ref="AT299:AU299"/>
    <mergeCell ref="BN299:BO299"/>
    <mergeCell ref="BP299:BQ299"/>
    <mergeCell ref="AZ299:BA299"/>
    <mergeCell ref="BB299:BC299"/>
    <mergeCell ref="BD299:BE299"/>
    <mergeCell ref="BF299:BG299"/>
    <mergeCell ref="BH299:BI299"/>
    <mergeCell ref="BJ299:BK299"/>
    <mergeCell ref="BL299:BM299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AJ298:AK298"/>
    <mergeCell ref="AL298:AM298"/>
    <mergeCell ref="AN298:AO298"/>
    <mergeCell ref="AP298:AQ298"/>
    <mergeCell ref="AR298:AS298"/>
    <mergeCell ref="AT298:AU298"/>
    <mergeCell ref="BJ298:BK298"/>
    <mergeCell ref="BL298:BM298"/>
    <mergeCell ref="BN298:BO298"/>
    <mergeCell ref="BP298:BQ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V298:AW298"/>
    <mergeCell ref="AX298:AY298"/>
    <mergeCell ref="AZ298:BA298"/>
    <mergeCell ref="BB298:BC298"/>
    <mergeCell ref="BD298:BE298"/>
    <mergeCell ref="BF298:BG298"/>
    <mergeCell ref="BH298:BI298"/>
    <mergeCell ref="F299:G299"/>
    <mergeCell ref="H299:I299"/>
    <mergeCell ref="J299:K299"/>
    <mergeCell ref="L299:M299"/>
    <mergeCell ref="N299:O299"/>
    <mergeCell ref="P299:Q299"/>
    <mergeCell ref="R299:S299"/>
    <mergeCell ref="AV301:AW301"/>
    <mergeCell ref="AX301:AY301"/>
    <mergeCell ref="AH301:AI301"/>
    <mergeCell ref="AJ301:AK301"/>
    <mergeCell ref="AL301:AM301"/>
    <mergeCell ref="AN301:AO301"/>
    <mergeCell ref="AP301:AQ301"/>
    <mergeCell ref="AR301:AS301"/>
    <mergeCell ref="AT301:AU301"/>
    <mergeCell ref="BN301:BO301"/>
    <mergeCell ref="BP301:BQ301"/>
    <mergeCell ref="AZ301:BA301"/>
    <mergeCell ref="BB301:BC301"/>
    <mergeCell ref="BD301:BE301"/>
    <mergeCell ref="BF301:BG301"/>
    <mergeCell ref="BH301:BI301"/>
    <mergeCell ref="BJ301:BK301"/>
    <mergeCell ref="BL301:BM301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AJ300:AK300"/>
    <mergeCell ref="AL300:AM300"/>
    <mergeCell ref="AN300:AO300"/>
    <mergeCell ref="AP300:AQ300"/>
    <mergeCell ref="AR300:AS300"/>
    <mergeCell ref="AT300:AU300"/>
    <mergeCell ref="BJ300:BK300"/>
    <mergeCell ref="BL300:BM300"/>
    <mergeCell ref="BN300:BO300"/>
    <mergeCell ref="BP300:BQ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AF301:AG301"/>
    <mergeCell ref="AV300:AW300"/>
    <mergeCell ref="AX300:AY300"/>
    <mergeCell ref="AZ300:BA300"/>
    <mergeCell ref="BB300:BC300"/>
    <mergeCell ref="BD300:BE300"/>
    <mergeCell ref="BF300:BG300"/>
    <mergeCell ref="BH300:BI300"/>
    <mergeCell ref="F301:G301"/>
    <mergeCell ref="H301:I301"/>
    <mergeCell ref="J301:K301"/>
    <mergeCell ref="L301:M301"/>
    <mergeCell ref="N301:O301"/>
    <mergeCell ref="P301:Q301"/>
    <mergeCell ref="R301:S301"/>
    <mergeCell ref="AV303:AW303"/>
    <mergeCell ref="AX303:AY303"/>
    <mergeCell ref="AH303:AI303"/>
    <mergeCell ref="AJ303:AK303"/>
    <mergeCell ref="AL303:AM303"/>
    <mergeCell ref="AN303:AO303"/>
    <mergeCell ref="AP303:AQ303"/>
    <mergeCell ref="AR303:AS303"/>
    <mergeCell ref="AT303:AU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AJ304:AK304"/>
    <mergeCell ref="AL304:AM304"/>
    <mergeCell ref="AN304:AO304"/>
    <mergeCell ref="AP304:AQ304"/>
    <mergeCell ref="AR304:AS304"/>
    <mergeCell ref="AT304:AU304"/>
    <mergeCell ref="BJ304:BK304"/>
    <mergeCell ref="BL304:BM304"/>
    <mergeCell ref="BN304:BO304"/>
    <mergeCell ref="BP304:BQ304"/>
    <mergeCell ref="AV304:AW304"/>
    <mergeCell ref="AX304:AY304"/>
    <mergeCell ref="AZ304:BA304"/>
    <mergeCell ref="BB304:BC304"/>
    <mergeCell ref="BD304:BE304"/>
    <mergeCell ref="BF304:BG304"/>
    <mergeCell ref="BH304:BI304"/>
    <mergeCell ref="F304:G304"/>
    <mergeCell ref="H304:I304"/>
    <mergeCell ref="J304:K304"/>
    <mergeCell ref="L304:M304"/>
    <mergeCell ref="N304:O304"/>
    <mergeCell ref="P304:Q304"/>
    <mergeCell ref="R304:S304"/>
    <mergeCell ref="BN244:BO244"/>
    <mergeCell ref="BP244:BQ244"/>
    <mergeCell ref="AZ244:BA244"/>
    <mergeCell ref="BB244:BC244"/>
    <mergeCell ref="BD244:BE244"/>
    <mergeCell ref="BF244:BG244"/>
    <mergeCell ref="BH244:BI244"/>
    <mergeCell ref="BJ244:BK244"/>
    <mergeCell ref="BL244:BM244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AJ243:AK243"/>
    <mergeCell ref="AL243:AM243"/>
    <mergeCell ref="AN243:AO243"/>
    <mergeCell ref="AP243:AQ243"/>
    <mergeCell ref="AR243:AS243"/>
    <mergeCell ref="AT243:AU243"/>
    <mergeCell ref="BJ243:BK243"/>
    <mergeCell ref="BL243:BM243"/>
    <mergeCell ref="BN243:BO243"/>
    <mergeCell ref="BP243:BQ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Z244:AA244"/>
    <mergeCell ref="AB244:AC244"/>
    <mergeCell ref="AD244:AE244"/>
    <mergeCell ref="AF244:AG244"/>
    <mergeCell ref="AV243:AW243"/>
    <mergeCell ref="AX243:AY243"/>
    <mergeCell ref="AZ243:BA243"/>
    <mergeCell ref="BB243:BC243"/>
    <mergeCell ref="BD243:BE243"/>
    <mergeCell ref="BF243:BG243"/>
    <mergeCell ref="BH243:BI243"/>
    <mergeCell ref="AV240:AW240"/>
    <mergeCell ref="AX240:AY240"/>
    <mergeCell ref="AH240:AI240"/>
    <mergeCell ref="AJ240:AK240"/>
    <mergeCell ref="AL240:AM240"/>
    <mergeCell ref="AN240:AO240"/>
    <mergeCell ref="AP240:AQ240"/>
    <mergeCell ref="AR240:AS240"/>
    <mergeCell ref="AT240:AU240"/>
    <mergeCell ref="BN240:BO240"/>
    <mergeCell ref="BP240:BQ240"/>
    <mergeCell ref="AZ240:BA240"/>
    <mergeCell ref="BB240:BC240"/>
    <mergeCell ref="BD240:BE240"/>
    <mergeCell ref="BF240:BG240"/>
    <mergeCell ref="BH240:BI240"/>
    <mergeCell ref="BJ240:BK240"/>
    <mergeCell ref="BL240:BM240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AJ239:AK239"/>
    <mergeCell ref="AL239:AM239"/>
    <mergeCell ref="AN239:AO239"/>
    <mergeCell ref="AP239:AQ239"/>
    <mergeCell ref="AR239:AS239"/>
    <mergeCell ref="AT239:AU239"/>
    <mergeCell ref="BJ239:BK239"/>
    <mergeCell ref="BL239:BM239"/>
    <mergeCell ref="BN239:BO239"/>
    <mergeCell ref="BP239:BQ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V239:AW239"/>
    <mergeCell ref="AX239:AY239"/>
    <mergeCell ref="AZ239:BA239"/>
    <mergeCell ref="BB239:BC239"/>
    <mergeCell ref="BD239:BE239"/>
    <mergeCell ref="BF239:BG239"/>
    <mergeCell ref="BH239:BI239"/>
    <mergeCell ref="F240:G240"/>
    <mergeCell ref="H240:I240"/>
    <mergeCell ref="J240:K240"/>
    <mergeCell ref="L240:M240"/>
    <mergeCell ref="N240:O240"/>
    <mergeCell ref="P240:Q240"/>
    <mergeCell ref="R240:S240"/>
    <mergeCell ref="AV242:AW242"/>
    <mergeCell ref="AX242:AY242"/>
    <mergeCell ref="AH242:AI242"/>
    <mergeCell ref="AJ242:AK242"/>
    <mergeCell ref="AL242:AM242"/>
    <mergeCell ref="AN242:AO242"/>
    <mergeCell ref="AP242:AQ242"/>
    <mergeCell ref="AR242:AS242"/>
    <mergeCell ref="AT242:AU242"/>
    <mergeCell ref="BN242:BO242"/>
    <mergeCell ref="BP242:BQ242"/>
    <mergeCell ref="BL281:BM281"/>
    <mergeCell ref="AZ242:BA242"/>
    <mergeCell ref="BB242:BC242"/>
    <mergeCell ref="BD242:BE242"/>
    <mergeCell ref="BF242:BG242"/>
    <mergeCell ref="BH242:BI242"/>
    <mergeCell ref="BJ242:BK242"/>
    <mergeCell ref="BL242:BM242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AJ241:AK241"/>
    <mergeCell ref="AL241:AM241"/>
    <mergeCell ref="AN241:AO241"/>
    <mergeCell ref="AP241:AQ241"/>
    <mergeCell ref="AR241:AS241"/>
    <mergeCell ref="AT241:AU241"/>
    <mergeCell ref="BJ241:BK241"/>
    <mergeCell ref="BL241:BM241"/>
    <mergeCell ref="BN241:BO241"/>
    <mergeCell ref="BP241:BQ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V241:AW241"/>
    <mergeCell ref="AX241:AY241"/>
    <mergeCell ref="AZ241:BA241"/>
    <mergeCell ref="BB241:BC241"/>
    <mergeCell ref="BD241:BE241"/>
    <mergeCell ref="BF241:BG241"/>
    <mergeCell ref="BH241:BI241"/>
    <mergeCell ref="F242:G242"/>
    <mergeCell ref="H242:I242"/>
    <mergeCell ref="J242:K242"/>
    <mergeCell ref="L242:M242"/>
    <mergeCell ref="N242:O242"/>
    <mergeCell ref="P242:Q242"/>
    <mergeCell ref="R242:S242"/>
    <mergeCell ref="AV244:AW244"/>
    <mergeCell ref="AX244:AY244"/>
    <mergeCell ref="AH244:AI244"/>
    <mergeCell ref="AJ244:AK244"/>
    <mergeCell ref="AL244:AM244"/>
    <mergeCell ref="AN244:AO244"/>
    <mergeCell ref="AP244:AQ244"/>
    <mergeCell ref="AR244:AS244"/>
    <mergeCell ref="AT244:AU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AJ245:AK245"/>
    <mergeCell ref="AL245:AM245"/>
    <mergeCell ref="AN245:AO245"/>
    <mergeCell ref="AP245:AQ245"/>
    <mergeCell ref="AR245:AS245"/>
    <mergeCell ref="AT245:AU245"/>
    <mergeCell ref="BJ245:BK245"/>
    <mergeCell ref="BL245:BM245"/>
    <mergeCell ref="BN245:BO245"/>
    <mergeCell ref="BP245:BQ245"/>
    <mergeCell ref="AV245:AW245"/>
    <mergeCell ref="AX245:AY245"/>
    <mergeCell ref="AZ245:BA245"/>
    <mergeCell ref="BB245:BC245"/>
    <mergeCell ref="BD245:BE245"/>
    <mergeCell ref="BF245:BG245"/>
    <mergeCell ref="BH245:BI245"/>
    <mergeCell ref="F245:G245"/>
    <mergeCell ref="H245:I245"/>
    <mergeCell ref="J245:K245"/>
    <mergeCell ref="L245:M245"/>
    <mergeCell ref="N245:O245"/>
    <mergeCell ref="P245:Q245"/>
    <mergeCell ref="R245:S245"/>
    <mergeCell ref="AV286:AW286"/>
    <mergeCell ref="AX286:AY286"/>
    <mergeCell ref="AH286:AI286"/>
    <mergeCell ref="AJ286:AK286"/>
    <mergeCell ref="AL286:AM286"/>
    <mergeCell ref="AN286:AO286"/>
    <mergeCell ref="AP286:AQ286"/>
    <mergeCell ref="AR286:AS286"/>
    <mergeCell ref="AT286:AU286"/>
    <mergeCell ref="BN286:BO286"/>
    <mergeCell ref="BP286:BQ286"/>
    <mergeCell ref="BS286:BT286"/>
    <mergeCell ref="AZ286:BA286"/>
    <mergeCell ref="BB286:BC286"/>
    <mergeCell ref="BD286:BE286"/>
    <mergeCell ref="BF286:BG286"/>
    <mergeCell ref="BH286:BI286"/>
    <mergeCell ref="BJ286:BK286"/>
    <mergeCell ref="BL286:BM286"/>
    <mergeCell ref="N285:O285"/>
    <mergeCell ref="P285:Q285"/>
    <mergeCell ref="R285:S285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L285:AM285"/>
    <mergeCell ref="AN285:AO285"/>
    <mergeCell ref="BD285:BE285"/>
    <mergeCell ref="BF285:BG285"/>
    <mergeCell ref="BH285:BI285"/>
    <mergeCell ref="BJ285:BK285"/>
    <mergeCell ref="BL285:BM285"/>
    <mergeCell ref="BN285:BO285"/>
    <mergeCell ref="BP285:BQ285"/>
    <mergeCell ref="A253:B253"/>
    <mergeCell ref="A284:B284"/>
    <mergeCell ref="C284:D284"/>
    <mergeCell ref="F285:G285"/>
    <mergeCell ref="H285:I285"/>
    <mergeCell ref="J285:K285"/>
    <mergeCell ref="L285:M285"/>
    <mergeCell ref="T286:U286"/>
    <mergeCell ref="V286:W286"/>
    <mergeCell ref="X286:Y286"/>
    <mergeCell ref="Z286:AA286"/>
    <mergeCell ref="AB286:AC286"/>
    <mergeCell ref="AD286:AE286"/>
    <mergeCell ref="AF286:AG286"/>
    <mergeCell ref="AP285:AQ285"/>
    <mergeCell ref="AR285:AS285"/>
    <mergeCell ref="AT285:AU285"/>
    <mergeCell ref="AV285:AW285"/>
    <mergeCell ref="AX285:AY285"/>
    <mergeCell ref="AZ285:BA285"/>
    <mergeCell ref="BB285:BC285"/>
    <mergeCell ref="F286:G286"/>
    <mergeCell ref="H286:I286"/>
    <mergeCell ref="J286:K286"/>
    <mergeCell ref="L286:M286"/>
    <mergeCell ref="N286:O286"/>
    <mergeCell ref="P286:Q286"/>
    <mergeCell ref="R286:S286"/>
    <mergeCell ref="AV288:AW288"/>
    <mergeCell ref="AX288:AY288"/>
    <mergeCell ref="AH288:AI288"/>
    <mergeCell ref="AJ288:AK288"/>
    <mergeCell ref="AL288:AM288"/>
    <mergeCell ref="AN288:AO288"/>
    <mergeCell ref="AP288:AQ288"/>
    <mergeCell ref="AR288:AS288"/>
    <mergeCell ref="AT288:AU288"/>
    <mergeCell ref="BN288:BO288"/>
    <mergeCell ref="BP288:BQ288"/>
    <mergeCell ref="AZ288:BA288"/>
    <mergeCell ref="BB288:BC288"/>
    <mergeCell ref="BD288:BE288"/>
    <mergeCell ref="BF288:BG288"/>
    <mergeCell ref="BH288:BI288"/>
    <mergeCell ref="BJ288:BK288"/>
    <mergeCell ref="BL288:BM288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BJ287:BK287"/>
    <mergeCell ref="BL287:BM287"/>
    <mergeCell ref="BN287:BO287"/>
    <mergeCell ref="BP287:BQ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V287:AW287"/>
    <mergeCell ref="AX287:AY287"/>
    <mergeCell ref="AZ287:BA287"/>
    <mergeCell ref="BB287:BC287"/>
    <mergeCell ref="BD287:BE287"/>
    <mergeCell ref="BF287:BG287"/>
    <mergeCell ref="BH287:BI287"/>
    <mergeCell ref="F288:G288"/>
    <mergeCell ref="H288:I288"/>
    <mergeCell ref="J288:K288"/>
    <mergeCell ref="L288:M288"/>
    <mergeCell ref="N288:O288"/>
    <mergeCell ref="P288:Q288"/>
    <mergeCell ref="R288:S288"/>
    <mergeCell ref="AV290:AW290"/>
    <mergeCell ref="AX290:AY290"/>
    <mergeCell ref="AH290:AI290"/>
    <mergeCell ref="AJ290:AK290"/>
    <mergeCell ref="AL290:AM290"/>
    <mergeCell ref="AN290:AO290"/>
    <mergeCell ref="AP290:AQ290"/>
    <mergeCell ref="AR290:AS290"/>
    <mergeCell ref="AT290:AU290"/>
    <mergeCell ref="BN294:BO294"/>
    <mergeCell ref="BP294:BQ294"/>
    <mergeCell ref="AZ294:BA294"/>
    <mergeCell ref="BB294:BC294"/>
    <mergeCell ref="BD294:BE294"/>
    <mergeCell ref="BF294:BG294"/>
    <mergeCell ref="BH294:BI294"/>
    <mergeCell ref="BJ294:BK294"/>
    <mergeCell ref="BL294:BM294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AJ293:AK293"/>
    <mergeCell ref="AL293:AM293"/>
    <mergeCell ref="AN293:AO293"/>
    <mergeCell ref="AP293:AQ293"/>
    <mergeCell ref="AR293:AS293"/>
    <mergeCell ref="AT293:AU293"/>
    <mergeCell ref="BJ293:BK293"/>
    <mergeCell ref="BL293:BM293"/>
    <mergeCell ref="BN293:BO293"/>
    <mergeCell ref="BP293:BQ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V293:AW293"/>
    <mergeCell ref="AX293:AY293"/>
    <mergeCell ref="AZ293:BA293"/>
    <mergeCell ref="BB293:BC293"/>
    <mergeCell ref="BD293:BE293"/>
    <mergeCell ref="BF293:BG293"/>
    <mergeCell ref="BH293:BI293"/>
    <mergeCell ref="F294:G294"/>
    <mergeCell ref="H294:I294"/>
    <mergeCell ref="J294:K294"/>
    <mergeCell ref="L294:M294"/>
    <mergeCell ref="N294:O294"/>
    <mergeCell ref="P294:Q294"/>
    <mergeCell ref="R294:S294"/>
    <mergeCell ref="BN296:BO296"/>
    <mergeCell ref="BP296:BQ296"/>
    <mergeCell ref="AZ296:BA296"/>
    <mergeCell ref="BB296:BC296"/>
    <mergeCell ref="BD296:BE296"/>
    <mergeCell ref="BF296:BG296"/>
    <mergeCell ref="BH296:BI296"/>
    <mergeCell ref="BJ296:BK296"/>
    <mergeCell ref="BL296:BM296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AJ295:AK295"/>
    <mergeCell ref="AL295:AM295"/>
    <mergeCell ref="AN295:AO295"/>
    <mergeCell ref="AP295:AQ295"/>
    <mergeCell ref="AR295:AS295"/>
    <mergeCell ref="AT295:AU295"/>
    <mergeCell ref="BJ295:BK295"/>
    <mergeCell ref="BL295:BM295"/>
    <mergeCell ref="BN295:BO295"/>
    <mergeCell ref="BP295:BQ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V296:W296"/>
    <mergeCell ref="X296:Y296"/>
    <mergeCell ref="Z296:AA296"/>
    <mergeCell ref="AB296:AC296"/>
    <mergeCell ref="AD296:AE296"/>
    <mergeCell ref="AF296:AG296"/>
    <mergeCell ref="AV295:AW295"/>
    <mergeCell ref="AX295:AY295"/>
    <mergeCell ref="AZ295:BA295"/>
    <mergeCell ref="BB295:BC295"/>
    <mergeCell ref="BD295:BE295"/>
    <mergeCell ref="BF295:BG295"/>
    <mergeCell ref="BH295:BI295"/>
    <mergeCell ref="BN290:BO290"/>
    <mergeCell ref="BP290:BQ290"/>
    <mergeCell ref="AZ290:BA290"/>
    <mergeCell ref="BB290:BC290"/>
    <mergeCell ref="BD290:BE290"/>
    <mergeCell ref="BF290:BG290"/>
    <mergeCell ref="BH290:BI290"/>
    <mergeCell ref="BJ290:BK290"/>
    <mergeCell ref="BL290:BM290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AJ289:AK289"/>
    <mergeCell ref="AL289:AM289"/>
    <mergeCell ref="AN289:AO289"/>
    <mergeCell ref="AP289:AQ289"/>
    <mergeCell ref="AR289:AS289"/>
    <mergeCell ref="AT289:AU289"/>
    <mergeCell ref="BJ289:BK289"/>
    <mergeCell ref="BL289:BM289"/>
    <mergeCell ref="BN289:BO289"/>
    <mergeCell ref="BP289:BQ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V289:AW289"/>
    <mergeCell ref="AX289:AY289"/>
    <mergeCell ref="AZ289:BA289"/>
    <mergeCell ref="BB289:BC289"/>
    <mergeCell ref="BD289:BE289"/>
    <mergeCell ref="BF289:BG289"/>
    <mergeCell ref="BH289:BI289"/>
    <mergeCell ref="F290:G290"/>
    <mergeCell ref="H290:I290"/>
    <mergeCell ref="J290:K290"/>
    <mergeCell ref="L290:M290"/>
    <mergeCell ref="N290:O290"/>
    <mergeCell ref="P290:Q290"/>
    <mergeCell ref="R290:S290"/>
    <mergeCell ref="AV292:AW292"/>
    <mergeCell ref="AX292:AY292"/>
    <mergeCell ref="AH292:AI292"/>
    <mergeCell ref="AJ292:AK292"/>
    <mergeCell ref="AL292:AM292"/>
    <mergeCell ref="AN292:AO292"/>
    <mergeCell ref="AP292:AQ292"/>
    <mergeCell ref="AR292:AS292"/>
    <mergeCell ref="AT292:AU292"/>
    <mergeCell ref="BN292:BO292"/>
    <mergeCell ref="BP292:BQ292"/>
    <mergeCell ref="AZ292:BA292"/>
    <mergeCell ref="BB292:BC292"/>
    <mergeCell ref="BD292:BE292"/>
    <mergeCell ref="BF292:BG292"/>
    <mergeCell ref="BH292:BI292"/>
    <mergeCell ref="BJ292:BK292"/>
    <mergeCell ref="BL292:BM292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AJ291:AK291"/>
    <mergeCell ref="AL291:AM291"/>
    <mergeCell ref="AN291:AO291"/>
    <mergeCell ref="AP291:AQ291"/>
    <mergeCell ref="AR291:AS291"/>
    <mergeCell ref="AT291:AU291"/>
    <mergeCell ref="BJ291:BK291"/>
    <mergeCell ref="BL291:BM291"/>
    <mergeCell ref="BN291:BO291"/>
    <mergeCell ref="BP291:BQ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V291:AW291"/>
    <mergeCell ref="AX291:AY291"/>
    <mergeCell ref="AZ291:BA291"/>
    <mergeCell ref="BB291:BC291"/>
    <mergeCell ref="BD291:BE291"/>
    <mergeCell ref="BF291:BG291"/>
    <mergeCell ref="BH291:BI291"/>
    <mergeCell ref="F292:G292"/>
    <mergeCell ref="H292:I292"/>
    <mergeCell ref="J292:K292"/>
    <mergeCell ref="L292:M292"/>
    <mergeCell ref="N292:O292"/>
    <mergeCell ref="P292:Q292"/>
    <mergeCell ref="R292:S292"/>
    <mergeCell ref="AV294:AW294"/>
    <mergeCell ref="AX294:AY294"/>
    <mergeCell ref="AH294:AI294"/>
    <mergeCell ref="AJ294:AK294"/>
    <mergeCell ref="AL294:AM294"/>
    <mergeCell ref="AN294:AO294"/>
    <mergeCell ref="AP294:AQ294"/>
    <mergeCell ref="AR294:AS294"/>
    <mergeCell ref="AT294:AU294"/>
    <mergeCell ref="AV296:AW296"/>
    <mergeCell ref="AX296:AY296"/>
    <mergeCell ref="AH296:AI296"/>
    <mergeCell ref="AJ296:AK296"/>
    <mergeCell ref="AL296:AM296"/>
    <mergeCell ref="AN296:AO296"/>
    <mergeCell ref="AP296:AQ296"/>
    <mergeCell ref="AR296:AS296"/>
    <mergeCell ref="AT296:AU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AJ297:AK297"/>
    <mergeCell ref="AL297:AM297"/>
    <mergeCell ref="AN297:AO297"/>
    <mergeCell ref="AP297:AQ297"/>
    <mergeCell ref="AR297:AS297"/>
    <mergeCell ref="AT297:AU297"/>
    <mergeCell ref="BJ297:BK297"/>
    <mergeCell ref="BL297:BM297"/>
    <mergeCell ref="BN297:BO297"/>
    <mergeCell ref="BP297:BQ297"/>
    <mergeCell ref="AV297:AW297"/>
    <mergeCell ref="AX297:AY297"/>
    <mergeCell ref="AZ297:BA297"/>
    <mergeCell ref="BB297:BC297"/>
    <mergeCell ref="BD297:BE297"/>
    <mergeCell ref="BF297:BG297"/>
    <mergeCell ref="BH297:BI297"/>
    <mergeCell ref="F297:G297"/>
    <mergeCell ref="H297:I297"/>
    <mergeCell ref="J297:K297"/>
    <mergeCell ref="L297:M297"/>
    <mergeCell ref="N297:O297"/>
    <mergeCell ref="P297:Q297"/>
    <mergeCell ref="R297:S297"/>
    <mergeCell ref="BN310:BO310"/>
    <mergeCell ref="BP310:BQ310"/>
    <mergeCell ref="AZ310:BA310"/>
    <mergeCell ref="BB310:BC310"/>
    <mergeCell ref="BD310:BE310"/>
    <mergeCell ref="BF310:BG310"/>
    <mergeCell ref="BH310:BI310"/>
    <mergeCell ref="BJ310:BK310"/>
    <mergeCell ref="BL310:BM310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AJ309:AK309"/>
    <mergeCell ref="AL309:AM309"/>
    <mergeCell ref="AN309:AO309"/>
    <mergeCell ref="AP309:AQ309"/>
    <mergeCell ref="AR309:AS309"/>
    <mergeCell ref="AT309:AU309"/>
    <mergeCell ref="BJ309:BK309"/>
    <mergeCell ref="BL309:BM309"/>
    <mergeCell ref="BN309:BO309"/>
    <mergeCell ref="BP309:BQ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X310:Y310"/>
    <mergeCell ref="Z310:AA310"/>
    <mergeCell ref="AB310:AC310"/>
    <mergeCell ref="AD310:AE310"/>
    <mergeCell ref="AF310:AG310"/>
    <mergeCell ref="AV309:AW309"/>
    <mergeCell ref="AX309:AY309"/>
    <mergeCell ref="AZ309:BA309"/>
    <mergeCell ref="BB309:BC309"/>
    <mergeCell ref="BD309:BE309"/>
    <mergeCell ref="BF309:BG309"/>
    <mergeCell ref="BH309:BI309"/>
    <mergeCell ref="AV306:AW306"/>
    <mergeCell ref="AX306:AY306"/>
    <mergeCell ref="AH306:AI306"/>
    <mergeCell ref="AJ306:AK306"/>
    <mergeCell ref="AL306:AM306"/>
    <mergeCell ref="AN306:AO306"/>
    <mergeCell ref="AP306:AQ306"/>
    <mergeCell ref="AR306:AS306"/>
    <mergeCell ref="AT306:AU306"/>
    <mergeCell ref="BN306:BO306"/>
    <mergeCell ref="BP306:BQ306"/>
    <mergeCell ref="AZ306:BA306"/>
    <mergeCell ref="BB306:BC306"/>
    <mergeCell ref="BD306:BE306"/>
    <mergeCell ref="BF306:BG306"/>
    <mergeCell ref="BH306:BI306"/>
    <mergeCell ref="BJ306:BK306"/>
    <mergeCell ref="BL306:BM306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BJ305:BK305"/>
    <mergeCell ref="BL305:BM305"/>
    <mergeCell ref="BN305:BO305"/>
    <mergeCell ref="BP305:BQ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V305:AW305"/>
    <mergeCell ref="AX305:AY305"/>
    <mergeCell ref="AZ305:BA305"/>
    <mergeCell ref="BB305:BC305"/>
    <mergeCell ref="BD305:BE305"/>
    <mergeCell ref="BF305:BG305"/>
    <mergeCell ref="BH305:BI305"/>
    <mergeCell ref="F306:G306"/>
    <mergeCell ref="H306:I306"/>
    <mergeCell ref="J306:K306"/>
    <mergeCell ref="L306:M306"/>
    <mergeCell ref="N306:O306"/>
    <mergeCell ref="P306:Q306"/>
    <mergeCell ref="R306:S306"/>
    <mergeCell ref="AV308:AW308"/>
    <mergeCell ref="AX308:AY308"/>
    <mergeCell ref="AH308:AI308"/>
    <mergeCell ref="AJ308:AK308"/>
    <mergeCell ref="AL308:AM308"/>
    <mergeCell ref="AN308:AO308"/>
    <mergeCell ref="AP308:AQ308"/>
    <mergeCell ref="AR308:AS308"/>
    <mergeCell ref="AT308:AU308"/>
    <mergeCell ref="BN308:BO308"/>
    <mergeCell ref="BP308:BQ308"/>
    <mergeCell ref="AZ308:BA308"/>
    <mergeCell ref="BB308:BC308"/>
    <mergeCell ref="BD308:BE308"/>
    <mergeCell ref="BF308:BG308"/>
    <mergeCell ref="BH308:BI308"/>
    <mergeCell ref="BJ308:BK308"/>
    <mergeCell ref="BL308:BM308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AJ307:AK307"/>
    <mergeCell ref="AL307:AM307"/>
    <mergeCell ref="AN307:AO307"/>
    <mergeCell ref="AP307:AQ307"/>
    <mergeCell ref="AR307:AS307"/>
    <mergeCell ref="AT307:AU307"/>
    <mergeCell ref="BJ307:BK307"/>
    <mergeCell ref="BL307:BM307"/>
    <mergeCell ref="BN307:BO307"/>
    <mergeCell ref="BP307:BQ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V307:AW307"/>
    <mergeCell ref="AX307:AY307"/>
    <mergeCell ref="AZ307:BA307"/>
    <mergeCell ref="BB307:BC307"/>
    <mergeCell ref="BD307:BE307"/>
    <mergeCell ref="BF307:BG307"/>
    <mergeCell ref="BH307:BI307"/>
    <mergeCell ref="F308:G308"/>
    <mergeCell ref="H308:I308"/>
    <mergeCell ref="J308:K308"/>
    <mergeCell ref="L308:M308"/>
    <mergeCell ref="N308:O308"/>
    <mergeCell ref="P308:Q308"/>
    <mergeCell ref="R308:S308"/>
    <mergeCell ref="AV310:AW310"/>
    <mergeCell ref="AX310:AY310"/>
    <mergeCell ref="AH310:AI310"/>
    <mergeCell ref="AJ310:AK310"/>
    <mergeCell ref="AL310:AM310"/>
    <mergeCell ref="AN310:AO310"/>
    <mergeCell ref="AP310:AQ310"/>
    <mergeCell ref="AR310:AS310"/>
    <mergeCell ref="AT310:AU310"/>
    <mergeCell ref="F311:G311"/>
    <mergeCell ref="H311:I311"/>
    <mergeCell ref="J311:K311"/>
    <mergeCell ref="L311:M311"/>
    <mergeCell ref="N311:O311"/>
    <mergeCell ref="P311:Q311"/>
    <mergeCell ref="R311:S311"/>
    <mergeCell ref="AH311:AI311"/>
    <mergeCell ref="AJ311:AK311"/>
    <mergeCell ref="AL311:AM311"/>
    <mergeCell ref="AN311:AO311"/>
    <mergeCell ref="AP311:AQ311"/>
    <mergeCell ref="AR311:AS311"/>
    <mergeCell ref="AT311:AU311"/>
    <mergeCell ref="BJ311:BK311"/>
    <mergeCell ref="BL311:BM311"/>
    <mergeCell ref="BN311:BO311"/>
    <mergeCell ref="BP311:BQ311"/>
    <mergeCell ref="AV311:AW311"/>
    <mergeCell ref="AX311:AY311"/>
    <mergeCell ref="AZ311:BA311"/>
    <mergeCell ref="BB311:BC311"/>
    <mergeCell ref="BD311:BE311"/>
    <mergeCell ref="BF311:BG311"/>
    <mergeCell ref="BH311:BI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T311:U311"/>
    <mergeCell ref="V311:W311"/>
    <mergeCell ref="X311:Y311"/>
    <mergeCell ref="Z311:AA311"/>
    <mergeCell ref="AB311:AC311"/>
    <mergeCell ref="AD311:AE311"/>
    <mergeCell ref="AF311:AG311"/>
    <mergeCell ref="AV36:AW36"/>
    <mergeCell ref="AX36:AY36"/>
    <mergeCell ref="AH36:AI36"/>
    <mergeCell ref="AJ36:AK36"/>
    <mergeCell ref="AL36:AM36"/>
    <mergeCell ref="AN36:AO36"/>
    <mergeCell ref="AP36:AQ36"/>
    <mergeCell ref="AR36:AS36"/>
    <mergeCell ref="AT36:AU36"/>
    <mergeCell ref="BN36:BO36"/>
    <mergeCell ref="BP36:BQ36"/>
    <mergeCell ref="AZ36:BA36"/>
    <mergeCell ref="BB36:BC36"/>
    <mergeCell ref="BD36:BE36"/>
    <mergeCell ref="BF36:BG36"/>
    <mergeCell ref="BH36:BI36"/>
    <mergeCell ref="BJ36:BK36"/>
    <mergeCell ref="BL36:BM36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A2:B2"/>
    <mergeCell ref="C2:D2"/>
    <mergeCell ref="A34:B34"/>
    <mergeCell ref="C34:D34"/>
    <mergeCell ref="F35:G35"/>
    <mergeCell ref="H35:I35"/>
    <mergeCell ref="J35:K35"/>
    <mergeCell ref="T36:U36"/>
    <mergeCell ref="V36:W36"/>
    <mergeCell ref="X36:Y36"/>
    <mergeCell ref="Z36:AA36"/>
    <mergeCell ref="AB36:AC36"/>
    <mergeCell ref="AD36:AE36"/>
    <mergeCell ref="AF36:AG36"/>
    <mergeCell ref="AN35:AO35"/>
    <mergeCell ref="AP35:AQ35"/>
    <mergeCell ref="AR35:AS35"/>
    <mergeCell ref="AT35:AU35"/>
    <mergeCell ref="AV35:AW35"/>
    <mergeCell ref="AX35:AY35"/>
    <mergeCell ref="AZ35:BA35"/>
    <mergeCell ref="F36:G36"/>
    <mergeCell ref="H36:I36"/>
    <mergeCell ref="J36:K36"/>
    <mergeCell ref="L36:M36"/>
    <mergeCell ref="N36:O36"/>
    <mergeCell ref="P36:Q36"/>
    <mergeCell ref="R36:S36"/>
    <mergeCell ref="AV38:AW38"/>
    <mergeCell ref="AX38:AY38"/>
    <mergeCell ref="AH38:AI38"/>
    <mergeCell ref="AJ38:AK38"/>
    <mergeCell ref="AL38:AM38"/>
    <mergeCell ref="AN38:AO38"/>
    <mergeCell ref="AP38:AQ38"/>
    <mergeCell ref="AR38:AS38"/>
    <mergeCell ref="AT38:AU38"/>
    <mergeCell ref="BN38:BO38"/>
    <mergeCell ref="BP38:BQ38"/>
    <mergeCell ref="AZ38:BA38"/>
    <mergeCell ref="BB38:BC38"/>
    <mergeCell ref="BD38:BE38"/>
    <mergeCell ref="BF38:BG38"/>
    <mergeCell ref="BH38:BI38"/>
    <mergeCell ref="BJ38:BK38"/>
    <mergeCell ref="BL38:BM38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BJ37:BK37"/>
    <mergeCell ref="BL37:BM37"/>
    <mergeCell ref="BN37:BO37"/>
    <mergeCell ref="BP37:BQ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V37:AW37"/>
    <mergeCell ref="AX37:AY37"/>
    <mergeCell ref="AZ37:BA37"/>
    <mergeCell ref="BB37:BC37"/>
    <mergeCell ref="BD37:BE37"/>
    <mergeCell ref="BF37:BG37"/>
    <mergeCell ref="BH37:BI37"/>
    <mergeCell ref="F38:G38"/>
    <mergeCell ref="H38:I38"/>
    <mergeCell ref="J38:K38"/>
    <mergeCell ref="L38:M38"/>
    <mergeCell ref="N38:O38"/>
    <mergeCell ref="P38:Q38"/>
    <mergeCell ref="R38:S38"/>
    <mergeCell ref="AV40:AW40"/>
    <mergeCell ref="AX40:AY40"/>
    <mergeCell ref="AH40:AI40"/>
    <mergeCell ref="AJ40:AK40"/>
    <mergeCell ref="AL40:AM40"/>
    <mergeCell ref="AN40:AO40"/>
    <mergeCell ref="AP40:AQ40"/>
    <mergeCell ref="AR40:AS40"/>
    <mergeCell ref="AT40:AU40"/>
    <mergeCell ref="BN44:BO44"/>
    <mergeCell ref="BP44:BQ44"/>
    <mergeCell ref="AZ44:BA44"/>
    <mergeCell ref="BB44:BC44"/>
    <mergeCell ref="BD44:BE44"/>
    <mergeCell ref="BF44:BG44"/>
    <mergeCell ref="BH44:BI44"/>
    <mergeCell ref="BJ44:BK44"/>
    <mergeCell ref="BL44:BM44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BJ43:BK43"/>
    <mergeCell ref="BL43:BM43"/>
    <mergeCell ref="BN43:BO43"/>
    <mergeCell ref="BP43:BQ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V43:AW43"/>
    <mergeCell ref="AX43:AY43"/>
    <mergeCell ref="AZ43:BA43"/>
    <mergeCell ref="BB43:BC43"/>
    <mergeCell ref="BD43:BE43"/>
    <mergeCell ref="BF43:BG43"/>
    <mergeCell ref="BH43:BI43"/>
    <mergeCell ref="F44:G44"/>
    <mergeCell ref="H44:I44"/>
    <mergeCell ref="J44:K44"/>
    <mergeCell ref="L44:M44"/>
    <mergeCell ref="N44:O44"/>
    <mergeCell ref="P44:Q44"/>
    <mergeCell ref="R44:S44"/>
    <mergeCell ref="BN46:BO46"/>
    <mergeCell ref="BP46:BQ46"/>
    <mergeCell ref="AZ46:BA46"/>
    <mergeCell ref="BB46:BC46"/>
    <mergeCell ref="BD46:BE46"/>
    <mergeCell ref="BF46:BG46"/>
    <mergeCell ref="BH46:BI46"/>
    <mergeCell ref="BJ46:BK46"/>
    <mergeCell ref="BL46:BM46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BJ45:BK45"/>
    <mergeCell ref="BL45:BM45"/>
    <mergeCell ref="BN45:BO45"/>
    <mergeCell ref="BP45:BQ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V45:AW45"/>
    <mergeCell ref="AX45:AY45"/>
    <mergeCell ref="AZ45:BA45"/>
    <mergeCell ref="BB45:BC45"/>
    <mergeCell ref="BD45:BE45"/>
    <mergeCell ref="BF45:BG45"/>
    <mergeCell ref="BH45:BI45"/>
    <mergeCell ref="BN40:BO40"/>
    <mergeCell ref="BP40:BQ40"/>
    <mergeCell ref="AZ40:BA40"/>
    <mergeCell ref="BB40:BC40"/>
    <mergeCell ref="BD40:BE40"/>
    <mergeCell ref="BF40:BG40"/>
    <mergeCell ref="BH40:BI40"/>
    <mergeCell ref="BJ40:BK40"/>
    <mergeCell ref="BL40:BM40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BJ39:BK39"/>
    <mergeCell ref="BL39:BM39"/>
    <mergeCell ref="BN39:BO39"/>
    <mergeCell ref="BP39:BQ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V39:AW39"/>
    <mergeCell ref="AX39:AY39"/>
    <mergeCell ref="AZ39:BA39"/>
    <mergeCell ref="BB39:BC39"/>
    <mergeCell ref="BD39:BE39"/>
    <mergeCell ref="BF39:BG39"/>
    <mergeCell ref="BH39:BI39"/>
    <mergeCell ref="F40:G40"/>
    <mergeCell ref="H40:I40"/>
    <mergeCell ref="J40:K40"/>
    <mergeCell ref="L40:M40"/>
    <mergeCell ref="N40:O40"/>
    <mergeCell ref="P40:Q40"/>
    <mergeCell ref="R40:S40"/>
    <mergeCell ref="AV42:AW42"/>
    <mergeCell ref="AX42:AY42"/>
    <mergeCell ref="AH42:AI42"/>
    <mergeCell ref="AJ42:AK42"/>
    <mergeCell ref="AL42:AM42"/>
    <mergeCell ref="AN42:AO42"/>
    <mergeCell ref="AP42:AQ42"/>
    <mergeCell ref="AR42:AS42"/>
    <mergeCell ref="AT42:AU42"/>
    <mergeCell ref="BN42:BO42"/>
    <mergeCell ref="BP42:BQ42"/>
    <mergeCell ref="AZ42:BA42"/>
    <mergeCell ref="BB42:BC42"/>
    <mergeCell ref="BD42:BE42"/>
    <mergeCell ref="BF42:BG42"/>
    <mergeCell ref="BH42:BI42"/>
    <mergeCell ref="BJ42:BK42"/>
    <mergeCell ref="BL42:BM42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BJ41:BK41"/>
    <mergeCell ref="BL41:BM41"/>
    <mergeCell ref="BN41:BO41"/>
    <mergeCell ref="BP41:BQ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V41:AW41"/>
    <mergeCell ref="AX41:AY41"/>
    <mergeCell ref="AZ41:BA41"/>
    <mergeCell ref="BB41:BC41"/>
    <mergeCell ref="BD41:BE41"/>
    <mergeCell ref="BF41:BG41"/>
    <mergeCell ref="BH41:BI41"/>
    <mergeCell ref="F42:G42"/>
    <mergeCell ref="H42:I42"/>
    <mergeCell ref="J42:K42"/>
    <mergeCell ref="L42:M42"/>
    <mergeCell ref="N42:O42"/>
    <mergeCell ref="P42:Q42"/>
    <mergeCell ref="R42:S42"/>
    <mergeCell ref="AV44:AW44"/>
    <mergeCell ref="AX44:AY44"/>
    <mergeCell ref="AH44:AI44"/>
    <mergeCell ref="AJ44:AK44"/>
    <mergeCell ref="AL44:AM44"/>
    <mergeCell ref="AN44:AO44"/>
    <mergeCell ref="AP44:AQ44"/>
    <mergeCell ref="AR44:AS44"/>
    <mergeCell ref="AT44:AU44"/>
    <mergeCell ref="AV46:AW46"/>
    <mergeCell ref="AX46:AY46"/>
    <mergeCell ref="AH46:AI46"/>
    <mergeCell ref="AJ46:AK46"/>
    <mergeCell ref="AL46:AM46"/>
    <mergeCell ref="AN46:AO46"/>
    <mergeCell ref="AP46:AQ46"/>
    <mergeCell ref="AR46:AS46"/>
    <mergeCell ref="AT46:AU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BJ47:BK47"/>
    <mergeCell ref="BL47:BM47"/>
    <mergeCell ref="BN47:BO47"/>
    <mergeCell ref="BP47:BQ47"/>
    <mergeCell ref="AV47:AW47"/>
    <mergeCell ref="AX47:AY47"/>
    <mergeCell ref="AZ47:BA47"/>
    <mergeCell ref="BB47:BC47"/>
    <mergeCell ref="BD47:BE47"/>
    <mergeCell ref="BF47:BG47"/>
    <mergeCell ref="BH47:BI47"/>
    <mergeCell ref="F47:G47"/>
    <mergeCell ref="H47:I47"/>
    <mergeCell ref="J47:K47"/>
    <mergeCell ref="L47:M47"/>
    <mergeCell ref="N47:O47"/>
    <mergeCell ref="P47:Q47"/>
    <mergeCell ref="R47:S47"/>
    <mergeCell ref="BN53:BO53"/>
    <mergeCell ref="BP53:BQ53"/>
    <mergeCell ref="AZ53:BA53"/>
    <mergeCell ref="BB53:BC53"/>
    <mergeCell ref="BD53:BE53"/>
    <mergeCell ref="BF53:BG53"/>
    <mergeCell ref="BH53:BI53"/>
    <mergeCell ref="BJ53:BK53"/>
    <mergeCell ref="BL53:BM53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BJ52:BK52"/>
    <mergeCell ref="BL52:BM52"/>
    <mergeCell ref="BN52:BO52"/>
    <mergeCell ref="BP52:BQ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V52:AW52"/>
    <mergeCell ref="AX52:AY52"/>
    <mergeCell ref="AZ52:BA52"/>
    <mergeCell ref="BB52:BC52"/>
    <mergeCell ref="BD52:BE52"/>
    <mergeCell ref="BF52:BG52"/>
    <mergeCell ref="BH52:BI52"/>
    <mergeCell ref="AV49:AW49"/>
    <mergeCell ref="AX49:AY49"/>
    <mergeCell ref="AH49:AI49"/>
    <mergeCell ref="AJ49:AK49"/>
    <mergeCell ref="AL49:AM49"/>
    <mergeCell ref="AN49:AO49"/>
    <mergeCell ref="AP49:AQ49"/>
    <mergeCell ref="AR49:AS49"/>
    <mergeCell ref="AT49:AU49"/>
    <mergeCell ref="BN49:BO49"/>
    <mergeCell ref="BP49:BQ49"/>
    <mergeCell ref="AZ49:BA49"/>
    <mergeCell ref="BB49:BC49"/>
    <mergeCell ref="BD49:BE49"/>
    <mergeCell ref="BF49:BG49"/>
    <mergeCell ref="BH49:BI49"/>
    <mergeCell ref="BJ49:BK49"/>
    <mergeCell ref="BL49:BM49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BJ48:BK48"/>
    <mergeCell ref="BL48:BM48"/>
    <mergeCell ref="BN48:BO48"/>
    <mergeCell ref="BP48:BQ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V48:AW48"/>
    <mergeCell ref="AX48:AY48"/>
    <mergeCell ref="AZ48:BA48"/>
    <mergeCell ref="BB48:BC48"/>
    <mergeCell ref="BD48:BE48"/>
    <mergeCell ref="BF48:BG48"/>
    <mergeCell ref="BH48:BI48"/>
    <mergeCell ref="F49:G49"/>
    <mergeCell ref="H49:I49"/>
    <mergeCell ref="J49:K49"/>
    <mergeCell ref="L49:M49"/>
    <mergeCell ref="N49:O49"/>
    <mergeCell ref="P49:Q49"/>
    <mergeCell ref="R49:S49"/>
    <mergeCell ref="AV51:AW51"/>
    <mergeCell ref="AX51:AY51"/>
    <mergeCell ref="AH51:AI51"/>
    <mergeCell ref="AJ51:AK51"/>
    <mergeCell ref="AL51:AM51"/>
    <mergeCell ref="AN51:AO51"/>
    <mergeCell ref="AP51:AQ51"/>
    <mergeCell ref="AR51:AS51"/>
    <mergeCell ref="AT51:AU51"/>
    <mergeCell ref="BN51:BO51"/>
    <mergeCell ref="BP51:BQ51"/>
    <mergeCell ref="AZ51:BA51"/>
    <mergeCell ref="BB51:BC51"/>
    <mergeCell ref="BD51:BE51"/>
    <mergeCell ref="BF51:BG51"/>
    <mergeCell ref="BH51:BI51"/>
    <mergeCell ref="BJ51:BK51"/>
    <mergeCell ref="BL51:BM51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BJ50:BK50"/>
    <mergeCell ref="BL50:BM50"/>
    <mergeCell ref="BN50:BO50"/>
    <mergeCell ref="BP50:BQ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V50:AW50"/>
    <mergeCell ref="AX50:AY50"/>
    <mergeCell ref="AZ50:BA50"/>
    <mergeCell ref="BB50:BC50"/>
    <mergeCell ref="BD50:BE50"/>
    <mergeCell ref="BF50:BG50"/>
    <mergeCell ref="BH50:BI50"/>
    <mergeCell ref="F51:G51"/>
    <mergeCell ref="H51:I51"/>
    <mergeCell ref="J51:K51"/>
    <mergeCell ref="L51:M51"/>
    <mergeCell ref="N51:O51"/>
    <mergeCell ref="P51:Q51"/>
    <mergeCell ref="R51:S51"/>
    <mergeCell ref="AV53:AW53"/>
    <mergeCell ref="AX53:AY53"/>
    <mergeCell ref="AH53:AI53"/>
    <mergeCell ref="AJ53:AK53"/>
    <mergeCell ref="AL53:AM53"/>
    <mergeCell ref="AN53:AO53"/>
    <mergeCell ref="AP53:AQ53"/>
    <mergeCell ref="AR53:AS53"/>
    <mergeCell ref="AT53:AU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BJ54:BK54"/>
    <mergeCell ref="BL54:BM54"/>
    <mergeCell ref="BN54:BO54"/>
    <mergeCell ref="BP54:BQ54"/>
    <mergeCell ref="AV54:AW54"/>
    <mergeCell ref="AX54:AY54"/>
    <mergeCell ref="AZ54:BA54"/>
    <mergeCell ref="BB54:BC54"/>
    <mergeCell ref="BD54:BE54"/>
    <mergeCell ref="BF54:BG54"/>
    <mergeCell ref="BH54:BI54"/>
    <mergeCell ref="F54:G54"/>
    <mergeCell ref="H54:I54"/>
    <mergeCell ref="J54:K54"/>
    <mergeCell ref="L54:M54"/>
    <mergeCell ref="N54:O54"/>
    <mergeCell ref="P54:Q54"/>
    <mergeCell ref="R54:S54"/>
    <mergeCell ref="BN60:BO60"/>
    <mergeCell ref="BP60:BQ60"/>
    <mergeCell ref="AZ60:BA60"/>
    <mergeCell ref="BB60:BC60"/>
    <mergeCell ref="BD60:BE60"/>
    <mergeCell ref="BF60:BG60"/>
    <mergeCell ref="BH60:BI60"/>
    <mergeCell ref="BJ60:BK60"/>
    <mergeCell ref="BL60:BM60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BJ59:BK59"/>
    <mergeCell ref="BL59:BM59"/>
    <mergeCell ref="BN59:BO59"/>
    <mergeCell ref="BP59:BQ59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V59:AW59"/>
    <mergeCell ref="AX59:AY59"/>
    <mergeCell ref="AZ59:BA59"/>
    <mergeCell ref="BB59:BC59"/>
    <mergeCell ref="BD59:BE59"/>
    <mergeCell ref="BF59:BG59"/>
    <mergeCell ref="BH59:BI59"/>
    <mergeCell ref="BN118:BO118"/>
    <mergeCell ref="BP118:BQ118"/>
    <mergeCell ref="AZ118:BA118"/>
    <mergeCell ref="BB118:BC118"/>
    <mergeCell ref="BD118:BE118"/>
    <mergeCell ref="BF118:BG118"/>
    <mergeCell ref="BH118:BI118"/>
    <mergeCell ref="BJ118:BK118"/>
    <mergeCell ref="BL118:BM118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AJ117:AK117"/>
    <mergeCell ref="AL117:AM117"/>
    <mergeCell ref="AN117:AO117"/>
    <mergeCell ref="AP117:AQ117"/>
    <mergeCell ref="AR117:AS117"/>
    <mergeCell ref="AT117:AU117"/>
    <mergeCell ref="BJ117:BK117"/>
    <mergeCell ref="BL117:BM117"/>
    <mergeCell ref="BN117:BO117"/>
    <mergeCell ref="BP117:BQ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B118:AC118"/>
    <mergeCell ref="AD118:AE118"/>
    <mergeCell ref="AF118:AG118"/>
    <mergeCell ref="AV117:AW117"/>
    <mergeCell ref="AX117:AY117"/>
    <mergeCell ref="AZ117:BA117"/>
    <mergeCell ref="BB117:BC117"/>
    <mergeCell ref="BD117:BE117"/>
    <mergeCell ref="BF117:BG117"/>
    <mergeCell ref="BH117:BI117"/>
    <mergeCell ref="AV114:AW114"/>
    <mergeCell ref="AX114:AY114"/>
    <mergeCell ref="AH114:AI114"/>
    <mergeCell ref="AJ114:AK114"/>
    <mergeCell ref="AL114:AM114"/>
    <mergeCell ref="AN114:AO114"/>
    <mergeCell ref="AP114:AQ114"/>
    <mergeCell ref="AR114:AS114"/>
    <mergeCell ref="AT114:AU114"/>
    <mergeCell ref="BN114:BO114"/>
    <mergeCell ref="BP114:BQ114"/>
    <mergeCell ref="AZ114:BA114"/>
    <mergeCell ref="BB114:BC114"/>
    <mergeCell ref="BD114:BE114"/>
    <mergeCell ref="BF114:BG114"/>
    <mergeCell ref="BH114:BI114"/>
    <mergeCell ref="BJ114:BK114"/>
    <mergeCell ref="BL114:BM114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AL113:AM113"/>
    <mergeCell ref="AN113:AO113"/>
    <mergeCell ref="AP113:AQ113"/>
    <mergeCell ref="AR113:AS113"/>
    <mergeCell ref="AT113:AU113"/>
    <mergeCell ref="BJ113:BK113"/>
    <mergeCell ref="BL113:BM113"/>
    <mergeCell ref="BN113:BO113"/>
    <mergeCell ref="BP113:BQ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V113:AW113"/>
    <mergeCell ref="AX113:AY113"/>
    <mergeCell ref="AZ113:BA113"/>
    <mergeCell ref="BB113:BC113"/>
    <mergeCell ref="BD113:BE113"/>
    <mergeCell ref="BF113:BG113"/>
    <mergeCell ref="BH113:BI113"/>
    <mergeCell ref="F114:G114"/>
    <mergeCell ref="H114:I114"/>
    <mergeCell ref="J114:K114"/>
    <mergeCell ref="L114:M114"/>
    <mergeCell ref="N114:O114"/>
    <mergeCell ref="P114:Q114"/>
    <mergeCell ref="R114:S114"/>
    <mergeCell ref="AV116:AW116"/>
    <mergeCell ref="AX116:AY116"/>
    <mergeCell ref="AH116:AI116"/>
    <mergeCell ref="AJ116:AK116"/>
    <mergeCell ref="AL116:AM116"/>
    <mergeCell ref="AN116:AO116"/>
    <mergeCell ref="AP116:AQ116"/>
    <mergeCell ref="AR116:AS116"/>
    <mergeCell ref="AT116:AU116"/>
    <mergeCell ref="BN116:BO116"/>
    <mergeCell ref="BP116:BQ116"/>
    <mergeCell ref="AZ116:BA116"/>
    <mergeCell ref="BB116:BC116"/>
    <mergeCell ref="BD116:BE116"/>
    <mergeCell ref="BF116:BG116"/>
    <mergeCell ref="BH116:BI116"/>
    <mergeCell ref="BJ116:BK116"/>
    <mergeCell ref="BL116:BM116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AJ115:AK115"/>
    <mergeCell ref="AL115:AM115"/>
    <mergeCell ref="AN115:AO115"/>
    <mergeCell ref="AP115:AQ115"/>
    <mergeCell ref="AR115:AS115"/>
    <mergeCell ref="AT115:AU115"/>
    <mergeCell ref="BJ115:BK115"/>
    <mergeCell ref="BL115:BM115"/>
    <mergeCell ref="BN115:BO115"/>
    <mergeCell ref="BP115:BQ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V115:AW115"/>
    <mergeCell ref="AX115:AY115"/>
    <mergeCell ref="AZ115:BA115"/>
    <mergeCell ref="BB115:BC115"/>
    <mergeCell ref="BD115:BE115"/>
    <mergeCell ref="BF115:BG115"/>
    <mergeCell ref="BH115:BI115"/>
    <mergeCell ref="F116:G116"/>
    <mergeCell ref="H116:I116"/>
    <mergeCell ref="J116:K116"/>
    <mergeCell ref="L116:M116"/>
    <mergeCell ref="N116:O116"/>
    <mergeCell ref="P116:Q116"/>
    <mergeCell ref="R116:S116"/>
    <mergeCell ref="AV118:AW118"/>
    <mergeCell ref="AX118:AY118"/>
    <mergeCell ref="AH118:AI118"/>
    <mergeCell ref="AJ118:AK118"/>
    <mergeCell ref="AL118:AM118"/>
    <mergeCell ref="AN118:AO118"/>
    <mergeCell ref="AP118:AQ118"/>
    <mergeCell ref="AR118:AS118"/>
    <mergeCell ref="AT118:AU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AL119:AM119"/>
    <mergeCell ref="AN119:AO119"/>
    <mergeCell ref="AP119:AQ119"/>
    <mergeCell ref="AR119:AS119"/>
    <mergeCell ref="AT119:AU119"/>
    <mergeCell ref="BJ119:BK119"/>
    <mergeCell ref="BL119:BM119"/>
    <mergeCell ref="BN119:BO119"/>
    <mergeCell ref="BP119:BQ119"/>
    <mergeCell ref="AV119:AW119"/>
    <mergeCell ref="AX119:AY119"/>
    <mergeCell ref="AZ119:BA119"/>
    <mergeCell ref="BB119:BC119"/>
    <mergeCell ref="BD119:BE119"/>
    <mergeCell ref="BF119:BG119"/>
    <mergeCell ref="BH119:BI119"/>
    <mergeCell ref="F119:G119"/>
    <mergeCell ref="H119:I119"/>
    <mergeCell ref="J119:K119"/>
    <mergeCell ref="L119:M119"/>
    <mergeCell ref="N119:O119"/>
    <mergeCell ref="P119:Q119"/>
    <mergeCell ref="R119:S119"/>
    <mergeCell ref="BN58:BO58"/>
    <mergeCell ref="BP58:BQ58"/>
    <mergeCell ref="AZ58:BA58"/>
    <mergeCell ref="BB58:BC58"/>
    <mergeCell ref="BD58:BE58"/>
    <mergeCell ref="BF58:BG58"/>
    <mergeCell ref="BH58:BI58"/>
    <mergeCell ref="BJ58:BK58"/>
    <mergeCell ref="BL58:BM58"/>
    <mergeCell ref="AR97:AS97"/>
    <mergeCell ref="AT97:AU97"/>
    <mergeCell ref="AD97:AE97"/>
    <mergeCell ref="AF97:AG97"/>
    <mergeCell ref="AH97:AI97"/>
    <mergeCell ref="AJ97:AK97"/>
    <mergeCell ref="AL97:AM97"/>
    <mergeCell ref="AN97:AO97"/>
    <mergeCell ref="AP97:AQ97"/>
    <mergeCell ref="BJ97:BK97"/>
    <mergeCell ref="BL97:BM97"/>
    <mergeCell ref="AV97:AW97"/>
    <mergeCell ref="AX97:AY97"/>
    <mergeCell ref="AZ97:BA97"/>
    <mergeCell ref="BB97:BC97"/>
    <mergeCell ref="BD97:BE97"/>
    <mergeCell ref="BF97:BG97"/>
    <mergeCell ref="BH97:BI97"/>
    <mergeCell ref="AV58:AW58"/>
    <mergeCell ref="AX58:AY58"/>
    <mergeCell ref="AH58:AI58"/>
    <mergeCell ref="AJ58:AK58"/>
    <mergeCell ref="AL58:AM58"/>
    <mergeCell ref="AN58:AO58"/>
    <mergeCell ref="AP58:AQ58"/>
    <mergeCell ref="AR58:AS58"/>
    <mergeCell ref="AT58:AU58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M96"/>
    <mergeCell ref="AN96:AO96"/>
    <mergeCell ref="AP96:AQ96"/>
    <mergeCell ref="AR96:AS96"/>
    <mergeCell ref="BH96:BI96"/>
    <mergeCell ref="BJ96:BK96"/>
    <mergeCell ref="BL96:BM96"/>
    <mergeCell ref="BN96:BO96"/>
    <mergeCell ref="BP96:BQ96"/>
    <mergeCell ref="BR96:BS96"/>
    <mergeCell ref="BN97:BO97"/>
    <mergeCell ref="BP97:BQ97"/>
    <mergeCell ref="P97:Q97"/>
    <mergeCell ref="R97:S97"/>
    <mergeCell ref="T97:U97"/>
    <mergeCell ref="V97:W97"/>
    <mergeCell ref="X97:Y97"/>
    <mergeCell ref="Z97:AA97"/>
    <mergeCell ref="AB97:AC97"/>
    <mergeCell ref="AT96:AU96"/>
    <mergeCell ref="AV96:AW96"/>
    <mergeCell ref="AX96:AY96"/>
    <mergeCell ref="AZ96:BA96"/>
    <mergeCell ref="BB96:BC96"/>
    <mergeCell ref="BD96:BE96"/>
    <mergeCell ref="BF96:BG96"/>
    <mergeCell ref="AV56:AW56"/>
    <mergeCell ref="AX56:AY56"/>
    <mergeCell ref="AH56:AI56"/>
    <mergeCell ref="AJ56:AK56"/>
    <mergeCell ref="AL56:AM56"/>
    <mergeCell ref="AN56:AO56"/>
    <mergeCell ref="AP56:AQ56"/>
    <mergeCell ref="AR56:AS56"/>
    <mergeCell ref="AT56:AU56"/>
    <mergeCell ref="BN56:BO56"/>
    <mergeCell ref="BP56:BQ56"/>
    <mergeCell ref="AZ56:BA56"/>
    <mergeCell ref="BB56:BC56"/>
    <mergeCell ref="BD56:BE56"/>
    <mergeCell ref="BF56:BG56"/>
    <mergeCell ref="BH56:BI56"/>
    <mergeCell ref="BJ56:BK56"/>
    <mergeCell ref="BL56:BM56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BJ55:BK55"/>
    <mergeCell ref="BL55:BM55"/>
    <mergeCell ref="BN55:BO55"/>
    <mergeCell ref="BP55:BQ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V55:AW55"/>
    <mergeCell ref="AX55:AY55"/>
    <mergeCell ref="AZ55:BA55"/>
    <mergeCell ref="BB55:BC55"/>
    <mergeCell ref="BD55:BE55"/>
    <mergeCell ref="BF55:BG55"/>
    <mergeCell ref="BH55:BI55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BJ57:BK57"/>
    <mergeCell ref="BL57:BM57"/>
    <mergeCell ref="BN57:BO57"/>
    <mergeCell ref="BP57:BQ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V57:AW57"/>
    <mergeCell ref="AX57:AY57"/>
    <mergeCell ref="AZ57:BA57"/>
    <mergeCell ref="BB57:BC57"/>
    <mergeCell ref="BD57:BE57"/>
    <mergeCell ref="BF57:BG57"/>
    <mergeCell ref="BH57:BI57"/>
    <mergeCell ref="F58:G58"/>
    <mergeCell ref="H58:I58"/>
    <mergeCell ref="J58:K58"/>
    <mergeCell ref="L58:M58"/>
    <mergeCell ref="N58:O58"/>
    <mergeCell ref="P58:Q58"/>
    <mergeCell ref="R58:S58"/>
    <mergeCell ref="F62:G62"/>
    <mergeCell ref="H62:I62"/>
    <mergeCell ref="J62:K62"/>
    <mergeCell ref="L62:M62"/>
    <mergeCell ref="N62:O62"/>
    <mergeCell ref="P62:Q62"/>
    <mergeCell ref="R62:S62"/>
    <mergeCell ref="A65:B65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H64:BI64"/>
    <mergeCell ref="BH65:BI65"/>
    <mergeCell ref="BJ62:BK62"/>
    <mergeCell ref="BL62:BM62"/>
    <mergeCell ref="BN62:BO62"/>
    <mergeCell ref="BP62:BQ62"/>
    <mergeCell ref="BH63:BI63"/>
    <mergeCell ref="BL63:BM63"/>
    <mergeCell ref="BP63:BQ63"/>
    <mergeCell ref="AV60:AW60"/>
    <mergeCell ref="AX60:AY60"/>
    <mergeCell ref="AH60:AI60"/>
    <mergeCell ref="AJ60:AK60"/>
    <mergeCell ref="AL60:AM60"/>
    <mergeCell ref="AN60:AO60"/>
    <mergeCell ref="AP60:AQ60"/>
    <mergeCell ref="AR60:AS60"/>
    <mergeCell ref="AT60:AU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BJ61:BK61"/>
    <mergeCell ref="BL61:BM61"/>
    <mergeCell ref="BN61:BO61"/>
    <mergeCell ref="BP61:BQ61"/>
    <mergeCell ref="AV61:AW61"/>
    <mergeCell ref="AX61:AY61"/>
    <mergeCell ref="AZ61:BA61"/>
    <mergeCell ref="BB61:BC61"/>
    <mergeCell ref="BD61:BE61"/>
    <mergeCell ref="BF61:BG61"/>
    <mergeCell ref="BH61:BI61"/>
    <mergeCell ref="F61:G61"/>
    <mergeCell ref="H61:I61"/>
    <mergeCell ref="J61:K61"/>
    <mergeCell ref="L61:M61"/>
    <mergeCell ref="N61:O61"/>
    <mergeCell ref="P61:Q61"/>
    <mergeCell ref="R61:S61"/>
    <mergeCell ref="A95:B95"/>
    <mergeCell ref="C95:D95"/>
    <mergeCell ref="G95:U95"/>
    <mergeCell ref="F96:G96"/>
    <mergeCell ref="H96:I96"/>
    <mergeCell ref="J96:K96"/>
    <mergeCell ref="L96:M96"/>
    <mergeCell ref="N96:O96"/>
    <mergeCell ref="P96:Q96"/>
    <mergeCell ref="F97:G97"/>
    <mergeCell ref="H97:I97"/>
    <mergeCell ref="J97:K97"/>
    <mergeCell ref="L97:M97"/>
    <mergeCell ref="N97:O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BJ98:BK98"/>
    <mergeCell ref="BL98:BM98"/>
    <mergeCell ref="BN98:BO98"/>
    <mergeCell ref="BP98:BQ98"/>
    <mergeCell ref="AV98:AW98"/>
    <mergeCell ref="AX98:AY98"/>
    <mergeCell ref="AZ98:BA98"/>
    <mergeCell ref="BB98:BC98"/>
    <mergeCell ref="BD98:BE98"/>
    <mergeCell ref="BF98:BG98"/>
    <mergeCell ref="BH98:BI98"/>
    <mergeCell ref="F98:G98"/>
    <mergeCell ref="H98:I98"/>
    <mergeCell ref="J98:K98"/>
    <mergeCell ref="L98:M98"/>
    <mergeCell ref="N98:O98"/>
    <mergeCell ref="P98:Q98"/>
    <mergeCell ref="R98:S98"/>
    <mergeCell ref="BN104:BO104"/>
    <mergeCell ref="BP104:BQ104"/>
    <mergeCell ref="AZ104:BA104"/>
    <mergeCell ref="BB104:BC104"/>
    <mergeCell ref="BD104:BE104"/>
    <mergeCell ref="BF104:BG104"/>
    <mergeCell ref="BH104:BI104"/>
    <mergeCell ref="BJ104:BK104"/>
    <mergeCell ref="BL104:BM104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AL103:AM103"/>
    <mergeCell ref="AN103:AO103"/>
    <mergeCell ref="AP103:AQ103"/>
    <mergeCell ref="AR103:AS103"/>
    <mergeCell ref="AT103:AU103"/>
    <mergeCell ref="BJ103:BK103"/>
    <mergeCell ref="BL103:BM103"/>
    <mergeCell ref="BN103:BO103"/>
    <mergeCell ref="BP103:BQ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G104"/>
    <mergeCell ref="AV103:AW103"/>
    <mergeCell ref="AX103:AY103"/>
    <mergeCell ref="AZ103:BA103"/>
    <mergeCell ref="BB103:BC103"/>
    <mergeCell ref="BD103:BE103"/>
    <mergeCell ref="BF103:BG103"/>
    <mergeCell ref="BH103:BI103"/>
    <mergeCell ref="AV100:AW100"/>
    <mergeCell ref="AX100:AY100"/>
    <mergeCell ref="AH100:AI100"/>
    <mergeCell ref="AJ100:AK100"/>
    <mergeCell ref="AL100:AM100"/>
    <mergeCell ref="AN100:AO100"/>
    <mergeCell ref="AP100:AQ100"/>
    <mergeCell ref="AR100:AS100"/>
    <mergeCell ref="AT100:AU100"/>
    <mergeCell ref="BN100:BO100"/>
    <mergeCell ref="BP100:BQ100"/>
    <mergeCell ref="AZ100:BA100"/>
    <mergeCell ref="BB100:BC100"/>
    <mergeCell ref="BD100:BE100"/>
    <mergeCell ref="BF100:BG100"/>
    <mergeCell ref="BH100:BI100"/>
    <mergeCell ref="BJ100:BK100"/>
    <mergeCell ref="BL100:BM100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M99"/>
    <mergeCell ref="AN99:AO99"/>
    <mergeCell ref="AP99:AQ99"/>
    <mergeCell ref="AR99:AS99"/>
    <mergeCell ref="AT99:AU99"/>
    <mergeCell ref="BJ99:BK99"/>
    <mergeCell ref="BL99:BM99"/>
    <mergeCell ref="BN99:BO99"/>
    <mergeCell ref="BP99:BQ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V99:AW99"/>
    <mergeCell ref="AX99:AY99"/>
    <mergeCell ref="AZ99:BA99"/>
    <mergeCell ref="BB99:BC99"/>
    <mergeCell ref="BD99:BE99"/>
    <mergeCell ref="BF99:BG99"/>
    <mergeCell ref="BH99:BI99"/>
    <mergeCell ref="F100:G100"/>
    <mergeCell ref="H100:I100"/>
    <mergeCell ref="J100:K100"/>
    <mergeCell ref="L100:M100"/>
    <mergeCell ref="N100:O100"/>
    <mergeCell ref="P100:Q100"/>
    <mergeCell ref="R100:S100"/>
    <mergeCell ref="AV102:AW102"/>
    <mergeCell ref="AX102:AY102"/>
    <mergeCell ref="AH102:AI102"/>
    <mergeCell ref="AJ102:AK102"/>
    <mergeCell ref="AL102:AM102"/>
    <mergeCell ref="AN102:AO102"/>
    <mergeCell ref="AP102:AQ102"/>
    <mergeCell ref="AR102:AS102"/>
    <mergeCell ref="AT102:AU102"/>
    <mergeCell ref="BN102:BO102"/>
    <mergeCell ref="BP102:BQ102"/>
    <mergeCell ref="AZ102:BA102"/>
    <mergeCell ref="BB102:BC102"/>
    <mergeCell ref="BD102:BE102"/>
    <mergeCell ref="BF102:BG102"/>
    <mergeCell ref="BH102:BI102"/>
    <mergeCell ref="BJ102:BK102"/>
    <mergeCell ref="BL102:BM102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M101"/>
    <mergeCell ref="AN101:AO101"/>
    <mergeCell ref="AP101:AQ101"/>
    <mergeCell ref="AR101:AS101"/>
    <mergeCell ref="AT101:AU101"/>
    <mergeCell ref="BJ101:BK101"/>
    <mergeCell ref="BL101:BM101"/>
    <mergeCell ref="BN101:BO101"/>
    <mergeCell ref="BP101:BQ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V101:AW101"/>
    <mergeCell ref="AX101:AY101"/>
    <mergeCell ref="AZ101:BA101"/>
    <mergeCell ref="BB101:BC101"/>
    <mergeCell ref="BD101:BE101"/>
    <mergeCell ref="BF101:BG101"/>
    <mergeCell ref="BH101:BI101"/>
    <mergeCell ref="F102:G102"/>
    <mergeCell ref="H102:I102"/>
    <mergeCell ref="J102:K102"/>
    <mergeCell ref="L102:M102"/>
    <mergeCell ref="N102:O102"/>
    <mergeCell ref="P102:Q102"/>
    <mergeCell ref="R102:S102"/>
    <mergeCell ref="AV104:AW104"/>
    <mergeCell ref="AX104:AY104"/>
    <mergeCell ref="AH104:AI104"/>
    <mergeCell ref="AJ104:AK104"/>
    <mergeCell ref="AL104:AM104"/>
    <mergeCell ref="AN104:AO104"/>
    <mergeCell ref="AP104:AQ104"/>
    <mergeCell ref="AR104:AS104"/>
    <mergeCell ref="AT104:AU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L105:AM105"/>
    <mergeCell ref="AN105:AO105"/>
    <mergeCell ref="AP105:AQ105"/>
    <mergeCell ref="AR105:AS105"/>
    <mergeCell ref="AT105:AU105"/>
    <mergeCell ref="BJ105:BK105"/>
    <mergeCell ref="BL105:BM105"/>
    <mergeCell ref="BN105:BO105"/>
    <mergeCell ref="BP105:BQ105"/>
    <mergeCell ref="AV105:AW105"/>
    <mergeCell ref="AX105:AY105"/>
    <mergeCell ref="AZ105:BA105"/>
    <mergeCell ref="BB105:BC105"/>
    <mergeCell ref="BD105:BE105"/>
    <mergeCell ref="BF105:BG105"/>
    <mergeCell ref="BH105:BI105"/>
    <mergeCell ref="F105:G105"/>
    <mergeCell ref="H105:I105"/>
    <mergeCell ref="J105:K105"/>
    <mergeCell ref="L105:M105"/>
    <mergeCell ref="N105:O105"/>
    <mergeCell ref="P105:Q105"/>
    <mergeCell ref="R105:S105"/>
    <mergeCell ref="BN111:BO111"/>
    <mergeCell ref="BP111:BQ111"/>
    <mergeCell ref="AZ111:BA111"/>
    <mergeCell ref="BB111:BC111"/>
    <mergeCell ref="BD111:BE111"/>
    <mergeCell ref="BF111:BG111"/>
    <mergeCell ref="BH111:BI111"/>
    <mergeCell ref="BJ111:BK111"/>
    <mergeCell ref="BL111:BM111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L110:AM110"/>
    <mergeCell ref="AN110:AO110"/>
    <mergeCell ref="AP110:AQ110"/>
    <mergeCell ref="AR110:AS110"/>
    <mergeCell ref="AT110:AU110"/>
    <mergeCell ref="BJ110:BK110"/>
    <mergeCell ref="BL110:BM110"/>
    <mergeCell ref="BN110:BO110"/>
    <mergeCell ref="BP110:BQ110"/>
    <mergeCell ref="F110:G110"/>
    <mergeCell ref="H110:I110"/>
    <mergeCell ref="J110:K110"/>
    <mergeCell ref="L110:M110"/>
    <mergeCell ref="N110:O110"/>
    <mergeCell ref="P110:Q110"/>
    <mergeCell ref="R110:S110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F111:AG111"/>
    <mergeCell ref="AV110:AW110"/>
    <mergeCell ref="AX110:AY110"/>
    <mergeCell ref="AZ110:BA110"/>
    <mergeCell ref="BB110:BC110"/>
    <mergeCell ref="BD110:BE110"/>
    <mergeCell ref="BF110:BG110"/>
    <mergeCell ref="BH110:BI110"/>
    <mergeCell ref="AV107:AW107"/>
    <mergeCell ref="AX107:AY107"/>
    <mergeCell ref="AH107:AI107"/>
    <mergeCell ref="AJ107:AK107"/>
    <mergeCell ref="AL107:AM107"/>
    <mergeCell ref="AN107:AO107"/>
    <mergeCell ref="AP107:AQ107"/>
    <mergeCell ref="AR107:AS107"/>
    <mergeCell ref="AT107:AU107"/>
    <mergeCell ref="BN107:BO107"/>
    <mergeCell ref="BP107:BQ107"/>
    <mergeCell ref="AZ107:BA107"/>
    <mergeCell ref="BB107:BC107"/>
    <mergeCell ref="BD107:BE107"/>
    <mergeCell ref="BF107:BG107"/>
    <mergeCell ref="BH107:BI107"/>
    <mergeCell ref="BJ107:BK107"/>
    <mergeCell ref="BL107:BM107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M106"/>
    <mergeCell ref="AN106:AO106"/>
    <mergeCell ref="AP106:AQ106"/>
    <mergeCell ref="AR106:AS106"/>
    <mergeCell ref="AT106:AU106"/>
    <mergeCell ref="BJ106:BK106"/>
    <mergeCell ref="BL106:BM106"/>
    <mergeCell ref="BN106:BO106"/>
    <mergeCell ref="BP106:BQ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V106:AW106"/>
    <mergeCell ref="AX106:AY106"/>
    <mergeCell ref="AZ106:BA106"/>
    <mergeCell ref="BB106:BC106"/>
    <mergeCell ref="BD106:BE106"/>
    <mergeCell ref="BF106:BG106"/>
    <mergeCell ref="BH106:BI106"/>
    <mergeCell ref="F107:G107"/>
    <mergeCell ref="H107:I107"/>
    <mergeCell ref="J107:K107"/>
    <mergeCell ref="L107:M107"/>
    <mergeCell ref="N107:O107"/>
    <mergeCell ref="P107:Q107"/>
    <mergeCell ref="R107:S107"/>
    <mergeCell ref="AV109:AW109"/>
    <mergeCell ref="AX109:AY109"/>
    <mergeCell ref="AH109:AI109"/>
    <mergeCell ref="AJ109:AK109"/>
    <mergeCell ref="AL109:AM109"/>
    <mergeCell ref="AN109:AO109"/>
    <mergeCell ref="AP109:AQ109"/>
    <mergeCell ref="AR109:AS109"/>
    <mergeCell ref="AT109:AU109"/>
    <mergeCell ref="BN109:BO109"/>
    <mergeCell ref="BP109:BQ109"/>
    <mergeCell ref="AZ109:BA109"/>
    <mergeCell ref="BB109:BC109"/>
    <mergeCell ref="BD109:BE109"/>
    <mergeCell ref="BF109:BG109"/>
    <mergeCell ref="BH109:BI109"/>
    <mergeCell ref="BJ109:BK109"/>
    <mergeCell ref="BL109:BM109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L108:AM108"/>
    <mergeCell ref="AN108:AO108"/>
    <mergeCell ref="AP108:AQ108"/>
    <mergeCell ref="AR108:AS108"/>
    <mergeCell ref="AT108:AU108"/>
    <mergeCell ref="BJ108:BK108"/>
    <mergeCell ref="BL108:BM108"/>
    <mergeCell ref="BN108:BO108"/>
    <mergeCell ref="BP108:BQ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V108:AW108"/>
    <mergeCell ref="AX108:AY108"/>
    <mergeCell ref="AZ108:BA108"/>
    <mergeCell ref="BB108:BC108"/>
    <mergeCell ref="BD108:BE108"/>
    <mergeCell ref="BF108:BG108"/>
    <mergeCell ref="BH108:BI108"/>
    <mergeCell ref="F109:G109"/>
    <mergeCell ref="H109:I109"/>
    <mergeCell ref="J109:K109"/>
    <mergeCell ref="L109:M109"/>
    <mergeCell ref="N109:O109"/>
    <mergeCell ref="P109:Q109"/>
    <mergeCell ref="R109:S109"/>
    <mergeCell ref="AV111:AW111"/>
    <mergeCell ref="AX111:AY111"/>
    <mergeCell ref="AH111:AI111"/>
    <mergeCell ref="AJ111:AK111"/>
    <mergeCell ref="AL111:AM111"/>
    <mergeCell ref="AN111:AO111"/>
    <mergeCell ref="AP111:AQ111"/>
    <mergeCell ref="AR111:AS111"/>
    <mergeCell ref="AT111:AU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AJ112:AK112"/>
    <mergeCell ref="AL112:AM112"/>
    <mergeCell ref="AN112:AO112"/>
    <mergeCell ref="AP112:AQ112"/>
    <mergeCell ref="AR112:AS112"/>
    <mergeCell ref="AT112:AU112"/>
    <mergeCell ref="BJ112:BK112"/>
    <mergeCell ref="BL112:BM112"/>
    <mergeCell ref="BN112:BO112"/>
    <mergeCell ref="BP112:BQ112"/>
    <mergeCell ref="AV112:AW112"/>
    <mergeCell ref="AX112:AY112"/>
    <mergeCell ref="AZ112:BA112"/>
    <mergeCell ref="BB112:BC112"/>
    <mergeCell ref="BD112:BE112"/>
    <mergeCell ref="BF112:BG112"/>
    <mergeCell ref="BH112:BI112"/>
    <mergeCell ref="F112:G112"/>
    <mergeCell ref="H112:I112"/>
    <mergeCell ref="J112:K112"/>
    <mergeCell ref="L112:M112"/>
    <mergeCell ref="N112:O112"/>
    <mergeCell ref="P112:Q112"/>
    <mergeCell ref="R112:S112"/>
    <mergeCell ref="AV121:AW121"/>
    <mergeCell ref="AX121:AY121"/>
    <mergeCell ref="AH121:AI121"/>
    <mergeCell ref="AJ121:AK121"/>
    <mergeCell ref="AL121:AM121"/>
    <mergeCell ref="AN121:AO121"/>
    <mergeCell ref="AP121:AQ121"/>
    <mergeCell ref="AR121:AS121"/>
    <mergeCell ref="AT121:AU121"/>
    <mergeCell ref="BN121:BO121"/>
    <mergeCell ref="BP121:BQ121"/>
    <mergeCell ref="AZ121:BA121"/>
    <mergeCell ref="BB121:BC121"/>
    <mergeCell ref="BD121:BE121"/>
    <mergeCell ref="BF121:BG121"/>
    <mergeCell ref="BH121:BI121"/>
    <mergeCell ref="BJ121:BK121"/>
    <mergeCell ref="BL121:BM121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AJ120:AK120"/>
    <mergeCell ref="AL120:AM120"/>
    <mergeCell ref="AN120:AO120"/>
    <mergeCell ref="AP120:AQ120"/>
    <mergeCell ref="AR120:AS120"/>
    <mergeCell ref="AT120:AU120"/>
    <mergeCell ref="BJ120:BK120"/>
    <mergeCell ref="BL120:BM120"/>
    <mergeCell ref="BN120:BO120"/>
    <mergeCell ref="BP120:BQ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V120:AW120"/>
    <mergeCell ref="AX120:AY120"/>
    <mergeCell ref="AZ120:BA120"/>
    <mergeCell ref="BB120:BC120"/>
    <mergeCell ref="BD120:BE120"/>
    <mergeCell ref="BF120:BG120"/>
    <mergeCell ref="BH120:BI120"/>
    <mergeCell ref="F121:G121"/>
    <mergeCell ref="H121:I121"/>
    <mergeCell ref="J121:K121"/>
    <mergeCell ref="L121:M121"/>
    <mergeCell ref="N121:O121"/>
    <mergeCell ref="P121:Q121"/>
    <mergeCell ref="R121:S121"/>
    <mergeCell ref="BN123:BO123"/>
    <mergeCell ref="BP123:BQ123"/>
    <mergeCell ref="AZ123:BA123"/>
    <mergeCell ref="BB123:BC123"/>
    <mergeCell ref="BD123:BE123"/>
    <mergeCell ref="BF123:BG123"/>
    <mergeCell ref="BH123:BI123"/>
    <mergeCell ref="BJ123:BK123"/>
    <mergeCell ref="BL123:BM123"/>
    <mergeCell ref="F124:G124"/>
    <mergeCell ref="H124:I124"/>
    <mergeCell ref="J124:K124"/>
    <mergeCell ref="L124:M124"/>
    <mergeCell ref="N124:O124"/>
    <mergeCell ref="P124:Q124"/>
    <mergeCell ref="R124:S124"/>
    <mergeCell ref="A127:B127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AJ124:AK124"/>
    <mergeCell ref="AL124:AM124"/>
    <mergeCell ref="AN124:AO124"/>
    <mergeCell ref="AP124:AQ124"/>
    <mergeCell ref="AR124:AS124"/>
    <mergeCell ref="AT124:AU124"/>
    <mergeCell ref="BJ124:BK124"/>
    <mergeCell ref="BL124:BM124"/>
    <mergeCell ref="BN124:BO124"/>
    <mergeCell ref="BP124:BQ124"/>
    <mergeCell ref="AV124:AW124"/>
    <mergeCell ref="AX124:AY124"/>
    <mergeCell ref="AZ124:BA124"/>
    <mergeCell ref="BB124:BC124"/>
    <mergeCell ref="BD124:BE124"/>
    <mergeCell ref="BF124:BG124"/>
    <mergeCell ref="BH124:BI124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AJ122:AK122"/>
    <mergeCell ref="AL122:AM122"/>
    <mergeCell ref="AN122:AO122"/>
    <mergeCell ref="AP122:AQ122"/>
    <mergeCell ref="AR122:AS122"/>
    <mergeCell ref="AT122:AU122"/>
    <mergeCell ref="BJ122:BK122"/>
    <mergeCell ref="BL122:BM122"/>
    <mergeCell ref="BN122:BO122"/>
    <mergeCell ref="BP122:BQ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V122:AW122"/>
    <mergeCell ref="AX122:AY122"/>
    <mergeCell ref="AZ122:BA122"/>
    <mergeCell ref="BB122:BC122"/>
    <mergeCell ref="BD122:BE122"/>
    <mergeCell ref="BF122:BG122"/>
    <mergeCell ref="BH122:BI122"/>
    <mergeCell ref="F123:G123"/>
    <mergeCell ref="H123:I123"/>
    <mergeCell ref="J123:K123"/>
    <mergeCell ref="L123:M123"/>
    <mergeCell ref="N123:O123"/>
    <mergeCell ref="P123:Q123"/>
    <mergeCell ref="R123:S123"/>
    <mergeCell ref="AV123:AW123"/>
    <mergeCell ref="AX123:AY123"/>
    <mergeCell ref="AH123:AI123"/>
    <mergeCell ref="AJ123:AK123"/>
    <mergeCell ref="AL123:AM123"/>
    <mergeCell ref="AN123:AO123"/>
    <mergeCell ref="AP123:AQ123"/>
    <mergeCell ref="AR123:AS123"/>
    <mergeCell ref="AT123:AU123"/>
    <mergeCell ref="P160:Q160"/>
    <mergeCell ref="R160:S160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AJ160:AK160"/>
    <mergeCell ref="AL160:AM160"/>
    <mergeCell ref="AN160:AO160"/>
    <mergeCell ref="AP160:AQ160"/>
    <mergeCell ref="BF160:BG160"/>
    <mergeCell ref="BH160:BI160"/>
    <mergeCell ref="BJ160:BK160"/>
    <mergeCell ref="BL160:BM160"/>
    <mergeCell ref="BN160:BO160"/>
    <mergeCell ref="BP160:BQ160"/>
    <mergeCell ref="AR160:AS160"/>
    <mergeCell ref="AT160:AU160"/>
    <mergeCell ref="AV160:AW160"/>
    <mergeCell ref="AX160:AY160"/>
    <mergeCell ref="AZ160:BA160"/>
    <mergeCell ref="BB160:BC160"/>
    <mergeCell ref="BD160:BE160"/>
    <mergeCell ref="A159:B159"/>
    <mergeCell ref="C159:D159"/>
    <mergeCell ref="F160:G160"/>
    <mergeCell ref="H160:I160"/>
    <mergeCell ref="J160:K160"/>
    <mergeCell ref="L160:M160"/>
    <mergeCell ref="N160:O160"/>
    <mergeCell ref="BN187:BO187"/>
    <mergeCell ref="BP187:BQ187"/>
    <mergeCell ref="AZ187:BA187"/>
    <mergeCell ref="BB187:BC187"/>
    <mergeCell ref="BD187:BE187"/>
    <mergeCell ref="BF187:BG187"/>
    <mergeCell ref="BH187:BI187"/>
    <mergeCell ref="BJ187:BK187"/>
    <mergeCell ref="BL187:BM187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L186:AM186"/>
    <mergeCell ref="AN186:AO186"/>
    <mergeCell ref="AP186:AQ186"/>
    <mergeCell ref="AR186:AS186"/>
    <mergeCell ref="AT186:AU186"/>
    <mergeCell ref="BJ186:BK186"/>
    <mergeCell ref="BL186:BM186"/>
    <mergeCell ref="BN186:BO186"/>
    <mergeCell ref="BP186:BQ186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AB187:AC187"/>
    <mergeCell ref="AD187:AE187"/>
    <mergeCell ref="AF187:AG187"/>
    <mergeCell ref="AV186:AW186"/>
    <mergeCell ref="AX186:AY186"/>
    <mergeCell ref="AZ186:BA186"/>
    <mergeCell ref="BB186:BC186"/>
    <mergeCell ref="BD186:BE186"/>
    <mergeCell ref="BF186:BG186"/>
    <mergeCell ref="BH186:BI186"/>
    <mergeCell ref="AV183:AW183"/>
    <mergeCell ref="AX183:AY183"/>
    <mergeCell ref="AH183:AI183"/>
    <mergeCell ref="AJ183:AK183"/>
    <mergeCell ref="AL183:AM183"/>
    <mergeCell ref="AN183:AO183"/>
    <mergeCell ref="AP183:AQ183"/>
    <mergeCell ref="AR183:AS183"/>
    <mergeCell ref="AT183:AU183"/>
    <mergeCell ref="BN183:BO183"/>
    <mergeCell ref="BP183:BQ183"/>
    <mergeCell ref="AZ183:BA183"/>
    <mergeCell ref="BB183:BC183"/>
    <mergeCell ref="BD183:BE183"/>
    <mergeCell ref="BF183:BG183"/>
    <mergeCell ref="BH183:BI183"/>
    <mergeCell ref="BJ183:BK183"/>
    <mergeCell ref="BL183:BM183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AJ182:AK182"/>
    <mergeCell ref="AL182:AM182"/>
    <mergeCell ref="AN182:AO182"/>
    <mergeCell ref="AP182:AQ182"/>
    <mergeCell ref="AR182:AS182"/>
    <mergeCell ref="AT182:AU182"/>
    <mergeCell ref="BJ182:BK182"/>
    <mergeCell ref="BL182:BM182"/>
    <mergeCell ref="BN182:BO182"/>
    <mergeCell ref="BP182:BQ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V182:AW182"/>
    <mergeCell ref="AX182:AY182"/>
    <mergeCell ref="AZ182:BA182"/>
    <mergeCell ref="BB182:BC182"/>
    <mergeCell ref="BD182:BE182"/>
    <mergeCell ref="BF182:BG182"/>
    <mergeCell ref="BH182:BI182"/>
    <mergeCell ref="F183:G183"/>
    <mergeCell ref="H183:I183"/>
    <mergeCell ref="J183:K183"/>
    <mergeCell ref="L183:M183"/>
    <mergeCell ref="N183:O183"/>
    <mergeCell ref="P183:Q183"/>
    <mergeCell ref="R183:S183"/>
    <mergeCell ref="BN185:BO185"/>
    <mergeCell ref="BP185:BQ185"/>
    <mergeCell ref="AZ185:BA185"/>
    <mergeCell ref="BB185:BC185"/>
    <mergeCell ref="BD185:BE185"/>
    <mergeCell ref="BF185:BG185"/>
    <mergeCell ref="BH185:BI185"/>
    <mergeCell ref="BJ185:BK185"/>
    <mergeCell ref="BL185:BM185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AJ184:AK184"/>
    <mergeCell ref="AL184:AM184"/>
    <mergeCell ref="AN184:AO184"/>
    <mergeCell ref="AP184:AQ184"/>
    <mergeCell ref="AR184:AS184"/>
    <mergeCell ref="AT184:AU184"/>
    <mergeCell ref="BJ184:BK184"/>
    <mergeCell ref="BL184:BM184"/>
    <mergeCell ref="BN184:BO184"/>
    <mergeCell ref="BP184:BQ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V184:AW184"/>
    <mergeCell ref="AX184:AY184"/>
    <mergeCell ref="AZ184:BA184"/>
    <mergeCell ref="BB184:BC184"/>
    <mergeCell ref="BD184:BE184"/>
    <mergeCell ref="BF184:BG184"/>
    <mergeCell ref="BH184:BI184"/>
    <mergeCell ref="F185:G185"/>
    <mergeCell ref="H185:I185"/>
    <mergeCell ref="J185:K185"/>
    <mergeCell ref="L185:M185"/>
    <mergeCell ref="N185:O185"/>
    <mergeCell ref="P185:Q185"/>
    <mergeCell ref="R185:S185"/>
    <mergeCell ref="AV187:AW187"/>
    <mergeCell ref="AX187:AY187"/>
    <mergeCell ref="AZ188:BA188"/>
    <mergeCell ref="BP188:BQ188"/>
    <mergeCell ref="AZ189:BA189"/>
    <mergeCell ref="AZ190:BA190"/>
    <mergeCell ref="AZ191:BA191"/>
    <mergeCell ref="AH187:AI187"/>
    <mergeCell ref="AJ187:AK187"/>
    <mergeCell ref="AL187:AM187"/>
    <mergeCell ref="AN187:AO187"/>
    <mergeCell ref="AP187:AQ187"/>
    <mergeCell ref="AR187:AS187"/>
    <mergeCell ref="AT187:AU187"/>
    <mergeCell ref="A191:B191"/>
    <mergeCell ref="AV185:AW185"/>
    <mergeCell ref="AX185:AY185"/>
    <mergeCell ref="AH185:AI185"/>
    <mergeCell ref="AJ185:AK185"/>
    <mergeCell ref="AL185:AM185"/>
    <mergeCell ref="AN185:AO185"/>
    <mergeCell ref="AP185:AQ185"/>
    <mergeCell ref="AR185:AS185"/>
    <mergeCell ref="AT185:AU185"/>
    <mergeCell ref="P224:Q224"/>
    <mergeCell ref="R224:S224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BF224:BG224"/>
    <mergeCell ref="BH224:BI224"/>
    <mergeCell ref="BJ224:BK224"/>
    <mergeCell ref="BL224:BM224"/>
    <mergeCell ref="BN224:BO224"/>
    <mergeCell ref="BP224:BQ224"/>
    <mergeCell ref="AR224:AS224"/>
    <mergeCell ref="AT224:AU224"/>
    <mergeCell ref="AV224:AW224"/>
    <mergeCell ref="AX224:AY224"/>
    <mergeCell ref="AZ224:BA224"/>
    <mergeCell ref="BB224:BC224"/>
    <mergeCell ref="BD224:BE224"/>
    <mergeCell ref="A223:B223"/>
    <mergeCell ref="C223:D223"/>
    <mergeCell ref="F224:G224"/>
    <mergeCell ref="H224:I224"/>
    <mergeCell ref="J224:K224"/>
    <mergeCell ref="L224:M224"/>
    <mergeCell ref="N224:O224"/>
    <mergeCell ref="BN230:BO230"/>
    <mergeCell ref="BP230:BQ230"/>
    <mergeCell ref="AZ230:BA230"/>
    <mergeCell ref="BB230:BC230"/>
    <mergeCell ref="BD230:BE230"/>
    <mergeCell ref="BF230:BG230"/>
    <mergeCell ref="BH230:BI230"/>
    <mergeCell ref="BJ230:BK230"/>
    <mergeCell ref="BL230:BM230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O229"/>
    <mergeCell ref="AP229:AQ229"/>
    <mergeCell ref="AR229:AS229"/>
    <mergeCell ref="AT229:AU229"/>
    <mergeCell ref="BJ229:BK229"/>
    <mergeCell ref="BL229:BM229"/>
    <mergeCell ref="BN229:BO229"/>
    <mergeCell ref="BP229:BQ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0"/>
    <mergeCell ref="AB230:AC230"/>
    <mergeCell ref="AD230:AE230"/>
    <mergeCell ref="AF230:AG230"/>
    <mergeCell ref="AV229:AW229"/>
    <mergeCell ref="AX229:AY229"/>
    <mergeCell ref="AZ229:BA229"/>
    <mergeCell ref="BB229:BC229"/>
    <mergeCell ref="BD229:BE229"/>
    <mergeCell ref="BF229:BG229"/>
    <mergeCell ref="BH229:BI229"/>
    <mergeCell ref="AV226:AW226"/>
    <mergeCell ref="AX226:AY226"/>
    <mergeCell ref="AH226:AI226"/>
    <mergeCell ref="AJ226:AK226"/>
    <mergeCell ref="AL226:AM226"/>
    <mergeCell ref="AN226:AO226"/>
    <mergeCell ref="AP226:AQ226"/>
    <mergeCell ref="AR226:AS226"/>
    <mergeCell ref="AT226:AU226"/>
    <mergeCell ref="BN226:BO226"/>
    <mergeCell ref="BP226:BQ226"/>
    <mergeCell ref="AZ226:BA226"/>
    <mergeCell ref="BB226:BC226"/>
    <mergeCell ref="BD226:BE226"/>
    <mergeCell ref="BF226:BG226"/>
    <mergeCell ref="BH226:BI226"/>
    <mergeCell ref="BJ226:BK226"/>
    <mergeCell ref="BL226:BM226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AJ225:AK225"/>
    <mergeCell ref="AL225:AM225"/>
    <mergeCell ref="AN225:AO225"/>
    <mergeCell ref="AP225:AQ225"/>
    <mergeCell ref="AR225:AS225"/>
    <mergeCell ref="AT225:AU225"/>
    <mergeCell ref="BJ225:BK225"/>
    <mergeCell ref="BL225:BM225"/>
    <mergeCell ref="BN225:BO225"/>
    <mergeCell ref="BP225:BQ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V225:AW225"/>
    <mergeCell ref="AX225:AY225"/>
    <mergeCell ref="AZ225:BA225"/>
    <mergeCell ref="BB225:BC225"/>
    <mergeCell ref="BD225:BE225"/>
    <mergeCell ref="BF225:BG225"/>
    <mergeCell ref="BH225:BI225"/>
    <mergeCell ref="F226:G226"/>
    <mergeCell ref="H226:I226"/>
    <mergeCell ref="J226:K226"/>
    <mergeCell ref="L226:M226"/>
    <mergeCell ref="N226:O226"/>
    <mergeCell ref="P226:Q226"/>
    <mergeCell ref="R226:S226"/>
    <mergeCell ref="AV228:AW228"/>
    <mergeCell ref="AX228:AY228"/>
    <mergeCell ref="AH228:AI228"/>
    <mergeCell ref="AJ228:AK228"/>
    <mergeCell ref="AL228:AM228"/>
    <mergeCell ref="AN228:AO228"/>
    <mergeCell ref="AP228:AQ228"/>
    <mergeCell ref="AR228:AS228"/>
    <mergeCell ref="AT228:AU228"/>
    <mergeCell ref="BN228:BO228"/>
    <mergeCell ref="BP228:BQ228"/>
    <mergeCell ref="AZ228:BA228"/>
    <mergeCell ref="BB228:BC228"/>
    <mergeCell ref="BD228:BE228"/>
    <mergeCell ref="BF228:BG228"/>
    <mergeCell ref="BH228:BI228"/>
    <mergeCell ref="BJ228:BK228"/>
    <mergeCell ref="BL228:BM228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L227:AM227"/>
    <mergeCell ref="AN227:AO227"/>
    <mergeCell ref="AP227:AQ227"/>
    <mergeCell ref="AR227:AS227"/>
    <mergeCell ref="AT227:AU227"/>
    <mergeCell ref="BJ227:BK227"/>
    <mergeCell ref="BL227:BM227"/>
    <mergeCell ref="BN227:BO227"/>
    <mergeCell ref="BP227:BQ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V227:AW227"/>
    <mergeCell ref="AX227:AY227"/>
    <mergeCell ref="AZ227:BA227"/>
    <mergeCell ref="BB227:BC227"/>
    <mergeCell ref="BD227:BE227"/>
    <mergeCell ref="BF227:BG227"/>
    <mergeCell ref="BH227:BI227"/>
    <mergeCell ref="F228:G228"/>
    <mergeCell ref="H228:I228"/>
    <mergeCell ref="J228:K228"/>
    <mergeCell ref="L228:M228"/>
    <mergeCell ref="N228:O228"/>
    <mergeCell ref="P228:Q228"/>
    <mergeCell ref="R228:S228"/>
    <mergeCell ref="AV230:AW230"/>
    <mergeCell ref="AX230:AY230"/>
    <mergeCell ref="AH230:AI230"/>
    <mergeCell ref="AJ230:AK230"/>
    <mergeCell ref="AL230:AM230"/>
    <mergeCell ref="AN230:AO230"/>
    <mergeCell ref="AP230:AQ230"/>
    <mergeCell ref="AR230:AS230"/>
    <mergeCell ref="AT230:AU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L231:AM231"/>
    <mergeCell ref="AN231:AO231"/>
    <mergeCell ref="AP231:AQ231"/>
    <mergeCell ref="AR231:AS231"/>
    <mergeCell ref="AT231:AU231"/>
    <mergeCell ref="BJ231:BK231"/>
    <mergeCell ref="BL231:BM231"/>
    <mergeCell ref="BN231:BO231"/>
    <mergeCell ref="BP231:BQ231"/>
    <mergeCell ref="AV231:AW231"/>
    <mergeCell ref="AX231:AY231"/>
    <mergeCell ref="AZ231:BA231"/>
    <mergeCell ref="BB231:BC231"/>
    <mergeCell ref="BD231:BE231"/>
    <mergeCell ref="BF231:BG231"/>
    <mergeCell ref="BH231:BI231"/>
    <mergeCell ref="F231:G231"/>
    <mergeCell ref="H231:I231"/>
    <mergeCell ref="J231:K231"/>
    <mergeCell ref="L231:M231"/>
    <mergeCell ref="N231:O231"/>
    <mergeCell ref="P231:Q231"/>
    <mergeCell ref="R231:S231"/>
    <mergeCell ref="BN237:BO237"/>
    <mergeCell ref="BP237:BQ237"/>
    <mergeCell ref="AZ237:BA237"/>
    <mergeCell ref="BB237:BC237"/>
    <mergeCell ref="BD237:BE237"/>
    <mergeCell ref="BF237:BG237"/>
    <mergeCell ref="BH237:BI237"/>
    <mergeCell ref="BJ237:BK237"/>
    <mergeCell ref="BL237:BM237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AJ236:AK236"/>
    <mergeCell ref="AL236:AM236"/>
    <mergeCell ref="AN236:AO236"/>
    <mergeCell ref="AP236:AQ236"/>
    <mergeCell ref="AR236:AS236"/>
    <mergeCell ref="AT236:AU236"/>
    <mergeCell ref="BJ236:BK236"/>
    <mergeCell ref="BL236:BM236"/>
    <mergeCell ref="BN236:BO236"/>
    <mergeCell ref="BP236:BQ236"/>
    <mergeCell ref="F236:G236"/>
    <mergeCell ref="H236:I236"/>
    <mergeCell ref="J236:K236"/>
    <mergeCell ref="L236:M236"/>
    <mergeCell ref="N236:O236"/>
    <mergeCell ref="P236:Q236"/>
    <mergeCell ref="R236:S236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AB237:AC237"/>
    <mergeCell ref="AD237:AE237"/>
    <mergeCell ref="AF237:AG237"/>
    <mergeCell ref="AV236:AW236"/>
    <mergeCell ref="AX236:AY236"/>
    <mergeCell ref="AZ236:BA236"/>
    <mergeCell ref="BB236:BC236"/>
    <mergeCell ref="BD236:BE236"/>
    <mergeCell ref="BF236:BG236"/>
    <mergeCell ref="BH236:BI236"/>
    <mergeCell ref="AV233:AW233"/>
    <mergeCell ref="AX233:AY233"/>
    <mergeCell ref="AH233:AI233"/>
    <mergeCell ref="AJ233:AK233"/>
    <mergeCell ref="AL233:AM233"/>
    <mergeCell ref="AN233:AO233"/>
    <mergeCell ref="AP233:AQ233"/>
    <mergeCell ref="AR233:AS233"/>
    <mergeCell ref="AT233:AU233"/>
    <mergeCell ref="BN233:BO233"/>
    <mergeCell ref="BP233:BQ233"/>
    <mergeCell ref="AZ233:BA233"/>
    <mergeCell ref="BB233:BC233"/>
    <mergeCell ref="BD233:BE233"/>
    <mergeCell ref="BF233:BG233"/>
    <mergeCell ref="BH233:BI233"/>
    <mergeCell ref="BJ233:BK233"/>
    <mergeCell ref="BL233:BM233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AJ232:AK232"/>
    <mergeCell ref="AL232:AM232"/>
    <mergeCell ref="AN232:AO232"/>
    <mergeCell ref="AP232:AQ232"/>
    <mergeCell ref="AR232:AS232"/>
    <mergeCell ref="AT232:AU232"/>
    <mergeCell ref="BJ232:BK232"/>
    <mergeCell ref="BL232:BM232"/>
    <mergeCell ref="BN232:BO232"/>
    <mergeCell ref="BP232:BQ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V232:AW232"/>
    <mergeCell ref="AX232:AY232"/>
    <mergeCell ref="AZ232:BA232"/>
    <mergeCell ref="BB232:BC232"/>
    <mergeCell ref="BD232:BE232"/>
    <mergeCell ref="BF232:BG232"/>
    <mergeCell ref="BH232:BI232"/>
    <mergeCell ref="F233:G233"/>
    <mergeCell ref="H233:I233"/>
    <mergeCell ref="J233:K233"/>
    <mergeCell ref="L233:M233"/>
    <mergeCell ref="N233:O233"/>
    <mergeCell ref="P233:Q233"/>
    <mergeCell ref="R233:S233"/>
    <mergeCell ref="AV235:AW235"/>
    <mergeCell ref="AX235:AY235"/>
    <mergeCell ref="AH235:AI235"/>
    <mergeCell ref="AJ235:AK235"/>
    <mergeCell ref="AL235:AM235"/>
    <mergeCell ref="AN235:AO235"/>
    <mergeCell ref="AP235:AQ235"/>
    <mergeCell ref="AR235:AS235"/>
    <mergeCell ref="AT235:AU235"/>
    <mergeCell ref="BN235:BO235"/>
    <mergeCell ref="BP235:BQ235"/>
    <mergeCell ref="AZ235:BA235"/>
    <mergeCell ref="BB235:BC235"/>
    <mergeCell ref="BD235:BE235"/>
    <mergeCell ref="BF235:BG235"/>
    <mergeCell ref="BH235:BI235"/>
    <mergeCell ref="BJ235:BK235"/>
    <mergeCell ref="BL235:BM235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AJ234:AK234"/>
    <mergeCell ref="AL234:AM234"/>
    <mergeCell ref="AN234:AO234"/>
    <mergeCell ref="AP234:AQ234"/>
    <mergeCell ref="AR234:AS234"/>
    <mergeCell ref="AT234:AU234"/>
    <mergeCell ref="BJ234:BK234"/>
    <mergeCell ref="BL234:BM234"/>
    <mergeCell ref="BN234:BO234"/>
    <mergeCell ref="BP234:BQ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V234:AW234"/>
    <mergeCell ref="AX234:AY234"/>
    <mergeCell ref="AZ234:BA234"/>
    <mergeCell ref="BB234:BC234"/>
    <mergeCell ref="BD234:BE234"/>
    <mergeCell ref="BF234:BG234"/>
    <mergeCell ref="BH234:BI234"/>
    <mergeCell ref="F235:G235"/>
    <mergeCell ref="H235:I235"/>
    <mergeCell ref="J235:K235"/>
    <mergeCell ref="L235:M235"/>
    <mergeCell ref="N235:O235"/>
    <mergeCell ref="P235:Q235"/>
    <mergeCell ref="R235:S235"/>
    <mergeCell ref="AV237:AW237"/>
    <mergeCell ref="AX237:AY237"/>
    <mergeCell ref="AH237:AI237"/>
    <mergeCell ref="AJ237:AK237"/>
    <mergeCell ref="AL237:AM237"/>
    <mergeCell ref="AN237:AO237"/>
    <mergeCell ref="AP237:AQ237"/>
    <mergeCell ref="AR237:AS237"/>
    <mergeCell ref="AT237:AU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AJ238:AK238"/>
    <mergeCell ref="AL238:AM238"/>
    <mergeCell ref="AN238:AO238"/>
    <mergeCell ref="AP238:AQ238"/>
    <mergeCell ref="AR238:AS238"/>
    <mergeCell ref="AT238:AU238"/>
    <mergeCell ref="BJ238:BK238"/>
    <mergeCell ref="BL238:BM238"/>
    <mergeCell ref="BN238:BO238"/>
    <mergeCell ref="BP238:BQ238"/>
    <mergeCell ref="AV238:AW238"/>
    <mergeCell ref="AX238:AY238"/>
    <mergeCell ref="AZ238:BA238"/>
    <mergeCell ref="BB238:BC238"/>
    <mergeCell ref="BD238:BE238"/>
    <mergeCell ref="BF238:BG238"/>
    <mergeCell ref="BH238:BI238"/>
    <mergeCell ref="F238:G238"/>
    <mergeCell ref="H238:I238"/>
    <mergeCell ref="J238:K238"/>
    <mergeCell ref="L238:M238"/>
    <mergeCell ref="N238:O238"/>
    <mergeCell ref="P238:Q238"/>
    <mergeCell ref="R238:S238"/>
    <mergeCell ref="BN166:BO166"/>
    <mergeCell ref="BP166:BQ166"/>
    <mergeCell ref="AZ166:BA166"/>
    <mergeCell ref="BB166:BC166"/>
    <mergeCell ref="BD166:BE166"/>
    <mergeCell ref="BF166:BG166"/>
    <mergeCell ref="BH166:BI166"/>
    <mergeCell ref="BJ166:BK166"/>
    <mergeCell ref="BL166:BM166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AJ165:AK165"/>
    <mergeCell ref="AL165:AM165"/>
    <mergeCell ref="AN165:AO165"/>
    <mergeCell ref="AP165:AQ165"/>
    <mergeCell ref="AR165:AS165"/>
    <mergeCell ref="AT165:AU165"/>
    <mergeCell ref="BJ165:BK165"/>
    <mergeCell ref="BL165:BM165"/>
    <mergeCell ref="BN165:BO165"/>
    <mergeCell ref="BP165:BQ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Z166:AA166"/>
    <mergeCell ref="AB166:AC166"/>
    <mergeCell ref="AD166:AE166"/>
    <mergeCell ref="AF166:AG166"/>
    <mergeCell ref="AV165:AW165"/>
    <mergeCell ref="AX165:AY165"/>
    <mergeCell ref="AZ165:BA165"/>
    <mergeCell ref="BB165:BC165"/>
    <mergeCell ref="BD165:BE165"/>
    <mergeCell ref="BF165:BG165"/>
    <mergeCell ref="BH165:BI165"/>
    <mergeCell ref="AV162:AW162"/>
    <mergeCell ref="AX162:AY162"/>
    <mergeCell ref="AH162:AI162"/>
    <mergeCell ref="AJ162:AK162"/>
    <mergeCell ref="AL162:AM162"/>
    <mergeCell ref="AN162:AO162"/>
    <mergeCell ref="AP162:AQ162"/>
    <mergeCell ref="AR162:AS162"/>
    <mergeCell ref="AT162:AU162"/>
    <mergeCell ref="BN162:BO162"/>
    <mergeCell ref="BP162:BQ162"/>
    <mergeCell ref="AZ162:BA162"/>
    <mergeCell ref="BB162:BC162"/>
    <mergeCell ref="BD162:BE162"/>
    <mergeCell ref="BF162:BG162"/>
    <mergeCell ref="BH162:BI162"/>
    <mergeCell ref="BJ162:BK162"/>
    <mergeCell ref="BL162:BM162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BJ161:BK161"/>
    <mergeCell ref="BL161:BM161"/>
    <mergeCell ref="BN161:BO161"/>
    <mergeCell ref="BP161:BQ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V161:AW161"/>
    <mergeCell ref="AX161:AY161"/>
    <mergeCell ref="AZ161:BA161"/>
    <mergeCell ref="BB161:BC161"/>
    <mergeCell ref="BD161:BE161"/>
    <mergeCell ref="BF161:BG161"/>
    <mergeCell ref="BH161:BI161"/>
    <mergeCell ref="F162:G162"/>
    <mergeCell ref="H162:I162"/>
    <mergeCell ref="J162:K162"/>
    <mergeCell ref="L162:M162"/>
    <mergeCell ref="N162:O162"/>
    <mergeCell ref="P162:Q162"/>
    <mergeCell ref="R162:S162"/>
    <mergeCell ref="AV164:AW164"/>
    <mergeCell ref="AX164:AY164"/>
    <mergeCell ref="AH164:AI164"/>
    <mergeCell ref="AJ164:AK164"/>
    <mergeCell ref="AL164:AM164"/>
    <mergeCell ref="AN164:AO164"/>
    <mergeCell ref="AP164:AQ164"/>
    <mergeCell ref="AR164:AS164"/>
    <mergeCell ref="AT164:AU164"/>
    <mergeCell ref="BN164:BO164"/>
    <mergeCell ref="BP164:BQ164"/>
    <mergeCell ref="AZ164:BA164"/>
    <mergeCell ref="BB164:BC164"/>
    <mergeCell ref="BD164:BE164"/>
    <mergeCell ref="BF164:BG164"/>
    <mergeCell ref="BH164:BI164"/>
    <mergeCell ref="BJ164:BK164"/>
    <mergeCell ref="BL164:BM164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L163:AM163"/>
    <mergeCell ref="AN163:AO163"/>
    <mergeCell ref="AP163:AQ163"/>
    <mergeCell ref="AR163:AS163"/>
    <mergeCell ref="AT163:AU163"/>
    <mergeCell ref="BJ163:BK163"/>
    <mergeCell ref="BL163:BM163"/>
    <mergeCell ref="BN163:BO163"/>
    <mergeCell ref="BP163:BQ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V163:AW163"/>
    <mergeCell ref="AX163:AY163"/>
    <mergeCell ref="AZ163:BA163"/>
    <mergeCell ref="BB163:BC163"/>
    <mergeCell ref="BD163:BE163"/>
    <mergeCell ref="BF163:BG163"/>
    <mergeCell ref="BH163:BI163"/>
    <mergeCell ref="F164:G164"/>
    <mergeCell ref="H164:I164"/>
    <mergeCell ref="J164:K164"/>
    <mergeCell ref="L164:M164"/>
    <mergeCell ref="N164:O164"/>
    <mergeCell ref="P164:Q164"/>
    <mergeCell ref="R164:S164"/>
    <mergeCell ref="AV166:AW166"/>
    <mergeCell ref="AX166:AY166"/>
    <mergeCell ref="AH166:AI166"/>
    <mergeCell ref="AJ166:AK166"/>
    <mergeCell ref="AL166:AM166"/>
    <mergeCell ref="AN166:AO166"/>
    <mergeCell ref="AP166:AQ166"/>
    <mergeCell ref="AR166:AS166"/>
    <mergeCell ref="AT166:AU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AJ167:AK167"/>
    <mergeCell ref="AL167:AM167"/>
    <mergeCell ref="AN167:AO167"/>
    <mergeCell ref="AP167:AQ167"/>
    <mergeCell ref="AR167:AS167"/>
    <mergeCell ref="AT167:AU167"/>
    <mergeCell ref="BJ167:BK167"/>
    <mergeCell ref="BL167:BM167"/>
    <mergeCell ref="BN167:BO167"/>
    <mergeCell ref="BP167:BQ167"/>
    <mergeCell ref="AV167:AW167"/>
    <mergeCell ref="AX167:AY167"/>
    <mergeCell ref="AZ167:BA167"/>
    <mergeCell ref="BB167:BC167"/>
    <mergeCell ref="BD167:BE167"/>
    <mergeCell ref="BF167:BG167"/>
    <mergeCell ref="BH167:BI167"/>
    <mergeCell ref="F167:G167"/>
    <mergeCell ref="H167:I167"/>
    <mergeCell ref="J167:K167"/>
    <mergeCell ref="L167:M167"/>
    <mergeCell ref="N167:O167"/>
    <mergeCell ref="P167:Q167"/>
    <mergeCell ref="R167:S167"/>
    <mergeCell ref="BN173:BO173"/>
    <mergeCell ref="BP173:BQ173"/>
    <mergeCell ref="AZ173:BA173"/>
    <mergeCell ref="BB173:BC173"/>
    <mergeCell ref="BD173:BE173"/>
    <mergeCell ref="BF173:BG173"/>
    <mergeCell ref="BH173:BI173"/>
    <mergeCell ref="BJ173:BK173"/>
    <mergeCell ref="BL173:BM173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AJ172:AK172"/>
    <mergeCell ref="AL172:AM172"/>
    <mergeCell ref="AN172:AO172"/>
    <mergeCell ref="AP172:AQ172"/>
    <mergeCell ref="AR172:AS172"/>
    <mergeCell ref="AT172:AU172"/>
    <mergeCell ref="BJ172:BK172"/>
    <mergeCell ref="BL172:BM172"/>
    <mergeCell ref="BN172:BO172"/>
    <mergeCell ref="BP172:BQ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Z173:AA173"/>
    <mergeCell ref="AB173:AC173"/>
    <mergeCell ref="AD173:AE173"/>
    <mergeCell ref="AF173:AG173"/>
    <mergeCell ref="AV172:AW172"/>
    <mergeCell ref="AX172:AY172"/>
    <mergeCell ref="AZ172:BA172"/>
    <mergeCell ref="BB172:BC172"/>
    <mergeCell ref="BD172:BE172"/>
    <mergeCell ref="BF172:BG172"/>
    <mergeCell ref="BH172:BI172"/>
    <mergeCell ref="AV169:AW169"/>
    <mergeCell ref="AX169:AY169"/>
    <mergeCell ref="AH169:AI169"/>
    <mergeCell ref="AJ169:AK169"/>
    <mergeCell ref="AL169:AM169"/>
    <mergeCell ref="AN169:AO169"/>
    <mergeCell ref="AP169:AQ169"/>
    <mergeCell ref="AR169:AS169"/>
    <mergeCell ref="AT169:AU169"/>
    <mergeCell ref="BN169:BO169"/>
    <mergeCell ref="BP169:BQ169"/>
    <mergeCell ref="AZ169:BA169"/>
    <mergeCell ref="BB169:BC169"/>
    <mergeCell ref="BD169:BE169"/>
    <mergeCell ref="BF169:BG169"/>
    <mergeCell ref="BH169:BI169"/>
    <mergeCell ref="BJ169:BK169"/>
    <mergeCell ref="BL169:BM169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L168:AM168"/>
    <mergeCell ref="AN168:AO168"/>
    <mergeCell ref="AP168:AQ168"/>
    <mergeCell ref="AR168:AS168"/>
    <mergeCell ref="AT168:AU168"/>
    <mergeCell ref="BJ168:BK168"/>
    <mergeCell ref="BL168:BM168"/>
    <mergeCell ref="BN168:BO168"/>
    <mergeCell ref="BP168:BQ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V168:AW168"/>
    <mergeCell ref="AX168:AY168"/>
    <mergeCell ref="AZ168:BA168"/>
    <mergeCell ref="BB168:BC168"/>
    <mergeCell ref="BD168:BE168"/>
    <mergeCell ref="BF168:BG168"/>
    <mergeCell ref="BH168:BI168"/>
    <mergeCell ref="F169:G169"/>
    <mergeCell ref="H169:I169"/>
    <mergeCell ref="J169:K169"/>
    <mergeCell ref="L169:M169"/>
    <mergeCell ref="N169:O169"/>
    <mergeCell ref="P169:Q169"/>
    <mergeCell ref="R169:S169"/>
    <mergeCell ref="AV171:AW171"/>
    <mergeCell ref="AX171:AY171"/>
    <mergeCell ref="AH171:AI171"/>
    <mergeCell ref="AJ171:AK171"/>
    <mergeCell ref="AL171:AM171"/>
    <mergeCell ref="AN171:AO171"/>
    <mergeCell ref="AP171:AQ171"/>
    <mergeCell ref="AR171:AS171"/>
    <mergeCell ref="AT171:AU171"/>
    <mergeCell ref="BN171:BO171"/>
    <mergeCell ref="BP171:BQ171"/>
    <mergeCell ref="AZ171:BA171"/>
    <mergeCell ref="BB171:BC171"/>
    <mergeCell ref="BD171:BE171"/>
    <mergeCell ref="BF171:BG171"/>
    <mergeCell ref="BH171:BI171"/>
    <mergeCell ref="BJ171:BK171"/>
    <mergeCell ref="BL171:BM171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BJ170:BK170"/>
    <mergeCell ref="BL170:BM170"/>
    <mergeCell ref="BN170:BO170"/>
    <mergeCell ref="BP170:BQ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V170:AW170"/>
    <mergeCell ref="AX170:AY170"/>
    <mergeCell ref="AZ170:BA170"/>
    <mergeCell ref="BB170:BC170"/>
    <mergeCell ref="BD170:BE170"/>
    <mergeCell ref="BF170:BG170"/>
    <mergeCell ref="BH170:BI170"/>
    <mergeCell ref="F171:G171"/>
    <mergeCell ref="H171:I171"/>
    <mergeCell ref="J171:K171"/>
    <mergeCell ref="L171:M171"/>
    <mergeCell ref="N171:O171"/>
    <mergeCell ref="P171:Q171"/>
    <mergeCell ref="R171:S171"/>
    <mergeCell ref="AV173:AW173"/>
    <mergeCell ref="AX173:AY173"/>
    <mergeCell ref="AH173:AI173"/>
    <mergeCell ref="AJ173:AK173"/>
    <mergeCell ref="AL173:AM173"/>
    <mergeCell ref="AN173:AO173"/>
    <mergeCell ref="AP173:AQ173"/>
    <mergeCell ref="AR173:AS173"/>
    <mergeCell ref="AT173:AU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AJ174:AK174"/>
    <mergeCell ref="AL174:AM174"/>
    <mergeCell ref="AN174:AO174"/>
    <mergeCell ref="AP174:AQ174"/>
    <mergeCell ref="AR174:AS174"/>
    <mergeCell ref="AT174:AU174"/>
    <mergeCell ref="BJ174:BK174"/>
    <mergeCell ref="BL174:BM174"/>
    <mergeCell ref="BN174:BO174"/>
    <mergeCell ref="BP174:BQ174"/>
    <mergeCell ref="AV174:AW174"/>
    <mergeCell ref="AX174:AY174"/>
    <mergeCell ref="AZ174:BA174"/>
    <mergeCell ref="BB174:BC174"/>
    <mergeCell ref="BD174:BE174"/>
    <mergeCell ref="BF174:BG174"/>
    <mergeCell ref="BH174:BI174"/>
    <mergeCell ref="F174:G174"/>
    <mergeCell ref="H174:I174"/>
    <mergeCell ref="J174:K174"/>
    <mergeCell ref="L174:M174"/>
    <mergeCell ref="N174:O174"/>
    <mergeCell ref="P174:Q174"/>
    <mergeCell ref="R174:S174"/>
    <mergeCell ref="BN180:BO180"/>
    <mergeCell ref="BP180:BQ180"/>
    <mergeCell ref="AZ180:BA180"/>
    <mergeCell ref="BB180:BC180"/>
    <mergeCell ref="BD180:BE180"/>
    <mergeCell ref="BF180:BG180"/>
    <mergeCell ref="BH180:BI180"/>
    <mergeCell ref="BJ180:BK180"/>
    <mergeCell ref="BL180:BM180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BJ179:BK179"/>
    <mergeCell ref="BL179:BM179"/>
    <mergeCell ref="BN179:BO179"/>
    <mergeCell ref="BP179:BQ179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Z180:AA180"/>
    <mergeCell ref="AB180:AC180"/>
    <mergeCell ref="AD180:AE180"/>
    <mergeCell ref="AF180:AG180"/>
    <mergeCell ref="AV179:AW179"/>
    <mergeCell ref="AX179:AY179"/>
    <mergeCell ref="AZ179:BA179"/>
    <mergeCell ref="BB179:BC179"/>
    <mergeCell ref="BD179:BE179"/>
    <mergeCell ref="BF179:BG179"/>
    <mergeCell ref="BH179:BI179"/>
    <mergeCell ref="AV176:AW176"/>
    <mergeCell ref="AX176:AY176"/>
    <mergeCell ref="AH176:AI176"/>
    <mergeCell ref="AJ176:AK176"/>
    <mergeCell ref="AL176:AM176"/>
    <mergeCell ref="AN176:AO176"/>
    <mergeCell ref="AP176:AQ176"/>
    <mergeCell ref="AR176:AS176"/>
    <mergeCell ref="AT176:AU176"/>
    <mergeCell ref="BN176:BO176"/>
    <mergeCell ref="BP176:BQ176"/>
    <mergeCell ref="AZ176:BA176"/>
    <mergeCell ref="BB176:BC176"/>
    <mergeCell ref="BD176:BE176"/>
    <mergeCell ref="BF176:BG176"/>
    <mergeCell ref="BH176:BI176"/>
    <mergeCell ref="BJ176:BK176"/>
    <mergeCell ref="BL176:BM176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AJ175:AK175"/>
    <mergeCell ref="AL175:AM175"/>
    <mergeCell ref="AN175:AO175"/>
    <mergeCell ref="AP175:AQ175"/>
    <mergeCell ref="AR175:AS175"/>
    <mergeCell ref="AT175:AU175"/>
    <mergeCell ref="BJ175:BK175"/>
    <mergeCell ref="BL175:BM175"/>
    <mergeCell ref="BN175:BO175"/>
    <mergeCell ref="BP175:BQ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V175:AW175"/>
    <mergeCell ref="AX175:AY175"/>
    <mergeCell ref="AZ175:BA175"/>
    <mergeCell ref="BB175:BC175"/>
    <mergeCell ref="BD175:BE175"/>
    <mergeCell ref="BF175:BG175"/>
    <mergeCell ref="BH175:BI175"/>
    <mergeCell ref="F176:G176"/>
    <mergeCell ref="H176:I176"/>
    <mergeCell ref="J176:K176"/>
    <mergeCell ref="L176:M176"/>
    <mergeCell ref="N176:O176"/>
    <mergeCell ref="P176:Q176"/>
    <mergeCell ref="R176:S176"/>
    <mergeCell ref="AV178:AW178"/>
    <mergeCell ref="AX178:AY178"/>
    <mergeCell ref="AH178:AI178"/>
    <mergeCell ref="AJ178:AK178"/>
    <mergeCell ref="AL178:AM178"/>
    <mergeCell ref="AN178:AO178"/>
    <mergeCell ref="AP178:AQ178"/>
    <mergeCell ref="AR178:AS178"/>
    <mergeCell ref="AT178:AU178"/>
    <mergeCell ref="BN178:BO178"/>
    <mergeCell ref="BP178:BQ178"/>
    <mergeCell ref="AZ178:BA178"/>
    <mergeCell ref="BB178:BC178"/>
    <mergeCell ref="BD178:BE178"/>
    <mergeCell ref="BF178:BG178"/>
    <mergeCell ref="BH178:BI178"/>
    <mergeCell ref="BJ178:BK178"/>
    <mergeCell ref="BL178:BM178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L177:AM177"/>
    <mergeCell ref="AN177:AO177"/>
    <mergeCell ref="AP177:AQ177"/>
    <mergeCell ref="AR177:AS177"/>
    <mergeCell ref="AT177:AU177"/>
    <mergeCell ref="BJ177:BK177"/>
    <mergeCell ref="BL177:BM177"/>
    <mergeCell ref="BN177:BO177"/>
    <mergeCell ref="BP177:BQ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V177:AW177"/>
    <mergeCell ref="AX177:AY177"/>
    <mergeCell ref="AZ177:BA177"/>
    <mergeCell ref="BB177:BC177"/>
    <mergeCell ref="BD177:BE177"/>
    <mergeCell ref="BF177:BG177"/>
    <mergeCell ref="BH177:BI177"/>
    <mergeCell ref="F178:G178"/>
    <mergeCell ref="H178:I178"/>
    <mergeCell ref="J178:K178"/>
    <mergeCell ref="L178:M178"/>
    <mergeCell ref="N178:O178"/>
    <mergeCell ref="P178:Q178"/>
    <mergeCell ref="R178:S178"/>
    <mergeCell ref="AV180:AW180"/>
    <mergeCell ref="AX180:AY180"/>
    <mergeCell ref="AH180:AI180"/>
    <mergeCell ref="AJ180:AK180"/>
    <mergeCell ref="AL180:AM180"/>
    <mergeCell ref="AN180:AO180"/>
    <mergeCell ref="AP180:AQ180"/>
    <mergeCell ref="AR180:AS180"/>
    <mergeCell ref="AT180:AU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AJ181:AK181"/>
    <mergeCell ref="AL181:AM181"/>
    <mergeCell ref="AN181:AO181"/>
    <mergeCell ref="AP181:AQ181"/>
    <mergeCell ref="AR181:AS181"/>
    <mergeCell ref="AT181:AU181"/>
    <mergeCell ref="BJ181:BK181"/>
    <mergeCell ref="BL181:BM181"/>
    <mergeCell ref="BN181:BO181"/>
    <mergeCell ref="BP181:BQ181"/>
    <mergeCell ref="AV181:AW181"/>
    <mergeCell ref="AX181:AY181"/>
    <mergeCell ref="AZ181:BA181"/>
    <mergeCell ref="BB181:BC181"/>
    <mergeCell ref="BD181:BE181"/>
    <mergeCell ref="BF181:BG181"/>
    <mergeCell ref="BH181:BI181"/>
    <mergeCell ref="F181:G181"/>
    <mergeCell ref="H181:I181"/>
    <mergeCell ref="J181:K181"/>
    <mergeCell ref="L181:M181"/>
    <mergeCell ref="N181:O181"/>
    <mergeCell ref="P181:Q181"/>
    <mergeCell ref="R181:S181"/>
    <mergeCell ref="AV247:AW247"/>
    <mergeCell ref="AX247:AY247"/>
    <mergeCell ref="AH247:AI247"/>
    <mergeCell ref="AJ247:AK247"/>
    <mergeCell ref="AL247:AM247"/>
    <mergeCell ref="AN247:AO247"/>
    <mergeCell ref="AP247:AQ247"/>
    <mergeCell ref="AR247:AS247"/>
    <mergeCell ref="AT247:AU247"/>
    <mergeCell ref="BN247:BO247"/>
    <mergeCell ref="BP247:BQ247"/>
    <mergeCell ref="AZ247:BA247"/>
    <mergeCell ref="BB247:BC247"/>
    <mergeCell ref="BD247:BE247"/>
    <mergeCell ref="BF247:BG247"/>
    <mergeCell ref="BH247:BI247"/>
    <mergeCell ref="BJ247:BK247"/>
    <mergeCell ref="BL247:BM247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AJ246:AK246"/>
    <mergeCell ref="AL246:AM246"/>
    <mergeCell ref="AN246:AO246"/>
    <mergeCell ref="AP246:AQ246"/>
    <mergeCell ref="AR246:AS246"/>
    <mergeCell ref="AT246:AU246"/>
    <mergeCell ref="BJ246:BK246"/>
    <mergeCell ref="BL246:BM246"/>
    <mergeCell ref="BN246:BO246"/>
    <mergeCell ref="BP246:BQ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V246:AW246"/>
    <mergeCell ref="AX246:AY246"/>
    <mergeCell ref="AZ246:BA246"/>
    <mergeCell ref="BB246:BC246"/>
    <mergeCell ref="BD246:BE246"/>
    <mergeCell ref="BF246:BG246"/>
    <mergeCell ref="BH246:BI246"/>
    <mergeCell ref="F247:G247"/>
    <mergeCell ref="H247:I247"/>
    <mergeCell ref="J247:K247"/>
    <mergeCell ref="L247:M247"/>
    <mergeCell ref="N247:O247"/>
    <mergeCell ref="P247:Q247"/>
    <mergeCell ref="R247:S247"/>
    <mergeCell ref="AV249:AW249"/>
    <mergeCell ref="AX249:AY249"/>
    <mergeCell ref="AH249:AI249"/>
    <mergeCell ref="AJ249:AK249"/>
    <mergeCell ref="AL249:AM249"/>
    <mergeCell ref="AN249:AO249"/>
    <mergeCell ref="AP249:AQ249"/>
    <mergeCell ref="AR249:AS249"/>
    <mergeCell ref="AT249:AU249"/>
    <mergeCell ref="BN249:BO249"/>
    <mergeCell ref="BP249:BQ249"/>
    <mergeCell ref="AZ249:BA249"/>
    <mergeCell ref="BB249:BC249"/>
    <mergeCell ref="BD249:BE249"/>
    <mergeCell ref="BF249:BG249"/>
    <mergeCell ref="BH249:BI249"/>
    <mergeCell ref="BJ249:BK249"/>
    <mergeCell ref="BL249:BM249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AJ250:AK250"/>
    <mergeCell ref="AL250:AM250"/>
    <mergeCell ref="AN250:AO250"/>
    <mergeCell ref="AP250:AQ250"/>
    <mergeCell ref="AR250:AS250"/>
    <mergeCell ref="AT250:AU250"/>
    <mergeCell ref="BJ250:BK250"/>
    <mergeCell ref="BL250:BM250"/>
    <mergeCell ref="BN250:BO250"/>
    <mergeCell ref="BP250:BQ250"/>
    <mergeCell ref="AV250:AW250"/>
    <mergeCell ref="AX250:AY250"/>
    <mergeCell ref="AZ250:BA250"/>
    <mergeCell ref="BB250:BC250"/>
    <mergeCell ref="BD250:BE250"/>
    <mergeCell ref="BF250:BG250"/>
    <mergeCell ref="BH250:BI250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AJ248:AK248"/>
    <mergeCell ref="AL248:AM248"/>
    <mergeCell ref="AN248:AO248"/>
    <mergeCell ref="AP248:AQ248"/>
    <mergeCell ref="AR248:AS248"/>
    <mergeCell ref="AT248:AU248"/>
    <mergeCell ref="BJ248:BK248"/>
    <mergeCell ref="BL248:BM248"/>
    <mergeCell ref="BN248:BO248"/>
    <mergeCell ref="BP248:BQ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V248:AW248"/>
    <mergeCell ref="AX248:AY248"/>
    <mergeCell ref="AZ248:BA248"/>
    <mergeCell ref="BB248:BC248"/>
    <mergeCell ref="BD248:BE248"/>
    <mergeCell ref="BF248:BG248"/>
    <mergeCell ref="BH248:BI248"/>
    <mergeCell ref="F249:G249"/>
    <mergeCell ref="H249:I249"/>
    <mergeCell ref="J249:K249"/>
    <mergeCell ref="L249:M249"/>
    <mergeCell ref="N249:O249"/>
    <mergeCell ref="P249:Q249"/>
    <mergeCell ref="R249:S249"/>
  </mergeCells>
  <dataValidations>
    <dataValidation type="list" allowBlank="1" showErrorMessage="1" sqref="A4:A31 A67:A93 A129:A155 A193:A219 A255:A280">
      <formula1>"Да,Нет"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1.22" defaultRowHeight="15.0"/>
  <cols>
    <col customWidth="1" min="1" max="1" width="4.78"/>
    <col customWidth="1" min="2" max="2" width="5.44"/>
    <col customWidth="1" min="3" max="3" width="3.56"/>
    <col customWidth="1" min="4" max="4" width="8.0"/>
    <col customWidth="1" min="5" max="5" width="32.67"/>
    <col customWidth="1" min="6" max="24" width="3.22"/>
    <col customWidth="1" min="25" max="25" width="3.56"/>
    <col customWidth="1" min="26" max="64" width="3.22"/>
    <col customWidth="1" min="65" max="65" width="3.56"/>
    <col customWidth="1" min="66" max="66" width="3.67"/>
    <col customWidth="1" min="67" max="67" width="3.78"/>
    <col customWidth="1" min="68" max="68" width="7.0"/>
    <col customWidth="1" min="69" max="69" width="6.56"/>
    <col customWidth="1" min="70" max="70" width="9.78"/>
    <col customWidth="1" min="71" max="71" width="9.0"/>
    <col customWidth="1" min="72" max="72" width="10.44"/>
    <col customWidth="1" min="73" max="73" width="7.22"/>
  </cols>
  <sheetData>
    <row r="1" ht="15.75" customHeight="1">
      <c r="A1" s="70"/>
      <c r="B1" s="978"/>
      <c r="C1" s="1728" t="s">
        <v>1415</v>
      </c>
      <c r="D1" s="1729"/>
      <c r="E1" s="1007"/>
      <c r="F1" s="13"/>
      <c r="G1" s="1007"/>
      <c r="H1" s="13"/>
      <c r="I1" s="1007"/>
      <c r="J1" s="13"/>
      <c r="K1" s="1007"/>
      <c r="L1" s="13"/>
      <c r="M1" s="1007"/>
      <c r="N1" s="13"/>
      <c r="O1" s="1007"/>
      <c r="P1" s="13"/>
      <c r="Q1" s="1190"/>
      <c r="R1" s="1190"/>
      <c r="S1" s="1012"/>
      <c r="T1" s="1190"/>
      <c r="U1" s="63"/>
      <c r="V1" s="1190"/>
      <c r="W1" s="63"/>
      <c r="X1" s="1190"/>
      <c r="Y1" s="63"/>
      <c r="Z1" s="1190"/>
      <c r="AA1" s="63"/>
      <c r="AB1" s="1190"/>
      <c r="AC1" s="63"/>
      <c r="AD1" s="1190"/>
      <c r="AE1" s="63"/>
      <c r="AF1" s="1190"/>
      <c r="AG1" s="1730"/>
      <c r="AH1" s="1190"/>
      <c r="AI1" s="1730"/>
      <c r="AJ1" s="1190"/>
      <c r="AK1" s="63"/>
      <c r="AL1" s="63"/>
      <c r="AM1" s="1190"/>
      <c r="AN1" s="1190"/>
      <c r="AO1" s="1190"/>
      <c r="AP1" s="1190"/>
      <c r="AQ1" s="1190"/>
      <c r="AR1" s="1190"/>
      <c r="AS1" s="1190"/>
      <c r="AT1" s="1190"/>
      <c r="AU1" s="1190"/>
      <c r="AV1" s="1190"/>
      <c r="AW1" s="1190"/>
      <c r="AX1" s="1190"/>
      <c r="AY1" s="1190"/>
      <c r="AZ1" s="1190"/>
      <c r="BA1" s="1190"/>
      <c r="BB1" s="1190"/>
      <c r="BC1" s="1190"/>
      <c r="BD1" s="1190"/>
      <c r="BE1" s="1190"/>
      <c r="BF1" s="1190"/>
      <c r="BG1" s="1190"/>
      <c r="BH1" s="1190"/>
      <c r="BI1" s="1190"/>
      <c r="BJ1" s="1190"/>
      <c r="BK1" s="1190"/>
      <c r="BL1" s="1190"/>
      <c r="BM1" s="1190"/>
      <c r="BQ1" s="195"/>
      <c r="BR1" s="195"/>
      <c r="BT1" s="1005"/>
    </row>
    <row r="2" ht="15.75" customHeight="1">
      <c r="A2" s="1547" t="s">
        <v>3067</v>
      </c>
      <c r="B2" s="1548"/>
      <c r="C2" s="1731"/>
      <c r="D2" s="1731">
        <v>46243.0</v>
      </c>
      <c r="E2" s="1551" t="s">
        <v>3096</v>
      </c>
      <c r="F2" s="1552"/>
      <c r="G2" s="1552"/>
      <c r="H2" s="1552"/>
      <c r="I2" s="1552"/>
      <c r="J2" s="1552"/>
      <c r="K2" s="1552"/>
      <c r="L2" s="1552"/>
      <c r="M2" s="1552"/>
      <c r="N2" s="1552"/>
      <c r="O2" s="1552"/>
      <c r="P2" s="1552"/>
      <c r="Q2" s="1552"/>
      <c r="R2" s="1552"/>
      <c r="S2" s="1552"/>
      <c r="T2" s="1552"/>
      <c r="U2" s="1552"/>
      <c r="V2" s="1553"/>
      <c r="W2" s="1552"/>
      <c r="X2" s="1552"/>
      <c r="Y2" s="1552"/>
      <c r="Z2" s="1552"/>
      <c r="AA2" s="1552"/>
      <c r="AB2" s="1552"/>
      <c r="AC2" s="1552"/>
      <c r="AD2" s="1552"/>
      <c r="AE2" s="1552"/>
      <c r="AF2" s="1552"/>
      <c r="AG2" s="1552"/>
      <c r="AH2" s="1552"/>
      <c r="AI2" s="1552"/>
      <c r="AJ2" s="1552"/>
      <c r="AK2" s="1552"/>
      <c r="AL2" s="1552"/>
      <c r="AM2" s="1552"/>
      <c r="AN2" s="1552"/>
      <c r="AO2" s="1552"/>
      <c r="AP2" s="1553"/>
      <c r="AQ2" s="1552"/>
      <c r="AR2" s="1552"/>
      <c r="AS2" s="1552"/>
      <c r="AT2" s="1552"/>
      <c r="AU2" s="1552"/>
      <c r="AV2" s="1552"/>
      <c r="AW2" s="1552"/>
      <c r="AX2" s="1552"/>
      <c r="AY2" s="1552"/>
      <c r="AZ2" s="1552"/>
      <c r="BA2" s="1552"/>
      <c r="BB2" s="1552"/>
      <c r="BC2" s="1552"/>
      <c r="BD2" s="1552"/>
      <c r="BE2" s="1552"/>
      <c r="BF2" s="1552"/>
      <c r="BG2" s="1552"/>
      <c r="BH2" s="1552"/>
      <c r="BI2" s="1552"/>
      <c r="BJ2" s="1552"/>
      <c r="BK2" s="1552"/>
      <c r="BL2" s="1552"/>
      <c r="BM2" s="1552"/>
      <c r="BN2" s="1552"/>
      <c r="BO2" s="1552"/>
      <c r="BP2" s="1552"/>
      <c r="BQ2" s="1554"/>
      <c r="BR2" s="1554"/>
      <c r="BS2" s="1555"/>
      <c r="BT2" s="1732"/>
      <c r="BU2" s="1552"/>
    </row>
    <row r="3" ht="15.75" customHeight="1">
      <c r="A3" s="1565"/>
      <c r="B3" s="1557" t="s">
        <v>1283</v>
      </c>
      <c r="C3" s="1733" t="s">
        <v>19</v>
      </c>
      <c r="D3" s="1734" t="s">
        <v>473</v>
      </c>
      <c r="E3" s="1559" t="s">
        <v>471</v>
      </c>
      <c r="F3" s="1075" t="s">
        <v>1357</v>
      </c>
      <c r="G3" s="1409" t="s">
        <v>3071</v>
      </c>
      <c r="H3" s="1075" t="s">
        <v>1287</v>
      </c>
      <c r="I3" s="1409" t="s">
        <v>1288</v>
      </c>
      <c r="J3" s="1075" t="s">
        <v>1358</v>
      </c>
      <c r="K3" s="1409" t="s">
        <v>3072</v>
      </c>
      <c r="L3" s="1075" t="s">
        <v>1359</v>
      </c>
      <c r="M3" s="1409" t="s">
        <v>3073</v>
      </c>
      <c r="N3" s="1075" t="s">
        <v>1360</v>
      </c>
      <c r="O3" s="1409" t="s">
        <v>3074</v>
      </c>
      <c r="P3" s="1075" t="s">
        <v>1361</v>
      </c>
      <c r="Q3" s="1409" t="s">
        <v>3075</v>
      </c>
      <c r="R3" s="1485" t="s">
        <v>1362</v>
      </c>
      <c r="S3" s="1560" t="s">
        <v>1298</v>
      </c>
      <c r="T3" s="1427" t="s">
        <v>1299</v>
      </c>
      <c r="U3" s="1560" t="s">
        <v>1300</v>
      </c>
      <c r="V3" s="1487" t="s">
        <v>1301</v>
      </c>
      <c r="W3" s="1560" t="s">
        <v>1302</v>
      </c>
      <c r="X3" s="1427" t="s">
        <v>1363</v>
      </c>
      <c r="Y3" s="1560" t="s">
        <v>1304</v>
      </c>
      <c r="Z3" s="1487" t="s">
        <v>1305</v>
      </c>
      <c r="AA3" s="1560" t="s">
        <v>1306</v>
      </c>
      <c r="AB3" s="1487" t="s">
        <v>1307</v>
      </c>
      <c r="AC3" s="1560" t="s">
        <v>1308</v>
      </c>
      <c r="AD3" s="1487" t="s">
        <v>1309</v>
      </c>
      <c r="AE3" s="1560" t="s">
        <v>1310</v>
      </c>
      <c r="AF3" s="1427" t="s">
        <v>1311</v>
      </c>
      <c r="AG3" s="1560" t="s">
        <v>1312</v>
      </c>
      <c r="AH3" s="1487" t="s">
        <v>1313</v>
      </c>
      <c r="AI3" s="1560" t="s">
        <v>1314</v>
      </c>
      <c r="AJ3" s="1487" t="s">
        <v>1315</v>
      </c>
      <c r="AK3" s="1560" t="s">
        <v>1316</v>
      </c>
      <c r="AL3" s="1487" t="s">
        <v>1317</v>
      </c>
      <c r="AM3" s="1560" t="s">
        <v>1318</v>
      </c>
      <c r="AN3" s="1487" t="s">
        <v>1319</v>
      </c>
      <c r="AO3" s="1560" t="s">
        <v>1320</v>
      </c>
      <c r="AP3" s="1487" t="s">
        <v>1321</v>
      </c>
      <c r="AQ3" s="1486" t="s">
        <v>1322</v>
      </c>
      <c r="AR3" s="1427" t="s">
        <v>1323</v>
      </c>
      <c r="AS3" s="1486" t="s">
        <v>1324</v>
      </c>
      <c r="AT3" s="1485" t="s">
        <v>1325</v>
      </c>
      <c r="AU3" s="1486" t="s">
        <v>1326</v>
      </c>
      <c r="AV3" s="1485" t="s">
        <v>1327</v>
      </c>
      <c r="AW3" s="1486" t="s">
        <v>1328</v>
      </c>
      <c r="AX3" s="1485" t="s">
        <v>3076</v>
      </c>
      <c r="AY3" s="1486" t="s">
        <v>3077</v>
      </c>
      <c r="AZ3" s="1485" t="s">
        <v>3078</v>
      </c>
      <c r="BA3" s="1486" t="s">
        <v>3079</v>
      </c>
      <c r="BB3" s="1485" t="s">
        <v>3080</v>
      </c>
      <c r="BC3" s="1486" t="s">
        <v>3081</v>
      </c>
      <c r="BD3" s="1485" t="s">
        <v>3082</v>
      </c>
      <c r="BE3" s="1486" t="s">
        <v>3083</v>
      </c>
      <c r="BF3" s="1485" t="s">
        <v>3084</v>
      </c>
      <c r="BG3" s="1486" t="s">
        <v>3085</v>
      </c>
      <c r="BH3" s="1485" t="s">
        <v>3086</v>
      </c>
      <c r="BI3" s="1486" t="s">
        <v>3087</v>
      </c>
      <c r="BJ3" s="1485" t="s">
        <v>3088</v>
      </c>
      <c r="BK3" s="1486" t="s">
        <v>3089</v>
      </c>
      <c r="BL3" s="1120" t="s">
        <v>1425</v>
      </c>
      <c r="BM3" s="1121" t="s">
        <v>3045</v>
      </c>
      <c r="BN3" s="1487" t="s">
        <v>3090</v>
      </c>
      <c r="BO3" s="1486" t="s">
        <v>3091</v>
      </c>
      <c r="BP3" s="1606" t="s">
        <v>1331</v>
      </c>
      <c r="BQ3" s="1168" t="s">
        <v>3092</v>
      </c>
      <c r="BR3" s="1120" t="s">
        <v>3093</v>
      </c>
      <c r="BS3" s="1075" t="s">
        <v>3094</v>
      </c>
    </row>
    <row r="4" ht="15.75" customHeight="1">
      <c r="A4" s="1565" t="s">
        <v>145</v>
      </c>
      <c r="B4" s="1611">
        <v>4323.0</v>
      </c>
      <c r="C4" s="1567">
        <v>210.0</v>
      </c>
      <c r="D4" s="1735" t="s">
        <v>3095</v>
      </c>
      <c r="E4" s="1613" t="str">
        <f>'Матрица 4 недели'!D98</f>
        <v>Груша запеченая с творожным кремом</v>
      </c>
      <c r="F4" s="1120">
        <v>3.0</v>
      </c>
      <c r="G4" s="1121">
        <v>3.0</v>
      </c>
      <c r="H4" s="1120">
        <v>6.0</v>
      </c>
      <c r="I4" s="1121">
        <v>6.0</v>
      </c>
      <c r="J4" s="1120">
        <v>2.0</v>
      </c>
      <c r="K4" s="1121">
        <v>2.0</v>
      </c>
      <c r="L4" s="1120"/>
      <c r="M4" s="1121"/>
      <c r="N4" s="1120">
        <v>3.0</v>
      </c>
      <c r="O4" s="1121">
        <v>3.0</v>
      </c>
      <c r="P4" s="1120">
        <v>3.0</v>
      </c>
      <c r="Q4" s="1121">
        <v>3.0</v>
      </c>
      <c r="R4" s="1126">
        <v>0.0</v>
      </c>
      <c r="S4" s="1121">
        <v>0.0</v>
      </c>
      <c r="T4" s="1120">
        <v>2.0</v>
      </c>
      <c r="U4" s="1121">
        <v>2.0</v>
      </c>
      <c r="V4" s="1126">
        <v>3.0</v>
      </c>
      <c r="W4" s="1121">
        <v>3.0</v>
      </c>
      <c r="X4" s="1126">
        <v>3.0</v>
      </c>
      <c r="Y4" s="1121">
        <v>3.0</v>
      </c>
      <c r="Z4" s="1137"/>
      <c r="AA4" s="1121"/>
      <c r="AB4" s="1126">
        <v>2.0</v>
      </c>
      <c r="AC4" s="1121">
        <v>2.0</v>
      </c>
      <c r="AD4" s="1126">
        <v>3.0</v>
      </c>
      <c r="AE4" s="1121">
        <v>3.0</v>
      </c>
      <c r="AF4" s="1120">
        <v>4.0</v>
      </c>
      <c r="AG4" s="1121">
        <v>4.0</v>
      </c>
      <c r="AH4" s="1126">
        <v>2.0</v>
      </c>
      <c r="AI4" s="1121">
        <v>2.0</v>
      </c>
      <c r="AJ4" s="1120">
        <v>2.0</v>
      </c>
      <c r="AK4" s="1121">
        <v>2.0</v>
      </c>
      <c r="AL4" s="1137">
        <v>0.0</v>
      </c>
      <c r="AM4" s="1121">
        <v>0.0</v>
      </c>
      <c r="AN4" s="1126"/>
      <c r="AO4" s="1138"/>
      <c r="AP4" s="1126">
        <v>2.0</v>
      </c>
      <c r="AQ4" s="1121">
        <v>2.0</v>
      </c>
      <c r="AR4" s="1126">
        <v>10.0</v>
      </c>
      <c r="AS4" s="1121">
        <v>10.0</v>
      </c>
      <c r="AT4" s="1126">
        <v>2.0</v>
      </c>
      <c r="AU4" s="1121">
        <v>2.0</v>
      </c>
      <c r="AV4" s="1126">
        <v>2.0</v>
      </c>
      <c r="AW4" s="1121">
        <v>2.0</v>
      </c>
      <c r="AX4" s="1126">
        <v>10.0</v>
      </c>
      <c r="AY4" s="1121">
        <v>10.0</v>
      </c>
      <c r="AZ4" s="1126">
        <v>2.0</v>
      </c>
      <c r="BA4" s="1138">
        <v>2.0</v>
      </c>
      <c r="BB4" s="1126">
        <v>3.0</v>
      </c>
      <c r="BC4" s="1570">
        <v>3.0</v>
      </c>
      <c r="BD4" s="1126">
        <v>2.0</v>
      </c>
      <c r="BE4" s="1127">
        <v>2.0</v>
      </c>
      <c r="BF4" s="1126">
        <v>2.0</v>
      </c>
      <c r="BG4" s="1127">
        <v>2.0</v>
      </c>
      <c r="BH4" s="1126">
        <v>2.0</v>
      </c>
      <c r="BI4" s="1127">
        <v>2.0</v>
      </c>
      <c r="BJ4" s="1126">
        <v>2.0</v>
      </c>
      <c r="BK4" s="1127">
        <v>2.0</v>
      </c>
      <c r="BL4" s="1134"/>
      <c r="BM4" s="1121"/>
      <c r="BN4" s="1176"/>
      <c r="BO4" s="1737"/>
      <c r="BP4" s="783">
        <f t="shared" ref="BP4:BP30" si="1">(F4+H4+J4+L4+N4+P4+R4+T4+V4+X4+Z4+AB4+AF4+AH4+AJ4+AR4+BL4+AL4+AD4+AN4+AP4+AT4+AV4+AX4+AZ4+BJ4)+1+BB4+BD4+BF4+BH4</f>
        <v>78</v>
      </c>
      <c r="BQ4" s="1170">
        <f t="shared" ref="BQ4:BQ30" si="2">G4+I4+K4+M4+O4+Q4+S4+W4+U4+Y4+AA4+BM4+AC4+AG4+AI4+AK4+AS4+AE4+AM4+AO4+AQ4+AU4+AW4+AY4+BA4+BC4+BE4+BG4+BI4+BK4</f>
        <v>77</v>
      </c>
      <c r="BR4" s="1572">
        <f>BQ4*C4</f>
        <v>16170</v>
      </c>
      <c r="BS4" s="784">
        <f t="shared" ref="BS4:BS30" si="3">BP4*C4</f>
        <v>16380</v>
      </c>
      <c r="BT4" s="1610"/>
    </row>
    <row r="5" ht="15.75" customHeight="1">
      <c r="A5" s="1565" t="s">
        <v>145</v>
      </c>
      <c r="B5" s="1611">
        <v>3290.0</v>
      </c>
      <c r="C5" s="1567">
        <v>96.0</v>
      </c>
      <c r="D5" s="1735" t="s">
        <v>3095</v>
      </c>
      <c r="E5" s="1613" t="str">
        <f>'Матрица 4 недели'!D99</f>
        <v>Каша пшенная с курагой</v>
      </c>
      <c r="F5" s="1120">
        <v>3.0</v>
      </c>
      <c r="G5" s="1138">
        <v>3.0</v>
      </c>
      <c r="H5" s="1120">
        <v>3.0</v>
      </c>
      <c r="I5" s="1138">
        <v>3.0</v>
      </c>
      <c r="J5" s="1120">
        <v>3.0</v>
      </c>
      <c r="K5" s="1138">
        <v>3.0</v>
      </c>
      <c r="L5" s="1120">
        <v>3.0</v>
      </c>
      <c r="M5" s="1138">
        <v>3.0</v>
      </c>
      <c r="N5" s="1120">
        <v>8.0</v>
      </c>
      <c r="O5" s="1138">
        <v>8.0</v>
      </c>
      <c r="P5" s="1120">
        <v>8.0</v>
      </c>
      <c r="Q5" s="1138">
        <v>8.0</v>
      </c>
      <c r="R5" s="1126">
        <v>2.0</v>
      </c>
      <c r="S5" s="1138">
        <v>2.0</v>
      </c>
      <c r="T5" s="1120">
        <v>2.0</v>
      </c>
      <c r="U5" s="1138">
        <v>2.0</v>
      </c>
      <c r="V5" s="1126">
        <v>0.0</v>
      </c>
      <c r="W5" s="1138">
        <v>0.0</v>
      </c>
      <c r="X5" s="1126">
        <v>0.0</v>
      </c>
      <c r="Y5" s="1138">
        <v>0.0</v>
      </c>
      <c r="Z5" s="1137"/>
      <c r="AA5" s="1138"/>
      <c r="AB5" s="1126">
        <v>2.0</v>
      </c>
      <c r="AC5" s="1138">
        <v>2.0</v>
      </c>
      <c r="AD5" s="1126">
        <v>3.0</v>
      </c>
      <c r="AE5" s="1138">
        <v>3.0</v>
      </c>
      <c r="AF5" s="1120">
        <v>5.0</v>
      </c>
      <c r="AG5" s="1138">
        <v>5.0</v>
      </c>
      <c r="AH5" s="1126">
        <v>4.0</v>
      </c>
      <c r="AI5" s="1138">
        <v>4.0</v>
      </c>
      <c r="AJ5" s="1120">
        <v>2.0</v>
      </c>
      <c r="AK5" s="1138">
        <v>2.0</v>
      </c>
      <c r="AL5" s="1137">
        <v>0.0</v>
      </c>
      <c r="AM5" s="1138">
        <v>0.0</v>
      </c>
      <c r="AN5" s="1126"/>
      <c r="AO5" s="1138"/>
      <c r="AP5" s="1120">
        <v>2.0</v>
      </c>
      <c r="AQ5" s="1138">
        <v>2.0</v>
      </c>
      <c r="AR5" s="1126">
        <v>5.0</v>
      </c>
      <c r="AS5" s="1138">
        <v>5.0</v>
      </c>
      <c r="AT5" s="1126">
        <v>0.0</v>
      </c>
      <c r="AU5" s="1138">
        <v>0.0</v>
      </c>
      <c r="AV5" s="1126">
        <v>2.0</v>
      </c>
      <c r="AW5" s="1138">
        <v>2.0</v>
      </c>
      <c r="AX5" s="1126">
        <v>1.0</v>
      </c>
      <c r="AY5" s="1138">
        <v>1.0</v>
      </c>
      <c r="AZ5" s="1126">
        <v>1.0</v>
      </c>
      <c r="BA5" s="1138">
        <v>1.0</v>
      </c>
      <c r="BB5" s="1126">
        <v>5.0</v>
      </c>
      <c r="BC5" s="1570">
        <v>5.0</v>
      </c>
      <c r="BD5" s="1126">
        <v>1.0</v>
      </c>
      <c r="BE5" s="1127">
        <v>1.0</v>
      </c>
      <c r="BF5" s="1126">
        <v>2.0</v>
      </c>
      <c r="BG5" s="1127">
        <v>2.0</v>
      </c>
      <c r="BH5" s="1126">
        <v>0.0</v>
      </c>
      <c r="BI5" s="1127">
        <v>0.0</v>
      </c>
      <c r="BJ5" s="1126">
        <v>4.0</v>
      </c>
      <c r="BK5" s="1127">
        <v>4.0</v>
      </c>
      <c r="BL5" s="1134"/>
      <c r="BM5" s="1138"/>
      <c r="BN5" s="783"/>
      <c r="BO5" s="1170"/>
      <c r="BP5" s="783">
        <f t="shared" si="1"/>
        <v>72</v>
      </c>
      <c r="BQ5" s="1170">
        <f t="shared" si="2"/>
        <v>71</v>
      </c>
      <c r="BR5" s="1572">
        <v>71.0</v>
      </c>
      <c r="BS5" s="784">
        <f t="shared" si="3"/>
        <v>6912</v>
      </c>
      <c r="BT5" s="1610"/>
    </row>
    <row r="6" ht="15.75" customHeight="1">
      <c r="A6" s="1565" t="s">
        <v>145</v>
      </c>
      <c r="B6" s="1611">
        <v>1550.0</v>
      </c>
      <c r="C6" s="1567">
        <v>158.0</v>
      </c>
      <c r="D6" s="1735" t="s">
        <v>3095</v>
      </c>
      <c r="E6" s="1613" t="str">
        <f>'Матрица 4 недели'!D100</f>
        <v>Омлет с овощами и сыром </v>
      </c>
      <c r="F6" s="1137">
        <v>3.0</v>
      </c>
      <c r="G6" s="1138">
        <v>4.0</v>
      </c>
      <c r="H6" s="1126">
        <v>2.0</v>
      </c>
      <c r="I6" s="1138">
        <v>2.0</v>
      </c>
      <c r="J6" s="1126">
        <v>5.0</v>
      </c>
      <c r="K6" s="1138">
        <v>6.0</v>
      </c>
      <c r="L6" s="1126">
        <v>3.0</v>
      </c>
      <c r="M6" s="1138">
        <v>3.0</v>
      </c>
      <c r="N6" s="1126">
        <v>5.0</v>
      </c>
      <c r="O6" s="1138">
        <v>6.0</v>
      </c>
      <c r="P6" s="1126">
        <v>1.0</v>
      </c>
      <c r="Q6" s="1121">
        <v>1.0</v>
      </c>
      <c r="R6" s="1126">
        <v>3.0</v>
      </c>
      <c r="S6" s="1121">
        <v>3.0</v>
      </c>
      <c r="T6" s="1137">
        <v>5.0</v>
      </c>
      <c r="U6" s="1121">
        <v>6.0</v>
      </c>
      <c r="V6" s="1126">
        <v>3.0</v>
      </c>
      <c r="W6" s="1121">
        <v>4.0</v>
      </c>
      <c r="X6" s="1126">
        <v>5.0</v>
      </c>
      <c r="Y6" s="1121">
        <v>5.0</v>
      </c>
      <c r="Z6" s="1137"/>
      <c r="AA6" s="1121"/>
      <c r="AB6" s="1126">
        <v>5.0</v>
      </c>
      <c r="AC6" s="1121">
        <v>5.0</v>
      </c>
      <c r="AD6" s="1126">
        <v>2.0</v>
      </c>
      <c r="AE6" s="1121">
        <v>2.0</v>
      </c>
      <c r="AF6" s="1137">
        <v>7.0</v>
      </c>
      <c r="AG6" s="1121">
        <v>8.0</v>
      </c>
      <c r="AH6" s="1126">
        <v>2.0</v>
      </c>
      <c r="AI6" s="1121">
        <v>3.0</v>
      </c>
      <c r="AJ6" s="1120">
        <v>7.0</v>
      </c>
      <c r="AK6" s="1121">
        <v>8.0</v>
      </c>
      <c r="AL6" s="1137">
        <v>5.0</v>
      </c>
      <c r="AM6" s="1121">
        <v>6.0</v>
      </c>
      <c r="AN6" s="1126"/>
      <c r="AO6" s="1138"/>
      <c r="AP6" s="1137">
        <v>4.0</v>
      </c>
      <c r="AQ6" s="1138">
        <v>5.0</v>
      </c>
      <c r="AR6" s="1126">
        <v>8.0</v>
      </c>
      <c r="AS6" s="1138">
        <v>9.0</v>
      </c>
      <c r="AT6" s="1126">
        <v>3.0</v>
      </c>
      <c r="AU6" s="1131">
        <v>4.0</v>
      </c>
      <c r="AV6" s="1126">
        <v>2.0</v>
      </c>
      <c r="AW6" s="1138">
        <v>3.0</v>
      </c>
      <c r="AX6" s="1126">
        <v>5.0</v>
      </c>
      <c r="AY6" s="1131">
        <v>6.0</v>
      </c>
      <c r="AZ6" s="1126">
        <v>3.0</v>
      </c>
      <c r="BA6" s="1138">
        <v>3.0</v>
      </c>
      <c r="BB6" s="1126">
        <v>5.0</v>
      </c>
      <c r="BC6" s="1570">
        <v>5.0</v>
      </c>
      <c r="BD6" s="1126">
        <v>2.0</v>
      </c>
      <c r="BE6" s="1127">
        <v>2.0</v>
      </c>
      <c r="BF6" s="1126">
        <v>3.0</v>
      </c>
      <c r="BG6" s="1127">
        <v>3.0</v>
      </c>
      <c r="BH6" s="1126">
        <v>6.0</v>
      </c>
      <c r="BI6" s="1127">
        <v>8.0</v>
      </c>
      <c r="BJ6" s="1126">
        <v>5.0</v>
      </c>
      <c r="BK6" s="1127">
        <v>6.0</v>
      </c>
      <c r="BL6" s="1139"/>
      <c r="BM6" s="1138"/>
      <c r="BN6" s="1176"/>
      <c r="BO6" s="1737"/>
      <c r="BP6" s="783">
        <f t="shared" si="1"/>
        <v>110</v>
      </c>
      <c r="BQ6" s="1170">
        <f t="shared" si="2"/>
        <v>126</v>
      </c>
      <c r="BR6" s="1572">
        <f t="shared" ref="BR6:BR15" si="4">BQ6*C6</f>
        <v>19908</v>
      </c>
      <c r="BS6" s="784">
        <f t="shared" si="3"/>
        <v>17380</v>
      </c>
      <c r="BT6" s="1610"/>
    </row>
    <row r="7" ht="15.75" customHeight="1">
      <c r="A7" s="1565" t="s">
        <v>145</v>
      </c>
      <c r="B7" s="1611">
        <v>3076.0</v>
      </c>
      <c r="C7" s="1567">
        <v>98.0</v>
      </c>
      <c r="D7" s="1735" t="s">
        <v>70</v>
      </c>
      <c r="E7" s="1613" t="str">
        <f>'Матрица 4 недели'!G98</f>
        <v>Салат ''Оливье'' (колбаса варен)</v>
      </c>
      <c r="F7" s="1126">
        <v>7.0</v>
      </c>
      <c r="G7" s="1121">
        <v>7.0</v>
      </c>
      <c r="H7" s="1120">
        <v>2.0</v>
      </c>
      <c r="I7" s="1121">
        <v>2.0</v>
      </c>
      <c r="J7" s="1120">
        <v>11.0</v>
      </c>
      <c r="K7" s="1121">
        <v>11.0</v>
      </c>
      <c r="L7" s="1126">
        <v>3.0</v>
      </c>
      <c r="M7" s="1121">
        <v>3.0</v>
      </c>
      <c r="N7" s="1126">
        <v>6.0</v>
      </c>
      <c r="O7" s="1121">
        <v>6.0</v>
      </c>
      <c r="P7" s="1126">
        <v>6.0</v>
      </c>
      <c r="Q7" s="1121">
        <v>6.0</v>
      </c>
      <c r="R7" s="1126">
        <v>3.0</v>
      </c>
      <c r="S7" s="1121">
        <v>3.0</v>
      </c>
      <c r="T7" s="1120">
        <v>3.0</v>
      </c>
      <c r="U7" s="1121">
        <v>3.0</v>
      </c>
      <c r="V7" s="1120">
        <v>2.0</v>
      </c>
      <c r="W7" s="1121">
        <v>2.0</v>
      </c>
      <c r="X7" s="1120">
        <v>2.0</v>
      </c>
      <c r="Y7" s="1121">
        <v>2.0</v>
      </c>
      <c r="Z7" s="1137"/>
      <c r="AA7" s="1121"/>
      <c r="AB7" s="1126">
        <v>3.0</v>
      </c>
      <c r="AC7" s="1121">
        <v>3.0</v>
      </c>
      <c r="AD7" s="1126">
        <v>2.0</v>
      </c>
      <c r="AE7" s="1121">
        <v>2.0</v>
      </c>
      <c r="AF7" s="1126">
        <v>3.0</v>
      </c>
      <c r="AG7" s="1121">
        <v>3.0</v>
      </c>
      <c r="AH7" s="1126">
        <v>2.0</v>
      </c>
      <c r="AI7" s="1121">
        <v>2.0</v>
      </c>
      <c r="AJ7" s="1120">
        <v>2.0</v>
      </c>
      <c r="AK7" s="1127">
        <v>2.0</v>
      </c>
      <c r="AL7" s="1120">
        <v>4.0</v>
      </c>
      <c r="AM7" s="1127">
        <v>4.0</v>
      </c>
      <c r="AN7" s="1126"/>
      <c r="AO7" s="1121"/>
      <c r="AP7" s="1126">
        <v>1.0</v>
      </c>
      <c r="AQ7" s="1121">
        <v>1.0</v>
      </c>
      <c r="AR7" s="1126">
        <v>8.0</v>
      </c>
      <c r="AS7" s="1121">
        <v>8.0</v>
      </c>
      <c r="AT7" s="1126">
        <v>5.0</v>
      </c>
      <c r="AU7" s="1121">
        <v>5.0</v>
      </c>
      <c r="AV7" s="1126">
        <v>4.0</v>
      </c>
      <c r="AW7" s="1121">
        <v>4.0</v>
      </c>
      <c r="AX7" s="1126">
        <v>3.0</v>
      </c>
      <c r="AY7" s="1121">
        <v>3.0</v>
      </c>
      <c r="AZ7" s="1126">
        <v>3.0</v>
      </c>
      <c r="BA7" s="1121">
        <v>3.0</v>
      </c>
      <c r="BB7" s="1126">
        <v>2.0</v>
      </c>
      <c r="BC7" s="1121">
        <v>2.0</v>
      </c>
      <c r="BD7" s="1126">
        <v>3.0</v>
      </c>
      <c r="BE7" s="1121">
        <v>3.0</v>
      </c>
      <c r="BF7" s="1126">
        <v>2.0</v>
      </c>
      <c r="BG7" s="1121">
        <v>2.0</v>
      </c>
      <c r="BH7" s="1126">
        <v>4.0</v>
      </c>
      <c r="BI7" s="1121">
        <v>4.0</v>
      </c>
      <c r="BJ7" s="1126">
        <v>2.0</v>
      </c>
      <c r="BK7" s="1121">
        <v>2.0</v>
      </c>
      <c r="BL7" s="1134">
        <v>44.0</v>
      </c>
      <c r="BM7" s="1121">
        <v>44.0</v>
      </c>
      <c r="BN7" s="783"/>
      <c r="BO7" s="1170"/>
      <c r="BP7" s="783">
        <f t="shared" si="1"/>
        <v>143</v>
      </c>
      <c r="BQ7" s="1170">
        <f t="shared" si="2"/>
        <v>142</v>
      </c>
      <c r="BR7" s="1572">
        <f t="shared" si="4"/>
        <v>13916</v>
      </c>
      <c r="BS7" s="784">
        <f t="shared" si="3"/>
        <v>14014</v>
      </c>
      <c r="BT7" s="1610"/>
    </row>
    <row r="8" ht="15.75" customHeight="1">
      <c r="A8" s="1565" t="s">
        <v>145</v>
      </c>
      <c r="B8" s="1611">
        <v>4009.0</v>
      </c>
      <c r="C8" s="1567">
        <v>98.0</v>
      </c>
      <c r="D8" s="1735" t="s">
        <v>70</v>
      </c>
      <c r="E8" s="1613" t="str">
        <f>'Матрица 4 недели'!G99</f>
        <v>Салат "Маковый" (курица, мак)</v>
      </c>
      <c r="F8" s="1126">
        <v>2.0</v>
      </c>
      <c r="G8" s="1121">
        <v>2.0</v>
      </c>
      <c r="H8" s="1120">
        <v>2.0</v>
      </c>
      <c r="I8" s="1121">
        <v>2.0</v>
      </c>
      <c r="J8" s="1120">
        <v>10.0</v>
      </c>
      <c r="K8" s="1121">
        <v>10.0</v>
      </c>
      <c r="L8" s="1126">
        <v>2.0</v>
      </c>
      <c r="M8" s="1121">
        <v>2.0</v>
      </c>
      <c r="N8" s="1126">
        <v>8.0</v>
      </c>
      <c r="O8" s="1121">
        <v>8.0</v>
      </c>
      <c r="P8" s="1126">
        <v>1.0</v>
      </c>
      <c r="Q8" s="1121">
        <v>1.0</v>
      </c>
      <c r="R8" s="1126">
        <v>3.0</v>
      </c>
      <c r="S8" s="1121">
        <v>3.0</v>
      </c>
      <c r="T8" s="1120">
        <v>2.0</v>
      </c>
      <c r="U8" s="1121">
        <v>2.0</v>
      </c>
      <c r="V8" s="1120">
        <v>1.0</v>
      </c>
      <c r="W8" s="1121">
        <v>1.0</v>
      </c>
      <c r="X8" s="1120">
        <v>0.0</v>
      </c>
      <c r="Y8" s="1121">
        <v>0.0</v>
      </c>
      <c r="Z8" s="1137"/>
      <c r="AA8" s="1121"/>
      <c r="AB8" s="1126">
        <v>3.0</v>
      </c>
      <c r="AC8" s="1121">
        <v>3.0</v>
      </c>
      <c r="AD8" s="1120">
        <v>2.0</v>
      </c>
      <c r="AE8" s="1121">
        <v>2.0</v>
      </c>
      <c r="AF8" s="1126">
        <v>4.0</v>
      </c>
      <c r="AG8" s="1121">
        <v>4.0</v>
      </c>
      <c r="AH8" s="1126">
        <v>2.0</v>
      </c>
      <c r="AI8" s="1121">
        <v>2.0</v>
      </c>
      <c r="AJ8" s="1120">
        <v>2.0</v>
      </c>
      <c r="AK8" s="1127">
        <v>2.0</v>
      </c>
      <c r="AL8" s="1120">
        <v>2.0</v>
      </c>
      <c r="AM8" s="1127">
        <v>2.0</v>
      </c>
      <c r="AN8" s="1126"/>
      <c r="AO8" s="1121"/>
      <c r="AP8" s="1126">
        <v>2.0</v>
      </c>
      <c r="AQ8" s="1121">
        <v>2.0</v>
      </c>
      <c r="AR8" s="1126">
        <v>5.0</v>
      </c>
      <c r="AS8" s="1121">
        <v>5.0</v>
      </c>
      <c r="AT8" s="1126">
        <v>4.0</v>
      </c>
      <c r="AU8" s="1127">
        <v>4.0</v>
      </c>
      <c r="AV8" s="1126">
        <v>0.0</v>
      </c>
      <c r="AW8" s="1127">
        <v>0.0</v>
      </c>
      <c r="AX8" s="1126">
        <v>4.0</v>
      </c>
      <c r="AY8" s="1127">
        <v>4.0</v>
      </c>
      <c r="AZ8" s="1126">
        <v>1.0</v>
      </c>
      <c r="BA8" s="1127">
        <v>1.0</v>
      </c>
      <c r="BB8" s="1126">
        <v>2.0</v>
      </c>
      <c r="BC8" s="1127">
        <v>2.0</v>
      </c>
      <c r="BD8" s="1126">
        <v>2.0</v>
      </c>
      <c r="BE8" s="1127">
        <v>2.0</v>
      </c>
      <c r="BF8" s="1126">
        <v>4.0</v>
      </c>
      <c r="BG8" s="1127">
        <v>4.0</v>
      </c>
      <c r="BH8" s="1126">
        <v>2.0</v>
      </c>
      <c r="BI8" s="1127">
        <v>2.0</v>
      </c>
      <c r="BJ8" s="1126">
        <v>2.0</v>
      </c>
      <c r="BK8" s="1127">
        <v>2.0</v>
      </c>
      <c r="BL8" s="1134">
        <v>43.0</v>
      </c>
      <c r="BM8" s="1135">
        <v>43.0</v>
      </c>
      <c r="BN8" s="1176"/>
      <c r="BO8" s="1737"/>
      <c r="BP8" s="783">
        <f t="shared" si="1"/>
        <v>118</v>
      </c>
      <c r="BQ8" s="1170">
        <f t="shared" si="2"/>
        <v>117</v>
      </c>
      <c r="BR8" s="1572">
        <f t="shared" si="4"/>
        <v>11466</v>
      </c>
      <c r="BS8" s="784">
        <f t="shared" si="3"/>
        <v>11564</v>
      </c>
      <c r="BT8" s="1610"/>
    </row>
    <row r="9" ht="15.75" customHeight="1">
      <c r="A9" s="1565" t="s">
        <v>145</v>
      </c>
      <c r="B9" s="1611">
        <v>3170.0</v>
      </c>
      <c r="C9" s="1567">
        <v>98.0</v>
      </c>
      <c r="D9" s="1735" t="s">
        <v>70</v>
      </c>
      <c r="E9" s="1613" t="str">
        <f>'Матрица 4 недели'!G100</f>
        <v>Салат ''Фунчоза'' 120 г</v>
      </c>
      <c r="F9" s="1126">
        <v>5.0</v>
      </c>
      <c r="G9" s="1138">
        <v>5.0</v>
      </c>
      <c r="H9" s="1126">
        <v>3.0</v>
      </c>
      <c r="I9" s="1138">
        <v>3.0</v>
      </c>
      <c r="J9" s="1126">
        <v>10.0</v>
      </c>
      <c r="K9" s="1138">
        <v>10.0</v>
      </c>
      <c r="L9" s="1126">
        <v>4.0</v>
      </c>
      <c r="M9" s="1138">
        <v>4.0</v>
      </c>
      <c r="N9" s="1126">
        <v>6.0</v>
      </c>
      <c r="O9" s="1138">
        <v>6.0</v>
      </c>
      <c r="P9" s="1126">
        <v>8.0</v>
      </c>
      <c r="Q9" s="1121">
        <v>8.0</v>
      </c>
      <c r="R9" s="1126">
        <v>3.0</v>
      </c>
      <c r="S9" s="1121">
        <v>3.0</v>
      </c>
      <c r="T9" s="1137">
        <v>1.0</v>
      </c>
      <c r="U9" s="1121">
        <v>1.0</v>
      </c>
      <c r="V9" s="1137">
        <v>2.0</v>
      </c>
      <c r="W9" s="1121">
        <v>2.0</v>
      </c>
      <c r="X9" s="1137">
        <v>2.0</v>
      </c>
      <c r="Y9" s="1121">
        <v>2.0</v>
      </c>
      <c r="Z9" s="1137"/>
      <c r="AA9" s="1121"/>
      <c r="AB9" s="1126">
        <v>3.0</v>
      </c>
      <c r="AC9" s="1121">
        <v>3.0</v>
      </c>
      <c r="AD9" s="1120">
        <v>2.0</v>
      </c>
      <c r="AE9" s="1121">
        <v>2.0</v>
      </c>
      <c r="AF9" s="1126">
        <v>5.0</v>
      </c>
      <c r="AG9" s="1121">
        <v>5.0</v>
      </c>
      <c r="AH9" s="1126">
        <v>4.0</v>
      </c>
      <c r="AI9" s="1121">
        <v>4.0</v>
      </c>
      <c r="AJ9" s="1120">
        <v>4.0</v>
      </c>
      <c r="AK9" s="1121">
        <v>4.0</v>
      </c>
      <c r="AL9" s="1120">
        <v>6.0</v>
      </c>
      <c r="AM9" s="1121">
        <v>6.0</v>
      </c>
      <c r="AN9" s="1126"/>
      <c r="AO9" s="1138"/>
      <c r="AP9" s="1126">
        <v>4.0</v>
      </c>
      <c r="AQ9" s="1138">
        <v>4.0</v>
      </c>
      <c r="AR9" s="1126">
        <v>11.0</v>
      </c>
      <c r="AS9" s="1138">
        <v>11.0</v>
      </c>
      <c r="AT9" s="1126">
        <v>3.0</v>
      </c>
      <c r="AU9" s="1138">
        <v>3.0</v>
      </c>
      <c r="AV9" s="1126">
        <v>4.0</v>
      </c>
      <c r="AW9" s="1138">
        <v>4.0</v>
      </c>
      <c r="AX9" s="1126">
        <v>4.0</v>
      </c>
      <c r="AY9" s="1138">
        <v>4.0</v>
      </c>
      <c r="AZ9" s="1126">
        <v>5.0</v>
      </c>
      <c r="BA9" s="1138">
        <v>5.0</v>
      </c>
      <c r="BB9" s="1126">
        <v>2.0</v>
      </c>
      <c r="BC9" s="1138">
        <v>2.0</v>
      </c>
      <c r="BD9" s="1126">
        <v>1.0</v>
      </c>
      <c r="BE9" s="1138">
        <v>1.0</v>
      </c>
      <c r="BF9" s="1126">
        <v>6.0</v>
      </c>
      <c r="BG9" s="1138">
        <v>6.0</v>
      </c>
      <c r="BH9" s="1126">
        <v>2.0</v>
      </c>
      <c r="BI9" s="1138">
        <v>2.0</v>
      </c>
      <c r="BJ9" s="1126">
        <v>2.0</v>
      </c>
      <c r="BK9" s="1138">
        <v>2.0</v>
      </c>
      <c r="BL9" s="1139">
        <v>43.0</v>
      </c>
      <c r="BM9" s="1138">
        <v>43.0</v>
      </c>
      <c r="BN9" s="783"/>
      <c r="BO9" s="1170"/>
      <c r="BP9" s="783">
        <f t="shared" si="1"/>
        <v>156</v>
      </c>
      <c r="BQ9" s="1170">
        <f t="shared" si="2"/>
        <v>155</v>
      </c>
      <c r="BR9" s="1572">
        <f t="shared" si="4"/>
        <v>15190</v>
      </c>
      <c r="BS9" s="784">
        <f t="shared" si="3"/>
        <v>15288</v>
      </c>
      <c r="BT9" s="1610"/>
    </row>
    <row r="10" ht="15.75" customHeight="1">
      <c r="A10" s="1565" t="s">
        <v>145</v>
      </c>
      <c r="B10" s="1611">
        <v>3306.0</v>
      </c>
      <c r="C10" s="1567">
        <v>237.0</v>
      </c>
      <c r="D10" s="1750" t="s">
        <v>70</v>
      </c>
      <c r="E10" s="1613" t="str">
        <f>'Матрица 4 недели'!G101</f>
        <v>Боул с курицей, бобами эдамаме и овощами</v>
      </c>
      <c r="F10" s="1120">
        <v>4.0</v>
      </c>
      <c r="G10" s="1121">
        <v>4.0</v>
      </c>
      <c r="H10" s="1120">
        <v>0.0</v>
      </c>
      <c r="I10" s="1121">
        <v>0.0</v>
      </c>
      <c r="J10" s="1120">
        <v>5.0</v>
      </c>
      <c r="K10" s="1121">
        <v>5.0</v>
      </c>
      <c r="L10" s="1120">
        <v>2.0</v>
      </c>
      <c r="M10" s="1121">
        <v>2.0</v>
      </c>
      <c r="N10" s="1120">
        <v>4.0</v>
      </c>
      <c r="O10" s="1121">
        <v>4.0</v>
      </c>
      <c r="P10" s="1120">
        <v>1.0</v>
      </c>
      <c r="Q10" s="1121">
        <v>1.0</v>
      </c>
      <c r="R10" s="1120">
        <v>0.0</v>
      </c>
      <c r="S10" s="1121">
        <v>0.0</v>
      </c>
      <c r="T10" s="1120">
        <v>2.0</v>
      </c>
      <c r="U10" s="1121">
        <v>2.0</v>
      </c>
      <c r="V10" s="1120">
        <v>4.0</v>
      </c>
      <c r="W10" s="1121">
        <v>4.0</v>
      </c>
      <c r="X10" s="1120">
        <v>2.0</v>
      </c>
      <c r="Y10" s="1121">
        <v>2.0</v>
      </c>
      <c r="Z10" s="1137"/>
      <c r="AA10" s="1121"/>
      <c r="AB10" s="1120">
        <v>2.0</v>
      </c>
      <c r="AC10" s="1121">
        <v>2.0</v>
      </c>
      <c r="AD10" s="1120">
        <v>2.0</v>
      </c>
      <c r="AE10" s="1121">
        <v>2.0</v>
      </c>
      <c r="AF10" s="1120">
        <v>4.0</v>
      </c>
      <c r="AG10" s="1121">
        <v>4.0</v>
      </c>
      <c r="AH10" s="1120">
        <v>1.0</v>
      </c>
      <c r="AI10" s="1121">
        <v>1.0</v>
      </c>
      <c r="AJ10" s="1120">
        <v>0.0</v>
      </c>
      <c r="AK10" s="1121">
        <v>0.0</v>
      </c>
      <c r="AL10" s="1120">
        <v>1.0</v>
      </c>
      <c r="AM10" s="1121">
        <v>1.0</v>
      </c>
      <c r="AN10" s="1120"/>
      <c r="AO10" s="1138"/>
      <c r="AP10" s="1126">
        <v>2.0</v>
      </c>
      <c r="AQ10" s="1121">
        <v>2.0</v>
      </c>
      <c r="AR10" s="1126">
        <v>4.0</v>
      </c>
      <c r="AS10" s="1121">
        <v>4.0</v>
      </c>
      <c r="AT10" s="1126">
        <v>0.0</v>
      </c>
      <c r="AU10" s="1121">
        <v>0.0</v>
      </c>
      <c r="AV10" s="1126">
        <v>2.0</v>
      </c>
      <c r="AW10" s="1121">
        <v>2.0</v>
      </c>
      <c r="AX10" s="1126">
        <v>9.0</v>
      </c>
      <c r="AY10" s="1121">
        <v>9.0</v>
      </c>
      <c r="AZ10" s="1126">
        <v>0.0</v>
      </c>
      <c r="BA10" s="1121">
        <v>0.0</v>
      </c>
      <c r="BB10" s="1126">
        <v>3.0</v>
      </c>
      <c r="BC10" s="1127">
        <v>3.0</v>
      </c>
      <c r="BD10" s="1126">
        <v>0.0</v>
      </c>
      <c r="BE10" s="1127">
        <v>0.0</v>
      </c>
      <c r="BF10" s="1126">
        <v>3.0</v>
      </c>
      <c r="BG10" s="1127">
        <v>3.0</v>
      </c>
      <c r="BH10" s="1126">
        <v>5.0</v>
      </c>
      <c r="BI10" s="1127">
        <v>5.0</v>
      </c>
      <c r="BJ10" s="1126">
        <v>5.0</v>
      </c>
      <c r="BK10" s="1121">
        <v>5.0</v>
      </c>
      <c r="BL10" s="1134"/>
      <c r="BM10" s="1121"/>
      <c r="BN10" s="783"/>
      <c r="BO10" s="1170"/>
      <c r="BP10" s="783">
        <f t="shared" si="1"/>
        <v>68</v>
      </c>
      <c r="BQ10" s="1170">
        <f t="shared" si="2"/>
        <v>67</v>
      </c>
      <c r="BR10" s="1572">
        <f t="shared" si="4"/>
        <v>15879</v>
      </c>
      <c r="BS10" s="784">
        <f t="shared" si="3"/>
        <v>16116</v>
      </c>
      <c r="BT10" s="1610"/>
    </row>
    <row r="11" ht="15.75" customHeight="1">
      <c r="A11" s="1565"/>
      <c r="B11" s="1611">
        <v>793.0</v>
      </c>
      <c r="C11" s="1567">
        <v>106.0</v>
      </c>
      <c r="D11" s="1735" t="s">
        <v>74</v>
      </c>
      <c r="E11" s="1613" t="str">
        <f>'Матрица 4 недели'!J98</f>
        <v>Борщ с курицей</v>
      </c>
      <c r="F11" s="1137"/>
      <c r="G11" s="1138"/>
      <c r="H11" s="1126"/>
      <c r="I11" s="1138"/>
      <c r="J11" s="1126"/>
      <c r="K11" s="1138"/>
      <c r="L11" s="1126"/>
      <c r="M11" s="1138"/>
      <c r="N11" s="1126"/>
      <c r="O11" s="1138"/>
      <c r="P11" s="1126"/>
      <c r="Q11" s="1121"/>
      <c r="R11" s="1126"/>
      <c r="S11" s="1121"/>
      <c r="T11" s="1137"/>
      <c r="U11" s="1121"/>
      <c r="V11" s="1137"/>
      <c r="W11" s="1121"/>
      <c r="X11" s="1137"/>
      <c r="Y11" s="1121"/>
      <c r="Z11" s="1137"/>
      <c r="AA11" s="1121"/>
      <c r="AB11" s="1120"/>
      <c r="AC11" s="1121"/>
      <c r="AD11" s="1120"/>
      <c r="AE11" s="1121"/>
      <c r="AF11" s="1137"/>
      <c r="AG11" s="1121"/>
      <c r="AH11" s="1120"/>
      <c r="AI11" s="1121"/>
      <c r="AJ11" s="1120"/>
      <c r="AK11" s="1121"/>
      <c r="AL11" s="1137"/>
      <c r="AM11" s="1121"/>
      <c r="AN11" s="1137"/>
      <c r="AO11" s="1138"/>
      <c r="AP11" s="1137"/>
      <c r="AQ11" s="1138"/>
      <c r="AR11" s="1137"/>
      <c r="AS11" s="1138"/>
      <c r="AT11" s="1126"/>
      <c r="AU11" s="1131"/>
      <c r="AV11" s="1126"/>
      <c r="AW11" s="1138"/>
      <c r="AX11" s="1126"/>
      <c r="AY11" s="1131"/>
      <c r="AZ11" s="1126"/>
      <c r="BA11" s="1138"/>
      <c r="BB11" s="1126"/>
      <c r="BC11" s="1570"/>
      <c r="BD11" s="1126"/>
      <c r="BE11" s="1127"/>
      <c r="BF11" s="1126"/>
      <c r="BG11" s="1127"/>
      <c r="BH11" s="1126"/>
      <c r="BI11" s="1127"/>
      <c r="BJ11" s="1126"/>
      <c r="BK11" s="1127"/>
      <c r="BL11" s="1134">
        <v>120.0</v>
      </c>
      <c r="BM11" s="1121">
        <v>120.0</v>
      </c>
      <c r="BN11" s="1176">
        <v>20.0</v>
      </c>
      <c r="BO11" s="1737"/>
      <c r="BP11" s="783">
        <f t="shared" si="1"/>
        <v>121</v>
      </c>
      <c r="BQ11" s="1170">
        <f t="shared" si="2"/>
        <v>120</v>
      </c>
      <c r="BR11" s="1572">
        <f t="shared" si="4"/>
        <v>12720</v>
      </c>
      <c r="BS11" s="784">
        <f t="shared" si="3"/>
        <v>12826</v>
      </c>
      <c r="BT11" s="1610"/>
    </row>
    <row r="12" ht="15.75" customHeight="1">
      <c r="A12" s="1565"/>
      <c r="B12" s="1649"/>
      <c r="C12" s="1567"/>
      <c r="D12" s="1754"/>
      <c r="E12" s="1665" t="str">
        <f>'Матрица 4 недели'!J99</f>
        <v/>
      </c>
      <c r="F12" s="1137"/>
      <c r="G12" s="1138"/>
      <c r="H12" s="1126"/>
      <c r="I12" s="1138"/>
      <c r="J12" s="1126"/>
      <c r="K12" s="1138"/>
      <c r="L12" s="1126"/>
      <c r="M12" s="1138"/>
      <c r="N12" s="1126"/>
      <c r="O12" s="1138"/>
      <c r="P12" s="1126"/>
      <c r="Q12" s="1121"/>
      <c r="R12" s="1126"/>
      <c r="S12" s="1121"/>
      <c r="T12" s="1137"/>
      <c r="U12" s="1121"/>
      <c r="V12" s="1137"/>
      <c r="W12" s="1121"/>
      <c r="X12" s="1137"/>
      <c r="Y12" s="1121"/>
      <c r="Z12" s="1137"/>
      <c r="AA12" s="1121"/>
      <c r="AB12" s="1120"/>
      <c r="AC12" s="1121"/>
      <c r="AD12" s="1120"/>
      <c r="AE12" s="1121"/>
      <c r="AF12" s="1137"/>
      <c r="AG12" s="1121"/>
      <c r="AH12" s="1120"/>
      <c r="AI12" s="1121"/>
      <c r="AJ12" s="1120"/>
      <c r="AK12" s="1121"/>
      <c r="AL12" s="1137"/>
      <c r="AM12" s="1121"/>
      <c r="AN12" s="1137"/>
      <c r="AO12" s="1138"/>
      <c r="AP12" s="1137"/>
      <c r="AQ12" s="1138"/>
      <c r="AR12" s="1137"/>
      <c r="AS12" s="1138"/>
      <c r="AT12" s="1126"/>
      <c r="AU12" s="1131"/>
      <c r="AV12" s="1126"/>
      <c r="AW12" s="1138"/>
      <c r="AX12" s="1126"/>
      <c r="AY12" s="1131"/>
      <c r="AZ12" s="1126"/>
      <c r="BA12" s="1138"/>
      <c r="BB12" s="1126"/>
      <c r="BC12" s="1570"/>
      <c r="BD12" s="1126"/>
      <c r="BE12" s="1127"/>
      <c r="BF12" s="1126"/>
      <c r="BG12" s="1127"/>
      <c r="BH12" s="1126"/>
      <c r="BI12" s="1127"/>
      <c r="BJ12" s="1126"/>
      <c r="BK12" s="1127"/>
      <c r="BL12" s="1134"/>
      <c r="BM12" s="1121"/>
      <c r="BN12" s="783"/>
      <c r="BO12" s="1170"/>
      <c r="BP12" s="783">
        <f t="shared" si="1"/>
        <v>1</v>
      </c>
      <c r="BQ12" s="1170">
        <f t="shared" si="2"/>
        <v>0</v>
      </c>
      <c r="BR12" s="1572">
        <f t="shared" si="4"/>
        <v>0</v>
      </c>
      <c r="BS12" s="784">
        <f t="shared" si="3"/>
        <v>0</v>
      </c>
      <c r="BT12" s="1610"/>
    </row>
    <row r="13" ht="15.75" customHeight="1">
      <c r="A13" s="1565" t="s">
        <v>145</v>
      </c>
      <c r="B13" s="1649">
        <v>763.0</v>
      </c>
      <c r="C13" s="1567">
        <v>208.0</v>
      </c>
      <c r="D13" s="1755" t="s">
        <v>77</v>
      </c>
      <c r="E13" s="1651" t="str">
        <f>'Матрица 4 недели'!M98</f>
        <v>Котлета куриная с картофельным пюре</v>
      </c>
      <c r="F13" s="1137">
        <v>0.0</v>
      </c>
      <c r="G13" s="1138">
        <v>0.0</v>
      </c>
      <c r="H13" s="1126">
        <v>2.0</v>
      </c>
      <c r="I13" s="1140">
        <v>2.0</v>
      </c>
      <c r="J13" s="1126">
        <v>6.0</v>
      </c>
      <c r="K13" s="1138">
        <v>6.0</v>
      </c>
      <c r="L13" s="1126">
        <v>2.0</v>
      </c>
      <c r="M13" s="1138">
        <v>2.0</v>
      </c>
      <c r="N13" s="1126">
        <v>6.0</v>
      </c>
      <c r="O13" s="1138">
        <v>6.0</v>
      </c>
      <c r="P13" s="1126">
        <v>2.0</v>
      </c>
      <c r="Q13" s="1142">
        <v>2.0</v>
      </c>
      <c r="R13" s="1137">
        <v>4.0</v>
      </c>
      <c r="S13" s="1121">
        <v>4.0</v>
      </c>
      <c r="T13" s="1137">
        <v>3.0</v>
      </c>
      <c r="U13" s="1121">
        <v>3.0</v>
      </c>
      <c r="V13" s="1137">
        <v>1.0</v>
      </c>
      <c r="W13" s="1121">
        <v>1.0</v>
      </c>
      <c r="X13" s="1137">
        <v>0.0</v>
      </c>
      <c r="Y13" s="1121">
        <v>0.0</v>
      </c>
      <c r="Z13" s="1137"/>
      <c r="AA13" s="1121"/>
      <c r="AB13" s="1120">
        <v>2.0</v>
      </c>
      <c r="AC13" s="1121">
        <v>2.0</v>
      </c>
      <c r="AD13" s="1120">
        <v>2.0</v>
      </c>
      <c r="AE13" s="1121">
        <v>2.0</v>
      </c>
      <c r="AF13" s="1137">
        <v>0.0</v>
      </c>
      <c r="AG13" s="1121">
        <v>0.0</v>
      </c>
      <c r="AH13" s="1120">
        <v>2.0</v>
      </c>
      <c r="AI13" s="1121">
        <v>2.0</v>
      </c>
      <c r="AJ13" s="1120">
        <v>4.0</v>
      </c>
      <c r="AK13" s="1121">
        <v>4.0</v>
      </c>
      <c r="AL13" s="1137">
        <v>2.0</v>
      </c>
      <c r="AM13" s="1121">
        <v>2.0</v>
      </c>
      <c r="AN13" s="1137"/>
      <c r="AO13" s="1138"/>
      <c r="AP13" s="1126">
        <v>3.0</v>
      </c>
      <c r="AQ13" s="1138">
        <v>3.0</v>
      </c>
      <c r="AR13" s="1137">
        <v>4.0</v>
      </c>
      <c r="AS13" s="1138">
        <v>4.0</v>
      </c>
      <c r="AT13" s="1126">
        <v>2.0</v>
      </c>
      <c r="AU13" s="1138">
        <v>2.0</v>
      </c>
      <c r="AV13" s="1126">
        <v>2.0</v>
      </c>
      <c r="AW13" s="1138">
        <v>2.0</v>
      </c>
      <c r="AX13" s="1126">
        <v>3.0</v>
      </c>
      <c r="AY13" s="1138">
        <v>3.0</v>
      </c>
      <c r="AZ13" s="1126">
        <v>3.0</v>
      </c>
      <c r="BA13" s="1138">
        <v>3.0</v>
      </c>
      <c r="BB13" s="1126">
        <v>2.0</v>
      </c>
      <c r="BC13" s="1570">
        <v>2.0</v>
      </c>
      <c r="BD13" s="1126">
        <v>2.0</v>
      </c>
      <c r="BE13" s="1127">
        <v>2.0</v>
      </c>
      <c r="BF13" s="1126">
        <v>4.0</v>
      </c>
      <c r="BG13" s="1127">
        <v>4.0</v>
      </c>
      <c r="BH13" s="1126">
        <v>4.0</v>
      </c>
      <c r="BI13" s="1127">
        <v>4.0</v>
      </c>
      <c r="BJ13" s="1126">
        <v>3.0</v>
      </c>
      <c r="BK13" s="1127">
        <v>3.0</v>
      </c>
      <c r="BL13" s="1139"/>
      <c r="BM13" s="1138"/>
      <c r="BN13" s="1176"/>
      <c r="BO13" s="1737"/>
      <c r="BP13" s="783">
        <f t="shared" si="1"/>
        <v>71</v>
      </c>
      <c r="BQ13" s="1757">
        <f t="shared" si="2"/>
        <v>70</v>
      </c>
      <c r="BR13" s="1572">
        <f t="shared" si="4"/>
        <v>14560</v>
      </c>
      <c r="BS13" s="784">
        <f t="shared" si="3"/>
        <v>14768</v>
      </c>
      <c r="BT13" s="1610"/>
    </row>
    <row r="14" ht="15.75" customHeight="1">
      <c r="A14" s="1565" t="s">
        <v>145</v>
      </c>
      <c r="B14" s="1649">
        <v>4014.0</v>
      </c>
      <c r="C14" s="1567">
        <v>241.0</v>
      </c>
      <c r="D14" s="1755" t="s">
        <v>77</v>
      </c>
      <c r="E14" s="1758" t="str">
        <f>'Матрица 4 недели'!M99</f>
        <v>Филе с сыром и печеным картофелем </v>
      </c>
      <c r="F14" s="1137">
        <v>13.0</v>
      </c>
      <c r="G14" s="1138">
        <v>13.0</v>
      </c>
      <c r="H14" s="1126">
        <v>7.0</v>
      </c>
      <c r="I14" s="1138">
        <v>7.0</v>
      </c>
      <c r="J14" s="1126">
        <v>9.0</v>
      </c>
      <c r="K14" s="1138">
        <v>9.0</v>
      </c>
      <c r="L14" s="1126">
        <v>6.0</v>
      </c>
      <c r="M14" s="1138">
        <v>6.0</v>
      </c>
      <c r="N14" s="1126">
        <v>12.0</v>
      </c>
      <c r="O14" s="1138">
        <v>12.0</v>
      </c>
      <c r="P14" s="1126">
        <v>7.0</v>
      </c>
      <c r="Q14" s="1121">
        <v>7.0</v>
      </c>
      <c r="R14" s="1126">
        <v>4.0</v>
      </c>
      <c r="S14" s="1121">
        <v>4.0</v>
      </c>
      <c r="T14" s="1137">
        <v>4.0</v>
      </c>
      <c r="U14" s="1121">
        <v>4.0</v>
      </c>
      <c r="V14" s="1137">
        <v>6.0</v>
      </c>
      <c r="W14" s="1121">
        <v>6.0</v>
      </c>
      <c r="X14" s="1137">
        <v>4.0</v>
      </c>
      <c r="Y14" s="1121">
        <v>4.0</v>
      </c>
      <c r="Z14" s="1120"/>
      <c r="AA14" s="1121"/>
      <c r="AB14" s="1120">
        <v>6.0</v>
      </c>
      <c r="AC14" s="1121">
        <v>6.0</v>
      </c>
      <c r="AD14" s="1120">
        <v>4.0</v>
      </c>
      <c r="AE14" s="1121">
        <v>4.0</v>
      </c>
      <c r="AF14" s="1137">
        <v>9.0</v>
      </c>
      <c r="AG14" s="1121">
        <v>9.0</v>
      </c>
      <c r="AH14" s="1120">
        <v>3.0</v>
      </c>
      <c r="AI14" s="1121">
        <v>3.0</v>
      </c>
      <c r="AJ14" s="1120">
        <v>7.0</v>
      </c>
      <c r="AK14" s="1121">
        <v>7.0</v>
      </c>
      <c r="AL14" s="1120">
        <v>4.0</v>
      </c>
      <c r="AM14" s="1121">
        <v>4.0</v>
      </c>
      <c r="AN14" s="1137"/>
      <c r="AO14" s="1138"/>
      <c r="AP14" s="1126">
        <v>4.0</v>
      </c>
      <c r="AQ14" s="1138">
        <v>4.0</v>
      </c>
      <c r="AR14" s="1137">
        <v>8.0</v>
      </c>
      <c r="AS14" s="1138">
        <v>8.0</v>
      </c>
      <c r="AT14" s="1126">
        <v>5.0</v>
      </c>
      <c r="AU14" s="1138">
        <v>5.0</v>
      </c>
      <c r="AV14" s="1126">
        <v>4.0</v>
      </c>
      <c r="AW14" s="1138">
        <v>4.0</v>
      </c>
      <c r="AX14" s="1126">
        <v>4.0</v>
      </c>
      <c r="AY14" s="1138">
        <v>4.0</v>
      </c>
      <c r="AZ14" s="1126">
        <v>2.0</v>
      </c>
      <c r="BA14" s="1138">
        <v>2.0</v>
      </c>
      <c r="BB14" s="1126">
        <v>2.0</v>
      </c>
      <c r="BC14" s="1138">
        <v>2.0</v>
      </c>
      <c r="BD14" s="1126">
        <v>3.0</v>
      </c>
      <c r="BE14" s="1138">
        <v>3.0</v>
      </c>
      <c r="BF14" s="1126">
        <v>6.0</v>
      </c>
      <c r="BG14" s="1138">
        <v>6.0</v>
      </c>
      <c r="BH14" s="1126">
        <v>7.0</v>
      </c>
      <c r="BI14" s="1138">
        <v>7.0</v>
      </c>
      <c r="BJ14" s="1126">
        <v>8.0</v>
      </c>
      <c r="BK14" s="1138">
        <v>8.0</v>
      </c>
      <c r="BL14" s="1134"/>
      <c r="BM14" s="1138"/>
      <c r="BN14" s="783"/>
      <c r="BO14" s="1170"/>
      <c r="BP14" s="783">
        <f t="shared" si="1"/>
        <v>159</v>
      </c>
      <c r="BQ14" s="1170">
        <f t="shared" si="2"/>
        <v>158</v>
      </c>
      <c r="BR14" s="1572">
        <f t="shared" si="4"/>
        <v>38078</v>
      </c>
      <c r="BS14" s="784">
        <f t="shared" si="3"/>
        <v>38319</v>
      </c>
      <c r="BT14" s="1610"/>
    </row>
    <row r="15" ht="15.75" customHeight="1">
      <c r="A15" s="1565"/>
      <c r="B15" s="1649">
        <v>3054.0</v>
      </c>
      <c r="C15" s="1567">
        <v>198.0</v>
      </c>
      <c r="D15" s="1755" t="s">
        <v>77</v>
      </c>
      <c r="E15" s="1652" t="str">
        <f>'Матрица 4 недели'!M100</f>
        <v>Минтай под овощами с рисом</v>
      </c>
      <c r="F15" s="1137"/>
      <c r="G15" s="1138"/>
      <c r="H15" s="1126"/>
      <c r="I15" s="1138"/>
      <c r="J15" s="1126"/>
      <c r="K15" s="1138"/>
      <c r="L15" s="1126"/>
      <c r="M15" s="1138"/>
      <c r="N15" s="1126"/>
      <c r="O15" s="1138"/>
      <c r="P15" s="1126"/>
      <c r="Q15" s="1142"/>
      <c r="R15" s="1126"/>
      <c r="S15" s="1121"/>
      <c r="T15" s="1137"/>
      <c r="U15" s="1121"/>
      <c r="V15" s="1137"/>
      <c r="W15" s="1121"/>
      <c r="X15" s="1137"/>
      <c r="Y15" s="1121"/>
      <c r="Z15" s="1137"/>
      <c r="AA15" s="1121"/>
      <c r="AB15" s="1120"/>
      <c r="AC15" s="1121"/>
      <c r="AD15" s="1120"/>
      <c r="AE15" s="1121"/>
      <c r="AF15" s="1137"/>
      <c r="AG15" s="1121"/>
      <c r="AH15" s="1120"/>
      <c r="AI15" s="1121"/>
      <c r="AJ15" s="1120"/>
      <c r="AK15" s="1121"/>
      <c r="AL15" s="1137"/>
      <c r="AM15" s="1121"/>
      <c r="AN15" s="1137"/>
      <c r="AO15" s="1138"/>
      <c r="AP15" s="1126"/>
      <c r="AQ15" s="1138"/>
      <c r="AR15" s="1137"/>
      <c r="AS15" s="1138"/>
      <c r="AT15" s="1126"/>
      <c r="AU15" s="1138"/>
      <c r="AV15" s="1126"/>
      <c r="AW15" s="1138"/>
      <c r="AX15" s="1126"/>
      <c r="AY15" s="1138"/>
      <c r="AZ15" s="1126"/>
      <c r="BA15" s="1138"/>
      <c r="BB15" s="1126"/>
      <c r="BC15" s="1570"/>
      <c r="BD15" s="1126"/>
      <c r="BE15" s="1127"/>
      <c r="BF15" s="1126"/>
      <c r="BG15" s="1127"/>
      <c r="BH15" s="1126"/>
      <c r="BI15" s="1127"/>
      <c r="BJ15" s="1126"/>
      <c r="BK15" s="1127"/>
      <c r="BL15" s="1134">
        <v>25.0</v>
      </c>
      <c r="BM15" s="1138">
        <v>25.0</v>
      </c>
      <c r="BN15" s="1176">
        <v>10.0</v>
      </c>
      <c r="BO15" s="1170"/>
      <c r="BP15" s="783">
        <f t="shared" si="1"/>
        <v>26</v>
      </c>
      <c r="BQ15" s="1757">
        <f t="shared" si="2"/>
        <v>25</v>
      </c>
      <c r="BR15" s="1572">
        <f t="shared" si="4"/>
        <v>4950</v>
      </c>
      <c r="BS15" s="784">
        <f t="shared" si="3"/>
        <v>5148</v>
      </c>
      <c r="BT15" s="1610"/>
    </row>
    <row r="16" ht="15.75" customHeight="1">
      <c r="A16" s="1565" t="s">
        <v>145</v>
      </c>
      <c r="B16" s="1649">
        <v>4233.0</v>
      </c>
      <c r="C16" s="1567">
        <v>211.0</v>
      </c>
      <c r="D16" s="1755" t="s">
        <v>77</v>
      </c>
      <c r="E16" s="1652" t="str">
        <f>'Матрица 4 недели'!M101</f>
        <v>Свинина с тмином с тушеной капустой </v>
      </c>
      <c r="F16" s="1137">
        <v>0.0</v>
      </c>
      <c r="G16" s="1138">
        <v>0.0</v>
      </c>
      <c r="H16" s="1126">
        <v>0.0</v>
      </c>
      <c r="I16" s="1138">
        <v>0.0</v>
      </c>
      <c r="J16" s="1126">
        <v>5.0</v>
      </c>
      <c r="K16" s="1138">
        <v>5.0</v>
      </c>
      <c r="L16" s="1126">
        <v>2.0</v>
      </c>
      <c r="M16" s="1138">
        <v>2.0</v>
      </c>
      <c r="N16" s="1126">
        <v>12.0</v>
      </c>
      <c r="O16" s="1138">
        <v>12.0</v>
      </c>
      <c r="P16" s="1126">
        <v>4.0</v>
      </c>
      <c r="Q16" s="1142">
        <v>4.0</v>
      </c>
      <c r="R16" s="1126">
        <v>4.0</v>
      </c>
      <c r="S16" s="1121">
        <v>4.0</v>
      </c>
      <c r="T16" s="1137">
        <v>0.0</v>
      </c>
      <c r="U16" s="1121">
        <v>0.0</v>
      </c>
      <c r="V16" s="1137">
        <v>5.0</v>
      </c>
      <c r="W16" s="1121">
        <v>5.0</v>
      </c>
      <c r="X16" s="1137">
        <v>0.0</v>
      </c>
      <c r="Y16" s="1121">
        <v>0.0</v>
      </c>
      <c r="Z16" s="1120"/>
      <c r="AA16" s="1121"/>
      <c r="AB16" s="1120">
        <v>0.0</v>
      </c>
      <c r="AC16" s="1121">
        <v>0.0</v>
      </c>
      <c r="AD16" s="1120">
        <v>3.0</v>
      </c>
      <c r="AE16" s="1121">
        <v>3.0</v>
      </c>
      <c r="AF16" s="1137">
        <v>2.0</v>
      </c>
      <c r="AG16" s="1121">
        <v>2.0</v>
      </c>
      <c r="AH16" s="1120">
        <v>2.0</v>
      </c>
      <c r="AI16" s="1121">
        <v>2.0</v>
      </c>
      <c r="AJ16" s="1120">
        <v>2.0</v>
      </c>
      <c r="AK16" s="1121">
        <v>2.0</v>
      </c>
      <c r="AL16" s="1120">
        <v>3.0</v>
      </c>
      <c r="AM16" s="1121">
        <v>3.0</v>
      </c>
      <c r="AN16" s="1137"/>
      <c r="AO16" s="1138"/>
      <c r="AP16" s="1126">
        <v>2.0</v>
      </c>
      <c r="AQ16" s="1138">
        <v>2.0</v>
      </c>
      <c r="AR16" s="1137">
        <v>4.0</v>
      </c>
      <c r="AS16" s="1138">
        <v>4.0</v>
      </c>
      <c r="AT16" s="1126">
        <v>4.0</v>
      </c>
      <c r="AU16" s="1138">
        <v>4.0</v>
      </c>
      <c r="AV16" s="1126">
        <v>0.0</v>
      </c>
      <c r="AW16" s="1138">
        <v>0.0</v>
      </c>
      <c r="AX16" s="1126">
        <v>5.0</v>
      </c>
      <c r="AY16" s="1138">
        <v>5.0</v>
      </c>
      <c r="AZ16" s="1126">
        <v>3.0</v>
      </c>
      <c r="BA16" s="1138">
        <v>3.0</v>
      </c>
      <c r="BB16" s="1126">
        <v>2.0</v>
      </c>
      <c r="BC16" s="1138">
        <v>2.0</v>
      </c>
      <c r="BD16" s="1126">
        <v>2.0</v>
      </c>
      <c r="BE16" s="1138">
        <v>2.0</v>
      </c>
      <c r="BF16" s="1126">
        <v>3.0</v>
      </c>
      <c r="BG16" s="1138">
        <v>3.0</v>
      </c>
      <c r="BH16" s="1126">
        <v>1.0</v>
      </c>
      <c r="BI16" s="1138">
        <v>1.0</v>
      </c>
      <c r="BJ16" s="1126">
        <v>5.0</v>
      </c>
      <c r="BK16" s="1138">
        <v>5.0</v>
      </c>
      <c r="BL16" s="1134">
        <v>75.0</v>
      </c>
      <c r="BM16" s="1138">
        <v>75.0</v>
      </c>
      <c r="BN16" s="1176"/>
      <c r="BO16" s="1737"/>
      <c r="BP16" s="783">
        <f t="shared" si="1"/>
        <v>151</v>
      </c>
      <c r="BQ16" s="1757">
        <f t="shared" si="2"/>
        <v>150</v>
      </c>
      <c r="BR16" s="1572">
        <v>150.0</v>
      </c>
      <c r="BS16" s="784">
        <f t="shared" si="3"/>
        <v>31861</v>
      </c>
      <c r="BT16" s="1610"/>
    </row>
    <row r="17" ht="15.75" customHeight="1">
      <c r="A17" s="1565"/>
      <c r="B17" s="1649">
        <v>4196.0</v>
      </c>
      <c r="C17" s="1567">
        <v>243.0</v>
      </c>
      <c r="D17" s="1755" t="s">
        <v>77</v>
      </c>
      <c r="E17" s="1652" t="str">
        <f>'Матрица 4 недели'!M102</f>
        <v>Филе с сыром и макаронами</v>
      </c>
      <c r="F17" s="1137"/>
      <c r="G17" s="1138"/>
      <c r="H17" s="1126"/>
      <c r="I17" s="1140"/>
      <c r="J17" s="1126"/>
      <c r="K17" s="1138"/>
      <c r="L17" s="1126"/>
      <c r="M17" s="1138"/>
      <c r="N17" s="1126"/>
      <c r="O17" s="1138"/>
      <c r="P17" s="1126"/>
      <c r="Q17" s="1142"/>
      <c r="R17" s="1137"/>
      <c r="S17" s="1121"/>
      <c r="T17" s="1137"/>
      <c r="U17" s="1121"/>
      <c r="V17" s="1137"/>
      <c r="W17" s="1121"/>
      <c r="X17" s="1137"/>
      <c r="Y17" s="1121"/>
      <c r="Z17" s="1137"/>
      <c r="AA17" s="1121"/>
      <c r="AB17" s="1120"/>
      <c r="AC17" s="1121"/>
      <c r="AD17" s="1120"/>
      <c r="AE17" s="1121"/>
      <c r="AF17" s="1137"/>
      <c r="AG17" s="1121"/>
      <c r="AH17" s="1120"/>
      <c r="AI17" s="1121"/>
      <c r="AJ17" s="1120"/>
      <c r="AK17" s="1121"/>
      <c r="AL17" s="1137"/>
      <c r="AM17" s="1121"/>
      <c r="AN17" s="1137"/>
      <c r="AO17" s="1138"/>
      <c r="AP17" s="1126"/>
      <c r="AQ17" s="1138"/>
      <c r="AR17" s="1137"/>
      <c r="AS17" s="1138"/>
      <c r="AT17" s="1126"/>
      <c r="AU17" s="1138"/>
      <c r="AV17" s="1126"/>
      <c r="AW17" s="1138"/>
      <c r="AX17" s="1126"/>
      <c r="AY17" s="1138"/>
      <c r="AZ17" s="1126"/>
      <c r="BA17" s="1138"/>
      <c r="BB17" s="1126"/>
      <c r="BC17" s="1570"/>
      <c r="BD17" s="1126"/>
      <c r="BE17" s="1127"/>
      <c r="BF17" s="1126"/>
      <c r="BG17" s="1127"/>
      <c r="BH17" s="1126"/>
      <c r="BI17" s="1127"/>
      <c r="BJ17" s="1126"/>
      <c r="BK17" s="1127"/>
      <c r="BL17" s="1763">
        <v>30.0</v>
      </c>
      <c r="BM17" s="1138">
        <v>30.0</v>
      </c>
      <c r="BN17" s="1176">
        <v>10.0</v>
      </c>
      <c r="BO17" s="1737"/>
      <c r="BP17" s="783">
        <f t="shared" si="1"/>
        <v>31</v>
      </c>
      <c r="BQ17" s="1757">
        <f t="shared" si="2"/>
        <v>30</v>
      </c>
      <c r="BR17" s="1572">
        <f t="shared" ref="BR17:BR30" si="5">BQ17*C17</f>
        <v>7290</v>
      </c>
      <c r="BS17" s="784">
        <f t="shared" si="3"/>
        <v>7533</v>
      </c>
      <c r="BT17" s="1610"/>
    </row>
    <row r="18" ht="15.75" customHeight="1">
      <c r="A18" s="1565" t="s">
        <v>145</v>
      </c>
      <c r="B18" s="1649">
        <v>4267.0</v>
      </c>
      <c r="C18" s="1567">
        <v>208.0</v>
      </c>
      <c r="D18" s="1755" t="s">
        <v>77</v>
      </c>
      <c r="E18" s="1652" t="str">
        <f>'Матрица 4 недели'!M103</f>
        <v>Биточек ''Столичный'' (филе кур) с макаронами</v>
      </c>
      <c r="F18" s="1126">
        <v>9.0</v>
      </c>
      <c r="G18" s="1127">
        <v>9.0</v>
      </c>
      <c r="H18" s="1126">
        <v>3.0</v>
      </c>
      <c r="I18" s="1127">
        <v>3.0</v>
      </c>
      <c r="J18" s="1126">
        <v>5.0</v>
      </c>
      <c r="K18" s="1127">
        <v>5.0</v>
      </c>
      <c r="L18" s="1126">
        <v>2.0</v>
      </c>
      <c r="M18" s="1127">
        <v>2.0</v>
      </c>
      <c r="N18" s="1126">
        <v>3.0</v>
      </c>
      <c r="O18" s="1127">
        <v>3.0</v>
      </c>
      <c r="P18" s="1126">
        <v>4.0</v>
      </c>
      <c r="Q18" s="1121">
        <v>4.0</v>
      </c>
      <c r="R18" s="1126">
        <v>0.0</v>
      </c>
      <c r="S18" s="1121">
        <v>0.0</v>
      </c>
      <c r="T18" s="1126">
        <v>3.0</v>
      </c>
      <c r="U18" s="1127">
        <v>3.0</v>
      </c>
      <c r="V18" s="1126">
        <v>2.0</v>
      </c>
      <c r="W18" s="1127">
        <v>2.0</v>
      </c>
      <c r="X18" s="1126">
        <v>2.0</v>
      </c>
      <c r="Y18" s="1127">
        <v>2.0</v>
      </c>
      <c r="Z18" s="1126"/>
      <c r="AA18" s="1121"/>
      <c r="AB18" s="1126">
        <v>0.0</v>
      </c>
      <c r="AC18" s="1121">
        <v>0.0</v>
      </c>
      <c r="AD18" s="1126">
        <v>0.0</v>
      </c>
      <c r="AE18" s="1121">
        <v>0.0</v>
      </c>
      <c r="AF18" s="1126">
        <v>3.0</v>
      </c>
      <c r="AG18" s="1121">
        <v>3.0</v>
      </c>
      <c r="AH18" s="1126">
        <v>0.0</v>
      </c>
      <c r="AI18" s="1121">
        <v>0.0</v>
      </c>
      <c r="AJ18" s="1126">
        <v>1.0</v>
      </c>
      <c r="AK18" s="1127">
        <v>1.0</v>
      </c>
      <c r="AL18" s="1126">
        <v>0.0</v>
      </c>
      <c r="AM18" s="1121">
        <v>0.0</v>
      </c>
      <c r="AN18" s="1126"/>
      <c r="AO18" s="1138"/>
      <c r="AP18" s="1126">
        <v>0.0</v>
      </c>
      <c r="AQ18" s="1138">
        <v>0.0</v>
      </c>
      <c r="AR18" s="1126">
        <v>2.0</v>
      </c>
      <c r="AS18" s="1131">
        <v>2.0</v>
      </c>
      <c r="AT18" s="1126">
        <v>0.0</v>
      </c>
      <c r="AU18" s="1131"/>
      <c r="AV18" s="1126">
        <v>2.0</v>
      </c>
      <c r="AW18" s="1138">
        <v>2.0</v>
      </c>
      <c r="AX18" s="1126">
        <v>1.0</v>
      </c>
      <c r="AY18" s="1131">
        <v>1.0</v>
      </c>
      <c r="AZ18" s="1126">
        <v>1.0</v>
      </c>
      <c r="BA18" s="1131">
        <v>1.0</v>
      </c>
      <c r="BB18" s="1126">
        <v>2.0</v>
      </c>
      <c r="BC18" s="1570">
        <v>2.0</v>
      </c>
      <c r="BD18" s="1126"/>
      <c r="BE18" s="1127"/>
      <c r="BF18" s="1126">
        <v>1.0</v>
      </c>
      <c r="BG18" s="1127">
        <v>1.0</v>
      </c>
      <c r="BH18" s="1126">
        <v>0.0</v>
      </c>
      <c r="BI18" s="1127"/>
      <c r="BJ18" s="1126">
        <v>4.0</v>
      </c>
      <c r="BK18" s="1138">
        <v>4.0</v>
      </c>
      <c r="BL18" s="1134"/>
      <c r="BM18" s="1138"/>
      <c r="BN18" s="1176">
        <v>10.0</v>
      </c>
      <c r="BO18" s="1737"/>
      <c r="BP18" s="783">
        <f t="shared" si="1"/>
        <v>51</v>
      </c>
      <c r="BQ18" s="1170">
        <f t="shared" si="2"/>
        <v>50</v>
      </c>
      <c r="BR18" s="1572">
        <f t="shared" si="5"/>
        <v>10400</v>
      </c>
      <c r="BS18" s="784">
        <f t="shared" si="3"/>
        <v>10608</v>
      </c>
      <c r="BT18" s="1610"/>
    </row>
    <row r="19" ht="15.75" customHeight="1">
      <c r="A19" s="1565" t="s">
        <v>145</v>
      </c>
      <c r="B19" s="1649">
        <v>4324.0</v>
      </c>
      <c r="C19" s="1567">
        <v>208.0</v>
      </c>
      <c r="D19" s="1775" t="s">
        <v>537</v>
      </c>
      <c r="E19" s="1652" t="str">
        <f>'Матрица 4 недели'!M104</f>
        <v>Спагетти в сливочном соусе с грибами</v>
      </c>
      <c r="F19" s="1137">
        <v>12.0</v>
      </c>
      <c r="G19" s="1138">
        <v>12.0</v>
      </c>
      <c r="H19" s="1126">
        <v>4.0</v>
      </c>
      <c r="I19" s="1140">
        <v>4.0</v>
      </c>
      <c r="J19" s="1126">
        <v>6.0</v>
      </c>
      <c r="K19" s="1138">
        <v>6.0</v>
      </c>
      <c r="L19" s="1126">
        <v>7.0</v>
      </c>
      <c r="M19" s="1138">
        <v>7.0</v>
      </c>
      <c r="N19" s="1126">
        <v>8.0</v>
      </c>
      <c r="O19" s="1138">
        <v>8.0</v>
      </c>
      <c r="P19" s="1126">
        <v>7.0</v>
      </c>
      <c r="Q19" s="1142">
        <v>7.0</v>
      </c>
      <c r="R19" s="1137">
        <v>4.0</v>
      </c>
      <c r="S19" s="1121">
        <v>4.0</v>
      </c>
      <c r="T19" s="1137">
        <v>5.0</v>
      </c>
      <c r="U19" s="1121">
        <v>5.0</v>
      </c>
      <c r="V19" s="1137">
        <v>5.0</v>
      </c>
      <c r="W19" s="1121">
        <v>5.0</v>
      </c>
      <c r="X19" s="1137">
        <v>6.0</v>
      </c>
      <c r="Y19" s="1121">
        <v>6.0</v>
      </c>
      <c r="Z19" s="1120"/>
      <c r="AA19" s="1121"/>
      <c r="AB19" s="1120">
        <v>4.0</v>
      </c>
      <c r="AC19" s="1121">
        <v>4.0</v>
      </c>
      <c r="AD19" s="1120">
        <v>4.0</v>
      </c>
      <c r="AE19" s="1121">
        <v>4.0</v>
      </c>
      <c r="AF19" s="1137">
        <v>2.0</v>
      </c>
      <c r="AG19" s="1121">
        <v>2.0</v>
      </c>
      <c r="AH19" s="1120">
        <v>4.0</v>
      </c>
      <c r="AI19" s="1121">
        <v>4.0</v>
      </c>
      <c r="AJ19" s="1120">
        <v>6.0</v>
      </c>
      <c r="AK19" s="1121">
        <v>6.0</v>
      </c>
      <c r="AL19" s="1120">
        <v>2.0</v>
      </c>
      <c r="AM19" s="1121">
        <v>2.0</v>
      </c>
      <c r="AN19" s="1137"/>
      <c r="AO19" s="1138"/>
      <c r="AP19" s="1126">
        <v>3.0</v>
      </c>
      <c r="AQ19" s="1138">
        <v>3.0</v>
      </c>
      <c r="AR19" s="1137">
        <v>6.0</v>
      </c>
      <c r="AS19" s="1138">
        <v>6.0</v>
      </c>
      <c r="AT19" s="1126">
        <v>2.0</v>
      </c>
      <c r="AU19" s="1138">
        <v>2.0</v>
      </c>
      <c r="AV19" s="1126">
        <v>4.0</v>
      </c>
      <c r="AW19" s="1138">
        <v>4.0</v>
      </c>
      <c r="AX19" s="1126">
        <v>3.0</v>
      </c>
      <c r="AY19" s="1138">
        <v>3.0</v>
      </c>
      <c r="AZ19" s="1126">
        <v>3.0</v>
      </c>
      <c r="BA19" s="1138">
        <v>3.0</v>
      </c>
      <c r="BB19" s="1126">
        <v>2.0</v>
      </c>
      <c r="BC19" s="1138">
        <v>2.0</v>
      </c>
      <c r="BD19" s="1126">
        <v>5.0</v>
      </c>
      <c r="BE19" s="1138">
        <v>5.0</v>
      </c>
      <c r="BF19" s="1126">
        <v>8.0</v>
      </c>
      <c r="BG19" s="1138">
        <v>8.0</v>
      </c>
      <c r="BH19" s="1126">
        <v>3.0</v>
      </c>
      <c r="BI19" s="1138">
        <v>3.0</v>
      </c>
      <c r="BJ19" s="1126">
        <v>6.0</v>
      </c>
      <c r="BK19" s="1138">
        <v>6.0</v>
      </c>
      <c r="BL19" s="1134"/>
      <c r="BM19" s="1138"/>
      <c r="BN19" s="1176">
        <v>10.0</v>
      </c>
      <c r="BO19" s="1170"/>
      <c r="BP19" s="783">
        <f t="shared" si="1"/>
        <v>132</v>
      </c>
      <c r="BQ19" s="1757">
        <f t="shared" si="2"/>
        <v>131</v>
      </c>
      <c r="BR19" s="1572">
        <f t="shared" si="5"/>
        <v>27248</v>
      </c>
      <c r="BS19" s="784">
        <f t="shared" si="3"/>
        <v>27456</v>
      </c>
      <c r="BT19" s="1610"/>
    </row>
    <row r="20" ht="15.75" customHeight="1">
      <c r="A20" s="1565" t="s">
        <v>145</v>
      </c>
      <c r="B20" s="1649">
        <v>3239.0</v>
      </c>
      <c r="C20" s="1619">
        <v>215.0</v>
      </c>
      <c r="D20" s="1755" t="s">
        <v>77</v>
      </c>
      <c r="E20" s="733" t="str">
        <f>'Матрица 4 недели'!M105</f>
        <v>Минтай под овощами с рисом Радуга</v>
      </c>
      <c r="F20" s="1620">
        <v>3.0</v>
      </c>
      <c r="G20" s="1621">
        <v>3.0</v>
      </c>
      <c r="H20" s="1622">
        <v>0.0</v>
      </c>
      <c r="I20" s="1621">
        <v>0.0</v>
      </c>
      <c r="J20" s="1622">
        <v>6.0</v>
      </c>
      <c r="K20" s="1621">
        <v>6.0</v>
      </c>
      <c r="L20" s="1622"/>
      <c r="M20" s="1621"/>
      <c r="N20" s="1622">
        <v>6.0</v>
      </c>
      <c r="O20" s="1621">
        <v>6.0</v>
      </c>
      <c r="P20" s="1622">
        <v>2.0</v>
      </c>
      <c r="Q20" s="1623">
        <v>2.0</v>
      </c>
      <c r="R20" s="1622">
        <v>0.0</v>
      </c>
      <c r="S20" s="1624">
        <v>0.0</v>
      </c>
      <c r="T20" s="1622">
        <v>3.0</v>
      </c>
      <c r="U20" s="1624">
        <v>3.0</v>
      </c>
      <c r="V20" s="1622">
        <v>4.0</v>
      </c>
      <c r="W20" s="1624">
        <v>4.0</v>
      </c>
      <c r="X20" s="1622">
        <v>3.0</v>
      </c>
      <c r="Y20" s="1624">
        <v>3.0</v>
      </c>
      <c r="Z20" s="1620"/>
      <c r="AA20" s="1624"/>
      <c r="AB20" s="1622">
        <v>2.0</v>
      </c>
      <c r="AC20" s="1624">
        <v>2.0</v>
      </c>
      <c r="AD20" s="1622">
        <v>3.0</v>
      </c>
      <c r="AE20" s="1624">
        <v>3.0</v>
      </c>
      <c r="AF20" s="1622">
        <v>2.0</v>
      </c>
      <c r="AG20" s="1624">
        <v>2.0</v>
      </c>
      <c r="AH20" s="1622">
        <v>3.0</v>
      </c>
      <c r="AI20" s="1624">
        <v>3.0</v>
      </c>
      <c r="AJ20" s="1622">
        <v>0.0</v>
      </c>
      <c r="AK20" s="1624">
        <v>0.0</v>
      </c>
      <c r="AL20" s="1620">
        <v>3.0</v>
      </c>
      <c r="AM20" s="1624">
        <v>3.0</v>
      </c>
      <c r="AN20" s="1622"/>
      <c r="AO20" s="1621"/>
      <c r="AP20" s="1622">
        <v>2.0</v>
      </c>
      <c r="AQ20" s="1621">
        <v>2.0</v>
      </c>
      <c r="AR20" s="1625">
        <v>5.0</v>
      </c>
      <c r="AS20" s="1621">
        <v>5.0</v>
      </c>
      <c r="AT20" s="1622">
        <v>4.0</v>
      </c>
      <c r="AU20" s="1621">
        <v>4.0</v>
      </c>
      <c r="AV20" s="1622">
        <v>0.0</v>
      </c>
      <c r="AW20" s="1621">
        <v>0.0</v>
      </c>
      <c r="AX20" s="1622">
        <v>3.0</v>
      </c>
      <c r="AY20" s="1621">
        <v>3.0</v>
      </c>
      <c r="AZ20" s="1622">
        <v>0.0</v>
      </c>
      <c r="BA20" s="1621">
        <v>0.0</v>
      </c>
      <c r="BB20" s="1622">
        <v>2.0</v>
      </c>
      <c r="BC20" s="1778">
        <v>2.0</v>
      </c>
      <c r="BD20" s="1622">
        <v>2.0</v>
      </c>
      <c r="BE20" s="1626">
        <v>2.0</v>
      </c>
      <c r="BF20" s="1622">
        <v>3.0</v>
      </c>
      <c r="BG20" s="1626">
        <v>3.0</v>
      </c>
      <c r="BH20" s="1622">
        <v>1.0</v>
      </c>
      <c r="BI20" s="1626">
        <v>1.0</v>
      </c>
      <c r="BJ20" s="1622">
        <v>4.0</v>
      </c>
      <c r="BK20" s="1626">
        <v>4.0</v>
      </c>
      <c r="BL20" s="1134"/>
      <c r="BM20" s="1121"/>
      <c r="BN20" s="783"/>
      <c r="BO20" s="1170"/>
      <c r="BP20" s="783">
        <f t="shared" si="1"/>
        <v>67</v>
      </c>
      <c r="BQ20" s="1757">
        <f t="shared" si="2"/>
        <v>66</v>
      </c>
      <c r="BR20" s="1572">
        <f t="shared" si="5"/>
        <v>14190</v>
      </c>
      <c r="BS20" s="784">
        <f t="shared" si="3"/>
        <v>14405</v>
      </c>
      <c r="BT20" s="1610"/>
    </row>
    <row r="21" ht="15.75" customHeight="1">
      <c r="A21" s="1565" t="s">
        <v>145</v>
      </c>
      <c r="B21" s="1689">
        <v>3518.0</v>
      </c>
      <c r="C21" s="1567">
        <v>85.0</v>
      </c>
      <c r="D21" s="1755" t="s">
        <v>78</v>
      </c>
      <c r="E21" s="1690" t="str">
        <f>'Матрица 4 недели'!P98</f>
        <v>Слойка ''Нежная'' с сыром 100 г</v>
      </c>
      <c r="F21" s="1137"/>
      <c r="G21" s="1121"/>
      <c r="H21" s="1126"/>
      <c r="I21" s="1121"/>
      <c r="J21" s="1126"/>
      <c r="K21" s="1121"/>
      <c r="L21" s="1126"/>
      <c r="M21" s="1121"/>
      <c r="N21" s="1126"/>
      <c r="O21" s="1121"/>
      <c r="P21" s="1126"/>
      <c r="Q21" s="1121"/>
      <c r="R21" s="1137"/>
      <c r="S21" s="1121"/>
      <c r="T21" s="1126"/>
      <c r="U21" s="1138"/>
      <c r="V21" s="1137"/>
      <c r="W21" s="1138"/>
      <c r="X21" s="1137"/>
      <c r="Y21" s="1138"/>
      <c r="Z21" s="1137"/>
      <c r="AA21" s="1138"/>
      <c r="AB21" s="1137"/>
      <c r="AC21" s="1138"/>
      <c r="AD21" s="1137"/>
      <c r="AE21" s="1138"/>
      <c r="AF21" s="1137"/>
      <c r="AG21" s="1138"/>
      <c r="AH21" s="1120"/>
      <c r="AI21" s="1138"/>
      <c r="AJ21" s="1120"/>
      <c r="AK21" s="1138"/>
      <c r="AL21" s="1137"/>
      <c r="AM21" s="1138"/>
      <c r="AN21" s="1120"/>
      <c r="AO21" s="1121"/>
      <c r="AP21" s="1120"/>
      <c r="AQ21" s="1138"/>
      <c r="AR21" s="1120"/>
      <c r="AS21" s="1121"/>
      <c r="AT21" s="1126"/>
      <c r="AU21" s="1121"/>
      <c r="AV21" s="1126"/>
      <c r="AW21" s="1121"/>
      <c r="AX21" s="1126"/>
      <c r="AY21" s="1121"/>
      <c r="AZ21" s="1126"/>
      <c r="BA21" s="1138"/>
      <c r="BB21" s="1126"/>
      <c r="BC21" s="1570"/>
      <c r="BD21" s="1126"/>
      <c r="BE21" s="1127"/>
      <c r="BF21" s="1126"/>
      <c r="BG21" s="1127"/>
      <c r="BH21" s="1126"/>
      <c r="BI21" s="1127"/>
      <c r="BJ21" s="1126"/>
      <c r="BK21" s="1127"/>
      <c r="BL21" s="1134">
        <v>10.0</v>
      </c>
      <c r="BM21" s="1138">
        <v>10.0</v>
      </c>
      <c r="BN21" s="783"/>
      <c r="BO21" s="1170"/>
      <c r="BP21" s="783">
        <f t="shared" si="1"/>
        <v>11</v>
      </c>
      <c r="BQ21" s="1170">
        <f t="shared" si="2"/>
        <v>10</v>
      </c>
      <c r="BR21" s="1572">
        <f t="shared" si="5"/>
        <v>850</v>
      </c>
      <c r="BS21" s="784">
        <f t="shared" si="3"/>
        <v>935</v>
      </c>
      <c r="BT21" s="1610"/>
    </row>
    <row r="22" ht="19.5" customHeight="1">
      <c r="A22" s="1565" t="s">
        <v>145</v>
      </c>
      <c r="B22" s="1649">
        <v>5.0</v>
      </c>
      <c r="C22" s="1567">
        <v>155.0</v>
      </c>
      <c r="D22" s="1735" t="s">
        <v>79</v>
      </c>
      <c r="E22" s="1695" t="str">
        <f>'Матрица 4 недели'!S98</f>
        <v>Сэндвич с ветчиной и сыром</v>
      </c>
      <c r="F22" s="1137">
        <v>10.0</v>
      </c>
      <c r="G22" s="1121">
        <v>10.0</v>
      </c>
      <c r="H22" s="1126">
        <v>3.0</v>
      </c>
      <c r="I22" s="1121">
        <v>3.0</v>
      </c>
      <c r="J22" s="1126">
        <v>7.0</v>
      </c>
      <c r="K22" s="1121">
        <v>7.0</v>
      </c>
      <c r="L22" s="1126">
        <v>2.0</v>
      </c>
      <c r="M22" s="1121">
        <v>2.0</v>
      </c>
      <c r="N22" s="1126">
        <v>8.0</v>
      </c>
      <c r="O22" s="1121">
        <v>8.0</v>
      </c>
      <c r="P22" s="1126">
        <v>10.0</v>
      </c>
      <c r="Q22" s="1121">
        <v>10.0</v>
      </c>
      <c r="R22" s="1137">
        <v>4.0</v>
      </c>
      <c r="S22" s="1121">
        <v>4.0</v>
      </c>
      <c r="T22" s="1126">
        <v>4.0</v>
      </c>
      <c r="U22" s="1138">
        <v>4.0</v>
      </c>
      <c r="V22" s="1137">
        <v>5.0</v>
      </c>
      <c r="W22" s="1138">
        <v>5.0</v>
      </c>
      <c r="X22" s="1137">
        <v>8.0</v>
      </c>
      <c r="Y22" s="1138">
        <v>8.0</v>
      </c>
      <c r="Z22" s="1137"/>
      <c r="AA22" s="1138"/>
      <c r="AB22" s="1137">
        <v>5.0</v>
      </c>
      <c r="AC22" s="1138">
        <v>5.0</v>
      </c>
      <c r="AD22" s="1137">
        <v>4.0</v>
      </c>
      <c r="AE22" s="1138">
        <v>4.0</v>
      </c>
      <c r="AF22" s="1137">
        <v>9.0</v>
      </c>
      <c r="AG22" s="1138">
        <v>9.0</v>
      </c>
      <c r="AH22" s="1120">
        <v>4.0</v>
      </c>
      <c r="AI22" s="1138">
        <v>4.0</v>
      </c>
      <c r="AJ22" s="1120">
        <v>4.0</v>
      </c>
      <c r="AK22" s="1138">
        <v>4.0</v>
      </c>
      <c r="AL22" s="1137">
        <v>6.0</v>
      </c>
      <c r="AM22" s="1138">
        <v>6.0</v>
      </c>
      <c r="AN22" s="1120"/>
      <c r="AO22" s="1121"/>
      <c r="AP22" s="1120">
        <v>6.0</v>
      </c>
      <c r="AQ22" s="1138">
        <v>6.0</v>
      </c>
      <c r="AR22" s="1120">
        <v>12.0</v>
      </c>
      <c r="AS22" s="1121">
        <v>12.0</v>
      </c>
      <c r="AT22" s="1126">
        <v>5.0</v>
      </c>
      <c r="AU22" s="1121">
        <v>5.0</v>
      </c>
      <c r="AV22" s="1126">
        <v>3.0</v>
      </c>
      <c r="AW22" s="1121">
        <v>3.0</v>
      </c>
      <c r="AX22" s="1126">
        <v>6.0</v>
      </c>
      <c r="AY22" s="1121">
        <v>6.0</v>
      </c>
      <c r="AZ22" s="1126">
        <v>2.0</v>
      </c>
      <c r="BA22" s="1138">
        <v>2.0</v>
      </c>
      <c r="BB22" s="1126">
        <v>7.0</v>
      </c>
      <c r="BC22" s="1570">
        <v>7.0</v>
      </c>
      <c r="BD22" s="1126">
        <v>3.0</v>
      </c>
      <c r="BE22" s="1127">
        <v>3.0</v>
      </c>
      <c r="BF22" s="1126">
        <v>9.0</v>
      </c>
      <c r="BG22" s="1127">
        <v>9.0</v>
      </c>
      <c r="BH22" s="1126">
        <v>4.0</v>
      </c>
      <c r="BI22" s="1127">
        <v>4.0</v>
      </c>
      <c r="BJ22" s="1126">
        <v>3.0</v>
      </c>
      <c r="BK22" s="1127">
        <v>3.0</v>
      </c>
      <c r="BL22" s="1139"/>
      <c r="BM22" s="1138"/>
      <c r="BN22" s="783"/>
      <c r="BO22" s="1170"/>
      <c r="BP22" s="783">
        <f t="shared" si="1"/>
        <v>154</v>
      </c>
      <c r="BQ22" s="1170">
        <f t="shared" si="2"/>
        <v>153</v>
      </c>
      <c r="BR22" s="1572">
        <f t="shared" si="5"/>
        <v>23715</v>
      </c>
      <c r="BS22" s="784">
        <f t="shared" si="3"/>
        <v>23870</v>
      </c>
      <c r="BT22" s="1610"/>
    </row>
    <row r="23" ht="15.75" customHeight="1">
      <c r="A23" s="1565" t="s">
        <v>145</v>
      </c>
      <c r="B23" s="1649">
        <v>33.0</v>
      </c>
      <c r="C23" s="1567">
        <v>155.0</v>
      </c>
      <c r="D23" s="1755" t="s">
        <v>79</v>
      </c>
      <c r="E23" s="733" t="str">
        <f>'Матрица 4 недели'!S99</f>
        <v>Сэндвич с копчёной курицей и сыром</v>
      </c>
      <c r="F23" s="1126">
        <v>9.0</v>
      </c>
      <c r="G23" s="1121">
        <v>9.0</v>
      </c>
      <c r="H23" s="1126">
        <v>3.0</v>
      </c>
      <c r="I23" s="1121">
        <v>3.0</v>
      </c>
      <c r="J23" s="1126">
        <v>7.0</v>
      </c>
      <c r="K23" s="1121">
        <v>7.0</v>
      </c>
      <c r="L23" s="1126">
        <v>5.0</v>
      </c>
      <c r="M23" s="1121">
        <v>5.0</v>
      </c>
      <c r="N23" s="1126">
        <v>4.0</v>
      </c>
      <c r="O23" s="1121">
        <v>4.0</v>
      </c>
      <c r="P23" s="1126">
        <v>4.0</v>
      </c>
      <c r="Q23" s="1121">
        <v>4.0</v>
      </c>
      <c r="R23" s="1126">
        <v>3.0</v>
      </c>
      <c r="S23" s="1121">
        <v>3.0</v>
      </c>
      <c r="T23" s="1126">
        <v>3.0</v>
      </c>
      <c r="U23" s="1121">
        <v>3.0</v>
      </c>
      <c r="V23" s="1126">
        <v>2.0</v>
      </c>
      <c r="W23" s="1121">
        <v>2.0</v>
      </c>
      <c r="X23" s="1126">
        <v>3.0</v>
      </c>
      <c r="Y23" s="1121">
        <v>3.0</v>
      </c>
      <c r="Z23" s="1126"/>
      <c r="AA23" s="1121"/>
      <c r="AB23" s="1126">
        <v>3.0</v>
      </c>
      <c r="AC23" s="1121">
        <v>3.0</v>
      </c>
      <c r="AD23" s="1126">
        <v>2.0</v>
      </c>
      <c r="AE23" s="1121">
        <v>2.0</v>
      </c>
      <c r="AF23" s="1126">
        <v>4.0</v>
      </c>
      <c r="AG23" s="1121">
        <v>3.0</v>
      </c>
      <c r="AH23" s="1126">
        <v>4.0</v>
      </c>
      <c r="AI23" s="1121">
        <v>4.0</v>
      </c>
      <c r="AJ23" s="1126">
        <v>4.0</v>
      </c>
      <c r="AK23" s="1121">
        <v>4.0</v>
      </c>
      <c r="AL23" s="1126">
        <v>3.0</v>
      </c>
      <c r="AM23" s="1121">
        <v>3.0</v>
      </c>
      <c r="AN23" s="1126"/>
      <c r="AO23" s="1138"/>
      <c r="AP23" s="1126">
        <v>4.0</v>
      </c>
      <c r="AQ23" s="1138">
        <v>4.0</v>
      </c>
      <c r="AR23" s="1126">
        <v>3.0</v>
      </c>
      <c r="AS23" s="1138">
        <v>3.0</v>
      </c>
      <c r="AT23" s="1126">
        <v>3.0</v>
      </c>
      <c r="AU23" s="1138">
        <v>3.0</v>
      </c>
      <c r="AV23" s="1126">
        <v>3.0</v>
      </c>
      <c r="AW23" s="1138">
        <v>3.0</v>
      </c>
      <c r="AX23" s="1126">
        <v>2.0</v>
      </c>
      <c r="AY23" s="1138">
        <v>2.0</v>
      </c>
      <c r="AZ23" s="1126">
        <v>2.0</v>
      </c>
      <c r="BA23" s="1138">
        <v>2.0</v>
      </c>
      <c r="BB23" s="1126">
        <v>7.0</v>
      </c>
      <c r="BC23" s="1138">
        <v>7.0</v>
      </c>
      <c r="BD23" s="1126">
        <v>1.0</v>
      </c>
      <c r="BE23" s="1138">
        <v>1.0</v>
      </c>
      <c r="BF23" s="1126">
        <v>3.0</v>
      </c>
      <c r="BG23" s="1138">
        <v>3.0</v>
      </c>
      <c r="BH23" s="1126">
        <v>3.0</v>
      </c>
      <c r="BI23" s="1138">
        <v>3.0</v>
      </c>
      <c r="BJ23" s="1126">
        <v>2.0</v>
      </c>
      <c r="BK23" s="1127">
        <v>2.0</v>
      </c>
      <c r="BL23" s="1134"/>
      <c r="BM23" s="1138"/>
      <c r="BN23" s="783"/>
      <c r="BO23" s="1170"/>
      <c r="BP23" s="783">
        <f t="shared" si="1"/>
        <v>97</v>
      </c>
      <c r="BQ23" s="1170">
        <f t="shared" si="2"/>
        <v>95</v>
      </c>
      <c r="BR23" s="1572">
        <f t="shared" si="5"/>
        <v>14725</v>
      </c>
      <c r="BS23" s="784">
        <f t="shared" si="3"/>
        <v>15035</v>
      </c>
      <c r="BT23" s="1610"/>
    </row>
    <row r="24" ht="15.75" customHeight="1">
      <c r="A24" s="1565" t="s">
        <v>145</v>
      </c>
      <c r="B24" s="1649">
        <v>2079.0</v>
      </c>
      <c r="C24" s="1567">
        <v>105.0</v>
      </c>
      <c r="D24" s="1735" t="s">
        <v>78</v>
      </c>
      <c r="E24" s="1690" t="str">
        <f>'Матрица 4 недели'!P99</f>
        <v>Вафельная трубочка с вареной сгущенкой</v>
      </c>
      <c r="F24" s="1137">
        <v>36.0</v>
      </c>
      <c r="G24" s="1121">
        <v>36.0</v>
      </c>
      <c r="H24" s="1126">
        <v>4.0</v>
      </c>
      <c r="I24" s="1121">
        <v>4.0</v>
      </c>
      <c r="J24" s="1126">
        <v>3.0</v>
      </c>
      <c r="K24" s="1160">
        <v>3.0</v>
      </c>
      <c r="L24" s="1161">
        <v>8.0</v>
      </c>
      <c r="M24" s="1162">
        <v>8.0</v>
      </c>
      <c r="N24" s="1126">
        <v>8.0</v>
      </c>
      <c r="O24" s="1121">
        <v>8.0</v>
      </c>
      <c r="P24" s="1126">
        <v>6.0</v>
      </c>
      <c r="Q24" s="1121">
        <v>6.0</v>
      </c>
      <c r="R24" s="1126">
        <v>7.0</v>
      </c>
      <c r="S24" s="1121">
        <v>7.0</v>
      </c>
      <c r="T24" s="1126">
        <v>7.0</v>
      </c>
      <c r="U24" s="1121">
        <v>7.0</v>
      </c>
      <c r="V24" s="1137">
        <v>16.0</v>
      </c>
      <c r="W24" s="1121">
        <v>17.0</v>
      </c>
      <c r="X24" s="1137">
        <v>10.0</v>
      </c>
      <c r="Y24" s="1121">
        <v>10.0</v>
      </c>
      <c r="Z24" s="1126"/>
      <c r="AA24" s="1121"/>
      <c r="AB24" s="1137">
        <v>9.0</v>
      </c>
      <c r="AC24" s="1121">
        <v>9.0</v>
      </c>
      <c r="AD24" s="1137">
        <v>17.0</v>
      </c>
      <c r="AE24" s="1121">
        <v>17.0</v>
      </c>
      <c r="AF24" s="1120">
        <v>21.0</v>
      </c>
      <c r="AG24" s="1121">
        <v>22.0</v>
      </c>
      <c r="AH24" s="1137">
        <v>8.0</v>
      </c>
      <c r="AI24" s="1121">
        <v>9.0</v>
      </c>
      <c r="AJ24" s="1120">
        <v>9.0</v>
      </c>
      <c r="AK24" s="1121">
        <v>9.0</v>
      </c>
      <c r="AL24" s="1126">
        <v>4.0</v>
      </c>
      <c r="AM24" s="1121">
        <v>4.0</v>
      </c>
      <c r="AN24" s="1120"/>
      <c r="AO24" s="1138"/>
      <c r="AP24" s="1126">
        <v>18.0</v>
      </c>
      <c r="AQ24" s="1138">
        <v>19.0</v>
      </c>
      <c r="AR24" s="1120">
        <v>5.0</v>
      </c>
      <c r="AS24" s="1121">
        <v>5.0</v>
      </c>
      <c r="AT24" s="1126">
        <v>8.0</v>
      </c>
      <c r="AU24" s="1121">
        <v>8.0</v>
      </c>
      <c r="AV24" s="1126">
        <v>7.0</v>
      </c>
      <c r="AW24" s="1121">
        <v>7.0</v>
      </c>
      <c r="AX24" s="1126">
        <v>9.0</v>
      </c>
      <c r="AY24" s="1121">
        <v>9.0</v>
      </c>
      <c r="AZ24" s="1141">
        <v>13.0</v>
      </c>
      <c r="BA24" s="1305">
        <v>13.0</v>
      </c>
      <c r="BB24" s="1141">
        <v>7.0</v>
      </c>
      <c r="BC24" s="1305">
        <v>7.0</v>
      </c>
      <c r="BD24" s="1141">
        <v>4.0</v>
      </c>
      <c r="BE24" s="1305">
        <v>4.0</v>
      </c>
      <c r="BF24" s="1141">
        <v>8.0</v>
      </c>
      <c r="BG24" s="1305">
        <v>9.0</v>
      </c>
      <c r="BH24" s="1126">
        <v>7.0</v>
      </c>
      <c r="BI24" s="1131">
        <v>7.0</v>
      </c>
      <c r="BJ24" s="1126">
        <v>6.0</v>
      </c>
      <c r="BK24" s="1305">
        <v>6.0</v>
      </c>
      <c r="BL24" s="1134"/>
      <c r="BM24" s="1138"/>
      <c r="BN24" s="783"/>
      <c r="BO24" s="1170"/>
      <c r="BP24" s="783">
        <f t="shared" si="1"/>
        <v>266</v>
      </c>
      <c r="BQ24" s="1170">
        <f t="shared" si="2"/>
        <v>270</v>
      </c>
      <c r="BR24" s="1572">
        <f t="shared" si="5"/>
        <v>28350</v>
      </c>
      <c r="BS24" s="784">
        <f t="shared" si="3"/>
        <v>27930</v>
      </c>
      <c r="BT24" s="1610"/>
    </row>
    <row r="25" ht="15.75" customHeight="1">
      <c r="A25" s="1565" t="s">
        <v>145</v>
      </c>
      <c r="B25" s="1649">
        <v>3999.0</v>
      </c>
      <c r="C25" s="1567">
        <v>98.0</v>
      </c>
      <c r="D25" s="1735" t="s">
        <v>80</v>
      </c>
      <c r="E25" s="1704" t="str">
        <f>'Матрица 4 недели'!V98</f>
        <v>Морс ягодный 0,5 л</v>
      </c>
      <c r="F25" s="1120">
        <v>15.0</v>
      </c>
      <c r="G25" s="1121">
        <v>17.0</v>
      </c>
      <c r="H25" s="1120">
        <v>5.0</v>
      </c>
      <c r="I25" s="1121">
        <v>5.0</v>
      </c>
      <c r="J25" s="1120">
        <v>15.0</v>
      </c>
      <c r="K25" s="1138">
        <v>17.0</v>
      </c>
      <c r="L25" s="1126">
        <v>10.0</v>
      </c>
      <c r="M25" s="1138">
        <v>10.0</v>
      </c>
      <c r="N25" s="1126">
        <v>0.0</v>
      </c>
      <c r="O25" s="1138">
        <v>0.0</v>
      </c>
      <c r="P25" s="1120">
        <v>10.0</v>
      </c>
      <c r="Q25" s="1138">
        <v>15.0</v>
      </c>
      <c r="R25" s="1120">
        <v>0.0</v>
      </c>
      <c r="S25" s="1138">
        <v>0.0</v>
      </c>
      <c r="T25" s="1126">
        <v>0.0</v>
      </c>
      <c r="U25" s="1138">
        <v>0.0</v>
      </c>
      <c r="V25" s="1126">
        <v>0.0</v>
      </c>
      <c r="W25" s="1138">
        <v>0.0</v>
      </c>
      <c r="X25" s="1126">
        <v>0.0</v>
      </c>
      <c r="Y25" s="1138">
        <v>0.0</v>
      </c>
      <c r="Z25" s="1137"/>
      <c r="AA25" s="1138"/>
      <c r="AB25" s="1126">
        <v>0.0</v>
      </c>
      <c r="AC25" s="1138">
        <v>0.0</v>
      </c>
      <c r="AD25" s="1126">
        <v>0.0</v>
      </c>
      <c r="AE25" s="1138">
        <v>0.0</v>
      </c>
      <c r="AF25" s="1126">
        <v>10.0</v>
      </c>
      <c r="AG25" s="1138">
        <v>13.0</v>
      </c>
      <c r="AH25" s="1126">
        <v>0.0</v>
      </c>
      <c r="AI25" s="1138">
        <v>0.0</v>
      </c>
      <c r="AJ25" s="1126">
        <v>0.0</v>
      </c>
      <c r="AK25" s="1138">
        <v>0.0</v>
      </c>
      <c r="AL25" s="1137">
        <v>0.0</v>
      </c>
      <c r="AM25" s="1138">
        <v>0.0</v>
      </c>
      <c r="AN25" s="1126"/>
      <c r="AO25" s="1138"/>
      <c r="AP25" s="1126">
        <v>0.0</v>
      </c>
      <c r="AQ25" s="1138">
        <v>0.0</v>
      </c>
      <c r="AR25" s="1120">
        <v>30.0</v>
      </c>
      <c r="AS25" s="1138">
        <v>35.0</v>
      </c>
      <c r="AT25" s="1126">
        <v>7.0</v>
      </c>
      <c r="AU25" s="1131">
        <v>10.0</v>
      </c>
      <c r="AV25" s="1126">
        <v>8.0</v>
      </c>
      <c r="AW25" s="1138">
        <v>11.0</v>
      </c>
      <c r="AX25" s="1126">
        <v>8.0</v>
      </c>
      <c r="AY25" s="1131">
        <v>11.0</v>
      </c>
      <c r="AZ25" s="1126">
        <v>0.0</v>
      </c>
      <c r="BA25" s="1138">
        <v>0.0</v>
      </c>
      <c r="BB25" s="1126">
        <v>15.0</v>
      </c>
      <c r="BC25" s="1570">
        <v>20.0</v>
      </c>
      <c r="BD25" s="1126">
        <v>9.0</v>
      </c>
      <c r="BE25" s="1127">
        <v>15.0</v>
      </c>
      <c r="BF25" s="1126">
        <v>18.0</v>
      </c>
      <c r="BG25" s="1127">
        <v>25.0</v>
      </c>
      <c r="BH25" s="1126">
        <v>11.0</v>
      </c>
      <c r="BI25" s="1127">
        <v>16.0</v>
      </c>
      <c r="BJ25" s="1126">
        <v>11.0</v>
      </c>
      <c r="BK25" s="1127">
        <v>16.0</v>
      </c>
      <c r="BL25" s="1139"/>
      <c r="BM25" s="1138"/>
      <c r="BN25" s="783"/>
      <c r="BO25" s="1170"/>
      <c r="BP25" s="783">
        <f t="shared" si="1"/>
        <v>183</v>
      </c>
      <c r="BQ25" s="1170">
        <f t="shared" si="2"/>
        <v>236</v>
      </c>
      <c r="BR25" s="1572">
        <f t="shared" si="5"/>
        <v>23128</v>
      </c>
      <c r="BS25" s="784">
        <f t="shared" si="3"/>
        <v>17934</v>
      </c>
      <c r="BT25" s="1610"/>
    </row>
    <row r="26" ht="15.75" customHeight="1">
      <c r="A26" s="1565" t="s">
        <v>145</v>
      </c>
      <c r="B26" s="1567">
        <v>3738.0</v>
      </c>
      <c r="C26" s="1567">
        <v>173.0</v>
      </c>
      <c r="D26" s="1735" t="s">
        <v>80</v>
      </c>
      <c r="E26" s="1704" t="str">
        <f>'Матрица 4 недели'!V99</f>
        <v>Ролл сэндвич с крабом</v>
      </c>
      <c r="F26" s="1137">
        <v>15.0</v>
      </c>
      <c r="G26" s="1121">
        <v>14.0</v>
      </c>
      <c r="H26" s="1126">
        <v>5.0</v>
      </c>
      <c r="I26" s="1121">
        <v>5.0</v>
      </c>
      <c r="J26" s="1126"/>
      <c r="K26" s="1121"/>
      <c r="L26" s="1126">
        <v>2.0</v>
      </c>
      <c r="M26" s="1121">
        <v>2.0</v>
      </c>
      <c r="N26" s="1126">
        <v>5.0</v>
      </c>
      <c r="O26" s="1127">
        <v>5.0</v>
      </c>
      <c r="P26" s="1126">
        <v>2.0</v>
      </c>
      <c r="Q26" s="1121">
        <v>2.0</v>
      </c>
      <c r="R26" s="1126"/>
      <c r="S26" s="1291"/>
      <c r="T26" s="1126"/>
      <c r="U26" s="1138"/>
      <c r="V26" s="1137">
        <v>2.0</v>
      </c>
      <c r="W26" s="1138">
        <v>2.0</v>
      </c>
      <c r="X26" s="1137">
        <v>4.0</v>
      </c>
      <c r="Y26" s="1138">
        <v>4.0</v>
      </c>
      <c r="Z26" s="1137"/>
      <c r="AA26" s="1138"/>
      <c r="AB26" s="1137">
        <v>2.0</v>
      </c>
      <c r="AC26" s="1138">
        <v>2.0</v>
      </c>
      <c r="AD26" s="1120"/>
      <c r="AE26" s="1138"/>
      <c r="AF26" s="1120">
        <v>2.0</v>
      </c>
      <c r="AG26" s="1138">
        <v>2.0</v>
      </c>
      <c r="AH26" s="1137">
        <v>1.0</v>
      </c>
      <c r="AI26" s="1138">
        <v>1.0</v>
      </c>
      <c r="AJ26" s="1137">
        <v>3.0</v>
      </c>
      <c r="AK26" s="1138">
        <v>3.0</v>
      </c>
      <c r="AL26" s="1137"/>
      <c r="AM26" s="1138"/>
      <c r="AN26" s="1137"/>
      <c r="AO26" s="1138"/>
      <c r="AP26" s="1137"/>
      <c r="AQ26" s="1138"/>
      <c r="AR26" s="1137"/>
      <c r="AS26" s="1138"/>
      <c r="AT26" s="1126"/>
      <c r="AU26" s="1138"/>
      <c r="AV26" s="1126">
        <v>5.0</v>
      </c>
      <c r="AW26" s="1138">
        <v>5.0</v>
      </c>
      <c r="AX26" s="1126">
        <v>5.0</v>
      </c>
      <c r="AY26" s="1138">
        <v>5.0</v>
      </c>
      <c r="AZ26" s="1126"/>
      <c r="BA26" s="1138"/>
      <c r="BB26" s="1126"/>
      <c r="BC26" s="1570"/>
      <c r="BD26" s="1126"/>
      <c r="BE26" s="1127"/>
      <c r="BF26" s="1126">
        <v>5.0</v>
      </c>
      <c r="BG26" s="1127">
        <v>5.0</v>
      </c>
      <c r="BH26" s="1126">
        <v>3.0</v>
      </c>
      <c r="BI26" s="1127">
        <v>3.0</v>
      </c>
      <c r="BJ26" s="1126">
        <v>5.0</v>
      </c>
      <c r="BK26" s="1127">
        <v>5.0</v>
      </c>
      <c r="BL26" s="1139"/>
      <c r="BM26" s="1138"/>
      <c r="BN26" s="783"/>
      <c r="BO26" s="1170"/>
      <c r="BP26" s="783">
        <f t="shared" si="1"/>
        <v>67</v>
      </c>
      <c r="BQ26" s="1170">
        <f t="shared" si="2"/>
        <v>65</v>
      </c>
      <c r="BR26" s="1572">
        <f t="shared" si="5"/>
        <v>11245</v>
      </c>
      <c r="BS26" s="784">
        <f t="shared" si="3"/>
        <v>11591</v>
      </c>
      <c r="BT26" s="1610"/>
    </row>
    <row r="27" ht="15.75" customHeight="1">
      <c r="A27" s="1565"/>
      <c r="B27" s="1649"/>
      <c r="C27" s="1567"/>
      <c r="D27" s="1567"/>
      <c r="E27" s="1789" t="str">
        <f>'Матрица 4 недели'!V100</f>
        <v/>
      </c>
      <c r="F27" s="1126"/>
      <c r="G27" s="1127"/>
      <c r="H27" s="1126"/>
      <c r="I27" s="1127"/>
      <c r="J27" s="1126"/>
      <c r="K27" s="1127"/>
      <c r="L27" s="1126"/>
      <c r="M27" s="1127"/>
      <c r="N27" s="1126"/>
      <c r="O27" s="1127"/>
      <c r="P27" s="1126"/>
      <c r="Q27" s="1121"/>
      <c r="R27" s="1126"/>
      <c r="S27" s="1121"/>
      <c r="T27" s="1126"/>
      <c r="U27" s="1127"/>
      <c r="V27" s="1126"/>
      <c r="W27" s="1127"/>
      <c r="X27" s="1126"/>
      <c r="Y27" s="1127"/>
      <c r="Z27" s="1126"/>
      <c r="AA27" s="1121"/>
      <c r="AB27" s="1126"/>
      <c r="AC27" s="1121"/>
      <c r="AD27" s="1126"/>
      <c r="AE27" s="1121"/>
      <c r="AF27" s="1126"/>
      <c r="AG27" s="1121"/>
      <c r="AH27" s="1126"/>
      <c r="AI27" s="1121"/>
      <c r="AJ27" s="1126"/>
      <c r="AK27" s="1127"/>
      <c r="AL27" s="1126"/>
      <c r="AM27" s="1121"/>
      <c r="AN27" s="1126"/>
      <c r="AO27" s="1138"/>
      <c r="AP27" s="1126"/>
      <c r="AQ27" s="1138"/>
      <c r="AR27" s="1126"/>
      <c r="AS27" s="1131"/>
      <c r="AT27" s="1126"/>
      <c r="AU27" s="1131"/>
      <c r="AV27" s="1126"/>
      <c r="AW27" s="1138"/>
      <c r="AX27" s="1126"/>
      <c r="AY27" s="1131"/>
      <c r="AZ27" s="1126"/>
      <c r="BA27" s="1131"/>
      <c r="BB27" s="1126"/>
      <c r="BC27" s="1570"/>
      <c r="BD27" s="1126"/>
      <c r="BE27" s="1127"/>
      <c r="BF27" s="1126"/>
      <c r="BG27" s="1127"/>
      <c r="BH27" s="1126"/>
      <c r="BI27" s="1127"/>
      <c r="BJ27" s="1126"/>
      <c r="BK27" s="1127"/>
      <c r="BL27" s="1139"/>
      <c r="BM27" s="1138"/>
      <c r="BN27" s="783"/>
      <c r="BO27" s="1170"/>
      <c r="BP27" s="783">
        <f t="shared" si="1"/>
        <v>1</v>
      </c>
      <c r="BQ27" s="1170">
        <f t="shared" si="2"/>
        <v>0</v>
      </c>
      <c r="BR27" s="1572">
        <f t="shared" si="5"/>
        <v>0</v>
      </c>
      <c r="BS27" s="784">
        <f t="shared" si="3"/>
        <v>0</v>
      </c>
      <c r="BT27" s="1573"/>
    </row>
    <row r="28" ht="15.75" customHeight="1">
      <c r="A28" s="1565" t="s">
        <v>145</v>
      </c>
      <c r="B28" s="1649">
        <v>822.0</v>
      </c>
      <c r="C28" s="1567">
        <v>5.0</v>
      </c>
      <c r="D28" s="1735"/>
      <c r="E28" s="1794" t="s">
        <v>883</v>
      </c>
      <c r="F28" s="1137">
        <v>7.0</v>
      </c>
      <c r="G28" s="1138">
        <v>7.0</v>
      </c>
      <c r="H28" s="1126">
        <v>3.0</v>
      </c>
      <c r="I28" s="1138">
        <v>3.0</v>
      </c>
      <c r="J28" s="1126">
        <v>4.0</v>
      </c>
      <c r="K28" s="1138">
        <v>4.0</v>
      </c>
      <c r="L28" s="1126">
        <v>4.0</v>
      </c>
      <c r="M28" s="1138">
        <v>4.0</v>
      </c>
      <c r="N28" s="1126">
        <v>4.0</v>
      </c>
      <c r="O28" s="1138">
        <v>4.0</v>
      </c>
      <c r="P28" s="1126">
        <v>3.0</v>
      </c>
      <c r="Q28" s="1121">
        <v>3.0</v>
      </c>
      <c r="R28" s="1126">
        <v>3.0</v>
      </c>
      <c r="S28" s="1121">
        <v>3.0</v>
      </c>
      <c r="T28" s="1137">
        <v>3.0</v>
      </c>
      <c r="U28" s="1121">
        <v>3.0</v>
      </c>
      <c r="V28" s="1137">
        <v>3.0</v>
      </c>
      <c r="W28" s="1121">
        <v>3.0</v>
      </c>
      <c r="X28" s="1137">
        <v>3.0</v>
      </c>
      <c r="Y28" s="1121">
        <v>3.0</v>
      </c>
      <c r="Z28" s="1137"/>
      <c r="AA28" s="1121"/>
      <c r="AB28" s="1120">
        <v>3.0</v>
      </c>
      <c r="AC28" s="1121">
        <v>3.0</v>
      </c>
      <c r="AD28" s="1120">
        <v>4.0</v>
      </c>
      <c r="AE28" s="1121">
        <v>4.0</v>
      </c>
      <c r="AF28" s="1137">
        <v>3.0</v>
      </c>
      <c r="AG28" s="1121">
        <v>3.0</v>
      </c>
      <c r="AH28" s="1120">
        <v>3.0</v>
      </c>
      <c r="AI28" s="1121">
        <v>3.0</v>
      </c>
      <c r="AJ28" s="1120">
        <v>3.0</v>
      </c>
      <c r="AK28" s="1121">
        <v>3.0</v>
      </c>
      <c r="AL28" s="1137">
        <v>3.0</v>
      </c>
      <c r="AM28" s="1121">
        <v>3.0</v>
      </c>
      <c r="AN28" s="1137"/>
      <c r="AO28" s="1138"/>
      <c r="AP28" s="1137">
        <v>3.0</v>
      </c>
      <c r="AQ28" s="1138">
        <v>3.0</v>
      </c>
      <c r="AR28" s="1137">
        <v>0.0</v>
      </c>
      <c r="AS28" s="1138">
        <v>0.0</v>
      </c>
      <c r="AT28" s="1126">
        <v>3.0</v>
      </c>
      <c r="AU28" s="1131">
        <v>3.0</v>
      </c>
      <c r="AV28" s="1126">
        <v>3.0</v>
      </c>
      <c r="AW28" s="1138">
        <v>3.0</v>
      </c>
      <c r="AX28" s="1126">
        <v>4.0</v>
      </c>
      <c r="AY28" s="1131">
        <v>4.0</v>
      </c>
      <c r="AZ28" s="1126">
        <v>20.0</v>
      </c>
      <c r="BA28" s="1138">
        <v>20.0</v>
      </c>
      <c r="BB28" s="1126">
        <v>5.0</v>
      </c>
      <c r="BC28" s="1570">
        <v>5.0</v>
      </c>
      <c r="BD28" s="1126">
        <v>3.0</v>
      </c>
      <c r="BE28" s="1127">
        <v>3.0</v>
      </c>
      <c r="BF28" s="1126">
        <v>4.0</v>
      </c>
      <c r="BG28" s="1127">
        <v>4.0</v>
      </c>
      <c r="BH28" s="1126">
        <v>5.0</v>
      </c>
      <c r="BI28" s="1127">
        <v>5.0</v>
      </c>
      <c r="BJ28" s="1126">
        <v>3.0</v>
      </c>
      <c r="BK28" s="1127"/>
      <c r="BL28" s="1139">
        <v>130.0</v>
      </c>
      <c r="BM28" s="1138">
        <v>130.0</v>
      </c>
      <c r="BN28" s="783"/>
      <c r="BO28" s="1170"/>
      <c r="BP28" s="783">
        <f t="shared" si="1"/>
        <v>240</v>
      </c>
      <c r="BQ28" s="1170">
        <f t="shared" si="2"/>
        <v>236</v>
      </c>
      <c r="BR28" s="1572">
        <f t="shared" si="5"/>
        <v>1180</v>
      </c>
      <c r="BS28" s="784">
        <f t="shared" si="3"/>
        <v>1200</v>
      </c>
      <c r="BT28" s="1573"/>
    </row>
    <row r="29" ht="15.75" customHeight="1">
      <c r="A29" s="1565"/>
      <c r="B29" s="1649"/>
      <c r="C29" s="1567"/>
      <c r="D29" s="1567"/>
      <c r="E29" s="1657"/>
      <c r="F29" s="1126"/>
      <c r="G29" s="1127"/>
      <c r="H29" s="1126"/>
      <c r="I29" s="1127"/>
      <c r="J29" s="1126"/>
      <c r="K29" s="1127"/>
      <c r="L29" s="1120"/>
      <c r="M29" s="1127"/>
      <c r="N29" s="1126"/>
      <c r="O29" s="1127"/>
      <c r="P29" s="1126"/>
      <c r="Q29" s="1121"/>
      <c r="R29" s="1126"/>
      <c r="S29" s="1121"/>
      <c r="T29" s="1126"/>
      <c r="U29" s="1127"/>
      <c r="V29" s="1126"/>
      <c r="W29" s="1127"/>
      <c r="X29" s="1126"/>
      <c r="Y29" s="1127"/>
      <c r="Z29" s="1126"/>
      <c r="AA29" s="1121"/>
      <c r="AB29" s="1126"/>
      <c r="AC29" s="1121"/>
      <c r="AD29" s="1126"/>
      <c r="AE29" s="1121"/>
      <c r="AF29" s="1126"/>
      <c r="AG29" s="1121"/>
      <c r="AH29" s="1126"/>
      <c r="AI29" s="1121"/>
      <c r="AJ29" s="1126"/>
      <c r="AK29" s="1127"/>
      <c r="AL29" s="1126"/>
      <c r="AM29" s="1127"/>
      <c r="AN29" s="1126"/>
      <c r="AO29" s="1138"/>
      <c r="AP29" s="1126"/>
      <c r="AQ29" s="1138"/>
      <c r="AR29" s="1126"/>
      <c r="AS29" s="1138"/>
      <c r="AT29" s="1126"/>
      <c r="AU29" s="1138"/>
      <c r="AV29" s="1126"/>
      <c r="AW29" s="1138"/>
      <c r="AX29" s="1126"/>
      <c r="AY29" s="1138"/>
      <c r="AZ29" s="1126"/>
      <c r="BA29" s="1138"/>
      <c r="BB29" s="1126"/>
      <c r="BC29" s="1570"/>
      <c r="BD29" s="1126"/>
      <c r="BE29" s="1127"/>
      <c r="BF29" s="1126"/>
      <c r="BG29" s="1127"/>
      <c r="BH29" s="1126"/>
      <c r="BI29" s="1127"/>
      <c r="BJ29" s="1126"/>
      <c r="BK29" s="1127"/>
      <c r="BL29" s="1139"/>
      <c r="BM29" s="1138"/>
      <c r="BN29" s="783"/>
      <c r="BO29" s="1170"/>
      <c r="BP29" s="783">
        <f t="shared" si="1"/>
        <v>1</v>
      </c>
      <c r="BQ29" s="1170">
        <f t="shared" si="2"/>
        <v>0</v>
      </c>
      <c r="BR29" s="1572">
        <f t="shared" si="5"/>
        <v>0</v>
      </c>
      <c r="BS29" s="784">
        <f t="shared" si="3"/>
        <v>0</v>
      </c>
      <c r="BT29" s="1573"/>
    </row>
    <row r="30" ht="15.75" customHeight="1">
      <c r="A30" s="1708"/>
      <c r="B30" s="1567"/>
      <c r="C30" s="1567"/>
      <c r="D30" s="1567"/>
      <c r="E30" s="1655"/>
      <c r="F30" s="1120"/>
      <c r="G30" s="1121"/>
      <c r="H30" s="1120"/>
      <c r="I30" s="1121"/>
      <c r="J30" s="1120"/>
      <c r="K30" s="1121"/>
      <c r="L30" s="1120"/>
      <c r="M30" s="1127"/>
      <c r="N30" s="1120"/>
      <c r="O30" s="1127"/>
      <c r="P30" s="1120"/>
      <c r="Q30" s="1121"/>
      <c r="R30" s="1120"/>
      <c r="S30" s="1121"/>
      <c r="T30" s="1120"/>
      <c r="U30" s="1121"/>
      <c r="V30" s="1120"/>
      <c r="W30" s="1121"/>
      <c r="X30" s="1120"/>
      <c r="Y30" s="1121"/>
      <c r="Z30" s="1120"/>
      <c r="AA30" s="1121"/>
      <c r="AB30" s="1120"/>
      <c r="AC30" s="1121"/>
      <c r="AD30" s="1120"/>
      <c r="AE30" s="1121"/>
      <c r="AF30" s="1120"/>
      <c r="AG30" s="1121"/>
      <c r="AH30" s="1120"/>
      <c r="AI30" s="1121"/>
      <c r="AJ30" s="1120"/>
      <c r="AK30" s="1121"/>
      <c r="AL30" s="1120"/>
      <c r="AM30" s="1121"/>
      <c r="AN30" s="1120"/>
      <c r="AO30" s="1138"/>
      <c r="AP30" s="1126"/>
      <c r="AQ30" s="1121"/>
      <c r="AR30" s="1126"/>
      <c r="AS30" s="1121"/>
      <c r="AT30" s="1126"/>
      <c r="AU30" s="1121"/>
      <c r="AV30" s="1126"/>
      <c r="AW30" s="1121"/>
      <c r="AX30" s="1126"/>
      <c r="AY30" s="1121"/>
      <c r="AZ30" s="1126"/>
      <c r="BA30" s="1138"/>
      <c r="BB30" s="1126"/>
      <c r="BC30" s="1570"/>
      <c r="BD30" s="1126"/>
      <c r="BE30" s="1127"/>
      <c r="BF30" s="1126"/>
      <c r="BG30" s="1127"/>
      <c r="BH30" s="1126"/>
      <c r="BI30" s="1127"/>
      <c r="BJ30" s="1126"/>
      <c r="BK30" s="1127"/>
      <c r="BL30" s="1134"/>
      <c r="BM30" s="1138"/>
      <c r="BN30" s="783"/>
      <c r="BO30" s="1170"/>
      <c r="BP30" s="783">
        <f t="shared" si="1"/>
        <v>1</v>
      </c>
      <c r="BQ30" s="1170">
        <f t="shared" si="2"/>
        <v>0</v>
      </c>
      <c r="BR30" s="1572">
        <f t="shared" si="5"/>
        <v>0</v>
      </c>
      <c r="BS30" s="784">
        <f t="shared" si="3"/>
        <v>0</v>
      </c>
      <c r="BT30" s="1610" t="s">
        <v>3104</v>
      </c>
    </row>
    <row r="31" ht="15.75" customHeight="1">
      <c r="A31" s="1668"/>
      <c r="B31" s="1796"/>
      <c r="C31" s="1796"/>
      <c r="D31" s="1796"/>
      <c r="E31" s="1671"/>
      <c r="F31" s="1672"/>
      <c r="H31" s="1672"/>
      <c r="J31" s="1672"/>
      <c r="L31" s="1672"/>
      <c r="N31" s="1672"/>
      <c r="P31" s="1672"/>
      <c r="R31" s="1672"/>
      <c r="T31" s="1672"/>
      <c r="V31" s="1672"/>
      <c r="X31" s="1672"/>
      <c r="Z31" s="1672"/>
      <c r="AB31" s="1672"/>
      <c r="AD31" s="1672"/>
      <c r="AF31" s="1710"/>
      <c r="AH31" s="1710"/>
      <c r="AJ31" s="1710"/>
      <c r="AL31" s="1710"/>
      <c r="AN31" s="1710"/>
      <c r="AP31" s="1710"/>
      <c r="AR31" s="1797"/>
      <c r="AT31" s="1710"/>
      <c r="AV31" s="1710"/>
      <c r="AW31" s="1179"/>
      <c r="AX31" s="1674"/>
      <c r="AY31" s="1179"/>
      <c r="AZ31" s="1674"/>
      <c r="BA31" s="1179"/>
      <c r="BB31" s="1683"/>
      <c r="BC31" s="1683"/>
      <c r="BD31" s="1683"/>
      <c r="BE31" s="1683"/>
      <c r="BF31" s="1683"/>
      <c r="BG31" s="1683"/>
      <c r="BH31" s="1683"/>
      <c r="BI31" s="1683"/>
      <c r="BJ31" s="1674"/>
      <c r="BK31" s="1683"/>
      <c r="BL31" s="1417"/>
      <c r="BM31" s="1798" t="s">
        <v>1365</v>
      </c>
      <c r="BN31" s="1417"/>
      <c r="BO31" s="1417"/>
      <c r="BP31" s="1417">
        <f t="shared" ref="BP31:BS31" si="6">SUM(BP4:BP30)</f>
        <v>2576</v>
      </c>
      <c r="BQ31" s="1799">
        <f t="shared" si="6"/>
        <v>2620</v>
      </c>
      <c r="BR31" s="1800">
        <f t="shared" si="6"/>
        <v>325379</v>
      </c>
      <c r="BS31" s="1800">
        <f t="shared" si="6"/>
        <v>359073</v>
      </c>
      <c r="BT31" s="1678">
        <f>BR31-BS31</f>
        <v>-33694</v>
      </c>
      <c r="BU31" s="1678"/>
    </row>
    <row r="32" ht="15.75" customHeight="1">
      <c r="A32" s="1679"/>
      <c r="B32" s="1796"/>
      <c r="C32" s="1796"/>
      <c r="D32" s="1796"/>
      <c r="E32" s="1680"/>
      <c r="F32" s="1672"/>
      <c r="G32" s="1681"/>
      <c r="H32" s="1672"/>
      <c r="I32" s="1672"/>
      <c r="J32" s="1672"/>
      <c r="K32" s="1681"/>
      <c r="L32" s="1672"/>
      <c r="M32" s="1672"/>
      <c r="N32" s="1672"/>
      <c r="O32" s="1672"/>
      <c r="P32" s="1672"/>
      <c r="Q32" s="1672"/>
      <c r="R32" s="1672"/>
      <c r="S32" s="1672"/>
      <c r="T32" s="1672"/>
      <c r="U32" s="1672"/>
      <c r="V32" s="1681"/>
      <c r="W32" s="1672"/>
      <c r="X32" s="1672"/>
      <c r="Y32" s="1672"/>
      <c r="Z32" s="1672"/>
      <c r="AA32" s="1672"/>
      <c r="AB32" s="1672"/>
      <c r="AC32" s="1672"/>
      <c r="AD32" s="1672"/>
      <c r="AE32" s="1417"/>
      <c r="AF32" s="1798"/>
      <c r="AG32" s="1417"/>
      <c r="AH32" s="1798"/>
      <c r="AI32" s="1417"/>
      <c r="AJ32" s="1798"/>
      <c r="AK32" s="1417"/>
      <c r="AL32" s="1798"/>
      <c r="AM32" s="1417"/>
      <c r="AN32" s="1683"/>
      <c r="AO32" s="1683"/>
      <c r="AP32" s="1683"/>
      <c r="AQ32" s="1683"/>
      <c r="AR32" s="1683"/>
      <c r="AS32" s="1417"/>
      <c r="AT32" s="1683"/>
      <c r="AU32" s="1417"/>
      <c r="AV32" s="1683"/>
      <c r="AW32" s="1417"/>
      <c r="AX32" s="1674"/>
      <c r="AY32" s="1417"/>
      <c r="AZ32" s="1674"/>
      <c r="BA32" s="1417"/>
      <c r="BB32" s="1683"/>
      <c r="BC32" s="1683"/>
      <c r="BD32" s="1683"/>
      <c r="BE32" s="1683"/>
      <c r="BF32" s="1683"/>
      <c r="BG32" s="1683"/>
      <c r="BH32" s="1683"/>
      <c r="BI32" s="1683"/>
      <c r="BJ32" s="1674"/>
      <c r="BK32" s="1683"/>
      <c r="BL32" s="1417"/>
      <c r="BM32" s="1683"/>
      <c r="BN32" s="1417"/>
      <c r="BO32" s="1417"/>
      <c r="BP32" s="1417"/>
      <c r="BQ32" s="629"/>
      <c r="BR32" s="629"/>
      <c r="BS32" s="541"/>
      <c r="BT32" s="684"/>
      <c r="BU32" s="1685"/>
    </row>
    <row r="33" ht="15.75" customHeight="1">
      <c r="A33" s="1805" t="s">
        <v>1354</v>
      </c>
      <c r="C33" s="1806">
        <v>46243.0</v>
      </c>
      <c r="D33" s="532"/>
      <c r="E33" s="908" t="s">
        <v>3106</v>
      </c>
      <c r="F33" s="544"/>
      <c r="G33" s="544"/>
      <c r="H33" s="544"/>
      <c r="I33" s="544"/>
      <c r="J33" s="544" t="s">
        <v>1356</v>
      </c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  <c r="AD33" s="544"/>
      <c r="AE33" s="544"/>
      <c r="AF33" s="544"/>
      <c r="AG33" s="544"/>
      <c r="AH33" s="544"/>
      <c r="AI33" s="544"/>
      <c r="AJ33" s="544"/>
      <c r="AK33" s="544"/>
      <c r="AL33" s="544"/>
      <c r="AM33" s="544"/>
      <c r="AN33" s="544"/>
      <c r="AO33" s="544"/>
      <c r="AP33" s="544"/>
      <c r="AQ33" s="544"/>
      <c r="AR33" s="544"/>
      <c r="AS33" s="544"/>
      <c r="AT33" s="544"/>
      <c r="AU33" s="544"/>
      <c r="AV33" s="544"/>
      <c r="AW33" s="544"/>
      <c r="AX33" s="545"/>
      <c r="AY33" s="544"/>
      <c r="AZ33" s="545"/>
      <c r="BA33" s="544"/>
      <c r="BB33" s="544"/>
      <c r="BC33" s="544"/>
      <c r="BD33" s="544"/>
      <c r="BE33" s="544"/>
      <c r="BF33" s="544"/>
      <c r="BG33" s="544"/>
      <c r="BH33" s="544"/>
      <c r="BI33" s="544"/>
      <c r="BJ33" s="545"/>
      <c r="BK33" s="544"/>
      <c r="BL33" s="544"/>
      <c r="BM33" s="544"/>
      <c r="BN33" s="544"/>
      <c r="BO33" s="544"/>
      <c r="BP33" s="544"/>
      <c r="BQ33" s="1691"/>
      <c r="BR33" s="1691"/>
      <c r="BS33" s="1691"/>
      <c r="BT33" s="629"/>
      <c r="BU33" s="1692"/>
    </row>
    <row r="34" ht="15.75" customHeight="1">
      <c r="A34" s="1808" t="s">
        <v>3069</v>
      </c>
      <c r="B34" s="1557" t="s">
        <v>1283</v>
      </c>
      <c r="C34" s="1557" t="s">
        <v>19</v>
      </c>
      <c r="D34" s="1734" t="s">
        <v>473</v>
      </c>
      <c r="E34" s="783" t="s">
        <v>471</v>
      </c>
      <c r="F34" s="1606" t="s">
        <v>1357</v>
      </c>
      <c r="G34" s="69"/>
      <c r="H34" s="1487" t="s">
        <v>1287</v>
      </c>
      <c r="I34" s="69"/>
      <c r="J34" s="1606" t="s">
        <v>1358</v>
      </c>
      <c r="K34" s="69"/>
      <c r="L34" s="1606" t="s">
        <v>1359</v>
      </c>
      <c r="M34" s="69"/>
      <c r="N34" s="1606" t="s">
        <v>1360</v>
      </c>
      <c r="O34" s="69"/>
      <c r="P34" s="1606" t="s">
        <v>1361</v>
      </c>
      <c r="Q34" s="69"/>
      <c r="R34" s="1487" t="s">
        <v>1362</v>
      </c>
      <c r="S34" s="69"/>
      <c r="T34" s="1487" t="s">
        <v>1299</v>
      </c>
      <c r="U34" s="69"/>
      <c r="V34" s="1487" t="s">
        <v>1301</v>
      </c>
      <c r="W34" s="69"/>
      <c r="X34" s="1487" t="s">
        <v>1363</v>
      </c>
      <c r="Y34" s="69"/>
      <c r="Z34" s="1487" t="s">
        <v>1305</v>
      </c>
      <c r="AA34" s="69"/>
      <c r="AB34" s="1487" t="s">
        <v>1307</v>
      </c>
      <c r="AC34" s="69"/>
      <c r="AD34" s="1487" t="s">
        <v>1309</v>
      </c>
      <c r="AE34" s="69"/>
      <c r="AF34" s="1487" t="s">
        <v>1311</v>
      </c>
      <c r="AG34" s="69"/>
      <c r="AH34" s="1487" t="s">
        <v>1313</v>
      </c>
      <c r="AI34" s="69"/>
      <c r="AJ34" s="1487" t="s">
        <v>1315</v>
      </c>
      <c r="AK34" s="69"/>
      <c r="AL34" s="1487" t="s">
        <v>1317</v>
      </c>
      <c r="AM34" s="69"/>
      <c r="AN34" s="1487" t="s">
        <v>1319</v>
      </c>
      <c r="AO34" s="69"/>
      <c r="AP34" s="1487" t="s">
        <v>1321</v>
      </c>
      <c r="AQ34" s="69"/>
      <c r="AR34" s="1487" t="s">
        <v>1323</v>
      </c>
      <c r="AS34" s="69"/>
      <c r="AT34" s="1487" t="s">
        <v>1325</v>
      </c>
      <c r="AU34" s="69"/>
      <c r="AV34" s="1487" t="s">
        <v>1327</v>
      </c>
      <c r="AW34" s="69"/>
      <c r="AX34" s="1485" t="s">
        <v>3076</v>
      </c>
      <c r="AY34" s="69"/>
      <c r="AZ34" s="1485" t="s">
        <v>3078</v>
      </c>
      <c r="BA34" s="69"/>
      <c r="BB34" s="1487" t="s">
        <v>3080</v>
      </c>
      <c r="BC34" s="69"/>
      <c r="BD34" s="1487" t="s">
        <v>3082</v>
      </c>
      <c r="BE34" s="69"/>
      <c r="BF34" s="1487" t="s">
        <v>3084</v>
      </c>
      <c r="BG34" s="69"/>
      <c r="BH34" s="1487" t="s">
        <v>3086</v>
      </c>
      <c r="BI34" s="69"/>
      <c r="BJ34" s="1485" t="s">
        <v>3088</v>
      </c>
      <c r="BK34" s="69"/>
      <c r="BL34" s="1813" t="s">
        <v>297</v>
      </c>
      <c r="BM34" s="69"/>
      <c r="BN34" s="1813" t="s">
        <v>3115</v>
      </c>
      <c r="BO34" s="69"/>
      <c r="BP34" s="1487" t="s">
        <v>5</v>
      </c>
      <c r="BQ34" s="69"/>
      <c r="BR34" s="1610"/>
    </row>
    <row r="35" ht="17.25" customHeight="1">
      <c r="A35" s="1698" t="str">
        <f t="shared" ref="A35:A60" si="7">A4</f>
        <v>Да</v>
      </c>
      <c r="B35" s="1816">
        <v>4323.0</v>
      </c>
      <c r="C35" s="1567">
        <v>210.0</v>
      </c>
      <c r="D35" s="1817"/>
      <c r="E35" s="1702" t="str">
        <f t="shared" ref="E35:E60" si="8">E4</f>
        <v>Груша запеченая с творожным кремом</v>
      </c>
      <c r="F35" s="1703">
        <f t="shared" ref="F35:F59" si="9">G4</f>
        <v>3</v>
      </c>
      <c r="G35" s="69"/>
      <c r="H35" s="1703">
        <f t="shared" ref="H35:H59" si="10">I4</f>
        <v>6</v>
      </c>
      <c r="I35" s="69"/>
      <c r="J35" s="1703">
        <f t="shared" ref="J35:J59" si="11">K4</f>
        <v>2</v>
      </c>
      <c r="K35" s="69"/>
      <c r="L35" s="1703" t="str">
        <f t="shared" ref="L35:L59" si="12">M4</f>
        <v/>
      </c>
      <c r="M35" s="69"/>
      <c r="N35" s="1703">
        <f t="shared" ref="N35:N59" si="13">O4</f>
        <v>3</v>
      </c>
      <c r="O35" s="69"/>
      <c r="P35" s="1703">
        <f t="shared" ref="P35:P59" si="14">Q4</f>
        <v>3</v>
      </c>
      <c r="Q35" s="69"/>
      <c r="R35" s="1703">
        <f t="shared" ref="R35:R59" si="15">S4</f>
        <v>0</v>
      </c>
      <c r="S35" s="69"/>
      <c r="T35" s="1703">
        <f t="shared" ref="T35:T59" si="16">U4</f>
        <v>2</v>
      </c>
      <c r="U35" s="69"/>
      <c r="V35" s="1703">
        <f t="shared" ref="V35:V59" si="17">W4</f>
        <v>3</v>
      </c>
      <c r="W35" s="69"/>
      <c r="X35" s="1703">
        <f t="shared" ref="X35:X59" si="18">Y4</f>
        <v>3</v>
      </c>
      <c r="Y35" s="69"/>
      <c r="Z35" s="1703" t="str">
        <f t="shared" ref="Z35:Z59" si="19">AA4</f>
        <v/>
      </c>
      <c r="AA35" s="69"/>
      <c r="AB35" s="1703">
        <f t="shared" ref="AB35:AB59" si="20">AC4</f>
        <v>2</v>
      </c>
      <c r="AC35" s="69"/>
      <c r="AD35" s="1706">
        <f t="shared" ref="AD35:AD59" si="21">AE4</f>
        <v>3</v>
      </c>
      <c r="AE35" s="69"/>
      <c r="AF35" s="1706">
        <f t="shared" ref="AF35:AF59" si="22">AG4</f>
        <v>4</v>
      </c>
      <c r="AG35" s="69"/>
      <c r="AH35" s="1706">
        <f t="shared" ref="AH35:AH59" si="23">AI4</f>
        <v>2</v>
      </c>
      <c r="AI35" s="69"/>
      <c r="AJ35" s="1706">
        <f t="shared" ref="AJ35:AJ59" si="24">AK4</f>
        <v>2</v>
      </c>
      <c r="AK35" s="69"/>
      <c r="AL35" s="1706">
        <f t="shared" ref="AL35:AL59" si="25">AM4</f>
        <v>0</v>
      </c>
      <c r="AM35" s="69"/>
      <c r="AN35" s="1706" t="str">
        <f t="shared" ref="AN35:AN59" si="26">AO4</f>
        <v/>
      </c>
      <c r="AO35" s="69"/>
      <c r="AP35" s="1706">
        <f t="shared" ref="AP35:AP59" si="27">AQ4</f>
        <v>2</v>
      </c>
      <c r="AQ35" s="69"/>
      <c r="AR35" s="1706">
        <f t="shared" ref="AR35:AR59" si="28">AS4</f>
        <v>10</v>
      </c>
      <c r="AS35" s="69"/>
      <c r="AT35" s="1706">
        <f t="shared" ref="AT35:AT59" si="29">AU4</f>
        <v>2</v>
      </c>
      <c r="AU35" s="69"/>
      <c r="AV35" s="1706">
        <f t="shared" ref="AV35:AV59" si="30">AW4</f>
        <v>2</v>
      </c>
      <c r="AW35" s="69"/>
      <c r="AX35" s="1709">
        <f t="shared" ref="AX35:AX59" si="31">AY4</f>
        <v>10</v>
      </c>
      <c r="AY35" s="69"/>
      <c r="AZ35" s="1709">
        <f t="shared" ref="AZ35:AZ59" si="32">BA4</f>
        <v>2</v>
      </c>
      <c r="BA35" s="69"/>
      <c r="BB35" s="1706">
        <f t="shared" ref="BB35:BB59" si="33">BC4</f>
        <v>3</v>
      </c>
      <c r="BC35" s="69"/>
      <c r="BD35" s="1706">
        <f t="shared" ref="BD35:BD59" si="34">BE4</f>
        <v>2</v>
      </c>
      <c r="BE35" s="69"/>
      <c r="BF35" s="1706">
        <f t="shared" ref="BF35:BF59" si="35">BG4</f>
        <v>2</v>
      </c>
      <c r="BG35" s="69"/>
      <c r="BH35" s="1706">
        <f t="shared" ref="BH35:BH59" si="36">BI4</f>
        <v>2</v>
      </c>
      <c r="BI35" s="69"/>
      <c r="BJ35" s="1709">
        <f t="shared" ref="BJ35:BJ59" si="37">BK4</f>
        <v>2</v>
      </c>
      <c r="BK35" s="69"/>
      <c r="BL35" s="1706" t="str">
        <f t="shared" ref="BL35:BL59" si="38">BM4</f>
        <v/>
      </c>
      <c r="BM35" s="69"/>
      <c r="BN35" s="1706" t="str">
        <f t="shared" ref="BN35:BN60" si="39">BO4</f>
        <v/>
      </c>
      <c r="BO35" s="69"/>
      <c r="BP35" s="1706">
        <f t="shared" ref="BP35:BP60" si="40">SUM(F35:BO35)</f>
        <v>77</v>
      </c>
      <c r="BQ35" s="69"/>
      <c r="BR35" s="1824"/>
    </row>
    <row r="36" ht="17.25" customHeight="1">
      <c r="A36" s="1698" t="str">
        <f t="shared" si="7"/>
        <v>Да</v>
      </c>
      <c r="B36" s="1816">
        <v>3290.0</v>
      </c>
      <c r="C36" s="1567">
        <v>96.0</v>
      </c>
      <c r="D36" s="1817"/>
      <c r="E36" s="1702" t="str">
        <f t="shared" si="8"/>
        <v>Каша пшенная с курагой</v>
      </c>
      <c r="F36" s="1703">
        <f t="shared" si="9"/>
        <v>3</v>
      </c>
      <c r="G36" s="69"/>
      <c r="H36" s="1703">
        <f t="shared" si="10"/>
        <v>3</v>
      </c>
      <c r="I36" s="69"/>
      <c r="J36" s="1703">
        <f t="shared" si="11"/>
        <v>3</v>
      </c>
      <c r="K36" s="69"/>
      <c r="L36" s="1703">
        <f t="shared" si="12"/>
        <v>3</v>
      </c>
      <c r="M36" s="69"/>
      <c r="N36" s="1703">
        <f t="shared" si="13"/>
        <v>8</v>
      </c>
      <c r="O36" s="69"/>
      <c r="P36" s="1703">
        <f t="shared" si="14"/>
        <v>8</v>
      </c>
      <c r="Q36" s="69"/>
      <c r="R36" s="1703">
        <f t="shared" si="15"/>
        <v>2</v>
      </c>
      <c r="S36" s="69"/>
      <c r="T36" s="1703">
        <f t="shared" si="16"/>
        <v>2</v>
      </c>
      <c r="U36" s="69"/>
      <c r="V36" s="1703">
        <f t="shared" si="17"/>
        <v>0</v>
      </c>
      <c r="W36" s="69"/>
      <c r="X36" s="1703">
        <f t="shared" si="18"/>
        <v>0</v>
      </c>
      <c r="Y36" s="69"/>
      <c r="Z36" s="1703" t="str">
        <f t="shared" si="19"/>
        <v/>
      </c>
      <c r="AA36" s="69"/>
      <c r="AB36" s="1703">
        <f t="shared" si="20"/>
        <v>2</v>
      </c>
      <c r="AC36" s="69"/>
      <c r="AD36" s="1706">
        <f t="shared" si="21"/>
        <v>3</v>
      </c>
      <c r="AE36" s="69"/>
      <c r="AF36" s="1706">
        <f t="shared" si="22"/>
        <v>5</v>
      </c>
      <c r="AG36" s="69"/>
      <c r="AH36" s="1706">
        <f t="shared" si="23"/>
        <v>4</v>
      </c>
      <c r="AI36" s="69"/>
      <c r="AJ36" s="1706">
        <f t="shared" si="24"/>
        <v>2</v>
      </c>
      <c r="AK36" s="69"/>
      <c r="AL36" s="1706">
        <f t="shared" si="25"/>
        <v>0</v>
      </c>
      <c r="AM36" s="69"/>
      <c r="AN36" s="1706" t="str">
        <f t="shared" si="26"/>
        <v/>
      </c>
      <c r="AO36" s="69"/>
      <c r="AP36" s="1706">
        <f t="shared" si="27"/>
        <v>2</v>
      </c>
      <c r="AQ36" s="69"/>
      <c r="AR36" s="1706">
        <f t="shared" si="28"/>
        <v>5</v>
      </c>
      <c r="AS36" s="69"/>
      <c r="AT36" s="1706">
        <f t="shared" si="29"/>
        <v>0</v>
      </c>
      <c r="AU36" s="69"/>
      <c r="AV36" s="1706">
        <f t="shared" si="30"/>
        <v>2</v>
      </c>
      <c r="AW36" s="69"/>
      <c r="AX36" s="1709">
        <f t="shared" si="31"/>
        <v>1</v>
      </c>
      <c r="AY36" s="69"/>
      <c r="AZ36" s="1709">
        <f t="shared" si="32"/>
        <v>1</v>
      </c>
      <c r="BA36" s="69"/>
      <c r="BB36" s="1706">
        <f t="shared" si="33"/>
        <v>5</v>
      </c>
      <c r="BC36" s="69"/>
      <c r="BD36" s="1706">
        <f t="shared" si="34"/>
        <v>1</v>
      </c>
      <c r="BE36" s="69"/>
      <c r="BF36" s="1706">
        <f t="shared" si="35"/>
        <v>2</v>
      </c>
      <c r="BG36" s="69"/>
      <c r="BH36" s="1706">
        <f t="shared" si="36"/>
        <v>0</v>
      </c>
      <c r="BI36" s="69"/>
      <c r="BJ36" s="1709">
        <f t="shared" si="37"/>
        <v>4</v>
      </c>
      <c r="BK36" s="69"/>
      <c r="BL36" s="1706" t="str">
        <f t="shared" si="38"/>
        <v/>
      </c>
      <c r="BM36" s="69"/>
      <c r="BN36" s="1706" t="str">
        <f t="shared" si="39"/>
        <v/>
      </c>
      <c r="BO36" s="69"/>
      <c r="BP36" s="1706">
        <f t="shared" si="40"/>
        <v>71</v>
      </c>
      <c r="BQ36" s="69"/>
      <c r="BR36" s="1824"/>
    </row>
    <row r="37" ht="17.25" customHeight="1">
      <c r="A37" s="1698" t="str">
        <f t="shared" si="7"/>
        <v>Да</v>
      </c>
      <c r="B37" s="1816">
        <v>1550.0</v>
      </c>
      <c r="C37" s="1567">
        <v>158.0</v>
      </c>
      <c r="D37" s="1817"/>
      <c r="E37" s="1702" t="str">
        <f t="shared" si="8"/>
        <v>Омлет с овощами и сыром </v>
      </c>
      <c r="F37" s="1703">
        <f t="shared" si="9"/>
        <v>4</v>
      </c>
      <c r="G37" s="69"/>
      <c r="H37" s="1703">
        <f t="shared" si="10"/>
        <v>2</v>
      </c>
      <c r="I37" s="69"/>
      <c r="J37" s="1703">
        <f t="shared" si="11"/>
        <v>6</v>
      </c>
      <c r="K37" s="69"/>
      <c r="L37" s="1703">
        <f t="shared" si="12"/>
        <v>3</v>
      </c>
      <c r="M37" s="69"/>
      <c r="N37" s="1703">
        <f t="shared" si="13"/>
        <v>6</v>
      </c>
      <c r="O37" s="69"/>
      <c r="P37" s="1703">
        <f t="shared" si="14"/>
        <v>1</v>
      </c>
      <c r="Q37" s="69"/>
      <c r="R37" s="1703">
        <f t="shared" si="15"/>
        <v>3</v>
      </c>
      <c r="S37" s="69"/>
      <c r="T37" s="1703">
        <f t="shared" si="16"/>
        <v>6</v>
      </c>
      <c r="U37" s="69"/>
      <c r="V37" s="1703">
        <f t="shared" si="17"/>
        <v>4</v>
      </c>
      <c r="W37" s="69"/>
      <c r="X37" s="1703">
        <f t="shared" si="18"/>
        <v>5</v>
      </c>
      <c r="Y37" s="69"/>
      <c r="Z37" s="1703" t="str">
        <f t="shared" si="19"/>
        <v/>
      </c>
      <c r="AA37" s="69"/>
      <c r="AB37" s="1703">
        <f t="shared" si="20"/>
        <v>5</v>
      </c>
      <c r="AC37" s="69"/>
      <c r="AD37" s="1706">
        <f t="shared" si="21"/>
        <v>2</v>
      </c>
      <c r="AE37" s="69"/>
      <c r="AF37" s="1706">
        <f t="shared" si="22"/>
        <v>8</v>
      </c>
      <c r="AG37" s="69"/>
      <c r="AH37" s="1706">
        <f t="shared" si="23"/>
        <v>3</v>
      </c>
      <c r="AI37" s="69"/>
      <c r="AJ37" s="1706">
        <f t="shared" si="24"/>
        <v>8</v>
      </c>
      <c r="AK37" s="69"/>
      <c r="AL37" s="1706">
        <f t="shared" si="25"/>
        <v>6</v>
      </c>
      <c r="AM37" s="69"/>
      <c r="AN37" s="1706" t="str">
        <f t="shared" si="26"/>
        <v/>
      </c>
      <c r="AO37" s="69"/>
      <c r="AP37" s="1706">
        <f t="shared" si="27"/>
        <v>5</v>
      </c>
      <c r="AQ37" s="69"/>
      <c r="AR37" s="1706">
        <f t="shared" si="28"/>
        <v>9</v>
      </c>
      <c r="AS37" s="69"/>
      <c r="AT37" s="1706">
        <f t="shared" si="29"/>
        <v>4</v>
      </c>
      <c r="AU37" s="69"/>
      <c r="AV37" s="1706">
        <f t="shared" si="30"/>
        <v>3</v>
      </c>
      <c r="AW37" s="69"/>
      <c r="AX37" s="1709">
        <f t="shared" si="31"/>
        <v>6</v>
      </c>
      <c r="AY37" s="69"/>
      <c r="AZ37" s="1709">
        <f t="shared" si="32"/>
        <v>3</v>
      </c>
      <c r="BA37" s="69"/>
      <c r="BB37" s="1706">
        <f t="shared" si="33"/>
        <v>5</v>
      </c>
      <c r="BC37" s="69"/>
      <c r="BD37" s="1706">
        <f t="shared" si="34"/>
        <v>2</v>
      </c>
      <c r="BE37" s="69"/>
      <c r="BF37" s="1706">
        <f t="shared" si="35"/>
        <v>3</v>
      </c>
      <c r="BG37" s="69"/>
      <c r="BH37" s="1706">
        <f t="shared" si="36"/>
        <v>8</v>
      </c>
      <c r="BI37" s="69"/>
      <c r="BJ37" s="1709">
        <f t="shared" si="37"/>
        <v>6</v>
      </c>
      <c r="BK37" s="69"/>
      <c r="BL37" s="1706" t="str">
        <f t="shared" si="38"/>
        <v/>
      </c>
      <c r="BM37" s="69"/>
      <c r="BN37" s="1706" t="str">
        <f t="shared" si="39"/>
        <v/>
      </c>
      <c r="BO37" s="69"/>
      <c r="BP37" s="1706">
        <f t="shared" si="40"/>
        <v>126</v>
      </c>
      <c r="BQ37" s="69"/>
      <c r="BR37" s="1824"/>
    </row>
    <row r="38" ht="17.25" customHeight="1">
      <c r="A38" s="1698" t="str">
        <f t="shared" si="7"/>
        <v>Да</v>
      </c>
      <c r="B38" s="1816">
        <v>3076.0</v>
      </c>
      <c r="C38" s="1567">
        <v>98.0</v>
      </c>
      <c r="D38" s="1817"/>
      <c r="E38" s="1833" t="str">
        <f t="shared" si="8"/>
        <v>Салат ''Оливье'' (колбаса варен)</v>
      </c>
      <c r="F38" s="1703">
        <f t="shared" si="9"/>
        <v>7</v>
      </c>
      <c r="G38" s="69"/>
      <c r="H38" s="1703">
        <f t="shared" si="10"/>
        <v>2</v>
      </c>
      <c r="I38" s="69"/>
      <c r="J38" s="1703">
        <f t="shared" si="11"/>
        <v>11</v>
      </c>
      <c r="K38" s="69"/>
      <c r="L38" s="1703">
        <f t="shared" si="12"/>
        <v>3</v>
      </c>
      <c r="M38" s="69"/>
      <c r="N38" s="1703">
        <f t="shared" si="13"/>
        <v>6</v>
      </c>
      <c r="O38" s="69"/>
      <c r="P38" s="1703">
        <f t="shared" si="14"/>
        <v>6</v>
      </c>
      <c r="Q38" s="69"/>
      <c r="R38" s="1703">
        <f t="shared" si="15"/>
        <v>3</v>
      </c>
      <c r="S38" s="69"/>
      <c r="T38" s="1703">
        <f t="shared" si="16"/>
        <v>3</v>
      </c>
      <c r="U38" s="69"/>
      <c r="V38" s="1703">
        <f t="shared" si="17"/>
        <v>2</v>
      </c>
      <c r="W38" s="69"/>
      <c r="X38" s="1703">
        <f t="shared" si="18"/>
        <v>2</v>
      </c>
      <c r="Y38" s="69"/>
      <c r="Z38" s="1703" t="str">
        <f t="shared" si="19"/>
        <v/>
      </c>
      <c r="AA38" s="69"/>
      <c r="AB38" s="1703">
        <f t="shared" si="20"/>
        <v>3</v>
      </c>
      <c r="AC38" s="69"/>
      <c r="AD38" s="1706">
        <f t="shared" si="21"/>
        <v>2</v>
      </c>
      <c r="AE38" s="69"/>
      <c r="AF38" s="1706">
        <f t="shared" si="22"/>
        <v>3</v>
      </c>
      <c r="AG38" s="69"/>
      <c r="AH38" s="1706">
        <f t="shared" si="23"/>
        <v>2</v>
      </c>
      <c r="AI38" s="69"/>
      <c r="AJ38" s="1706">
        <f t="shared" si="24"/>
        <v>2</v>
      </c>
      <c r="AK38" s="69"/>
      <c r="AL38" s="1706">
        <f t="shared" si="25"/>
        <v>4</v>
      </c>
      <c r="AM38" s="69"/>
      <c r="AN38" s="1706" t="str">
        <f t="shared" si="26"/>
        <v/>
      </c>
      <c r="AO38" s="69"/>
      <c r="AP38" s="1706">
        <f t="shared" si="27"/>
        <v>1</v>
      </c>
      <c r="AQ38" s="69"/>
      <c r="AR38" s="1706">
        <f t="shared" si="28"/>
        <v>8</v>
      </c>
      <c r="AS38" s="69"/>
      <c r="AT38" s="1706">
        <f t="shared" si="29"/>
        <v>5</v>
      </c>
      <c r="AU38" s="69"/>
      <c r="AV38" s="1706">
        <f t="shared" si="30"/>
        <v>4</v>
      </c>
      <c r="AW38" s="69"/>
      <c r="AX38" s="1709">
        <f t="shared" si="31"/>
        <v>3</v>
      </c>
      <c r="AY38" s="69"/>
      <c r="AZ38" s="1709">
        <f t="shared" si="32"/>
        <v>3</v>
      </c>
      <c r="BA38" s="69"/>
      <c r="BB38" s="1706">
        <f t="shared" si="33"/>
        <v>2</v>
      </c>
      <c r="BC38" s="69"/>
      <c r="BD38" s="1706">
        <f t="shared" si="34"/>
        <v>3</v>
      </c>
      <c r="BE38" s="69"/>
      <c r="BF38" s="1706">
        <f t="shared" si="35"/>
        <v>2</v>
      </c>
      <c r="BG38" s="69"/>
      <c r="BH38" s="1706">
        <f t="shared" si="36"/>
        <v>4</v>
      </c>
      <c r="BI38" s="69"/>
      <c r="BJ38" s="1709">
        <f t="shared" si="37"/>
        <v>2</v>
      </c>
      <c r="BK38" s="69"/>
      <c r="BL38" s="1706">
        <f t="shared" si="38"/>
        <v>44</v>
      </c>
      <c r="BM38" s="69"/>
      <c r="BN38" s="1706" t="str">
        <f t="shared" si="39"/>
        <v/>
      </c>
      <c r="BO38" s="69"/>
      <c r="BP38" s="1706">
        <f t="shared" si="40"/>
        <v>142</v>
      </c>
      <c r="BQ38" s="69"/>
      <c r="BR38" s="1824"/>
    </row>
    <row r="39" ht="17.25" customHeight="1">
      <c r="A39" s="1698" t="str">
        <f t="shared" si="7"/>
        <v>Да</v>
      </c>
      <c r="B39" s="1816">
        <v>4009.0</v>
      </c>
      <c r="C39" s="1567">
        <v>98.0</v>
      </c>
      <c r="D39" s="1817"/>
      <c r="E39" s="1702" t="str">
        <f t="shared" si="8"/>
        <v>Салат "Маковый" (курица, мак)</v>
      </c>
      <c r="F39" s="1703">
        <f t="shared" si="9"/>
        <v>2</v>
      </c>
      <c r="G39" s="69"/>
      <c r="H39" s="1703">
        <f t="shared" si="10"/>
        <v>2</v>
      </c>
      <c r="I39" s="69"/>
      <c r="J39" s="1703">
        <f t="shared" si="11"/>
        <v>10</v>
      </c>
      <c r="K39" s="69"/>
      <c r="L39" s="1703">
        <f t="shared" si="12"/>
        <v>2</v>
      </c>
      <c r="M39" s="69"/>
      <c r="N39" s="1703">
        <f t="shared" si="13"/>
        <v>8</v>
      </c>
      <c r="O39" s="69"/>
      <c r="P39" s="1703">
        <f t="shared" si="14"/>
        <v>1</v>
      </c>
      <c r="Q39" s="69"/>
      <c r="R39" s="1703">
        <f t="shared" si="15"/>
        <v>3</v>
      </c>
      <c r="S39" s="69"/>
      <c r="T39" s="1703">
        <f t="shared" si="16"/>
        <v>2</v>
      </c>
      <c r="U39" s="69"/>
      <c r="V39" s="1703">
        <f t="shared" si="17"/>
        <v>1</v>
      </c>
      <c r="W39" s="69"/>
      <c r="X39" s="1703">
        <f t="shared" si="18"/>
        <v>0</v>
      </c>
      <c r="Y39" s="69"/>
      <c r="Z39" s="1703" t="str">
        <f t="shared" si="19"/>
        <v/>
      </c>
      <c r="AA39" s="69"/>
      <c r="AB39" s="1703">
        <f t="shared" si="20"/>
        <v>3</v>
      </c>
      <c r="AC39" s="69"/>
      <c r="AD39" s="1706">
        <f t="shared" si="21"/>
        <v>2</v>
      </c>
      <c r="AE39" s="69"/>
      <c r="AF39" s="1706">
        <f t="shared" si="22"/>
        <v>4</v>
      </c>
      <c r="AG39" s="69"/>
      <c r="AH39" s="1706">
        <f t="shared" si="23"/>
        <v>2</v>
      </c>
      <c r="AI39" s="69"/>
      <c r="AJ39" s="1706">
        <f t="shared" si="24"/>
        <v>2</v>
      </c>
      <c r="AK39" s="69"/>
      <c r="AL39" s="1706">
        <f t="shared" si="25"/>
        <v>2</v>
      </c>
      <c r="AM39" s="69"/>
      <c r="AN39" s="1706" t="str">
        <f t="shared" si="26"/>
        <v/>
      </c>
      <c r="AO39" s="69"/>
      <c r="AP39" s="1706">
        <f t="shared" si="27"/>
        <v>2</v>
      </c>
      <c r="AQ39" s="69"/>
      <c r="AR39" s="1706">
        <f t="shared" si="28"/>
        <v>5</v>
      </c>
      <c r="AS39" s="69"/>
      <c r="AT39" s="1706">
        <f t="shared" si="29"/>
        <v>4</v>
      </c>
      <c r="AU39" s="69"/>
      <c r="AV39" s="1706">
        <f t="shared" si="30"/>
        <v>0</v>
      </c>
      <c r="AW39" s="69"/>
      <c r="AX39" s="1709">
        <f t="shared" si="31"/>
        <v>4</v>
      </c>
      <c r="AY39" s="69"/>
      <c r="AZ39" s="1709">
        <f t="shared" si="32"/>
        <v>1</v>
      </c>
      <c r="BA39" s="69"/>
      <c r="BB39" s="1706">
        <f t="shared" si="33"/>
        <v>2</v>
      </c>
      <c r="BC39" s="69"/>
      <c r="BD39" s="1706">
        <f t="shared" si="34"/>
        <v>2</v>
      </c>
      <c r="BE39" s="69"/>
      <c r="BF39" s="1706">
        <f t="shared" si="35"/>
        <v>4</v>
      </c>
      <c r="BG39" s="69"/>
      <c r="BH39" s="1706">
        <f t="shared" si="36"/>
        <v>2</v>
      </c>
      <c r="BI39" s="69"/>
      <c r="BJ39" s="1709">
        <f t="shared" si="37"/>
        <v>2</v>
      </c>
      <c r="BK39" s="69"/>
      <c r="BL39" s="1706">
        <f t="shared" si="38"/>
        <v>43</v>
      </c>
      <c r="BM39" s="69"/>
      <c r="BN39" s="1706" t="str">
        <f t="shared" si="39"/>
        <v/>
      </c>
      <c r="BO39" s="69"/>
      <c r="BP39" s="1706">
        <f t="shared" si="40"/>
        <v>117</v>
      </c>
      <c r="BQ39" s="69"/>
      <c r="BR39" s="1824"/>
    </row>
    <row r="40" ht="17.25" customHeight="1">
      <c r="A40" s="1698" t="str">
        <f t="shared" si="7"/>
        <v>Да</v>
      </c>
      <c r="B40" s="1816">
        <v>3170.0</v>
      </c>
      <c r="C40" s="1567">
        <v>98.0</v>
      </c>
      <c r="D40" s="1817"/>
      <c r="E40" s="1702" t="str">
        <f t="shared" si="8"/>
        <v>Салат ''Фунчоза'' 120 г</v>
      </c>
      <c r="F40" s="1703">
        <f t="shared" si="9"/>
        <v>5</v>
      </c>
      <c r="G40" s="69"/>
      <c r="H40" s="1703">
        <f t="shared" si="10"/>
        <v>3</v>
      </c>
      <c r="I40" s="69"/>
      <c r="J40" s="1703">
        <f t="shared" si="11"/>
        <v>10</v>
      </c>
      <c r="K40" s="69"/>
      <c r="L40" s="1703">
        <f t="shared" si="12"/>
        <v>4</v>
      </c>
      <c r="M40" s="69"/>
      <c r="N40" s="1703">
        <f t="shared" si="13"/>
        <v>6</v>
      </c>
      <c r="O40" s="69"/>
      <c r="P40" s="1703">
        <f t="shared" si="14"/>
        <v>8</v>
      </c>
      <c r="Q40" s="69"/>
      <c r="R40" s="1703">
        <f t="shared" si="15"/>
        <v>3</v>
      </c>
      <c r="S40" s="69"/>
      <c r="T40" s="1703">
        <f t="shared" si="16"/>
        <v>1</v>
      </c>
      <c r="U40" s="69"/>
      <c r="V40" s="1703">
        <f t="shared" si="17"/>
        <v>2</v>
      </c>
      <c r="W40" s="69"/>
      <c r="X40" s="1703">
        <f t="shared" si="18"/>
        <v>2</v>
      </c>
      <c r="Y40" s="69"/>
      <c r="Z40" s="1703" t="str">
        <f t="shared" si="19"/>
        <v/>
      </c>
      <c r="AA40" s="69"/>
      <c r="AB40" s="1703">
        <f t="shared" si="20"/>
        <v>3</v>
      </c>
      <c r="AC40" s="69"/>
      <c r="AD40" s="1706">
        <f t="shared" si="21"/>
        <v>2</v>
      </c>
      <c r="AE40" s="69"/>
      <c r="AF40" s="1706">
        <f t="shared" si="22"/>
        <v>5</v>
      </c>
      <c r="AG40" s="69"/>
      <c r="AH40" s="1706">
        <f t="shared" si="23"/>
        <v>4</v>
      </c>
      <c r="AI40" s="69"/>
      <c r="AJ40" s="1706">
        <f t="shared" si="24"/>
        <v>4</v>
      </c>
      <c r="AK40" s="69"/>
      <c r="AL40" s="1706">
        <f t="shared" si="25"/>
        <v>6</v>
      </c>
      <c r="AM40" s="69"/>
      <c r="AN40" s="1706" t="str">
        <f t="shared" si="26"/>
        <v/>
      </c>
      <c r="AO40" s="69"/>
      <c r="AP40" s="1706">
        <f t="shared" si="27"/>
        <v>4</v>
      </c>
      <c r="AQ40" s="69"/>
      <c r="AR40" s="1706">
        <f t="shared" si="28"/>
        <v>11</v>
      </c>
      <c r="AS40" s="69"/>
      <c r="AT40" s="1706">
        <f t="shared" si="29"/>
        <v>3</v>
      </c>
      <c r="AU40" s="69"/>
      <c r="AV40" s="1706">
        <f t="shared" si="30"/>
        <v>4</v>
      </c>
      <c r="AW40" s="69"/>
      <c r="AX40" s="1709">
        <f t="shared" si="31"/>
        <v>4</v>
      </c>
      <c r="AY40" s="69"/>
      <c r="AZ40" s="1709">
        <f t="shared" si="32"/>
        <v>5</v>
      </c>
      <c r="BA40" s="69"/>
      <c r="BB40" s="1706">
        <f t="shared" si="33"/>
        <v>2</v>
      </c>
      <c r="BC40" s="69"/>
      <c r="BD40" s="1706">
        <f t="shared" si="34"/>
        <v>1</v>
      </c>
      <c r="BE40" s="69"/>
      <c r="BF40" s="1706">
        <f t="shared" si="35"/>
        <v>6</v>
      </c>
      <c r="BG40" s="69"/>
      <c r="BH40" s="1706">
        <f t="shared" si="36"/>
        <v>2</v>
      </c>
      <c r="BI40" s="69"/>
      <c r="BJ40" s="1709">
        <f t="shared" si="37"/>
        <v>2</v>
      </c>
      <c r="BK40" s="69"/>
      <c r="BL40" s="1706">
        <f t="shared" si="38"/>
        <v>43</v>
      </c>
      <c r="BM40" s="69"/>
      <c r="BN40" s="1706" t="str">
        <f t="shared" si="39"/>
        <v/>
      </c>
      <c r="BO40" s="69"/>
      <c r="BP40" s="1706">
        <f t="shared" si="40"/>
        <v>155</v>
      </c>
      <c r="BQ40" s="69"/>
      <c r="BR40" s="1824"/>
    </row>
    <row r="41" ht="17.25" customHeight="1">
      <c r="A41" s="1698" t="str">
        <f t="shared" si="7"/>
        <v>Да</v>
      </c>
      <c r="B41" s="1816">
        <v>3306.0</v>
      </c>
      <c r="C41" s="1567">
        <v>237.0</v>
      </c>
      <c r="D41" s="1817"/>
      <c r="E41" s="1702" t="str">
        <f t="shared" si="8"/>
        <v>Боул с курицей, бобами эдамаме и овощами</v>
      </c>
      <c r="F41" s="1703">
        <f t="shared" si="9"/>
        <v>4</v>
      </c>
      <c r="G41" s="69"/>
      <c r="H41" s="1703">
        <f t="shared" si="10"/>
        <v>0</v>
      </c>
      <c r="I41" s="69"/>
      <c r="J41" s="1703">
        <f t="shared" si="11"/>
        <v>5</v>
      </c>
      <c r="K41" s="69"/>
      <c r="L41" s="1703">
        <f t="shared" si="12"/>
        <v>2</v>
      </c>
      <c r="M41" s="69"/>
      <c r="N41" s="1703">
        <f t="shared" si="13"/>
        <v>4</v>
      </c>
      <c r="O41" s="69"/>
      <c r="P41" s="1703">
        <f t="shared" si="14"/>
        <v>1</v>
      </c>
      <c r="Q41" s="69"/>
      <c r="R41" s="1703">
        <f t="shared" si="15"/>
        <v>0</v>
      </c>
      <c r="S41" s="69"/>
      <c r="T41" s="1703">
        <f t="shared" si="16"/>
        <v>2</v>
      </c>
      <c r="U41" s="69"/>
      <c r="V41" s="1703">
        <f t="shared" si="17"/>
        <v>4</v>
      </c>
      <c r="W41" s="69"/>
      <c r="X41" s="1703">
        <f t="shared" si="18"/>
        <v>2</v>
      </c>
      <c r="Y41" s="69"/>
      <c r="Z41" s="1703" t="str">
        <f t="shared" si="19"/>
        <v/>
      </c>
      <c r="AA41" s="69"/>
      <c r="AB41" s="1703">
        <f t="shared" si="20"/>
        <v>2</v>
      </c>
      <c r="AC41" s="69"/>
      <c r="AD41" s="1706">
        <f t="shared" si="21"/>
        <v>2</v>
      </c>
      <c r="AE41" s="69"/>
      <c r="AF41" s="1706">
        <f t="shared" si="22"/>
        <v>4</v>
      </c>
      <c r="AG41" s="69"/>
      <c r="AH41" s="1706">
        <f t="shared" si="23"/>
        <v>1</v>
      </c>
      <c r="AI41" s="69"/>
      <c r="AJ41" s="1706">
        <f t="shared" si="24"/>
        <v>0</v>
      </c>
      <c r="AK41" s="69"/>
      <c r="AL41" s="1706">
        <f t="shared" si="25"/>
        <v>1</v>
      </c>
      <c r="AM41" s="69"/>
      <c r="AN41" s="1706" t="str">
        <f t="shared" si="26"/>
        <v/>
      </c>
      <c r="AO41" s="69"/>
      <c r="AP41" s="1706">
        <f t="shared" si="27"/>
        <v>2</v>
      </c>
      <c r="AQ41" s="69"/>
      <c r="AR41" s="1706">
        <f t="shared" si="28"/>
        <v>4</v>
      </c>
      <c r="AS41" s="69"/>
      <c r="AT41" s="1706">
        <f t="shared" si="29"/>
        <v>0</v>
      </c>
      <c r="AU41" s="69"/>
      <c r="AV41" s="1706">
        <f t="shared" si="30"/>
        <v>2</v>
      </c>
      <c r="AW41" s="69"/>
      <c r="AX41" s="1709">
        <f t="shared" si="31"/>
        <v>9</v>
      </c>
      <c r="AY41" s="69"/>
      <c r="AZ41" s="1709">
        <f t="shared" si="32"/>
        <v>0</v>
      </c>
      <c r="BA41" s="69"/>
      <c r="BB41" s="1706">
        <f t="shared" si="33"/>
        <v>3</v>
      </c>
      <c r="BC41" s="69"/>
      <c r="BD41" s="1706">
        <f t="shared" si="34"/>
        <v>0</v>
      </c>
      <c r="BE41" s="69"/>
      <c r="BF41" s="1706">
        <f t="shared" si="35"/>
        <v>3</v>
      </c>
      <c r="BG41" s="69"/>
      <c r="BH41" s="1706">
        <f t="shared" si="36"/>
        <v>5</v>
      </c>
      <c r="BI41" s="69"/>
      <c r="BJ41" s="1709">
        <f t="shared" si="37"/>
        <v>5</v>
      </c>
      <c r="BK41" s="69"/>
      <c r="BL41" s="1706" t="str">
        <f t="shared" si="38"/>
        <v/>
      </c>
      <c r="BM41" s="69"/>
      <c r="BN41" s="1706" t="str">
        <f t="shared" si="39"/>
        <v/>
      </c>
      <c r="BO41" s="69"/>
      <c r="BP41" s="1706">
        <f t="shared" si="40"/>
        <v>67</v>
      </c>
      <c r="BQ41" s="69"/>
      <c r="BR41" s="1824"/>
    </row>
    <row r="42" ht="17.25" customHeight="1">
      <c r="A42" s="1698" t="str">
        <f t="shared" si="7"/>
        <v/>
      </c>
      <c r="B42" s="1816">
        <v>793.0</v>
      </c>
      <c r="C42" s="1567">
        <v>106.0</v>
      </c>
      <c r="D42" s="1817"/>
      <c r="E42" s="1702" t="str">
        <f t="shared" si="8"/>
        <v>Борщ с курицей</v>
      </c>
      <c r="F42" s="1703" t="str">
        <f t="shared" si="9"/>
        <v/>
      </c>
      <c r="G42" s="69"/>
      <c r="H42" s="1703" t="str">
        <f t="shared" si="10"/>
        <v/>
      </c>
      <c r="I42" s="69"/>
      <c r="J42" s="1703" t="str">
        <f t="shared" si="11"/>
        <v/>
      </c>
      <c r="K42" s="69"/>
      <c r="L42" s="1703" t="str">
        <f t="shared" si="12"/>
        <v/>
      </c>
      <c r="M42" s="69"/>
      <c r="N42" s="1703" t="str">
        <f t="shared" si="13"/>
        <v/>
      </c>
      <c r="O42" s="69"/>
      <c r="P42" s="1703" t="str">
        <f t="shared" si="14"/>
        <v/>
      </c>
      <c r="Q42" s="69"/>
      <c r="R42" s="1703" t="str">
        <f t="shared" si="15"/>
        <v/>
      </c>
      <c r="S42" s="69"/>
      <c r="T42" s="1703" t="str">
        <f t="shared" si="16"/>
        <v/>
      </c>
      <c r="U42" s="69"/>
      <c r="V42" s="1703" t="str">
        <f t="shared" si="17"/>
        <v/>
      </c>
      <c r="W42" s="69"/>
      <c r="X42" s="1703" t="str">
        <f t="shared" si="18"/>
        <v/>
      </c>
      <c r="Y42" s="69"/>
      <c r="Z42" s="1703" t="str">
        <f t="shared" si="19"/>
        <v/>
      </c>
      <c r="AA42" s="69"/>
      <c r="AB42" s="1703" t="str">
        <f t="shared" si="20"/>
        <v/>
      </c>
      <c r="AC42" s="69"/>
      <c r="AD42" s="1706" t="str">
        <f t="shared" si="21"/>
        <v/>
      </c>
      <c r="AE42" s="69"/>
      <c r="AF42" s="1706" t="str">
        <f t="shared" si="22"/>
        <v/>
      </c>
      <c r="AG42" s="69"/>
      <c r="AH42" s="1706" t="str">
        <f t="shared" si="23"/>
        <v/>
      </c>
      <c r="AI42" s="69"/>
      <c r="AJ42" s="1706" t="str">
        <f t="shared" si="24"/>
        <v/>
      </c>
      <c r="AK42" s="69"/>
      <c r="AL42" s="1706" t="str">
        <f t="shared" si="25"/>
        <v/>
      </c>
      <c r="AM42" s="69"/>
      <c r="AN42" s="1706" t="str">
        <f t="shared" si="26"/>
        <v/>
      </c>
      <c r="AO42" s="69"/>
      <c r="AP42" s="1706" t="str">
        <f t="shared" si="27"/>
        <v/>
      </c>
      <c r="AQ42" s="69"/>
      <c r="AR42" s="1706" t="str">
        <f t="shared" si="28"/>
        <v/>
      </c>
      <c r="AS42" s="69"/>
      <c r="AT42" s="1706" t="str">
        <f t="shared" si="29"/>
        <v/>
      </c>
      <c r="AU42" s="69"/>
      <c r="AV42" s="1706" t="str">
        <f t="shared" si="30"/>
        <v/>
      </c>
      <c r="AW42" s="69"/>
      <c r="AX42" s="1709" t="str">
        <f t="shared" si="31"/>
        <v/>
      </c>
      <c r="AY42" s="69"/>
      <c r="AZ42" s="1709" t="str">
        <f t="shared" si="32"/>
        <v/>
      </c>
      <c r="BA42" s="69"/>
      <c r="BB42" s="1706" t="str">
        <f t="shared" si="33"/>
        <v/>
      </c>
      <c r="BC42" s="69"/>
      <c r="BD42" s="1706" t="str">
        <f t="shared" si="34"/>
        <v/>
      </c>
      <c r="BE42" s="69"/>
      <c r="BF42" s="1706" t="str">
        <f t="shared" si="35"/>
        <v/>
      </c>
      <c r="BG42" s="69"/>
      <c r="BH42" s="1706" t="str">
        <f t="shared" si="36"/>
        <v/>
      </c>
      <c r="BI42" s="69"/>
      <c r="BJ42" s="1709" t="str">
        <f t="shared" si="37"/>
        <v/>
      </c>
      <c r="BK42" s="69"/>
      <c r="BL42" s="1706">
        <f t="shared" si="38"/>
        <v>120</v>
      </c>
      <c r="BM42" s="69"/>
      <c r="BN42" s="1706" t="str">
        <f t="shared" si="39"/>
        <v/>
      </c>
      <c r="BO42" s="69"/>
      <c r="BP42" s="1706">
        <f t="shared" si="40"/>
        <v>120</v>
      </c>
      <c r="BQ42" s="69"/>
      <c r="BR42" s="1824"/>
    </row>
    <row r="43" ht="17.25" customHeight="1">
      <c r="A43" s="1698" t="str">
        <f t="shared" si="7"/>
        <v/>
      </c>
      <c r="B43" s="1816"/>
      <c r="C43" s="1567"/>
      <c r="D43" s="1817"/>
      <c r="E43" s="1702" t="str">
        <f t="shared" si="8"/>
        <v/>
      </c>
      <c r="F43" s="1703" t="str">
        <f t="shared" si="9"/>
        <v/>
      </c>
      <c r="G43" s="69"/>
      <c r="H43" s="1703" t="str">
        <f t="shared" si="10"/>
        <v/>
      </c>
      <c r="I43" s="69"/>
      <c r="J43" s="1703" t="str">
        <f t="shared" si="11"/>
        <v/>
      </c>
      <c r="K43" s="69"/>
      <c r="L43" s="1703" t="str">
        <f t="shared" si="12"/>
        <v/>
      </c>
      <c r="M43" s="69"/>
      <c r="N43" s="1703" t="str">
        <f t="shared" si="13"/>
        <v/>
      </c>
      <c r="O43" s="69"/>
      <c r="P43" s="1703" t="str">
        <f t="shared" si="14"/>
        <v/>
      </c>
      <c r="Q43" s="69"/>
      <c r="R43" s="1703" t="str">
        <f t="shared" si="15"/>
        <v/>
      </c>
      <c r="S43" s="69"/>
      <c r="T43" s="1703" t="str">
        <f t="shared" si="16"/>
        <v/>
      </c>
      <c r="U43" s="69"/>
      <c r="V43" s="1703" t="str">
        <f t="shared" si="17"/>
        <v/>
      </c>
      <c r="W43" s="69"/>
      <c r="X43" s="1703" t="str">
        <f t="shared" si="18"/>
        <v/>
      </c>
      <c r="Y43" s="69"/>
      <c r="Z43" s="1703" t="str">
        <f t="shared" si="19"/>
        <v/>
      </c>
      <c r="AA43" s="69"/>
      <c r="AB43" s="1703" t="str">
        <f t="shared" si="20"/>
        <v/>
      </c>
      <c r="AC43" s="69"/>
      <c r="AD43" s="1706" t="str">
        <f t="shared" si="21"/>
        <v/>
      </c>
      <c r="AE43" s="69"/>
      <c r="AF43" s="1706" t="str">
        <f t="shared" si="22"/>
        <v/>
      </c>
      <c r="AG43" s="69"/>
      <c r="AH43" s="1706" t="str">
        <f t="shared" si="23"/>
        <v/>
      </c>
      <c r="AI43" s="69"/>
      <c r="AJ43" s="1706" t="str">
        <f t="shared" si="24"/>
        <v/>
      </c>
      <c r="AK43" s="69"/>
      <c r="AL43" s="1706" t="str">
        <f t="shared" si="25"/>
        <v/>
      </c>
      <c r="AM43" s="69"/>
      <c r="AN43" s="1706" t="str">
        <f t="shared" si="26"/>
        <v/>
      </c>
      <c r="AO43" s="69"/>
      <c r="AP43" s="1706" t="str">
        <f t="shared" si="27"/>
        <v/>
      </c>
      <c r="AQ43" s="69"/>
      <c r="AR43" s="1706" t="str">
        <f t="shared" si="28"/>
        <v/>
      </c>
      <c r="AS43" s="69"/>
      <c r="AT43" s="1706" t="str">
        <f t="shared" si="29"/>
        <v/>
      </c>
      <c r="AU43" s="69"/>
      <c r="AV43" s="1706" t="str">
        <f t="shared" si="30"/>
        <v/>
      </c>
      <c r="AW43" s="69"/>
      <c r="AX43" s="1709" t="str">
        <f t="shared" si="31"/>
        <v/>
      </c>
      <c r="AY43" s="69"/>
      <c r="AZ43" s="1709" t="str">
        <f t="shared" si="32"/>
        <v/>
      </c>
      <c r="BA43" s="69"/>
      <c r="BB43" s="1706" t="str">
        <f t="shared" si="33"/>
        <v/>
      </c>
      <c r="BC43" s="69"/>
      <c r="BD43" s="1706" t="str">
        <f t="shared" si="34"/>
        <v/>
      </c>
      <c r="BE43" s="69"/>
      <c r="BF43" s="1706" t="str">
        <f t="shared" si="35"/>
        <v/>
      </c>
      <c r="BG43" s="69"/>
      <c r="BH43" s="1706" t="str">
        <f t="shared" si="36"/>
        <v/>
      </c>
      <c r="BI43" s="69"/>
      <c r="BJ43" s="1709" t="str">
        <f t="shared" si="37"/>
        <v/>
      </c>
      <c r="BK43" s="69"/>
      <c r="BL43" s="1706" t="str">
        <f t="shared" si="38"/>
        <v/>
      </c>
      <c r="BM43" s="69"/>
      <c r="BN43" s="1706" t="str">
        <f t="shared" si="39"/>
        <v/>
      </c>
      <c r="BO43" s="69"/>
      <c r="BP43" s="1706">
        <f t="shared" si="40"/>
        <v>0</v>
      </c>
      <c r="BQ43" s="69"/>
      <c r="BR43" s="1824"/>
    </row>
    <row r="44" ht="17.25" customHeight="1">
      <c r="A44" s="1698" t="str">
        <f t="shared" si="7"/>
        <v>Да</v>
      </c>
      <c r="B44" s="1816">
        <v>763.0</v>
      </c>
      <c r="C44" s="1567">
        <v>208.0</v>
      </c>
      <c r="D44" s="1817"/>
      <c r="E44" s="1702" t="str">
        <f t="shared" si="8"/>
        <v>Котлета куриная с картофельным пюре</v>
      </c>
      <c r="F44" s="1703">
        <f t="shared" si="9"/>
        <v>0</v>
      </c>
      <c r="G44" s="69"/>
      <c r="H44" s="1725">
        <f t="shared" si="10"/>
        <v>2</v>
      </c>
      <c r="I44" s="69"/>
      <c r="J44" s="1703">
        <f t="shared" si="11"/>
        <v>6</v>
      </c>
      <c r="K44" s="69"/>
      <c r="L44" s="1703">
        <f t="shared" si="12"/>
        <v>2</v>
      </c>
      <c r="M44" s="69"/>
      <c r="N44" s="1703">
        <f t="shared" si="13"/>
        <v>6</v>
      </c>
      <c r="O44" s="69"/>
      <c r="P44" s="1725">
        <f t="shared" si="14"/>
        <v>2</v>
      </c>
      <c r="Q44" s="69"/>
      <c r="R44" s="1703">
        <f t="shared" si="15"/>
        <v>4</v>
      </c>
      <c r="S44" s="69"/>
      <c r="T44" s="1703">
        <f t="shared" si="16"/>
        <v>3</v>
      </c>
      <c r="U44" s="69"/>
      <c r="V44" s="1703">
        <f t="shared" si="17"/>
        <v>1</v>
      </c>
      <c r="W44" s="69"/>
      <c r="X44" s="1703">
        <f t="shared" si="18"/>
        <v>0</v>
      </c>
      <c r="Y44" s="69"/>
      <c r="Z44" s="1703" t="str">
        <f t="shared" si="19"/>
        <v/>
      </c>
      <c r="AA44" s="69"/>
      <c r="AB44" s="1703">
        <f t="shared" si="20"/>
        <v>2</v>
      </c>
      <c r="AC44" s="69"/>
      <c r="AD44" s="1706">
        <f t="shared" si="21"/>
        <v>2</v>
      </c>
      <c r="AE44" s="69"/>
      <c r="AF44" s="1706">
        <f t="shared" si="22"/>
        <v>0</v>
      </c>
      <c r="AG44" s="69"/>
      <c r="AH44" s="1706">
        <f t="shared" si="23"/>
        <v>2</v>
      </c>
      <c r="AI44" s="69"/>
      <c r="AJ44" s="1706">
        <f t="shared" si="24"/>
        <v>4</v>
      </c>
      <c r="AK44" s="69"/>
      <c r="AL44" s="1706">
        <f t="shared" si="25"/>
        <v>2</v>
      </c>
      <c r="AM44" s="69"/>
      <c r="AN44" s="1706" t="str">
        <f t="shared" si="26"/>
        <v/>
      </c>
      <c r="AO44" s="69"/>
      <c r="AP44" s="1706">
        <f t="shared" si="27"/>
        <v>3</v>
      </c>
      <c r="AQ44" s="69"/>
      <c r="AR44" s="1706">
        <f t="shared" si="28"/>
        <v>4</v>
      </c>
      <c r="AS44" s="69"/>
      <c r="AT44" s="1706">
        <f t="shared" si="29"/>
        <v>2</v>
      </c>
      <c r="AU44" s="69"/>
      <c r="AV44" s="1706">
        <f t="shared" si="30"/>
        <v>2</v>
      </c>
      <c r="AW44" s="69"/>
      <c r="AX44" s="1709">
        <f t="shared" si="31"/>
        <v>3</v>
      </c>
      <c r="AY44" s="69"/>
      <c r="AZ44" s="1709">
        <f t="shared" si="32"/>
        <v>3</v>
      </c>
      <c r="BA44" s="69"/>
      <c r="BB44" s="1706">
        <f t="shared" si="33"/>
        <v>2</v>
      </c>
      <c r="BC44" s="69"/>
      <c r="BD44" s="1706">
        <f t="shared" si="34"/>
        <v>2</v>
      </c>
      <c r="BE44" s="69"/>
      <c r="BF44" s="1706">
        <f t="shared" si="35"/>
        <v>4</v>
      </c>
      <c r="BG44" s="69"/>
      <c r="BH44" s="1706">
        <f t="shared" si="36"/>
        <v>4</v>
      </c>
      <c r="BI44" s="69"/>
      <c r="BJ44" s="1709">
        <f t="shared" si="37"/>
        <v>3</v>
      </c>
      <c r="BK44" s="69"/>
      <c r="BL44" s="1706" t="str">
        <f t="shared" si="38"/>
        <v/>
      </c>
      <c r="BM44" s="69"/>
      <c r="BN44" s="1706" t="str">
        <f t="shared" si="39"/>
        <v/>
      </c>
      <c r="BO44" s="69"/>
      <c r="BP44" s="1706">
        <f t="shared" si="40"/>
        <v>70</v>
      </c>
      <c r="BQ44" s="69"/>
      <c r="BR44" s="1824"/>
    </row>
    <row r="45" ht="17.25" customHeight="1">
      <c r="A45" s="1698" t="str">
        <f t="shared" si="7"/>
        <v>Да</v>
      </c>
      <c r="B45" s="1816">
        <v>4014.0</v>
      </c>
      <c r="C45" s="1567">
        <v>241.0</v>
      </c>
      <c r="D45" s="1817"/>
      <c r="E45" s="1702" t="str">
        <f t="shared" si="8"/>
        <v>Филе с сыром и печеным картофелем </v>
      </c>
      <c r="F45" s="1703">
        <f t="shared" si="9"/>
        <v>13</v>
      </c>
      <c r="G45" s="69"/>
      <c r="H45" s="1703">
        <f t="shared" si="10"/>
        <v>7</v>
      </c>
      <c r="I45" s="69"/>
      <c r="J45" s="1703">
        <f t="shared" si="11"/>
        <v>9</v>
      </c>
      <c r="K45" s="69"/>
      <c r="L45" s="1703">
        <f t="shared" si="12"/>
        <v>6</v>
      </c>
      <c r="M45" s="69"/>
      <c r="N45" s="1703">
        <f t="shared" si="13"/>
        <v>12</v>
      </c>
      <c r="O45" s="69"/>
      <c r="P45" s="1703">
        <f t="shared" si="14"/>
        <v>7</v>
      </c>
      <c r="Q45" s="69"/>
      <c r="R45" s="1703">
        <f t="shared" si="15"/>
        <v>4</v>
      </c>
      <c r="S45" s="69"/>
      <c r="T45" s="1703">
        <f t="shared" si="16"/>
        <v>4</v>
      </c>
      <c r="U45" s="69"/>
      <c r="V45" s="1703">
        <f t="shared" si="17"/>
        <v>6</v>
      </c>
      <c r="W45" s="69"/>
      <c r="X45" s="1703">
        <f t="shared" si="18"/>
        <v>4</v>
      </c>
      <c r="Y45" s="69"/>
      <c r="Z45" s="1703" t="str">
        <f t="shared" si="19"/>
        <v/>
      </c>
      <c r="AA45" s="69"/>
      <c r="AB45" s="1703">
        <f t="shared" si="20"/>
        <v>6</v>
      </c>
      <c r="AC45" s="69"/>
      <c r="AD45" s="1706">
        <f t="shared" si="21"/>
        <v>4</v>
      </c>
      <c r="AE45" s="69"/>
      <c r="AF45" s="1706">
        <f t="shared" si="22"/>
        <v>9</v>
      </c>
      <c r="AG45" s="69"/>
      <c r="AH45" s="1706">
        <f t="shared" si="23"/>
        <v>3</v>
      </c>
      <c r="AI45" s="69"/>
      <c r="AJ45" s="1706">
        <f t="shared" si="24"/>
        <v>7</v>
      </c>
      <c r="AK45" s="69"/>
      <c r="AL45" s="1706">
        <f t="shared" si="25"/>
        <v>4</v>
      </c>
      <c r="AM45" s="69"/>
      <c r="AN45" s="1706" t="str">
        <f t="shared" si="26"/>
        <v/>
      </c>
      <c r="AO45" s="69"/>
      <c r="AP45" s="1706">
        <f t="shared" si="27"/>
        <v>4</v>
      </c>
      <c r="AQ45" s="69"/>
      <c r="AR45" s="1706">
        <f t="shared" si="28"/>
        <v>8</v>
      </c>
      <c r="AS45" s="69"/>
      <c r="AT45" s="1706">
        <f t="shared" si="29"/>
        <v>5</v>
      </c>
      <c r="AU45" s="69"/>
      <c r="AV45" s="1706">
        <f t="shared" si="30"/>
        <v>4</v>
      </c>
      <c r="AW45" s="69"/>
      <c r="AX45" s="1709">
        <f t="shared" si="31"/>
        <v>4</v>
      </c>
      <c r="AY45" s="69"/>
      <c r="AZ45" s="1709">
        <f t="shared" si="32"/>
        <v>2</v>
      </c>
      <c r="BA45" s="69"/>
      <c r="BB45" s="1706">
        <f t="shared" si="33"/>
        <v>2</v>
      </c>
      <c r="BC45" s="69"/>
      <c r="BD45" s="1706">
        <f t="shared" si="34"/>
        <v>3</v>
      </c>
      <c r="BE45" s="69"/>
      <c r="BF45" s="1706">
        <f t="shared" si="35"/>
        <v>6</v>
      </c>
      <c r="BG45" s="69"/>
      <c r="BH45" s="1706">
        <f t="shared" si="36"/>
        <v>7</v>
      </c>
      <c r="BI45" s="69"/>
      <c r="BJ45" s="1709">
        <f t="shared" si="37"/>
        <v>8</v>
      </c>
      <c r="BK45" s="69"/>
      <c r="BL45" s="1706" t="str">
        <f t="shared" si="38"/>
        <v/>
      </c>
      <c r="BM45" s="69"/>
      <c r="BN45" s="1706" t="str">
        <f t="shared" si="39"/>
        <v/>
      </c>
      <c r="BO45" s="69"/>
      <c r="BP45" s="1706">
        <f t="shared" si="40"/>
        <v>158</v>
      </c>
      <c r="BQ45" s="69"/>
      <c r="BR45" s="1824"/>
    </row>
    <row r="46" ht="17.25" customHeight="1">
      <c r="A46" s="1698" t="str">
        <f t="shared" si="7"/>
        <v/>
      </c>
      <c r="B46" s="1816">
        <v>3054.0</v>
      </c>
      <c r="C46" s="1567">
        <v>198.0</v>
      </c>
      <c r="D46" s="1817"/>
      <c r="E46" s="1702" t="str">
        <f t="shared" si="8"/>
        <v>Минтай под овощами с рисом</v>
      </c>
      <c r="F46" s="1703" t="str">
        <f t="shared" si="9"/>
        <v/>
      </c>
      <c r="G46" s="69"/>
      <c r="H46" s="1703" t="str">
        <f t="shared" si="10"/>
        <v/>
      </c>
      <c r="I46" s="69"/>
      <c r="J46" s="1703" t="str">
        <f t="shared" si="11"/>
        <v/>
      </c>
      <c r="K46" s="69"/>
      <c r="L46" s="1703" t="str">
        <f t="shared" si="12"/>
        <v/>
      </c>
      <c r="M46" s="69"/>
      <c r="N46" s="1703" t="str">
        <f t="shared" si="13"/>
        <v/>
      </c>
      <c r="O46" s="69"/>
      <c r="P46" s="1725" t="str">
        <f t="shared" si="14"/>
        <v/>
      </c>
      <c r="Q46" s="69"/>
      <c r="R46" s="1703" t="str">
        <f t="shared" si="15"/>
        <v/>
      </c>
      <c r="S46" s="69"/>
      <c r="T46" s="1703" t="str">
        <f t="shared" si="16"/>
        <v/>
      </c>
      <c r="U46" s="69"/>
      <c r="V46" s="1703" t="str">
        <f t="shared" si="17"/>
        <v/>
      </c>
      <c r="W46" s="69"/>
      <c r="X46" s="1703" t="str">
        <f t="shared" si="18"/>
        <v/>
      </c>
      <c r="Y46" s="69"/>
      <c r="Z46" s="1703" t="str">
        <f t="shared" si="19"/>
        <v/>
      </c>
      <c r="AA46" s="69"/>
      <c r="AB46" s="1703" t="str">
        <f t="shared" si="20"/>
        <v/>
      </c>
      <c r="AC46" s="69"/>
      <c r="AD46" s="1706" t="str">
        <f t="shared" si="21"/>
        <v/>
      </c>
      <c r="AE46" s="69"/>
      <c r="AF46" s="1706" t="str">
        <f t="shared" si="22"/>
        <v/>
      </c>
      <c r="AG46" s="69"/>
      <c r="AH46" s="1706" t="str">
        <f t="shared" si="23"/>
        <v/>
      </c>
      <c r="AI46" s="69"/>
      <c r="AJ46" s="1706" t="str">
        <f t="shared" si="24"/>
        <v/>
      </c>
      <c r="AK46" s="69"/>
      <c r="AL46" s="1706" t="str">
        <f t="shared" si="25"/>
        <v/>
      </c>
      <c r="AM46" s="69"/>
      <c r="AN46" s="1706" t="str">
        <f t="shared" si="26"/>
        <v/>
      </c>
      <c r="AO46" s="69"/>
      <c r="AP46" s="1706" t="str">
        <f t="shared" si="27"/>
        <v/>
      </c>
      <c r="AQ46" s="69"/>
      <c r="AR46" s="1706" t="str">
        <f t="shared" si="28"/>
        <v/>
      </c>
      <c r="AS46" s="69"/>
      <c r="AT46" s="1706" t="str">
        <f t="shared" si="29"/>
        <v/>
      </c>
      <c r="AU46" s="69"/>
      <c r="AV46" s="1706" t="str">
        <f t="shared" si="30"/>
        <v/>
      </c>
      <c r="AW46" s="69"/>
      <c r="AX46" s="1709" t="str">
        <f t="shared" si="31"/>
        <v/>
      </c>
      <c r="AY46" s="69"/>
      <c r="AZ46" s="1709" t="str">
        <f t="shared" si="32"/>
        <v/>
      </c>
      <c r="BA46" s="69"/>
      <c r="BB46" s="1706" t="str">
        <f t="shared" si="33"/>
        <v/>
      </c>
      <c r="BC46" s="69"/>
      <c r="BD46" s="1706" t="str">
        <f t="shared" si="34"/>
        <v/>
      </c>
      <c r="BE46" s="69"/>
      <c r="BF46" s="1706" t="str">
        <f t="shared" si="35"/>
        <v/>
      </c>
      <c r="BG46" s="69"/>
      <c r="BH46" s="1706" t="str">
        <f t="shared" si="36"/>
        <v/>
      </c>
      <c r="BI46" s="69"/>
      <c r="BJ46" s="1709" t="str">
        <f t="shared" si="37"/>
        <v/>
      </c>
      <c r="BK46" s="69"/>
      <c r="BL46" s="1706">
        <f t="shared" si="38"/>
        <v>25</v>
      </c>
      <c r="BM46" s="69"/>
      <c r="BN46" s="1706" t="str">
        <f t="shared" si="39"/>
        <v/>
      </c>
      <c r="BO46" s="69"/>
      <c r="BP46" s="1706">
        <f t="shared" si="40"/>
        <v>25</v>
      </c>
      <c r="BQ46" s="69"/>
      <c r="BR46" s="1824"/>
    </row>
    <row r="47" ht="17.25" customHeight="1">
      <c r="A47" s="1698" t="str">
        <f t="shared" si="7"/>
        <v>Да</v>
      </c>
      <c r="B47" s="1816">
        <v>4233.0</v>
      </c>
      <c r="C47" s="1567">
        <v>211.0</v>
      </c>
      <c r="D47" s="1817"/>
      <c r="E47" s="1702" t="str">
        <f t="shared" si="8"/>
        <v>Свинина с тмином с тушеной капустой </v>
      </c>
      <c r="F47" s="1703">
        <f t="shared" si="9"/>
        <v>0</v>
      </c>
      <c r="G47" s="69"/>
      <c r="H47" s="1703">
        <f t="shared" si="10"/>
        <v>0</v>
      </c>
      <c r="I47" s="69"/>
      <c r="J47" s="1703">
        <f t="shared" si="11"/>
        <v>5</v>
      </c>
      <c r="K47" s="69"/>
      <c r="L47" s="1703">
        <f t="shared" si="12"/>
        <v>2</v>
      </c>
      <c r="M47" s="69"/>
      <c r="N47" s="1703">
        <f t="shared" si="13"/>
        <v>12</v>
      </c>
      <c r="O47" s="69"/>
      <c r="P47" s="1725">
        <f t="shared" si="14"/>
        <v>4</v>
      </c>
      <c r="Q47" s="69"/>
      <c r="R47" s="1703">
        <f t="shared" si="15"/>
        <v>4</v>
      </c>
      <c r="S47" s="69"/>
      <c r="T47" s="1703">
        <f t="shared" si="16"/>
        <v>0</v>
      </c>
      <c r="U47" s="69"/>
      <c r="V47" s="1703">
        <f t="shared" si="17"/>
        <v>5</v>
      </c>
      <c r="W47" s="69"/>
      <c r="X47" s="1703">
        <f t="shared" si="18"/>
        <v>0</v>
      </c>
      <c r="Y47" s="69"/>
      <c r="Z47" s="1703" t="str">
        <f t="shared" si="19"/>
        <v/>
      </c>
      <c r="AA47" s="69"/>
      <c r="AB47" s="1703">
        <f t="shared" si="20"/>
        <v>0</v>
      </c>
      <c r="AC47" s="69"/>
      <c r="AD47" s="1706">
        <f t="shared" si="21"/>
        <v>3</v>
      </c>
      <c r="AE47" s="69"/>
      <c r="AF47" s="1706">
        <f t="shared" si="22"/>
        <v>2</v>
      </c>
      <c r="AG47" s="69"/>
      <c r="AH47" s="1706">
        <f t="shared" si="23"/>
        <v>2</v>
      </c>
      <c r="AI47" s="69"/>
      <c r="AJ47" s="1706">
        <f t="shared" si="24"/>
        <v>2</v>
      </c>
      <c r="AK47" s="69"/>
      <c r="AL47" s="1706">
        <f t="shared" si="25"/>
        <v>3</v>
      </c>
      <c r="AM47" s="69"/>
      <c r="AN47" s="1706" t="str">
        <f t="shared" si="26"/>
        <v/>
      </c>
      <c r="AO47" s="69"/>
      <c r="AP47" s="1706">
        <f t="shared" si="27"/>
        <v>2</v>
      </c>
      <c r="AQ47" s="69"/>
      <c r="AR47" s="1706">
        <f t="shared" si="28"/>
        <v>4</v>
      </c>
      <c r="AS47" s="69"/>
      <c r="AT47" s="1706">
        <f t="shared" si="29"/>
        <v>4</v>
      </c>
      <c r="AU47" s="69"/>
      <c r="AV47" s="1706">
        <f t="shared" si="30"/>
        <v>0</v>
      </c>
      <c r="AW47" s="69"/>
      <c r="AX47" s="1709">
        <f t="shared" si="31"/>
        <v>5</v>
      </c>
      <c r="AY47" s="69"/>
      <c r="AZ47" s="1709">
        <f t="shared" si="32"/>
        <v>3</v>
      </c>
      <c r="BA47" s="69"/>
      <c r="BB47" s="1706">
        <f t="shared" si="33"/>
        <v>2</v>
      </c>
      <c r="BC47" s="69"/>
      <c r="BD47" s="1706">
        <f t="shared" si="34"/>
        <v>2</v>
      </c>
      <c r="BE47" s="69"/>
      <c r="BF47" s="1706">
        <f t="shared" si="35"/>
        <v>3</v>
      </c>
      <c r="BG47" s="69"/>
      <c r="BH47" s="1706">
        <f t="shared" si="36"/>
        <v>1</v>
      </c>
      <c r="BI47" s="69"/>
      <c r="BJ47" s="1709">
        <f t="shared" si="37"/>
        <v>5</v>
      </c>
      <c r="BK47" s="69"/>
      <c r="BL47" s="1706">
        <f t="shared" si="38"/>
        <v>75</v>
      </c>
      <c r="BM47" s="69"/>
      <c r="BN47" s="1706" t="str">
        <f t="shared" si="39"/>
        <v/>
      </c>
      <c r="BO47" s="69"/>
      <c r="BP47" s="1706">
        <f t="shared" si="40"/>
        <v>150</v>
      </c>
      <c r="BQ47" s="69"/>
      <c r="BR47" s="1824"/>
    </row>
    <row r="48" ht="17.25" customHeight="1">
      <c r="A48" s="1698" t="str">
        <f t="shared" si="7"/>
        <v/>
      </c>
      <c r="B48" s="1816">
        <v>4196.0</v>
      </c>
      <c r="C48" s="1567">
        <v>243.0</v>
      </c>
      <c r="D48" s="1817"/>
      <c r="E48" s="1702" t="str">
        <f t="shared" si="8"/>
        <v>Филе с сыром и макаронами</v>
      </c>
      <c r="F48" s="1703" t="str">
        <f t="shared" si="9"/>
        <v/>
      </c>
      <c r="G48" s="69"/>
      <c r="H48" s="1725" t="str">
        <f t="shared" si="10"/>
        <v/>
      </c>
      <c r="I48" s="69"/>
      <c r="J48" s="1703" t="str">
        <f t="shared" si="11"/>
        <v/>
      </c>
      <c r="K48" s="69"/>
      <c r="L48" s="1703" t="str">
        <f t="shared" si="12"/>
        <v/>
      </c>
      <c r="M48" s="69"/>
      <c r="N48" s="1703" t="str">
        <f t="shared" si="13"/>
        <v/>
      </c>
      <c r="O48" s="69"/>
      <c r="P48" s="1725" t="str">
        <f t="shared" si="14"/>
        <v/>
      </c>
      <c r="Q48" s="69"/>
      <c r="R48" s="1703" t="str">
        <f t="shared" si="15"/>
        <v/>
      </c>
      <c r="S48" s="69"/>
      <c r="T48" s="1703" t="str">
        <f t="shared" si="16"/>
        <v/>
      </c>
      <c r="U48" s="69"/>
      <c r="V48" s="1703" t="str">
        <f t="shared" si="17"/>
        <v/>
      </c>
      <c r="W48" s="69"/>
      <c r="X48" s="1703" t="str">
        <f t="shared" si="18"/>
        <v/>
      </c>
      <c r="Y48" s="69"/>
      <c r="Z48" s="1703" t="str">
        <f t="shared" si="19"/>
        <v/>
      </c>
      <c r="AA48" s="69"/>
      <c r="AB48" s="1703" t="str">
        <f t="shared" si="20"/>
        <v/>
      </c>
      <c r="AC48" s="69"/>
      <c r="AD48" s="1706" t="str">
        <f t="shared" si="21"/>
        <v/>
      </c>
      <c r="AE48" s="69"/>
      <c r="AF48" s="1706" t="str">
        <f t="shared" si="22"/>
        <v/>
      </c>
      <c r="AG48" s="69"/>
      <c r="AH48" s="1706" t="str">
        <f t="shared" si="23"/>
        <v/>
      </c>
      <c r="AI48" s="69"/>
      <c r="AJ48" s="1706" t="str">
        <f t="shared" si="24"/>
        <v/>
      </c>
      <c r="AK48" s="69"/>
      <c r="AL48" s="1706" t="str">
        <f t="shared" si="25"/>
        <v/>
      </c>
      <c r="AM48" s="69"/>
      <c r="AN48" s="1706" t="str">
        <f t="shared" si="26"/>
        <v/>
      </c>
      <c r="AO48" s="69"/>
      <c r="AP48" s="1706" t="str">
        <f t="shared" si="27"/>
        <v/>
      </c>
      <c r="AQ48" s="69"/>
      <c r="AR48" s="1706" t="str">
        <f t="shared" si="28"/>
        <v/>
      </c>
      <c r="AS48" s="69"/>
      <c r="AT48" s="1706" t="str">
        <f t="shared" si="29"/>
        <v/>
      </c>
      <c r="AU48" s="69"/>
      <c r="AV48" s="1706" t="str">
        <f t="shared" si="30"/>
        <v/>
      </c>
      <c r="AW48" s="69"/>
      <c r="AX48" s="1709" t="str">
        <f t="shared" si="31"/>
        <v/>
      </c>
      <c r="AY48" s="69"/>
      <c r="AZ48" s="1709" t="str">
        <f t="shared" si="32"/>
        <v/>
      </c>
      <c r="BA48" s="69"/>
      <c r="BB48" s="1706" t="str">
        <f t="shared" si="33"/>
        <v/>
      </c>
      <c r="BC48" s="69"/>
      <c r="BD48" s="1706" t="str">
        <f t="shared" si="34"/>
        <v/>
      </c>
      <c r="BE48" s="69"/>
      <c r="BF48" s="1706" t="str">
        <f t="shared" si="35"/>
        <v/>
      </c>
      <c r="BG48" s="69"/>
      <c r="BH48" s="1706" t="str">
        <f t="shared" si="36"/>
        <v/>
      </c>
      <c r="BI48" s="69"/>
      <c r="BJ48" s="1709" t="str">
        <f t="shared" si="37"/>
        <v/>
      </c>
      <c r="BK48" s="69"/>
      <c r="BL48" s="1706">
        <f t="shared" si="38"/>
        <v>30</v>
      </c>
      <c r="BM48" s="69"/>
      <c r="BN48" s="1706" t="str">
        <f t="shared" si="39"/>
        <v/>
      </c>
      <c r="BO48" s="69"/>
      <c r="BP48" s="1706">
        <f t="shared" si="40"/>
        <v>30</v>
      </c>
      <c r="BQ48" s="69"/>
      <c r="BR48" s="1824"/>
    </row>
    <row r="49" ht="17.25" customHeight="1">
      <c r="A49" s="1698" t="str">
        <f t="shared" si="7"/>
        <v>Да</v>
      </c>
      <c r="B49" s="1816">
        <v>4267.0</v>
      </c>
      <c r="C49" s="1567">
        <v>208.0</v>
      </c>
      <c r="D49" s="1817"/>
      <c r="E49" s="1569" t="str">
        <f t="shared" si="8"/>
        <v>Биточек ''Столичный'' (филе кур) с макаронами</v>
      </c>
      <c r="F49" s="1705">
        <f t="shared" si="9"/>
        <v>9</v>
      </c>
      <c r="G49" s="69"/>
      <c r="H49" s="1705">
        <f t="shared" si="10"/>
        <v>3</v>
      </c>
      <c r="I49" s="69"/>
      <c r="J49" s="1705">
        <f t="shared" si="11"/>
        <v>5</v>
      </c>
      <c r="K49" s="69"/>
      <c r="L49" s="1705">
        <f t="shared" si="12"/>
        <v>2</v>
      </c>
      <c r="M49" s="69"/>
      <c r="N49" s="1705">
        <f t="shared" si="13"/>
        <v>3</v>
      </c>
      <c r="O49" s="69"/>
      <c r="P49" s="1705">
        <f t="shared" si="14"/>
        <v>4</v>
      </c>
      <c r="Q49" s="69"/>
      <c r="R49" s="1705">
        <f t="shared" si="15"/>
        <v>0</v>
      </c>
      <c r="S49" s="69"/>
      <c r="T49" s="1705">
        <f t="shared" si="16"/>
        <v>3</v>
      </c>
      <c r="U49" s="69"/>
      <c r="V49" s="1705">
        <f t="shared" si="17"/>
        <v>2</v>
      </c>
      <c r="W49" s="69"/>
      <c r="X49" s="1705">
        <f t="shared" si="18"/>
        <v>2</v>
      </c>
      <c r="Y49" s="69"/>
      <c r="Z49" s="1705" t="str">
        <f t="shared" si="19"/>
        <v/>
      </c>
      <c r="AA49" s="69"/>
      <c r="AB49" s="1705">
        <f t="shared" si="20"/>
        <v>0</v>
      </c>
      <c r="AC49" s="69"/>
      <c r="AD49" s="1709">
        <f t="shared" si="21"/>
        <v>0</v>
      </c>
      <c r="AE49" s="69"/>
      <c r="AF49" s="1709">
        <f t="shared" si="22"/>
        <v>3</v>
      </c>
      <c r="AG49" s="69"/>
      <c r="AH49" s="1709">
        <f t="shared" si="23"/>
        <v>0</v>
      </c>
      <c r="AI49" s="69"/>
      <c r="AJ49" s="1709">
        <f t="shared" si="24"/>
        <v>1</v>
      </c>
      <c r="AK49" s="69"/>
      <c r="AL49" s="1709">
        <f t="shared" si="25"/>
        <v>0</v>
      </c>
      <c r="AM49" s="69"/>
      <c r="AN49" s="1709" t="str">
        <f t="shared" si="26"/>
        <v/>
      </c>
      <c r="AO49" s="69"/>
      <c r="AP49" s="1709">
        <f t="shared" si="27"/>
        <v>0</v>
      </c>
      <c r="AQ49" s="69"/>
      <c r="AR49" s="1709">
        <f t="shared" si="28"/>
        <v>2</v>
      </c>
      <c r="AS49" s="69"/>
      <c r="AT49" s="1709" t="str">
        <f t="shared" si="29"/>
        <v/>
      </c>
      <c r="AU49" s="69"/>
      <c r="AV49" s="1709">
        <f t="shared" si="30"/>
        <v>2</v>
      </c>
      <c r="AW49" s="69"/>
      <c r="AX49" s="1709">
        <f t="shared" si="31"/>
        <v>1</v>
      </c>
      <c r="AY49" s="69"/>
      <c r="AZ49" s="1709">
        <f t="shared" si="32"/>
        <v>1</v>
      </c>
      <c r="BA49" s="69"/>
      <c r="BB49" s="1706">
        <f t="shared" si="33"/>
        <v>2</v>
      </c>
      <c r="BC49" s="69"/>
      <c r="BD49" s="1706" t="str">
        <f t="shared" si="34"/>
        <v/>
      </c>
      <c r="BE49" s="69"/>
      <c r="BF49" s="1706">
        <f t="shared" si="35"/>
        <v>1</v>
      </c>
      <c r="BG49" s="69"/>
      <c r="BH49" s="1706" t="str">
        <f t="shared" si="36"/>
        <v/>
      </c>
      <c r="BI49" s="69"/>
      <c r="BJ49" s="1709">
        <f t="shared" si="37"/>
        <v>4</v>
      </c>
      <c r="BK49" s="69"/>
      <c r="BL49" s="1706" t="str">
        <f t="shared" si="38"/>
        <v/>
      </c>
      <c r="BM49" s="69"/>
      <c r="BN49" s="1706" t="str">
        <f t="shared" si="39"/>
        <v/>
      </c>
      <c r="BO49" s="69"/>
      <c r="BP49" s="1706">
        <f t="shared" si="40"/>
        <v>50</v>
      </c>
      <c r="BQ49" s="69"/>
      <c r="BR49" s="1846"/>
    </row>
    <row r="50" ht="17.25" customHeight="1">
      <c r="A50" s="1698" t="str">
        <f t="shared" si="7"/>
        <v>Да</v>
      </c>
      <c r="B50" s="1816">
        <v>4324.0</v>
      </c>
      <c r="C50" s="1567">
        <v>208.0</v>
      </c>
      <c r="D50" s="1817"/>
      <c r="E50" s="1702" t="str">
        <f t="shared" si="8"/>
        <v>Спагетти в сливочном соусе с грибами</v>
      </c>
      <c r="F50" s="1703">
        <f t="shared" si="9"/>
        <v>12</v>
      </c>
      <c r="G50" s="69"/>
      <c r="H50" s="1725">
        <f t="shared" si="10"/>
        <v>4</v>
      </c>
      <c r="I50" s="69"/>
      <c r="J50" s="1703">
        <f t="shared" si="11"/>
        <v>6</v>
      </c>
      <c r="K50" s="69"/>
      <c r="L50" s="1703">
        <f t="shared" si="12"/>
        <v>7</v>
      </c>
      <c r="M50" s="69"/>
      <c r="N50" s="1703">
        <f t="shared" si="13"/>
        <v>8</v>
      </c>
      <c r="O50" s="69"/>
      <c r="P50" s="1725">
        <f t="shared" si="14"/>
        <v>7</v>
      </c>
      <c r="Q50" s="69"/>
      <c r="R50" s="1703">
        <f t="shared" si="15"/>
        <v>4</v>
      </c>
      <c r="S50" s="69"/>
      <c r="T50" s="1703">
        <f t="shared" si="16"/>
        <v>5</v>
      </c>
      <c r="U50" s="69"/>
      <c r="V50" s="1703">
        <f t="shared" si="17"/>
        <v>5</v>
      </c>
      <c r="W50" s="69"/>
      <c r="X50" s="1703">
        <f t="shared" si="18"/>
        <v>6</v>
      </c>
      <c r="Y50" s="69"/>
      <c r="Z50" s="1703" t="str">
        <f t="shared" si="19"/>
        <v/>
      </c>
      <c r="AA50" s="69"/>
      <c r="AB50" s="1703">
        <f t="shared" si="20"/>
        <v>4</v>
      </c>
      <c r="AC50" s="69"/>
      <c r="AD50" s="1706">
        <f t="shared" si="21"/>
        <v>4</v>
      </c>
      <c r="AE50" s="69"/>
      <c r="AF50" s="1706">
        <f t="shared" si="22"/>
        <v>2</v>
      </c>
      <c r="AG50" s="69"/>
      <c r="AH50" s="1706">
        <f t="shared" si="23"/>
        <v>4</v>
      </c>
      <c r="AI50" s="69"/>
      <c r="AJ50" s="1706">
        <f t="shared" si="24"/>
        <v>6</v>
      </c>
      <c r="AK50" s="69"/>
      <c r="AL50" s="1706">
        <f t="shared" si="25"/>
        <v>2</v>
      </c>
      <c r="AM50" s="69"/>
      <c r="AN50" s="1706" t="str">
        <f t="shared" si="26"/>
        <v/>
      </c>
      <c r="AO50" s="69"/>
      <c r="AP50" s="1706">
        <f t="shared" si="27"/>
        <v>3</v>
      </c>
      <c r="AQ50" s="69"/>
      <c r="AR50" s="1706">
        <f t="shared" si="28"/>
        <v>6</v>
      </c>
      <c r="AS50" s="69"/>
      <c r="AT50" s="1706">
        <f t="shared" si="29"/>
        <v>2</v>
      </c>
      <c r="AU50" s="69"/>
      <c r="AV50" s="1706">
        <f t="shared" si="30"/>
        <v>4</v>
      </c>
      <c r="AW50" s="69"/>
      <c r="AX50" s="1709">
        <f t="shared" si="31"/>
        <v>3</v>
      </c>
      <c r="AY50" s="69"/>
      <c r="AZ50" s="1709">
        <f t="shared" si="32"/>
        <v>3</v>
      </c>
      <c r="BA50" s="69"/>
      <c r="BB50" s="1706">
        <f t="shared" si="33"/>
        <v>2</v>
      </c>
      <c r="BC50" s="69"/>
      <c r="BD50" s="1706">
        <f t="shared" si="34"/>
        <v>5</v>
      </c>
      <c r="BE50" s="69"/>
      <c r="BF50" s="1706">
        <f t="shared" si="35"/>
        <v>8</v>
      </c>
      <c r="BG50" s="69"/>
      <c r="BH50" s="1706">
        <f t="shared" si="36"/>
        <v>3</v>
      </c>
      <c r="BI50" s="69"/>
      <c r="BJ50" s="1709">
        <f t="shared" si="37"/>
        <v>6</v>
      </c>
      <c r="BK50" s="69"/>
      <c r="BL50" s="1706" t="str">
        <f t="shared" si="38"/>
        <v/>
      </c>
      <c r="BM50" s="69"/>
      <c r="BN50" s="1706" t="str">
        <f t="shared" si="39"/>
        <v/>
      </c>
      <c r="BO50" s="69"/>
      <c r="BP50" s="1706">
        <f t="shared" si="40"/>
        <v>131</v>
      </c>
      <c r="BQ50" s="69"/>
      <c r="BR50" s="1824"/>
    </row>
    <row r="51" ht="17.25" customHeight="1">
      <c r="A51" s="1698" t="str">
        <f t="shared" si="7"/>
        <v>Да</v>
      </c>
      <c r="B51" s="1816">
        <v>3239.0</v>
      </c>
      <c r="C51" s="1567">
        <v>215.0</v>
      </c>
      <c r="D51" s="1817"/>
      <c r="E51" s="1702" t="str">
        <f t="shared" si="8"/>
        <v>Минтай под овощами с рисом Радуга</v>
      </c>
      <c r="F51" s="1703">
        <f t="shared" si="9"/>
        <v>3</v>
      </c>
      <c r="G51" s="69"/>
      <c r="H51" s="1703">
        <f t="shared" si="10"/>
        <v>0</v>
      </c>
      <c r="I51" s="69"/>
      <c r="J51" s="1703">
        <f t="shared" si="11"/>
        <v>6</v>
      </c>
      <c r="K51" s="69"/>
      <c r="L51" s="1703" t="str">
        <f t="shared" si="12"/>
        <v/>
      </c>
      <c r="M51" s="69"/>
      <c r="N51" s="1703">
        <f t="shared" si="13"/>
        <v>6</v>
      </c>
      <c r="O51" s="69"/>
      <c r="P51" s="1725">
        <f t="shared" si="14"/>
        <v>2</v>
      </c>
      <c r="Q51" s="69"/>
      <c r="R51" s="1703">
        <f t="shared" si="15"/>
        <v>0</v>
      </c>
      <c r="S51" s="69"/>
      <c r="T51" s="1703">
        <f t="shared" si="16"/>
        <v>3</v>
      </c>
      <c r="U51" s="69"/>
      <c r="V51" s="1703">
        <f t="shared" si="17"/>
        <v>4</v>
      </c>
      <c r="W51" s="69"/>
      <c r="X51" s="1703">
        <f t="shared" si="18"/>
        <v>3</v>
      </c>
      <c r="Y51" s="69"/>
      <c r="Z51" s="1703" t="str">
        <f t="shared" si="19"/>
        <v/>
      </c>
      <c r="AA51" s="69"/>
      <c r="AB51" s="1703">
        <f t="shared" si="20"/>
        <v>2</v>
      </c>
      <c r="AC51" s="69"/>
      <c r="AD51" s="1706">
        <f t="shared" si="21"/>
        <v>3</v>
      </c>
      <c r="AE51" s="69"/>
      <c r="AF51" s="1706">
        <f t="shared" si="22"/>
        <v>2</v>
      </c>
      <c r="AG51" s="69"/>
      <c r="AH51" s="1706">
        <f t="shared" si="23"/>
        <v>3</v>
      </c>
      <c r="AI51" s="69"/>
      <c r="AJ51" s="1706">
        <f t="shared" si="24"/>
        <v>0</v>
      </c>
      <c r="AK51" s="69"/>
      <c r="AL51" s="1706">
        <f t="shared" si="25"/>
        <v>3</v>
      </c>
      <c r="AM51" s="69"/>
      <c r="AN51" s="1706" t="str">
        <f t="shared" si="26"/>
        <v/>
      </c>
      <c r="AO51" s="69"/>
      <c r="AP51" s="1706">
        <f t="shared" si="27"/>
        <v>2</v>
      </c>
      <c r="AQ51" s="69"/>
      <c r="AR51" s="1706">
        <f t="shared" si="28"/>
        <v>5</v>
      </c>
      <c r="AS51" s="69"/>
      <c r="AT51" s="1706">
        <f t="shared" si="29"/>
        <v>4</v>
      </c>
      <c r="AU51" s="69"/>
      <c r="AV51" s="1706">
        <f t="shared" si="30"/>
        <v>0</v>
      </c>
      <c r="AW51" s="69"/>
      <c r="AX51" s="1709">
        <f t="shared" si="31"/>
        <v>3</v>
      </c>
      <c r="AY51" s="69"/>
      <c r="AZ51" s="1709">
        <f t="shared" si="32"/>
        <v>0</v>
      </c>
      <c r="BA51" s="69"/>
      <c r="BB51" s="1706">
        <f t="shared" si="33"/>
        <v>2</v>
      </c>
      <c r="BC51" s="69"/>
      <c r="BD51" s="1706">
        <f t="shared" si="34"/>
        <v>2</v>
      </c>
      <c r="BE51" s="69"/>
      <c r="BF51" s="1706">
        <f t="shared" si="35"/>
        <v>3</v>
      </c>
      <c r="BG51" s="69"/>
      <c r="BH51" s="1706">
        <f t="shared" si="36"/>
        <v>1</v>
      </c>
      <c r="BI51" s="69"/>
      <c r="BJ51" s="1709">
        <f t="shared" si="37"/>
        <v>4</v>
      </c>
      <c r="BK51" s="69"/>
      <c r="BL51" s="1706" t="str">
        <f t="shared" si="38"/>
        <v/>
      </c>
      <c r="BM51" s="69"/>
      <c r="BN51" s="1706" t="str">
        <f t="shared" si="39"/>
        <v/>
      </c>
      <c r="BO51" s="69"/>
      <c r="BP51" s="1706">
        <f t="shared" si="40"/>
        <v>66</v>
      </c>
      <c r="BQ51" s="69"/>
      <c r="BR51" s="1824"/>
    </row>
    <row r="52" ht="17.25" customHeight="1">
      <c r="A52" s="1698" t="str">
        <f t="shared" si="7"/>
        <v>Да</v>
      </c>
      <c r="B52" s="1816">
        <v>3518.0</v>
      </c>
      <c r="C52" s="1567">
        <v>85.0</v>
      </c>
      <c r="D52" s="1817"/>
      <c r="E52" s="1702" t="str">
        <f t="shared" si="8"/>
        <v>Слойка ''Нежная'' с сыром 100 г</v>
      </c>
      <c r="F52" s="1703" t="str">
        <f t="shared" si="9"/>
        <v/>
      </c>
      <c r="G52" s="69"/>
      <c r="H52" s="1703" t="str">
        <f t="shared" si="10"/>
        <v/>
      </c>
      <c r="I52" s="69"/>
      <c r="J52" s="1703" t="str">
        <f t="shared" si="11"/>
        <v/>
      </c>
      <c r="K52" s="69"/>
      <c r="L52" s="1703" t="str">
        <f t="shared" si="12"/>
        <v/>
      </c>
      <c r="M52" s="69"/>
      <c r="N52" s="1703" t="str">
        <f t="shared" si="13"/>
        <v/>
      </c>
      <c r="O52" s="69"/>
      <c r="P52" s="1703" t="str">
        <f t="shared" si="14"/>
        <v/>
      </c>
      <c r="Q52" s="69"/>
      <c r="R52" s="1703" t="str">
        <f t="shared" si="15"/>
        <v/>
      </c>
      <c r="S52" s="69"/>
      <c r="T52" s="1703" t="str">
        <f t="shared" si="16"/>
        <v/>
      </c>
      <c r="U52" s="69"/>
      <c r="V52" s="1703" t="str">
        <f t="shared" si="17"/>
        <v/>
      </c>
      <c r="W52" s="69"/>
      <c r="X52" s="1703" t="str">
        <f t="shared" si="18"/>
        <v/>
      </c>
      <c r="Y52" s="69"/>
      <c r="Z52" s="1703" t="str">
        <f t="shared" si="19"/>
        <v/>
      </c>
      <c r="AA52" s="69"/>
      <c r="AB52" s="1703" t="str">
        <f t="shared" si="20"/>
        <v/>
      </c>
      <c r="AC52" s="69"/>
      <c r="AD52" s="1706" t="str">
        <f t="shared" si="21"/>
        <v/>
      </c>
      <c r="AE52" s="69"/>
      <c r="AF52" s="1706" t="str">
        <f t="shared" si="22"/>
        <v/>
      </c>
      <c r="AG52" s="69"/>
      <c r="AH52" s="1706" t="str">
        <f t="shared" si="23"/>
        <v/>
      </c>
      <c r="AI52" s="69"/>
      <c r="AJ52" s="1706" t="str">
        <f t="shared" si="24"/>
        <v/>
      </c>
      <c r="AK52" s="69"/>
      <c r="AL52" s="1706" t="str">
        <f t="shared" si="25"/>
        <v/>
      </c>
      <c r="AM52" s="69"/>
      <c r="AN52" s="1706" t="str">
        <f t="shared" si="26"/>
        <v/>
      </c>
      <c r="AO52" s="69"/>
      <c r="AP52" s="1706" t="str">
        <f t="shared" si="27"/>
        <v/>
      </c>
      <c r="AQ52" s="69"/>
      <c r="AR52" s="1706" t="str">
        <f t="shared" si="28"/>
        <v/>
      </c>
      <c r="AS52" s="69"/>
      <c r="AT52" s="1706" t="str">
        <f t="shared" si="29"/>
        <v/>
      </c>
      <c r="AU52" s="69"/>
      <c r="AV52" s="1706" t="str">
        <f t="shared" si="30"/>
        <v/>
      </c>
      <c r="AW52" s="69"/>
      <c r="AX52" s="1709" t="str">
        <f t="shared" si="31"/>
        <v/>
      </c>
      <c r="AY52" s="69"/>
      <c r="AZ52" s="1709" t="str">
        <f t="shared" si="32"/>
        <v/>
      </c>
      <c r="BA52" s="69"/>
      <c r="BB52" s="1706" t="str">
        <f t="shared" si="33"/>
        <v/>
      </c>
      <c r="BC52" s="69"/>
      <c r="BD52" s="1706" t="str">
        <f t="shared" si="34"/>
        <v/>
      </c>
      <c r="BE52" s="69"/>
      <c r="BF52" s="1706" t="str">
        <f t="shared" si="35"/>
        <v/>
      </c>
      <c r="BG52" s="69"/>
      <c r="BH52" s="1706" t="str">
        <f t="shared" si="36"/>
        <v/>
      </c>
      <c r="BI52" s="69"/>
      <c r="BJ52" s="1709" t="str">
        <f t="shared" si="37"/>
        <v/>
      </c>
      <c r="BK52" s="69"/>
      <c r="BL52" s="1706">
        <f t="shared" si="38"/>
        <v>10</v>
      </c>
      <c r="BM52" s="69"/>
      <c r="BN52" s="1706" t="str">
        <f t="shared" si="39"/>
        <v/>
      </c>
      <c r="BO52" s="69"/>
      <c r="BP52" s="1706">
        <f t="shared" si="40"/>
        <v>10</v>
      </c>
      <c r="BQ52" s="69"/>
      <c r="BR52" s="1824"/>
    </row>
    <row r="53" ht="17.25" customHeight="1">
      <c r="A53" s="1698" t="str">
        <f t="shared" si="7"/>
        <v>Да</v>
      </c>
      <c r="B53" s="1816">
        <v>5.0</v>
      </c>
      <c r="C53" s="1567">
        <v>155.0</v>
      </c>
      <c r="D53" s="1817"/>
      <c r="E53" s="1702" t="str">
        <f t="shared" si="8"/>
        <v>Сэндвич с ветчиной и сыром</v>
      </c>
      <c r="F53" s="1703">
        <f t="shared" si="9"/>
        <v>10</v>
      </c>
      <c r="G53" s="69"/>
      <c r="H53" s="1703">
        <f t="shared" si="10"/>
        <v>3</v>
      </c>
      <c r="I53" s="69"/>
      <c r="J53" s="1703">
        <f t="shared" si="11"/>
        <v>7</v>
      </c>
      <c r="K53" s="69"/>
      <c r="L53" s="1703">
        <f t="shared" si="12"/>
        <v>2</v>
      </c>
      <c r="M53" s="69"/>
      <c r="N53" s="1703">
        <f t="shared" si="13"/>
        <v>8</v>
      </c>
      <c r="O53" s="69"/>
      <c r="P53" s="1703">
        <f t="shared" si="14"/>
        <v>10</v>
      </c>
      <c r="Q53" s="69"/>
      <c r="R53" s="1703">
        <f t="shared" si="15"/>
        <v>4</v>
      </c>
      <c r="S53" s="69"/>
      <c r="T53" s="1703">
        <f t="shared" si="16"/>
        <v>4</v>
      </c>
      <c r="U53" s="69"/>
      <c r="V53" s="1703">
        <f t="shared" si="17"/>
        <v>5</v>
      </c>
      <c r="W53" s="69"/>
      <c r="X53" s="1703">
        <f t="shared" si="18"/>
        <v>8</v>
      </c>
      <c r="Y53" s="69"/>
      <c r="Z53" s="1703" t="str">
        <f t="shared" si="19"/>
        <v/>
      </c>
      <c r="AA53" s="69"/>
      <c r="AB53" s="1703">
        <f t="shared" si="20"/>
        <v>5</v>
      </c>
      <c r="AC53" s="69"/>
      <c r="AD53" s="1706">
        <f t="shared" si="21"/>
        <v>4</v>
      </c>
      <c r="AE53" s="69"/>
      <c r="AF53" s="1706">
        <f t="shared" si="22"/>
        <v>9</v>
      </c>
      <c r="AG53" s="69"/>
      <c r="AH53" s="1706">
        <f t="shared" si="23"/>
        <v>4</v>
      </c>
      <c r="AI53" s="69"/>
      <c r="AJ53" s="1706">
        <f t="shared" si="24"/>
        <v>4</v>
      </c>
      <c r="AK53" s="69"/>
      <c r="AL53" s="1706">
        <f t="shared" si="25"/>
        <v>6</v>
      </c>
      <c r="AM53" s="69"/>
      <c r="AN53" s="1706" t="str">
        <f t="shared" si="26"/>
        <v/>
      </c>
      <c r="AO53" s="69"/>
      <c r="AP53" s="1706">
        <f t="shared" si="27"/>
        <v>6</v>
      </c>
      <c r="AQ53" s="69"/>
      <c r="AR53" s="1706">
        <f t="shared" si="28"/>
        <v>12</v>
      </c>
      <c r="AS53" s="69"/>
      <c r="AT53" s="1706">
        <f t="shared" si="29"/>
        <v>5</v>
      </c>
      <c r="AU53" s="69"/>
      <c r="AV53" s="1706">
        <f t="shared" si="30"/>
        <v>3</v>
      </c>
      <c r="AW53" s="69"/>
      <c r="AX53" s="1709">
        <f t="shared" si="31"/>
        <v>6</v>
      </c>
      <c r="AY53" s="69"/>
      <c r="AZ53" s="1709">
        <f t="shared" si="32"/>
        <v>2</v>
      </c>
      <c r="BA53" s="69"/>
      <c r="BB53" s="1706">
        <f t="shared" si="33"/>
        <v>7</v>
      </c>
      <c r="BC53" s="69"/>
      <c r="BD53" s="1706">
        <f t="shared" si="34"/>
        <v>3</v>
      </c>
      <c r="BE53" s="69"/>
      <c r="BF53" s="1706">
        <f t="shared" si="35"/>
        <v>9</v>
      </c>
      <c r="BG53" s="69"/>
      <c r="BH53" s="1706">
        <f t="shared" si="36"/>
        <v>4</v>
      </c>
      <c r="BI53" s="69"/>
      <c r="BJ53" s="1709">
        <f t="shared" si="37"/>
        <v>3</v>
      </c>
      <c r="BK53" s="69"/>
      <c r="BL53" s="1706" t="str">
        <f t="shared" si="38"/>
        <v/>
      </c>
      <c r="BM53" s="69"/>
      <c r="BN53" s="1706" t="str">
        <f t="shared" si="39"/>
        <v/>
      </c>
      <c r="BO53" s="69"/>
      <c r="BP53" s="1706">
        <f t="shared" si="40"/>
        <v>153</v>
      </c>
      <c r="BQ53" s="69"/>
      <c r="BR53" s="1824"/>
    </row>
    <row r="54" ht="17.25" customHeight="1">
      <c r="A54" s="1698" t="str">
        <f t="shared" si="7"/>
        <v>Да</v>
      </c>
      <c r="B54" s="1816">
        <v>33.0</v>
      </c>
      <c r="C54" s="1567">
        <v>155.0</v>
      </c>
      <c r="D54" s="1817"/>
      <c r="E54" s="1702" t="str">
        <f t="shared" si="8"/>
        <v>Сэндвич с копчёной курицей и сыром</v>
      </c>
      <c r="F54" s="1703">
        <f t="shared" si="9"/>
        <v>9</v>
      </c>
      <c r="G54" s="69"/>
      <c r="H54" s="1703">
        <f t="shared" si="10"/>
        <v>3</v>
      </c>
      <c r="I54" s="69"/>
      <c r="J54" s="1703">
        <f t="shared" si="11"/>
        <v>7</v>
      </c>
      <c r="K54" s="69"/>
      <c r="L54" s="1703">
        <f t="shared" si="12"/>
        <v>5</v>
      </c>
      <c r="M54" s="69"/>
      <c r="N54" s="1703">
        <f t="shared" si="13"/>
        <v>4</v>
      </c>
      <c r="O54" s="69"/>
      <c r="P54" s="1703">
        <f t="shared" si="14"/>
        <v>4</v>
      </c>
      <c r="Q54" s="69"/>
      <c r="R54" s="1703">
        <f t="shared" si="15"/>
        <v>3</v>
      </c>
      <c r="S54" s="69"/>
      <c r="T54" s="1703">
        <f t="shared" si="16"/>
        <v>3</v>
      </c>
      <c r="U54" s="69"/>
      <c r="V54" s="1703">
        <f t="shared" si="17"/>
        <v>2</v>
      </c>
      <c r="W54" s="69"/>
      <c r="X54" s="1703">
        <f t="shared" si="18"/>
        <v>3</v>
      </c>
      <c r="Y54" s="69"/>
      <c r="Z54" s="1703" t="str">
        <f t="shared" si="19"/>
        <v/>
      </c>
      <c r="AA54" s="69"/>
      <c r="AB54" s="1703">
        <f t="shared" si="20"/>
        <v>3</v>
      </c>
      <c r="AC54" s="69"/>
      <c r="AD54" s="1706">
        <f t="shared" si="21"/>
        <v>2</v>
      </c>
      <c r="AE54" s="69"/>
      <c r="AF54" s="1706">
        <f t="shared" si="22"/>
        <v>3</v>
      </c>
      <c r="AG54" s="69"/>
      <c r="AH54" s="1706">
        <f t="shared" si="23"/>
        <v>4</v>
      </c>
      <c r="AI54" s="69"/>
      <c r="AJ54" s="1706">
        <f t="shared" si="24"/>
        <v>4</v>
      </c>
      <c r="AK54" s="69"/>
      <c r="AL54" s="1706">
        <f t="shared" si="25"/>
        <v>3</v>
      </c>
      <c r="AM54" s="69"/>
      <c r="AN54" s="1706" t="str">
        <f t="shared" si="26"/>
        <v/>
      </c>
      <c r="AO54" s="69"/>
      <c r="AP54" s="1706">
        <f t="shared" si="27"/>
        <v>4</v>
      </c>
      <c r="AQ54" s="69"/>
      <c r="AR54" s="1706">
        <f t="shared" si="28"/>
        <v>3</v>
      </c>
      <c r="AS54" s="69"/>
      <c r="AT54" s="1706">
        <f t="shared" si="29"/>
        <v>3</v>
      </c>
      <c r="AU54" s="69"/>
      <c r="AV54" s="1706">
        <f t="shared" si="30"/>
        <v>3</v>
      </c>
      <c r="AW54" s="69"/>
      <c r="AX54" s="1709">
        <f t="shared" si="31"/>
        <v>2</v>
      </c>
      <c r="AY54" s="69"/>
      <c r="AZ54" s="1709">
        <f t="shared" si="32"/>
        <v>2</v>
      </c>
      <c r="BA54" s="69"/>
      <c r="BB54" s="1706">
        <f t="shared" si="33"/>
        <v>7</v>
      </c>
      <c r="BC54" s="69"/>
      <c r="BD54" s="1706">
        <f t="shared" si="34"/>
        <v>1</v>
      </c>
      <c r="BE54" s="69"/>
      <c r="BF54" s="1706">
        <f t="shared" si="35"/>
        <v>3</v>
      </c>
      <c r="BG54" s="69"/>
      <c r="BH54" s="1706">
        <f t="shared" si="36"/>
        <v>3</v>
      </c>
      <c r="BI54" s="69"/>
      <c r="BJ54" s="1709">
        <f t="shared" si="37"/>
        <v>2</v>
      </c>
      <c r="BK54" s="69"/>
      <c r="BL54" s="1706" t="str">
        <f t="shared" si="38"/>
        <v/>
      </c>
      <c r="BM54" s="69"/>
      <c r="BN54" s="1706" t="str">
        <f t="shared" si="39"/>
        <v/>
      </c>
      <c r="BO54" s="69"/>
      <c r="BP54" s="1706">
        <f t="shared" si="40"/>
        <v>95</v>
      </c>
      <c r="BQ54" s="69"/>
      <c r="BR54" s="1824"/>
    </row>
    <row r="55" ht="17.25" customHeight="1">
      <c r="A55" s="1698" t="str">
        <f t="shared" si="7"/>
        <v>Да</v>
      </c>
      <c r="B55" s="1816">
        <v>2079.0</v>
      </c>
      <c r="C55" s="1567">
        <v>105.0</v>
      </c>
      <c r="D55" s="1817"/>
      <c r="E55" s="1702" t="str">
        <f t="shared" si="8"/>
        <v>Вафельная трубочка с вареной сгущенкой</v>
      </c>
      <c r="F55" s="1703">
        <f t="shared" si="9"/>
        <v>36</v>
      </c>
      <c r="G55" s="69"/>
      <c r="H55" s="1703">
        <f t="shared" si="10"/>
        <v>4</v>
      </c>
      <c r="I55" s="69"/>
      <c r="J55" s="1703">
        <f t="shared" si="11"/>
        <v>3</v>
      </c>
      <c r="K55" s="69"/>
      <c r="L55" s="1703">
        <f t="shared" si="12"/>
        <v>8</v>
      </c>
      <c r="M55" s="69"/>
      <c r="N55" s="1703">
        <f t="shared" si="13"/>
        <v>8</v>
      </c>
      <c r="O55" s="69"/>
      <c r="P55" s="1703">
        <f t="shared" si="14"/>
        <v>6</v>
      </c>
      <c r="Q55" s="69"/>
      <c r="R55" s="1703">
        <f t="shared" si="15"/>
        <v>7</v>
      </c>
      <c r="S55" s="69"/>
      <c r="T55" s="1703">
        <f t="shared" si="16"/>
        <v>7</v>
      </c>
      <c r="U55" s="69"/>
      <c r="V55" s="1703">
        <f t="shared" si="17"/>
        <v>17</v>
      </c>
      <c r="W55" s="69"/>
      <c r="X55" s="1703">
        <f t="shared" si="18"/>
        <v>10</v>
      </c>
      <c r="Y55" s="69"/>
      <c r="Z55" s="1703" t="str">
        <f t="shared" si="19"/>
        <v/>
      </c>
      <c r="AA55" s="69"/>
      <c r="AB55" s="1703">
        <f t="shared" si="20"/>
        <v>9</v>
      </c>
      <c r="AC55" s="69"/>
      <c r="AD55" s="1706">
        <f t="shared" si="21"/>
        <v>17</v>
      </c>
      <c r="AE55" s="69"/>
      <c r="AF55" s="1706">
        <f t="shared" si="22"/>
        <v>22</v>
      </c>
      <c r="AG55" s="69"/>
      <c r="AH55" s="1706">
        <f t="shared" si="23"/>
        <v>9</v>
      </c>
      <c r="AI55" s="69"/>
      <c r="AJ55" s="1706">
        <f t="shared" si="24"/>
        <v>9</v>
      </c>
      <c r="AK55" s="69"/>
      <c r="AL55" s="1706">
        <f t="shared" si="25"/>
        <v>4</v>
      </c>
      <c r="AM55" s="69"/>
      <c r="AN55" s="1706" t="str">
        <f t="shared" si="26"/>
        <v/>
      </c>
      <c r="AO55" s="69"/>
      <c r="AP55" s="1706">
        <f t="shared" si="27"/>
        <v>19</v>
      </c>
      <c r="AQ55" s="69"/>
      <c r="AR55" s="1706">
        <f t="shared" si="28"/>
        <v>5</v>
      </c>
      <c r="AS55" s="69"/>
      <c r="AT55" s="1706">
        <f t="shared" si="29"/>
        <v>8</v>
      </c>
      <c r="AU55" s="69"/>
      <c r="AV55" s="1706">
        <f t="shared" si="30"/>
        <v>7</v>
      </c>
      <c r="AW55" s="69"/>
      <c r="AX55" s="1709">
        <f t="shared" si="31"/>
        <v>9</v>
      </c>
      <c r="AY55" s="69"/>
      <c r="AZ55" s="1709">
        <f t="shared" si="32"/>
        <v>13</v>
      </c>
      <c r="BA55" s="69"/>
      <c r="BB55" s="1706">
        <f t="shared" si="33"/>
        <v>7</v>
      </c>
      <c r="BC55" s="69"/>
      <c r="BD55" s="1706">
        <f t="shared" si="34"/>
        <v>4</v>
      </c>
      <c r="BE55" s="69"/>
      <c r="BF55" s="1706">
        <f t="shared" si="35"/>
        <v>9</v>
      </c>
      <c r="BG55" s="69"/>
      <c r="BH55" s="1706">
        <f t="shared" si="36"/>
        <v>7</v>
      </c>
      <c r="BI55" s="69"/>
      <c r="BJ55" s="1709">
        <f t="shared" si="37"/>
        <v>6</v>
      </c>
      <c r="BK55" s="69"/>
      <c r="BL55" s="1706" t="str">
        <f t="shared" si="38"/>
        <v/>
      </c>
      <c r="BM55" s="69"/>
      <c r="BN55" s="1706" t="str">
        <f t="shared" si="39"/>
        <v/>
      </c>
      <c r="BO55" s="69"/>
      <c r="BP55" s="1706">
        <f t="shared" si="40"/>
        <v>270</v>
      </c>
      <c r="BQ55" s="69"/>
      <c r="BR55" s="1824"/>
    </row>
    <row r="56" ht="17.25" customHeight="1">
      <c r="A56" s="1698" t="str">
        <f t="shared" si="7"/>
        <v>Да</v>
      </c>
      <c r="B56" s="1816">
        <v>3999.0</v>
      </c>
      <c r="C56" s="1567">
        <v>98.0</v>
      </c>
      <c r="D56" s="1817"/>
      <c r="E56" s="1702" t="str">
        <f t="shared" si="8"/>
        <v>Морс ягодный 0,5 л</v>
      </c>
      <c r="F56" s="1703">
        <f t="shared" si="9"/>
        <v>17</v>
      </c>
      <c r="G56" s="69"/>
      <c r="H56" s="1703">
        <f t="shared" si="10"/>
        <v>5</v>
      </c>
      <c r="I56" s="69"/>
      <c r="J56" s="1703">
        <f t="shared" si="11"/>
        <v>17</v>
      </c>
      <c r="K56" s="69"/>
      <c r="L56" s="1703">
        <f t="shared" si="12"/>
        <v>10</v>
      </c>
      <c r="M56" s="69"/>
      <c r="N56" s="1703">
        <f t="shared" si="13"/>
        <v>0</v>
      </c>
      <c r="O56" s="69"/>
      <c r="P56" s="1703">
        <f t="shared" si="14"/>
        <v>15</v>
      </c>
      <c r="Q56" s="69"/>
      <c r="R56" s="1703">
        <f t="shared" si="15"/>
        <v>0</v>
      </c>
      <c r="S56" s="69"/>
      <c r="T56" s="1703">
        <f t="shared" si="16"/>
        <v>0</v>
      </c>
      <c r="U56" s="69"/>
      <c r="V56" s="1703">
        <f t="shared" si="17"/>
        <v>0</v>
      </c>
      <c r="W56" s="69"/>
      <c r="X56" s="1703">
        <f t="shared" si="18"/>
        <v>0</v>
      </c>
      <c r="Y56" s="69"/>
      <c r="Z56" s="1703" t="str">
        <f t="shared" si="19"/>
        <v/>
      </c>
      <c r="AA56" s="69"/>
      <c r="AB56" s="1703">
        <f t="shared" si="20"/>
        <v>0</v>
      </c>
      <c r="AC56" s="69"/>
      <c r="AD56" s="1706">
        <f t="shared" si="21"/>
        <v>0</v>
      </c>
      <c r="AE56" s="69"/>
      <c r="AF56" s="1706">
        <f t="shared" si="22"/>
        <v>13</v>
      </c>
      <c r="AG56" s="69"/>
      <c r="AH56" s="1706">
        <f t="shared" si="23"/>
        <v>0</v>
      </c>
      <c r="AI56" s="69"/>
      <c r="AJ56" s="1706">
        <f t="shared" si="24"/>
        <v>0</v>
      </c>
      <c r="AK56" s="69"/>
      <c r="AL56" s="1706">
        <f t="shared" si="25"/>
        <v>0</v>
      </c>
      <c r="AM56" s="69"/>
      <c r="AN56" s="1706" t="str">
        <f t="shared" si="26"/>
        <v/>
      </c>
      <c r="AO56" s="69"/>
      <c r="AP56" s="1706">
        <f t="shared" si="27"/>
        <v>0</v>
      </c>
      <c r="AQ56" s="69"/>
      <c r="AR56" s="1706">
        <f t="shared" si="28"/>
        <v>35</v>
      </c>
      <c r="AS56" s="69"/>
      <c r="AT56" s="1706">
        <f t="shared" si="29"/>
        <v>10</v>
      </c>
      <c r="AU56" s="69"/>
      <c r="AV56" s="1706">
        <f t="shared" si="30"/>
        <v>11</v>
      </c>
      <c r="AW56" s="69"/>
      <c r="AX56" s="1709">
        <f t="shared" si="31"/>
        <v>11</v>
      </c>
      <c r="AY56" s="69"/>
      <c r="AZ56" s="1709">
        <f t="shared" si="32"/>
        <v>0</v>
      </c>
      <c r="BA56" s="69"/>
      <c r="BB56" s="1706">
        <f t="shared" si="33"/>
        <v>20</v>
      </c>
      <c r="BC56" s="69"/>
      <c r="BD56" s="1706">
        <f t="shared" si="34"/>
        <v>15</v>
      </c>
      <c r="BE56" s="69"/>
      <c r="BF56" s="1706">
        <f t="shared" si="35"/>
        <v>25</v>
      </c>
      <c r="BG56" s="69"/>
      <c r="BH56" s="1706">
        <f t="shared" si="36"/>
        <v>16</v>
      </c>
      <c r="BI56" s="69"/>
      <c r="BJ56" s="1709">
        <f t="shared" si="37"/>
        <v>16</v>
      </c>
      <c r="BK56" s="69"/>
      <c r="BL56" s="1706" t="str">
        <f t="shared" si="38"/>
        <v/>
      </c>
      <c r="BM56" s="69"/>
      <c r="BN56" s="1706" t="str">
        <f t="shared" si="39"/>
        <v/>
      </c>
      <c r="BO56" s="69"/>
      <c r="BP56" s="1706">
        <f t="shared" si="40"/>
        <v>236</v>
      </c>
      <c r="BQ56" s="69"/>
      <c r="BR56" s="1824"/>
    </row>
    <row r="57" ht="17.25" customHeight="1">
      <c r="A57" s="1698" t="str">
        <f t="shared" si="7"/>
        <v>Да</v>
      </c>
      <c r="B57" s="1816">
        <v>3738.0</v>
      </c>
      <c r="C57" s="1567">
        <v>173.0</v>
      </c>
      <c r="D57" s="1817"/>
      <c r="E57" s="1702" t="str">
        <f t="shared" si="8"/>
        <v>Ролл сэндвич с крабом</v>
      </c>
      <c r="F57" s="1703">
        <f t="shared" si="9"/>
        <v>14</v>
      </c>
      <c r="G57" s="69"/>
      <c r="H57" s="1703">
        <f t="shared" si="10"/>
        <v>5</v>
      </c>
      <c r="I57" s="69"/>
      <c r="J57" s="1703" t="str">
        <f t="shared" si="11"/>
        <v/>
      </c>
      <c r="K57" s="69"/>
      <c r="L57" s="1703">
        <f t="shared" si="12"/>
        <v>2</v>
      </c>
      <c r="M57" s="69"/>
      <c r="N57" s="1703">
        <f t="shared" si="13"/>
        <v>5</v>
      </c>
      <c r="O57" s="69"/>
      <c r="P57" s="1703">
        <f t="shared" si="14"/>
        <v>2</v>
      </c>
      <c r="Q57" s="69"/>
      <c r="R57" s="1703" t="str">
        <f t="shared" si="15"/>
        <v/>
      </c>
      <c r="S57" s="69"/>
      <c r="T57" s="1703" t="str">
        <f t="shared" si="16"/>
        <v/>
      </c>
      <c r="U57" s="69"/>
      <c r="V57" s="1703">
        <f t="shared" si="17"/>
        <v>2</v>
      </c>
      <c r="W57" s="69"/>
      <c r="X57" s="1703">
        <f t="shared" si="18"/>
        <v>4</v>
      </c>
      <c r="Y57" s="69"/>
      <c r="Z57" s="1703" t="str">
        <f t="shared" si="19"/>
        <v/>
      </c>
      <c r="AA57" s="69"/>
      <c r="AB57" s="1703">
        <f t="shared" si="20"/>
        <v>2</v>
      </c>
      <c r="AC57" s="69"/>
      <c r="AD57" s="1706" t="str">
        <f t="shared" si="21"/>
        <v/>
      </c>
      <c r="AE57" s="69"/>
      <c r="AF57" s="1706">
        <f t="shared" si="22"/>
        <v>2</v>
      </c>
      <c r="AG57" s="69"/>
      <c r="AH57" s="1706">
        <f t="shared" si="23"/>
        <v>1</v>
      </c>
      <c r="AI57" s="69"/>
      <c r="AJ57" s="1706">
        <f t="shared" si="24"/>
        <v>3</v>
      </c>
      <c r="AK57" s="69"/>
      <c r="AL57" s="1706" t="str">
        <f t="shared" si="25"/>
        <v/>
      </c>
      <c r="AM57" s="69"/>
      <c r="AN57" s="1706" t="str">
        <f t="shared" si="26"/>
        <v/>
      </c>
      <c r="AO57" s="69"/>
      <c r="AP57" s="1706" t="str">
        <f t="shared" si="27"/>
        <v/>
      </c>
      <c r="AQ57" s="69"/>
      <c r="AR57" s="1706" t="str">
        <f t="shared" si="28"/>
        <v/>
      </c>
      <c r="AS57" s="69"/>
      <c r="AT57" s="1706" t="str">
        <f t="shared" si="29"/>
        <v/>
      </c>
      <c r="AU57" s="69"/>
      <c r="AV57" s="1706">
        <f t="shared" si="30"/>
        <v>5</v>
      </c>
      <c r="AW57" s="69"/>
      <c r="AX57" s="1709">
        <f t="shared" si="31"/>
        <v>5</v>
      </c>
      <c r="AY57" s="69"/>
      <c r="AZ57" s="1709" t="str">
        <f t="shared" si="32"/>
        <v/>
      </c>
      <c r="BA57" s="69"/>
      <c r="BB57" s="1706" t="str">
        <f t="shared" si="33"/>
        <v/>
      </c>
      <c r="BC57" s="69"/>
      <c r="BD57" s="1706" t="str">
        <f t="shared" si="34"/>
        <v/>
      </c>
      <c r="BE57" s="69"/>
      <c r="BF57" s="1706">
        <f t="shared" si="35"/>
        <v>5</v>
      </c>
      <c r="BG57" s="69"/>
      <c r="BH57" s="1706">
        <f t="shared" si="36"/>
        <v>3</v>
      </c>
      <c r="BI57" s="69"/>
      <c r="BJ57" s="1709">
        <f t="shared" si="37"/>
        <v>5</v>
      </c>
      <c r="BK57" s="69"/>
      <c r="BL57" s="1706" t="str">
        <f t="shared" si="38"/>
        <v/>
      </c>
      <c r="BM57" s="69"/>
      <c r="BN57" s="1706" t="str">
        <f t="shared" si="39"/>
        <v/>
      </c>
      <c r="BO57" s="69"/>
      <c r="BP57" s="1706">
        <f t="shared" si="40"/>
        <v>65</v>
      </c>
      <c r="BQ57" s="69"/>
      <c r="BR57" s="1824"/>
    </row>
    <row r="58" ht="17.25" customHeight="1">
      <c r="A58" s="1698" t="str">
        <f t="shared" si="7"/>
        <v/>
      </c>
      <c r="B58" s="1816"/>
      <c r="C58" s="1567"/>
      <c r="D58" s="1817"/>
      <c r="E58" s="1702" t="str">
        <f t="shared" si="8"/>
        <v/>
      </c>
      <c r="F58" s="1703" t="str">
        <f t="shared" si="9"/>
        <v/>
      </c>
      <c r="G58" s="69"/>
      <c r="H58" s="1703" t="str">
        <f t="shared" si="10"/>
        <v/>
      </c>
      <c r="I58" s="69"/>
      <c r="J58" s="1703" t="str">
        <f t="shared" si="11"/>
        <v/>
      </c>
      <c r="K58" s="69"/>
      <c r="L58" s="1703" t="str">
        <f t="shared" si="12"/>
        <v/>
      </c>
      <c r="M58" s="69"/>
      <c r="N58" s="1703" t="str">
        <f t="shared" si="13"/>
        <v/>
      </c>
      <c r="O58" s="69"/>
      <c r="P58" s="1703" t="str">
        <f t="shared" si="14"/>
        <v/>
      </c>
      <c r="Q58" s="69"/>
      <c r="R58" s="1703" t="str">
        <f t="shared" si="15"/>
        <v/>
      </c>
      <c r="S58" s="69"/>
      <c r="T58" s="1703" t="str">
        <f t="shared" si="16"/>
        <v/>
      </c>
      <c r="U58" s="69"/>
      <c r="V58" s="1703" t="str">
        <f t="shared" si="17"/>
        <v/>
      </c>
      <c r="W58" s="69"/>
      <c r="X58" s="1703" t="str">
        <f t="shared" si="18"/>
        <v/>
      </c>
      <c r="Y58" s="69"/>
      <c r="Z58" s="1703" t="str">
        <f t="shared" si="19"/>
        <v/>
      </c>
      <c r="AA58" s="69"/>
      <c r="AB58" s="1703" t="str">
        <f t="shared" si="20"/>
        <v/>
      </c>
      <c r="AC58" s="69"/>
      <c r="AD58" s="1703" t="str">
        <f t="shared" si="21"/>
        <v/>
      </c>
      <c r="AE58" s="69"/>
      <c r="AF58" s="1703" t="str">
        <f t="shared" si="22"/>
        <v/>
      </c>
      <c r="AG58" s="69"/>
      <c r="AH58" s="1703" t="str">
        <f t="shared" si="23"/>
        <v/>
      </c>
      <c r="AI58" s="69"/>
      <c r="AJ58" s="1703" t="str">
        <f t="shared" si="24"/>
        <v/>
      </c>
      <c r="AK58" s="69"/>
      <c r="AL58" s="1703" t="str">
        <f t="shared" si="25"/>
        <v/>
      </c>
      <c r="AM58" s="69"/>
      <c r="AN58" s="1703" t="str">
        <f t="shared" si="26"/>
        <v/>
      </c>
      <c r="AO58" s="69"/>
      <c r="AP58" s="1703" t="str">
        <f t="shared" si="27"/>
        <v/>
      </c>
      <c r="AQ58" s="69"/>
      <c r="AR58" s="1703" t="str">
        <f t="shared" si="28"/>
        <v/>
      </c>
      <c r="AS58" s="69"/>
      <c r="AT58" s="1703" t="str">
        <f t="shared" si="29"/>
        <v/>
      </c>
      <c r="AU58" s="69"/>
      <c r="AV58" s="1703" t="str">
        <f t="shared" si="30"/>
        <v/>
      </c>
      <c r="AW58" s="69"/>
      <c r="AX58" s="1703" t="str">
        <f t="shared" si="31"/>
        <v/>
      </c>
      <c r="AY58" s="69"/>
      <c r="AZ58" s="1703" t="str">
        <f t="shared" si="32"/>
        <v/>
      </c>
      <c r="BA58" s="69"/>
      <c r="BB58" s="1703" t="str">
        <f t="shared" si="33"/>
        <v/>
      </c>
      <c r="BC58" s="69"/>
      <c r="BD58" s="1703" t="str">
        <f t="shared" si="34"/>
        <v/>
      </c>
      <c r="BE58" s="69"/>
      <c r="BF58" s="1703" t="str">
        <f t="shared" si="35"/>
        <v/>
      </c>
      <c r="BG58" s="69"/>
      <c r="BH58" s="1703" t="str">
        <f t="shared" si="36"/>
        <v/>
      </c>
      <c r="BI58" s="69"/>
      <c r="BJ58" s="1703" t="str">
        <f t="shared" si="37"/>
        <v/>
      </c>
      <c r="BK58" s="69"/>
      <c r="BL58" s="1703" t="str">
        <f t="shared" si="38"/>
        <v/>
      </c>
      <c r="BM58" s="69"/>
      <c r="BN58" s="1706" t="str">
        <f t="shared" si="39"/>
        <v/>
      </c>
      <c r="BO58" s="69"/>
      <c r="BP58" s="1706">
        <f t="shared" si="40"/>
        <v>0</v>
      </c>
      <c r="BQ58" s="69"/>
      <c r="BR58" s="1824"/>
    </row>
    <row r="59" ht="17.25" customHeight="1">
      <c r="A59" s="1698" t="str">
        <f t="shared" si="7"/>
        <v>Да</v>
      </c>
      <c r="B59" s="1816">
        <v>822.0</v>
      </c>
      <c r="C59" s="1567">
        <v>5.0</v>
      </c>
      <c r="D59" s="1817"/>
      <c r="E59" s="1702" t="str">
        <f t="shared" si="8"/>
        <v>Хлеб пшеничный </v>
      </c>
      <c r="F59" s="1703">
        <f t="shared" si="9"/>
        <v>7</v>
      </c>
      <c r="G59" s="69"/>
      <c r="H59" s="1703">
        <f t="shared" si="10"/>
        <v>3</v>
      </c>
      <c r="I59" s="69"/>
      <c r="J59" s="1703">
        <f t="shared" si="11"/>
        <v>4</v>
      </c>
      <c r="K59" s="69"/>
      <c r="L59" s="1703">
        <f t="shared" si="12"/>
        <v>4</v>
      </c>
      <c r="M59" s="69"/>
      <c r="N59" s="1703">
        <f t="shared" si="13"/>
        <v>4</v>
      </c>
      <c r="O59" s="69"/>
      <c r="P59" s="1703">
        <f t="shared" si="14"/>
        <v>3</v>
      </c>
      <c r="Q59" s="69"/>
      <c r="R59" s="1703">
        <f t="shared" si="15"/>
        <v>3</v>
      </c>
      <c r="S59" s="69"/>
      <c r="T59" s="1703">
        <f t="shared" si="16"/>
        <v>3</v>
      </c>
      <c r="U59" s="69"/>
      <c r="V59" s="1703">
        <f t="shared" si="17"/>
        <v>3</v>
      </c>
      <c r="W59" s="69"/>
      <c r="X59" s="1703">
        <f t="shared" si="18"/>
        <v>3</v>
      </c>
      <c r="Y59" s="69"/>
      <c r="Z59" s="1703" t="str">
        <f t="shared" si="19"/>
        <v/>
      </c>
      <c r="AA59" s="69"/>
      <c r="AB59" s="1703">
        <f t="shared" si="20"/>
        <v>3</v>
      </c>
      <c r="AC59" s="69"/>
      <c r="AD59" s="1706">
        <f t="shared" si="21"/>
        <v>4</v>
      </c>
      <c r="AE59" s="69"/>
      <c r="AF59" s="1706">
        <f t="shared" si="22"/>
        <v>3</v>
      </c>
      <c r="AG59" s="69"/>
      <c r="AH59" s="1706">
        <f t="shared" si="23"/>
        <v>3</v>
      </c>
      <c r="AI59" s="69"/>
      <c r="AJ59" s="1706">
        <f t="shared" si="24"/>
        <v>3</v>
      </c>
      <c r="AK59" s="69"/>
      <c r="AL59" s="1706">
        <f t="shared" si="25"/>
        <v>3</v>
      </c>
      <c r="AM59" s="69"/>
      <c r="AN59" s="1706" t="str">
        <f t="shared" si="26"/>
        <v/>
      </c>
      <c r="AO59" s="69"/>
      <c r="AP59" s="1706">
        <f t="shared" si="27"/>
        <v>3</v>
      </c>
      <c r="AQ59" s="69"/>
      <c r="AR59" s="1706">
        <f t="shared" si="28"/>
        <v>0</v>
      </c>
      <c r="AS59" s="69"/>
      <c r="AT59" s="1706">
        <f t="shared" si="29"/>
        <v>3</v>
      </c>
      <c r="AU59" s="69"/>
      <c r="AV59" s="1706">
        <f t="shared" si="30"/>
        <v>3</v>
      </c>
      <c r="AW59" s="69"/>
      <c r="AX59" s="1709">
        <f t="shared" si="31"/>
        <v>4</v>
      </c>
      <c r="AY59" s="69"/>
      <c r="AZ59" s="1709">
        <f t="shared" si="32"/>
        <v>20</v>
      </c>
      <c r="BA59" s="69"/>
      <c r="BB59" s="1706">
        <f t="shared" si="33"/>
        <v>5</v>
      </c>
      <c r="BC59" s="69"/>
      <c r="BD59" s="1706">
        <f t="shared" si="34"/>
        <v>3</v>
      </c>
      <c r="BE59" s="69"/>
      <c r="BF59" s="1706">
        <f t="shared" si="35"/>
        <v>4</v>
      </c>
      <c r="BG59" s="69"/>
      <c r="BH59" s="1706">
        <f t="shared" si="36"/>
        <v>5</v>
      </c>
      <c r="BI59" s="69"/>
      <c r="BJ59" s="1709" t="str">
        <f t="shared" si="37"/>
        <v/>
      </c>
      <c r="BK59" s="69"/>
      <c r="BL59" s="1706">
        <f t="shared" si="38"/>
        <v>130</v>
      </c>
      <c r="BM59" s="69"/>
      <c r="BN59" s="1706" t="str">
        <f t="shared" si="39"/>
        <v/>
      </c>
      <c r="BO59" s="69"/>
      <c r="BP59" s="1706">
        <f t="shared" si="40"/>
        <v>236</v>
      </c>
      <c r="BQ59" s="69"/>
      <c r="BR59" s="1824"/>
    </row>
    <row r="60" ht="17.25" customHeight="1">
      <c r="A60" s="1698" t="str">
        <f t="shared" si="7"/>
        <v/>
      </c>
      <c r="B60" s="1611"/>
      <c r="C60" s="1567"/>
      <c r="D60" s="1817"/>
      <c r="E60" s="1702" t="str">
        <f t="shared" si="8"/>
        <v/>
      </c>
      <c r="F60" s="1703">
        <f>SUM(F35:G59)</f>
        <v>158</v>
      </c>
      <c r="G60" s="69"/>
      <c r="H60" s="1703">
        <f>SUM(H35:I59)</f>
        <v>57</v>
      </c>
      <c r="I60" s="69"/>
      <c r="J60" s="1703">
        <f>SUM(J35:K59)</f>
        <v>122</v>
      </c>
      <c r="K60" s="69"/>
      <c r="L60" s="1703">
        <f>SUM(L35:M59)</f>
        <v>67</v>
      </c>
      <c r="M60" s="69"/>
      <c r="N60" s="1703">
        <f>SUM(N35:O59)</f>
        <v>117</v>
      </c>
      <c r="O60" s="69"/>
      <c r="P60" s="1703">
        <f>SUM(P35:Q59)</f>
        <v>94</v>
      </c>
      <c r="Q60" s="69"/>
      <c r="R60" s="1703">
        <f>SUM(R35:S59)</f>
        <v>47</v>
      </c>
      <c r="S60" s="69"/>
      <c r="T60" s="1703">
        <f>SUM(T35:U59)</f>
        <v>53</v>
      </c>
      <c r="U60" s="69"/>
      <c r="V60" s="1703">
        <f>SUM(V35:W59)</f>
        <v>68</v>
      </c>
      <c r="W60" s="69"/>
      <c r="X60" s="1703">
        <f>SUM(X35:Y59)</f>
        <v>57</v>
      </c>
      <c r="Y60" s="69"/>
      <c r="Z60" s="1703">
        <f>SUM(Z35:AA59)</f>
        <v>0</v>
      </c>
      <c r="AA60" s="69"/>
      <c r="AB60" s="1703">
        <f>SUM(AB35:AC59)</f>
        <v>56</v>
      </c>
      <c r="AC60" s="69"/>
      <c r="AD60" s="1703">
        <f>SUM(AD35:AE59)</f>
        <v>59</v>
      </c>
      <c r="AE60" s="69"/>
      <c r="AF60" s="1703">
        <f>SUM(AF35:AG59)</f>
        <v>103</v>
      </c>
      <c r="AG60" s="69"/>
      <c r="AH60" s="1703">
        <f>SUM(AH35:AI59)</f>
        <v>53</v>
      </c>
      <c r="AI60" s="69"/>
      <c r="AJ60" s="1703">
        <f>SUM(AJ35:AK59)</f>
        <v>63</v>
      </c>
      <c r="AK60" s="69"/>
      <c r="AL60" s="1703">
        <f>SUM(AL35:AM59)</f>
        <v>49</v>
      </c>
      <c r="AM60" s="69"/>
      <c r="AN60" s="1703">
        <f>SUM(AN35:AO59)</f>
        <v>0</v>
      </c>
      <c r="AO60" s="69"/>
      <c r="AP60" s="1703">
        <f>SUM(AP35:AQ59)</f>
        <v>64</v>
      </c>
      <c r="AQ60" s="69"/>
      <c r="AR60" s="1703">
        <f>SUM(AR35:AS59)</f>
        <v>136</v>
      </c>
      <c r="AS60" s="69"/>
      <c r="AT60" s="1703">
        <f>SUM(AT35:AU59)</f>
        <v>64</v>
      </c>
      <c r="AU60" s="69"/>
      <c r="AV60" s="1703">
        <f>SUM(AV35:AW59)</f>
        <v>61</v>
      </c>
      <c r="AW60" s="69"/>
      <c r="AX60" s="1703">
        <f>SUM(AX35:AY59)</f>
        <v>93</v>
      </c>
      <c r="AY60" s="69"/>
      <c r="AZ60" s="1703">
        <f>SUM(AZ35:BA59)</f>
        <v>64</v>
      </c>
      <c r="BA60" s="69"/>
      <c r="BB60" s="1703">
        <f>SUM(BB35:BC59)</f>
        <v>80</v>
      </c>
      <c r="BC60" s="69"/>
      <c r="BD60" s="1703">
        <f>SUM(BD35:BE59)</f>
        <v>51</v>
      </c>
      <c r="BE60" s="69"/>
      <c r="BF60" s="1703">
        <f>SUM(BF35:BG59)</f>
        <v>102</v>
      </c>
      <c r="BG60" s="69"/>
      <c r="BH60" s="1703">
        <f>SUM(BH35:BI59)</f>
        <v>77</v>
      </c>
      <c r="BI60" s="69"/>
      <c r="BJ60" s="1703">
        <f>SUM(BJ35:BK59)</f>
        <v>85</v>
      </c>
      <c r="BK60" s="69"/>
      <c r="BL60" s="1703">
        <f>SUM(BL35:BM59)</f>
        <v>520</v>
      </c>
      <c r="BM60" s="69"/>
      <c r="BN60" s="1706" t="str">
        <f t="shared" si="39"/>
        <v/>
      </c>
      <c r="BO60" s="69"/>
      <c r="BP60" s="1706">
        <f t="shared" si="40"/>
        <v>2620</v>
      </c>
      <c r="BQ60" s="69"/>
      <c r="BR60" s="1824"/>
    </row>
    <row r="61" ht="17.25" customHeight="1">
      <c r="A61" s="1591"/>
      <c r="B61" s="1848"/>
      <c r="C61" s="1848"/>
      <c r="D61" s="1848"/>
      <c r="E61" s="906"/>
      <c r="F61" s="1748"/>
      <c r="G61" s="541"/>
      <c r="H61" s="1748"/>
      <c r="I61" s="541"/>
      <c r="J61" s="1748"/>
      <c r="L61" s="1190"/>
      <c r="N61" s="1190"/>
      <c r="P61" s="1190"/>
      <c r="R61" s="1190"/>
      <c r="T61" s="1190"/>
      <c r="V61" s="1190"/>
      <c r="X61" s="1190"/>
      <c r="Z61" s="1190"/>
      <c r="AB61" s="1190"/>
      <c r="AD61" s="1190"/>
      <c r="AF61" s="1190"/>
      <c r="AH61" s="1190"/>
      <c r="AJ61" s="1190"/>
      <c r="AL61" s="1190"/>
      <c r="AN61" s="1190"/>
      <c r="AO61" s="1190"/>
      <c r="AP61" s="1190"/>
      <c r="AQ61" s="1190"/>
      <c r="AR61" s="1190"/>
      <c r="AT61" s="1190"/>
      <c r="AV61" s="1190"/>
      <c r="AX61" s="1190"/>
      <c r="AZ61" s="1190"/>
      <c r="BB61" s="1190"/>
      <c r="BC61" s="1190"/>
      <c r="BD61" s="1190"/>
      <c r="BE61" s="1748"/>
      <c r="BF61" s="1748"/>
      <c r="BG61" s="1748"/>
      <c r="BH61" s="1748"/>
      <c r="BI61" s="1748"/>
      <c r="BJ61" s="1190"/>
      <c r="BK61" s="1748"/>
      <c r="BL61" s="1606" t="s">
        <v>1365</v>
      </c>
      <c r="BM61" s="69"/>
      <c r="BN61" s="1413"/>
      <c r="BO61" s="1413"/>
      <c r="BP61" s="1487">
        <f>SUM(BP35:BQ60)</f>
        <v>5240</v>
      </c>
      <c r="BQ61" s="69"/>
      <c r="BS61" s="541"/>
      <c r="BT61" s="541"/>
      <c r="BU61" s="541"/>
    </row>
    <row r="62" ht="17.25" customHeight="1">
      <c r="A62" s="1749" t="s">
        <v>3112</v>
      </c>
      <c r="B62" s="1848"/>
      <c r="C62" s="1848"/>
      <c r="D62" s="1848"/>
      <c r="E62" s="906"/>
      <c r="F62" s="1730"/>
      <c r="G62" s="541"/>
      <c r="H62" s="1730"/>
      <c r="I62" s="541"/>
      <c r="J62" s="1730"/>
      <c r="K62" s="701"/>
      <c r="L62" s="1012"/>
      <c r="M62" s="701"/>
      <c r="N62" s="1012"/>
      <c r="O62" s="701"/>
      <c r="P62" s="1012"/>
      <c r="Q62" s="701"/>
      <c r="R62" s="1012"/>
      <c r="S62" s="701"/>
      <c r="T62" s="1012"/>
      <c r="U62" s="701"/>
      <c r="V62" s="1012"/>
      <c r="W62" s="701"/>
      <c r="X62" s="1012"/>
      <c r="Y62" s="701"/>
      <c r="Z62" s="1012"/>
      <c r="AA62" s="701"/>
      <c r="AB62" s="1012"/>
      <c r="AC62" s="701"/>
      <c r="AD62" s="1012"/>
      <c r="AE62" s="701"/>
      <c r="AF62" s="1012"/>
      <c r="AG62" s="701"/>
      <c r="AH62" s="1012"/>
      <c r="AI62" s="701"/>
      <c r="AJ62" s="1012"/>
      <c r="AK62" s="701"/>
      <c r="AL62" s="1012"/>
      <c r="AM62" s="701"/>
      <c r="AN62" s="1012"/>
      <c r="AO62" s="1189"/>
      <c r="AP62" s="1012"/>
      <c r="AQ62" s="1189"/>
      <c r="AR62" s="1189"/>
      <c r="AS62" s="701"/>
      <c r="AT62" s="1189"/>
      <c r="AU62" s="701"/>
      <c r="AV62" s="1189"/>
      <c r="AW62" s="701"/>
      <c r="AX62" s="1189"/>
      <c r="AY62" s="701"/>
      <c r="AZ62" s="1189"/>
      <c r="BA62" s="701"/>
      <c r="BB62" s="1189"/>
      <c r="BC62" s="1189"/>
      <c r="BD62" s="1189"/>
      <c r="BE62" s="1189"/>
      <c r="BF62" s="1189"/>
      <c r="BG62" s="1748"/>
      <c r="BH62" s="1748"/>
      <c r="BI62" s="1748"/>
      <c r="BJ62" s="1190"/>
      <c r="BK62" s="1748"/>
      <c r="BL62" s="541"/>
      <c r="BM62" s="1748"/>
      <c r="BN62" s="541"/>
      <c r="BO62" s="541"/>
      <c r="BP62" s="541"/>
      <c r="BQ62" s="633"/>
      <c r="BR62" s="633"/>
      <c r="BS62" s="541"/>
      <c r="BT62" s="541"/>
      <c r="BU62" s="541"/>
    </row>
    <row r="63" ht="17.25" customHeight="1">
      <c r="A63" s="1850" t="s">
        <v>1279</v>
      </c>
      <c r="B63" s="1548"/>
      <c r="C63" s="1811"/>
      <c r="D63" s="1811">
        <v>46244.0</v>
      </c>
      <c r="E63" s="1851" t="s">
        <v>3118</v>
      </c>
      <c r="F63" s="1852"/>
      <c r="G63" s="1852"/>
      <c r="H63" s="1852"/>
      <c r="I63" s="1852"/>
      <c r="J63" s="1853"/>
      <c r="K63" s="1852"/>
      <c r="L63" s="1852"/>
      <c r="M63" s="1852"/>
      <c r="N63" s="1852"/>
      <c r="O63" s="1852"/>
      <c r="P63" s="1852"/>
      <c r="Q63" s="1852"/>
      <c r="R63" s="1852"/>
      <c r="S63" s="1852"/>
      <c r="T63" s="1853"/>
      <c r="U63" s="1852"/>
      <c r="V63" s="1854"/>
      <c r="W63" s="1852"/>
      <c r="X63" s="1853"/>
      <c r="Y63" s="1852"/>
      <c r="Z63" s="1852"/>
      <c r="AA63" s="1852"/>
      <c r="AB63" s="1852"/>
      <c r="AC63" s="1852"/>
      <c r="AD63" s="1852"/>
      <c r="AE63" s="1852"/>
      <c r="AF63" s="1852"/>
      <c r="AG63" s="1852"/>
      <c r="AH63" s="1852"/>
      <c r="AI63" s="1852"/>
      <c r="AJ63" s="1852"/>
      <c r="AK63" s="1852"/>
      <c r="AL63" s="1852"/>
      <c r="AM63" s="1852"/>
      <c r="AN63" s="1852"/>
      <c r="AO63" s="1852"/>
      <c r="AP63" s="1852"/>
      <c r="AQ63" s="1852"/>
      <c r="AR63" s="1852"/>
      <c r="AS63" s="1853"/>
      <c r="AT63" s="1852"/>
      <c r="AU63" s="1852"/>
      <c r="AV63" s="1852"/>
      <c r="AW63" s="1852"/>
      <c r="AX63" s="1853"/>
      <c r="AY63" s="1852"/>
      <c r="AZ63" s="1852"/>
      <c r="BA63" s="1852"/>
      <c r="BB63" s="1852"/>
      <c r="BC63" s="1852"/>
      <c r="BD63" s="1853"/>
      <c r="BE63" s="1852"/>
      <c r="BF63" s="1853"/>
      <c r="BG63" s="1852"/>
      <c r="BH63" s="1853"/>
      <c r="BI63" s="1852"/>
      <c r="BJ63" s="1853"/>
      <c r="BK63" s="1852"/>
      <c r="BL63" s="1852"/>
      <c r="BM63" s="1852"/>
      <c r="BN63" s="1852"/>
      <c r="BO63" s="1852"/>
      <c r="BP63" s="1852"/>
      <c r="BQ63" s="1855"/>
      <c r="BR63" s="1855"/>
      <c r="BS63" s="1856"/>
      <c r="BT63" s="1857"/>
      <c r="BU63" s="1852"/>
    </row>
    <row r="64" ht="17.25" customHeight="1">
      <c r="A64" s="1858" t="s">
        <v>3069</v>
      </c>
      <c r="B64" s="1557" t="s">
        <v>1283</v>
      </c>
      <c r="C64" s="1557" t="s">
        <v>19</v>
      </c>
      <c r="D64" s="1734" t="s">
        <v>473</v>
      </c>
      <c r="E64" s="783" t="s">
        <v>471</v>
      </c>
      <c r="F64" s="1075" t="s">
        <v>1357</v>
      </c>
      <c r="G64" s="1409" t="s">
        <v>3071</v>
      </c>
      <c r="H64" s="1075" t="s">
        <v>1287</v>
      </c>
      <c r="I64" s="1409" t="s">
        <v>1288</v>
      </c>
      <c r="J64" s="1075" t="s">
        <v>1358</v>
      </c>
      <c r="K64" s="1409" t="s">
        <v>3072</v>
      </c>
      <c r="L64" s="1075" t="s">
        <v>1359</v>
      </c>
      <c r="M64" s="1409" t="s">
        <v>3073</v>
      </c>
      <c r="N64" s="1075" t="s">
        <v>1360</v>
      </c>
      <c r="O64" s="1409" t="s">
        <v>3074</v>
      </c>
      <c r="P64" s="1075" t="s">
        <v>1361</v>
      </c>
      <c r="Q64" s="1409" t="s">
        <v>3075</v>
      </c>
      <c r="R64" s="1485" t="s">
        <v>1362</v>
      </c>
      <c r="S64" s="1560" t="s">
        <v>1298</v>
      </c>
      <c r="T64" s="1427" t="s">
        <v>1299</v>
      </c>
      <c r="U64" s="1560" t="s">
        <v>1300</v>
      </c>
      <c r="V64" s="1487" t="s">
        <v>1301</v>
      </c>
      <c r="W64" s="1560" t="s">
        <v>1302</v>
      </c>
      <c r="X64" s="1427" t="s">
        <v>1363</v>
      </c>
      <c r="Y64" s="1560" t="s">
        <v>1304</v>
      </c>
      <c r="Z64" s="1487" t="s">
        <v>1305</v>
      </c>
      <c r="AA64" s="1560" t="s">
        <v>1306</v>
      </c>
      <c r="AB64" s="1487" t="s">
        <v>1307</v>
      </c>
      <c r="AC64" s="1560" t="s">
        <v>1308</v>
      </c>
      <c r="AD64" s="1487" t="s">
        <v>1309</v>
      </c>
      <c r="AE64" s="1560" t="s">
        <v>1310</v>
      </c>
      <c r="AF64" s="1427" t="s">
        <v>1311</v>
      </c>
      <c r="AG64" s="1560" t="s">
        <v>1312</v>
      </c>
      <c r="AH64" s="1487" t="s">
        <v>1313</v>
      </c>
      <c r="AI64" s="1560" t="s">
        <v>1314</v>
      </c>
      <c r="AJ64" s="1487" t="s">
        <v>1315</v>
      </c>
      <c r="AK64" s="1560" t="s">
        <v>1316</v>
      </c>
      <c r="AL64" s="1487" t="s">
        <v>1317</v>
      </c>
      <c r="AM64" s="1560" t="s">
        <v>1318</v>
      </c>
      <c r="AN64" s="1487" t="s">
        <v>1319</v>
      </c>
      <c r="AO64" s="1560" t="s">
        <v>1320</v>
      </c>
      <c r="AP64" s="1487" t="s">
        <v>1321</v>
      </c>
      <c r="AQ64" s="1486" t="s">
        <v>1322</v>
      </c>
      <c r="AR64" s="1427" t="s">
        <v>1323</v>
      </c>
      <c r="AS64" s="1486" t="s">
        <v>1324</v>
      </c>
      <c r="AT64" s="1485" t="s">
        <v>1325</v>
      </c>
      <c r="AU64" s="1486" t="s">
        <v>1326</v>
      </c>
      <c r="AV64" s="1485" t="s">
        <v>1327</v>
      </c>
      <c r="AW64" s="1486" t="s">
        <v>1328</v>
      </c>
      <c r="AX64" s="1485" t="s">
        <v>3076</v>
      </c>
      <c r="AY64" s="1486" t="s">
        <v>3077</v>
      </c>
      <c r="AZ64" s="1485" t="s">
        <v>3078</v>
      </c>
      <c r="BA64" s="1486" t="s">
        <v>3079</v>
      </c>
      <c r="BB64" s="1485" t="s">
        <v>3080</v>
      </c>
      <c r="BC64" s="1486" t="s">
        <v>3081</v>
      </c>
      <c r="BD64" s="1485" t="s">
        <v>3082</v>
      </c>
      <c r="BE64" s="1486" t="s">
        <v>3083</v>
      </c>
      <c r="BF64" s="1485" t="s">
        <v>3084</v>
      </c>
      <c r="BG64" s="1486" t="s">
        <v>3085</v>
      </c>
      <c r="BH64" s="1485" t="s">
        <v>3086</v>
      </c>
      <c r="BI64" s="1486" t="s">
        <v>3087</v>
      </c>
      <c r="BJ64" s="1485" t="s">
        <v>3088</v>
      </c>
      <c r="BK64" s="1486" t="s">
        <v>3089</v>
      </c>
      <c r="BL64" s="1859" t="s">
        <v>1425</v>
      </c>
      <c r="BM64" s="1860" t="s">
        <v>3045</v>
      </c>
      <c r="BN64" s="1861" t="s">
        <v>3090</v>
      </c>
      <c r="BO64" s="1815" t="s">
        <v>3091</v>
      </c>
      <c r="BP64" s="1606" t="s">
        <v>1331</v>
      </c>
      <c r="BQ64" s="1168" t="s">
        <v>3092</v>
      </c>
      <c r="BR64" s="1120" t="s">
        <v>3093</v>
      </c>
      <c r="BS64" s="1075" t="s">
        <v>3094</v>
      </c>
      <c r="BT64" s="629"/>
    </row>
    <row r="65" ht="15.75" customHeight="1">
      <c r="A65" s="1565" t="s">
        <v>145</v>
      </c>
      <c r="B65" s="1611">
        <v>2936.0</v>
      </c>
      <c r="C65" s="1567">
        <v>85.0</v>
      </c>
      <c r="D65" s="1862" t="s">
        <v>3095</v>
      </c>
      <c r="E65" s="1753" t="str">
        <f>'Матрица 4 недели'!D107</f>
        <v>Манник</v>
      </c>
      <c r="F65" s="1120">
        <v>10.0</v>
      </c>
      <c r="G65" s="1121">
        <v>10.0</v>
      </c>
      <c r="H65" s="1120">
        <v>4.0</v>
      </c>
      <c r="I65" s="1121">
        <v>4.0</v>
      </c>
      <c r="J65" s="1120"/>
      <c r="K65" s="1121"/>
      <c r="L65" s="1120">
        <v>3.0</v>
      </c>
      <c r="M65" s="1121">
        <v>3.0</v>
      </c>
      <c r="N65" s="1120">
        <v>6.0</v>
      </c>
      <c r="O65" s="1121">
        <v>6.0</v>
      </c>
      <c r="P65" s="1120">
        <v>4.0</v>
      </c>
      <c r="Q65" s="1121">
        <v>4.0</v>
      </c>
      <c r="R65" s="1120">
        <v>3.0</v>
      </c>
      <c r="S65" s="1121">
        <v>3.0</v>
      </c>
      <c r="T65" s="1120">
        <v>7.0</v>
      </c>
      <c r="U65" s="1121">
        <v>7.0</v>
      </c>
      <c r="V65" s="1120">
        <v>5.0</v>
      </c>
      <c r="W65" s="1121">
        <v>5.0</v>
      </c>
      <c r="X65" s="1120">
        <v>2.0</v>
      </c>
      <c r="Y65" s="1121">
        <v>2.0</v>
      </c>
      <c r="Z65" s="1137"/>
      <c r="AA65" s="1121"/>
      <c r="AB65" s="1120">
        <v>2.0</v>
      </c>
      <c r="AC65" s="1121">
        <v>2.0</v>
      </c>
      <c r="AD65" s="1120">
        <v>2.0</v>
      </c>
      <c r="AE65" s="1121">
        <v>2.0</v>
      </c>
      <c r="AF65" s="1120">
        <v>8.0</v>
      </c>
      <c r="AG65" s="1121">
        <v>8.0</v>
      </c>
      <c r="AH65" s="1120">
        <v>4.0</v>
      </c>
      <c r="AI65" s="1121">
        <v>4.0</v>
      </c>
      <c r="AJ65" s="1120">
        <v>3.0</v>
      </c>
      <c r="AK65" s="1121">
        <v>3.0</v>
      </c>
      <c r="AL65" s="1120">
        <v>2.0</v>
      </c>
      <c r="AM65" s="1121">
        <v>2.0</v>
      </c>
      <c r="AN65" s="1120"/>
      <c r="AO65" s="1121"/>
      <c r="AP65" s="1120">
        <v>3.0</v>
      </c>
      <c r="AQ65" s="1121">
        <v>3.0</v>
      </c>
      <c r="AR65" s="1120">
        <v>4.0</v>
      </c>
      <c r="AS65" s="1138">
        <v>4.0</v>
      </c>
      <c r="AT65" s="1126">
        <v>6.0</v>
      </c>
      <c r="AU65" s="1138">
        <v>6.0</v>
      </c>
      <c r="AV65" s="1126">
        <v>5.0</v>
      </c>
      <c r="AW65" s="1138">
        <v>5.0</v>
      </c>
      <c r="AX65" s="1126">
        <v>8.0</v>
      </c>
      <c r="AY65" s="1138">
        <v>8.0</v>
      </c>
      <c r="AZ65" s="1126">
        <v>2.0</v>
      </c>
      <c r="BA65" s="1138">
        <v>2.0</v>
      </c>
      <c r="BB65" s="1120">
        <v>3.0</v>
      </c>
      <c r="BC65" s="1127">
        <v>3.0</v>
      </c>
      <c r="BD65" s="1126">
        <v>2.0</v>
      </c>
      <c r="BE65" s="1127">
        <v>2.0</v>
      </c>
      <c r="BF65" s="1126">
        <v>4.0</v>
      </c>
      <c r="BG65" s="1127">
        <v>4.0</v>
      </c>
      <c r="BH65" s="1126">
        <v>2.0</v>
      </c>
      <c r="BI65" s="1127">
        <v>2.0</v>
      </c>
      <c r="BJ65" s="1126">
        <v>5.0</v>
      </c>
      <c r="BK65" s="1127">
        <v>5.0</v>
      </c>
      <c r="BL65" s="1134"/>
      <c r="BM65" s="1138"/>
      <c r="BN65" s="1087"/>
      <c r="BO65" s="1737"/>
      <c r="BP65" s="783">
        <f t="shared" ref="BP65:BP91" si="41">(F65+H65+J65+L65+N65+P65+R65+T65+V65+X65+Z65+AB65+AD65+AF65+AH65+AJ65+AL65+AR65+BL65+AN65+AP65+AT65+AV65+AX65+AZ65+BJ65)+1+BB65+BD65+BF65+BH65</f>
        <v>110</v>
      </c>
      <c r="BQ65" s="1405">
        <f t="shared" ref="BQ65:BQ91" si="42">G65+I65+K65+M65+O65+Q65+S65+U65+W65+Y65+AA65+AC65+AE65+AG65+AI65+AK65+AM65+AO65+AQ65+AU65+AW65+BM65+AS65+AY65+BA65+BC65+BE65+BG65+BI65+BK65</f>
        <v>109</v>
      </c>
      <c r="BR65" s="711">
        <f t="shared" ref="BR65:BR91" si="43">BQ65*C65</f>
        <v>9265</v>
      </c>
      <c r="BS65" s="784">
        <f t="shared" ref="BS65:BS91" si="44">BP65*C65</f>
        <v>9350</v>
      </c>
      <c r="BT65" s="1545"/>
    </row>
    <row r="66" ht="15.75" customHeight="1">
      <c r="A66" s="1565" t="s">
        <v>145</v>
      </c>
      <c r="B66" s="1756">
        <v>4235.0</v>
      </c>
      <c r="C66" s="1567">
        <v>158.0</v>
      </c>
      <c r="D66" s="1862" t="s">
        <v>3095</v>
      </c>
      <c r="E66" s="1759" t="str">
        <f>'Матрица 4 недели'!D108</f>
        <v>Киш с курицей</v>
      </c>
      <c r="F66" s="1120">
        <v>4.0</v>
      </c>
      <c r="G66" s="1138">
        <v>4.0</v>
      </c>
      <c r="H66" s="1120">
        <v>2.0</v>
      </c>
      <c r="I66" s="1138">
        <v>2.0</v>
      </c>
      <c r="J66" s="1120"/>
      <c r="K66" s="1138"/>
      <c r="L66" s="1120">
        <v>4.0</v>
      </c>
      <c r="M66" s="1138">
        <v>4.0</v>
      </c>
      <c r="N66" s="1120">
        <v>6.0</v>
      </c>
      <c r="O66" s="1138">
        <v>6.0</v>
      </c>
      <c r="P66" s="1120">
        <v>2.0</v>
      </c>
      <c r="Q66" s="1138">
        <v>2.0</v>
      </c>
      <c r="R66" s="1120">
        <v>2.0</v>
      </c>
      <c r="S66" s="1138">
        <v>2.0</v>
      </c>
      <c r="T66" s="1120">
        <v>8.0</v>
      </c>
      <c r="U66" s="1138">
        <v>8.0</v>
      </c>
      <c r="V66" s="1120">
        <v>2.0</v>
      </c>
      <c r="W66" s="1138">
        <v>2.0</v>
      </c>
      <c r="X66" s="1120">
        <v>6.0</v>
      </c>
      <c r="Y66" s="1138">
        <v>6.0</v>
      </c>
      <c r="Z66" s="1120"/>
      <c r="AA66" s="1138"/>
      <c r="AB66" s="1120">
        <v>4.0</v>
      </c>
      <c r="AC66" s="1138">
        <v>4.0</v>
      </c>
      <c r="AD66" s="1120">
        <v>2.0</v>
      </c>
      <c r="AE66" s="1138">
        <v>2.0</v>
      </c>
      <c r="AF66" s="1120">
        <v>6.0</v>
      </c>
      <c r="AG66" s="1138">
        <v>6.0</v>
      </c>
      <c r="AH66" s="1120">
        <v>5.0</v>
      </c>
      <c r="AI66" s="1138">
        <v>5.0</v>
      </c>
      <c r="AJ66" s="1120">
        <v>3.0</v>
      </c>
      <c r="AK66" s="1138">
        <v>3.0</v>
      </c>
      <c r="AL66" s="1120">
        <v>2.0</v>
      </c>
      <c r="AM66" s="1138">
        <v>2.0</v>
      </c>
      <c r="AN66" s="1120"/>
      <c r="AO66" s="1138"/>
      <c r="AP66" s="1120">
        <v>2.0</v>
      </c>
      <c r="AQ66" s="1138">
        <v>2.0</v>
      </c>
      <c r="AR66" s="1120">
        <v>8.0</v>
      </c>
      <c r="AS66" s="1138">
        <v>8.0</v>
      </c>
      <c r="AT66" s="1126">
        <v>2.0</v>
      </c>
      <c r="AU66" s="1138">
        <v>2.0</v>
      </c>
      <c r="AV66" s="1126">
        <v>0.0</v>
      </c>
      <c r="AW66" s="1138">
        <v>0.0</v>
      </c>
      <c r="AX66" s="1126">
        <v>3.0</v>
      </c>
      <c r="AY66" s="1138">
        <v>3.0</v>
      </c>
      <c r="AZ66" s="1126">
        <v>2.0</v>
      </c>
      <c r="BA66" s="1138">
        <v>2.0</v>
      </c>
      <c r="BB66" s="1120">
        <v>3.0</v>
      </c>
      <c r="BC66" s="1138">
        <v>3.0</v>
      </c>
      <c r="BD66" s="1126">
        <v>2.0</v>
      </c>
      <c r="BE66" s="1138">
        <v>2.0</v>
      </c>
      <c r="BF66" s="1126">
        <v>4.0</v>
      </c>
      <c r="BG66" s="1138">
        <v>4.0</v>
      </c>
      <c r="BH66" s="1126">
        <v>4.0</v>
      </c>
      <c r="BI66" s="1138">
        <v>4.0</v>
      </c>
      <c r="BJ66" s="1126">
        <v>7.0</v>
      </c>
      <c r="BK66" s="1138">
        <v>7.0</v>
      </c>
      <c r="BL66" s="1134"/>
      <c r="BM66" s="1138"/>
      <c r="BN66" s="1176">
        <v>15.0</v>
      </c>
      <c r="BO66" s="1737">
        <v>15.0</v>
      </c>
      <c r="BP66" s="783">
        <f t="shared" si="41"/>
        <v>96</v>
      </c>
      <c r="BQ66" s="1405">
        <f t="shared" si="42"/>
        <v>95</v>
      </c>
      <c r="BR66" s="711">
        <f t="shared" si="43"/>
        <v>15010</v>
      </c>
      <c r="BS66" s="784">
        <f t="shared" si="44"/>
        <v>15168</v>
      </c>
      <c r="BT66" s="1545"/>
    </row>
    <row r="67" ht="15.75" customHeight="1">
      <c r="A67" s="1565" t="s">
        <v>145</v>
      </c>
      <c r="B67" s="1756">
        <v>4318.0</v>
      </c>
      <c r="C67" s="1567">
        <v>189.0</v>
      </c>
      <c r="D67" s="1862" t="s">
        <v>3095</v>
      </c>
      <c r="E67" s="1759" t="str">
        <f>'Матрица 4 недели'!D109</f>
        <v>Ватрушка Царская </v>
      </c>
      <c r="F67" s="1120">
        <v>3.0</v>
      </c>
      <c r="G67" s="1121">
        <v>4.0</v>
      </c>
      <c r="H67" s="1120">
        <v>2.0</v>
      </c>
      <c r="I67" s="1121">
        <v>3.0</v>
      </c>
      <c r="J67" s="1120"/>
      <c r="K67" s="1121"/>
      <c r="L67" s="1120">
        <v>2.0</v>
      </c>
      <c r="M67" s="1121">
        <v>2.0</v>
      </c>
      <c r="N67" s="1120">
        <v>4.0</v>
      </c>
      <c r="O67" s="1121">
        <v>5.0</v>
      </c>
      <c r="P67" s="1120">
        <v>2.0</v>
      </c>
      <c r="Q67" s="1121">
        <v>2.0</v>
      </c>
      <c r="R67" s="1120">
        <v>1.0</v>
      </c>
      <c r="S67" s="1121">
        <v>1.0</v>
      </c>
      <c r="T67" s="1120">
        <v>3.0</v>
      </c>
      <c r="U67" s="1138">
        <v>3.0</v>
      </c>
      <c r="V67" s="1120">
        <v>5.0</v>
      </c>
      <c r="W67" s="1138">
        <v>6.0</v>
      </c>
      <c r="X67" s="1120">
        <v>2.0</v>
      </c>
      <c r="Y67" s="1138">
        <v>2.0</v>
      </c>
      <c r="Z67" s="1137"/>
      <c r="AA67" s="1138"/>
      <c r="AB67" s="1120">
        <v>5.0</v>
      </c>
      <c r="AC67" s="1138">
        <v>5.0</v>
      </c>
      <c r="AD67" s="1120">
        <v>3.0</v>
      </c>
      <c r="AE67" s="1138">
        <v>3.0</v>
      </c>
      <c r="AF67" s="1120">
        <v>6.0</v>
      </c>
      <c r="AG67" s="1138">
        <v>7.0</v>
      </c>
      <c r="AH67" s="1120">
        <v>3.0</v>
      </c>
      <c r="AI67" s="1138">
        <v>4.0</v>
      </c>
      <c r="AJ67" s="1120">
        <v>3.0</v>
      </c>
      <c r="AK67" s="1138">
        <v>3.0</v>
      </c>
      <c r="AL67" s="1120">
        <v>2.0</v>
      </c>
      <c r="AM67" s="1138">
        <v>2.0</v>
      </c>
      <c r="AN67" s="1120"/>
      <c r="AO67" s="1131"/>
      <c r="AP67" s="1120">
        <v>3.0</v>
      </c>
      <c r="AQ67" s="1131">
        <v>3.0</v>
      </c>
      <c r="AR67" s="1120">
        <v>5.0</v>
      </c>
      <c r="AS67" s="1138">
        <v>6.0</v>
      </c>
      <c r="AT67" s="1126">
        <v>2.0</v>
      </c>
      <c r="AU67" s="1138">
        <v>2.0</v>
      </c>
      <c r="AV67" s="1126">
        <v>4.0</v>
      </c>
      <c r="AW67" s="1138">
        <v>4.0</v>
      </c>
      <c r="AX67" s="1126">
        <v>7.0</v>
      </c>
      <c r="AY67" s="1138">
        <v>8.0</v>
      </c>
      <c r="AZ67" s="1126">
        <v>2.0</v>
      </c>
      <c r="BA67" s="1138">
        <v>2.0</v>
      </c>
      <c r="BB67" s="1120">
        <v>3.0</v>
      </c>
      <c r="BC67" s="1127">
        <v>3.0</v>
      </c>
      <c r="BD67" s="1126">
        <v>3.0</v>
      </c>
      <c r="BE67" s="1127">
        <v>3.0</v>
      </c>
      <c r="BF67" s="1126">
        <v>2.0</v>
      </c>
      <c r="BG67" s="1127">
        <v>2.0</v>
      </c>
      <c r="BH67" s="1126">
        <v>3.0</v>
      </c>
      <c r="BI67" s="1127">
        <v>3.0</v>
      </c>
      <c r="BJ67" s="1126">
        <v>3.0</v>
      </c>
      <c r="BK67" s="1127">
        <v>3.0</v>
      </c>
      <c r="BL67" s="1134"/>
      <c r="BM67" s="1138"/>
      <c r="BN67" s="1176"/>
      <c r="BO67" s="1737"/>
      <c r="BP67" s="783">
        <f t="shared" si="41"/>
        <v>84</v>
      </c>
      <c r="BQ67" s="1405">
        <f t="shared" si="42"/>
        <v>91</v>
      </c>
      <c r="BR67" s="711">
        <f t="shared" si="43"/>
        <v>17199</v>
      </c>
      <c r="BS67" s="784">
        <f t="shared" si="44"/>
        <v>15876</v>
      </c>
      <c r="BT67" s="1545"/>
    </row>
    <row r="68" ht="15.75" customHeight="1">
      <c r="A68" s="1565" t="s">
        <v>145</v>
      </c>
      <c r="B68" s="1756">
        <v>4024.0</v>
      </c>
      <c r="C68" s="1567">
        <v>98.0</v>
      </c>
      <c r="D68" s="1862" t="s">
        <v>70</v>
      </c>
      <c r="E68" s="1759" t="str">
        <f>'Матрица 4 недели'!G107</f>
        <v>Салат "Чешский" (колбаса п/к)</v>
      </c>
      <c r="F68" s="1120">
        <v>3.0</v>
      </c>
      <c r="G68" s="1121">
        <v>3.0</v>
      </c>
      <c r="H68" s="1120">
        <v>2.0</v>
      </c>
      <c r="I68" s="1121">
        <v>2.0</v>
      </c>
      <c r="J68" s="1120"/>
      <c r="K68" s="1121"/>
      <c r="L68" s="1120">
        <v>5.0</v>
      </c>
      <c r="M68" s="1121">
        <v>5.0</v>
      </c>
      <c r="N68" s="1120">
        <v>6.0</v>
      </c>
      <c r="O68" s="1121">
        <v>6.0</v>
      </c>
      <c r="P68" s="1120">
        <v>9.0</v>
      </c>
      <c r="Q68" s="1121">
        <v>9.0</v>
      </c>
      <c r="R68" s="1120">
        <v>3.0</v>
      </c>
      <c r="S68" s="1121">
        <v>3.0</v>
      </c>
      <c r="T68" s="1120">
        <v>2.0</v>
      </c>
      <c r="U68" s="1138">
        <v>2.0</v>
      </c>
      <c r="V68" s="1120">
        <v>3.0</v>
      </c>
      <c r="W68" s="1138">
        <v>3.0</v>
      </c>
      <c r="X68" s="1120">
        <v>1.0</v>
      </c>
      <c r="Y68" s="1138">
        <v>1.0</v>
      </c>
      <c r="Z68" s="1120"/>
      <c r="AA68" s="1138"/>
      <c r="AB68" s="1120">
        <v>2.0</v>
      </c>
      <c r="AC68" s="1138">
        <v>2.0</v>
      </c>
      <c r="AD68" s="1120">
        <v>2.0</v>
      </c>
      <c r="AE68" s="1138">
        <v>2.0</v>
      </c>
      <c r="AF68" s="1120">
        <v>3.0</v>
      </c>
      <c r="AG68" s="1138">
        <v>3.0</v>
      </c>
      <c r="AH68" s="1120">
        <v>2.0</v>
      </c>
      <c r="AI68" s="1138">
        <v>2.0</v>
      </c>
      <c r="AJ68" s="1120">
        <v>5.0</v>
      </c>
      <c r="AK68" s="1138">
        <v>5.0</v>
      </c>
      <c r="AL68" s="1120">
        <v>1.0</v>
      </c>
      <c r="AM68" s="1138">
        <v>1.0</v>
      </c>
      <c r="AN68" s="1120"/>
      <c r="AO68" s="1131"/>
      <c r="AP68" s="1120">
        <v>2.0</v>
      </c>
      <c r="AQ68" s="1131">
        <v>2.0</v>
      </c>
      <c r="AR68" s="1120">
        <v>11.0</v>
      </c>
      <c r="AS68" s="1138">
        <v>11.0</v>
      </c>
      <c r="AT68" s="1126">
        <v>4.0</v>
      </c>
      <c r="AU68" s="1138">
        <v>4.0</v>
      </c>
      <c r="AV68" s="1126">
        <v>0.0</v>
      </c>
      <c r="AW68" s="1138">
        <v>0.0</v>
      </c>
      <c r="AX68" s="1126">
        <v>3.0</v>
      </c>
      <c r="AY68" s="1138">
        <v>3.0</v>
      </c>
      <c r="AZ68" s="1126">
        <v>2.0</v>
      </c>
      <c r="BA68" s="1138">
        <v>2.0</v>
      </c>
      <c r="BB68" s="1120">
        <v>2.0</v>
      </c>
      <c r="BC68" s="1138">
        <v>2.0</v>
      </c>
      <c r="BD68" s="1126">
        <v>3.0</v>
      </c>
      <c r="BE68" s="1138">
        <v>3.0</v>
      </c>
      <c r="BF68" s="1126">
        <v>2.0</v>
      </c>
      <c r="BG68" s="1138">
        <v>2.0</v>
      </c>
      <c r="BH68" s="1126">
        <v>2.0</v>
      </c>
      <c r="BI68" s="1138">
        <v>2.0</v>
      </c>
      <c r="BJ68" s="1126">
        <v>5.0</v>
      </c>
      <c r="BK68" s="1138">
        <v>5.0</v>
      </c>
      <c r="BL68" s="1134">
        <v>44.0</v>
      </c>
      <c r="BM68" s="1138">
        <v>44.0</v>
      </c>
      <c r="BN68" s="783"/>
      <c r="BO68" s="1170"/>
      <c r="BP68" s="783">
        <f t="shared" si="41"/>
        <v>130</v>
      </c>
      <c r="BQ68" s="1405">
        <f t="shared" si="42"/>
        <v>129</v>
      </c>
      <c r="BR68" s="711">
        <f t="shared" si="43"/>
        <v>12642</v>
      </c>
      <c r="BS68" s="784">
        <f t="shared" si="44"/>
        <v>12740</v>
      </c>
      <c r="BT68" s="1545"/>
    </row>
    <row r="69" ht="15.75" customHeight="1">
      <c r="A69" s="1565" t="s">
        <v>145</v>
      </c>
      <c r="B69" s="1756">
        <v>1995.0</v>
      </c>
      <c r="C69" s="1567">
        <v>98.0</v>
      </c>
      <c r="D69" s="1875" t="s">
        <v>70</v>
      </c>
      <c r="E69" s="1759" t="str">
        <f>'Матрица 4 недели'!G108</f>
        <v>Салат ''Дачный'' (редис, огурец,)</v>
      </c>
      <c r="F69" s="1120">
        <v>7.0</v>
      </c>
      <c r="G69" s="1121">
        <v>7.0</v>
      </c>
      <c r="H69" s="1120">
        <v>2.0</v>
      </c>
      <c r="I69" s="1121">
        <v>2.0</v>
      </c>
      <c r="J69" s="1120"/>
      <c r="K69" s="1121"/>
      <c r="L69" s="1120">
        <v>0.0</v>
      </c>
      <c r="M69" s="1121">
        <v>0.0</v>
      </c>
      <c r="N69" s="1120">
        <v>9.0</v>
      </c>
      <c r="O69" s="1121">
        <v>9.0</v>
      </c>
      <c r="P69" s="1120">
        <v>4.0</v>
      </c>
      <c r="Q69" s="1121">
        <v>4.0</v>
      </c>
      <c r="R69" s="1120">
        <v>0.0</v>
      </c>
      <c r="S69" s="1121">
        <v>0.0</v>
      </c>
      <c r="T69" s="1120">
        <v>3.0</v>
      </c>
      <c r="U69" s="1138">
        <v>3.0</v>
      </c>
      <c r="V69" s="1120">
        <v>5.0</v>
      </c>
      <c r="W69" s="1138">
        <v>5.0</v>
      </c>
      <c r="X69" s="1120">
        <v>1.0</v>
      </c>
      <c r="Y69" s="1138">
        <v>1.0</v>
      </c>
      <c r="Z69" s="1137"/>
      <c r="AA69" s="1138"/>
      <c r="AB69" s="1120">
        <v>1.0</v>
      </c>
      <c r="AC69" s="1138">
        <v>1.0</v>
      </c>
      <c r="AD69" s="1120">
        <v>2.0</v>
      </c>
      <c r="AE69" s="1138">
        <v>2.0</v>
      </c>
      <c r="AF69" s="1120">
        <v>5.0</v>
      </c>
      <c r="AG69" s="1138">
        <v>5.0</v>
      </c>
      <c r="AH69" s="1120">
        <v>2.0</v>
      </c>
      <c r="AI69" s="1138">
        <v>2.0</v>
      </c>
      <c r="AJ69" s="1120">
        <v>2.0</v>
      </c>
      <c r="AK69" s="1138">
        <v>2.0</v>
      </c>
      <c r="AL69" s="1120">
        <v>2.0</v>
      </c>
      <c r="AM69" s="1138">
        <v>2.0</v>
      </c>
      <c r="AN69" s="1120"/>
      <c r="AO69" s="1131"/>
      <c r="AP69" s="1120">
        <v>2.0</v>
      </c>
      <c r="AQ69" s="1131">
        <v>2.0</v>
      </c>
      <c r="AR69" s="1120">
        <v>4.0</v>
      </c>
      <c r="AS69" s="1138">
        <v>4.0</v>
      </c>
      <c r="AT69" s="1126">
        <v>4.0</v>
      </c>
      <c r="AU69" s="1138">
        <v>4.0</v>
      </c>
      <c r="AV69" s="1126">
        <v>2.0</v>
      </c>
      <c r="AW69" s="1138">
        <v>2.0</v>
      </c>
      <c r="AX69" s="1126">
        <v>6.0</v>
      </c>
      <c r="AY69" s="1138">
        <v>6.0</v>
      </c>
      <c r="AZ69" s="1126">
        <v>3.0</v>
      </c>
      <c r="BA69" s="1138">
        <v>3.0</v>
      </c>
      <c r="BB69" s="1120">
        <v>2.0</v>
      </c>
      <c r="BC69" s="1127">
        <v>2.0</v>
      </c>
      <c r="BD69" s="1126">
        <v>0.0</v>
      </c>
      <c r="BE69" s="1127">
        <v>0.0</v>
      </c>
      <c r="BF69" s="1126">
        <v>1.0</v>
      </c>
      <c r="BG69" s="1127">
        <v>1.0</v>
      </c>
      <c r="BH69" s="1126">
        <v>2.0</v>
      </c>
      <c r="BI69" s="1127">
        <v>2.0</v>
      </c>
      <c r="BJ69" s="1126">
        <v>5.0</v>
      </c>
      <c r="BK69" s="1127">
        <v>5.0</v>
      </c>
      <c r="BL69" s="1134">
        <v>43.0</v>
      </c>
      <c r="BM69" s="1138">
        <v>43.0</v>
      </c>
      <c r="BN69" s="783"/>
      <c r="BO69" s="1170"/>
      <c r="BP69" s="783">
        <f t="shared" si="41"/>
        <v>120</v>
      </c>
      <c r="BQ69" s="1405">
        <f t="shared" si="42"/>
        <v>119</v>
      </c>
      <c r="BR69" s="711">
        <f t="shared" si="43"/>
        <v>11662</v>
      </c>
      <c r="BS69" s="784">
        <f t="shared" si="44"/>
        <v>11760</v>
      </c>
      <c r="BT69" s="1545"/>
    </row>
    <row r="70" ht="15.75" customHeight="1">
      <c r="A70" s="1565" t="s">
        <v>145</v>
      </c>
      <c r="B70" s="1756">
        <v>3244.0</v>
      </c>
      <c r="C70" s="1567">
        <v>98.0</v>
      </c>
      <c r="D70" s="1875" t="s">
        <v>70</v>
      </c>
      <c r="E70" s="1759" t="str">
        <f>'Матрица 4 недели'!G109</f>
        <v>Салат ''Крабик'' с рисом</v>
      </c>
      <c r="F70" s="1120">
        <v>7.0</v>
      </c>
      <c r="G70" s="1121">
        <v>7.0</v>
      </c>
      <c r="H70" s="1120">
        <v>2.0</v>
      </c>
      <c r="I70" s="1121">
        <v>2.0</v>
      </c>
      <c r="J70" s="1120"/>
      <c r="K70" s="1121"/>
      <c r="L70" s="1120">
        <v>5.0</v>
      </c>
      <c r="M70" s="1121">
        <v>5.0</v>
      </c>
      <c r="N70" s="1120">
        <v>6.0</v>
      </c>
      <c r="O70" s="1121">
        <v>6.0</v>
      </c>
      <c r="P70" s="1120">
        <v>6.0</v>
      </c>
      <c r="Q70" s="1121">
        <v>6.0</v>
      </c>
      <c r="R70" s="1120">
        <v>4.0</v>
      </c>
      <c r="S70" s="1121">
        <v>4.0</v>
      </c>
      <c r="T70" s="1120">
        <v>4.0</v>
      </c>
      <c r="U70" s="1138">
        <v>4.0</v>
      </c>
      <c r="V70" s="1120">
        <v>6.0</v>
      </c>
      <c r="W70" s="1138">
        <v>6.0</v>
      </c>
      <c r="X70" s="1120">
        <v>5.0</v>
      </c>
      <c r="Y70" s="1138">
        <v>5.0</v>
      </c>
      <c r="Z70" s="1120"/>
      <c r="AA70" s="1121"/>
      <c r="AB70" s="1120">
        <v>2.0</v>
      </c>
      <c r="AC70" s="1127">
        <v>2.0</v>
      </c>
      <c r="AD70" s="1120">
        <v>2.0</v>
      </c>
      <c r="AE70" s="1127">
        <v>2.0</v>
      </c>
      <c r="AF70" s="1120">
        <v>4.0</v>
      </c>
      <c r="AG70" s="1138">
        <v>4.0</v>
      </c>
      <c r="AH70" s="1120">
        <v>4.0</v>
      </c>
      <c r="AI70" s="1138">
        <v>4.0</v>
      </c>
      <c r="AJ70" s="1120">
        <v>5.0</v>
      </c>
      <c r="AK70" s="1127">
        <v>5.0</v>
      </c>
      <c r="AL70" s="1120">
        <v>4.0</v>
      </c>
      <c r="AM70" s="1127">
        <v>4.0</v>
      </c>
      <c r="AN70" s="1120"/>
      <c r="AO70" s="1131"/>
      <c r="AP70" s="1120">
        <v>7.0</v>
      </c>
      <c r="AQ70" s="1131">
        <v>7.0</v>
      </c>
      <c r="AR70" s="1120">
        <v>10.0</v>
      </c>
      <c r="AS70" s="1138">
        <v>10.0</v>
      </c>
      <c r="AT70" s="1126">
        <v>4.0</v>
      </c>
      <c r="AU70" s="1138">
        <v>4.0</v>
      </c>
      <c r="AV70" s="1126">
        <v>2.0</v>
      </c>
      <c r="AW70" s="1138">
        <v>2.0</v>
      </c>
      <c r="AX70" s="1126">
        <v>9.0</v>
      </c>
      <c r="AY70" s="1138">
        <v>9.0</v>
      </c>
      <c r="AZ70" s="1126">
        <v>4.0</v>
      </c>
      <c r="BA70" s="1138">
        <v>4.0</v>
      </c>
      <c r="BB70" s="1120">
        <v>2.0</v>
      </c>
      <c r="BC70" s="1138">
        <v>2.0</v>
      </c>
      <c r="BD70" s="1126">
        <v>5.0</v>
      </c>
      <c r="BE70" s="1138">
        <v>5.0</v>
      </c>
      <c r="BF70" s="1126">
        <v>8.0</v>
      </c>
      <c r="BG70" s="1138">
        <v>8.0</v>
      </c>
      <c r="BH70" s="1126">
        <v>4.0</v>
      </c>
      <c r="BI70" s="1138">
        <v>4.0</v>
      </c>
      <c r="BJ70" s="1126">
        <v>8.0</v>
      </c>
      <c r="BK70" s="1138">
        <v>8.0</v>
      </c>
      <c r="BL70" s="1134">
        <v>43.0</v>
      </c>
      <c r="BM70" s="1138">
        <v>43.0</v>
      </c>
      <c r="BN70" s="783"/>
      <c r="BO70" s="1170"/>
      <c r="BP70" s="783">
        <f t="shared" si="41"/>
        <v>173</v>
      </c>
      <c r="BQ70" s="1405">
        <f t="shared" si="42"/>
        <v>172</v>
      </c>
      <c r="BR70" s="711">
        <f t="shared" si="43"/>
        <v>16856</v>
      </c>
      <c r="BS70" s="784">
        <f t="shared" si="44"/>
        <v>16954</v>
      </c>
      <c r="BT70" s="1545"/>
    </row>
    <row r="71" ht="15.75" customHeight="1">
      <c r="A71" s="1565" t="s">
        <v>145</v>
      </c>
      <c r="B71" s="1756">
        <v>2621.0</v>
      </c>
      <c r="C71" s="1567">
        <v>244.0</v>
      </c>
      <c r="D71" s="1876" t="s">
        <v>70</v>
      </c>
      <c r="E71" s="1759" t="str">
        <f>'Матрица 4 недели'!G110</f>
        <v>Салат ''Цезарь с курицей''</v>
      </c>
      <c r="F71" s="1126">
        <v>6.0</v>
      </c>
      <c r="G71" s="1121">
        <v>6.0</v>
      </c>
      <c r="H71" s="1120">
        <v>2.0</v>
      </c>
      <c r="I71" s="1121">
        <v>2.0</v>
      </c>
      <c r="J71" s="1120"/>
      <c r="K71" s="1121"/>
      <c r="L71" s="1126">
        <v>3.0</v>
      </c>
      <c r="M71" s="1121">
        <v>3.0</v>
      </c>
      <c r="N71" s="1126">
        <v>5.0</v>
      </c>
      <c r="O71" s="1121">
        <v>5.0</v>
      </c>
      <c r="P71" s="1126">
        <v>5.0</v>
      </c>
      <c r="Q71" s="1121">
        <v>5.0</v>
      </c>
      <c r="R71" s="1126">
        <v>0.0</v>
      </c>
      <c r="S71" s="1121">
        <v>0.0</v>
      </c>
      <c r="T71" s="1120">
        <v>2.0</v>
      </c>
      <c r="U71" s="1121">
        <v>2.0</v>
      </c>
      <c r="V71" s="1120">
        <v>5.0</v>
      </c>
      <c r="W71" s="1121">
        <v>5.0</v>
      </c>
      <c r="X71" s="1120">
        <v>1.0</v>
      </c>
      <c r="Y71" s="1121">
        <v>1.0</v>
      </c>
      <c r="Z71" s="1137"/>
      <c r="AA71" s="1121"/>
      <c r="AB71" s="1126">
        <v>3.0</v>
      </c>
      <c r="AC71" s="1121">
        <v>3.0</v>
      </c>
      <c r="AD71" s="1120">
        <v>4.0</v>
      </c>
      <c r="AE71" s="1121">
        <v>4.0</v>
      </c>
      <c r="AF71" s="1126">
        <v>6.0</v>
      </c>
      <c r="AG71" s="1121">
        <v>6.0</v>
      </c>
      <c r="AH71" s="1126">
        <v>2.0</v>
      </c>
      <c r="AI71" s="1121">
        <v>2.0</v>
      </c>
      <c r="AJ71" s="1120">
        <v>2.0</v>
      </c>
      <c r="AK71" s="1121">
        <v>2.0</v>
      </c>
      <c r="AL71" s="1120">
        <v>4.0</v>
      </c>
      <c r="AM71" s="1121">
        <v>4.0</v>
      </c>
      <c r="AN71" s="1126"/>
      <c r="AO71" s="1121"/>
      <c r="AP71" s="1126">
        <v>1.0</v>
      </c>
      <c r="AQ71" s="1121">
        <v>1.0</v>
      </c>
      <c r="AR71" s="1126">
        <v>4.0</v>
      </c>
      <c r="AS71" s="1121">
        <v>4.0</v>
      </c>
      <c r="AT71" s="1126">
        <v>2.0</v>
      </c>
      <c r="AU71" s="1121">
        <v>2.0</v>
      </c>
      <c r="AV71" s="1126">
        <v>3.0</v>
      </c>
      <c r="AW71" s="1121">
        <v>3.0</v>
      </c>
      <c r="AX71" s="1126">
        <v>0.0</v>
      </c>
      <c r="AY71" s="1121">
        <v>0.0</v>
      </c>
      <c r="AZ71" s="1126">
        <v>2.0</v>
      </c>
      <c r="BA71" s="1121">
        <v>2.0</v>
      </c>
      <c r="BB71" s="1120">
        <v>3.0</v>
      </c>
      <c r="BC71" s="1121">
        <v>3.0</v>
      </c>
      <c r="BD71" s="1126">
        <v>0.0</v>
      </c>
      <c r="BE71" s="1121">
        <v>0.0</v>
      </c>
      <c r="BF71" s="1126">
        <v>3.0</v>
      </c>
      <c r="BG71" s="1121">
        <v>3.0</v>
      </c>
      <c r="BH71" s="1126">
        <v>4.0</v>
      </c>
      <c r="BI71" s="1121">
        <v>4.0</v>
      </c>
      <c r="BJ71" s="1126">
        <v>4.0</v>
      </c>
      <c r="BK71" s="1127">
        <v>4.0</v>
      </c>
      <c r="BL71" s="1134"/>
      <c r="BM71" s="1776"/>
      <c r="BN71" s="1877"/>
      <c r="BO71" s="1878"/>
      <c r="BP71" s="783">
        <f t="shared" si="41"/>
        <v>77</v>
      </c>
      <c r="BQ71" s="1405">
        <f t="shared" si="42"/>
        <v>76</v>
      </c>
      <c r="BR71" s="711">
        <f t="shared" si="43"/>
        <v>18544</v>
      </c>
      <c r="BS71" s="784">
        <f t="shared" si="44"/>
        <v>18788</v>
      </c>
      <c r="BT71" s="1545"/>
    </row>
    <row r="72" ht="15.75" customHeight="1">
      <c r="A72" s="1708"/>
      <c r="B72" s="1756">
        <v>8.0</v>
      </c>
      <c r="C72" s="1567">
        <v>104.0</v>
      </c>
      <c r="D72" s="1875" t="s">
        <v>74</v>
      </c>
      <c r="E72" s="1759" t="str">
        <f>'Матрица 4 недели'!J107</f>
        <v>Суп гороховый 250 мл</v>
      </c>
      <c r="F72" s="1137"/>
      <c r="G72" s="1138"/>
      <c r="H72" s="1126"/>
      <c r="I72" s="1138"/>
      <c r="J72" s="1126"/>
      <c r="K72" s="1138"/>
      <c r="L72" s="1126"/>
      <c r="M72" s="1138"/>
      <c r="N72" s="1126"/>
      <c r="O72" s="1138"/>
      <c r="P72" s="1126"/>
      <c r="Q72" s="1142"/>
      <c r="R72" s="1126"/>
      <c r="S72" s="1121"/>
      <c r="T72" s="1137"/>
      <c r="U72" s="1121"/>
      <c r="V72" s="1137"/>
      <c r="W72" s="1121"/>
      <c r="X72" s="1137"/>
      <c r="Y72" s="1121"/>
      <c r="Z72" s="1137"/>
      <c r="AA72" s="1121"/>
      <c r="AB72" s="1120"/>
      <c r="AC72" s="1121"/>
      <c r="AD72" s="1120"/>
      <c r="AE72" s="1121"/>
      <c r="AF72" s="1137"/>
      <c r="AG72" s="1121"/>
      <c r="AH72" s="1120"/>
      <c r="AI72" s="1121"/>
      <c r="AJ72" s="1120"/>
      <c r="AK72" s="1121"/>
      <c r="AL72" s="1137"/>
      <c r="AM72" s="1121"/>
      <c r="AN72" s="1137"/>
      <c r="AO72" s="1131"/>
      <c r="AP72" s="1137"/>
      <c r="AQ72" s="1131"/>
      <c r="AR72" s="1137"/>
      <c r="AS72" s="1138"/>
      <c r="AT72" s="1126"/>
      <c r="AU72" s="1138"/>
      <c r="AV72" s="1126"/>
      <c r="AW72" s="1138"/>
      <c r="AX72" s="1126"/>
      <c r="AY72" s="1138"/>
      <c r="AZ72" s="1126"/>
      <c r="BA72" s="1138"/>
      <c r="BB72" s="1126"/>
      <c r="BC72" s="1127"/>
      <c r="BD72" s="1126"/>
      <c r="BE72" s="1127"/>
      <c r="BF72" s="1126"/>
      <c r="BG72" s="1127"/>
      <c r="BH72" s="1126"/>
      <c r="BI72" s="1127"/>
      <c r="BJ72" s="1126"/>
      <c r="BK72" s="1127"/>
      <c r="BL72" s="1139">
        <v>110.0</v>
      </c>
      <c r="BM72" s="1138">
        <v>110.0</v>
      </c>
      <c r="BN72" s="1176">
        <v>10.0</v>
      </c>
      <c r="BO72" s="1737"/>
      <c r="BP72" s="783">
        <f t="shared" si="41"/>
        <v>111</v>
      </c>
      <c r="BQ72" s="1774">
        <f t="shared" si="42"/>
        <v>110</v>
      </c>
      <c r="BR72" s="711">
        <f t="shared" si="43"/>
        <v>11440</v>
      </c>
      <c r="BS72" s="784">
        <f t="shared" si="44"/>
        <v>11544</v>
      </c>
      <c r="BT72" s="1545"/>
    </row>
    <row r="73" ht="15.75" customHeight="1">
      <c r="A73" s="1565" t="s">
        <v>145</v>
      </c>
      <c r="B73" s="1756">
        <v>1106.0</v>
      </c>
      <c r="C73" s="1567">
        <v>139.0</v>
      </c>
      <c r="D73" s="1875" t="s">
        <v>74</v>
      </c>
      <c r="E73" s="1759" t="str">
        <f>'Матрица 4 недели'!J108</f>
        <v>Суп-крем из тыквы</v>
      </c>
      <c r="F73" s="1143">
        <v>3.0</v>
      </c>
      <c r="G73" s="1307">
        <v>3.0</v>
      </c>
      <c r="H73" s="1141"/>
      <c r="I73" s="1307">
        <v>1.0</v>
      </c>
      <c r="J73" s="1141"/>
      <c r="K73" s="1307"/>
      <c r="L73" s="1141"/>
      <c r="M73" s="1307">
        <v>2.0</v>
      </c>
      <c r="N73" s="1141">
        <v>2.0</v>
      </c>
      <c r="O73" s="1307">
        <v>2.0</v>
      </c>
      <c r="P73" s="1141">
        <v>1.0</v>
      </c>
      <c r="Q73" s="1142">
        <v>1.0</v>
      </c>
      <c r="R73" s="1126">
        <v>0.0</v>
      </c>
      <c r="S73" s="1121">
        <v>0.0</v>
      </c>
      <c r="T73" s="1143">
        <v>2.0</v>
      </c>
      <c r="U73" s="1121">
        <v>2.0</v>
      </c>
      <c r="V73" s="1143">
        <v>1.0</v>
      </c>
      <c r="W73" s="1305">
        <v>2.0</v>
      </c>
      <c r="X73" s="1143">
        <v>1.0</v>
      </c>
      <c r="Y73" s="1121">
        <v>2.0</v>
      </c>
      <c r="Z73" s="1143"/>
      <c r="AA73" s="1121"/>
      <c r="AB73" s="1302">
        <v>0.0</v>
      </c>
      <c r="AC73" s="1121">
        <v>0.0</v>
      </c>
      <c r="AD73" s="1302">
        <v>0.0</v>
      </c>
      <c r="AE73" s="1121">
        <v>2.0</v>
      </c>
      <c r="AF73" s="1143">
        <v>1.0</v>
      </c>
      <c r="AG73" s="1121">
        <v>1.0</v>
      </c>
      <c r="AH73" s="1302">
        <v>2.0</v>
      </c>
      <c r="AI73" s="1121">
        <v>2.0</v>
      </c>
      <c r="AJ73" s="1302">
        <v>0.0</v>
      </c>
      <c r="AK73" s="1121">
        <v>1.0</v>
      </c>
      <c r="AL73" s="1143">
        <v>0.0</v>
      </c>
      <c r="AM73" s="1121">
        <v>0.0</v>
      </c>
      <c r="AN73" s="1137"/>
      <c r="AO73" s="1131"/>
      <c r="AP73" s="1137">
        <v>0.0</v>
      </c>
      <c r="AQ73" s="1131">
        <v>1.0</v>
      </c>
      <c r="AR73" s="1137">
        <v>2.0</v>
      </c>
      <c r="AS73" s="1138">
        <v>2.0</v>
      </c>
      <c r="AT73" s="1126">
        <v>0.0</v>
      </c>
      <c r="AU73" s="1138">
        <v>1.0</v>
      </c>
      <c r="AV73" s="1126">
        <v>0.0</v>
      </c>
      <c r="AW73" s="1138">
        <v>1.0</v>
      </c>
      <c r="AX73" s="1126">
        <v>1.0</v>
      </c>
      <c r="AY73" s="1138">
        <v>1.0</v>
      </c>
      <c r="AZ73" s="1126">
        <v>0.0</v>
      </c>
      <c r="BA73" s="1138">
        <v>1.0</v>
      </c>
      <c r="BB73" s="1141">
        <v>2.0</v>
      </c>
      <c r="BC73" s="1127">
        <v>2.0</v>
      </c>
      <c r="BD73" s="1126">
        <v>1.0</v>
      </c>
      <c r="BE73" s="1127">
        <v>1.0</v>
      </c>
      <c r="BF73" s="1126">
        <v>1.0</v>
      </c>
      <c r="BG73" s="1127">
        <v>1.0</v>
      </c>
      <c r="BH73" s="1126">
        <v>0.0</v>
      </c>
      <c r="BI73" s="1127">
        <v>1.0</v>
      </c>
      <c r="BJ73" s="1126">
        <v>2.0</v>
      </c>
      <c r="BK73" s="1127">
        <v>2.0</v>
      </c>
      <c r="BL73" s="1139"/>
      <c r="BM73" s="1138"/>
      <c r="BN73" s="783"/>
      <c r="BO73" s="1170"/>
      <c r="BP73" s="783">
        <f t="shared" si="41"/>
        <v>23</v>
      </c>
      <c r="BQ73" s="1774">
        <f t="shared" si="42"/>
        <v>35</v>
      </c>
      <c r="BR73" s="711">
        <f t="shared" si="43"/>
        <v>4865</v>
      </c>
      <c r="BS73" s="784">
        <f t="shared" si="44"/>
        <v>3197</v>
      </c>
      <c r="BT73" s="1545"/>
    </row>
    <row r="74" ht="15.75" customHeight="1">
      <c r="A74" s="1565" t="s">
        <v>145</v>
      </c>
      <c r="B74" s="1756">
        <v>48.0</v>
      </c>
      <c r="C74" s="1567">
        <v>237.0</v>
      </c>
      <c r="D74" s="1875" t="s">
        <v>77</v>
      </c>
      <c r="E74" s="1759" t="str">
        <f>'Матрица 4 недели'!M107</f>
        <v>Голубец с картофельным пюре</v>
      </c>
      <c r="F74" s="1284">
        <v>9.0</v>
      </c>
      <c r="G74" s="1285">
        <v>9.0</v>
      </c>
      <c r="H74" s="1284">
        <v>3.0</v>
      </c>
      <c r="I74" s="1285">
        <v>3.0</v>
      </c>
      <c r="J74" s="1284"/>
      <c r="K74" s="1285"/>
      <c r="L74" s="1284">
        <v>5.0</v>
      </c>
      <c r="M74" s="1285">
        <v>5.0</v>
      </c>
      <c r="N74" s="1284">
        <v>9.0</v>
      </c>
      <c r="O74" s="1285">
        <v>9.0</v>
      </c>
      <c r="P74" s="1284">
        <v>4.0</v>
      </c>
      <c r="Q74" s="1142">
        <v>4.0</v>
      </c>
      <c r="R74" s="1286">
        <v>5.0</v>
      </c>
      <c r="S74" s="1142">
        <v>5.0</v>
      </c>
      <c r="T74" s="1284">
        <v>2.0</v>
      </c>
      <c r="U74" s="1142">
        <v>2.0</v>
      </c>
      <c r="V74" s="1287">
        <v>4.0</v>
      </c>
      <c r="W74" s="1288">
        <v>4.0</v>
      </c>
      <c r="X74" s="1284">
        <v>6.0</v>
      </c>
      <c r="Y74" s="1834">
        <v>6.0</v>
      </c>
      <c r="Z74" s="1284"/>
      <c r="AA74" s="1835"/>
      <c r="AB74" s="1284">
        <v>2.0</v>
      </c>
      <c r="AC74" s="1131">
        <v>2.0</v>
      </c>
      <c r="AD74" s="1284">
        <v>3.0</v>
      </c>
      <c r="AE74" s="1834">
        <v>3.0</v>
      </c>
      <c r="AF74" s="1284">
        <v>4.0</v>
      </c>
      <c r="AG74" s="1834">
        <v>4.0</v>
      </c>
      <c r="AH74" s="1284">
        <v>4.0</v>
      </c>
      <c r="AI74" s="1834">
        <v>4.0</v>
      </c>
      <c r="AJ74" s="1284">
        <v>4.0</v>
      </c>
      <c r="AK74" s="1834">
        <v>4.0</v>
      </c>
      <c r="AL74" s="1284">
        <v>2.0</v>
      </c>
      <c r="AM74" s="1138">
        <v>2.0</v>
      </c>
      <c r="AN74" s="1126"/>
      <c r="AO74" s="1131"/>
      <c r="AP74" s="1126">
        <v>2.0</v>
      </c>
      <c r="AQ74" s="1131">
        <v>2.0</v>
      </c>
      <c r="AR74" s="1126">
        <v>8.0</v>
      </c>
      <c r="AS74" s="1138">
        <v>8.0</v>
      </c>
      <c r="AT74" s="1126">
        <v>5.0</v>
      </c>
      <c r="AU74" s="1138">
        <v>5.0</v>
      </c>
      <c r="AV74" s="1126">
        <v>4.0</v>
      </c>
      <c r="AW74" s="1138">
        <v>4.0</v>
      </c>
      <c r="AX74" s="1126">
        <v>3.0</v>
      </c>
      <c r="AY74" s="1138">
        <v>3.0</v>
      </c>
      <c r="AZ74" s="1126">
        <v>5.0</v>
      </c>
      <c r="BA74" s="1138">
        <v>5.0</v>
      </c>
      <c r="BB74" s="1284">
        <v>2.0</v>
      </c>
      <c r="BC74" s="1138">
        <v>2.0</v>
      </c>
      <c r="BD74" s="1126">
        <v>5.0</v>
      </c>
      <c r="BE74" s="1138">
        <v>5.0</v>
      </c>
      <c r="BF74" s="1126">
        <v>2.0</v>
      </c>
      <c r="BG74" s="1138">
        <v>2.0</v>
      </c>
      <c r="BH74" s="1137">
        <v>4.0</v>
      </c>
      <c r="BI74" s="1138">
        <v>4.0</v>
      </c>
      <c r="BJ74" s="1126">
        <v>9.0</v>
      </c>
      <c r="BK74" s="1138">
        <v>9.0</v>
      </c>
      <c r="BL74" s="1134"/>
      <c r="BM74" s="1138"/>
      <c r="BN74" s="1176">
        <v>10.0</v>
      </c>
      <c r="BO74" s="1737"/>
      <c r="BP74" s="1773">
        <f t="shared" si="41"/>
        <v>116</v>
      </c>
      <c r="BQ74" s="1774">
        <f t="shared" si="42"/>
        <v>115</v>
      </c>
      <c r="BR74" s="711">
        <f t="shared" si="43"/>
        <v>27255</v>
      </c>
      <c r="BS74" s="784">
        <f t="shared" si="44"/>
        <v>27492</v>
      </c>
      <c r="BT74" s="1545"/>
    </row>
    <row r="75" ht="15.75" customHeight="1">
      <c r="A75" s="1565" t="s">
        <v>145</v>
      </c>
      <c r="B75" s="1756">
        <v>3407.0</v>
      </c>
      <c r="C75" s="1567">
        <v>208.0</v>
      </c>
      <c r="D75" s="1875" t="s">
        <v>77</v>
      </c>
      <c r="E75" s="1879" t="str">
        <f>'Матрица 4 недели'!M108</f>
        <v>Минтай в кляре с булгуром</v>
      </c>
      <c r="F75" s="1120">
        <v>4.0</v>
      </c>
      <c r="G75" s="1121">
        <v>4.0</v>
      </c>
      <c r="H75" s="1120">
        <v>3.0</v>
      </c>
      <c r="I75" s="1121">
        <v>3.0</v>
      </c>
      <c r="J75" s="1120"/>
      <c r="K75" s="1121"/>
      <c r="L75" s="1126">
        <v>5.0</v>
      </c>
      <c r="M75" s="1121">
        <v>5.0</v>
      </c>
      <c r="N75" s="1120">
        <v>8.0</v>
      </c>
      <c r="O75" s="1121">
        <v>8.0</v>
      </c>
      <c r="P75" s="1120">
        <v>7.0</v>
      </c>
      <c r="Q75" s="1121">
        <v>7.0</v>
      </c>
      <c r="R75" s="1120">
        <v>2.0</v>
      </c>
      <c r="S75" s="1121">
        <v>2.0</v>
      </c>
      <c r="T75" s="1120">
        <v>2.0</v>
      </c>
      <c r="U75" s="1121">
        <v>2.0</v>
      </c>
      <c r="V75" s="1120">
        <v>5.0</v>
      </c>
      <c r="W75" s="1121">
        <v>5.0</v>
      </c>
      <c r="X75" s="1120">
        <v>6.0</v>
      </c>
      <c r="Y75" s="1121">
        <v>6.0</v>
      </c>
      <c r="Z75" s="1120"/>
      <c r="AA75" s="1121"/>
      <c r="AB75" s="1120">
        <v>3.0</v>
      </c>
      <c r="AC75" s="1121">
        <v>3.0</v>
      </c>
      <c r="AD75" s="1120">
        <v>2.0</v>
      </c>
      <c r="AE75" s="1121">
        <v>2.0</v>
      </c>
      <c r="AF75" s="1120">
        <v>5.0</v>
      </c>
      <c r="AG75" s="1121">
        <v>5.0</v>
      </c>
      <c r="AH75" s="1120">
        <v>3.0</v>
      </c>
      <c r="AI75" s="1121">
        <v>3.0</v>
      </c>
      <c r="AJ75" s="1120">
        <v>4.0</v>
      </c>
      <c r="AK75" s="1121">
        <v>4.0</v>
      </c>
      <c r="AL75" s="1120">
        <v>2.0</v>
      </c>
      <c r="AM75" s="1121">
        <v>2.0</v>
      </c>
      <c r="AN75" s="1120"/>
      <c r="AO75" s="1131"/>
      <c r="AP75" s="1120">
        <v>2.0</v>
      </c>
      <c r="AQ75" s="1131">
        <v>2.0</v>
      </c>
      <c r="AR75" s="1120">
        <v>5.0</v>
      </c>
      <c r="AS75" s="1121">
        <v>5.0</v>
      </c>
      <c r="AT75" s="1126">
        <v>2.0</v>
      </c>
      <c r="AU75" s="1121">
        <v>2.0</v>
      </c>
      <c r="AV75" s="1126">
        <v>2.0</v>
      </c>
      <c r="AW75" s="1121">
        <v>2.0</v>
      </c>
      <c r="AX75" s="1126">
        <v>3.0</v>
      </c>
      <c r="AY75" s="1121">
        <v>3.0</v>
      </c>
      <c r="AZ75" s="1126">
        <v>3.0</v>
      </c>
      <c r="BA75" s="1121">
        <v>3.0</v>
      </c>
      <c r="BB75" s="1120">
        <v>2.0</v>
      </c>
      <c r="BC75" s="1121">
        <v>2.0</v>
      </c>
      <c r="BD75" s="1137">
        <v>4.0</v>
      </c>
      <c r="BE75" s="1121">
        <v>4.0</v>
      </c>
      <c r="BF75" s="1137">
        <v>4.0</v>
      </c>
      <c r="BG75" s="1121">
        <v>4.0</v>
      </c>
      <c r="BH75" s="1137">
        <v>3.0</v>
      </c>
      <c r="BI75" s="1121">
        <v>3.0</v>
      </c>
      <c r="BJ75" s="1126">
        <v>6.0</v>
      </c>
      <c r="BK75" s="1121">
        <v>6.0</v>
      </c>
      <c r="BL75" s="1134"/>
      <c r="BM75" s="1776"/>
      <c r="BN75" s="1880">
        <v>10.0</v>
      </c>
      <c r="BO75" s="1881">
        <v>10.0</v>
      </c>
      <c r="BP75" s="783">
        <f t="shared" si="41"/>
        <v>98</v>
      </c>
      <c r="BQ75" s="1405">
        <f t="shared" si="42"/>
        <v>97</v>
      </c>
      <c r="BR75" s="711">
        <f t="shared" si="43"/>
        <v>20176</v>
      </c>
      <c r="BS75" s="784">
        <f t="shared" si="44"/>
        <v>20384</v>
      </c>
      <c r="BT75" s="1545"/>
    </row>
    <row r="76" ht="15.75" customHeight="1">
      <c r="A76" s="1565" t="s">
        <v>145</v>
      </c>
      <c r="B76" s="1756">
        <v>4328.0</v>
      </c>
      <c r="C76" s="1567">
        <v>211.0</v>
      </c>
      <c r="D76" s="1875" t="s">
        <v>77</v>
      </c>
      <c r="E76" s="1879" t="str">
        <f>'Матрица 4 недели'!M109</f>
        <v>Курочка с овощной сальсой с макаронами</v>
      </c>
      <c r="F76" s="1120">
        <v>13.0</v>
      </c>
      <c r="G76" s="1121">
        <v>13.0</v>
      </c>
      <c r="H76" s="1120">
        <v>6.0</v>
      </c>
      <c r="I76" s="1121">
        <v>6.0</v>
      </c>
      <c r="J76" s="1120"/>
      <c r="K76" s="1121"/>
      <c r="L76" s="1126">
        <v>8.0</v>
      </c>
      <c r="M76" s="1121">
        <v>8.0</v>
      </c>
      <c r="N76" s="1120">
        <v>14.0</v>
      </c>
      <c r="O76" s="1121">
        <v>14.0</v>
      </c>
      <c r="P76" s="1120">
        <v>11.0</v>
      </c>
      <c r="Q76" s="1121">
        <v>11.0</v>
      </c>
      <c r="R76" s="1120">
        <v>6.0</v>
      </c>
      <c r="S76" s="1121">
        <v>6.0</v>
      </c>
      <c r="T76" s="1120">
        <v>7.0</v>
      </c>
      <c r="U76" s="1121">
        <v>7.0</v>
      </c>
      <c r="V76" s="1120">
        <v>8.0</v>
      </c>
      <c r="W76" s="1121">
        <v>8.0</v>
      </c>
      <c r="X76" s="1120">
        <v>5.0</v>
      </c>
      <c r="Y76" s="1121">
        <v>5.0</v>
      </c>
      <c r="Z76" s="1120"/>
      <c r="AA76" s="1121"/>
      <c r="AB76" s="1120">
        <v>2.0</v>
      </c>
      <c r="AC76" s="1121">
        <v>2.0</v>
      </c>
      <c r="AD76" s="1120">
        <v>3.0</v>
      </c>
      <c r="AE76" s="1127">
        <v>3.0</v>
      </c>
      <c r="AF76" s="1120">
        <v>5.0</v>
      </c>
      <c r="AG76" s="1127">
        <v>5.0</v>
      </c>
      <c r="AH76" s="1120">
        <v>6.0</v>
      </c>
      <c r="AI76" s="1127">
        <v>6.0</v>
      </c>
      <c r="AJ76" s="1120">
        <v>6.0</v>
      </c>
      <c r="AK76" s="1127">
        <v>6.0</v>
      </c>
      <c r="AL76" s="1120">
        <v>2.0</v>
      </c>
      <c r="AM76" s="1127">
        <v>2.0</v>
      </c>
      <c r="AN76" s="1120"/>
      <c r="AO76" s="1121"/>
      <c r="AP76" s="1120">
        <v>3.0</v>
      </c>
      <c r="AQ76" s="1131">
        <v>3.0</v>
      </c>
      <c r="AR76" s="1120">
        <v>5.0</v>
      </c>
      <c r="AS76" s="1121">
        <v>5.0</v>
      </c>
      <c r="AT76" s="1126">
        <v>6.0</v>
      </c>
      <c r="AU76" s="1121">
        <v>6.0</v>
      </c>
      <c r="AV76" s="1126">
        <v>5.0</v>
      </c>
      <c r="AW76" s="1121">
        <v>5.0</v>
      </c>
      <c r="AX76" s="1126">
        <v>5.0</v>
      </c>
      <c r="AY76" s="1121">
        <v>5.0</v>
      </c>
      <c r="AZ76" s="1126">
        <v>4.0</v>
      </c>
      <c r="BA76" s="1121">
        <v>4.0</v>
      </c>
      <c r="BB76" s="1120">
        <v>2.0</v>
      </c>
      <c r="BC76" s="1121">
        <v>2.0</v>
      </c>
      <c r="BD76" s="1137">
        <v>2.0</v>
      </c>
      <c r="BE76" s="1121">
        <v>2.0</v>
      </c>
      <c r="BF76" s="1137">
        <v>7.0</v>
      </c>
      <c r="BG76" s="1121">
        <v>7.0</v>
      </c>
      <c r="BH76" s="1137">
        <v>2.0</v>
      </c>
      <c r="BI76" s="1121">
        <v>2.0</v>
      </c>
      <c r="BJ76" s="1126">
        <v>7.0</v>
      </c>
      <c r="BK76" s="1121">
        <v>7.0</v>
      </c>
      <c r="BL76" s="1134"/>
      <c r="BM76" s="1776"/>
      <c r="BN76" s="1880">
        <v>20.0</v>
      </c>
      <c r="BO76" s="1784">
        <v>20.0</v>
      </c>
      <c r="BP76" s="783">
        <f t="shared" si="41"/>
        <v>151</v>
      </c>
      <c r="BQ76" s="1405">
        <f t="shared" si="42"/>
        <v>150</v>
      </c>
      <c r="BR76" s="711">
        <f t="shared" si="43"/>
        <v>31650</v>
      </c>
      <c r="BS76" s="784">
        <f t="shared" si="44"/>
        <v>31861</v>
      </c>
      <c r="BT76" s="1545"/>
    </row>
    <row r="77" ht="15.75" customHeight="1">
      <c r="A77" s="1565" t="s">
        <v>145</v>
      </c>
      <c r="B77" s="1756">
        <v>4025.0</v>
      </c>
      <c r="C77" s="1567">
        <v>236.0</v>
      </c>
      <c r="D77" s="1875" t="s">
        <v>77</v>
      </c>
      <c r="E77" s="1759" t="str">
        <f>'Матрица 4 недели'!M110</f>
        <v>Бедро в пряном соусе с гречкой </v>
      </c>
      <c r="F77" s="1137">
        <v>5.0</v>
      </c>
      <c r="G77" s="1121">
        <v>3.0</v>
      </c>
      <c r="H77" s="1126">
        <v>5.0</v>
      </c>
      <c r="I77" s="1121">
        <v>3.0</v>
      </c>
      <c r="J77" s="1126"/>
      <c r="K77" s="1600"/>
      <c r="L77" s="1161">
        <v>2.0</v>
      </c>
      <c r="M77" s="1600">
        <v>2.0</v>
      </c>
      <c r="N77" s="1126">
        <v>3.0</v>
      </c>
      <c r="O77" s="1121">
        <v>3.0</v>
      </c>
      <c r="P77" s="1126">
        <v>3.0</v>
      </c>
      <c r="Q77" s="1121">
        <v>3.0</v>
      </c>
      <c r="R77" s="1126">
        <v>0.0</v>
      </c>
      <c r="S77" s="1121">
        <v>0.0</v>
      </c>
      <c r="T77" s="1126">
        <v>1.0</v>
      </c>
      <c r="U77" s="1138">
        <v>1.0</v>
      </c>
      <c r="V77" s="1137">
        <v>2.0</v>
      </c>
      <c r="W77" s="1138">
        <v>2.0</v>
      </c>
      <c r="X77" s="1137">
        <v>5.0</v>
      </c>
      <c r="Y77" s="1138">
        <v>3.0</v>
      </c>
      <c r="Z77" s="1137"/>
      <c r="AA77" s="1138"/>
      <c r="AB77" s="1137">
        <v>3.0</v>
      </c>
      <c r="AC77" s="1138">
        <v>3.0</v>
      </c>
      <c r="AD77" s="1137">
        <v>3.0</v>
      </c>
      <c r="AE77" s="1138">
        <v>3.0</v>
      </c>
      <c r="AF77" s="1137">
        <v>3.0</v>
      </c>
      <c r="AG77" s="1138">
        <v>3.0</v>
      </c>
      <c r="AH77" s="1137">
        <v>4.0</v>
      </c>
      <c r="AI77" s="1138">
        <v>4.0</v>
      </c>
      <c r="AJ77" s="1137">
        <v>3.0</v>
      </c>
      <c r="AK77" s="1138">
        <v>3.0</v>
      </c>
      <c r="AL77" s="1120">
        <v>1.0</v>
      </c>
      <c r="AM77" s="1138">
        <v>1.0</v>
      </c>
      <c r="AN77" s="1120"/>
      <c r="AO77" s="1131"/>
      <c r="AP77" s="1120">
        <v>2.0</v>
      </c>
      <c r="AQ77" s="1131">
        <v>2.0</v>
      </c>
      <c r="AR77" s="1120">
        <v>2.0</v>
      </c>
      <c r="AS77" s="1305">
        <v>2.0</v>
      </c>
      <c r="AT77" s="1141">
        <v>3.0</v>
      </c>
      <c r="AU77" s="1305">
        <v>3.0</v>
      </c>
      <c r="AV77" s="1141">
        <v>4.0</v>
      </c>
      <c r="AW77" s="1305">
        <v>4.0</v>
      </c>
      <c r="AX77" s="1141">
        <v>2.0</v>
      </c>
      <c r="AY77" s="1305">
        <v>2.0</v>
      </c>
      <c r="AZ77" s="1141">
        <v>3.0</v>
      </c>
      <c r="BA77" s="1305">
        <v>3.0</v>
      </c>
      <c r="BB77" s="1126">
        <v>2.0</v>
      </c>
      <c r="BC77" s="1883">
        <v>2.0</v>
      </c>
      <c r="BD77" s="1141">
        <v>0.0</v>
      </c>
      <c r="BE77" s="1883">
        <v>0.0</v>
      </c>
      <c r="BF77" s="1141">
        <v>1.0</v>
      </c>
      <c r="BG77" s="1883">
        <v>1.0</v>
      </c>
      <c r="BH77" s="1141">
        <v>3.0</v>
      </c>
      <c r="BI77" s="1883">
        <v>3.0</v>
      </c>
      <c r="BJ77" s="1141">
        <v>0.0</v>
      </c>
      <c r="BK77" s="1883">
        <v>0.0</v>
      </c>
      <c r="BL77" s="1513">
        <v>25.0</v>
      </c>
      <c r="BM77" s="1784">
        <v>25.0</v>
      </c>
      <c r="BN77" s="1880"/>
      <c r="BO77" s="1878"/>
      <c r="BP77" s="783">
        <f t="shared" si="41"/>
        <v>91</v>
      </c>
      <c r="BQ77" s="1405">
        <f t="shared" si="42"/>
        <v>84</v>
      </c>
      <c r="BR77" s="711">
        <f t="shared" si="43"/>
        <v>19824</v>
      </c>
      <c r="BS77" s="784">
        <f t="shared" si="44"/>
        <v>21476</v>
      </c>
      <c r="BT77" s="1545"/>
    </row>
    <row r="78" ht="15.75" customHeight="1">
      <c r="A78" s="1708"/>
      <c r="B78" s="1756">
        <v>958.0</v>
      </c>
      <c r="C78" s="1567">
        <v>193.0</v>
      </c>
      <c r="D78" s="1875" t="s">
        <v>77</v>
      </c>
      <c r="E78" s="1759" t="str">
        <f>'Матрица 4 недели'!M111</f>
        <v>Поджарка из курицы с рисом</v>
      </c>
      <c r="F78" s="1137"/>
      <c r="G78" s="1121">
        <v>2.0</v>
      </c>
      <c r="H78" s="1126"/>
      <c r="I78" s="1121">
        <v>2.0</v>
      </c>
      <c r="J78" s="1126"/>
      <c r="K78" s="1600"/>
      <c r="L78" s="1161"/>
      <c r="M78" s="1600"/>
      <c r="N78" s="1126"/>
      <c r="O78" s="1121"/>
      <c r="P78" s="1126"/>
      <c r="Q78" s="1121"/>
      <c r="R78" s="1126"/>
      <c r="S78" s="1121"/>
      <c r="T78" s="1126"/>
      <c r="U78" s="1138"/>
      <c r="V78" s="1137"/>
      <c r="W78" s="1138"/>
      <c r="X78" s="1137"/>
      <c r="Y78" s="1138">
        <v>2.0</v>
      </c>
      <c r="Z78" s="1137"/>
      <c r="AA78" s="1138"/>
      <c r="AB78" s="1137"/>
      <c r="AC78" s="1138"/>
      <c r="AD78" s="1137"/>
      <c r="AE78" s="1138"/>
      <c r="AF78" s="1137"/>
      <c r="AG78" s="1138"/>
      <c r="AH78" s="1137"/>
      <c r="AI78" s="1138">
        <v>2.0</v>
      </c>
      <c r="AJ78" s="1137"/>
      <c r="AK78" s="1138"/>
      <c r="AL78" s="1120"/>
      <c r="AM78" s="1138"/>
      <c r="AN78" s="1120"/>
      <c r="AO78" s="1131"/>
      <c r="AP78" s="1120"/>
      <c r="AQ78" s="1131"/>
      <c r="AR78" s="1120"/>
      <c r="AS78" s="1305"/>
      <c r="AT78" s="1141"/>
      <c r="AU78" s="1305"/>
      <c r="AV78" s="1141"/>
      <c r="AW78" s="1305">
        <v>2.0</v>
      </c>
      <c r="AX78" s="1141"/>
      <c r="AY78" s="1305"/>
      <c r="AZ78" s="1141"/>
      <c r="BA78" s="1305"/>
      <c r="BB78" s="1126"/>
      <c r="BC78" s="1305"/>
      <c r="BD78" s="1141"/>
      <c r="BE78" s="1305"/>
      <c r="BF78" s="1141"/>
      <c r="BG78" s="1305"/>
      <c r="BH78" s="1141"/>
      <c r="BI78" s="1305"/>
      <c r="BJ78" s="1141"/>
      <c r="BK78" s="1305"/>
      <c r="BL78" s="1513">
        <v>80.0</v>
      </c>
      <c r="BM78" s="1784">
        <v>80.0</v>
      </c>
      <c r="BN78" s="1877"/>
      <c r="BO78" s="1878"/>
      <c r="BP78" s="783">
        <f t="shared" si="41"/>
        <v>81</v>
      </c>
      <c r="BQ78" s="1405">
        <f t="shared" si="42"/>
        <v>90</v>
      </c>
      <c r="BR78" s="711">
        <f t="shared" si="43"/>
        <v>17370</v>
      </c>
      <c r="BS78" s="784">
        <f t="shared" si="44"/>
        <v>15633</v>
      </c>
      <c r="BT78" s="1545"/>
    </row>
    <row r="79" ht="15.75" customHeight="1">
      <c r="A79" s="1565" t="s">
        <v>145</v>
      </c>
      <c r="B79" s="1756">
        <v>4029.0</v>
      </c>
      <c r="C79" s="1567">
        <v>198.0</v>
      </c>
      <c r="D79" s="1875" t="s">
        <v>77</v>
      </c>
      <c r="E79" s="1759" t="str">
        <f>'Матрица 4 недели'!M113</f>
        <v>Жаркое по-домашнему со свининой</v>
      </c>
      <c r="F79" s="1137">
        <v>6.0</v>
      </c>
      <c r="G79" s="1121">
        <v>6.0</v>
      </c>
      <c r="H79" s="1126">
        <v>5.0</v>
      </c>
      <c r="I79" s="1121">
        <v>5.0</v>
      </c>
      <c r="J79" s="1126"/>
      <c r="K79" s="1600"/>
      <c r="L79" s="1161">
        <v>3.0</v>
      </c>
      <c r="M79" s="1600">
        <v>3.0</v>
      </c>
      <c r="N79" s="1126">
        <v>2.0</v>
      </c>
      <c r="O79" s="1121">
        <v>2.0</v>
      </c>
      <c r="P79" s="1126">
        <v>1.0</v>
      </c>
      <c r="Q79" s="1121">
        <v>1.0</v>
      </c>
      <c r="R79" s="1126">
        <v>3.0</v>
      </c>
      <c r="S79" s="1121">
        <v>3.0</v>
      </c>
      <c r="T79" s="1126">
        <v>4.0</v>
      </c>
      <c r="U79" s="1138">
        <v>4.0</v>
      </c>
      <c r="V79" s="1137">
        <v>2.0</v>
      </c>
      <c r="W79" s="1138">
        <v>2.0</v>
      </c>
      <c r="X79" s="1137">
        <v>4.0</v>
      </c>
      <c r="Y79" s="1138">
        <v>4.0</v>
      </c>
      <c r="Z79" s="1137"/>
      <c r="AA79" s="1138"/>
      <c r="AB79" s="1137">
        <v>2.0</v>
      </c>
      <c r="AC79" s="1138">
        <v>2.0</v>
      </c>
      <c r="AD79" s="1137">
        <v>2.0</v>
      </c>
      <c r="AE79" s="1138">
        <v>2.0</v>
      </c>
      <c r="AF79" s="1137">
        <v>2.0</v>
      </c>
      <c r="AG79" s="1138">
        <v>2.0</v>
      </c>
      <c r="AH79" s="1137">
        <v>3.0</v>
      </c>
      <c r="AI79" s="1138">
        <v>3.0</v>
      </c>
      <c r="AJ79" s="1137">
        <v>3.0</v>
      </c>
      <c r="AK79" s="1138">
        <v>3.0</v>
      </c>
      <c r="AL79" s="1120">
        <v>2.0</v>
      </c>
      <c r="AM79" s="1138">
        <v>2.0</v>
      </c>
      <c r="AN79" s="1120"/>
      <c r="AO79" s="1131"/>
      <c r="AP79" s="1120">
        <v>2.0</v>
      </c>
      <c r="AQ79" s="1131">
        <v>2.0</v>
      </c>
      <c r="AR79" s="1120">
        <v>2.0</v>
      </c>
      <c r="AS79" s="1305">
        <v>2.0</v>
      </c>
      <c r="AT79" s="1141">
        <v>2.0</v>
      </c>
      <c r="AU79" s="1305">
        <v>2.0</v>
      </c>
      <c r="AV79" s="1141">
        <v>0.0</v>
      </c>
      <c r="AW79" s="1305">
        <v>0.0</v>
      </c>
      <c r="AX79" s="1141">
        <v>0.0</v>
      </c>
      <c r="AY79" s="1305">
        <v>0.0</v>
      </c>
      <c r="AZ79" s="1141">
        <v>2.0</v>
      </c>
      <c r="BA79" s="1305">
        <v>2.0</v>
      </c>
      <c r="BB79" s="1126">
        <v>2.0</v>
      </c>
      <c r="BC79" s="1305">
        <v>2.0</v>
      </c>
      <c r="BD79" s="1141">
        <v>0.0</v>
      </c>
      <c r="BE79" s="1305">
        <v>0.0</v>
      </c>
      <c r="BF79" s="1141">
        <v>8.0</v>
      </c>
      <c r="BG79" s="1305">
        <v>8.0</v>
      </c>
      <c r="BH79" s="1141">
        <v>3.0</v>
      </c>
      <c r="BI79" s="1305">
        <v>3.0</v>
      </c>
      <c r="BJ79" s="1141">
        <v>5.0</v>
      </c>
      <c r="BK79" s="1305">
        <v>5.0</v>
      </c>
      <c r="BL79" s="1513">
        <v>25.0</v>
      </c>
      <c r="BM79" s="1784">
        <v>25.0</v>
      </c>
      <c r="BN79" s="1880">
        <v>10.0</v>
      </c>
      <c r="BO79" s="1881">
        <v>10.0</v>
      </c>
      <c r="BP79" s="783">
        <f t="shared" si="41"/>
        <v>96</v>
      </c>
      <c r="BQ79" s="1405">
        <f t="shared" si="42"/>
        <v>95</v>
      </c>
      <c r="BR79" s="711">
        <f t="shared" si="43"/>
        <v>18810</v>
      </c>
      <c r="BS79" s="784">
        <f t="shared" si="44"/>
        <v>19008</v>
      </c>
      <c r="BT79" s="1545"/>
    </row>
    <row r="80" ht="15.75" customHeight="1">
      <c r="A80" s="1565" t="s">
        <v>145</v>
      </c>
      <c r="B80" s="1756">
        <v>4268.0</v>
      </c>
      <c r="C80" s="1567">
        <v>269.0</v>
      </c>
      <c r="D80" s="1884" t="s">
        <v>77</v>
      </c>
      <c r="E80" s="1759" t="str">
        <f>'Матрица 4 недели'!M114</f>
        <v>Индейка су-вид с овощами и соусом чили </v>
      </c>
      <c r="F80" s="1137">
        <v>3.0</v>
      </c>
      <c r="G80" s="1121">
        <v>3.0</v>
      </c>
      <c r="H80" s="1126">
        <v>3.0</v>
      </c>
      <c r="I80" s="1121">
        <v>3.0</v>
      </c>
      <c r="J80" s="1126"/>
      <c r="K80" s="1600"/>
      <c r="L80" s="1161">
        <v>2.0</v>
      </c>
      <c r="M80" s="1600">
        <v>2.0</v>
      </c>
      <c r="N80" s="1126">
        <v>2.0</v>
      </c>
      <c r="O80" s="1121">
        <v>2.0</v>
      </c>
      <c r="P80" s="1126">
        <v>5.0</v>
      </c>
      <c r="Q80" s="1121">
        <v>5.0</v>
      </c>
      <c r="R80" s="1126">
        <v>0.0</v>
      </c>
      <c r="S80" s="1121">
        <v>0.0</v>
      </c>
      <c r="T80" s="1126">
        <v>3.0</v>
      </c>
      <c r="U80" s="1138">
        <v>3.0</v>
      </c>
      <c r="V80" s="1137">
        <v>3.0</v>
      </c>
      <c r="W80" s="1138">
        <v>3.0</v>
      </c>
      <c r="X80" s="1137">
        <v>0.0</v>
      </c>
      <c r="Y80" s="1138">
        <v>0.0</v>
      </c>
      <c r="Z80" s="1137"/>
      <c r="AA80" s="1138"/>
      <c r="AB80" s="1137">
        <v>0.0</v>
      </c>
      <c r="AC80" s="1138">
        <v>0.0</v>
      </c>
      <c r="AD80" s="1137">
        <v>1.0</v>
      </c>
      <c r="AE80" s="1138">
        <v>1.0</v>
      </c>
      <c r="AF80" s="1137">
        <v>1.0</v>
      </c>
      <c r="AG80" s="1138">
        <v>1.0</v>
      </c>
      <c r="AH80" s="1137">
        <v>3.0</v>
      </c>
      <c r="AI80" s="1138">
        <v>3.0</v>
      </c>
      <c r="AJ80" s="1137">
        <v>3.0</v>
      </c>
      <c r="AK80" s="1138">
        <v>3.0</v>
      </c>
      <c r="AL80" s="1120">
        <v>1.0</v>
      </c>
      <c r="AM80" s="1138">
        <v>1.0</v>
      </c>
      <c r="AN80" s="1120"/>
      <c r="AO80" s="1131"/>
      <c r="AP80" s="1120">
        <v>2.0</v>
      </c>
      <c r="AQ80" s="1131">
        <v>2.0</v>
      </c>
      <c r="AR80" s="1120">
        <v>2.0</v>
      </c>
      <c r="AS80" s="1305">
        <v>2.0</v>
      </c>
      <c r="AT80" s="1141">
        <v>2.0</v>
      </c>
      <c r="AU80" s="1305">
        <v>2.0</v>
      </c>
      <c r="AV80" s="1141">
        <v>2.0</v>
      </c>
      <c r="AW80" s="1305">
        <v>2.0</v>
      </c>
      <c r="AX80" s="1141">
        <v>4.0</v>
      </c>
      <c r="AY80" s="1305">
        <v>4.0</v>
      </c>
      <c r="AZ80" s="1141">
        <v>3.0</v>
      </c>
      <c r="BA80" s="1305">
        <v>3.0</v>
      </c>
      <c r="BB80" s="1126">
        <v>2.0</v>
      </c>
      <c r="BC80" s="1883">
        <v>2.0</v>
      </c>
      <c r="BD80" s="1141">
        <v>2.0</v>
      </c>
      <c r="BE80" s="1883">
        <v>2.0</v>
      </c>
      <c r="BF80" s="1141">
        <v>3.0</v>
      </c>
      <c r="BG80" s="1883">
        <v>3.0</v>
      </c>
      <c r="BH80" s="1141">
        <v>4.0</v>
      </c>
      <c r="BI80" s="1883">
        <v>4.0</v>
      </c>
      <c r="BJ80" s="1141">
        <v>5.0</v>
      </c>
      <c r="BK80" s="1883">
        <v>5.0</v>
      </c>
      <c r="BL80" s="1513"/>
      <c r="BM80" s="1784"/>
      <c r="BN80" s="1880"/>
      <c r="BO80" s="1881"/>
      <c r="BP80" s="783">
        <f t="shared" si="41"/>
        <v>62</v>
      </c>
      <c r="BQ80" s="1405">
        <f t="shared" si="42"/>
        <v>61</v>
      </c>
      <c r="BR80" s="711">
        <f t="shared" si="43"/>
        <v>16409</v>
      </c>
      <c r="BS80" s="784">
        <f t="shared" si="44"/>
        <v>16678</v>
      </c>
      <c r="BT80" s="1545"/>
    </row>
    <row r="81">
      <c r="A81" s="1708"/>
      <c r="B81" s="1756"/>
      <c r="C81" s="1567"/>
      <c r="D81" s="1756"/>
      <c r="E81" s="1660"/>
      <c r="F81" s="1137"/>
      <c r="G81" s="1121"/>
      <c r="H81" s="1126"/>
      <c r="I81" s="1121"/>
      <c r="J81" s="1126"/>
      <c r="K81" s="1121"/>
      <c r="L81" s="1126"/>
      <c r="M81" s="1121"/>
      <c r="N81" s="1126"/>
      <c r="O81" s="1121"/>
      <c r="P81" s="1126"/>
      <c r="Q81" s="1121"/>
      <c r="R81" s="1126"/>
      <c r="S81" s="1121"/>
      <c r="T81" s="1126"/>
      <c r="U81" s="1138"/>
      <c r="V81" s="1137"/>
      <c r="W81" s="1138"/>
      <c r="X81" s="1137"/>
      <c r="Y81" s="1138"/>
      <c r="Z81" s="1137"/>
      <c r="AA81" s="1138"/>
      <c r="AB81" s="1137"/>
      <c r="AC81" s="1138"/>
      <c r="AD81" s="1137"/>
      <c r="AE81" s="1138"/>
      <c r="AF81" s="1137"/>
      <c r="AG81" s="1138"/>
      <c r="AH81" s="1120"/>
      <c r="AI81" s="1138"/>
      <c r="AJ81" s="1137"/>
      <c r="AK81" s="1138"/>
      <c r="AL81" s="1120"/>
      <c r="AM81" s="1138"/>
      <c r="AN81" s="1120"/>
      <c r="AO81" s="1131"/>
      <c r="AP81" s="1120"/>
      <c r="AQ81" s="1131"/>
      <c r="AR81" s="1120"/>
      <c r="AS81" s="1305"/>
      <c r="AT81" s="1141"/>
      <c r="AU81" s="1305"/>
      <c r="AV81" s="1141"/>
      <c r="AW81" s="1305"/>
      <c r="AX81" s="1141"/>
      <c r="AY81" s="1305"/>
      <c r="AZ81" s="1141"/>
      <c r="BA81" s="1305"/>
      <c r="BB81" s="1126"/>
      <c r="BC81" s="1883"/>
      <c r="BD81" s="1141"/>
      <c r="BE81" s="1883"/>
      <c r="BF81" s="1141"/>
      <c r="BG81" s="1883"/>
      <c r="BH81" s="1141"/>
      <c r="BI81" s="1883"/>
      <c r="BJ81" s="1141"/>
      <c r="BK81" s="1883"/>
      <c r="BL81" s="1513"/>
      <c r="BM81" s="1784"/>
      <c r="BN81" s="1877"/>
      <c r="BO81" s="1878"/>
      <c r="BP81" s="783">
        <f t="shared" si="41"/>
        <v>1</v>
      </c>
      <c r="BQ81" s="1405">
        <f t="shared" si="42"/>
        <v>0</v>
      </c>
      <c r="BR81" s="711">
        <f t="shared" si="43"/>
        <v>0</v>
      </c>
      <c r="BS81" s="784">
        <f t="shared" si="44"/>
        <v>0</v>
      </c>
      <c r="BT81" s="1545"/>
    </row>
    <row r="82" ht="15.75" customHeight="1">
      <c r="A82" s="1708"/>
      <c r="B82" s="1756">
        <v>3435.0</v>
      </c>
      <c r="C82" s="1567">
        <v>51.0</v>
      </c>
      <c r="D82" s="1875" t="s">
        <v>78</v>
      </c>
      <c r="E82" s="1759" t="str">
        <f>'Матрица 4 недели'!P107</f>
        <v>Булочка с повидлом 80 г</v>
      </c>
      <c r="F82" s="1137"/>
      <c r="G82" s="1121"/>
      <c r="H82" s="1126"/>
      <c r="I82" s="1121"/>
      <c r="J82" s="1126"/>
      <c r="K82" s="1121"/>
      <c r="L82" s="1126"/>
      <c r="M82" s="1121"/>
      <c r="N82" s="1126"/>
      <c r="O82" s="1121"/>
      <c r="P82" s="1126"/>
      <c r="Q82" s="1121"/>
      <c r="R82" s="1126"/>
      <c r="S82" s="1121"/>
      <c r="T82" s="1126"/>
      <c r="U82" s="1138"/>
      <c r="V82" s="1137"/>
      <c r="W82" s="1138"/>
      <c r="X82" s="1137"/>
      <c r="Y82" s="1138"/>
      <c r="Z82" s="1137"/>
      <c r="AA82" s="1138"/>
      <c r="AB82" s="1137"/>
      <c r="AC82" s="1138"/>
      <c r="AD82" s="1137"/>
      <c r="AE82" s="1138"/>
      <c r="AF82" s="1137"/>
      <c r="AG82" s="1138"/>
      <c r="AH82" s="1120"/>
      <c r="AI82" s="1138"/>
      <c r="AJ82" s="1137"/>
      <c r="AK82" s="1138"/>
      <c r="AL82" s="1120"/>
      <c r="AM82" s="1138"/>
      <c r="AN82" s="1120"/>
      <c r="AO82" s="1131"/>
      <c r="AP82" s="1120"/>
      <c r="AQ82" s="1131"/>
      <c r="AR82" s="1120"/>
      <c r="AS82" s="1305"/>
      <c r="AT82" s="1141"/>
      <c r="AU82" s="1305"/>
      <c r="AV82" s="1141"/>
      <c r="AW82" s="1305"/>
      <c r="AX82" s="1141"/>
      <c r="AY82" s="1305"/>
      <c r="AZ82" s="1141"/>
      <c r="BA82" s="1305"/>
      <c r="BB82" s="1126"/>
      <c r="BC82" s="1883"/>
      <c r="BD82" s="1141"/>
      <c r="BE82" s="1883"/>
      <c r="BF82" s="1141"/>
      <c r="BG82" s="1883"/>
      <c r="BH82" s="1141"/>
      <c r="BI82" s="1883"/>
      <c r="BJ82" s="1141"/>
      <c r="BK82" s="1883"/>
      <c r="BL82" s="1513">
        <v>10.0</v>
      </c>
      <c r="BM82" s="1784">
        <v>10.0</v>
      </c>
      <c r="BN82" s="1877"/>
      <c r="BO82" s="1878"/>
      <c r="BP82" s="783">
        <f t="shared" si="41"/>
        <v>11</v>
      </c>
      <c r="BQ82" s="1405">
        <f t="shared" si="42"/>
        <v>10</v>
      </c>
      <c r="BR82" s="711">
        <f t="shared" si="43"/>
        <v>510</v>
      </c>
      <c r="BS82" s="784">
        <f t="shared" si="44"/>
        <v>561</v>
      </c>
      <c r="BT82" s="1545"/>
    </row>
    <row r="83" ht="15.75" customHeight="1">
      <c r="A83" s="1708"/>
      <c r="B83" s="1756">
        <v>3455.0</v>
      </c>
      <c r="C83" s="1567">
        <v>85.0</v>
      </c>
      <c r="D83" s="1875" t="s">
        <v>78</v>
      </c>
      <c r="E83" s="1759" t="str">
        <f>'Матрица 4 недели'!P108</f>
        <v>Слойка с ветчиной и сыром 100г</v>
      </c>
      <c r="F83" s="1137"/>
      <c r="G83" s="1121"/>
      <c r="H83" s="1126"/>
      <c r="I83" s="1121"/>
      <c r="J83" s="1126"/>
      <c r="K83" s="1121"/>
      <c r="L83" s="1126"/>
      <c r="M83" s="1121"/>
      <c r="N83" s="1126"/>
      <c r="O83" s="1121"/>
      <c r="P83" s="1126"/>
      <c r="Q83" s="1121"/>
      <c r="R83" s="1126"/>
      <c r="S83" s="1121"/>
      <c r="T83" s="1126"/>
      <c r="U83" s="1138"/>
      <c r="V83" s="1137"/>
      <c r="W83" s="1138"/>
      <c r="X83" s="1137"/>
      <c r="Y83" s="1138"/>
      <c r="Z83" s="1137"/>
      <c r="AA83" s="1138"/>
      <c r="AB83" s="1137"/>
      <c r="AC83" s="1138"/>
      <c r="AD83" s="1137"/>
      <c r="AE83" s="1138"/>
      <c r="AF83" s="1137"/>
      <c r="AG83" s="1138"/>
      <c r="AH83" s="1120"/>
      <c r="AI83" s="1138"/>
      <c r="AJ83" s="1137"/>
      <c r="AK83" s="1138"/>
      <c r="AL83" s="1120"/>
      <c r="AM83" s="1138"/>
      <c r="AN83" s="1120"/>
      <c r="AO83" s="1131"/>
      <c r="AP83" s="1120"/>
      <c r="AQ83" s="1131"/>
      <c r="AR83" s="1120"/>
      <c r="AS83" s="1305"/>
      <c r="AT83" s="1141"/>
      <c r="AU83" s="1305"/>
      <c r="AV83" s="1141"/>
      <c r="AW83" s="1305"/>
      <c r="AX83" s="1141"/>
      <c r="AY83" s="1305"/>
      <c r="AZ83" s="1141"/>
      <c r="BA83" s="1305"/>
      <c r="BB83" s="1126"/>
      <c r="BC83" s="1883"/>
      <c r="BD83" s="1141"/>
      <c r="BE83" s="1883"/>
      <c r="BF83" s="1141"/>
      <c r="BG83" s="1883"/>
      <c r="BH83" s="1141"/>
      <c r="BI83" s="1883"/>
      <c r="BJ83" s="1141"/>
      <c r="BK83" s="1883"/>
      <c r="BL83" s="1513">
        <v>12.0</v>
      </c>
      <c r="BM83" s="1784">
        <v>13.0</v>
      </c>
      <c r="BN83" s="1877"/>
      <c r="BO83" s="1878"/>
      <c r="BP83" s="783">
        <f t="shared" si="41"/>
        <v>13</v>
      </c>
      <c r="BQ83" s="1405">
        <f t="shared" si="42"/>
        <v>13</v>
      </c>
      <c r="BR83" s="711">
        <f t="shared" si="43"/>
        <v>1105</v>
      </c>
      <c r="BS83" s="784">
        <f t="shared" si="44"/>
        <v>1105</v>
      </c>
      <c r="BT83" s="1545"/>
    </row>
    <row r="84" ht="15.75" customHeight="1">
      <c r="A84" s="1565" t="s">
        <v>145</v>
      </c>
      <c r="B84" s="1756">
        <v>4312.0</v>
      </c>
      <c r="C84" s="1567">
        <v>148.0</v>
      </c>
      <c r="D84" s="1875" t="s">
        <v>78</v>
      </c>
      <c r="E84" s="1759" t="str">
        <f>'Матрица 4 недели'!P109</f>
        <v>Фруктовый набор (арбуз/дыня)</v>
      </c>
      <c r="F84" s="1137"/>
      <c r="G84" s="1121"/>
      <c r="H84" s="1126"/>
      <c r="I84" s="1121"/>
      <c r="J84" s="1126"/>
      <c r="K84" s="1160"/>
      <c r="L84" s="1161"/>
      <c r="M84" s="1162"/>
      <c r="N84" s="1126">
        <v>2.0</v>
      </c>
      <c r="O84" s="1121">
        <v>2.0</v>
      </c>
      <c r="P84" s="1126">
        <v>2.0</v>
      </c>
      <c r="Q84" s="1121">
        <v>2.0</v>
      </c>
      <c r="R84" s="1126"/>
      <c r="S84" s="1121"/>
      <c r="T84" s="1126">
        <v>4.0</v>
      </c>
      <c r="U84" s="1121">
        <v>4.0</v>
      </c>
      <c r="V84" s="1137">
        <v>2.0</v>
      </c>
      <c r="W84" s="1121">
        <v>2.0</v>
      </c>
      <c r="X84" s="1137">
        <v>4.0</v>
      </c>
      <c r="Y84" s="1121">
        <v>4.0</v>
      </c>
      <c r="Z84" s="1137"/>
      <c r="AA84" s="1121"/>
      <c r="AB84" s="1137"/>
      <c r="AC84" s="1121"/>
      <c r="AD84" s="1137"/>
      <c r="AE84" s="1121"/>
      <c r="AF84" s="1120">
        <v>4.0</v>
      </c>
      <c r="AG84" s="1121">
        <v>4.0</v>
      </c>
      <c r="AH84" s="1137">
        <v>2.0</v>
      </c>
      <c r="AI84" s="1121">
        <v>2.0</v>
      </c>
      <c r="AJ84" s="1120"/>
      <c r="AK84" s="1121"/>
      <c r="AL84" s="1126"/>
      <c r="AM84" s="1121"/>
      <c r="AN84" s="1120"/>
      <c r="AO84" s="1138"/>
      <c r="AP84" s="1126"/>
      <c r="AQ84" s="1138"/>
      <c r="AR84" s="1120">
        <v>4.0</v>
      </c>
      <c r="AS84" s="1121">
        <v>4.0</v>
      </c>
      <c r="AT84" s="1126"/>
      <c r="AU84" s="1121"/>
      <c r="AV84" s="1126"/>
      <c r="AW84" s="1121"/>
      <c r="AX84" s="1126">
        <v>4.0</v>
      </c>
      <c r="AY84" s="1121">
        <v>4.0</v>
      </c>
      <c r="AZ84" s="1126"/>
      <c r="BA84" s="1121"/>
      <c r="BB84" s="1120"/>
      <c r="BC84" s="1127"/>
      <c r="BD84" s="1126">
        <v>2.0</v>
      </c>
      <c r="BE84" s="1127">
        <v>2.0</v>
      </c>
      <c r="BF84" s="1126">
        <v>4.0</v>
      </c>
      <c r="BG84" s="1127">
        <v>4.0</v>
      </c>
      <c r="BH84" s="1126">
        <v>2.0</v>
      </c>
      <c r="BI84" s="1127">
        <v>2.0</v>
      </c>
      <c r="BJ84" s="1126">
        <v>2.0</v>
      </c>
      <c r="BK84" s="1127">
        <v>2.0</v>
      </c>
      <c r="BL84" s="1513"/>
      <c r="BM84" s="1138"/>
      <c r="BN84" s="783"/>
      <c r="BO84" s="1170"/>
      <c r="BP84" s="783">
        <f t="shared" si="41"/>
        <v>39</v>
      </c>
      <c r="BQ84" s="1405">
        <f t="shared" si="42"/>
        <v>38</v>
      </c>
      <c r="BR84" s="711">
        <f t="shared" si="43"/>
        <v>5624</v>
      </c>
      <c r="BS84" s="784">
        <f t="shared" si="44"/>
        <v>5772</v>
      </c>
      <c r="BT84" s="1545"/>
    </row>
    <row r="85" ht="15.75" customHeight="1">
      <c r="A85" s="1565" t="s">
        <v>145</v>
      </c>
      <c r="B85" s="1567">
        <v>100.0</v>
      </c>
      <c r="C85" s="1567">
        <v>90.0</v>
      </c>
      <c r="D85" s="1755" t="s">
        <v>74</v>
      </c>
      <c r="E85" s="733" t="str">
        <f>'Матрица 4 недели'!J5</f>
        <v>Крем-суп овощной с курицей</v>
      </c>
      <c r="F85" s="1143">
        <v>12.0</v>
      </c>
      <c r="G85" s="1307">
        <v>12.0</v>
      </c>
      <c r="H85" s="1141">
        <v>4.0</v>
      </c>
      <c r="I85" s="1307">
        <v>4.0</v>
      </c>
      <c r="J85" s="1141"/>
      <c r="K85" s="1307"/>
      <c r="L85" s="1141">
        <v>3.0</v>
      </c>
      <c r="M85" s="1307">
        <v>3.0</v>
      </c>
      <c r="N85" s="1141">
        <v>3.0</v>
      </c>
      <c r="O85" s="1307">
        <v>3.0</v>
      </c>
      <c r="P85" s="1141">
        <v>7.0</v>
      </c>
      <c r="Q85" s="1142">
        <v>7.0</v>
      </c>
      <c r="R85" s="1126">
        <v>4.0</v>
      </c>
      <c r="S85" s="1121">
        <v>4.0</v>
      </c>
      <c r="T85" s="1143">
        <v>3.0</v>
      </c>
      <c r="U85" s="1121">
        <v>3.0</v>
      </c>
      <c r="V85" s="1143">
        <v>3.0</v>
      </c>
      <c r="W85" s="1305">
        <v>3.0</v>
      </c>
      <c r="X85" s="1143">
        <v>3.0</v>
      </c>
      <c r="Y85" s="1121">
        <v>3.0</v>
      </c>
      <c r="Z85" s="1143"/>
      <c r="AA85" s="1121"/>
      <c r="AB85" s="1302">
        <v>0.0</v>
      </c>
      <c r="AC85" s="1121">
        <v>0.0</v>
      </c>
      <c r="AD85" s="1302">
        <v>3.0</v>
      </c>
      <c r="AE85" s="1121">
        <v>3.0</v>
      </c>
      <c r="AF85" s="1143">
        <v>3.0</v>
      </c>
      <c r="AG85" s="1121">
        <v>3.0</v>
      </c>
      <c r="AH85" s="1302">
        <v>3.0</v>
      </c>
      <c r="AI85" s="1121">
        <v>3.0</v>
      </c>
      <c r="AJ85" s="1302">
        <v>3.0</v>
      </c>
      <c r="AK85" s="1121">
        <v>3.0</v>
      </c>
      <c r="AL85" s="1143">
        <v>3.0</v>
      </c>
      <c r="AM85" s="1121">
        <v>3.0</v>
      </c>
      <c r="AN85" s="1137"/>
      <c r="AO85" s="1131"/>
      <c r="AP85" s="1137">
        <v>3.0</v>
      </c>
      <c r="AQ85" s="1131">
        <v>3.0</v>
      </c>
      <c r="AR85" s="1137"/>
      <c r="AS85" s="1138"/>
      <c r="AT85" s="1126">
        <v>3.0</v>
      </c>
      <c r="AU85" s="1138">
        <v>3.0</v>
      </c>
      <c r="AV85" s="1126">
        <v>3.0</v>
      </c>
      <c r="AW85" s="1138">
        <v>3.0</v>
      </c>
      <c r="AX85" s="1126">
        <v>3.0</v>
      </c>
      <c r="AY85" s="1138">
        <v>3.0</v>
      </c>
      <c r="AZ85" s="1126">
        <v>20.0</v>
      </c>
      <c r="BA85" s="1138">
        <v>20.0</v>
      </c>
      <c r="BB85" s="1126">
        <v>3.0</v>
      </c>
      <c r="BC85" s="1127">
        <v>3.0</v>
      </c>
      <c r="BD85" s="1126"/>
      <c r="BE85" s="1127"/>
      <c r="BF85" s="1126">
        <v>3.0</v>
      </c>
      <c r="BG85" s="1127">
        <v>3.0</v>
      </c>
      <c r="BH85" s="1126">
        <v>4.0</v>
      </c>
      <c r="BI85" s="1127">
        <v>4.0</v>
      </c>
      <c r="BJ85" s="1126">
        <v>5.0</v>
      </c>
      <c r="BK85" s="1127">
        <v>5.0</v>
      </c>
      <c r="BL85" s="1139">
        <v>130.0</v>
      </c>
      <c r="BM85" s="1138">
        <v>130.0</v>
      </c>
      <c r="BN85" s="783"/>
      <c r="BO85" s="1170"/>
      <c r="BP85" s="783">
        <f t="shared" si="41"/>
        <v>235</v>
      </c>
      <c r="BQ85" s="1774">
        <f t="shared" si="42"/>
        <v>234</v>
      </c>
      <c r="BR85" s="711">
        <f t="shared" si="43"/>
        <v>21060</v>
      </c>
      <c r="BS85" s="784">
        <f t="shared" si="44"/>
        <v>21150</v>
      </c>
      <c r="BT85" s="1807"/>
    </row>
    <row r="86" ht="15.75" customHeight="1">
      <c r="A86" s="1565" t="s">
        <v>145</v>
      </c>
      <c r="B86" s="1567">
        <v>3330.0</v>
      </c>
      <c r="C86" s="1567">
        <v>172.0</v>
      </c>
      <c r="D86" s="1755" t="s">
        <v>79</v>
      </c>
      <c r="E86" s="733" t="str">
        <f>'Матрица 4 недели'!S107</f>
        <v>Сэндвич с курицей и соусом Барбекю</v>
      </c>
      <c r="F86" s="1120">
        <v>13.0</v>
      </c>
      <c r="G86" s="1121">
        <v>13.0</v>
      </c>
      <c r="H86" s="1120">
        <v>5.0</v>
      </c>
      <c r="I86" s="1121">
        <v>5.0</v>
      </c>
      <c r="J86" s="1120"/>
      <c r="K86" s="1121"/>
      <c r="L86" s="1120">
        <v>4.0</v>
      </c>
      <c r="M86" s="1121">
        <v>4.0</v>
      </c>
      <c r="N86" s="1120">
        <v>4.0</v>
      </c>
      <c r="O86" s="1121">
        <v>4.0</v>
      </c>
      <c r="P86" s="1120">
        <v>5.0</v>
      </c>
      <c r="Q86" s="1121">
        <v>5.0</v>
      </c>
      <c r="R86" s="1120">
        <v>4.0</v>
      </c>
      <c r="S86" s="1121">
        <v>4.0</v>
      </c>
      <c r="T86" s="1120">
        <v>5.0</v>
      </c>
      <c r="U86" s="1121">
        <v>5.0</v>
      </c>
      <c r="V86" s="1120">
        <v>6.0</v>
      </c>
      <c r="W86" s="1121">
        <v>6.0</v>
      </c>
      <c r="X86" s="1120">
        <v>4.0</v>
      </c>
      <c r="Y86" s="1121">
        <v>4.0</v>
      </c>
      <c r="Z86" s="1126"/>
      <c r="AA86" s="1121"/>
      <c r="AB86" s="1120">
        <v>7.0</v>
      </c>
      <c r="AC86" s="1121">
        <v>7.0</v>
      </c>
      <c r="AD86" s="1120">
        <v>5.0</v>
      </c>
      <c r="AE86" s="1121">
        <v>5.0</v>
      </c>
      <c r="AF86" s="1120">
        <v>5.0</v>
      </c>
      <c r="AG86" s="1121">
        <v>5.0</v>
      </c>
      <c r="AH86" s="1120">
        <v>5.0</v>
      </c>
      <c r="AI86" s="1121">
        <v>5.0</v>
      </c>
      <c r="AJ86" s="1120">
        <v>3.0</v>
      </c>
      <c r="AK86" s="1121">
        <v>3.0</v>
      </c>
      <c r="AL86" s="1126">
        <v>4.0</v>
      </c>
      <c r="AM86" s="1121">
        <v>4.0</v>
      </c>
      <c r="AN86" s="1120"/>
      <c r="AO86" s="1138"/>
      <c r="AP86" s="1120">
        <v>2.0</v>
      </c>
      <c r="AQ86" s="1138">
        <v>2.0</v>
      </c>
      <c r="AR86" s="1120">
        <v>7.0</v>
      </c>
      <c r="AS86" s="1121">
        <v>7.0</v>
      </c>
      <c r="AT86" s="1120">
        <v>2.0</v>
      </c>
      <c r="AU86" s="1121">
        <v>2.0</v>
      </c>
      <c r="AV86" s="1126">
        <v>3.0</v>
      </c>
      <c r="AW86" s="1121">
        <v>3.0</v>
      </c>
      <c r="AX86" s="1126">
        <v>5.0</v>
      </c>
      <c r="AY86" s="1121">
        <v>5.0</v>
      </c>
      <c r="AZ86" s="1126">
        <v>2.0</v>
      </c>
      <c r="BA86" s="1121">
        <v>2.0</v>
      </c>
      <c r="BB86" s="1120">
        <v>7.0</v>
      </c>
      <c r="BC86" s="1121">
        <v>7.0</v>
      </c>
      <c r="BD86" s="1126">
        <v>2.0</v>
      </c>
      <c r="BE86" s="1121">
        <v>2.0</v>
      </c>
      <c r="BF86" s="1126">
        <v>4.0</v>
      </c>
      <c r="BG86" s="1121">
        <v>4.0</v>
      </c>
      <c r="BH86" s="1126">
        <v>2.0</v>
      </c>
      <c r="BI86" s="1121">
        <v>2.0</v>
      </c>
      <c r="BJ86" s="1126">
        <v>4.0</v>
      </c>
      <c r="BK86" s="1121">
        <v>4.0</v>
      </c>
      <c r="BL86" s="1139"/>
      <c r="BM86" s="1138"/>
      <c r="BN86" s="783"/>
      <c r="BO86" s="1170"/>
      <c r="BP86" s="783">
        <f t="shared" si="41"/>
        <v>120</v>
      </c>
      <c r="BQ86" s="1405">
        <f t="shared" si="42"/>
        <v>119</v>
      </c>
      <c r="BR86" s="711">
        <f t="shared" si="43"/>
        <v>20468</v>
      </c>
      <c r="BS86" s="784">
        <f t="shared" si="44"/>
        <v>20640</v>
      </c>
      <c r="BT86" s="1807"/>
    </row>
    <row r="87" ht="15.75" customHeight="1">
      <c r="A87" s="1565" t="s">
        <v>145</v>
      </c>
      <c r="B87" s="1567">
        <v>3408.0</v>
      </c>
      <c r="C87" s="1567">
        <v>220.0</v>
      </c>
      <c r="D87" s="1735" t="s">
        <v>79</v>
      </c>
      <c r="E87" s="1812" t="str">
        <f>'Матрица 4 недели'!S108</f>
        <v>Сэндвич ''Крем-чиз с рыбой''</v>
      </c>
      <c r="F87" s="1137">
        <v>8.0</v>
      </c>
      <c r="G87" s="1121">
        <v>8.0</v>
      </c>
      <c r="H87" s="1126">
        <v>3.0</v>
      </c>
      <c r="I87" s="1121">
        <v>3.0</v>
      </c>
      <c r="J87" s="1126"/>
      <c r="K87" s="1121"/>
      <c r="L87" s="1126">
        <v>3.0</v>
      </c>
      <c r="M87" s="1127">
        <v>3.0</v>
      </c>
      <c r="N87" s="1126">
        <v>6.0</v>
      </c>
      <c r="O87" s="1127">
        <v>6.0</v>
      </c>
      <c r="P87" s="1126">
        <v>4.0</v>
      </c>
      <c r="Q87" s="1121">
        <v>4.0</v>
      </c>
      <c r="R87" s="1126">
        <v>4.0</v>
      </c>
      <c r="S87" s="1291">
        <v>4.0</v>
      </c>
      <c r="T87" s="1126">
        <v>2.0</v>
      </c>
      <c r="U87" s="1138">
        <v>2.0</v>
      </c>
      <c r="V87" s="1137">
        <v>2.0</v>
      </c>
      <c r="W87" s="1138">
        <v>2.0</v>
      </c>
      <c r="X87" s="1137">
        <v>4.0</v>
      </c>
      <c r="Y87" s="1138">
        <v>4.0</v>
      </c>
      <c r="Z87" s="1137"/>
      <c r="AA87" s="1138"/>
      <c r="AB87" s="1137">
        <v>4.0</v>
      </c>
      <c r="AC87" s="1138">
        <v>4.0</v>
      </c>
      <c r="AD87" s="1120">
        <v>3.0</v>
      </c>
      <c r="AE87" s="1138">
        <v>3.0</v>
      </c>
      <c r="AF87" s="1120">
        <v>4.0</v>
      </c>
      <c r="AG87" s="1138">
        <v>4.0</v>
      </c>
      <c r="AH87" s="1137">
        <v>2.0</v>
      </c>
      <c r="AI87" s="1138">
        <v>2.0</v>
      </c>
      <c r="AJ87" s="1137">
        <v>2.0</v>
      </c>
      <c r="AK87" s="1138">
        <v>2.0</v>
      </c>
      <c r="AL87" s="1137">
        <v>2.0</v>
      </c>
      <c r="AM87" s="1138">
        <v>2.0</v>
      </c>
      <c r="AN87" s="1137"/>
      <c r="AO87" s="1138"/>
      <c r="AP87" s="1137">
        <v>6.0</v>
      </c>
      <c r="AQ87" s="1131">
        <v>6.0</v>
      </c>
      <c r="AR87" s="1137">
        <v>7.0</v>
      </c>
      <c r="AS87" s="1138">
        <v>7.0</v>
      </c>
      <c r="AT87" s="1126">
        <v>3.0</v>
      </c>
      <c r="AU87" s="1138">
        <v>3.0</v>
      </c>
      <c r="AV87" s="1126">
        <v>3.0</v>
      </c>
      <c r="AW87" s="1138">
        <v>3.0</v>
      </c>
      <c r="AX87" s="1126">
        <v>5.0</v>
      </c>
      <c r="AY87" s="1138">
        <v>5.0</v>
      </c>
      <c r="AZ87" s="1126">
        <v>5.0</v>
      </c>
      <c r="BA87" s="1138">
        <v>5.0</v>
      </c>
      <c r="BB87" s="1126">
        <v>7.0</v>
      </c>
      <c r="BC87" s="1127">
        <v>7.0</v>
      </c>
      <c r="BD87" s="1126">
        <v>3.0</v>
      </c>
      <c r="BE87" s="1127">
        <v>3.0</v>
      </c>
      <c r="BF87" s="1126">
        <v>4.0</v>
      </c>
      <c r="BG87" s="1127">
        <v>4.0</v>
      </c>
      <c r="BH87" s="1126">
        <v>2.0</v>
      </c>
      <c r="BI87" s="1127">
        <v>2.0</v>
      </c>
      <c r="BJ87" s="1126">
        <v>4.0</v>
      </c>
      <c r="BK87" s="1127">
        <v>4.0</v>
      </c>
      <c r="BL87" s="1139"/>
      <c r="BM87" s="1138"/>
      <c r="BN87" s="783"/>
      <c r="BO87" s="1170"/>
      <c r="BP87" s="783">
        <f t="shared" si="41"/>
        <v>103</v>
      </c>
      <c r="BQ87" s="1405">
        <f t="shared" si="42"/>
        <v>102</v>
      </c>
      <c r="BR87" s="711">
        <f t="shared" si="43"/>
        <v>22440</v>
      </c>
      <c r="BS87" s="784">
        <f t="shared" si="44"/>
        <v>22660</v>
      </c>
      <c r="BT87" s="1807"/>
    </row>
    <row r="88" ht="15.75" customHeight="1">
      <c r="A88" s="1565" t="s">
        <v>145</v>
      </c>
      <c r="B88" s="1567">
        <v>3996.0</v>
      </c>
      <c r="C88" s="1567">
        <v>98.0</v>
      </c>
      <c r="D88" s="1735" t="s">
        <v>80</v>
      </c>
      <c r="E88" s="1812" t="str">
        <f>'Матрица 4 недели'!V107</f>
        <v>Морс вишневый 0,5 л</v>
      </c>
      <c r="F88" s="1137">
        <v>12.0</v>
      </c>
      <c r="G88" s="1121">
        <v>12.0</v>
      </c>
      <c r="H88" s="1126">
        <v>3.0</v>
      </c>
      <c r="I88" s="1121">
        <v>3.0</v>
      </c>
      <c r="J88" s="1126"/>
      <c r="K88" s="1121"/>
      <c r="L88" s="1126">
        <v>12.0</v>
      </c>
      <c r="M88" s="1127">
        <v>12.0</v>
      </c>
      <c r="N88" s="1126">
        <v>0.0</v>
      </c>
      <c r="O88" s="1127">
        <v>0.0</v>
      </c>
      <c r="P88" s="1126">
        <v>12.0</v>
      </c>
      <c r="Q88" s="1121">
        <v>12.0</v>
      </c>
      <c r="R88" s="1126">
        <v>0.0</v>
      </c>
      <c r="S88" s="1291">
        <v>0.0</v>
      </c>
      <c r="T88" s="1126">
        <v>0.0</v>
      </c>
      <c r="U88" s="1138">
        <v>0.0</v>
      </c>
      <c r="V88" s="1137">
        <v>0.0</v>
      </c>
      <c r="W88" s="1138">
        <v>0.0</v>
      </c>
      <c r="X88" s="1137">
        <v>0.0</v>
      </c>
      <c r="Y88" s="1138">
        <v>0.0</v>
      </c>
      <c r="Z88" s="1137"/>
      <c r="AA88" s="1138"/>
      <c r="AB88" s="1137">
        <v>0.0</v>
      </c>
      <c r="AC88" s="1138">
        <v>0.0</v>
      </c>
      <c r="AD88" s="1120">
        <v>0.0</v>
      </c>
      <c r="AE88" s="1138">
        <v>0.0</v>
      </c>
      <c r="AF88" s="1120">
        <v>0.0</v>
      </c>
      <c r="AG88" s="1138">
        <v>0.0</v>
      </c>
      <c r="AH88" s="1137">
        <v>0.0</v>
      </c>
      <c r="AI88" s="1138">
        <v>0.0</v>
      </c>
      <c r="AJ88" s="1137">
        <v>0.0</v>
      </c>
      <c r="AK88" s="1138">
        <v>0.0</v>
      </c>
      <c r="AL88" s="1137">
        <v>0.0</v>
      </c>
      <c r="AM88" s="1138">
        <v>0.0</v>
      </c>
      <c r="AN88" s="1137"/>
      <c r="AO88" s="1138"/>
      <c r="AP88" s="1137">
        <v>0.0</v>
      </c>
      <c r="AQ88" s="1131">
        <v>0.0</v>
      </c>
      <c r="AR88" s="1137">
        <v>25.0</v>
      </c>
      <c r="AS88" s="1138">
        <v>25.0</v>
      </c>
      <c r="AT88" s="1126">
        <v>8.0</v>
      </c>
      <c r="AU88" s="1138">
        <v>8.0</v>
      </c>
      <c r="AV88" s="1126">
        <v>8.0</v>
      </c>
      <c r="AW88" s="1138">
        <v>8.0</v>
      </c>
      <c r="AX88" s="1126">
        <v>14.0</v>
      </c>
      <c r="AY88" s="1138">
        <v>14.0</v>
      </c>
      <c r="AZ88" s="1126">
        <v>0.0</v>
      </c>
      <c r="BA88" s="1138">
        <v>0.0</v>
      </c>
      <c r="BB88" s="1126">
        <v>10.0</v>
      </c>
      <c r="BC88" s="1127">
        <v>10.0</v>
      </c>
      <c r="BD88" s="1126">
        <v>6.0</v>
      </c>
      <c r="BE88" s="1127">
        <v>6.0</v>
      </c>
      <c r="BF88" s="1126">
        <v>18.0</v>
      </c>
      <c r="BG88" s="1127">
        <v>16.0</v>
      </c>
      <c r="BH88" s="1126">
        <v>10.0</v>
      </c>
      <c r="BI88" s="1127">
        <v>10.0</v>
      </c>
      <c r="BJ88" s="1126">
        <v>15.0</v>
      </c>
      <c r="BK88" s="1127">
        <v>13.0</v>
      </c>
      <c r="BL88" s="1139"/>
      <c r="BM88" s="1138"/>
      <c r="BN88" s="1176">
        <v>10.0</v>
      </c>
      <c r="BO88" s="1737">
        <v>10.0</v>
      </c>
      <c r="BP88" s="783">
        <f t="shared" si="41"/>
        <v>154</v>
      </c>
      <c r="BQ88" s="1405">
        <f t="shared" si="42"/>
        <v>149</v>
      </c>
      <c r="BR88" s="711">
        <f t="shared" si="43"/>
        <v>14602</v>
      </c>
      <c r="BS88" s="784">
        <f t="shared" si="44"/>
        <v>15092</v>
      </c>
      <c r="BT88" s="1807"/>
    </row>
    <row r="89" ht="15.75" customHeight="1">
      <c r="A89" s="1708"/>
      <c r="B89" s="1567"/>
      <c r="C89" s="1567"/>
      <c r="D89" s="1567"/>
      <c r="E89" s="1899" t="str">
        <f>'Матрица 4 недели'!V108</f>
        <v/>
      </c>
      <c r="F89" s="1137"/>
      <c r="G89" s="1121"/>
      <c r="H89" s="1126"/>
      <c r="I89" s="1121"/>
      <c r="J89" s="1126"/>
      <c r="K89" s="1121"/>
      <c r="L89" s="1126"/>
      <c r="M89" s="1121"/>
      <c r="N89" s="1126"/>
      <c r="O89" s="1127"/>
      <c r="P89" s="1126"/>
      <c r="Q89" s="1121"/>
      <c r="R89" s="1126"/>
      <c r="S89" s="1291"/>
      <c r="T89" s="1126"/>
      <c r="U89" s="1138"/>
      <c r="V89" s="1137"/>
      <c r="W89" s="1138"/>
      <c r="X89" s="1137"/>
      <c r="Y89" s="1138"/>
      <c r="Z89" s="1137"/>
      <c r="AA89" s="1138"/>
      <c r="AB89" s="1137"/>
      <c r="AC89" s="1138"/>
      <c r="AD89" s="1120"/>
      <c r="AE89" s="1138"/>
      <c r="AF89" s="1120"/>
      <c r="AG89" s="1138"/>
      <c r="AH89" s="1137"/>
      <c r="AI89" s="1138"/>
      <c r="AJ89" s="1137"/>
      <c r="AK89" s="1138"/>
      <c r="AL89" s="1137"/>
      <c r="AM89" s="1138"/>
      <c r="AN89" s="1137"/>
      <c r="AO89" s="1138"/>
      <c r="AP89" s="1137"/>
      <c r="AQ89" s="1131"/>
      <c r="AR89" s="1137"/>
      <c r="AS89" s="1138"/>
      <c r="AT89" s="1126"/>
      <c r="AU89" s="1138"/>
      <c r="AV89" s="1126"/>
      <c r="AW89" s="1138"/>
      <c r="AX89" s="1126"/>
      <c r="AY89" s="1138"/>
      <c r="AZ89" s="1126"/>
      <c r="BA89" s="1138"/>
      <c r="BB89" s="1126"/>
      <c r="BC89" s="1127"/>
      <c r="BD89" s="1126"/>
      <c r="BE89" s="1127"/>
      <c r="BF89" s="1126"/>
      <c r="BG89" s="1127"/>
      <c r="BH89" s="1126"/>
      <c r="BI89" s="1127"/>
      <c r="BJ89" s="1126"/>
      <c r="BK89" s="1127"/>
      <c r="BL89" s="1134"/>
      <c r="BM89" s="1138"/>
      <c r="BN89" s="783"/>
      <c r="BO89" s="1170"/>
      <c r="BP89" s="783">
        <f t="shared" si="41"/>
        <v>1</v>
      </c>
      <c r="BQ89" s="1405">
        <f t="shared" si="42"/>
        <v>0</v>
      </c>
      <c r="BR89" s="711">
        <f t="shared" si="43"/>
        <v>0</v>
      </c>
      <c r="BS89" s="784">
        <f t="shared" si="44"/>
        <v>0</v>
      </c>
      <c r="BT89" s="1807"/>
    </row>
    <row r="90" ht="15.75" customHeight="1">
      <c r="A90" s="1708"/>
      <c r="B90" s="1567"/>
      <c r="C90" s="1567"/>
      <c r="D90" s="1567"/>
      <c r="E90" s="1900" t="str">
        <f>'Матрица 4 недели'!V110</f>
        <v/>
      </c>
      <c r="F90" s="1126"/>
      <c r="G90" s="1138"/>
      <c r="H90" s="1126"/>
      <c r="I90" s="1138"/>
      <c r="J90" s="1126"/>
      <c r="K90" s="1138"/>
      <c r="L90" s="1126"/>
      <c r="M90" s="1138"/>
      <c r="N90" s="1126"/>
      <c r="O90" s="1138"/>
      <c r="P90" s="1126"/>
      <c r="Q90" s="1138"/>
      <c r="R90" s="1120"/>
      <c r="S90" s="1121"/>
      <c r="T90" s="1137"/>
      <c r="U90" s="1121"/>
      <c r="V90" s="1137"/>
      <c r="W90" s="1121"/>
      <c r="X90" s="1137"/>
      <c r="Y90" s="1121"/>
      <c r="Z90" s="1137"/>
      <c r="AA90" s="1138"/>
      <c r="AB90" s="1120"/>
      <c r="AC90" s="1138"/>
      <c r="AD90" s="1120"/>
      <c r="AE90" s="1138"/>
      <c r="AF90" s="1120"/>
      <c r="AG90" s="1138"/>
      <c r="AH90" s="1120"/>
      <c r="AI90" s="1138"/>
      <c r="AJ90" s="1120"/>
      <c r="AK90" s="1138"/>
      <c r="AL90" s="1120"/>
      <c r="AM90" s="1138"/>
      <c r="AN90" s="1120"/>
      <c r="AO90" s="1127"/>
      <c r="AP90" s="1120"/>
      <c r="AQ90" s="1138"/>
      <c r="AR90" s="1120"/>
      <c r="AS90" s="1131"/>
      <c r="AT90" s="1126"/>
      <c r="AU90" s="1131"/>
      <c r="AV90" s="1126"/>
      <c r="AW90" s="1131"/>
      <c r="AX90" s="1126"/>
      <c r="AY90" s="1131"/>
      <c r="AZ90" s="1126"/>
      <c r="BA90" s="1131"/>
      <c r="BB90" s="1126"/>
      <c r="BC90" s="1127"/>
      <c r="BD90" s="1126"/>
      <c r="BE90" s="1127"/>
      <c r="BF90" s="1126"/>
      <c r="BG90" s="1127"/>
      <c r="BH90" s="1126"/>
      <c r="BI90" s="1127"/>
      <c r="BJ90" s="1126"/>
      <c r="BK90" s="1127"/>
      <c r="BL90" s="1134"/>
      <c r="BM90" s="1121"/>
      <c r="BN90" s="783"/>
      <c r="BO90" s="1170"/>
      <c r="BP90" s="783">
        <f t="shared" si="41"/>
        <v>1</v>
      </c>
      <c r="BQ90" s="1405">
        <f t="shared" si="42"/>
        <v>0</v>
      </c>
      <c r="BR90" s="711">
        <f t="shared" si="43"/>
        <v>0</v>
      </c>
      <c r="BS90" s="784">
        <f t="shared" si="44"/>
        <v>0</v>
      </c>
      <c r="BT90" s="1807"/>
    </row>
    <row r="91" ht="15.75" customHeight="1">
      <c r="A91" s="1708"/>
      <c r="B91" s="1567"/>
      <c r="C91" s="1567"/>
      <c r="D91" s="1567"/>
      <c r="E91" s="1900"/>
      <c r="F91" s="1120"/>
      <c r="G91" s="1121"/>
      <c r="H91" s="1120"/>
      <c r="I91" s="1121"/>
      <c r="J91" s="1120"/>
      <c r="K91" s="1121"/>
      <c r="L91" s="1300"/>
      <c r="M91" s="1121"/>
      <c r="N91" s="1120"/>
      <c r="O91" s="1121"/>
      <c r="P91" s="1120"/>
      <c r="Q91" s="1121"/>
      <c r="R91" s="1120"/>
      <c r="S91" s="1121"/>
      <c r="T91" s="1120"/>
      <c r="U91" s="1121"/>
      <c r="V91" s="1120"/>
      <c r="W91" s="1121"/>
      <c r="X91" s="1120"/>
      <c r="Y91" s="1121"/>
      <c r="Z91" s="1137"/>
      <c r="AA91" s="1121"/>
      <c r="AB91" s="1120"/>
      <c r="AC91" s="1121"/>
      <c r="AD91" s="1120"/>
      <c r="AE91" s="1121"/>
      <c r="AF91" s="1120"/>
      <c r="AG91" s="1121"/>
      <c r="AH91" s="1120"/>
      <c r="AI91" s="1121"/>
      <c r="AJ91" s="1120"/>
      <c r="AK91" s="1121"/>
      <c r="AL91" s="1120"/>
      <c r="AM91" s="1121"/>
      <c r="AN91" s="1120"/>
      <c r="AO91" s="1131"/>
      <c r="AP91" s="1120"/>
      <c r="AQ91" s="1131"/>
      <c r="AR91" s="1120"/>
      <c r="AS91" s="1517"/>
      <c r="AT91" s="1306"/>
      <c r="AU91" s="1517"/>
      <c r="AV91" s="1306"/>
      <c r="AW91" s="1517"/>
      <c r="AX91" s="1306"/>
      <c r="AY91" s="1517"/>
      <c r="AZ91" s="1306"/>
      <c r="BA91" s="1517"/>
      <c r="BB91" s="1126"/>
      <c r="BC91" s="1127"/>
      <c r="BD91" s="1126"/>
      <c r="BE91" s="1127"/>
      <c r="BF91" s="1126"/>
      <c r="BG91" s="1127"/>
      <c r="BH91" s="1126"/>
      <c r="BI91" s="1127"/>
      <c r="BJ91" s="1126"/>
      <c r="BK91" s="1127"/>
      <c r="BL91" s="1134"/>
      <c r="BM91" s="1121"/>
      <c r="BN91" s="783"/>
      <c r="BO91" s="1170"/>
      <c r="BP91" s="783">
        <f t="shared" si="41"/>
        <v>1</v>
      </c>
      <c r="BQ91" s="1405">
        <f t="shared" si="42"/>
        <v>0</v>
      </c>
      <c r="BR91" s="711">
        <f t="shared" si="43"/>
        <v>0</v>
      </c>
      <c r="BS91" s="784">
        <f t="shared" si="44"/>
        <v>0</v>
      </c>
      <c r="BT91" s="1610" t="s">
        <v>3104</v>
      </c>
    </row>
    <row r="92" ht="15.75" customHeight="1">
      <c r="A92" s="1679"/>
      <c r="B92" s="1901"/>
      <c r="C92" s="1796"/>
      <c r="D92" s="1796"/>
      <c r="E92" s="1671"/>
      <c r="F92" s="1902"/>
      <c r="G92" s="1186"/>
      <c r="H92" s="1902"/>
      <c r="I92" s="1186"/>
      <c r="J92" s="1902"/>
      <c r="K92" s="1186"/>
      <c r="L92" s="1902"/>
      <c r="M92" s="1186"/>
      <c r="N92" s="1902"/>
      <c r="O92" s="1186"/>
      <c r="P92" s="1902"/>
      <c r="Q92" s="1186"/>
      <c r="R92" s="1902"/>
      <c r="S92" s="1186"/>
      <c r="T92" s="1902"/>
      <c r="U92" s="1186"/>
      <c r="V92" s="1902"/>
      <c r="W92" s="1186"/>
      <c r="X92" s="1902"/>
      <c r="Y92" s="1186"/>
      <c r="Z92" s="1902"/>
      <c r="AA92" s="1186"/>
      <c r="AB92" s="1902"/>
      <c r="AC92" s="1186"/>
      <c r="AD92" s="1902"/>
      <c r="AE92" s="1186"/>
      <c r="AF92" s="1902"/>
      <c r="AG92" s="1186"/>
      <c r="AH92" s="1902"/>
      <c r="AI92" s="1186"/>
      <c r="AJ92" s="1902"/>
      <c r="AK92" s="1186"/>
      <c r="AL92" s="1902"/>
      <c r="AM92" s="1186"/>
      <c r="AN92" s="1902"/>
      <c r="AO92" s="1165"/>
      <c r="AP92" s="1902"/>
      <c r="AQ92" s="1165"/>
      <c r="AR92" s="1165"/>
      <c r="AS92" s="1186"/>
      <c r="AT92" s="1165"/>
      <c r="AU92" s="1186"/>
      <c r="AV92" s="1165"/>
      <c r="AW92" s="1186"/>
      <c r="AX92" s="1165"/>
      <c r="AY92" s="1186"/>
      <c r="AZ92" s="1165"/>
      <c r="BA92" s="1573"/>
      <c r="BB92" s="1807"/>
      <c r="BC92" s="1807"/>
      <c r="BD92" s="1807"/>
      <c r="BE92" s="1807"/>
      <c r="BF92" s="1807"/>
      <c r="BG92" s="1807"/>
      <c r="BH92" s="1807"/>
      <c r="BI92" s="1807"/>
      <c r="BJ92" s="1165"/>
      <c r="BK92" s="1807"/>
      <c r="BL92" s="1573"/>
      <c r="BM92" s="1120" t="s">
        <v>1365</v>
      </c>
      <c r="BN92" s="1573"/>
      <c r="BO92" s="1573"/>
      <c r="BP92" s="1712">
        <f t="shared" ref="BP92:BS92" si="45">SUM(BP65:BP91)</f>
        <v>2298</v>
      </c>
      <c r="BQ92" s="1714">
        <f t="shared" si="45"/>
        <v>2293</v>
      </c>
      <c r="BR92" s="1904">
        <f t="shared" si="45"/>
        <v>354786</v>
      </c>
      <c r="BS92" s="1905">
        <f t="shared" si="45"/>
        <v>354889</v>
      </c>
      <c r="BT92" s="1678">
        <f>BR92-BS92</f>
        <v>-103</v>
      </c>
      <c r="BU92" s="541"/>
    </row>
    <row r="93" ht="15.75" customHeight="1">
      <c r="A93" s="1827" t="s">
        <v>1354</v>
      </c>
      <c r="C93" s="1906">
        <v>46244.0</v>
      </c>
      <c r="D93" s="532"/>
      <c r="E93" s="908" t="s">
        <v>3106</v>
      </c>
      <c r="F93" s="1807"/>
      <c r="G93" s="726" t="s">
        <v>1356</v>
      </c>
      <c r="V93" s="1807"/>
      <c r="W93" s="1573"/>
      <c r="X93" s="1807"/>
      <c r="Y93" s="1573"/>
      <c r="Z93" s="1807"/>
      <c r="AA93" s="1573"/>
      <c r="AB93" s="1807"/>
      <c r="AC93" s="1573"/>
      <c r="AD93" s="1807"/>
      <c r="AE93" s="1573"/>
      <c r="AF93" s="1807"/>
      <c r="AG93" s="1573"/>
      <c r="AH93" s="1807"/>
      <c r="AI93" s="1573"/>
      <c r="AJ93" s="1807"/>
      <c r="AK93" s="1573"/>
      <c r="AL93" s="1807"/>
      <c r="AM93" s="1573"/>
      <c r="AN93" s="1807"/>
      <c r="AO93" s="1807"/>
      <c r="AP93" s="1807"/>
      <c r="AQ93" s="1807"/>
      <c r="AR93" s="1807"/>
      <c r="AS93" s="1573"/>
      <c r="AT93" s="1807"/>
      <c r="AU93" s="1573"/>
      <c r="AV93" s="1807"/>
      <c r="AW93" s="1573"/>
      <c r="AX93" s="1165"/>
      <c r="AY93" s="1573"/>
      <c r="AZ93" s="1165"/>
      <c r="BA93" s="1573"/>
      <c r="BB93" s="1807"/>
      <c r="BC93" s="1807"/>
      <c r="BD93" s="1807"/>
      <c r="BE93" s="1807"/>
      <c r="BF93" s="1807"/>
      <c r="BG93" s="1807"/>
      <c r="BH93" s="1807"/>
      <c r="BI93" s="1807"/>
      <c r="BJ93" s="1165"/>
      <c r="BK93" s="1807"/>
      <c r="BL93" s="1573"/>
      <c r="BM93" s="1807"/>
      <c r="BN93" s="1573"/>
      <c r="BO93" s="1573"/>
      <c r="BP93" s="1573"/>
      <c r="BQ93" s="683"/>
      <c r="BR93" s="633"/>
      <c r="BS93" s="541"/>
      <c r="BT93" s="684"/>
      <c r="BU93" s="541"/>
    </row>
    <row r="94" ht="18.0" customHeight="1">
      <c r="A94" s="1808" t="s">
        <v>3069</v>
      </c>
      <c r="B94" s="1557" t="s">
        <v>1283</v>
      </c>
      <c r="C94" s="1557" t="s">
        <v>19</v>
      </c>
      <c r="D94" s="1734" t="s">
        <v>473</v>
      </c>
      <c r="E94" s="1559" t="str">
        <f t="shared" ref="E94:E122" si="46">E64</f>
        <v>Название блюда</v>
      </c>
      <c r="F94" s="1606" t="s">
        <v>1357</v>
      </c>
      <c r="G94" s="69"/>
      <c r="H94" s="1487" t="s">
        <v>1287</v>
      </c>
      <c r="I94" s="69"/>
      <c r="J94" s="1606" t="s">
        <v>1358</v>
      </c>
      <c r="K94" s="69"/>
      <c r="L94" s="1606" t="s">
        <v>1359</v>
      </c>
      <c r="M94" s="69"/>
      <c r="N94" s="1606" t="s">
        <v>1360</v>
      </c>
      <c r="O94" s="69"/>
      <c r="P94" s="1606" t="s">
        <v>1361</v>
      </c>
      <c r="Q94" s="69"/>
      <c r="R94" s="1487" t="s">
        <v>1362</v>
      </c>
      <c r="S94" s="69"/>
      <c r="T94" s="1487" t="s">
        <v>1299</v>
      </c>
      <c r="U94" s="69"/>
      <c r="V94" s="1487" t="s">
        <v>1301</v>
      </c>
      <c r="W94" s="69"/>
      <c r="X94" s="1487" t="s">
        <v>1363</v>
      </c>
      <c r="Y94" s="69"/>
      <c r="Z94" s="1487" t="s">
        <v>1305</v>
      </c>
      <c r="AA94" s="69"/>
      <c r="AB94" s="1487" t="s">
        <v>1307</v>
      </c>
      <c r="AC94" s="69"/>
      <c r="AD94" s="1487" t="s">
        <v>1309</v>
      </c>
      <c r="AE94" s="69"/>
      <c r="AF94" s="1487" t="s">
        <v>1311</v>
      </c>
      <c r="AG94" s="69"/>
      <c r="AH94" s="1487" t="s">
        <v>1313</v>
      </c>
      <c r="AI94" s="69"/>
      <c r="AJ94" s="1487" t="s">
        <v>1315</v>
      </c>
      <c r="AK94" s="69"/>
      <c r="AL94" s="1487" t="s">
        <v>1317</v>
      </c>
      <c r="AM94" s="69"/>
      <c r="AN94" s="1487" t="s">
        <v>1319</v>
      </c>
      <c r="AO94" s="69"/>
      <c r="AP94" s="1487" t="s">
        <v>1321</v>
      </c>
      <c r="AQ94" s="69"/>
      <c r="AR94" s="1487" t="str">
        <f>AR64</f>
        <v>Т20</v>
      </c>
      <c r="AS94" s="69"/>
      <c r="AT94" s="1487" t="str">
        <f>AT64</f>
        <v>Т21</v>
      </c>
      <c r="AU94" s="69"/>
      <c r="AV94" s="1487" t="str">
        <f>AV64</f>
        <v>Т22</v>
      </c>
      <c r="AW94" s="69"/>
      <c r="AX94" s="1485" t="s">
        <v>3076</v>
      </c>
      <c r="AY94" s="69"/>
      <c r="AZ94" s="1485" t="s">
        <v>3078</v>
      </c>
      <c r="BA94" s="69"/>
      <c r="BB94" s="1487" t="s">
        <v>3080</v>
      </c>
      <c r="BC94" s="69"/>
      <c r="BD94" s="1487" t="s">
        <v>3082</v>
      </c>
      <c r="BE94" s="69"/>
      <c r="BF94" s="1487" t="s">
        <v>3084</v>
      </c>
      <c r="BG94" s="69"/>
      <c r="BH94" s="1487" t="s">
        <v>3086</v>
      </c>
      <c r="BI94" s="69"/>
      <c r="BJ94" s="1485" t="s">
        <v>3088</v>
      </c>
      <c r="BK94" s="69"/>
      <c r="BL94" s="1487" t="s">
        <v>297</v>
      </c>
      <c r="BM94" s="69"/>
      <c r="BN94" s="1487" t="s">
        <v>3090</v>
      </c>
      <c r="BO94" s="69"/>
      <c r="BP94" s="1487" t="s">
        <v>5</v>
      </c>
      <c r="BQ94" s="69"/>
      <c r="BS94" s="1691"/>
      <c r="BU94" s="1691"/>
    </row>
    <row r="95" ht="18.0" customHeight="1">
      <c r="A95" s="1698" t="str">
        <f t="shared" ref="A95:A121" si="47">A65</f>
        <v>Да</v>
      </c>
      <c r="B95" s="1611">
        <v>2936.0</v>
      </c>
      <c r="C95" s="1734">
        <v>85.0</v>
      </c>
      <c r="D95" s="1817"/>
      <c r="E95" s="721" t="str">
        <f t="shared" si="46"/>
        <v>Манник</v>
      </c>
      <c r="F95" s="1865">
        <f t="shared" ref="F95:F119" si="48">G65</f>
        <v>10</v>
      </c>
      <c r="G95" s="69"/>
      <c r="H95" s="1865">
        <f t="shared" ref="H95:H119" si="49">I65</f>
        <v>4</v>
      </c>
      <c r="I95" s="69"/>
      <c r="J95" s="1865" t="str">
        <f t="shared" ref="J95:J119" si="50">K65</f>
        <v/>
      </c>
      <c r="K95" s="69"/>
      <c r="L95" s="1865">
        <f t="shared" ref="L95:L119" si="51">M65</f>
        <v>3</v>
      </c>
      <c r="M95" s="69"/>
      <c r="N95" s="1204">
        <f t="shared" ref="N95:N119" si="52">O65</f>
        <v>6</v>
      </c>
      <c r="O95" s="69"/>
      <c r="P95" s="1865">
        <f t="shared" ref="P95:P119" si="53">Q65</f>
        <v>4</v>
      </c>
      <c r="Q95" s="69"/>
      <c r="R95" s="1865">
        <f t="shared" ref="R95:R119" si="54">S65</f>
        <v>3</v>
      </c>
      <c r="S95" s="69"/>
      <c r="T95" s="1865">
        <f t="shared" ref="T95:T119" si="55">U65</f>
        <v>7</v>
      </c>
      <c r="U95" s="69"/>
      <c r="V95" s="1865">
        <f t="shared" ref="V95:V119" si="56">W65</f>
        <v>5</v>
      </c>
      <c r="W95" s="69"/>
      <c r="X95" s="1865">
        <f t="shared" ref="X95:X119" si="57">Y65</f>
        <v>2</v>
      </c>
      <c r="Y95" s="69"/>
      <c r="Z95" s="1865" t="str">
        <f t="shared" ref="Z95:Z119" si="58">AA65</f>
        <v/>
      </c>
      <c r="AA95" s="69"/>
      <c r="AB95" s="1865">
        <f t="shared" ref="AB95:AB119" si="59">AC65</f>
        <v>2</v>
      </c>
      <c r="AC95" s="69"/>
      <c r="AD95" s="1204">
        <f t="shared" ref="AD95:AD119" si="60">AE65</f>
        <v>2</v>
      </c>
      <c r="AE95" s="69"/>
      <c r="AF95" s="1204">
        <f t="shared" ref="AF95:AF119" si="61">AG65</f>
        <v>8</v>
      </c>
      <c r="AG95" s="69"/>
      <c r="AH95" s="1204">
        <f t="shared" ref="AH95:AH119" si="62">AI65</f>
        <v>4</v>
      </c>
      <c r="AI95" s="69"/>
      <c r="AJ95" s="1204">
        <f t="shared" ref="AJ95:AJ119" si="63">AK65</f>
        <v>3</v>
      </c>
      <c r="AK95" s="69"/>
      <c r="AL95" s="1204">
        <f t="shared" ref="AL95:AL119" si="64">AM65</f>
        <v>2</v>
      </c>
      <c r="AM95" s="69"/>
      <c r="AN95" s="1204" t="str">
        <f t="shared" ref="AN95:AN119" si="65">AO65</f>
        <v/>
      </c>
      <c r="AO95" s="69"/>
      <c r="AP95" s="1204">
        <f t="shared" ref="AP95:AP119" si="66">AQ65</f>
        <v>3</v>
      </c>
      <c r="AQ95" s="69"/>
      <c r="AR95" s="1204">
        <f t="shared" ref="AR95:AR119" si="67">AS65</f>
        <v>4</v>
      </c>
      <c r="AS95" s="69"/>
      <c r="AT95" s="1204">
        <f t="shared" ref="AT95:AT119" si="68">AU65</f>
        <v>6</v>
      </c>
      <c r="AU95" s="69"/>
      <c r="AV95" s="1204">
        <f t="shared" ref="AV95:AV119" si="69">AW65</f>
        <v>5</v>
      </c>
      <c r="AW95" s="69"/>
      <c r="AX95" s="1201">
        <f t="shared" ref="AX95:AX119" si="70">AY65</f>
        <v>8</v>
      </c>
      <c r="AY95" s="69"/>
      <c r="AZ95" s="1201">
        <f t="shared" ref="AZ95:AZ119" si="71">BA65</f>
        <v>2</v>
      </c>
      <c r="BA95" s="69"/>
      <c r="BB95" s="1204">
        <f t="shared" ref="BB95:BB119" si="72">BC65</f>
        <v>3</v>
      </c>
      <c r="BC95" s="69"/>
      <c r="BD95" s="1204">
        <f t="shared" ref="BD95:BD119" si="73">BE65</f>
        <v>2</v>
      </c>
      <c r="BE95" s="69"/>
      <c r="BF95" s="1204">
        <f t="shared" ref="BF95:BF119" si="74">BG65</f>
        <v>4</v>
      </c>
      <c r="BG95" s="69"/>
      <c r="BH95" s="1204">
        <f t="shared" ref="BH95:BH119" si="75">BI65</f>
        <v>2</v>
      </c>
      <c r="BI95" s="69"/>
      <c r="BJ95" s="1204">
        <f t="shared" ref="BJ95:BJ119" si="76">BK65</f>
        <v>5</v>
      </c>
      <c r="BK95" s="69"/>
      <c r="BL95" s="1204" t="str">
        <f t="shared" ref="BL95:BL119" si="77">BM65</f>
        <v/>
      </c>
      <c r="BM95" s="69"/>
      <c r="BN95" s="1487" t="str">
        <f t="shared" ref="BN95:BN121" si="78">BO65</f>
        <v/>
      </c>
      <c r="BO95" s="69"/>
      <c r="BP95" s="1926">
        <f t="shared" ref="BP95:BP121" si="79">SUM(F95:BO95)</f>
        <v>109</v>
      </c>
      <c r="BQ95" s="69"/>
      <c r="BS95" s="541"/>
      <c r="BT95" s="684"/>
      <c r="BU95" s="541"/>
    </row>
    <row r="96" ht="18.0" customHeight="1">
      <c r="A96" s="1698" t="str">
        <f t="shared" si="47"/>
        <v>Да</v>
      </c>
      <c r="B96" s="1611">
        <v>4235.0</v>
      </c>
      <c r="C96" s="1734">
        <v>158.0</v>
      </c>
      <c r="D96" s="1817"/>
      <c r="E96" s="721" t="str">
        <f t="shared" si="46"/>
        <v>Киш с курицей</v>
      </c>
      <c r="F96" s="1865">
        <f t="shared" si="48"/>
        <v>4</v>
      </c>
      <c r="G96" s="69"/>
      <c r="H96" s="1865">
        <f t="shared" si="49"/>
        <v>2</v>
      </c>
      <c r="I96" s="69"/>
      <c r="J96" s="1865" t="str">
        <f t="shared" si="50"/>
        <v/>
      </c>
      <c r="K96" s="69"/>
      <c r="L96" s="1865">
        <f t="shared" si="51"/>
        <v>4</v>
      </c>
      <c r="M96" s="69"/>
      <c r="N96" s="1204">
        <f t="shared" si="52"/>
        <v>6</v>
      </c>
      <c r="O96" s="69"/>
      <c r="P96" s="1865">
        <f t="shared" si="53"/>
        <v>2</v>
      </c>
      <c r="Q96" s="69"/>
      <c r="R96" s="1865">
        <f t="shared" si="54"/>
        <v>2</v>
      </c>
      <c r="S96" s="69"/>
      <c r="T96" s="1865">
        <f t="shared" si="55"/>
        <v>8</v>
      </c>
      <c r="U96" s="69"/>
      <c r="V96" s="1865">
        <f t="shared" si="56"/>
        <v>2</v>
      </c>
      <c r="W96" s="69"/>
      <c r="X96" s="1865">
        <f t="shared" si="57"/>
        <v>6</v>
      </c>
      <c r="Y96" s="69"/>
      <c r="Z96" s="1865" t="str">
        <f t="shared" si="58"/>
        <v/>
      </c>
      <c r="AA96" s="69"/>
      <c r="AB96" s="1865">
        <f t="shared" si="59"/>
        <v>4</v>
      </c>
      <c r="AC96" s="69"/>
      <c r="AD96" s="1204">
        <f t="shared" si="60"/>
        <v>2</v>
      </c>
      <c r="AE96" s="69"/>
      <c r="AF96" s="1204">
        <f t="shared" si="61"/>
        <v>6</v>
      </c>
      <c r="AG96" s="69"/>
      <c r="AH96" s="1204">
        <f t="shared" si="62"/>
        <v>5</v>
      </c>
      <c r="AI96" s="69"/>
      <c r="AJ96" s="1204">
        <f t="shared" si="63"/>
        <v>3</v>
      </c>
      <c r="AK96" s="69"/>
      <c r="AL96" s="1204">
        <f t="shared" si="64"/>
        <v>2</v>
      </c>
      <c r="AM96" s="69"/>
      <c r="AN96" s="1204" t="str">
        <f t="shared" si="65"/>
        <v/>
      </c>
      <c r="AO96" s="69"/>
      <c r="AP96" s="1204">
        <f t="shared" si="66"/>
        <v>2</v>
      </c>
      <c r="AQ96" s="69"/>
      <c r="AR96" s="1204">
        <f t="shared" si="67"/>
        <v>8</v>
      </c>
      <c r="AS96" s="69"/>
      <c r="AT96" s="1204">
        <f t="shared" si="68"/>
        <v>2</v>
      </c>
      <c r="AU96" s="69"/>
      <c r="AV96" s="1204">
        <f t="shared" si="69"/>
        <v>0</v>
      </c>
      <c r="AW96" s="69"/>
      <c r="AX96" s="1201">
        <f t="shared" si="70"/>
        <v>3</v>
      </c>
      <c r="AY96" s="69"/>
      <c r="AZ96" s="1201">
        <f t="shared" si="71"/>
        <v>2</v>
      </c>
      <c r="BA96" s="69"/>
      <c r="BB96" s="1204">
        <f t="shared" si="72"/>
        <v>3</v>
      </c>
      <c r="BC96" s="69"/>
      <c r="BD96" s="1204">
        <f t="shared" si="73"/>
        <v>2</v>
      </c>
      <c r="BE96" s="69"/>
      <c r="BF96" s="1204">
        <f t="shared" si="74"/>
        <v>4</v>
      </c>
      <c r="BG96" s="69"/>
      <c r="BH96" s="1204">
        <f t="shared" si="75"/>
        <v>4</v>
      </c>
      <c r="BI96" s="69"/>
      <c r="BJ96" s="1204">
        <f t="shared" si="76"/>
        <v>7</v>
      </c>
      <c r="BK96" s="69"/>
      <c r="BL96" s="1204" t="str">
        <f t="shared" si="77"/>
        <v/>
      </c>
      <c r="BM96" s="69"/>
      <c r="BN96" s="1487">
        <f t="shared" si="78"/>
        <v>15</v>
      </c>
      <c r="BO96" s="69"/>
      <c r="BP96" s="1926">
        <f t="shared" si="79"/>
        <v>110</v>
      </c>
      <c r="BQ96" s="69"/>
      <c r="BS96" s="541"/>
      <c r="BT96" s="684"/>
      <c r="BU96" s="541"/>
    </row>
    <row r="97" ht="18.0" customHeight="1">
      <c r="A97" s="1698" t="str">
        <f t="shared" si="47"/>
        <v>Да</v>
      </c>
      <c r="B97" s="1611">
        <v>4318.0</v>
      </c>
      <c r="C97" s="1734">
        <v>189.0</v>
      </c>
      <c r="D97" s="1817"/>
      <c r="E97" s="721" t="str">
        <f t="shared" si="46"/>
        <v>Ватрушка Царская </v>
      </c>
      <c r="F97" s="1865">
        <f t="shared" si="48"/>
        <v>4</v>
      </c>
      <c r="G97" s="69"/>
      <c r="H97" s="1865">
        <f t="shared" si="49"/>
        <v>3</v>
      </c>
      <c r="I97" s="69"/>
      <c r="J97" s="1865" t="str">
        <f t="shared" si="50"/>
        <v/>
      </c>
      <c r="K97" s="69"/>
      <c r="L97" s="1865">
        <f t="shared" si="51"/>
        <v>2</v>
      </c>
      <c r="M97" s="69"/>
      <c r="N97" s="1204">
        <f t="shared" si="52"/>
        <v>5</v>
      </c>
      <c r="O97" s="69"/>
      <c r="P97" s="1865">
        <f t="shared" si="53"/>
        <v>2</v>
      </c>
      <c r="Q97" s="69"/>
      <c r="R97" s="1865">
        <f t="shared" si="54"/>
        <v>1</v>
      </c>
      <c r="S97" s="69"/>
      <c r="T97" s="1865">
        <f t="shared" si="55"/>
        <v>3</v>
      </c>
      <c r="U97" s="69"/>
      <c r="V97" s="1865">
        <f t="shared" si="56"/>
        <v>6</v>
      </c>
      <c r="W97" s="69"/>
      <c r="X97" s="1865">
        <f t="shared" si="57"/>
        <v>2</v>
      </c>
      <c r="Y97" s="69"/>
      <c r="Z97" s="1865" t="str">
        <f t="shared" si="58"/>
        <v/>
      </c>
      <c r="AA97" s="69"/>
      <c r="AB97" s="1865">
        <f t="shared" si="59"/>
        <v>5</v>
      </c>
      <c r="AC97" s="69"/>
      <c r="AD97" s="1204">
        <f t="shared" si="60"/>
        <v>3</v>
      </c>
      <c r="AE97" s="69"/>
      <c r="AF97" s="1204">
        <f t="shared" si="61"/>
        <v>7</v>
      </c>
      <c r="AG97" s="69"/>
      <c r="AH97" s="1204">
        <f t="shared" si="62"/>
        <v>4</v>
      </c>
      <c r="AI97" s="69"/>
      <c r="AJ97" s="1204">
        <f t="shared" si="63"/>
        <v>3</v>
      </c>
      <c r="AK97" s="69"/>
      <c r="AL97" s="1204">
        <f t="shared" si="64"/>
        <v>2</v>
      </c>
      <c r="AM97" s="69"/>
      <c r="AN97" s="1204" t="str">
        <f t="shared" si="65"/>
        <v/>
      </c>
      <c r="AO97" s="69"/>
      <c r="AP97" s="1204">
        <f t="shared" si="66"/>
        <v>3</v>
      </c>
      <c r="AQ97" s="69"/>
      <c r="AR97" s="1204">
        <f t="shared" si="67"/>
        <v>6</v>
      </c>
      <c r="AS97" s="69"/>
      <c r="AT97" s="1204">
        <f t="shared" si="68"/>
        <v>2</v>
      </c>
      <c r="AU97" s="69"/>
      <c r="AV97" s="1204">
        <f t="shared" si="69"/>
        <v>4</v>
      </c>
      <c r="AW97" s="69"/>
      <c r="AX97" s="1201">
        <f t="shared" si="70"/>
        <v>8</v>
      </c>
      <c r="AY97" s="69"/>
      <c r="AZ97" s="1201">
        <f t="shared" si="71"/>
        <v>2</v>
      </c>
      <c r="BA97" s="69"/>
      <c r="BB97" s="1204">
        <f t="shared" si="72"/>
        <v>3</v>
      </c>
      <c r="BC97" s="69"/>
      <c r="BD97" s="1204">
        <f t="shared" si="73"/>
        <v>3</v>
      </c>
      <c r="BE97" s="69"/>
      <c r="BF97" s="1204">
        <f t="shared" si="74"/>
        <v>2</v>
      </c>
      <c r="BG97" s="69"/>
      <c r="BH97" s="1204">
        <f t="shared" si="75"/>
        <v>3</v>
      </c>
      <c r="BI97" s="69"/>
      <c r="BJ97" s="1204">
        <f t="shared" si="76"/>
        <v>3</v>
      </c>
      <c r="BK97" s="69"/>
      <c r="BL97" s="1204" t="str">
        <f t="shared" si="77"/>
        <v/>
      </c>
      <c r="BM97" s="69"/>
      <c r="BN97" s="1487" t="str">
        <f t="shared" si="78"/>
        <v/>
      </c>
      <c r="BO97" s="69"/>
      <c r="BP97" s="1926">
        <f t="shared" si="79"/>
        <v>91</v>
      </c>
      <c r="BQ97" s="69"/>
      <c r="BS97" s="541"/>
      <c r="BT97" s="684"/>
      <c r="BU97" s="541"/>
    </row>
    <row r="98" ht="18.0" customHeight="1">
      <c r="A98" s="1698" t="str">
        <f t="shared" si="47"/>
        <v>Да</v>
      </c>
      <c r="B98" s="1611">
        <v>4024.0</v>
      </c>
      <c r="C98" s="1734">
        <v>98.0</v>
      </c>
      <c r="D98" s="1817"/>
      <c r="E98" s="721" t="str">
        <f t="shared" si="46"/>
        <v>Салат "Чешский" (колбаса п/к)</v>
      </c>
      <c r="F98" s="1865">
        <f t="shared" si="48"/>
        <v>3</v>
      </c>
      <c r="G98" s="69"/>
      <c r="H98" s="1865">
        <f t="shared" si="49"/>
        <v>2</v>
      </c>
      <c r="I98" s="69"/>
      <c r="J98" s="1865" t="str">
        <f t="shared" si="50"/>
        <v/>
      </c>
      <c r="K98" s="69"/>
      <c r="L98" s="1865">
        <f t="shared" si="51"/>
        <v>5</v>
      </c>
      <c r="M98" s="69"/>
      <c r="N98" s="1204">
        <f t="shared" si="52"/>
        <v>6</v>
      </c>
      <c r="O98" s="69"/>
      <c r="P98" s="1865">
        <f t="shared" si="53"/>
        <v>9</v>
      </c>
      <c r="Q98" s="69"/>
      <c r="R98" s="1865">
        <f t="shared" si="54"/>
        <v>3</v>
      </c>
      <c r="S98" s="69"/>
      <c r="T98" s="1865">
        <f t="shared" si="55"/>
        <v>2</v>
      </c>
      <c r="U98" s="69"/>
      <c r="V98" s="1865">
        <f t="shared" si="56"/>
        <v>3</v>
      </c>
      <c r="W98" s="69"/>
      <c r="X98" s="1865">
        <f t="shared" si="57"/>
        <v>1</v>
      </c>
      <c r="Y98" s="69"/>
      <c r="Z98" s="1865" t="str">
        <f t="shared" si="58"/>
        <v/>
      </c>
      <c r="AA98" s="69"/>
      <c r="AB98" s="1865">
        <f t="shared" si="59"/>
        <v>2</v>
      </c>
      <c r="AC98" s="69"/>
      <c r="AD98" s="1204">
        <f t="shared" si="60"/>
        <v>2</v>
      </c>
      <c r="AE98" s="69"/>
      <c r="AF98" s="1204">
        <f t="shared" si="61"/>
        <v>3</v>
      </c>
      <c r="AG98" s="69"/>
      <c r="AH98" s="1204">
        <f t="shared" si="62"/>
        <v>2</v>
      </c>
      <c r="AI98" s="69"/>
      <c r="AJ98" s="1204">
        <f t="shared" si="63"/>
        <v>5</v>
      </c>
      <c r="AK98" s="69"/>
      <c r="AL98" s="1204">
        <f t="shared" si="64"/>
        <v>1</v>
      </c>
      <c r="AM98" s="69"/>
      <c r="AN98" s="1204" t="str">
        <f t="shared" si="65"/>
        <v/>
      </c>
      <c r="AO98" s="69"/>
      <c r="AP98" s="1204">
        <f t="shared" si="66"/>
        <v>2</v>
      </c>
      <c r="AQ98" s="69"/>
      <c r="AR98" s="1204">
        <f t="shared" si="67"/>
        <v>11</v>
      </c>
      <c r="AS98" s="69"/>
      <c r="AT98" s="1204">
        <f t="shared" si="68"/>
        <v>4</v>
      </c>
      <c r="AU98" s="69"/>
      <c r="AV98" s="1204">
        <f t="shared" si="69"/>
        <v>0</v>
      </c>
      <c r="AW98" s="69"/>
      <c r="AX98" s="1201">
        <f t="shared" si="70"/>
        <v>3</v>
      </c>
      <c r="AY98" s="69"/>
      <c r="AZ98" s="1201">
        <f t="shared" si="71"/>
        <v>2</v>
      </c>
      <c r="BA98" s="69"/>
      <c r="BB98" s="1204">
        <f t="shared" si="72"/>
        <v>2</v>
      </c>
      <c r="BC98" s="69"/>
      <c r="BD98" s="1204">
        <f t="shared" si="73"/>
        <v>3</v>
      </c>
      <c r="BE98" s="69"/>
      <c r="BF98" s="1204">
        <f t="shared" si="74"/>
        <v>2</v>
      </c>
      <c r="BG98" s="69"/>
      <c r="BH98" s="1204">
        <f t="shared" si="75"/>
        <v>2</v>
      </c>
      <c r="BI98" s="69"/>
      <c r="BJ98" s="1204">
        <f t="shared" si="76"/>
        <v>5</v>
      </c>
      <c r="BK98" s="69"/>
      <c r="BL98" s="1204">
        <f t="shared" si="77"/>
        <v>44</v>
      </c>
      <c r="BM98" s="69"/>
      <c r="BN98" s="1487" t="str">
        <f t="shared" si="78"/>
        <v/>
      </c>
      <c r="BO98" s="69"/>
      <c r="BP98" s="1926">
        <f t="shared" si="79"/>
        <v>129</v>
      </c>
      <c r="BQ98" s="69"/>
      <c r="BS98" s="541"/>
      <c r="BT98" s="684"/>
      <c r="BU98" s="541"/>
    </row>
    <row r="99" ht="18.0" customHeight="1">
      <c r="A99" s="1698" t="str">
        <f t="shared" si="47"/>
        <v>Да</v>
      </c>
      <c r="B99" s="1611">
        <v>1995.0</v>
      </c>
      <c r="C99" s="1734">
        <v>98.0</v>
      </c>
      <c r="D99" s="1817"/>
      <c r="E99" s="721" t="str">
        <f t="shared" si="46"/>
        <v>Салат ''Дачный'' (редис, огурец,)</v>
      </c>
      <c r="F99" s="1865">
        <f t="shared" si="48"/>
        <v>7</v>
      </c>
      <c r="G99" s="69"/>
      <c r="H99" s="1865">
        <f t="shared" si="49"/>
        <v>2</v>
      </c>
      <c r="I99" s="69"/>
      <c r="J99" s="1865" t="str">
        <f t="shared" si="50"/>
        <v/>
      </c>
      <c r="K99" s="69"/>
      <c r="L99" s="1865">
        <f t="shared" si="51"/>
        <v>0</v>
      </c>
      <c r="M99" s="69"/>
      <c r="N99" s="1204">
        <f t="shared" si="52"/>
        <v>9</v>
      </c>
      <c r="O99" s="69"/>
      <c r="P99" s="1865">
        <f t="shared" si="53"/>
        <v>4</v>
      </c>
      <c r="Q99" s="69"/>
      <c r="R99" s="1865">
        <f t="shared" si="54"/>
        <v>0</v>
      </c>
      <c r="S99" s="69"/>
      <c r="T99" s="1865">
        <f t="shared" si="55"/>
        <v>3</v>
      </c>
      <c r="U99" s="69"/>
      <c r="V99" s="1865">
        <f t="shared" si="56"/>
        <v>5</v>
      </c>
      <c r="W99" s="69"/>
      <c r="X99" s="1865">
        <f t="shared" si="57"/>
        <v>1</v>
      </c>
      <c r="Y99" s="69"/>
      <c r="Z99" s="1865" t="str">
        <f t="shared" si="58"/>
        <v/>
      </c>
      <c r="AA99" s="69"/>
      <c r="AB99" s="1865">
        <f t="shared" si="59"/>
        <v>1</v>
      </c>
      <c r="AC99" s="69"/>
      <c r="AD99" s="1204">
        <f t="shared" si="60"/>
        <v>2</v>
      </c>
      <c r="AE99" s="69"/>
      <c r="AF99" s="1204">
        <f t="shared" si="61"/>
        <v>5</v>
      </c>
      <c r="AG99" s="69"/>
      <c r="AH99" s="1204">
        <f t="shared" si="62"/>
        <v>2</v>
      </c>
      <c r="AI99" s="69"/>
      <c r="AJ99" s="1204">
        <f t="shared" si="63"/>
        <v>2</v>
      </c>
      <c r="AK99" s="69"/>
      <c r="AL99" s="1204">
        <f t="shared" si="64"/>
        <v>2</v>
      </c>
      <c r="AM99" s="69"/>
      <c r="AN99" s="1204" t="str">
        <f t="shared" si="65"/>
        <v/>
      </c>
      <c r="AO99" s="69"/>
      <c r="AP99" s="1204">
        <f t="shared" si="66"/>
        <v>2</v>
      </c>
      <c r="AQ99" s="69"/>
      <c r="AR99" s="1204">
        <f t="shared" si="67"/>
        <v>4</v>
      </c>
      <c r="AS99" s="69"/>
      <c r="AT99" s="1204">
        <f t="shared" si="68"/>
        <v>4</v>
      </c>
      <c r="AU99" s="69"/>
      <c r="AV99" s="1204">
        <f t="shared" si="69"/>
        <v>2</v>
      </c>
      <c r="AW99" s="69"/>
      <c r="AX99" s="1201">
        <f t="shared" si="70"/>
        <v>6</v>
      </c>
      <c r="AY99" s="69"/>
      <c r="AZ99" s="1201">
        <f t="shared" si="71"/>
        <v>3</v>
      </c>
      <c r="BA99" s="69"/>
      <c r="BB99" s="1204">
        <f t="shared" si="72"/>
        <v>2</v>
      </c>
      <c r="BC99" s="69"/>
      <c r="BD99" s="1204">
        <f t="shared" si="73"/>
        <v>0</v>
      </c>
      <c r="BE99" s="69"/>
      <c r="BF99" s="1204">
        <f t="shared" si="74"/>
        <v>1</v>
      </c>
      <c r="BG99" s="69"/>
      <c r="BH99" s="1204">
        <f t="shared" si="75"/>
        <v>2</v>
      </c>
      <c r="BI99" s="69"/>
      <c r="BJ99" s="1204">
        <f t="shared" si="76"/>
        <v>5</v>
      </c>
      <c r="BK99" s="69"/>
      <c r="BL99" s="1204">
        <f t="shared" si="77"/>
        <v>43</v>
      </c>
      <c r="BM99" s="69"/>
      <c r="BN99" s="1487" t="str">
        <f t="shared" si="78"/>
        <v/>
      </c>
      <c r="BO99" s="69"/>
      <c r="BP99" s="1926">
        <f t="shared" si="79"/>
        <v>119</v>
      </c>
      <c r="BQ99" s="69"/>
      <c r="BS99" s="541"/>
      <c r="BT99" s="684"/>
      <c r="BU99" s="541"/>
    </row>
    <row r="100" ht="18.0" customHeight="1">
      <c r="A100" s="1698" t="str">
        <f t="shared" si="47"/>
        <v>Да</v>
      </c>
      <c r="B100" s="1611">
        <v>3244.0</v>
      </c>
      <c r="C100" s="1734">
        <v>98.0</v>
      </c>
      <c r="D100" s="1817"/>
      <c r="E100" s="721" t="str">
        <f t="shared" si="46"/>
        <v>Салат ''Крабик'' с рисом</v>
      </c>
      <c r="F100" s="1865">
        <f t="shared" si="48"/>
        <v>7</v>
      </c>
      <c r="G100" s="69"/>
      <c r="H100" s="1865">
        <f t="shared" si="49"/>
        <v>2</v>
      </c>
      <c r="I100" s="69"/>
      <c r="J100" s="1865" t="str">
        <f t="shared" si="50"/>
        <v/>
      </c>
      <c r="K100" s="69"/>
      <c r="L100" s="1865">
        <f t="shared" si="51"/>
        <v>5</v>
      </c>
      <c r="M100" s="69"/>
      <c r="N100" s="1204">
        <f t="shared" si="52"/>
        <v>6</v>
      </c>
      <c r="O100" s="69"/>
      <c r="P100" s="1865">
        <f t="shared" si="53"/>
        <v>6</v>
      </c>
      <c r="Q100" s="69"/>
      <c r="R100" s="1865">
        <f t="shared" si="54"/>
        <v>4</v>
      </c>
      <c r="S100" s="69"/>
      <c r="T100" s="1865">
        <f t="shared" si="55"/>
        <v>4</v>
      </c>
      <c r="U100" s="69"/>
      <c r="V100" s="1865">
        <f t="shared" si="56"/>
        <v>6</v>
      </c>
      <c r="W100" s="69"/>
      <c r="X100" s="1865">
        <f t="shared" si="57"/>
        <v>5</v>
      </c>
      <c r="Y100" s="69"/>
      <c r="Z100" s="1865" t="str">
        <f t="shared" si="58"/>
        <v/>
      </c>
      <c r="AA100" s="69"/>
      <c r="AB100" s="1865">
        <f t="shared" si="59"/>
        <v>2</v>
      </c>
      <c r="AC100" s="69"/>
      <c r="AD100" s="1204">
        <f t="shared" si="60"/>
        <v>2</v>
      </c>
      <c r="AE100" s="69"/>
      <c r="AF100" s="1204">
        <f t="shared" si="61"/>
        <v>4</v>
      </c>
      <c r="AG100" s="69"/>
      <c r="AH100" s="1204">
        <f t="shared" si="62"/>
        <v>4</v>
      </c>
      <c r="AI100" s="69"/>
      <c r="AJ100" s="1204">
        <f t="shared" si="63"/>
        <v>5</v>
      </c>
      <c r="AK100" s="69"/>
      <c r="AL100" s="1204">
        <f t="shared" si="64"/>
        <v>4</v>
      </c>
      <c r="AM100" s="69"/>
      <c r="AN100" s="1204" t="str">
        <f t="shared" si="65"/>
        <v/>
      </c>
      <c r="AO100" s="69"/>
      <c r="AP100" s="1204">
        <f t="shared" si="66"/>
        <v>7</v>
      </c>
      <c r="AQ100" s="69"/>
      <c r="AR100" s="1204">
        <f t="shared" si="67"/>
        <v>10</v>
      </c>
      <c r="AS100" s="69"/>
      <c r="AT100" s="1204">
        <f t="shared" si="68"/>
        <v>4</v>
      </c>
      <c r="AU100" s="69"/>
      <c r="AV100" s="1204">
        <f t="shared" si="69"/>
        <v>2</v>
      </c>
      <c r="AW100" s="69"/>
      <c r="AX100" s="1201">
        <f t="shared" si="70"/>
        <v>9</v>
      </c>
      <c r="AY100" s="69"/>
      <c r="AZ100" s="1201">
        <f t="shared" si="71"/>
        <v>4</v>
      </c>
      <c r="BA100" s="69"/>
      <c r="BB100" s="1204">
        <f t="shared" si="72"/>
        <v>2</v>
      </c>
      <c r="BC100" s="69"/>
      <c r="BD100" s="1204">
        <f t="shared" si="73"/>
        <v>5</v>
      </c>
      <c r="BE100" s="69"/>
      <c r="BF100" s="1204">
        <f t="shared" si="74"/>
        <v>8</v>
      </c>
      <c r="BG100" s="69"/>
      <c r="BH100" s="1204">
        <f t="shared" si="75"/>
        <v>4</v>
      </c>
      <c r="BI100" s="69"/>
      <c r="BJ100" s="1204">
        <f t="shared" si="76"/>
        <v>8</v>
      </c>
      <c r="BK100" s="69"/>
      <c r="BL100" s="1204">
        <f t="shared" si="77"/>
        <v>43</v>
      </c>
      <c r="BM100" s="69"/>
      <c r="BN100" s="1487" t="str">
        <f t="shared" si="78"/>
        <v/>
      </c>
      <c r="BO100" s="69"/>
      <c r="BP100" s="1926">
        <f t="shared" si="79"/>
        <v>172</v>
      </c>
      <c r="BQ100" s="69"/>
      <c r="BS100" s="541"/>
      <c r="BT100" s="684"/>
      <c r="BU100" s="541"/>
    </row>
    <row r="101" ht="18.0" customHeight="1">
      <c r="A101" s="1698" t="str">
        <f t="shared" si="47"/>
        <v>Да</v>
      </c>
      <c r="B101" s="1611">
        <v>2621.0</v>
      </c>
      <c r="C101" s="1734">
        <v>244.0</v>
      </c>
      <c r="D101" s="1817"/>
      <c r="E101" s="721" t="str">
        <f t="shared" si="46"/>
        <v>Салат ''Цезарь с курицей''</v>
      </c>
      <c r="F101" s="1865">
        <f t="shared" si="48"/>
        <v>6</v>
      </c>
      <c r="G101" s="69"/>
      <c r="H101" s="1865">
        <f t="shared" si="49"/>
        <v>2</v>
      </c>
      <c r="I101" s="69"/>
      <c r="J101" s="1865" t="str">
        <f t="shared" si="50"/>
        <v/>
      </c>
      <c r="K101" s="69"/>
      <c r="L101" s="1865">
        <f t="shared" si="51"/>
        <v>3</v>
      </c>
      <c r="M101" s="69"/>
      <c r="N101" s="1204">
        <f t="shared" si="52"/>
        <v>5</v>
      </c>
      <c r="O101" s="69"/>
      <c r="P101" s="1865">
        <f t="shared" si="53"/>
        <v>5</v>
      </c>
      <c r="Q101" s="69"/>
      <c r="R101" s="1865">
        <f t="shared" si="54"/>
        <v>0</v>
      </c>
      <c r="S101" s="69"/>
      <c r="T101" s="1865">
        <f t="shared" si="55"/>
        <v>2</v>
      </c>
      <c r="U101" s="69"/>
      <c r="V101" s="1865">
        <f t="shared" si="56"/>
        <v>5</v>
      </c>
      <c r="W101" s="69"/>
      <c r="X101" s="1865">
        <f t="shared" si="57"/>
        <v>1</v>
      </c>
      <c r="Y101" s="69"/>
      <c r="Z101" s="1865" t="str">
        <f t="shared" si="58"/>
        <v/>
      </c>
      <c r="AA101" s="69"/>
      <c r="AB101" s="1865">
        <f t="shared" si="59"/>
        <v>3</v>
      </c>
      <c r="AC101" s="69"/>
      <c r="AD101" s="1204">
        <f t="shared" si="60"/>
        <v>4</v>
      </c>
      <c r="AE101" s="69"/>
      <c r="AF101" s="1204">
        <f t="shared" si="61"/>
        <v>6</v>
      </c>
      <c r="AG101" s="69"/>
      <c r="AH101" s="1204">
        <f t="shared" si="62"/>
        <v>2</v>
      </c>
      <c r="AI101" s="69"/>
      <c r="AJ101" s="1204">
        <f t="shared" si="63"/>
        <v>2</v>
      </c>
      <c r="AK101" s="69"/>
      <c r="AL101" s="1204">
        <f t="shared" si="64"/>
        <v>4</v>
      </c>
      <c r="AM101" s="69"/>
      <c r="AN101" s="1204" t="str">
        <f t="shared" si="65"/>
        <v/>
      </c>
      <c r="AO101" s="69"/>
      <c r="AP101" s="1204">
        <f t="shared" si="66"/>
        <v>1</v>
      </c>
      <c r="AQ101" s="69"/>
      <c r="AR101" s="1204">
        <f t="shared" si="67"/>
        <v>4</v>
      </c>
      <c r="AS101" s="69"/>
      <c r="AT101" s="1204">
        <f t="shared" si="68"/>
        <v>2</v>
      </c>
      <c r="AU101" s="69"/>
      <c r="AV101" s="1204">
        <f t="shared" si="69"/>
        <v>3</v>
      </c>
      <c r="AW101" s="69"/>
      <c r="AX101" s="1201">
        <f t="shared" si="70"/>
        <v>0</v>
      </c>
      <c r="AY101" s="69"/>
      <c r="AZ101" s="1201">
        <f t="shared" si="71"/>
        <v>2</v>
      </c>
      <c r="BA101" s="69"/>
      <c r="BB101" s="1204">
        <f t="shared" si="72"/>
        <v>3</v>
      </c>
      <c r="BC101" s="69"/>
      <c r="BD101" s="1204">
        <f t="shared" si="73"/>
        <v>0</v>
      </c>
      <c r="BE101" s="69"/>
      <c r="BF101" s="1204">
        <f t="shared" si="74"/>
        <v>3</v>
      </c>
      <c r="BG101" s="69"/>
      <c r="BH101" s="1204">
        <f t="shared" si="75"/>
        <v>4</v>
      </c>
      <c r="BI101" s="69"/>
      <c r="BJ101" s="1204">
        <f t="shared" si="76"/>
        <v>4</v>
      </c>
      <c r="BK101" s="69"/>
      <c r="BL101" s="1204" t="str">
        <f t="shared" si="77"/>
        <v/>
      </c>
      <c r="BM101" s="69"/>
      <c r="BN101" s="1487" t="str">
        <f t="shared" si="78"/>
        <v/>
      </c>
      <c r="BO101" s="69"/>
      <c r="BP101" s="1926">
        <f t="shared" si="79"/>
        <v>76</v>
      </c>
      <c r="BQ101" s="69"/>
      <c r="BS101" s="541"/>
      <c r="BT101" s="684"/>
      <c r="BU101" s="541"/>
    </row>
    <row r="102" ht="18.0" customHeight="1">
      <c r="A102" s="1698" t="str">
        <f t="shared" si="47"/>
        <v/>
      </c>
      <c r="B102" s="1611">
        <v>8.0</v>
      </c>
      <c r="C102" s="1734">
        <v>104.0</v>
      </c>
      <c r="D102" s="1817"/>
      <c r="E102" s="721" t="str">
        <f t="shared" si="46"/>
        <v>Суп гороховый 250 мл</v>
      </c>
      <c r="F102" s="1865" t="str">
        <f t="shared" si="48"/>
        <v/>
      </c>
      <c r="G102" s="69"/>
      <c r="H102" s="1865" t="str">
        <f t="shared" si="49"/>
        <v/>
      </c>
      <c r="I102" s="69"/>
      <c r="J102" s="1865" t="str">
        <f t="shared" si="50"/>
        <v/>
      </c>
      <c r="K102" s="69"/>
      <c r="L102" s="1865" t="str">
        <f t="shared" si="51"/>
        <v/>
      </c>
      <c r="M102" s="69"/>
      <c r="N102" s="1204" t="str">
        <f t="shared" si="52"/>
        <v/>
      </c>
      <c r="O102" s="69"/>
      <c r="P102" s="1941" t="str">
        <f t="shared" si="53"/>
        <v/>
      </c>
      <c r="Q102" s="69"/>
      <c r="R102" s="1865" t="str">
        <f t="shared" si="54"/>
        <v/>
      </c>
      <c r="S102" s="69"/>
      <c r="T102" s="1865" t="str">
        <f t="shared" si="55"/>
        <v/>
      </c>
      <c r="U102" s="69"/>
      <c r="V102" s="1865" t="str">
        <f t="shared" si="56"/>
        <v/>
      </c>
      <c r="W102" s="69"/>
      <c r="X102" s="1865" t="str">
        <f t="shared" si="57"/>
        <v/>
      </c>
      <c r="Y102" s="69"/>
      <c r="Z102" s="1865" t="str">
        <f t="shared" si="58"/>
        <v/>
      </c>
      <c r="AA102" s="69"/>
      <c r="AB102" s="1865" t="str">
        <f t="shared" si="59"/>
        <v/>
      </c>
      <c r="AC102" s="69"/>
      <c r="AD102" s="1204" t="str">
        <f t="shared" si="60"/>
        <v/>
      </c>
      <c r="AE102" s="69"/>
      <c r="AF102" s="1204" t="str">
        <f t="shared" si="61"/>
        <v/>
      </c>
      <c r="AG102" s="69"/>
      <c r="AH102" s="1204" t="str">
        <f t="shared" si="62"/>
        <v/>
      </c>
      <c r="AI102" s="69"/>
      <c r="AJ102" s="1204" t="str">
        <f t="shared" si="63"/>
        <v/>
      </c>
      <c r="AK102" s="69"/>
      <c r="AL102" s="1204" t="str">
        <f t="shared" si="64"/>
        <v/>
      </c>
      <c r="AM102" s="69"/>
      <c r="AN102" s="1204" t="str">
        <f t="shared" si="65"/>
        <v/>
      </c>
      <c r="AO102" s="69"/>
      <c r="AP102" s="1204" t="str">
        <f t="shared" si="66"/>
        <v/>
      </c>
      <c r="AQ102" s="69"/>
      <c r="AR102" s="1204" t="str">
        <f t="shared" si="67"/>
        <v/>
      </c>
      <c r="AS102" s="69"/>
      <c r="AT102" s="1204" t="str">
        <f t="shared" si="68"/>
        <v/>
      </c>
      <c r="AU102" s="69"/>
      <c r="AV102" s="1204" t="str">
        <f t="shared" si="69"/>
        <v/>
      </c>
      <c r="AW102" s="69"/>
      <c r="AX102" s="1201" t="str">
        <f t="shared" si="70"/>
        <v/>
      </c>
      <c r="AY102" s="69"/>
      <c r="AZ102" s="1201" t="str">
        <f t="shared" si="71"/>
        <v/>
      </c>
      <c r="BA102" s="69"/>
      <c r="BB102" s="1204" t="str">
        <f t="shared" si="72"/>
        <v/>
      </c>
      <c r="BC102" s="69"/>
      <c r="BD102" s="1204" t="str">
        <f t="shared" si="73"/>
        <v/>
      </c>
      <c r="BE102" s="69"/>
      <c r="BF102" s="1204" t="str">
        <f t="shared" si="74"/>
        <v/>
      </c>
      <c r="BG102" s="69"/>
      <c r="BH102" s="1204" t="str">
        <f t="shared" si="75"/>
        <v/>
      </c>
      <c r="BI102" s="69"/>
      <c r="BJ102" s="1204" t="str">
        <f t="shared" si="76"/>
        <v/>
      </c>
      <c r="BK102" s="69"/>
      <c r="BL102" s="1204">
        <f t="shared" si="77"/>
        <v>110</v>
      </c>
      <c r="BM102" s="69"/>
      <c r="BN102" s="1487" t="str">
        <f t="shared" si="78"/>
        <v/>
      </c>
      <c r="BO102" s="69"/>
      <c r="BP102" s="1926">
        <f t="shared" si="79"/>
        <v>110</v>
      </c>
      <c r="BQ102" s="69"/>
      <c r="BS102" s="541"/>
      <c r="BT102" s="684"/>
      <c r="BU102" s="541"/>
    </row>
    <row r="103" ht="18.0" customHeight="1">
      <c r="A103" s="1698" t="str">
        <f t="shared" si="47"/>
        <v>Да</v>
      </c>
      <c r="B103" s="1611">
        <v>1106.0</v>
      </c>
      <c r="C103" s="1734">
        <v>139.0</v>
      </c>
      <c r="D103" s="1817"/>
      <c r="E103" s="721" t="str">
        <f t="shared" si="46"/>
        <v>Суп-крем из тыквы</v>
      </c>
      <c r="F103" s="1865">
        <f t="shared" si="48"/>
        <v>3</v>
      </c>
      <c r="G103" s="69"/>
      <c r="H103" s="1865">
        <f t="shared" si="49"/>
        <v>1</v>
      </c>
      <c r="I103" s="69"/>
      <c r="J103" s="1865" t="str">
        <f t="shared" si="50"/>
        <v/>
      </c>
      <c r="K103" s="69"/>
      <c r="L103" s="1865">
        <f t="shared" si="51"/>
        <v>2</v>
      </c>
      <c r="M103" s="69"/>
      <c r="N103" s="1204">
        <f t="shared" si="52"/>
        <v>2</v>
      </c>
      <c r="O103" s="69"/>
      <c r="P103" s="1941">
        <f t="shared" si="53"/>
        <v>1</v>
      </c>
      <c r="Q103" s="69"/>
      <c r="R103" s="1865">
        <f t="shared" si="54"/>
        <v>0</v>
      </c>
      <c r="S103" s="69"/>
      <c r="T103" s="1865">
        <f t="shared" si="55"/>
        <v>2</v>
      </c>
      <c r="U103" s="69"/>
      <c r="V103" s="1865">
        <f t="shared" si="56"/>
        <v>2</v>
      </c>
      <c r="W103" s="69"/>
      <c r="X103" s="1865">
        <f t="shared" si="57"/>
        <v>2</v>
      </c>
      <c r="Y103" s="69"/>
      <c r="Z103" s="1865" t="str">
        <f t="shared" si="58"/>
        <v/>
      </c>
      <c r="AA103" s="69"/>
      <c r="AB103" s="1865">
        <f t="shared" si="59"/>
        <v>0</v>
      </c>
      <c r="AC103" s="69"/>
      <c r="AD103" s="1204">
        <f t="shared" si="60"/>
        <v>2</v>
      </c>
      <c r="AE103" s="69"/>
      <c r="AF103" s="1204">
        <f t="shared" si="61"/>
        <v>1</v>
      </c>
      <c r="AG103" s="69"/>
      <c r="AH103" s="1204">
        <f t="shared" si="62"/>
        <v>2</v>
      </c>
      <c r="AI103" s="69"/>
      <c r="AJ103" s="1204">
        <f t="shared" si="63"/>
        <v>1</v>
      </c>
      <c r="AK103" s="69"/>
      <c r="AL103" s="1204">
        <f t="shared" si="64"/>
        <v>0</v>
      </c>
      <c r="AM103" s="69"/>
      <c r="AN103" s="1204" t="str">
        <f t="shared" si="65"/>
        <v/>
      </c>
      <c r="AO103" s="69"/>
      <c r="AP103" s="1204">
        <f t="shared" si="66"/>
        <v>1</v>
      </c>
      <c r="AQ103" s="69"/>
      <c r="AR103" s="1204">
        <f t="shared" si="67"/>
        <v>2</v>
      </c>
      <c r="AS103" s="69"/>
      <c r="AT103" s="1204">
        <f t="shared" si="68"/>
        <v>1</v>
      </c>
      <c r="AU103" s="69"/>
      <c r="AV103" s="1204">
        <f t="shared" si="69"/>
        <v>1</v>
      </c>
      <c r="AW103" s="69"/>
      <c r="AX103" s="1201">
        <f t="shared" si="70"/>
        <v>1</v>
      </c>
      <c r="AY103" s="69"/>
      <c r="AZ103" s="1201">
        <f t="shared" si="71"/>
        <v>1</v>
      </c>
      <c r="BA103" s="69"/>
      <c r="BB103" s="1204">
        <f t="shared" si="72"/>
        <v>2</v>
      </c>
      <c r="BC103" s="69"/>
      <c r="BD103" s="1204">
        <f t="shared" si="73"/>
        <v>1</v>
      </c>
      <c r="BE103" s="69"/>
      <c r="BF103" s="1204">
        <f t="shared" si="74"/>
        <v>1</v>
      </c>
      <c r="BG103" s="69"/>
      <c r="BH103" s="1204">
        <f t="shared" si="75"/>
        <v>1</v>
      </c>
      <c r="BI103" s="69"/>
      <c r="BJ103" s="1204">
        <f t="shared" si="76"/>
        <v>2</v>
      </c>
      <c r="BK103" s="69"/>
      <c r="BL103" s="1204" t="str">
        <f t="shared" si="77"/>
        <v/>
      </c>
      <c r="BM103" s="69"/>
      <c r="BN103" s="1487" t="str">
        <f t="shared" si="78"/>
        <v/>
      </c>
      <c r="BO103" s="69"/>
      <c r="BP103" s="1926">
        <f t="shared" si="79"/>
        <v>35</v>
      </c>
      <c r="BQ103" s="69"/>
      <c r="BS103" s="541"/>
      <c r="BT103" s="684"/>
      <c r="BU103" s="541"/>
    </row>
    <row r="104" ht="18.0" customHeight="1">
      <c r="A104" s="1698" t="str">
        <f t="shared" si="47"/>
        <v>Да</v>
      </c>
      <c r="B104" s="1611">
        <v>48.0</v>
      </c>
      <c r="C104" s="1734">
        <v>237.0</v>
      </c>
      <c r="D104" s="1817"/>
      <c r="E104" s="721" t="str">
        <f t="shared" si="46"/>
        <v>Голубец с картофельным пюре</v>
      </c>
      <c r="F104" s="1941">
        <f t="shared" si="48"/>
        <v>9</v>
      </c>
      <c r="G104" s="69"/>
      <c r="H104" s="1941">
        <f t="shared" si="49"/>
        <v>3</v>
      </c>
      <c r="I104" s="69"/>
      <c r="J104" s="1941" t="str">
        <f t="shared" si="50"/>
        <v/>
      </c>
      <c r="K104" s="69"/>
      <c r="L104" s="1941">
        <f t="shared" si="51"/>
        <v>5</v>
      </c>
      <c r="M104" s="69"/>
      <c r="N104" s="1838">
        <f t="shared" si="52"/>
        <v>9</v>
      </c>
      <c r="O104" s="69"/>
      <c r="P104" s="1941">
        <f t="shared" si="53"/>
        <v>4</v>
      </c>
      <c r="Q104" s="69"/>
      <c r="R104" s="1941">
        <f t="shared" si="54"/>
        <v>5</v>
      </c>
      <c r="S104" s="69"/>
      <c r="T104" s="1941">
        <f t="shared" si="55"/>
        <v>2</v>
      </c>
      <c r="U104" s="69"/>
      <c r="V104" s="1941">
        <f t="shared" si="56"/>
        <v>4</v>
      </c>
      <c r="W104" s="69"/>
      <c r="X104" s="1941">
        <f t="shared" si="57"/>
        <v>6</v>
      </c>
      <c r="Y104" s="69"/>
      <c r="Z104" s="1941" t="str">
        <f t="shared" si="58"/>
        <v/>
      </c>
      <c r="AA104" s="69"/>
      <c r="AB104" s="1865">
        <f t="shared" si="59"/>
        <v>2</v>
      </c>
      <c r="AC104" s="69"/>
      <c r="AD104" s="1838">
        <f t="shared" si="60"/>
        <v>3</v>
      </c>
      <c r="AE104" s="69"/>
      <c r="AF104" s="1838">
        <f t="shared" si="61"/>
        <v>4</v>
      </c>
      <c r="AG104" s="69"/>
      <c r="AH104" s="1838">
        <f t="shared" si="62"/>
        <v>4</v>
      </c>
      <c r="AI104" s="69"/>
      <c r="AJ104" s="1838">
        <f t="shared" si="63"/>
        <v>4</v>
      </c>
      <c r="AK104" s="69"/>
      <c r="AL104" s="1204">
        <f t="shared" si="64"/>
        <v>2</v>
      </c>
      <c r="AM104" s="69"/>
      <c r="AN104" s="1204" t="str">
        <f t="shared" si="65"/>
        <v/>
      </c>
      <c r="AO104" s="69"/>
      <c r="AP104" s="1204">
        <f t="shared" si="66"/>
        <v>2</v>
      </c>
      <c r="AQ104" s="69"/>
      <c r="AR104" s="1204">
        <f t="shared" si="67"/>
        <v>8</v>
      </c>
      <c r="AS104" s="69"/>
      <c r="AT104" s="1204">
        <f t="shared" si="68"/>
        <v>5</v>
      </c>
      <c r="AU104" s="69"/>
      <c r="AV104" s="1204">
        <f t="shared" si="69"/>
        <v>4</v>
      </c>
      <c r="AW104" s="69"/>
      <c r="AX104" s="1201">
        <f t="shared" si="70"/>
        <v>3</v>
      </c>
      <c r="AY104" s="69"/>
      <c r="AZ104" s="1201">
        <f t="shared" si="71"/>
        <v>5</v>
      </c>
      <c r="BA104" s="69"/>
      <c r="BB104" s="1204">
        <f t="shared" si="72"/>
        <v>2</v>
      </c>
      <c r="BC104" s="69"/>
      <c r="BD104" s="1204">
        <f t="shared" si="73"/>
        <v>5</v>
      </c>
      <c r="BE104" s="69"/>
      <c r="BF104" s="1204">
        <f t="shared" si="74"/>
        <v>2</v>
      </c>
      <c r="BG104" s="69"/>
      <c r="BH104" s="1204">
        <f t="shared" si="75"/>
        <v>4</v>
      </c>
      <c r="BI104" s="69"/>
      <c r="BJ104" s="1204">
        <f t="shared" si="76"/>
        <v>9</v>
      </c>
      <c r="BK104" s="69"/>
      <c r="BL104" s="1204" t="str">
        <f t="shared" si="77"/>
        <v/>
      </c>
      <c r="BM104" s="69"/>
      <c r="BN104" s="1487" t="str">
        <f t="shared" si="78"/>
        <v/>
      </c>
      <c r="BO104" s="69"/>
      <c r="BP104" s="1950">
        <f t="shared" si="79"/>
        <v>115</v>
      </c>
      <c r="BQ104" s="69"/>
      <c r="BS104" s="541"/>
      <c r="BT104" s="684"/>
      <c r="BU104" s="541"/>
    </row>
    <row r="105" ht="18.0" customHeight="1">
      <c r="A105" s="1698" t="str">
        <f t="shared" si="47"/>
        <v>Да</v>
      </c>
      <c r="B105" s="1611">
        <v>3407.0</v>
      </c>
      <c r="C105" s="1734">
        <v>208.0</v>
      </c>
      <c r="D105" s="1817"/>
      <c r="E105" s="721" t="str">
        <f t="shared" si="46"/>
        <v>Минтай в кляре с булгуром</v>
      </c>
      <c r="F105" s="1865">
        <f t="shared" si="48"/>
        <v>4</v>
      </c>
      <c r="G105" s="69"/>
      <c r="H105" s="1865">
        <f t="shared" si="49"/>
        <v>3</v>
      </c>
      <c r="I105" s="69"/>
      <c r="J105" s="1865" t="str">
        <f t="shared" si="50"/>
        <v/>
      </c>
      <c r="K105" s="69"/>
      <c r="L105" s="1865">
        <f t="shared" si="51"/>
        <v>5</v>
      </c>
      <c r="M105" s="69"/>
      <c r="N105" s="1204">
        <f t="shared" si="52"/>
        <v>8</v>
      </c>
      <c r="O105" s="69"/>
      <c r="P105" s="1865">
        <f t="shared" si="53"/>
        <v>7</v>
      </c>
      <c r="Q105" s="69"/>
      <c r="R105" s="1865">
        <f t="shared" si="54"/>
        <v>2</v>
      </c>
      <c r="S105" s="69"/>
      <c r="T105" s="1865">
        <f t="shared" si="55"/>
        <v>2</v>
      </c>
      <c r="U105" s="69"/>
      <c r="V105" s="1865">
        <f t="shared" si="56"/>
        <v>5</v>
      </c>
      <c r="W105" s="69"/>
      <c r="X105" s="1865">
        <f t="shared" si="57"/>
        <v>6</v>
      </c>
      <c r="Y105" s="69"/>
      <c r="Z105" s="1865" t="str">
        <f t="shared" si="58"/>
        <v/>
      </c>
      <c r="AA105" s="69"/>
      <c r="AB105" s="1865">
        <f t="shared" si="59"/>
        <v>3</v>
      </c>
      <c r="AC105" s="69"/>
      <c r="AD105" s="1204">
        <f t="shared" si="60"/>
        <v>2</v>
      </c>
      <c r="AE105" s="69"/>
      <c r="AF105" s="1204">
        <f t="shared" si="61"/>
        <v>5</v>
      </c>
      <c r="AG105" s="69"/>
      <c r="AH105" s="1204">
        <f t="shared" si="62"/>
        <v>3</v>
      </c>
      <c r="AI105" s="69"/>
      <c r="AJ105" s="1204">
        <f t="shared" si="63"/>
        <v>4</v>
      </c>
      <c r="AK105" s="69"/>
      <c r="AL105" s="1204">
        <f t="shared" si="64"/>
        <v>2</v>
      </c>
      <c r="AM105" s="69"/>
      <c r="AN105" s="1204" t="str">
        <f t="shared" si="65"/>
        <v/>
      </c>
      <c r="AO105" s="69"/>
      <c r="AP105" s="1204">
        <f t="shared" si="66"/>
        <v>2</v>
      </c>
      <c r="AQ105" s="69"/>
      <c r="AR105" s="1204">
        <f t="shared" si="67"/>
        <v>5</v>
      </c>
      <c r="AS105" s="69"/>
      <c r="AT105" s="1204">
        <f t="shared" si="68"/>
        <v>2</v>
      </c>
      <c r="AU105" s="69"/>
      <c r="AV105" s="1204">
        <f t="shared" si="69"/>
        <v>2</v>
      </c>
      <c r="AW105" s="69"/>
      <c r="AX105" s="1201">
        <f t="shared" si="70"/>
        <v>3</v>
      </c>
      <c r="AY105" s="69"/>
      <c r="AZ105" s="1201">
        <f t="shared" si="71"/>
        <v>3</v>
      </c>
      <c r="BA105" s="69"/>
      <c r="BB105" s="1204">
        <f t="shared" si="72"/>
        <v>2</v>
      </c>
      <c r="BC105" s="69"/>
      <c r="BD105" s="1204">
        <f t="shared" si="73"/>
        <v>4</v>
      </c>
      <c r="BE105" s="69"/>
      <c r="BF105" s="1204">
        <f t="shared" si="74"/>
        <v>4</v>
      </c>
      <c r="BG105" s="69"/>
      <c r="BH105" s="1204">
        <f t="shared" si="75"/>
        <v>3</v>
      </c>
      <c r="BI105" s="69"/>
      <c r="BJ105" s="1204">
        <f t="shared" si="76"/>
        <v>6</v>
      </c>
      <c r="BK105" s="69"/>
      <c r="BL105" s="1204" t="str">
        <f t="shared" si="77"/>
        <v/>
      </c>
      <c r="BM105" s="69"/>
      <c r="BN105" s="1487">
        <f t="shared" si="78"/>
        <v>10</v>
      </c>
      <c r="BO105" s="69"/>
      <c r="BP105" s="1926">
        <f t="shared" si="79"/>
        <v>107</v>
      </c>
      <c r="BQ105" s="69"/>
      <c r="BS105" s="541"/>
      <c r="BT105" s="684"/>
      <c r="BU105" s="541"/>
    </row>
    <row r="106" ht="18.0" customHeight="1">
      <c r="A106" s="1698" t="str">
        <f t="shared" si="47"/>
        <v>Да</v>
      </c>
      <c r="B106" s="1611">
        <v>4328.0</v>
      </c>
      <c r="C106" s="1734">
        <v>211.0</v>
      </c>
      <c r="D106" s="1817"/>
      <c r="E106" s="721" t="str">
        <f t="shared" si="46"/>
        <v>Курочка с овощной сальсой с макаронами</v>
      </c>
      <c r="F106" s="1865">
        <f t="shared" si="48"/>
        <v>13</v>
      </c>
      <c r="G106" s="69"/>
      <c r="H106" s="1865">
        <f t="shared" si="49"/>
        <v>6</v>
      </c>
      <c r="I106" s="69"/>
      <c r="J106" s="1865" t="str">
        <f t="shared" si="50"/>
        <v/>
      </c>
      <c r="K106" s="69"/>
      <c r="L106" s="1865">
        <f t="shared" si="51"/>
        <v>8</v>
      </c>
      <c r="M106" s="69"/>
      <c r="N106" s="1204">
        <f t="shared" si="52"/>
        <v>14</v>
      </c>
      <c r="O106" s="69"/>
      <c r="P106" s="1865">
        <f t="shared" si="53"/>
        <v>11</v>
      </c>
      <c r="Q106" s="69"/>
      <c r="R106" s="1865">
        <f t="shared" si="54"/>
        <v>6</v>
      </c>
      <c r="S106" s="69"/>
      <c r="T106" s="1865">
        <f t="shared" si="55"/>
        <v>7</v>
      </c>
      <c r="U106" s="69"/>
      <c r="V106" s="1865">
        <f t="shared" si="56"/>
        <v>8</v>
      </c>
      <c r="W106" s="69"/>
      <c r="X106" s="1865">
        <f t="shared" si="57"/>
        <v>5</v>
      </c>
      <c r="Y106" s="69"/>
      <c r="Z106" s="1865" t="str">
        <f t="shared" si="58"/>
        <v/>
      </c>
      <c r="AA106" s="69"/>
      <c r="AB106" s="1865">
        <f t="shared" si="59"/>
        <v>2</v>
      </c>
      <c r="AC106" s="69"/>
      <c r="AD106" s="1204">
        <f t="shared" si="60"/>
        <v>3</v>
      </c>
      <c r="AE106" s="69"/>
      <c r="AF106" s="1204">
        <f t="shared" si="61"/>
        <v>5</v>
      </c>
      <c r="AG106" s="69"/>
      <c r="AH106" s="1204">
        <f t="shared" si="62"/>
        <v>6</v>
      </c>
      <c r="AI106" s="69"/>
      <c r="AJ106" s="1204">
        <f t="shared" si="63"/>
        <v>6</v>
      </c>
      <c r="AK106" s="69"/>
      <c r="AL106" s="1204">
        <f t="shared" si="64"/>
        <v>2</v>
      </c>
      <c r="AM106" s="69"/>
      <c r="AN106" s="1204" t="str">
        <f t="shared" si="65"/>
        <v/>
      </c>
      <c r="AO106" s="69"/>
      <c r="AP106" s="1204">
        <f t="shared" si="66"/>
        <v>3</v>
      </c>
      <c r="AQ106" s="69"/>
      <c r="AR106" s="1204">
        <f t="shared" si="67"/>
        <v>5</v>
      </c>
      <c r="AS106" s="69"/>
      <c r="AT106" s="1204">
        <f t="shared" si="68"/>
        <v>6</v>
      </c>
      <c r="AU106" s="69"/>
      <c r="AV106" s="1204">
        <f t="shared" si="69"/>
        <v>5</v>
      </c>
      <c r="AW106" s="69"/>
      <c r="AX106" s="1201">
        <f t="shared" si="70"/>
        <v>5</v>
      </c>
      <c r="AY106" s="69"/>
      <c r="AZ106" s="1201">
        <f t="shared" si="71"/>
        <v>4</v>
      </c>
      <c r="BA106" s="69"/>
      <c r="BB106" s="1204">
        <f t="shared" si="72"/>
        <v>2</v>
      </c>
      <c r="BC106" s="69"/>
      <c r="BD106" s="1204">
        <f t="shared" si="73"/>
        <v>2</v>
      </c>
      <c r="BE106" s="69"/>
      <c r="BF106" s="1204">
        <f t="shared" si="74"/>
        <v>7</v>
      </c>
      <c r="BG106" s="69"/>
      <c r="BH106" s="1204">
        <f t="shared" si="75"/>
        <v>2</v>
      </c>
      <c r="BI106" s="69"/>
      <c r="BJ106" s="1204">
        <f t="shared" si="76"/>
        <v>7</v>
      </c>
      <c r="BK106" s="69"/>
      <c r="BL106" s="1204" t="str">
        <f t="shared" si="77"/>
        <v/>
      </c>
      <c r="BM106" s="69"/>
      <c r="BN106" s="1487">
        <f t="shared" si="78"/>
        <v>20</v>
      </c>
      <c r="BO106" s="69"/>
      <c r="BP106" s="1926">
        <f t="shared" si="79"/>
        <v>170</v>
      </c>
      <c r="BQ106" s="69"/>
      <c r="BS106" s="541"/>
      <c r="BT106" s="684"/>
      <c r="BU106" s="541"/>
    </row>
    <row r="107" ht="18.0" customHeight="1">
      <c r="A107" s="1698" t="str">
        <f t="shared" si="47"/>
        <v>Да</v>
      </c>
      <c r="B107" s="1611">
        <v>4025.0</v>
      </c>
      <c r="C107" s="1734">
        <v>236.0</v>
      </c>
      <c r="D107" s="1817"/>
      <c r="E107" s="721" t="str">
        <f t="shared" si="46"/>
        <v>Бедро в пряном соусе с гречкой </v>
      </c>
      <c r="F107" s="1865">
        <f t="shared" si="48"/>
        <v>3</v>
      </c>
      <c r="G107" s="69"/>
      <c r="H107" s="1865">
        <f t="shared" si="49"/>
        <v>3</v>
      </c>
      <c r="I107" s="69"/>
      <c r="J107" s="1865" t="str">
        <f t="shared" si="50"/>
        <v/>
      </c>
      <c r="K107" s="69"/>
      <c r="L107" s="1865">
        <f t="shared" si="51"/>
        <v>2</v>
      </c>
      <c r="M107" s="69"/>
      <c r="N107" s="1204">
        <f t="shared" si="52"/>
        <v>3</v>
      </c>
      <c r="O107" s="69"/>
      <c r="P107" s="1865">
        <f t="shared" si="53"/>
        <v>3</v>
      </c>
      <c r="Q107" s="69"/>
      <c r="R107" s="1865">
        <f t="shared" si="54"/>
        <v>0</v>
      </c>
      <c r="S107" s="69"/>
      <c r="T107" s="1865">
        <f t="shared" si="55"/>
        <v>1</v>
      </c>
      <c r="U107" s="69"/>
      <c r="V107" s="1865">
        <f t="shared" si="56"/>
        <v>2</v>
      </c>
      <c r="W107" s="69"/>
      <c r="X107" s="1865">
        <f t="shared" si="57"/>
        <v>3</v>
      </c>
      <c r="Y107" s="69"/>
      <c r="Z107" s="1865" t="str">
        <f t="shared" si="58"/>
        <v/>
      </c>
      <c r="AA107" s="69"/>
      <c r="AB107" s="1865">
        <f t="shared" si="59"/>
        <v>3</v>
      </c>
      <c r="AC107" s="69"/>
      <c r="AD107" s="1204">
        <f t="shared" si="60"/>
        <v>3</v>
      </c>
      <c r="AE107" s="69"/>
      <c r="AF107" s="1204">
        <f t="shared" si="61"/>
        <v>3</v>
      </c>
      <c r="AG107" s="69"/>
      <c r="AH107" s="1204">
        <f t="shared" si="62"/>
        <v>4</v>
      </c>
      <c r="AI107" s="69"/>
      <c r="AJ107" s="1204">
        <f t="shared" si="63"/>
        <v>3</v>
      </c>
      <c r="AK107" s="69"/>
      <c r="AL107" s="1204">
        <f t="shared" si="64"/>
        <v>1</v>
      </c>
      <c r="AM107" s="69"/>
      <c r="AN107" s="1204" t="str">
        <f t="shared" si="65"/>
        <v/>
      </c>
      <c r="AO107" s="69"/>
      <c r="AP107" s="1204">
        <f t="shared" si="66"/>
        <v>2</v>
      </c>
      <c r="AQ107" s="69"/>
      <c r="AR107" s="1204">
        <f t="shared" si="67"/>
        <v>2</v>
      </c>
      <c r="AS107" s="69"/>
      <c r="AT107" s="1204">
        <f t="shared" si="68"/>
        <v>3</v>
      </c>
      <c r="AU107" s="69"/>
      <c r="AV107" s="1204">
        <f t="shared" si="69"/>
        <v>4</v>
      </c>
      <c r="AW107" s="69"/>
      <c r="AX107" s="1201">
        <f t="shared" si="70"/>
        <v>2</v>
      </c>
      <c r="AY107" s="69"/>
      <c r="AZ107" s="1201">
        <f t="shared" si="71"/>
        <v>3</v>
      </c>
      <c r="BA107" s="69"/>
      <c r="BB107" s="1204">
        <f t="shared" si="72"/>
        <v>2</v>
      </c>
      <c r="BC107" s="69"/>
      <c r="BD107" s="1204">
        <f t="shared" si="73"/>
        <v>0</v>
      </c>
      <c r="BE107" s="69"/>
      <c r="BF107" s="1204">
        <f t="shared" si="74"/>
        <v>1</v>
      </c>
      <c r="BG107" s="69"/>
      <c r="BH107" s="1204">
        <f t="shared" si="75"/>
        <v>3</v>
      </c>
      <c r="BI107" s="69"/>
      <c r="BJ107" s="1204">
        <f t="shared" si="76"/>
        <v>0</v>
      </c>
      <c r="BK107" s="69"/>
      <c r="BL107" s="1204">
        <f t="shared" si="77"/>
        <v>25</v>
      </c>
      <c r="BM107" s="69"/>
      <c r="BN107" s="1487" t="str">
        <f t="shared" si="78"/>
        <v/>
      </c>
      <c r="BO107" s="69"/>
      <c r="BP107" s="1926">
        <f t="shared" si="79"/>
        <v>84</v>
      </c>
      <c r="BQ107" s="69"/>
      <c r="BS107" s="541"/>
      <c r="BT107" s="684"/>
      <c r="BU107" s="541"/>
    </row>
    <row r="108" ht="18.0" customHeight="1">
      <c r="A108" s="1698" t="str">
        <f t="shared" si="47"/>
        <v/>
      </c>
      <c r="B108" s="1611">
        <v>958.0</v>
      </c>
      <c r="C108" s="1734">
        <v>193.0</v>
      </c>
      <c r="D108" s="1817"/>
      <c r="E108" s="721" t="str">
        <f t="shared" si="46"/>
        <v>Поджарка из курицы с рисом</v>
      </c>
      <c r="F108" s="1865">
        <f t="shared" si="48"/>
        <v>2</v>
      </c>
      <c r="G108" s="69"/>
      <c r="H108" s="1865">
        <f t="shared" si="49"/>
        <v>2</v>
      </c>
      <c r="I108" s="69"/>
      <c r="J108" s="1865" t="str">
        <f t="shared" si="50"/>
        <v/>
      </c>
      <c r="K108" s="69"/>
      <c r="L108" s="1865" t="str">
        <f t="shared" si="51"/>
        <v/>
      </c>
      <c r="M108" s="69"/>
      <c r="N108" s="1204" t="str">
        <f t="shared" si="52"/>
        <v/>
      </c>
      <c r="O108" s="69"/>
      <c r="P108" s="1865" t="str">
        <f t="shared" si="53"/>
        <v/>
      </c>
      <c r="Q108" s="69"/>
      <c r="R108" s="1865" t="str">
        <f t="shared" si="54"/>
        <v/>
      </c>
      <c r="S108" s="69"/>
      <c r="T108" s="1865" t="str">
        <f t="shared" si="55"/>
        <v/>
      </c>
      <c r="U108" s="69"/>
      <c r="V108" s="1865" t="str">
        <f t="shared" si="56"/>
        <v/>
      </c>
      <c r="W108" s="69"/>
      <c r="X108" s="1865">
        <f t="shared" si="57"/>
        <v>2</v>
      </c>
      <c r="Y108" s="69"/>
      <c r="Z108" s="1865" t="str">
        <f t="shared" si="58"/>
        <v/>
      </c>
      <c r="AA108" s="69"/>
      <c r="AB108" s="1865" t="str">
        <f t="shared" si="59"/>
        <v/>
      </c>
      <c r="AC108" s="69"/>
      <c r="AD108" s="1204" t="str">
        <f t="shared" si="60"/>
        <v/>
      </c>
      <c r="AE108" s="69"/>
      <c r="AF108" s="1204" t="str">
        <f t="shared" si="61"/>
        <v/>
      </c>
      <c r="AG108" s="69"/>
      <c r="AH108" s="1204">
        <f t="shared" si="62"/>
        <v>2</v>
      </c>
      <c r="AI108" s="69"/>
      <c r="AJ108" s="1204" t="str">
        <f t="shared" si="63"/>
        <v/>
      </c>
      <c r="AK108" s="69"/>
      <c r="AL108" s="1204" t="str">
        <f t="shared" si="64"/>
        <v/>
      </c>
      <c r="AM108" s="69"/>
      <c r="AN108" s="1204" t="str">
        <f t="shared" si="65"/>
        <v/>
      </c>
      <c r="AO108" s="69"/>
      <c r="AP108" s="1204" t="str">
        <f t="shared" si="66"/>
        <v/>
      </c>
      <c r="AQ108" s="69"/>
      <c r="AR108" s="1204" t="str">
        <f t="shared" si="67"/>
        <v/>
      </c>
      <c r="AS108" s="69"/>
      <c r="AT108" s="1204" t="str">
        <f t="shared" si="68"/>
        <v/>
      </c>
      <c r="AU108" s="69"/>
      <c r="AV108" s="1204">
        <f t="shared" si="69"/>
        <v>2</v>
      </c>
      <c r="AW108" s="69"/>
      <c r="AX108" s="1201" t="str">
        <f t="shared" si="70"/>
        <v/>
      </c>
      <c r="AY108" s="69"/>
      <c r="AZ108" s="1201" t="str">
        <f t="shared" si="71"/>
        <v/>
      </c>
      <c r="BA108" s="69"/>
      <c r="BB108" s="1204" t="str">
        <f t="shared" si="72"/>
        <v/>
      </c>
      <c r="BC108" s="69"/>
      <c r="BD108" s="1204" t="str">
        <f t="shared" si="73"/>
        <v/>
      </c>
      <c r="BE108" s="69"/>
      <c r="BF108" s="1204" t="str">
        <f t="shared" si="74"/>
        <v/>
      </c>
      <c r="BG108" s="69"/>
      <c r="BH108" s="1204" t="str">
        <f t="shared" si="75"/>
        <v/>
      </c>
      <c r="BI108" s="69"/>
      <c r="BJ108" s="1204" t="str">
        <f t="shared" si="76"/>
        <v/>
      </c>
      <c r="BK108" s="69"/>
      <c r="BL108" s="1204">
        <f t="shared" si="77"/>
        <v>80</v>
      </c>
      <c r="BM108" s="69"/>
      <c r="BN108" s="1487" t="str">
        <f t="shared" si="78"/>
        <v/>
      </c>
      <c r="BO108" s="69"/>
      <c r="BP108" s="1926">
        <f t="shared" si="79"/>
        <v>90</v>
      </c>
      <c r="BQ108" s="69"/>
      <c r="BS108" s="684"/>
      <c r="BT108" s="684"/>
      <c r="BU108" s="541"/>
    </row>
    <row r="109" ht="18.0" customHeight="1">
      <c r="A109" s="1698" t="str">
        <f t="shared" si="47"/>
        <v>Да</v>
      </c>
      <c r="B109" s="1611">
        <v>4029.0</v>
      </c>
      <c r="C109" s="1734">
        <v>198.0</v>
      </c>
      <c r="D109" s="1817"/>
      <c r="E109" s="721" t="str">
        <f t="shared" si="46"/>
        <v>Жаркое по-домашнему со свининой</v>
      </c>
      <c r="F109" s="1865">
        <f t="shared" si="48"/>
        <v>6</v>
      </c>
      <c r="G109" s="69"/>
      <c r="H109" s="1865">
        <f t="shared" si="49"/>
        <v>5</v>
      </c>
      <c r="I109" s="69"/>
      <c r="J109" s="1865" t="str">
        <f t="shared" si="50"/>
        <v/>
      </c>
      <c r="K109" s="69"/>
      <c r="L109" s="1865">
        <f t="shared" si="51"/>
        <v>3</v>
      </c>
      <c r="M109" s="69"/>
      <c r="N109" s="1204">
        <f t="shared" si="52"/>
        <v>2</v>
      </c>
      <c r="O109" s="69"/>
      <c r="P109" s="1865">
        <f t="shared" si="53"/>
        <v>1</v>
      </c>
      <c r="Q109" s="69"/>
      <c r="R109" s="1865">
        <f t="shared" si="54"/>
        <v>3</v>
      </c>
      <c r="S109" s="69"/>
      <c r="T109" s="1865">
        <f t="shared" si="55"/>
        <v>4</v>
      </c>
      <c r="U109" s="69"/>
      <c r="V109" s="1865">
        <f t="shared" si="56"/>
        <v>2</v>
      </c>
      <c r="W109" s="69"/>
      <c r="X109" s="1865">
        <f t="shared" si="57"/>
        <v>4</v>
      </c>
      <c r="Y109" s="69"/>
      <c r="Z109" s="1865" t="str">
        <f t="shared" si="58"/>
        <v/>
      </c>
      <c r="AA109" s="69"/>
      <c r="AB109" s="1865">
        <f t="shared" si="59"/>
        <v>2</v>
      </c>
      <c r="AC109" s="69"/>
      <c r="AD109" s="1204">
        <f t="shared" si="60"/>
        <v>2</v>
      </c>
      <c r="AE109" s="69"/>
      <c r="AF109" s="1204">
        <f t="shared" si="61"/>
        <v>2</v>
      </c>
      <c r="AG109" s="69"/>
      <c r="AH109" s="1204">
        <f t="shared" si="62"/>
        <v>3</v>
      </c>
      <c r="AI109" s="69"/>
      <c r="AJ109" s="1204">
        <f t="shared" si="63"/>
        <v>3</v>
      </c>
      <c r="AK109" s="69"/>
      <c r="AL109" s="1204">
        <f t="shared" si="64"/>
        <v>2</v>
      </c>
      <c r="AM109" s="69"/>
      <c r="AN109" s="1204" t="str">
        <f t="shared" si="65"/>
        <v/>
      </c>
      <c r="AO109" s="69"/>
      <c r="AP109" s="1204">
        <f t="shared" si="66"/>
        <v>2</v>
      </c>
      <c r="AQ109" s="69"/>
      <c r="AR109" s="1204">
        <f t="shared" si="67"/>
        <v>2</v>
      </c>
      <c r="AS109" s="69"/>
      <c r="AT109" s="1204">
        <f t="shared" si="68"/>
        <v>2</v>
      </c>
      <c r="AU109" s="69"/>
      <c r="AV109" s="1204">
        <f t="shared" si="69"/>
        <v>0</v>
      </c>
      <c r="AW109" s="69"/>
      <c r="AX109" s="1201">
        <f t="shared" si="70"/>
        <v>0</v>
      </c>
      <c r="AY109" s="69"/>
      <c r="AZ109" s="1201">
        <f t="shared" si="71"/>
        <v>2</v>
      </c>
      <c r="BA109" s="69"/>
      <c r="BB109" s="1204">
        <f t="shared" si="72"/>
        <v>2</v>
      </c>
      <c r="BC109" s="69"/>
      <c r="BD109" s="1204">
        <f t="shared" si="73"/>
        <v>0</v>
      </c>
      <c r="BE109" s="69"/>
      <c r="BF109" s="1204">
        <f t="shared" si="74"/>
        <v>8</v>
      </c>
      <c r="BG109" s="69"/>
      <c r="BH109" s="1204">
        <f t="shared" si="75"/>
        <v>3</v>
      </c>
      <c r="BI109" s="69"/>
      <c r="BJ109" s="1204">
        <f t="shared" si="76"/>
        <v>5</v>
      </c>
      <c r="BK109" s="69"/>
      <c r="BL109" s="1204">
        <f t="shared" si="77"/>
        <v>25</v>
      </c>
      <c r="BM109" s="69"/>
      <c r="BN109" s="1487">
        <f t="shared" si="78"/>
        <v>10</v>
      </c>
      <c r="BO109" s="69"/>
      <c r="BP109" s="1926">
        <f t="shared" si="79"/>
        <v>105</v>
      </c>
      <c r="BQ109" s="69"/>
      <c r="BS109" s="684"/>
      <c r="BT109" s="684"/>
      <c r="BU109" s="541"/>
    </row>
    <row r="110" ht="18.0" customHeight="1">
      <c r="A110" s="1698" t="str">
        <f t="shared" si="47"/>
        <v>Да</v>
      </c>
      <c r="B110" s="1611">
        <v>4268.0</v>
      </c>
      <c r="C110" s="1734">
        <v>269.0</v>
      </c>
      <c r="D110" s="1817"/>
      <c r="E110" s="721" t="str">
        <f t="shared" si="46"/>
        <v>Индейка су-вид с овощами и соусом чили </v>
      </c>
      <c r="F110" s="1865">
        <f t="shared" si="48"/>
        <v>3</v>
      </c>
      <c r="G110" s="69"/>
      <c r="H110" s="1865">
        <f t="shared" si="49"/>
        <v>3</v>
      </c>
      <c r="I110" s="69"/>
      <c r="J110" s="1865" t="str">
        <f t="shared" si="50"/>
        <v/>
      </c>
      <c r="K110" s="69"/>
      <c r="L110" s="1865">
        <f t="shared" si="51"/>
        <v>2</v>
      </c>
      <c r="M110" s="69"/>
      <c r="N110" s="1204">
        <f t="shared" si="52"/>
        <v>2</v>
      </c>
      <c r="O110" s="69"/>
      <c r="P110" s="1865">
        <f t="shared" si="53"/>
        <v>5</v>
      </c>
      <c r="Q110" s="69"/>
      <c r="R110" s="1865">
        <f t="shared" si="54"/>
        <v>0</v>
      </c>
      <c r="S110" s="69"/>
      <c r="T110" s="1865">
        <f t="shared" si="55"/>
        <v>3</v>
      </c>
      <c r="U110" s="69"/>
      <c r="V110" s="1865">
        <f t="shared" si="56"/>
        <v>3</v>
      </c>
      <c r="W110" s="69"/>
      <c r="X110" s="1865">
        <f t="shared" si="57"/>
        <v>0</v>
      </c>
      <c r="Y110" s="69"/>
      <c r="Z110" s="1865" t="str">
        <f t="shared" si="58"/>
        <v/>
      </c>
      <c r="AA110" s="69"/>
      <c r="AB110" s="1865">
        <f t="shared" si="59"/>
        <v>0</v>
      </c>
      <c r="AC110" s="69"/>
      <c r="AD110" s="1204">
        <f t="shared" si="60"/>
        <v>1</v>
      </c>
      <c r="AE110" s="69"/>
      <c r="AF110" s="1204">
        <f t="shared" si="61"/>
        <v>1</v>
      </c>
      <c r="AG110" s="69"/>
      <c r="AH110" s="1204">
        <f t="shared" si="62"/>
        <v>3</v>
      </c>
      <c r="AI110" s="69"/>
      <c r="AJ110" s="1204">
        <f t="shared" si="63"/>
        <v>3</v>
      </c>
      <c r="AK110" s="69"/>
      <c r="AL110" s="1204">
        <f t="shared" si="64"/>
        <v>1</v>
      </c>
      <c r="AM110" s="69"/>
      <c r="AN110" s="1204" t="str">
        <f t="shared" si="65"/>
        <v/>
      </c>
      <c r="AO110" s="69"/>
      <c r="AP110" s="1204">
        <f t="shared" si="66"/>
        <v>2</v>
      </c>
      <c r="AQ110" s="69"/>
      <c r="AR110" s="1204">
        <f t="shared" si="67"/>
        <v>2</v>
      </c>
      <c r="AS110" s="69"/>
      <c r="AT110" s="1204">
        <f t="shared" si="68"/>
        <v>2</v>
      </c>
      <c r="AU110" s="69"/>
      <c r="AV110" s="1204">
        <f t="shared" si="69"/>
        <v>2</v>
      </c>
      <c r="AW110" s="69"/>
      <c r="AX110" s="1201">
        <f t="shared" si="70"/>
        <v>4</v>
      </c>
      <c r="AY110" s="69"/>
      <c r="AZ110" s="1201">
        <f t="shared" si="71"/>
        <v>3</v>
      </c>
      <c r="BA110" s="69"/>
      <c r="BB110" s="1204">
        <f t="shared" si="72"/>
        <v>2</v>
      </c>
      <c r="BC110" s="69"/>
      <c r="BD110" s="1204">
        <f t="shared" si="73"/>
        <v>2</v>
      </c>
      <c r="BE110" s="69"/>
      <c r="BF110" s="1204">
        <f t="shared" si="74"/>
        <v>3</v>
      </c>
      <c r="BG110" s="69"/>
      <c r="BH110" s="1204">
        <f t="shared" si="75"/>
        <v>4</v>
      </c>
      <c r="BI110" s="69"/>
      <c r="BJ110" s="1204">
        <f t="shared" si="76"/>
        <v>5</v>
      </c>
      <c r="BK110" s="69"/>
      <c r="BL110" s="1204" t="str">
        <f t="shared" si="77"/>
        <v/>
      </c>
      <c r="BM110" s="69"/>
      <c r="BN110" s="1487" t="str">
        <f t="shared" si="78"/>
        <v/>
      </c>
      <c r="BO110" s="69"/>
      <c r="BP110" s="1926">
        <f t="shared" si="79"/>
        <v>61</v>
      </c>
      <c r="BQ110" s="69"/>
      <c r="BS110" s="684"/>
      <c r="BT110" s="684"/>
      <c r="BU110" s="541"/>
    </row>
    <row r="111" ht="18.0" customHeight="1">
      <c r="A111" s="1698" t="str">
        <f t="shared" si="47"/>
        <v/>
      </c>
      <c r="B111" s="1611"/>
      <c r="C111" s="1956"/>
      <c r="D111" s="1817"/>
      <c r="E111" s="721" t="str">
        <f t="shared" si="46"/>
        <v/>
      </c>
      <c r="F111" s="1865" t="str">
        <f t="shared" si="48"/>
        <v/>
      </c>
      <c r="G111" s="69"/>
      <c r="H111" s="1865" t="str">
        <f t="shared" si="49"/>
        <v/>
      </c>
      <c r="I111" s="69"/>
      <c r="J111" s="1865" t="str">
        <f t="shared" si="50"/>
        <v/>
      </c>
      <c r="K111" s="69"/>
      <c r="L111" s="1865" t="str">
        <f t="shared" si="51"/>
        <v/>
      </c>
      <c r="M111" s="69"/>
      <c r="N111" s="1204" t="str">
        <f t="shared" si="52"/>
        <v/>
      </c>
      <c r="O111" s="69"/>
      <c r="P111" s="1865" t="str">
        <f t="shared" si="53"/>
        <v/>
      </c>
      <c r="Q111" s="69"/>
      <c r="R111" s="1865" t="str">
        <f t="shared" si="54"/>
        <v/>
      </c>
      <c r="S111" s="69"/>
      <c r="T111" s="1865" t="str">
        <f t="shared" si="55"/>
        <v/>
      </c>
      <c r="U111" s="69"/>
      <c r="V111" s="1865" t="str">
        <f t="shared" si="56"/>
        <v/>
      </c>
      <c r="W111" s="69"/>
      <c r="X111" s="1865" t="str">
        <f t="shared" si="57"/>
        <v/>
      </c>
      <c r="Y111" s="69"/>
      <c r="Z111" s="1865" t="str">
        <f t="shared" si="58"/>
        <v/>
      </c>
      <c r="AA111" s="69"/>
      <c r="AB111" s="1865" t="str">
        <f t="shared" si="59"/>
        <v/>
      </c>
      <c r="AC111" s="69"/>
      <c r="AD111" s="1204" t="str">
        <f t="shared" si="60"/>
        <v/>
      </c>
      <c r="AE111" s="69"/>
      <c r="AF111" s="1204" t="str">
        <f t="shared" si="61"/>
        <v/>
      </c>
      <c r="AG111" s="69"/>
      <c r="AH111" s="1204" t="str">
        <f t="shared" si="62"/>
        <v/>
      </c>
      <c r="AI111" s="69"/>
      <c r="AJ111" s="1204" t="str">
        <f t="shared" si="63"/>
        <v/>
      </c>
      <c r="AK111" s="69"/>
      <c r="AL111" s="1204" t="str">
        <f t="shared" si="64"/>
        <v/>
      </c>
      <c r="AM111" s="69"/>
      <c r="AN111" s="1204" t="str">
        <f t="shared" si="65"/>
        <v/>
      </c>
      <c r="AO111" s="69"/>
      <c r="AP111" s="1204" t="str">
        <f t="shared" si="66"/>
        <v/>
      </c>
      <c r="AQ111" s="69"/>
      <c r="AR111" s="1204" t="str">
        <f t="shared" si="67"/>
        <v/>
      </c>
      <c r="AS111" s="69"/>
      <c r="AT111" s="1204" t="str">
        <f t="shared" si="68"/>
        <v/>
      </c>
      <c r="AU111" s="69"/>
      <c r="AV111" s="1204" t="str">
        <f t="shared" si="69"/>
        <v/>
      </c>
      <c r="AW111" s="69"/>
      <c r="AX111" s="1201" t="str">
        <f t="shared" si="70"/>
        <v/>
      </c>
      <c r="AY111" s="69"/>
      <c r="AZ111" s="1201" t="str">
        <f t="shared" si="71"/>
        <v/>
      </c>
      <c r="BA111" s="69"/>
      <c r="BB111" s="1204" t="str">
        <f t="shared" si="72"/>
        <v/>
      </c>
      <c r="BC111" s="69"/>
      <c r="BD111" s="1204" t="str">
        <f t="shared" si="73"/>
        <v/>
      </c>
      <c r="BE111" s="69"/>
      <c r="BF111" s="1204" t="str">
        <f t="shared" si="74"/>
        <v/>
      </c>
      <c r="BG111" s="69"/>
      <c r="BH111" s="1204" t="str">
        <f t="shared" si="75"/>
        <v/>
      </c>
      <c r="BI111" s="69"/>
      <c r="BJ111" s="1204" t="str">
        <f t="shared" si="76"/>
        <v/>
      </c>
      <c r="BK111" s="69"/>
      <c r="BL111" s="1204" t="str">
        <f t="shared" si="77"/>
        <v/>
      </c>
      <c r="BM111" s="69"/>
      <c r="BN111" s="1487" t="str">
        <f t="shared" si="78"/>
        <v/>
      </c>
      <c r="BO111" s="69"/>
      <c r="BP111" s="1926">
        <f t="shared" si="79"/>
        <v>0</v>
      </c>
      <c r="BQ111" s="69"/>
      <c r="BS111" s="684"/>
      <c r="BT111" s="684"/>
      <c r="BU111" s="541"/>
    </row>
    <row r="112" ht="18.0" customHeight="1">
      <c r="A112" s="1698" t="str">
        <f t="shared" si="47"/>
        <v/>
      </c>
      <c r="B112" s="1611">
        <v>3435.0</v>
      </c>
      <c r="C112" s="1734">
        <v>51.0</v>
      </c>
      <c r="D112" s="1817"/>
      <c r="E112" s="721" t="str">
        <f t="shared" si="46"/>
        <v>Булочка с повидлом 80 г</v>
      </c>
      <c r="F112" s="1865" t="str">
        <f t="shared" si="48"/>
        <v/>
      </c>
      <c r="G112" s="69"/>
      <c r="H112" s="1865" t="str">
        <f t="shared" si="49"/>
        <v/>
      </c>
      <c r="I112" s="69"/>
      <c r="J112" s="1865" t="str">
        <f t="shared" si="50"/>
        <v/>
      </c>
      <c r="K112" s="69"/>
      <c r="L112" s="1865" t="str">
        <f t="shared" si="51"/>
        <v/>
      </c>
      <c r="M112" s="69"/>
      <c r="N112" s="1865" t="str">
        <f t="shared" si="52"/>
        <v/>
      </c>
      <c r="O112" s="69"/>
      <c r="P112" s="1865" t="str">
        <f t="shared" si="53"/>
        <v/>
      </c>
      <c r="Q112" s="69"/>
      <c r="R112" s="1865" t="str">
        <f t="shared" si="54"/>
        <v/>
      </c>
      <c r="S112" s="69"/>
      <c r="T112" s="1865" t="str">
        <f t="shared" si="55"/>
        <v/>
      </c>
      <c r="U112" s="69"/>
      <c r="V112" s="1865" t="str">
        <f t="shared" si="56"/>
        <v/>
      </c>
      <c r="W112" s="69"/>
      <c r="X112" s="1865" t="str">
        <f t="shared" si="57"/>
        <v/>
      </c>
      <c r="Y112" s="69"/>
      <c r="Z112" s="1865" t="str">
        <f t="shared" si="58"/>
        <v/>
      </c>
      <c r="AA112" s="69"/>
      <c r="AB112" s="1865" t="str">
        <f t="shared" si="59"/>
        <v/>
      </c>
      <c r="AC112" s="69"/>
      <c r="AD112" s="1865" t="str">
        <f t="shared" si="60"/>
        <v/>
      </c>
      <c r="AE112" s="69"/>
      <c r="AF112" s="1865" t="str">
        <f t="shared" si="61"/>
        <v/>
      </c>
      <c r="AG112" s="69"/>
      <c r="AH112" s="1865" t="str">
        <f t="shared" si="62"/>
        <v/>
      </c>
      <c r="AI112" s="69"/>
      <c r="AJ112" s="1865" t="str">
        <f t="shared" si="63"/>
        <v/>
      </c>
      <c r="AK112" s="69"/>
      <c r="AL112" s="1865" t="str">
        <f t="shared" si="64"/>
        <v/>
      </c>
      <c r="AM112" s="69"/>
      <c r="AN112" s="1865" t="str">
        <f t="shared" si="65"/>
        <v/>
      </c>
      <c r="AO112" s="69"/>
      <c r="AP112" s="1865" t="str">
        <f t="shared" si="66"/>
        <v/>
      </c>
      <c r="AQ112" s="69"/>
      <c r="AR112" s="1865" t="str">
        <f t="shared" si="67"/>
        <v/>
      </c>
      <c r="AS112" s="69"/>
      <c r="AT112" s="1865" t="str">
        <f t="shared" si="68"/>
        <v/>
      </c>
      <c r="AU112" s="69"/>
      <c r="AV112" s="1865" t="str">
        <f t="shared" si="69"/>
        <v/>
      </c>
      <c r="AW112" s="69"/>
      <c r="AX112" s="1201" t="str">
        <f t="shared" si="70"/>
        <v/>
      </c>
      <c r="AY112" s="69"/>
      <c r="AZ112" s="1201" t="str">
        <f t="shared" si="71"/>
        <v/>
      </c>
      <c r="BA112" s="69"/>
      <c r="BB112" s="1204" t="str">
        <f t="shared" si="72"/>
        <v/>
      </c>
      <c r="BC112" s="69"/>
      <c r="BD112" s="1204" t="str">
        <f t="shared" si="73"/>
        <v/>
      </c>
      <c r="BE112" s="69"/>
      <c r="BF112" s="1204" t="str">
        <f t="shared" si="74"/>
        <v/>
      </c>
      <c r="BG112" s="69"/>
      <c r="BH112" s="1204" t="str">
        <f t="shared" si="75"/>
        <v/>
      </c>
      <c r="BI112" s="69"/>
      <c r="BJ112" s="1204" t="str">
        <f t="shared" si="76"/>
        <v/>
      </c>
      <c r="BK112" s="69"/>
      <c r="BL112" s="1204">
        <f t="shared" si="77"/>
        <v>10</v>
      </c>
      <c r="BM112" s="69"/>
      <c r="BN112" s="1487" t="str">
        <f t="shared" si="78"/>
        <v/>
      </c>
      <c r="BO112" s="69"/>
      <c r="BP112" s="1926">
        <f t="shared" si="79"/>
        <v>10</v>
      </c>
      <c r="BQ112" s="69"/>
      <c r="BS112" s="684"/>
      <c r="BT112" s="684"/>
      <c r="BU112" s="541"/>
    </row>
    <row r="113" ht="18.0" customHeight="1">
      <c r="A113" s="1698" t="str">
        <f t="shared" si="47"/>
        <v/>
      </c>
      <c r="B113" s="1611">
        <v>3455.0</v>
      </c>
      <c r="C113" s="1734">
        <v>85.0</v>
      </c>
      <c r="D113" s="1817"/>
      <c r="E113" s="721" t="str">
        <f t="shared" si="46"/>
        <v>Слойка с ветчиной и сыром 100г</v>
      </c>
      <c r="F113" s="1865" t="str">
        <f t="shared" si="48"/>
        <v/>
      </c>
      <c r="G113" s="69"/>
      <c r="H113" s="1865" t="str">
        <f t="shared" si="49"/>
        <v/>
      </c>
      <c r="I113" s="69"/>
      <c r="J113" s="1865" t="str">
        <f t="shared" si="50"/>
        <v/>
      </c>
      <c r="K113" s="69"/>
      <c r="L113" s="1865" t="str">
        <f t="shared" si="51"/>
        <v/>
      </c>
      <c r="M113" s="69"/>
      <c r="N113" s="1865" t="str">
        <f t="shared" si="52"/>
        <v/>
      </c>
      <c r="O113" s="69"/>
      <c r="P113" s="1865" t="str">
        <f t="shared" si="53"/>
        <v/>
      </c>
      <c r="Q113" s="69"/>
      <c r="R113" s="1865" t="str">
        <f t="shared" si="54"/>
        <v/>
      </c>
      <c r="S113" s="69"/>
      <c r="T113" s="1865" t="str">
        <f t="shared" si="55"/>
        <v/>
      </c>
      <c r="U113" s="69"/>
      <c r="V113" s="1865" t="str">
        <f t="shared" si="56"/>
        <v/>
      </c>
      <c r="W113" s="69"/>
      <c r="X113" s="1865" t="str">
        <f t="shared" si="57"/>
        <v/>
      </c>
      <c r="Y113" s="69"/>
      <c r="Z113" s="1865" t="str">
        <f t="shared" si="58"/>
        <v/>
      </c>
      <c r="AA113" s="69"/>
      <c r="AB113" s="1865" t="str">
        <f t="shared" si="59"/>
        <v/>
      </c>
      <c r="AC113" s="69"/>
      <c r="AD113" s="1865" t="str">
        <f t="shared" si="60"/>
        <v/>
      </c>
      <c r="AE113" s="69"/>
      <c r="AF113" s="1865" t="str">
        <f t="shared" si="61"/>
        <v/>
      </c>
      <c r="AG113" s="69"/>
      <c r="AH113" s="1865" t="str">
        <f t="shared" si="62"/>
        <v/>
      </c>
      <c r="AI113" s="69"/>
      <c r="AJ113" s="1865" t="str">
        <f t="shared" si="63"/>
        <v/>
      </c>
      <c r="AK113" s="69"/>
      <c r="AL113" s="1865" t="str">
        <f t="shared" si="64"/>
        <v/>
      </c>
      <c r="AM113" s="69"/>
      <c r="AN113" s="1865" t="str">
        <f t="shared" si="65"/>
        <v/>
      </c>
      <c r="AO113" s="69"/>
      <c r="AP113" s="1865" t="str">
        <f t="shared" si="66"/>
        <v/>
      </c>
      <c r="AQ113" s="69"/>
      <c r="AR113" s="1865" t="str">
        <f t="shared" si="67"/>
        <v/>
      </c>
      <c r="AS113" s="69"/>
      <c r="AT113" s="1865" t="str">
        <f t="shared" si="68"/>
        <v/>
      </c>
      <c r="AU113" s="69"/>
      <c r="AV113" s="1865" t="str">
        <f t="shared" si="69"/>
        <v/>
      </c>
      <c r="AW113" s="69"/>
      <c r="AX113" s="1201" t="str">
        <f t="shared" si="70"/>
        <v/>
      </c>
      <c r="AY113" s="69"/>
      <c r="AZ113" s="1201" t="str">
        <f t="shared" si="71"/>
        <v/>
      </c>
      <c r="BA113" s="69"/>
      <c r="BB113" s="1204" t="str">
        <f t="shared" si="72"/>
        <v/>
      </c>
      <c r="BC113" s="69"/>
      <c r="BD113" s="1204" t="str">
        <f t="shared" si="73"/>
        <v/>
      </c>
      <c r="BE113" s="69"/>
      <c r="BF113" s="1204" t="str">
        <f t="shared" si="74"/>
        <v/>
      </c>
      <c r="BG113" s="69"/>
      <c r="BH113" s="1204" t="str">
        <f t="shared" si="75"/>
        <v/>
      </c>
      <c r="BI113" s="69"/>
      <c r="BJ113" s="1204" t="str">
        <f t="shared" si="76"/>
        <v/>
      </c>
      <c r="BK113" s="69"/>
      <c r="BL113" s="1204">
        <f t="shared" si="77"/>
        <v>13</v>
      </c>
      <c r="BM113" s="69"/>
      <c r="BN113" s="1487" t="str">
        <f t="shared" si="78"/>
        <v/>
      </c>
      <c r="BO113" s="69"/>
      <c r="BP113" s="1926">
        <f t="shared" si="79"/>
        <v>13</v>
      </c>
      <c r="BQ113" s="69"/>
      <c r="BS113" s="684"/>
      <c r="BT113" s="684"/>
      <c r="BU113" s="541"/>
    </row>
    <row r="114" ht="18.0" customHeight="1">
      <c r="A114" s="1698" t="str">
        <f t="shared" si="47"/>
        <v>Да</v>
      </c>
      <c r="B114" s="1611">
        <v>4312.0</v>
      </c>
      <c r="C114" s="1734">
        <v>148.0</v>
      </c>
      <c r="D114" s="1817"/>
      <c r="E114" s="721" t="str">
        <f t="shared" si="46"/>
        <v>Фруктовый набор (арбуз/дыня)</v>
      </c>
      <c r="F114" s="1865" t="str">
        <f t="shared" si="48"/>
        <v/>
      </c>
      <c r="G114" s="69"/>
      <c r="H114" s="1865" t="str">
        <f t="shared" si="49"/>
        <v/>
      </c>
      <c r="I114" s="69"/>
      <c r="J114" s="1865" t="str">
        <f t="shared" si="50"/>
        <v/>
      </c>
      <c r="K114" s="69"/>
      <c r="L114" s="1865" t="str">
        <f t="shared" si="51"/>
        <v/>
      </c>
      <c r="M114" s="69"/>
      <c r="N114" s="1204">
        <f t="shared" si="52"/>
        <v>2</v>
      </c>
      <c r="O114" s="69"/>
      <c r="P114" s="1865">
        <f t="shared" si="53"/>
        <v>2</v>
      </c>
      <c r="Q114" s="69"/>
      <c r="R114" s="1865" t="str">
        <f t="shared" si="54"/>
        <v/>
      </c>
      <c r="S114" s="69"/>
      <c r="T114" s="1865">
        <f t="shared" si="55"/>
        <v>4</v>
      </c>
      <c r="U114" s="69"/>
      <c r="V114" s="1865">
        <f t="shared" si="56"/>
        <v>2</v>
      </c>
      <c r="W114" s="69"/>
      <c r="X114" s="1865">
        <f t="shared" si="57"/>
        <v>4</v>
      </c>
      <c r="Y114" s="69"/>
      <c r="Z114" s="1865" t="str">
        <f t="shared" si="58"/>
        <v/>
      </c>
      <c r="AA114" s="69"/>
      <c r="AB114" s="1865" t="str">
        <f t="shared" si="59"/>
        <v/>
      </c>
      <c r="AC114" s="69"/>
      <c r="AD114" s="1204" t="str">
        <f t="shared" si="60"/>
        <v/>
      </c>
      <c r="AE114" s="69"/>
      <c r="AF114" s="1204">
        <f t="shared" si="61"/>
        <v>4</v>
      </c>
      <c r="AG114" s="69"/>
      <c r="AH114" s="1204">
        <f t="shared" si="62"/>
        <v>2</v>
      </c>
      <c r="AI114" s="69"/>
      <c r="AJ114" s="1204" t="str">
        <f t="shared" si="63"/>
        <v/>
      </c>
      <c r="AK114" s="69"/>
      <c r="AL114" s="1204" t="str">
        <f t="shared" si="64"/>
        <v/>
      </c>
      <c r="AM114" s="69"/>
      <c r="AN114" s="1204" t="str">
        <f t="shared" si="65"/>
        <v/>
      </c>
      <c r="AO114" s="69"/>
      <c r="AP114" s="1204" t="str">
        <f t="shared" si="66"/>
        <v/>
      </c>
      <c r="AQ114" s="69"/>
      <c r="AR114" s="1204">
        <f t="shared" si="67"/>
        <v>4</v>
      </c>
      <c r="AS114" s="69"/>
      <c r="AT114" s="1204" t="str">
        <f t="shared" si="68"/>
        <v/>
      </c>
      <c r="AU114" s="69"/>
      <c r="AV114" s="1204" t="str">
        <f t="shared" si="69"/>
        <v/>
      </c>
      <c r="AW114" s="69"/>
      <c r="AX114" s="1201">
        <f t="shared" si="70"/>
        <v>4</v>
      </c>
      <c r="AY114" s="69"/>
      <c r="AZ114" s="1201" t="str">
        <f t="shared" si="71"/>
        <v/>
      </c>
      <c r="BA114" s="69"/>
      <c r="BB114" s="1204" t="str">
        <f t="shared" si="72"/>
        <v/>
      </c>
      <c r="BC114" s="69"/>
      <c r="BD114" s="1204">
        <f t="shared" si="73"/>
        <v>2</v>
      </c>
      <c r="BE114" s="69"/>
      <c r="BF114" s="1204">
        <f t="shared" si="74"/>
        <v>4</v>
      </c>
      <c r="BG114" s="69"/>
      <c r="BH114" s="1204">
        <f t="shared" si="75"/>
        <v>2</v>
      </c>
      <c r="BI114" s="69"/>
      <c r="BJ114" s="1204">
        <f t="shared" si="76"/>
        <v>2</v>
      </c>
      <c r="BK114" s="69"/>
      <c r="BL114" s="1204" t="str">
        <f t="shared" si="77"/>
        <v/>
      </c>
      <c r="BM114" s="69"/>
      <c r="BN114" s="1487" t="str">
        <f t="shared" si="78"/>
        <v/>
      </c>
      <c r="BO114" s="69"/>
      <c r="BP114" s="1926">
        <f t="shared" si="79"/>
        <v>38</v>
      </c>
      <c r="BQ114" s="69"/>
      <c r="BS114" s="684"/>
      <c r="BT114" s="684"/>
      <c r="BU114" s="541"/>
    </row>
    <row r="115" ht="18.0" customHeight="1">
      <c r="A115" s="1698" t="str">
        <f t="shared" si="47"/>
        <v>Да</v>
      </c>
      <c r="B115" s="1611">
        <v>100.0</v>
      </c>
      <c r="C115" s="1734">
        <v>90.0</v>
      </c>
      <c r="D115" s="1817"/>
      <c r="E115" s="721" t="str">
        <f t="shared" si="46"/>
        <v>Крем-суп овощной с курицей</v>
      </c>
      <c r="F115" s="1865">
        <f t="shared" si="48"/>
        <v>12</v>
      </c>
      <c r="G115" s="69"/>
      <c r="H115" s="1865">
        <f t="shared" si="49"/>
        <v>4</v>
      </c>
      <c r="I115" s="69"/>
      <c r="J115" s="1865" t="str">
        <f t="shared" si="50"/>
        <v/>
      </c>
      <c r="K115" s="69"/>
      <c r="L115" s="1865">
        <f t="shared" si="51"/>
        <v>3</v>
      </c>
      <c r="M115" s="69"/>
      <c r="N115" s="1204">
        <f t="shared" si="52"/>
        <v>3</v>
      </c>
      <c r="O115" s="69"/>
      <c r="P115" s="1941">
        <f t="shared" si="53"/>
        <v>7</v>
      </c>
      <c r="Q115" s="69"/>
      <c r="R115" s="1865">
        <f t="shared" si="54"/>
        <v>4</v>
      </c>
      <c r="S115" s="69"/>
      <c r="T115" s="1865">
        <f t="shared" si="55"/>
        <v>3</v>
      </c>
      <c r="U115" s="69"/>
      <c r="V115" s="1865">
        <f t="shared" si="56"/>
        <v>3</v>
      </c>
      <c r="W115" s="69"/>
      <c r="X115" s="1865">
        <f t="shared" si="57"/>
        <v>3</v>
      </c>
      <c r="Y115" s="69"/>
      <c r="Z115" s="1865" t="str">
        <f t="shared" si="58"/>
        <v/>
      </c>
      <c r="AA115" s="69"/>
      <c r="AB115" s="1865">
        <f t="shared" si="59"/>
        <v>0</v>
      </c>
      <c r="AC115" s="69"/>
      <c r="AD115" s="1204">
        <f t="shared" si="60"/>
        <v>3</v>
      </c>
      <c r="AE115" s="69"/>
      <c r="AF115" s="1204">
        <f t="shared" si="61"/>
        <v>3</v>
      </c>
      <c r="AG115" s="69"/>
      <c r="AH115" s="1204">
        <f t="shared" si="62"/>
        <v>3</v>
      </c>
      <c r="AI115" s="69"/>
      <c r="AJ115" s="1204">
        <f t="shared" si="63"/>
        <v>3</v>
      </c>
      <c r="AK115" s="69"/>
      <c r="AL115" s="1204">
        <f t="shared" si="64"/>
        <v>3</v>
      </c>
      <c r="AM115" s="69"/>
      <c r="AN115" s="1204" t="str">
        <f t="shared" si="65"/>
        <v/>
      </c>
      <c r="AO115" s="69"/>
      <c r="AP115" s="1204">
        <f t="shared" si="66"/>
        <v>3</v>
      </c>
      <c r="AQ115" s="69"/>
      <c r="AR115" s="1204" t="str">
        <f t="shared" si="67"/>
        <v/>
      </c>
      <c r="AS115" s="69"/>
      <c r="AT115" s="1204">
        <f t="shared" si="68"/>
        <v>3</v>
      </c>
      <c r="AU115" s="69"/>
      <c r="AV115" s="1204">
        <f t="shared" si="69"/>
        <v>3</v>
      </c>
      <c r="AW115" s="69"/>
      <c r="AX115" s="1201">
        <f t="shared" si="70"/>
        <v>3</v>
      </c>
      <c r="AY115" s="69"/>
      <c r="AZ115" s="1201">
        <f t="shared" si="71"/>
        <v>20</v>
      </c>
      <c r="BA115" s="69"/>
      <c r="BB115" s="1204">
        <f t="shared" si="72"/>
        <v>3</v>
      </c>
      <c r="BC115" s="69"/>
      <c r="BD115" s="1204" t="str">
        <f t="shared" si="73"/>
        <v/>
      </c>
      <c r="BE115" s="69"/>
      <c r="BF115" s="1204">
        <f t="shared" si="74"/>
        <v>3</v>
      </c>
      <c r="BG115" s="69"/>
      <c r="BH115" s="1204">
        <f t="shared" si="75"/>
        <v>4</v>
      </c>
      <c r="BI115" s="69"/>
      <c r="BJ115" s="1204">
        <f t="shared" si="76"/>
        <v>5</v>
      </c>
      <c r="BK115" s="69"/>
      <c r="BL115" s="1204">
        <f t="shared" si="77"/>
        <v>130</v>
      </c>
      <c r="BM115" s="69"/>
      <c r="BN115" s="1487" t="str">
        <f t="shared" si="78"/>
        <v/>
      </c>
      <c r="BO115" s="69"/>
      <c r="BP115" s="1926">
        <f t="shared" si="79"/>
        <v>234</v>
      </c>
      <c r="BQ115" s="69"/>
      <c r="BS115" s="684"/>
      <c r="BT115" s="684"/>
      <c r="BU115" s="541"/>
    </row>
    <row r="116" ht="18.0" customHeight="1">
      <c r="A116" s="1698" t="str">
        <f t="shared" si="47"/>
        <v>Да</v>
      </c>
      <c r="B116" s="1611">
        <v>3330.0</v>
      </c>
      <c r="C116" s="1734">
        <v>172.0</v>
      </c>
      <c r="D116" s="1817"/>
      <c r="E116" s="721" t="str">
        <f t="shared" si="46"/>
        <v>Сэндвич с курицей и соусом Барбекю</v>
      </c>
      <c r="F116" s="1865">
        <f t="shared" si="48"/>
        <v>13</v>
      </c>
      <c r="G116" s="69"/>
      <c r="H116" s="1865">
        <f t="shared" si="49"/>
        <v>5</v>
      </c>
      <c r="I116" s="69"/>
      <c r="J116" s="1865" t="str">
        <f t="shared" si="50"/>
        <v/>
      </c>
      <c r="K116" s="69"/>
      <c r="L116" s="1865">
        <f t="shared" si="51"/>
        <v>4</v>
      </c>
      <c r="M116" s="69"/>
      <c r="N116" s="1204">
        <f t="shared" si="52"/>
        <v>4</v>
      </c>
      <c r="O116" s="69"/>
      <c r="P116" s="1865">
        <f t="shared" si="53"/>
        <v>5</v>
      </c>
      <c r="Q116" s="69"/>
      <c r="R116" s="1865">
        <f t="shared" si="54"/>
        <v>4</v>
      </c>
      <c r="S116" s="69"/>
      <c r="T116" s="1865">
        <f t="shared" si="55"/>
        <v>5</v>
      </c>
      <c r="U116" s="69"/>
      <c r="V116" s="1865">
        <f t="shared" si="56"/>
        <v>6</v>
      </c>
      <c r="W116" s="69"/>
      <c r="X116" s="1865">
        <f t="shared" si="57"/>
        <v>4</v>
      </c>
      <c r="Y116" s="69"/>
      <c r="Z116" s="1865" t="str">
        <f t="shared" si="58"/>
        <v/>
      </c>
      <c r="AA116" s="69"/>
      <c r="AB116" s="1865">
        <f t="shared" si="59"/>
        <v>7</v>
      </c>
      <c r="AC116" s="69"/>
      <c r="AD116" s="1204">
        <f t="shared" si="60"/>
        <v>5</v>
      </c>
      <c r="AE116" s="69"/>
      <c r="AF116" s="1204">
        <f t="shared" si="61"/>
        <v>5</v>
      </c>
      <c r="AG116" s="69"/>
      <c r="AH116" s="1204">
        <f t="shared" si="62"/>
        <v>5</v>
      </c>
      <c r="AI116" s="69"/>
      <c r="AJ116" s="1204">
        <f t="shared" si="63"/>
        <v>3</v>
      </c>
      <c r="AK116" s="69"/>
      <c r="AL116" s="1204">
        <f t="shared" si="64"/>
        <v>4</v>
      </c>
      <c r="AM116" s="69"/>
      <c r="AN116" s="1204" t="str">
        <f t="shared" si="65"/>
        <v/>
      </c>
      <c r="AO116" s="69"/>
      <c r="AP116" s="1204">
        <f t="shared" si="66"/>
        <v>2</v>
      </c>
      <c r="AQ116" s="69"/>
      <c r="AR116" s="1204">
        <f t="shared" si="67"/>
        <v>7</v>
      </c>
      <c r="AS116" s="69"/>
      <c r="AT116" s="1204">
        <f t="shared" si="68"/>
        <v>2</v>
      </c>
      <c r="AU116" s="69"/>
      <c r="AV116" s="1204">
        <f t="shared" si="69"/>
        <v>3</v>
      </c>
      <c r="AW116" s="69"/>
      <c r="AX116" s="1201">
        <f t="shared" si="70"/>
        <v>5</v>
      </c>
      <c r="AY116" s="69"/>
      <c r="AZ116" s="1201">
        <f t="shared" si="71"/>
        <v>2</v>
      </c>
      <c r="BA116" s="69"/>
      <c r="BB116" s="1204">
        <f t="shared" si="72"/>
        <v>7</v>
      </c>
      <c r="BC116" s="69"/>
      <c r="BD116" s="1204">
        <f t="shared" si="73"/>
        <v>2</v>
      </c>
      <c r="BE116" s="69"/>
      <c r="BF116" s="1204">
        <f t="shared" si="74"/>
        <v>4</v>
      </c>
      <c r="BG116" s="69"/>
      <c r="BH116" s="1204">
        <f t="shared" si="75"/>
        <v>2</v>
      </c>
      <c r="BI116" s="69"/>
      <c r="BJ116" s="1204">
        <f t="shared" si="76"/>
        <v>4</v>
      </c>
      <c r="BK116" s="69"/>
      <c r="BL116" s="1204" t="str">
        <f t="shared" si="77"/>
        <v/>
      </c>
      <c r="BM116" s="69"/>
      <c r="BN116" s="1487" t="str">
        <f t="shared" si="78"/>
        <v/>
      </c>
      <c r="BO116" s="69"/>
      <c r="BP116" s="1926">
        <f t="shared" si="79"/>
        <v>119</v>
      </c>
      <c r="BQ116" s="69"/>
      <c r="BS116" s="684"/>
      <c r="BT116" s="684"/>
      <c r="BU116" s="541"/>
    </row>
    <row r="117" ht="18.0" customHeight="1">
      <c r="A117" s="1698" t="str">
        <f t="shared" si="47"/>
        <v>Да</v>
      </c>
      <c r="B117" s="1611">
        <v>3408.0</v>
      </c>
      <c r="C117" s="1734">
        <v>220.0</v>
      </c>
      <c r="D117" s="1817"/>
      <c r="E117" s="721" t="str">
        <f t="shared" si="46"/>
        <v>Сэндвич ''Крем-чиз с рыбой''</v>
      </c>
      <c r="F117" s="1865">
        <f t="shared" si="48"/>
        <v>8</v>
      </c>
      <c r="G117" s="69"/>
      <c r="H117" s="1865">
        <f t="shared" si="49"/>
        <v>3</v>
      </c>
      <c r="I117" s="69"/>
      <c r="J117" s="1865" t="str">
        <f t="shared" si="50"/>
        <v/>
      </c>
      <c r="K117" s="69"/>
      <c r="L117" s="1865">
        <f t="shared" si="51"/>
        <v>3</v>
      </c>
      <c r="M117" s="69"/>
      <c r="N117" s="1204">
        <f t="shared" si="52"/>
        <v>6</v>
      </c>
      <c r="O117" s="69"/>
      <c r="P117" s="1865">
        <f t="shared" si="53"/>
        <v>4</v>
      </c>
      <c r="Q117" s="69"/>
      <c r="R117" s="1865">
        <f t="shared" si="54"/>
        <v>4</v>
      </c>
      <c r="S117" s="69"/>
      <c r="T117" s="1865">
        <f t="shared" si="55"/>
        <v>2</v>
      </c>
      <c r="U117" s="69"/>
      <c r="V117" s="1865">
        <f t="shared" si="56"/>
        <v>2</v>
      </c>
      <c r="W117" s="69"/>
      <c r="X117" s="1865">
        <f t="shared" si="57"/>
        <v>4</v>
      </c>
      <c r="Y117" s="69"/>
      <c r="Z117" s="1865" t="str">
        <f t="shared" si="58"/>
        <v/>
      </c>
      <c r="AA117" s="69"/>
      <c r="AB117" s="1865">
        <f t="shared" si="59"/>
        <v>4</v>
      </c>
      <c r="AC117" s="69"/>
      <c r="AD117" s="1204">
        <f t="shared" si="60"/>
        <v>3</v>
      </c>
      <c r="AE117" s="69"/>
      <c r="AF117" s="1204">
        <f t="shared" si="61"/>
        <v>4</v>
      </c>
      <c r="AG117" s="69"/>
      <c r="AH117" s="1204">
        <f t="shared" si="62"/>
        <v>2</v>
      </c>
      <c r="AI117" s="69"/>
      <c r="AJ117" s="1204">
        <f t="shared" si="63"/>
        <v>2</v>
      </c>
      <c r="AK117" s="69"/>
      <c r="AL117" s="1204">
        <f t="shared" si="64"/>
        <v>2</v>
      </c>
      <c r="AM117" s="69"/>
      <c r="AN117" s="1204" t="str">
        <f t="shared" si="65"/>
        <v/>
      </c>
      <c r="AO117" s="69"/>
      <c r="AP117" s="1204">
        <f t="shared" si="66"/>
        <v>6</v>
      </c>
      <c r="AQ117" s="69"/>
      <c r="AR117" s="1204">
        <f t="shared" si="67"/>
        <v>7</v>
      </c>
      <c r="AS117" s="69"/>
      <c r="AT117" s="1204">
        <f t="shared" si="68"/>
        <v>3</v>
      </c>
      <c r="AU117" s="69"/>
      <c r="AV117" s="1204">
        <f t="shared" si="69"/>
        <v>3</v>
      </c>
      <c r="AW117" s="69"/>
      <c r="AX117" s="1201">
        <f t="shared" si="70"/>
        <v>5</v>
      </c>
      <c r="AY117" s="69"/>
      <c r="AZ117" s="1201">
        <f t="shared" si="71"/>
        <v>5</v>
      </c>
      <c r="BA117" s="69"/>
      <c r="BB117" s="1204">
        <f t="shared" si="72"/>
        <v>7</v>
      </c>
      <c r="BC117" s="69"/>
      <c r="BD117" s="1204">
        <f t="shared" si="73"/>
        <v>3</v>
      </c>
      <c r="BE117" s="69"/>
      <c r="BF117" s="1204">
        <f t="shared" si="74"/>
        <v>4</v>
      </c>
      <c r="BG117" s="69"/>
      <c r="BH117" s="1204">
        <f t="shared" si="75"/>
        <v>2</v>
      </c>
      <c r="BI117" s="69"/>
      <c r="BJ117" s="1204">
        <f t="shared" si="76"/>
        <v>4</v>
      </c>
      <c r="BK117" s="69"/>
      <c r="BL117" s="1204" t="str">
        <f t="shared" si="77"/>
        <v/>
      </c>
      <c r="BM117" s="69"/>
      <c r="BN117" s="1487" t="str">
        <f t="shared" si="78"/>
        <v/>
      </c>
      <c r="BO117" s="69"/>
      <c r="BP117" s="1926">
        <f t="shared" si="79"/>
        <v>102</v>
      </c>
      <c r="BQ117" s="69"/>
      <c r="BS117" s="684"/>
      <c r="BT117" s="684"/>
      <c r="BU117" s="541"/>
    </row>
    <row r="118" ht="18.0" customHeight="1">
      <c r="A118" s="1698" t="str">
        <f t="shared" si="47"/>
        <v>Да</v>
      </c>
      <c r="B118" s="1611">
        <v>3996.0</v>
      </c>
      <c r="C118" s="1734">
        <v>98.0</v>
      </c>
      <c r="D118" s="1817"/>
      <c r="E118" s="721" t="str">
        <f t="shared" si="46"/>
        <v>Морс вишневый 0,5 л</v>
      </c>
      <c r="F118" s="1865">
        <f t="shared" si="48"/>
        <v>12</v>
      </c>
      <c r="G118" s="69"/>
      <c r="H118" s="1865">
        <f t="shared" si="49"/>
        <v>3</v>
      </c>
      <c r="I118" s="69"/>
      <c r="J118" s="1865" t="str">
        <f t="shared" si="50"/>
        <v/>
      </c>
      <c r="K118" s="69"/>
      <c r="L118" s="1865">
        <f t="shared" si="51"/>
        <v>12</v>
      </c>
      <c r="M118" s="69"/>
      <c r="N118" s="1204">
        <f t="shared" si="52"/>
        <v>0</v>
      </c>
      <c r="O118" s="69"/>
      <c r="P118" s="1865">
        <f t="shared" si="53"/>
        <v>12</v>
      </c>
      <c r="Q118" s="69"/>
      <c r="R118" s="1865">
        <f t="shared" si="54"/>
        <v>0</v>
      </c>
      <c r="S118" s="69"/>
      <c r="T118" s="1865">
        <f t="shared" si="55"/>
        <v>0</v>
      </c>
      <c r="U118" s="69"/>
      <c r="V118" s="1865">
        <f t="shared" si="56"/>
        <v>0</v>
      </c>
      <c r="W118" s="69"/>
      <c r="X118" s="1865">
        <f t="shared" si="57"/>
        <v>0</v>
      </c>
      <c r="Y118" s="69"/>
      <c r="Z118" s="1865" t="str">
        <f t="shared" si="58"/>
        <v/>
      </c>
      <c r="AA118" s="69"/>
      <c r="AB118" s="1865">
        <f t="shared" si="59"/>
        <v>0</v>
      </c>
      <c r="AC118" s="69"/>
      <c r="AD118" s="1204">
        <f t="shared" si="60"/>
        <v>0</v>
      </c>
      <c r="AE118" s="69"/>
      <c r="AF118" s="1204">
        <f t="shared" si="61"/>
        <v>0</v>
      </c>
      <c r="AG118" s="69"/>
      <c r="AH118" s="1204">
        <f t="shared" si="62"/>
        <v>0</v>
      </c>
      <c r="AI118" s="69"/>
      <c r="AJ118" s="1204">
        <f t="shared" si="63"/>
        <v>0</v>
      </c>
      <c r="AK118" s="69"/>
      <c r="AL118" s="1204">
        <f t="shared" si="64"/>
        <v>0</v>
      </c>
      <c r="AM118" s="69"/>
      <c r="AN118" s="1204" t="str">
        <f t="shared" si="65"/>
        <v/>
      </c>
      <c r="AO118" s="69"/>
      <c r="AP118" s="1204">
        <f t="shared" si="66"/>
        <v>0</v>
      </c>
      <c r="AQ118" s="69"/>
      <c r="AR118" s="1204">
        <f t="shared" si="67"/>
        <v>25</v>
      </c>
      <c r="AS118" s="69"/>
      <c r="AT118" s="1204">
        <f t="shared" si="68"/>
        <v>8</v>
      </c>
      <c r="AU118" s="69"/>
      <c r="AV118" s="1204">
        <f t="shared" si="69"/>
        <v>8</v>
      </c>
      <c r="AW118" s="69"/>
      <c r="AX118" s="1201">
        <f t="shared" si="70"/>
        <v>14</v>
      </c>
      <c r="AY118" s="69"/>
      <c r="AZ118" s="1201">
        <f t="shared" si="71"/>
        <v>0</v>
      </c>
      <c r="BA118" s="69"/>
      <c r="BB118" s="1204">
        <f t="shared" si="72"/>
        <v>10</v>
      </c>
      <c r="BC118" s="69"/>
      <c r="BD118" s="1204">
        <f t="shared" si="73"/>
        <v>6</v>
      </c>
      <c r="BE118" s="69"/>
      <c r="BF118" s="1204">
        <f t="shared" si="74"/>
        <v>16</v>
      </c>
      <c r="BG118" s="69"/>
      <c r="BH118" s="1204">
        <f t="shared" si="75"/>
        <v>10</v>
      </c>
      <c r="BI118" s="69"/>
      <c r="BJ118" s="1204">
        <f t="shared" si="76"/>
        <v>13</v>
      </c>
      <c r="BK118" s="69"/>
      <c r="BL118" s="1204" t="str">
        <f t="shared" si="77"/>
        <v/>
      </c>
      <c r="BM118" s="69"/>
      <c r="BN118" s="1487">
        <f t="shared" si="78"/>
        <v>10</v>
      </c>
      <c r="BO118" s="69"/>
      <c r="BP118" s="1926">
        <f t="shared" si="79"/>
        <v>159</v>
      </c>
      <c r="BQ118" s="69"/>
      <c r="BS118" s="684"/>
      <c r="BT118" s="684"/>
      <c r="BU118" s="541"/>
    </row>
    <row r="119" ht="18.0" customHeight="1">
      <c r="A119" s="1698" t="str">
        <f t="shared" si="47"/>
        <v/>
      </c>
      <c r="B119" s="1611"/>
      <c r="C119" s="1734"/>
      <c r="D119" s="1817"/>
      <c r="E119" s="721" t="str">
        <f t="shared" si="46"/>
        <v/>
      </c>
      <c r="F119" s="1865" t="str">
        <f t="shared" si="48"/>
        <v/>
      </c>
      <c r="G119" s="69"/>
      <c r="H119" s="1865" t="str">
        <f t="shared" si="49"/>
        <v/>
      </c>
      <c r="I119" s="69"/>
      <c r="J119" s="1865" t="str">
        <f t="shared" si="50"/>
        <v/>
      </c>
      <c r="K119" s="69"/>
      <c r="L119" s="1865" t="str">
        <f t="shared" si="51"/>
        <v/>
      </c>
      <c r="M119" s="69"/>
      <c r="N119" s="1204" t="str">
        <f t="shared" si="52"/>
        <v/>
      </c>
      <c r="O119" s="69"/>
      <c r="P119" s="1865" t="str">
        <f t="shared" si="53"/>
        <v/>
      </c>
      <c r="Q119" s="69"/>
      <c r="R119" s="1865" t="str">
        <f t="shared" si="54"/>
        <v/>
      </c>
      <c r="S119" s="69"/>
      <c r="T119" s="1865" t="str">
        <f t="shared" si="55"/>
        <v/>
      </c>
      <c r="U119" s="69"/>
      <c r="V119" s="1865" t="str">
        <f t="shared" si="56"/>
        <v/>
      </c>
      <c r="W119" s="69"/>
      <c r="X119" s="1865" t="str">
        <f t="shared" si="57"/>
        <v/>
      </c>
      <c r="Y119" s="69"/>
      <c r="Z119" s="1865" t="str">
        <f t="shared" si="58"/>
        <v/>
      </c>
      <c r="AA119" s="69"/>
      <c r="AB119" s="1865" t="str">
        <f t="shared" si="59"/>
        <v/>
      </c>
      <c r="AC119" s="69"/>
      <c r="AD119" s="1204" t="str">
        <f t="shared" si="60"/>
        <v/>
      </c>
      <c r="AE119" s="69"/>
      <c r="AF119" s="1204" t="str">
        <f t="shared" si="61"/>
        <v/>
      </c>
      <c r="AG119" s="69"/>
      <c r="AH119" s="1204" t="str">
        <f t="shared" si="62"/>
        <v/>
      </c>
      <c r="AI119" s="69"/>
      <c r="AJ119" s="1204" t="str">
        <f t="shared" si="63"/>
        <v/>
      </c>
      <c r="AK119" s="69"/>
      <c r="AL119" s="1204" t="str">
        <f t="shared" si="64"/>
        <v/>
      </c>
      <c r="AM119" s="69"/>
      <c r="AN119" s="1204" t="str">
        <f t="shared" si="65"/>
        <v/>
      </c>
      <c r="AO119" s="69"/>
      <c r="AP119" s="1204" t="str">
        <f t="shared" si="66"/>
        <v/>
      </c>
      <c r="AQ119" s="69"/>
      <c r="AR119" s="1204" t="str">
        <f t="shared" si="67"/>
        <v/>
      </c>
      <c r="AS119" s="69"/>
      <c r="AT119" s="1204" t="str">
        <f t="shared" si="68"/>
        <v/>
      </c>
      <c r="AU119" s="69"/>
      <c r="AV119" s="1204" t="str">
        <f t="shared" si="69"/>
        <v/>
      </c>
      <c r="AW119" s="69"/>
      <c r="AX119" s="1201" t="str">
        <f t="shared" si="70"/>
        <v/>
      </c>
      <c r="AY119" s="69"/>
      <c r="AZ119" s="1201" t="str">
        <f t="shared" si="71"/>
        <v/>
      </c>
      <c r="BA119" s="69"/>
      <c r="BB119" s="1204" t="str">
        <f t="shared" si="72"/>
        <v/>
      </c>
      <c r="BC119" s="69"/>
      <c r="BD119" s="1204" t="str">
        <f t="shared" si="73"/>
        <v/>
      </c>
      <c r="BE119" s="69"/>
      <c r="BF119" s="1204" t="str">
        <f t="shared" si="74"/>
        <v/>
      </c>
      <c r="BG119" s="69"/>
      <c r="BH119" s="1204" t="str">
        <f t="shared" si="75"/>
        <v/>
      </c>
      <c r="BI119" s="69"/>
      <c r="BJ119" s="1204" t="str">
        <f t="shared" si="76"/>
        <v/>
      </c>
      <c r="BK119" s="69"/>
      <c r="BL119" s="1204" t="str">
        <f t="shared" si="77"/>
        <v/>
      </c>
      <c r="BM119" s="69"/>
      <c r="BN119" s="1487" t="str">
        <f t="shared" si="78"/>
        <v/>
      </c>
      <c r="BO119" s="69"/>
      <c r="BP119" s="1926">
        <f t="shared" si="79"/>
        <v>0</v>
      </c>
      <c r="BQ119" s="69"/>
      <c r="BS119" s="684"/>
      <c r="BT119" s="684"/>
      <c r="BU119" s="541"/>
    </row>
    <row r="120" ht="18.0" customHeight="1">
      <c r="A120" s="1698" t="str">
        <f t="shared" si="47"/>
        <v/>
      </c>
      <c r="B120" s="1978"/>
      <c r="C120" s="1734"/>
      <c r="D120" s="1817"/>
      <c r="E120" s="721" t="str">
        <f t="shared" si="46"/>
        <v/>
      </c>
      <c r="F120" s="1865">
        <f>SUM(F95:G118)</f>
        <v>129</v>
      </c>
      <c r="G120" s="69"/>
      <c r="H120" s="1865">
        <f>SUM(H95:I118)</f>
        <v>58</v>
      </c>
      <c r="I120" s="69"/>
      <c r="J120" s="1865">
        <f>SUM(J95:K118)</f>
        <v>0</v>
      </c>
      <c r="K120" s="69"/>
      <c r="L120" s="1865">
        <f>SUM(L95:M118)</f>
        <v>71</v>
      </c>
      <c r="M120" s="69"/>
      <c r="N120" s="1865">
        <f>SUM(N95:O118)</f>
        <v>98</v>
      </c>
      <c r="O120" s="69"/>
      <c r="P120" s="1865">
        <f>SUM(P95:Q118)</f>
        <v>94</v>
      </c>
      <c r="Q120" s="69"/>
      <c r="R120" s="1865">
        <f>SUM(R95:S118)</f>
        <v>41</v>
      </c>
      <c r="S120" s="69"/>
      <c r="T120" s="1865">
        <f>SUM(T95:U118)</f>
        <v>64</v>
      </c>
      <c r="U120" s="69"/>
      <c r="V120" s="1865">
        <f>SUM(V95:W118)</f>
        <v>71</v>
      </c>
      <c r="W120" s="69"/>
      <c r="X120" s="1865">
        <f>SUM(X95:Y118)</f>
        <v>61</v>
      </c>
      <c r="Y120" s="69"/>
      <c r="Z120" s="1865">
        <f>SUM(Z95:AA118)</f>
        <v>0</v>
      </c>
      <c r="AA120" s="69"/>
      <c r="AB120" s="1865">
        <f>SUM(AB95:AC118)</f>
        <v>42</v>
      </c>
      <c r="AC120" s="69"/>
      <c r="AD120" s="1865">
        <f>SUM(AD95:AE118)</f>
        <v>44</v>
      </c>
      <c r="AE120" s="69"/>
      <c r="AF120" s="1865">
        <f>SUM(AF95:AG118)</f>
        <v>76</v>
      </c>
      <c r="AG120" s="69"/>
      <c r="AH120" s="1865">
        <f>SUM(AH95:AI118)</f>
        <v>62</v>
      </c>
      <c r="AI120" s="69"/>
      <c r="AJ120" s="1865">
        <f>SUM(AJ95:AK118)</f>
        <v>55</v>
      </c>
      <c r="AK120" s="69"/>
      <c r="AL120" s="1865">
        <f>SUM(AL95:AM118)</f>
        <v>36</v>
      </c>
      <c r="AM120" s="69"/>
      <c r="AN120" s="1865">
        <f>SUM(AN95:AO118)</f>
        <v>0</v>
      </c>
      <c r="AO120" s="69"/>
      <c r="AP120" s="1865">
        <f>SUM(AP95:AQ118)</f>
        <v>45</v>
      </c>
      <c r="AQ120" s="69"/>
      <c r="AR120" s="1865">
        <f>SUM(AR95:AS118)</f>
        <v>116</v>
      </c>
      <c r="AS120" s="69"/>
      <c r="AT120" s="1865">
        <f>SUM(AT95:AU118)</f>
        <v>61</v>
      </c>
      <c r="AU120" s="69"/>
      <c r="AV120" s="1865">
        <f>SUM(AV95:AW118)</f>
        <v>53</v>
      </c>
      <c r="AW120" s="69"/>
      <c r="AX120" s="1865">
        <f>SUM(AX95:AY118)</f>
        <v>86</v>
      </c>
      <c r="AY120" s="69"/>
      <c r="AZ120" s="1865">
        <f>SUM(AZ95:BA118)</f>
        <v>65</v>
      </c>
      <c r="BA120" s="69"/>
      <c r="BB120" s="1865">
        <f>SUM(BB95:BC118)</f>
        <v>59</v>
      </c>
      <c r="BC120" s="69"/>
      <c r="BD120" s="1865">
        <f>SUM(BD95:BE118)</f>
        <v>42</v>
      </c>
      <c r="BE120" s="69"/>
      <c r="BF120" s="1865">
        <f>SUM(BF95:BG118)</f>
        <v>81</v>
      </c>
      <c r="BG120" s="69"/>
      <c r="BH120" s="1865">
        <f>SUM(BH95:BI118)</f>
        <v>61</v>
      </c>
      <c r="BI120" s="69"/>
      <c r="BJ120" s="1865">
        <f>SUM(BJ95:BK118)</f>
        <v>99</v>
      </c>
      <c r="BK120" s="69"/>
      <c r="BL120" s="1865">
        <f>SUM(BL95:BM118)</f>
        <v>523</v>
      </c>
      <c r="BM120" s="69"/>
      <c r="BN120" s="1487" t="str">
        <f t="shared" si="78"/>
        <v/>
      </c>
      <c r="BO120" s="69"/>
      <c r="BP120" s="1926">
        <f t="shared" si="79"/>
        <v>2293</v>
      </c>
      <c r="BQ120" s="69"/>
      <c r="BS120" s="684"/>
      <c r="BT120" s="684"/>
      <c r="BU120" s="541"/>
    </row>
    <row r="121" ht="18.0" customHeight="1">
      <c r="A121" s="1698" t="str">
        <f t="shared" si="47"/>
        <v/>
      </c>
      <c r="B121" s="1611"/>
      <c r="C121" s="1956"/>
      <c r="D121" s="1817"/>
      <c r="E121" s="721" t="str">
        <f t="shared" si="46"/>
        <v/>
      </c>
      <c r="F121" s="1606"/>
      <c r="G121" s="69"/>
      <c r="H121" s="1606" t="str">
        <f t="shared" ref="H121:H122" si="80">I91</f>
        <v/>
      </c>
      <c r="I121" s="69"/>
      <c r="J121" s="1606"/>
      <c r="K121" s="69"/>
      <c r="L121" s="1606"/>
      <c r="M121" s="69"/>
      <c r="N121" s="1606"/>
      <c r="O121" s="69"/>
      <c r="P121" s="1606"/>
      <c r="Q121" s="69"/>
      <c r="R121" s="1606"/>
      <c r="S121" s="69"/>
      <c r="T121" s="1606"/>
      <c r="U121" s="69"/>
      <c r="V121" s="1606"/>
      <c r="W121" s="69"/>
      <c r="X121" s="1606"/>
      <c r="Y121" s="69"/>
      <c r="Z121" s="1606"/>
      <c r="AA121" s="69"/>
      <c r="AB121" s="1606"/>
      <c r="AC121" s="69"/>
      <c r="AD121" s="1606"/>
      <c r="AE121" s="69"/>
      <c r="AF121" s="1606"/>
      <c r="AG121" s="69"/>
      <c r="AH121" s="1606"/>
      <c r="AI121" s="69"/>
      <c r="AJ121" s="1606"/>
      <c r="AK121" s="69"/>
      <c r="AL121" s="1606"/>
      <c r="AM121" s="69"/>
      <c r="AN121" s="1606"/>
      <c r="AO121" s="69"/>
      <c r="AP121" s="1606"/>
      <c r="AQ121" s="69"/>
      <c r="AR121" s="1606"/>
      <c r="AS121" s="69"/>
      <c r="AT121" s="1606"/>
      <c r="AU121" s="69"/>
      <c r="AV121" s="1606"/>
      <c r="AW121" s="69"/>
      <c r="AX121" s="1606"/>
      <c r="AY121" s="69"/>
      <c r="AZ121" s="1606"/>
      <c r="BA121" s="69"/>
      <c r="BB121" s="1487" t="str">
        <f t="shared" ref="BB121:BB122" si="81">BC91</f>
        <v/>
      </c>
      <c r="BC121" s="69"/>
      <c r="BD121" s="1487" t="str">
        <f t="shared" ref="BD121:BD122" si="82">BE91</f>
        <v/>
      </c>
      <c r="BE121" s="69"/>
      <c r="BF121" s="1487" t="str">
        <f>BG91</f>
        <v/>
      </c>
      <c r="BG121" s="69"/>
      <c r="BH121" s="1487" t="str">
        <f>BI91</f>
        <v/>
      </c>
      <c r="BI121" s="69"/>
      <c r="BJ121" s="1487" t="str">
        <f>BK91</f>
        <v/>
      </c>
      <c r="BK121" s="69"/>
      <c r="BL121" s="1487" t="str">
        <f>BM91</f>
        <v/>
      </c>
      <c r="BM121" s="69"/>
      <c r="BN121" s="1487" t="str">
        <f t="shared" si="78"/>
        <v/>
      </c>
      <c r="BO121" s="69"/>
      <c r="BP121" s="1926">
        <f t="shared" si="79"/>
        <v>0</v>
      </c>
      <c r="BQ121" s="69"/>
      <c r="BS121" s="684"/>
      <c r="BT121" s="684"/>
      <c r="BU121" s="541"/>
    </row>
    <row r="122" ht="18.0" customHeight="1">
      <c r="A122" s="1863"/>
      <c r="B122" s="1817"/>
      <c r="C122" s="1817"/>
      <c r="D122" s="1817"/>
      <c r="E122" s="721" t="str">
        <f t="shared" si="46"/>
        <v/>
      </c>
      <c r="F122" s="1606" t="str">
        <f>G92</f>
        <v/>
      </c>
      <c r="G122" s="69"/>
      <c r="H122" s="1606" t="str">
        <f t="shared" si="80"/>
        <v/>
      </c>
      <c r="I122" s="69"/>
      <c r="J122" s="1606"/>
      <c r="K122" s="69"/>
      <c r="L122" s="1606"/>
      <c r="M122" s="69"/>
      <c r="N122" s="1606"/>
      <c r="O122" s="69"/>
      <c r="P122" s="1606"/>
      <c r="Q122" s="69"/>
      <c r="R122" s="1606"/>
      <c r="S122" s="69"/>
      <c r="T122" s="1606"/>
      <c r="U122" s="69"/>
      <c r="V122" s="1606"/>
      <c r="W122" s="69"/>
      <c r="X122" s="1606"/>
      <c r="Y122" s="69"/>
      <c r="Z122" s="1606"/>
      <c r="AA122" s="69"/>
      <c r="AB122" s="1606"/>
      <c r="AC122" s="69"/>
      <c r="AD122" s="1606"/>
      <c r="AE122" s="69"/>
      <c r="AF122" s="1606"/>
      <c r="AG122" s="69"/>
      <c r="AH122" s="1606"/>
      <c r="AI122" s="69"/>
      <c r="AJ122" s="1606"/>
      <c r="AK122" s="69"/>
      <c r="AL122" s="1606"/>
      <c r="AM122" s="69"/>
      <c r="AN122" s="1606"/>
      <c r="AO122" s="69"/>
      <c r="AP122" s="1606"/>
      <c r="AQ122" s="69"/>
      <c r="AR122" s="1606"/>
      <c r="AS122" s="69"/>
      <c r="AT122" s="1606"/>
      <c r="AU122" s="69"/>
      <c r="AV122" s="1606"/>
      <c r="AW122" s="69"/>
      <c r="AX122" s="1485"/>
      <c r="AY122" s="69"/>
      <c r="AZ122" s="1485" t="str">
        <f>BA92</f>
        <v/>
      </c>
      <c r="BA122" s="69"/>
      <c r="BB122" s="1487" t="str">
        <f t="shared" si="81"/>
        <v/>
      </c>
      <c r="BC122" s="69"/>
      <c r="BD122" s="1487" t="str">
        <f t="shared" si="82"/>
        <v/>
      </c>
      <c r="BE122" s="69"/>
      <c r="BF122" s="1413"/>
      <c r="BG122" s="1413"/>
      <c r="BH122" s="1413"/>
      <c r="BI122" s="1413"/>
      <c r="BJ122" s="1075"/>
      <c r="BK122" s="1413"/>
      <c r="BL122" s="1699"/>
      <c r="BM122" s="1712"/>
      <c r="BN122" s="1712"/>
      <c r="BO122" s="1979" t="s">
        <v>1365</v>
      </c>
      <c r="BP122" s="1487">
        <f>SUM(BP95:BQ121)</f>
        <v>4651</v>
      </c>
      <c r="BQ122" s="69"/>
      <c r="BS122" s="1866"/>
      <c r="BT122" s="684"/>
      <c r="BU122" s="541"/>
    </row>
    <row r="123" ht="24.75" customHeight="1">
      <c r="A123" s="1591"/>
      <c r="B123" s="1848"/>
      <c r="C123" s="1848"/>
      <c r="D123" s="1848"/>
      <c r="E123" s="906"/>
      <c r="F123" s="1748"/>
      <c r="G123" s="541"/>
      <c r="H123" s="1189"/>
      <c r="I123" s="701"/>
      <c r="J123" s="1189"/>
      <c r="K123" s="701"/>
      <c r="L123" s="1189"/>
      <c r="M123" s="701"/>
      <c r="N123" s="1189"/>
      <c r="O123" s="701"/>
      <c r="P123" s="1189"/>
      <c r="Q123" s="701"/>
      <c r="R123" s="1189"/>
      <c r="S123" s="701"/>
      <c r="T123" s="1189"/>
      <c r="U123" s="701"/>
      <c r="V123" s="1189"/>
      <c r="W123" s="701"/>
      <c r="X123" s="1189"/>
      <c r="Y123" s="701"/>
      <c r="Z123" s="1189"/>
      <c r="AA123" s="701"/>
      <c r="AB123" s="1189"/>
      <c r="AC123" s="701"/>
      <c r="AD123" s="1189"/>
      <c r="AE123" s="701"/>
      <c r="AF123" s="1189"/>
      <c r="AG123" s="701"/>
      <c r="AH123" s="1189"/>
      <c r="AI123" s="701"/>
      <c r="AJ123" s="1189"/>
      <c r="AK123" s="701"/>
      <c r="AL123" s="1189"/>
      <c r="AM123" s="701"/>
      <c r="AN123" s="1189"/>
      <c r="AO123" s="1189"/>
      <c r="AP123" s="1189"/>
      <c r="AQ123" s="1189"/>
      <c r="AR123" s="1189"/>
      <c r="AS123" s="701"/>
      <c r="AT123" s="1189"/>
      <c r="AU123" s="701"/>
      <c r="AV123" s="1189"/>
      <c r="AW123" s="701"/>
      <c r="AX123" s="1189"/>
      <c r="AY123" s="701"/>
      <c r="AZ123" s="1189"/>
      <c r="BA123" s="701"/>
      <c r="BB123" s="1189"/>
      <c r="BC123" s="1189"/>
      <c r="BD123" s="1189"/>
      <c r="BE123" s="1189"/>
      <c r="BF123" s="1189"/>
      <c r="BG123" s="1748"/>
      <c r="BH123" s="1748"/>
      <c r="BI123" s="1748"/>
      <c r="BJ123" s="1190"/>
      <c r="BK123" s="1748"/>
      <c r="BL123" s="541"/>
      <c r="BM123" s="1748"/>
      <c r="BN123" s="541"/>
      <c r="BO123" s="541"/>
      <c r="BP123" s="541"/>
      <c r="BQ123" s="633"/>
      <c r="BR123" s="633"/>
      <c r="BS123" s="541"/>
      <c r="BT123" s="541"/>
      <c r="BU123" s="541"/>
    </row>
    <row r="124">
      <c r="A124" s="1591"/>
      <c r="B124" s="1848"/>
      <c r="C124" s="1848"/>
      <c r="D124" s="1848"/>
      <c r="E124" s="906"/>
      <c r="F124" s="1730"/>
      <c r="G124" s="541"/>
      <c r="H124" s="1012"/>
      <c r="I124" s="701"/>
      <c r="J124" s="1012"/>
      <c r="K124" s="701"/>
      <c r="L124" s="1012"/>
      <c r="M124" s="701"/>
      <c r="N124" s="1012"/>
      <c r="O124" s="701"/>
      <c r="P124" s="1012"/>
      <c r="Q124" s="701"/>
      <c r="R124" s="1012"/>
      <c r="S124" s="701"/>
      <c r="T124" s="1012"/>
      <c r="U124" s="701"/>
      <c r="V124" s="1012"/>
      <c r="W124" s="701"/>
      <c r="X124" s="1012"/>
      <c r="Y124" s="701"/>
      <c r="Z124" s="1012"/>
      <c r="AA124" s="701"/>
      <c r="AB124" s="1012"/>
      <c r="AC124" s="701"/>
      <c r="AD124" s="1012"/>
      <c r="AE124" s="701"/>
      <c r="AF124" s="1012"/>
      <c r="AG124" s="701"/>
      <c r="AH124" s="1012"/>
      <c r="AI124" s="701"/>
      <c r="AJ124" s="1012"/>
      <c r="AK124" s="701"/>
      <c r="AL124" s="1012"/>
      <c r="AM124" s="701"/>
      <c r="AN124" s="1189"/>
      <c r="AO124" s="1189"/>
      <c r="AP124" s="1189"/>
      <c r="AQ124" s="1189"/>
      <c r="AR124" s="1189"/>
      <c r="AS124" s="701"/>
      <c r="AT124" s="1189"/>
      <c r="AU124" s="701"/>
      <c r="AV124" s="1189"/>
      <c r="AW124" s="701"/>
      <c r="AX124" s="1189"/>
      <c r="AY124" s="701"/>
      <c r="AZ124" s="1189"/>
      <c r="BA124" s="701"/>
      <c r="BB124" s="1189"/>
      <c r="BC124" s="1189"/>
      <c r="BD124" s="1189"/>
      <c r="BE124" s="1189"/>
      <c r="BF124" s="1189"/>
      <c r="BG124" s="1748"/>
      <c r="BH124" s="1748"/>
      <c r="BI124" s="1748"/>
      <c r="BJ124" s="1190"/>
      <c r="BK124" s="1748"/>
      <c r="BL124" s="541"/>
      <c r="BM124" s="1748"/>
      <c r="BN124" s="541"/>
      <c r="BO124" s="541"/>
      <c r="BP124" s="541"/>
      <c r="BQ124" s="633"/>
      <c r="BR124" s="633"/>
      <c r="BS124" s="541"/>
      <c r="BT124" s="541"/>
      <c r="BU124" s="541"/>
    </row>
    <row r="125">
      <c r="A125" s="1980" t="s">
        <v>1279</v>
      </c>
      <c r="B125" s="1930"/>
      <c r="C125" s="1981"/>
      <c r="D125" s="1981">
        <v>46245.0</v>
      </c>
      <c r="E125" s="1982" t="s">
        <v>3124</v>
      </c>
      <c r="F125" s="1852"/>
      <c r="G125" s="1983"/>
      <c r="H125" s="1852"/>
      <c r="I125" s="1852"/>
      <c r="J125" s="1852"/>
      <c r="K125" s="1852"/>
      <c r="L125" s="1852"/>
      <c r="M125" s="1852"/>
      <c r="N125" s="1852"/>
      <c r="O125" s="1852"/>
      <c r="P125" s="1854"/>
      <c r="Q125" s="1852"/>
      <c r="R125" s="1852"/>
      <c r="S125" s="1852"/>
      <c r="T125" s="1852"/>
      <c r="U125" s="1852"/>
      <c r="V125" s="1852"/>
      <c r="W125" s="1852"/>
      <c r="X125" s="1852"/>
      <c r="Y125" s="1852"/>
      <c r="Z125" s="1852"/>
      <c r="AA125" s="1852"/>
      <c r="AB125" s="1852"/>
      <c r="AC125" s="1852"/>
      <c r="AD125" s="1852"/>
      <c r="AE125" s="1852"/>
      <c r="AF125" s="1852"/>
      <c r="AG125" s="1852"/>
      <c r="AH125" s="1852"/>
      <c r="AI125" s="1852"/>
      <c r="AJ125" s="1852"/>
      <c r="AK125" s="1852"/>
      <c r="AL125" s="1852"/>
      <c r="AM125" s="1852"/>
      <c r="AN125" s="1852"/>
      <c r="AO125" s="1852"/>
      <c r="AP125" s="1852"/>
      <c r="AQ125" s="1852"/>
      <c r="AR125" s="1852"/>
      <c r="AS125" s="1852"/>
      <c r="AT125" s="1852"/>
      <c r="AU125" s="1852"/>
      <c r="AV125" s="1852"/>
      <c r="AW125" s="1852"/>
      <c r="AX125" s="1852"/>
      <c r="AY125" s="1852"/>
      <c r="AZ125" s="1852"/>
      <c r="BA125" s="1852"/>
      <c r="BB125" s="1852"/>
      <c r="BC125" s="1852"/>
      <c r="BD125" s="1852"/>
      <c r="BE125" s="1852"/>
      <c r="BF125" s="1852"/>
      <c r="BG125" s="1852"/>
      <c r="BH125" s="1852"/>
      <c r="BI125" s="1852"/>
      <c r="BJ125" s="1852"/>
      <c r="BK125" s="1852"/>
      <c r="BL125" s="1852"/>
      <c r="BM125" s="1852"/>
      <c r="BN125" s="1852"/>
      <c r="BO125" s="1852"/>
      <c r="BP125" s="1852"/>
      <c r="BQ125" s="1984"/>
      <c r="BR125" s="1985"/>
      <c r="BS125" s="1856"/>
      <c r="BT125" s="1857"/>
      <c r="BU125" s="1852"/>
    </row>
    <row r="126" ht="15.75" customHeight="1">
      <c r="A126" s="1986" t="s">
        <v>3069</v>
      </c>
      <c r="B126" s="1557" t="s">
        <v>1283</v>
      </c>
      <c r="C126" s="1935" t="s">
        <v>19</v>
      </c>
      <c r="D126" s="1934" t="s">
        <v>473</v>
      </c>
      <c r="E126" s="1988" t="s">
        <v>471</v>
      </c>
      <c r="F126" s="1075" t="s">
        <v>1357</v>
      </c>
      <c r="G126" s="1409" t="s">
        <v>3071</v>
      </c>
      <c r="H126" s="1075" t="s">
        <v>1287</v>
      </c>
      <c r="I126" s="1409" t="s">
        <v>1288</v>
      </c>
      <c r="J126" s="1075" t="s">
        <v>1358</v>
      </c>
      <c r="K126" s="1409" t="s">
        <v>3072</v>
      </c>
      <c r="L126" s="1075" t="s">
        <v>1359</v>
      </c>
      <c r="M126" s="1409" t="s">
        <v>3073</v>
      </c>
      <c r="N126" s="1075" t="s">
        <v>1360</v>
      </c>
      <c r="O126" s="1409" t="s">
        <v>3074</v>
      </c>
      <c r="P126" s="1075" t="s">
        <v>1361</v>
      </c>
      <c r="Q126" s="1409" t="s">
        <v>3075</v>
      </c>
      <c r="R126" s="1485" t="s">
        <v>1362</v>
      </c>
      <c r="S126" s="1560" t="s">
        <v>1298</v>
      </c>
      <c r="T126" s="1427" t="s">
        <v>1299</v>
      </c>
      <c r="U126" s="1560" t="s">
        <v>1300</v>
      </c>
      <c r="V126" s="1487" t="s">
        <v>1301</v>
      </c>
      <c r="W126" s="1560" t="s">
        <v>1302</v>
      </c>
      <c r="X126" s="1427" t="s">
        <v>1363</v>
      </c>
      <c r="Y126" s="1560" t="s">
        <v>1304</v>
      </c>
      <c r="Z126" s="1487" t="s">
        <v>1305</v>
      </c>
      <c r="AA126" s="1560" t="s">
        <v>1306</v>
      </c>
      <c r="AB126" s="1487" t="s">
        <v>1307</v>
      </c>
      <c r="AC126" s="1560" t="s">
        <v>1308</v>
      </c>
      <c r="AD126" s="1487" t="s">
        <v>1309</v>
      </c>
      <c r="AE126" s="1560" t="s">
        <v>1310</v>
      </c>
      <c r="AF126" s="1427" t="s">
        <v>1311</v>
      </c>
      <c r="AG126" s="1560" t="s">
        <v>1312</v>
      </c>
      <c r="AH126" s="1487" t="s">
        <v>1313</v>
      </c>
      <c r="AI126" s="1560" t="s">
        <v>1314</v>
      </c>
      <c r="AJ126" s="1487" t="s">
        <v>1315</v>
      </c>
      <c r="AK126" s="1560" t="s">
        <v>1316</v>
      </c>
      <c r="AL126" s="1487" t="s">
        <v>1317</v>
      </c>
      <c r="AM126" s="1560" t="s">
        <v>1318</v>
      </c>
      <c r="AN126" s="1062" t="s">
        <v>1319</v>
      </c>
      <c r="AO126" s="1560" t="s">
        <v>1320</v>
      </c>
      <c r="AP126" s="1487" t="s">
        <v>1321</v>
      </c>
      <c r="AQ126" s="1486" t="s">
        <v>1322</v>
      </c>
      <c r="AR126" s="1427" t="s">
        <v>1323</v>
      </c>
      <c r="AS126" s="1486" t="s">
        <v>1324</v>
      </c>
      <c r="AT126" s="1485" t="s">
        <v>1325</v>
      </c>
      <c r="AU126" s="1486" t="s">
        <v>1326</v>
      </c>
      <c r="AV126" s="1485" t="s">
        <v>1327</v>
      </c>
      <c r="AW126" s="1486" t="s">
        <v>1328</v>
      </c>
      <c r="AX126" s="1485" t="s">
        <v>3076</v>
      </c>
      <c r="AY126" s="1486" t="s">
        <v>3077</v>
      </c>
      <c r="AZ126" s="1485" t="s">
        <v>3078</v>
      </c>
      <c r="BA126" s="1486" t="s">
        <v>3079</v>
      </c>
      <c r="BB126" s="1485" t="s">
        <v>3080</v>
      </c>
      <c r="BC126" s="1486" t="s">
        <v>3081</v>
      </c>
      <c r="BD126" s="1485" t="s">
        <v>3082</v>
      </c>
      <c r="BE126" s="1486" t="s">
        <v>3083</v>
      </c>
      <c r="BF126" s="1485" t="s">
        <v>3084</v>
      </c>
      <c r="BG126" s="1486" t="s">
        <v>3085</v>
      </c>
      <c r="BH126" s="1485" t="s">
        <v>3086</v>
      </c>
      <c r="BI126" s="1486" t="s">
        <v>3087</v>
      </c>
      <c r="BJ126" s="1485" t="s">
        <v>3088</v>
      </c>
      <c r="BK126" s="1486" t="s">
        <v>3089</v>
      </c>
      <c r="BL126" s="1120" t="s">
        <v>1425</v>
      </c>
      <c r="BM126" s="1120" t="s">
        <v>3045</v>
      </c>
      <c r="BN126" s="1861" t="s">
        <v>3090</v>
      </c>
      <c r="BO126" s="1815" t="s">
        <v>3091</v>
      </c>
      <c r="BP126" s="1606" t="s">
        <v>1331</v>
      </c>
      <c r="BQ126" s="1168" t="s">
        <v>3092</v>
      </c>
      <c r="BR126" s="1120" t="s">
        <v>3093</v>
      </c>
      <c r="BS126" s="1075" t="s">
        <v>3094</v>
      </c>
      <c r="BT126" s="629"/>
    </row>
    <row r="127" ht="15.75" customHeight="1">
      <c r="A127" s="1565" t="s">
        <v>145</v>
      </c>
      <c r="B127" s="1611">
        <v>3014.0</v>
      </c>
      <c r="C127" s="1567">
        <v>168.0</v>
      </c>
      <c r="D127" s="1735" t="s">
        <v>3095</v>
      </c>
      <c r="E127" s="1613" t="str">
        <f>'Матрица 4 недели'!D116</f>
        <v>Драники картофельные с цукини со сметаной</v>
      </c>
      <c r="F127" s="1120">
        <v>3.0</v>
      </c>
      <c r="G127" s="1121">
        <v>3.0</v>
      </c>
      <c r="H127" s="1120">
        <v>2.0</v>
      </c>
      <c r="I127" s="1121">
        <v>2.0</v>
      </c>
      <c r="J127" s="1120">
        <v>5.0</v>
      </c>
      <c r="K127" s="1121">
        <v>5.0</v>
      </c>
      <c r="L127" s="1126">
        <v>4.0</v>
      </c>
      <c r="M127" s="1121">
        <v>4.0</v>
      </c>
      <c r="N127" s="1126">
        <v>6.0</v>
      </c>
      <c r="O127" s="1121">
        <v>6.0</v>
      </c>
      <c r="P127" s="1120">
        <v>2.0</v>
      </c>
      <c r="Q127" s="1121">
        <v>2.0</v>
      </c>
      <c r="R127" s="1120">
        <v>2.0</v>
      </c>
      <c r="S127" s="1121">
        <v>2.0</v>
      </c>
      <c r="T127" s="1120">
        <v>3.0</v>
      </c>
      <c r="U127" s="1121">
        <v>3.0</v>
      </c>
      <c r="V127" s="1120">
        <v>8.0</v>
      </c>
      <c r="W127" s="1121">
        <v>8.0</v>
      </c>
      <c r="X127" s="1120">
        <v>4.0</v>
      </c>
      <c r="Y127" s="1121">
        <v>4.0</v>
      </c>
      <c r="Z127" s="1137"/>
      <c r="AA127" s="1121"/>
      <c r="AB127" s="1120">
        <v>4.0</v>
      </c>
      <c r="AC127" s="1121">
        <v>4.0</v>
      </c>
      <c r="AD127" s="1120">
        <v>1.0</v>
      </c>
      <c r="AE127" s="1121">
        <v>1.0</v>
      </c>
      <c r="AF127" s="1120">
        <v>6.0</v>
      </c>
      <c r="AG127" s="1121">
        <v>6.0</v>
      </c>
      <c r="AH127" s="1120">
        <v>4.0</v>
      </c>
      <c r="AI127" s="1121">
        <v>4.0</v>
      </c>
      <c r="AJ127" s="1120">
        <v>4.0</v>
      </c>
      <c r="AK127" s="1121">
        <v>4.0</v>
      </c>
      <c r="AL127" s="1126">
        <v>2.0</v>
      </c>
      <c r="AM127" s="1121">
        <v>2.0</v>
      </c>
      <c r="AN127" s="1120"/>
      <c r="AO127" s="1121"/>
      <c r="AP127" s="1126">
        <v>3.0</v>
      </c>
      <c r="AQ127" s="1121">
        <v>3.0</v>
      </c>
      <c r="AR127" s="1137">
        <v>11.0</v>
      </c>
      <c r="AS127" s="1138">
        <v>11.0</v>
      </c>
      <c r="AT127" s="1120">
        <v>4.0</v>
      </c>
      <c r="AU127" s="1138">
        <v>4.0</v>
      </c>
      <c r="AV127" s="1126">
        <v>2.0</v>
      </c>
      <c r="AW127" s="1138">
        <v>2.0</v>
      </c>
      <c r="AX127" s="1126">
        <v>5.0</v>
      </c>
      <c r="AY127" s="1138">
        <v>5.0</v>
      </c>
      <c r="AZ127" s="1126">
        <v>3.0</v>
      </c>
      <c r="BA127" s="1138">
        <v>3.0</v>
      </c>
      <c r="BB127" s="1126">
        <v>3.0</v>
      </c>
      <c r="BC127" s="1138">
        <v>3.0</v>
      </c>
      <c r="BD127" s="1126">
        <v>4.0</v>
      </c>
      <c r="BE127" s="1138">
        <v>4.0</v>
      </c>
      <c r="BF127" s="1126">
        <v>8.0</v>
      </c>
      <c r="BG127" s="1138">
        <v>8.0</v>
      </c>
      <c r="BH127" s="1126">
        <v>6.0</v>
      </c>
      <c r="BI127" s="1138">
        <v>6.0</v>
      </c>
      <c r="BJ127" s="1126">
        <v>3.0</v>
      </c>
      <c r="BK127" s="1138">
        <v>3.0</v>
      </c>
      <c r="BL127" s="1152"/>
      <c r="BM127" s="1138"/>
      <c r="BN127" s="1176"/>
      <c r="BO127" s="1737"/>
      <c r="BP127" s="783">
        <f t="shared" ref="BP127:BP154" si="83">(F127+H127+J127+L127+N127+P127+R127+T127+V127+X127+Z127+AB127+AD127+AF127+AH127+AJ127+AL127+AR127+BL127+AN127+AP127+AT127+AV127+AX127+AZ127+BJ127)+1+BB127+BD127+BF127+BH127</f>
        <v>113</v>
      </c>
      <c r="BQ127" s="1170">
        <f t="shared" ref="BQ127:BQ154" si="84">G127+I127+K127+M127+O127+Q127+S127+U127+W127+Y127+AA127+BM127+AC127+AE127+AG127+AI127+AK127+AM127+AS127+AO127+AQ127+AU127+AW127+AY127+BA127+BC127+BE127+BG127+BI127+BK127</f>
        <v>112</v>
      </c>
      <c r="BR127" s="1572">
        <f t="shared" ref="BR127:BR128" si="85">BQ127*C127</f>
        <v>18816</v>
      </c>
      <c r="BS127" s="784">
        <f t="shared" ref="BS127:BS154" si="86">BP127*C127</f>
        <v>18984</v>
      </c>
      <c r="BT127" s="1545"/>
    </row>
    <row r="128" ht="15.75" customHeight="1">
      <c r="A128" s="1565" t="s">
        <v>145</v>
      </c>
      <c r="B128" s="1611">
        <v>138.0</v>
      </c>
      <c r="C128" s="1567">
        <v>83.0</v>
      </c>
      <c r="D128" s="1735" t="s">
        <v>3095</v>
      </c>
      <c r="E128" s="1613" t="str">
        <f>'Матрица 4 недели'!D117</f>
        <v>Каша рисовая (на молоке)</v>
      </c>
      <c r="F128" s="1120">
        <v>3.0</v>
      </c>
      <c r="G128" s="1138">
        <v>3.0</v>
      </c>
      <c r="H128" s="1120">
        <v>3.0</v>
      </c>
      <c r="I128" s="1138">
        <v>3.0</v>
      </c>
      <c r="J128" s="1120">
        <v>4.0</v>
      </c>
      <c r="K128" s="1138">
        <v>4.0</v>
      </c>
      <c r="L128" s="1126">
        <v>2.0</v>
      </c>
      <c r="M128" s="1138">
        <v>2.0</v>
      </c>
      <c r="N128" s="1126">
        <v>7.0</v>
      </c>
      <c r="O128" s="1138">
        <v>7.0</v>
      </c>
      <c r="P128" s="1120">
        <v>8.0</v>
      </c>
      <c r="Q128" s="1138">
        <v>8.0</v>
      </c>
      <c r="R128" s="1120">
        <v>2.0</v>
      </c>
      <c r="S128" s="1138">
        <v>2.0</v>
      </c>
      <c r="T128" s="1120">
        <v>3.0</v>
      </c>
      <c r="U128" s="1138">
        <v>3.0</v>
      </c>
      <c r="V128" s="1120">
        <v>4.0</v>
      </c>
      <c r="W128" s="1138">
        <v>4.0</v>
      </c>
      <c r="X128" s="1120">
        <v>5.0</v>
      </c>
      <c r="Y128" s="1138">
        <v>5.0</v>
      </c>
      <c r="Z128" s="1137"/>
      <c r="AA128" s="1138"/>
      <c r="AB128" s="1120">
        <v>2.0</v>
      </c>
      <c r="AC128" s="1138">
        <v>2.0</v>
      </c>
      <c r="AD128" s="1120">
        <v>2.0</v>
      </c>
      <c r="AE128" s="1138">
        <v>2.0</v>
      </c>
      <c r="AF128" s="1120">
        <v>4.0</v>
      </c>
      <c r="AG128" s="1138">
        <v>4.0</v>
      </c>
      <c r="AH128" s="1120">
        <v>6.0</v>
      </c>
      <c r="AI128" s="1138">
        <v>6.0</v>
      </c>
      <c r="AJ128" s="1120">
        <v>5.0</v>
      </c>
      <c r="AK128" s="1138">
        <v>5.0</v>
      </c>
      <c r="AL128" s="1126">
        <v>0.0</v>
      </c>
      <c r="AM128" s="1138">
        <v>0.0</v>
      </c>
      <c r="AN128" s="1126"/>
      <c r="AO128" s="1138"/>
      <c r="AP128" s="1126">
        <v>3.0</v>
      </c>
      <c r="AQ128" s="1138">
        <v>3.0</v>
      </c>
      <c r="AR128" s="1120">
        <v>5.0</v>
      </c>
      <c r="AS128" s="1138">
        <v>5.0</v>
      </c>
      <c r="AT128" s="1120">
        <v>2.0</v>
      </c>
      <c r="AU128" s="1138">
        <v>2.0</v>
      </c>
      <c r="AV128" s="1126">
        <v>1.0</v>
      </c>
      <c r="AW128" s="1138">
        <v>1.0</v>
      </c>
      <c r="AX128" s="1126">
        <v>3.0</v>
      </c>
      <c r="AY128" s="1138">
        <v>3.0</v>
      </c>
      <c r="AZ128" s="1126">
        <v>3.0</v>
      </c>
      <c r="BA128" s="1138">
        <v>3.0</v>
      </c>
      <c r="BB128" s="1126">
        <v>3.0</v>
      </c>
      <c r="BC128" s="1138">
        <v>3.0</v>
      </c>
      <c r="BD128" s="1126">
        <v>0.0</v>
      </c>
      <c r="BE128" s="1138">
        <v>0.0</v>
      </c>
      <c r="BF128" s="1126">
        <v>4.0</v>
      </c>
      <c r="BG128" s="1138">
        <v>4.0</v>
      </c>
      <c r="BH128" s="1126">
        <v>2.0</v>
      </c>
      <c r="BI128" s="1138">
        <v>2.0</v>
      </c>
      <c r="BJ128" s="1126">
        <v>4.0</v>
      </c>
      <c r="BK128" s="1138">
        <v>4.0</v>
      </c>
      <c r="BL128" s="1152"/>
      <c r="BM128" s="1138"/>
      <c r="BN128" s="783"/>
      <c r="BO128" s="1170"/>
      <c r="BP128" s="783">
        <f t="shared" si="83"/>
        <v>91</v>
      </c>
      <c r="BQ128" s="1170">
        <f t="shared" si="84"/>
        <v>90</v>
      </c>
      <c r="BR128" s="1572">
        <f t="shared" si="85"/>
        <v>7470</v>
      </c>
      <c r="BS128" s="784">
        <f t="shared" si="86"/>
        <v>7553</v>
      </c>
      <c r="BT128" s="1545"/>
    </row>
    <row r="129" ht="15.75" customHeight="1">
      <c r="A129" s="1565" t="s">
        <v>145</v>
      </c>
      <c r="B129" s="1611">
        <v>2762.0</v>
      </c>
      <c r="C129" s="1567">
        <v>174.0</v>
      </c>
      <c r="D129" s="1735" t="s">
        <v>3095</v>
      </c>
      <c r="E129" s="1613" t="str">
        <f>'Матрица 4 недели'!D118</f>
        <v>Запеканка творожная с курагой</v>
      </c>
      <c r="F129" s="1120">
        <v>6.0</v>
      </c>
      <c r="G129" s="1138">
        <v>6.0</v>
      </c>
      <c r="H129" s="1120">
        <v>2.0</v>
      </c>
      <c r="I129" s="1138">
        <v>2.0</v>
      </c>
      <c r="J129" s="1126">
        <v>7.0</v>
      </c>
      <c r="K129" s="1138">
        <v>7.0</v>
      </c>
      <c r="L129" s="1120">
        <v>3.0</v>
      </c>
      <c r="M129" s="1138">
        <v>3.0</v>
      </c>
      <c r="N129" s="1126">
        <v>9.0</v>
      </c>
      <c r="O129" s="1138">
        <v>9.0</v>
      </c>
      <c r="P129" s="1120">
        <v>3.0</v>
      </c>
      <c r="Q129" s="1138">
        <v>3.0</v>
      </c>
      <c r="R129" s="1126">
        <v>2.0</v>
      </c>
      <c r="S129" s="1138">
        <v>2.0</v>
      </c>
      <c r="T129" s="1120">
        <v>3.0</v>
      </c>
      <c r="U129" s="1138">
        <v>3.0</v>
      </c>
      <c r="V129" s="1120">
        <v>2.0</v>
      </c>
      <c r="W129" s="1138">
        <v>2.0</v>
      </c>
      <c r="X129" s="1120">
        <v>3.0</v>
      </c>
      <c r="Y129" s="1138">
        <v>3.0</v>
      </c>
      <c r="Z129" s="1126"/>
      <c r="AA129" s="1138"/>
      <c r="AB129" s="1126">
        <v>4.0</v>
      </c>
      <c r="AC129" s="1138">
        <v>4.0</v>
      </c>
      <c r="AD129" s="1120">
        <v>2.0</v>
      </c>
      <c r="AE129" s="1138">
        <v>2.0</v>
      </c>
      <c r="AF129" s="1120">
        <v>10.0</v>
      </c>
      <c r="AG129" s="1138">
        <v>10.0</v>
      </c>
      <c r="AH129" s="1120">
        <v>3.0</v>
      </c>
      <c r="AI129" s="1138">
        <v>3.0</v>
      </c>
      <c r="AJ129" s="1120">
        <v>5.0</v>
      </c>
      <c r="AK129" s="1138">
        <v>5.0</v>
      </c>
      <c r="AL129" s="1126">
        <v>3.0</v>
      </c>
      <c r="AM129" s="1138">
        <v>3.0</v>
      </c>
      <c r="AN129" s="1120"/>
      <c r="AO129" s="1138"/>
      <c r="AP129" s="1126">
        <v>3.0</v>
      </c>
      <c r="AQ129" s="1138">
        <v>3.0</v>
      </c>
      <c r="AR129" s="1126">
        <v>14.0</v>
      </c>
      <c r="AS129" s="1138">
        <v>14.0</v>
      </c>
      <c r="AT129" s="1126">
        <v>4.0</v>
      </c>
      <c r="AU129" s="1138">
        <v>4.0</v>
      </c>
      <c r="AV129" s="1126">
        <v>3.0</v>
      </c>
      <c r="AW129" s="1138">
        <v>3.0</v>
      </c>
      <c r="AX129" s="1126">
        <v>5.0</v>
      </c>
      <c r="AY129" s="1138">
        <v>5.0</v>
      </c>
      <c r="AZ129" s="1126">
        <v>1.0</v>
      </c>
      <c r="BA129" s="1138">
        <v>1.0</v>
      </c>
      <c r="BB129" s="1126">
        <v>3.0</v>
      </c>
      <c r="BC129" s="1138">
        <v>3.0</v>
      </c>
      <c r="BD129" s="1126">
        <v>3.0</v>
      </c>
      <c r="BE129" s="1138">
        <v>3.0</v>
      </c>
      <c r="BF129" s="1126">
        <v>6.0</v>
      </c>
      <c r="BG129" s="1138">
        <v>6.0</v>
      </c>
      <c r="BH129" s="1126">
        <v>5.0</v>
      </c>
      <c r="BI129" s="1138">
        <v>5.0</v>
      </c>
      <c r="BJ129" s="1126">
        <v>7.0</v>
      </c>
      <c r="BK129" s="1127">
        <v>7.0</v>
      </c>
      <c r="BL129" s="1152"/>
      <c r="BM129" s="1138"/>
      <c r="BN129" s="1176"/>
      <c r="BO129" s="1737"/>
      <c r="BP129" s="783">
        <f t="shared" si="83"/>
        <v>122</v>
      </c>
      <c r="BQ129" s="1170">
        <f t="shared" si="84"/>
        <v>121</v>
      </c>
      <c r="BR129" s="1572">
        <v>121.0</v>
      </c>
      <c r="BS129" s="784">
        <f t="shared" si="86"/>
        <v>21228</v>
      </c>
      <c r="BT129" s="1545"/>
    </row>
    <row r="130" ht="15.75" customHeight="1">
      <c r="A130" s="1565" t="s">
        <v>145</v>
      </c>
      <c r="B130" s="1611">
        <v>3230.0</v>
      </c>
      <c r="C130" s="1567">
        <v>98.0</v>
      </c>
      <c r="D130" s="1735" t="s">
        <v>70</v>
      </c>
      <c r="E130" s="1613" t="str">
        <f>'Матрица 4 недели'!G116</f>
        <v>Салат ''Винегрет с капустой'' 120 г</v>
      </c>
      <c r="F130" s="1126">
        <v>1.0</v>
      </c>
      <c r="G130" s="1121">
        <v>1.0</v>
      </c>
      <c r="H130" s="1120">
        <v>4.0</v>
      </c>
      <c r="I130" s="1121">
        <v>4.0</v>
      </c>
      <c r="J130" s="1120">
        <v>5.0</v>
      </c>
      <c r="K130" s="1121">
        <v>5.0</v>
      </c>
      <c r="L130" s="1126">
        <v>2.0</v>
      </c>
      <c r="M130" s="1121">
        <v>2.0</v>
      </c>
      <c r="N130" s="1126">
        <v>8.0</v>
      </c>
      <c r="O130" s="1121">
        <v>8.0</v>
      </c>
      <c r="P130" s="1120">
        <v>3.0</v>
      </c>
      <c r="Q130" s="1121">
        <v>3.0</v>
      </c>
      <c r="R130" s="1126">
        <v>1.0</v>
      </c>
      <c r="S130" s="1121">
        <v>1.0</v>
      </c>
      <c r="T130" s="1120">
        <v>4.0</v>
      </c>
      <c r="U130" s="1121">
        <v>4.0</v>
      </c>
      <c r="V130" s="1120">
        <v>2.0</v>
      </c>
      <c r="W130" s="1121">
        <v>2.0</v>
      </c>
      <c r="X130" s="1126">
        <v>0.0</v>
      </c>
      <c r="Y130" s="1121">
        <v>0.0</v>
      </c>
      <c r="Z130" s="1137"/>
      <c r="AA130" s="1121"/>
      <c r="AB130" s="1120">
        <v>2.0</v>
      </c>
      <c r="AC130" s="1127">
        <v>2.0</v>
      </c>
      <c r="AD130" s="1120">
        <v>2.0</v>
      </c>
      <c r="AE130" s="1127">
        <v>2.0</v>
      </c>
      <c r="AF130" s="1120">
        <v>3.0</v>
      </c>
      <c r="AG130" s="1127">
        <v>3.0</v>
      </c>
      <c r="AH130" s="1120">
        <v>4.0</v>
      </c>
      <c r="AI130" s="1127">
        <v>4.0</v>
      </c>
      <c r="AJ130" s="1120">
        <v>2.0</v>
      </c>
      <c r="AK130" s="1127">
        <v>2.0</v>
      </c>
      <c r="AL130" s="1126">
        <v>0.0</v>
      </c>
      <c r="AM130" s="1127">
        <v>0.0</v>
      </c>
      <c r="AN130" s="1120"/>
      <c r="AO130" s="1121"/>
      <c r="AP130" s="1126">
        <v>2.0</v>
      </c>
      <c r="AQ130" s="1121">
        <v>2.0</v>
      </c>
      <c r="AR130" s="1137">
        <v>3.0</v>
      </c>
      <c r="AS130" s="1138">
        <v>3.0</v>
      </c>
      <c r="AT130" s="1120">
        <v>4.0</v>
      </c>
      <c r="AU130" s="1138">
        <v>4.0</v>
      </c>
      <c r="AV130" s="1126">
        <v>3.0</v>
      </c>
      <c r="AW130" s="1138">
        <v>3.0</v>
      </c>
      <c r="AX130" s="1126">
        <v>4.0</v>
      </c>
      <c r="AY130" s="1138">
        <v>4.0</v>
      </c>
      <c r="AZ130" s="1126">
        <v>2.0</v>
      </c>
      <c r="BA130" s="1138">
        <v>2.0</v>
      </c>
      <c r="BB130" s="1126">
        <v>2.0</v>
      </c>
      <c r="BC130" s="1138">
        <v>2.0</v>
      </c>
      <c r="BD130" s="1126">
        <v>3.0</v>
      </c>
      <c r="BE130" s="1138">
        <v>3.0</v>
      </c>
      <c r="BF130" s="1126">
        <v>2.0</v>
      </c>
      <c r="BG130" s="1138">
        <v>2.0</v>
      </c>
      <c r="BH130" s="1126">
        <v>2.0</v>
      </c>
      <c r="BI130" s="1138">
        <v>2.0</v>
      </c>
      <c r="BJ130" s="1126">
        <v>3.0</v>
      </c>
      <c r="BK130" s="1138">
        <v>3.0</v>
      </c>
      <c r="BL130" s="1152">
        <v>44.0</v>
      </c>
      <c r="BM130" s="1138">
        <v>44.0</v>
      </c>
      <c r="BN130" s="1176">
        <v>10.0</v>
      </c>
      <c r="BO130" s="1737"/>
      <c r="BP130" s="783">
        <f t="shared" si="83"/>
        <v>118</v>
      </c>
      <c r="BQ130" s="1170">
        <f t="shared" si="84"/>
        <v>117</v>
      </c>
      <c r="BR130" s="1572">
        <f t="shared" ref="BR130:BR154" si="87">BQ130*C130</f>
        <v>11466</v>
      </c>
      <c r="BS130" s="784">
        <f t="shared" si="86"/>
        <v>11564</v>
      </c>
      <c r="BT130" s="1545"/>
    </row>
    <row r="131" ht="15.75" customHeight="1">
      <c r="A131" s="1565" t="s">
        <v>145</v>
      </c>
      <c r="B131" s="1611">
        <v>3301.0</v>
      </c>
      <c r="C131" s="1567">
        <v>98.0</v>
      </c>
      <c r="D131" s="1735" t="s">
        <v>70</v>
      </c>
      <c r="E131" s="1613" t="str">
        <f>'Матрица 4 недели'!G117</f>
        <v>Салат ''Блинный'' (ветчина куриная)</v>
      </c>
      <c r="F131" s="1126">
        <v>10.0</v>
      </c>
      <c r="G131" s="1121">
        <v>10.0</v>
      </c>
      <c r="H131" s="1120">
        <v>3.0</v>
      </c>
      <c r="I131" s="1121">
        <v>3.0</v>
      </c>
      <c r="J131" s="1126">
        <v>5.0</v>
      </c>
      <c r="K131" s="1121">
        <v>5.0</v>
      </c>
      <c r="L131" s="1120">
        <v>2.0</v>
      </c>
      <c r="M131" s="1121">
        <v>2.0</v>
      </c>
      <c r="N131" s="1126">
        <v>12.0</v>
      </c>
      <c r="O131" s="1121">
        <v>12.0</v>
      </c>
      <c r="P131" s="1120">
        <v>16.0</v>
      </c>
      <c r="Q131" s="1121">
        <v>16.0</v>
      </c>
      <c r="R131" s="1126">
        <v>5.0</v>
      </c>
      <c r="S131" s="1121">
        <v>5.0</v>
      </c>
      <c r="T131" s="1120">
        <v>7.0</v>
      </c>
      <c r="U131" s="1121">
        <v>7.0</v>
      </c>
      <c r="V131" s="1120">
        <v>5.0</v>
      </c>
      <c r="W131" s="1121">
        <v>5.0</v>
      </c>
      <c r="X131" s="1126">
        <v>3.0</v>
      </c>
      <c r="Y131" s="1121">
        <v>3.0</v>
      </c>
      <c r="Z131" s="1137"/>
      <c r="AA131" s="1121"/>
      <c r="AB131" s="1120">
        <v>3.0</v>
      </c>
      <c r="AC131" s="1127">
        <v>3.0</v>
      </c>
      <c r="AD131" s="1120">
        <v>4.0</v>
      </c>
      <c r="AE131" s="1127">
        <v>4.0</v>
      </c>
      <c r="AF131" s="1120">
        <v>5.0</v>
      </c>
      <c r="AG131" s="1127">
        <v>5.0</v>
      </c>
      <c r="AH131" s="1120">
        <v>7.0</v>
      </c>
      <c r="AI131" s="1127">
        <v>7.0</v>
      </c>
      <c r="AJ131" s="1120">
        <v>4.0</v>
      </c>
      <c r="AK131" s="1127">
        <v>4.0</v>
      </c>
      <c r="AL131" s="1126">
        <v>2.0</v>
      </c>
      <c r="AM131" s="1127">
        <v>2.0</v>
      </c>
      <c r="AN131" s="1120"/>
      <c r="AO131" s="1121"/>
      <c r="AP131" s="1126">
        <v>4.0</v>
      </c>
      <c r="AQ131" s="1121">
        <v>4.0</v>
      </c>
      <c r="AR131" s="1137">
        <v>12.0</v>
      </c>
      <c r="AS131" s="1138">
        <v>12.0</v>
      </c>
      <c r="AT131" s="1120">
        <v>7.0</v>
      </c>
      <c r="AU131" s="1138">
        <v>7.0</v>
      </c>
      <c r="AV131" s="1126">
        <v>3.0</v>
      </c>
      <c r="AW131" s="1138">
        <v>3.0</v>
      </c>
      <c r="AX131" s="1126">
        <v>7.0</v>
      </c>
      <c r="AY131" s="1138">
        <v>7.0</v>
      </c>
      <c r="AZ131" s="1126">
        <v>6.0</v>
      </c>
      <c r="BA131" s="1138">
        <v>6.0</v>
      </c>
      <c r="BB131" s="1126">
        <v>2.0</v>
      </c>
      <c r="BC131" s="1138">
        <v>2.0</v>
      </c>
      <c r="BD131" s="1126">
        <v>7.0</v>
      </c>
      <c r="BE131" s="1138">
        <v>7.0</v>
      </c>
      <c r="BF131" s="1126">
        <v>6.0</v>
      </c>
      <c r="BG131" s="1138">
        <v>6.0</v>
      </c>
      <c r="BH131" s="1126">
        <v>5.0</v>
      </c>
      <c r="BI131" s="1138">
        <v>5.0</v>
      </c>
      <c r="BJ131" s="1126">
        <v>7.0</v>
      </c>
      <c r="BK131" s="1138">
        <v>7.0</v>
      </c>
      <c r="BL131" s="1152">
        <v>43.0</v>
      </c>
      <c r="BM131" s="1138">
        <v>43.0</v>
      </c>
      <c r="BN131" s="1176">
        <v>10.0</v>
      </c>
      <c r="BO131" s="1737"/>
      <c r="BP131" s="783">
        <f t="shared" si="83"/>
        <v>203</v>
      </c>
      <c r="BQ131" s="1170">
        <f t="shared" si="84"/>
        <v>202</v>
      </c>
      <c r="BR131" s="1572">
        <f t="shared" si="87"/>
        <v>19796</v>
      </c>
      <c r="BS131" s="784">
        <f t="shared" si="86"/>
        <v>19894</v>
      </c>
      <c r="BT131" s="1545"/>
    </row>
    <row r="132" ht="15.75" customHeight="1">
      <c r="A132" s="1565" t="s">
        <v>145</v>
      </c>
      <c r="B132" s="1611">
        <v>4038.0</v>
      </c>
      <c r="C132" s="1567">
        <v>98.0</v>
      </c>
      <c r="D132" s="1735" t="s">
        <v>70</v>
      </c>
      <c r="E132" s="1613" t="str">
        <f>'Матрица 4 недели'!G118</f>
        <v>Салат "Гавайский" (курица, ананас)</v>
      </c>
      <c r="F132" s="1126">
        <v>4.0</v>
      </c>
      <c r="G132" s="1138">
        <v>4.0</v>
      </c>
      <c r="H132" s="1126">
        <v>0.0</v>
      </c>
      <c r="I132" s="1138">
        <v>0.0</v>
      </c>
      <c r="J132" s="1126">
        <v>2.0</v>
      </c>
      <c r="K132" s="1138">
        <v>2.0</v>
      </c>
      <c r="L132" s="1126">
        <v>2.0</v>
      </c>
      <c r="M132" s="1138">
        <v>2.0</v>
      </c>
      <c r="N132" s="1126">
        <v>7.0</v>
      </c>
      <c r="O132" s="1138">
        <v>7.0</v>
      </c>
      <c r="P132" s="1126">
        <v>5.0</v>
      </c>
      <c r="Q132" s="1121">
        <v>5.0</v>
      </c>
      <c r="R132" s="1126">
        <v>2.0</v>
      </c>
      <c r="S132" s="1121">
        <v>2.0</v>
      </c>
      <c r="T132" s="1137">
        <v>4.0</v>
      </c>
      <c r="U132" s="1121">
        <v>4.0</v>
      </c>
      <c r="V132" s="1137">
        <v>4.0</v>
      </c>
      <c r="W132" s="1121">
        <v>4.0</v>
      </c>
      <c r="X132" s="1126">
        <v>2.0</v>
      </c>
      <c r="Y132" s="1121">
        <v>2.0</v>
      </c>
      <c r="Z132" s="1137"/>
      <c r="AA132" s="1121"/>
      <c r="AB132" s="1120">
        <v>2.0</v>
      </c>
      <c r="AC132" s="1121">
        <v>2.0</v>
      </c>
      <c r="AD132" s="1120">
        <v>0.0</v>
      </c>
      <c r="AE132" s="1121">
        <v>0.0</v>
      </c>
      <c r="AF132" s="1137">
        <v>4.0</v>
      </c>
      <c r="AG132" s="1121">
        <v>4.0</v>
      </c>
      <c r="AH132" s="1120">
        <v>4.0</v>
      </c>
      <c r="AI132" s="1121">
        <v>4.0</v>
      </c>
      <c r="AJ132" s="1120">
        <v>4.0</v>
      </c>
      <c r="AK132" s="1121">
        <v>4.0</v>
      </c>
      <c r="AL132" s="1126">
        <v>5.0</v>
      </c>
      <c r="AM132" s="1121">
        <v>5.0</v>
      </c>
      <c r="AN132" s="1137"/>
      <c r="AO132" s="1138"/>
      <c r="AP132" s="1137">
        <v>3.0</v>
      </c>
      <c r="AQ132" s="1138">
        <v>3.0</v>
      </c>
      <c r="AR132" s="1137">
        <v>2.0</v>
      </c>
      <c r="AS132" s="1131">
        <v>2.0</v>
      </c>
      <c r="AT132" s="1126">
        <v>5.0</v>
      </c>
      <c r="AU132" s="1131">
        <v>5.0</v>
      </c>
      <c r="AV132" s="1126">
        <v>1.0</v>
      </c>
      <c r="AW132" s="1131">
        <v>1.0</v>
      </c>
      <c r="AX132" s="1126">
        <v>5.0</v>
      </c>
      <c r="AY132" s="1131">
        <v>5.0</v>
      </c>
      <c r="AZ132" s="1126">
        <v>2.0</v>
      </c>
      <c r="BA132" s="1131">
        <v>2.0</v>
      </c>
      <c r="BB132" s="1126">
        <v>2.0</v>
      </c>
      <c r="BC132" s="1131">
        <v>2.0</v>
      </c>
      <c r="BD132" s="1126">
        <v>3.0</v>
      </c>
      <c r="BE132" s="1131">
        <v>3.0</v>
      </c>
      <c r="BF132" s="1126">
        <v>3.0</v>
      </c>
      <c r="BG132" s="1131">
        <v>3.0</v>
      </c>
      <c r="BH132" s="1126">
        <v>2.0</v>
      </c>
      <c r="BI132" s="1131">
        <v>2.0</v>
      </c>
      <c r="BJ132" s="1126">
        <v>3.0</v>
      </c>
      <c r="BK132" s="1131">
        <v>3.0</v>
      </c>
      <c r="BL132" s="1152">
        <v>43.0</v>
      </c>
      <c r="BM132" s="1138">
        <v>43.0</v>
      </c>
      <c r="BN132" s="783"/>
      <c r="BO132" s="1170"/>
      <c r="BP132" s="783">
        <f t="shared" si="83"/>
        <v>126</v>
      </c>
      <c r="BQ132" s="1170">
        <f t="shared" si="84"/>
        <v>125</v>
      </c>
      <c r="BR132" s="1572">
        <f t="shared" si="87"/>
        <v>12250</v>
      </c>
      <c r="BS132" s="784">
        <f t="shared" si="86"/>
        <v>12348</v>
      </c>
      <c r="BT132" s="1545"/>
    </row>
    <row r="133" ht="15.75" customHeight="1">
      <c r="A133" s="1565" t="s">
        <v>145</v>
      </c>
      <c r="B133" s="1611">
        <v>4034.0</v>
      </c>
      <c r="C133" s="1567">
        <v>168.0</v>
      </c>
      <c r="D133" s="1750" t="s">
        <v>70</v>
      </c>
      <c r="E133" s="1613" t="str">
        <f>'Матрица 4 недели'!G119</f>
        <v>Гранатовый браслет 220гр </v>
      </c>
      <c r="F133" s="1120">
        <v>5.0</v>
      </c>
      <c r="G133" s="1138">
        <v>5.0</v>
      </c>
      <c r="H133" s="1120">
        <v>0.0</v>
      </c>
      <c r="I133" s="1138">
        <v>0.0</v>
      </c>
      <c r="J133" s="1120">
        <v>2.0</v>
      </c>
      <c r="K133" s="1138">
        <v>2.0</v>
      </c>
      <c r="L133" s="1126">
        <v>2.0</v>
      </c>
      <c r="M133" s="1138">
        <v>2.0</v>
      </c>
      <c r="N133" s="1120">
        <v>3.0</v>
      </c>
      <c r="O133" s="1138">
        <v>3.0</v>
      </c>
      <c r="P133" s="1120">
        <v>4.0</v>
      </c>
      <c r="Q133" s="1138">
        <v>4.0</v>
      </c>
      <c r="R133" s="1120">
        <v>0.0</v>
      </c>
      <c r="S133" s="1138">
        <v>0.0</v>
      </c>
      <c r="T133" s="1120">
        <v>3.0</v>
      </c>
      <c r="U133" s="1138">
        <v>3.0</v>
      </c>
      <c r="V133" s="1120">
        <v>3.0</v>
      </c>
      <c r="W133" s="1138">
        <v>3.0</v>
      </c>
      <c r="X133" s="1120">
        <v>3.0</v>
      </c>
      <c r="Y133" s="1138">
        <v>3.0</v>
      </c>
      <c r="Z133" s="1126"/>
      <c r="AA133" s="1138"/>
      <c r="AB133" s="1120">
        <v>2.0</v>
      </c>
      <c r="AC133" s="1138">
        <v>2.0</v>
      </c>
      <c r="AD133" s="1120">
        <v>2.0</v>
      </c>
      <c r="AE133" s="1138">
        <v>2.0</v>
      </c>
      <c r="AF133" s="1120">
        <v>3.0</v>
      </c>
      <c r="AG133" s="1138">
        <v>3.0</v>
      </c>
      <c r="AH133" s="1120">
        <v>3.0</v>
      </c>
      <c r="AI133" s="1138">
        <v>3.0</v>
      </c>
      <c r="AJ133" s="1120">
        <v>0.0</v>
      </c>
      <c r="AK133" s="1138">
        <v>0.0</v>
      </c>
      <c r="AL133" s="1126">
        <v>3.0</v>
      </c>
      <c r="AM133" s="1138">
        <v>3.0</v>
      </c>
      <c r="AN133" s="1120"/>
      <c r="AO133" s="1138"/>
      <c r="AP133" s="1120">
        <v>1.0</v>
      </c>
      <c r="AQ133" s="1138">
        <v>1.0</v>
      </c>
      <c r="AR133" s="1120">
        <v>7.0</v>
      </c>
      <c r="AS133" s="1131">
        <v>7.0</v>
      </c>
      <c r="AT133" s="1126">
        <v>0.0</v>
      </c>
      <c r="AU133" s="1131">
        <v>0.0</v>
      </c>
      <c r="AV133" s="1126">
        <v>2.0</v>
      </c>
      <c r="AW133" s="1131">
        <v>2.0</v>
      </c>
      <c r="AX133" s="1126">
        <v>5.0</v>
      </c>
      <c r="AY133" s="1131">
        <v>5.0</v>
      </c>
      <c r="AZ133" s="1126">
        <v>0.0</v>
      </c>
      <c r="BA133" s="1131">
        <v>0.0</v>
      </c>
      <c r="BB133" s="1126">
        <v>3.0</v>
      </c>
      <c r="BC133" s="1131">
        <v>3.0</v>
      </c>
      <c r="BD133" s="1126">
        <v>1.0</v>
      </c>
      <c r="BE133" s="1131">
        <v>1.0</v>
      </c>
      <c r="BF133" s="1126">
        <v>4.0</v>
      </c>
      <c r="BG133" s="1131">
        <v>4.0</v>
      </c>
      <c r="BH133" s="1126">
        <v>5.0</v>
      </c>
      <c r="BI133" s="1131">
        <v>5.0</v>
      </c>
      <c r="BJ133" s="1126">
        <v>5.0</v>
      </c>
      <c r="BK133" s="1131">
        <v>5.0</v>
      </c>
      <c r="BL133" s="1152"/>
      <c r="BM133" s="1138"/>
      <c r="BN133" s="783"/>
      <c r="BO133" s="1170"/>
      <c r="BP133" s="783">
        <f t="shared" si="83"/>
        <v>72</v>
      </c>
      <c r="BQ133" s="1170">
        <f t="shared" si="84"/>
        <v>71</v>
      </c>
      <c r="BR133" s="1572">
        <f t="shared" si="87"/>
        <v>11928</v>
      </c>
      <c r="BS133" s="784">
        <f t="shared" si="86"/>
        <v>12096</v>
      </c>
      <c r="BT133" s="1545"/>
    </row>
    <row r="134" ht="15.75" customHeight="1">
      <c r="A134" s="1708"/>
      <c r="B134" s="1611">
        <v>386.0</v>
      </c>
      <c r="C134" s="1567">
        <v>88.0</v>
      </c>
      <c r="D134" s="1735" t="s">
        <v>74</v>
      </c>
      <c r="E134" s="1613" t="str">
        <f>'Матрица 4 недели'!J116</f>
        <v>Суп ''Харчо'' с курицей</v>
      </c>
      <c r="F134" s="1126"/>
      <c r="G134" s="1121"/>
      <c r="H134" s="1120"/>
      <c r="I134" s="1121"/>
      <c r="J134" s="1120"/>
      <c r="K134" s="1121"/>
      <c r="L134" s="1126"/>
      <c r="M134" s="1121"/>
      <c r="N134" s="1126"/>
      <c r="O134" s="1121"/>
      <c r="P134" s="1120"/>
      <c r="Q134" s="1121"/>
      <c r="R134" s="1126"/>
      <c r="S134" s="1121"/>
      <c r="T134" s="1120"/>
      <c r="U134" s="1121"/>
      <c r="V134" s="1120"/>
      <c r="W134" s="1121"/>
      <c r="X134" s="1126"/>
      <c r="Y134" s="1121"/>
      <c r="Z134" s="1126"/>
      <c r="AA134" s="1121"/>
      <c r="AB134" s="1120"/>
      <c r="AC134" s="1121"/>
      <c r="AD134" s="1120"/>
      <c r="AE134" s="1121"/>
      <c r="AF134" s="1120"/>
      <c r="AG134" s="1121"/>
      <c r="AH134" s="1120"/>
      <c r="AI134" s="1121"/>
      <c r="AJ134" s="1120"/>
      <c r="AK134" s="1121"/>
      <c r="AL134" s="1126"/>
      <c r="AM134" s="1121"/>
      <c r="AN134" s="1120"/>
      <c r="AO134" s="1121"/>
      <c r="AP134" s="1126"/>
      <c r="AQ134" s="1121"/>
      <c r="AR134" s="1120"/>
      <c r="AS134" s="1121"/>
      <c r="AT134" s="1120"/>
      <c r="AU134" s="1121"/>
      <c r="AV134" s="1126"/>
      <c r="AW134" s="1121"/>
      <c r="AX134" s="1126"/>
      <c r="AY134" s="1121"/>
      <c r="AZ134" s="1126"/>
      <c r="BA134" s="1121"/>
      <c r="BB134" s="1126"/>
      <c r="BC134" s="1121"/>
      <c r="BD134" s="1126"/>
      <c r="BE134" s="1121"/>
      <c r="BF134" s="1126"/>
      <c r="BG134" s="1121"/>
      <c r="BH134" s="1126"/>
      <c r="BI134" s="1121"/>
      <c r="BJ134" s="1126"/>
      <c r="BK134" s="1121"/>
      <c r="BL134" s="1152">
        <v>120.0</v>
      </c>
      <c r="BM134" s="1653">
        <v>120.0</v>
      </c>
      <c r="BN134" s="1880">
        <v>20.0</v>
      </c>
      <c r="BO134" s="1881"/>
      <c r="BP134" s="783">
        <f t="shared" si="83"/>
        <v>121</v>
      </c>
      <c r="BQ134" s="1170">
        <f t="shared" si="84"/>
        <v>120</v>
      </c>
      <c r="BR134" s="1572">
        <f t="shared" si="87"/>
        <v>10560</v>
      </c>
      <c r="BS134" s="784">
        <f t="shared" si="86"/>
        <v>10648</v>
      </c>
      <c r="BT134" s="1545"/>
    </row>
    <row r="135" ht="15.75" customHeight="1">
      <c r="A135" s="1708"/>
      <c r="B135" s="1611"/>
      <c r="C135" s="1567"/>
      <c r="D135" s="1567"/>
      <c r="E135" s="1886" t="str">
        <f>'Матрица 4 недели'!J117</f>
        <v/>
      </c>
      <c r="F135" s="1137"/>
      <c r="G135" s="1138"/>
      <c r="H135" s="1126"/>
      <c r="I135" s="1138"/>
      <c r="J135" s="1126"/>
      <c r="K135" s="1138"/>
      <c r="L135" s="1126"/>
      <c r="M135" s="1138"/>
      <c r="N135" s="1126"/>
      <c r="O135" s="1138"/>
      <c r="P135" s="1126"/>
      <c r="Q135" s="1121"/>
      <c r="R135" s="1120"/>
      <c r="S135" s="1121"/>
      <c r="T135" s="1137"/>
      <c r="U135" s="1121"/>
      <c r="V135" s="1137"/>
      <c r="W135" s="1121"/>
      <c r="X135" s="1137"/>
      <c r="Y135" s="1121"/>
      <c r="Z135" s="1137"/>
      <c r="AA135" s="1121"/>
      <c r="AB135" s="1120"/>
      <c r="AC135" s="1121"/>
      <c r="AD135" s="1120"/>
      <c r="AE135" s="1121"/>
      <c r="AF135" s="1137"/>
      <c r="AG135" s="1121"/>
      <c r="AH135" s="1120"/>
      <c r="AI135" s="1121"/>
      <c r="AJ135" s="1120"/>
      <c r="AK135" s="1121"/>
      <c r="AL135" s="1126"/>
      <c r="AM135" s="1121"/>
      <c r="AN135" s="1137"/>
      <c r="AO135" s="1138"/>
      <c r="AP135" s="1137"/>
      <c r="AQ135" s="1138"/>
      <c r="AR135" s="1137"/>
      <c r="AS135" s="1138"/>
      <c r="AT135" s="1126"/>
      <c r="AU135" s="1138"/>
      <c r="AV135" s="1126"/>
      <c r="AW135" s="1138"/>
      <c r="AX135" s="1126"/>
      <c r="AY135" s="1138"/>
      <c r="AZ135" s="1126"/>
      <c r="BA135" s="1138"/>
      <c r="BB135" s="1126"/>
      <c r="BC135" s="1127"/>
      <c r="BD135" s="1126"/>
      <c r="BE135" s="1127"/>
      <c r="BF135" s="1126"/>
      <c r="BG135" s="1127"/>
      <c r="BH135" s="1126"/>
      <c r="BI135" s="1127"/>
      <c r="BJ135" s="1126"/>
      <c r="BK135" s="1127"/>
      <c r="BL135" s="1152"/>
      <c r="BM135" s="1653"/>
      <c r="BN135" s="1877"/>
      <c r="BO135" s="1878"/>
      <c r="BP135" s="783">
        <f t="shared" si="83"/>
        <v>1</v>
      </c>
      <c r="BQ135" s="1170">
        <f t="shared" si="84"/>
        <v>0</v>
      </c>
      <c r="BR135" s="1572">
        <f t="shared" si="87"/>
        <v>0</v>
      </c>
      <c r="BS135" s="784">
        <f t="shared" si="86"/>
        <v>0</v>
      </c>
      <c r="BT135" s="1545"/>
    </row>
    <row r="136" ht="15.75" customHeight="1">
      <c r="A136" s="1565" t="s">
        <v>145</v>
      </c>
      <c r="B136" s="1611">
        <v>761.0</v>
      </c>
      <c r="C136" s="1567">
        <v>238.0</v>
      </c>
      <c r="D136" s="1735" t="s">
        <v>77</v>
      </c>
      <c r="E136" s="1613" t="str">
        <f>'Матрица 4 недели'!M116</f>
        <v>Бризоль с рисом и овощами</v>
      </c>
      <c r="F136" s="1137">
        <v>6.0</v>
      </c>
      <c r="G136" s="1121">
        <v>6.0</v>
      </c>
      <c r="H136" s="1126">
        <v>4.0</v>
      </c>
      <c r="I136" s="1121">
        <v>4.0</v>
      </c>
      <c r="J136" s="1126">
        <v>4.0</v>
      </c>
      <c r="K136" s="1121">
        <v>4.0</v>
      </c>
      <c r="L136" s="1126">
        <v>7.0</v>
      </c>
      <c r="M136" s="1121">
        <v>7.0</v>
      </c>
      <c r="N136" s="1126">
        <v>8.0</v>
      </c>
      <c r="O136" s="1121">
        <v>8.0</v>
      </c>
      <c r="P136" s="1126">
        <v>6.0</v>
      </c>
      <c r="Q136" s="1121">
        <v>6.0</v>
      </c>
      <c r="R136" s="1126">
        <v>6.0</v>
      </c>
      <c r="S136" s="1121">
        <v>6.0</v>
      </c>
      <c r="T136" s="1126">
        <v>4.0</v>
      </c>
      <c r="U136" s="1138">
        <v>4.0</v>
      </c>
      <c r="V136" s="1137">
        <v>9.0</v>
      </c>
      <c r="W136" s="1138">
        <v>9.0</v>
      </c>
      <c r="X136" s="1137">
        <v>5.0</v>
      </c>
      <c r="Y136" s="1138">
        <v>5.0</v>
      </c>
      <c r="Z136" s="1126"/>
      <c r="AA136" s="1138"/>
      <c r="AB136" s="1126">
        <v>5.0</v>
      </c>
      <c r="AC136" s="1138">
        <v>5.0</v>
      </c>
      <c r="AD136" s="1137">
        <v>4.0</v>
      </c>
      <c r="AE136" s="1138">
        <v>4.0</v>
      </c>
      <c r="AF136" s="1126">
        <v>7.0</v>
      </c>
      <c r="AG136" s="1138">
        <v>7.0</v>
      </c>
      <c r="AH136" s="1120">
        <v>8.0</v>
      </c>
      <c r="AI136" s="1138">
        <v>8.0</v>
      </c>
      <c r="AJ136" s="1120">
        <v>10.0</v>
      </c>
      <c r="AK136" s="1138">
        <v>10.0</v>
      </c>
      <c r="AL136" s="1126">
        <v>2.0</v>
      </c>
      <c r="AM136" s="1138">
        <v>2.0</v>
      </c>
      <c r="AN136" s="1126"/>
      <c r="AO136" s="1138"/>
      <c r="AP136" s="1137">
        <v>2.0</v>
      </c>
      <c r="AQ136" s="1138">
        <v>2.0</v>
      </c>
      <c r="AR136" s="1137">
        <v>0.0</v>
      </c>
      <c r="AS136" s="1138">
        <v>0.0</v>
      </c>
      <c r="AT136" s="1126">
        <v>4.0</v>
      </c>
      <c r="AU136" s="1138">
        <v>4.0</v>
      </c>
      <c r="AV136" s="1126">
        <v>5.0</v>
      </c>
      <c r="AW136" s="1138">
        <v>5.0</v>
      </c>
      <c r="AX136" s="1126">
        <v>3.0</v>
      </c>
      <c r="AY136" s="1138">
        <v>3.0</v>
      </c>
      <c r="AZ136" s="1126">
        <v>6.0</v>
      </c>
      <c r="BA136" s="1138">
        <v>6.0</v>
      </c>
      <c r="BB136" s="1126">
        <v>2.0</v>
      </c>
      <c r="BC136" s="1138">
        <v>2.0</v>
      </c>
      <c r="BD136" s="1126">
        <v>3.0</v>
      </c>
      <c r="BE136" s="1138">
        <v>3.0</v>
      </c>
      <c r="BF136" s="1126">
        <v>6.0</v>
      </c>
      <c r="BG136" s="1138">
        <v>6.0</v>
      </c>
      <c r="BH136" s="1126">
        <v>5.0</v>
      </c>
      <c r="BI136" s="1138">
        <v>5.0</v>
      </c>
      <c r="BJ136" s="1126">
        <v>4.0</v>
      </c>
      <c r="BK136" s="1138">
        <v>4.0</v>
      </c>
      <c r="BL136" s="1152"/>
      <c r="BM136" s="1138"/>
      <c r="BN136" s="1176">
        <v>10.0</v>
      </c>
      <c r="BO136" s="1737"/>
      <c r="BP136" s="783">
        <f t="shared" si="83"/>
        <v>136</v>
      </c>
      <c r="BQ136" s="1170">
        <f t="shared" si="84"/>
        <v>135</v>
      </c>
      <c r="BR136" s="1572">
        <f t="shared" si="87"/>
        <v>32130</v>
      </c>
      <c r="BS136" s="784">
        <f t="shared" si="86"/>
        <v>32368</v>
      </c>
      <c r="BT136" s="1545"/>
    </row>
    <row r="137" ht="15.75" customHeight="1">
      <c r="A137" s="1565" t="s">
        <v>145</v>
      </c>
      <c r="B137" s="1611">
        <v>4172.0</v>
      </c>
      <c r="C137" s="1567">
        <v>210.0</v>
      </c>
      <c r="D137" s="1735" t="s">
        <v>77</v>
      </c>
      <c r="E137" s="1651" t="str">
        <f>'Матрица 4 недели'!M117</f>
        <v>Свинина в соусе тонкацу со спагетти </v>
      </c>
      <c r="F137" s="1120">
        <v>2.0</v>
      </c>
      <c r="G137" s="1121">
        <v>2.0</v>
      </c>
      <c r="H137" s="1120">
        <v>2.0</v>
      </c>
      <c r="I137" s="1121">
        <v>2.0</v>
      </c>
      <c r="J137" s="1126">
        <v>4.0</v>
      </c>
      <c r="K137" s="1121">
        <v>4.0</v>
      </c>
      <c r="L137" s="1126">
        <v>2.0</v>
      </c>
      <c r="M137" s="1121">
        <v>2.0</v>
      </c>
      <c r="N137" s="1120">
        <v>6.0</v>
      </c>
      <c r="O137" s="1121">
        <v>6.0</v>
      </c>
      <c r="P137" s="1120">
        <v>3.0</v>
      </c>
      <c r="Q137" s="1121">
        <v>3.0</v>
      </c>
      <c r="R137" s="1120">
        <v>3.0</v>
      </c>
      <c r="S137" s="1121">
        <v>3.0</v>
      </c>
      <c r="T137" s="1120">
        <v>4.0</v>
      </c>
      <c r="U137" s="1121">
        <v>4.0</v>
      </c>
      <c r="V137" s="1120">
        <v>2.0</v>
      </c>
      <c r="W137" s="1121">
        <v>2.0</v>
      </c>
      <c r="X137" s="1120">
        <v>2.0</v>
      </c>
      <c r="Y137" s="1121">
        <v>2.0</v>
      </c>
      <c r="Z137" s="1126"/>
      <c r="AA137" s="1121"/>
      <c r="AB137" s="1126">
        <v>1.0</v>
      </c>
      <c r="AC137" s="1121">
        <v>1.0</v>
      </c>
      <c r="AD137" s="1120">
        <v>2.0</v>
      </c>
      <c r="AE137" s="1121">
        <v>2.0</v>
      </c>
      <c r="AF137" s="1126">
        <v>1.0</v>
      </c>
      <c r="AG137" s="1121">
        <v>1.0</v>
      </c>
      <c r="AH137" s="1120">
        <v>2.0</v>
      </c>
      <c r="AI137" s="1121">
        <v>2.0</v>
      </c>
      <c r="AJ137" s="1120">
        <v>2.0</v>
      </c>
      <c r="AK137" s="1121">
        <v>2.0</v>
      </c>
      <c r="AL137" s="1126">
        <v>2.0</v>
      </c>
      <c r="AM137" s="1121">
        <v>2.0</v>
      </c>
      <c r="AN137" s="1126"/>
      <c r="AO137" s="1131"/>
      <c r="AP137" s="1120">
        <v>2.0</v>
      </c>
      <c r="AQ137" s="1131">
        <v>2.0</v>
      </c>
      <c r="AR137" s="1137">
        <v>3.0</v>
      </c>
      <c r="AS137" s="1138">
        <v>3.0</v>
      </c>
      <c r="AT137" s="1120">
        <v>3.0</v>
      </c>
      <c r="AU137" s="1138">
        <v>3.0</v>
      </c>
      <c r="AV137" s="1126">
        <v>3.0</v>
      </c>
      <c r="AW137" s="1138">
        <v>3.0</v>
      </c>
      <c r="AX137" s="1126">
        <v>2.0</v>
      </c>
      <c r="AY137" s="1138">
        <v>2.0</v>
      </c>
      <c r="AZ137" s="1126">
        <v>0.0</v>
      </c>
      <c r="BA137" s="1138">
        <v>0.0</v>
      </c>
      <c r="BB137" s="1126">
        <v>2.0</v>
      </c>
      <c r="BC137" s="1138">
        <v>2.0</v>
      </c>
      <c r="BD137" s="1126">
        <v>2.0</v>
      </c>
      <c r="BE137" s="1138">
        <v>2.0</v>
      </c>
      <c r="BF137" s="1126">
        <v>3.0</v>
      </c>
      <c r="BG137" s="1138">
        <v>3.0</v>
      </c>
      <c r="BH137" s="1126">
        <v>2.0</v>
      </c>
      <c r="BI137" s="1138">
        <v>2.0</v>
      </c>
      <c r="BJ137" s="1126">
        <v>3.0</v>
      </c>
      <c r="BK137" s="1138">
        <v>3.0</v>
      </c>
      <c r="BL137" s="1152"/>
      <c r="BM137" s="1138"/>
      <c r="BN137" s="1176"/>
      <c r="BO137" s="1737"/>
      <c r="BP137" s="783">
        <f t="shared" si="83"/>
        <v>66</v>
      </c>
      <c r="BQ137" s="1170">
        <f t="shared" si="84"/>
        <v>65</v>
      </c>
      <c r="BR137" s="1572">
        <f t="shared" si="87"/>
        <v>13650</v>
      </c>
      <c r="BS137" s="784">
        <f t="shared" si="86"/>
        <v>13860</v>
      </c>
      <c r="BT137" s="1545"/>
    </row>
    <row r="138" ht="15.75" customHeight="1">
      <c r="A138" s="1708"/>
      <c r="B138" s="1611">
        <v>4237.0</v>
      </c>
      <c r="C138" s="1567">
        <v>210.0</v>
      </c>
      <c r="D138" s="1735" t="s">
        <v>77</v>
      </c>
      <c r="E138" s="1651" t="str">
        <f>'Матрица 4 недели'!M118</f>
        <v>Свинина в соусе тонкацу с картофелем </v>
      </c>
      <c r="F138" s="1120"/>
      <c r="G138" s="1121"/>
      <c r="H138" s="1120"/>
      <c r="I138" s="1121"/>
      <c r="J138" s="1126"/>
      <c r="K138" s="1121"/>
      <c r="L138" s="1126"/>
      <c r="M138" s="1121"/>
      <c r="N138" s="1120"/>
      <c r="O138" s="1121"/>
      <c r="P138" s="1120"/>
      <c r="Q138" s="1121"/>
      <c r="R138" s="1120"/>
      <c r="S138" s="1121"/>
      <c r="T138" s="1120"/>
      <c r="U138" s="1121"/>
      <c r="V138" s="1120"/>
      <c r="W138" s="1121"/>
      <c r="X138" s="1120"/>
      <c r="Y138" s="1121"/>
      <c r="Z138" s="1137"/>
      <c r="AA138" s="1121"/>
      <c r="AB138" s="1126"/>
      <c r="AC138" s="1127"/>
      <c r="AD138" s="1120"/>
      <c r="AE138" s="1127"/>
      <c r="AF138" s="1126"/>
      <c r="AG138" s="1127"/>
      <c r="AH138" s="1120"/>
      <c r="AI138" s="1127"/>
      <c r="AJ138" s="1120"/>
      <c r="AK138" s="1127"/>
      <c r="AL138" s="1126"/>
      <c r="AM138" s="1121"/>
      <c r="AN138" s="1126"/>
      <c r="AO138" s="1131"/>
      <c r="AP138" s="1120"/>
      <c r="AQ138" s="1131"/>
      <c r="AR138" s="1120"/>
      <c r="AS138" s="1121"/>
      <c r="AT138" s="1120"/>
      <c r="AU138" s="1121"/>
      <c r="AV138" s="1126"/>
      <c r="AW138" s="1121"/>
      <c r="AX138" s="1126"/>
      <c r="AY138" s="1121"/>
      <c r="AZ138" s="1126"/>
      <c r="BA138" s="1121"/>
      <c r="BB138" s="1126"/>
      <c r="BC138" s="1127"/>
      <c r="BD138" s="1126"/>
      <c r="BE138" s="1127"/>
      <c r="BF138" s="1126"/>
      <c r="BG138" s="1127"/>
      <c r="BH138" s="1126"/>
      <c r="BI138" s="1127"/>
      <c r="BJ138" s="1126"/>
      <c r="BK138" s="1127"/>
      <c r="BL138" s="1152">
        <v>25.0</v>
      </c>
      <c r="BM138" s="1653">
        <v>25.0</v>
      </c>
      <c r="BN138" s="1880"/>
      <c r="BO138" s="1881"/>
      <c r="BP138" s="783">
        <f t="shared" si="83"/>
        <v>26</v>
      </c>
      <c r="BQ138" s="1170">
        <f t="shared" si="84"/>
        <v>25</v>
      </c>
      <c r="BR138" s="1572">
        <f t="shared" si="87"/>
        <v>5250</v>
      </c>
      <c r="BS138" s="784">
        <f t="shared" si="86"/>
        <v>5460</v>
      </c>
      <c r="BT138" s="1545"/>
    </row>
    <row r="139" ht="15.75" customHeight="1">
      <c r="A139" s="1565" t="s">
        <v>145</v>
      </c>
      <c r="B139" s="1611">
        <v>3437.0</v>
      </c>
      <c r="C139" s="1567">
        <v>198.0</v>
      </c>
      <c r="D139" s="1735" t="s">
        <v>77</v>
      </c>
      <c r="E139" s="1690" t="str">
        <f>'Матрица 4 недели'!M119</f>
        <v>Макароны по-флотски</v>
      </c>
      <c r="F139" s="1137">
        <v>9.0</v>
      </c>
      <c r="G139" s="1121">
        <v>8.0</v>
      </c>
      <c r="H139" s="1126">
        <v>4.0</v>
      </c>
      <c r="I139" s="1121">
        <v>3.0</v>
      </c>
      <c r="J139" s="1126">
        <v>4.0</v>
      </c>
      <c r="K139" s="1600">
        <v>3.0</v>
      </c>
      <c r="L139" s="1161">
        <v>4.0</v>
      </c>
      <c r="M139" s="1600">
        <v>3.0</v>
      </c>
      <c r="N139" s="1126">
        <v>8.0</v>
      </c>
      <c r="O139" s="1121">
        <v>7.0</v>
      </c>
      <c r="P139" s="1126">
        <v>9.0</v>
      </c>
      <c r="Q139" s="1121">
        <v>8.0</v>
      </c>
      <c r="R139" s="1126">
        <v>0.0</v>
      </c>
      <c r="S139" s="1121">
        <v>0.0</v>
      </c>
      <c r="T139" s="1126">
        <v>3.0</v>
      </c>
      <c r="U139" s="1138">
        <v>2.0</v>
      </c>
      <c r="V139" s="1137">
        <v>4.0</v>
      </c>
      <c r="W139" s="1138">
        <v>3.0</v>
      </c>
      <c r="X139" s="1137">
        <v>2.0</v>
      </c>
      <c r="Y139" s="1138">
        <v>2.0</v>
      </c>
      <c r="Z139" s="1137"/>
      <c r="AA139" s="1138"/>
      <c r="AB139" s="1126">
        <v>0.0</v>
      </c>
      <c r="AC139" s="1138">
        <v>0.0</v>
      </c>
      <c r="AD139" s="1137">
        <v>2.0</v>
      </c>
      <c r="AE139" s="1138">
        <v>2.0</v>
      </c>
      <c r="AF139" s="1126">
        <v>2.0</v>
      </c>
      <c r="AG139" s="1138">
        <v>2.0</v>
      </c>
      <c r="AH139" s="1137">
        <v>2.0</v>
      </c>
      <c r="AI139" s="1138">
        <v>2.0</v>
      </c>
      <c r="AJ139" s="1137">
        <v>3.0</v>
      </c>
      <c r="AK139" s="1138">
        <v>2.0</v>
      </c>
      <c r="AL139" s="1126">
        <v>3.0</v>
      </c>
      <c r="AM139" s="1138">
        <v>2.0</v>
      </c>
      <c r="AN139" s="1126"/>
      <c r="AO139" s="1131"/>
      <c r="AP139" s="1120">
        <v>5.0</v>
      </c>
      <c r="AQ139" s="1131">
        <v>4.0</v>
      </c>
      <c r="AR139" s="1137">
        <v>4.0</v>
      </c>
      <c r="AS139" s="1138">
        <v>3.0</v>
      </c>
      <c r="AT139" s="1126">
        <v>7.0</v>
      </c>
      <c r="AU139" s="1138">
        <v>6.0</v>
      </c>
      <c r="AV139" s="1126">
        <v>2.0</v>
      </c>
      <c r="AW139" s="1138">
        <v>2.0</v>
      </c>
      <c r="AX139" s="1126">
        <v>2.0</v>
      </c>
      <c r="AY139" s="1138">
        <v>2.0</v>
      </c>
      <c r="AZ139" s="1126">
        <v>6.0</v>
      </c>
      <c r="BA139" s="1138">
        <v>5.0</v>
      </c>
      <c r="BB139" s="1126">
        <v>2.0</v>
      </c>
      <c r="BC139" s="1127">
        <v>2.0</v>
      </c>
      <c r="BD139" s="1126">
        <v>2.0</v>
      </c>
      <c r="BE139" s="1127">
        <v>2.0</v>
      </c>
      <c r="BF139" s="1126">
        <v>6.0</v>
      </c>
      <c r="BG139" s="1127">
        <v>5.0</v>
      </c>
      <c r="BH139" s="1126">
        <v>5.0</v>
      </c>
      <c r="BI139" s="1127">
        <v>4.0</v>
      </c>
      <c r="BJ139" s="1126">
        <v>4.0</v>
      </c>
      <c r="BK139" s="1127">
        <v>3.0</v>
      </c>
      <c r="BL139" s="1152">
        <v>25.0</v>
      </c>
      <c r="BM139" s="1784">
        <v>25.0</v>
      </c>
      <c r="BN139" s="1880">
        <v>10.0</v>
      </c>
      <c r="BO139" s="1881"/>
      <c r="BP139" s="783">
        <f t="shared" si="83"/>
        <v>130</v>
      </c>
      <c r="BQ139" s="1170">
        <f t="shared" si="84"/>
        <v>112</v>
      </c>
      <c r="BR139" s="1572">
        <f t="shared" si="87"/>
        <v>22176</v>
      </c>
      <c r="BS139" s="784">
        <f t="shared" si="86"/>
        <v>25740</v>
      </c>
      <c r="BT139" s="1545"/>
    </row>
    <row r="140" ht="15.75" customHeight="1">
      <c r="A140" s="1708"/>
      <c r="B140" s="1611">
        <v>763.0</v>
      </c>
      <c r="C140" s="1567">
        <v>208.0</v>
      </c>
      <c r="D140" s="1735" t="s">
        <v>77</v>
      </c>
      <c r="E140" s="1690" t="str">
        <f>'Матрица 4 недели'!M120</f>
        <v>Котлета куриная с картофельным пюре</v>
      </c>
      <c r="F140" s="1137"/>
      <c r="G140" s="1121"/>
      <c r="H140" s="1126"/>
      <c r="I140" s="1121"/>
      <c r="J140" s="1126"/>
      <c r="K140" s="1121"/>
      <c r="L140" s="1126"/>
      <c r="M140" s="1121"/>
      <c r="N140" s="1126"/>
      <c r="O140" s="1121"/>
      <c r="P140" s="1126"/>
      <c r="Q140" s="1121"/>
      <c r="R140" s="1126"/>
      <c r="S140" s="1121"/>
      <c r="T140" s="1126"/>
      <c r="U140" s="1138"/>
      <c r="V140" s="1137"/>
      <c r="W140" s="1138"/>
      <c r="X140" s="1137"/>
      <c r="Y140" s="1138"/>
      <c r="Z140" s="1137"/>
      <c r="AA140" s="1138"/>
      <c r="AB140" s="1126"/>
      <c r="AC140" s="1138"/>
      <c r="AD140" s="1137"/>
      <c r="AE140" s="1138"/>
      <c r="AF140" s="1126"/>
      <c r="AG140" s="1138"/>
      <c r="AH140" s="1120"/>
      <c r="AI140" s="1138"/>
      <c r="AJ140" s="1120"/>
      <c r="AK140" s="1138"/>
      <c r="AL140" s="1126"/>
      <c r="AM140" s="1138"/>
      <c r="AN140" s="1126"/>
      <c r="AO140" s="1138"/>
      <c r="AP140" s="1137"/>
      <c r="AQ140" s="1138"/>
      <c r="AR140" s="1137"/>
      <c r="AS140" s="1138"/>
      <c r="AT140" s="1126"/>
      <c r="AU140" s="1138"/>
      <c r="AV140" s="1126"/>
      <c r="AW140" s="1138"/>
      <c r="AX140" s="1126"/>
      <c r="AY140" s="1138"/>
      <c r="AZ140" s="1126"/>
      <c r="BA140" s="1138"/>
      <c r="BB140" s="1126"/>
      <c r="BC140" s="1127"/>
      <c r="BD140" s="1126"/>
      <c r="BE140" s="1127"/>
      <c r="BF140" s="1126"/>
      <c r="BG140" s="1127"/>
      <c r="BH140" s="1126"/>
      <c r="BI140" s="1127"/>
      <c r="BJ140" s="1126"/>
      <c r="BK140" s="1127"/>
      <c r="BL140" s="1152">
        <v>80.0</v>
      </c>
      <c r="BM140" s="1784">
        <v>80.0</v>
      </c>
      <c r="BN140" s="1880">
        <v>10.0</v>
      </c>
      <c r="BO140" s="1881"/>
      <c r="BP140" s="783">
        <f t="shared" si="83"/>
        <v>81</v>
      </c>
      <c r="BQ140" s="1170">
        <f t="shared" si="84"/>
        <v>80</v>
      </c>
      <c r="BR140" s="1572">
        <f t="shared" si="87"/>
        <v>16640</v>
      </c>
      <c r="BS140" s="784">
        <f t="shared" si="86"/>
        <v>16848</v>
      </c>
      <c r="BT140" s="1545"/>
    </row>
    <row r="141" ht="15.75" customHeight="1">
      <c r="A141" s="1565" t="s">
        <v>145</v>
      </c>
      <c r="B141" s="1611">
        <v>18.0</v>
      </c>
      <c r="C141" s="1567">
        <v>252.0</v>
      </c>
      <c r="D141" s="1750" t="s">
        <v>77</v>
      </c>
      <c r="E141" s="1690" t="str">
        <f>'Матрица 4 недели'!M122</f>
        <v>Мясо по-французски (курица)</v>
      </c>
      <c r="F141" s="1120">
        <v>12.0</v>
      </c>
      <c r="G141" s="1121">
        <v>12.0</v>
      </c>
      <c r="H141" s="1120">
        <v>2.0</v>
      </c>
      <c r="I141" s="1121">
        <v>2.0</v>
      </c>
      <c r="J141" s="1622">
        <v>2.0</v>
      </c>
      <c r="K141" s="1121">
        <v>2.0</v>
      </c>
      <c r="L141" s="1126"/>
      <c r="M141" s="1121"/>
      <c r="N141" s="1120">
        <v>9.0</v>
      </c>
      <c r="O141" s="1121">
        <v>9.0</v>
      </c>
      <c r="P141" s="1120">
        <v>4.0</v>
      </c>
      <c r="Q141" s="1121">
        <v>4.0</v>
      </c>
      <c r="R141" s="1120">
        <v>3.0</v>
      </c>
      <c r="S141" s="1121">
        <v>3.0</v>
      </c>
      <c r="T141" s="1120">
        <v>3.0</v>
      </c>
      <c r="U141" s="1121">
        <v>3.0</v>
      </c>
      <c r="V141" s="1120">
        <v>10.0</v>
      </c>
      <c r="W141" s="1121">
        <v>10.0</v>
      </c>
      <c r="X141" s="1120">
        <v>3.0</v>
      </c>
      <c r="Y141" s="1121">
        <v>3.0</v>
      </c>
      <c r="Z141" s="1137"/>
      <c r="AA141" s="1121"/>
      <c r="AB141" s="1126">
        <v>4.0</v>
      </c>
      <c r="AC141" s="1127">
        <v>4.0</v>
      </c>
      <c r="AD141" s="1120">
        <v>4.0</v>
      </c>
      <c r="AE141" s="1127">
        <v>4.0</v>
      </c>
      <c r="AF141" s="1126">
        <v>2.0</v>
      </c>
      <c r="AG141" s="1127">
        <v>2.0</v>
      </c>
      <c r="AH141" s="1120">
        <v>5.0</v>
      </c>
      <c r="AI141" s="1127">
        <v>5.0</v>
      </c>
      <c r="AJ141" s="1120">
        <v>4.0</v>
      </c>
      <c r="AK141" s="1127">
        <v>4.0</v>
      </c>
      <c r="AL141" s="1126">
        <v>2.0</v>
      </c>
      <c r="AM141" s="1121">
        <v>2.0</v>
      </c>
      <c r="AN141" s="1126"/>
      <c r="AO141" s="1131"/>
      <c r="AP141" s="1120">
        <v>3.0</v>
      </c>
      <c r="AQ141" s="1131">
        <v>3.0</v>
      </c>
      <c r="AR141" s="1120">
        <v>7.0</v>
      </c>
      <c r="AS141" s="1121">
        <v>7.0</v>
      </c>
      <c r="AT141" s="1120">
        <v>3.0</v>
      </c>
      <c r="AU141" s="1121">
        <v>3.0</v>
      </c>
      <c r="AV141" s="1126">
        <v>3.0</v>
      </c>
      <c r="AW141" s="1121">
        <v>3.0</v>
      </c>
      <c r="AX141" s="1126">
        <v>3.0</v>
      </c>
      <c r="AY141" s="1121">
        <v>3.0</v>
      </c>
      <c r="AZ141" s="1126">
        <v>1.0</v>
      </c>
      <c r="BA141" s="1121">
        <v>1.0</v>
      </c>
      <c r="BB141" s="1126">
        <v>2.0</v>
      </c>
      <c r="BC141" s="1127">
        <v>2.0</v>
      </c>
      <c r="BD141" s="1126">
        <v>0.0</v>
      </c>
      <c r="BE141" s="1127">
        <v>0.0</v>
      </c>
      <c r="BF141" s="1126">
        <v>8.0</v>
      </c>
      <c r="BG141" s="1127">
        <v>8.0</v>
      </c>
      <c r="BH141" s="1126">
        <v>0.0</v>
      </c>
      <c r="BI141" s="1127">
        <v>0.0</v>
      </c>
      <c r="BJ141" s="1126">
        <v>4.0</v>
      </c>
      <c r="BK141" s="1127">
        <v>4.0</v>
      </c>
      <c r="BL141" s="1152"/>
      <c r="BM141" s="1784"/>
      <c r="BN141" s="1880">
        <v>10.0</v>
      </c>
      <c r="BO141" s="1878"/>
      <c r="BP141" s="783">
        <f t="shared" si="83"/>
        <v>104</v>
      </c>
      <c r="BQ141" s="1170">
        <f t="shared" si="84"/>
        <v>103</v>
      </c>
      <c r="BR141" s="1572">
        <f t="shared" si="87"/>
        <v>25956</v>
      </c>
      <c r="BS141" s="784">
        <f t="shared" si="86"/>
        <v>26208</v>
      </c>
      <c r="BT141" s="1545"/>
    </row>
    <row r="142" ht="15.75" customHeight="1">
      <c r="A142" s="1565" t="s">
        <v>145</v>
      </c>
      <c r="B142" s="1611">
        <v>4017.0</v>
      </c>
      <c r="C142" s="1567">
        <v>248.0</v>
      </c>
      <c r="D142" s="1735" t="s">
        <v>537</v>
      </c>
      <c r="E142" s="1690" t="str">
        <f>'Матрица 4 недели'!M121</f>
        <v>Удон с курицей в азиатском соусе </v>
      </c>
      <c r="F142" s="1137">
        <v>6.0</v>
      </c>
      <c r="G142" s="1121">
        <v>6.0</v>
      </c>
      <c r="H142" s="1126">
        <v>3.0</v>
      </c>
      <c r="I142" s="1121">
        <v>3.0</v>
      </c>
      <c r="J142" s="1126">
        <v>5.0</v>
      </c>
      <c r="K142" s="1121">
        <v>5.0</v>
      </c>
      <c r="L142" s="1126">
        <v>6.0</v>
      </c>
      <c r="M142" s="1121">
        <v>6.0</v>
      </c>
      <c r="N142" s="1126">
        <v>5.0</v>
      </c>
      <c r="O142" s="1121">
        <v>5.0</v>
      </c>
      <c r="P142" s="1126">
        <v>6.0</v>
      </c>
      <c r="Q142" s="1121">
        <v>6.0</v>
      </c>
      <c r="R142" s="1126">
        <v>4.0</v>
      </c>
      <c r="S142" s="1121">
        <v>4.0</v>
      </c>
      <c r="T142" s="1126">
        <v>3.0</v>
      </c>
      <c r="U142" s="1138">
        <v>3.0</v>
      </c>
      <c r="V142" s="1137">
        <v>4.0</v>
      </c>
      <c r="W142" s="1138">
        <v>4.0</v>
      </c>
      <c r="X142" s="1137">
        <v>6.0</v>
      </c>
      <c r="Y142" s="1138">
        <v>5.0</v>
      </c>
      <c r="Z142" s="1137"/>
      <c r="AA142" s="1138"/>
      <c r="AB142" s="1126">
        <v>4.0</v>
      </c>
      <c r="AC142" s="1138">
        <v>4.0</v>
      </c>
      <c r="AD142" s="1137">
        <v>2.0</v>
      </c>
      <c r="AE142" s="1138">
        <v>2.0</v>
      </c>
      <c r="AF142" s="1126">
        <v>4.0</v>
      </c>
      <c r="AG142" s="1138">
        <v>4.0</v>
      </c>
      <c r="AH142" s="1120">
        <v>7.0</v>
      </c>
      <c r="AI142" s="1138">
        <v>7.0</v>
      </c>
      <c r="AJ142" s="1120">
        <v>5.0</v>
      </c>
      <c r="AK142" s="1138">
        <v>5.0</v>
      </c>
      <c r="AL142" s="1126">
        <v>3.0</v>
      </c>
      <c r="AM142" s="1138">
        <v>3.0</v>
      </c>
      <c r="AN142" s="1126"/>
      <c r="AO142" s="1138"/>
      <c r="AP142" s="1137">
        <v>2.0</v>
      </c>
      <c r="AQ142" s="1138">
        <v>2.0</v>
      </c>
      <c r="AR142" s="1137">
        <v>9.0</v>
      </c>
      <c r="AS142" s="1138">
        <v>9.0</v>
      </c>
      <c r="AT142" s="1126">
        <v>6.0</v>
      </c>
      <c r="AU142" s="1138">
        <v>6.0</v>
      </c>
      <c r="AV142" s="1126">
        <v>7.0</v>
      </c>
      <c r="AW142" s="1138">
        <v>7.0</v>
      </c>
      <c r="AX142" s="1126">
        <v>5.0</v>
      </c>
      <c r="AY142" s="1138">
        <v>5.0</v>
      </c>
      <c r="AZ142" s="1126">
        <v>2.0</v>
      </c>
      <c r="BA142" s="1138">
        <v>2.0</v>
      </c>
      <c r="BB142" s="1126">
        <v>2.0</v>
      </c>
      <c r="BC142" s="1127">
        <v>2.0</v>
      </c>
      <c r="BD142" s="1126">
        <v>2.0</v>
      </c>
      <c r="BE142" s="1127">
        <v>2.0</v>
      </c>
      <c r="BF142" s="1126">
        <v>5.0</v>
      </c>
      <c r="BG142" s="1127">
        <v>4.0</v>
      </c>
      <c r="BH142" s="1126">
        <v>5.0</v>
      </c>
      <c r="BI142" s="1127">
        <v>5.0</v>
      </c>
      <c r="BJ142" s="1126">
        <v>5.0</v>
      </c>
      <c r="BK142" s="1127">
        <v>4.0</v>
      </c>
      <c r="BL142" s="1152"/>
      <c r="BM142" s="1784"/>
      <c r="BN142" s="1877"/>
      <c r="BO142" s="1878"/>
      <c r="BP142" s="783">
        <f t="shared" si="83"/>
        <v>124</v>
      </c>
      <c r="BQ142" s="1170">
        <f t="shared" si="84"/>
        <v>120</v>
      </c>
      <c r="BR142" s="1572">
        <f t="shared" si="87"/>
        <v>29760</v>
      </c>
      <c r="BS142" s="784">
        <f t="shared" si="86"/>
        <v>30752</v>
      </c>
      <c r="BT142" s="1545"/>
    </row>
    <row r="143" ht="15.75" customHeight="1">
      <c r="A143" s="1565" t="s">
        <v>145</v>
      </c>
      <c r="B143" s="1611">
        <v>3872.0</v>
      </c>
      <c r="C143" s="1567">
        <v>265.0</v>
      </c>
      <c r="D143" s="1735" t="s">
        <v>77</v>
      </c>
      <c r="E143" s="1690" t="str">
        <f>'Матрица 4 недели'!M123</f>
        <v>Запеченый баклажан с перцем рамиро</v>
      </c>
      <c r="F143" s="1126">
        <v>1.0</v>
      </c>
      <c r="G143" s="1138">
        <v>2.0</v>
      </c>
      <c r="H143" s="1126">
        <v>2.0</v>
      </c>
      <c r="I143" s="1138">
        <v>2.0</v>
      </c>
      <c r="J143" s="1126">
        <v>3.0</v>
      </c>
      <c r="K143" s="1138">
        <v>4.0</v>
      </c>
      <c r="L143" s="1126">
        <v>0.0</v>
      </c>
      <c r="M143" s="1138">
        <v>0.0</v>
      </c>
      <c r="N143" s="1126">
        <v>3.0</v>
      </c>
      <c r="O143" s="1138">
        <v>3.0</v>
      </c>
      <c r="P143" s="1126">
        <v>3.0</v>
      </c>
      <c r="Q143" s="1138">
        <v>4.0</v>
      </c>
      <c r="R143" s="1120">
        <v>2.0</v>
      </c>
      <c r="S143" s="1138">
        <v>2.0</v>
      </c>
      <c r="T143" s="1137">
        <v>0.0</v>
      </c>
      <c r="U143" s="1138">
        <v>0.0</v>
      </c>
      <c r="V143" s="1137">
        <v>1.0</v>
      </c>
      <c r="W143" s="1138">
        <v>1.0</v>
      </c>
      <c r="X143" s="1137">
        <v>2.0</v>
      </c>
      <c r="Y143" s="1138">
        <v>2.0</v>
      </c>
      <c r="Z143" s="1137"/>
      <c r="AA143" s="1138"/>
      <c r="AB143" s="1120">
        <v>2.0</v>
      </c>
      <c r="AC143" s="1138">
        <v>2.0</v>
      </c>
      <c r="AD143" s="1137">
        <v>0.0</v>
      </c>
      <c r="AE143" s="1138">
        <v>0.0</v>
      </c>
      <c r="AF143" s="1137">
        <v>2.0</v>
      </c>
      <c r="AG143" s="1121">
        <v>2.0</v>
      </c>
      <c r="AH143" s="1120">
        <v>2.0</v>
      </c>
      <c r="AI143" s="1121">
        <v>2.0</v>
      </c>
      <c r="AJ143" s="1120">
        <v>2.0</v>
      </c>
      <c r="AK143" s="1121">
        <v>2.0</v>
      </c>
      <c r="AL143" s="1126">
        <v>0.0</v>
      </c>
      <c r="AM143" s="1121">
        <v>0.0</v>
      </c>
      <c r="AN143" s="1137"/>
      <c r="AO143" s="1121"/>
      <c r="AP143" s="1137">
        <v>1.0</v>
      </c>
      <c r="AQ143" s="1121">
        <v>1.0</v>
      </c>
      <c r="AR143" s="1137">
        <v>2.0</v>
      </c>
      <c r="AS143" s="1138">
        <v>2.0</v>
      </c>
      <c r="AT143" s="1126">
        <v>0.0</v>
      </c>
      <c r="AU143" s="1138">
        <v>0.0</v>
      </c>
      <c r="AV143" s="1126">
        <v>0.0</v>
      </c>
      <c r="AW143" s="1138">
        <v>0.0</v>
      </c>
      <c r="AX143" s="1126">
        <v>2.0</v>
      </c>
      <c r="AY143" s="1138">
        <v>2.0</v>
      </c>
      <c r="AZ143" s="1126">
        <v>2.0</v>
      </c>
      <c r="BA143" s="1138">
        <v>2.0</v>
      </c>
      <c r="BB143" s="1126">
        <v>2.0</v>
      </c>
      <c r="BC143" s="1127">
        <v>2.0</v>
      </c>
      <c r="BD143" s="1126">
        <v>1.0</v>
      </c>
      <c r="BE143" s="1127">
        <v>1.0</v>
      </c>
      <c r="BF143" s="1126">
        <v>1.0</v>
      </c>
      <c r="BG143" s="1127">
        <v>1.0</v>
      </c>
      <c r="BH143" s="1126">
        <v>1.0</v>
      </c>
      <c r="BI143" s="1127">
        <v>2.0</v>
      </c>
      <c r="BJ143" s="1126">
        <v>3.0</v>
      </c>
      <c r="BK143" s="1127">
        <v>3.0</v>
      </c>
      <c r="BL143" s="1152"/>
      <c r="BM143" s="1784"/>
      <c r="BN143" s="1877"/>
      <c r="BO143" s="1878"/>
      <c r="BP143" s="783">
        <f t="shared" si="83"/>
        <v>41</v>
      </c>
      <c r="BQ143" s="1170">
        <f t="shared" si="84"/>
        <v>44</v>
      </c>
      <c r="BR143" s="1572">
        <f t="shared" si="87"/>
        <v>11660</v>
      </c>
      <c r="BS143" s="784">
        <f t="shared" si="86"/>
        <v>10865</v>
      </c>
      <c r="BT143" s="1545"/>
    </row>
    <row r="144" ht="15.75" customHeight="1">
      <c r="A144" s="1708"/>
      <c r="B144" s="1611">
        <v>3375.0</v>
      </c>
      <c r="C144" s="1567">
        <v>90.0</v>
      </c>
      <c r="D144" s="1735" t="s">
        <v>78</v>
      </c>
      <c r="E144" s="1690" t="str">
        <f>'Матрица 4 недели'!P116</f>
        <v>Самса с куриной грудкой 150 грамм</v>
      </c>
      <c r="F144" s="1126"/>
      <c r="G144" s="1138"/>
      <c r="H144" s="1126"/>
      <c r="I144" s="1138"/>
      <c r="J144" s="1126"/>
      <c r="K144" s="1138"/>
      <c r="L144" s="1126"/>
      <c r="M144" s="1138"/>
      <c r="N144" s="1126"/>
      <c r="O144" s="1138"/>
      <c r="P144" s="1126"/>
      <c r="Q144" s="1138"/>
      <c r="R144" s="1120"/>
      <c r="S144" s="1138"/>
      <c r="T144" s="1137"/>
      <c r="U144" s="1138"/>
      <c r="V144" s="1137"/>
      <c r="W144" s="1138"/>
      <c r="X144" s="1137"/>
      <c r="Y144" s="1138"/>
      <c r="Z144" s="1137"/>
      <c r="AA144" s="1138"/>
      <c r="AB144" s="1120"/>
      <c r="AC144" s="1138"/>
      <c r="AD144" s="1137"/>
      <c r="AE144" s="1138"/>
      <c r="AF144" s="1137"/>
      <c r="AG144" s="1121"/>
      <c r="AH144" s="1120"/>
      <c r="AI144" s="1121"/>
      <c r="AJ144" s="1120"/>
      <c r="AK144" s="1121"/>
      <c r="AL144" s="1126"/>
      <c r="AM144" s="1121"/>
      <c r="AN144" s="1137"/>
      <c r="AO144" s="1121"/>
      <c r="AP144" s="1137"/>
      <c r="AQ144" s="1121"/>
      <c r="AR144" s="1137"/>
      <c r="AS144" s="1138"/>
      <c r="AT144" s="1126"/>
      <c r="AU144" s="1138"/>
      <c r="AV144" s="1126"/>
      <c r="AW144" s="1138"/>
      <c r="AX144" s="1126"/>
      <c r="AY144" s="1138"/>
      <c r="AZ144" s="1126"/>
      <c r="BA144" s="1138"/>
      <c r="BB144" s="1126"/>
      <c r="BC144" s="1127"/>
      <c r="BD144" s="1126"/>
      <c r="BE144" s="1127"/>
      <c r="BF144" s="1126"/>
      <c r="BG144" s="1127"/>
      <c r="BH144" s="1126"/>
      <c r="BI144" s="1127"/>
      <c r="BJ144" s="1126"/>
      <c r="BK144" s="1127"/>
      <c r="BL144" s="1152">
        <v>10.0</v>
      </c>
      <c r="BM144" s="1138">
        <v>10.0</v>
      </c>
      <c r="BN144" s="783"/>
      <c r="BO144" s="1170"/>
      <c r="BP144" s="783">
        <f t="shared" si="83"/>
        <v>11</v>
      </c>
      <c r="BQ144" s="1170">
        <f t="shared" si="84"/>
        <v>10</v>
      </c>
      <c r="BR144" s="1572">
        <f t="shared" si="87"/>
        <v>900</v>
      </c>
      <c r="BS144" s="784">
        <f t="shared" si="86"/>
        <v>990</v>
      </c>
      <c r="BT144" s="1545"/>
    </row>
    <row r="145" ht="15.75" customHeight="1">
      <c r="A145" s="1565" t="s">
        <v>145</v>
      </c>
      <c r="B145" s="1611">
        <v>3486.0</v>
      </c>
      <c r="C145" s="1567">
        <v>175.0</v>
      </c>
      <c r="D145" s="1735" t="s">
        <v>79</v>
      </c>
      <c r="E145" s="1690" t="str">
        <f>'Матрица 4 недели'!S116</f>
        <v>Сэндвич с курицей и соусом карри</v>
      </c>
      <c r="F145" s="1120">
        <v>14.0</v>
      </c>
      <c r="G145" s="1121">
        <v>14.0</v>
      </c>
      <c r="H145" s="1120">
        <v>5.0</v>
      </c>
      <c r="I145" s="1121">
        <v>5.0</v>
      </c>
      <c r="J145" s="1126">
        <v>3.0</v>
      </c>
      <c r="K145" s="1121">
        <v>3.0</v>
      </c>
      <c r="L145" s="1126">
        <v>3.0</v>
      </c>
      <c r="M145" s="1121">
        <v>3.0</v>
      </c>
      <c r="N145" s="1120">
        <v>7.0</v>
      </c>
      <c r="O145" s="1121">
        <v>7.0</v>
      </c>
      <c r="P145" s="1120">
        <v>8.0</v>
      </c>
      <c r="Q145" s="1121">
        <v>8.0</v>
      </c>
      <c r="R145" s="1120">
        <v>3.0</v>
      </c>
      <c r="S145" s="1121">
        <v>3.0</v>
      </c>
      <c r="T145" s="1120">
        <v>4.0</v>
      </c>
      <c r="U145" s="1121">
        <v>4.0</v>
      </c>
      <c r="V145" s="1120">
        <v>6.0</v>
      </c>
      <c r="W145" s="1121">
        <v>6.0</v>
      </c>
      <c r="X145" s="1120">
        <v>11.0</v>
      </c>
      <c r="Y145" s="1121">
        <v>11.0</v>
      </c>
      <c r="Z145" s="1137"/>
      <c r="AA145" s="1121"/>
      <c r="AB145" s="1120">
        <v>6.0</v>
      </c>
      <c r="AC145" s="1121">
        <v>6.0</v>
      </c>
      <c r="AD145" s="1120">
        <v>3.0</v>
      </c>
      <c r="AE145" s="1121">
        <v>3.0</v>
      </c>
      <c r="AF145" s="1120">
        <v>3.0</v>
      </c>
      <c r="AG145" s="1121">
        <v>3.0</v>
      </c>
      <c r="AH145" s="1120">
        <v>4.0</v>
      </c>
      <c r="AI145" s="1121">
        <v>4.0</v>
      </c>
      <c r="AJ145" s="1120">
        <v>4.0</v>
      </c>
      <c r="AK145" s="1121">
        <v>4.0</v>
      </c>
      <c r="AL145" s="1126">
        <v>3.0</v>
      </c>
      <c r="AM145" s="1121">
        <v>3.0</v>
      </c>
      <c r="AN145" s="1120"/>
      <c r="AO145" s="1138"/>
      <c r="AP145" s="1120">
        <v>3.0</v>
      </c>
      <c r="AQ145" s="1138">
        <v>3.0</v>
      </c>
      <c r="AR145" s="1120">
        <v>7.0</v>
      </c>
      <c r="AS145" s="1121">
        <v>7.0</v>
      </c>
      <c r="AT145" s="1120">
        <v>2.0</v>
      </c>
      <c r="AU145" s="1121">
        <v>2.0</v>
      </c>
      <c r="AV145" s="1126">
        <v>7.0</v>
      </c>
      <c r="AW145" s="1121">
        <v>7.0</v>
      </c>
      <c r="AX145" s="1126">
        <v>7.0</v>
      </c>
      <c r="AY145" s="1121">
        <v>7.0</v>
      </c>
      <c r="AZ145" s="1126">
        <v>2.0</v>
      </c>
      <c r="BA145" s="1121">
        <v>2.0</v>
      </c>
      <c r="BB145" s="1126">
        <v>7.0</v>
      </c>
      <c r="BC145" s="1127">
        <v>7.0</v>
      </c>
      <c r="BD145" s="1126">
        <v>5.0</v>
      </c>
      <c r="BE145" s="1127">
        <v>5.0</v>
      </c>
      <c r="BF145" s="1126">
        <v>7.0</v>
      </c>
      <c r="BG145" s="1127">
        <v>7.0</v>
      </c>
      <c r="BH145" s="1126">
        <v>3.0</v>
      </c>
      <c r="BI145" s="1127">
        <v>3.0</v>
      </c>
      <c r="BJ145" s="1126">
        <v>3.0</v>
      </c>
      <c r="BK145" s="1127">
        <v>3.0</v>
      </c>
      <c r="BL145" s="1152"/>
      <c r="BM145" s="1138"/>
      <c r="BN145" s="783"/>
      <c r="BO145" s="1170"/>
      <c r="BP145" s="783">
        <f t="shared" si="83"/>
        <v>141</v>
      </c>
      <c r="BQ145" s="1170">
        <f t="shared" si="84"/>
        <v>140</v>
      </c>
      <c r="BR145" s="1572">
        <f t="shared" si="87"/>
        <v>24500</v>
      </c>
      <c r="BS145" s="784">
        <f t="shared" si="86"/>
        <v>24675</v>
      </c>
      <c r="BT145" s="1545"/>
    </row>
    <row r="146" ht="15.75" customHeight="1">
      <c r="A146" s="1565" t="s">
        <v>145</v>
      </c>
      <c r="B146" s="1611">
        <v>3140.0</v>
      </c>
      <c r="C146" s="1567">
        <v>165.0</v>
      </c>
      <c r="D146" s="1735" t="s">
        <v>79</v>
      </c>
      <c r="E146" s="1887" t="str">
        <f>'Матрица 4 недели'!S117</f>
        <v>Сэндвич ''Снежный краб'' с соусом спайси</v>
      </c>
      <c r="F146" s="1137">
        <v>5.0</v>
      </c>
      <c r="G146" s="1121">
        <v>5.0</v>
      </c>
      <c r="H146" s="1126">
        <v>5.0</v>
      </c>
      <c r="I146" s="1121">
        <v>5.0</v>
      </c>
      <c r="J146" s="1126">
        <v>3.0</v>
      </c>
      <c r="K146" s="1121">
        <v>3.0</v>
      </c>
      <c r="L146" s="1126">
        <v>3.0</v>
      </c>
      <c r="M146" s="1121">
        <v>3.0</v>
      </c>
      <c r="N146" s="1126">
        <v>6.0</v>
      </c>
      <c r="O146" s="1121">
        <v>6.0</v>
      </c>
      <c r="P146" s="1126">
        <v>5.0</v>
      </c>
      <c r="Q146" s="1121">
        <v>5.0</v>
      </c>
      <c r="R146" s="1137">
        <v>2.0</v>
      </c>
      <c r="S146" s="1121">
        <v>2.0</v>
      </c>
      <c r="T146" s="1126">
        <v>4.0</v>
      </c>
      <c r="U146" s="1138">
        <v>4.0</v>
      </c>
      <c r="V146" s="1137">
        <v>3.0</v>
      </c>
      <c r="W146" s="1138">
        <v>3.0</v>
      </c>
      <c r="X146" s="1137">
        <v>6.0</v>
      </c>
      <c r="Y146" s="1138">
        <v>6.0</v>
      </c>
      <c r="Z146" s="1120"/>
      <c r="AA146" s="1138"/>
      <c r="AB146" s="1137">
        <v>3.0</v>
      </c>
      <c r="AC146" s="1138">
        <v>3.0</v>
      </c>
      <c r="AD146" s="1137">
        <v>2.0</v>
      </c>
      <c r="AE146" s="1138">
        <v>2.0</v>
      </c>
      <c r="AF146" s="1137">
        <v>3.0</v>
      </c>
      <c r="AG146" s="1138">
        <v>3.0</v>
      </c>
      <c r="AH146" s="1120">
        <v>5.0</v>
      </c>
      <c r="AI146" s="1138">
        <v>5.0</v>
      </c>
      <c r="AJ146" s="1120">
        <v>2.0</v>
      </c>
      <c r="AK146" s="1138">
        <v>2.0</v>
      </c>
      <c r="AL146" s="1120">
        <v>3.0</v>
      </c>
      <c r="AM146" s="1138">
        <v>3.0</v>
      </c>
      <c r="AN146" s="1137"/>
      <c r="AO146" s="1138"/>
      <c r="AP146" s="1137">
        <v>3.0</v>
      </c>
      <c r="AQ146" s="1138">
        <v>3.0</v>
      </c>
      <c r="AR146" s="1137">
        <v>7.0</v>
      </c>
      <c r="AS146" s="1138">
        <v>7.0</v>
      </c>
      <c r="AT146" s="1126">
        <v>2.0</v>
      </c>
      <c r="AU146" s="1138">
        <v>2.0</v>
      </c>
      <c r="AV146" s="1126">
        <v>6.0</v>
      </c>
      <c r="AW146" s="1138">
        <v>6.0</v>
      </c>
      <c r="AX146" s="1126">
        <v>5.0</v>
      </c>
      <c r="AY146" s="1138">
        <v>5.0</v>
      </c>
      <c r="AZ146" s="1126">
        <v>3.0</v>
      </c>
      <c r="BA146" s="1138">
        <v>3.0</v>
      </c>
      <c r="BB146" s="1126">
        <v>5.0</v>
      </c>
      <c r="BC146" s="1138">
        <v>5.0</v>
      </c>
      <c r="BD146" s="1126">
        <v>2.0</v>
      </c>
      <c r="BE146" s="1138">
        <v>2.0</v>
      </c>
      <c r="BF146" s="1126">
        <v>7.0</v>
      </c>
      <c r="BG146" s="1138">
        <v>7.0</v>
      </c>
      <c r="BH146" s="1126">
        <v>2.0</v>
      </c>
      <c r="BI146" s="1138">
        <v>2.0</v>
      </c>
      <c r="BJ146" s="1126">
        <v>4.0</v>
      </c>
      <c r="BK146" s="1138">
        <v>4.0</v>
      </c>
      <c r="BL146" s="1152"/>
      <c r="BM146" s="1653"/>
      <c r="BN146" s="1877"/>
      <c r="BO146" s="1878"/>
      <c r="BP146" s="783">
        <f t="shared" si="83"/>
        <v>107</v>
      </c>
      <c r="BQ146" s="1170">
        <f t="shared" si="84"/>
        <v>106</v>
      </c>
      <c r="BR146" s="1572">
        <f t="shared" si="87"/>
        <v>17490</v>
      </c>
      <c r="BS146" s="784">
        <f t="shared" si="86"/>
        <v>17655</v>
      </c>
      <c r="BT146" s="1545"/>
    </row>
    <row r="147" ht="15.75" customHeight="1">
      <c r="A147" s="1565" t="s">
        <v>145</v>
      </c>
      <c r="B147" s="1611">
        <v>4000.0</v>
      </c>
      <c r="C147" s="1567">
        <v>98.0</v>
      </c>
      <c r="D147" s="1735" t="s">
        <v>80</v>
      </c>
      <c r="E147" s="1758" t="str">
        <f>'Матрица 4 недели'!V116</f>
        <v>Компот из сухофруктов 0,5 л</v>
      </c>
      <c r="F147" s="1120">
        <v>15.0</v>
      </c>
      <c r="G147" s="1121">
        <v>15.0</v>
      </c>
      <c r="H147" s="1120">
        <v>5.0</v>
      </c>
      <c r="I147" s="1121">
        <v>5.0</v>
      </c>
      <c r="J147" s="1890">
        <v>18.0</v>
      </c>
      <c r="K147" s="1138">
        <v>15.0</v>
      </c>
      <c r="L147" s="1126">
        <v>6.0</v>
      </c>
      <c r="M147" s="1138">
        <v>0.0</v>
      </c>
      <c r="N147" s="1120">
        <v>0.0</v>
      </c>
      <c r="O147" s="1138">
        <v>0.0</v>
      </c>
      <c r="P147" s="1120">
        <v>5.0</v>
      </c>
      <c r="Q147" s="1138">
        <v>0.0</v>
      </c>
      <c r="R147" s="1120">
        <v>0.0</v>
      </c>
      <c r="S147" s="1138">
        <v>0.0</v>
      </c>
      <c r="T147" s="1120">
        <v>0.0</v>
      </c>
      <c r="U147" s="1138">
        <v>0.0</v>
      </c>
      <c r="V147" s="1120">
        <v>0.0</v>
      </c>
      <c r="W147" s="1138">
        <v>0.0</v>
      </c>
      <c r="X147" s="1120">
        <v>0.0</v>
      </c>
      <c r="Y147" s="1138">
        <v>0.0</v>
      </c>
      <c r="Z147" s="1137"/>
      <c r="AA147" s="1138"/>
      <c r="AB147" s="1120">
        <v>0.0</v>
      </c>
      <c r="AC147" s="1138">
        <v>0.0</v>
      </c>
      <c r="AD147" s="1120">
        <v>0.0</v>
      </c>
      <c r="AE147" s="1138">
        <v>0.0</v>
      </c>
      <c r="AF147" s="1120">
        <v>15.0</v>
      </c>
      <c r="AG147" s="1138">
        <v>10.0</v>
      </c>
      <c r="AH147" s="1120">
        <v>0.0</v>
      </c>
      <c r="AI147" s="1138">
        <v>0.0</v>
      </c>
      <c r="AJ147" s="1120">
        <v>0.0</v>
      </c>
      <c r="AK147" s="1138">
        <v>0.0</v>
      </c>
      <c r="AL147" s="1126">
        <v>0.0</v>
      </c>
      <c r="AM147" s="1138">
        <v>0.0</v>
      </c>
      <c r="AN147" s="1120"/>
      <c r="AO147" s="1138"/>
      <c r="AP147" s="1120">
        <v>0.0</v>
      </c>
      <c r="AQ147" s="1138">
        <v>0.0</v>
      </c>
      <c r="AR147" s="1120">
        <v>30.0</v>
      </c>
      <c r="AS147" s="1138">
        <v>25.0</v>
      </c>
      <c r="AT147" s="1120">
        <v>8.0</v>
      </c>
      <c r="AU147" s="1138">
        <v>6.0</v>
      </c>
      <c r="AV147" s="1126">
        <v>12.0</v>
      </c>
      <c r="AW147" s="1138">
        <v>5.0</v>
      </c>
      <c r="AX147" s="1126">
        <v>14.0</v>
      </c>
      <c r="AY147" s="1138">
        <v>9.0</v>
      </c>
      <c r="AZ147" s="1126">
        <v>0.0</v>
      </c>
      <c r="BA147" s="1138">
        <v>0.0</v>
      </c>
      <c r="BB147" s="1126">
        <v>5.0</v>
      </c>
      <c r="BC147" s="1127">
        <v>5.0</v>
      </c>
      <c r="BD147" s="1126">
        <v>10.0</v>
      </c>
      <c r="BE147" s="1127">
        <v>5.0</v>
      </c>
      <c r="BF147" s="1126">
        <v>20.0</v>
      </c>
      <c r="BG147" s="1127">
        <v>15.0</v>
      </c>
      <c r="BH147" s="1126">
        <v>7.0</v>
      </c>
      <c r="BI147" s="1127">
        <v>0.0</v>
      </c>
      <c r="BJ147" s="1126">
        <v>13.0</v>
      </c>
      <c r="BK147" s="1127">
        <v>5.0</v>
      </c>
      <c r="BL147" s="1152"/>
      <c r="BM147" s="1138"/>
      <c r="BN147" s="783"/>
      <c r="BO147" s="1170"/>
      <c r="BP147" s="783">
        <f t="shared" si="83"/>
        <v>184</v>
      </c>
      <c r="BQ147" s="1170">
        <f t="shared" si="84"/>
        <v>120</v>
      </c>
      <c r="BR147" s="1572">
        <f t="shared" si="87"/>
        <v>11760</v>
      </c>
      <c r="BS147" s="784">
        <f t="shared" si="86"/>
        <v>18032</v>
      </c>
      <c r="BT147" s="1545"/>
    </row>
    <row r="148" ht="15.75" customHeight="1">
      <c r="A148" s="1565" t="s">
        <v>145</v>
      </c>
      <c r="B148" s="1567">
        <v>2943.0</v>
      </c>
      <c r="C148" s="1567">
        <v>152.0</v>
      </c>
      <c r="D148" s="1735" t="s">
        <v>80</v>
      </c>
      <c r="E148" s="733" t="str">
        <f>'Матрица 4 недели'!V117</f>
        <v>Онигири с куриным филе в соусе спайси</v>
      </c>
      <c r="F148" s="1137">
        <v>18.0</v>
      </c>
      <c r="G148" s="1138">
        <v>18.0</v>
      </c>
      <c r="H148" s="1126">
        <v>5.0</v>
      </c>
      <c r="I148" s="1140">
        <v>5.0</v>
      </c>
      <c r="J148" s="1126">
        <v>5.0</v>
      </c>
      <c r="K148" s="1405">
        <v>5.0</v>
      </c>
      <c r="L148" s="1161">
        <v>2.0</v>
      </c>
      <c r="M148" s="1405">
        <v>2.0</v>
      </c>
      <c r="N148" s="1126">
        <v>5.0</v>
      </c>
      <c r="O148" s="1138">
        <v>5.0</v>
      </c>
      <c r="P148" s="1126">
        <v>1.0</v>
      </c>
      <c r="Q148" s="1142">
        <v>1.0</v>
      </c>
      <c r="R148" s="1126"/>
      <c r="S148" s="1121"/>
      <c r="T148" s="1137">
        <v>2.0</v>
      </c>
      <c r="U148" s="1121">
        <v>2.0</v>
      </c>
      <c r="V148" s="1137">
        <v>2.0</v>
      </c>
      <c r="W148" s="1121">
        <v>2.0</v>
      </c>
      <c r="X148" s="1137">
        <v>2.0</v>
      </c>
      <c r="Y148" s="1121">
        <v>2.0</v>
      </c>
      <c r="Z148" s="1137"/>
      <c r="AA148" s="1121"/>
      <c r="AB148" s="1120">
        <v>3.0</v>
      </c>
      <c r="AC148" s="1121">
        <v>3.0</v>
      </c>
      <c r="AD148" s="1120">
        <v>2.0</v>
      </c>
      <c r="AE148" s="1121">
        <v>2.0</v>
      </c>
      <c r="AF148" s="1137">
        <v>2.0</v>
      </c>
      <c r="AG148" s="1121">
        <v>2.0</v>
      </c>
      <c r="AH148" s="1120">
        <v>2.0</v>
      </c>
      <c r="AI148" s="1121">
        <v>2.0</v>
      </c>
      <c r="AJ148" s="1120">
        <v>2.0</v>
      </c>
      <c r="AK148" s="1121">
        <v>2.0</v>
      </c>
      <c r="AL148" s="1137">
        <v>0.0</v>
      </c>
      <c r="AM148" s="1121">
        <v>0.0</v>
      </c>
      <c r="AN148" s="1137"/>
      <c r="AO148" s="1138"/>
      <c r="AP148" s="1137">
        <v>2.0</v>
      </c>
      <c r="AQ148" s="1138">
        <v>2.0</v>
      </c>
      <c r="AR148" s="1137">
        <v>2.0</v>
      </c>
      <c r="AS148" s="1121"/>
      <c r="AT148" s="1126">
        <v>2.0</v>
      </c>
      <c r="AU148" s="1121">
        <v>2.0</v>
      </c>
      <c r="AV148" s="1126">
        <v>9.0</v>
      </c>
      <c r="AW148" s="1138">
        <v>9.0</v>
      </c>
      <c r="AX148" s="1126">
        <v>2.0</v>
      </c>
      <c r="AY148" s="1138">
        <v>2.0</v>
      </c>
      <c r="AZ148" s="1126">
        <v>2.0</v>
      </c>
      <c r="BA148" s="1138">
        <v>2.0</v>
      </c>
      <c r="BB148" s="1126">
        <v>5.0</v>
      </c>
      <c r="BC148" s="1127">
        <v>5.0</v>
      </c>
      <c r="BD148" s="1126">
        <v>0.0</v>
      </c>
      <c r="BE148" s="1127">
        <v>2.0</v>
      </c>
      <c r="BF148" s="1126">
        <v>2.0</v>
      </c>
      <c r="BG148" s="1127">
        <v>2.0</v>
      </c>
      <c r="BH148" s="1126">
        <v>1.0</v>
      </c>
      <c r="BI148" s="1127">
        <v>1.0</v>
      </c>
      <c r="BJ148" s="1126">
        <v>4.0</v>
      </c>
      <c r="BK148" s="1127">
        <v>4.0</v>
      </c>
      <c r="BL148" s="1152"/>
      <c r="BM148" s="1138"/>
      <c r="BN148" s="783"/>
      <c r="BO148" s="1170"/>
      <c r="BP148" s="783">
        <f t="shared" si="83"/>
        <v>85</v>
      </c>
      <c r="BQ148" s="1757">
        <f t="shared" si="84"/>
        <v>84</v>
      </c>
      <c r="BR148" s="1572">
        <f t="shared" si="87"/>
        <v>12768</v>
      </c>
      <c r="BS148" s="784">
        <f t="shared" si="86"/>
        <v>12920</v>
      </c>
      <c r="BT148" s="1807"/>
    </row>
    <row r="149" ht="15.75" customHeight="1">
      <c r="A149" s="1565" t="s">
        <v>145</v>
      </c>
      <c r="B149" s="1567">
        <v>822.0</v>
      </c>
      <c r="C149" s="1567">
        <v>5.0</v>
      </c>
      <c r="D149" s="1735" t="s">
        <v>80</v>
      </c>
      <c r="E149" s="733" t="str">
        <f>'Матрица 4 недели'!V118</f>
        <v>Хлеб пшеничный</v>
      </c>
      <c r="F149" s="1126">
        <v>10.0</v>
      </c>
      <c r="G149" s="1138">
        <v>10.0</v>
      </c>
      <c r="H149" s="1126">
        <v>3.0</v>
      </c>
      <c r="I149" s="1138">
        <v>3.0</v>
      </c>
      <c r="J149" s="1126">
        <v>4.0</v>
      </c>
      <c r="K149" s="1138">
        <v>4.0</v>
      </c>
      <c r="L149" s="1126">
        <v>4.0</v>
      </c>
      <c r="M149" s="1138">
        <v>4.0</v>
      </c>
      <c r="N149" s="1126">
        <v>0.0</v>
      </c>
      <c r="O149" s="1138">
        <v>0.0</v>
      </c>
      <c r="P149" s="1120">
        <v>4.0</v>
      </c>
      <c r="Q149" s="1131">
        <v>4.0</v>
      </c>
      <c r="R149" s="1126">
        <v>0.0</v>
      </c>
      <c r="S149" s="1138">
        <v>0.0</v>
      </c>
      <c r="T149" s="1126">
        <v>3.0</v>
      </c>
      <c r="U149" s="1138">
        <v>3.0</v>
      </c>
      <c r="V149" s="1126">
        <v>5.0</v>
      </c>
      <c r="W149" s="1138">
        <v>5.0</v>
      </c>
      <c r="X149" s="1126">
        <v>3.0</v>
      </c>
      <c r="Y149" s="1138">
        <v>3.0</v>
      </c>
      <c r="Z149" s="1137"/>
      <c r="AA149" s="1138"/>
      <c r="AB149" s="1126">
        <v>6.0</v>
      </c>
      <c r="AC149" s="1138">
        <v>6.0</v>
      </c>
      <c r="AD149" s="1126">
        <v>0.0</v>
      </c>
      <c r="AE149" s="1138">
        <v>0.0</v>
      </c>
      <c r="AF149" s="1126">
        <v>3.0</v>
      </c>
      <c r="AG149" s="1138">
        <v>3.0</v>
      </c>
      <c r="AH149" s="1126">
        <v>3.0</v>
      </c>
      <c r="AI149" s="1138">
        <v>3.0</v>
      </c>
      <c r="AJ149" s="1126">
        <v>3.0</v>
      </c>
      <c r="AK149" s="1138">
        <v>3.0</v>
      </c>
      <c r="AL149" s="1126">
        <v>3.0</v>
      </c>
      <c r="AM149" s="1138">
        <v>3.0</v>
      </c>
      <c r="AN149" s="1126"/>
      <c r="AO149" s="1138"/>
      <c r="AP149" s="1126">
        <v>3.0</v>
      </c>
      <c r="AQ149" s="1138">
        <v>3.0</v>
      </c>
      <c r="AR149" s="1126">
        <v>0.0</v>
      </c>
      <c r="AS149" s="1138">
        <v>0.0</v>
      </c>
      <c r="AT149" s="1126">
        <v>3.0</v>
      </c>
      <c r="AU149" s="1138">
        <v>3.0</v>
      </c>
      <c r="AV149" s="1126">
        <v>3.0</v>
      </c>
      <c r="AW149" s="1138">
        <v>3.0</v>
      </c>
      <c r="AX149" s="1126">
        <v>3.0</v>
      </c>
      <c r="AY149" s="1138">
        <v>3.0</v>
      </c>
      <c r="AZ149" s="1126">
        <v>20.0</v>
      </c>
      <c r="BA149" s="1138">
        <v>20.0</v>
      </c>
      <c r="BB149" s="1126">
        <v>4.0</v>
      </c>
      <c r="BC149" s="1127">
        <v>4.0</v>
      </c>
      <c r="BD149" s="1126">
        <v>3.0</v>
      </c>
      <c r="BE149" s="1127">
        <v>3.0</v>
      </c>
      <c r="BF149" s="1126">
        <v>3.0</v>
      </c>
      <c r="BG149" s="1127">
        <v>3.0</v>
      </c>
      <c r="BH149" s="1126">
        <v>3.0</v>
      </c>
      <c r="BI149" s="1127">
        <v>3.0</v>
      </c>
      <c r="BJ149" s="1126">
        <v>3.0</v>
      </c>
      <c r="BK149" s="1127">
        <v>3.0</v>
      </c>
      <c r="BL149" s="1152">
        <v>120.0</v>
      </c>
      <c r="BM149" s="1653">
        <v>120.0</v>
      </c>
      <c r="BN149" s="1877"/>
      <c r="BO149" s="1878"/>
      <c r="BP149" s="783">
        <f t="shared" si="83"/>
        <v>223</v>
      </c>
      <c r="BQ149" s="1170">
        <f t="shared" si="84"/>
        <v>222</v>
      </c>
      <c r="BR149" s="1572">
        <f t="shared" si="87"/>
        <v>1110</v>
      </c>
      <c r="BS149" s="784">
        <f t="shared" si="86"/>
        <v>1115</v>
      </c>
      <c r="BT149" s="1807"/>
    </row>
    <row r="150" ht="15.75" customHeight="1">
      <c r="A150" s="1708"/>
      <c r="B150" s="1567"/>
      <c r="C150" s="1567"/>
      <c r="D150" s="1567"/>
      <c r="E150" s="1900" t="str">
        <f>'Матрица 4 недели'!V119</f>
        <v/>
      </c>
      <c r="F150" s="1126"/>
      <c r="G150" s="1138"/>
      <c r="H150" s="1126"/>
      <c r="I150" s="1138"/>
      <c r="J150" s="1126"/>
      <c r="K150" s="1138"/>
      <c r="L150" s="1126"/>
      <c r="M150" s="1138"/>
      <c r="N150" s="1126"/>
      <c r="O150" s="1138"/>
      <c r="P150" s="1120"/>
      <c r="Q150" s="1131"/>
      <c r="R150" s="1126"/>
      <c r="S150" s="1138"/>
      <c r="T150" s="1126"/>
      <c r="U150" s="1138"/>
      <c r="V150" s="1126"/>
      <c r="W150" s="1138"/>
      <c r="X150" s="1126"/>
      <c r="Y150" s="1138"/>
      <c r="Z150" s="1137"/>
      <c r="AA150" s="1138"/>
      <c r="AB150" s="1126"/>
      <c r="AC150" s="1138"/>
      <c r="AD150" s="1126"/>
      <c r="AE150" s="1138"/>
      <c r="AF150" s="1126"/>
      <c r="AG150" s="1138"/>
      <c r="AH150" s="1126"/>
      <c r="AI150" s="1138"/>
      <c r="AJ150" s="1126"/>
      <c r="AK150" s="1138"/>
      <c r="AL150" s="1126"/>
      <c r="AM150" s="1138"/>
      <c r="AN150" s="1126"/>
      <c r="AO150" s="1138"/>
      <c r="AP150" s="1126"/>
      <c r="AQ150" s="1138"/>
      <c r="AR150" s="1126"/>
      <c r="AS150" s="1138"/>
      <c r="AT150" s="1126"/>
      <c r="AU150" s="1138"/>
      <c r="AV150" s="1126"/>
      <c r="AW150" s="1138"/>
      <c r="AX150" s="1126"/>
      <c r="AY150" s="1138"/>
      <c r="AZ150" s="1126"/>
      <c r="BA150" s="1138"/>
      <c r="BB150" s="1126"/>
      <c r="BC150" s="1127"/>
      <c r="BD150" s="1126"/>
      <c r="BE150" s="1127"/>
      <c r="BF150" s="1126"/>
      <c r="BG150" s="1127"/>
      <c r="BH150" s="1126"/>
      <c r="BI150" s="1127"/>
      <c r="BJ150" s="1126"/>
      <c r="BK150" s="1127"/>
      <c r="BL150" s="1152"/>
      <c r="BM150" s="1784"/>
      <c r="BN150" s="1877"/>
      <c r="BO150" s="1878"/>
      <c r="BP150" s="783">
        <f t="shared" si="83"/>
        <v>1</v>
      </c>
      <c r="BQ150" s="1170">
        <f t="shared" si="84"/>
        <v>0</v>
      </c>
      <c r="BR150" s="1572">
        <f t="shared" si="87"/>
        <v>0</v>
      </c>
      <c r="BS150" s="784">
        <f t="shared" si="86"/>
        <v>0</v>
      </c>
      <c r="BT150" s="1807"/>
    </row>
    <row r="151" ht="15.75" customHeight="1">
      <c r="A151" s="1708"/>
      <c r="B151" s="1567"/>
      <c r="C151" s="2013"/>
      <c r="D151" s="2013"/>
      <c r="E151" s="1172"/>
      <c r="F151" s="1137"/>
      <c r="G151" s="1138"/>
      <c r="H151" s="1126"/>
      <c r="I151" s="1140"/>
      <c r="J151" s="1126"/>
      <c r="K151" s="1405"/>
      <c r="L151" s="1161"/>
      <c r="M151" s="1405"/>
      <c r="N151" s="1126"/>
      <c r="O151" s="1138"/>
      <c r="P151" s="1120"/>
      <c r="Q151" s="1142"/>
      <c r="R151" s="1126"/>
      <c r="S151" s="1121"/>
      <c r="T151" s="1137"/>
      <c r="U151" s="1121"/>
      <c r="V151" s="1137"/>
      <c r="W151" s="1121"/>
      <c r="X151" s="1137"/>
      <c r="Y151" s="1121"/>
      <c r="Z151" s="1137"/>
      <c r="AA151" s="1121"/>
      <c r="AB151" s="1120"/>
      <c r="AC151" s="1121"/>
      <c r="AD151" s="1120"/>
      <c r="AE151" s="1121"/>
      <c r="AF151" s="1137"/>
      <c r="AG151" s="1121"/>
      <c r="AH151" s="1120"/>
      <c r="AI151" s="1121"/>
      <c r="AJ151" s="1120"/>
      <c r="AK151" s="1121"/>
      <c r="AL151" s="1137"/>
      <c r="AM151" s="1121"/>
      <c r="AN151" s="1126"/>
      <c r="AO151" s="1121"/>
      <c r="AP151" s="1126"/>
      <c r="AQ151" s="1121"/>
      <c r="AR151" s="1126"/>
      <c r="AS151" s="1121"/>
      <c r="AT151" s="1120"/>
      <c r="AU151" s="1121"/>
      <c r="AV151" s="1126"/>
      <c r="AW151" s="1121"/>
      <c r="AX151" s="1126"/>
      <c r="AY151" s="1121"/>
      <c r="AZ151" s="1126"/>
      <c r="BA151" s="1121"/>
      <c r="BB151" s="1126"/>
      <c r="BC151" s="1127"/>
      <c r="BD151" s="1126"/>
      <c r="BE151" s="1127"/>
      <c r="BF151" s="1126"/>
      <c r="BG151" s="1127"/>
      <c r="BH151" s="1126"/>
      <c r="BI151" s="1127"/>
      <c r="BJ151" s="1126"/>
      <c r="BK151" s="1127"/>
      <c r="BL151" s="1152"/>
      <c r="BM151" s="1138"/>
      <c r="BN151" s="783"/>
      <c r="BO151" s="1170"/>
      <c r="BP151" s="783">
        <f t="shared" si="83"/>
        <v>1</v>
      </c>
      <c r="BQ151" s="1757">
        <f t="shared" si="84"/>
        <v>0</v>
      </c>
      <c r="BR151" s="1572">
        <f t="shared" si="87"/>
        <v>0</v>
      </c>
      <c r="BS151" s="784">
        <f t="shared" si="86"/>
        <v>0</v>
      </c>
      <c r="BT151" s="1807"/>
    </row>
    <row r="152" ht="15.75" customHeight="1">
      <c r="A152" s="1708"/>
      <c r="B152" s="1567"/>
      <c r="C152" s="1567"/>
      <c r="D152" s="1567"/>
      <c r="E152" s="1657"/>
      <c r="F152" s="1126"/>
      <c r="G152" s="1138"/>
      <c r="H152" s="1126"/>
      <c r="I152" s="1138"/>
      <c r="J152" s="1126"/>
      <c r="K152" s="1138"/>
      <c r="L152" s="1319"/>
      <c r="M152" s="1138"/>
      <c r="N152" s="1126"/>
      <c r="O152" s="1138"/>
      <c r="P152" s="1126"/>
      <c r="Q152" s="1138"/>
      <c r="R152" s="1120"/>
      <c r="S152" s="1138"/>
      <c r="T152" s="1137"/>
      <c r="U152" s="1138"/>
      <c r="V152" s="1137"/>
      <c r="W152" s="1138"/>
      <c r="X152" s="1126"/>
      <c r="Y152" s="1138"/>
      <c r="Z152" s="1137"/>
      <c r="AA152" s="1138"/>
      <c r="AB152" s="1120"/>
      <c r="AC152" s="1138"/>
      <c r="AD152" s="1137"/>
      <c r="AE152" s="1138"/>
      <c r="AF152" s="1137"/>
      <c r="AG152" s="1138"/>
      <c r="AH152" s="1137"/>
      <c r="AI152" s="1138"/>
      <c r="AJ152" s="1137"/>
      <c r="AK152" s="1138"/>
      <c r="AL152" s="1120"/>
      <c r="AM152" s="1121"/>
      <c r="AN152" s="1137"/>
      <c r="AO152" s="1138"/>
      <c r="AP152" s="1137"/>
      <c r="AQ152" s="1138"/>
      <c r="AR152" s="1137"/>
      <c r="AS152" s="1121"/>
      <c r="AT152" s="1126"/>
      <c r="AU152" s="1121"/>
      <c r="AV152" s="1126"/>
      <c r="AW152" s="1121"/>
      <c r="AX152" s="1126"/>
      <c r="AY152" s="1121"/>
      <c r="AZ152" s="1126"/>
      <c r="BA152" s="1121"/>
      <c r="BB152" s="1126"/>
      <c r="BC152" s="1127"/>
      <c r="BD152" s="1126"/>
      <c r="BE152" s="1127"/>
      <c r="BF152" s="1126"/>
      <c r="BG152" s="1127"/>
      <c r="BH152" s="1126"/>
      <c r="BI152" s="1127"/>
      <c r="BJ152" s="1126"/>
      <c r="BK152" s="1127"/>
      <c r="BL152" s="1152"/>
      <c r="BM152" s="1121"/>
      <c r="BN152" s="783"/>
      <c r="BO152" s="1170"/>
      <c r="BP152" s="783">
        <f t="shared" si="83"/>
        <v>1</v>
      </c>
      <c r="BQ152" s="1170">
        <f t="shared" si="84"/>
        <v>0</v>
      </c>
      <c r="BR152" s="1572">
        <f t="shared" si="87"/>
        <v>0</v>
      </c>
      <c r="BS152" s="784">
        <f t="shared" si="86"/>
        <v>0</v>
      </c>
      <c r="BT152" s="1807"/>
    </row>
    <row r="153" ht="15.75" customHeight="1">
      <c r="A153" s="1708"/>
      <c r="B153" s="1567"/>
      <c r="C153" s="1567"/>
      <c r="D153" s="1567"/>
      <c r="E153" s="1655"/>
      <c r="F153" s="1126"/>
      <c r="G153" s="1138"/>
      <c r="H153" s="1126"/>
      <c r="I153" s="1138"/>
      <c r="J153" s="1126"/>
      <c r="K153" s="1138"/>
      <c r="L153" s="1126"/>
      <c r="M153" s="1138"/>
      <c r="N153" s="1126"/>
      <c r="O153" s="1138"/>
      <c r="P153" s="1126"/>
      <c r="Q153" s="1138"/>
      <c r="R153" s="1120"/>
      <c r="S153" s="1138"/>
      <c r="T153" s="1137"/>
      <c r="U153" s="1138"/>
      <c r="V153" s="1126"/>
      <c r="W153" s="1138"/>
      <c r="X153" s="1126"/>
      <c r="Y153" s="1138"/>
      <c r="Z153" s="1137"/>
      <c r="AA153" s="1138"/>
      <c r="AB153" s="1120"/>
      <c r="AC153" s="1138"/>
      <c r="AD153" s="1137"/>
      <c r="AE153" s="1138"/>
      <c r="AF153" s="1137"/>
      <c r="AG153" s="1138"/>
      <c r="AH153" s="1137"/>
      <c r="AI153" s="1138"/>
      <c r="AJ153" s="1137"/>
      <c r="AK153" s="1138"/>
      <c r="AL153" s="1120"/>
      <c r="AM153" s="1138"/>
      <c r="AN153" s="1137"/>
      <c r="AO153" s="1138"/>
      <c r="AP153" s="1137"/>
      <c r="AQ153" s="1138"/>
      <c r="AR153" s="1137"/>
      <c r="AS153" s="1138"/>
      <c r="AT153" s="1126"/>
      <c r="AU153" s="1138"/>
      <c r="AV153" s="1126"/>
      <c r="AW153" s="1138"/>
      <c r="AX153" s="1126"/>
      <c r="AY153" s="1138"/>
      <c r="AZ153" s="1126"/>
      <c r="BA153" s="1138"/>
      <c r="BB153" s="1126"/>
      <c r="BC153" s="1127"/>
      <c r="BD153" s="1126"/>
      <c r="BE153" s="1127"/>
      <c r="BF153" s="1126"/>
      <c r="BG153" s="1127"/>
      <c r="BH153" s="1126"/>
      <c r="BI153" s="1127"/>
      <c r="BJ153" s="1126"/>
      <c r="BK153" s="1127"/>
      <c r="BL153" s="1152"/>
      <c r="BM153" s="1170"/>
      <c r="BN153" s="783"/>
      <c r="BO153" s="1170"/>
      <c r="BP153" s="783">
        <f t="shared" si="83"/>
        <v>1</v>
      </c>
      <c r="BQ153" s="1170">
        <f t="shared" si="84"/>
        <v>0</v>
      </c>
      <c r="BR153" s="1572">
        <f t="shared" si="87"/>
        <v>0</v>
      </c>
      <c r="BS153" s="784">
        <f t="shared" si="86"/>
        <v>0</v>
      </c>
      <c r="BT153" s="1807"/>
    </row>
    <row r="154" ht="15.75" customHeight="1">
      <c r="A154" s="1708"/>
      <c r="B154" s="1567"/>
      <c r="C154" s="1567"/>
      <c r="D154" s="1567"/>
      <c r="E154" s="1655"/>
      <c r="F154" s="1126"/>
      <c r="G154" s="1138"/>
      <c r="H154" s="1126"/>
      <c r="I154" s="1138"/>
      <c r="J154" s="1126"/>
      <c r="K154" s="1138"/>
      <c r="L154" s="1126"/>
      <c r="M154" s="1138"/>
      <c r="N154" s="1126"/>
      <c r="O154" s="1138"/>
      <c r="P154" s="1126"/>
      <c r="Q154" s="1138"/>
      <c r="R154" s="1120"/>
      <c r="S154" s="1138"/>
      <c r="T154" s="1126"/>
      <c r="U154" s="1138"/>
      <c r="V154" s="1126"/>
      <c r="W154" s="1138"/>
      <c r="X154" s="1126"/>
      <c r="Y154" s="1138"/>
      <c r="Z154" s="1126"/>
      <c r="AA154" s="1138"/>
      <c r="AB154" s="1126"/>
      <c r="AC154" s="1138"/>
      <c r="AD154" s="1137"/>
      <c r="AE154" s="1138"/>
      <c r="AF154" s="1137"/>
      <c r="AG154" s="1138"/>
      <c r="AH154" s="1137"/>
      <c r="AI154" s="1138"/>
      <c r="AJ154" s="1137"/>
      <c r="AK154" s="1138"/>
      <c r="AL154" s="1120"/>
      <c r="AM154" s="1138"/>
      <c r="AN154" s="1126"/>
      <c r="AO154" s="1138"/>
      <c r="AP154" s="1126"/>
      <c r="AQ154" s="1138"/>
      <c r="AR154" s="1126"/>
      <c r="AS154" s="1138"/>
      <c r="AT154" s="1126"/>
      <c r="AU154" s="1138"/>
      <c r="AV154" s="1126"/>
      <c r="AW154" s="1138"/>
      <c r="AX154" s="1126"/>
      <c r="AY154" s="1138"/>
      <c r="AZ154" s="1126"/>
      <c r="BA154" s="1138"/>
      <c r="BB154" s="1126"/>
      <c r="BC154" s="1127"/>
      <c r="BD154" s="1126"/>
      <c r="BE154" s="1127"/>
      <c r="BF154" s="1126"/>
      <c r="BG154" s="1127"/>
      <c r="BH154" s="1126"/>
      <c r="BI154" s="1127"/>
      <c r="BJ154" s="1126"/>
      <c r="BK154" s="1127"/>
      <c r="BL154" s="1152"/>
      <c r="BM154" s="1170"/>
      <c r="BN154" s="783"/>
      <c r="BO154" s="1170"/>
      <c r="BP154" s="783">
        <f t="shared" si="83"/>
        <v>1</v>
      </c>
      <c r="BQ154" s="1170">
        <f t="shared" si="84"/>
        <v>0</v>
      </c>
      <c r="BR154" s="1572">
        <f t="shared" si="87"/>
        <v>0</v>
      </c>
      <c r="BS154" s="784">
        <f t="shared" si="86"/>
        <v>0</v>
      </c>
      <c r="BT154" s="1610" t="s">
        <v>3104</v>
      </c>
    </row>
    <row r="155" ht="15.75" customHeight="1">
      <c r="A155" s="1679"/>
      <c r="B155" s="1796"/>
      <c r="C155" s="1796"/>
      <c r="D155" s="1796"/>
      <c r="E155" s="1179"/>
      <c r="F155" s="1909"/>
      <c r="G155" s="977"/>
      <c r="H155" s="1909"/>
      <c r="I155" s="977"/>
      <c r="J155" s="2014"/>
      <c r="K155" s="1043"/>
      <c r="L155" s="2014"/>
      <c r="M155" s="1043"/>
      <c r="N155" s="2014"/>
      <c r="O155" s="1043"/>
      <c r="P155" s="2014"/>
      <c r="Q155" s="1043"/>
      <c r="R155" s="2014"/>
      <c r="S155" s="1043"/>
      <c r="T155" s="2014"/>
      <c r="U155" s="1043"/>
      <c r="V155" s="2014"/>
      <c r="W155" s="1043"/>
      <c r="X155" s="2014"/>
      <c r="Y155" s="1043"/>
      <c r="Z155" s="2014"/>
      <c r="AA155" s="1043"/>
      <c r="AB155" s="2014"/>
      <c r="AC155" s="1043"/>
      <c r="AD155" s="2014"/>
      <c r="AE155" s="1043"/>
      <c r="AF155" s="2014"/>
      <c r="AG155" s="1043"/>
      <c r="AH155" s="2014"/>
      <c r="AI155" s="1043"/>
      <c r="AJ155" s="2014"/>
      <c r="AK155" s="1043"/>
      <c r="AL155" s="2014"/>
      <c r="AM155" s="1043"/>
      <c r="AN155" s="2014"/>
      <c r="AO155" s="1043"/>
      <c r="AP155" s="2014"/>
      <c r="AQ155" s="1043"/>
      <c r="AR155" s="2015"/>
      <c r="AS155" s="1043"/>
      <c r="AT155" s="2014"/>
      <c r="AU155" s="1043"/>
      <c r="AV155" s="2014"/>
      <c r="AW155" s="2016"/>
      <c r="AX155" s="2017"/>
      <c r="AY155" s="2016"/>
      <c r="AZ155" s="2017"/>
      <c r="BA155" s="1179"/>
      <c r="BB155" s="1683"/>
      <c r="BC155" s="1683"/>
      <c r="BD155" s="1683"/>
      <c r="BE155" s="1683"/>
      <c r="BF155" s="1683"/>
      <c r="BG155" s="1683"/>
      <c r="BH155" s="1683"/>
      <c r="BI155" s="1683"/>
      <c r="BJ155" s="1674"/>
      <c r="BK155" s="1683"/>
      <c r="BL155" s="1417"/>
      <c r="BM155" s="1798" t="s">
        <v>1365</v>
      </c>
      <c r="BN155" s="977"/>
      <c r="BO155" s="977"/>
      <c r="BP155" s="1712">
        <f t="shared" ref="BP155:BS155" si="88">SUM(BP127:BP154)</f>
        <v>2431</v>
      </c>
      <c r="BQ155" s="1714">
        <f t="shared" si="88"/>
        <v>2324</v>
      </c>
      <c r="BR155" s="1677">
        <f t="shared" si="88"/>
        <v>318157</v>
      </c>
      <c r="BS155" s="1844">
        <f t="shared" si="88"/>
        <v>351803</v>
      </c>
      <c r="BT155" s="1678">
        <f>BR155-BS155</f>
        <v>-33646</v>
      </c>
      <c r="BU155" s="1807"/>
    </row>
    <row r="156" ht="15.75" customHeight="1">
      <c r="A156" s="1679"/>
      <c r="B156" s="1796"/>
      <c r="C156" s="1796"/>
      <c r="D156" s="1796"/>
      <c r="E156" s="1913"/>
      <c r="F156" s="1918"/>
      <c r="G156" s="1914"/>
      <c r="H156" s="1918"/>
      <c r="I156" s="1914"/>
      <c r="J156" s="1918"/>
      <c r="K156" s="1914"/>
      <c r="L156" s="1918"/>
      <c r="M156" s="1914"/>
      <c r="N156" s="1918"/>
      <c r="O156" s="1914"/>
      <c r="P156" s="1918"/>
      <c r="Q156" s="1914"/>
      <c r="R156" s="1918"/>
      <c r="S156" s="1914"/>
      <c r="T156" s="1918"/>
      <c r="U156" s="1914"/>
      <c r="V156" s="1918"/>
      <c r="W156" s="1914"/>
      <c r="X156" s="1918"/>
      <c r="Y156" s="1914"/>
      <c r="Z156" s="1918"/>
      <c r="AA156" s="1914"/>
      <c r="AB156" s="1918"/>
      <c r="AC156" s="1914"/>
      <c r="AD156" s="1918"/>
      <c r="AE156" s="1914"/>
      <c r="AF156" s="1918"/>
      <c r="AG156" s="1914"/>
      <c r="AH156" s="1918"/>
      <c r="AI156" s="1914"/>
      <c r="AJ156" s="1918"/>
      <c r="AK156" s="1914"/>
      <c r="AL156" s="1918"/>
      <c r="AM156" s="1914"/>
      <c r="AN156" s="1918"/>
      <c r="AO156" s="1914"/>
      <c r="AP156" s="1918"/>
      <c r="AQ156" s="1914"/>
      <c r="AR156" s="1918"/>
      <c r="AS156" s="1914"/>
      <c r="AT156" s="1918"/>
      <c r="AU156" s="1915"/>
      <c r="AV156" s="1919"/>
      <c r="AW156" s="1915"/>
      <c r="AX156" s="1918"/>
      <c r="AY156" s="1915"/>
      <c r="AZ156" s="1918"/>
      <c r="BA156" s="1915"/>
      <c r="BB156" s="1919"/>
      <c r="BC156" s="1919"/>
      <c r="BD156" s="1919"/>
      <c r="BE156" s="1919"/>
      <c r="BF156" s="1919"/>
      <c r="BG156" s="1919"/>
      <c r="BH156" s="1919"/>
      <c r="BI156" s="1919"/>
      <c r="BJ156" s="1918"/>
      <c r="BK156" s="1919"/>
      <c r="BL156" s="1915"/>
      <c r="BM156" s="1919"/>
      <c r="BN156" s="1915"/>
      <c r="BO156" s="1915"/>
      <c r="BP156" s="1915"/>
      <c r="BQ156" s="633"/>
      <c r="BR156" s="633"/>
      <c r="BS156" s="541"/>
      <c r="BT156" s="684"/>
      <c r="BU156" s="541"/>
    </row>
    <row r="157" ht="15.75" customHeight="1">
      <c r="A157" s="1679"/>
      <c r="B157" s="1796"/>
      <c r="C157" s="1796"/>
      <c r="D157" s="1796"/>
      <c r="E157" s="1671"/>
      <c r="F157" s="1919"/>
      <c r="G157" s="1915"/>
      <c r="H157" s="1919"/>
      <c r="I157" s="1915"/>
      <c r="J157" s="1919"/>
      <c r="K157" s="1915"/>
      <c r="L157" s="1919"/>
      <c r="M157" s="1915"/>
      <c r="N157" s="1919"/>
      <c r="O157" s="1915"/>
      <c r="P157" s="1919"/>
      <c r="Q157" s="1915"/>
      <c r="R157" s="1919"/>
      <c r="S157" s="1915"/>
      <c r="T157" s="1919"/>
      <c r="U157" s="1915"/>
      <c r="V157" s="1919"/>
      <c r="W157" s="1915"/>
      <c r="X157" s="1919"/>
      <c r="Y157" s="1915"/>
      <c r="Z157" s="1919"/>
      <c r="AA157" s="1915"/>
      <c r="AB157" s="1919"/>
      <c r="AC157" s="1915"/>
      <c r="AD157" s="1919"/>
      <c r="AE157" s="1915"/>
      <c r="AF157" s="1919"/>
      <c r="AG157" s="1915"/>
      <c r="AH157" s="1919"/>
      <c r="AI157" s="1915"/>
      <c r="AJ157" s="1919"/>
      <c r="AK157" s="1915"/>
      <c r="AL157" s="1919"/>
      <c r="AM157" s="1915"/>
      <c r="AN157" s="1919"/>
      <c r="AO157" s="1919"/>
      <c r="AP157" s="1919"/>
      <c r="AQ157" s="1919"/>
      <c r="AR157" s="1919"/>
      <c r="AS157" s="1915"/>
      <c r="AT157" s="1919"/>
      <c r="AU157" s="1915"/>
      <c r="AV157" s="1919"/>
      <c r="AW157" s="1915"/>
      <c r="AX157" s="1918"/>
      <c r="AY157" s="1915"/>
      <c r="AZ157" s="1918"/>
      <c r="BA157" s="1915"/>
      <c r="BB157" s="1919"/>
      <c r="BC157" s="1919"/>
      <c r="BD157" s="1919"/>
      <c r="BE157" s="1919"/>
      <c r="BF157" s="1919"/>
      <c r="BG157" s="1919"/>
      <c r="BH157" s="1919"/>
      <c r="BI157" s="1919"/>
      <c r="BJ157" s="1918"/>
      <c r="BK157" s="1919"/>
      <c r="BL157" s="1915"/>
      <c r="BM157" s="1919"/>
      <c r="BN157" s="1915"/>
      <c r="BO157" s="1915"/>
      <c r="BP157" s="1915"/>
      <c r="BQ157" s="629"/>
      <c r="BR157" s="629"/>
      <c r="BS157" s="541"/>
      <c r="BT157" s="684"/>
      <c r="BU157" s="541"/>
    </row>
    <row r="158" ht="15.75" customHeight="1">
      <c r="A158" s="1805" t="s">
        <v>1354</v>
      </c>
      <c r="C158" s="1806">
        <v>46245.0</v>
      </c>
      <c r="D158" s="532"/>
      <c r="E158" s="908" t="s">
        <v>3106</v>
      </c>
      <c r="F158" s="1921"/>
      <c r="G158" s="1921"/>
      <c r="H158" s="1921"/>
      <c r="I158" s="1921"/>
      <c r="J158" s="1921" t="s">
        <v>1356</v>
      </c>
      <c r="K158" s="1921"/>
      <c r="L158" s="1921"/>
      <c r="M158" s="1921"/>
      <c r="N158" s="1921"/>
      <c r="O158" s="1921"/>
      <c r="P158" s="1921"/>
      <c r="Q158" s="1921"/>
      <c r="R158" s="1921"/>
      <c r="S158" s="1921"/>
      <c r="T158" s="1921"/>
      <c r="U158" s="1921"/>
      <c r="V158" s="1921"/>
      <c r="W158" s="1921"/>
      <c r="X158" s="1921"/>
      <c r="Y158" s="1921"/>
      <c r="Z158" s="1921"/>
      <c r="AA158" s="1921"/>
      <c r="AB158" s="1921"/>
      <c r="AC158" s="1921"/>
      <c r="AD158" s="1921"/>
      <c r="AE158" s="1921"/>
      <c r="AF158" s="1921"/>
      <c r="AG158" s="1921"/>
      <c r="AH158" s="1921"/>
      <c r="AI158" s="1921"/>
      <c r="AJ158" s="1921"/>
      <c r="AK158" s="1921"/>
      <c r="AL158" s="1921"/>
      <c r="AM158" s="1921"/>
      <c r="AN158" s="1921"/>
      <c r="AO158" s="1921"/>
      <c r="AP158" s="1921"/>
      <c r="AQ158" s="1921"/>
      <c r="AR158" s="1921"/>
      <c r="AS158" s="1921"/>
      <c r="AT158" s="1921"/>
      <c r="AU158" s="1921"/>
      <c r="AV158" s="1921"/>
      <c r="AW158" s="1921"/>
      <c r="AX158" s="1923"/>
      <c r="AY158" s="1921"/>
      <c r="AZ158" s="1923"/>
      <c r="BA158" s="1921"/>
      <c r="BB158" s="1921"/>
      <c r="BC158" s="1921"/>
      <c r="BD158" s="1921"/>
      <c r="BE158" s="1921"/>
      <c r="BF158" s="1921"/>
      <c r="BG158" s="1921"/>
      <c r="BH158" s="1921"/>
      <c r="BI158" s="1921"/>
      <c r="BJ158" s="1923"/>
      <c r="BK158" s="1921"/>
      <c r="BL158" s="1921"/>
      <c r="BM158" s="1921"/>
      <c r="BN158" s="1921"/>
      <c r="BO158" s="1921"/>
      <c r="BP158" s="1921"/>
      <c r="BQ158" s="1968"/>
      <c r="BR158" s="1968"/>
      <c r="BS158" s="1748"/>
      <c r="BT158" s="1545"/>
      <c r="BU158" s="1748"/>
    </row>
    <row r="159" ht="17.25" customHeight="1">
      <c r="A159" s="1808" t="s">
        <v>3069</v>
      </c>
      <c r="B159" s="1557" t="s">
        <v>1283</v>
      </c>
      <c r="C159" s="1557" t="s">
        <v>19</v>
      </c>
      <c r="D159" s="1734" t="s">
        <v>473</v>
      </c>
      <c r="E159" s="1925" t="s">
        <v>471</v>
      </c>
      <c r="F159" s="1738" t="s">
        <v>1357</v>
      </c>
      <c r="G159" s="69"/>
      <c r="H159" s="1724" t="s">
        <v>1287</v>
      </c>
      <c r="I159" s="69"/>
      <c r="J159" s="1738" t="s">
        <v>1358</v>
      </c>
      <c r="K159" s="69"/>
      <c r="L159" s="1738" t="s">
        <v>1359</v>
      </c>
      <c r="M159" s="69"/>
      <c r="N159" s="1738" t="s">
        <v>1360</v>
      </c>
      <c r="O159" s="69"/>
      <c r="P159" s="1738" t="s">
        <v>1361</v>
      </c>
      <c r="Q159" s="69"/>
      <c r="R159" s="1724" t="s">
        <v>1362</v>
      </c>
      <c r="S159" s="69"/>
      <c r="T159" s="1724" t="s">
        <v>1299</v>
      </c>
      <c r="U159" s="69"/>
      <c r="V159" s="1724" t="s">
        <v>1301</v>
      </c>
      <c r="W159" s="69"/>
      <c r="X159" s="1724" t="s">
        <v>1363</v>
      </c>
      <c r="Y159" s="69"/>
      <c r="Z159" s="1724" t="s">
        <v>1305</v>
      </c>
      <c r="AA159" s="69"/>
      <c r="AB159" s="1724" t="s">
        <v>1307</v>
      </c>
      <c r="AC159" s="69"/>
      <c r="AD159" s="1724" t="s">
        <v>1309</v>
      </c>
      <c r="AE159" s="69"/>
      <c r="AF159" s="1724" t="s">
        <v>1311</v>
      </c>
      <c r="AG159" s="69"/>
      <c r="AH159" s="1724" t="s">
        <v>1313</v>
      </c>
      <c r="AI159" s="69"/>
      <c r="AJ159" s="1724" t="s">
        <v>1315</v>
      </c>
      <c r="AK159" s="69"/>
      <c r="AL159" s="1724" t="s">
        <v>1317</v>
      </c>
      <c r="AM159" s="69"/>
      <c r="AN159" s="1724" t="s">
        <v>1319</v>
      </c>
      <c r="AO159" s="69"/>
      <c r="AP159" s="1724" t="s">
        <v>1321</v>
      </c>
      <c r="AQ159" s="69"/>
      <c r="AR159" s="1724" t="s">
        <v>1323</v>
      </c>
      <c r="AS159" s="69"/>
      <c r="AT159" s="1724" t="s">
        <v>1325</v>
      </c>
      <c r="AU159" s="69"/>
      <c r="AV159" s="1724" t="s">
        <v>1327</v>
      </c>
      <c r="AW159" s="69"/>
      <c r="AX159" s="1321" t="s">
        <v>3076</v>
      </c>
      <c r="AY159" s="69"/>
      <c r="AZ159" s="1201" t="s">
        <v>3078</v>
      </c>
      <c r="BA159" s="69"/>
      <c r="BB159" s="1201" t="s">
        <v>3080</v>
      </c>
      <c r="BC159" s="69"/>
      <c r="BD159" s="1201" t="s">
        <v>3082</v>
      </c>
      <c r="BE159" s="69"/>
      <c r="BF159" s="1201" t="s">
        <v>3084</v>
      </c>
      <c r="BG159" s="69"/>
      <c r="BH159" s="1201" t="s">
        <v>3086</v>
      </c>
      <c r="BI159" s="69"/>
      <c r="BJ159" s="1201" t="s">
        <v>3088</v>
      </c>
      <c r="BK159" s="69"/>
      <c r="BL159" s="1201" t="s">
        <v>297</v>
      </c>
      <c r="BM159" s="69"/>
      <c r="BN159" s="1201" t="s">
        <v>3090</v>
      </c>
      <c r="BO159" s="69"/>
      <c r="BP159" s="2018" t="s">
        <v>5</v>
      </c>
      <c r="BQ159" s="69"/>
      <c r="BS159" s="1927"/>
      <c r="BT159" s="629"/>
      <c r="BU159" s="1927"/>
    </row>
    <row r="160" ht="22.5" customHeight="1">
      <c r="A160" s="1698" t="str">
        <f t="shared" ref="A160:A175" si="89">A127</f>
        <v>Да</v>
      </c>
      <c r="B160" s="1978">
        <v>3014.0</v>
      </c>
      <c r="C160" s="1567">
        <v>168.0</v>
      </c>
      <c r="D160" s="1817"/>
      <c r="E160" s="721" t="str">
        <f t="shared" ref="E160:E187" si="90">E127</f>
        <v>Драники картофельные с цукини со сметаной</v>
      </c>
      <c r="F160" s="2019">
        <f t="shared" ref="F160:F183" si="91">G127</f>
        <v>3</v>
      </c>
      <c r="G160" s="69"/>
      <c r="H160" s="2019">
        <f t="shared" ref="H160:H183" si="92">I127</f>
        <v>2</v>
      </c>
      <c r="I160" s="69"/>
      <c r="J160" s="2019">
        <f t="shared" ref="J160:J183" si="93">K127</f>
        <v>5</v>
      </c>
      <c r="K160" s="69"/>
      <c r="L160" s="2019">
        <f t="shared" ref="L160:L183" si="94">M127</f>
        <v>4</v>
      </c>
      <c r="M160" s="69"/>
      <c r="N160" s="2019">
        <f t="shared" ref="N160:N183" si="95">O127</f>
        <v>6</v>
      </c>
      <c r="O160" s="69"/>
      <c r="P160" s="2019">
        <f t="shared" ref="P160:P183" si="96">Q127</f>
        <v>2</v>
      </c>
      <c r="Q160" s="69"/>
      <c r="R160" s="2019">
        <f t="shared" ref="R160:R183" si="97">S127</f>
        <v>2</v>
      </c>
      <c r="S160" s="69"/>
      <c r="T160" s="2019">
        <f t="shared" ref="T160:T183" si="98">U127</f>
        <v>3</v>
      </c>
      <c r="U160" s="69"/>
      <c r="V160" s="2019">
        <f t="shared" ref="V160:V183" si="99">W127</f>
        <v>8</v>
      </c>
      <c r="W160" s="69"/>
      <c r="X160" s="2019">
        <f t="shared" ref="X160:X183" si="100">Y127</f>
        <v>4</v>
      </c>
      <c r="Y160" s="69"/>
      <c r="Z160" s="2019" t="str">
        <f t="shared" ref="Z160:Z183" si="101">AA127</f>
        <v/>
      </c>
      <c r="AA160" s="69"/>
      <c r="AB160" s="2019">
        <f t="shared" ref="AB160:AB183" si="102">AC127</f>
        <v>4</v>
      </c>
      <c r="AC160" s="69"/>
      <c r="AD160" s="2021">
        <f t="shared" ref="AD160:AD183" si="103">AE127</f>
        <v>1</v>
      </c>
      <c r="AE160" s="69"/>
      <c r="AF160" s="2021">
        <f t="shared" ref="AF160:AF183" si="104">AG127</f>
        <v>6</v>
      </c>
      <c r="AG160" s="69"/>
      <c r="AH160" s="2021">
        <f t="shared" ref="AH160:AH183" si="105">AI127</f>
        <v>4</v>
      </c>
      <c r="AI160" s="69"/>
      <c r="AJ160" s="2021">
        <f t="shared" ref="AJ160:AJ183" si="106">AK127</f>
        <v>4</v>
      </c>
      <c r="AK160" s="69"/>
      <c r="AL160" s="2021">
        <f t="shared" ref="AL160:AL183" si="107">AM127</f>
        <v>2</v>
      </c>
      <c r="AM160" s="69"/>
      <c r="AN160" s="2021" t="str">
        <f t="shared" ref="AN160:AN183" si="108">AO127</f>
        <v/>
      </c>
      <c r="AO160" s="69"/>
      <c r="AP160" s="2021">
        <f t="shared" ref="AP160:AP183" si="109">AQ127</f>
        <v>3</v>
      </c>
      <c r="AQ160" s="69"/>
      <c r="AR160" s="2021">
        <f t="shared" ref="AR160:AR183" si="110">AS127</f>
        <v>11</v>
      </c>
      <c r="AS160" s="69"/>
      <c r="AT160" s="2021">
        <f t="shared" ref="AT160:AT183" si="111">AU127</f>
        <v>4</v>
      </c>
      <c r="AU160" s="69"/>
      <c r="AV160" s="2021">
        <f t="shared" ref="AV160:AV183" si="112">AW127</f>
        <v>2</v>
      </c>
      <c r="AW160" s="69"/>
      <c r="AX160" s="2022">
        <f t="shared" ref="AX160:AX183" si="113">AY127</f>
        <v>5</v>
      </c>
      <c r="AY160" s="69"/>
      <c r="AZ160" s="2022">
        <f t="shared" ref="AZ160:AZ183" si="114">BA127</f>
        <v>3</v>
      </c>
      <c r="BA160" s="69"/>
      <c r="BB160" s="2022">
        <f t="shared" ref="BB160:BB183" si="115">BC127</f>
        <v>3</v>
      </c>
      <c r="BC160" s="69"/>
      <c r="BD160" s="2022">
        <f t="shared" ref="BD160:BD183" si="116">BE127</f>
        <v>4</v>
      </c>
      <c r="BE160" s="69"/>
      <c r="BF160" s="2022">
        <f t="shared" ref="BF160:BF183" si="117">BG127</f>
        <v>8</v>
      </c>
      <c r="BG160" s="69"/>
      <c r="BH160" s="2022">
        <f t="shared" ref="BH160:BH183" si="118">BI127</f>
        <v>6</v>
      </c>
      <c r="BI160" s="69"/>
      <c r="BJ160" s="2022">
        <f t="shared" ref="BJ160:BJ184" si="119">BK127</f>
        <v>3</v>
      </c>
      <c r="BK160" s="69"/>
      <c r="BL160" s="2022" t="str">
        <f t="shared" ref="BL160:BL183" si="120">BM127</f>
        <v/>
      </c>
      <c r="BM160" s="69"/>
      <c r="BN160" s="1321" t="str">
        <f t="shared" ref="BN160:BN183" si="121">BO127</f>
        <v/>
      </c>
      <c r="BO160" s="69"/>
      <c r="BP160" s="1724">
        <f t="shared" ref="BP160:BP187" si="122">SUM(F160:BO160)</f>
        <v>112</v>
      </c>
      <c r="BQ160" s="69"/>
      <c r="BS160" s="541"/>
      <c r="BT160" s="684"/>
      <c r="BU160" s="541"/>
    </row>
    <row r="161" ht="22.5" customHeight="1">
      <c r="A161" s="1698" t="str">
        <f t="shared" si="89"/>
        <v>Да</v>
      </c>
      <c r="B161" s="1978">
        <v>138.0</v>
      </c>
      <c r="C161" s="1567">
        <v>83.0</v>
      </c>
      <c r="D161" s="1817"/>
      <c r="E161" s="721" t="str">
        <f t="shared" si="90"/>
        <v>Каша рисовая (на молоке)</v>
      </c>
      <c r="F161" s="2019">
        <f t="shared" si="91"/>
        <v>3</v>
      </c>
      <c r="G161" s="69"/>
      <c r="H161" s="2019">
        <f t="shared" si="92"/>
        <v>3</v>
      </c>
      <c r="I161" s="69"/>
      <c r="J161" s="2019">
        <f t="shared" si="93"/>
        <v>4</v>
      </c>
      <c r="K161" s="69"/>
      <c r="L161" s="2019">
        <f t="shared" si="94"/>
        <v>2</v>
      </c>
      <c r="M161" s="69"/>
      <c r="N161" s="2019">
        <f t="shared" si="95"/>
        <v>7</v>
      </c>
      <c r="O161" s="69"/>
      <c r="P161" s="2019">
        <f t="shared" si="96"/>
        <v>8</v>
      </c>
      <c r="Q161" s="69"/>
      <c r="R161" s="2019">
        <f t="shared" si="97"/>
        <v>2</v>
      </c>
      <c r="S161" s="69"/>
      <c r="T161" s="2019">
        <f t="shared" si="98"/>
        <v>3</v>
      </c>
      <c r="U161" s="69"/>
      <c r="V161" s="2019">
        <f t="shared" si="99"/>
        <v>4</v>
      </c>
      <c r="W161" s="69"/>
      <c r="X161" s="2019">
        <f t="shared" si="100"/>
        <v>5</v>
      </c>
      <c r="Y161" s="69"/>
      <c r="Z161" s="2019" t="str">
        <f t="shared" si="101"/>
        <v/>
      </c>
      <c r="AA161" s="69"/>
      <c r="AB161" s="2019">
        <f t="shared" si="102"/>
        <v>2</v>
      </c>
      <c r="AC161" s="69"/>
      <c r="AD161" s="2021">
        <f t="shared" si="103"/>
        <v>2</v>
      </c>
      <c r="AE161" s="69"/>
      <c r="AF161" s="2021">
        <f t="shared" si="104"/>
        <v>4</v>
      </c>
      <c r="AG161" s="69"/>
      <c r="AH161" s="2021">
        <f t="shared" si="105"/>
        <v>6</v>
      </c>
      <c r="AI161" s="69"/>
      <c r="AJ161" s="2021">
        <f t="shared" si="106"/>
        <v>5</v>
      </c>
      <c r="AK161" s="69"/>
      <c r="AL161" s="2021">
        <f t="shared" si="107"/>
        <v>0</v>
      </c>
      <c r="AM161" s="69"/>
      <c r="AN161" s="2021" t="str">
        <f t="shared" si="108"/>
        <v/>
      </c>
      <c r="AO161" s="69"/>
      <c r="AP161" s="2021">
        <f t="shared" si="109"/>
        <v>3</v>
      </c>
      <c r="AQ161" s="69"/>
      <c r="AR161" s="2021">
        <f t="shared" si="110"/>
        <v>5</v>
      </c>
      <c r="AS161" s="69"/>
      <c r="AT161" s="2021">
        <f t="shared" si="111"/>
        <v>2</v>
      </c>
      <c r="AU161" s="69"/>
      <c r="AV161" s="2021">
        <f t="shared" si="112"/>
        <v>1</v>
      </c>
      <c r="AW161" s="69"/>
      <c r="AX161" s="2022">
        <f t="shared" si="113"/>
        <v>3</v>
      </c>
      <c r="AY161" s="69"/>
      <c r="AZ161" s="2022">
        <f t="shared" si="114"/>
        <v>3</v>
      </c>
      <c r="BA161" s="69"/>
      <c r="BB161" s="2022">
        <f t="shared" si="115"/>
        <v>3</v>
      </c>
      <c r="BC161" s="69"/>
      <c r="BD161" s="2022">
        <f t="shared" si="116"/>
        <v>0</v>
      </c>
      <c r="BE161" s="69"/>
      <c r="BF161" s="2022">
        <f t="shared" si="117"/>
        <v>4</v>
      </c>
      <c r="BG161" s="69"/>
      <c r="BH161" s="2022">
        <f t="shared" si="118"/>
        <v>2</v>
      </c>
      <c r="BI161" s="69"/>
      <c r="BJ161" s="2022">
        <f t="shared" si="119"/>
        <v>4</v>
      </c>
      <c r="BK161" s="69"/>
      <c r="BL161" s="2022" t="str">
        <f t="shared" si="120"/>
        <v/>
      </c>
      <c r="BM161" s="69"/>
      <c r="BN161" s="1321" t="str">
        <f t="shared" si="121"/>
        <v/>
      </c>
      <c r="BO161" s="69"/>
      <c r="BP161" s="1724">
        <f t="shared" si="122"/>
        <v>90</v>
      </c>
      <c r="BQ161" s="69"/>
      <c r="BS161" s="541"/>
      <c r="BT161" s="684"/>
      <c r="BU161" s="541"/>
    </row>
    <row r="162" ht="22.5" customHeight="1">
      <c r="A162" s="1698" t="str">
        <f t="shared" si="89"/>
        <v>Да</v>
      </c>
      <c r="B162" s="1978">
        <v>2762.0</v>
      </c>
      <c r="C162" s="1567">
        <v>174.0</v>
      </c>
      <c r="D162" s="1817"/>
      <c r="E162" s="721" t="str">
        <f t="shared" si="90"/>
        <v>Запеканка творожная с курагой</v>
      </c>
      <c r="F162" s="2019">
        <f t="shared" si="91"/>
        <v>6</v>
      </c>
      <c r="G162" s="69"/>
      <c r="H162" s="2019">
        <f t="shared" si="92"/>
        <v>2</v>
      </c>
      <c r="I162" s="69"/>
      <c r="J162" s="2019">
        <f t="shared" si="93"/>
        <v>7</v>
      </c>
      <c r="K162" s="69"/>
      <c r="L162" s="2019">
        <f t="shared" si="94"/>
        <v>3</v>
      </c>
      <c r="M162" s="69"/>
      <c r="N162" s="2019">
        <f t="shared" si="95"/>
        <v>9</v>
      </c>
      <c r="O162" s="69"/>
      <c r="P162" s="2019">
        <f t="shared" si="96"/>
        <v>3</v>
      </c>
      <c r="Q162" s="69"/>
      <c r="R162" s="2019">
        <f t="shared" si="97"/>
        <v>2</v>
      </c>
      <c r="S162" s="69"/>
      <c r="T162" s="2019">
        <f t="shared" si="98"/>
        <v>3</v>
      </c>
      <c r="U162" s="69"/>
      <c r="V162" s="2019">
        <f t="shared" si="99"/>
        <v>2</v>
      </c>
      <c r="W162" s="69"/>
      <c r="X162" s="2019">
        <f t="shared" si="100"/>
        <v>3</v>
      </c>
      <c r="Y162" s="69"/>
      <c r="Z162" s="2019" t="str">
        <f t="shared" si="101"/>
        <v/>
      </c>
      <c r="AA162" s="69"/>
      <c r="AB162" s="2019">
        <f t="shared" si="102"/>
        <v>4</v>
      </c>
      <c r="AC162" s="69"/>
      <c r="AD162" s="2019">
        <f t="shared" si="103"/>
        <v>2</v>
      </c>
      <c r="AE162" s="69"/>
      <c r="AF162" s="2019">
        <f t="shared" si="104"/>
        <v>10</v>
      </c>
      <c r="AG162" s="69"/>
      <c r="AH162" s="2019">
        <f t="shared" si="105"/>
        <v>3</v>
      </c>
      <c r="AI162" s="69"/>
      <c r="AJ162" s="2019">
        <f t="shared" si="106"/>
        <v>5</v>
      </c>
      <c r="AK162" s="69"/>
      <c r="AL162" s="2019">
        <f t="shared" si="107"/>
        <v>3</v>
      </c>
      <c r="AM162" s="69"/>
      <c r="AN162" s="2019" t="str">
        <f t="shared" si="108"/>
        <v/>
      </c>
      <c r="AO162" s="69"/>
      <c r="AP162" s="2019">
        <f t="shared" si="109"/>
        <v>3</v>
      </c>
      <c r="AQ162" s="69"/>
      <c r="AR162" s="2021">
        <f t="shared" si="110"/>
        <v>14</v>
      </c>
      <c r="AS162" s="69"/>
      <c r="AT162" s="2021">
        <f t="shared" si="111"/>
        <v>4</v>
      </c>
      <c r="AU162" s="69"/>
      <c r="AV162" s="2021">
        <f t="shared" si="112"/>
        <v>3</v>
      </c>
      <c r="AW162" s="69"/>
      <c r="AX162" s="2022">
        <f t="shared" si="113"/>
        <v>5</v>
      </c>
      <c r="AY162" s="69"/>
      <c r="AZ162" s="2022">
        <f t="shared" si="114"/>
        <v>1</v>
      </c>
      <c r="BA162" s="69"/>
      <c r="BB162" s="2022">
        <f t="shared" si="115"/>
        <v>3</v>
      </c>
      <c r="BC162" s="69"/>
      <c r="BD162" s="2022">
        <f t="shared" si="116"/>
        <v>3</v>
      </c>
      <c r="BE162" s="69"/>
      <c r="BF162" s="2022">
        <f t="shared" si="117"/>
        <v>6</v>
      </c>
      <c r="BG162" s="69"/>
      <c r="BH162" s="2022">
        <f t="shared" si="118"/>
        <v>5</v>
      </c>
      <c r="BI162" s="69"/>
      <c r="BJ162" s="2022">
        <f t="shared" si="119"/>
        <v>7</v>
      </c>
      <c r="BK162" s="69"/>
      <c r="BL162" s="2022" t="str">
        <f t="shared" si="120"/>
        <v/>
      </c>
      <c r="BM162" s="69"/>
      <c r="BN162" s="1321" t="str">
        <f t="shared" si="121"/>
        <v/>
      </c>
      <c r="BO162" s="69"/>
      <c r="BP162" s="1724">
        <f t="shared" si="122"/>
        <v>121</v>
      </c>
      <c r="BQ162" s="69"/>
      <c r="BS162" s="541"/>
      <c r="BT162" s="684"/>
      <c r="BU162" s="541"/>
    </row>
    <row r="163" ht="22.5" customHeight="1">
      <c r="A163" s="1698" t="str">
        <f t="shared" si="89"/>
        <v>Да</v>
      </c>
      <c r="B163" s="1978">
        <v>3230.0</v>
      </c>
      <c r="C163" s="1567">
        <v>98.0</v>
      </c>
      <c r="D163" s="1817"/>
      <c r="E163" s="721" t="str">
        <f t="shared" si="90"/>
        <v>Салат ''Винегрет с капустой'' 120 г</v>
      </c>
      <c r="F163" s="2019">
        <f t="shared" si="91"/>
        <v>1</v>
      </c>
      <c r="G163" s="69"/>
      <c r="H163" s="2019">
        <f t="shared" si="92"/>
        <v>4</v>
      </c>
      <c r="I163" s="69"/>
      <c r="J163" s="2019">
        <f t="shared" si="93"/>
        <v>5</v>
      </c>
      <c r="K163" s="69"/>
      <c r="L163" s="2019">
        <f t="shared" si="94"/>
        <v>2</v>
      </c>
      <c r="M163" s="69"/>
      <c r="N163" s="2019">
        <f t="shared" si="95"/>
        <v>8</v>
      </c>
      <c r="O163" s="69"/>
      <c r="P163" s="2019">
        <f t="shared" si="96"/>
        <v>3</v>
      </c>
      <c r="Q163" s="69"/>
      <c r="R163" s="2019">
        <f t="shared" si="97"/>
        <v>1</v>
      </c>
      <c r="S163" s="69"/>
      <c r="T163" s="2019">
        <f t="shared" si="98"/>
        <v>4</v>
      </c>
      <c r="U163" s="69"/>
      <c r="V163" s="2019">
        <f t="shared" si="99"/>
        <v>2</v>
      </c>
      <c r="W163" s="69"/>
      <c r="X163" s="2019">
        <f t="shared" si="100"/>
        <v>0</v>
      </c>
      <c r="Y163" s="69"/>
      <c r="Z163" s="2019" t="str">
        <f t="shared" si="101"/>
        <v/>
      </c>
      <c r="AA163" s="69"/>
      <c r="AB163" s="2019">
        <f t="shared" si="102"/>
        <v>2</v>
      </c>
      <c r="AC163" s="69"/>
      <c r="AD163" s="2019">
        <f t="shared" si="103"/>
        <v>2</v>
      </c>
      <c r="AE163" s="69"/>
      <c r="AF163" s="2019">
        <f t="shared" si="104"/>
        <v>3</v>
      </c>
      <c r="AG163" s="69"/>
      <c r="AH163" s="2019">
        <f t="shared" si="105"/>
        <v>4</v>
      </c>
      <c r="AI163" s="69"/>
      <c r="AJ163" s="2019">
        <f t="shared" si="106"/>
        <v>2</v>
      </c>
      <c r="AK163" s="69"/>
      <c r="AL163" s="2019">
        <f t="shared" si="107"/>
        <v>0</v>
      </c>
      <c r="AM163" s="69"/>
      <c r="AN163" s="2019" t="str">
        <f t="shared" si="108"/>
        <v/>
      </c>
      <c r="AO163" s="69"/>
      <c r="AP163" s="2019">
        <f t="shared" si="109"/>
        <v>2</v>
      </c>
      <c r="AQ163" s="69"/>
      <c r="AR163" s="2021">
        <f t="shared" si="110"/>
        <v>3</v>
      </c>
      <c r="AS163" s="69"/>
      <c r="AT163" s="2021">
        <f t="shared" si="111"/>
        <v>4</v>
      </c>
      <c r="AU163" s="69"/>
      <c r="AV163" s="2021">
        <f t="shared" si="112"/>
        <v>3</v>
      </c>
      <c r="AW163" s="69"/>
      <c r="AX163" s="2022">
        <f t="shared" si="113"/>
        <v>4</v>
      </c>
      <c r="AY163" s="69"/>
      <c r="AZ163" s="2022">
        <f t="shared" si="114"/>
        <v>2</v>
      </c>
      <c r="BA163" s="69"/>
      <c r="BB163" s="2022">
        <f t="shared" si="115"/>
        <v>2</v>
      </c>
      <c r="BC163" s="69"/>
      <c r="BD163" s="2022">
        <f t="shared" si="116"/>
        <v>3</v>
      </c>
      <c r="BE163" s="69"/>
      <c r="BF163" s="2022">
        <f t="shared" si="117"/>
        <v>2</v>
      </c>
      <c r="BG163" s="69"/>
      <c r="BH163" s="2022">
        <f t="shared" si="118"/>
        <v>2</v>
      </c>
      <c r="BI163" s="69"/>
      <c r="BJ163" s="2022">
        <f t="shared" si="119"/>
        <v>3</v>
      </c>
      <c r="BK163" s="69"/>
      <c r="BL163" s="2022">
        <f t="shared" si="120"/>
        <v>44</v>
      </c>
      <c r="BM163" s="69"/>
      <c r="BN163" s="1321" t="str">
        <f t="shared" si="121"/>
        <v/>
      </c>
      <c r="BO163" s="69"/>
      <c r="BP163" s="1724">
        <f t="shared" si="122"/>
        <v>117</v>
      </c>
      <c r="BQ163" s="69"/>
      <c r="BS163" s="541"/>
      <c r="BT163" s="684"/>
      <c r="BU163" s="541"/>
    </row>
    <row r="164" ht="22.5" customHeight="1">
      <c r="A164" s="1698" t="str">
        <f t="shared" si="89"/>
        <v>Да</v>
      </c>
      <c r="B164" s="1978">
        <v>3301.0</v>
      </c>
      <c r="C164" s="1567">
        <v>98.0</v>
      </c>
      <c r="D164" s="1817"/>
      <c r="E164" s="721" t="str">
        <f t="shared" si="90"/>
        <v>Салат ''Блинный'' (ветчина куриная)</v>
      </c>
      <c r="F164" s="2019">
        <f t="shared" si="91"/>
        <v>10</v>
      </c>
      <c r="G164" s="69"/>
      <c r="H164" s="2019">
        <f t="shared" si="92"/>
        <v>3</v>
      </c>
      <c r="I164" s="69"/>
      <c r="J164" s="2019">
        <f t="shared" si="93"/>
        <v>5</v>
      </c>
      <c r="K164" s="69"/>
      <c r="L164" s="2019">
        <f t="shared" si="94"/>
        <v>2</v>
      </c>
      <c r="M164" s="69"/>
      <c r="N164" s="2019">
        <f t="shared" si="95"/>
        <v>12</v>
      </c>
      <c r="O164" s="69"/>
      <c r="P164" s="2019">
        <f t="shared" si="96"/>
        <v>16</v>
      </c>
      <c r="Q164" s="69"/>
      <c r="R164" s="2019">
        <f t="shared" si="97"/>
        <v>5</v>
      </c>
      <c r="S164" s="69"/>
      <c r="T164" s="2019">
        <f t="shared" si="98"/>
        <v>7</v>
      </c>
      <c r="U164" s="69"/>
      <c r="V164" s="2019">
        <f t="shared" si="99"/>
        <v>5</v>
      </c>
      <c r="W164" s="69"/>
      <c r="X164" s="2019">
        <f t="shared" si="100"/>
        <v>3</v>
      </c>
      <c r="Y164" s="69"/>
      <c r="Z164" s="2019" t="str">
        <f t="shared" si="101"/>
        <v/>
      </c>
      <c r="AA164" s="69"/>
      <c r="AB164" s="2019">
        <f t="shared" si="102"/>
        <v>3</v>
      </c>
      <c r="AC164" s="69"/>
      <c r="AD164" s="2019">
        <f t="shared" si="103"/>
        <v>4</v>
      </c>
      <c r="AE164" s="69"/>
      <c r="AF164" s="2019">
        <f t="shared" si="104"/>
        <v>5</v>
      </c>
      <c r="AG164" s="69"/>
      <c r="AH164" s="2019">
        <f t="shared" si="105"/>
        <v>7</v>
      </c>
      <c r="AI164" s="69"/>
      <c r="AJ164" s="2019">
        <f t="shared" si="106"/>
        <v>4</v>
      </c>
      <c r="AK164" s="69"/>
      <c r="AL164" s="2019">
        <f t="shared" si="107"/>
        <v>2</v>
      </c>
      <c r="AM164" s="69"/>
      <c r="AN164" s="2019" t="str">
        <f t="shared" si="108"/>
        <v/>
      </c>
      <c r="AO164" s="69"/>
      <c r="AP164" s="2019">
        <f t="shared" si="109"/>
        <v>4</v>
      </c>
      <c r="AQ164" s="69"/>
      <c r="AR164" s="2021">
        <f t="shared" si="110"/>
        <v>12</v>
      </c>
      <c r="AS164" s="69"/>
      <c r="AT164" s="2021">
        <f t="shared" si="111"/>
        <v>7</v>
      </c>
      <c r="AU164" s="69"/>
      <c r="AV164" s="2021">
        <f t="shared" si="112"/>
        <v>3</v>
      </c>
      <c r="AW164" s="69"/>
      <c r="AX164" s="2022">
        <f t="shared" si="113"/>
        <v>7</v>
      </c>
      <c r="AY164" s="69"/>
      <c r="AZ164" s="2022">
        <f t="shared" si="114"/>
        <v>6</v>
      </c>
      <c r="BA164" s="69"/>
      <c r="BB164" s="2022">
        <f t="shared" si="115"/>
        <v>2</v>
      </c>
      <c r="BC164" s="69"/>
      <c r="BD164" s="2022">
        <f t="shared" si="116"/>
        <v>7</v>
      </c>
      <c r="BE164" s="69"/>
      <c r="BF164" s="2022">
        <f t="shared" si="117"/>
        <v>6</v>
      </c>
      <c r="BG164" s="69"/>
      <c r="BH164" s="2022">
        <f t="shared" si="118"/>
        <v>5</v>
      </c>
      <c r="BI164" s="69"/>
      <c r="BJ164" s="2022">
        <f t="shared" si="119"/>
        <v>7</v>
      </c>
      <c r="BK164" s="69"/>
      <c r="BL164" s="2022">
        <f t="shared" si="120"/>
        <v>43</v>
      </c>
      <c r="BM164" s="69"/>
      <c r="BN164" s="1321" t="str">
        <f t="shared" si="121"/>
        <v/>
      </c>
      <c r="BO164" s="69"/>
      <c r="BP164" s="1724">
        <f t="shared" si="122"/>
        <v>202</v>
      </c>
      <c r="BQ164" s="69"/>
      <c r="BS164" s="541"/>
      <c r="BT164" s="684"/>
      <c r="BU164" s="541"/>
    </row>
    <row r="165" ht="22.5" customHeight="1">
      <c r="A165" s="1698" t="str">
        <f t="shared" si="89"/>
        <v>Да</v>
      </c>
      <c r="B165" s="1978">
        <v>4038.0</v>
      </c>
      <c r="C165" s="1567">
        <v>98.0</v>
      </c>
      <c r="D165" s="1817"/>
      <c r="E165" s="721" t="str">
        <f t="shared" si="90"/>
        <v>Салат "Гавайский" (курица, ананас)</v>
      </c>
      <c r="F165" s="2019">
        <f t="shared" si="91"/>
        <v>4</v>
      </c>
      <c r="G165" s="69"/>
      <c r="H165" s="2019">
        <f t="shared" si="92"/>
        <v>0</v>
      </c>
      <c r="I165" s="69"/>
      <c r="J165" s="2019">
        <f t="shared" si="93"/>
        <v>2</v>
      </c>
      <c r="K165" s="69"/>
      <c r="L165" s="2019">
        <f t="shared" si="94"/>
        <v>2</v>
      </c>
      <c r="M165" s="69"/>
      <c r="N165" s="2019">
        <f t="shared" si="95"/>
        <v>7</v>
      </c>
      <c r="O165" s="69"/>
      <c r="P165" s="2019">
        <f t="shared" si="96"/>
        <v>5</v>
      </c>
      <c r="Q165" s="69"/>
      <c r="R165" s="2019">
        <f t="shared" si="97"/>
        <v>2</v>
      </c>
      <c r="S165" s="69"/>
      <c r="T165" s="2019">
        <f t="shared" si="98"/>
        <v>4</v>
      </c>
      <c r="U165" s="69"/>
      <c r="V165" s="2019">
        <f t="shared" si="99"/>
        <v>4</v>
      </c>
      <c r="W165" s="69"/>
      <c r="X165" s="2019">
        <f t="shared" si="100"/>
        <v>2</v>
      </c>
      <c r="Y165" s="69"/>
      <c r="Z165" s="2019" t="str">
        <f t="shared" si="101"/>
        <v/>
      </c>
      <c r="AA165" s="69"/>
      <c r="AB165" s="2019">
        <f t="shared" si="102"/>
        <v>2</v>
      </c>
      <c r="AC165" s="69"/>
      <c r="AD165" s="2019">
        <f t="shared" si="103"/>
        <v>0</v>
      </c>
      <c r="AE165" s="69"/>
      <c r="AF165" s="2019">
        <f t="shared" si="104"/>
        <v>4</v>
      </c>
      <c r="AG165" s="69"/>
      <c r="AH165" s="2019">
        <f t="shared" si="105"/>
        <v>4</v>
      </c>
      <c r="AI165" s="69"/>
      <c r="AJ165" s="2019">
        <f t="shared" si="106"/>
        <v>4</v>
      </c>
      <c r="AK165" s="69"/>
      <c r="AL165" s="2019">
        <f t="shared" si="107"/>
        <v>5</v>
      </c>
      <c r="AM165" s="69"/>
      <c r="AN165" s="2019" t="str">
        <f t="shared" si="108"/>
        <v/>
      </c>
      <c r="AO165" s="69"/>
      <c r="AP165" s="2019">
        <f t="shared" si="109"/>
        <v>3</v>
      </c>
      <c r="AQ165" s="69"/>
      <c r="AR165" s="2021">
        <f t="shared" si="110"/>
        <v>2</v>
      </c>
      <c r="AS165" s="69"/>
      <c r="AT165" s="2021">
        <f t="shared" si="111"/>
        <v>5</v>
      </c>
      <c r="AU165" s="69"/>
      <c r="AV165" s="2021">
        <f t="shared" si="112"/>
        <v>1</v>
      </c>
      <c r="AW165" s="69"/>
      <c r="AX165" s="2022">
        <f t="shared" si="113"/>
        <v>5</v>
      </c>
      <c r="AY165" s="69"/>
      <c r="AZ165" s="2022">
        <f t="shared" si="114"/>
        <v>2</v>
      </c>
      <c r="BA165" s="69"/>
      <c r="BB165" s="2022">
        <f t="shared" si="115"/>
        <v>2</v>
      </c>
      <c r="BC165" s="69"/>
      <c r="BD165" s="2022">
        <f t="shared" si="116"/>
        <v>3</v>
      </c>
      <c r="BE165" s="69"/>
      <c r="BF165" s="2022">
        <f t="shared" si="117"/>
        <v>3</v>
      </c>
      <c r="BG165" s="69"/>
      <c r="BH165" s="2022">
        <f t="shared" si="118"/>
        <v>2</v>
      </c>
      <c r="BI165" s="69"/>
      <c r="BJ165" s="2022">
        <f t="shared" si="119"/>
        <v>3</v>
      </c>
      <c r="BK165" s="69"/>
      <c r="BL165" s="2022">
        <f t="shared" si="120"/>
        <v>43</v>
      </c>
      <c r="BM165" s="69"/>
      <c r="BN165" s="1321" t="str">
        <f t="shared" si="121"/>
        <v/>
      </c>
      <c r="BO165" s="69"/>
      <c r="BP165" s="1724">
        <f t="shared" si="122"/>
        <v>125</v>
      </c>
      <c r="BQ165" s="69"/>
      <c r="BS165" s="541"/>
      <c r="BT165" s="684"/>
      <c r="BU165" s="541"/>
    </row>
    <row r="166" ht="22.5" customHeight="1">
      <c r="A166" s="1698" t="str">
        <f t="shared" si="89"/>
        <v>Да</v>
      </c>
      <c r="B166" s="1978">
        <v>4034.0</v>
      </c>
      <c r="C166" s="1567">
        <v>168.0</v>
      </c>
      <c r="D166" s="1817"/>
      <c r="E166" s="721" t="str">
        <f t="shared" si="90"/>
        <v>Гранатовый браслет 220гр </v>
      </c>
      <c r="F166" s="2019">
        <f t="shared" si="91"/>
        <v>5</v>
      </c>
      <c r="G166" s="69"/>
      <c r="H166" s="2019">
        <f t="shared" si="92"/>
        <v>0</v>
      </c>
      <c r="I166" s="69"/>
      <c r="J166" s="2019">
        <f t="shared" si="93"/>
        <v>2</v>
      </c>
      <c r="K166" s="69"/>
      <c r="L166" s="2019">
        <f t="shared" si="94"/>
        <v>2</v>
      </c>
      <c r="M166" s="69"/>
      <c r="N166" s="2019">
        <f t="shared" si="95"/>
        <v>3</v>
      </c>
      <c r="O166" s="69"/>
      <c r="P166" s="2019">
        <f t="shared" si="96"/>
        <v>4</v>
      </c>
      <c r="Q166" s="69"/>
      <c r="R166" s="2019">
        <f t="shared" si="97"/>
        <v>0</v>
      </c>
      <c r="S166" s="69"/>
      <c r="T166" s="2019">
        <f t="shared" si="98"/>
        <v>3</v>
      </c>
      <c r="U166" s="69"/>
      <c r="V166" s="2019">
        <f t="shared" si="99"/>
        <v>3</v>
      </c>
      <c r="W166" s="69"/>
      <c r="X166" s="2019">
        <f t="shared" si="100"/>
        <v>3</v>
      </c>
      <c r="Y166" s="69"/>
      <c r="Z166" s="2019" t="str">
        <f t="shared" si="101"/>
        <v/>
      </c>
      <c r="AA166" s="69"/>
      <c r="AB166" s="2019">
        <f t="shared" si="102"/>
        <v>2</v>
      </c>
      <c r="AC166" s="69"/>
      <c r="AD166" s="2019">
        <f t="shared" si="103"/>
        <v>2</v>
      </c>
      <c r="AE166" s="69"/>
      <c r="AF166" s="2019">
        <f t="shared" si="104"/>
        <v>3</v>
      </c>
      <c r="AG166" s="69"/>
      <c r="AH166" s="2019">
        <f t="shared" si="105"/>
        <v>3</v>
      </c>
      <c r="AI166" s="69"/>
      <c r="AJ166" s="2019">
        <f t="shared" si="106"/>
        <v>0</v>
      </c>
      <c r="AK166" s="69"/>
      <c r="AL166" s="2019">
        <f t="shared" si="107"/>
        <v>3</v>
      </c>
      <c r="AM166" s="69"/>
      <c r="AN166" s="2019" t="str">
        <f t="shared" si="108"/>
        <v/>
      </c>
      <c r="AO166" s="69"/>
      <c r="AP166" s="2019">
        <f t="shared" si="109"/>
        <v>1</v>
      </c>
      <c r="AQ166" s="69"/>
      <c r="AR166" s="2021">
        <f t="shared" si="110"/>
        <v>7</v>
      </c>
      <c r="AS166" s="69"/>
      <c r="AT166" s="2021">
        <f t="shared" si="111"/>
        <v>0</v>
      </c>
      <c r="AU166" s="69"/>
      <c r="AV166" s="2021">
        <f t="shared" si="112"/>
        <v>2</v>
      </c>
      <c r="AW166" s="69"/>
      <c r="AX166" s="2022">
        <f t="shared" si="113"/>
        <v>5</v>
      </c>
      <c r="AY166" s="69"/>
      <c r="AZ166" s="2022">
        <f t="shared" si="114"/>
        <v>0</v>
      </c>
      <c r="BA166" s="69"/>
      <c r="BB166" s="2022">
        <f t="shared" si="115"/>
        <v>3</v>
      </c>
      <c r="BC166" s="69"/>
      <c r="BD166" s="2022">
        <f t="shared" si="116"/>
        <v>1</v>
      </c>
      <c r="BE166" s="69"/>
      <c r="BF166" s="2022">
        <f t="shared" si="117"/>
        <v>4</v>
      </c>
      <c r="BG166" s="69"/>
      <c r="BH166" s="2022">
        <f t="shared" si="118"/>
        <v>5</v>
      </c>
      <c r="BI166" s="69"/>
      <c r="BJ166" s="2022">
        <f t="shared" si="119"/>
        <v>5</v>
      </c>
      <c r="BK166" s="69"/>
      <c r="BL166" s="2022" t="str">
        <f t="shared" si="120"/>
        <v/>
      </c>
      <c r="BM166" s="69"/>
      <c r="BN166" s="1321" t="str">
        <f t="shared" si="121"/>
        <v/>
      </c>
      <c r="BO166" s="69"/>
      <c r="BP166" s="1724">
        <f t="shared" si="122"/>
        <v>71</v>
      </c>
      <c r="BQ166" s="69"/>
      <c r="BS166" s="541"/>
      <c r="BT166" s="684"/>
      <c r="BU166" s="541"/>
    </row>
    <row r="167" ht="22.5" customHeight="1">
      <c r="A167" s="1698" t="str">
        <f t="shared" si="89"/>
        <v/>
      </c>
      <c r="B167" s="1978">
        <v>386.0</v>
      </c>
      <c r="C167" s="1567">
        <v>88.0</v>
      </c>
      <c r="D167" s="1817"/>
      <c r="E167" s="721" t="str">
        <f t="shared" si="90"/>
        <v>Суп ''Харчо'' с курицей</v>
      </c>
      <c r="F167" s="2019" t="str">
        <f t="shared" si="91"/>
        <v/>
      </c>
      <c r="G167" s="69"/>
      <c r="H167" s="2019" t="str">
        <f t="shared" si="92"/>
        <v/>
      </c>
      <c r="I167" s="69"/>
      <c r="J167" s="2019" t="str">
        <f t="shared" si="93"/>
        <v/>
      </c>
      <c r="K167" s="69"/>
      <c r="L167" s="2019" t="str">
        <f t="shared" si="94"/>
        <v/>
      </c>
      <c r="M167" s="69"/>
      <c r="N167" s="2019" t="str">
        <f t="shared" si="95"/>
        <v/>
      </c>
      <c r="O167" s="69"/>
      <c r="P167" s="2019" t="str">
        <f t="shared" si="96"/>
        <v/>
      </c>
      <c r="Q167" s="69"/>
      <c r="R167" s="2019" t="str">
        <f t="shared" si="97"/>
        <v/>
      </c>
      <c r="S167" s="69"/>
      <c r="T167" s="2019" t="str">
        <f t="shared" si="98"/>
        <v/>
      </c>
      <c r="U167" s="69"/>
      <c r="V167" s="2019" t="str">
        <f t="shared" si="99"/>
        <v/>
      </c>
      <c r="W167" s="69"/>
      <c r="X167" s="2019" t="str">
        <f t="shared" si="100"/>
        <v/>
      </c>
      <c r="Y167" s="69"/>
      <c r="Z167" s="2019" t="str">
        <f t="shared" si="101"/>
        <v/>
      </c>
      <c r="AA167" s="69"/>
      <c r="AB167" s="2019" t="str">
        <f t="shared" si="102"/>
        <v/>
      </c>
      <c r="AC167" s="69"/>
      <c r="AD167" s="2019" t="str">
        <f t="shared" si="103"/>
        <v/>
      </c>
      <c r="AE167" s="69"/>
      <c r="AF167" s="2019" t="str">
        <f t="shared" si="104"/>
        <v/>
      </c>
      <c r="AG167" s="69"/>
      <c r="AH167" s="2019" t="str">
        <f t="shared" si="105"/>
        <v/>
      </c>
      <c r="AI167" s="69"/>
      <c r="AJ167" s="2019" t="str">
        <f t="shared" si="106"/>
        <v/>
      </c>
      <c r="AK167" s="69"/>
      <c r="AL167" s="2019" t="str">
        <f t="shared" si="107"/>
        <v/>
      </c>
      <c r="AM167" s="69"/>
      <c r="AN167" s="2019" t="str">
        <f t="shared" si="108"/>
        <v/>
      </c>
      <c r="AO167" s="69"/>
      <c r="AP167" s="2019" t="str">
        <f t="shared" si="109"/>
        <v/>
      </c>
      <c r="AQ167" s="69"/>
      <c r="AR167" s="2021" t="str">
        <f t="shared" si="110"/>
        <v/>
      </c>
      <c r="AS167" s="69"/>
      <c r="AT167" s="2021" t="str">
        <f t="shared" si="111"/>
        <v/>
      </c>
      <c r="AU167" s="69"/>
      <c r="AV167" s="2021" t="str">
        <f t="shared" si="112"/>
        <v/>
      </c>
      <c r="AW167" s="69"/>
      <c r="AX167" s="2022" t="str">
        <f t="shared" si="113"/>
        <v/>
      </c>
      <c r="AY167" s="69"/>
      <c r="AZ167" s="2022" t="str">
        <f t="shared" si="114"/>
        <v/>
      </c>
      <c r="BA167" s="69"/>
      <c r="BB167" s="2022" t="str">
        <f t="shared" si="115"/>
        <v/>
      </c>
      <c r="BC167" s="69"/>
      <c r="BD167" s="2022" t="str">
        <f t="shared" si="116"/>
        <v/>
      </c>
      <c r="BE167" s="69"/>
      <c r="BF167" s="2022" t="str">
        <f t="shared" si="117"/>
        <v/>
      </c>
      <c r="BG167" s="69"/>
      <c r="BH167" s="2022" t="str">
        <f t="shared" si="118"/>
        <v/>
      </c>
      <c r="BI167" s="69"/>
      <c r="BJ167" s="2022" t="str">
        <f t="shared" si="119"/>
        <v/>
      </c>
      <c r="BK167" s="69"/>
      <c r="BL167" s="2022">
        <f t="shared" si="120"/>
        <v>120</v>
      </c>
      <c r="BM167" s="69"/>
      <c r="BN167" s="1321" t="str">
        <f t="shared" si="121"/>
        <v/>
      </c>
      <c r="BO167" s="69"/>
      <c r="BP167" s="1724">
        <f t="shared" si="122"/>
        <v>120</v>
      </c>
      <c r="BQ167" s="69"/>
      <c r="BS167" s="541"/>
      <c r="BT167" s="684"/>
      <c r="BU167" s="541"/>
    </row>
    <row r="168" ht="22.5" customHeight="1">
      <c r="A168" s="1698" t="str">
        <f t="shared" si="89"/>
        <v/>
      </c>
      <c r="B168" s="1978"/>
      <c r="C168" s="1567"/>
      <c r="D168" s="1817"/>
      <c r="E168" s="721" t="str">
        <f t="shared" si="90"/>
        <v/>
      </c>
      <c r="F168" s="2019" t="str">
        <f t="shared" si="91"/>
        <v/>
      </c>
      <c r="G168" s="69"/>
      <c r="H168" s="2019" t="str">
        <f t="shared" si="92"/>
        <v/>
      </c>
      <c r="I168" s="69"/>
      <c r="J168" s="2019" t="str">
        <f t="shared" si="93"/>
        <v/>
      </c>
      <c r="K168" s="69"/>
      <c r="L168" s="2019" t="str">
        <f t="shared" si="94"/>
        <v/>
      </c>
      <c r="M168" s="69"/>
      <c r="N168" s="2019" t="str">
        <f t="shared" si="95"/>
        <v/>
      </c>
      <c r="O168" s="69"/>
      <c r="P168" s="2019" t="str">
        <f t="shared" si="96"/>
        <v/>
      </c>
      <c r="Q168" s="69"/>
      <c r="R168" s="2019" t="str">
        <f t="shared" si="97"/>
        <v/>
      </c>
      <c r="S168" s="69"/>
      <c r="T168" s="2019" t="str">
        <f t="shared" si="98"/>
        <v/>
      </c>
      <c r="U168" s="69"/>
      <c r="V168" s="2019" t="str">
        <f t="shared" si="99"/>
        <v/>
      </c>
      <c r="W168" s="69"/>
      <c r="X168" s="2019" t="str">
        <f t="shared" si="100"/>
        <v/>
      </c>
      <c r="Y168" s="69"/>
      <c r="Z168" s="2019" t="str">
        <f t="shared" si="101"/>
        <v/>
      </c>
      <c r="AA168" s="69"/>
      <c r="AB168" s="2019" t="str">
        <f t="shared" si="102"/>
        <v/>
      </c>
      <c r="AC168" s="69"/>
      <c r="AD168" s="2019" t="str">
        <f t="shared" si="103"/>
        <v/>
      </c>
      <c r="AE168" s="69"/>
      <c r="AF168" s="2019" t="str">
        <f t="shared" si="104"/>
        <v/>
      </c>
      <c r="AG168" s="69"/>
      <c r="AH168" s="2019" t="str">
        <f t="shared" si="105"/>
        <v/>
      </c>
      <c r="AI168" s="69"/>
      <c r="AJ168" s="2019" t="str">
        <f t="shared" si="106"/>
        <v/>
      </c>
      <c r="AK168" s="69"/>
      <c r="AL168" s="2019" t="str">
        <f t="shared" si="107"/>
        <v/>
      </c>
      <c r="AM168" s="69"/>
      <c r="AN168" s="2019" t="str">
        <f t="shared" si="108"/>
        <v/>
      </c>
      <c r="AO168" s="69"/>
      <c r="AP168" s="2019" t="str">
        <f t="shared" si="109"/>
        <v/>
      </c>
      <c r="AQ168" s="69"/>
      <c r="AR168" s="2021" t="str">
        <f t="shared" si="110"/>
        <v/>
      </c>
      <c r="AS168" s="69"/>
      <c r="AT168" s="2021" t="str">
        <f t="shared" si="111"/>
        <v/>
      </c>
      <c r="AU168" s="69"/>
      <c r="AV168" s="2021" t="str">
        <f t="shared" si="112"/>
        <v/>
      </c>
      <c r="AW168" s="69"/>
      <c r="AX168" s="2022" t="str">
        <f t="shared" si="113"/>
        <v/>
      </c>
      <c r="AY168" s="69"/>
      <c r="AZ168" s="2022" t="str">
        <f t="shared" si="114"/>
        <v/>
      </c>
      <c r="BA168" s="69"/>
      <c r="BB168" s="2022" t="str">
        <f t="shared" si="115"/>
        <v/>
      </c>
      <c r="BC168" s="69"/>
      <c r="BD168" s="2022" t="str">
        <f t="shared" si="116"/>
        <v/>
      </c>
      <c r="BE168" s="69"/>
      <c r="BF168" s="2022" t="str">
        <f t="shared" si="117"/>
        <v/>
      </c>
      <c r="BG168" s="69"/>
      <c r="BH168" s="2022" t="str">
        <f t="shared" si="118"/>
        <v/>
      </c>
      <c r="BI168" s="69"/>
      <c r="BJ168" s="2022" t="str">
        <f t="shared" si="119"/>
        <v/>
      </c>
      <c r="BK168" s="69"/>
      <c r="BL168" s="2022" t="str">
        <f t="shared" si="120"/>
        <v/>
      </c>
      <c r="BM168" s="69"/>
      <c r="BN168" s="1321" t="str">
        <f t="shared" si="121"/>
        <v/>
      </c>
      <c r="BO168" s="69"/>
      <c r="BP168" s="1724">
        <f t="shared" si="122"/>
        <v>0</v>
      </c>
      <c r="BQ168" s="69"/>
      <c r="BS168" s="541"/>
      <c r="BT168" s="684"/>
      <c r="BU168" s="541"/>
    </row>
    <row r="169" ht="22.5" customHeight="1">
      <c r="A169" s="1698" t="str">
        <f t="shared" si="89"/>
        <v>Да</v>
      </c>
      <c r="B169" s="1978">
        <v>761.0</v>
      </c>
      <c r="C169" s="1567">
        <v>238.0</v>
      </c>
      <c r="D169" s="1817"/>
      <c r="E169" s="721" t="str">
        <f t="shared" si="90"/>
        <v>Бризоль с рисом и овощами</v>
      </c>
      <c r="F169" s="2019">
        <f t="shared" si="91"/>
        <v>6</v>
      </c>
      <c r="G169" s="69"/>
      <c r="H169" s="2019">
        <f t="shared" si="92"/>
        <v>4</v>
      </c>
      <c r="I169" s="69"/>
      <c r="J169" s="2019">
        <f t="shared" si="93"/>
        <v>4</v>
      </c>
      <c r="K169" s="69"/>
      <c r="L169" s="2019">
        <f t="shared" si="94"/>
        <v>7</v>
      </c>
      <c r="M169" s="69"/>
      <c r="N169" s="2019">
        <f t="shared" si="95"/>
        <v>8</v>
      </c>
      <c r="O169" s="69"/>
      <c r="P169" s="2019">
        <f t="shared" si="96"/>
        <v>6</v>
      </c>
      <c r="Q169" s="69"/>
      <c r="R169" s="2019">
        <f t="shared" si="97"/>
        <v>6</v>
      </c>
      <c r="S169" s="69"/>
      <c r="T169" s="2019">
        <f t="shared" si="98"/>
        <v>4</v>
      </c>
      <c r="U169" s="69"/>
      <c r="V169" s="2019">
        <f t="shared" si="99"/>
        <v>9</v>
      </c>
      <c r="W169" s="69"/>
      <c r="X169" s="2019">
        <f t="shared" si="100"/>
        <v>5</v>
      </c>
      <c r="Y169" s="69"/>
      <c r="Z169" s="2019" t="str">
        <f t="shared" si="101"/>
        <v/>
      </c>
      <c r="AA169" s="69"/>
      <c r="AB169" s="2019">
        <f t="shared" si="102"/>
        <v>5</v>
      </c>
      <c r="AC169" s="69"/>
      <c r="AD169" s="2019">
        <f t="shared" si="103"/>
        <v>4</v>
      </c>
      <c r="AE169" s="69"/>
      <c r="AF169" s="2019">
        <f t="shared" si="104"/>
        <v>7</v>
      </c>
      <c r="AG169" s="69"/>
      <c r="AH169" s="2019">
        <f t="shared" si="105"/>
        <v>8</v>
      </c>
      <c r="AI169" s="69"/>
      <c r="AJ169" s="2019">
        <f t="shared" si="106"/>
        <v>10</v>
      </c>
      <c r="AK169" s="69"/>
      <c r="AL169" s="2019">
        <f t="shared" si="107"/>
        <v>2</v>
      </c>
      <c r="AM169" s="69"/>
      <c r="AN169" s="2019" t="str">
        <f t="shared" si="108"/>
        <v/>
      </c>
      <c r="AO169" s="69"/>
      <c r="AP169" s="2019">
        <f t="shared" si="109"/>
        <v>2</v>
      </c>
      <c r="AQ169" s="69"/>
      <c r="AR169" s="2021">
        <f t="shared" si="110"/>
        <v>0</v>
      </c>
      <c r="AS169" s="69"/>
      <c r="AT169" s="2021">
        <f t="shared" si="111"/>
        <v>4</v>
      </c>
      <c r="AU169" s="69"/>
      <c r="AV169" s="2021">
        <f t="shared" si="112"/>
        <v>5</v>
      </c>
      <c r="AW169" s="69"/>
      <c r="AX169" s="2022">
        <f t="shared" si="113"/>
        <v>3</v>
      </c>
      <c r="AY169" s="69"/>
      <c r="AZ169" s="2022">
        <f t="shared" si="114"/>
        <v>6</v>
      </c>
      <c r="BA169" s="69"/>
      <c r="BB169" s="2022">
        <f t="shared" si="115"/>
        <v>2</v>
      </c>
      <c r="BC169" s="69"/>
      <c r="BD169" s="2022">
        <f t="shared" si="116"/>
        <v>3</v>
      </c>
      <c r="BE169" s="69"/>
      <c r="BF169" s="2022">
        <f t="shared" si="117"/>
        <v>6</v>
      </c>
      <c r="BG169" s="69"/>
      <c r="BH169" s="2022">
        <f t="shared" si="118"/>
        <v>5</v>
      </c>
      <c r="BI169" s="69"/>
      <c r="BJ169" s="2022">
        <f t="shared" si="119"/>
        <v>4</v>
      </c>
      <c r="BK169" s="69"/>
      <c r="BL169" s="2022" t="str">
        <f t="shared" si="120"/>
        <v/>
      </c>
      <c r="BM169" s="69"/>
      <c r="BN169" s="1321" t="str">
        <f t="shared" si="121"/>
        <v/>
      </c>
      <c r="BO169" s="69"/>
      <c r="BP169" s="1724">
        <f t="shared" si="122"/>
        <v>135</v>
      </c>
      <c r="BQ169" s="69"/>
      <c r="BS169" s="541"/>
      <c r="BT169" s="684"/>
      <c r="BU169" s="541"/>
    </row>
    <row r="170" ht="22.5" customHeight="1">
      <c r="A170" s="1698" t="str">
        <f t="shared" si="89"/>
        <v>Да</v>
      </c>
      <c r="B170" s="1978">
        <v>4172.0</v>
      </c>
      <c r="C170" s="1567">
        <v>210.0</v>
      </c>
      <c r="D170" s="1817"/>
      <c r="E170" s="721" t="str">
        <f t="shared" si="90"/>
        <v>Свинина в соусе тонкацу со спагетти </v>
      </c>
      <c r="F170" s="2019">
        <f t="shared" si="91"/>
        <v>2</v>
      </c>
      <c r="G170" s="69"/>
      <c r="H170" s="2019">
        <f t="shared" si="92"/>
        <v>2</v>
      </c>
      <c r="I170" s="69"/>
      <c r="J170" s="2019">
        <f t="shared" si="93"/>
        <v>4</v>
      </c>
      <c r="K170" s="69"/>
      <c r="L170" s="2019">
        <f t="shared" si="94"/>
        <v>2</v>
      </c>
      <c r="M170" s="69"/>
      <c r="N170" s="2019">
        <f t="shared" si="95"/>
        <v>6</v>
      </c>
      <c r="O170" s="69"/>
      <c r="P170" s="2019">
        <f t="shared" si="96"/>
        <v>3</v>
      </c>
      <c r="Q170" s="69"/>
      <c r="R170" s="2019">
        <f t="shared" si="97"/>
        <v>3</v>
      </c>
      <c r="S170" s="69"/>
      <c r="T170" s="2019">
        <f t="shared" si="98"/>
        <v>4</v>
      </c>
      <c r="U170" s="69"/>
      <c r="V170" s="2019">
        <f t="shared" si="99"/>
        <v>2</v>
      </c>
      <c r="W170" s="69"/>
      <c r="X170" s="2019">
        <f t="shared" si="100"/>
        <v>2</v>
      </c>
      <c r="Y170" s="69"/>
      <c r="Z170" s="2019" t="str">
        <f t="shared" si="101"/>
        <v/>
      </c>
      <c r="AA170" s="69"/>
      <c r="AB170" s="2019">
        <f t="shared" si="102"/>
        <v>1</v>
      </c>
      <c r="AC170" s="69"/>
      <c r="AD170" s="2019">
        <f t="shared" si="103"/>
        <v>2</v>
      </c>
      <c r="AE170" s="69"/>
      <c r="AF170" s="2019">
        <f t="shared" si="104"/>
        <v>1</v>
      </c>
      <c r="AG170" s="69"/>
      <c r="AH170" s="2019">
        <f t="shared" si="105"/>
        <v>2</v>
      </c>
      <c r="AI170" s="69"/>
      <c r="AJ170" s="2019">
        <f t="shared" si="106"/>
        <v>2</v>
      </c>
      <c r="AK170" s="69"/>
      <c r="AL170" s="2019">
        <f t="shared" si="107"/>
        <v>2</v>
      </c>
      <c r="AM170" s="69"/>
      <c r="AN170" s="2019" t="str">
        <f t="shared" si="108"/>
        <v/>
      </c>
      <c r="AO170" s="69"/>
      <c r="AP170" s="2019">
        <f t="shared" si="109"/>
        <v>2</v>
      </c>
      <c r="AQ170" s="69"/>
      <c r="AR170" s="2021">
        <f t="shared" si="110"/>
        <v>3</v>
      </c>
      <c r="AS170" s="69"/>
      <c r="AT170" s="2021">
        <f t="shared" si="111"/>
        <v>3</v>
      </c>
      <c r="AU170" s="69"/>
      <c r="AV170" s="2021">
        <f t="shared" si="112"/>
        <v>3</v>
      </c>
      <c r="AW170" s="69"/>
      <c r="AX170" s="2022">
        <f t="shared" si="113"/>
        <v>2</v>
      </c>
      <c r="AY170" s="69"/>
      <c r="AZ170" s="2022">
        <f t="shared" si="114"/>
        <v>0</v>
      </c>
      <c r="BA170" s="69"/>
      <c r="BB170" s="2022">
        <f t="shared" si="115"/>
        <v>2</v>
      </c>
      <c r="BC170" s="69"/>
      <c r="BD170" s="2022">
        <f t="shared" si="116"/>
        <v>2</v>
      </c>
      <c r="BE170" s="69"/>
      <c r="BF170" s="2022">
        <f t="shared" si="117"/>
        <v>3</v>
      </c>
      <c r="BG170" s="69"/>
      <c r="BH170" s="2022">
        <f t="shared" si="118"/>
        <v>2</v>
      </c>
      <c r="BI170" s="69"/>
      <c r="BJ170" s="2022">
        <f t="shared" si="119"/>
        <v>3</v>
      </c>
      <c r="BK170" s="69"/>
      <c r="BL170" s="2022" t="str">
        <f t="shared" si="120"/>
        <v/>
      </c>
      <c r="BM170" s="69"/>
      <c r="BN170" s="1321" t="str">
        <f t="shared" si="121"/>
        <v/>
      </c>
      <c r="BO170" s="69"/>
      <c r="BP170" s="1724">
        <f t="shared" si="122"/>
        <v>65</v>
      </c>
      <c r="BQ170" s="69"/>
      <c r="BS170" s="541"/>
      <c r="BT170" s="684"/>
      <c r="BU170" s="541"/>
    </row>
    <row r="171" ht="22.5" customHeight="1">
      <c r="A171" s="1698" t="str">
        <f t="shared" si="89"/>
        <v/>
      </c>
      <c r="B171" s="1978">
        <v>4237.0</v>
      </c>
      <c r="C171" s="1567">
        <v>210.0</v>
      </c>
      <c r="D171" s="1817"/>
      <c r="E171" s="721" t="str">
        <f t="shared" si="90"/>
        <v>Свинина в соусе тонкацу с картофелем </v>
      </c>
      <c r="F171" s="2019" t="str">
        <f t="shared" si="91"/>
        <v/>
      </c>
      <c r="G171" s="69"/>
      <c r="H171" s="2019" t="str">
        <f t="shared" si="92"/>
        <v/>
      </c>
      <c r="I171" s="69"/>
      <c r="J171" s="2019" t="str">
        <f t="shared" si="93"/>
        <v/>
      </c>
      <c r="K171" s="69"/>
      <c r="L171" s="2019" t="str">
        <f t="shared" si="94"/>
        <v/>
      </c>
      <c r="M171" s="69"/>
      <c r="N171" s="2019" t="str">
        <f t="shared" si="95"/>
        <v/>
      </c>
      <c r="O171" s="69"/>
      <c r="P171" s="2019" t="str">
        <f t="shared" si="96"/>
        <v/>
      </c>
      <c r="Q171" s="69"/>
      <c r="R171" s="2019" t="str">
        <f t="shared" si="97"/>
        <v/>
      </c>
      <c r="S171" s="69"/>
      <c r="T171" s="2019" t="str">
        <f t="shared" si="98"/>
        <v/>
      </c>
      <c r="U171" s="69"/>
      <c r="V171" s="2019" t="str">
        <f t="shared" si="99"/>
        <v/>
      </c>
      <c r="W171" s="69"/>
      <c r="X171" s="2019" t="str">
        <f t="shared" si="100"/>
        <v/>
      </c>
      <c r="Y171" s="69"/>
      <c r="Z171" s="2019" t="str">
        <f t="shared" si="101"/>
        <v/>
      </c>
      <c r="AA171" s="69"/>
      <c r="AB171" s="2019" t="str">
        <f t="shared" si="102"/>
        <v/>
      </c>
      <c r="AC171" s="69"/>
      <c r="AD171" s="2019" t="str">
        <f t="shared" si="103"/>
        <v/>
      </c>
      <c r="AE171" s="69"/>
      <c r="AF171" s="2019" t="str">
        <f t="shared" si="104"/>
        <v/>
      </c>
      <c r="AG171" s="69"/>
      <c r="AH171" s="2019" t="str">
        <f t="shared" si="105"/>
        <v/>
      </c>
      <c r="AI171" s="69"/>
      <c r="AJ171" s="2019" t="str">
        <f t="shared" si="106"/>
        <v/>
      </c>
      <c r="AK171" s="69"/>
      <c r="AL171" s="2019" t="str">
        <f t="shared" si="107"/>
        <v/>
      </c>
      <c r="AM171" s="69"/>
      <c r="AN171" s="2019" t="str">
        <f t="shared" si="108"/>
        <v/>
      </c>
      <c r="AO171" s="69"/>
      <c r="AP171" s="2019" t="str">
        <f t="shared" si="109"/>
        <v/>
      </c>
      <c r="AQ171" s="69"/>
      <c r="AR171" s="2021" t="str">
        <f t="shared" si="110"/>
        <v/>
      </c>
      <c r="AS171" s="69"/>
      <c r="AT171" s="2021" t="str">
        <f t="shared" si="111"/>
        <v/>
      </c>
      <c r="AU171" s="69"/>
      <c r="AV171" s="2021" t="str">
        <f t="shared" si="112"/>
        <v/>
      </c>
      <c r="AW171" s="69"/>
      <c r="AX171" s="2022" t="str">
        <f t="shared" si="113"/>
        <v/>
      </c>
      <c r="AY171" s="69"/>
      <c r="AZ171" s="2022" t="str">
        <f t="shared" si="114"/>
        <v/>
      </c>
      <c r="BA171" s="69"/>
      <c r="BB171" s="2022" t="str">
        <f t="shared" si="115"/>
        <v/>
      </c>
      <c r="BC171" s="69"/>
      <c r="BD171" s="2022" t="str">
        <f t="shared" si="116"/>
        <v/>
      </c>
      <c r="BE171" s="69"/>
      <c r="BF171" s="2022" t="str">
        <f t="shared" si="117"/>
        <v/>
      </c>
      <c r="BG171" s="69"/>
      <c r="BH171" s="2022" t="str">
        <f t="shared" si="118"/>
        <v/>
      </c>
      <c r="BI171" s="69"/>
      <c r="BJ171" s="2022" t="str">
        <f t="shared" si="119"/>
        <v/>
      </c>
      <c r="BK171" s="69"/>
      <c r="BL171" s="2022">
        <f t="shared" si="120"/>
        <v>25</v>
      </c>
      <c r="BM171" s="69"/>
      <c r="BN171" s="1321" t="str">
        <f t="shared" si="121"/>
        <v/>
      </c>
      <c r="BO171" s="69"/>
      <c r="BP171" s="1724">
        <f t="shared" si="122"/>
        <v>25</v>
      </c>
      <c r="BQ171" s="69"/>
      <c r="BS171" s="684"/>
      <c r="BT171" s="684"/>
      <c r="BU171" s="541"/>
    </row>
    <row r="172" ht="22.5" customHeight="1">
      <c r="A172" s="1698" t="str">
        <f t="shared" si="89"/>
        <v>Да</v>
      </c>
      <c r="B172" s="1978">
        <v>3437.0</v>
      </c>
      <c r="C172" s="1567">
        <v>198.0</v>
      </c>
      <c r="D172" s="1817"/>
      <c r="E172" s="721" t="str">
        <f t="shared" si="90"/>
        <v>Макароны по-флотски</v>
      </c>
      <c r="F172" s="2019">
        <f t="shared" si="91"/>
        <v>8</v>
      </c>
      <c r="G172" s="69"/>
      <c r="H172" s="2019">
        <f t="shared" si="92"/>
        <v>3</v>
      </c>
      <c r="I172" s="69"/>
      <c r="J172" s="2019">
        <f t="shared" si="93"/>
        <v>3</v>
      </c>
      <c r="K172" s="69"/>
      <c r="L172" s="2019">
        <f t="shared" si="94"/>
        <v>3</v>
      </c>
      <c r="M172" s="69"/>
      <c r="N172" s="2019">
        <f t="shared" si="95"/>
        <v>7</v>
      </c>
      <c r="O172" s="69"/>
      <c r="P172" s="2019">
        <f t="shared" si="96"/>
        <v>8</v>
      </c>
      <c r="Q172" s="69"/>
      <c r="R172" s="2019">
        <f t="shared" si="97"/>
        <v>0</v>
      </c>
      <c r="S172" s="69"/>
      <c r="T172" s="2019">
        <f t="shared" si="98"/>
        <v>2</v>
      </c>
      <c r="U172" s="69"/>
      <c r="V172" s="2019">
        <f t="shared" si="99"/>
        <v>3</v>
      </c>
      <c r="W172" s="69"/>
      <c r="X172" s="2019">
        <f t="shared" si="100"/>
        <v>2</v>
      </c>
      <c r="Y172" s="69"/>
      <c r="Z172" s="2019" t="str">
        <f t="shared" si="101"/>
        <v/>
      </c>
      <c r="AA172" s="69"/>
      <c r="AB172" s="2019">
        <f t="shared" si="102"/>
        <v>0</v>
      </c>
      <c r="AC172" s="69"/>
      <c r="AD172" s="2019">
        <f t="shared" si="103"/>
        <v>2</v>
      </c>
      <c r="AE172" s="69"/>
      <c r="AF172" s="2019">
        <f t="shared" si="104"/>
        <v>2</v>
      </c>
      <c r="AG172" s="69"/>
      <c r="AH172" s="2019">
        <f t="shared" si="105"/>
        <v>2</v>
      </c>
      <c r="AI172" s="69"/>
      <c r="AJ172" s="2019">
        <f t="shared" si="106"/>
        <v>2</v>
      </c>
      <c r="AK172" s="69"/>
      <c r="AL172" s="2019">
        <f t="shared" si="107"/>
        <v>2</v>
      </c>
      <c r="AM172" s="69"/>
      <c r="AN172" s="2019" t="str">
        <f t="shared" si="108"/>
        <v/>
      </c>
      <c r="AO172" s="69"/>
      <c r="AP172" s="2019">
        <f t="shared" si="109"/>
        <v>4</v>
      </c>
      <c r="AQ172" s="69"/>
      <c r="AR172" s="2021">
        <f t="shared" si="110"/>
        <v>3</v>
      </c>
      <c r="AS172" s="69"/>
      <c r="AT172" s="2021">
        <f t="shared" si="111"/>
        <v>6</v>
      </c>
      <c r="AU172" s="69"/>
      <c r="AV172" s="2021">
        <f t="shared" si="112"/>
        <v>2</v>
      </c>
      <c r="AW172" s="69"/>
      <c r="AX172" s="2022">
        <f t="shared" si="113"/>
        <v>2</v>
      </c>
      <c r="AY172" s="69"/>
      <c r="AZ172" s="2022">
        <f t="shared" si="114"/>
        <v>5</v>
      </c>
      <c r="BA172" s="69"/>
      <c r="BB172" s="2022">
        <f t="shared" si="115"/>
        <v>2</v>
      </c>
      <c r="BC172" s="69"/>
      <c r="BD172" s="2022">
        <f t="shared" si="116"/>
        <v>2</v>
      </c>
      <c r="BE172" s="69"/>
      <c r="BF172" s="2022">
        <f t="shared" si="117"/>
        <v>5</v>
      </c>
      <c r="BG172" s="69"/>
      <c r="BH172" s="2022">
        <f t="shared" si="118"/>
        <v>4</v>
      </c>
      <c r="BI172" s="69"/>
      <c r="BJ172" s="2022">
        <f t="shared" si="119"/>
        <v>3</v>
      </c>
      <c r="BK172" s="69"/>
      <c r="BL172" s="2022">
        <f t="shared" si="120"/>
        <v>25</v>
      </c>
      <c r="BM172" s="69"/>
      <c r="BN172" s="1321" t="str">
        <f t="shared" si="121"/>
        <v/>
      </c>
      <c r="BO172" s="69"/>
      <c r="BP172" s="1724">
        <f t="shared" si="122"/>
        <v>112</v>
      </c>
      <c r="BQ172" s="69"/>
      <c r="BS172" s="684"/>
      <c r="BT172" s="684"/>
      <c r="BU172" s="541"/>
    </row>
    <row r="173" ht="22.5" customHeight="1">
      <c r="A173" s="1698" t="str">
        <f t="shared" si="89"/>
        <v/>
      </c>
      <c r="B173" s="1978">
        <v>763.0</v>
      </c>
      <c r="C173" s="1567">
        <v>208.0</v>
      </c>
      <c r="D173" s="1817"/>
      <c r="E173" s="721" t="str">
        <f t="shared" si="90"/>
        <v>Котлета куриная с картофельным пюре</v>
      </c>
      <c r="F173" s="2019" t="str">
        <f t="shared" si="91"/>
        <v/>
      </c>
      <c r="G173" s="69"/>
      <c r="H173" s="2019" t="str">
        <f t="shared" si="92"/>
        <v/>
      </c>
      <c r="I173" s="69"/>
      <c r="J173" s="2019" t="str">
        <f t="shared" si="93"/>
        <v/>
      </c>
      <c r="K173" s="69"/>
      <c r="L173" s="2019" t="str">
        <f t="shared" si="94"/>
        <v/>
      </c>
      <c r="M173" s="69"/>
      <c r="N173" s="2019" t="str">
        <f t="shared" si="95"/>
        <v/>
      </c>
      <c r="O173" s="69"/>
      <c r="P173" s="2019" t="str">
        <f t="shared" si="96"/>
        <v/>
      </c>
      <c r="Q173" s="69"/>
      <c r="R173" s="2019" t="str">
        <f t="shared" si="97"/>
        <v/>
      </c>
      <c r="S173" s="69"/>
      <c r="T173" s="2019" t="str">
        <f t="shared" si="98"/>
        <v/>
      </c>
      <c r="U173" s="69"/>
      <c r="V173" s="2019" t="str">
        <f t="shared" si="99"/>
        <v/>
      </c>
      <c r="W173" s="69"/>
      <c r="X173" s="2019" t="str">
        <f t="shared" si="100"/>
        <v/>
      </c>
      <c r="Y173" s="69"/>
      <c r="Z173" s="2019" t="str">
        <f t="shared" si="101"/>
        <v/>
      </c>
      <c r="AA173" s="69"/>
      <c r="AB173" s="2019" t="str">
        <f t="shared" si="102"/>
        <v/>
      </c>
      <c r="AC173" s="69"/>
      <c r="AD173" s="2019" t="str">
        <f t="shared" si="103"/>
        <v/>
      </c>
      <c r="AE173" s="69"/>
      <c r="AF173" s="2019" t="str">
        <f t="shared" si="104"/>
        <v/>
      </c>
      <c r="AG173" s="69"/>
      <c r="AH173" s="2019" t="str">
        <f t="shared" si="105"/>
        <v/>
      </c>
      <c r="AI173" s="69"/>
      <c r="AJ173" s="2019" t="str">
        <f t="shared" si="106"/>
        <v/>
      </c>
      <c r="AK173" s="69"/>
      <c r="AL173" s="2019" t="str">
        <f t="shared" si="107"/>
        <v/>
      </c>
      <c r="AM173" s="69"/>
      <c r="AN173" s="2019" t="str">
        <f t="shared" si="108"/>
        <v/>
      </c>
      <c r="AO173" s="69"/>
      <c r="AP173" s="2019" t="str">
        <f t="shared" si="109"/>
        <v/>
      </c>
      <c r="AQ173" s="69"/>
      <c r="AR173" s="2021" t="str">
        <f t="shared" si="110"/>
        <v/>
      </c>
      <c r="AS173" s="69"/>
      <c r="AT173" s="2021" t="str">
        <f t="shared" si="111"/>
        <v/>
      </c>
      <c r="AU173" s="69"/>
      <c r="AV173" s="2021" t="str">
        <f t="shared" si="112"/>
        <v/>
      </c>
      <c r="AW173" s="69"/>
      <c r="AX173" s="2022" t="str">
        <f t="shared" si="113"/>
        <v/>
      </c>
      <c r="AY173" s="69"/>
      <c r="AZ173" s="2022" t="str">
        <f t="shared" si="114"/>
        <v/>
      </c>
      <c r="BA173" s="69"/>
      <c r="BB173" s="2022" t="str">
        <f t="shared" si="115"/>
        <v/>
      </c>
      <c r="BC173" s="69"/>
      <c r="BD173" s="2022" t="str">
        <f t="shared" si="116"/>
        <v/>
      </c>
      <c r="BE173" s="69"/>
      <c r="BF173" s="2022" t="str">
        <f t="shared" si="117"/>
        <v/>
      </c>
      <c r="BG173" s="69"/>
      <c r="BH173" s="2022" t="str">
        <f t="shared" si="118"/>
        <v/>
      </c>
      <c r="BI173" s="69"/>
      <c r="BJ173" s="2022" t="str">
        <f t="shared" si="119"/>
        <v/>
      </c>
      <c r="BK173" s="69"/>
      <c r="BL173" s="2022">
        <f t="shared" si="120"/>
        <v>80</v>
      </c>
      <c r="BM173" s="69"/>
      <c r="BN173" s="1321" t="str">
        <f t="shared" si="121"/>
        <v/>
      </c>
      <c r="BO173" s="69"/>
      <c r="BP173" s="1724">
        <f t="shared" si="122"/>
        <v>80</v>
      </c>
      <c r="BQ173" s="69"/>
      <c r="BS173" s="684"/>
      <c r="BT173" s="684"/>
      <c r="BU173" s="541"/>
    </row>
    <row r="174" ht="22.5" customHeight="1">
      <c r="A174" s="1698" t="str">
        <f t="shared" si="89"/>
        <v>Да</v>
      </c>
      <c r="B174" s="1978">
        <v>18.0</v>
      </c>
      <c r="C174" s="1567">
        <v>252.0</v>
      </c>
      <c r="D174" s="1817"/>
      <c r="E174" s="721" t="str">
        <f t="shared" si="90"/>
        <v>Мясо по-французски (курица)</v>
      </c>
      <c r="F174" s="2019">
        <f t="shared" si="91"/>
        <v>12</v>
      </c>
      <c r="G174" s="69"/>
      <c r="H174" s="2019">
        <f t="shared" si="92"/>
        <v>2</v>
      </c>
      <c r="I174" s="69"/>
      <c r="J174" s="2019">
        <f t="shared" si="93"/>
        <v>2</v>
      </c>
      <c r="K174" s="69"/>
      <c r="L174" s="2019" t="str">
        <f t="shared" si="94"/>
        <v/>
      </c>
      <c r="M174" s="69"/>
      <c r="N174" s="2019">
        <f t="shared" si="95"/>
        <v>9</v>
      </c>
      <c r="O174" s="69"/>
      <c r="P174" s="2019">
        <f t="shared" si="96"/>
        <v>4</v>
      </c>
      <c r="Q174" s="69"/>
      <c r="R174" s="2019">
        <f t="shared" si="97"/>
        <v>3</v>
      </c>
      <c r="S174" s="69"/>
      <c r="T174" s="2019">
        <f t="shared" si="98"/>
        <v>3</v>
      </c>
      <c r="U174" s="69"/>
      <c r="V174" s="2019">
        <f t="shared" si="99"/>
        <v>10</v>
      </c>
      <c r="W174" s="69"/>
      <c r="X174" s="2019">
        <f t="shared" si="100"/>
        <v>3</v>
      </c>
      <c r="Y174" s="69"/>
      <c r="Z174" s="2019" t="str">
        <f t="shared" si="101"/>
        <v/>
      </c>
      <c r="AA174" s="69"/>
      <c r="AB174" s="2019">
        <f t="shared" si="102"/>
        <v>4</v>
      </c>
      <c r="AC174" s="69"/>
      <c r="AD174" s="2019">
        <f t="shared" si="103"/>
        <v>4</v>
      </c>
      <c r="AE174" s="69"/>
      <c r="AF174" s="2019">
        <f t="shared" si="104"/>
        <v>2</v>
      </c>
      <c r="AG174" s="69"/>
      <c r="AH174" s="2019">
        <f t="shared" si="105"/>
        <v>5</v>
      </c>
      <c r="AI174" s="69"/>
      <c r="AJ174" s="2019">
        <f t="shared" si="106"/>
        <v>4</v>
      </c>
      <c r="AK174" s="69"/>
      <c r="AL174" s="2019">
        <f t="shared" si="107"/>
        <v>2</v>
      </c>
      <c r="AM174" s="69"/>
      <c r="AN174" s="2019" t="str">
        <f t="shared" si="108"/>
        <v/>
      </c>
      <c r="AO174" s="69"/>
      <c r="AP174" s="2019">
        <f t="shared" si="109"/>
        <v>3</v>
      </c>
      <c r="AQ174" s="69"/>
      <c r="AR174" s="2021">
        <f t="shared" si="110"/>
        <v>7</v>
      </c>
      <c r="AS174" s="69"/>
      <c r="AT174" s="2021">
        <f t="shared" si="111"/>
        <v>3</v>
      </c>
      <c r="AU174" s="69"/>
      <c r="AV174" s="2021">
        <f t="shared" si="112"/>
        <v>3</v>
      </c>
      <c r="AW174" s="69"/>
      <c r="AX174" s="2022">
        <f t="shared" si="113"/>
        <v>3</v>
      </c>
      <c r="AY174" s="69"/>
      <c r="AZ174" s="2022">
        <f t="shared" si="114"/>
        <v>1</v>
      </c>
      <c r="BA174" s="69"/>
      <c r="BB174" s="2022">
        <f t="shared" si="115"/>
        <v>2</v>
      </c>
      <c r="BC174" s="69"/>
      <c r="BD174" s="2022">
        <f t="shared" si="116"/>
        <v>0</v>
      </c>
      <c r="BE174" s="69"/>
      <c r="BF174" s="2022">
        <f t="shared" si="117"/>
        <v>8</v>
      </c>
      <c r="BG174" s="69"/>
      <c r="BH174" s="2022">
        <f t="shared" si="118"/>
        <v>0</v>
      </c>
      <c r="BI174" s="69"/>
      <c r="BJ174" s="2022">
        <f t="shared" si="119"/>
        <v>4</v>
      </c>
      <c r="BK174" s="69"/>
      <c r="BL174" s="2022" t="str">
        <f t="shared" si="120"/>
        <v/>
      </c>
      <c r="BM174" s="69"/>
      <c r="BN174" s="1321" t="str">
        <f t="shared" si="121"/>
        <v/>
      </c>
      <c r="BO174" s="69"/>
      <c r="BP174" s="1724">
        <f t="shared" si="122"/>
        <v>103</v>
      </c>
      <c r="BQ174" s="69"/>
      <c r="BS174" s="684"/>
      <c r="BT174" s="684"/>
      <c r="BU174" s="541"/>
    </row>
    <row r="175" ht="22.5" customHeight="1">
      <c r="A175" s="1698" t="str">
        <f t="shared" si="89"/>
        <v>Да</v>
      </c>
      <c r="B175" s="1978">
        <v>4017.0</v>
      </c>
      <c r="C175" s="1567">
        <v>248.0</v>
      </c>
      <c r="D175" s="1817"/>
      <c r="E175" s="721" t="str">
        <f t="shared" si="90"/>
        <v>Удон с курицей в азиатском соусе </v>
      </c>
      <c r="F175" s="2019">
        <f t="shared" si="91"/>
        <v>6</v>
      </c>
      <c r="G175" s="69"/>
      <c r="H175" s="2019">
        <f t="shared" si="92"/>
        <v>3</v>
      </c>
      <c r="I175" s="69"/>
      <c r="J175" s="2019">
        <f t="shared" si="93"/>
        <v>5</v>
      </c>
      <c r="K175" s="69"/>
      <c r="L175" s="2019">
        <f t="shared" si="94"/>
        <v>6</v>
      </c>
      <c r="M175" s="69"/>
      <c r="N175" s="2019">
        <f t="shared" si="95"/>
        <v>5</v>
      </c>
      <c r="O175" s="69"/>
      <c r="P175" s="2019">
        <f t="shared" si="96"/>
        <v>6</v>
      </c>
      <c r="Q175" s="69"/>
      <c r="R175" s="2019">
        <f t="shared" si="97"/>
        <v>4</v>
      </c>
      <c r="S175" s="69"/>
      <c r="T175" s="2019">
        <f t="shared" si="98"/>
        <v>3</v>
      </c>
      <c r="U175" s="69"/>
      <c r="V175" s="2019">
        <f t="shared" si="99"/>
        <v>4</v>
      </c>
      <c r="W175" s="69"/>
      <c r="X175" s="2019">
        <f t="shared" si="100"/>
        <v>5</v>
      </c>
      <c r="Y175" s="69"/>
      <c r="Z175" s="2019" t="str">
        <f t="shared" si="101"/>
        <v/>
      </c>
      <c r="AA175" s="69"/>
      <c r="AB175" s="2019">
        <f t="shared" si="102"/>
        <v>4</v>
      </c>
      <c r="AC175" s="69"/>
      <c r="AD175" s="2019">
        <f t="shared" si="103"/>
        <v>2</v>
      </c>
      <c r="AE175" s="69"/>
      <c r="AF175" s="2019">
        <f t="shared" si="104"/>
        <v>4</v>
      </c>
      <c r="AG175" s="69"/>
      <c r="AH175" s="2019">
        <f t="shared" si="105"/>
        <v>7</v>
      </c>
      <c r="AI175" s="69"/>
      <c r="AJ175" s="2019">
        <f t="shared" si="106"/>
        <v>5</v>
      </c>
      <c r="AK175" s="69"/>
      <c r="AL175" s="2019">
        <f t="shared" si="107"/>
        <v>3</v>
      </c>
      <c r="AM175" s="69"/>
      <c r="AN175" s="2019" t="str">
        <f t="shared" si="108"/>
        <v/>
      </c>
      <c r="AO175" s="69"/>
      <c r="AP175" s="2019">
        <f t="shared" si="109"/>
        <v>2</v>
      </c>
      <c r="AQ175" s="69"/>
      <c r="AR175" s="2021">
        <f t="shared" si="110"/>
        <v>9</v>
      </c>
      <c r="AS175" s="69"/>
      <c r="AT175" s="2021">
        <f t="shared" si="111"/>
        <v>6</v>
      </c>
      <c r="AU175" s="69"/>
      <c r="AV175" s="2021">
        <f t="shared" si="112"/>
        <v>7</v>
      </c>
      <c r="AW175" s="69"/>
      <c r="AX175" s="2022">
        <f t="shared" si="113"/>
        <v>5</v>
      </c>
      <c r="AY175" s="69"/>
      <c r="AZ175" s="2022">
        <f t="shared" si="114"/>
        <v>2</v>
      </c>
      <c r="BA175" s="69"/>
      <c r="BB175" s="2022">
        <f t="shared" si="115"/>
        <v>2</v>
      </c>
      <c r="BC175" s="69"/>
      <c r="BD175" s="2022">
        <f t="shared" si="116"/>
        <v>2</v>
      </c>
      <c r="BE175" s="69"/>
      <c r="BF175" s="2022">
        <f t="shared" si="117"/>
        <v>4</v>
      </c>
      <c r="BG175" s="69"/>
      <c r="BH175" s="2022">
        <f t="shared" si="118"/>
        <v>5</v>
      </c>
      <c r="BI175" s="69"/>
      <c r="BJ175" s="2022">
        <f t="shared" si="119"/>
        <v>4</v>
      </c>
      <c r="BK175" s="69"/>
      <c r="BL175" s="2022" t="str">
        <f t="shared" si="120"/>
        <v/>
      </c>
      <c r="BM175" s="69"/>
      <c r="BN175" s="1321" t="str">
        <f t="shared" si="121"/>
        <v/>
      </c>
      <c r="BO175" s="69"/>
      <c r="BP175" s="1724">
        <f t="shared" si="122"/>
        <v>120</v>
      </c>
      <c r="BQ175" s="69"/>
      <c r="BS175" s="684"/>
      <c r="BT175" s="684"/>
      <c r="BU175" s="541"/>
    </row>
    <row r="176" ht="22.5" customHeight="1">
      <c r="A176" s="1698"/>
      <c r="B176" s="1978">
        <v>3872.0</v>
      </c>
      <c r="C176" s="1567">
        <v>265.0</v>
      </c>
      <c r="D176" s="1817"/>
      <c r="E176" s="721" t="str">
        <f t="shared" si="90"/>
        <v>Запеченый баклажан с перцем рамиро</v>
      </c>
      <c r="F176" s="2019">
        <f t="shared" si="91"/>
        <v>2</v>
      </c>
      <c r="G176" s="69"/>
      <c r="H176" s="2019">
        <f t="shared" si="92"/>
        <v>2</v>
      </c>
      <c r="I176" s="69"/>
      <c r="J176" s="2019">
        <f t="shared" si="93"/>
        <v>4</v>
      </c>
      <c r="K176" s="69"/>
      <c r="L176" s="2019">
        <f t="shared" si="94"/>
        <v>0</v>
      </c>
      <c r="M176" s="69"/>
      <c r="N176" s="2019">
        <f t="shared" si="95"/>
        <v>3</v>
      </c>
      <c r="O176" s="69"/>
      <c r="P176" s="2019">
        <f t="shared" si="96"/>
        <v>4</v>
      </c>
      <c r="Q176" s="69"/>
      <c r="R176" s="2019">
        <f t="shared" si="97"/>
        <v>2</v>
      </c>
      <c r="S176" s="69"/>
      <c r="T176" s="2019">
        <f t="shared" si="98"/>
        <v>0</v>
      </c>
      <c r="U176" s="69"/>
      <c r="V176" s="2019">
        <f t="shared" si="99"/>
        <v>1</v>
      </c>
      <c r="W176" s="69"/>
      <c r="X176" s="2019">
        <f t="shared" si="100"/>
        <v>2</v>
      </c>
      <c r="Y176" s="69"/>
      <c r="Z176" s="2019" t="str">
        <f t="shared" si="101"/>
        <v/>
      </c>
      <c r="AA176" s="69"/>
      <c r="AB176" s="2019">
        <f t="shared" si="102"/>
        <v>2</v>
      </c>
      <c r="AC176" s="69"/>
      <c r="AD176" s="2019">
        <f t="shared" si="103"/>
        <v>0</v>
      </c>
      <c r="AE176" s="69"/>
      <c r="AF176" s="2019">
        <f t="shared" si="104"/>
        <v>2</v>
      </c>
      <c r="AG176" s="69"/>
      <c r="AH176" s="2019">
        <f t="shared" si="105"/>
        <v>2</v>
      </c>
      <c r="AI176" s="69"/>
      <c r="AJ176" s="2019">
        <f t="shared" si="106"/>
        <v>2</v>
      </c>
      <c r="AK176" s="69"/>
      <c r="AL176" s="2019">
        <f t="shared" si="107"/>
        <v>0</v>
      </c>
      <c r="AM176" s="69"/>
      <c r="AN176" s="2019" t="str">
        <f t="shared" si="108"/>
        <v/>
      </c>
      <c r="AO176" s="69"/>
      <c r="AP176" s="2019">
        <f t="shared" si="109"/>
        <v>1</v>
      </c>
      <c r="AQ176" s="69"/>
      <c r="AR176" s="2019">
        <f t="shared" si="110"/>
        <v>2</v>
      </c>
      <c r="AS176" s="69"/>
      <c r="AT176" s="2019">
        <f t="shared" si="111"/>
        <v>0</v>
      </c>
      <c r="AU176" s="69"/>
      <c r="AV176" s="2019">
        <f t="shared" si="112"/>
        <v>0</v>
      </c>
      <c r="AW176" s="69"/>
      <c r="AX176" s="2019">
        <f t="shared" si="113"/>
        <v>2</v>
      </c>
      <c r="AY176" s="69"/>
      <c r="AZ176" s="2019">
        <f t="shared" si="114"/>
        <v>2</v>
      </c>
      <c r="BA176" s="69"/>
      <c r="BB176" s="2019">
        <f t="shared" si="115"/>
        <v>2</v>
      </c>
      <c r="BC176" s="69"/>
      <c r="BD176" s="2019">
        <f t="shared" si="116"/>
        <v>1</v>
      </c>
      <c r="BE176" s="69"/>
      <c r="BF176" s="2019">
        <f t="shared" si="117"/>
        <v>1</v>
      </c>
      <c r="BG176" s="69"/>
      <c r="BH176" s="2019">
        <f t="shared" si="118"/>
        <v>2</v>
      </c>
      <c r="BI176" s="69"/>
      <c r="BJ176" s="2022">
        <f t="shared" si="119"/>
        <v>3</v>
      </c>
      <c r="BK176" s="69"/>
      <c r="BL176" s="2019" t="str">
        <f t="shared" si="120"/>
        <v/>
      </c>
      <c r="BM176" s="69"/>
      <c r="BN176" s="1738" t="str">
        <f t="shared" si="121"/>
        <v/>
      </c>
      <c r="BO176" s="69"/>
      <c r="BP176" s="1724">
        <f t="shared" si="122"/>
        <v>44</v>
      </c>
      <c r="BQ176" s="69"/>
      <c r="BS176" s="684"/>
      <c r="BT176" s="684"/>
      <c r="BU176" s="541"/>
    </row>
    <row r="177" ht="22.5" customHeight="1">
      <c r="A177" s="1698" t="str">
        <f t="shared" ref="A177:A187" si="123">A144</f>
        <v/>
      </c>
      <c r="B177" s="1978">
        <v>3375.0</v>
      </c>
      <c r="C177" s="1567">
        <v>90.0</v>
      </c>
      <c r="D177" s="1817"/>
      <c r="E177" s="721" t="str">
        <f t="shared" si="90"/>
        <v>Самса с куриной грудкой 150 грамм</v>
      </c>
      <c r="F177" s="2019" t="str">
        <f t="shared" si="91"/>
        <v/>
      </c>
      <c r="G177" s="69"/>
      <c r="H177" s="2019" t="str">
        <f t="shared" si="92"/>
        <v/>
      </c>
      <c r="I177" s="69"/>
      <c r="J177" s="2019" t="str">
        <f t="shared" si="93"/>
        <v/>
      </c>
      <c r="K177" s="69"/>
      <c r="L177" s="2019" t="str">
        <f t="shared" si="94"/>
        <v/>
      </c>
      <c r="M177" s="69"/>
      <c r="N177" s="2019" t="str">
        <f t="shared" si="95"/>
        <v/>
      </c>
      <c r="O177" s="69"/>
      <c r="P177" s="2019" t="str">
        <f t="shared" si="96"/>
        <v/>
      </c>
      <c r="Q177" s="69"/>
      <c r="R177" s="2019" t="str">
        <f t="shared" si="97"/>
        <v/>
      </c>
      <c r="S177" s="69"/>
      <c r="T177" s="2019" t="str">
        <f t="shared" si="98"/>
        <v/>
      </c>
      <c r="U177" s="69"/>
      <c r="V177" s="2019" t="str">
        <f t="shared" si="99"/>
        <v/>
      </c>
      <c r="W177" s="69"/>
      <c r="X177" s="2019" t="str">
        <f t="shared" si="100"/>
        <v/>
      </c>
      <c r="Y177" s="69"/>
      <c r="Z177" s="2019" t="str">
        <f t="shared" si="101"/>
        <v/>
      </c>
      <c r="AA177" s="69"/>
      <c r="AB177" s="2019" t="str">
        <f t="shared" si="102"/>
        <v/>
      </c>
      <c r="AC177" s="69"/>
      <c r="AD177" s="2019" t="str">
        <f t="shared" si="103"/>
        <v/>
      </c>
      <c r="AE177" s="69"/>
      <c r="AF177" s="2019" t="str">
        <f t="shared" si="104"/>
        <v/>
      </c>
      <c r="AG177" s="69"/>
      <c r="AH177" s="2019" t="str">
        <f t="shared" si="105"/>
        <v/>
      </c>
      <c r="AI177" s="69"/>
      <c r="AJ177" s="2019" t="str">
        <f t="shared" si="106"/>
        <v/>
      </c>
      <c r="AK177" s="69"/>
      <c r="AL177" s="2019" t="str">
        <f t="shared" si="107"/>
        <v/>
      </c>
      <c r="AM177" s="69"/>
      <c r="AN177" s="2019" t="str">
        <f t="shared" si="108"/>
        <v/>
      </c>
      <c r="AO177" s="69"/>
      <c r="AP177" s="2019" t="str">
        <f t="shared" si="109"/>
        <v/>
      </c>
      <c r="AQ177" s="69"/>
      <c r="AR177" s="2021" t="str">
        <f t="shared" si="110"/>
        <v/>
      </c>
      <c r="AS177" s="69"/>
      <c r="AT177" s="2021" t="str">
        <f t="shared" si="111"/>
        <v/>
      </c>
      <c r="AU177" s="69"/>
      <c r="AV177" s="2021" t="str">
        <f t="shared" si="112"/>
        <v/>
      </c>
      <c r="AW177" s="69"/>
      <c r="AX177" s="2022" t="str">
        <f t="shared" si="113"/>
        <v/>
      </c>
      <c r="AY177" s="69"/>
      <c r="AZ177" s="2022" t="str">
        <f t="shared" si="114"/>
        <v/>
      </c>
      <c r="BA177" s="69"/>
      <c r="BB177" s="2022" t="str">
        <f t="shared" si="115"/>
        <v/>
      </c>
      <c r="BC177" s="69"/>
      <c r="BD177" s="2022" t="str">
        <f t="shared" si="116"/>
        <v/>
      </c>
      <c r="BE177" s="69"/>
      <c r="BF177" s="2022" t="str">
        <f t="shared" si="117"/>
        <v/>
      </c>
      <c r="BG177" s="69"/>
      <c r="BH177" s="2022" t="str">
        <f t="shared" si="118"/>
        <v/>
      </c>
      <c r="BI177" s="69"/>
      <c r="BJ177" s="2022" t="str">
        <f t="shared" si="119"/>
        <v/>
      </c>
      <c r="BK177" s="69"/>
      <c r="BL177" s="2022">
        <f t="shared" si="120"/>
        <v>10</v>
      </c>
      <c r="BM177" s="69"/>
      <c r="BN177" s="1321" t="str">
        <f t="shared" si="121"/>
        <v/>
      </c>
      <c r="BO177" s="69"/>
      <c r="BP177" s="1724">
        <f t="shared" si="122"/>
        <v>10</v>
      </c>
      <c r="BQ177" s="69"/>
      <c r="BS177" s="684"/>
      <c r="BT177" s="684"/>
      <c r="BU177" s="541"/>
    </row>
    <row r="178" ht="22.5" customHeight="1">
      <c r="A178" s="1698" t="str">
        <f t="shared" si="123"/>
        <v>Да</v>
      </c>
      <c r="B178" s="1978">
        <v>3486.0</v>
      </c>
      <c r="C178" s="1567">
        <v>175.0</v>
      </c>
      <c r="D178" s="1817"/>
      <c r="E178" s="721" t="str">
        <f t="shared" si="90"/>
        <v>Сэндвич с курицей и соусом карри</v>
      </c>
      <c r="F178" s="2019">
        <f t="shared" si="91"/>
        <v>14</v>
      </c>
      <c r="G178" s="69"/>
      <c r="H178" s="2019">
        <f t="shared" si="92"/>
        <v>5</v>
      </c>
      <c r="I178" s="69"/>
      <c r="J178" s="2019">
        <f t="shared" si="93"/>
        <v>3</v>
      </c>
      <c r="K178" s="69"/>
      <c r="L178" s="2019">
        <f t="shared" si="94"/>
        <v>3</v>
      </c>
      <c r="M178" s="69"/>
      <c r="N178" s="2019">
        <f t="shared" si="95"/>
        <v>7</v>
      </c>
      <c r="O178" s="69"/>
      <c r="P178" s="2019">
        <f t="shared" si="96"/>
        <v>8</v>
      </c>
      <c r="Q178" s="69"/>
      <c r="R178" s="2019">
        <f t="shared" si="97"/>
        <v>3</v>
      </c>
      <c r="S178" s="69"/>
      <c r="T178" s="2019">
        <f t="shared" si="98"/>
        <v>4</v>
      </c>
      <c r="U178" s="69"/>
      <c r="V178" s="2019">
        <f t="shared" si="99"/>
        <v>6</v>
      </c>
      <c r="W178" s="69"/>
      <c r="X178" s="2019">
        <f t="shared" si="100"/>
        <v>11</v>
      </c>
      <c r="Y178" s="69"/>
      <c r="Z178" s="2019" t="str">
        <f t="shared" si="101"/>
        <v/>
      </c>
      <c r="AA178" s="69"/>
      <c r="AB178" s="2019">
        <f t="shared" si="102"/>
        <v>6</v>
      </c>
      <c r="AC178" s="69"/>
      <c r="AD178" s="2019">
        <f t="shared" si="103"/>
        <v>3</v>
      </c>
      <c r="AE178" s="69"/>
      <c r="AF178" s="2019">
        <f t="shared" si="104"/>
        <v>3</v>
      </c>
      <c r="AG178" s="69"/>
      <c r="AH178" s="2019">
        <f t="shared" si="105"/>
        <v>4</v>
      </c>
      <c r="AI178" s="69"/>
      <c r="AJ178" s="2019">
        <f t="shared" si="106"/>
        <v>4</v>
      </c>
      <c r="AK178" s="69"/>
      <c r="AL178" s="2019">
        <f t="shared" si="107"/>
        <v>3</v>
      </c>
      <c r="AM178" s="69"/>
      <c r="AN178" s="2019" t="str">
        <f t="shared" si="108"/>
        <v/>
      </c>
      <c r="AO178" s="69"/>
      <c r="AP178" s="2019">
        <f t="shared" si="109"/>
        <v>3</v>
      </c>
      <c r="AQ178" s="69"/>
      <c r="AR178" s="2021">
        <f t="shared" si="110"/>
        <v>7</v>
      </c>
      <c r="AS178" s="69"/>
      <c r="AT178" s="2021">
        <f t="shared" si="111"/>
        <v>2</v>
      </c>
      <c r="AU178" s="69"/>
      <c r="AV178" s="2021">
        <f t="shared" si="112"/>
        <v>7</v>
      </c>
      <c r="AW178" s="69"/>
      <c r="AX178" s="2022">
        <f t="shared" si="113"/>
        <v>7</v>
      </c>
      <c r="AY178" s="69"/>
      <c r="AZ178" s="2022">
        <f t="shared" si="114"/>
        <v>2</v>
      </c>
      <c r="BA178" s="69"/>
      <c r="BB178" s="2022">
        <f t="shared" si="115"/>
        <v>7</v>
      </c>
      <c r="BC178" s="69"/>
      <c r="BD178" s="2022">
        <f t="shared" si="116"/>
        <v>5</v>
      </c>
      <c r="BE178" s="69"/>
      <c r="BF178" s="2022">
        <f t="shared" si="117"/>
        <v>7</v>
      </c>
      <c r="BG178" s="69"/>
      <c r="BH178" s="2022">
        <f t="shared" si="118"/>
        <v>3</v>
      </c>
      <c r="BI178" s="69"/>
      <c r="BJ178" s="2022">
        <f t="shared" si="119"/>
        <v>3</v>
      </c>
      <c r="BK178" s="69"/>
      <c r="BL178" s="2022" t="str">
        <f t="shared" si="120"/>
        <v/>
      </c>
      <c r="BM178" s="69"/>
      <c r="BN178" s="1321" t="str">
        <f t="shared" si="121"/>
        <v/>
      </c>
      <c r="BO178" s="69"/>
      <c r="BP178" s="1724">
        <f t="shared" si="122"/>
        <v>140</v>
      </c>
      <c r="BQ178" s="69"/>
      <c r="BS178" s="684"/>
      <c r="BT178" s="684"/>
      <c r="BU178" s="541"/>
    </row>
    <row r="179" ht="22.5" customHeight="1">
      <c r="A179" s="1698" t="str">
        <f t="shared" si="123"/>
        <v>Да</v>
      </c>
      <c r="B179" s="1978">
        <v>3140.0</v>
      </c>
      <c r="C179" s="1567">
        <v>165.0</v>
      </c>
      <c r="D179" s="1817"/>
      <c r="E179" s="721" t="str">
        <f t="shared" si="90"/>
        <v>Сэндвич ''Снежный краб'' с соусом спайси</v>
      </c>
      <c r="F179" s="2019">
        <f t="shared" si="91"/>
        <v>5</v>
      </c>
      <c r="G179" s="69"/>
      <c r="H179" s="2019">
        <f t="shared" si="92"/>
        <v>5</v>
      </c>
      <c r="I179" s="69"/>
      <c r="J179" s="2019">
        <f t="shared" si="93"/>
        <v>3</v>
      </c>
      <c r="K179" s="69"/>
      <c r="L179" s="2019">
        <f t="shared" si="94"/>
        <v>3</v>
      </c>
      <c r="M179" s="69"/>
      <c r="N179" s="2019">
        <f t="shared" si="95"/>
        <v>6</v>
      </c>
      <c r="O179" s="69"/>
      <c r="P179" s="2019">
        <f t="shared" si="96"/>
        <v>5</v>
      </c>
      <c r="Q179" s="69"/>
      <c r="R179" s="2019">
        <f t="shared" si="97"/>
        <v>2</v>
      </c>
      <c r="S179" s="69"/>
      <c r="T179" s="2019">
        <f t="shared" si="98"/>
        <v>4</v>
      </c>
      <c r="U179" s="69"/>
      <c r="V179" s="2019">
        <f t="shared" si="99"/>
        <v>3</v>
      </c>
      <c r="W179" s="69"/>
      <c r="X179" s="2019">
        <f t="shared" si="100"/>
        <v>6</v>
      </c>
      <c r="Y179" s="69"/>
      <c r="Z179" s="2019" t="str">
        <f t="shared" si="101"/>
        <v/>
      </c>
      <c r="AA179" s="69"/>
      <c r="AB179" s="2019">
        <f t="shared" si="102"/>
        <v>3</v>
      </c>
      <c r="AC179" s="69"/>
      <c r="AD179" s="2019">
        <f t="shared" si="103"/>
        <v>2</v>
      </c>
      <c r="AE179" s="69"/>
      <c r="AF179" s="2019">
        <f t="shared" si="104"/>
        <v>3</v>
      </c>
      <c r="AG179" s="69"/>
      <c r="AH179" s="2019">
        <f t="shared" si="105"/>
        <v>5</v>
      </c>
      <c r="AI179" s="69"/>
      <c r="AJ179" s="2019">
        <f t="shared" si="106"/>
        <v>2</v>
      </c>
      <c r="AK179" s="69"/>
      <c r="AL179" s="2019">
        <f t="shared" si="107"/>
        <v>3</v>
      </c>
      <c r="AM179" s="69"/>
      <c r="AN179" s="2019" t="str">
        <f t="shared" si="108"/>
        <v/>
      </c>
      <c r="AO179" s="69"/>
      <c r="AP179" s="2019">
        <f t="shared" si="109"/>
        <v>3</v>
      </c>
      <c r="AQ179" s="69"/>
      <c r="AR179" s="2021">
        <f t="shared" si="110"/>
        <v>7</v>
      </c>
      <c r="AS179" s="69"/>
      <c r="AT179" s="2021">
        <f t="shared" si="111"/>
        <v>2</v>
      </c>
      <c r="AU179" s="69"/>
      <c r="AV179" s="2021">
        <f t="shared" si="112"/>
        <v>6</v>
      </c>
      <c r="AW179" s="69"/>
      <c r="AX179" s="2022">
        <f t="shared" si="113"/>
        <v>5</v>
      </c>
      <c r="AY179" s="69"/>
      <c r="AZ179" s="2022">
        <f t="shared" si="114"/>
        <v>3</v>
      </c>
      <c r="BA179" s="69"/>
      <c r="BB179" s="2022">
        <f t="shared" si="115"/>
        <v>5</v>
      </c>
      <c r="BC179" s="69"/>
      <c r="BD179" s="2022">
        <f t="shared" si="116"/>
        <v>2</v>
      </c>
      <c r="BE179" s="69"/>
      <c r="BF179" s="2022">
        <f t="shared" si="117"/>
        <v>7</v>
      </c>
      <c r="BG179" s="69"/>
      <c r="BH179" s="2022">
        <f t="shared" si="118"/>
        <v>2</v>
      </c>
      <c r="BI179" s="69"/>
      <c r="BJ179" s="2022">
        <f t="shared" si="119"/>
        <v>4</v>
      </c>
      <c r="BK179" s="69"/>
      <c r="BL179" s="2022" t="str">
        <f t="shared" si="120"/>
        <v/>
      </c>
      <c r="BM179" s="69"/>
      <c r="BN179" s="1321" t="str">
        <f t="shared" si="121"/>
        <v/>
      </c>
      <c r="BO179" s="69"/>
      <c r="BP179" s="1724">
        <f t="shared" si="122"/>
        <v>106</v>
      </c>
      <c r="BQ179" s="69"/>
      <c r="BS179" s="684"/>
      <c r="BT179" s="684"/>
      <c r="BU179" s="541"/>
    </row>
    <row r="180" ht="22.5" customHeight="1">
      <c r="A180" s="1698" t="str">
        <f t="shared" si="123"/>
        <v>Да</v>
      </c>
      <c r="B180" s="1978">
        <v>4000.0</v>
      </c>
      <c r="C180" s="1567">
        <v>98.0</v>
      </c>
      <c r="D180" s="1817"/>
      <c r="E180" s="721" t="str">
        <f t="shared" si="90"/>
        <v>Компот из сухофруктов 0,5 л</v>
      </c>
      <c r="F180" s="2019">
        <f t="shared" si="91"/>
        <v>15</v>
      </c>
      <c r="G180" s="69"/>
      <c r="H180" s="2019">
        <f t="shared" si="92"/>
        <v>5</v>
      </c>
      <c r="I180" s="69"/>
      <c r="J180" s="2019">
        <f t="shared" si="93"/>
        <v>15</v>
      </c>
      <c r="K180" s="69"/>
      <c r="L180" s="2019">
        <f t="shared" si="94"/>
        <v>0</v>
      </c>
      <c r="M180" s="69"/>
      <c r="N180" s="2019">
        <f t="shared" si="95"/>
        <v>0</v>
      </c>
      <c r="O180" s="69"/>
      <c r="P180" s="2019">
        <f t="shared" si="96"/>
        <v>0</v>
      </c>
      <c r="Q180" s="69"/>
      <c r="R180" s="2019">
        <f t="shared" si="97"/>
        <v>0</v>
      </c>
      <c r="S180" s="69"/>
      <c r="T180" s="2019">
        <f t="shared" si="98"/>
        <v>0</v>
      </c>
      <c r="U180" s="69"/>
      <c r="V180" s="2019">
        <f t="shared" si="99"/>
        <v>0</v>
      </c>
      <c r="W180" s="69"/>
      <c r="X180" s="2019">
        <f t="shared" si="100"/>
        <v>0</v>
      </c>
      <c r="Y180" s="69"/>
      <c r="Z180" s="2019" t="str">
        <f t="shared" si="101"/>
        <v/>
      </c>
      <c r="AA180" s="69"/>
      <c r="AB180" s="2019">
        <f t="shared" si="102"/>
        <v>0</v>
      </c>
      <c r="AC180" s="69"/>
      <c r="AD180" s="2019">
        <f t="shared" si="103"/>
        <v>0</v>
      </c>
      <c r="AE180" s="69"/>
      <c r="AF180" s="2019">
        <f t="shared" si="104"/>
        <v>10</v>
      </c>
      <c r="AG180" s="69"/>
      <c r="AH180" s="2019">
        <f t="shared" si="105"/>
        <v>0</v>
      </c>
      <c r="AI180" s="69"/>
      <c r="AJ180" s="2019">
        <f t="shared" si="106"/>
        <v>0</v>
      </c>
      <c r="AK180" s="69"/>
      <c r="AL180" s="2019">
        <f t="shared" si="107"/>
        <v>0</v>
      </c>
      <c r="AM180" s="69"/>
      <c r="AN180" s="2019" t="str">
        <f t="shared" si="108"/>
        <v/>
      </c>
      <c r="AO180" s="69"/>
      <c r="AP180" s="2019">
        <f t="shared" si="109"/>
        <v>0</v>
      </c>
      <c r="AQ180" s="69"/>
      <c r="AR180" s="2021">
        <f t="shared" si="110"/>
        <v>25</v>
      </c>
      <c r="AS180" s="69"/>
      <c r="AT180" s="2021">
        <f t="shared" si="111"/>
        <v>6</v>
      </c>
      <c r="AU180" s="69"/>
      <c r="AV180" s="2021">
        <f t="shared" si="112"/>
        <v>5</v>
      </c>
      <c r="AW180" s="69"/>
      <c r="AX180" s="2022">
        <f t="shared" si="113"/>
        <v>9</v>
      </c>
      <c r="AY180" s="69"/>
      <c r="AZ180" s="2022">
        <f t="shared" si="114"/>
        <v>0</v>
      </c>
      <c r="BA180" s="69"/>
      <c r="BB180" s="2022">
        <f t="shared" si="115"/>
        <v>5</v>
      </c>
      <c r="BC180" s="69"/>
      <c r="BD180" s="2022">
        <f t="shared" si="116"/>
        <v>5</v>
      </c>
      <c r="BE180" s="69"/>
      <c r="BF180" s="2022">
        <f t="shared" si="117"/>
        <v>15</v>
      </c>
      <c r="BG180" s="69"/>
      <c r="BH180" s="2022">
        <f t="shared" si="118"/>
        <v>0</v>
      </c>
      <c r="BI180" s="69"/>
      <c r="BJ180" s="2022">
        <f t="shared" si="119"/>
        <v>5</v>
      </c>
      <c r="BK180" s="69"/>
      <c r="BL180" s="2022" t="str">
        <f t="shared" si="120"/>
        <v/>
      </c>
      <c r="BM180" s="69"/>
      <c r="BN180" s="1321" t="str">
        <f t="shared" si="121"/>
        <v/>
      </c>
      <c r="BO180" s="69"/>
      <c r="BP180" s="1724">
        <f t="shared" si="122"/>
        <v>120</v>
      </c>
      <c r="BQ180" s="69"/>
      <c r="BS180" s="684"/>
      <c r="BT180" s="684"/>
      <c r="BU180" s="541"/>
    </row>
    <row r="181" ht="22.5" customHeight="1">
      <c r="A181" s="1698" t="str">
        <f t="shared" si="123"/>
        <v>Да</v>
      </c>
      <c r="B181" s="1978">
        <v>2943.0</v>
      </c>
      <c r="C181" s="1567">
        <v>152.0</v>
      </c>
      <c r="D181" s="1817"/>
      <c r="E181" s="721" t="str">
        <f t="shared" si="90"/>
        <v>Онигири с куриным филе в соусе спайси</v>
      </c>
      <c r="F181" s="2019">
        <f t="shared" si="91"/>
        <v>18</v>
      </c>
      <c r="G181" s="69"/>
      <c r="H181" s="2071">
        <f t="shared" si="92"/>
        <v>5</v>
      </c>
      <c r="I181" s="69"/>
      <c r="J181" s="2019">
        <f t="shared" si="93"/>
        <v>5</v>
      </c>
      <c r="K181" s="69"/>
      <c r="L181" s="2019">
        <f t="shared" si="94"/>
        <v>2</v>
      </c>
      <c r="M181" s="69"/>
      <c r="N181" s="2019">
        <f t="shared" si="95"/>
        <v>5</v>
      </c>
      <c r="O181" s="69"/>
      <c r="P181" s="2071">
        <f t="shared" si="96"/>
        <v>1</v>
      </c>
      <c r="Q181" s="69"/>
      <c r="R181" s="2019" t="str">
        <f t="shared" si="97"/>
        <v/>
      </c>
      <c r="S181" s="69"/>
      <c r="T181" s="2019">
        <f t="shared" si="98"/>
        <v>2</v>
      </c>
      <c r="U181" s="69"/>
      <c r="V181" s="2019">
        <f t="shared" si="99"/>
        <v>2</v>
      </c>
      <c r="W181" s="69"/>
      <c r="X181" s="2019">
        <f t="shared" si="100"/>
        <v>2</v>
      </c>
      <c r="Y181" s="69"/>
      <c r="Z181" s="2019" t="str">
        <f t="shared" si="101"/>
        <v/>
      </c>
      <c r="AA181" s="69"/>
      <c r="AB181" s="2019">
        <f t="shared" si="102"/>
        <v>3</v>
      </c>
      <c r="AC181" s="69"/>
      <c r="AD181" s="2019">
        <f t="shared" si="103"/>
        <v>2</v>
      </c>
      <c r="AE181" s="69"/>
      <c r="AF181" s="2019">
        <f t="shared" si="104"/>
        <v>2</v>
      </c>
      <c r="AG181" s="69"/>
      <c r="AH181" s="2019">
        <f t="shared" si="105"/>
        <v>2</v>
      </c>
      <c r="AI181" s="69"/>
      <c r="AJ181" s="2019">
        <f t="shared" si="106"/>
        <v>2</v>
      </c>
      <c r="AK181" s="69"/>
      <c r="AL181" s="2019">
        <f t="shared" si="107"/>
        <v>0</v>
      </c>
      <c r="AM181" s="69"/>
      <c r="AN181" s="2019" t="str">
        <f t="shared" si="108"/>
        <v/>
      </c>
      <c r="AO181" s="69"/>
      <c r="AP181" s="2019">
        <f t="shared" si="109"/>
        <v>2</v>
      </c>
      <c r="AQ181" s="69"/>
      <c r="AR181" s="2021" t="str">
        <f t="shared" si="110"/>
        <v/>
      </c>
      <c r="AS181" s="69"/>
      <c r="AT181" s="2021">
        <f t="shared" si="111"/>
        <v>2</v>
      </c>
      <c r="AU181" s="69"/>
      <c r="AV181" s="2021">
        <f t="shared" si="112"/>
        <v>9</v>
      </c>
      <c r="AW181" s="69"/>
      <c r="AX181" s="2022">
        <f t="shared" si="113"/>
        <v>2</v>
      </c>
      <c r="AY181" s="69"/>
      <c r="AZ181" s="2022">
        <f t="shared" si="114"/>
        <v>2</v>
      </c>
      <c r="BA181" s="69"/>
      <c r="BB181" s="2022">
        <f t="shared" si="115"/>
        <v>5</v>
      </c>
      <c r="BC181" s="69"/>
      <c r="BD181" s="2022">
        <f t="shared" si="116"/>
        <v>2</v>
      </c>
      <c r="BE181" s="69"/>
      <c r="BF181" s="2022">
        <f t="shared" si="117"/>
        <v>2</v>
      </c>
      <c r="BG181" s="69"/>
      <c r="BH181" s="2022">
        <f t="shared" si="118"/>
        <v>1</v>
      </c>
      <c r="BI181" s="69"/>
      <c r="BJ181" s="2022">
        <f t="shared" si="119"/>
        <v>4</v>
      </c>
      <c r="BK181" s="69"/>
      <c r="BL181" s="2022" t="str">
        <f t="shared" si="120"/>
        <v/>
      </c>
      <c r="BM181" s="69"/>
      <c r="BN181" s="1321" t="str">
        <f t="shared" si="121"/>
        <v/>
      </c>
      <c r="BO181" s="69"/>
      <c r="BP181" s="1724">
        <f t="shared" si="122"/>
        <v>84</v>
      </c>
      <c r="BQ181" s="69"/>
      <c r="BS181" s="684"/>
      <c r="BT181" s="684"/>
      <c r="BU181" s="541"/>
    </row>
    <row r="182" ht="22.5" customHeight="1">
      <c r="A182" s="1698" t="str">
        <f t="shared" si="123"/>
        <v>Да</v>
      </c>
      <c r="B182" s="1978">
        <v>822.0</v>
      </c>
      <c r="C182" s="1567">
        <v>5.0</v>
      </c>
      <c r="D182" s="1817"/>
      <c r="E182" s="721" t="str">
        <f t="shared" si="90"/>
        <v>Хлеб пшеничный</v>
      </c>
      <c r="F182" s="2019">
        <f t="shared" si="91"/>
        <v>10</v>
      </c>
      <c r="G182" s="69"/>
      <c r="H182" s="2019">
        <f t="shared" si="92"/>
        <v>3</v>
      </c>
      <c r="I182" s="69"/>
      <c r="J182" s="2019">
        <f t="shared" si="93"/>
        <v>4</v>
      </c>
      <c r="K182" s="69"/>
      <c r="L182" s="2019">
        <f t="shared" si="94"/>
        <v>4</v>
      </c>
      <c r="M182" s="69"/>
      <c r="N182" s="2019">
        <f t="shared" si="95"/>
        <v>0</v>
      </c>
      <c r="O182" s="69"/>
      <c r="P182" s="2019">
        <f t="shared" si="96"/>
        <v>4</v>
      </c>
      <c r="Q182" s="69"/>
      <c r="R182" s="2019">
        <f t="shared" si="97"/>
        <v>0</v>
      </c>
      <c r="S182" s="69"/>
      <c r="T182" s="2019">
        <f t="shared" si="98"/>
        <v>3</v>
      </c>
      <c r="U182" s="69"/>
      <c r="V182" s="2019">
        <f t="shared" si="99"/>
        <v>5</v>
      </c>
      <c r="W182" s="69"/>
      <c r="X182" s="2019">
        <f t="shared" si="100"/>
        <v>3</v>
      </c>
      <c r="Y182" s="69"/>
      <c r="Z182" s="2019" t="str">
        <f t="shared" si="101"/>
        <v/>
      </c>
      <c r="AA182" s="69"/>
      <c r="AB182" s="2019">
        <f t="shared" si="102"/>
        <v>6</v>
      </c>
      <c r="AC182" s="69"/>
      <c r="AD182" s="2021">
        <f t="shared" si="103"/>
        <v>0</v>
      </c>
      <c r="AE182" s="69"/>
      <c r="AF182" s="2021">
        <f t="shared" si="104"/>
        <v>3</v>
      </c>
      <c r="AG182" s="69"/>
      <c r="AH182" s="2021">
        <f t="shared" si="105"/>
        <v>3</v>
      </c>
      <c r="AI182" s="69"/>
      <c r="AJ182" s="2021">
        <f t="shared" si="106"/>
        <v>3</v>
      </c>
      <c r="AK182" s="69"/>
      <c r="AL182" s="2021">
        <f t="shared" si="107"/>
        <v>3</v>
      </c>
      <c r="AM182" s="69"/>
      <c r="AN182" s="2019" t="str">
        <f t="shared" si="108"/>
        <v/>
      </c>
      <c r="AO182" s="69"/>
      <c r="AP182" s="2019">
        <f t="shared" si="109"/>
        <v>3</v>
      </c>
      <c r="AQ182" s="69"/>
      <c r="AR182" s="2021">
        <f t="shared" si="110"/>
        <v>0</v>
      </c>
      <c r="AS182" s="69"/>
      <c r="AT182" s="2021">
        <f t="shared" si="111"/>
        <v>3</v>
      </c>
      <c r="AU182" s="69"/>
      <c r="AV182" s="2021">
        <f t="shared" si="112"/>
        <v>3</v>
      </c>
      <c r="AW182" s="69"/>
      <c r="AX182" s="2022">
        <f t="shared" si="113"/>
        <v>3</v>
      </c>
      <c r="AY182" s="69"/>
      <c r="AZ182" s="2022">
        <f t="shared" si="114"/>
        <v>20</v>
      </c>
      <c r="BA182" s="69"/>
      <c r="BB182" s="2022">
        <f t="shared" si="115"/>
        <v>4</v>
      </c>
      <c r="BC182" s="69"/>
      <c r="BD182" s="2022">
        <f t="shared" si="116"/>
        <v>3</v>
      </c>
      <c r="BE182" s="69"/>
      <c r="BF182" s="2022">
        <f t="shared" si="117"/>
        <v>3</v>
      </c>
      <c r="BG182" s="69"/>
      <c r="BH182" s="2022">
        <f t="shared" si="118"/>
        <v>3</v>
      </c>
      <c r="BI182" s="69"/>
      <c r="BJ182" s="2022">
        <f t="shared" si="119"/>
        <v>3</v>
      </c>
      <c r="BK182" s="69"/>
      <c r="BL182" s="2022">
        <f t="shared" si="120"/>
        <v>120</v>
      </c>
      <c r="BM182" s="69"/>
      <c r="BN182" s="1321" t="str">
        <f t="shared" si="121"/>
        <v/>
      </c>
      <c r="BO182" s="69"/>
      <c r="BP182" s="1724">
        <f t="shared" si="122"/>
        <v>222</v>
      </c>
      <c r="BQ182" s="69"/>
      <c r="BS182" s="684"/>
      <c r="BT182" s="684"/>
      <c r="BU182" s="541"/>
    </row>
    <row r="183" ht="22.5" customHeight="1">
      <c r="A183" s="1698" t="str">
        <f t="shared" si="123"/>
        <v/>
      </c>
      <c r="B183" s="1978"/>
      <c r="C183" s="1567"/>
      <c r="D183" s="1817"/>
      <c r="E183" s="721" t="str">
        <f t="shared" si="90"/>
        <v/>
      </c>
      <c r="F183" s="2019" t="str">
        <f t="shared" si="91"/>
        <v/>
      </c>
      <c r="G183" s="69"/>
      <c r="H183" s="2019" t="str">
        <f t="shared" si="92"/>
        <v/>
      </c>
      <c r="I183" s="69"/>
      <c r="J183" s="2019" t="str">
        <f t="shared" si="93"/>
        <v/>
      </c>
      <c r="K183" s="69"/>
      <c r="L183" s="2019" t="str">
        <f t="shared" si="94"/>
        <v/>
      </c>
      <c r="M183" s="69"/>
      <c r="N183" s="2019" t="str">
        <f t="shared" si="95"/>
        <v/>
      </c>
      <c r="O183" s="69"/>
      <c r="P183" s="2019" t="str">
        <f t="shared" si="96"/>
        <v/>
      </c>
      <c r="Q183" s="69"/>
      <c r="R183" s="2019" t="str">
        <f t="shared" si="97"/>
        <v/>
      </c>
      <c r="S183" s="69"/>
      <c r="T183" s="2019" t="str">
        <f t="shared" si="98"/>
        <v/>
      </c>
      <c r="U183" s="69"/>
      <c r="V183" s="2019" t="str">
        <f t="shared" si="99"/>
        <v/>
      </c>
      <c r="W183" s="69"/>
      <c r="X183" s="2019" t="str">
        <f t="shared" si="100"/>
        <v/>
      </c>
      <c r="Y183" s="69"/>
      <c r="Z183" s="2019" t="str">
        <f t="shared" si="101"/>
        <v/>
      </c>
      <c r="AA183" s="69"/>
      <c r="AB183" s="2019" t="str">
        <f t="shared" si="102"/>
        <v/>
      </c>
      <c r="AC183" s="69"/>
      <c r="AD183" s="2019" t="str">
        <f t="shared" si="103"/>
        <v/>
      </c>
      <c r="AE183" s="69"/>
      <c r="AF183" s="2019" t="str">
        <f t="shared" si="104"/>
        <v/>
      </c>
      <c r="AG183" s="69"/>
      <c r="AH183" s="2019" t="str">
        <f t="shared" si="105"/>
        <v/>
      </c>
      <c r="AI183" s="69"/>
      <c r="AJ183" s="2019" t="str">
        <f t="shared" si="106"/>
        <v/>
      </c>
      <c r="AK183" s="69"/>
      <c r="AL183" s="2019" t="str">
        <f t="shared" si="107"/>
        <v/>
      </c>
      <c r="AM183" s="69"/>
      <c r="AN183" s="2019" t="str">
        <f t="shared" si="108"/>
        <v/>
      </c>
      <c r="AO183" s="69"/>
      <c r="AP183" s="2019" t="str">
        <f t="shared" si="109"/>
        <v/>
      </c>
      <c r="AQ183" s="69"/>
      <c r="AR183" s="2019" t="str">
        <f t="shared" si="110"/>
        <v/>
      </c>
      <c r="AS183" s="69"/>
      <c r="AT183" s="2019" t="str">
        <f t="shared" si="111"/>
        <v/>
      </c>
      <c r="AU183" s="69"/>
      <c r="AV183" s="2021" t="str">
        <f t="shared" si="112"/>
        <v/>
      </c>
      <c r="AW183" s="69"/>
      <c r="AX183" s="2022" t="str">
        <f t="shared" si="113"/>
        <v/>
      </c>
      <c r="AY183" s="69"/>
      <c r="AZ183" s="2022" t="str">
        <f t="shared" si="114"/>
        <v/>
      </c>
      <c r="BA183" s="69"/>
      <c r="BB183" s="2022" t="str">
        <f t="shared" si="115"/>
        <v/>
      </c>
      <c r="BC183" s="69"/>
      <c r="BD183" s="2022" t="str">
        <f t="shared" si="116"/>
        <v/>
      </c>
      <c r="BE183" s="69"/>
      <c r="BF183" s="2022" t="str">
        <f t="shared" si="117"/>
        <v/>
      </c>
      <c r="BG183" s="69"/>
      <c r="BH183" s="2022" t="str">
        <f t="shared" si="118"/>
        <v/>
      </c>
      <c r="BI183" s="69"/>
      <c r="BJ183" s="2022" t="str">
        <f t="shared" si="119"/>
        <v/>
      </c>
      <c r="BK183" s="69"/>
      <c r="BL183" s="2022" t="str">
        <f t="shared" si="120"/>
        <v/>
      </c>
      <c r="BM183" s="69"/>
      <c r="BN183" s="1321" t="str">
        <f t="shared" si="121"/>
        <v/>
      </c>
      <c r="BO183" s="69"/>
      <c r="BP183" s="1724">
        <f t="shared" si="122"/>
        <v>0</v>
      </c>
      <c r="BQ183" s="69"/>
      <c r="BS183" s="684"/>
      <c r="BT183" s="684"/>
      <c r="BU183" s="541"/>
    </row>
    <row r="184" ht="22.5" customHeight="1">
      <c r="A184" s="1698" t="str">
        <f t="shared" si="123"/>
        <v/>
      </c>
      <c r="B184" s="1611"/>
      <c r="C184" s="1817"/>
      <c r="D184" s="1817"/>
      <c r="E184" s="721" t="str">
        <f t="shared" si="90"/>
        <v/>
      </c>
      <c r="F184" s="2019"/>
      <c r="G184" s="69"/>
      <c r="H184" s="2019"/>
      <c r="I184" s="69"/>
      <c r="J184" s="2019"/>
      <c r="K184" s="69"/>
      <c r="L184" s="2019"/>
      <c r="M184" s="69"/>
      <c r="N184" s="2019"/>
      <c r="O184" s="69"/>
      <c r="P184" s="2019"/>
      <c r="Q184" s="69"/>
      <c r="R184" s="2019"/>
      <c r="S184" s="69"/>
      <c r="T184" s="2019"/>
      <c r="U184" s="69"/>
      <c r="V184" s="2019"/>
      <c r="W184" s="69"/>
      <c r="X184" s="2019"/>
      <c r="Y184" s="69"/>
      <c r="Z184" s="2019"/>
      <c r="AA184" s="69"/>
      <c r="AB184" s="2019"/>
      <c r="AC184" s="69"/>
      <c r="AD184" s="2019"/>
      <c r="AE184" s="69"/>
      <c r="AF184" s="2019"/>
      <c r="AG184" s="69"/>
      <c r="AH184" s="2019"/>
      <c r="AI184" s="69"/>
      <c r="AJ184" s="2019"/>
      <c r="AK184" s="69"/>
      <c r="AL184" s="2019"/>
      <c r="AM184" s="69"/>
      <c r="AN184" s="2019"/>
      <c r="AO184" s="69"/>
      <c r="AP184" s="2019"/>
      <c r="AQ184" s="69"/>
      <c r="AR184" s="2019"/>
      <c r="AS184" s="69"/>
      <c r="AT184" s="2019"/>
      <c r="AU184" s="69"/>
      <c r="AV184" s="2019"/>
      <c r="AW184" s="69"/>
      <c r="AX184" s="2019"/>
      <c r="AY184" s="69"/>
      <c r="AZ184" s="2019"/>
      <c r="BA184" s="69"/>
      <c r="BB184" s="2019"/>
      <c r="BC184" s="69"/>
      <c r="BD184" s="2019"/>
      <c r="BE184" s="69"/>
      <c r="BF184" s="2019"/>
      <c r="BG184" s="69"/>
      <c r="BH184" s="2019"/>
      <c r="BI184" s="69"/>
      <c r="BJ184" s="2022" t="str">
        <f t="shared" si="119"/>
        <v/>
      </c>
      <c r="BK184" s="69"/>
      <c r="BL184" s="2019"/>
      <c r="BM184" s="69"/>
      <c r="BN184" s="1738"/>
      <c r="BO184" s="69"/>
      <c r="BP184" s="1724">
        <f t="shared" si="122"/>
        <v>0</v>
      </c>
      <c r="BQ184" s="69"/>
      <c r="BS184" s="684"/>
      <c r="BT184" s="684"/>
      <c r="BU184" s="541"/>
    </row>
    <row r="185" ht="22.5" customHeight="1">
      <c r="A185" s="1698" t="str">
        <f t="shared" si="123"/>
        <v/>
      </c>
      <c r="B185" s="1611"/>
      <c r="C185" s="1817"/>
      <c r="D185" s="1817"/>
      <c r="E185" s="721" t="str">
        <f t="shared" si="90"/>
        <v/>
      </c>
      <c r="F185" s="2080">
        <f>SUM(F160:G184)</f>
        <v>130</v>
      </c>
      <c r="G185" s="69"/>
      <c r="H185" s="2080">
        <f>SUM(H160:I184)</f>
        <v>53</v>
      </c>
      <c r="I185" s="69"/>
      <c r="J185" s="2080">
        <f>SUM(J160:K184)</f>
        <v>82</v>
      </c>
      <c r="K185" s="69"/>
      <c r="L185" s="2080">
        <f>SUM(L160:M184)</f>
        <v>47</v>
      </c>
      <c r="M185" s="69"/>
      <c r="N185" s="2080">
        <f>SUM(N160:O184)</f>
        <v>108</v>
      </c>
      <c r="O185" s="69"/>
      <c r="P185" s="2080">
        <f>SUM(P160:Q184)</f>
        <v>90</v>
      </c>
      <c r="Q185" s="69"/>
      <c r="R185" s="2080">
        <f>SUM(R160:S184)</f>
        <v>37</v>
      </c>
      <c r="S185" s="69"/>
      <c r="T185" s="2080">
        <f>SUM(T160:U184)</f>
        <v>56</v>
      </c>
      <c r="U185" s="69"/>
      <c r="V185" s="2080">
        <f>SUM(V160:W184)</f>
        <v>73</v>
      </c>
      <c r="W185" s="69"/>
      <c r="X185" s="2080">
        <f>SUM(X160:Y184)</f>
        <v>61</v>
      </c>
      <c r="Y185" s="69"/>
      <c r="Z185" s="2080">
        <f>SUM(Z160:AA184)</f>
        <v>0</v>
      </c>
      <c r="AA185" s="69"/>
      <c r="AB185" s="2080">
        <f>SUM(AB160:AC184)</f>
        <v>53</v>
      </c>
      <c r="AC185" s="69"/>
      <c r="AD185" s="2080">
        <f>SUM(AD160:AE184)</f>
        <v>34</v>
      </c>
      <c r="AE185" s="69"/>
      <c r="AF185" s="2080">
        <f>SUM(AF160:AG184)</f>
        <v>74</v>
      </c>
      <c r="AG185" s="69"/>
      <c r="AH185" s="2080">
        <f>SUM(AH160:AI184)</f>
        <v>71</v>
      </c>
      <c r="AI185" s="69"/>
      <c r="AJ185" s="2080">
        <f>SUM(AJ160:AK184)</f>
        <v>60</v>
      </c>
      <c r="AK185" s="69"/>
      <c r="AL185" s="2080">
        <f>SUM(AL160:AM184)</f>
        <v>35</v>
      </c>
      <c r="AM185" s="69"/>
      <c r="AN185" s="2080">
        <f>SUM(AN160:AO184)</f>
        <v>0</v>
      </c>
      <c r="AO185" s="69"/>
      <c r="AP185" s="2080">
        <f>SUM(AP160:AQ184)</f>
        <v>44</v>
      </c>
      <c r="AQ185" s="69"/>
      <c r="AR185" s="2080">
        <f>SUM(AR160:AS184)</f>
        <v>117</v>
      </c>
      <c r="AS185" s="69"/>
      <c r="AT185" s="2080">
        <f>SUM(AT160:AU184)</f>
        <v>63</v>
      </c>
      <c r="AU185" s="69"/>
      <c r="AV185" s="2080">
        <f>SUM(AV160:AW184)</f>
        <v>65</v>
      </c>
      <c r="AW185" s="69"/>
      <c r="AX185" s="2080">
        <f>SUM(AX160:AY184)</f>
        <v>77</v>
      </c>
      <c r="AY185" s="69"/>
      <c r="AZ185" s="2080">
        <f>SUM(AZ160:BA184)</f>
        <v>60</v>
      </c>
      <c r="BA185" s="69"/>
      <c r="BB185" s="2080">
        <f>SUM(BB160:BC184)</f>
        <v>56</v>
      </c>
      <c r="BC185" s="69"/>
      <c r="BD185" s="2080">
        <f>SUM(BD160:BE184)</f>
        <v>48</v>
      </c>
      <c r="BE185" s="69"/>
      <c r="BF185" s="2080">
        <f>SUM(BF160:BG184)</f>
        <v>94</v>
      </c>
      <c r="BG185" s="69"/>
      <c r="BH185" s="2080">
        <f>SUM(BH160:BI184)</f>
        <v>54</v>
      </c>
      <c r="BI185" s="69"/>
      <c r="BJ185" s="2080">
        <f>SUM(BJ160:BK184)</f>
        <v>72</v>
      </c>
      <c r="BK185" s="69"/>
      <c r="BL185" s="2080">
        <f>SUM(BL160:BM184)</f>
        <v>510</v>
      </c>
      <c r="BM185" s="69"/>
      <c r="BN185" s="1321"/>
      <c r="BO185" s="69"/>
      <c r="BP185" s="1724">
        <f t="shared" si="122"/>
        <v>2324</v>
      </c>
      <c r="BQ185" s="69"/>
      <c r="BS185" s="684"/>
      <c r="BT185" s="684"/>
      <c r="BU185" s="541"/>
    </row>
    <row r="186" ht="17.25" customHeight="1">
      <c r="A186" s="1698" t="str">
        <f t="shared" si="123"/>
        <v/>
      </c>
      <c r="B186" s="1611"/>
      <c r="C186" s="1817"/>
      <c r="D186" s="1817"/>
      <c r="E186" s="721" t="str">
        <f t="shared" si="90"/>
        <v/>
      </c>
      <c r="F186" s="1738" t="str">
        <f t="shared" ref="F186:F187" si="124">G153</f>
        <v/>
      </c>
      <c r="G186" s="69"/>
      <c r="H186" s="1738" t="str">
        <f t="shared" ref="H186:H187" si="125">I153</f>
        <v/>
      </c>
      <c r="I186" s="69"/>
      <c r="J186" s="1738" t="str">
        <f t="shared" ref="J186:J187" si="126">K153</f>
        <v/>
      </c>
      <c r="K186" s="69"/>
      <c r="L186" s="1738" t="str">
        <f t="shared" ref="L186:L187" si="127">M153</f>
        <v/>
      </c>
      <c r="M186" s="69"/>
      <c r="N186" s="1738" t="str">
        <f t="shared" ref="N186:N187" si="128">O153</f>
        <v/>
      </c>
      <c r="O186" s="69"/>
      <c r="P186" s="1738" t="str">
        <f t="shared" ref="P186:P187" si="129">Q153</f>
        <v/>
      </c>
      <c r="Q186" s="69"/>
      <c r="R186" s="1738" t="str">
        <f t="shared" ref="R186:R187" si="130">S153</f>
        <v/>
      </c>
      <c r="S186" s="69"/>
      <c r="T186" s="1738" t="str">
        <f t="shared" ref="T186:T187" si="131">U153</f>
        <v/>
      </c>
      <c r="U186" s="69"/>
      <c r="V186" s="1738" t="str">
        <f t="shared" ref="V186:V187" si="132">W153</f>
        <v/>
      </c>
      <c r="W186" s="69"/>
      <c r="X186" s="1738" t="str">
        <f t="shared" ref="X186:X187" si="133">Y153</f>
        <v/>
      </c>
      <c r="Y186" s="69"/>
      <c r="Z186" s="1738" t="str">
        <f t="shared" ref="Z186:Z187" si="134">AA153</f>
        <v/>
      </c>
      <c r="AA186" s="69"/>
      <c r="AB186" s="1738" t="str">
        <f t="shared" ref="AB186:AB187" si="135">AC153</f>
        <v/>
      </c>
      <c r="AC186" s="69"/>
      <c r="AD186" s="1724" t="str">
        <f t="shared" ref="AD186:AD187" si="136">AE153</f>
        <v/>
      </c>
      <c r="AE186" s="69"/>
      <c r="AF186" s="1724" t="str">
        <f t="shared" ref="AF186:AF187" si="137">AG153</f>
        <v/>
      </c>
      <c r="AG186" s="69"/>
      <c r="AH186" s="1724" t="str">
        <f t="shared" ref="AH186:AH187" si="138">AI153</f>
        <v/>
      </c>
      <c r="AI186" s="69"/>
      <c r="AJ186" s="1724" t="str">
        <f t="shared" ref="AJ186:AJ187" si="139">AK153</f>
        <v/>
      </c>
      <c r="AK186" s="69"/>
      <c r="AL186" s="1724" t="str">
        <f t="shared" ref="AL186:AL187" si="140">AM153</f>
        <v/>
      </c>
      <c r="AM186" s="69"/>
      <c r="AN186" s="1738" t="str">
        <f t="shared" ref="AN186:AN187" si="141">AO153</f>
        <v/>
      </c>
      <c r="AO186" s="69"/>
      <c r="AP186" s="1738" t="str">
        <f t="shared" ref="AP186:AP187" si="142">AQ153</f>
        <v/>
      </c>
      <c r="AQ186" s="69"/>
      <c r="AR186" s="1724" t="str">
        <f t="shared" ref="AR186:AR187" si="143">AS153</f>
        <v/>
      </c>
      <c r="AS186" s="69"/>
      <c r="AT186" s="1724" t="str">
        <f t="shared" ref="AT186:AT187" si="144">AU153</f>
        <v/>
      </c>
      <c r="AU186" s="69"/>
      <c r="AV186" s="1724" t="str">
        <f t="shared" ref="AV186:AV187" si="145">AW153</f>
        <v/>
      </c>
      <c r="AW186" s="69"/>
      <c r="AX186" s="1321" t="str">
        <f t="shared" ref="AX186:AX187" si="146">AY153</f>
        <v/>
      </c>
      <c r="AY186" s="69"/>
      <c r="AZ186" s="1321" t="str">
        <f t="shared" ref="AZ186:AZ187" si="147">BA153</f>
        <v/>
      </c>
      <c r="BA186" s="69"/>
      <c r="BB186" s="1321" t="str">
        <f t="shared" ref="BB186:BB187" si="148">BC153</f>
        <v/>
      </c>
      <c r="BC186" s="69"/>
      <c r="BD186" s="1321" t="str">
        <f t="shared" ref="BD186:BD187" si="149">BE153</f>
        <v/>
      </c>
      <c r="BE186" s="69"/>
      <c r="BF186" s="1321" t="str">
        <f t="shared" ref="BF186:BF187" si="150">BG153</f>
        <v/>
      </c>
      <c r="BG186" s="69"/>
      <c r="BH186" s="1321" t="str">
        <f t="shared" ref="BH186:BH187" si="151">BI153</f>
        <v/>
      </c>
      <c r="BI186" s="69"/>
      <c r="BJ186" s="1201" t="str">
        <f t="shared" ref="BJ186:BJ187" si="152">BK153</f>
        <v/>
      </c>
      <c r="BK186" s="69"/>
      <c r="BL186" s="1321" t="str">
        <f t="shared" ref="BL186:BL187" si="153">BM153</f>
        <v/>
      </c>
      <c r="BM186" s="69"/>
      <c r="BN186" s="1321" t="str">
        <f t="shared" ref="BN186:BN187" si="154">BO153</f>
        <v/>
      </c>
      <c r="BO186" s="69"/>
      <c r="BP186" s="1724">
        <f t="shared" si="122"/>
        <v>0</v>
      </c>
      <c r="BQ186" s="69"/>
      <c r="BS186" s="684"/>
      <c r="BT186" s="684"/>
      <c r="BU186" s="541"/>
    </row>
    <row r="187" ht="17.25" customHeight="1">
      <c r="A187" s="1698" t="str">
        <f t="shared" si="123"/>
        <v/>
      </c>
      <c r="B187" s="1611"/>
      <c r="C187" s="1817"/>
      <c r="D187" s="1817"/>
      <c r="E187" s="721" t="str">
        <f t="shared" si="90"/>
        <v/>
      </c>
      <c r="F187" s="1738" t="str">
        <f t="shared" si="124"/>
        <v/>
      </c>
      <c r="G187" s="69"/>
      <c r="H187" s="1738" t="str">
        <f t="shared" si="125"/>
        <v/>
      </c>
      <c r="I187" s="69"/>
      <c r="J187" s="1738" t="str">
        <f t="shared" si="126"/>
        <v/>
      </c>
      <c r="K187" s="69"/>
      <c r="L187" s="1738" t="str">
        <f t="shared" si="127"/>
        <v/>
      </c>
      <c r="M187" s="69"/>
      <c r="N187" s="1738" t="str">
        <f t="shared" si="128"/>
        <v/>
      </c>
      <c r="O187" s="69"/>
      <c r="P187" s="1738" t="str">
        <f t="shared" si="129"/>
        <v/>
      </c>
      <c r="Q187" s="69"/>
      <c r="R187" s="1738" t="str">
        <f t="shared" si="130"/>
        <v/>
      </c>
      <c r="S187" s="69"/>
      <c r="T187" s="1738" t="str">
        <f t="shared" si="131"/>
        <v/>
      </c>
      <c r="U187" s="69"/>
      <c r="V187" s="1738" t="str">
        <f t="shared" si="132"/>
        <v/>
      </c>
      <c r="W187" s="69"/>
      <c r="X187" s="1738" t="str">
        <f t="shared" si="133"/>
        <v/>
      </c>
      <c r="Y187" s="69"/>
      <c r="Z187" s="1738" t="str">
        <f t="shared" si="134"/>
        <v/>
      </c>
      <c r="AA187" s="69"/>
      <c r="AB187" s="1738" t="str">
        <f t="shared" si="135"/>
        <v/>
      </c>
      <c r="AC187" s="69"/>
      <c r="AD187" s="1738" t="str">
        <f t="shared" si="136"/>
        <v/>
      </c>
      <c r="AE187" s="69"/>
      <c r="AF187" s="1738" t="str">
        <f t="shared" si="137"/>
        <v/>
      </c>
      <c r="AG187" s="69"/>
      <c r="AH187" s="1738" t="str">
        <f t="shared" si="138"/>
        <v/>
      </c>
      <c r="AI187" s="69"/>
      <c r="AJ187" s="1738" t="str">
        <f t="shared" si="139"/>
        <v/>
      </c>
      <c r="AK187" s="69"/>
      <c r="AL187" s="1738" t="str">
        <f t="shared" si="140"/>
        <v/>
      </c>
      <c r="AM187" s="69"/>
      <c r="AN187" s="1738" t="str">
        <f t="shared" si="141"/>
        <v/>
      </c>
      <c r="AO187" s="69"/>
      <c r="AP187" s="1738" t="str">
        <f t="shared" si="142"/>
        <v/>
      </c>
      <c r="AQ187" s="69"/>
      <c r="AR187" s="1724" t="str">
        <f t="shared" si="143"/>
        <v/>
      </c>
      <c r="AS187" s="69"/>
      <c r="AT187" s="1724" t="str">
        <f t="shared" si="144"/>
        <v/>
      </c>
      <c r="AU187" s="69"/>
      <c r="AV187" s="1724" t="str">
        <f t="shared" si="145"/>
        <v/>
      </c>
      <c r="AW187" s="69"/>
      <c r="AX187" s="1321" t="str">
        <f t="shared" si="146"/>
        <v/>
      </c>
      <c r="AY187" s="69"/>
      <c r="AZ187" s="1321" t="str">
        <f t="shared" si="147"/>
        <v/>
      </c>
      <c r="BA187" s="69"/>
      <c r="BB187" s="1321" t="str">
        <f t="shared" si="148"/>
        <v/>
      </c>
      <c r="BC187" s="69"/>
      <c r="BD187" s="1321" t="str">
        <f t="shared" si="149"/>
        <v/>
      </c>
      <c r="BE187" s="69"/>
      <c r="BF187" s="1321" t="str">
        <f t="shared" si="150"/>
        <v/>
      </c>
      <c r="BG187" s="69"/>
      <c r="BH187" s="1321" t="str">
        <f t="shared" si="151"/>
        <v/>
      </c>
      <c r="BI187" s="69"/>
      <c r="BJ187" s="1201" t="str">
        <f t="shared" si="152"/>
        <v/>
      </c>
      <c r="BK187" s="69"/>
      <c r="BL187" s="1321" t="str">
        <f t="shared" si="153"/>
        <v/>
      </c>
      <c r="BM187" s="69"/>
      <c r="BN187" s="1321" t="str">
        <f t="shared" si="154"/>
        <v/>
      </c>
      <c r="BO187" s="69"/>
      <c r="BP187" s="1724">
        <f t="shared" si="122"/>
        <v>0</v>
      </c>
      <c r="BQ187" s="69"/>
      <c r="BS187" s="684"/>
      <c r="BT187" s="684"/>
      <c r="BU187" s="541"/>
    </row>
    <row r="188" ht="17.25" customHeight="1">
      <c r="A188" s="1591"/>
      <c r="B188" s="1848"/>
      <c r="C188" s="1848"/>
      <c r="D188" s="1848"/>
      <c r="E188" s="1987"/>
      <c r="F188" s="1990"/>
      <c r="G188" s="1989"/>
      <c r="H188" s="1990"/>
      <c r="I188" s="1989"/>
      <c r="J188" s="1990"/>
      <c r="K188" s="1989"/>
      <c r="L188" s="1990"/>
      <c r="M188" s="1989"/>
      <c r="N188" s="1990"/>
      <c r="O188" s="1989"/>
      <c r="P188" s="1990"/>
      <c r="Q188" s="1989"/>
      <c r="R188" s="1990"/>
      <c r="S188" s="1989"/>
      <c r="T188" s="1990"/>
      <c r="U188" s="1989"/>
      <c r="V188" s="1990"/>
      <c r="W188" s="1989"/>
      <c r="X188" s="1990"/>
      <c r="Y188" s="1989"/>
      <c r="Z188" s="1990"/>
      <c r="AA188" s="1989"/>
      <c r="AB188" s="1990"/>
      <c r="AC188" s="1989"/>
      <c r="AD188" s="1990"/>
      <c r="AE188" s="1989"/>
      <c r="AF188" s="1990"/>
      <c r="AG188" s="1989"/>
      <c r="AH188" s="1990"/>
      <c r="AI188" s="1989"/>
      <c r="AJ188" s="1990"/>
      <c r="AK188" s="1989"/>
      <c r="AL188" s="1990"/>
      <c r="AM188" s="1989"/>
      <c r="AN188" s="1990"/>
      <c r="AO188" s="1990"/>
      <c r="AP188" s="1990"/>
      <c r="AQ188" s="1990"/>
      <c r="AR188" s="1990"/>
      <c r="AS188" s="1989"/>
      <c r="AT188" s="1990"/>
      <c r="AU188" s="1989"/>
      <c r="AV188" s="1990"/>
      <c r="AW188" s="1989"/>
      <c r="AX188" s="2072"/>
      <c r="AY188" s="1989"/>
      <c r="AZ188" s="2072"/>
      <c r="BA188" s="1989"/>
      <c r="BB188" s="1990"/>
      <c r="BC188" s="1990"/>
      <c r="BD188" s="1990"/>
      <c r="BE188" s="1990"/>
      <c r="BF188" s="1990"/>
      <c r="BG188" s="1990"/>
      <c r="BH188" s="1990"/>
      <c r="BI188" s="1990"/>
      <c r="BJ188" s="1201"/>
      <c r="BK188" s="69"/>
      <c r="BL188" s="1989"/>
      <c r="BM188" s="2096" t="s">
        <v>3125</v>
      </c>
      <c r="BN188" s="2096"/>
      <c r="BO188" s="2096"/>
      <c r="BP188" s="1724">
        <f>SUM(BP160:BQ187)</f>
        <v>4648</v>
      </c>
      <c r="BQ188" s="69"/>
      <c r="BS188" s="541"/>
      <c r="BT188" s="541"/>
      <c r="BU188" s="541"/>
    </row>
    <row r="189" ht="22.5" customHeight="1">
      <c r="A189" s="1591"/>
      <c r="B189" s="1848"/>
      <c r="C189" s="1848"/>
      <c r="D189" s="1848"/>
      <c r="E189" s="906"/>
      <c r="F189" s="1994"/>
      <c r="G189" s="998"/>
      <c r="H189" s="1994"/>
      <c r="I189" s="998"/>
      <c r="J189" s="1994"/>
      <c r="K189" s="998"/>
      <c r="L189" s="1994"/>
      <c r="M189" s="998"/>
      <c r="N189" s="1994"/>
      <c r="O189" s="998"/>
      <c r="P189" s="1994"/>
      <c r="Q189" s="998"/>
      <c r="R189" s="1994"/>
      <c r="S189" s="998"/>
      <c r="T189" s="1994"/>
      <c r="U189" s="998"/>
      <c r="V189" s="1994"/>
      <c r="W189" s="998"/>
      <c r="X189" s="1994"/>
      <c r="Y189" s="998"/>
      <c r="Z189" s="1994"/>
      <c r="AA189" s="998"/>
      <c r="AB189" s="1994"/>
      <c r="AC189" s="998"/>
      <c r="AD189" s="1994"/>
      <c r="AE189" s="998"/>
      <c r="AF189" s="1994"/>
      <c r="AG189" s="998"/>
      <c r="AH189" s="1994"/>
      <c r="AI189" s="998"/>
      <c r="AJ189" s="1994"/>
      <c r="AK189" s="998"/>
      <c r="AL189" s="1994"/>
      <c r="AM189" s="998"/>
      <c r="AN189" s="1994"/>
      <c r="AO189" s="1994"/>
      <c r="AP189" s="1994"/>
      <c r="AQ189" s="1994"/>
      <c r="AR189" s="1994"/>
      <c r="AS189" s="998"/>
      <c r="AT189" s="1994"/>
      <c r="AU189" s="998"/>
      <c r="AV189" s="1994"/>
      <c r="AW189" s="998"/>
      <c r="AX189" s="1317"/>
      <c r="AY189" s="998"/>
      <c r="AZ189" s="1317"/>
      <c r="BA189" s="998"/>
      <c r="BB189" s="1994"/>
      <c r="BC189" s="1994"/>
      <c r="BD189" s="1994"/>
      <c r="BE189" s="1994"/>
      <c r="BF189" s="1994"/>
      <c r="BG189" s="1994"/>
      <c r="BH189" s="1994"/>
      <c r="BI189" s="1994"/>
      <c r="BJ189" s="1317"/>
      <c r="BK189" s="1994"/>
      <c r="BL189" s="998"/>
      <c r="BM189" s="1994"/>
      <c r="BN189" s="1575"/>
      <c r="BO189" s="1575"/>
      <c r="BP189" s="1575"/>
      <c r="BQ189" s="702"/>
      <c r="BR189" s="633"/>
      <c r="BS189" s="541"/>
      <c r="BT189" s="541"/>
      <c r="BU189" s="541"/>
    </row>
    <row r="190" ht="18.0" customHeight="1">
      <c r="A190" s="1929" t="s">
        <v>1279</v>
      </c>
      <c r="B190" s="1930"/>
      <c r="C190" s="2098"/>
      <c r="D190" s="2098">
        <v>46246.0</v>
      </c>
      <c r="E190" s="1982" t="s">
        <v>3127</v>
      </c>
      <c r="F190" s="1552"/>
      <c r="G190" s="1997"/>
      <c r="H190" s="1552"/>
      <c r="I190" s="1596"/>
      <c r="J190" s="1552"/>
      <c r="K190" s="1596"/>
      <c r="L190" s="1552"/>
      <c r="M190" s="1596"/>
      <c r="N190" s="1552"/>
      <c r="O190" s="1596"/>
      <c r="P190" s="1553"/>
      <c r="Q190" s="1596"/>
      <c r="R190" s="1552"/>
      <c r="S190" s="1596"/>
      <c r="T190" s="1552"/>
      <c r="U190" s="1596"/>
      <c r="V190" s="1553"/>
      <c r="W190" s="1596"/>
      <c r="X190" s="1552"/>
      <c r="Y190" s="1596"/>
      <c r="Z190" s="1552"/>
      <c r="AA190" s="1596"/>
      <c r="AB190" s="1552"/>
      <c r="AC190" s="1596"/>
      <c r="AD190" s="1552"/>
      <c r="AE190" s="1596"/>
      <c r="AF190" s="1553"/>
      <c r="AG190" s="1596"/>
      <c r="AH190" s="1552"/>
      <c r="AI190" s="1596"/>
      <c r="AJ190" s="1553"/>
      <c r="AK190" s="1596"/>
      <c r="AL190" s="1552"/>
      <c r="AM190" s="1596"/>
      <c r="AN190" s="1552"/>
      <c r="AO190" s="1552"/>
      <c r="AP190" s="1552"/>
      <c r="AQ190" s="1552"/>
      <c r="AR190" s="1553"/>
      <c r="AS190" s="1596"/>
      <c r="AT190" s="1553"/>
      <c r="AU190" s="1596"/>
      <c r="AV190" s="1552"/>
      <c r="AW190" s="1596"/>
      <c r="AX190" s="1552"/>
      <c r="AY190" s="1596"/>
      <c r="AZ190" s="1553"/>
      <c r="BA190" s="1596"/>
      <c r="BB190" s="1552"/>
      <c r="BC190" s="1552"/>
      <c r="BD190" s="1552"/>
      <c r="BE190" s="1552"/>
      <c r="BF190" s="1552"/>
      <c r="BG190" s="1552"/>
      <c r="BH190" s="1552"/>
      <c r="BI190" s="1552"/>
      <c r="BJ190" s="1552"/>
      <c r="BK190" s="1552"/>
      <c r="BL190" s="1596"/>
      <c r="BM190" s="1552"/>
      <c r="BN190" s="1596"/>
      <c r="BO190" s="1596"/>
      <c r="BP190" s="1596"/>
      <c r="BQ190" s="1599"/>
      <c r="BR190" s="1599"/>
      <c r="BS190" s="1998"/>
      <c r="BT190" s="2101"/>
      <c r="BU190" s="1596"/>
    </row>
    <row r="191" ht="18.0" customHeight="1">
      <c r="A191" s="1986" t="s">
        <v>3069</v>
      </c>
      <c r="B191" s="1557" t="s">
        <v>1283</v>
      </c>
      <c r="C191" s="1935" t="s">
        <v>19</v>
      </c>
      <c r="D191" s="1934" t="s">
        <v>473</v>
      </c>
      <c r="E191" s="2000" t="s">
        <v>471</v>
      </c>
      <c r="F191" s="1075" t="s">
        <v>1357</v>
      </c>
      <c r="G191" s="1409" t="s">
        <v>3071</v>
      </c>
      <c r="H191" s="1075" t="s">
        <v>1287</v>
      </c>
      <c r="I191" s="1409" t="s">
        <v>1288</v>
      </c>
      <c r="J191" s="1075" t="s">
        <v>1358</v>
      </c>
      <c r="K191" s="1409" t="s">
        <v>3072</v>
      </c>
      <c r="L191" s="1075" t="s">
        <v>1359</v>
      </c>
      <c r="M191" s="1409" t="s">
        <v>3073</v>
      </c>
      <c r="N191" s="1075" t="s">
        <v>1360</v>
      </c>
      <c r="O191" s="1409" t="s">
        <v>3074</v>
      </c>
      <c r="P191" s="1075" t="s">
        <v>1361</v>
      </c>
      <c r="Q191" s="1409" t="s">
        <v>3075</v>
      </c>
      <c r="R191" s="1485" t="s">
        <v>1362</v>
      </c>
      <c r="S191" s="1560" t="s">
        <v>1298</v>
      </c>
      <c r="T191" s="1427" t="s">
        <v>1299</v>
      </c>
      <c r="U191" s="1560" t="s">
        <v>1300</v>
      </c>
      <c r="V191" s="1487" t="s">
        <v>1301</v>
      </c>
      <c r="W191" s="1560" t="s">
        <v>1302</v>
      </c>
      <c r="X191" s="1427" t="s">
        <v>1363</v>
      </c>
      <c r="Y191" s="1560" t="s">
        <v>1304</v>
      </c>
      <c r="Z191" s="1487" t="s">
        <v>1305</v>
      </c>
      <c r="AA191" s="1560" t="s">
        <v>1306</v>
      </c>
      <c r="AB191" s="1487" t="s">
        <v>1307</v>
      </c>
      <c r="AC191" s="1560" t="s">
        <v>1308</v>
      </c>
      <c r="AD191" s="1487" t="s">
        <v>1309</v>
      </c>
      <c r="AE191" s="1560" t="s">
        <v>1310</v>
      </c>
      <c r="AF191" s="1427" t="s">
        <v>1311</v>
      </c>
      <c r="AG191" s="1560" t="s">
        <v>1312</v>
      </c>
      <c r="AH191" s="1487" t="s">
        <v>1313</v>
      </c>
      <c r="AI191" s="1560" t="s">
        <v>1314</v>
      </c>
      <c r="AJ191" s="1487" t="s">
        <v>1315</v>
      </c>
      <c r="AK191" s="1560" t="s">
        <v>1316</v>
      </c>
      <c r="AL191" s="1487" t="s">
        <v>1317</v>
      </c>
      <c r="AM191" s="1560" t="s">
        <v>1318</v>
      </c>
      <c r="AN191" s="1487" t="s">
        <v>1319</v>
      </c>
      <c r="AO191" s="1560" t="s">
        <v>1320</v>
      </c>
      <c r="AP191" s="1487" t="s">
        <v>1321</v>
      </c>
      <c r="AQ191" s="1486" t="s">
        <v>1322</v>
      </c>
      <c r="AR191" s="1427" t="s">
        <v>1323</v>
      </c>
      <c r="AS191" s="1486" t="s">
        <v>1324</v>
      </c>
      <c r="AT191" s="1485" t="s">
        <v>1325</v>
      </c>
      <c r="AU191" s="1486" t="s">
        <v>1326</v>
      </c>
      <c r="AV191" s="1485" t="s">
        <v>1327</v>
      </c>
      <c r="AW191" s="1486" t="s">
        <v>1328</v>
      </c>
      <c r="AX191" s="1485" t="s">
        <v>3076</v>
      </c>
      <c r="AY191" s="1486" t="s">
        <v>3077</v>
      </c>
      <c r="AZ191" s="1485" t="s">
        <v>3078</v>
      </c>
      <c r="BA191" s="1486" t="s">
        <v>3079</v>
      </c>
      <c r="BB191" s="1485" t="s">
        <v>3080</v>
      </c>
      <c r="BC191" s="1486" t="s">
        <v>3081</v>
      </c>
      <c r="BD191" s="1485" t="s">
        <v>3082</v>
      </c>
      <c r="BE191" s="1486" t="s">
        <v>3083</v>
      </c>
      <c r="BF191" s="1485" t="s">
        <v>3084</v>
      </c>
      <c r="BG191" s="1486" t="s">
        <v>3085</v>
      </c>
      <c r="BH191" s="1485" t="s">
        <v>3086</v>
      </c>
      <c r="BI191" s="1486" t="s">
        <v>3087</v>
      </c>
      <c r="BJ191" s="1485" t="s">
        <v>3088</v>
      </c>
      <c r="BK191" s="1486" t="s">
        <v>3089</v>
      </c>
      <c r="BL191" s="1120" t="s">
        <v>1425</v>
      </c>
      <c r="BM191" s="2001" t="s">
        <v>3045</v>
      </c>
      <c r="BN191" s="1861" t="s">
        <v>3090</v>
      </c>
      <c r="BO191" s="1815" t="s">
        <v>3091</v>
      </c>
      <c r="BP191" s="1606" t="s">
        <v>1331</v>
      </c>
      <c r="BQ191" s="1168" t="s">
        <v>3092</v>
      </c>
      <c r="BR191" s="1120" t="s">
        <v>3093</v>
      </c>
      <c r="BS191" s="1075" t="s">
        <v>3094</v>
      </c>
      <c r="BT191" s="544"/>
    </row>
    <row r="192" ht="18.0" customHeight="1">
      <c r="A192" s="1565" t="s">
        <v>145</v>
      </c>
      <c r="B192" s="1611">
        <v>3641.0</v>
      </c>
      <c r="C192" s="1567">
        <v>98.0</v>
      </c>
      <c r="D192" s="1735" t="s">
        <v>3095</v>
      </c>
      <c r="E192" s="1613" t="str">
        <f>'Матрица 4 недели'!D125</f>
        <v>Панкейки с домашним вареньем</v>
      </c>
      <c r="F192" s="1120">
        <v>13.0</v>
      </c>
      <c r="G192" s="1138">
        <v>13.0</v>
      </c>
      <c r="H192" s="1120">
        <v>4.0</v>
      </c>
      <c r="I192" s="1138">
        <v>4.0</v>
      </c>
      <c r="J192" s="1120">
        <v>4.0</v>
      </c>
      <c r="K192" s="1138">
        <v>4.0</v>
      </c>
      <c r="L192" s="1126">
        <v>4.0</v>
      </c>
      <c r="M192" s="1138">
        <v>4.0</v>
      </c>
      <c r="N192" s="1120">
        <v>11.0</v>
      </c>
      <c r="O192" s="1138">
        <v>11.0</v>
      </c>
      <c r="P192" s="1120">
        <v>3.0</v>
      </c>
      <c r="Q192" s="1138">
        <v>3.0</v>
      </c>
      <c r="R192" s="1120">
        <v>0.0</v>
      </c>
      <c r="S192" s="1138">
        <v>0.0</v>
      </c>
      <c r="T192" s="1120">
        <v>4.0</v>
      </c>
      <c r="U192" s="1138">
        <v>4.0</v>
      </c>
      <c r="V192" s="1120">
        <v>7.0</v>
      </c>
      <c r="W192" s="1138">
        <v>7.0</v>
      </c>
      <c r="X192" s="1120">
        <v>3.0</v>
      </c>
      <c r="Y192" s="1138">
        <v>3.0</v>
      </c>
      <c r="Z192" s="1126"/>
      <c r="AA192" s="1138"/>
      <c r="AB192" s="1120">
        <v>2.0</v>
      </c>
      <c r="AC192" s="1138">
        <v>2.0</v>
      </c>
      <c r="AD192" s="1120">
        <v>5.0</v>
      </c>
      <c r="AE192" s="1138">
        <v>5.0</v>
      </c>
      <c r="AF192" s="1120">
        <v>2.0</v>
      </c>
      <c r="AG192" s="1138">
        <v>2.0</v>
      </c>
      <c r="AH192" s="1120">
        <v>1.0</v>
      </c>
      <c r="AI192" s="1138">
        <v>1.0</v>
      </c>
      <c r="AJ192" s="1120">
        <v>3.0</v>
      </c>
      <c r="AK192" s="1121">
        <v>3.0</v>
      </c>
      <c r="AL192" s="1126">
        <v>3.0</v>
      </c>
      <c r="AM192" s="1121">
        <v>3.0</v>
      </c>
      <c r="AN192" s="1120"/>
      <c r="AO192" s="1138"/>
      <c r="AP192" s="1120">
        <v>1.0</v>
      </c>
      <c r="AQ192" s="1138">
        <v>1.0</v>
      </c>
      <c r="AR192" s="1120">
        <v>8.0</v>
      </c>
      <c r="AS192" s="1121">
        <v>8.0</v>
      </c>
      <c r="AT192" s="1126">
        <v>6.0</v>
      </c>
      <c r="AU192" s="1121">
        <v>6.0</v>
      </c>
      <c r="AV192" s="1126">
        <v>2.0</v>
      </c>
      <c r="AW192" s="1121">
        <v>2.0</v>
      </c>
      <c r="AX192" s="1126">
        <v>3.0</v>
      </c>
      <c r="AY192" s="1121">
        <v>3.0</v>
      </c>
      <c r="AZ192" s="1126">
        <v>0.0</v>
      </c>
      <c r="BA192" s="1121">
        <v>0.0</v>
      </c>
      <c r="BB192" s="1126">
        <v>3.0</v>
      </c>
      <c r="BC192" s="1127">
        <v>3.0</v>
      </c>
      <c r="BD192" s="1126">
        <v>2.0</v>
      </c>
      <c r="BE192" s="1127">
        <v>2.0</v>
      </c>
      <c r="BF192" s="1126">
        <v>4.0</v>
      </c>
      <c r="BG192" s="1127">
        <v>4.0</v>
      </c>
      <c r="BH192" s="1126">
        <v>4.0</v>
      </c>
      <c r="BI192" s="1127">
        <v>4.0</v>
      </c>
      <c r="BJ192" s="1126">
        <v>6.0</v>
      </c>
      <c r="BK192" s="1121">
        <v>6.0</v>
      </c>
      <c r="BL192" s="1134"/>
      <c r="BM192" s="1305"/>
      <c r="BN192" s="2104"/>
      <c r="BO192" s="2105"/>
      <c r="BP192" s="2106">
        <f t="shared" ref="BP192:BP219" si="155">(F192+H192+J192+L192+N192+P192+R192+T192+V192+X192+Z192+AB192+AD192+AF192+AH192+AJ192+AL192+AR192+BL192+AN192+AP192+AT192+AV192+AX192+AZ192+BJ192)+1+BB192+BD192+BF192+BH192</f>
        <v>109</v>
      </c>
      <c r="BQ192" s="2107">
        <f t="shared" ref="BQ192:BQ219" si="156">G192+I192+K192+M192+O192+Q192+S192+U192+W192+Y192+AA192+AC192+AE192+AG192+AI192+AK192+AM192+AS192+BM192+AO192+AQ192+AU192+AW192+AY192+BA192+BC192+BE192+BG192+BI192+BK192</f>
        <v>108</v>
      </c>
      <c r="BR192" s="2108">
        <v>108.0</v>
      </c>
      <c r="BS192" s="864">
        <f t="shared" ref="BS192:BS219" si="157">BP192*C192</f>
        <v>10682</v>
      </c>
      <c r="BT192" s="1545"/>
    </row>
    <row r="193" ht="18.0" customHeight="1">
      <c r="A193" s="1565" t="s">
        <v>145</v>
      </c>
      <c r="B193" s="1567">
        <v>1922.0</v>
      </c>
      <c r="C193" s="1567">
        <v>120.0</v>
      </c>
      <c r="D193" s="1735" t="s">
        <v>3095</v>
      </c>
      <c r="E193" s="1613" t="str">
        <f>'Матрица 4 недели'!D126</f>
        <v>Блины фаршированные сочной курочкой</v>
      </c>
      <c r="F193" s="1120">
        <v>8.0</v>
      </c>
      <c r="G193" s="1138">
        <v>9.0</v>
      </c>
      <c r="H193" s="1120">
        <v>4.0</v>
      </c>
      <c r="I193" s="1138">
        <v>4.0</v>
      </c>
      <c r="J193" s="1120">
        <v>4.0</v>
      </c>
      <c r="K193" s="1138">
        <v>4.0</v>
      </c>
      <c r="L193" s="1120">
        <v>7.0</v>
      </c>
      <c r="M193" s="1138">
        <v>7.0</v>
      </c>
      <c r="N193" s="1120">
        <v>9.0</v>
      </c>
      <c r="O193" s="1138">
        <v>9.0</v>
      </c>
      <c r="P193" s="1120">
        <v>3.0</v>
      </c>
      <c r="Q193" s="1138">
        <v>3.0</v>
      </c>
      <c r="R193" s="1126">
        <v>5.0</v>
      </c>
      <c r="S193" s="1138">
        <v>5.0</v>
      </c>
      <c r="T193" s="1120">
        <v>6.0</v>
      </c>
      <c r="U193" s="1138">
        <v>6.0</v>
      </c>
      <c r="V193" s="1126">
        <v>6.0</v>
      </c>
      <c r="W193" s="1138">
        <v>6.0</v>
      </c>
      <c r="X193" s="1126">
        <v>6.0</v>
      </c>
      <c r="Y193" s="1138">
        <v>6.0</v>
      </c>
      <c r="Z193" s="1120"/>
      <c r="AA193" s="1138"/>
      <c r="AB193" s="1126">
        <v>2.0</v>
      </c>
      <c r="AC193" s="1138">
        <v>2.0</v>
      </c>
      <c r="AD193" s="1126">
        <v>6.0</v>
      </c>
      <c r="AE193" s="1138">
        <v>6.0</v>
      </c>
      <c r="AF193" s="1120">
        <v>10.0</v>
      </c>
      <c r="AG193" s="1138">
        <v>10.0</v>
      </c>
      <c r="AH193" s="1126">
        <v>8.0</v>
      </c>
      <c r="AI193" s="1138">
        <v>8.0</v>
      </c>
      <c r="AJ193" s="1120">
        <v>9.0</v>
      </c>
      <c r="AK193" s="1138">
        <v>9.0</v>
      </c>
      <c r="AL193" s="1120">
        <v>3.0</v>
      </c>
      <c r="AM193" s="1138">
        <v>3.0</v>
      </c>
      <c r="AN193" s="1126"/>
      <c r="AO193" s="1138"/>
      <c r="AP193" s="1120">
        <v>2.0</v>
      </c>
      <c r="AQ193" s="1138">
        <v>2.0</v>
      </c>
      <c r="AR193" s="1126">
        <v>6.0</v>
      </c>
      <c r="AS193" s="1138">
        <v>6.0</v>
      </c>
      <c r="AT193" s="1126">
        <v>6.0</v>
      </c>
      <c r="AU193" s="1138">
        <v>6.0</v>
      </c>
      <c r="AV193" s="1126">
        <v>2.0</v>
      </c>
      <c r="AW193" s="1138">
        <v>2.0</v>
      </c>
      <c r="AX193" s="1126">
        <v>4.0</v>
      </c>
      <c r="AY193" s="1138">
        <v>4.0</v>
      </c>
      <c r="AZ193" s="1126">
        <v>2.0</v>
      </c>
      <c r="BA193" s="1138">
        <v>2.0</v>
      </c>
      <c r="BB193" s="1126">
        <v>3.0</v>
      </c>
      <c r="BC193" s="1138">
        <v>3.0</v>
      </c>
      <c r="BD193" s="1126">
        <v>2.0</v>
      </c>
      <c r="BE193" s="1138">
        <v>2.0</v>
      </c>
      <c r="BF193" s="1126">
        <v>7.0</v>
      </c>
      <c r="BG193" s="1138">
        <v>7.0</v>
      </c>
      <c r="BH193" s="1126">
        <v>7.0</v>
      </c>
      <c r="BI193" s="1138">
        <v>7.0</v>
      </c>
      <c r="BJ193" s="1126">
        <v>6.0</v>
      </c>
      <c r="BK193" s="1138">
        <v>6.0</v>
      </c>
      <c r="BL193" s="1139"/>
      <c r="BM193" s="1138"/>
      <c r="BN193" s="860"/>
      <c r="BO193" s="2107"/>
      <c r="BP193" s="2106">
        <f t="shared" si="155"/>
        <v>144</v>
      </c>
      <c r="BQ193" s="2107">
        <f t="shared" si="156"/>
        <v>144</v>
      </c>
      <c r="BR193" s="2108">
        <f>BQ193*C193</f>
        <v>17280</v>
      </c>
      <c r="BS193" s="864">
        <f t="shared" si="157"/>
        <v>17280</v>
      </c>
      <c r="BT193" s="1545"/>
    </row>
    <row r="194" ht="18.0" customHeight="1">
      <c r="A194" s="1565" t="s">
        <v>145</v>
      </c>
      <c r="B194" s="1611">
        <v>385.0</v>
      </c>
      <c r="C194" s="1567">
        <v>83.0</v>
      </c>
      <c r="D194" s="1735" t="s">
        <v>3095</v>
      </c>
      <c r="E194" s="1613" t="str">
        <f>'Матрица 4 недели'!D127</f>
        <v>Омлет воздушный</v>
      </c>
      <c r="F194" s="1120">
        <v>5.0</v>
      </c>
      <c r="G194" s="1121">
        <v>6.0</v>
      </c>
      <c r="H194" s="1120">
        <v>2.0</v>
      </c>
      <c r="I194" s="1121">
        <v>2.0</v>
      </c>
      <c r="J194" s="1120">
        <v>3.0</v>
      </c>
      <c r="K194" s="1121">
        <v>3.0</v>
      </c>
      <c r="L194" s="1137">
        <v>4.0</v>
      </c>
      <c r="M194" s="1121">
        <v>4.0</v>
      </c>
      <c r="N194" s="1137">
        <v>8.0</v>
      </c>
      <c r="O194" s="1121">
        <v>9.0</v>
      </c>
      <c r="P194" s="1126">
        <v>0.0</v>
      </c>
      <c r="Q194" s="1121">
        <v>2.0</v>
      </c>
      <c r="R194" s="1120">
        <v>4.0</v>
      </c>
      <c r="S194" s="1121">
        <v>4.0</v>
      </c>
      <c r="T194" s="1126">
        <v>6.0</v>
      </c>
      <c r="U194" s="1121">
        <v>7.0</v>
      </c>
      <c r="V194" s="1126">
        <v>3.0</v>
      </c>
      <c r="W194" s="1121">
        <v>4.0</v>
      </c>
      <c r="X194" s="1126">
        <v>4.0</v>
      </c>
      <c r="Y194" s="1121">
        <v>4.0</v>
      </c>
      <c r="Z194" s="1126"/>
      <c r="AA194" s="1121"/>
      <c r="AB194" s="1120">
        <v>2.0</v>
      </c>
      <c r="AC194" s="1121">
        <v>2.0</v>
      </c>
      <c r="AD194" s="1126">
        <v>0.0</v>
      </c>
      <c r="AE194" s="1121">
        <v>0.0</v>
      </c>
      <c r="AF194" s="1126">
        <v>7.0</v>
      </c>
      <c r="AG194" s="1121">
        <v>9.0</v>
      </c>
      <c r="AH194" s="1126">
        <v>5.0</v>
      </c>
      <c r="AI194" s="1121">
        <v>6.0</v>
      </c>
      <c r="AJ194" s="1126">
        <v>6.0</v>
      </c>
      <c r="AK194" s="1121">
        <v>6.0</v>
      </c>
      <c r="AL194" s="1120">
        <v>2.0</v>
      </c>
      <c r="AM194" s="1121">
        <v>2.0</v>
      </c>
      <c r="AN194" s="1126"/>
      <c r="AO194" s="1121"/>
      <c r="AP194" s="1126">
        <v>3.0</v>
      </c>
      <c r="AQ194" s="1138">
        <v>3.0</v>
      </c>
      <c r="AR194" s="1126">
        <v>4.0</v>
      </c>
      <c r="AS194" s="1138">
        <v>5.0</v>
      </c>
      <c r="AT194" s="1126">
        <v>0.0</v>
      </c>
      <c r="AU194" s="1138">
        <v>0.0</v>
      </c>
      <c r="AV194" s="1126">
        <v>2.0</v>
      </c>
      <c r="AW194" s="1138">
        <v>2.0</v>
      </c>
      <c r="AX194" s="1126">
        <v>4.0</v>
      </c>
      <c r="AY194" s="1138">
        <v>4.0</v>
      </c>
      <c r="AZ194" s="1126">
        <v>3.0</v>
      </c>
      <c r="BA194" s="1138">
        <v>3.0</v>
      </c>
      <c r="BB194" s="1126">
        <v>3.0</v>
      </c>
      <c r="BC194" s="1138">
        <v>3.0</v>
      </c>
      <c r="BD194" s="1126">
        <v>2.0</v>
      </c>
      <c r="BE194" s="1138">
        <v>2.0</v>
      </c>
      <c r="BF194" s="1126">
        <v>5.0</v>
      </c>
      <c r="BG194" s="1138">
        <v>5.0</v>
      </c>
      <c r="BH194" s="1126">
        <v>5.0</v>
      </c>
      <c r="BI194" s="1138">
        <v>5.0</v>
      </c>
      <c r="BJ194" s="1126">
        <v>5.0</v>
      </c>
      <c r="BK194" s="1138">
        <v>5.0</v>
      </c>
      <c r="BL194" s="1139"/>
      <c r="BM194" s="1784"/>
      <c r="BN194" s="2111">
        <v>10.0</v>
      </c>
      <c r="BO194" s="2112">
        <v>10.0</v>
      </c>
      <c r="BP194" s="2106">
        <f t="shared" si="155"/>
        <v>98</v>
      </c>
      <c r="BQ194" s="2107">
        <f t="shared" si="156"/>
        <v>107</v>
      </c>
      <c r="BR194" s="2108">
        <v>97.0</v>
      </c>
      <c r="BS194" s="864">
        <f t="shared" si="157"/>
        <v>8134</v>
      </c>
      <c r="BT194" s="1545"/>
    </row>
    <row r="195" ht="18.0" customHeight="1">
      <c r="A195" s="1565" t="s">
        <v>145</v>
      </c>
      <c r="B195" s="1611">
        <v>3316.0</v>
      </c>
      <c r="C195" s="1567">
        <v>98.0</v>
      </c>
      <c r="D195" s="1735" t="s">
        <v>70</v>
      </c>
      <c r="E195" s="1613" t="str">
        <f>'Матрица 4 недели'!G125</f>
        <v>Салат ''Витаминный с крабом'' 120 г</v>
      </c>
      <c r="F195" s="1120">
        <v>3.0</v>
      </c>
      <c r="G195" s="1121">
        <v>3.0</v>
      </c>
      <c r="H195" s="1120">
        <v>1.0</v>
      </c>
      <c r="I195" s="1121">
        <v>1.0</v>
      </c>
      <c r="J195" s="1120">
        <v>3.0</v>
      </c>
      <c r="K195" s="1121">
        <v>3.0</v>
      </c>
      <c r="L195" s="1120">
        <v>2.0</v>
      </c>
      <c r="M195" s="1121">
        <v>2.0</v>
      </c>
      <c r="N195" s="1120">
        <v>7.0</v>
      </c>
      <c r="O195" s="1121">
        <v>7.0</v>
      </c>
      <c r="P195" s="1126">
        <v>4.0</v>
      </c>
      <c r="Q195" s="1121">
        <v>4.0</v>
      </c>
      <c r="R195" s="1120">
        <v>6.0</v>
      </c>
      <c r="S195" s="1121">
        <v>6.0</v>
      </c>
      <c r="T195" s="1120">
        <v>2.0</v>
      </c>
      <c r="U195" s="1121">
        <v>2.0</v>
      </c>
      <c r="V195" s="1120">
        <v>6.0</v>
      </c>
      <c r="W195" s="1121">
        <v>6.0</v>
      </c>
      <c r="X195" s="1120">
        <v>4.0</v>
      </c>
      <c r="Y195" s="1121">
        <v>4.0</v>
      </c>
      <c r="Z195" s="1126"/>
      <c r="AA195" s="1121"/>
      <c r="AB195" s="1120">
        <v>3.0</v>
      </c>
      <c r="AC195" s="1121">
        <v>3.0</v>
      </c>
      <c r="AD195" s="1120">
        <v>5.0</v>
      </c>
      <c r="AE195" s="1121">
        <v>5.0</v>
      </c>
      <c r="AF195" s="1120">
        <v>7.0</v>
      </c>
      <c r="AG195" s="1121">
        <v>7.0</v>
      </c>
      <c r="AH195" s="1120">
        <v>4.0</v>
      </c>
      <c r="AI195" s="1121">
        <v>4.0</v>
      </c>
      <c r="AJ195" s="1120">
        <v>2.0</v>
      </c>
      <c r="AK195" s="1121">
        <v>2.0</v>
      </c>
      <c r="AL195" s="1126">
        <v>4.0</v>
      </c>
      <c r="AM195" s="1121">
        <v>4.0</v>
      </c>
      <c r="AN195" s="1120"/>
      <c r="AO195" s="1138"/>
      <c r="AP195" s="1120">
        <v>4.0</v>
      </c>
      <c r="AQ195" s="1138">
        <v>4.0</v>
      </c>
      <c r="AR195" s="1120">
        <v>2.0</v>
      </c>
      <c r="AS195" s="1121">
        <v>2.0</v>
      </c>
      <c r="AT195" s="1126">
        <v>4.0</v>
      </c>
      <c r="AU195" s="1121">
        <v>4.0</v>
      </c>
      <c r="AV195" s="1126">
        <v>2.0</v>
      </c>
      <c r="AW195" s="1121">
        <v>2.0</v>
      </c>
      <c r="AX195" s="1126">
        <v>2.0</v>
      </c>
      <c r="AY195" s="1121">
        <v>2.0</v>
      </c>
      <c r="AZ195" s="1126">
        <v>2.0</v>
      </c>
      <c r="BA195" s="1121">
        <v>2.0</v>
      </c>
      <c r="BB195" s="1126">
        <v>2.0</v>
      </c>
      <c r="BC195" s="1121">
        <v>2.0</v>
      </c>
      <c r="BD195" s="1126">
        <v>0.0</v>
      </c>
      <c r="BE195" s="1121">
        <v>0.0</v>
      </c>
      <c r="BF195" s="1126">
        <v>4.0</v>
      </c>
      <c r="BG195" s="1121">
        <v>4.0</v>
      </c>
      <c r="BH195" s="1126">
        <v>5.0</v>
      </c>
      <c r="BI195" s="1121">
        <v>5.0</v>
      </c>
      <c r="BJ195" s="1126">
        <v>6.0</v>
      </c>
      <c r="BK195" s="1121">
        <v>6.0</v>
      </c>
      <c r="BL195" s="1134">
        <v>30.0</v>
      </c>
      <c r="BM195" s="1653">
        <v>30.0</v>
      </c>
      <c r="BN195" s="2111">
        <v>10.0</v>
      </c>
      <c r="BO195" s="2112">
        <v>10.0</v>
      </c>
      <c r="BP195" s="2106">
        <f t="shared" si="155"/>
        <v>127</v>
      </c>
      <c r="BQ195" s="2107">
        <f t="shared" si="156"/>
        <v>126</v>
      </c>
      <c r="BR195" s="2108">
        <v>126.0</v>
      </c>
      <c r="BS195" s="864">
        <f t="shared" si="157"/>
        <v>12446</v>
      </c>
      <c r="BT195" s="1545"/>
    </row>
    <row r="196" ht="18.0" customHeight="1">
      <c r="A196" s="1565" t="s">
        <v>145</v>
      </c>
      <c r="B196" s="1611">
        <v>4053.0</v>
      </c>
      <c r="C196" s="1567">
        <v>98.0</v>
      </c>
      <c r="D196" s="1735" t="s">
        <v>70</v>
      </c>
      <c r="E196" s="2114" t="str">
        <f>'Матрица 4 недели'!G126</f>
        <v>Салат "Арлекино" (колбаса вар.)</v>
      </c>
      <c r="F196" s="1120">
        <v>10.0</v>
      </c>
      <c r="G196" s="1121">
        <v>11.0</v>
      </c>
      <c r="H196" s="1120">
        <v>1.0</v>
      </c>
      <c r="I196" s="1121">
        <v>1.0</v>
      </c>
      <c r="J196" s="1120">
        <v>3.0</v>
      </c>
      <c r="K196" s="1121">
        <v>4.0</v>
      </c>
      <c r="L196" s="1120">
        <v>0.0</v>
      </c>
      <c r="M196" s="1121">
        <v>0.0</v>
      </c>
      <c r="N196" s="1120">
        <v>2.0</v>
      </c>
      <c r="O196" s="1121">
        <v>3.0</v>
      </c>
      <c r="P196" s="1120">
        <v>6.0</v>
      </c>
      <c r="Q196" s="1121">
        <v>7.0</v>
      </c>
      <c r="R196" s="1120">
        <v>2.0</v>
      </c>
      <c r="S196" s="1121">
        <v>2.0</v>
      </c>
      <c r="T196" s="1120">
        <v>1.0</v>
      </c>
      <c r="U196" s="1121">
        <v>1.0</v>
      </c>
      <c r="V196" s="1120">
        <v>3.0</v>
      </c>
      <c r="W196" s="1121">
        <v>4.0</v>
      </c>
      <c r="X196" s="1120">
        <v>0.0</v>
      </c>
      <c r="Y196" s="1121">
        <v>0.0</v>
      </c>
      <c r="Z196" s="1126"/>
      <c r="AA196" s="1121"/>
      <c r="AB196" s="1120">
        <v>0.0</v>
      </c>
      <c r="AC196" s="1121">
        <v>0.0</v>
      </c>
      <c r="AD196" s="1120">
        <v>0.0</v>
      </c>
      <c r="AE196" s="1121">
        <v>0.0</v>
      </c>
      <c r="AF196" s="1120">
        <v>1.0</v>
      </c>
      <c r="AG196" s="1121">
        <v>1.0</v>
      </c>
      <c r="AH196" s="1120">
        <v>1.0</v>
      </c>
      <c r="AI196" s="1121">
        <v>1.0</v>
      </c>
      <c r="AJ196" s="1120">
        <v>1.0</v>
      </c>
      <c r="AK196" s="1121">
        <v>1.0</v>
      </c>
      <c r="AL196" s="1126">
        <v>1.0</v>
      </c>
      <c r="AM196" s="1121">
        <v>1.0</v>
      </c>
      <c r="AN196" s="1120"/>
      <c r="AO196" s="1138"/>
      <c r="AP196" s="1120">
        <v>2.0</v>
      </c>
      <c r="AQ196" s="1138">
        <v>2.0</v>
      </c>
      <c r="AR196" s="1120">
        <v>2.0</v>
      </c>
      <c r="AS196" s="1121">
        <v>3.0</v>
      </c>
      <c r="AT196" s="1126">
        <v>2.0</v>
      </c>
      <c r="AU196" s="1121">
        <v>3.0</v>
      </c>
      <c r="AV196" s="1126">
        <v>0.0</v>
      </c>
      <c r="AW196" s="1121">
        <v>0.0</v>
      </c>
      <c r="AX196" s="1126">
        <v>2.0</v>
      </c>
      <c r="AY196" s="1121">
        <v>3.0</v>
      </c>
      <c r="AZ196" s="1126">
        <v>1.0</v>
      </c>
      <c r="BA196" s="1121">
        <v>1.0</v>
      </c>
      <c r="BB196" s="1126">
        <v>2.0</v>
      </c>
      <c r="BC196" s="1121">
        <v>2.0</v>
      </c>
      <c r="BD196" s="1126">
        <v>2.0</v>
      </c>
      <c r="BE196" s="1121">
        <v>2.0</v>
      </c>
      <c r="BF196" s="1126">
        <v>2.0</v>
      </c>
      <c r="BG196" s="1121">
        <v>2.0</v>
      </c>
      <c r="BH196" s="1126">
        <v>2.0</v>
      </c>
      <c r="BI196" s="1121">
        <v>2.0</v>
      </c>
      <c r="BJ196" s="1126">
        <v>4.0</v>
      </c>
      <c r="BK196" s="1121">
        <v>4.0</v>
      </c>
      <c r="BL196" s="1134">
        <v>50.0</v>
      </c>
      <c r="BM196" s="1653">
        <v>50.0</v>
      </c>
      <c r="BN196" s="2115"/>
      <c r="BO196" s="2116"/>
      <c r="BP196" s="2106">
        <f t="shared" si="155"/>
        <v>104</v>
      </c>
      <c r="BQ196" s="2107">
        <f t="shared" si="156"/>
        <v>111</v>
      </c>
      <c r="BR196" s="2108">
        <f>BQ196*C196</f>
        <v>10878</v>
      </c>
      <c r="BS196" s="864">
        <f t="shared" si="157"/>
        <v>10192</v>
      </c>
      <c r="BT196" s="1545"/>
    </row>
    <row r="197" ht="18.0" customHeight="1">
      <c r="A197" s="1565" t="s">
        <v>145</v>
      </c>
      <c r="B197" s="1611">
        <v>4055.0</v>
      </c>
      <c r="C197" s="1567">
        <v>98.0</v>
      </c>
      <c r="D197" s="1735" t="s">
        <v>70</v>
      </c>
      <c r="E197" s="2114" t="str">
        <f>'Матрица 4 недели'!G127</f>
        <v>Салат "Чикаго" (кура копченая)</v>
      </c>
      <c r="F197" s="1120">
        <v>9.0</v>
      </c>
      <c r="G197" s="1121">
        <v>9.0</v>
      </c>
      <c r="H197" s="1120">
        <v>1.0</v>
      </c>
      <c r="I197" s="1121">
        <v>1.0</v>
      </c>
      <c r="J197" s="1120">
        <v>3.0</v>
      </c>
      <c r="K197" s="1121">
        <v>3.0</v>
      </c>
      <c r="L197" s="1120">
        <v>2.0</v>
      </c>
      <c r="M197" s="1121">
        <v>2.0</v>
      </c>
      <c r="N197" s="1120">
        <v>3.0</v>
      </c>
      <c r="O197" s="1121">
        <v>3.0</v>
      </c>
      <c r="P197" s="1120">
        <v>4.0</v>
      </c>
      <c r="Q197" s="1121">
        <v>4.0</v>
      </c>
      <c r="R197" s="1120">
        <v>2.0</v>
      </c>
      <c r="S197" s="1121">
        <v>2.0</v>
      </c>
      <c r="T197" s="1120">
        <v>2.0</v>
      </c>
      <c r="U197" s="1121">
        <v>2.0</v>
      </c>
      <c r="V197" s="1120">
        <v>6.0</v>
      </c>
      <c r="W197" s="1121">
        <v>6.0</v>
      </c>
      <c r="X197" s="1120">
        <v>1.0</v>
      </c>
      <c r="Y197" s="1121">
        <v>1.0</v>
      </c>
      <c r="Z197" s="1126"/>
      <c r="AA197" s="1121"/>
      <c r="AB197" s="1120">
        <v>4.0</v>
      </c>
      <c r="AC197" s="1121">
        <v>4.0</v>
      </c>
      <c r="AD197" s="1120">
        <v>4.0</v>
      </c>
      <c r="AE197" s="1121">
        <v>4.0</v>
      </c>
      <c r="AF197" s="1120">
        <v>8.0</v>
      </c>
      <c r="AG197" s="1121">
        <v>8.0</v>
      </c>
      <c r="AH197" s="1120">
        <v>1.0</v>
      </c>
      <c r="AI197" s="1121">
        <v>1.0</v>
      </c>
      <c r="AJ197" s="1120">
        <v>4.0</v>
      </c>
      <c r="AK197" s="1121">
        <v>4.0</v>
      </c>
      <c r="AL197" s="1126">
        <v>1.0</v>
      </c>
      <c r="AM197" s="1121">
        <v>1.0</v>
      </c>
      <c r="AN197" s="1120"/>
      <c r="AO197" s="1138"/>
      <c r="AP197" s="1120">
        <v>0.0</v>
      </c>
      <c r="AQ197" s="1138">
        <v>0.0</v>
      </c>
      <c r="AR197" s="1120">
        <v>2.0</v>
      </c>
      <c r="AS197" s="1121">
        <v>2.0</v>
      </c>
      <c r="AT197" s="1126">
        <v>5.0</v>
      </c>
      <c r="AU197" s="1121">
        <v>5.0</v>
      </c>
      <c r="AV197" s="1126">
        <v>2.0</v>
      </c>
      <c r="AW197" s="1121">
        <v>2.0</v>
      </c>
      <c r="AX197" s="1126">
        <v>2.0</v>
      </c>
      <c r="AY197" s="1121">
        <v>2.0</v>
      </c>
      <c r="AZ197" s="1126">
        <v>2.0</v>
      </c>
      <c r="BA197" s="1121">
        <v>2.0</v>
      </c>
      <c r="BB197" s="1126">
        <v>2.0</v>
      </c>
      <c r="BC197" s="1121">
        <v>2.0</v>
      </c>
      <c r="BD197" s="1126">
        <v>2.0</v>
      </c>
      <c r="BE197" s="1121">
        <v>2.0</v>
      </c>
      <c r="BF197" s="1126">
        <v>5.0</v>
      </c>
      <c r="BG197" s="1121">
        <v>5.0</v>
      </c>
      <c r="BH197" s="1126">
        <v>2.0</v>
      </c>
      <c r="BI197" s="1121">
        <v>2.0</v>
      </c>
      <c r="BJ197" s="1126">
        <v>6.0</v>
      </c>
      <c r="BK197" s="1121">
        <v>6.0</v>
      </c>
      <c r="BL197" s="1134">
        <v>50.0</v>
      </c>
      <c r="BM197" s="1653">
        <v>50.0</v>
      </c>
      <c r="BN197" s="2115"/>
      <c r="BO197" s="2116"/>
      <c r="BP197" s="2106">
        <f t="shared" si="155"/>
        <v>136</v>
      </c>
      <c r="BQ197" s="2107">
        <f t="shared" si="156"/>
        <v>135</v>
      </c>
      <c r="BR197" s="2108">
        <v>135.0</v>
      </c>
      <c r="BS197" s="864">
        <f t="shared" si="157"/>
        <v>13328</v>
      </c>
      <c r="BT197" s="1545"/>
    </row>
    <row r="198" ht="18.0" customHeight="1">
      <c r="A198" s="1565" t="s">
        <v>145</v>
      </c>
      <c r="B198" s="1611">
        <v>3810.0</v>
      </c>
      <c r="C198" s="1567">
        <v>251.0</v>
      </c>
      <c r="D198" s="1750" t="s">
        <v>70</v>
      </c>
      <c r="E198" s="1613" t="str">
        <f>'Матрица 4 недели'!G128</f>
        <v>Боул с курицей терияки и фунчозой </v>
      </c>
      <c r="F198" s="1120">
        <v>5.0</v>
      </c>
      <c r="G198" s="1138">
        <v>5.0</v>
      </c>
      <c r="H198" s="1120">
        <v>2.0</v>
      </c>
      <c r="I198" s="1138">
        <v>2.0</v>
      </c>
      <c r="J198" s="1126">
        <v>2.0</v>
      </c>
      <c r="K198" s="1138">
        <v>2.0</v>
      </c>
      <c r="L198" s="1126">
        <v>4.0</v>
      </c>
      <c r="M198" s="1138">
        <v>4.0</v>
      </c>
      <c r="N198" s="1120">
        <v>4.0</v>
      </c>
      <c r="O198" s="1138">
        <v>4.0</v>
      </c>
      <c r="P198" s="1120">
        <v>4.0</v>
      </c>
      <c r="Q198" s="1138">
        <v>4.0</v>
      </c>
      <c r="R198" s="1120">
        <v>1.0</v>
      </c>
      <c r="S198" s="1138">
        <v>1.0</v>
      </c>
      <c r="T198" s="1120">
        <v>4.0</v>
      </c>
      <c r="U198" s="1138">
        <v>4.0</v>
      </c>
      <c r="V198" s="1120">
        <v>4.0</v>
      </c>
      <c r="W198" s="1138">
        <v>4.0</v>
      </c>
      <c r="X198" s="1120">
        <v>4.0</v>
      </c>
      <c r="Y198" s="1138">
        <v>4.0</v>
      </c>
      <c r="Z198" s="1126"/>
      <c r="AA198" s="1138"/>
      <c r="AB198" s="1120">
        <v>3.0</v>
      </c>
      <c r="AC198" s="1138">
        <v>3.0</v>
      </c>
      <c r="AD198" s="1120">
        <v>3.0</v>
      </c>
      <c r="AE198" s="1138">
        <v>3.0</v>
      </c>
      <c r="AF198" s="1120">
        <v>3.0</v>
      </c>
      <c r="AG198" s="1138">
        <v>3.0</v>
      </c>
      <c r="AH198" s="1120">
        <v>4.0</v>
      </c>
      <c r="AI198" s="1138">
        <v>4.0</v>
      </c>
      <c r="AJ198" s="1120">
        <v>4.0</v>
      </c>
      <c r="AK198" s="1138">
        <v>4.0</v>
      </c>
      <c r="AL198" s="1126">
        <v>4.0</v>
      </c>
      <c r="AM198" s="1138">
        <v>4.0</v>
      </c>
      <c r="AN198" s="1120"/>
      <c r="AO198" s="1138"/>
      <c r="AP198" s="1120">
        <v>3.0</v>
      </c>
      <c r="AQ198" s="1138">
        <v>3.0</v>
      </c>
      <c r="AR198" s="1120">
        <v>5.0</v>
      </c>
      <c r="AS198" s="1131">
        <v>5.0</v>
      </c>
      <c r="AT198" s="1126">
        <v>4.0</v>
      </c>
      <c r="AU198" s="1131">
        <v>4.0</v>
      </c>
      <c r="AV198" s="1126">
        <v>5.0</v>
      </c>
      <c r="AW198" s="1131">
        <v>5.0</v>
      </c>
      <c r="AX198" s="1126">
        <v>4.0</v>
      </c>
      <c r="AY198" s="1131">
        <v>4.0</v>
      </c>
      <c r="AZ198" s="1126">
        <v>1.0</v>
      </c>
      <c r="BA198" s="1131">
        <v>1.0</v>
      </c>
      <c r="BB198" s="1126">
        <v>5.0</v>
      </c>
      <c r="BC198" s="1127">
        <v>5.0</v>
      </c>
      <c r="BD198" s="1126">
        <v>2.0</v>
      </c>
      <c r="BE198" s="1127">
        <v>2.0</v>
      </c>
      <c r="BF198" s="1126">
        <v>5.0</v>
      </c>
      <c r="BG198" s="1127">
        <v>5.0</v>
      </c>
      <c r="BH198" s="1126">
        <v>6.0</v>
      </c>
      <c r="BI198" s="1127">
        <v>6.0</v>
      </c>
      <c r="BJ198" s="1126">
        <v>4.0</v>
      </c>
      <c r="BK198" s="1127">
        <v>4.0</v>
      </c>
      <c r="BL198" s="1134"/>
      <c r="BM198" s="1653"/>
      <c r="BN198" s="2111"/>
      <c r="BO198" s="2119"/>
      <c r="BP198" s="2106">
        <f t="shared" si="155"/>
        <v>100</v>
      </c>
      <c r="BQ198" s="2107">
        <f t="shared" si="156"/>
        <v>99</v>
      </c>
      <c r="BR198" s="2108">
        <f t="shared" ref="BR198:BR200" si="158">BQ198*C198</f>
        <v>24849</v>
      </c>
      <c r="BS198" s="864">
        <f t="shared" si="157"/>
        <v>25100</v>
      </c>
      <c r="BT198" s="1545"/>
    </row>
    <row r="199" ht="18.0" customHeight="1">
      <c r="A199" s="1565"/>
      <c r="B199" s="1611">
        <v>380.0</v>
      </c>
      <c r="C199" s="2009">
        <v>114.0</v>
      </c>
      <c r="D199" s="2124" t="s">
        <v>74</v>
      </c>
      <c r="E199" s="1613" t="str">
        <f>'Матрица 4 недели'!J125</f>
        <v>Солянка</v>
      </c>
      <c r="F199" s="1120"/>
      <c r="G199" s="1624"/>
      <c r="H199" s="1120"/>
      <c r="I199" s="1121"/>
      <c r="J199" s="1120"/>
      <c r="K199" s="1121"/>
      <c r="L199" s="1126"/>
      <c r="M199" s="1121"/>
      <c r="N199" s="1120"/>
      <c r="O199" s="1121"/>
      <c r="P199" s="1120"/>
      <c r="Q199" s="1121"/>
      <c r="R199" s="1120"/>
      <c r="S199" s="1121"/>
      <c r="T199" s="1120"/>
      <c r="U199" s="1121"/>
      <c r="V199" s="1120"/>
      <c r="W199" s="1121"/>
      <c r="X199" s="1120"/>
      <c r="Y199" s="1121"/>
      <c r="Z199" s="1126"/>
      <c r="AA199" s="1121"/>
      <c r="AB199" s="1120"/>
      <c r="AC199" s="1121"/>
      <c r="AD199" s="1120"/>
      <c r="AE199" s="1121"/>
      <c r="AF199" s="1120"/>
      <c r="AG199" s="1121"/>
      <c r="AH199" s="1120"/>
      <c r="AI199" s="1121"/>
      <c r="AJ199" s="1120"/>
      <c r="AK199" s="1121"/>
      <c r="AL199" s="1126"/>
      <c r="AM199" s="1121"/>
      <c r="AN199" s="1120"/>
      <c r="AO199" s="1138"/>
      <c r="AP199" s="1120"/>
      <c r="AQ199" s="1138"/>
      <c r="AR199" s="1120"/>
      <c r="AS199" s="1121"/>
      <c r="AT199" s="1126"/>
      <c r="AU199" s="1121"/>
      <c r="AV199" s="1126"/>
      <c r="AW199" s="1121"/>
      <c r="AX199" s="1126"/>
      <c r="AY199" s="1121"/>
      <c r="AZ199" s="1126"/>
      <c r="BA199" s="1121"/>
      <c r="BB199" s="1126"/>
      <c r="BC199" s="1127"/>
      <c r="BD199" s="1126"/>
      <c r="BE199" s="1127"/>
      <c r="BF199" s="1126"/>
      <c r="BG199" s="1127"/>
      <c r="BH199" s="1126"/>
      <c r="BI199" s="1127"/>
      <c r="BJ199" s="1126"/>
      <c r="BK199" s="1127"/>
      <c r="BL199" s="1134">
        <v>110.0</v>
      </c>
      <c r="BM199" s="1653">
        <v>110.0</v>
      </c>
      <c r="BN199" s="2111">
        <v>10.0</v>
      </c>
      <c r="BO199" s="2112"/>
      <c r="BP199" s="2106">
        <f t="shared" si="155"/>
        <v>111</v>
      </c>
      <c r="BQ199" s="2107">
        <f t="shared" si="156"/>
        <v>110</v>
      </c>
      <c r="BR199" s="2108">
        <f t="shared" si="158"/>
        <v>12540</v>
      </c>
      <c r="BS199" s="864">
        <f t="shared" si="157"/>
        <v>12654</v>
      </c>
      <c r="BT199" s="1545"/>
    </row>
    <row r="200" ht="18.0" customHeight="1">
      <c r="A200" s="1565" t="s">
        <v>145</v>
      </c>
      <c r="B200" s="1611">
        <v>4274.0</v>
      </c>
      <c r="C200" s="2011">
        <v>139.0</v>
      </c>
      <c r="D200" s="1884" t="s">
        <v>74</v>
      </c>
      <c r="E200" s="1613" t="str">
        <f>'Матрица 4 недели'!J126</f>
        <v>Крем-суп из брокколи</v>
      </c>
      <c r="F200" s="1137">
        <v>1.0</v>
      </c>
      <c r="G200" s="1138">
        <v>1.0</v>
      </c>
      <c r="H200" s="1126">
        <v>2.0</v>
      </c>
      <c r="I200" s="1138">
        <v>2.0</v>
      </c>
      <c r="J200" s="1126">
        <v>2.0</v>
      </c>
      <c r="K200" s="1138">
        <v>2.0</v>
      </c>
      <c r="L200" s="1126"/>
      <c r="M200" s="1138"/>
      <c r="N200" s="1126">
        <v>4.0</v>
      </c>
      <c r="O200" s="1138">
        <v>4.0</v>
      </c>
      <c r="P200" s="1126">
        <v>2.0</v>
      </c>
      <c r="Q200" s="1121">
        <v>2.0</v>
      </c>
      <c r="R200" s="1120">
        <v>0.0</v>
      </c>
      <c r="S200" s="1121">
        <v>0.0</v>
      </c>
      <c r="T200" s="1137">
        <v>2.0</v>
      </c>
      <c r="U200" s="1121">
        <v>2.0</v>
      </c>
      <c r="V200" s="1137">
        <v>2.0</v>
      </c>
      <c r="W200" s="1121">
        <v>2.0</v>
      </c>
      <c r="X200" s="1137">
        <v>2.0</v>
      </c>
      <c r="Y200" s="1121">
        <v>2.0</v>
      </c>
      <c r="Z200" s="1126"/>
      <c r="AA200" s="1121"/>
      <c r="AB200" s="1120">
        <v>1.0</v>
      </c>
      <c r="AC200" s="1121">
        <v>1.0</v>
      </c>
      <c r="AD200" s="1120">
        <v>2.0</v>
      </c>
      <c r="AE200" s="1121">
        <v>2.0</v>
      </c>
      <c r="AF200" s="1137">
        <v>3.0</v>
      </c>
      <c r="AG200" s="1121">
        <v>3.0</v>
      </c>
      <c r="AH200" s="1120">
        <v>1.0</v>
      </c>
      <c r="AI200" s="1121">
        <v>1.0</v>
      </c>
      <c r="AJ200" s="1120">
        <v>1.0</v>
      </c>
      <c r="AK200" s="1121">
        <v>1.0</v>
      </c>
      <c r="AL200" s="1126">
        <v>0.0</v>
      </c>
      <c r="AM200" s="1121">
        <v>0.0</v>
      </c>
      <c r="AN200" s="1137"/>
      <c r="AO200" s="1138"/>
      <c r="AP200" s="1137">
        <v>1.0</v>
      </c>
      <c r="AQ200" s="1138">
        <v>1.0</v>
      </c>
      <c r="AR200" s="1137">
        <v>2.0</v>
      </c>
      <c r="AS200" s="1138">
        <v>2.0</v>
      </c>
      <c r="AT200" s="1126">
        <v>1.0</v>
      </c>
      <c r="AU200" s="1138">
        <v>1.0</v>
      </c>
      <c r="AV200" s="1126">
        <v>0.0</v>
      </c>
      <c r="AW200" s="1138">
        <v>0.0</v>
      </c>
      <c r="AX200" s="1126">
        <v>1.0</v>
      </c>
      <c r="AY200" s="1138">
        <v>1.0</v>
      </c>
      <c r="AZ200" s="1126">
        <v>1.0</v>
      </c>
      <c r="BA200" s="2001">
        <v>1.0</v>
      </c>
      <c r="BB200" s="1126">
        <v>1.0</v>
      </c>
      <c r="BC200" s="2001">
        <v>1.0</v>
      </c>
      <c r="BD200" s="1126">
        <v>2.0</v>
      </c>
      <c r="BE200" s="2001">
        <v>2.0</v>
      </c>
      <c r="BF200" s="1126">
        <v>1.0</v>
      </c>
      <c r="BG200" s="2001">
        <v>1.0</v>
      </c>
      <c r="BH200" s="1126">
        <v>2.0</v>
      </c>
      <c r="BI200" s="2001">
        <v>2.0</v>
      </c>
      <c r="BJ200" s="1126">
        <v>3.0</v>
      </c>
      <c r="BK200" s="1127">
        <v>3.0</v>
      </c>
      <c r="BL200" s="1134"/>
      <c r="BM200" s="1653"/>
      <c r="BN200" s="2111"/>
      <c r="BO200" s="2116"/>
      <c r="BP200" s="2106">
        <f t="shared" si="155"/>
        <v>41</v>
      </c>
      <c r="BQ200" s="2107">
        <f t="shared" si="156"/>
        <v>40</v>
      </c>
      <c r="BR200" s="2108">
        <f t="shared" si="158"/>
        <v>5560</v>
      </c>
      <c r="BS200" s="864">
        <f t="shared" si="157"/>
        <v>5699</v>
      </c>
      <c r="BT200" s="1545"/>
    </row>
    <row r="201" ht="18.0" customHeight="1">
      <c r="A201" s="1565" t="s">
        <v>145</v>
      </c>
      <c r="B201" s="1611">
        <v>3612.0</v>
      </c>
      <c r="C201" s="1567">
        <v>210.0</v>
      </c>
      <c r="D201" s="2128" t="s">
        <v>77</v>
      </c>
      <c r="E201" s="1613" t="str">
        <f>'Матрица 4 недели'!M125</f>
        <v>Курочка в сливочном соусе с макаронами</v>
      </c>
      <c r="F201" s="2113">
        <v>5.0</v>
      </c>
      <c r="G201" s="1142">
        <v>5.0</v>
      </c>
      <c r="H201" s="1284">
        <v>4.0</v>
      </c>
      <c r="I201" s="1285">
        <v>4.0</v>
      </c>
      <c r="J201" s="1284">
        <v>4.0</v>
      </c>
      <c r="K201" s="1285">
        <v>4.0</v>
      </c>
      <c r="L201" s="1284">
        <v>2.0</v>
      </c>
      <c r="M201" s="1285">
        <v>2.0</v>
      </c>
      <c r="N201" s="1284">
        <v>11.0</v>
      </c>
      <c r="O201" s="1285">
        <v>11.0</v>
      </c>
      <c r="P201" s="1284">
        <v>4.0</v>
      </c>
      <c r="Q201" s="1142">
        <v>4.0</v>
      </c>
      <c r="R201" s="1286">
        <v>5.0</v>
      </c>
      <c r="S201" s="1142">
        <v>5.0</v>
      </c>
      <c r="T201" s="1284">
        <v>3.0</v>
      </c>
      <c r="U201" s="1142">
        <v>3.0</v>
      </c>
      <c r="V201" s="1287">
        <v>5.0</v>
      </c>
      <c r="W201" s="1288">
        <v>5.0</v>
      </c>
      <c r="X201" s="1284">
        <v>2.0</v>
      </c>
      <c r="Y201" s="1289">
        <v>2.0</v>
      </c>
      <c r="Z201" s="1284"/>
      <c r="AA201" s="1142"/>
      <c r="AB201" s="1284">
        <v>4.0</v>
      </c>
      <c r="AC201" s="1138">
        <v>4.0</v>
      </c>
      <c r="AD201" s="1284">
        <v>3.0</v>
      </c>
      <c r="AE201" s="1289">
        <v>3.0</v>
      </c>
      <c r="AF201" s="1284">
        <v>2.0</v>
      </c>
      <c r="AG201" s="1289">
        <v>2.0</v>
      </c>
      <c r="AH201" s="1284">
        <v>3.0</v>
      </c>
      <c r="AI201" s="1289">
        <v>3.0</v>
      </c>
      <c r="AJ201" s="1284">
        <v>5.0</v>
      </c>
      <c r="AK201" s="1289">
        <v>5.0</v>
      </c>
      <c r="AL201" s="1284">
        <v>2.0</v>
      </c>
      <c r="AM201" s="1138">
        <v>2.0</v>
      </c>
      <c r="AN201" s="1126"/>
      <c r="AO201" s="1138"/>
      <c r="AP201" s="1126">
        <v>5.0</v>
      </c>
      <c r="AQ201" s="1138">
        <v>5.0</v>
      </c>
      <c r="AR201" s="1126">
        <v>2.0</v>
      </c>
      <c r="AS201" s="1121">
        <v>2.0</v>
      </c>
      <c r="AT201" s="1284">
        <v>4.0</v>
      </c>
      <c r="AU201" s="1121">
        <v>4.0</v>
      </c>
      <c r="AV201" s="1126">
        <v>4.0</v>
      </c>
      <c r="AW201" s="1121">
        <v>4.0</v>
      </c>
      <c r="AX201" s="1126">
        <v>2.0</v>
      </c>
      <c r="AY201" s="1121">
        <v>2.0</v>
      </c>
      <c r="AZ201" s="1126">
        <v>3.0</v>
      </c>
      <c r="BA201" s="1121">
        <v>3.0</v>
      </c>
      <c r="BB201" s="1126">
        <v>2.0</v>
      </c>
      <c r="BC201" s="1121">
        <v>2.0</v>
      </c>
      <c r="BD201" s="1126">
        <v>2.0</v>
      </c>
      <c r="BE201" s="1121">
        <v>2.0</v>
      </c>
      <c r="BF201" s="1126">
        <v>4.0</v>
      </c>
      <c r="BG201" s="1121">
        <v>4.0</v>
      </c>
      <c r="BH201" s="1126">
        <v>2.0</v>
      </c>
      <c r="BI201" s="1121">
        <v>2.0</v>
      </c>
      <c r="BJ201" s="1126">
        <v>5.0</v>
      </c>
      <c r="BK201" s="1121">
        <v>5.0</v>
      </c>
      <c r="BL201" s="1134"/>
      <c r="BM201" s="1653"/>
      <c r="BN201" s="2111"/>
      <c r="BO201" s="2112"/>
      <c r="BP201" s="2131">
        <f t="shared" si="155"/>
        <v>100</v>
      </c>
      <c r="BQ201" s="2132">
        <f t="shared" si="156"/>
        <v>99</v>
      </c>
      <c r="BR201" s="2108">
        <v>99.0</v>
      </c>
      <c r="BS201" s="864">
        <f t="shared" si="157"/>
        <v>21000</v>
      </c>
      <c r="BT201" s="1545"/>
    </row>
    <row r="202" ht="18.0" customHeight="1">
      <c r="A202" s="1565" t="s">
        <v>145</v>
      </c>
      <c r="B202" s="1611">
        <v>1873.0</v>
      </c>
      <c r="C202" s="1567">
        <v>221.0</v>
      </c>
      <c r="D202" s="1735" t="s">
        <v>77</v>
      </c>
      <c r="E202" s="1613" t="str">
        <f>'Матрица 4 недели'!M126</f>
        <v>Колбаса ''Баварская'' с пюре и тушеной капустой</v>
      </c>
      <c r="F202" s="1126">
        <v>3.0</v>
      </c>
      <c r="G202" s="1121">
        <v>3.0</v>
      </c>
      <c r="H202" s="1120">
        <v>5.0</v>
      </c>
      <c r="I202" s="1121">
        <v>5.0</v>
      </c>
      <c r="J202" s="1120">
        <v>4.0</v>
      </c>
      <c r="K202" s="1121">
        <v>4.0</v>
      </c>
      <c r="L202" s="1120">
        <v>2.0</v>
      </c>
      <c r="M202" s="1121">
        <v>2.0</v>
      </c>
      <c r="N202" s="1126">
        <v>8.0</v>
      </c>
      <c r="O202" s="1121">
        <v>8.0</v>
      </c>
      <c r="P202" s="1126">
        <v>4.0</v>
      </c>
      <c r="Q202" s="1121">
        <v>4.0</v>
      </c>
      <c r="R202" s="1120">
        <v>4.0</v>
      </c>
      <c r="S202" s="1121">
        <v>4.0</v>
      </c>
      <c r="T202" s="1120">
        <v>2.0</v>
      </c>
      <c r="U202" s="1121">
        <v>2.0</v>
      </c>
      <c r="V202" s="1120">
        <v>2.0</v>
      </c>
      <c r="W202" s="1121">
        <v>2.0</v>
      </c>
      <c r="X202" s="1120">
        <v>2.0</v>
      </c>
      <c r="Y202" s="1121">
        <v>2.0</v>
      </c>
      <c r="Z202" s="1126"/>
      <c r="AA202" s="1121"/>
      <c r="AB202" s="1120">
        <v>4.0</v>
      </c>
      <c r="AC202" s="1121">
        <v>4.0</v>
      </c>
      <c r="AD202" s="1120">
        <v>6.0</v>
      </c>
      <c r="AE202" s="1121">
        <v>6.0</v>
      </c>
      <c r="AF202" s="1120">
        <v>2.0</v>
      </c>
      <c r="AG202" s="1121">
        <v>2.0</v>
      </c>
      <c r="AH202" s="1120">
        <v>3.0</v>
      </c>
      <c r="AI202" s="1121">
        <v>3.0</v>
      </c>
      <c r="AJ202" s="1120">
        <v>6.0</v>
      </c>
      <c r="AK202" s="1121">
        <v>6.0</v>
      </c>
      <c r="AL202" s="1126">
        <v>2.0</v>
      </c>
      <c r="AM202" s="1121">
        <v>2.0</v>
      </c>
      <c r="AN202" s="1120"/>
      <c r="AO202" s="1138"/>
      <c r="AP202" s="1120">
        <v>0.0</v>
      </c>
      <c r="AQ202" s="1138">
        <v>0.0</v>
      </c>
      <c r="AR202" s="1120">
        <v>2.0</v>
      </c>
      <c r="AS202" s="1121">
        <v>2.0</v>
      </c>
      <c r="AT202" s="1120">
        <v>8.0</v>
      </c>
      <c r="AU202" s="1121">
        <v>8.0</v>
      </c>
      <c r="AV202" s="1126">
        <v>4.0</v>
      </c>
      <c r="AW202" s="1121">
        <v>4.0</v>
      </c>
      <c r="AX202" s="1126">
        <v>3.0</v>
      </c>
      <c r="AY202" s="1121">
        <v>3.0</v>
      </c>
      <c r="AZ202" s="1126">
        <v>3.0</v>
      </c>
      <c r="BA202" s="1121">
        <v>3.0</v>
      </c>
      <c r="BB202" s="1126">
        <v>2.0</v>
      </c>
      <c r="BC202" s="1121">
        <v>2.0</v>
      </c>
      <c r="BD202" s="1126">
        <v>2.0</v>
      </c>
      <c r="BE202" s="1121">
        <v>2.0</v>
      </c>
      <c r="BF202" s="1126">
        <v>4.0</v>
      </c>
      <c r="BG202" s="1121">
        <v>4.0</v>
      </c>
      <c r="BH202" s="1126">
        <v>2.0</v>
      </c>
      <c r="BI202" s="1121">
        <v>2.0</v>
      </c>
      <c r="BJ202" s="1126">
        <v>6.0</v>
      </c>
      <c r="BK202" s="1121">
        <v>6.0</v>
      </c>
      <c r="BL202" s="1134"/>
      <c r="BM202" s="1653"/>
      <c r="BN202" s="2111">
        <v>10.0</v>
      </c>
      <c r="BO202" s="2112">
        <v>10.0</v>
      </c>
      <c r="BP202" s="2106">
        <f t="shared" si="155"/>
        <v>96</v>
      </c>
      <c r="BQ202" s="2107">
        <f t="shared" si="156"/>
        <v>95</v>
      </c>
      <c r="BR202" s="2108">
        <v>95.0</v>
      </c>
      <c r="BS202" s="864">
        <f t="shared" si="157"/>
        <v>21216</v>
      </c>
      <c r="BT202" s="1545"/>
    </row>
    <row r="203" ht="18.0" customHeight="1">
      <c r="A203" s="1565" t="s">
        <v>145</v>
      </c>
      <c r="B203" s="1611">
        <v>1151.0</v>
      </c>
      <c r="C203" s="1567">
        <v>198.0</v>
      </c>
      <c r="D203" s="1735" t="s">
        <v>77</v>
      </c>
      <c r="E203" s="1690" t="str">
        <f>'Матрица 4 недели'!M127</f>
        <v>Тефтели куриные с гречкой</v>
      </c>
      <c r="F203" s="1126">
        <v>2.0</v>
      </c>
      <c r="G203" s="1121">
        <v>2.0</v>
      </c>
      <c r="H203" s="1120">
        <v>2.0</v>
      </c>
      <c r="I203" s="1121">
        <v>2.0</v>
      </c>
      <c r="J203" s="1120">
        <v>2.0</v>
      </c>
      <c r="K203" s="1121">
        <v>2.0</v>
      </c>
      <c r="L203" s="1120">
        <v>2.0</v>
      </c>
      <c r="M203" s="1121">
        <v>2.0</v>
      </c>
      <c r="N203" s="1126">
        <v>2.0</v>
      </c>
      <c r="O203" s="1121">
        <v>2.0</v>
      </c>
      <c r="P203" s="1126">
        <v>4.0</v>
      </c>
      <c r="Q203" s="1121">
        <v>4.0</v>
      </c>
      <c r="R203" s="1120">
        <v>3.0</v>
      </c>
      <c r="S203" s="1121">
        <v>3.0</v>
      </c>
      <c r="T203" s="1120">
        <v>2.0</v>
      </c>
      <c r="U203" s="1121">
        <v>2.0</v>
      </c>
      <c r="V203" s="1120">
        <v>2.0</v>
      </c>
      <c r="W203" s="1121">
        <v>2.0</v>
      </c>
      <c r="X203" s="1120">
        <v>2.0</v>
      </c>
      <c r="Y203" s="1121">
        <v>2.0</v>
      </c>
      <c r="Z203" s="1126"/>
      <c r="AA203" s="1121"/>
      <c r="AB203" s="1120">
        <v>2.0</v>
      </c>
      <c r="AC203" s="1121">
        <v>2.0</v>
      </c>
      <c r="AD203" s="1120">
        <v>5.0</v>
      </c>
      <c r="AE203" s="1121">
        <v>5.0</v>
      </c>
      <c r="AF203" s="1120">
        <v>3.0</v>
      </c>
      <c r="AG203" s="1121">
        <v>3.0</v>
      </c>
      <c r="AH203" s="1120">
        <v>2.0</v>
      </c>
      <c r="AI203" s="1121">
        <v>2.0</v>
      </c>
      <c r="AJ203" s="1120">
        <v>4.0</v>
      </c>
      <c r="AK203" s="1121">
        <v>4.0</v>
      </c>
      <c r="AL203" s="1126">
        <v>2.0</v>
      </c>
      <c r="AM203" s="1121">
        <v>2.0</v>
      </c>
      <c r="AN203" s="1120"/>
      <c r="AO203" s="1138"/>
      <c r="AP203" s="1120">
        <v>5.0</v>
      </c>
      <c r="AQ203" s="1138">
        <v>5.0</v>
      </c>
      <c r="AR203" s="1120">
        <v>0.0</v>
      </c>
      <c r="AS203" s="1121">
        <v>0.0</v>
      </c>
      <c r="AT203" s="1120">
        <v>8.0</v>
      </c>
      <c r="AU203" s="1121">
        <v>8.0</v>
      </c>
      <c r="AV203" s="1126">
        <v>2.0</v>
      </c>
      <c r="AW203" s="1121">
        <v>2.0</v>
      </c>
      <c r="AX203" s="1126">
        <v>0.0</v>
      </c>
      <c r="AY203" s="1121">
        <v>0.0</v>
      </c>
      <c r="AZ203" s="1126">
        <v>2.0</v>
      </c>
      <c r="BA203" s="1121">
        <v>2.0</v>
      </c>
      <c r="BB203" s="1126">
        <v>2.0</v>
      </c>
      <c r="BC203" s="1121">
        <v>2.0</v>
      </c>
      <c r="BD203" s="1126">
        <v>2.0</v>
      </c>
      <c r="BE203" s="1121">
        <v>2.0</v>
      </c>
      <c r="BF203" s="1126">
        <v>1.0</v>
      </c>
      <c r="BG203" s="1121">
        <v>1.0</v>
      </c>
      <c r="BH203" s="1126">
        <v>2.0</v>
      </c>
      <c r="BI203" s="1121">
        <v>2.0</v>
      </c>
      <c r="BJ203" s="1126">
        <v>3.0</v>
      </c>
      <c r="BK203" s="1121">
        <v>3.0</v>
      </c>
      <c r="BL203" s="1134">
        <v>80.0</v>
      </c>
      <c r="BM203" s="1653">
        <v>80.0</v>
      </c>
      <c r="BN203" s="2111">
        <v>10.0</v>
      </c>
      <c r="BO203" s="2112">
        <v>10.0</v>
      </c>
      <c r="BP203" s="2106">
        <f t="shared" si="155"/>
        <v>149</v>
      </c>
      <c r="BQ203" s="2107">
        <f t="shared" si="156"/>
        <v>148</v>
      </c>
      <c r="BR203" s="2108">
        <f t="shared" ref="BR203:BR204" si="159">BQ203*C203</f>
        <v>29304</v>
      </c>
      <c r="BS203" s="864">
        <f t="shared" si="157"/>
        <v>29502</v>
      </c>
      <c r="BT203" s="1545"/>
    </row>
    <row r="204" ht="18.0" customHeight="1">
      <c r="A204" s="1565" t="s">
        <v>145</v>
      </c>
      <c r="B204" s="1611">
        <v>3517.0</v>
      </c>
      <c r="C204" s="1567">
        <v>215.0</v>
      </c>
      <c r="D204" s="1735" t="s">
        <v>77</v>
      </c>
      <c r="E204" s="1690" t="str">
        <f>'Матрица 4 недели'!M128</f>
        <v>Тилапия в соусе сальса с рисом</v>
      </c>
      <c r="F204" s="1126">
        <v>3.0</v>
      </c>
      <c r="G204" s="1121">
        <v>3.0</v>
      </c>
      <c r="H204" s="1120">
        <v>2.0</v>
      </c>
      <c r="I204" s="1121">
        <v>2.0</v>
      </c>
      <c r="J204" s="1120">
        <v>3.0</v>
      </c>
      <c r="K204" s="1121">
        <v>3.0</v>
      </c>
      <c r="L204" s="1126">
        <v>3.0</v>
      </c>
      <c r="M204" s="1121">
        <v>3.0</v>
      </c>
      <c r="N204" s="1126">
        <v>2.0</v>
      </c>
      <c r="O204" s="1121">
        <v>2.0</v>
      </c>
      <c r="P204" s="1126">
        <v>2.0</v>
      </c>
      <c r="Q204" s="1121">
        <v>2.0</v>
      </c>
      <c r="R204" s="1120">
        <v>3.0</v>
      </c>
      <c r="S204" s="1121">
        <v>3.0</v>
      </c>
      <c r="T204" s="1137">
        <v>2.0</v>
      </c>
      <c r="U204" s="1121">
        <v>2.0</v>
      </c>
      <c r="V204" s="1120">
        <v>2.0</v>
      </c>
      <c r="W204" s="1121">
        <v>2.0</v>
      </c>
      <c r="X204" s="1120">
        <v>2.0</v>
      </c>
      <c r="Y204" s="1121">
        <v>2.0</v>
      </c>
      <c r="Z204" s="1126"/>
      <c r="AA204" s="1121"/>
      <c r="AB204" s="1120">
        <v>2.0</v>
      </c>
      <c r="AC204" s="1121">
        <v>2.0</v>
      </c>
      <c r="AD204" s="1120">
        <v>1.0</v>
      </c>
      <c r="AE204" s="1121">
        <v>1.0</v>
      </c>
      <c r="AF204" s="1120">
        <v>3.0</v>
      </c>
      <c r="AG204" s="1121">
        <v>3.0</v>
      </c>
      <c r="AH204" s="1120">
        <v>2.0</v>
      </c>
      <c r="AI204" s="1121">
        <v>2.0</v>
      </c>
      <c r="AJ204" s="1120">
        <v>4.0</v>
      </c>
      <c r="AK204" s="1121">
        <v>4.0</v>
      </c>
      <c r="AL204" s="1126">
        <v>1.0</v>
      </c>
      <c r="AM204" s="1121">
        <v>1.0</v>
      </c>
      <c r="AN204" s="1120"/>
      <c r="AO204" s="1138"/>
      <c r="AP204" s="1120">
        <v>2.0</v>
      </c>
      <c r="AQ204" s="1138">
        <v>2.0</v>
      </c>
      <c r="AR204" s="1120">
        <v>2.0</v>
      </c>
      <c r="AS204" s="1121">
        <v>2.0</v>
      </c>
      <c r="AT204" s="1120">
        <v>0.0</v>
      </c>
      <c r="AU204" s="1121">
        <v>0.0</v>
      </c>
      <c r="AV204" s="1126">
        <v>2.0</v>
      </c>
      <c r="AW204" s="1121">
        <v>2.0</v>
      </c>
      <c r="AX204" s="1126">
        <v>0.0</v>
      </c>
      <c r="AY204" s="1121">
        <v>0.0</v>
      </c>
      <c r="AZ204" s="1126">
        <v>1.0</v>
      </c>
      <c r="BA204" s="1121">
        <v>1.0</v>
      </c>
      <c r="BB204" s="1137">
        <v>3.0</v>
      </c>
      <c r="BC204" s="1127">
        <v>3.0</v>
      </c>
      <c r="BD204" s="1126">
        <v>0.0</v>
      </c>
      <c r="BE204" s="1127">
        <v>0.0</v>
      </c>
      <c r="BF204" s="1126">
        <v>0.0</v>
      </c>
      <c r="BG204" s="1127">
        <v>0.0</v>
      </c>
      <c r="BH204" s="1126">
        <v>1.0</v>
      </c>
      <c r="BI204" s="1127">
        <v>1.0</v>
      </c>
      <c r="BJ204" s="1126">
        <v>4.0</v>
      </c>
      <c r="BK204" s="1127">
        <v>4.0</v>
      </c>
      <c r="BL204" s="1134">
        <v>25.0</v>
      </c>
      <c r="BM204" s="1653">
        <v>25.0</v>
      </c>
      <c r="BN204" s="2111">
        <v>10.0</v>
      </c>
      <c r="BO204" s="2112">
        <v>10.0</v>
      </c>
      <c r="BP204" s="2106">
        <f t="shared" si="155"/>
        <v>78</v>
      </c>
      <c r="BQ204" s="2107">
        <f t="shared" si="156"/>
        <v>77</v>
      </c>
      <c r="BR204" s="2108">
        <f t="shared" si="159"/>
        <v>16555</v>
      </c>
      <c r="BS204" s="864">
        <f t="shared" si="157"/>
        <v>16770</v>
      </c>
      <c r="BT204" s="1545"/>
    </row>
    <row r="205" ht="18.0" customHeight="1">
      <c r="A205" s="1565" t="s">
        <v>145</v>
      </c>
      <c r="B205" s="1611">
        <v>4032.0</v>
      </c>
      <c r="C205" s="1567">
        <v>238.0</v>
      </c>
      <c r="D205" s="1735" t="s">
        <v>537</v>
      </c>
      <c r="E205" s="1690" t="str">
        <f>'Матрица 4 недели'!M131</f>
        <v>Печень по-царски со сливочным пюре</v>
      </c>
      <c r="F205" s="1120">
        <v>2.0</v>
      </c>
      <c r="G205" s="1138">
        <v>2.0</v>
      </c>
      <c r="H205" s="1120">
        <v>4.0</v>
      </c>
      <c r="I205" s="1138">
        <v>12.0</v>
      </c>
      <c r="J205" s="1120">
        <v>4.0</v>
      </c>
      <c r="K205" s="1138">
        <v>4.0</v>
      </c>
      <c r="L205" s="1120">
        <v>2.0</v>
      </c>
      <c r="M205" s="1138">
        <v>2.0</v>
      </c>
      <c r="N205" s="1120">
        <v>4.0</v>
      </c>
      <c r="O205" s="1138">
        <v>4.0</v>
      </c>
      <c r="P205" s="1120">
        <v>2.0</v>
      </c>
      <c r="Q205" s="1138">
        <v>2.0</v>
      </c>
      <c r="R205" s="1120">
        <v>3.0</v>
      </c>
      <c r="S205" s="1138">
        <v>3.0</v>
      </c>
      <c r="T205" s="1120">
        <v>4.0</v>
      </c>
      <c r="U205" s="1138">
        <v>4.0</v>
      </c>
      <c r="V205" s="1120">
        <v>2.0</v>
      </c>
      <c r="W205" s="1138">
        <v>2.0</v>
      </c>
      <c r="X205" s="1120">
        <v>2.0</v>
      </c>
      <c r="Y205" s="1138">
        <v>2.0</v>
      </c>
      <c r="Z205" s="1120"/>
      <c r="AA205" s="1138"/>
      <c r="AB205" s="1120">
        <v>2.0</v>
      </c>
      <c r="AC205" s="1138">
        <v>2.0</v>
      </c>
      <c r="AD205" s="1120">
        <v>2.0</v>
      </c>
      <c r="AE205" s="1138">
        <v>2.0</v>
      </c>
      <c r="AF205" s="1120">
        <v>3.0</v>
      </c>
      <c r="AG205" s="1138">
        <v>3.0</v>
      </c>
      <c r="AH205" s="1120">
        <v>5.0</v>
      </c>
      <c r="AI205" s="1138">
        <v>5.0</v>
      </c>
      <c r="AJ205" s="1120">
        <v>3.0</v>
      </c>
      <c r="AK205" s="1138">
        <v>3.0</v>
      </c>
      <c r="AL205" s="1120">
        <v>2.0</v>
      </c>
      <c r="AM205" s="1138">
        <v>2.0</v>
      </c>
      <c r="AN205" s="1120"/>
      <c r="AO205" s="1138"/>
      <c r="AP205" s="1120">
        <v>3.0</v>
      </c>
      <c r="AQ205" s="1138">
        <v>3.0</v>
      </c>
      <c r="AR205" s="1120">
        <v>2.0</v>
      </c>
      <c r="AS205" s="1138">
        <v>2.0</v>
      </c>
      <c r="AT205" s="1126">
        <v>7.0</v>
      </c>
      <c r="AU205" s="1138">
        <v>7.0</v>
      </c>
      <c r="AV205" s="1126">
        <v>2.0</v>
      </c>
      <c r="AW205" s="1138">
        <v>2.0</v>
      </c>
      <c r="AX205" s="1126">
        <v>2.0</v>
      </c>
      <c r="AY205" s="1138">
        <v>2.0</v>
      </c>
      <c r="AZ205" s="1126">
        <v>2.0</v>
      </c>
      <c r="BA205" s="1138">
        <v>2.0</v>
      </c>
      <c r="BB205" s="1126">
        <v>2.0</v>
      </c>
      <c r="BC205" s="1138">
        <v>2.0</v>
      </c>
      <c r="BD205" s="1126">
        <v>2.0</v>
      </c>
      <c r="BE205" s="1138">
        <v>2.0</v>
      </c>
      <c r="BF205" s="1126">
        <v>1.0</v>
      </c>
      <c r="BG205" s="1138">
        <v>1.0</v>
      </c>
      <c r="BH205" s="1126">
        <v>2.0</v>
      </c>
      <c r="BI205" s="1138">
        <v>2.0</v>
      </c>
      <c r="BJ205" s="1126">
        <v>2.0</v>
      </c>
      <c r="BK205" s="1138">
        <v>2.0</v>
      </c>
      <c r="BL205" s="1134"/>
      <c r="BM205" s="1653"/>
      <c r="BN205" s="2111"/>
      <c r="BO205" s="2112"/>
      <c r="BP205" s="2106">
        <f t="shared" si="155"/>
        <v>74</v>
      </c>
      <c r="BQ205" s="2107">
        <f t="shared" si="156"/>
        <v>81</v>
      </c>
      <c r="BR205" s="2108">
        <v>73.0</v>
      </c>
      <c r="BS205" s="864">
        <f t="shared" si="157"/>
        <v>17612</v>
      </c>
      <c r="BT205" s="1545"/>
    </row>
    <row r="206" ht="18.0" customHeight="1">
      <c r="A206" s="1565"/>
      <c r="B206" s="1611">
        <v>4120.0</v>
      </c>
      <c r="C206" s="1567">
        <v>212.0</v>
      </c>
      <c r="D206" s="1750" t="s">
        <v>77</v>
      </c>
      <c r="E206" s="1690" t="str">
        <f>'Матрица 4 недели'!M130</f>
        <v>Курочка в сливочном соусе со спагетти</v>
      </c>
      <c r="F206" s="1126"/>
      <c r="G206" s="1138"/>
      <c r="H206" s="1126"/>
      <c r="I206" s="1138"/>
      <c r="J206" s="1126"/>
      <c r="K206" s="1138"/>
      <c r="L206" s="1141"/>
      <c r="M206" s="1138"/>
      <c r="N206" s="1141"/>
      <c r="O206" s="1138"/>
      <c r="P206" s="1126"/>
      <c r="Q206" s="1138"/>
      <c r="R206" s="1137"/>
      <c r="S206" s="1138"/>
      <c r="T206" s="1126"/>
      <c r="U206" s="1138"/>
      <c r="V206" s="1143"/>
      <c r="W206" s="1138"/>
      <c r="X206" s="1137"/>
      <c r="Y206" s="1138"/>
      <c r="Z206" s="1126"/>
      <c r="AA206" s="1121"/>
      <c r="AB206" s="1120"/>
      <c r="AC206" s="1121"/>
      <c r="AD206" s="1120"/>
      <c r="AE206" s="1121"/>
      <c r="AF206" s="1120"/>
      <c r="AG206" s="1121"/>
      <c r="AH206" s="1120"/>
      <c r="AI206" s="1121"/>
      <c r="AJ206" s="1120"/>
      <c r="AK206" s="1121"/>
      <c r="AL206" s="1126"/>
      <c r="AM206" s="1121"/>
      <c r="AN206" s="1120"/>
      <c r="AO206" s="1138"/>
      <c r="AP206" s="1120"/>
      <c r="AQ206" s="1138"/>
      <c r="AR206" s="1120"/>
      <c r="AS206" s="1121"/>
      <c r="AT206" s="1126"/>
      <c r="AU206" s="1121"/>
      <c r="AV206" s="1126"/>
      <c r="AW206" s="1121"/>
      <c r="AX206" s="1126"/>
      <c r="AY206" s="1121"/>
      <c r="AZ206" s="1126"/>
      <c r="BA206" s="1121"/>
      <c r="BB206" s="1126"/>
      <c r="BC206" s="1127"/>
      <c r="BD206" s="1126"/>
      <c r="BE206" s="1127"/>
      <c r="BF206" s="1126"/>
      <c r="BG206" s="1127"/>
      <c r="BH206" s="1126"/>
      <c r="BI206" s="1127"/>
      <c r="BJ206" s="1126"/>
      <c r="BK206" s="1127"/>
      <c r="BL206" s="1134">
        <v>25.0</v>
      </c>
      <c r="BM206" s="1653">
        <v>25.0</v>
      </c>
      <c r="BN206" s="2115"/>
      <c r="BO206" s="2116"/>
      <c r="BP206" s="2106">
        <f t="shared" si="155"/>
        <v>26</v>
      </c>
      <c r="BQ206" s="2107">
        <f t="shared" si="156"/>
        <v>25</v>
      </c>
      <c r="BR206" s="2108">
        <f t="shared" ref="BR206:BR208" si="160">BQ206*C206</f>
        <v>5300</v>
      </c>
      <c r="BS206" s="864">
        <f t="shared" si="157"/>
        <v>5512</v>
      </c>
      <c r="BT206" s="1545"/>
    </row>
    <row r="207" ht="18.0" customHeight="1">
      <c r="A207" s="1565"/>
      <c r="B207" s="1611">
        <v>3527.0</v>
      </c>
      <c r="C207" s="1567">
        <v>96.0</v>
      </c>
      <c r="D207" s="1735" t="s">
        <v>78</v>
      </c>
      <c r="E207" s="1690" t="str">
        <f>'Матрица 4 недели'!P125</f>
        <v>Хачапури 100 гр</v>
      </c>
      <c r="F207" s="1120"/>
      <c r="G207" s="1121"/>
      <c r="H207" s="1120"/>
      <c r="I207" s="1121"/>
      <c r="J207" s="1120"/>
      <c r="K207" s="1121"/>
      <c r="L207" s="1126"/>
      <c r="M207" s="1121"/>
      <c r="N207" s="1120"/>
      <c r="O207" s="1121"/>
      <c r="P207" s="1120"/>
      <c r="Q207" s="1121"/>
      <c r="R207" s="1120"/>
      <c r="S207" s="1121"/>
      <c r="T207" s="1120"/>
      <c r="U207" s="1121"/>
      <c r="V207" s="1120"/>
      <c r="W207" s="1121"/>
      <c r="X207" s="1120"/>
      <c r="Y207" s="1121"/>
      <c r="Z207" s="1126"/>
      <c r="AA207" s="1121"/>
      <c r="AB207" s="1120"/>
      <c r="AC207" s="1121"/>
      <c r="AD207" s="1120"/>
      <c r="AE207" s="1121"/>
      <c r="AF207" s="1120"/>
      <c r="AG207" s="1121"/>
      <c r="AH207" s="1120"/>
      <c r="AI207" s="1121"/>
      <c r="AJ207" s="1120"/>
      <c r="AK207" s="1121"/>
      <c r="AL207" s="1126"/>
      <c r="AM207" s="1121"/>
      <c r="AN207" s="1120"/>
      <c r="AO207" s="1138"/>
      <c r="AP207" s="1120"/>
      <c r="AQ207" s="1138"/>
      <c r="AR207" s="1120"/>
      <c r="AS207" s="1121"/>
      <c r="AT207" s="1120"/>
      <c r="AU207" s="1121"/>
      <c r="AV207" s="1126"/>
      <c r="AW207" s="1121"/>
      <c r="AX207" s="1126"/>
      <c r="AY207" s="1121"/>
      <c r="AZ207" s="1126"/>
      <c r="BA207" s="1121"/>
      <c r="BB207" s="1126"/>
      <c r="BC207" s="1127"/>
      <c r="BD207" s="1126"/>
      <c r="BE207" s="1127"/>
      <c r="BF207" s="1126"/>
      <c r="BG207" s="1127"/>
      <c r="BH207" s="1126"/>
      <c r="BI207" s="1127"/>
      <c r="BJ207" s="1126"/>
      <c r="BK207" s="1127"/>
      <c r="BL207" s="1134">
        <v>11.0</v>
      </c>
      <c r="BM207" s="1121">
        <v>12.0</v>
      </c>
      <c r="BN207" s="2106"/>
      <c r="BO207" s="2107"/>
      <c r="BP207" s="2106">
        <f t="shared" si="155"/>
        <v>12</v>
      </c>
      <c r="BQ207" s="2107">
        <f t="shared" si="156"/>
        <v>12</v>
      </c>
      <c r="BR207" s="2108">
        <f t="shared" si="160"/>
        <v>1152</v>
      </c>
      <c r="BS207" s="864">
        <f t="shared" si="157"/>
        <v>1152</v>
      </c>
      <c r="BT207" s="1545"/>
    </row>
    <row r="208" ht="18.0" customHeight="1">
      <c r="A208" s="1565"/>
      <c r="B208" s="1611">
        <v>3454.0</v>
      </c>
      <c r="C208" s="1567">
        <v>67.0</v>
      </c>
      <c r="D208" s="1735" t="s">
        <v>78</v>
      </c>
      <c r="E208" s="1652" t="str">
        <f>'Матрица 4 недели'!P126</f>
        <v>Рулетик с корицей 100 гр</v>
      </c>
      <c r="F208" s="1120"/>
      <c r="G208" s="1138"/>
      <c r="H208" s="1120"/>
      <c r="I208" s="1138"/>
      <c r="J208" s="1120"/>
      <c r="K208" s="1138"/>
      <c r="L208" s="1126"/>
      <c r="M208" s="1138"/>
      <c r="N208" s="1120"/>
      <c r="O208" s="1138"/>
      <c r="P208" s="1120"/>
      <c r="Q208" s="1138"/>
      <c r="R208" s="1120"/>
      <c r="S208" s="1138"/>
      <c r="T208" s="1120"/>
      <c r="U208" s="1138"/>
      <c r="V208" s="1120"/>
      <c r="W208" s="1138"/>
      <c r="X208" s="1120"/>
      <c r="Y208" s="1138"/>
      <c r="Z208" s="1126"/>
      <c r="AA208" s="1138"/>
      <c r="AB208" s="1120"/>
      <c r="AC208" s="1138"/>
      <c r="AD208" s="1120"/>
      <c r="AE208" s="1138"/>
      <c r="AF208" s="1120"/>
      <c r="AG208" s="1138"/>
      <c r="AH208" s="1120"/>
      <c r="AI208" s="1138"/>
      <c r="AJ208" s="1120"/>
      <c r="AK208" s="1138"/>
      <c r="AL208" s="1120"/>
      <c r="AM208" s="1138"/>
      <c r="AN208" s="1120"/>
      <c r="AO208" s="1138"/>
      <c r="AP208" s="1120"/>
      <c r="AQ208" s="1138"/>
      <c r="AR208" s="1120"/>
      <c r="AS208" s="1138"/>
      <c r="AT208" s="1126"/>
      <c r="AU208" s="1138"/>
      <c r="AV208" s="1126"/>
      <c r="AW208" s="1138"/>
      <c r="AX208" s="1126"/>
      <c r="AY208" s="1138"/>
      <c r="AZ208" s="1126"/>
      <c r="BA208" s="1138"/>
      <c r="BB208" s="1126"/>
      <c r="BC208" s="1127"/>
      <c r="BD208" s="1126"/>
      <c r="BE208" s="1127"/>
      <c r="BF208" s="1126"/>
      <c r="BG208" s="1127"/>
      <c r="BH208" s="1126"/>
      <c r="BI208" s="1127"/>
      <c r="BJ208" s="1126"/>
      <c r="BK208" s="1127"/>
      <c r="BL208" s="1134">
        <v>12.0</v>
      </c>
      <c r="BM208" s="1138">
        <v>10.0</v>
      </c>
      <c r="BN208" s="2106"/>
      <c r="BO208" s="2139">
        <v>10.0</v>
      </c>
      <c r="BP208" s="2106">
        <f t="shared" si="155"/>
        <v>13</v>
      </c>
      <c r="BQ208" s="2107">
        <f t="shared" si="156"/>
        <v>10</v>
      </c>
      <c r="BR208" s="2108">
        <f t="shared" si="160"/>
        <v>670</v>
      </c>
      <c r="BS208" s="864">
        <f t="shared" si="157"/>
        <v>871</v>
      </c>
      <c r="BT208" s="1545"/>
    </row>
    <row r="209" ht="18.0" customHeight="1">
      <c r="A209" s="1565" t="s">
        <v>145</v>
      </c>
      <c r="B209" s="1611">
        <v>2079.0</v>
      </c>
      <c r="C209" s="1567">
        <v>105.0</v>
      </c>
      <c r="D209" s="1735" t="s">
        <v>78</v>
      </c>
      <c r="E209" s="1652" t="str">
        <f>'Матрица 4 недели'!P127</f>
        <v>Вафельная трубочка с вареной сгущенкой</v>
      </c>
      <c r="F209" s="1137">
        <v>36.0</v>
      </c>
      <c r="G209" s="1121">
        <v>37.0</v>
      </c>
      <c r="H209" s="1126">
        <v>4.0</v>
      </c>
      <c r="I209" s="1121">
        <v>4.0</v>
      </c>
      <c r="J209" s="1126">
        <v>3.0</v>
      </c>
      <c r="K209" s="1160">
        <v>3.0</v>
      </c>
      <c r="L209" s="1161">
        <v>8.0</v>
      </c>
      <c r="M209" s="1162">
        <v>8.0</v>
      </c>
      <c r="N209" s="1126">
        <v>8.0</v>
      </c>
      <c r="O209" s="1121">
        <v>8.0</v>
      </c>
      <c r="P209" s="1126">
        <v>6.0</v>
      </c>
      <c r="Q209" s="1121">
        <v>6.0</v>
      </c>
      <c r="R209" s="1126">
        <v>7.0</v>
      </c>
      <c r="S209" s="1121">
        <v>7.0</v>
      </c>
      <c r="T209" s="1126">
        <v>7.0</v>
      </c>
      <c r="U209" s="1121">
        <v>7.0</v>
      </c>
      <c r="V209" s="1137">
        <v>16.0</v>
      </c>
      <c r="W209" s="1121">
        <v>17.0</v>
      </c>
      <c r="X209" s="1137">
        <v>10.0</v>
      </c>
      <c r="Y209" s="1121">
        <v>10.0</v>
      </c>
      <c r="Z209" s="1126"/>
      <c r="AA209" s="1121"/>
      <c r="AB209" s="1137">
        <v>9.0</v>
      </c>
      <c r="AC209" s="1121">
        <v>9.0</v>
      </c>
      <c r="AD209" s="1137">
        <v>17.0</v>
      </c>
      <c r="AE209" s="1121">
        <v>17.0</v>
      </c>
      <c r="AF209" s="1120">
        <v>21.0</v>
      </c>
      <c r="AG209" s="1121">
        <v>22.0</v>
      </c>
      <c r="AH209" s="1137">
        <v>8.0</v>
      </c>
      <c r="AI209" s="1121">
        <v>8.0</v>
      </c>
      <c r="AJ209" s="1120">
        <v>9.0</v>
      </c>
      <c r="AK209" s="1121">
        <v>9.0</v>
      </c>
      <c r="AL209" s="1126">
        <v>4.0</v>
      </c>
      <c r="AM209" s="1121">
        <v>4.0</v>
      </c>
      <c r="AN209" s="1120"/>
      <c r="AO209" s="1138"/>
      <c r="AP209" s="1126">
        <v>18.0</v>
      </c>
      <c r="AQ209" s="1138">
        <v>18.0</v>
      </c>
      <c r="AR209" s="1120">
        <v>4.0</v>
      </c>
      <c r="AS209" s="1121">
        <v>4.0</v>
      </c>
      <c r="AT209" s="1126">
        <v>8.0</v>
      </c>
      <c r="AU209" s="1121">
        <v>8.0</v>
      </c>
      <c r="AV209" s="1126">
        <v>7.0</v>
      </c>
      <c r="AW209" s="1121">
        <v>7.0</v>
      </c>
      <c r="AX209" s="1126">
        <v>9.0</v>
      </c>
      <c r="AY209" s="1121">
        <v>9.0</v>
      </c>
      <c r="AZ209" s="1141">
        <v>13.0</v>
      </c>
      <c r="BA209" s="1305">
        <v>13.0</v>
      </c>
      <c r="BB209" s="1141">
        <v>7.0</v>
      </c>
      <c r="BC209" s="1305">
        <v>7.0</v>
      </c>
      <c r="BD209" s="1141">
        <v>4.0</v>
      </c>
      <c r="BE209" s="1305">
        <v>4.0</v>
      </c>
      <c r="BF209" s="1141">
        <v>8.0</v>
      </c>
      <c r="BG209" s="1305">
        <v>8.0</v>
      </c>
      <c r="BH209" s="1126">
        <v>7.0</v>
      </c>
      <c r="BI209" s="1131">
        <v>7.0</v>
      </c>
      <c r="BJ209" s="1126">
        <v>9.0</v>
      </c>
      <c r="BK209" s="1305">
        <v>9.0</v>
      </c>
      <c r="BL209" s="1134"/>
      <c r="BM209" s="1132"/>
      <c r="BN209" s="2106"/>
      <c r="BO209" s="2107"/>
      <c r="BP209" s="2106">
        <f t="shared" si="155"/>
        <v>268</v>
      </c>
      <c r="BQ209" s="2107">
        <f t="shared" si="156"/>
        <v>270</v>
      </c>
      <c r="BR209" s="2108">
        <v>267.0</v>
      </c>
      <c r="BS209" s="864">
        <f t="shared" si="157"/>
        <v>28140</v>
      </c>
      <c r="BT209" s="1545"/>
    </row>
    <row r="210" ht="18.0" customHeight="1">
      <c r="A210" s="1565" t="s">
        <v>145</v>
      </c>
      <c r="B210" s="1611">
        <v>2904.0</v>
      </c>
      <c r="C210" s="1567">
        <v>190.0</v>
      </c>
      <c r="D210" s="1735" t="s">
        <v>79</v>
      </c>
      <c r="E210" s="1652" t="str">
        <f>'Матрица 4 недели'!S125</f>
        <v>Ассорти сэндвич (пепперони/ветчина)</v>
      </c>
      <c r="F210" s="1137">
        <v>13.0</v>
      </c>
      <c r="G210" s="1121">
        <v>13.0</v>
      </c>
      <c r="H210" s="1126">
        <v>2.0</v>
      </c>
      <c r="I210" s="1121">
        <v>2.0</v>
      </c>
      <c r="J210" s="1126">
        <v>2.0</v>
      </c>
      <c r="K210" s="1160">
        <v>2.0</v>
      </c>
      <c r="L210" s="1161">
        <v>3.0</v>
      </c>
      <c r="M210" s="1162">
        <v>3.0</v>
      </c>
      <c r="N210" s="1126">
        <v>6.0</v>
      </c>
      <c r="O210" s="1121">
        <v>6.0</v>
      </c>
      <c r="P210" s="1126">
        <v>8.0</v>
      </c>
      <c r="Q210" s="1121">
        <v>8.0</v>
      </c>
      <c r="R210" s="1126">
        <v>7.0</v>
      </c>
      <c r="S210" s="1121">
        <v>7.0</v>
      </c>
      <c r="T210" s="1126">
        <v>2.0</v>
      </c>
      <c r="U210" s="1121">
        <v>2.0</v>
      </c>
      <c r="V210" s="1137">
        <v>3.0</v>
      </c>
      <c r="W210" s="1121">
        <v>3.0</v>
      </c>
      <c r="X210" s="1137">
        <v>6.0</v>
      </c>
      <c r="Y210" s="1121">
        <v>6.0</v>
      </c>
      <c r="Z210" s="1126"/>
      <c r="AA210" s="1121"/>
      <c r="AB210" s="1137">
        <v>6.0</v>
      </c>
      <c r="AC210" s="1121">
        <v>6.0</v>
      </c>
      <c r="AD210" s="1137">
        <v>5.0</v>
      </c>
      <c r="AE210" s="1121">
        <v>5.0</v>
      </c>
      <c r="AF210" s="1120">
        <v>4.0</v>
      </c>
      <c r="AG210" s="1121">
        <v>4.0</v>
      </c>
      <c r="AH210" s="1137">
        <v>8.0</v>
      </c>
      <c r="AI210" s="1121">
        <v>8.0</v>
      </c>
      <c r="AJ210" s="1120">
        <v>5.0</v>
      </c>
      <c r="AK210" s="1121">
        <v>5.0</v>
      </c>
      <c r="AL210" s="1126">
        <v>3.0</v>
      </c>
      <c r="AM210" s="1121">
        <v>3.0</v>
      </c>
      <c r="AN210" s="1120"/>
      <c r="AO210" s="1138"/>
      <c r="AP210" s="1126">
        <v>2.0</v>
      </c>
      <c r="AQ210" s="1138">
        <v>2.0</v>
      </c>
      <c r="AR210" s="1120">
        <v>4.0</v>
      </c>
      <c r="AS210" s="1121">
        <v>4.0</v>
      </c>
      <c r="AT210" s="1126">
        <v>6.0</v>
      </c>
      <c r="AU210" s="1121">
        <v>6.0</v>
      </c>
      <c r="AV210" s="1126">
        <v>5.0</v>
      </c>
      <c r="AW210" s="1121">
        <v>5.0</v>
      </c>
      <c r="AX210" s="1126">
        <v>3.0</v>
      </c>
      <c r="AY210" s="1121">
        <v>3.0</v>
      </c>
      <c r="AZ210" s="1126">
        <v>2.0</v>
      </c>
      <c r="BA210" s="1121">
        <v>2.0</v>
      </c>
      <c r="BB210" s="1126">
        <v>7.0</v>
      </c>
      <c r="BC210" s="1121">
        <v>7.0</v>
      </c>
      <c r="BD210" s="1126">
        <v>2.0</v>
      </c>
      <c r="BE210" s="1121">
        <v>2.0</v>
      </c>
      <c r="BF210" s="1126">
        <v>3.0</v>
      </c>
      <c r="BG210" s="1121">
        <v>3.0</v>
      </c>
      <c r="BH210" s="1126">
        <v>3.0</v>
      </c>
      <c r="BI210" s="1121">
        <v>3.0</v>
      </c>
      <c r="BJ210" s="1126">
        <v>5.0</v>
      </c>
      <c r="BK210" s="1121">
        <v>5.0</v>
      </c>
      <c r="BL210" s="1134"/>
      <c r="BM210" s="1132"/>
      <c r="BN210" s="2106"/>
      <c r="BO210" s="2107"/>
      <c r="BP210" s="2106">
        <f t="shared" si="155"/>
        <v>126</v>
      </c>
      <c r="BQ210" s="2107">
        <f t="shared" si="156"/>
        <v>125</v>
      </c>
      <c r="BR210" s="2108">
        <f>BQ210*C210</f>
        <v>23750</v>
      </c>
      <c r="BS210" s="864">
        <f t="shared" si="157"/>
        <v>23940</v>
      </c>
      <c r="BT210" s="1545"/>
    </row>
    <row r="211" ht="18.0" customHeight="1">
      <c r="A211" s="1565" t="s">
        <v>145</v>
      </c>
      <c r="B211" s="1611">
        <v>4239.0</v>
      </c>
      <c r="C211" s="1567">
        <v>172.0</v>
      </c>
      <c r="D211" s="1735" t="s">
        <v>79</v>
      </c>
      <c r="E211" s="1758" t="str">
        <f>'Матрица 4 недели'!S126</f>
        <v>Сэндвич с запеченной курочкой и соусом Релиш</v>
      </c>
      <c r="F211" s="1137">
        <v>8.0</v>
      </c>
      <c r="G211" s="1121">
        <v>8.0</v>
      </c>
      <c r="H211" s="1126">
        <v>3.0</v>
      </c>
      <c r="I211" s="1121">
        <v>3.0</v>
      </c>
      <c r="J211" s="1126">
        <v>4.0</v>
      </c>
      <c r="K211" s="1121">
        <v>4.0</v>
      </c>
      <c r="L211" s="1126">
        <v>2.0</v>
      </c>
      <c r="M211" s="1121">
        <v>2.0</v>
      </c>
      <c r="N211" s="1126">
        <v>10.0</v>
      </c>
      <c r="O211" s="1121">
        <v>10.0</v>
      </c>
      <c r="P211" s="1126">
        <v>5.0</v>
      </c>
      <c r="Q211" s="1121">
        <v>5.0</v>
      </c>
      <c r="R211" s="1137">
        <v>3.0</v>
      </c>
      <c r="S211" s="1121">
        <v>3.0</v>
      </c>
      <c r="T211" s="1126">
        <v>2.0</v>
      </c>
      <c r="U211" s="1138">
        <v>2.0</v>
      </c>
      <c r="V211" s="1137">
        <v>3.0</v>
      </c>
      <c r="W211" s="1138">
        <v>3.0</v>
      </c>
      <c r="X211" s="1137">
        <v>3.0</v>
      </c>
      <c r="Y211" s="1138">
        <v>3.0</v>
      </c>
      <c r="Z211" s="1120"/>
      <c r="AA211" s="1138"/>
      <c r="AB211" s="1137">
        <v>4.0</v>
      </c>
      <c r="AC211" s="1138">
        <v>4.0</v>
      </c>
      <c r="AD211" s="1137">
        <v>2.0</v>
      </c>
      <c r="AE211" s="1138">
        <v>2.0</v>
      </c>
      <c r="AF211" s="1137">
        <v>5.0</v>
      </c>
      <c r="AG211" s="1138">
        <v>5.0</v>
      </c>
      <c r="AH211" s="1120">
        <v>3.0</v>
      </c>
      <c r="AI211" s="1138">
        <v>3.0</v>
      </c>
      <c r="AJ211" s="1120">
        <v>4.0</v>
      </c>
      <c r="AK211" s="1138">
        <v>4.0</v>
      </c>
      <c r="AL211" s="1120">
        <v>4.0</v>
      </c>
      <c r="AM211" s="1138">
        <v>4.0</v>
      </c>
      <c r="AN211" s="1120"/>
      <c r="AO211" s="1121"/>
      <c r="AP211" s="1120">
        <v>3.0</v>
      </c>
      <c r="AQ211" s="1138">
        <v>3.0</v>
      </c>
      <c r="AR211" s="1120">
        <v>3.0</v>
      </c>
      <c r="AS211" s="1121">
        <v>3.0</v>
      </c>
      <c r="AT211" s="1126">
        <v>3.0</v>
      </c>
      <c r="AU211" s="1121">
        <v>3.0</v>
      </c>
      <c r="AV211" s="1126">
        <v>2.0</v>
      </c>
      <c r="AW211" s="1121">
        <v>2.0</v>
      </c>
      <c r="AX211" s="1126">
        <v>3.0</v>
      </c>
      <c r="AY211" s="1121">
        <v>3.0</v>
      </c>
      <c r="AZ211" s="1126">
        <v>2.0</v>
      </c>
      <c r="BA211" s="1121">
        <v>2.0</v>
      </c>
      <c r="BB211" s="1126">
        <v>7.0</v>
      </c>
      <c r="BC211" s="1121">
        <v>7.0</v>
      </c>
      <c r="BD211" s="1126">
        <v>2.0</v>
      </c>
      <c r="BE211" s="1121">
        <v>2.0</v>
      </c>
      <c r="BF211" s="1126">
        <v>3.0</v>
      </c>
      <c r="BG211" s="1121">
        <v>3.0</v>
      </c>
      <c r="BH211" s="1126">
        <v>5.0</v>
      </c>
      <c r="BI211" s="1121">
        <v>5.0</v>
      </c>
      <c r="BJ211" s="1126">
        <v>6.0</v>
      </c>
      <c r="BK211" s="1121">
        <v>6.0</v>
      </c>
      <c r="BL211" s="1513"/>
      <c r="BM211" s="1138"/>
      <c r="BN211" s="2106"/>
      <c r="BO211" s="2107"/>
      <c r="BP211" s="2106">
        <f t="shared" si="155"/>
        <v>105</v>
      </c>
      <c r="BQ211" s="2107">
        <f t="shared" si="156"/>
        <v>104</v>
      </c>
      <c r="BR211" s="2108">
        <v>104.0</v>
      </c>
      <c r="BS211" s="864">
        <f t="shared" si="157"/>
        <v>18060</v>
      </c>
      <c r="BT211" s="1545"/>
    </row>
    <row r="212" ht="18.0" customHeight="1">
      <c r="A212" s="1565" t="s">
        <v>145</v>
      </c>
      <c r="B212" s="1567">
        <v>4281.0</v>
      </c>
      <c r="C212" s="1567">
        <v>98.0</v>
      </c>
      <c r="D212" s="1735" t="s">
        <v>80</v>
      </c>
      <c r="E212" s="733" t="str">
        <f>'Матрица 4 недели'!V125</f>
        <v>Морс клюква/вишня 0,5 л</v>
      </c>
      <c r="F212" s="1120">
        <v>10.0</v>
      </c>
      <c r="G212" s="1121">
        <v>12.0</v>
      </c>
      <c r="H212" s="1120">
        <v>0.0</v>
      </c>
      <c r="I212" s="1121">
        <v>0.0</v>
      </c>
      <c r="J212" s="1120">
        <v>3.0</v>
      </c>
      <c r="K212" s="1138">
        <v>5.0</v>
      </c>
      <c r="L212" s="1126">
        <v>7.0</v>
      </c>
      <c r="M212" s="1138">
        <v>8.0</v>
      </c>
      <c r="N212" s="1120">
        <v>0.0</v>
      </c>
      <c r="O212" s="1138">
        <v>0.0</v>
      </c>
      <c r="P212" s="1120">
        <v>10.0</v>
      </c>
      <c r="Q212" s="1138">
        <v>12.0</v>
      </c>
      <c r="R212" s="1120">
        <v>0.0</v>
      </c>
      <c r="S212" s="1138">
        <v>0.0</v>
      </c>
      <c r="T212" s="1120">
        <v>0.0</v>
      </c>
      <c r="U212" s="1138">
        <v>0.0</v>
      </c>
      <c r="V212" s="1120">
        <v>0.0</v>
      </c>
      <c r="W212" s="1138">
        <v>0.0</v>
      </c>
      <c r="X212" s="1120">
        <v>0.0</v>
      </c>
      <c r="Y212" s="1138">
        <v>0.0</v>
      </c>
      <c r="Z212" s="1126"/>
      <c r="AA212" s="1138"/>
      <c r="AB212" s="1120">
        <v>0.0</v>
      </c>
      <c r="AC212" s="1138">
        <v>0.0</v>
      </c>
      <c r="AD212" s="1120">
        <v>0.0</v>
      </c>
      <c r="AE212" s="1138">
        <v>0.0</v>
      </c>
      <c r="AF212" s="1120">
        <v>5.0</v>
      </c>
      <c r="AG212" s="1138">
        <v>7.0</v>
      </c>
      <c r="AH212" s="1120">
        <v>0.0</v>
      </c>
      <c r="AI212" s="1138">
        <v>0.0</v>
      </c>
      <c r="AJ212" s="1120">
        <v>0.0</v>
      </c>
      <c r="AK212" s="1138">
        <v>0.0</v>
      </c>
      <c r="AL212" s="1126">
        <v>0.0</v>
      </c>
      <c r="AM212" s="1138">
        <v>0.0</v>
      </c>
      <c r="AN212" s="1120"/>
      <c r="AO212" s="1138"/>
      <c r="AP212" s="1120">
        <v>0.0</v>
      </c>
      <c r="AQ212" s="1138">
        <v>0.0</v>
      </c>
      <c r="AR212" s="1120">
        <v>25.0</v>
      </c>
      <c r="AS212" s="1305">
        <v>27.0</v>
      </c>
      <c r="AT212" s="1141">
        <v>6.0</v>
      </c>
      <c r="AU212" s="1307">
        <v>8.0</v>
      </c>
      <c r="AV212" s="1141">
        <v>6.0</v>
      </c>
      <c r="AW212" s="1307">
        <v>8.0</v>
      </c>
      <c r="AX212" s="1141">
        <v>8.0</v>
      </c>
      <c r="AY212" s="1307">
        <v>10.0</v>
      </c>
      <c r="AZ212" s="1141">
        <v>0.0</v>
      </c>
      <c r="BA212" s="1307">
        <v>0.0</v>
      </c>
      <c r="BB212" s="1141">
        <v>10.0</v>
      </c>
      <c r="BC212" s="1883">
        <v>12.0</v>
      </c>
      <c r="BD212" s="1141">
        <v>5.0</v>
      </c>
      <c r="BE212" s="1883">
        <v>7.0</v>
      </c>
      <c r="BF212" s="1141">
        <v>10.0</v>
      </c>
      <c r="BG212" s="1883">
        <v>12.0</v>
      </c>
      <c r="BH212" s="1141">
        <v>6.0</v>
      </c>
      <c r="BI212" s="1883">
        <v>8.0</v>
      </c>
      <c r="BJ212" s="1141">
        <v>8.0</v>
      </c>
      <c r="BK212" s="1883">
        <v>9.0</v>
      </c>
      <c r="BL212" s="1513"/>
      <c r="BM212" s="1138"/>
      <c r="BN212" s="2106"/>
      <c r="BO212" s="2107"/>
      <c r="BP212" s="2106">
        <f t="shared" si="155"/>
        <v>120</v>
      </c>
      <c r="BQ212" s="2107">
        <f t="shared" si="156"/>
        <v>145</v>
      </c>
      <c r="BR212" s="2108">
        <f>BQ212*C212</f>
        <v>14210</v>
      </c>
      <c r="BS212" s="864">
        <f t="shared" si="157"/>
        <v>11760</v>
      </c>
      <c r="BT212" s="1823"/>
    </row>
    <row r="213" ht="18.0" customHeight="1">
      <c r="A213" s="1565" t="s">
        <v>145</v>
      </c>
      <c r="B213" s="1567">
        <v>4238.0</v>
      </c>
      <c r="C213" s="1567">
        <v>226.0</v>
      </c>
      <c r="D213" s="1735" t="s">
        <v>77</v>
      </c>
      <c r="E213" s="733" t="str">
        <f>'Матрица 4 недели'!M132</f>
        <v>Тефтели куриные с овощами на пару</v>
      </c>
      <c r="F213" s="1137">
        <v>3.0</v>
      </c>
      <c r="G213" s="1121">
        <v>3.0</v>
      </c>
      <c r="H213" s="1126">
        <v>2.0</v>
      </c>
      <c r="I213" s="1121">
        <v>2.0</v>
      </c>
      <c r="J213" s="1126">
        <v>2.0</v>
      </c>
      <c r="K213" s="1160">
        <v>2.0</v>
      </c>
      <c r="L213" s="1161">
        <v>1.0</v>
      </c>
      <c r="M213" s="1162">
        <v>1.0</v>
      </c>
      <c r="N213" s="1126">
        <v>3.0</v>
      </c>
      <c r="O213" s="1121">
        <v>3.0</v>
      </c>
      <c r="P213" s="1126">
        <v>2.0</v>
      </c>
      <c r="Q213" s="1121">
        <v>2.0</v>
      </c>
      <c r="R213" s="1126">
        <v>0.0</v>
      </c>
      <c r="S213" s="1121">
        <v>0.0</v>
      </c>
      <c r="T213" s="1126">
        <v>3.0</v>
      </c>
      <c r="U213" s="1121">
        <v>3.0</v>
      </c>
      <c r="V213" s="1137">
        <v>2.0</v>
      </c>
      <c r="W213" s="1121">
        <v>2.0</v>
      </c>
      <c r="X213" s="1137">
        <v>2.0</v>
      </c>
      <c r="Y213" s="1121">
        <v>2.0</v>
      </c>
      <c r="Z213" s="1126"/>
      <c r="AA213" s="1121"/>
      <c r="AB213" s="1137">
        <v>0.0</v>
      </c>
      <c r="AC213" s="1121">
        <v>0.0</v>
      </c>
      <c r="AD213" s="1137">
        <v>3.0</v>
      </c>
      <c r="AE213" s="1121">
        <v>3.0</v>
      </c>
      <c r="AF213" s="1120">
        <v>2.0</v>
      </c>
      <c r="AG213" s="1121">
        <v>2.0</v>
      </c>
      <c r="AH213" s="1137">
        <v>3.0</v>
      </c>
      <c r="AI213" s="1121">
        <v>3.0</v>
      </c>
      <c r="AJ213" s="1120">
        <v>3.0</v>
      </c>
      <c r="AK213" s="1121">
        <v>3.0</v>
      </c>
      <c r="AL213" s="1126">
        <v>2.0</v>
      </c>
      <c r="AM213" s="1121">
        <v>2.0</v>
      </c>
      <c r="AN213" s="1120"/>
      <c r="AO213" s="1138"/>
      <c r="AP213" s="1126">
        <v>2.0</v>
      </c>
      <c r="AQ213" s="1138">
        <v>2.0</v>
      </c>
      <c r="AR213" s="1120">
        <v>3.0</v>
      </c>
      <c r="AS213" s="1121">
        <v>3.0</v>
      </c>
      <c r="AT213" s="1126">
        <v>3.0</v>
      </c>
      <c r="AU213" s="1121">
        <v>3.0</v>
      </c>
      <c r="AV213" s="1126">
        <v>0.0</v>
      </c>
      <c r="AW213" s="1121">
        <v>0.0</v>
      </c>
      <c r="AX213" s="1126">
        <v>3.0</v>
      </c>
      <c r="AY213" s="1121">
        <v>3.0</v>
      </c>
      <c r="AZ213" s="1126">
        <v>1.0</v>
      </c>
      <c r="BA213" s="1121">
        <v>1.0</v>
      </c>
      <c r="BB213" s="1126">
        <v>2.0</v>
      </c>
      <c r="BC213" s="1127">
        <v>2.0</v>
      </c>
      <c r="BD213" s="1126">
        <v>2.0</v>
      </c>
      <c r="BE213" s="1127">
        <v>2.0</v>
      </c>
      <c r="BF213" s="1126">
        <v>2.0</v>
      </c>
      <c r="BG213" s="1127">
        <v>2.0</v>
      </c>
      <c r="BH213" s="1126">
        <v>2.0</v>
      </c>
      <c r="BI213" s="1127">
        <v>2.0</v>
      </c>
      <c r="BJ213" s="1126">
        <v>2.0</v>
      </c>
      <c r="BK213" s="1127">
        <v>2.0</v>
      </c>
      <c r="BL213" s="1169"/>
      <c r="BM213" s="1653"/>
      <c r="BN213" s="2115"/>
      <c r="BO213" s="2116"/>
      <c r="BP213" s="2106">
        <f t="shared" si="155"/>
        <v>56</v>
      </c>
      <c r="BQ213" s="2107">
        <f t="shared" si="156"/>
        <v>55</v>
      </c>
      <c r="BR213" s="2108">
        <v>55.0</v>
      </c>
      <c r="BS213" s="864">
        <f t="shared" si="157"/>
        <v>12656</v>
      </c>
      <c r="BT213" s="1807"/>
    </row>
    <row r="214" ht="18.0" customHeight="1">
      <c r="A214" s="1565" t="s">
        <v>145</v>
      </c>
      <c r="B214" s="1567">
        <v>822.0</v>
      </c>
      <c r="C214" s="1734">
        <v>5.0</v>
      </c>
      <c r="D214" s="2145"/>
      <c r="E214" s="733" t="s">
        <v>136</v>
      </c>
      <c r="F214" s="1137">
        <v>6.0</v>
      </c>
      <c r="G214" s="1138">
        <v>6.0</v>
      </c>
      <c r="H214" s="1126">
        <v>4.0</v>
      </c>
      <c r="I214" s="1140">
        <v>4.0</v>
      </c>
      <c r="J214" s="1126"/>
      <c r="K214" s="1405"/>
      <c r="L214" s="1161">
        <v>4.0</v>
      </c>
      <c r="M214" s="1405">
        <v>4.0</v>
      </c>
      <c r="N214" s="1126">
        <v>3.0</v>
      </c>
      <c r="O214" s="1138">
        <v>3.0</v>
      </c>
      <c r="P214" s="1120">
        <v>3.0</v>
      </c>
      <c r="Q214" s="1142">
        <v>3.0</v>
      </c>
      <c r="R214" s="1126">
        <v>3.0</v>
      </c>
      <c r="S214" s="1121">
        <v>3.0</v>
      </c>
      <c r="T214" s="1137">
        <v>5.0</v>
      </c>
      <c r="U214" s="1121">
        <v>5.0</v>
      </c>
      <c r="V214" s="1137">
        <v>4.0</v>
      </c>
      <c r="W214" s="1121">
        <v>4.0</v>
      </c>
      <c r="X214" s="1137">
        <v>5.0</v>
      </c>
      <c r="Y214" s="1121">
        <v>5.0</v>
      </c>
      <c r="Z214" s="1126"/>
      <c r="AA214" s="1121"/>
      <c r="AB214" s="1120">
        <v>3.0</v>
      </c>
      <c r="AC214" s="1121">
        <v>3.0</v>
      </c>
      <c r="AD214" s="1120">
        <v>9.0</v>
      </c>
      <c r="AE214" s="1121">
        <v>9.0</v>
      </c>
      <c r="AF214" s="1137">
        <v>5.0</v>
      </c>
      <c r="AG214" s="1121">
        <v>5.0</v>
      </c>
      <c r="AH214" s="1120"/>
      <c r="AI214" s="1121"/>
      <c r="AJ214" s="1120">
        <v>3.0</v>
      </c>
      <c r="AK214" s="1121">
        <v>3.0</v>
      </c>
      <c r="AL214" s="1126">
        <v>3.0</v>
      </c>
      <c r="AM214" s="1121">
        <v>3.0</v>
      </c>
      <c r="AN214" s="1126"/>
      <c r="AO214" s="1121"/>
      <c r="AP214" s="1126"/>
      <c r="AQ214" s="1121"/>
      <c r="AR214" s="1126"/>
      <c r="AS214" s="1138"/>
      <c r="AT214" s="1126">
        <v>4.0</v>
      </c>
      <c r="AU214" s="1138">
        <v>4.0</v>
      </c>
      <c r="AV214" s="1126">
        <v>4.0</v>
      </c>
      <c r="AW214" s="1138">
        <v>4.0</v>
      </c>
      <c r="AX214" s="1126">
        <v>3.0</v>
      </c>
      <c r="AY214" s="1138">
        <v>3.0</v>
      </c>
      <c r="AZ214" s="1126">
        <v>20.0</v>
      </c>
      <c r="BA214" s="1138">
        <v>20.0</v>
      </c>
      <c r="BB214" s="1126"/>
      <c r="BC214" s="1127"/>
      <c r="BD214" s="1126"/>
      <c r="BE214" s="1127"/>
      <c r="BF214" s="1126">
        <v>4.0</v>
      </c>
      <c r="BG214" s="1127">
        <v>4.0</v>
      </c>
      <c r="BH214" s="1126">
        <v>5.0</v>
      </c>
      <c r="BI214" s="1127">
        <v>5.0</v>
      </c>
      <c r="BJ214" s="1126">
        <v>3.0</v>
      </c>
      <c r="BK214" s="1127">
        <v>3.0</v>
      </c>
      <c r="BL214" s="1134">
        <v>120.0</v>
      </c>
      <c r="BM214" s="1138">
        <v>120.0</v>
      </c>
      <c r="BN214" s="860" t="s">
        <v>1415</v>
      </c>
      <c r="BO214" s="2139" t="s">
        <v>1415</v>
      </c>
      <c r="BP214" s="2106">
        <f t="shared" si="155"/>
        <v>224</v>
      </c>
      <c r="BQ214" s="2132">
        <f t="shared" si="156"/>
        <v>223</v>
      </c>
      <c r="BR214" s="2108">
        <f t="shared" ref="BR214:BR219" si="161">BQ214*C214</f>
        <v>1115</v>
      </c>
      <c r="BS214" s="864">
        <f t="shared" si="157"/>
        <v>1120</v>
      </c>
      <c r="BT214" s="1807"/>
    </row>
    <row r="215" ht="18.0" customHeight="1">
      <c r="A215" s="1565"/>
      <c r="B215" s="1567"/>
      <c r="C215" s="1734"/>
      <c r="D215" s="1734"/>
      <c r="E215" s="1900"/>
      <c r="F215" s="1120"/>
      <c r="G215" s="1138"/>
      <c r="H215" s="1120"/>
      <c r="I215" s="1138"/>
      <c r="J215" s="1120"/>
      <c r="K215" s="1138"/>
      <c r="L215" s="1126"/>
      <c r="M215" s="1138"/>
      <c r="N215" s="1120"/>
      <c r="O215" s="1138"/>
      <c r="P215" s="1120"/>
      <c r="Q215" s="1138"/>
      <c r="R215" s="1120"/>
      <c r="S215" s="1138"/>
      <c r="T215" s="1120"/>
      <c r="U215" s="1138"/>
      <c r="V215" s="1120"/>
      <c r="W215" s="1138"/>
      <c r="X215" s="1120"/>
      <c r="Y215" s="1138"/>
      <c r="Z215" s="1126"/>
      <c r="AA215" s="1138"/>
      <c r="AB215" s="1120"/>
      <c r="AC215" s="1138"/>
      <c r="AD215" s="1120"/>
      <c r="AE215" s="1138"/>
      <c r="AF215" s="1120"/>
      <c r="AG215" s="1138"/>
      <c r="AH215" s="1120"/>
      <c r="AI215" s="1138"/>
      <c r="AJ215" s="1120"/>
      <c r="AK215" s="1138"/>
      <c r="AL215" s="1120"/>
      <c r="AM215" s="1138"/>
      <c r="AN215" s="1120"/>
      <c r="AO215" s="1138"/>
      <c r="AP215" s="1120"/>
      <c r="AQ215" s="1138"/>
      <c r="AR215" s="1120"/>
      <c r="AS215" s="1138"/>
      <c r="AT215" s="1126"/>
      <c r="AU215" s="1138"/>
      <c r="AV215" s="1126"/>
      <c r="AW215" s="1138"/>
      <c r="AX215" s="1126"/>
      <c r="AY215" s="1138"/>
      <c r="AZ215" s="1126"/>
      <c r="BA215" s="1138"/>
      <c r="BB215" s="1126"/>
      <c r="BC215" s="1127"/>
      <c r="BD215" s="1126"/>
      <c r="BE215" s="1127"/>
      <c r="BF215" s="1126"/>
      <c r="BG215" s="1127"/>
      <c r="BH215" s="1126"/>
      <c r="BI215" s="1127"/>
      <c r="BJ215" s="1126"/>
      <c r="BK215" s="1127"/>
      <c r="BL215" s="1134"/>
      <c r="BM215" s="1132"/>
      <c r="BN215" s="2106"/>
      <c r="BO215" s="2107"/>
      <c r="BP215" s="2106">
        <f t="shared" si="155"/>
        <v>1</v>
      </c>
      <c r="BQ215" s="2107">
        <f t="shared" si="156"/>
        <v>0</v>
      </c>
      <c r="BR215" s="2108">
        <f t="shared" si="161"/>
        <v>0</v>
      </c>
      <c r="BS215" s="864">
        <f t="shared" si="157"/>
        <v>0</v>
      </c>
      <c r="BT215" s="1807"/>
    </row>
    <row r="216" ht="18.0" customHeight="1">
      <c r="A216" s="1565"/>
      <c r="B216" s="1567"/>
      <c r="C216" s="1734"/>
      <c r="D216" s="1734"/>
      <c r="E216" s="2152"/>
      <c r="F216" s="1120"/>
      <c r="G216" s="1121"/>
      <c r="H216" s="1120"/>
      <c r="I216" s="1121"/>
      <c r="J216" s="1120"/>
      <c r="K216" s="1138"/>
      <c r="L216" s="1126"/>
      <c r="M216" s="1138"/>
      <c r="N216" s="1120"/>
      <c r="O216" s="1138"/>
      <c r="P216" s="1120"/>
      <c r="Q216" s="1138"/>
      <c r="R216" s="1120"/>
      <c r="S216" s="1138"/>
      <c r="T216" s="1120"/>
      <c r="U216" s="1138"/>
      <c r="V216" s="1120"/>
      <c r="W216" s="1138"/>
      <c r="X216" s="1120"/>
      <c r="Y216" s="1138"/>
      <c r="Z216" s="1126"/>
      <c r="AA216" s="1138"/>
      <c r="AB216" s="1120"/>
      <c r="AC216" s="1138"/>
      <c r="AD216" s="1120"/>
      <c r="AE216" s="1138"/>
      <c r="AF216" s="1120"/>
      <c r="AG216" s="1138"/>
      <c r="AH216" s="1120"/>
      <c r="AI216" s="1138"/>
      <c r="AJ216" s="1120"/>
      <c r="AK216" s="1138"/>
      <c r="AL216" s="1120"/>
      <c r="AM216" s="1138"/>
      <c r="AN216" s="1120"/>
      <c r="AO216" s="1138"/>
      <c r="AP216" s="1120"/>
      <c r="AQ216" s="1138"/>
      <c r="AR216" s="1120"/>
      <c r="AS216" s="1305"/>
      <c r="AT216" s="1141"/>
      <c r="AU216" s="1305"/>
      <c r="AV216" s="1141"/>
      <c r="AW216" s="1305"/>
      <c r="AX216" s="1141"/>
      <c r="AY216" s="1305"/>
      <c r="AZ216" s="1141"/>
      <c r="BA216" s="1138"/>
      <c r="BB216" s="1126"/>
      <c r="BC216" s="1127"/>
      <c r="BD216" s="1126"/>
      <c r="BE216" s="1127"/>
      <c r="BF216" s="1126"/>
      <c r="BG216" s="1127"/>
      <c r="BH216" s="1126"/>
      <c r="BI216" s="1127"/>
      <c r="BJ216" s="1126"/>
      <c r="BK216" s="1127"/>
      <c r="BL216" s="1134"/>
      <c r="BM216" s="1132"/>
      <c r="BN216" s="860">
        <v>15.0</v>
      </c>
      <c r="BO216" s="2107"/>
      <c r="BP216" s="2106">
        <f t="shared" si="155"/>
        <v>1</v>
      </c>
      <c r="BQ216" s="2107">
        <f t="shared" si="156"/>
        <v>0</v>
      </c>
      <c r="BR216" s="2108">
        <f t="shared" si="161"/>
        <v>0</v>
      </c>
      <c r="BS216" s="864">
        <f t="shared" si="157"/>
        <v>0</v>
      </c>
      <c r="BT216" s="1807"/>
    </row>
    <row r="217" ht="18.0" customHeight="1">
      <c r="A217" s="1565"/>
      <c r="B217" s="1567"/>
      <c r="C217" s="2154"/>
      <c r="D217" s="2154"/>
      <c r="E217" s="2156"/>
      <c r="F217" s="1126"/>
      <c r="G217" s="1138"/>
      <c r="H217" s="1126"/>
      <c r="I217" s="1138"/>
      <c r="J217" s="1126"/>
      <c r="K217" s="1138"/>
      <c r="L217" s="1126"/>
      <c r="M217" s="1138"/>
      <c r="N217" s="1126"/>
      <c r="O217" s="1138"/>
      <c r="P217" s="1126"/>
      <c r="Q217" s="1138"/>
      <c r="R217" s="1120"/>
      <c r="S217" s="1121"/>
      <c r="T217" s="1137"/>
      <c r="U217" s="1121"/>
      <c r="V217" s="1137"/>
      <c r="W217" s="1121"/>
      <c r="X217" s="1137"/>
      <c r="Y217" s="1121"/>
      <c r="Z217" s="1126"/>
      <c r="AA217" s="1138"/>
      <c r="AB217" s="1120"/>
      <c r="AC217" s="1138"/>
      <c r="AD217" s="1120"/>
      <c r="AE217" s="1138"/>
      <c r="AF217" s="1120"/>
      <c r="AG217" s="1138"/>
      <c r="AH217" s="1120"/>
      <c r="AI217" s="1138"/>
      <c r="AJ217" s="1120"/>
      <c r="AK217" s="1138"/>
      <c r="AL217" s="1126"/>
      <c r="AM217" s="1138"/>
      <c r="AN217" s="1120"/>
      <c r="AO217" s="1127"/>
      <c r="AP217" s="1120"/>
      <c r="AQ217" s="1138"/>
      <c r="AR217" s="1120"/>
      <c r="AS217" s="1131"/>
      <c r="AT217" s="1137"/>
      <c r="AU217" s="1138"/>
      <c r="AV217" s="1126"/>
      <c r="AW217" s="1138"/>
      <c r="AX217" s="1126"/>
      <c r="AY217" s="1138"/>
      <c r="AZ217" s="1126"/>
      <c r="BA217" s="1138"/>
      <c r="BB217" s="1126"/>
      <c r="BC217" s="1127"/>
      <c r="BD217" s="1126"/>
      <c r="BE217" s="1127"/>
      <c r="BF217" s="1126"/>
      <c r="BG217" s="1127"/>
      <c r="BH217" s="1126"/>
      <c r="BI217" s="1127"/>
      <c r="BJ217" s="1126"/>
      <c r="BK217" s="1127"/>
      <c r="BL217" s="1134"/>
      <c r="BM217" s="2157"/>
      <c r="BN217" s="860">
        <v>15.0</v>
      </c>
      <c r="BO217" s="2107"/>
      <c r="BP217" s="2106">
        <f t="shared" si="155"/>
        <v>1</v>
      </c>
      <c r="BQ217" s="2107">
        <f t="shared" si="156"/>
        <v>0</v>
      </c>
      <c r="BR217" s="2108">
        <f t="shared" si="161"/>
        <v>0</v>
      </c>
      <c r="BS217" s="864">
        <f t="shared" si="157"/>
        <v>0</v>
      </c>
      <c r="BT217" s="1807"/>
    </row>
    <row r="218" ht="18.0" customHeight="1">
      <c r="A218" s="1708"/>
      <c r="B218" s="2009"/>
      <c r="C218" s="1734"/>
      <c r="D218" s="1734"/>
      <c r="E218" s="1172"/>
      <c r="F218" s="1120"/>
      <c r="G218" s="1138"/>
      <c r="H218" s="1120"/>
      <c r="I218" s="1138"/>
      <c r="J218" s="1120"/>
      <c r="K218" s="1138"/>
      <c r="L218" s="1126"/>
      <c r="M218" s="1138"/>
      <c r="N218" s="1120"/>
      <c r="O218" s="1138"/>
      <c r="P218" s="1120"/>
      <c r="Q218" s="1138"/>
      <c r="R218" s="1120"/>
      <c r="S218" s="1138"/>
      <c r="T218" s="1120"/>
      <c r="U218" s="1138"/>
      <c r="V218" s="1120"/>
      <c r="W218" s="1138"/>
      <c r="X218" s="1120"/>
      <c r="Y218" s="1138"/>
      <c r="Z218" s="1120"/>
      <c r="AA218" s="1138"/>
      <c r="AB218" s="1120"/>
      <c r="AC218" s="1138"/>
      <c r="AD218" s="1120"/>
      <c r="AE218" s="1138"/>
      <c r="AF218" s="1120"/>
      <c r="AG218" s="1138"/>
      <c r="AH218" s="1120"/>
      <c r="AI218" s="1138"/>
      <c r="AJ218" s="1120"/>
      <c r="AK218" s="1138"/>
      <c r="AL218" s="1120"/>
      <c r="AM218" s="1138"/>
      <c r="AN218" s="1120"/>
      <c r="AO218" s="1138"/>
      <c r="AP218" s="1120"/>
      <c r="AQ218" s="1138"/>
      <c r="AR218" s="1120"/>
      <c r="AS218" s="1138"/>
      <c r="AT218" s="1126"/>
      <c r="AU218" s="1138"/>
      <c r="AV218" s="1126"/>
      <c r="AW218" s="1138"/>
      <c r="AX218" s="1126"/>
      <c r="AY218" s="1138"/>
      <c r="AZ218" s="1126"/>
      <c r="BA218" s="1138"/>
      <c r="BB218" s="1126"/>
      <c r="BC218" s="1127"/>
      <c r="BD218" s="1126"/>
      <c r="BE218" s="1127"/>
      <c r="BF218" s="1126"/>
      <c r="BG218" s="1127"/>
      <c r="BH218" s="1126"/>
      <c r="BI218" s="1127"/>
      <c r="BJ218" s="1126"/>
      <c r="BK218" s="1127"/>
      <c r="BL218" s="1134"/>
      <c r="BM218" s="1132"/>
      <c r="BN218" s="860">
        <v>15.0</v>
      </c>
      <c r="BO218" s="2107"/>
      <c r="BP218" s="2106">
        <f t="shared" si="155"/>
        <v>1</v>
      </c>
      <c r="BQ218" s="2107">
        <f t="shared" si="156"/>
        <v>0</v>
      </c>
      <c r="BR218" s="2108">
        <f t="shared" si="161"/>
        <v>0</v>
      </c>
      <c r="BS218" s="864">
        <f t="shared" si="157"/>
        <v>0</v>
      </c>
      <c r="BT218" s="1807"/>
    </row>
    <row r="219" ht="18.0" customHeight="1">
      <c r="A219" s="1708"/>
      <c r="B219" s="2009"/>
      <c r="C219" s="1734"/>
      <c r="D219" s="1734"/>
      <c r="E219" s="1172"/>
      <c r="F219" s="1120"/>
      <c r="G219" s="1138"/>
      <c r="H219" s="1120"/>
      <c r="I219" s="1138"/>
      <c r="J219" s="1120"/>
      <c r="K219" s="1138"/>
      <c r="L219" s="1126"/>
      <c r="M219" s="1138"/>
      <c r="N219" s="1120"/>
      <c r="O219" s="1138"/>
      <c r="P219" s="1120"/>
      <c r="Q219" s="1138"/>
      <c r="R219" s="1120"/>
      <c r="S219" s="1138"/>
      <c r="T219" s="1120"/>
      <c r="U219" s="1138"/>
      <c r="V219" s="1120"/>
      <c r="W219" s="1138"/>
      <c r="X219" s="1120"/>
      <c r="Y219" s="1138"/>
      <c r="Z219" s="1120"/>
      <c r="AA219" s="1138"/>
      <c r="AB219" s="1120"/>
      <c r="AC219" s="1138"/>
      <c r="AD219" s="1120"/>
      <c r="AE219" s="1138"/>
      <c r="AF219" s="1120"/>
      <c r="AG219" s="1138"/>
      <c r="AH219" s="1120"/>
      <c r="AI219" s="1138"/>
      <c r="AJ219" s="1120"/>
      <c r="AK219" s="1138"/>
      <c r="AL219" s="1120"/>
      <c r="AM219" s="1138"/>
      <c r="AN219" s="1120"/>
      <c r="AO219" s="1138"/>
      <c r="AP219" s="1120"/>
      <c r="AQ219" s="1138"/>
      <c r="AR219" s="1120"/>
      <c r="AS219" s="1138"/>
      <c r="AT219" s="1126"/>
      <c r="AU219" s="1138"/>
      <c r="AV219" s="1126"/>
      <c r="AW219" s="1138"/>
      <c r="AX219" s="1126"/>
      <c r="AY219" s="1138"/>
      <c r="AZ219" s="1126"/>
      <c r="BA219" s="1138"/>
      <c r="BB219" s="1126"/>
      <c r="BC219" s="1127"/>
      <c r="BD219" s="1126"/>
      <c r="BE219" s="1127"/>
      <c r="BF219" s="1126"/>
      <c r="BG219" s="1127"/>
      <c r="BH219" s="1126"/>
      <c r="BI219" s="1127"/>
      <c r="BJ219" s="1126"/>
      <c r="BK219" s="1127"/>
      <c r="BL219" s="1134"/>
      <c r="BM219" s="1132"/>
      <c r="BN219" s="860">
        <v>15.0</v>
      </c>
      <c r="BO219" s="2107"/>
      <c r="BP219" s="2106">
        <f t="shared" si="155"/>
        <v>1</v>
      </c>
      <c r="BQ219" s="2107">
        <f t="shared" si="156"/>
        <v>0</v>
      </c>
      <c r="BR219" s="2108">
        <f t="shared" si="161"/>
        <v>0</v>
      </c>
      <c r="BS219" s="864">
        <f t="shared" si="157"/>
        <v>0</v>
      </c>
      <c r="BT219" s="1610" t="s">
        <v>3104</v>
      </c>
    </row>
    <row r="220" ht="15.75" customHeight="1">
      <c r="A220" s="1679"/>
      <c r="B220" s="1796"/>
      <c r="C220" s="1796"/>
      <c r="D220" s="1796"/>
      <c r="E220" s="1922"/>
      <c r="F220" s="908"/>
      <c r="G220" s="908"/>
      <c r="H220" s="908"/>
      <c r="I220" s="908"/>
      <c r="J220" s="908"/>
      <c r="K220" s="908"/>
      <c r="L220" s="908"/>
      <c r="M220" s="908"/>
      <c r="N220" s="908"/>
      <c r="O220" s="908"/>
      <c r="P220" s="908"/>
      <c r="Q220" s="908"/>
      <c r="R220" s="908"/>
      <c r="S220" s="908"/>
      <c r="T220" s="908"/>
      <c r="U220" s="908"/>
      <c r="V220" s="908"/>
      <c r="W220" s="908"/>
      <c r="X220" s="908"/>
      <c r="Y220" s="908"/>
      <c r="Z220" s="908"/>
      <c r="AA220" s="908"/>
      <c r="AB220" s="908"/>
      <c r="AC220" s="908"/>
      <c r="AD220" s="908"/>
      <c r="AE220" s="908"/>
      <c r="AF220" s="908"/>
      <c r="AG220" s="908"/>
      <c r="AH220" s="908"/>
      <c r="AI220" s="908"/>
      <c r="AJ220" s="908"/>
      <c r="AK220" s="908"/>
      <c r="AL220" s="908"/>
      <c r="AM220" s="908"/>
      <c r="AN220" s="908"/>
      <c r="AO220" s="908"/>
      <c r="AP220" s="908"/>
      <c r="AQ220" s="908"/>
      <c r="AR220" s="908"/>
      <c r="AS220" s="908"/>
      <c r="AT220" s="908"/>
      <c r="AU220" s="908"/>
      <c r="AV220" s="908"/>
      <c r="AW220" s="908"/>
      <c r="AX220" s="1317"/>
      <c r="AY220" s="908"/>
      <c r="AZ220" s="1317"/>
      <c r="BA220" s="908"/>
      <c r="BB220" s="908"/>
      <c r="BC220" s="908"/>
      <c r="BD220" s="908"/>
      <c r="BE220" s="908"/>
      <c r="BF220" s="908"/>
      <c r="BG220" s="908"/>
      <c r="BH220" s="908"/>
      <c r="BI220" s="908"/>
      <c r="BJ220" s="1317"/>
      <c r="BK220" s="908"/>
      <c r="BL220" s="2023"/>
      <c r="BM220" s="2023" t="s">
        <v>3123</v>
      </c>
      <c r="BN220" s="2023"/>
      <c r="BO220" s="2023"/>
      <c r="BP220" s="2158">
        <f t="shared" ref="BP220:BS220" si="162">SUM(BP192:BP219)</f>
        <v>2422</v>
      </c>
      <c r="BQ220" s="2026">
        <f t="shared" si="162"/>
        <v>2449</v>
      </c>
      <c r="BR220" s="2159">
        <f t="shared" si="162"/>
        <v>164322</v>
      </c>
      <c r="BS220" s="2159">
        <f t="shared" si="162"/>
        <v>324826</v>
      </c>
      <c r="BT220" s="1678">
        <f>BR220-BS220</f>
        <v>-160504</v>
      </c>
      <c r="BU220" s="1807"/>
    </row>
    <row r="221" ht="15.75" customHeight="1">
      <c r="A221" s="1679"/>
      <c r="B221" s="1796"/>
      <c r="C221" s="1796"/>
      <c r="D221" s="1796"/>
      <c r="E221" s="2029"/>
      <c r="F221" s="1921"/>
      <c r="G221" s="1920"/>
      <c r="H221" s="1921"/>
      <c r="I221" s="1920"/>
      <c r="J221" s="1921"/>
      <c r="K221" s="1920"/>
      <c r="L221" s="2160"/>
      <c r="M221" s="1920"/>
      <c r="N221" s="2160"/>
      <c r="O221" s="1920"/>
      <c r="P221" s="1921"/>
      <c r="Q221" s="1920"/>
      <c r="R221" s="1921"/>
      <c r="S221" s="1920"/>
      <c r="T221" s="2160"/>
      <c r="U221" s="1920"/>
      <c r="V221" s="2160"/>
      <c r="W221" s="1920"/>
      <c r="X221" s="1921"/>
      <c r="Y221" s="1920"/>
      <c r="Z221" s="2160"/>
      <c r="AA221" s="1920"/>
      <c r="AB221" s="2160"/>
      <c r="AC221" s="1920"/>
      <c r="AD221" s="2160"/>
      <c r="AE221" s="1920"/>
      <c r="AF221" s="2160"/>
      <c r="AG221" s="1920"/>
      <c r="AH221" s="2160"/>
      <c r="AI221" s="1920"/>
      <c r="AJ221" s="1921"/>
      <c r="AK221" s="1920"/>
      <c r="AL221" s="1921"/>
      <c r="AM221" s="1920"/>
      <c r="AN221" s="1921"/>
      <c r="AO221" s="1921"/>
      <c r="AP221" s="1921"/>
      <c r="AQ221" s="1921"/>
      <c r="AR221" s="1921"/>
      <c r="AS221" s="1920"/>
      <c r="AT221" s="1921"/>
      <c r="AU221" s="1920"/>
      <c r="AV221" s="1921"/>
      <c r="AW221" s="1920"/>
      <c r="AX221" s="1923"/>
      <c r="AY221" s="1920"/>
      <c r="AZ221" s="1923"/>
      <c r="BA221" s="1920"/>
      <c r="BB221" s="1921"/>
      <c r="BC221" s="1921"/>
      <c r="BD221" s="1921"/>
      <c r="BE221" s="1921"/>
      <c r="BF221" s="1921"/>
      <c r="BG221" s="1921"/>
      <c r="BH221" s="1921"/>
      <c r="BI221" s="1921"/>
      <c r="BJ221" s="1923"/>
      <c r="BK221" s="1921"/>
      <c r="BL221" s="1920"/>
      <c r="BM221" s="1921"/>
      <c r="BN221" s="870"/>
      <c r="BO221" s="870"/>
      <c r="BP221" s="870"/>
      <c r="BQ221" s="2031"/>
      <c r="BR221" s="2031"/>
      <c r="BS221" s="2030"/>
      <c r="BT221" s="870"/>
      <c r="BU221" s="541"/>
    </row>
    <row r="222" ht="15.75" customHeight="1">
      <c r="A222" s="1679"/>
      <c r="B222" s="1796"/>
      <c r="C222" s="1796"/>
      <c r="D222" s="1796"/>
      <c r="E222" s="1671"/>
      <c r="F222" s="1921"/>
      <c r="G222" s="1920"/>
      <c r="H222" s="1921"/>
      <c r="I222" s="1920"/>
      <c r="J222" s="1921"/>
      <c r="K222" s="1920"/>
      <c r="L222" s="1921"/>
      <c r="M222" s="1920"/>
      <c r="N222" s="1921"/>
      <c r="O222" s="1920"/>
      <c r="P222" s="1921"/>
      <c r="Q222" s="1920"/>
      <c r="R222" s="1921"/>
      <c r="S222" s="1920"/>
      <c r="T222" s="1921"/>
      <c r="U222" s="1920"/>
      <c r="V222" s="1921"/>
      <c r="W222" s="1920"/>
      <c r="X222" s="1921"/>
      <c r="Y222" s="1920"/>
      <c r="Z222" s="1921"/>
      <c r="AA222" s="1920"/>
      <c r="AB222" s="1921"/>
      <c r="AC222" s="1920"/>
      <c r="AD222" s="1921"/>
      <c r="AE222" s="1920"/>
      <c r="AF222" s="1921"/>
      <c r="AG222" s="1920"/>
      <c r="AH222" s="1921"/>
      <c r="AI222" s="1920"/>
      <c r="AJ222" s="1921"/>
      <c r="AK222" s="1920"/>
      <c r="AL222" s="1921"/>
      <c r="AM222" s="1920"/>
      <c r="AN222" s="1921"/>
      <c r="AO222" s="1921"/>
      <c r="AP222" s="1921"/>
      <c r="AQ222" s="1921"/>
      <c r="AR222" s="1921"/>
      <c r="AS222" s="1920"/>
      <c r="AT222" s="1921"/>
      <c r="AU222" s="1920"/>
      <c r="AV222" s="1921"/>
      <c r="AW222" s="1920"/>
      <c r="AX222" s="1923"/>
      <c r="AY222" s="1920"/>
      <c r="AZ222" s="1923"/>
      <c r="BA222" s="1920"/>
      <c r="BB222" s="1921"/>
      <c r="BC222" s="1921"/>
      <c r="BD222" s="1921"/>
      <c r="BE222" s="1921"/>
      <c r="BF222" s="1921"/>
      <c r="BG222" s="1921"/>
      <c r="BH222" s="1921"/>
      <c r="BI222" s="1921"/>
      <c r="BJ222" s="1923"/>
      <c r="BK222" s="1921"/>
      <c r="BL222" s="1920"/>
      <c r="BM222" s="1921"/>
      <c r="BN222" s="726"/>
      <c r="BO222" s="726"/>
      <c r="BP222" s="726"/>
      <c r="BQ222" s="629"/>
      <c r="BR222" s="629"/>
      <c r="BS222" s="541"/>
      <c r="BT222" s="684"/>
      <c r="BU222" s="541"/>
    </row>
    <row r="223" ht="15.75" customHeight="1">
      <c r="A223" s="1805" t="s">
        <v>1354</v>
      </c>
      <c r="C223" s="1806">
        <v>46246.0</v>
      </c>
      <c r="D223" s="532"/>
      <c r="E223" s="908" t="s">
        <v>3106</v>
      </c>
      <c r="F223" s="1921"/>
      <c r="G223" s="1921"/>
      <c r="H223" s="1921"/>
      <c r="I223" s="1921"/>
      <c r="J223" s="1921" t="s">
        <v>1356</v>
      </c>
      <c r="K223" s="1921"/>
      <c r="L223" s="1921"/>
      <c r="M223" s="1921"/>
      <c r="N223" s="1921"/>
      <c r="O223" s="1921"/>
      <c r="P223" s="1921"/>
      <c r="Q223" s="1921"/>
      <c r="R223" s="1921"/>
      <c r="S223" s="1921"/>
      <c r="T223" s="1921"/>
      <c r="U223" s="1921"/>
      <c r="V223" s="1921"/>
      <c r="W223" s="1921"/>
      <c r="X223" s="1921"/>
      <c r="Y223" s="1921"/>
      <c r="Z223" s="1921"/>
      <c r="AA223" s="1921"/>
      <c r="AB223" s="1921"/>
      <c r="AC223" s="1921"/>
      <c r="AD223" s="1921"/>
      <c r="AE223" s="1921"/>
      <c r="AF223" s="1921"/>
      <c r="AG223" s="1921"/>
      <c r="AH223" s="1921"/>
      <c r="AI223" s="1921"/>
      <c r="AJ223" s="1921"/>
      <c r="AK223" s="1921"/>
      <c r="AL223" s="1921"/>
      <c r="AM223" s="1921"/>
      <c r="AN223" s="1921"/>
      <c r="AO223" s="1921"/>
      <c r="AP223" s="1921"/>
      <c r="AQ223" s="1921"/>
      <c r="AR223" s="1921"/>
      <c r="AS223" s="1921"/>
      <c r="AT223" s="1921"/>
      <c r="AU223" s="1921"/>
      <c r="AV223" s="1921"/>
      <c r="AW223" s="1921"/>
      <c r="AX223" s="1923"/>
      <c r="AY223" s="1921"/>
      <c r="AZ223" s="1923"/>
      <c r="BA223" s="1921"/>
      <c r="BB223" s="1921"/>
      <c r="BC223" s="1921"/>
      <c r="BD223" s="1921"/>
      <c r="BE223" s="1921"/>
      <c r="BF223" s="1921"/>
      <c r="BG223" s="1921"/>
      <c r="BH223" s="1921"/>
      <c r="BI223" s="1921"/>
      <c r="BJ223" s="1923"/>
      <c r="BK223" s="1921"/>
      <c r="BL223" s="1921"/>
      <c r="BM223" s="1921"/>
      <c r="BN223" s="1545"/>
      <c r="BO223" s="1545"/>
      <c r="BP223" s="1545"/>
      <c r="BQ223" s="1691"/>
      <c r="BR223" s="1691"/>
      <c r="BS223" s="2162"/>
      <c r="BT223" s="1545"/>
      <c r="BU223" s="2162"/>
    </row>
    <row r="224" ht="21.0" customHeight="1">
      <c r="A224" s="2033" t="s">
        <v>3069</v>
      </c>
      <c r="B224" s="1557" t="s">
        <v>1283</v>
      </c>
      <c r="C224" s="1557" t="s">
        <v>19</v>
      </c>
      <c r="D224" s="1734" t="s">
        <v>473</v>
      </c>
      <c r="E224" s="1559" t="s">
        <v>471</v>
      </c>
      <c r="F224" s="1842" t="s">
        <v>1357</v>
      </c>
      <c r="G224" s="69"/>
      <c r="H224" s="1842" t="s">
        <v>1287</v>
      </c>
      <c r="I224" s="69"/>
      <c r="J224" s="1842" t="s">
        <v>1358</v>
      </c>
      <c r="K224" s="69"/>
      <c r="L224" s="1842" t="s">
        <v>1359</v>
      </c>
      <c r="M224" s="69"/>
      <c r="N224" s="1842" t="s">
        <v>1360</v>
      </c>
      <c r="O224" s="69"/>
      <c r="P224" s="1842" t="s">
        <v>1361</v>
      </c>
      <c r="Q224" s="69"/>
      <c r="R224" s="1842" t="s">
        <v>1362</v>
      </c>
      <c r="S224" s="69"/>
      <c r="T224" s="1842" t="s">
        <v>1299</v>
      </c>
      <c r="U224" s="69"/>
      <c r="V224" s="1842" t="s">
        <v>1301</v>
      </c>
      <c r="W224" s="69"/>
      <c r="X224" s="1842" t="s">
        <v>1363</v>
      </c>
      <c r="Y224" s="69"/>
      <c r="Z224" s="1842" t="s">
        <v>1305</v>
      </c>
      <c r="AA224" s="69"/>
      <c r="AB224" s="1842" t="s">
        <v>1307</v>
      </c>
      <c r="AC224" s="69"/>
      <c r="AD224" s="1842" t="s">
        <v>1309</v>
      </c>
      <c r="AE224" s="69"/>
      <c r="AF224" s="1842" t="s">
        <v>1311</v>
      </c>
      <c r="AG224" s="69"/>
      <c r="AH224" s="1842" t="s">
        <v>1313</v>
      </c>
      <c r="AI224" s="69"/>
      <c r="AJ224" s="1842" t="s">
        <v>1315</v>
      </c>
      <c r="AK224" s="69"/>
      <c r="AL224" s="1842" t="s">
        <v>1317</v>
      </c>
      <c r="AM224" s="69"/>
      <c r="AN224" s="1842" t="s">
        <v>1319</v>
      </c>
      <c r="AO224" s="69"/>
      <c r="AP224" s="1842" t="s">
        <v>1321</v>
      </c>
      <c r="AQ224" s="69"/>
      <c r="AR224" s="1842" t="s">
        <v>1323</v>
      </c>
      <c r="AS224" s="69"/>
      <c r="AT224" s="1842" t="s">
        <v>1325</v>
      </c>
      <c r="AU224" s="69"/>
      <c r="AV224" s="1842" t="s">
        <v>1327</v>
      </c>
      <c r="AW224" s="69"/>
      <c r="AX224" s="2034" t="s">
        <v>3076</v>
      </c>
      <c r="AY224" s="69"/>
      <c r="AZ224" s="2034" t="s">
        <v>3078</v>
      </c>
      <c r="BA224" s="69"/>
      <c r="BB224" s="2034" t="s">
        <v>3080</v>
      </c>
      <c r="BC224" s="69"/>
      <c r="BD224" s="2034" t="s">
        <v>3082</v>
      </c>
      <c r="BE224" s="69"/>
      <c r="BF224" s="2034" t="s">
        <v>3084</v>
      </c>
      <c r="BG224" s="69"/>
      <c r="BH224" s="2034" t="s">
        <v>3086</v>
      </c>
      <c r="BI224" s="69"/>
      <c r="BJ224" s="2034" t="s">
        <v>3088</v>
      </c>
      <c r="BK224" s="69"/>
      <c r="BL224" s="2034" t="s">
        <v>297</v>
      </c>
      <c r="BM224" s="69"/>
      <c r="BN224" s="2034" t="s">
        <v>3090</v>
      </c>
      <c r="BO224" s="69"/>
      <c r="BP224" s="1842" t="s">
        <v>5</v>
      </c>
      <c r="BQ224" s="69"/>
      <c r="BR224" s="1840"/>
      <c r="BS224" s="2035"/>
      <c r="BT224" s="2163"/>
      <c r="BU224" s="2035"/>
    </row>
    <row r="225" ht="19.5" customHeight="1">
      <c r="A225" s="1698" t="str">
        <f t="shared" ref="A225:A241" si="163">A192</f>
        <v>Да</v>
      </c>
      <c r="B225" s="1978">
        <v>3641.0</v>
      </c>
      <c r="C225" s="1734">
        <v>98.0</v>
      </c>
      <c r="D225" s="1817"/>
      <c r="E225" s="1702" t="str">
        <f t="shared" ref="E225:E248" si="164">E192</f>
        <v>Панкейки с домашним вареньем</v>
      </c>
      <c r="F225" s="2019">
        <f t="shared" ref="F225:F248" si="165">G192</f>
        <v>13</v>
      </c>
      <c r="G225" s="69"/>
      <c r="H225" s="2019">
        <f t="shared" ref="H225:H248" si="166">I192</f>
        <v>4</v>
      </c>
      <c r="I225" s="69"/>
      <c r="J225" s="2019">
        <f t="shared" ref="J225:J248" si="167">K192</f>
        <v>4</v>
      </c>
      <c r="K225" s="69"/>
      <c r="L225" s="2019">
        <f t="shared" ref="L225:L248" si="168">M192</f>
        <v>4</v>
      </c>
      <c r="M225" s="69"/>
      <c r="N225" s="2019">
        <f t="shared" ref="N225:N248" si="169">O192</f>
        <v>11</v>
      </c>
      <c r="O225" s="69"/>
      <c r="P225" s="2019">
        <f t="shared" ref="P225:P248" si="170">Q192</f>
        <v>3</v>
      </c>
      <c r="Q225" s="69"/>
      <c r="R225" s="2019">
        <f t="shared" ref="R225:R248" si="171">S192</f>
        <v>0</v>
      </c>
      <c r="S225" s="69"/>
      <c r="T225" s="2019">
        <f t="shared" ref="T225:T248" si="172">U192</f>
        <v>4</v>
      </c>
      <c r="U225" s="69"/>
      <c r="V225" s="2019">
        <f t="shared" ref="V225:V248" si="173">W192</f>
        <v>7</v>
      </c>
      <c r="W225" s="69"/>
      <c r="X225" s="2019">
        <f t="shared" ref="X225:X248" si="174">Y192</f>
        <v>3</v>
      </c>
      <c r="Y225" s="69"/>
      <c r="Z225" s="2019" t="str">
        <f t="shared" ref="Z225:Z248" si="175">AA192</f>
        <v/>
      </c>
      <c r="AA225" s="69"/>
      <c r="AB225" s="2019">
        <f t="shared" ref="AB225:AB248" si="176">AC192</f>
        <v>2</v>
      </c>
      <c r="AC225" s="69"/>
      <c r="AD225" s="2019">
        <f t="shared" ref="AD225:AD248" si="177">AE192</f>
        <v>5</v>
      </c>
      <c r="AE225" s="69"/>
      <c r="AF225" s="2019">
        <f t="shared" ref="AF225:AF248" si="178">AG192</f>
        <v>2</v>
      </c>
      <c r="AG225" s="69"/>
      <c r="AH225" s="2019">
        <f t="shared" ref="AH225:AH248" si="179">AI192</f>
        <v>1</v>
      </c>
      <c r="AI225" s="69"/>
      <c r="AJ225" s="2019">
        <f t="shared" ref="AJ225:AJ248" si="180">AK192</f>
        <v>3</v>
      </c>
      <c r="AK225" s="69"/>
      <c r="AL225" s="2019">
        <f t="shared" ref="AL225:AL248" si="181">AM192</f>
        <v>3</v>
      </c>
      <c r="AM225" s="69"/>
      <c r="AN225" s="2019" t="str">
        <f t="shared" ref="AN225:AN248" si="182">AO192</f>
        <v/>
      </c>
      <c r="AO225" s="69"/>
      <c r="AP225" s="2019">
        <f t="shared" ref="AP225:AP248" si="183">AQ192</f>
        <v>1</v>
      </c>
      <c r="AQ225" s="69"/>
      <c r="AR225" s="2019">
        <f t="shared" ref="AR225:AR248" si="184">AS192</f>
        <v>8</v>
      </c>
      <c r="AS225" s="69"/>
      <c r="AT225" s="2019">
        <f t="shared" ref="AT225:AT248" si="185">AU192</f>
        <v>6</v>
      </c>
      <c r="AU225" s="69"/>
      <c r="AV225" s="2019">
        <f t="shared" ref="AV225:AV248" si="186">AW192</f>
        <v>2</v>
      </c>
      <c r="AW225" s="69"/>
      <c r="AX225" s="2164">
        <f t="shared" ref="AX225:AX248" si="187">AY192</f>
        <v>3</v>
      </c>
      <c r="AY225" s="69"/>
      <c r="AZ225" s="2164">
        <f t="shared" ref="AZ225:AZ248" si="188">BA192</f>
        <v>0</v>
      </c>
      <c r="BA225" s="69"/>
      <c r="BB225" s="2164">
        <f t="shared" ref="BB225:BB248" si="189">BC192</f>
        <v>3</v>
      </c>
      <c r="BC225" s="69"/>
      <c r="BD225" s="2164">
        <f t="shared" ref="BD225:BD248" si="190">BE192</f>
        <v>2</v>
      </c>
      <c r="BE225" s="69"/>
      <c r="BF225" s="2164">
        <f t="shared" ref="BF225:BF248" si="191">BG192</f>
        <v>4</v>
      </c>
      <c r="BG225" s="69"/>
      <c r="BH225" s="2164">
        <f t="shared" ref="BH225:BH248" si="192">BI192</f>
        <v>4</v>
      </c>
      <c r="BI225" s="69"/>
      <c r="BJ225" s="2164">
        <f t="shared" ref="BJ225:BJ251" si="193">BK192</f>
        <v>6</v>
      </c>
      <c r="BK225" s="69"/>
      <c r="BL225" s="2164" t="str">
        <f t="shared" ref="BL225:BL248" si="194">BM192</f>
        <v/>
      </c>
      <c r="BM225" s="69"/>
      <c r="BN225" s="2034" t="str">
        <f t="shared" ref="BN225:BN248" si="195">BO192</f>
        <v/>
      </c>
      <c r="BO225" s="69"/>
      <c r="BP225" s="2170">
        <f t="shared" ref="BP225:BP252" si="196">SUM(F225:BO225)</f>
        <v>108</v>
      </c>
      <c r="BQ225" s="69"/>
      <c r="BS225" s="541"/>
      <c r="BT225" s="684"/>
      <c r="BU225" s="541"/>
    </row>
    <row r="226" ht="19.5" customHeight="1">
      <c r="A226" s="1698" t="str">
        <f t="shared" si="163"/>
        <v>Да</v>
      </c>
      <c r="B226" s="1978">
        <v>1922.0</v>
      </c>
      <c r="C226" s="1734">
        <v>120.0</v>
      </c>
      <c r="D226" s="1817"/>
      <c r="E226" s="1702" t="str">
        <f t="shared" si="164"/>
        <v>Блины фаршированные сочной курочкой</v>
      </c>
      <c r="F226" s="2019">
        <f t="shared" si="165"/>
        <v>9</v>
      </c>
      <c r="G226" s="69"/>
      <c r="H226" s="2019">
        <f t="shared" si="166"/>
        <v>4</v>
      </c>
      <c r="I226" s="69"/>
      <c r="J226" s="2019">
        <f t="shared" si="167"/>
        <v>4</v>
      </c>
      <c r="K226" s="69"/>
      <c r="L226" s="2019">
        <f t="shared" si="168"/>
        <v>7</v>
      </c>
      <c r="M226" s="69"/>
      <c r="N226" s="2019">
        <f t="shared" si="169"/>
        <v>9</v>
      </c>
      <c r="O226" s="69"/>
      <c r="P226" s="2019">
        <f t="shared" si="170"/>
        <v>3</v>
      </c>
      <c r="Q226" s="69"/>
      <c r="R226" s="2019">
        <f t="shared" si="171"/>
        <v>5</v>
      </c>
      <c r="S226" s="69"/>
      <c r="T226" s="2019">
        <f t="shared" si="172"/>
        <v>6</v>
      </c>
      <c r="U226" s="69"/>
      <c r="V226" s="2019">
        <f t="shared" si="173"/>
        <v>6</v>
      </c>
      <c r="W226" s="69"/>
      <c r="X226" s="2019">
        <f t="shared" si="174"/>
        <v>6</v>
      </c>
      <c r="Y226" s="69"/>
      <c r="Z226" s="2019" t="str">
        <f t="shared" si="175"/>
        <v/>
      </c>
      <c r="AA226" s="69"/>
      <c r="AB226" s="2019">
        <f t="shared" si="176"/>
        <v>2</v>
      </c>
      <c r="AC226" s="69"/>
      <c r="AD226" s="2019">
        <f t="shared" si="177"/>
        <v>6</v>
      </c>
      <c r="AE226" s="69"/>
      <c r="AF226" s="2019">
        <f t="shared" si="178"/>
        <v>10</v>
      </c>
      <c r="AG226" s="69"/>
      <c r="AH226" s="2019">
        <f t="shared" si="179"/>
        <v>8</v>
      </c>
      <c r="AI226" s="69"/>
      <c r="AJ226" s="2019">
        <f t="shared" si="180"/>
        <v>9</v>
      </c>
      <c r="AK226" s="69"/>
      <c r="AL226" s="2019">
        <f t="shared" si="181"/>
        <v>3</v>
      </c>
      <c r="AM226" s="69"/>
      <c r="AN226" s="2019" t="str">
        <f t="shared" si="182"/>
        <v/>
      </c>
      <c r="AO226" s="69"/>
      <c r="AP226" s="2019">
        <f t="shared" si="183"/>
        <v>2</v>
      </c>
      <c r="AQ226" s="69"/>
      <c r="AR226" s="2019">
        <f t="shared" si="184"/>
        <v>6</v>
      </c>
      <c r="AS226" s="69"/>
      <c r="AT226" s="2019">
        <f t="shared" si="185"/>
        <v>6</v>
      </c>
      <c r="AU226" s="69"/>
      <c r="AV226" s="2019">
        <f t="shared" si="186"/>
        <v>2</v>
      </c>
      <c r="AW226" s="69"/>
      <c r="AX226" s="2164">
        <f t="shared" si="187"/>
        <v>4</v>
      </c>
      <c r="AY226" s="69"/>
      <c r="AZ226" s="2164">
        <f t="shared" si="188"/>
        <v>2</v>
      </c>
      <c r="BA226" s="69"/>
      <c r="BB226" s="2164">
        <f t="shared" si="189"/>
        <v>3</v>
      </c>
      <c r="BC226" s="69"/>
      <c r="BD226" s="2164">
        <f t="shared" si="190"/>
        <v>2</v>
      </c>
      <c r="BE226" s="69"/>
      <c r="BF226" s="2164">
        <f t="shared" si="191"/>
        <v>7</v>
      </c>
      <c r="BG226" s="69"/>
      <c r="BH226" s="2164">
        <f t="shared" si="192"/>
        <v>7</v>
      </c>
      <c r="BI226" s="69"/>
      <c r="BJ226" s="2164">
        <f t="shared" si="193"/>
        <v>6</v>
      </c>
      <c r="BK226" s="69"/>
      <c r="BL226" s="2164" t="str">
        <f t="shared" si="194"/>
        <v/>
      </c>
      <c r="BM226" s="69"/>
      <c r="BN226" s="2034" t="str">
        <f t="shared" si="195"/>
        <v/>
      </c>
      <c r="BO226" s="69"/>
      <c r="BP226" s="2170">
        <f t="shared" si="196"/>
        <v>144</v>
      </c>
      <c r="BQ226" s="69"/>
      <c r="BS226" s="541"/>
      <c r="BT226" s="684"/>
      <c r="BU226" s="541"/>
    </row>
    <row r="227" ht="19.5" customHeight="1">
      <c r="A227" s="1698" t="str">
        <f t="shared" si="163"/>
        <v>Да</v>
      </c>
      <c r="B227" s="1978">
        <v>385.0</v>
      </c>
      <c r="C227" s="1734">
        <v>83.0</v>
      </c>
      <c r="D227" s="1817"/>
      <c r="E227" s="1702" t="str">
        <f t="shared" si="164"/>
        <v>Омлет воздушный</v>
      </c>
      <c r="F227" s="2019">
        <f t="shared" si="165"/>
        <v>6</v>
      </c>
      <c r="G227" s="69"/>
      <c r="H227" s="2019">
        <f t="shared" si="166"/>
        <v>2</v>
      </c>
      <c r="I227" s="69"/>
      <c r="J227" s="2019">
        <f t="shared" si="167"/>
        <v>3</v>
      </c>
      <c r="K227" s="69"/>
      <c r="L227" s="2019">
        <f t="shared" si="168"/>
        <v>4</v>
      </c>
      <c r="M227" s="69"/>
      <c r="N227" s="2019">
        <f t="shared" si="169"/>
        <v>9</v>
      </c>
      <c r="O227" s="69"/>
      <c r="P227" s="2019">
        <f t="shared" si="170"/>
        <v>2</v>
      </c>
      <c r="Q227" s="69"/>
      <c r="R227" s="2019">
        <f t="shared" si="171"/>
        <v>4</v>
      </c>
      <c r="S227" s="69"/>
      <c r="T227" s="2019">
        <f t="shared" si="172"/>
        <v>7</v>
      </c>
      <c r="U227" s="69"/>
      <c r="V227" s="2019">
        <f t="shared" si="173"/>
        <v>4</v>
      </c>
      <c r="W227" s="69"/>
      <c r="X227" s="2019">
        <f t="shared" si="174"/>
        <v>4</v>
      </c>
      <c r="Y227" s="69"/>
      <c r="Z227" s="2019" t="str">
        <f t="shared" si="175"/>
        <v/>
      </c>
      <c r="AA227" s="69"/>
      <c r="AB227" s="2019">
        <f t="shared" si="176"/>
        <v>2</v>
      </c>
      <c r="AC227" s="69"/>
      <c r="AD227" s="2019">
        <f t="shared" si="177"/>
        <v>0</v>
      </c>
      <c r="AE227" s="69"/>
      <c r="AF227" s="2019">
        <f t="shared" si="178"/>
        <v>9</v>
      </c>
      <c r="AG227" s="69"/>
      <c r="AH227" s="2019">
        <f t="shared" si="179"/>
        <v>6</v>
      </c>
      <c r="AI227" s="69"/>
      <c r="AJ227" s="2019">
        <f t="shared" si="180"/>
        <v>6</v>
      </c>
      <c r="AK227" s="69"/>
      <c r="AL227" s="2019">
        <f t="shared" si="181"/>
        <v>2</v>
      </c>
      <c r="AM227" s="69"/>
      <c r="AN227" s="2019" t="str">
        <f t="shared" si="182"/>
        <v/>
      </c>
      <c r="AO227" s="69"/>
      <c r="AP227" s="2019">
        <f t="shared" si="183"/>
        <v>3</v>
      </c>
      <c r="AQ227" s="69"/>
      <c r="AR227" s="2019">
        <f t="shared" si="184"/>
        <v>5</v>
      </c>
      <c r="AS227" s="69"/>
      <c r="AT227" s="2019">
        <f t="shared" si="185"/>
        <v>0</v>
      </c>
      <c r="AU227" s="69"/>
      <c r="AV227" s="2019">
        <f t="shared" si="186"/>
        <v>2</v>
      </c>
      <c r="AW227" s="69"/>
      <c r="AX227" s="2164">
        <f t="shared" si="187"/>
        <v>4</v>
      </c>
      <c r="AY227" s="69"/>
      <c r="AZ227" s="2164">
        <f t="shared" si="188"/>
        <v>3</v>
      </c>
      <c r="BA227" s="69"/>
      <c r="BB227" s="2164">
        <f t="shared" si="189"/>
        <v>3</v>
      </c>
      <c r="BC227" s="69"/>
      <c r="BD227" s="2164">
        <f t="shared" si="190"/>
        <v>2</v>
      </c>
      <c r="BE227" s="69"/>
      <c r="BF227" s="2164">
        <f t="shared" si="191"/>
        <v>5</v>
      </c>
      <c r="BG227" s="69"/>
      <c r="BH227" s="2164">
        <f t="shared" si="192"/>
        <v>5</v>
      </c>
      <c r="BI227" s="69"/>
      <c r="BJ227" s="2164">
        <f t="shared" si="193"/>
        <v>5</v>
      </c>
      <c r="BK227" s="69"/>
      <c r="BL227" s="2164" t="str">
        <f t="shared" si="194"/>
        <v/>
      </c>
      <c r="BM227" s="69"/>
      <c r="BN227" s="2034">
        <f t="shared" si="195"/>
        <v>10</v>
      </c>
      <c r="BO227" s="69"/>
      <c r="BP227" s="2170">
        <f t="shared" si="196"/>
        <v>117</v>
      </c>
      <c r="BQ227" s="69"/>
      <c r="BS227" s="541"/>
      <c r="BT227" s="684"/>
      <c r="BU227" s="541"/>
    </row>
    <row r="228" ht="19.5" customHeight="1">
      <c r="A228" s="1698" t="str">
        <f t="shared" si="163"/>
        <v>Да</v>
      </c>
      <c r="B228" s="1978">
        <v>3316.0</v>
      </c>
      <c r="C228" s="1734">
        <v>98.0</v>
      </c>
      <c r="D228" s="1817"/>
      <c r="E228" s="1702" t="str">
        <f t="shared" si="164"/>
        <v>Салат ''Витаминный с крабом'' 120 г</v>
      </c>
      <c r="F228" s="2019">
        <f t="shared" si="165"/>
        <v>3</v>
      </c>
      <c r="G228" s="69"/>
      <c r="H228" s="2019">
        <f t="shared" si="166"/>
        <v>1</v>
      </c>
      <c r="I228" s="69"/>
      <c r="J228" s="2019">
        <f t="shared" si="167"/>
        <v>3</v>
      </c>
      <c r="K228" s="69"/>
      <c r="L228" s="2019">
        <f t="shared" si="168"/>
        <v>2</v>
      </c>
      <c r="M228" s="69"/>
      <c r="N228" s="2019">
        <f t="shared" si="169"/>
        <v>7</v>
      </c>
      <c r="O228" s="69"/>
      <c r="P228" s="2019">
        <f t="shared" si="170"/>
        <v>4</v>
      </c>
      <c r="Q228" s="69"/>
      <c r="R228" s="2019">
        <f t="shared" si="171"/>
        <v>6</v>
      </c>
      <c r="S228" s="69"/>
      <c r="T228" s="2019">
        <f t="shared" si="172"/>
        <v>2</v>
      </c>
      <c r="U228" s="69"/>
      <c r="V228" s="2019">
        <f t="shared" si="173"/>
        <v>6</v>
      </c>
      <c r="W228" s="69"/>
      <c r="X228" s="2019">
        <f t="shared" si="174"/>
        <v>4</v>
      </c>
      <c r="Y228" s="69"/>
      <c r="Z228" s="2019" t="str">
        <f t="shared" si="175"/>
        <v/>
      </c>
      <c r="AA228" s="69"/>
      <c r="AB228" s="2019">
        <f t="shared" si="176"/>
        <v>3</v>
      </c>
      <c r="AC228" s="69"/>
      <c r="AD228" s="2019">
        <f t="shared" si="177"/>
        <v>5</v>
      </c>
      <c r="AE228" s="69"/>
      <c r="AF228" s="2019">
        <f t="shared" si="178"/>
        <v>7</v>
      </c>
      <c r="AG228" s="69"/>
      <c r="AH228" s="2019">
        <f t="shared" si="179"/>
        <v>4</v>
      </c>
      <c r="AI228" s="69"/>
      <c r="AJ228" s="2019">
        <f t="shared" si="180"/>
        <v>2</v>
      </c>
      <c r="AK228" s="69"/>
      <c r="AL228" s="2019">
        <f t="shared" si="181"/>
        <v>4</v>
      </c>
      <c r="AM228" s="69"/>
      <c r="AN228" s="2019" t="str">
        <f t="shared" si="182"/>
        <v/>
      </c>
      <c r="AO228" s="69"/>
      <c r="AP228" s="2019">
        <f t="shared" si="183"/>
        <v>4</v>
      </c>
      <c r="AQ228" s="69"/>
      <c r="AR228" s="2019">
        <f t="shared" si="184"/>
        <v>2</v>
      </c>
      <c r="AS228" s="69"/>
      <c r="AT228" s="2019">
        <f t="shared" si="185"/>
        <v>4</v>
      </c>
      <c r="AU228" s="69"/>
      <c r="AV228" s="2019">
        <f t="shared" si="186"/>
        <v>2</v>
      </c>
      <c r="AW228" s="69"/>
      <c r="AX228" s="2164">
        <f t="shared" si="187"/>
        <v>2</v>
      </c>
      <c r="AY228" s="69"/>
      <c r="AZ228" s="2164">
        <f t="shared" si="188"/>
        <v>2</v>
      </c>
      <c r="BA228" s="69"/>
      <c r="BB228" s="2164">
        <f t="shared" si="189"/>
        <v>2</v>
      </c>
      <c r="BC228" s="69"/>
      <c r="BD228" s="2164">
        <f t="shared" si="190"/>
        <v>0</v>
      </c>
      <c r="BE228" s="69"/>
      <c r="BF228" s="2164">
        <f t="shared" si="191"/>
        <v>4</v>
      </c>
      <c r="BG228" s="69"/>
      <c r="BH228" s="2164">
        <f t="shared" si="192"/>
        <v>5</v>
      </c>
      <c r="BI228" s="69"/>
      <c r="BJ228" s="2164">
        <f t="shared" si="193"/>
        <v>6</v>
      </c>
      <c r="BK228" s="69"/>
      <c r="BL228" s="2164">
        <f t="shared" si="194"/>
        <v>30</v>
      </c>
      <c r="BM228" s="69"/>
      <c r="BN228" s="2034">
        <f t="shared" si="195"/>
        <v>10</v>
      </c>
      <c r="BO228" s="69"/>
      <c r="BP228" s="2170">
        <f t="shared" si="196"/>
        <v>136</v>
      </c>
      <c r="BQ228" s="69"/>
      <c r="BS228" s="541"/>
      <c r="BT228" s="684"/>
      <c r="BU228" s="541"/>
    </row>
    <row r="229" ht="19.5" customHeight="1">
      <c r="A229" s="1698" t="str">
        <f t="shared" si="163"/>
        <v>Да</v>
      </c>
      <c r="B229" s="1978">
        <v>4053.0</v>
      </c>
      <c r="C229" s="1734">
        <v>98.0</v>
      </c>
      <c r="D229" s="1817"/>
      <c r="E229" s="1702" t="str">
        <f t="shared" si="164"/>
        <v>Салат "Арлекино" (колбаса вар.)</v>
      </c>
      <c r="F229" s="2019">
        <f t="shared" si="165"/>
        <v>11</v>
      </c>
      <c r="G229" s="69"/>
      <c r="H229" s="2019">
        <f t="shared" si="166"/>
        <v>1</v>
      </c>
      <c r="I229" s="69"/>
      <c r="J229" s="2019">
        <f t="shared" si="167"/>
        <v>4</v>
      </c>
      <c r="K229" s="69"/>
      <c r="L229" s="2019">
        <f t="shared" si="168"/>
        <v>0</v>
      </c>
      <c r="M229" s="69"/>
      <c r="N229" s="2019">
        <f t="shared" si="169"/>
        <v>3</v>
      </c>
      <c r="O229" s="69"/>
      <c r="P229" s="2019">
        <f t="shared" si="170"/>
        <v>7</v>
      </c>
      <c r="Q229" s="69"/>
      <c r="R229" s="2019">
        <f t="shared" si="171"/>
        <v>2</v>
      </c>
      <c r="S229" s="69"/>
      <c r="T229" s="2019">
        <f t="shared" si="172"/>
        <v>1</v>
      </c>
      <c r="U229" s="69"/>
      <c r="V229" s="2019">
        <f t="shared" si="173"/>
        <v>4</v>
      </c>
      <c r="W229" s="69"/>
      <c r="X229" s="2019">
        <f t="shared" si="174"/>
        <v>0</v>
      </c>
      <c r="Y229" s="69"/>
      <c r="Z229" s="2019" t="str">
        <f t="shared" si="175"/>
        <v/>
      </c>
      <c r="AA229" s="69"/>
      <c r="AB229" s="2019">
        <f t="shared" si="176"/>
        <v>0</v>
      </c>
      <c r="AC229" s="69"/>
      <c r="AD229" s="2019">
        <f t="shared" si="177"/>
        <v>0</v>
      </c>
      <c r="AE229" s="69"/>
      <c r="AF229" s="2019">
        <f t="shared" si="178"/>
        <v>1</v>
      </c>
      <c r="AG229" s="69"/>
      <c r="AH229" s="2019">
        <f t="shared" si="179"/>
        <v>1</v>
      </c>
      <c r="AI229" s="69"/>
      <c r="AJ229" s="2019">
        <f t="shared" si="180"/>
        <v>1</v>
      </c>
      <c r="AK229" s="69"/>
      <c r="AL229" s="2019">
        <f t="shared" si="181"/>
        <v>1</v>
      </c>
      <c r="AM229" s="69"/>
      <c r="AN229" s="2019" t="str">
        <f t="shared" si="182"/>
        <v/>
      </c>
      <c r="AO229" s="69"/>
      <c r="AP229" s="2019">
        <f t="shared" si="183"/>
        <v>2</v>
      </c>
      <c r="AQ229" s="69"/>
      <c r="AR229" s="2019">
        <f t="shared" si="184"/>
        <v>3</v>
      </c>
      <c r="AS229" s="69"/>
      <c r="AT229" s="2019">
        <f t="shared" si="185"/>
        <v>3</v>
      </c>
      <c r="AU229" s="69"/>
      <c r="AV229" s="2019">
        <f t="shared" si="186"/>
        <v>0</v>
      </c>
      <c r="AW229" s="69"/>
      <c r="AX229" s="2164">
        <f t="shared" si="187"/>
        <v>3</v>
      </c>
      <c r="AY229" s="69"/>
      <c r="AZ229" s="2164">
        <f t="shared" si="188"/>
        <v>1</v>
      </c>
      <c r="BA229" s="69"/>
      <c r="BB229" s="2164">
        <f t="shared" si="189"/>
        <v>2</v>
      </c>
      <c r="BC229" s="69"/>
      <c r="BD229" s="2164">
        <f t="shared" si="190"/>
        <v>2</v>
      </c>
      <c r="BE229" s="69"/>
      <c r="BF229" s="2164">
        <f t="shared" si="191"/>
        <v>2</v>
      </c>
      <c r="BG229" s="69"/>
      <c r="BH229" s="2164">
        <f t="shared" si="192"/>
        <v>2</v>
      </c>
      <c r="BI229" s="69"/>
      <c r="BJ229" s="2164">
        <f t="shared" si="193"/>
        <v>4</v>
      </c>
      <c r="BK229" s="69"/>
      <c r="BL229" s="2164">
        <f t="shared" si="194"/>
        <v>50</v>
      </c>
      <c r="BM229" s="69"/>
      <c r="BN229" s="2034" t="str">
        <f t="shared" si="195"/>
        <v/>
      </c>
      <c r="BO229" s="69"/>
      <c r="BP229" s="2170">
        <f t="shared" si="196"/>
        <v>111</v>
      </c>
      <c r="BQ229" s="69"/>
      <c r="BS229" s="541"/>
      <c r="BT229" s="684"/>
      <c r="BU229" s="541"/>
    </row>
    <row r="230" ht="19.5" customHeight="1">
      <c r="A230" s="1698" t="str">
        <f t="shared" si="163"/>
        <v>Да</v>
      </c>
      <c r="B230" s="1978">
        <v>4055.0</v>
      </c>
      <c r="C230" s="1734">
        <v>98.0</v>
      </c>
      <c r="D230" s="1817"/>
      <c r="E230" s="1702" t="str">
        <f t="shared" si="164"/>
        <v>Салат "Чикаго" (кура копченая)</v>
      </c>
      <c r="F230" s="2019">
        <f t="shared" si="165"/>
        <v>9</v>
      </c>
      <c r="G230" s="69"/>
      <c r="H230" s="2019">
        <f t="shared" si="166"/>
        <v>1</v>
      </c>
      <c r="I230" s="69"/>
      <c r="J230" s="2019">
        <f t="shared" si="167"/>
        <v>3</v>
      </c>
      <c r="K230" s="69"/>
      <c r="L230" s="2019">
        <f t="shared" si="168"/>
        <v>2</v>
      </c>
      <c r="M230" s="69"/>
      <c r="N230" s="2019">
        <f t="shared" si="169"/>
        <v>3</v>
      </c>
      <c r="O230" s="69"/>
      <c r="P230" s="2019">
        <f t="shared" si="170"/>
        <v>4</v>
      </c>
      <c r="Q230" s="69"/>
      <c r="R230" s="2019">
        <f t="shared" si="171"/>
        <v>2</v>
      </c>
      <c r="S230" s="69"/>
      <c r="T230" s="2019">
        <f t="shared" si="172"/>
        <v>2</v>
      </c>
      <c r="U230" s="69"/>
      <c r="V230" s="2019">
        <f t="shared" si="173"/>
        <v>6</v>
      </c>
      <c r="W230" s="69"/>
      <c r="X230" s="2019">
        <f t="shared" si="174"/>
        <v>1</v>
      </c>
      <c r="Y230" s="69"/>
      <c r="Z230" s="2019" t="str">
        <f t="shared" si="175"/>
        <v/>
      </c>
      <c r="AA230" s="69"/>
      <c r="AB230" s="2019">
        <f t="shared" si="176"/>
        <v>4</v>
      </c>
      <c r="AC230" s="69"/>
      <c r="AD230" s="2019">
        <f t="shared" si="177"/>
        <v>4</v>
      </c>
      <c r="AE230" s="69"/>
      <c r="AF230" s="2019">
        <f t="shared" si="178"/>
        <v>8</v>
      </c>
      <c r="AG230" s="69"/>
      <c r="AH230" s="2019">
        <f t="shared" si="179"/>
        <v>1</v>
      </c>
      <c r="AI230" s="69"/>
      <c r="AJ230" s="2019">
        <f t="shared" si="180"/>
        <v>4</v>
      </c>
      <c r="AK230" s="69"/>
      <c r="AL230" s="2019">
        <f t="shared" si="181"/>
        <v>1</v>
      </c>
      <c r="AM230" s="69"/>
      <c r="AN230" s="2019" t="str">
        <f t="shared" si="182"/>
        <v/>
      </c>
      <c r="AO230" s="69"/>
      <c r="AP230" s="2019">
        <f t="shared" si="183"/>
        <v>0</v>
      </c>
      <c r="AQ230" s="69"/>
      <c r="AR230" s="2019">
        <f t="shared" si="184"/>
        <v>2</v>
      </c>
      <c r="AS230" s="69"/>
      <c r="AT230" s="2019">
        <f t="shared" si="185"/>
        <v>5</v>
      </c>
      <c r="AU230" s="69"/>
      <c r="AV230" s="2019">
        <f t="shared" si="186"/>
        <v>2</v>
      </c>
      <c r="AW230" s="69"/>
      <c r="AX230" s="2164">
        <f t="shared" si="187"/>
        <v>2</v>
      </c>
      <c r="AY230" s="69"/>
      <c r="AZ230" s="2164">
        <f t="shared" si="188"/>
        <v>2</v>
      </c>
      <c r="BA230" s="69"/>
      <c r="BB230" s="2164">
        <f t="shared" si="189"/>
        <v>2</v>
      </c>
      <c r="BC230" s="69"/>
      <c r="BD230" s="2164">
        <f t="shared" si="190"/>
        <v>2</v>
      </c>
      <c r="BE230" s="69"/>
      <c r="BF230" s="2164">
        <f t="shared" si="191"/>
        <v>5</v>
      </c>
      <c r="BG230" s="69"/>
      <c r="BH230" s="2164">
        <f t="shared" si="192"/>
        <v>2</v>
      </c>
      <c r="BI230" s="69"/>
      <c r="BJ230" s="2164">
        <f t="shared" si="193"/>
        <v>6</v>
      </c>
      <c r="BK230" s="69"/>
      <c r="BL230" s="2164">
        <f t="shared" si="194"/>
        <v>50</v>
      </c>
      <c r="BM230" s="69"/>
      <c r="BN230" s="2034" t="str">
        <f t="shared" si="195"/>
        <v/>
      </c>
      <c r="BO230" s="69"/>
      <c r="BP230" s="2170">
        <f t="shared" si="196"/>
        <v>135</v>
      </c>
      <c r="BQ230" s="69"/>
      <c r="BS230" s="541"/>
      <c r="BT230" s="684"/>
      <c r="BU230" s="541"/>
    </row>
    <row r="231" ht="19.5" customHeight="1">
      <c r="A231" s="1698" t="str">
        <f t="shared" si="163"/>
        <v>Да</v>
      </c>
      <c r="B231" s="1978">
        <v>3810.0</v>
      </c>
      <c r="C231" s="1734">
        <v>251.0</v>
      </c>
      <c r="D231" s="1817"/>
      <c r="E231" s="1702" t="str">
        <f t="shared" si="164"/>
        <v>Боул с курицей терияки и фунчозой </v>
      </c>
      <c r="F231" s="2019">
        <f t="shared" si="165"/>
        <v>5</v>
      </c>
      <c r="G231" s="69"/>
      <c r="H231" s="2019">
        <f t="shared" si="166"/>
        <v>2</v>
      </c>
      <c r="I231" s="69"/>
      <c r="J231" s="2019">
        <f t="shared" si="167"/>
        <v>2</v>
      </c>
      <c r="K231" s="69"/>
      <c r="L231" s="2019">
        <f t="shared" si="168"/>
        <v>4</v>
      </c>
      <c r="M231" s="69"/>
      <c r="N231" s="2019">
        <f t="shared" si="169"/>
        <v>4</v>
      </c>
      <c r="O231" s="69"/>
      <c r="P231" s="2019">
        <f t="shared" si="170"/>
        <v>4</v>
      </c>
      <c r="Q231" s="69"/>
      <c r="R231" s="2019">
        <f t="shared" si="171"/>
        <v>1</v>
      </c>
      <c r="S231" s="69"/>
      <c r="T231" s="2019">
        <f t="shared" si="172"/>
        <v>4</v>
      </c>
      <c r="U231" s="69"/>
      <c r="V231" s="2019">
        <f t="shared" si="173"/>
        <v>4</v>
      </c>
      <c r="W231" s="69"/>
      <c r="X231" s="2019">
        <f t="shared" si="174"/>
        <v>4</v>
      </c>
      <c r="Y231" s="69"/>
      <c r="Z231" s="2019" t="str">
        <f t="shared" si="175"/>
        <v/>
      </c>
      <c r="AA231" s="69"/>
      <c r="AB231" s="2019">
        <f t="shared" si="176"/>
        <v>3</v>
      </c>
      <c r="AC231" s="69"/>
      <c r="AD231" s="2019">
        <f t="shared" si="177"/>
        <v>3</v>
      </c>
      <c r="AE231" s="69"/>
      <c r="AF231" s="2019">
        <f t="shared" si="178"/>
        <v>3</v>
      </c>
      <c r="AG231" s="69"/>
      <c r="AH231" s="2019">
        <f t="shared" si="179"/>
        <v>4</v>
      </c>
      <c r="AI231" s="69"/>
      <c r="AJ231" s="2019">
        <f t="shared" si="180"/>
        <v>4</v>
      </c>
      <c r="AK231" s="69"/>
      <c r="AL231" s="2019">
        <f t="shared" si="181"/>
        <v>4</v>
      </c>
      <c r="AM231" s="69"/>
      <c r="AN231" s="2019" t="str">
        <f t="shared" si="182"/>
        <v/>
      </c>
      <c r="AO231" s="69"/>
      <c r="AP231" s="2019">
        <f t="shared" si="183"/>
        <v>3</v>
      </c>
      <c r="AQ231" s="69"/>
      <c r="AR231" s="2019">
        <f t="shared" si="184"/>
        <v>5</v>
      </c>
      <c r="AS231" s="69"/>
      <c r="AT231" s="2019">
        <f t="shared" si="185"/>
        <v>4</v>
      </c>
      <c r="AU231" s="69"/>
      <c r="AV231" s="2019">
        <f t="shared" si="186"/>
        <v>5</v>
      </c>
      <c r="AW231" s="69"/>
      <c r="AX231" s="2164">
        <f t="shared" si="187"/>
        <v>4</v>
      </c>
      <c r="AY231" s="69"/>
      <c r="AZ231" s="2164">
        <f t="shared" si="188"/>
        <v>1</v>
      </c>
      <c r="BA231" s="69"/>
      <c r="BB231" s="2164">
        <f t="shared" si="189"/>
        <v>5</v>
      </c>
      <c r="BC231" s="69"/>
      <c r="BD231" s="2164">
        <f t="shared" si="190"/>
        <v>2</v>
      </c>
      <c r="BE231" s="69"/>
      <c r="BF231" s="2164">
        <f t="shared" si="191"/>
        <v>5</v>
      </c>
      <c r="BG231" s="69"/>
      <c r="BH231" s="2164">
        <f t="shared" si="192"/>
        <v>6</v>
      </c>
      <c r="BI231" s="69"/>
      <c r="BJ231" s="2164">
        <f t="shared" si="193"/>
        <v>4</v>
      </c>
      <c r="BK231" s="69"/>
      <c r="BL231" s="2164" t="str">
        <f t="shared" si="194"/>
        <v/>
      </c>
      <c r="BM231" s="69"/>
      <c r="BN231" s="2034" t="str">
        <f t="shared" si="195"/>
        <v/>
      </c>
      <c r="BO231" s="69"/>
      <c r="BP231" s="2170">
        <f t="shared" si="196"/>
        <v>99</v>
      </c>
      <c r="BQ231" s="69"/>
      <c r="BS231" s="541"/>
      <c r="BT231" s="684"/>
      <c r="BU231" s="541"/>
    </row>
    <row r="232" ht="19.5" customHeight="1">
      <c r="A232" s="1698" t="str">
        <f t="shared" si="163"/>
        <v/>
      </c>
      <c r="B232" s="1978">
        <v>380.0</v>
      </c>
      <c r="C232" s="1734">
        <v>114.0</v>
      </c>
      <c r="D232" s="1817"/>
      <c r="E232" s="1702" t="str">
        <f t="shared" si="164"/>
        <v>Солянка</v>
      </c>
      <c r="F232" s="2019" t="str">
        <f t="shared" si="165"/>
        <v/>
      </c>
      <c r="G232" s="69"/>
      <c r="H232" s="2019" t="str">
        <f t="shared" si="166"/>
        <v/>
      </c>
      <c r="I232" s="69"/>
      <c r="J232" s="2019" t="str">
        <f t="shared" si="167"/>
        <v/>
      </c>
      <c r="K232" s="69"/>
      <c r="L232" s="2019" t="str">
        <f t="shared" si="168"/>
        <v/>
      </c>
      <c r="M232" s="69"/>
      <c r="N232" s="2019" t="str">
        <f t="shared" si="169"/>
        <v/>
      </c>
      <c r="O232" s="69"/>
      <c r="P232" s="2019" t="str">
        <f t="shared" si="170"/>
        <v/>
      </c>
      <c r="Q232" s="69"/>
      <c r="R232" s="2019" t="str">
        <f t="shared" si="171"/>
        <v/>
      </c>
      <c r="S232" s="69"/>
      <c r="T232" s="2019" t="str">
        <f t="shared" si="172"/>
        <v/>
      </c>
      <c r="U232" s="69"/>
      <c r="V232" s="2019" t="str">
        <f t="shared" si="173"/>
        <v/>
      </c>
      <c r="W232" s="69"/>
      <c r="X232" s="2019" t="str">
        <f t="shared" si="174"/>
        <v/>
      </c>
      <c r="Y232" s="69"/>
      <c r="Z232" s="2019" t="str">
        <f t="shared" si="175"/>
        <v/>
      </c>
      <c r="AA232" s="69"/>
      <c r="AB232" s="2019" t="str">
        <f t="shared" si="176"/>
        <v/>
      </c>
      <c r="AC232" s="69"/>
      <c r="AD232" s="2019" t="str">
        <f t="shared" si="177"/>
        <v/>
      </c>
      <c r="AE232" s="69"/>
      <c r="AF232" s="2019" t="str">
        <f t="shared" si="178"/>
        <v/>
      </c>
      <c r="AG232" s="69"/>
      <c r="AH232" s="2019" t="str">
        <f t="shared" si="179"/>
        <v/>
      </c>
      <c r="AI232" s="69"/>
      <c r="AJ232" s="2019" t="str">
        <f t="shared" si="180"/>
        <v/>
      </c>
      <c r="AK232" s="69"/>
      <c r="AL232" s="2019" t="str">
        <f t="shared" si="181"/>
        <v/>
      </c>
      <c r="AM232" s="69"/>
      <c r="AN232" s="2019" t="str">
        <f t="shared" si="182"/>
        <v/>
      </c>
      <c r="AO232" s="69"/>
      <c r="AP232" s="2019" t="str">
        <f t="shared" si="183"/>
        <v/>
      </c>
      <c r="AQ232" s="69"/>
      <c r="AR232" s="2019" t="str">
        <f t="shared" si="184"/>
        <v/>
      </c>
      <c r="AS232" s="69"/>
      <c r="AT232" s="2019" t="str">
        <f t="shared" si="185"/>
        <v/>
      </c>
      <c r="AU232" s="69"/>
      <c r="AV232" s="2019" t="str">
        <f t="shared" si="186"/>
        <v/>
      </c>
      <c r="AW232" s="69"/>
      <c r="AX232" s="2164" t="str">
        <f t="shared" si="187"/>
        <v/>
      </c>
      <c r="AY232" s="69"/>
      <c r="AZ232" s="2164" t="str">
        <f t="shared" si="188"/>
        <v/>
      </c>
      <c r="BA232" s="69"/>
      <c r="BB232" s="2164" t="str">
        <f t="shared" si="189"/>
        <v/>
      </c>
      <c r="BC232" s="69"/>
      <c r="BD232" s="2164" t="str">
        <f t="shared" si="190"/>
        <v/>
      </c>
      <c r="BE232" s="69"/>
      <c r="BF232" s="2164" t="str">
        <f t="shared" si="191"/>
        <v/>
      </c>
      <c r="BG232" s="69"/>
      <c r="BH232" s="2164" t="str">
        <f t="shared" si="192"/>
        <v/>
      </c>
      <c r="BI232" s="69"/>
      <c r="BJ232" s="2164" t="str">
        <f t="shared" si="193"/>
        <v/>
      </c>
      <c r="BK232" s="69"/>
      <c r="BL232" s="2164">
        <f t="shared" si="194"/>
        <v>110</v>
      </c>
      <c r="BM232" s="69"/>
      <c r="BN232" s="2034" t="str">
        <f t="shared" si="195"/>
        <v/>
      </c>
      <c r="BO232" s="69"/>
      <c r="BP232" s="2170">
        <f t="shared" si="196"/>
        <v>110</v>
      </c>
      <c r="BQ232" s="69"/>
      <c r="BS232" s="541"/>
      <c r="BT232" s="684"/>
      <c r="BU232" s="541"/>
    </row>
    <row r="233" ht="19.5" customHeight="1">
      <c r="A233" s="1698" t="str">
        <f t="shared" si="163"/>
        <v>Да</v>
      </c>
      <c r="B233" s="1978">
        <v>4274.0</v>
      </c>
      <c r="C233" s="1734">
        <v>139.0</v>
      </c>
      <c r="D233" s="1817"/>
      <c r="E233" s="1702" t="str">
        <f t="shared" si="164"/>
        <v>Крем-суп из брокколи</v>
      </c>
      <c r="F233" s="2019">
        <f t="shared" si="165"/>
        <v>1</v>
      </c>
      <c r="G233" s="69"/>
      <c r="H233" s="2019">
        <f t="shared" si="166"/>
        <v>2</v>
      </c>
      <c r="I233" s="69"/>
      <c r="J233" s="2019">
        <f t="shared" si="167"/>
        <v>2</v>
      </c>
      <c r="K233" s="69"/>
      <c r="L233" s="2019" t="str">
        <f t="shared" si="168"/>
        <v/>
      </c>
      <c r="M233" s="69"/>
      <c r="N233" s="2019">
        <f t="shared" si="169"/>
        <v>4</v>
      </c>
      <c r="O233" s="69"/>
      <c r="P233" s="2019">
        <f t="shared" si="170"/>
        <v>2</v>
      </c>
      <c r="Q233" s="69"/>
      <c r="R233" s="2019">
        <f t="shared" si="171"/>
        <v>0</v>
      </c>
      <c r="S233" s="69"/>
      <c r="T233" s="2019">
        <f t="shared" si="172"/>
        <v>2</v>
      </c>
      <c r="U233" s="69"/>
      <c r="V233" s="2019">
        <f t="shared" si="173"/>
        <v>2</v>
      </c>
      <c r="W233" s="69"/>
      <c r="X233" s="2019">
        <f t="shared" si="174"/>
        <v>2</v>
      </c>
      <c r="Y233" s="69"/>
      <c r="Z233" s="2019" t="str">
        <f t="shared" si="175"/>
        <v/>
      </c>
      <c r="AA233" s="69"/>
      <c r="AB233" s="2019">
        <f t="shared" si="176"/>
        <v>1</v>
      </c>
      <c r="AC233" s="69"/>
      <c r="AD233" s="2019">
        <f t="shared" si="177"/>
        <v>2</v>
      </c>
      <c r="AE233" s="69"/>
      <c r="AF233" s="2019">
        <f t="shared" si="178"/>
        <v>3</v>
      </c>
      <c r="AG233" s="69"/>
      <c r="AH233" s="2019">
        <f t="shared" si="179"/>
        <v>1</v>
      </c>
      <c r="AI233" s="69"/>
      <c r="AJ233" s="2019">
        <f t="shared" si="180"/>
        <v>1</v>
      </c>
      <c r="AK233" s="69"/>
      <c r="AL233" s="2019">
        <f t="shared" si="181"/>
        <v>0</v>
      </c>
      <c r="AM233" s="69"/>
      <c r="AN233" s="2019" t="str">
        <f t="shared" si="182"/>
        <v/>
      </c>
      <c r="AO233" s="69"/>
      <c r="AP233" s="2019">
        <f t="shared" si="183"/>
        <v>1</v>
      </c>
      <c r="AQ233" s="69"/>
      <c r="AR233" s="2019">
        <f t="shared" si="184"/>
        <v>2</v>
      </c>
      <c r="AS233" s="69"/>
      <c r="AT233" s="2019">
        <f t="shared" si="185"/>
        <v>1</v>
      </c>
      <c r="AU233" s="69"/>
      <c r="AV233" s="2019">
        <f t="shared" si="186"/>
        <v>0</v>
      </c>
      <c r="AW233" s="69"/>
      <c r="AX233" s="2164">
        <f t="shared" si="187"/>
        <v>1</v>
      </c>
      <c r="AY233" s="69"/>
      <c r="AZ233" s="2164">
        <f t="shared" si="188"/>
        <v>1</v>
      </c>
      <c r="BA233" s="69"/>
      <c r="BB233" s="2164">
        <f t="shared" si="189"/>
        <v>1</v>
      </c>
      <c r="BC233" s="69"/>
      <c r="BD233" s="2164">
        <f t="shared" si="190"/>
        <v>2</v>
      </c>
      <c r="BE233" s="69"/>
      <c r="BF233" s="2164">
        <f t="shared" si="191"/>
        <v>1</v>
      </c>
      <c r="BG233" s="69"/>
      <c r="BH233" s="2164">
        <f t="shared" si="192"/>
        <v>2</v>
      </c>
      <c r="BI233" s="69"/>
      <c r="BJ233" s="2164">
        <f t="shared" si="193"/>
        <v>3</v>
      </c>
      <c r="BK233" s="69"/>
      <c r="BL233" s="2164" t="str">
        <f t="shared" si="194"/>
        <v/>
      </c>
      <c r="BM233" s="69"/>
      <c r="BN233" s="2034" t="str">
        <f t="shared" si="195"/>
        <v/>
      </c>
      <c r="BO233" s="69"/>
      <c r="BP233" s="2170">
        <f t="shared" si="196"/>
        <v>40</v>
      </c>
      <c r="BQ233" s="69"/>
      <c r="BS233" s="541"/>
      <c r="BT233" s="684"/>
      <c r="BU233" s="541"/>
    </row>
    <row r="234" ht="19.5" customHeight="1">
      <c r="A234" s="1698" t="str">
        <f t="shared" si="163"/>
        <v>Да</v>
      </c>
      <c r="B234" s="1978">
        <v>3612.0</v>
      </c>
      <c r="C234" s="1734">
        <v>210.0</v>
      </c>
      <c r="D234" s="1817"/>
      <c r="E234" s="1702" t="str">
        <f t="shared" si="164"/>
        <v>Курочка в сливочном соусе с макаронами</v>
      </c>
      <c r="F234" s="2071">
        <f t="shared" si="165"/>
        <v>5</v>
      </c>
      <c r="G234" s="69"/>
      <c r="H234" s="2071">
        <f t="shared" si="166"/>
        <v>4</v>
      </c>
      <c r="I234" s="69"/>
      <c r="J234" s="2071">
        <f t="shared" si="167"/>
        <v>4</v>
      </c>
      <c r="K234" s="69"/>
      <c r="L234" s="2071">
        <f t="shared" si="168"/>
        <v>2</v>
      </c>
      <c r="M234" s="69"/>
      <c r="N234" s="2071">
        <f t="shared" si="169"/>
        <v>11</v>
      </c>
      <c r="O234" s="69"/>
      <c r="P234" s="2071">
        <f t="shared" si="170"/>
        <v>4</v>
      </c>
      <c r="Q234" s="69"/>
      <c r="R234" s="2071">
        <f t="shared" si="171"/>
        <v>5</v>
      </c>
      <c r="S234" s="69"/>
      <c r="T234" s="2071">
        <f t="shared" si="172"/>
        <v>3</v>
      </c>
      <c r="U234" s="69"/>
      <c r="V234" s="2071">
        <f t="shared" si="173"/>
        <v>5</v>
      </c>
      <c r="W234" s="69"/>
      <c r="X234" s="2071">
        <f t="shared" si="174"/>
        <v>2</v>
      </c>
      <c r="Y234" s="69"/>
      <c r="Z234" s="2071" t="str">
        <f t="shared" si="175"/>
        <v/>
      </c>
      <c r="AA234" s="69"/>
      <c r="AB234" s="2019">
        <f t="shared" si="176"/>
        <v>4</v>
      </c>
      <c r="AC234" s="69"/>
      <c r="AD234" s="2071">
        <f t="shared" si="177"/>
        <v>3</v>
      </c>
      <c r="AE234" s="69"/>
      <c r="AF234" s="2071">
        <f t="shared" si="178"/>
        <v>2</v>
      </c>
      <c r="AG234" s="69"/>
      <c r="AH234" s="2071">
        <f t="shared" si="179"/>
        <v>3</v>
      </c>
      <c r="AI234" s="69"/>
      <c r="AJ234" s="2071">
        <f t="shared" si="180"/>
        <v>5</v>
      </c>
      <c r="AK234" s="69"/>
      <c r="AL234" s="2019">
        <f t="shared" si="181"/>
        <v>2</v>
      </c>
      <c r="AM234" s="69"/>
      <c r="AN234" s="2019" t="str">
        <f t="shared" si="182"/>
        <v/>
      </c>
      <c r="AO234" s="69"/>
      <c r="AP234" s="2019">
        <f t="shared" si="183"/>
        <v>5</v>
      </c>
      <c r="AQ234" s="69"/>
      <c r="AR234" s="2019">
        <f t="shared" si="184"/>
        <v>2</v>
      </c>
      <c r="AS234" s="69"/>
      <c r="AT234" s="2019">
        <f t="shared" si="185"/>
        <v>4</v>
      </c>
      <c r="AU234" s="69"/>
      <c r="AV234" s="2019">
        <f t="shared" si="186"/>
        <v>4</v>
      </c>
      <c r="AW234" s="69"/>
      <c r="AX234" s="2164">
        <f t="shared" si="187"/>
        <v>2</v>
      </c>
      <c r="AY234" s="69"/>
      <c r="AZ234" s="2164">
        <f t="shared" si="188"/>
        <v>3</v>
      </c>
      <c r="BA234" s="69"/>
      <c r="BB234" s="2164">
        <f t="shared" si="189"/>
        <v>2</v>
      </c>
      <c r="BC234" s="69"/>
      <c r="BD234" s="2164">
        <f t="shared" si="190"/>
        <v>2</v>
      </c>
      <c r="BE234" s="69"/>
      <c r="BF234" s="2164">
        <f t="shared" si="191"/>
        <v>4</v>
      </c>
      <c r="BG234" s="69"/>
      <c r="BH234" s="2164">
        <f t="shared" si="192"/>
        <v>2</v>
      </c>
      <c r="BI234" s="69"/>
      <c r="BJ234" s="2164">
        <f t="shared" si="193"/>
        <v>5</v>
      </c>
      <c r="BK234" s="69"/>
      <c r="BL234" s="2164" t="str">
        <f t="shared" si="194"/>
        <v/>
      </c>
      <c r="BM234" s="69"/>
      <c r="BN234" s="2034" t="str">
        <f t="shared" si="195"/>
        <v/>
      </c>
      <c r="BO234" s="69"/>
      <c r="BP234" s="2193">
        <f t="shared" si="196"/>
        <v>99</v>
      </c>
      <c r="BQ234" s="69"/>
      <c r="BS234" s="541"/>
      <c r="BT234" s="684"/>
      <c r="BU234" s="541"/>
    </row>
    <row r="235" ht="19.5" customHeight="1">
      <c r="A235" s="1698" t="str">
        <f t="shared" si="163"/>
        <v>Да</v>
      </c>
      <c r="B235" s="1978">
        <v>1873.0</v>
      </c>
      <c r="C235" s="1734">
        <v>221.0</v>
      </c>
      <c r="D235" s="1817"/>
      <c r="E235" s="1702" t="str">
        <f t="shared" si="164"/>
        <v>Колбаса ''Баварская'' с пюре и тушеной капустой</v>
      </c>
      <c r="F235" s="2019">
        <f t="shared" si="165"/>
        <v>3</v>
      </c>
      <c r="G235" s="69"/>
      <c r="H235" s="2019">
        <f t="shared" si="166"/>
        <v>5</v>
      </c>
      <c r="I235" s="69"/>
      <c r="J235" s="2019">
        <f t="shared" si="167"/>
        <v>4</v>
      </c>
      <c r="K235" s="69"/>
      <c r="L235" s="2019">
        <f t="shared" si="168"/>
        <v>2</v>
      </c>
      <c r="M235" s="69"/>
      <c r="N235" s="2019">
        <f t="shared" si="169"/>
        <v>8</v>
      </c>
      <c r="O235" s="69"/>
      <c r="P235" s="2019">
        <f t="shared" si="170"/>
        <v>4</v>
      </c>
      <c r="Q235" s="69"/>
      <c r="R235" s="2019">
        <f t="shared" si="171"/>
        <v>4</v>
      </c>
      <c r="S235" s="69"/>
      <c r="T235" s="2019">
        <f t="shared" si="172"/>
        <v>2</v>
      </c>
      <c r="U235" s="69"/>
      <c r="V235" s="2019">
        <f t="shared" si="173"/>
        <v>2</v>
      </c>
      <c r="W235" s="69"/>
      <c r="X235" s="2019">
        <f t="shared" si="174"/>
        <v>2</v>
      </c>
      <c r="Y235" s="69"/>
      <c r="Z235" s="2019" t="str">
        <f t="shared" si="175"/>
        <v/>
      </c>
      <c r="AA235" s="69"/>
      <c r="AB235" s="2019">
        <f t="shared" si="176"/>
        <v>4</v>
      </c>
      <c r="AC235" s="69"/>
      <c r="AD235" s="2019">
        <f t="shared" si="177"/>
        <v>6</v>
      </c>
      <c r="AE235" s="69"/>
      <c r="AF235" s="2019">
        <f t="shared" si="178"/>
        <v>2</v>
      </c>
      <c r="AG235" s="69"/>
      <c r="AH235" s="2019">
        <f t="shared" si="179"/>
        <v>3</v>
      </c>
      <c r="AI235" s="69"/>
      <c r="AJ235" s="2019">
        <f t="shared" si="180"/>
        <v>6</v>
      </c>
      <c r="AK235" s="69"/>
      <c r="AL235" s="2019">
        <f t="shared" si="181"/>
        <v>2</v>
      </c>
      <c r="AM235" s="69"/>
      <c r="AN235" s="2019" t="str">
        <f t="shared" si="182"/>
        <v/>
      </c>
      <c r="AO235" s="69"/>
      <c r="AP235" s="2019">
        <f t="shared" si="183"/>
        <v>0</v>
      </c>
      <c r="AQ235" s="69"/>
      <c r="AR235" s="2019">
        <f t="shared" si="184"/>
        <v>2</v>
      </c>
      <c r="AS235" s="69"/>
      <c r="AT235" s="2019">
        <f t="shared" si="185"/>
        <v>8</v>
      </c>
      <c r="AU235" s="69"/>
      <c r="AV235" s="2019">
        <f t="shared" si="186"/>
        <v>4</v>
      </c>
      <c r="AW235" s="69"/>
      <c r="AX235" s="2164">
        <f t="shared" si="187"/>
        <v>3</v>
      </c>
      <c r="AY235" s="69"/>
      <c r="AZ235" s="2164">
        <f t="shared" si="188"/>
        <v>3</v>
      </c>
      <c r="BA235" s="69"/>
      <c r="BB235" s="2164">
        <f t="shared" si="189"/>
        <v>2</v>
      </c>
      <c r="BC235" s="69"/>
      <c r="BD235" s="2164">
        <f t="shared" si="190"/>
        <v>2</v>
      </c>
      <c r="BE235" s="69"/>
      <c r="BF235" s="2164">
        <f t="shared" si="191"/>
        <v>4</v>
      </c>
      <c r="BG235" s="69"/>
      <c r="BH235" s="2164">
        <f t="shared" si="192"/>
        <v>2</v>
      </c>
      <c r="BI235" s="69"/>
      <c r="BJ235" s="2164">
        <f t="shared" si="193"/>
        <v>6</v>
      </c>
      <c r="BK235" s="69"/>
      <c r="BL235" s="2164" t="str">
        <f t="shared" si="194"/>
        <v/>
      </c>
      <c r="BM235" s="69"/>
      <c r="BN235" s="2034">
        <f t="shared" si="195"/>
        <v>10</v>
      </c>
      <c r="BO235" s="69"/>
      <c r="BP235" s="2170">
        <f t="shared" si="196"/>
        <v>105</v>
      </c>
      <c r="BQ235" s="69"/>
      <c r="BS235" s="541"/>
      <c r="BT235" s="684"/>
      <c r="BU235" s="541"/>
    </row>
    <row r="236" ht="19.5" customHeight="1">
      <c r="A236" s="1698" t="str">
        <f t="shared" si="163"/>
        <v>Да</v>
      </c>
      <c r="B236" s="1978">
        <v>1151.0</v>
      </c>
      <c r="C236" s="1734">
        <v>198.0</v>
      </c>
      <c r="D236" s="1817"/>
      <c r="E236" s="1702" t="str">
        <f t="shared" si="164"/>
        <v>Тефтели куриные с гречкой</v>
      </c>
      <c r="F236" s="2019">
        <f t="shared" si="165"/>
        <v>2</v>
      </c>
      <c r="G236" s="69"/>
      <c r="H236" s="2019">
        <f t="shared" si="166"/>
        <v>2</v>
      </c>
      <c r="I236" s="69"/>
      <c r="J236" s="2019">
        <f t="shared" si="167"/>
        <v>2</v>
      </c>
      <c r="K236" s="69"/>
      <c r="L236" s="2019">
        <f t="shared" si="168"/>
        <v>2</v>
      </c>
      <c r="M236" s="69"/>
      <c r="N236" s="2019">
        <f t="shared" si="169"/>
        <v>2</v>
      </c>
      <c r="O236" s="69"/>
      <c r="P236" s="2019">
        <f t="shared" si="170"/>
        <v>4</v>
      </c>
      <c r="Q236" s="69"/>
      <c r="R236" s="2019">
        <f t="shared" si="171"/>
        <v>3</v>
      </c>
      <c r="S236" s="69"/>
      <c r="T236" s="2194">
        <f t="shared" si="172"/>
        <v>2</v>
      </c>
      <c r="U236" s="69"/>
      <c r="V236" s="2019">
        <f t="shared" si="173"/>
        <v>2</v>
      </c>
      <c r="W236" s="69"/>
      <c r="X236" s="2019">
        <f t="shared" si="174"/>
        <v>2</v>
      </c>
      <c r="Y236" s="69"/>
      <c r="Z236" s="2019" t="str">
        <f t="shared" si="175"/>
        <v/>
      </c>
      <c r="AA236" s="69"/>
      <c r="AB236" s="2019">
        <f t="shared" si="176"/>
        <v>2</v>
      </c>
      <c r="AC236" s="69"/>
      <c r="AD236" s="2019">
        <f t="shared" si="177"/>
        <v>5</v>
      </c>
      <c r="AE236" s="69"/>
      <c r="AF236" s="2019">
        <f t="shared" si="178"/>
        <v>3</v>
      </c>
      <c r="AG236" s="69"/>
      <c r="AH236" s="2019">
        <f t="shared" si="179"/>
        <v>2</v>
      </c>
      <c r="AI236" s="69"/>
      <c r="AJ236" s="2019">
        <f t="shared" si="180"/>
        <v>4</v>
      </c>
      <c r="AK236" s="69"/>
      <c r="AL236" s="2019">
        <f t="shared" si="181"/>
        <v>2</v>
      </c>
      <c r="AM236" s="69"/>
      <c r="AN236" s="2019" t="str">
        <f t="shared" si="182"/>
        <v/>
      </c>
      <c r="AO236" s="69"/>
      <c r="AP236" s="2019">
        <f t="shared" si="183"/>
        <v>5</v>
      </c>
      <c r="AQ236" s="69"/>
      <c r="AR236" s="2019">
        <f t="shared" si="184"/>
        <v>0</v>
      </c>
      <c r="AS236" s="69"/>
      <c r="AT236" s="2019">
        <f t="shared" si="185"/>
        <v>8</v>
      </c>
      <c r="AU236" s="69"/>
      <c r="AV236" s="2019">
        <f t="shared" si="186"/>
        <v>2</v>
      </c>
      <c r="AW236" s="69"/>
      <c r="AX236" s="2164">
        <f t="shared" si="187"/>
        <v>0</v>
      </c>
      <c r="AY236" s="69"/>
      <c r="AZ236" s="2164">
        <f t="shared" si="188"/>
        <v>2</v>
      </c>
      <c r="BA236" s="69"/>
      <c r="BB236" s="2164">
        <f t="shared" si="189"/>
        <v>2</v>
      </c>
      <c r="BC236" s="69"/>
      <c r="BD236" s="2164">
        <f t="shared" si="190"/>
        <v>2</v>
      </c>
      <c r="BE236" s="69"/>
      <c r="BF236" s="2164">
        <f t="shared" si="191"/>
        <v>1</v>
      </c>
      <c r="BG236" s="69"/>
      <c r="BH236" s="2164">
        <f t="shared" si="192"/>
        <v>2</v>
      </c>
      <c r="BI236" s="69"/>
      <c r="BJ236" s="2164">
        <f t="shared" si="193"/>
        <v>3</v>
      </c>
      <c r="BK236" s="69"/>
      <c r="BL236" s="2164">
        <f t="shared" si="194"/>
        <v>80</v>
      </c>
      <c r="BM236" s="69"/>
      <c r="BN236" s="2034">
        <f t="shared" si="195"/>
        <v>10</v>
      </c>
      <c r="BO236" s="69"/>
      <c r="BP236" s="2170">
        <f t="shared" si="196"/>
        <v>158</v>
      </c>
      <c r="BQ236" s="69"/>
      <c r="BS236" s="684"/>
      <c r="BT236" s="684"/>
      <c r="BU236" s="541"/>
    </row>
    <row r="237" ht="19.5" customHeight="1">
      <c r="A237" s="1698" t="str">
        <f t="shared" si="163"/>
        <v>Да</v>
      </c>
      <c r="B237" s="1978">
        <v>3517.0</v>
      </c>
      <c r="C237" s="1734">
        <v>215.0</v>
      </c>
      <c r="D237" s="1817"/>
      <c r="E237" s="1702" t="str">
        <f t="shared" si="164"/>
        <v>Тилапия в соусе сальса с рисом</v>
      </c>
      <c r="F237" s="2019">
        <f t="shared" si="165"/>
        <v>3</v>
      </c>
      <c r="G237" s="69"/>
      <c r="H237" s="2019">
        <f t="shared" si="166"/>
        <v>2</v>
      </c>
      <c r="I237" s="69"/>
      <c r="J237" s="2019">
        <f t="shared" si="167"/>
        <v>3</v>
      </c>
      <c r="K237" s="69"/>
      <c r="L237" s="2019">
        <f t="shared" si="168"/>
        <v>3</v>
      </c>
      <c r="M237" s="69"/>
      <c r="N237" s="2019">
        <f t="shared" si="169"/>
        <v>2</v>
      </c>
      <c r="O237" s="69"/>
      <c r="P237" s="2019">
        <f t="shared" si="170"/>
        <v>2</v>
      </c>
      <c r="Q237" s="69"/>
      <c r="R237" s="2019">
        <f t="shared" si="171"/>
        <v>3</v>
      </c>
      <c r="S237" s="69"/>
      <c r="T237" s="2019">
        <f t="shared" si="172"/>
        <v>2</v>
      </c>
      <c r="U237" s="69"/>
      <c r="V237" s="2019">
        <f t="shared" si="173"/>
        <v>2</v>
      </c>
      <c r="W237" s="69"/>
      <c r="X237" s="2019">
        <f t="shared" si="174"/>
        <v>2</v>
      </c>
      <c r="Y237" s="69"/>
      <c r="Z237" s="2019" t="str">
        <f t="shared" si="175"/>
        <v/>
      </c>
      <c r="AA237" s="69"/>
      <c r="AB237" s="2019">
        <f t="shared" si="176"/>
        <v>2</v>
      </c>
      <c r="AC237" s="69"/>
      <c r="AD237" s="2019">
        <f t="shared" si="177"/>
        <v>1</v>
      </c>
      <c r="AE237" s="69"/>
      <c r="AF237" s="2019">
        <f t="shared" si="178"/>
        <v>3</v>
      </c>
      <c r="AG237" s="69"/>
      <c r="AH237" s="2019">
        <f t="shared" si="179"/>
        <v>2</v>
      </c>
      <c r="AI237" s="69"/>
      <c r="AJ237" s="2019">
        <f t="shared" si="180"/>
        <v>4</v>
      </c>
      <c r="AK237" s="69"/>
      <c r="AL237" s="2019">
        <f t="shared" si="181"/>
        <v>1</v>
      </c>
      <c r="AM237" s="69"/>
      <c r="AN237" s="2019" t="str">
        <f t="shared" si="182"/>
        <v/>
      </c>
      <c r="AO237" s="69"/>
      <c r="AP237" s="2019">
        <f t="shared" si="183"/>
        <v>2</v>
      </c>
      <c r="AQ237" s="69"/>
      <c r="AR237" s="2019">
        <f t="shared" si="184"/>
        <v>2</v>
      </c>
      <c r="AS237" s="69"/>
      <c r="AT237" s="2019">
        <f t="shared" si="185"/>
        <v>0</v>
      </c>
      <c r="AU237" s="69"/>
      <c r="AV237" s="2019">
        <f t="shared" si="186"/>
        <v>2</v>
      </c>
      <c r="AW237" s="69"/>
      <c r="AX237" s="2164">
        <f t="shared" si="187"/>
        <v>0</v>
      </c>
      <c r="AY237" s="69"/>
      <c r="AZ237" s="2164">
        <f t="shared" si="188"/>
        <v>1</v>
      </c>
      <c r="BA237" s="69"/>
      <c r="BB237" s="2164">
        <f t="shared" si="189"/>
        <v>3</v>
      </c>
      <c r="BC237" s="69"/>
      <c r="BD237" s="2164">
        <f t="shared" si="190"/>
        <v>0</v>
      </c>
      <c r="BE237" s="69"/>
      <c r="BF237" s="2164">
        <f t="shared" si="191"/>
        <v>0</v>
      </c>
      <c r="BG237" s="69"/>
      <c r="BH237" s="2164">
        <f t="shared" si="192"/>
        <v>1</v>
      </c>
      <c r="BI237" s="69"/>
      <c r="BJ237" s="2164">
        <f t="shared" si="193"/>
        <v>4</v>
      </c>
      <c r="BK237" s="69"/>
      <c r="BL237" s="2164">
        <f t="shared" si="194"/>
        <v>25</v>
      </c>
      <c r="BM237" s="69"/>
      <c r="BN237" s="2034">
        <f t="shared" si="195"/>
        <v>10</v>
      </c>
      <c r="BO237" s="69"/>
      <c r="BP237" s="2170">
        <f t="shared" si="196"/>
        <v>87</v>
      </c>
      <c r="BQ237" s="69"/>
      <c r="BS237" s="684"/>
      <c r="BT237" s="684"/>
      <c r="BU237" s="541"/>
    </row>
    <row r="238" ht="19.5" customHeight="1">
      <c r="A238" s="1698" t="str">
        <f t="shared" si="163"/>
        <v>Да</v>
      </c>
      <c r="B238" s="1978">
        <v>4032.0</v>
      </c>
      <c r="C238" s="1734">
        <v>238.0</v>
      </c>
      <c r="D238" s="1817"/>
      <c r="E238" s="1702" t="str">
        <f t="shared" si="164"/>
        <v>Печень по-царски со сливочным пюре</v>
      </c>
      <c r="F238" s="2019">
        <f t="shared" si="165"/>
        <v>2</v>
      </c>
      <c r="G238" s="69"/>
      <c r="H238" s="2019">
        <f t="shared" si="166"/>
        <v>12</v>
      </c>
      <c r="I238" s="69"/>
      <c r="J238" s="2019">
        <f t="shared" si="167"/>
        <v>4</v>
      </c>
      <c r="K238" s="69"/>
      <c r="L238" s="2019">
        <f t="shared" si="168"/>
        <v>2</v>
      </c>
      <c r="M238" s="69"/>
      <c r="N238" s="2019">
        <f t="shared" si="169"/>
        <v>4</v>
      </c>
      <c r="O238" s="69"/>
      <c r="P238" s="2019">
        <f t="shared" si="170"/>
        <v>2</v>
      </c>
      <c r="Q238" s="69"/>
      <c r="R238" s="2019">
        <f t="shared" si="171"/>
        <v>3</v>
      </c>
      <c r="S238" s="69"/>
      <c r="T238" s="2019">
        <f t="shared" si="172"/>
        <v>4</v>
      </c>
      <c r="U238" s="69"/>
      <c r="V238" s="2019">
        <f t="shared" si="173"/>
        <v>2</v>
      </c>
      <c r="W238" s="69"/>
      <c r="X238" s="2019">
        <f t="shared" si="174"/>
        <v>2</v>
      </c>
      <c r="Y238" s="69"/>
      <c r="Z238" s="2019" t="str">
        <f t="shared" si="175"/>
        <v/>
      </c>
      <c r="AA238" s="69"/>
      <c r="AB238" s="2019">
        <f t="shared" si="176"/>
        <v>2</v>
      </c>
      <c r="AC238" s="69"/>
      <c r="AD238" s="2019">
        <f t="shared" si="177"/>
        <v>2</v>
      </c>
      <c r="AE238" s="69"/>
      <c r="AF238" s="2019">
        <f t="shared" si="178"/>
        <v>3</v>
      </c>
      <c r="AG238" s="69"/>
      <c r="AH238" s="2019">
        <f t="shared" si="179"/>
        <v>5</v>
      </c>
      <c r="AI238" s="69"/>
      <c r="AJ238" s="2019">
        <f t="shared" si="180"/>
        <v>3</v>
      </c>
      <c r="AK238" s="69"/>
      <c r="AL238" s="2019">
        <f t="shared" si="181"/>
        <v>2</v>
      </c>
      <c r="AM238" s="69"/>
      <c r="AN238" s="2019" t="str">
        <f t="shared" si="182"/>
        <v/>
      </c>
      <c r="AO238" s="69"/>
      <c r="AP238" s="2019">
        <f t="shared" si="183"/>
        <v>3</v>
      </c>
      <c r="AQ238" s="69"/>
      <c r="AR238" s="2019">
        <f t="shared" si="184"/>
        <v>2</v>
      </c>
      <c r="AS238" s="69"/>
      <c r="AT238" s="2019">
        <f t="shared" si="185"/>
        <v>7</v>
      </c>
      <c r="AU238" s="69"/>
      <c r="AV238" s="2019">
        <f t="shared" si="186"/>
        <v>2</v>
      </c>
      <c r="AW238" s="69"/>
      <c r="AX238" s="2164">
        <f t="shared" si="187"/>
        <v>2</v>
      </c>
      <c r="AY238" s="69"/>
      <c r="AZ238" s="2164">
        <f t="shared" si="188"/>
        <v>2</v>
      </c>
      <c r="BA238" s="69"/>
      <c r="BB238" s="2164">
        <f t="shared" si="189"/>
        <v>2</v>
      </c>
      <c r="BC238" s="69"/>
      <c r="BD238" s="2164">
        <f t="shared" si="190"/>
        <v>2</v>
      </c>
      <c r="BE238" s="69"/>
      <c r="BF238" s="2164">
        <f t="shared" si="191"/>
        <v>1</v>
      </c>
      <c r="BG238" s="69"/>
      <c r="BH238" s="2164">
        <f t="shared" si="192"/>
        <v>2</v>
      </c>
      <c r="BI238" s="69"/>
      <c r="BJ238" s="2164">
        <f t="shared" si="193"/>
        <v>2</v>
      </c>
      <c r="BK238" s="69"/>
      <c r="BL238" s="2164" t="str">
        <f t="shared" si="194"/>
        <v/>
      </c>
      <c r="BM238" s="69"/>
      <c r="BN238" s="2034" t="str">
        <f t="shared" si="195"/>
        <v/>
      </c>
      <c r="BO238" s="69"/>
      <c r="BP238" s="2170">
        <f t="shared" si="196"/>
        <v>81</v>
      </c>
      <c r="BQ238" s="69"/>
      <c r="BS238" s="684"/>
      <c r="BT238" s="684"/>
      <c r="BU238" s="541"/>
    </row>
    <row r="239" ht="19.5" customHeight="1">
      <c r="A239" s="1698" t="str">
        <f t="shared" si="163"/>
        <v/>
      </c>
      <c r="B239" s="1978">
        <v>4120.0</v>
      </c>
      <c r="C239" s="1734">
        <v>212.0</v>
      </c>
      <c r="D239" s="1817"/>
      <c r="E239" s="1702" t="str">
        <f t="shared" si="164"/>
        <v>Курочка в сливочном соусе со спагетти</v>
      </c>
      <c r="F239" s="2019" t="str">
        <f t="shared" si="165"/>
        <v/>
      </c>
      <c r="G239" s="69"/>
      <c r="H239" s="2019" t="str">
        <f t="shared" si="166"/>
        <v/>
      </c>
      <c r="I239" s="69"/>
      <c r="J239" s="2019" t="str">
        <f t="shared" si="167"/>
        <v/>
      </c>
      <c r="K239" s="69"/>
      <c r="L239" s="2019" t="str">
        <f t="shared" si="168"/>
        <v/>
      </c>
      <c r="M239" s="69"/>
      <c r="N239" s="2019" t="str">
        <f t="shared" si="169"/>
        <v/>
      </c>
      <c r="O239" s="69"/>
      <c r="P239" s="2019" t="str">
        <f t="shared" si="170"/>
        <v/>
      </c>
      <c r="Q239" s="69"/>
      <c r="R239" s="2019" t="str">
        <f t="shared" si="171"/>
        <v/>
      </c>
      <c r="S239" s="69"/>
      <c r="T239" s="2019" t="str">
        <f t="shared" si="172"/>
        <v/>
      </c>
      <c r="U239" s="69"/>
      <c r="V239" s="2019" t="str">
        <f t="shared" si="173"/>
        <v/>
      </c>
      <c r="W239" s="69"/>
      <c r="X239" s="2019" t="str">
        <f t="shared" si="174"/>
        <v/>
      </c>
      <c r="Y239" s="69"/>
      <c r="Z239" s="2019" t="str">
        <f t="shared" si="175"/>
        <v/>
      </c>
      <c r="AA239" s="69"/>
      <c r="AB239" s="2019" t="str">
        <f t="shared" si="176"/>
        <v/>
      </c>
      <c r="AC239" s="69"/>
      <c r="AD239" s="2019" t="str">
        <f t="shared" si="177"/>
        <v/>
      </c>
      <c r="AE239" s="69"/>
      <c r="AF239" s="2019" t="str">
        <f t="shared" si="178"/>
        <v/>
      </c>
      <c r="AG239" s="69"/>
      <c r="AH239" s="2019" t="str">
        <f t="shared" si="179"/>
        <v/>
      </c>
      <c r="AI239" s="69"/>
      <c r="AJ239" s="2019" t="str">
        <f t="shared" si="180"/>
        <v/>
      </c>
      <c r="AK239" s="69"/>
      <c r="AL239" s="2019" t="str">
        <f t="shared" si="181"/>
        <v/>
      </c>
      <c r="AM239" s="69"/>
      <c r="AN239" s="2019" t="str">
        <f t="shared" si="182"/>
        <v/>
      </c>
      <c r="AO239" s="69"/>
      <c r="AP239" s="2019" t="str">
        <f t="shared" si="183"/>
        <v/>
      </c>
      <c r="AQ239" s="69"/>
      <c r="AR239" s="2019" t="str">
        <f t="shared" si="184"/>
        <v/>
      </c>
      <c r="AS239" s="69"/>
      <c r="AT239" s="2019" t="str">
        <f t="shared" si="185"/>
        <v/>
      </c>
      <c r="AU239" s="69"/>
      <c r="AV239" s="2019" t="str">
        <f t="shared" si="186"/>
        <v/>
      </c>
      <c r="AW239" s="69"/>
      <c r="AX239" s="2164" t="str">
        <f t="shared" si="187"/>
        <v/>
      </c>
      <c r="AY239" s="69"/>
      <c r="AZ239" s="2164" t="str">
        <f t="shared" si="188"/>
        <v/>
      </c>
      <c r="BA239" s="69"/>
      <c r="BB239" s="2164" t="str">
        <f t="shared" si="189"/>
        <v/>
      </c>
      <c r="BC239" s="69"/>
      <c r="BD239" s="2164" t="str">
        <f t="shared" si="190"/>
        <v/>
      </c>
      <c r="BE239" s="69"/>
      <c r="BF239" s="2164" t="str">
        <f t="shared" si="191"/>
        <v/>
      </c>
      <c r="BG239" s="69"/>
      <c r="BH239" s="2164" t="str">
        <f t="shared" si="192"/>
        <v/>
      </c>
      <c r="BI239" s="69"/>
      <c r="BJ239" s="2164" t="str">
        <f t="shared" si="193"/>
        <v/>
      </c>
      <c r="BK239" s="69"/>
      <c r="BL239" s="2164">
        <f t="shared" si="194"/>
        <v>25</v>
      </c>
      <c r="BM239" s="69"/>
      <c r="BN239" s="2034" t="str">
        <f t="shared" si="195"/>
        <v/>
      </c>
      <c r="BO239" s="69"/>
      <c r="BP239" s="2170">
        <f t="shared" si="196"/>
        <v>25</v>
      </c>
      <c r="BQ239" s="69"/>
      <c r="BS239" s="684"/>
      <c r="BT239" s="684"/>
      <c r="BU239" s="541"/>
    </row>
    <row r="240" ht="19.5" customHeight="1">
      <c r="A240" s="1698" t="str">
        <f t="shared" si="163"/>
        <v/>
      </c>
      <c r="B240" s="1978">
        <v>3527.0</v>
      </c>
      <c r="C240" s="1734">
        <v>96.0</v>
      </c>
      <c r="D240" s="1817"/>
      <c r="E240" s="1702" t="str">
        <f t="shared" si="164"/>
        <v>Хачапури 100 гр</v>
      </c>
      <c r="F240" s="2019" t="str">
        <f t="shared" si="165"/>
        <v/>
      </c>
      <c r="G240" s="69"/>
      <c r="H240" s="2019" t="str">
        <f t="shared" si="166"/>
        <v/>
      </c>
      <c r="I240" s="69"/>
      <c r="J240" s="2019" t="str">
        <f t="shared" si="167"/>
        <v/>
      </c>
      <c r="K240" s="69"/>
      <c r="L240" s="2019" t="str">
        <f t="shared" si="168"/>
        <v/>
      </c>
      <c r="M240" s="69"/>
      <c r="N240" s="2019" t="str">
        <f t="shared" si="169"/>
        <v/>
      </c>
      <c r="O240" s="69"/>
      <c r="P240" s="2019" t="str">
        <f t="shared" si="170"/>
        <v/>
      </c>
      <c r="Q240" s="69"/>
      <c r="R240" s="2019" t="str">
        <f t="shared" si="171"/>
        <v/>
      </c>
      <c r="S240" s="69"/>
      <c r="T240" s="2019" t="str">
        <f t="shared" si="172"/>
        <v/>
      </c>
      <c r="U240" s="69"/>
      <c r="V240" s="2019" t="str">
        <f t="shared" si="173"/>
        <v/>
      </c>
      <c r="W240" s="69"/>
      <c r="X240" s="2019" t="str">
        <f t="shared" si="174"/>
        <v/>
      </c>
      <c r="Y240" s="69"/>
      <c r="Z240" s="2019" t="str">
        <f t="shared" si="175"/>
        <v/>
      </c>
      <c r="AA240" s="69"/>
      <c r="AB240" s="2019" t="str">
        <f t="shared" si="176"/>
        <v/>
      </c>
      <c r="AC240" s="69"/>
      <c r="AD240" s="2019" t="str">
        <f t="shared" si="177"/>
        <v/>
      </c>
      <c r="AE240" s="69"/>
      <c r="AF240" s="2019" t="str">
        <f t="shared" si="178"/>
        <v/>
      </c>
      <c r="AG240" s="69"/>
      <c r="AH240" s="2019" t="str">
        <f t="shared" si="179"/>
        <v/>
      </c>
      <c r="AI240" s="69"/>
      <c r="AJ240" s="2019" t="str">
        <f t="shared" si="180"/>
        <v/>
      </c>
      <c r="AK240" s="69"/>
      <c r="AL240" s="2019" t="str">
        <f t="shared" si="181"/>
        <v/>
      </c>
      <c r="AM240" s="69"/>
      <c r="AN240" s="2019" t="str">
        <f t="shared" si="182"/>
        <v/>
      </c>
      <c r="AO240" s="69"/>
      <c r="AP240" s="2019" t="str">
        <f t="shared" si="183"/>
        <v/>
      </c>
      <c r="AQ240" s="69"/>
      <c r="AR240" s="2019" t="str">
        <f t="shared" si="184"/>
        <v/>
      </c>
      <c r="AS240" s="69"/>
      <c r="AT240" s="2019" t="str">
        <f t="shared" si="185"/>
        <v/>
      </c>
      <c r="AU240" s="69"/>
      <c r="AV240" s="2019" t="str">
        <f t="shared" si="186"/>
        <v/>
      </c>
      <c r="AW240" s="69"/>
      <c r="AX240" s="2164" t="str">
        <f t="shared" si="187"/>
        <v/>
      </c>
      <c r="AY240" s="69"/>
      <c r="AZ240" s="2164" t="str">
        <f t="shared" si="188"/>
        <v/>
      </c>
      <c r="BA240" s="69"/>
      <c r="BB240" s="2164" t="str">
        <f t="shared" si="189"/>
        <v/>
      </c>
      <c r="BC240" s="69"/>
      <c r="BD240" s="2164" t="str">
        <f t="shared" si="190"/>
        <v/>
      </c>
      <c r="BE240" s="69"/>
      <c r="BF240" s="2164" t="str">
        <f t="shared" si="191"/>
        <v/>
      </c>
      <c r="BG240" s="69"/>
      <c r="BH240" s="2164" t="str">
        <f t="shared" si="192"/>
        <v/>
      </c>
      <c r="BI240" s="69"/>
      <c r="BJ240" s="2164" t="str">
        <f t="shared" si="193"/>
        <v/>
      </c>
      <c r="BK240" s="69"/>
      <c r="BL240" s="2164">
        <f t="shared" si="194"/>
        <v>12</v>
      </c>
      <c r="BM240" s="69"/>
      <c r="BN240" s="2034" t="str">
        <f t="shared" si="195"/>
        <v/>
      </c>
      <c r="BO240" s="69"/>
      <c r="BP240" s="2170">
        <f t="shared" si="196"/>
        <v>12</v>
      </c>
      <c r="BQ240" s="69"/>
      <c r="BS240" s="684"/>
      <c r="BT240" s="684"/>
      <c r="BU240" s="541"/>
    </row>
    <row r="241" ht="19.5" customHeight="1">
      <c r="A241" s="1698" t="str">
        <f t="shared" si="163"/>
        <v/>
      </c>
      <c r="B241" s="1978">
        <v>3454.0</v>
      </c>
      <c r="C241" s="1734">
        <v>67.0</v>
      </c>
      <c r="D241" s="1817"/>
      <c r="E241" s="1702" t="str">
        <f t="shared" si="164"/>
        <v>Рулетик с корицей 100 гр</v>
      </c>
      <c r="F241" s="2019" t="str">
        <f t="shared" si="165"/>
        <v/>
      </c>
      <c r="G241" s="69"/>
      <c r="H241" s="2019" t="str">
        <f t="shared" si="166"/>
        <v/>
      </c>
      <c r="I241" s="69"/>
      <c r="J241" s="2019" t="str">
        <f t="shared" si="167"/>
        <v/>
      </c>
      <c r="K241" s="69"/>
      <c r="L241" s="2019" t="str">
        <f t="shared" si="168"/>
        <v/>
      </c>
      <c r="M241" s="69"/>
      <c r="N241" s="2019" t="str">
        <f t="shared" si="169"/>
        <v/>
      </c>
      <c r="O241" s="69"/>
      <c r="P241" s="2019" t="str">
        <f t="shared" si="170"/>
        <v/>
      </c>
      <c r="Q241" s="69"/>
      <c r="R241" s="2019" t="str">
        <f t="shared" si="171"/>
        <v/>
      </c>
      <c r="S241" s="69"/>
      <c r="T241" s="2019" t="str">
        <f t="shared" si="172"/>
        <v/>
      </c>
      <c r="U241" s="69"/>
      <c r="V241" s="2019" t="str">
        <f t="shared" si="173"/>
        <v/>
      </c>
      <c r="W241" s="69"/>
      <c r="X241" s="2019" t="str">
        <f t="shared" si="174"/>
        <v/>
      </c>
      <c r="Y241" s="69"/>
      <c r="Z241" s="2019" t="str">
        <f t="shared" si="175"/>
        <v/>
      </c>
      <c r="AA241" s="69"/>
      <c r="AB241" s="2019" t="str">
        <f t="shared" si="176"/>
        <v/>
      </c>
      <c r="AC241" s="69"/>
      <c r="AD241" s="2019" t="str">
        <f t="shared" si="177"/>
        <v/>
      </c>
      <c r="AE241" s="69"/>
      <c r="AF241" s="2019" t="str">
        <f t="shared" si="178"/>
        <v/>
      </c>
      <c r="AG241" s="69"/>
      <c r="AH241" s="2019" t="str">
        <f t="shared" si="179"/>
        <v/>
      </c>
      <c r="AI241" s="69"/>
      <c r="AJ241" s="2019" t="str">
        <f t="shared" si="180"/>
        <v/>
      </c>
      <c r="AK241" s="69"/>
      <c r="AL241" s="2019" t="str">
        <f t="shared" si="181"/>
        <v/>
      </c>
      <c r="AM241" s="69"/>
      <c r="AN241" s="2019" t="str">
        <f t="shared" si="182"/>
        <v/>
      </c>
      <c r="AO241" s="69"/>
      <c r="AP241" s="2019" t="str">
        <f t="shared" si="183"/>
        <v/>
      </c>
      <c r="AQ241" s="69"/>
      <c r="AR241" s="2019" t="str">
        <f t="shared" si="184"/>
        <v/>
      </c>
      <c r="AS241" s="69"/>
      <c r="AT241" s="2019" t="str">
        <f t="shared" si="185"/>
        <v/>
      </c>
      <c r="AU241" s="69"/>
      <c r="AV241" s="2019" t="str">
        <f t="shared" si="186"/>
        <v/>
      </c>
      <c r="AW241" s="69"/>
      <c r="AX241" s="2164" t="str">
        <f t="shared" si="187"/>
        <v/>
      </c>
      <c r="AY241" s="69"/>
      <c r="AZ241" s="2164" t="str">
        <f t="shared" si="188"/>
        <v/>
      </c>
      <c r="BA241" s="69"/>
      <c r="BB241" s="2164" t="str">
        <f t="shared" si="189"/>
        <v/>
      </c>
      <c r="BC241" s="69"/>
      <c r="BD241" s="2164" t="str">
        <f t="shared" si="190"/>
        <v/>
      </c>
      <c r="BE241" s="69"/>
      <c r="BF241" s="2164" t="str">
        <f t="shared" si="191"/>
        <v/>
      </c>
      <c r="BG241" s="69"/>
      <c r="BH241" s="2164" t="str">
        <f t="shared" si="192"/>
        <v/>
      </c>
      <c r="BI241" s="69"/>
      <c r="BJ241" s="2164" t="str">
        <f t="shared" si="193"/>
        <v/>
      </c>
      <c r="BK241" s="69"/>
      <c r="BL241" s="2164">
        <f t="shared" si="194"/>
        <v>10</v>
      </c>
      <c r="BM241" s="69"/>
      <c r="BN241" s="2034">
        <f t="shared" si="195"/>
        <v>10</v>
      </c>
      <c r="BO241" s="69"/>
      <c r="BP241" s="2170">
        <f t="shared" si="196"/>
        <v>20</v>
      </c>
      <c r="BQ241" s="69"/>
      <c r="BS241" s="684"/>
      <c r="BT241" s="684"/>
      <c r="BU241" s="541"/>
    </row>
    <row r="242" ht="19.5" customHeight="1">
      <c r="A242" s="1698" t="str">
        <f t="shared" ref="A242:A252" si="197">A210</f>
        <v>Да</v>
      </c>
      <c r="B242" s="1978">
        <v>2079.0</v>
      </c>
      <c r="C242" s="1734">
        <v>105.0</v>
      </c>
      <c r="D242" s="1817"/>
      <c r="E242" s="1702" t="str">
        <f t="shared" si="164"/>
        <v>Вафельная трубочка с вареной сгущенкой</v>
      </c>
      <c r="F242" s="2019">
        <f t="shared" si="165"/>
        <v>37</v>
      </c>
      <c r="G242" s="69"/>
      <c r="H242" s="2019">
        <f t="shared" si="166"/>
        <v>4</v>
      </c>
      <c r="I242" s="69"/>
      <c r="J242" s="2019">
        <f t="shared" si="167"/>
        <v>3</v>
      </c>
      <c r="K242" s="69"/>
      <c r="L242" s="2019">
        <f t="shared" si="168"/>
        <v>8</v>
      </c>
      <c r="M242" s="69"/>
      <c r="N242" s="2019">
        <f t="shared" si="169"/>
        <v>8</v>
      </c>
      <c r="O242" s="69"/>
      <c r="P242" s="2019">
        <f t="shared" si="170"/>
        <v>6</v>
      </c>
      <c r="Q242" s="69"/>
      <c r="R242" s="2019">
        <f t="shared" si="171"/>
        <v>7</v>
      </c>
      <c r="S242" s="69"/>
      <c r="T242" s="2019">
        <f t="shared" si="172"/>
        <v>7</v>
      </c>
      <c r="U242" s="69"/>
      <c r="V242" s="2019">
        <f t="shared" si="173"/>
        <v>17</v>
      </c>
      <c r="W242" s="69"/>
      <c r="X242" s="2019">
        <f t="shared" si="174"/>
        <v>10</v>
      </c>
      <c r="Y242" s="69"/>
      <c r="Z242" s="2019" t="str">
        <f t="shared" si="175"/>
        <v/>
      </c>
      <c r="AA242" s="69"/>
      <c r="AB242" s="2194">
        <f t="shared" si="176"/>
        <v>9</v>
      </c>
      <c r="AC242" s="69"/>
      <c r="AD242" s="2019">
        <f t="shared" si="177"/>
        <v>17</v>
      </c>
      <c r="AE242" s="69"/>
      <c r="AF242" s="2194">
        <f t="shared" si="178"/>
        <v>22</v>
      </c>
      <c r="AG242" s="69"/>
      <c r="AH242" s="2019">
        <f t="shared" si="179"/>
        <v>8</v>
      </c>
      <c r="AI242" s="69"/>
      <c r="AJ242" s="2019">
        <f t="shared" si="180"/>
        <v>9</v>
      </c>
      <c r="AK242" s="69"/>
      <c r="AL242" s="2019">
        <f t="shared" si="181"/>
        <v>4</v>
      </c>
      <c r="AM242" s="69"/>
      <c r="AN242" s="2019" t="str">
        <f t="shared" si="182"/>
        <v/>
      </c>
      <c r="AO242" s="69"/>
      <c r="AP242" s="2194">
        <f t="shared" si="183"/>
        <v>18</v>
      </c>
      <c r="AQ242" s="69"/>
      <c r="AR242" s="2019">
        <f t="shared" si="184"/>
        <v>4</v>
      </c>
      <c r="AS242" s="69"/>
      <c r="AT242" s="2019">
        <f t="shared" si="185"/>
        <v>8</v>
      </c>
      <c r="AU242" s="69"/>
      <c r="AV242" s="2019">
        <f t="shared" si="186"/>
        <v>7</v>
      </c>
      <c r="AW242" s="69"/>
      <c r="AX242" s="2164">
        <f t="shared" si="187"/>
        <v>9</v>
      </c>
      <c r="AY242" s="69"/>
      <c r="AZ242" s="2164">
        <f t="shared" si="188"/>
        <v>13</v>
      </c>
      <c r="BA242" s="69"/>
      <c r="BB242" s="2164">
        <f t="shared" si="189"/>
        <v>7</v>
      </c>
      <c r="BC242" s="69"/>
      <c r="BD242" s="2164">
        <f t="shared" si="190"/>
        <v>4</v>
      </c>
      <c r="BE242" s="69"/>
      <c r="BF242" s="2164">
        <f t="shared" si="191"/>
        <v>8</v>
      </c>
      <c r="BG242" s="69"/>
      <c r="BH242" s="2164">
        <f t="shared" si="192"/>
        <v>7</v>
      </c>
      <c r="BI242" s="69"/>
      <c r="BJ242" s="2164">
        <f t="shared" si="193"/>
        <v>9</v>
      </c>
      <c r="BK242" s="69"/>
      <c r="BL242" s="2164" t="str">
        <f t="shared" si="194"/>
        <v/>
      </c>
      <c r="BM242" s="69"/>
      <c r="BN242" s="2034" t="str">
        <f t="shared" si="195"/>
        <v/>
      </c>
      <c r="BO242" s="69"/>
      <c r="BP242" s="2170">
        <f t="shared" si="196"/>
        <v>270</v>
      </c>
      <c r="BQ242" s="69"/>
      <c r="BS242" s="684"/>
      <c r="BT242" s="684"/>
      <c r="BU242" s="541"/>
    </row>
    <row r="243" ht="19.5" customHeight="1">
      <c r="A243" s="1698" t="str">
        <f t="shared" si="197"/>
        <v>Да</v>
      </c>
      <c r="B243" s="1978">
        <v>2904.0</v>
      </c>
      <c r="C243" s="1734">
        <v>190.0</v>
      </c>
      <c r="D243" s="1817"/>
      <c r="E243" s="1702" t="str">
        <f t="shared" si="164"/>
        <v>Ассорти сэндвич (пепперони/ветчина)</v>
      </c>
      <c r="F243" s="2019">
        <f t="shared" si="165"/>
        <v>13</v>
      </c>
      <c r="G243" s="69"/>
      <c r="H243" s="2019">
        <f t="shared" si="166"/>
        <v>2</v>
      </c>
      <c r="I243" s="69"/>
      <c r="J243" s="2019">
        <f t="shared" si="167"/>
        <v>2</v>
      </c>
      <c r="K243" s="69"/>
      <c r="L243" s="2019">
        <f t="shared" si="168"/>
        <v>3</v>
      </c>
      <c r="M243" s="69"/>
      <c r="N243" s="2019">
        <f t="shared" si="169"/>
        <v>6</v>
      </c>
      <c r="O243" s="69"/>
      <c r="P243" s="2019">
        <f t="shared" si="170"/>
        <v>8</v>
      </c>
      <c r="Q243" s="69"/>
      <c r="R243" s="2019">
        <f t="shared" si="171"/>
        <v>7</v>
      </c>
      <c r="S243" s="69"/>
      <c r="T243" s="2019">
        <f t="shared" si="172"/>
        <v>2</v>
      </c>
      <c r="U243" s="69"/>
      <c r="V243" s="2019">
        <f t="shared" si="173"/>
        <v>3</v>
      </c>
      <c r="W243" s="69"/>
      <c r="X243" s="2019">
        <f t="shared" si="174"/>
        <v>6</v>
      </c>
      <c r="Y243" s="69"/>
      <c r="Z243" s="2019" t="str">
        <f t="shared" si="175"/>
        <v/>
      </c>
      <c r="AA243" s="69"/>
      <c r="AB243" s="2019">
        <f t="shared" si="176"/>
        <v>6</v>
      </c>
      <c r="AC243" s="69"/>
      <c r="AD243" s="2019">
        <f t="shared" si="177"/>
        <v>5</v>
      </c>
      <c r="AE243" s="69"/>
      <c r="AF243" s="2019">
        <f t="shared" si="178"/>
        <v>4</v>
      </c>
      <c r="AG243" s="69"/>
      <c r="AH243" s="2019">
        <f t="shared" si="179"/>
        <v>8</v>
      </c>
      <c r="AI243" s="69"/>
      <c r="AJ243" s="2019">
        <f t="shared" si="180"/>
        <v>5</v>
      </c>
      <c r="AK243" s="69"/>
      <c r="AL243" s="2019">
        <f t="shared" si="181"/>
        <v>3</v>
      </c>
      <c r="AM243" s="69"/>
      <c r="AN243" s="2019" t="str">
        <f t="shared" si="182"/>
        <v/>
      </c>
      <c r="AO243" s="69"/>
      <c r="AP243" s="2019">
        <f t="shared" si="183"/>
        <v>2</v>
      </c>
      <c r="AQ243" s="69"/>
      <c r="AR243" s="2019">
        <f t="shared" si="184"/>
        <v>4</v>
      </c>
      <c r="AS243" s="69"/>
      <c r="AT243" s="2019">
        <f t="shared" si="185"/>
        <v>6</v>
      </c>
      <c r="AU243" s="69"/>
      <c r="AV243" s="2019">
        <f t="shared" si="186"/>
        <v>5</v>
      </c>
      <c r="AW243" s="69"/>
      <c r="AX243" s="2164">
        <f t="shared" si="187"/>
        <v>3</v>
      </c>
      <c r="AY243" s="69"/>
      <c r="AZ243" s="2164">
        <f t="shared" si="188"/>
        <v>2</v>
      </c>
      <c r="BA243" s="69"/>
      <c r="BB243" s="2164">
        <f t="shared" si="189"/>
        <v>7</v>
      </c>
      <c r="BC243" s="69"/>
      <c r="BD243" s="2164">
        <f t="shared" si="190"/>
        <v>2</v>
      </c>
      <c r="BE243" s="69"/>
      <c r="BF243" s="2164">
        <f t="shared" si="191"/>
        <v>3</v>
      </c>
      <c r="BG243" s="69"/>
      <c r="BH243" s="2164">
        <f t="shared" si="192"/>
        <v>3</v>
      </c>
      <c r="BI243" s="69"/>
      <c r="BJ243" s="2164">
        <f t="shared" si="193"/>
        <v>5</v>
      </c>
      <c r="BK243" s="69"/>
      <c r="BL243" s="2164" t="str">
        <f t="shared" si="194"/>
        <v/>
      </c>
      <c r="BM243" s="69"/>
      <c r="BN243" s="2034" t="str">
        <f t="shared" si="195"/>
        <v/>
      </c>
      <c r="BO243" s="69"/>
      <c r="BP243" s="2170">
        <f t="shared" si="196"/>
        <v>125</v>
      </c>
      <c r="BQ243" s="69"/>
      <c r="BS243" s="684"/>
      <c r="BT243" s="684"/>
      <c r="BU243" s="541"/>
    </row>
    <row r="244" ht="19.5" customHeight="1">
      <c r="A244" s="1698" t="str">
        <f t="shared" si="197"/>
        <v>Да</v>
      </c>
      <c r="B244" s="1978">
        <v>4239.0</v>
      </c>
      <c r="C244" s="1734">
        <v>172.0</v>
      </c>
      <c r="D244" s="1817"/>
      <c r="E244" s="1702" t="str">
        <f t="shared" si="164"/>
        <v>Сэндвич с запеченной курочкой и соусом Релиш</v>
      </c>
      <c r="F244" s="2019">
        <f t="shared" si="165"/>
        <v>8</v>
      </c>
      <c r="G244" s="69"/>
      <c r="H244" s="2019">
        <f t="shared" si="166"/>
        <v>3</v>
      </c>
      <c r="I244" s="69"/>
      <c r="J244" s="2019">
        <f t="shared" si="167"/>
        <v>4</v>
      </c>
      <c r="K244" s="69"/>
      <c r="L244" s="2019">
        <f t="shared" si="168"/>
        <v>2</v>
      </c>
      <c r="M244" s="69"/>
      <c r="N244" s="2019">
        <f t="shared" si="169"/>
        <v>10</v>
      </c>
      <c r="O244" s="69"/>
      <c r="P244" s="2019">
        <f t="shared" si="170"/>
        <v>5</v>
      </c>
      <c r="Q244" s="69"/>
      <c r="R244" s="2019">
        <f t="shared" si="171"/>
        <v>3</v>
      </c>
      <c r="S244" s="69"/>
      <c r="T244" s="2019">
        <f t="shared" si="172"/>
        <v>2</v>
      </c>
      <c r="U244" s="69"/>
      <c r="V244" s="2019">
        <f t="shared" si="173"/>
        <v>3</v>
      </c>
      <c r="W244" s="69"/>
      <c r="X244" s="2019">
        <f t="shared" si="174"/>
        <v>3</v>
      </c>
      <c r="Y244" s="69"/>
      <c r="Z244" s="2019" t="str">
        <f t="shared" si="175"/>
        <v/>
      </c>
      <c r="AA244" s="69"/>
      <c r="AB244" s="2019">
        <f t="shared" si="176"/>
        <v>4</v>
      </c>
      <c r="AC244" s="69"/>
      <c r="AD244" s="2019">
        <f t="shared" si="177"/>
        <v>2</v>
      </c>
      <c r="AE244" s="69"/>
      <c r="AF244" s="2019">
        <f t="shared" si="178"/>
        <v>5</v>
      </c>
      <c r="AG244" s="69"/>
      <c r="AH244" s="2019">
        <f t="shared" si="179"/>
        <v>3</v>
      </c>
      <c r="AI244" s="69"/>
      <c r="AJ244" s="2019">
        <f t="shared" si="180"/>
        <v>4</v>
      </c>
      <c r="AK244" s="69"/>
      <c r="AL244" s="2019">
        <f t="shared" si="181"/>
        <v>4</v>
      </c>
      <c r="AM244" s="69"/>
      <c r="AN244" s="2019" t="str">
        <f t="shared" si="182"/>
        <v/>
      </c>
      <c r="AO244" s="69"/>
      <c r="AP244" s="2019">
        <f t="shared" si="183"/>
        <v>3</v>
      </c>
      <c r="AQ244" s="69"/>
      <c r="AR244" s="2019">
        <f t="shared" si="184"/>
        <v>3</v>
      </c>
      <c r="AS244" s="69"/>
      <c r="AT244" s="2019">
        <f t="shared" si="185"/>
        <v>3</v>
      </c>
      <c r="AU244" s="69"/>
      <c r="AV244" s="2019">
        <f t="shared" si="186"/>
        <v>2</v>
      </c>
      <c r="AW244" s="69"/>
      <c r="AX244" s="2164">
        <f t="shared" si="187"/>
        <v>3</v>
      </c>
      <c r="AY244" s="69"/>
      <c r="AZ244" s="2164">
        <f t="shared" si="188"/>
        <v>2</v>
      </c>
      <c r="BA244" s="69"/>
      <c r="BB244" s="2164">
        <f t="shared" si="189"/>
        <v>7</v>
      </c>
      <c r="BC244" s="69"/>
      <c r="BD244" s="2164">
        <f t="shared" si="190"/>
        <v>2</v>
      </c>
      <c r="BE244" s="69"/>
      <c r="BF244" s="2164">
        <f t="shared" si="191"/>
        <v>3</v>
      </c>
      <c r="BG244" s="69"/>
      <c r="BH244" s="2164">
        <f t="shared" si="192"/>
        <v>5</v>
      </c>
      <c r="BI244" s="69"/>
      <c r="BJ244" s="2164">
        <f t="shared" si="193"/>
        <v>6</v>
      </c>
      <c r="BK244" s="69"/>
      <c r="BL244" s="2164" t="str">
        <f t="shared" si="194"/>
        <v/>
      </c>
      <c r="BM244" s="69"/>
      <c r="BN244" s="2034" t="str">
        <f t="shared" si="195"/>
        <v/>
      </c>
      <c r="BO244" s="69"/>
      <c r="BP244" s="2170">
        <f t="shared" si="196"/>
        <v>104</v>
      </c>
      <c r="BQ244" s="69"/>
      <c r="BS244" s="684"/>
      <c r="BT244" s="684"/>
      <c r="BU244" s="541"/>
    </row>
    <row r="245" ht="19.5" customHeight="1">
      <c r="A245" s="1698" t="str">
        <f t="shared" si="197"/>
        <v>Да</v>
      </c>
      <c r="B245" s="1978">
        <v>4281.0</v>
      </c>
      <c r="C245" s="1734">
        <v>98.0</v>
      </c>
      <c r="D245" s="1817"/>
      <c r="E245" s="1702" t="str">
        <f t="shared" si="164"/>
        <v>Морс клюква/вишня 0,5 л</v>
      </c>
      <c r="F245" s="2019">
        <f t="shared" si="165"/>
        <v>12</v>
      </c>
      <c r="G245" s="69"/>
      <c r="H245" s="2019">
        <f t="shared" si="166"/>
        <v>0</v>
      </c>
      <c r="I245" s="69"/>
      <c r="J245" s="2019">
        <f t="shared" si="167"/>
        <v>5</v>
      </c>
      <c r="K245" s="69"/>
      <c r="L245" s="2019">
        <f t="shared" si="168"/>
        <v>8</v>
      </c>
      <c r="M245" s="69"/>
      <c r="N245" s="2019">
        <f t="shared" si="169"/>
        <v>0</v>
      </c>
      <c r="O245" s="69"/>
      <c r="P245" s="2019">
        <f t="shared" si="170"/>
        <v>12</v>
      </c>
      <c r="Q245" s="69"/>
      <c r="R245" s="2019">
        <f t="shared" si="171"/>
        <v>0</v>
      </c>
      <c r="S245" s="69"/>
      <c r="T245" s="2019">
        <f t="shared" si="172"/>
        <v>0</v>
      </c>
      <c r="U245" s="69"/>
      <c r="V245" s="2019">
        <f t="shared" si="173"/>
        <v>0</v>
      </c>
      <c r="W245" s="69"/>
      <c r="X245" s="2019">
        <f t="shared" si="174"/>
        <v>0</v>
      </c>
      <c r="Y245" s="69"/>
      <c r="Z245" s="2019" t="str">
        <f t="shared" si="175"/>
        <v/>
      </c>
      <c r="AA245" s="69"/>
      <c r="AB245" s="2019">
        <f t="shared" si="176"/>
        <v>0</v>
      </c>
      <c r="AC245" s="69"/>
      <c r="AD245" s="2019">
        <f t="shared" si="177"/>
        <v>0</v>
      </c>
      <c r="AE245" s="69"/>
      <c r="AF245" s="2019">
        <f t="shared" si="178"/>
        <v>7</v>
      </c>
      <c r="AG245" s="69"/>
      <c r="AH245" s="2019">
        <f t="shared" si="179"/>
        <v>0</v>
      </c>
      <c r="AI245" s="69"/>
      <c r="AJ245" s="2019">
        <f t="shared" si="180"/>
        <v>0</v>
      </c>
      <c r="AK245" s="69"/>
      <c r="AL245" s="2019">
        <f t="shared" si="181"/>
        <v>0</v>
      </c>
      <c r="AM245" s="69"/>
      <c r="AN245" s="2019" t="str">
        <f t="shared" si="182"/>
        <v/>
      </c>
      <c r="AO245" s="69"/>
      <c r="AP245" s="2019">
        <f t="shared" si="183"/>
        <v>0</v>
      </c>
      <c r="AQ245" s="69"/>
      <c r="AR245" s="2019">
        <f t="shared" si="184"/>
        <v>27</v>
      </c>
      <c r="AS245" s="69"/>
      <c r="AT245" s="2019">
        <f t="shared" si="185"/>
        <v>8</v>
      </c>
      <c r="AU245" s="69"/>
      <c r="AV245" s="2019">
        <f t="shared" si="186"/>
        <v>8</v>
      </c>
      <c r="AW245" s="69"/>
      <c r="AX245" s="2164">
        <f t="shared" si="187"/>
        <v>10</v>
      </c>
      <c r="AY245" s="69"/>
      <c r="AZ245" s="2164">
        <f t="shared" si="188"/>
        <v>0</v>
      </c>
      <c r="BA245" s="69"/>
      <c r="BB245" s="2164">
        <f t="shared" si="189"/>
        <v>12</v>
      </c>
      <c r="BC245" s="69"/>
      <c r="BD245" s="2164">
        <f t="shared" si="190"/>
        <v>7</v>
      </c>
      <c r="BE245" s="69"/>
      <c r="BF245" s="2164">
        <f t="shared" si="191"/>
        <v>12</v>
      </c>
      <c r="BG245" s="69"/>
      <c r="BH245" s="2164">
        <f t="shared" si="192"/>
        <v>8</v>
      </c>
      <c r="BI245" s="69"/>
      <c r="BJ245" s="2164">
        <f t="shared" si="193"/>
        <v>9</v>
      </c>
      <c r="BK245" s="69"/>
      <c r="BL245" s="2164" t="str">
        <f t="shared" si="194"/>
        <v/>
      </c>
      <c r="BM245" s="69"/>
      <c r="BN245" s="2034" t="str">
        <f t="shared" si="195"/>
        <v/>
      </c>
      <c r="BO245" s="69"/>
      <c r="BP245" s="2170">
        <f t="shared" si="196"/>
        <v>145</v>
      </c>
      <c r="BQ245" s="69"/>
      <c r="BS245" s="684"/>
      <c r="BT245" s="684"/>
      <c r="BU245" s="541"/>
    </row>
    <row r="246" ht="19.5" customHeight="1">
      <c r="A246" s="1698" t="str">
        <f t="shared" si="197"/>
        <v>Да</v>
      </c>
      <c r="B246" s="1978">
        <v>4238.0</v>
      </c>
      <c r="C246" s="1734">
        <v>226.0</v>
      </c>
      <c r="D246" s="1817"/>
      <c r="E246" s="1702" t="str">
        <f t="shared" si="164"/>
        <v>Тефтели куриные с овощами на пару</v>
      </c>
      <c r="F246" s="2019">
        <f t="shared" si="165"/>
        <v>3</v>
      </c>
      <c r="G246" s="69"/>
      <c r="H246" s="2019">
        <f t="shared" si="166"/>
        <v>2</v>
      </c>
      <c r="I246" s="69"/>
      <c r="J246" s="2019">
        <f t="shared" si="167"/>
        <v>2</v>
      </c>
      <c r="K246" s="69"/>
      <c r="L246" s="2019">
        <f t="shared" si="168"/>
        <v>1</v>
      </c>
      <c r="M246" s="69"/>
      <c r="N246" s="2019">
        <f t="shared" si="169"/>
        <v>3</v>
      </c>
      <c r="O246" s="69"/>
      <c r="P246" s="2019">
        <f t="shared" si="170"/>
        <v>2</v>
      </c>
      <c r="Q246" s="69"/>
      <c r="R246" s="2019">
        <f t="shared" si="171"/>
        <v>0</v>
      </c>
      <c r="S246" s="69"/>
      <c r="T246" s="2019">
        <f t="shared" si="172"/>
        <v>3</v>
      </c>
      <c r="U246" s="69"/>
      <c r="V246" s="2019">
        <f t="shared" si="173"/>
        <v>2</v>
      </c>
      <c r="W246" s="69"/>
      <c r="X246" s="2019">
        <f t="shared" si="174"/>
        <v>2</v>
      </c>
      <c r="Y246" s="69"/>
      <c r="Z246" s="2019" t="str">
        <f t="shared" si="175"/>
        <v/>
      </c>
      <c r="AA246" s="69"/>
      <c r="AB246" s="2019">
        <f t="shared" si="176"/>
        <v>0</v>
      </c>
      <c r="AC246" s="69"/>
      <c r="AD246" s="2019">
        <f t="shared" si="177"/>
        <v>3</v>
      </c>
      <c r="AE246" s="69"/>
      <c r="AF246" s="2019">
        <f t="shared" si="178"/>
        <v>2</v>
      </c>
      <c r="AG246" s="69"/>
      <c r="AH246" s="2019">
        <f t="shared" si="179"/>
        <v>3</v>
      </c>
      <c r="AI246" s="69"/>
      <c r="AJ246" s="2019">
        <f t="shared" si="180"/>
        <v>3</v>
      </c>
      <c r="AK246" s="69"/>
      <c r="AL246" s="2019">
        <f t="shared" si="181"/>
        <v>2</v>
      </c>
      <c r="AM246" s="69"/>
      <c r="AN246" s="2019" t="str">
        <f t="shared" si="182"/>
        <v/>
      </c>
      <c r="AO246" s="69"/>
      <c r="AP246" s="2019">
        <f t="shared" si="183"/>
        <v>2</v>
      </c>
      <c r="AQ246" s="69"/>
      <c r="AR246" s="2019">
        <f t="shared" si="184"/>
        <v>3</v>
      </c>
      <c r="AS246" s="69"/>
      <c r="AT246" s="2019">
        <f t="shared" si="185"/>
        <v>3</v>
      </c>
      <c r="AU246" s="69"/>
      <c r="AV246" s="2019">
        <f t="shared" si="186"/>
        <v>0</v>
      </c>
      <c r="AW246" s="69"/>
      <c r="AX246" s="2164">
        <f t="shared" si="187"/>
        <v>3</v>
      </c>
      <c r="AY246" s="69"/>
      <c r="AZ246" s="2164">
        <f t="shared" si="188"/>
        <v>1</v>
      </c>
      <c r="BA246" s="69"/>
      <c r="BB246" s="2164">
        <f t="shared" si="189"/>
        <v>2</v>
      </c>
      <c r="BC246" s="69"/>
      <c r="BD246" s="2164">
        <f t="shared" si="190"/>
        <v>2</v>
      </c>
      <c r="BE246" s="69"/>
      <c r="BF246" s="2164">
        <f t="shared" si="191"/>
        <v>2</v>
      </c>
      <c r="BG246" s="69"/>
      <c r="BH246" s="2164">
        <f t="shared" si="192"/>
        <v>2</v>
      </c>
      <c r="BI246" s="69"/>
      <c r="BJ246" s="2164">
        <f t="shared" si="193"/>
        <v>2</v>
      </c>
      <c r="BK246" s="69"/>
      <c r="BL246" s="2164" t="str">
        <f t="shared" si="194"/>
        <v/>
      </c>
      <c r="BM246" s="69"/>
      <c r="BN246" s="2034" t="str">
        <f t="shared" si="195"/>
        <v/>
      </c>
      <c r="BO246" s="69"/>
      <c r="BP246" s="2170">
        <f t="shared" si="196"/>
        <v>55</v>
      </c>
      <c r="BQ246" s="69"/>
      <c r="BS246" s="684"/>
      <c r="BT246" s="684"/>
      <c r="BU246" s="541"/>
    </row>
    <row r="247" ht="19.5" customHeight="1">
      <c r="A247" s="1698" t="str">
        <f t="shared" si="197"/>
        <v/>
      </c>
      <c r="B247" s="1978">
        <v>822.0</v>
      </c>
      <c r="C247" s="1734">
        <v>5.0</v>
      </c>
      <c r="D247" s="1817"/>
      <c r="E247" s="1702" t="str">
        <f t="shared" si="164"/>
        <v>Хлеб пшеничный</v>
      </c>
      <c r="F247" s="2019">
        <f t="shared" si="165"/>
        <v>6</v>
      </c>
      <c r="G247" s="69"/>
      <c r="H247" s="2071">
        <f t="shared" si="166"/>
        <v>4</v>
      </c>
      <c r="I247" s="69"/>
      <c r="J247" s="2019" t="str">
        <f t="shared" si="167"/>
        <v/>
      </c>
      <c r="K247" s="69"/>
      <c r="L247" s="2019">
        <f t="shared" si="168"/>
        <v>4</v>
      </c>
      <c r="M247" s="69"/>
      <c r="N247" s="2019">
        <f t="shared" si="169"/>
        <v>3</v>
      </c>
      <c r="O247" s="69"/>
      <c r="P247" s="2071">
        <f t="shared" si="170"/>
        <v>3</v>
      </c>
      <c r="Q247" s="69"/>
      <c r="R247" s="2019">
        <f t="shared" si="171"/>
        <v>3</v>
      </c>
      <c r="S247" s="69"/>
      <c r="T247" s="2019">
        <f t="shared" si="172"/>
        <v>5</v>
      </c>
      <c r="U247" s="69"/>
      <c r="V247" s="2019">
        <f t="shared" si="173"/>
        <v>4</v>
      </c>
      <c r="W247" s="69"/>
      <c r="X247" s="2019">
        <f t="shared" si="174"/>
        <v>5</v>
      </c>
      <c r="Y247" s="69"/>
      <c r="Z247" s="2019" t="str">
        <f t="shared" si="175"/>
        <v/>
      </c>
      <c r="AA247" s="69"/>
      <c r="AB247" s="2019">
        <f t="shared" si="176"/>
        <v>3</v>
      </c>
      <c r="AC247" s="69"/>
      <c r="AD247" s="2019">
        <f t="shared" si="177"/>
        <v>9</v>
      </c>
      <c r="AE247" s="69"/>
      <c r="AF247" s="2019">
        <f t="shared" si="178"/>
        <v>5</v>
      </c>
      <c r="AG247" s="69"/>
      <c r="AH247" s="2019" t="str">
        <f t="shared" si="179"/>
        <v/>
      </c>
      <c r="AI247" s="69"/>
      <c r="AJ247" s="2019">
        <f t="shared" si="180"/>
        <v>3</v>
      </c>
      <c r="AK247" s="69"/>
      <c r="AL247" s="2019">
        <f t="shared" si="181"/>
        <v>3</v>
      </c>
      <c r="AM247" s="69"/>
      <c r="AN247" s="2019" t="str">
        <f t="shared" si="182"/>
        <v/>
      </c>
      <c r="AO247" s="69"/>
      <c r="AP247" s="2019" t="str">
        <f t="shared" si="183"/>
        <v/>
      </c>
      <c r="AQ247" s="69"/>
      <c r="AR247" s="2019" t="str">
        <f t="shared" si="184"/>
        <v/>
      </c>
      <c r="AS247" s="69"/>
      <c r="AT247" s="2019">
        <f t="shared" si="185"/>
        <v>4</v>
      </c>
      <c r="AU247" s="69"/>
      <c r="AV247" s="2019">
        <f t="shared" si="186"/>
        <v>4</v>
      </c>
      <c r="AW247" s="69"/>
      <c r="AX247" s="2164">
        <f t="shared" si="187"/>
        <v>3</v>
      </c>
      <c r="AY247" s="69"/>
      <c r="AZ247" s="2164">
        <f t="shared" si="188"/>
        <v>20</v>
      </c>
      <c r="BA247" s="69"/>
      <c r="BB247" s="2164" t="str">
        <f t="shared" si="189"/>
        <v/>
      </c>
      <c r="BC247" s="69"/>
      <c r="BD247" s="2164" t="str">
        <f t="shared" si="190"/>
        <v/>
      </c>
      <c r="BE247" s="69"/>
      <c r="BF247" s="2164">
        <f t="shared" si="191"/>
        <v>4</v>
      </c>
      <c r="BG247" s="69"/>
      <c r="BH247" s="2164">
        <f t="shared" si="192"/>
        <v>5</v>
      </c>
      <c r="BI247" s="69"/>
      <c r="BJ247" s="2164">
        <f t="shared" si="193"/>
        <v>3</v>
      </c>
      <c r="BK247" s="69"/>
      <c r="BL247" s="2164">
        <f t="shared" si="194"/>
        <v>120</v>
      </c>
      <c r="BM247" s="69"/>
      <c r="BN247" s="2034" t="str">
        <f t="shared" si="195"/>
        <v> </v>
      </c>
      <c r="BO247" s="69"/>
      <c r="BP247" s="2170">
        <f t="shared" si="196"/>
        <v>223</v>
      </c>
      <c r="BQ247" s="69"/>
      <c r="BS247" s="684"/>
      <c r="BT247" s="684"/>
      <c r="BU247" s="541"/>
    </row>
    <row r="248" ht="19.5" customHeight="1">
      <c r="A248" s="1698" t="str">
        <f t="shared" si="197"/>
        <v/>
      </c>
      <c r="B248" s="1978"/>
      <c r="C248" s="1734"/>
      <c r="D248" s="2208"/>
      <c r="E248" s="1702" t="str">
        <f t="shared" si="164"/>
        <v/>
      </c>
      <c r="F248" s="2019" t="str">
        <f t="shared" si="165"/>
        <v/>
      </c>
      <c r="G248" s="69"/>
      <c r="H248" s="2019" t="str">
        <f t="shared" si="166"/>
        <v/>
      </c>
      <c r="I248" s="69"/>
      <c r="J248" s="2019" t="str">
        <f t="shared" si="167"/>
        <v/>
      </c>
      <c r="K248" s="69"/>
      <c r="L248" s="2019" t="str">
        <f t="shared" si="168"/>
        <v/>
      </c>
      <c r="M248" s="69"/>
      <c r="N248" s="2019" t="str">
        <f t="shared" si="169"/>
        <v/>
      </c>
      <c r="O248" s="69"/>
      <c r="P248" s="2019" t="str">
        <f t="shared" si="170"/>
        <v/>
      </c>
      <c r="Q248" s="69"/>
      <c r="R248" s="2019" t="str">
        <f t="shared" si="171"/>
        <v/>
      </c>
      <c r="S248" s="69"/>
      <c r="T248" s="2019" t="str">
        <f t="shared" si="172"/>
        <v/>
      </c>
      <c r="U248" s="69"/>
      <c r="V248" s="2019" t="str">
        <f t="shared" si="173"/>
        <v/>
      </c>
      <c r="W248" s="69"/>
      <c r="X248" s="2019" t="str">
        <f t="shared" si="174"/>
        <v/>
      </c>
      <c r="Y248" s="69"/>
      <c r="Z248" s="2019" t="str">
        <f t="shared" si="175"/>
        <v/>
      </c>
      <c r="AA248" s="69"/>
      <c r="AB248" s="2019" t="str">
        <f t="shared" si="176"/>
        <v/>
      </c>
      <c r="AC248" s="69"/>
      <c r="AD248" s="2019" t="str">
        <f t="shared" si="177"/>
        <v/>
      </c>
      <c r="AE248" s="69"/>
      <c r="AF248" s="2019" t="str">
        <f t="shared" si="178"/>
        <v/>
      </c>
      <c r="AG248" s="69"/>
      <c r="AH248" s="2019" t="str">
        <f t="shared" si="179"/>
        <v/>
      </c>
      <c r="AI248" s="69"/>
      <c r="AJ248" s="2019" t="str">
        <f t="shared" si="180"/>
        <v/>
      </c>
      <c r="AK248" s="69"/>
      <c r="AL248" s="2019" t="str">
        <f t="shared" si="181"/>
        <v/>
      </c>
      <c r="AM248" s="69"/>
      <c r="AN248" s="2019" t="str">
        <f t="shared" si="182"/>
        <v/>
      </c>
      <c r="AO248" s="69"/>
      <c r="AP248" s="2019" t="str">
        <f t="shared" si="183"/>
        <v/>
      </c>
      <c r="AQ248" s="69"/>
      <c r="AR248" s="2019" t="str">
        <f t="shared" si="184"/>
        <v/>
      </c>
      <c r="AS248" s="69"/>
      <c r="AT248" s="2019" t="str">
        <f t="shared" si="185"/>
        <v/>
      </c>
      <c r="AU248" s="69"/>
      <c r="AV248" s="2019" t="str">
        <f t="shared" si="186"/>
        <v/>
      </c>
      <c r="AW248" s="69"/>
      <c r="AX248" s="2164" t="str">
        <f t="shared" si="187"/>
        <v/>
      </c>
      <c r="AY248" s="69"/>
      <c r="AZ248" s="2164" t="str">
        <f t="shared" si="188"/>
        <v/>
      </c>
      <c r="BA248" s="69"/>
      <c r="BB248" s="2164" t="str">
        <f t="shared" si="189"/>
        <v/>
      </c>
      <c r="BC248" s="69"/>
      <c r="BD248" s="2164" t="str">
        <f t="shared" si="190"/>
        <v/>
      </c>
      <c r="BE248" s="69"/>
      <c r="BF248" s="2164" t="str">
        <f t="shared" si="191"/>
        <v/>
      </c>
      <c r="BG248" s="69"/>
      <c r="BH248" s="2164" t="str">
        <f t="shared" si="192"/>
        <v/>
      </c>
      <c r="BI248" s="69"/>
      <c r="BJ248" s="2164" t="str">
        <f t="shared" si="193"/>
        <v/>
      </c>
      <c r="BK248" s="69"/>
      <c r="BL248" s="2164" t="str">
        <f t="shared" si="194"/>
        <v/>
      </c>
      <c r="BM248" s="69"/>
      <c r="BN248" s="2034" t="str">
        <f t="shared" si="195"/>
        <v/>
      </c>
      <c r="BO248" s="69"/>
      <c r="BP248" s="2170">
        <f t="shared" si="196"/>
        <v>0</v>
      </c>
      <c r="BQ248" s="69"/>
      <c r="BS248" s="684"/>
      <c r="BT248" s="684"/>
      <c r="BU248" s="541"/>
    </row>
    <row r="249" ht="19.5" customHeight="1">
      <c r="A249" s="1698" t="str">
        <f t="shared" si="197"/>
        <v/>
      </c>
      <c r="B249" s="1611"/>
      <c r="C249" s="1956"/>
      <c r="D249" s="1817"/>
      <c r="E249" s="1702" t="str">
        <f t="shared" ref="E249:E252" si="198">E217</f>
        <v/>
      </c>
      <c r="F249" s="2019" t="str">
        <f t="shared" ref="F249:F251" si="199">G217</f>
        <v/>
      </c>
      <c r="G249" s="69"/>
      <c r="H249" s="2019" t="str">
        <f t="shared" ref="H249:H251" si="200">I217</f>
        <v/>
      </c>
      <c r="I249" s="69"/>
      <c r="J249" s="2019" t="str">
        <f t="shared" ref="J249:J251" si="201">K217</f>
        <v/>
      </c>
      <c r="K249" s="69"/>
      <c r="L249" s="2019" t="str">
        <f t="shared" ref="L249:L251" si="202">M217</f>
        <v/>
      </c>
      <c r="M249" s="69"/>
      <c r="N249" s="2019" t="str">
        <f t="shared" ref="N249:N251" si="203">O217</f>
        <v/>
      </c>
      <c r="O249" s="69"/>
      <c r="P249" s="2019" t="str">
        <f t="shared" ref="P249:P251" si="204">Q217</f>
        <v/>
      </c>
      <c r="Q249" s="69"/>
      <c r="R249" s="2019" t="str">
        <f t="shared" ref="R249:R251" si="205">S217</f>
        <v/>
      </c>
      <c r="S249" s="69"/>
      <c r="T249" s="2019" t="str">
        <f t="shared" ref="T249:T251" si="206">U217</f>
        <v/>
      </c>
      <c r="U249" s="69"/>
      <c r="V249" s="2019" t="str">
        <f t="shared" ref="V249:V251" si="207">W217</f>
        <v/>
      </c>
      <c r="W249" s="69"/>
      <c r="X249" s="2019" t="str">
        <f t="shared" ref="X249:X251" si="208">Y217</f>
        <v/>
      </c>
      <c r="Y249" s="69"/>
      <c r="Z249" s="2019" t="str">
        <f t="shared" ref="Z249:Z251" si="209">AA217</f>
        <v/>
      </c>
      <c r="AA249" s="69"/>
      <c r="AB249" s="2019" t="str">
        <f t="shared" ref="AB249:AB251" si="210">AC217</f>
        <v/>
      </c>
      <c r="AC249" s="69"/>
      <c r="AD249" s="2019" t="str">
        <f t="shared" ref="AD249:AD251" si="211">AE217</f>
        <v/>
      </c>
      <c r="AE249" s="69"/>
      <c r="AF249" s="2019" t="str">
        <f t="shared" ref="AF249:AF251" si="212">AG217</f>
        <v/>
      </c>
      <c r="AG249" s="69"/>
      <c r="AH249" s="2019" t="str">
        <f t="shared" ref="AH249:AH251" si="213">AI217</f>
        <v/>
      </c>
      <c r="AI249" s="69"/>
      <c r="AJ249" s="2019" t="str">
        <f t="shared" ref="AJ249:AJ251" si="214">AK217</f>
        <v/>
      </c>
      <c r="AK249" s="69"/>
      <c r="AL249" s="2019" t="str">
        <f t="shared" ref="AL249:AL251" si="215">AM217</f>
        <v/>
      </c>
      <c r="AM249" s="69"/>
      <c r="AN249" s="2019" t="str">
        <f t="shared" ref="AN249:AN251" si="216">AO217</f>
        <v/>
      </c>
      <c r="AO249" s="69"/>
      <c r="AP249" s="2019" t="str">
        <f t="shared" ref="AP249:AP251" si="217">AQ217</f>
        <v/>
      </c>
      <c r="AQ249" s="69"/>
      <c r="AR249" s="2019" t="str">
        <f t="shared" ref="AR249:AR251" si="218">AS217</f>
        <v/>
      </c>
      <c r="AS249" s="69"/>
      <c r="AT249" s="2019" t="str">
        <f t="shared" ref="AT249:AT251" si="219">AU217</f>
        <v/>
      </c>
      <c r="AU249" s="69"/>
      <c r="AV249" s="2019" t="str">
        <f t="shared" ref="AV249:AV251" si="220">AW217</f>
        <v/>
      </c>
      <c r="AW249" s="69"/>
      <c r="AX249" s="2164" t="str">
        <f t="shared" ref="AX249:AX251" si="221">AY217</f>
        <v/>
      </c>
      <c r="AY249" s="69"/>
      <c r="AZ249" s="2164" t="str">
        <f t="shared" ref="AZ249:AZ251" si="222">BA217</f>
        <v/>
      </c>
      <c r="BA249" s="69"/>
      <c r="BB249" s="2164" t="str">
        <f t="shared" ref="BB249:BB251" si="223">BC217</f>
        <v/>
      </c>
      <c r="BC249" s="69"/>
      <c r="BD249" s="2164" t="str">
        <f t="shared" ref="BD249:BD251" si="224">BE217</f>
        <v/>
      </c>
      <c r="BE249" s="69"/>
      <c r="BF249" s="2164" t="str">
        <f t="shared" ref="BF249:BF251" si="225">BG217</f>
        <v/>
      </c>
      <c r="BG249" s="69"/>
      <c r="BH249" s="2164" t="str">
        <f t="shared" ref="BH249:BH251" si="226">BI217</f>
        <v/>
      </c>
      <c r="BI249" s="69"/>
      <c r="BJ249" s="2164" t="str">
        <f t="shared" si="193"/>
        <v/>
      </c>
      <c r="BK249" s="69"/>
      <c r="BL249" s="2164" t="str">
        <f t="shared" ref="BL249:BL251" si="227">BM217</f>
        <v/>
      </c>
      <c r="BM249" s="69"/>
      <c r="BN249" s="2034" t="str">
        <f t="shared" ref="BN249:BN252" si="228">BO217</f>
        <v/>
      </c>
      <c r="BO249" s="69"/>
      <c r="BP249" s="2170">
        <f t="shared" si="196"/>
        <v>0</v>
      </c>
      <c r="BQ249" s="69"/>
      <c r="BS249" s="684"/>
      <c r="BT249" s="684"/>
      <c r="BU249" s="541"/>
    </row>
    <row r="250" ht="19.5" customHeight="1">
      <c r="A250" s="1698" t="str">
        <f t="shared" si="197"/>
        <v/>
      </c>
      <c r="B250" s="1611"/>
      <c r="C250" s="1956"/>
      <c r="D250" s="1817"/>
      <c r="E250" s="1702" t="str">
        <f t="shared" si="198"/>
        <v/>
      </c>
      <c r="F250" s="2019" t="str">
        <f t="shared" si="199"/>
        <v/>
      </c>
      <c r="G250" s="69"/>
      <c r="H250" s="2019" t="str">
        <f t="shared" si="200"/>
        <v/>
      </c>
      <c r="I250" s="69"/>
      <c r="J250" s="2019" t="str">
        <f t="shared" si="201"/>
        <v/>
      </c>
      <c r="K250" s="69"/>
      <c r="L250" s="2019" t="str">
        <f t="shared" si="202"/>
        <v/>
      </c>
      <c r="M250" s="69"/>
      <c r="N250" s="2019" t="str">
        <f t="shared" si="203"/>
        <v/>
      </c>
      <c r="O250" s="69"/>
      <c r="P250" s="2019" t="str">
        <f t="shared" si="204"/>
        <v/>
      </c>
      <c r="Q250" s="69"/>
      <c r="R250" s="2019" t="str">
        <f t="shared" si="205"/>
        <v/>
      </c>
      <c r="S250" s="69"/>
      <c r="T250" s="2019" t="str">
        <f t="shared" si="206"/>
        <v/>
      </c>
      <c r="U250" s="69"/>
      <c r="V250" s="2019" t="str">
        <f t="shared" si="207"/>
        <v/>
      </c>
      <c r="W250" s="69"/>
      <c r="X250" s="2019" t="str">
        <f t="shared" si="208"/>
        <v/>
      </c>
      <c r="Y250" s="69"/>
      <c r="Z250" s="2019" t="str">
        <f t="shared" si="209"/>
        <v/>
      </c>
      <c r="AA250" s="69"/>
      <c r="AB250" s="2019" t="str">
        <f t="shared" si="210"/>
        <v/>
      </c>
      <c r="AC250" s="69"/>
      <c r="AD250" s="2019" t="str">
        <f t="shared" si="211"/>
        <v/>
      </c>
      <c r="AE250" s="69"/>
      <c r="AF250" s="2019" t="str">
        <f t="shared" si="212"/>
        <v/>
      </c>
      <c r="AG250" s="69"/>
      <c r="AH250" s="2019" t="str">
        <f t="shared" si="213"/>
        <v/>
      </c>
      <c r="AI250" s="69"/>
      <c r="AJ250" s="2019" t="str">
        <f t="shared" si="214"/>
        <v/>
      </c>
      <c r="AK250" s="69"/>
      <c r="AL250" s="2019" t="str">
        <f t="shared" si="215"/>
        <v/>
      </c>
      <c r="AM250" s="69"/>
      <c r="AN250" s="2019" t="str">
        <f t="shared" si="216"/>
        <v/>
      </c>
      <c r="AO250" s="69"/>
      <c r="AP250" s="2019" t="str">
        <f t="shared" si="217"/>
        <v/>
      </c>
      <c r="AQ250" s="69"/>
      <c r="AR250" s="2019" t="str">
        <f t="shared" si="218"/>
        <v/>
      </c>
      <c r="AS250" s="69"/>
      <c r="AT250" s="2019" t="str">
        <f t="shared" si="219"/>
        <v/>
      </c>
      <c r="AU250" s="69"/>
      <c r="AV250" s="2019" t="str">
        <f t="shared" si="220"/>
        <v/>
      </c>
      <c r="AW250" s="69"/>
      <c r="AX250" s="2164" t="str">
        <f t="shared" si="221"/>
        <v/>
      </c>
      <c r="AY250" s="69"/>
      <c r="AZ250" s="2164" t="str">
        <f t="shared" si="222"/>
        <v/>
      </c>
      <c r="BA250" s="69"/>
      <c r="BB250" s="2164" t="str">
        <f t="shared" si="223"/>
        <v/>
      </c>
      <c r="BC250" s="69"/>
      <c r="BD250" s="2164" t="str">
        <f t="shared" si="224"/>
        <v/>
      </c>
      <c r="BE250" s="69"/>
      <c r="BF250" s="2164" t="str">
        <f t="shared" si="225"/>
        <v/>
      </c>
      <c r="BG250" s="69"/>
      <c r="BH250" s="2164" t="str">
        <f t="shared" si="226"/>
        <v/>
      </c>
      <c r="BI250" s="69"/>
      <c r="BJ250" s="2164" t="str">
        <f t="shared" si="193"/>
        <v/>
      </c>
      <c r="BK250" s="69"/>
      <c r="BL250" s="2164" t="str">
        <f t="shared" si="227"/>
        <v/>
      </c>
      <c r="BM250" s="69"/>
      <c r="BN250" s="2034" t="str">
        <f t="shared" si="228"/>
        <v/>
      </c>
      <c r="BO250" s="69"/>
      <c r="BP250" s="2170">
        <f t="shared" si="196"/>
        <v>0</v>
      </c>
      <c r="BQ250" s="69"/>
      <c r="BS250" s="684"/>
      <c r="BT250" s="684"/>
      <c r="BU250" s="541"/>
    </row>
    <row r="251" ht="19.5" customHeight="1">
      <c r="A251" s="1698" t="str">
        <f t="shared" si="197"/>
        <v/>
      </c>
      <c r="B251" s="1611"/>
      <c r="C251" s="1956"/>
      <c r="D251" s="1817"/>
      <c r="E251" s="1702" t="str">
        <f t="shared" si="198"/>
        <v/>
      </c>
      <c r="F251" s="2019" t="str">
        <f t="shared" si="199"/>
        <v/>
      </c>
      <c r="G251" s="69"/>
      <c r="H251" s="2019" t="str">
        <f t="shared" si="200"/>
        <v/>
      </c>
      <c r="I251" s="69"/>
      <c r="J251" s="2019" t="str">
        <f t="shared" si="201"/>
        <v/>
      </c>
      <c r="K251" s="69"/>
      <c r="L251" s="2019" t="str">
        <f t="shared" si="202"/>
        <v/>
      </c>
      <c r="M251" s="69"/>
      <c r="N251" s="2019" t="str">
        <f t="shared" si="203"/>
        <v/>
      </c>
      <c r="O251" s="69"/>
      <c r="P251" s="2019" t="str">
        <f t="shared" si="204"/>
        <v/>
      </c>
      <c r="Q251" s="69"/>
      <c r="R251" s="2019" t="str">
        <f t="shared" si="205"/>
        <v/>
      </c>
      <c r="S251" s="69"/>
      <c r="T251" s="2019" t="str">
        <f t="shared" si="206"/>
        <v/>
      </c>
      <c r="U251" s="69"/>
      <c r="V251" s="2019" t="str">
        <f t="shared" si="207"/>
        <v/>
      </c>
      <c r="W251" s="69"/>
      <c r="X251" s="2019" t="str">
        <f t="shared" si="208"/>
        <v/>
      </c>
      <c r="Y251" s="69"/>
      <c r="Z251" s="2019" t="str">
        <f t="shared" si="209"/>
        <v/>
      </c>
      <c r="AA251" s="69"/>
      <c r="AB251" s="2019" t="str">
        <f t="shared" si="210"/>
        <v/>
      </c>
      <c r="AC251" s="69"/>
      <c r="AD251" s="2019" t="str">
        <f t="shared" si="211"/>
        <v/>
      </c>
      <c r="AE251" s="69"/>
      <c r="AF251" s="2019" t="str">
        <f t="shared" si="212"/>
        <v/>
      </c>
      <c r="AG251" s="69"/>
      <c r="AH251" s="2019" t="str">
        <f t="shared" si="213"/>
        <v/>
      </c>
      <c r="AI251" s="69"/>
      <c r="AJ251" s="2019" t="str">
        <f t="shared" si="214"/>
        <v/>
      </c>
      <c r="AK251" s="69"/>
      <c r="AL251" s="2019" t="str">
        <f t="shared" si="215"/>
        <v/>
      </c>
      <c r="AM251" s="69"/>
      <c r="AN251" s="2019" t="str">
        <f t="shared" si="216"/>
        <v/>
      </c>
      <c r="AO251" s="69"/>
      <c r="AP251" s="2019" t="str">
        <f t="shared" si="217"/>
        <v/>
      </c>
      <c r="AQ251" s="69"/>
      <c r="AR251" s="2019" t="str">
        <f t="shared" si="218"/>
        <v/>
      </c>
      <c r="AS251" s="69"/>
      <c r="AT251" s="2019" t="str">
        <f t="shared" si="219"/>
        <v/>
      </c>
      <c r="AU251" s="69"/>
      <c r="AV251" s="2019" t="str">
        <f t="shared" si="220"/>
        <v/>
      </c>
      <c r="AW251" s="69"/>
      <c r="AX251" s="2164" t="str">
        <f t="shared" si="221"/>
        <v/>
      </c>
      <c r="AY251" s="69"/>
      <c r="AZ251" s="2164" t="str">
        <f t="shared" si="222"/>
        <v/>
      </c>
      <c r="BA251" s="69"/>
      <c r="BB251" s="2164" t="str">
        <f t="shared" si="223"/>
        <v/>
      </c>
      <c r="BC251" s="69"/>
      <c r="BD251" s="2164" t="str">
        <f t="shared" si="224"/>
        <v/>
      </c>
      <c r="BE251" s="69"/>
      <c r="BF251" s="2164" t="str">
        <f t="shared" si="225"/>
        <v/>
      </c>
      <c r="BG251" s="69"/>
      <c r="BH251" s="2164" t="str">
        <f t="shared" si="226"/>
        <v/>
      </c>
      <c r="BI251" s="69"/>
      <c r="BJ251" s="2164" t="str">
        <f t="shared" si="193"/>
        <v/>
      </c>
      <c r="BK251" s="69"/>
      <c r="BL251" s="2164" t="str">
        <f t="shared" si="227"/>
        <v/>
      </c>
      <c r="BM251" s="69"/>
      <c r="BN251" s="2034" t="str">
        <f t="shared" si="228"/>
        <v/>
      </c>
      <c r="BO251" s="69"/>
      <c r="BP251" s="2170">
        <f t="shared" si="196"/>
        <v>0</v>
      </c>
      <c r="BQ251" s="69"/>
      <c r="BS251" s="684"/>
      <c r="BT251" s="684"/>
      <c r="BU251" s="541"/>
    </row>
    <row r="252" ht="19.5" customHeight="1">
      <c r="A252" s="1698" t="str">
        <f t="shared" si="197"/>
        <v/>
      </c>
      <c r="B252" s="1611"/>
      <c r="C252" s="1956"/>
      <c r="D252" s="1817"/>
      <c r="E252" s="1702" t="str">
        <f t="shared" si="198"/>
        <v/>
      </c>
      <c r="F252" s="2019">
        <f>SUM(F225:G247)</f>
        <v>151</v>
      </c>
      <c r="G252" s="69"/>
      <c r="H252" s="2019">
        <f>SUM(H225:I247)</f>
        <v>57</v>
      </c>
      <c r="I252" s="69"/>
      <c r="J252" s="2019">
        <f>SUM(J225:K247)</f>
        <v>58</v>
      </c>
      <c r="K252" s="69"/>
      <c r="L252" s="2019">
        <f>SUM(L225:M247)</f>
        <v>60</v>
      </c>
      <c r="M252" s="69"/>
      <c r="N252" s="2019">
        <f>SUM(N225:O247)</f>
        <v>107</v>
      </c>
      <c r="O252" s="69"/>
      <c r="P252" s="2019">
        <f>SUM(P225:Q247)</f>
        <v>81</v>
      </c>
      <c r="Q252" s="69"/>
      <c r="R252" s="2019">
        <f>SUM(R225:S247)</f>
        <v>58</v>
      </c>
      <c r="S252" s="69"/>
      <c r="T252" s="2019">
        <f>SUM(T225:U247)</f>
        <v>60</v>
      </c>
      <c r="U252" s="69"/>
      <c r="V252" s="2019">
        <f>SUM(V225:W247)</f>
        <v>81</v>
      </c>
      <c r="W252" s="69"/>
      <c r="X252" s="2019">
        <f>SUM(X225:Y247)</f>
        <v>60</v>
      </c>
      <c r="Y252" s="69"/>
      <c r="Z252" s="2019">
        <f>SUM(Z225:AA247)</f>
        <v>0</v>
      </c>
      <c r="AA252" s="69"/>
      <c r="AB252" s="2019">
        <f>SUM(AB225:AC247)</f>
        <v>53</v>
      </c>
      <c r="AC252" s="69"/>
      <c r="AD252" s="2019">
        <f>SUM(AD225:AE247)</f>
        <v>78</v>
      </c>
      <c r="AE252" s="69"/>
      <c r="AF252" s="2019">
        <f>SUM(AF225:AG247)</f>
        <v>101</v>
      </c>
      <c r="AG252" s="69"/>
      <c r="AH252" s="2019">
        <f>SUM(AH225:AI247)</f>
        <v>63</v>
      </c>
      <c r="AI252" s="69"/>
      <c r="AJ252" s="2019">
        <f>SUM(AJ225:AK247)</f>
        <v>76</v>
      </c>
      <c r="AK252" s="69"/>
      <c r="AL252" s="2019">
        <f>SUM(AL225:AM247)</f>
        <v>43</v>
      </c>
      <c r="AM252" s="69"/>
      <c r="AN252" s="2019">
        <f>SUM(AN225:AO247)</f>
        <v>0</v>
      </c>
      <c r="AO252" s="69"/>
      <c r="AP252" s="2019">
        <f>SUM(AP225:AQ247)</f>
        <v>56</v>
      </c>
      <c r="AQ252" s="69"/>
      <c r="AR252" s="2019">
        <f>SUM(AR225:AS247)</f>
        <v>82</v>
      </c>
      <c r="AS252" s="69"/>
      <c r="AT252" s="2019">
        <f>SUM(AT225:AU247)</f>
        <v>88</v>
      </c>
      <c r="AU252" s="69"/>
      <c r="AV252" s="2019">
        <f>SUM(AV225:AW247)</f>
        <v>55</v>
      </c>
      <c r="AW252" s="69"/>
      <c r="AX252" s="2019">
        <f>SUM(AX225:AY247)</f>
        <v>61</v>
      </c>
      <c r="AY252" s="69"/>
      <c r="AZ252" s="2019">
        <f>SUM(AZ225:BA247)</f>
        <v>61</v>
      </c>
      <c r="BA252" s="69"/>
      <c r="BB252" s="2019">
        <f>SUM(BB225:BC247)</f>
        <v>67</v>
      </c>
      <c r="BC252" s="69"/>
      <c r="BD252" s="2019">
        <f>SUM(BD225:BE247)</f>
        <v>39</v>
      </c>
      <c r="BE252" s="69"/>
      <c r="BF252" s="2019">
        <f>SUM(BF225:BG247)</f>
        <v>75</v>
      </c>
      <c r="BG252" s="69"/>
      <c r="BH252" s="2019">
        <f>SUM(BH225:BI247)</f>
        <v>72</v>
      </c>
      <c r="BI252" s="69"/>
      <c r="BJ252" s="2019">
        <f>SUM(BJ225:BK247)</f>
        <v>94</v>
      </c>
      <c r="BK252" s="69"/>
      <c r="BL252" s="2019">
        <f>SUM(BL225:BM247)</f>
        <v>512</v>
      </c>
      <c r="BM252" s="69"/>
      <c r="BN252" s="2034" t="str">
        <f t="shared" si="228"/>
        <v/>
      </c>
      <c r="BO252" s="69"/>
      <c r="BP252" s="2170">
        <f t="shared" si="196"/>
        <v>2449</v>
      </c>
      <c r="BQ252" s="69"/>
      <c r="BS252" s="684"/>
      <c r="BT252" s="684"/>
      <c r="BU252" s="541"/>
    </row>
    <row r="253" ht="19.5" customHeight="1">
      <c r="A253" s="1380"/>
      <c r="B253" s="2212"/>
      <c r="C253" s="2212"/>
      <c r="D253" s="1848"/>
      <c r="E253" s="1530"/>
      <c r="F253" s="1532"/>
      <c r="G253" s="1530"/>
      <c r="H253" s="1532"/>
      <c r="I253" s="1530"/>
      <c r="J253" s="1532"/>
      <c r="K253" s="1530"/>
      <c r="L253" s="1532"/>
      <c r="M253" s="1530"/>
      <c r="N253" s="1532"/>
      <c r="O253" s="1530"/>
      <c r="P253" s="1532"/>
      <c r="Q253" s="1530"/>
      <c r="R253" s="1532"/>
      <c r="S253" s="1530"/>
      <c r="T253" s="1532"/>
      <c r="U253" s="1530"/>
      <c r="V253" s="1532"/>
      <c r="W253" s="1530"/>
      <c r="X253" s="1532"/>
      <c r="Y253" s="1530"/>
      <c r="Z253" s="1532"/>
      <c r="AA253" s="1530"/>
      <c r="AB253" s="1532"/>
      <c r="AC253" s="2213" t="str">
        <f>AD222</f>
        <v/>
      </c>
      <c r="AE253" s="1530"/>
      <c r="AF253" s="1532"/>
      <c r="AG253" s="2214"/>
      <c r="AH253" s="1532"/>
      <c r="AI253" s="2214"/>
      <c r="AJ253" s="1532"/>
      <c r="AK253" s="1530"/>
      <c r="AL253" s="1532"/>
      <c r="AM253" s="1530"/>
      <c r="AN253" s="1532"/>
      <c r="AO253" s="2215"/>
      <c r="AP253" s="2215"/>
      <c r="AQ253" s="2215"/>
      <c r="AR253" s="2215"/>
      <c r="AS253" s="2215"/>
      <c r="AT253" s="2215"/>
      <c r="AU253" s="2215"/>
      <c r="AV253" s="2215"/>
      <c r="AW253" s="2215"/>
      <c r="AX253" s="2216"/>
      <c r="AY253" s="2215"/>
      <c r="AZ253" s="2216"/>
      <c r="BA253" s="2215"/>
      <c r="BB253" s="2215"/>
      <c r="BC253" s="2215"/>
      <c r="BD253" s="2215"/>
      <c r="BE253" s="2215"/>
      <c r="BF253" s="2215"/>
      <c r="BG253" s="2215"/>
      <c r="BH253" s="2215"/>
      <c r="BI253" s="2215"/>
      <c r="BJ253" s="2216"/>
      <c r="BK253" s="2215"/>
      <c r="BL253" s="2215"/>
      <c r="BM253" s="1203" t="s">
        <v>3123</v>
      </c>
      <c r="BN253" s="2218"/>
      <c r="BO253" s="2218"/>
      <c r="BP253" s="2219">
        <f>SUM(BP225:BQ250)</f>
        <v>2509</v>
      </c>
      <c r="BQ253" s="69"/>
      <c r="BT253" s="1005"/>
    </row>
    <row r="254" ht="15.75" customHeight="1">
      <c r="A254" s="195"/>
      <c r="B254" s="979"/>
      <c r="C254" s="1543"/>
      <c r="D254" s="1848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190"/>
      <c r="R254" s="1190"/>
      <c r="S254" s="1189"/>
      <c r="T254" s="1190"/>
      <c r="U254" s="1190"/>
      <c r="V254" s="1190"/>
      <c r="W254" s="1190"/>
      <c r="X254" s="1190"/>
      <c r="Y254" s="1190"/>
      <c r="Z254" s="1190"/>
      <c r="AA254" s="1190"/>
      <c r="AB254" s="1190"/>
      <c r="AC254" s="1190"/>
      <c r="AD254" s="1190"/>
      <c r="AE254" s="1190"/>
      <c r="AF254" s="1190"/>
      <c r="AG254" s="1748"/>
      <c r="AH254" s="1190"/>
      <c r="AI254" s="1748"/>
      <c r="AJ254" s="1190"/>
      <c r="AK254" s="1190"/>
      <c r="AL254" s="1190"/>
      <c r="AM254" s="1190"/>
      <c r="AN254" s="1190"/>
      <c r="AO254" s="1190"/>
      <c r="AP254" s="1190"/>
      <c r="AQ254" s="1190"/>
      <c r="AR254" s="1190"/>
      <c r="AS254" s="1190"/>
      <c r="AT254" s="1190"/>
      <c r="AU254" s="1190"/>
      <c r="AV254" s="1190"/>
      <c r="AW254" s="1190"/>
      <c r="AX254" s="1190"/>
      <c r="AY254" s="1190"/>
      <c r="AZ254" s="1190"/>
      <c r="BA254" s="1190"/>
      <c r="BB254" s="1190"/>
      <c r="BC254" s="1190"/>
      <c r="BD254" s="1190"/>
      <c r="BE254" s="1190"/>
      <c r="BF254" s="1190"/>
      <c r="BG254" s="1190"/>
      <c r="BH254" s="1190"/>
      <c r="BI254" s="1190"/>
      <c r="BJ254" s="1190"/>
      <c r="BK254" s="1190"/>
      <c r="BL254" s="1190"/>
      <c r="BM254" s="1190"/>
      <c r="BQ254" s="195"/>
      <c r="BR254" s="195"/>
      <c r="BT254" s="1005"/>
    </row>
    <row r="255" ht="19.5" customHeight="1">
      <c r="A255" s="2220" t="s">
        <v>3067</v>
      </c>
      <c r="B255" s="2221"/>
      <c r="C255" s="2222">
        <v>46247.0</v>
      </c>
      <c r="D255" s="1479"/>
      <c r="E255" s="2223" t="s">
        <v>3128</v>
      </c>
      <c r="F255" s="2223"/>
      <c r="G255" s="2224"/>
      <c r="H255" s="1555"/>
      <c r="I255" s="1555"/>
      <c r="J255" s="1555"/>
      <c r="K255" s="1555"/>
      <c r="L255" s="1555"/>
      <c r="M255" s="1555"/>
      <c r="N255" s="1555"/>
      <c r="O255" s="1555"/>
      <c r="P255" s="2201"/>
      <c r="Q255" s="2201"/>
      <c r="R255" s="2201"/>
      <c r="S255" s="2201"/>
      <c r="T255" s="2201"/>
      <c r="U255" s="2201"/>
      <c r="V255" s="2201"/>
      <c r="W255" s="2201"/>
      <c r="X255" s="2201"/>
      <c r="Y255" s="2201"/>
      <c r="Z255" s="2201"/>
      <c r="AA255" s="2201"/>
      <c r="AB255" s="2201"/>
      <c r="AC255" s="2201"/>
      <c r="AD255" s="2201"/>
      <c r="AE255" s="2201"/>
      <c r="AF255" s="2201"/>
      <c r="AG255" s="2201"/>
      <c r="AH255" s="2201"/>
      <c r="AI255" s="2201"/>
      <c r="AJ255" s="2201"/>
      <c r="AK255" s="2201"/>
      <c r="AL255" s="2201"/>
      <c r="AM255" s="2201"/>
      <c r="AN255" s="2201"/>
      <c r="AO255" s="2201"/>
      <c r="AP255" s="2201"/>
      <c r="AQ255" s="2201"/>
      <c r="AR255" s="2201"/>
      <c r="AS255" s="2201"/>
      <c r="AT255" s="2201"/>
      <c r="AU255" s="2201"/>
      <c r="AV255" s="2201"/>
      <c r="AW255" s="2201"/>
      <c r="AX255" s="2201"/>
      <c r="AY255" s="2201"/>
      <c r="AZ255" s="2201"/>
      <c r="BA255" s="2201"/>
      <c r="BB255" s="2201"/>
      <c r="BC255" s="2201"/>
      <c r="BD255" s="2201"/>
      <c r="BE255" s="2201"/>
      <c r="BF255" s="2201"/>
      <c r="BG255" s="2201"/>
      <c r="BH255" s="2201"/>
      <c r="BI255" s="2201"/>
      <c r="BJ255" s="2201"/>
      <c r="BK255" s="2201"/>
      <c r="BL255" s="2201"/>
      <c r="BM255" s="2201"/>
      <c r="BN255" s="2201"/>
      <c r="BO255" s="2201"/>
      <c r="BP255" s="2201"/>
      <c r="BQ255" s="2056"/>
      <c r="BR255" s="2056"/>
      <c r="BS255" s="1555"/>
      <c r="BT255" s="2226"/>
      <c r="BU255" s="1732"/>
    </row>
    <row r="256" ht="19.5" customHeight="1">
      <c r="A256" s="1986" t="s">
        <v>3069</v>
      </c>
      <c r="B256" s="1557" t="s">
        <v>1283</v>
      </c>
      <c r="C256" s="1557" t="s">
        <v>19</v>
      </c>
      <c r="D256" s="1734" t="s">
        <v>473</v>
      </c>
      <c r="E256" s="2106" t="s">
        <v>471</v>
      </c>
      <c r="F256" s="1075" t="s">
        <v>1357</v>
      </c>
      <c r="G256" s="1409" t="s">
        <v>3071</v>
      </c>
      <c r="H256" s="1075" t="s">
        <v>1287</v>
      </c>
      <c r="I256" s="1409" t="s">
        <v>1288</v>
      </c>
      <c r="J256" s="1075" t="s">
        <v>1358</v>
      </c>
      <c r="K256" s="1409" t="s">
        <v>3072</v>
      </c>
      <c r="L256" s="1075" t="s">
        <v>1359</v>
      </c>
      <c r="M256" s="1409" t="s">
        <v>3073</v>
      </c>
      <c r="N256" s="1075" t="s">
        <v>1360</v>
      </c>
      <c r="O256" s="1409" t="s">
        <v>3074</v>
      </c>
      <c r="P256" s="1075" t="s">
        <v>1361</v>
      </c>
      <c r="Q256" s="1409" t="s">
        <v>3075</v>
      </c>
      <c r="R256" s="1485" t="s">
        <v>1362</v>
      </c>
      <c r="S256" s="1560" t="s">
        <v>1298</v>
      </c>
      <c r="T256" s="1427" t="s">
        <v>1299</v>
      </c>
      <c r="U256" s="1560" t="s">
        <v>1300</v>
      </c>
      <c r="V256" s="1487" t="s">
        <v>1301</v>
      </c>
      <c r="W256" s="1560" t="s">
        <v>1302</v>
      </c>
      <c r="X256" s="1427" t="s">
        <v>1363</v>
      </c>
      <c r="Y256" s="1560" t="s">
        <v>1304</v>
      </c>
      <c r="Z256" s="1487" t="s">
        <v>1305</v>
      </c>
      <c r="AA256" s="1560" t="s">
        <v>1306</v>
      </c>
      <c r="AB256" s="1487" t="s">
        <v>1307</v>
      </c>
      <c r="AC256" s="1560" t="s">
        <v>1308</v>
      </c>
      <c r="AD256" s="1487" t="s">
        <v>1309</v>
      </c>
      <c r="AE256" s="1560" t="s">
        <v>1310</v>
      </c>
      <c r="AF256" s="1427" t="s">
        <v>1311</v>
      </c>
      <c r="AG256" s="1560" t="s">
        <v>1312</v>
      </c>
      <c r="AH256" s="1487" t="s">
        <v>1313</v>
      </c>
      <c r="AI256" s="1560" t="s">
        <v>1314</v>
      </c>
      <c r="AJ256" s="1487" t="s">
        <v>1315</v>
      </c>
      <c r="AK256" s="1560" t="s">
        <v>1316</v>
      </c>
      <c r="AL256" s="1487" t="s">
        <v>1317</v>
      </c>
      <c r="AM256" s="1560" t="s">
        <v>1318</v>
      </c>
      <c r="AN256" s="1487" t="s">
        <v>1319</v>
      </c>
      <c r="AO256" s="1560" t="s">
        <v>1320</v>
      </c>
      <c r="AP256" s="1487" t="s">
        <v>1321</v>
      </c>
      <c r="AQ256" s="1486" t="s">
        <v>1322</v>
      </c>
      <c r="AR256" s="1427" t="s">
        <v>1323</v>
      </c>
      <c r="AS256" s="1486" t="s">
        <v>1324</v>
      </c>
      <c r="AT256" s="1485" t="s">
        <v>1325</v>
      </c>
      <c r="AU256" s="1486" t="s">
        <v>1326</v>
      </c>
      <c r="AV256" s="1485" t="s">
        <v>1327</v>
      </c>
      <c r="AW256" s="1486" t="s">
        <v>1328</v>
      </c>
      <c r="AX256" s="1485" t="s">
        <v>3076</v>
      </c>
      <c r="AY256" s="1486" t="s">
        <v>3077</v>
      </c>
      <c r="AZ256" s="1485" t="s">
        <v>3078</v>
      </c>
      <c r="BA256" s="1486" t="s">
        <v>3079</v>
      </c>
      <c r="BB256" s="1485" t="s">
        <v>3080</v>
      </c>
      <c r="BC256" s="1486" t="s">
        <v>3081</v>
      </c>
      <c r="BD256" s="1485" t="s">
        <v>3082</v>
      </c>
      <c r="BE256" s="1486" t="s">
        <v>3083</v>
      </c>
      <c r="BF256" s="1485" t="s">
        <v>3084</v>
      </c>
      <c r="BG256" s="1486" t="s">
        <v>3085</v>
      </c>
      <c r="BH256" s="1485" t="s">
        <v>3086</v>
      </c>
      <c r="BI256" s="1486" t="s">
        <v>3087</v>
      </c>
      <c r="BJ256" s="1485" t="s">
        <v>3088</v>
      </c>
      <c r="BK256" s="1486" t="s">
        <v>3089</v>
      </c>
      <c r="BL256" s="1946" t="s">
        <v>1425</v>
      </c>
      <c r="BM256" s="1947" t="s">
        <v>3045</v>
      </c>
      <c r="BN256" s="1861" t="s">
        <v>3090</v>
      </c>
      <c r="BO256" s="1815" t="s">
        <v>3091</v>
      </c>
      <c r="BP256" s="1606" t="s">
        <v>1331</v>
      </c>
      <c r="BQ256" s="1168" t="s">
        <v>3092</v>
      </c>
      <c r="BR256" s="1120" t="s">
        <v>3093</v>
      </c>
      <c r="BS256" s="1075" t="s">
        <v>3094</v>
      </c>
      <c r="BT256" s="547"/>
    </row>
    <row r="257" ht="19.5" customHeight="1">
      <c r="A257" s="1565" t="s">
        <v>145</v>
      </c>
      <c r="B257" s="1880">
        <v>2951.0</v>
      </c>
      <c r="C257" s="1176">
        <v>85.0</v>
      </c>
      <c r="D257" s="1735" t="s">
        <v>3095</v>
      </c>
      <c r="E257" s="2227" t="str">
        <f>'Матрица 4 недели'!D134</f>
        <v>Каша овсяная с яблоком и корицей</v>
      </c>
      <c r="F257" s="1284">
        <v>10.0</v>
      </c>
      <c r="G257" s="2228">
        <v>10.0</v>
      </c>
      <c r="H257" s="1284">
        <v>2.0</v>
      </c>
      <c r="I257" s="2228">
        <v>2.0</v>
      </c>
      <c r="J257" s="1284">
        <v>3.0</v>
      </c>
      <c r="K257" s="2228">
        <v>3.0</v>
      </c>
      <c r="L257" s="2127">
        <v>2.0</v>
      </c>
      <c r="M257" s="2228">
        <v>2.0</v>
      </c>
      <c r="N257" s="1287">
        <v>9.0</v>
      </c>
      <c r="O257" s="2228">
        <v>9.0</v>
      </c>
      <c r="P257" s="2229">
        <v>5.0</v>
      </c>
      <c r="Q257" s="1142">
        <v>5.0</v>
      </c>
      <c r="R257" s="1290">
        <v>1.0</v>
      </c>
      <c r="S257" s="1142">
        <v>1.0</v>
      </c>
      <c r="T257" s="1290">
        <v>1.0</v>
      </c>
      <c r="U257" s="1142">
        <v>1.0</v>
      </c>
      <c r="V257" s="1287">
        <v>3.0</v>
      </c>
      <c r="W257" s="2230">
        <v>3.0</v>
      </c>
      <c r="X257" s="1290">
        <v>3.0</v>
      </c>
      <c r="Y257" s="1289">
        <v>3.0</v>
      </c>
      <c r="Z257" s="1284"/>
      <c r="AA257" s="1142"/>
      <c r="AB257" s="1290">
        <v>0.0</v>
      </c>
      <c r="AC257" s="1296">
        <v>0.0</v>
      </c>
      <c r="AD257" s="1290">
        <v>1.0</v>
      </c>
      <c r="AE257" s="1289">
        <v>1.0</v>
      </c>
      <c r="AF257" s="1290">
        <v>4.0</v>
      </c>
      <c r="AG257" s="1289">
        <v>4.0</v>
      </c>
      <c r="AH257" s="1137">
        <v>2.0</v>
      </c>
      <c r="AI257" s="1289">
        <v>2.0</v>
      </c>
      <c r="AJ257" s="1290">
        <v>3.0</v>
      </c>
      <c r="AK257" s="1289">
        <v>3.0</v>
      </c>
      <c r="AL257" s="1143">
        <v>0.0</v>
      </c>
      <c r="AM257" s="1138">
        <v>0.0</v>
      </c>
      <c r="AN257" s="1137"/>
      <c r="AO257" s="1131"/>
      <c r="AP257" s="1137">
        <v>1.0</v>
      </c>
      <c r="AQ257" s="1131">
        <v>1.0</v>
      </c>
      <c r="AR257" s="1137">
        <v>5.0</v>
      </c>
      <c r="AS257" s="1138">
        <v>5.0</v>
      </c>
      <c r="AT257" s="1137">
        <v>2.0</v>
      </c>
      <c r="AU257" s="1138">
        <v>2.0</v>
      </c>
      <c r="AV257" s="1137">
        <v>2.0</v>
      </c>
      <c r="AW257" s="1138">
        <v>2.0</v>
      </c>
      <c r="AX257" s="1137">
        <v>2.0</v>
      </c>
      <c r="AY257" s="1138">
        <v>2.0</v>
      </c>
      <c r="AZ257" s="1137">
        <v>4.0</v>
      </c>
      <c r="BA257" s="1138">
        <v>4.0</v>
      </c>
      <c r="BB257" s="1126">
        <v>2.0</v>
      </c>
      <c r="BC257" s="1127">
        <v>2.0</v>
      </c>
      <c r="BD257" s="1137">
        <v>0.0</v>
      </c>
      <c r="BE257" s="1127">
        <v>0.0</v>
      </c>
      <c r="BF257" s="1137">
        <v>3.0</v>
      </c>
      <c r="BG257" s="1127">
        <v>3.0</v>
      </c>
      <c r="BH257" s="1137">
        <v>0.0</v>
      </c>
      <c r="BI257" s="1127">
        <v>0.0</v>
      </c>
      <c r="BJ257" s="1137">
        <v>5.0</v>
      </c>
      <c r="BK257" s="1127">
        <v>5.0</v>
      </c>
      <c r="BL257" s="1134"/>
      <c r="BM257" s="1289"/>
      <c r="BN257" s="77"/>
      <c r="BO257" s="2062"/>
      <c r="BP257" s="2069">
        <f t="shared" ref="BP257:BP280" si="229">(F257+H257+J257+L257+N257+P257+R257+T257+V257+X257+Z257+AB257+AD257+AL257+AN257+AF257+BL257+AH257+AJ257+AP257+AR257+AT257+AV257+AX257+AZ257+BJ257)+1+BB257+BD257+BF257+BH257</f>
        <v>76</v>
      </c>
      <c r="BQ257" s="2231">
        <f t="shared" ref="BQ257:BQ280" si="230">G257+I257+K257+M257+O257+Q257+S257+U257+W257+Y257+AA257+AC257+AE257+AM257+AO257+AG257+BM257+AI257+AK257+AQ257+AS257+AU257+AW257+AY257+BA257+BC257+BE257+BG257+BI257+BK257</f>
        <v>75</v>
      </c>
      <c r="BR257" s="580">
        <f t="shared" ref="BR257:BR268" si="231">BQ257*C257</f>
        <v>6375</v>
      </c>
      <c r="BS257" s="864">
        <f t="shared" ref="BS257:BS280" si="232">BP257*C257</f>
        <v>6460</v>
      </c>
      <c r="BT257" s="2232"/>
    </row>
    <row r="258" ht="19.5" customHeight="1">
      <c r="A258" s="1565" t="s">
        <v>145</v>
      </c>
      <c r="B258" s="1880">
        <v>4242.0</v>
      </c>
      <c r="C258" s="1176">
        <v>158.0</v>
      </c>
      <c r="D258" s="1735" t="s">
        <v>3095</v>
      </c>
      <c r="E258" s="575" t="str">
        <f>'Матрица 4 недели'!D135</f>
        <v>Яичный рулет с овощами</v>
      </c>
      <c r="F258" s="1120">
        <v>19.0</v>
      </c>
      <c r="G258" s="1138">
        <v>18.0</v>
      </c>
      <c r="H258" s="1126">
        <v>0.0</v>
      </c>
      <c r="I258" s="1138">
        <v>0.0</v>
      </c>
      <c r="J258" s="1120">
        <v>5.0</v>
      </c>
      <c r="K258" s="1138">
        <v>5.0</v>
      </c>
      <c r="L258" s="1126">
        <v>5.0</v>
      </c>
      <c r="M258" s="1138">
        <v>4.0</v>
      </c>
      <c r="N258" s="1120">
        <v>8.0</v>
      </c>
      <c r="O258" s="1138">
        <v>7.0</v>
      </c>
      <c r="P258" s="1120">
        <v>5.0</v>
      </c>
      <c r="Q258" s="1138">
        <v>5.0</v>
      </c>
      <c r="R258" s="1120">
        <v>2.0</v>
      </c>
      <c r="S258" s="1138">
        <v>2.0</v>
      </c>
      <c r="T258" s="1120">
        <v>3.0</v>
      </c>
      <c r="U258" s="1138">
        <v>2.0</v>
      </c>
      <c r="V258" s="1120">
        <v>6.0</v>
      </c>
      <c r="W258" s="1138">
        <v>5.0</v>
      </c>
      <c r="X258" s="1120">
        <v>4.0</v>
      </c>
      <c r="Y258" s="1138">
        <v>4.0</v>
      </c>
      <c r="Z258" s="1126"/>
      <c r="AA258" s="1138"/>
      <c r="AB258" s="1120">
        <v>2.0</v>
      </c>
      <c r="AC258" s="1138">
        <v>2.0</v>
      </c>
      <c r="AD258" s="1120">
        <v>4.0</v>
      </c>
      <c r="AE258" s="1138">
        <v>3.0</v>
      </c>
      <c r="AF258" s="1120">
        <v>4.0</v>
      </c>
      <c r="AG258" s="1138">
        <v>3.0</v>
      </c>
      <c r="AH258" s="1120">
        <v>4.0</v>
      </c>
      <c r="AI258" s="1138">
        <v>4.0</v>
      </c>
      <c r="AJ258" s="1120">
        <v>2.0</v>
      </c>
      <c r="AK258" s="1138">
        <v>1.0</v>
      </c>
      <c r="AL258" s="1120">
        <v>7.0</v>
      </c>
      <c r="AM258" s="1138">
        <v>6.0</v>
      </c>
      <c r="AN258" s="1120"/>
      <c r="AO258" s="1138"/>
      <c r="AP258" s="1120">
        <v>5.0</v>
      </c>
      <c r="AQ258" s="1138">
        <v>4.0</v>
      </c>
      <c r="AR258" s="1120">
        <v>10.0</v>
      </c>
      <c r="AS258" s="1138">
        <v>10.0</v>
      </c>
      <c r="AT258" s="1120">
        <v>4.0</v>
      </c>
      <c r="AU258" s="1138">
        <v>4.0</v>
      </c>
      <c r="AV258" s="1126">
        <v>4.0</v>
      </c>
      <c r="AW258" s="1138">
        <v>4.0</v>
      </c>
      <c r="AX258" s="1126">
        <v>4.0</v>
      </c>
      <c r="AY258" s="1138">
        <v>4.0</v>
      </c>
      <c r="AZ258" s="1126">
        <v>3.0</v>
      </c>
      <c r="BA258" s="1138">
        <v>3.0</v>
      </c>
      <c r="BB258" s="1126">
        <v>2.0</v>
      </c>
      <c r="BC258" s="1127">
        <v>2.0</v>
      </c>
      <c r="BD258" s="1126">
        <v>2.0</v>
      </c>
      <c r="BE258" s="1127">
        <v>2.0</v>
      </c>
      <c r="BF258" s="1126">
        <v>4.0</v>
      </c>
      <c r="BG258" s="1127">
        <v>4.0</v>
      </c>
      <c r="BH258" s="1126">
        <v>4.0</v>
      </c>
      <c r="BI258" s="1127">
        <v>4.0</v>
      </c>
      <c r="BJ258" s="1126">
        <v>7.0</v>
      </c>
      <c r="BK258" s="1127">
        <v>7.0</v>
      </c>
      <c r="BL258" s="1134"/>
      <c r="BM258" s="1138"/>
      <c r="BN258" s="80"/>
      <c r="BO258" s="1579"/>
      <c r="BP258" s="80">
        <f t="shared" si="229"/>
        <v>130</v>
      </c>
      <c r="BQ258" s="1579">
        <f t="shared" si="230"/>
        <v>119</v>
      </c>
      <c r="BR258" s="580">
        <f t="shared" si="231"/>
        <v>18802</v>
      </c>
      <c r="BS258" s="864">
        <f t="shared" si="232"/>
        <v>20540</v>
      </c>
      <c r="BT258" s="2232"/>
    </row>
    <row r="259" ht="19.5" customHeight="1">
      <c r="A259" s="1565" t="s">
        <v>145</v>
      </c>
      <c r="B259" s="1880">
        <v>2769.0</v>
      </c>
      <c r="C259" s="1176">
        <v>158.0</v>
      </c>
      <c r="D259" s="1735" t="s">
        <v>3095</v>
      </c>
      <c r="E259" s="575" t="str">
        <f>'Матрица 4 недели'!D136</f>
        <v>Блинчики с моцареллой и зеленью</v>
      </c>
      <c r="F259" s="1120">
        <v>25.0</v>
      </c>
      <c r="G259" s="1138">
        <v>25.0</v>
      </c>
      <c r="H259" s="1126">
        <v>4.0</v>
      </c>
      <c r="I259" s="1138">
        <v>4.0</v>
      </c>
      <c r="J259" s="1120">
        <v>6.0</v>
      </c>
      <c r="K259" s="1405">
        <v>6.0</v>
      </c>
      <c r="L259" s="1161">
        <v>5.0</v>
      </c>
      <c r="M259" s="1405">
        <v>4.0</v>
      </c>
      <c r="N259" s="1120">
        <v>17.0</v>
      </c>
      <c r="O259" s="1138">
        <v>17.0</v>
      </c>
      <c r="P259" s="1120">
        <v>6.0</v>
      </c>
      <c r="Q259" s="1138">
        <v>6.0</v>
      </c>
      <c r="R259" s="1120">
        <v>2.0</v>
      </c>
      <c r="S259" s="1138">
        <v>2.0</v>
      </c>
      <c r="T259" s="1120">
        <v>2.0</v>
      </c>
      <c r="U259" s="1138">
        <v>2.0</v>
      </c>
      <c r="V259" s="1120">
        <v>6.0</v>
      </c>
      <c r="W259" s="1138">
        <v>6.0</v>
      </c>
      <c r="X259" s="1120">
        <v>10.0</v>
      </c>
      <c r="Y259" s="1138">
        <v>10.0</v>
      </c>
      <c r="Z259" s="1126"/>
      <c r="AA259" s="1138"/>
      <c r="AB259" s="1120">
        <v>4.0</v>
      </c>
      <c r="AC259" s="1138">
        <v>4.0</v>
      </c>
      <c r="AD259" s="1120">
        <v>4.0</v>
      </c>
      <c r="AE259" s="1138">
        <v>4.0</v>
      </c>
      <c r="AF259" s="1120">
        <v>7.0</v>
      </c>
      <c r="AG259" s="1138">
        <v>7.0</v>
      </c>
      <c r="AH259" s="1120">
        <v>4.0</v>
      </c>
      <c r="AI259" s="1138">
        <v>4.0</v>
      </c>
      <c r="AJ259" s="1120">
        <v>7.0</v>
      </c>
      <c r="AK259" s="1138">
        <v>7.0</v>
      </c>
      <c r="AL259" s="1120">
        <v>7.0</v>
      </c>
      <c r="AM259" s="1138">
        <v>7.0</v>
      </c>
      <c r="AN259" s="1120"/>
      <c r="AO259" s="1131"/>
      <c r="AP259" s="1120">
        <v>4.0</v>
      </c>
      <c r="AQ259" s="1131">
        <v>4.0</v>
      </c>
      <c r="AR259" s="1120">
        <v>11.0</v>
      </c>
      <c r="AS259" s="1138">
        <v>11.0</v>
      </c>
      <c r="AT259" s="1126">
        <v>5.0</v>
      </c>
      <c r="AU259" s="1138">
        <v>5.0</v>
      </c>
      <c r="AV259" s="1126">
        <v>6.0</v>
      </c>
      <c r="AW259" s="1138">
        <v>6.0</v>
      </c>
      <c r="AX259" s="1126">
        <v>5.0</v>
      </c>
      <c r="AY259" s="1138">
        <v>5.0</v>
      </c>
      <c r="AZ259" s="1126">
        <v>4.0</v>
      </c>
      <c r="BA259" s="1138">
        <v>4.0</v>
      </c>
      <c r="BB259" s="1126">
        <v>2.0</v>
      </c>
      <c r="BC259" s="1127">
        <v>2.0</v>
      </c>
      <c r="BD259" s="1126">
        <v>2.0</v>
      </c>
      <c r="BE259" s="1127">
        <v>2.0</v>
      </c>
      <c r="BF259" s="1126">
        <v>5.0</v>
      </c>
      <c r="BG259" s="1127">
        <v>5.0</v>
      </c>
      <c r="BH259" s="1126">
        <v>6.0</v>
      </c>
      <c r="BI259" s="1127">
        <v>6.0</v>
      </c>
      <c r="BJ259" s="1126">
        <v>9.0</v>
      </c>
      <c r="BK259" s="1127">
        <v>9.0</v>
      </c>
      <c r="BL259" s="1134"/>
      <c r="BM259" s="1138"/>
      <c r="BN259" s="77"/>
      <c r="BO259" s="2062"/>
      <c r="BP259" s="80">
        <f t="shared" si="229"/>
        <v>176</v>
      </c>
      <c r="BQ259" s="1579">
        <f t="shared" si="230"/>
        <v>174</v>
      </c>
      <c r="BR259" s="580">
        <f t="shared" si="231"/>
        <v>27492</v>
      </c>
      <c r="BS259" s="864">
        <f t="shared" si="232"/>
        <v>27808</v>
      </c>
      <c r="BT259" s="2232"/>
    </row>
    <row r="260" ht="19.5" customHeight="1">
      <c r="A260" s="1565" t="s">
        <v>145</v>
      </c>
      <c r="B260" s="1880">
        <v>3323.0</v>
      </c>
      <c r="C260" s="1176">
        <v>98.0</v>
      </c>
      <c r="D260" s="1735" t="s">
        <v>70</v>
      </c>
      <c r="E260" s="575" t="str">
        <f>'Матрица 4 недели'!G134</f>
        <v>Салат ''Морковь с чесноком'' 120гр</v>
      </c>
      <c r="F260" s="1126">
        <v>17.0</v>
      </c>
      <c r="G260" s="1138">
        <v>17.0</v>
      </c>
      <c r="H260" s="1126">
        <v>2.0</v>
      </c>
      <c r="I260" s="1138">
        <v>2.0</v>
      </c>
      <c r="J260" s="1126">
        <v>7.0</v>
      </c>
      <c r="K260" s="1138">
        <v>7.0</v>
      </c>
      <c r="L260" s="1126">
        <v>5.0</v>
      </c>
      <c r="M260" s="1138">
        <v>5.0</v>
      </c>
      <c r="N260" s="1126">
        <v>14.0</v>
      </c>
      <c r="O260" s="1138">
        <v>14.0</v>
      </c>
      <c r="P260" s="1126">
        <v>2.0</v>
      </c>
      <c r="Q260" s="1138">
        <v>2.0</v>
      </c>
      <c r="R260" s="1126">
        <v>3.0</v>
      </c>
      <c r="S260" s="1138">
        <v>3.0</v>
      </c>
      <c r="T260" s="1126">
        <v>3.0</v>
      </c>
      <c r="U260" s="1138">
        <v>3.0</v>
      </c>
      <c r="V260" s="1137">
        <v>4.0</v>
      </c>
      <c r="W260" s="1138">
        <v>4.0</v>
      </c>
      <c r="X260" s="1137">
        <v>3.0</v>
      </c>
      <c r="Y260" s="1138">
        <v>3.0</v>
      </c>
      <c r="Z260" s="1126"/>
      <c r="AA260" s="1138"/>
      <c r="AB260" s="1137">
        <v>1.0</v>
      </c>
      <c r="AC260" s="1138">
        <v>1.0</v>
      </c>
      <c r="AD260" s="1137">
        <v>4.0</v>
      </c>
      <c r="AE260" s="1138">
        <v>4.0</v>
      </c>
      <c r="AF260" s="1137">
        <v>2.0</v>
      </c>
      <c r="AG260" s="1138">
        <v>2.0</v>
      </c>
      <c r="AH260" s="1137">
        <v>3.0</v>
      </c>
      <c r="AI260" s="1138">
        <v>3.0</v>
      </c>
      <c r="AJ260" s="1120">
        <v>0.0</v>
      </c>
      <c r="AK260" s="1138">
        <v>0.0</v>
      </c>
      <c r="AL260" s="1126">
        <v>3.0</v>
      </c>
      <c r="AM260" s="1138">
        <v>3.0</v>
      </c>
      <c r="AN260" s="1120"/>
      <c r="AO260" s="1138"/>
      <c r="AP260" s="1120">
        <v>3.0</v>
      </c>
      <c r="AQ260" s="1138">
        <v>3.0</v>
      </c>
      <c r="AR260" s="1120">
        <v>12.0</v>
      </c>
      <c r="AS260" s="1138">
        <v>12.0</v>
      </c>
      <c r="AT260" s="1126">
        <v>5.0</v>
      </c>
      <c r="AU260" s="1138">
        <v>5.0</v>
      </c>
      <c r="AV260" s="1126">
        <v>4.0</v>
      </c>
      <c r="AW260" s="1138">
        <v>4.0</v>
      </c>
      <c r="AX260" s="1126">
        <v>3.0</v>
      </c>
      <c r="AY260" s="1138">
        <v>3.0</v>
      </c>
      <c r="AZ260" s="1126">
        <v>4.0</v>
      </c>
      <c r="BA260" s="1138">
        <v>4.0</v>
      </c>
      <c r="BB260" s="1126">
        <v>2.0</v>
      </c>
      <c r="BC260" s="1138">
        <v>2.0</v>
      </c>
      <c r="BD260" s="1126">
        <v>2.0</v>
      </c>
      <c r="BE260" s="1138">
        <v>2.0</v>
      </c>
      <c r="BF260" s="1126">
        <v>3.0</v>
      </c>
      <c r="BG260" s="1138">
        <v>3.0</v>
      </c>
      <c r="BH260" s="1126">
        <v>3.0</v>
      </c>
      <c r="BI260" s="1138">
        <v>3.0</v>
      </c>
      <c r="BJ260" s="1126">
        <v>6.0</v>
      </c>
      <c r="BK260" s="1138">
        <v>6.0</v>
      </c>
      <c r="BL260" s="1134">
        <v>44.0</v>
      </c>
      <c r="BM260" s="1140">
        <v>44.0</v>
      </c>
      <c r="BN260" s="80"/>
      <c r="BO260" s="1579"/>
      <c r="BP260" s="80">
        <f t="shared" si="229"/>
        <v>165</v>
      </c>
      <c r="BQ260" s="2231">
        <f t="shared" si="230"/>
        <v>164</v>
      </c>
      <c r="BR260" s="580">
        <f t="shared" si="231"/>
        <v>16072</v>
      </c>
      <c r="BS260" s="864">
        <f t="shared" si="232"/>
        <v>16170</v>
      </c>
      <c r="BT260" s="2232"/>
    </row>
    <row r="261" ht="19.5" customHeight="1">
      <c r="A261" s="1565" t="s">
        <v>145</v>
      </c>
      <c r="B261" s="1880">
        <v>4058.0</v>
      </c>
      <c r="C261" s="1176">
        <v>98.0</v>
      </c>
      <c r="D261" s="1735" t="s">
        <v>70</v>
      </c>
      <c r="E261" s="575" t="str">
        <f>'Матрица 4 недели'!G135</f>
        <v>Салат "Городской"(колбаса вареная)</v>
      </c>
      <c r="F261" s="1120">
        <v>27.0</v>
      </c>
      <c r="G261" s="1138">
        <v>27.0</v>
      </c>
      <c r="H261" s="1120">
        <v>3.0</v>
      </c>
      <c r="I261" s="1138">
        <v>3.0</v>
      </c>
      <c r="J261" s="1120">
        <v>5.0</v>
      </c>
      <c r="K261" s="1138">
        <v>5.0</v>
      </c>
      <c r="L261" s="1120">
        <v>4.0</v>
      </c>
      <c r="M261" s="1138">
        <v>4.0</v>
      </c>
      <c r="N261" s="1120">
        <v>7.0</v>
      </c>
      <c r="O261" s="1138">
        <v>7.0</v>
      </c>
      <c r="P261" s="1120">
        <v>1.0</v>
      </c>
      <c r="Q261" s="1138">
        <v>1.0</v>
      </c>
      <c r="R261" s="1120">
        <v>6.0</v>
      </c>
      <c r="S261" s="1138">
        <v>6.0</v>
      </c>
      <c r="T261" s="1120">
        <v>3.0</v>
      </c>
      <c r="U261" s="1138">
        <v>3.0</v>
      </c>
      <c r="V261" s="1120">
        <v>2.0</v>
      </c>
      <c r="W261" s="1138">
        <v>2.0</v>
      </c>
      <c r="X261" s="1120">
        <v>7.0</v>
      </c>
      <c r="Y261" s="1138">
        <v>7.0</v>
      </c>
      <c r="Z261" s="1126"/>
      <c r="AA261" s="1138"/>
      <c r="AB261" s="1120">
        <v>1.0</v>
      </c>
      <c r="AC261" s="1138">
        <v>1.0</v>
      </c>
      <c r="AD261" s="1120">
        <v>4.0</v>
      </c>
      <c r="AE261" s="1138">
        <v>4.0</v>
      </c>
      <c r="AF261" s="1137">
        <v>2.0</v>
      </c>
      <c r="AG261" s="1138">
        <v>2.0</v>
      </c>
      <c r="AH261" s="1120">
        <v>3.0</v>
      </c>
      <c r="AI261" s="1138">
        <v>3.0</v>
      </c>
      <c r="AJ261" s="1120">
        <v>2.0</v>
      </c>
      <c r="AK261" s="1138">
        <v>2.0</v>
      </c>
      <c r="AL261" s="1126">
        <v>3.0</v>
      </c>
      <c r="AM261" s="1138">
        <v>3.0</v>
      </c>
      <c r="AN261" s="1120"/>
      <c r="AO261" s="1138"/>
      <c r="AP261" s="1120">
        <v>3.0</v>
      </c>
      <c r="AQ261" s="1138">
        <v>3.0</v>
      </c>
      <c r="AR261" s="1120">
        <v>8.0</v>
      </c>
      <c r="AS261" s="1138">
        <v>8.0</v>
      </c>
      <c r="AT261" s="1126">
        <v>4.0</v>
      </c>
      <c r="AU261" s="1138">
        <v>4.0</v>
      </c>
      <c r="AV261" s="1126">
        <v>6.0</v>
      </c>
      <c r="AW261" s="1138">
        <v>6.0</v>
      </c>
      <c r="AX261" s="1126">
        <v>3.0</v>
      </c>
      <c r="AY261" s="1138">
        <v>3.0</v>
      </c>
      <c r="AZ261" s="1126">
        <v>2.0</v>
      </c>
      <c r="BA261" s="1138">
        <v>2.0</v>
      </c>
      <c r="BB261" s="1126">
        <v>2.0</v>
      </c>
      <c r="BC261" s="1138">
        <v>2.0</v>
      </c>
      <c r="BD261" s="1126">
        <v>2.0</v>
      </c>
      <c r="BE261" s="1138">
        <v>2.0</v>
      </c>
      <c r="BF261" s="1126">
        <v>9.0</v>
      </c>
      <c r="BG261" s="1138">
        <v>9.0</v>
      </c>
      <c r="BH261" s="1126">
        <v>3.0</v>
      </c>
      <c r="BI261" s="1138">
        <v>3.0</v>
      </c>
      <c r="BJ261" s="1126">
        <v>10.0</v>
      </c>
      <c r="BK261" s="1138">
        <v>10.0</v>
      </c>
      <c r="BL261" s="1134">
        <v>43.0</v>
      </c>
      <c r="BM261" s="1140">
        <v>42.0</v>
      </c>
      <c r="BN261" s="80"/>
      <c r="BO261" s="1579"/>
      <c r="BP261" s="80">
        <f t="shared" si="229"/>
        <v>176</v>
      </c>
      <c r="BQ261" s="2231">
        <f t="shared" si="230"/>
        <v>174</v>
      </c>
      <c r="BR261" s="580">
        <f t="shared" si="231"/>
        <v>17052</v>
      </c>
      <c r="BS261" s="864">
        <f t="shared" si="232"/>
        <v>17248</v>
      </c>
      <c r="BT261" s="2232"/>
    </row>
    <row r="262" ht="19.5" customHeight="1">
      <c r="A262" s="1565" t="s">
        <v>145</v>
      </c>
      <c r="B262" s="1880">
        <v>2706.0</v>
      </c>
      <c r="C262" s="1176">
        <v>98.0</v>
      </c>
      <c r="D262" s="1735" t="s">
        <v>70</v>
      </c>
      <c r="E262" s="575" t="str">
        <f>'Матрица 4 недели'!G136</f>
        <v>Салат ''Фасолька'' с курицей  </v>
      </c>
      <c r="F262" s="1120">
        <v>19.0</v>
      </c>
      <c r="G262" s="1138">
        <v>19.0</v>
      </c>
      <c r="H262" s="1120">
        <v>2.0</v>
      </c>
      <c r="I262" s="1138">
        <v>2.0</v>
      </c>
      <c r="J262" s="1120">
        <v>6.0</v>
      </c>
      <c r="K262" s="1138">
        <v>6.0</v>
      </c>
      <c r="L262" s="1120">
        <v>3.0</v>
      </c>
      <c r="M262" s="1138">
        <v>3.0</v>
      </c>
      <c r="N262" s="1120">
        <v>9.0</v>
      </c>
      <c r="O262" s="1138">
        <v>9.0</v>
      </c>
      <c r="P262" s="1126">
        <v>7.0</v>
      </c>
      <c r="Q262" s="1138">
        <v>7.0</v>
      </c>
      <c r="R262" s="1120">
        <v>2.0</v>
      </c>
      <c r="S262" s="1138">
        <v>2.0</v>
      </c>
      <c r="T262" s="1120">
        <v>3.0</v>
      </c>
      <c r="U262" s="1138">
        <v>3.0</v>
      </c>
      <c r="V262" s="1120">
        <v>2.0</v>
      </c>
      <c r="W262" s="1138">
        <v>2.0</v>
      </c>
      <c r="X262" s="1120">
        <v>2.0</v>
      </c>
      <c r="Y262" s="1138">
        <v>2.0</v>
      </c>
      <c r="Z262" s="1126"/>
      <c r="AA262" s="1138"/>
      <c r="AB262" s="1120">
        <v>1.0</v>
      </c>
      <c r="AC262" s="1138">
        <v>1.0</v>
      </c>
      <c r="AD262" s="1120">
        <v>2.0</v>
      </c>
      <c r="AE262" s="1138">
        <v>2.0</v>
      </c>
      <c r="AF262" s="1137">
        <v>3.0</v>
      </c>
      <c r="AG262" s="1138">
        <v>3.0</v>
      </c>
      <c r="AH262" s="1120">
        <v>3.0</v>
      </c>
      <c r="AI262" s="1138">
        <v>3.0</v>
      </c>
      <c r="AJ262" s="1120">
        <v>5.0</v>
      </c>
      <c r="AK262" s="1138">
        <v>5.0</v>
      </c>
      <c r="AL262" s="1126">
        <v>4.0</v>
      </c>
      <c r="AM262" s="1138">
        <v>4.0</v>
      </c>
      <c r="AN262" s="1120"/>
      <c r="AO262" s="1138"/>
      <c r="AP262" s="1120">
        <v>3.0</v>
      </c>
      <c r="AQ262" s="1138">
        <v>3.0</v>
      </c>
      <c r="AR262" s="1120">
        <v>8.0</v>
      </c>
      <c r="AS262" s="1138">
        <v>8.0</v>
      </c>
      <c r="AT262" s="1126">
        <v>5.0</v>
      </c>
      <c r="AU262" s="1138">
        <v>5.0</v>
      </c>
      <c r="AV262" s="1126">
        <v>5.0</v>
      </c>
      <c r="AW262" s="1138">
        <v>5.0</v>
      </c>
      <c r="AX262" s="1126">
        <v>3.0</v>
      </c>
      <c r="AY262" s="1138">
        <v>3.0</v>
      </c>
      <c r="AZ262" s="1126">
        <v>2.0</v>
      </c>
      <c r="BA262" s="1138">
        <v>2.0</v>
      </c>
      <c r="BB262" s="1126">
        <v>2.0</v>
      </c>
      <c r="BC262" s="1138">
        <v>2.0</v>
      </c>
      <c r="BD262" s="1126">
        <v>2.0</v>
      </c>
      <c r="BE262" s="1138">
        <v>2.0</v>
      </c>
      <c r="BF262" s="1126">
        <v>7.0</v>
      </c>
      <c r="BG262" s="1138">
        <v>7.0</v>
      </c>
      <c r="BH262" s="1126">
        <v>3.0</v>
      </c>
      <c r="BI262" s="1138">
        <v>3.0</v>
      </c>
      <c r="BJ262" s="1126">
        <v>10.0</v>
      </c>
      <c r="BK262" s="1138">
        <v>10.0</v>
      </c>
      <c r="BL262" s="1134">
        <v>43.0</v>
      </c>
      <c r="BM262" s="1140">
        <v>43.0</v>
      </c>
      <c r="BN262" s="80"/>
      <c r="BO262" s="1579"/>
      <c r="BP262" s="80">
        <f t="shared" si="229"/>
        <v>167</v>
      </c>
      <c r="BQ262" s="2231">
        <f t="shared" si="230"/>
        <v>166</v>
      </c>
      <c r="BR262" s="580">
        <f t="shared" si="231"/>
        <v>16268</v>
      </c>
      <c r="BS262" s="864">
        <f t="shared" si="232"/>
        <v>16366</v>
      </c>
      <c r="BT262" s="2232"/>
    </row>
    <row r="263" ht="19.5" customHeight="1">
      <c r="A263" s="1565" t="s">
        <v>145</v>
      </c>
      <c r="B263" s="1880">
        <v>2954.0</v>
      </c>
      <c r="C263" s="1176">
        <v>160.0</v>
      </c>
      <c r="D263" s="1735" t="s">
        <v>70</v>
      </c>
      <c r="E263" s="575" t="str">
        <f>'Матрица 4 недели'!G137</f>
        <v>Салат рыбный ''Мимоза'' 220 г</v>
      </c>
      <c r="F263" s="1126">
        <v>9.0</v>
      </c>
      <c r="G263" s="1121">
        <v>9.0</v>
      </c>
      <c r="H263" s="1120">
        <v>2.0</v>
      </c>
      <c r="I263" s="1121">
        <v>2.0</v>
      </c>
      <c r="J263" s="1120">
        <v>6.0</v>
      </c>
      <c r="K263" s="1121">
        <v>6.0</v>
      </c>
      <c r="L263" s="1120">
        <v>0.0</v>
      </c>
      <c r="M263" s="1121">
        <v>0.0</v>
      </c>
      <c r="N263" s="1120">
        <v>10.0</v>
      </c>
      <c r="O263" s="1121">
        <v>10.0</v>
      </c>
      <c r="P263" s="1120">
        <v>3.0</v>
      </c>
      <c r="Q263" s="1121">
        <v>3.0</v>
      </c>
      <c r="R263" s="1120">
        <v>0.0</v>
      </c>
      <c r="S263" s="1121">
        <v>0.0</v>
      </c>
      <c r="T263" s="1120">
        <v>0.0</v>
      </c>
      <c r="U263" s="1121">
        <v>0.0</v>
      </c>
      <c r="V263" s="1120">
        <v>4.0</v>
      </c>
      <c r="W263" s="1121">
        <v>4.0</v>
      </c>
      <c r="X263" s="1120">
        <v>3.0</v>
      </c>
      <c r="Y263" s="1121">
        <v>3.0</v>
      </c>
      <c r="Z263" s="1120"/>
      <c r="AA263" s="1121"/>
      <c r="AB263" s="1120">
        <v>2.0</v>
      </c>
      <c r="AC263" s="1121">
        <v>2.0</v>
      </c>
      <c r="AD263" s="1120">
        <v>2.0</v>
      </c>
      <c r="AE263" s="1121">
        <v>2.0</v>
      </c>
      <c r="AF263" s="1137">
        <v>3.0</v>
      </c>
      <c r="AG263" s="1121">
        <v>3.0</v>
      </c>
      <c r="AH263" s="1120">
        <v>3.0</v>
      </c>
      <c r="AI263" s="1121">
        <v>3.0</v>
      </c>
      <c r="AJ263" s="1120">
        <v>3.0</v>
      </c>
      <c r="AK263" s="1121">
        <v>3.0</v>
      </c>
      <c r="AL263" s="1126">
        <v>3.0</v>
      </c>
      <c r="AM263" s="1121">
        <v>3.0</v>
      </c>
      <c r="AN263" s="1120"/>
      <c r="AO263" s="1138"/>
      <c r="AP263" s="1126">
        <v>2.0</v>
      </c>
      <c r="AQ263" s="1121">
        <v>2.0</v>
      </c>
      <c r="AR263" s="1126">
        <v>9.0</v>
      </c>
      <c r="AS263" s="1121">
        <v>9.0</v>
      </c>
      <c r="AT263" s="1126">
        <v>1.0</v>
      </c>
      <c r="AU263" s="1121">
        <v>1.0</v>
      </c>
      <c r="AV263" s="1126">
        <v>3.0</v>
      </c>
      <c r="AW263" s="1121">
        <v>3.0</v>
      </c>
      <c r="AX263" s="1126">
        <v>3.0</v>
      </c>
      <c r="AY263" s="1121">
        <v>3.0</v>
      </c>
      <c r="AZ263" s="1126">
        <v>3.0</v>
      </c>
      <c r="BA263" s="1121">
        <v>3.0</v>
      </c>
      <c r="BB263" s="1126">
        <v>3.0</v>
      </c>
      <c r="BC263" s="1121">
        <v>3.0</v>
      </c>
      <c r="BD263" s="1126">
        <v>0.0</v>
      </c>
      <c r="BE263" s="1121">
        <v>0.0</v>
      </c>
      <c r="BF263" s="1126">
        <v>4.0</v>
      </c>
      <c r="BG263" s="1121">
        <v>4.0</v>
      </c>
      <c r="BH263" s="1126">
        <v>4.0</v>
      </c>
      <c r="BI263" s="1121">
        <v>4.0</v>
      </c>
      <c r="BJ263" s="1075">
        <v>5.0</v>
      </c>
      <c r="BK263" s="2007">
        <v>5.0</v>
      </c>
      <c r="BL263" s="1134"/>
      <c r="BM263" s="1140"/>
      <c r="BN263" s="80"/>
      <c r="BO263" s="1579"/>
      <c r="BP263" s="80">
        <f t="shared" si="229"/>
        <v>91</v>
      </c>
      <c r="BQ263" s="2231">
        <f t="shared" si="230"/>
        <v>90</v>
      </c>
      <c r="BR263" s="580">
        <f t="shared" si="231"/>
        <v>14400</v>
      </c>
      <c r="BS263" s="864">
        <f t="shared" si="232"/>
        <v>14560</v>
      </c>
      <c r="BT263" s="2232"/>
    </row>
    <row r="264" ht="19.5" customHeight="1">
      <c r="A264" s="1565" t="s">
        <v>145</v>
      </c>
      <c r="B264" s="1880">
        <v>2288.0</v>
      </c>
      <c r="C264" s="1176">
        <v>88.0</v>
      </c>
      <c r="D264" s="1735" t="s">
        <v>74</v>
      </c>
      <c r="E264" s="2227" t="str">
        <f>'Матрица 4 недели'!J134</f>
        <v>Суп картофельный с курицей</v>
      </c>
      <c r="F264" s="1120"/>
      <c r="G264" s="1138"/>
      <c r="H264" s="1120"/>
      <c r="I264" s="1138"/>
      <c r="J264" s="1120"/>
      <c r="K264" s="1138"/>
      <c r="L264" s="1820"/>
      <c r="M264" s="1138"/>
      <c r="N264" s="1120"/>
      <c r="O264" s="1138"/>
      <c r="P264" s="1126"/>
      <c r="Q264" s="1138"/>
      <c r="R264" s="1120"/>
      <c r="S264" s="1138"/>
      <c r="T264" s="1120"/>
      <c r="U264" s="1138"/>
      <c r="V264" s="1120"/>
      <c r="W264" s="1138"/>
      <c r="X264" s="1120"/>
      <c r="Y264" s="1138"/>
      <c r="Z264" s="1126"/>
      <c r="AA264" s="1138"/>
      <c r="AB264" s="1120"/>
      <c r="AC264" s="1138"/>
      <c r="AD264" s="1120"/>
      <c r="AE264" s="1138"/>
      <c r="AF264" s="1120"/>
      <c r="AG264" s="1138"/>
      <c r="AH264" s="1120"/>
      <c r="AI264" s="1138"/>
      <c r="AJ264" s="1120"/>
      <c r="AK264" s="1138"/>
      <c r="AL264" s="1126"/>
      <c r="AM264" s="1138"/>
      <c r="AN264" s="1120"/>
      <c r="AO264" s="1138"/>
      <c r="AP264" s="1120"/>
      <c r="AQ264" s="1138"/>
      <c r="AR264" s="1120"/>
      <c r="AS264" s="1138"/>
      <c r="AT264" s="1126"/>
      <c r="AU264" s="1138"/>
      <c r="AV264" s="1126"/>
      <c r="AW264" s="1138"/>
      <c r="AX264" s="1126"/>
      <c r="AY264" s="1138"/>
      <c r="AZ264" s="1126"/>
      <c r="BA264" s="1138"/>
      <c r="BB264" s="1126"/>
      <c r="BC264" s="1138"/>
      <c r="BD264" s="1126"/>
      <c r="BE264" s="1138"/>
      <c r="BF264" s="1126"/>
      <c r="BG264" s="1138"/>
      <c r="BH264" s="1126"/>
      <c r="BI264" s="1138"/>
      <c r="BJ264" s="1126"/>
      <c r="BK264" s="1138"/>
      <c r="BL264" s="1134">
        <v>120.0</v>
      </c>
      <c r="BM264" s="1138">
        <v>120.0</v>
      </c>
      <c r="BN264" s="80"/>
      <c r="BO264" s="1579"/>
      <c r="BP264" s="80">
        <f t="shared" si="229"/>
        <v>121</v>
      </c>
      <c r="BQ264" s="1579">
        <f t="shared" si="230"/>
        <v>120</v>
      </c>
      <c r="BR264" s="580">
        <f t="shared" si="231"/>
        <v>10560</v>
      </c>
      <c r="BS264" s="864">
        <f t="shared" si="232"/>
        <v>10648</v>
      </c>
      <c r="BT264" s="2232"/>
    </row>
    <row r="265" ht="19.5" customHeight="1">
      <c r="A265" s="1565"/>
      <c r="B265" s="1880">
        <v>3462.0</v>
      </c>
      <c r="C265" s="1176">
        <v>225.0</v>
      </c>
      <c r="D265" s="1735" t="s">
        <v>77</v>
      </c>
      <c r="E265" s="2227" t="str">
        <f>'Матрица 4 недели'!M134</f>
        <v>Азу из говядины с картофельным пюре</v>
      </c>
      <c r="F265" s="1286"/>
      <c r="G265" s="2237"/>
      <c r="H265" s="1284"/>
      <c r="I265" s="1285"/>
      <c r="J265" s="1284"/>
      <c r="K265" s="1285"/>
      <c r="L265" s="1286"/>
      <c r="M265" s="1285"/>
      <c r="N265" s="1762"/>
      <c r="O265" s="1285"/>
      <c r="P265" s="1284"/>
      <c r="Q265" s="1142"/>
      <c r="R265" s="1286"/>
      <c r="S265" s="1142"/>
      <c r="T265" s="1126"/>
      <c r="U265" s="1142"/>
      <c r="V265" s="1284"/>
      <c r="W265" s="1288"/>
      <c r="X265" s="1126"/>
      <c r="Y265" s="1834"/>
      <c r="Z265" s="1126"/>
      <c r="AA265" s="1835"/>
      <c r="AB265" s="1137"/>
      <c r="AC265" s="1131"/>
      <c r="AD265" s="1126"/>
      <c r="AE265" s="1834"/>
      <c r="AF265" s="1126"/>
      <c r="AG265" s="1834"/>
      <c r="AH265" s="1126"/>
      <c r="AI265" s="1834"/>
      <c r="AJ265" s="1290"/>
      <c r="AK265" s="1289"/>
      <c r="AL265" s="1126"/>
      <c r="AM265" s="1138"/>
      <c r="AN265" s="1120"/>
      <c r="AO265" s="1131"/>
      <c r="AP265" s="1126"/>
      <c r="AQ265" s="1131"/>
      <c r="AR265" s="1126"/>
      <c r="AS265" s="1138"/>
      <c r="AT265" s="1126"/>
      <c r="AU265" s="1138"/>
      <c r="AV265" s="1126"/>
      <c r="AW265" s="1138"/>
      <c r="AX265" s="1126"/>
      <c r="AY265" s="1138"/>
      <c r="AZ265" s="1126"/>
      <c r="BA265" s="1138"/>
      <c r="BB265" s="1126"/>
      <c r="BC265" s="1127"/>
      <c r="BD265" s="1126"/>
      <c r="BE265" s="1127"/>
      <c r="BF265" s="1126"/>
      <c r="BG265" s="1127"/>
      <c r="BH265" s="1126"/>
      <c r="BI265" s="1127"/>
      <c r="BJ265" s="1126"/>
      <c r="BK265" s="1127"/>
      <c r="BL265" s="1152">
        <v>25.0</v>
      </c>
      <c r="BM265" s="1140">
        <v>25.0</v>
      </c>
      <c r="BN265" s="80"/>
      <c r="BO265" s="1579"/>
      <c r="BP265" s="2069">
        <f t="shared" si="229"/>
        <v>26</v>
      </c>
      <c r="BQ265" s="2231">
        <f t="shared" si="230"/>
        <v>25</v>
      </c>
      <c r="BR265" s="580">
        <f t="shared" si="231"/>
        <v>5625</v>
      </c>
      <c r="BS265" s="864">
        <f t="shared" si="232"/>
        <v>5850</v>
      </c>
      <c r="BT265" s="2232"/>
    </row>
    <row r="266" ht="19.5" customHeight="1">
      <c r="A266" s="1565"/>
      <c r="B266" s="1880">
        <v>3361.0</v>
      </c>
      <c r="C266" s="1176">
        <v>205.0</v>
      </c>
      <c r="D266" s="1735" t="s">
        <v>77</v>
      </c>
      <c r="E266" s="2227" t="str">
        <f>'Матрица 4 недели'!M135</f>
        <v>Азу из говядины с рисом</v>
      </c>
      <c r="F266" s="1284"/>
      <c r="G266" s="1285"/>
      <c r="H266" s="1284"/>
      <c r="I266" s="1285"/>
      <c r="J266" s="1284"/>
      <c r="K266" s="1285"/>
      <c r="L266" s="1286"/>
      <c r="M266" s="1285"/>
      <c r="N266" s="1762"/>
      <c r="O266" s="1285"/>
      <c r="P266" s="1284"/>
      <c r="Q266" s="1142"/>
      <c r="R266" s="1286"/>
      <c r="S266" s="1142"/>
      <c r="T266" s="1286"/>
      <c r="U266" s="1142"/>
      <c r="V266" s="1284"/>
      <c r="W266" s="1288"/>
      <c r="X266" s="1284"/>
      <c r="Y266" s="1288"/>
      <c r="Z266" s="1286"/>
      <c r="AA266" s="1289"/>
      <c r="AB266" s="1295"/>
      <c r="AC266" s="1142"/>
      <c r="AD266" s="1284"/>
      <c r="AE266" s="1296"/>
      <c r="AF266" s="1286"/>
      <c r="AG266" s="1289"/>
      <c r="AH266" s="1126"/>
      <c r="AI266" s="1289"/>
      <c r="AJ266" s="1290"/>
      <c r="AK266" s="1289"/>
      <c r="AL266" s="1126"/>
      <c r="AM266" s="1138"/>
      <c r="AN266" s="1120"/>
      <c r="AO266" s="1131"/>
      <c r="AP266" s="1126"/>
      <c r="AQ266" s="1131"/>
      <c r="AR266" s="1126"/>
      <c r="AS266" s="1138"/>
      <c r="AT266" s="1126"/>
      <c r="AU266" s="1138"/>
      <c r="AV266" s="1126"/>
      <c r="AW266" s="1138"/>
      <c r="AX266" s="1126"/>
      <c r="AY266" s="1138"/>
      <c r="AZ266" s="1126"/>
      <c r="BA266" s="1138"/>
      <c r="BB266" s="1126"/>
      <c r="BC266" s="1127"/>
      <c r="BD266" s="1126"/>
      <c r="BE266" s="1127"/>
      <c r="BF266" s="1126"/>
      <c r="BG266" s="1127"/>
      <c r="BH266" s="1126"/>
      <c r="BI266" s="1127"/>
      <c r="BJ266" s="1126"/>
      <c r="BK266" s="1127"/>
      <c r="BL266" s="1152">
        <v>80.0</v>
      </c>
      <c r="BM266" s="1140">
        <v>80.0</v>
      </c>
      <c r="BN266" s="80"/>
      <c r="BO266" s="1579"/>
      <c r="BP266" s="2069">
        <f t="shared" si="229"/>
        <v>81</v>
      </c>
      <c r="BQ266" s="2231">
        <f t="shared" si="230"/>
        <v>80</v>
      </c>
      <c r="BR266" s="580">
        <f t="shared" si="231"/>
        <v>16400</v>
      </c>
      <c r="BS266" s="864">
        <f t="shared" si="232"/>
        <v>16605</v>
      </c>
      <c r="BT266" s="2232"/>
    </row>
    <row r="267" ht="19.5" customHeight="1">
      <c r="A267" s="1565"/>
      <c r="B267" s="1880">
        <v>3351.0</v>
      </c>
      <c r="C267" s="1176">
        <v>225.0</v>
      </c>
      <c r="D267" s="1735" t="s">
        <v>77</v>
      </c>
      <c r="E267" s="575" t="str">
        <f>'Матрица 4 недели'!M136</f>
        <v>Азу из говядины с макаронами</v>
      </c>
      <c r="F267" s="1126"/>
      <c r="G267" s="1121"/>
      <c r="H267" s="1126"/>
      <c r="I267" s="1121"/>
      <c r="J267" s="1126"/>
      <c r="K267" s="1121"/>
      <c r="L267" s="1141"/>
      <c r="M267" s="1121"/>
      <c r="N267" s="1802"/>
      <c r="O267" s="1121"/>
      <c r="P267" s="1126"/>
      <c r="Q267" s="1121"/>
      <c r="R267" s="1120"/>
      <c r="S267" s="1121"/>
      <c r="T267" s="1126"/>
      <c r="U267" s="1291"/>
      <c r="V267" s="1141"/>
      <c r="W267" s="1121"/>
      <c r="X267" s="1126"/>
      <c r="Y267" s="1121"/>
      <c r="Z267" s="1126"/>
      <c r="AA267" s="1121"/>
      <c r="AB267" s="1137"/>
      <c r="AC267" s="1138"/>
      <c r="AD267" s="1126"/>
      <c r="AE267" s="1138"/>
      <c r="AF267" s="1126"/>
      <c r="AG267" s="1138"/>
      <c r="AH267" s="1126"/>
      <c r="AI267" s="1138"/>
      <c r="AJ267" s="1137"/>
      <c r="AK267" s="1138"/>
      <c r="AL267" s="1126"/>
      <c r="AM267" s="1138"/>
      <c r="AN267" s="1120"/>
      <c r="AO267" s="1131"/>
      <c r="AP267" s="1126"/>
      <c r="AQ267" s="1131"/>
      <c r="AR267" s="1126"/>
      <c r="AS267" s="1131"/>
      <c r="AT267" s="1126"/>
      <c r="AU267" s="1131"/>
      <c r="AV267" s="1126"/>
      <c r="AW267" s="1131"/>
      <c r="AX267" s="1126"/>
      <c r="AY267" s="1131"/>
      <c r="AZ267" s="1126"/>
      <c r="BA267" s="1131"/>
      <c r="BB267" s="1126"/>
      <c r="BC267" s="1127"/>
      <c r="BD267" s="1126"/>
      <c r="BE267" s="1127"/>
      <c r="BF267" s="1126"/>
      <c r="BG267" s="1127"/>
      <c r="BH267" s="1126"/>
      <c r="BI267" s="1127"/>
      <c r="BJ267" s="1126"/>
      <c r="BK267" s="1127"/>
      <c r="BL267" s="1152">
        <v>25.0</v>
      </c>
      <c r="BM267" s="1140">
        <v>25.0</v>
      </c>
      <c r="BN267" s="77"/>
      <c r="BO267" s="2062"/>
      <c r="BP267" s="80">
        <f t="shared" si="229"/>
        <v>26</v>
      </c>
      <c r="BQ267" s="2231">
        <f t="shared" si="230"/>
        <v>25</v>
      </c>
      <c r="BR267" s="580">
        <f t="shared" si="231"/>
        <v>5625</v>
      </c>
      <c r="BS267" s="864">
        <f t="shared" si="232"/>
        <v>5850</v>
      </c>
      <c r="BT267" s="2232"/>
    </row>
    <row r="268" ht="19.5" customHeight="1">
      <c r="A268" s="1565" t="s">
        <v>145</v>
      </c>
      <c r="B268" s="1880">
        <v>3869.0</v>
      </c>
      <c r="C268" s="1176">
        <v>248.0</v>
      </c>
      <c r="D268" s="1755" t="s">
        <v>77</v>
      </c>
      <c r="E268" s="2238" t="str">
        <f>'Матрица 4 недели'!M137</f>
        <v>Курочка гриль с овощами</v>
      </c>
      <c r="F268" s="1151">
        <v>15.0</v>
      </c>
      <c r="G268" s="1173">
        <v>15.0</v>
      </c>
      <c r="H268" s="1151">
        <v>4.0</v>
      </c>
      <c r="I268" s="1173">
        <v>4.0</v>
      </c>
      <c r="J268" s="1151">
        <v>3.0</v>
      </c>
      <c r="K268" s="1173">
        <v>3.0</v>
      </c>
      <c r="L268" s="1802">
        <v>5.0</v>
      </c>
      <c r="M268" s="1173">
        <v>5.0</v>
      </c>
      <c r="N268" s="1802">
        <v>10.0</v>
      </c>
      <c r="O268" s="1173">
        <v>10.0</v>
      </c>
      <c r="P268" s="1151">
        <v>8.0</v>
      </c>
      <c r="Q268" s="1173">
        <v>8.0</v>
      </c>
      <c r="R268" s="1769">
        <v>2.0</v>
      </c>
      <c r="S268" s="1173">
        <v>2.0</v>
      </c>
      <c r="T268" s="1151">
        <v>0.0</v>
      </c>
      <c r="U268" s="1173">
        <v>0.0</v>
      </c>
      <c r="V268" s="2149">
        <v>3.0</v>
      </c>
      <c r="W268" s="1173">
        <v>3.0</v>
      </c>
      <c r="X268" s="1151">
        <v>2.0</v>
      </c>
      <c r="Y268" s="1173">
        <v>2.0</v>
      </c>
      <c r="Z268" s="1151"/>
      <c r="AA268" s="1173"/>
      <c r="AB268" s="1760">
        <v>2.0</v>
      </c>
      <c r="AC268" s="1173">
        <v>2.0</v>
      </c>
      <c r="AD268" s="1151">
        <v>2.0</v>
      </c>
      <c r="AE268" s="1173">
        <v>2.0</v>
      </c>
      <c r="AF268" s="1151">
        <v>2.0</v>
      </c>
      <c r="AG268" s="1173">
        <v>2.0</v>
      </c>
      <c r="AH268" s="1151">
        <v>2.0</v>
      </c>
      <c r="AI268" s="1173">
        <v>2.0</v>
      </c>
      <c r="AJ268" s="1760">
        <v>3.0</v>
      </c>
      <c r="AK268" s="1173">
        <v>3.0</v>
      </c>
      <c r="AL268" s="1151">
        <v>5.0</v>
      </c>
      <c r="AM268" s="1173">
        <v>5.0</v>
      </c>
      <c r="AN268" s="1760"/>
      <c r="AO268" s="1173"/>
      <c r="AP268" s="1151">
        <v>2.0</v>
      </c>
      <c r="AQ268" s="1173">
        <v>2.0</v>
      </c>
      <c r="AR268" s="1151">
        <v>4.0</v>
      </c>
      <c r="AS268" s="1173">
        <v>4.0</v>
      </c>
      <c r="AT268" s="1151">
        <v>7.0</v>
      </c>
      <c r="AU268" s="1173">
        <v>7.0</v>
      </c>
      <c r="AV268" s="1151">
        <v>1.0</v>
      </c>
      <c r="AW268" s="1173">
        <v>1.0</v>
      </c>
      <c r="AX268" s="1151">
        <v>3.0</v>
      </c>
      <c r="AY268" s="1173">
        <v>3.0</v>
      </c>
      <c r="AZ268" s="1151">
        <v>1.0</v>
      </c>
      <c r="BA268" s="1173">
        <v>1.0</v>
      </c>
      <c r="BB268" s="1126">
        <v>2.0</v>
      </c>
      <c r="BC268" s="1127">
        <v>2.0</v>
      </c>
      <c r="BD268" s="1126">
        <v>0.0</v>
      </c>
      <c r="BE268" s="1127">
        <v>0.0</v>
      </c>
      <c r="BF268" s="1126">
        <v>5.0</v>
      </c>
      <c r="BG268" s="1127">
        <v>5.0</v>
      </c>
      <c r="BH268" s="1126">
        <v>0.0</v>
      </c>
      <c r="BI268" s="1127">
        <v>0.0</v>
      </c>
      <c r="BJ268" s="1126">
        <v>4.0</v>
      </c>
      <c r="BK268" s="1127">
        <v>4.0</v>
      </c>
      <c r="BL268" s="1139"/>
      <c r="BM268" s="1782"/>
      <c r="BN268" s="77">
        <v>10.0</v>
      </c>
      <c r="BO268" s="2062"/>
      <c r="BP268" s="80">
        <f t="shared" si="229"/>
        <v>98</v>
      </c>
      <c r="BQ268" s="2231">
        <f t="shared" si="230"/>
        <v>97</v>
      </c>
      <c r="BR268" s="580">
        <f t="shared" si="231"/>
        <v>24056</v>
      </c>
      <c r="BS268" s="864">
        <f t="shared" si="232"/>
        <v>24304</v>
      </c>
      <c r="BT268" s="2232"/>
    </row>
    <row r="269" ht="19.5" customHeight="1">
      <c r="A269" s="1565" t="s">
        <v>145</v>
      </c>
      <c r="B269" s="1880">
        <v>26.0</v>
      </c>
      <c r="C269" s="1176">
        <v>190.0</v>
      </c>
      <c r="D269" s="1755" t="s">
        <v>77</v>
      </c>
      <c r="E269" s="1652" t="str">
        <f>'Матрица 4 недели'!M138</f>
        <v>Плов по-узбекски с цыпленком б/250гр</v>
      </c>
      <c r="F269" s="1151">
        <v>20.0</v>
      </c>
      <c r="G269" s="1173">
        <v>20.0</v>
      </c>
      <c r="H269" s="1151">
        <v>5.0</v>
      </c>
      <c r="I269" s="1173">
        <v>5.0</v>
      </c>
      <c r="J269" s="1151">
        <v>4.0</v>
      </c>
      <c r="K269" s="1173">
        <v>4.0</v>
      </c>
      <c r="L269" s="1802">
        <v>5.0</v>
      </c>
      <c r="M269" s="1173">
        <v>5.0</v>
      </c>
      <c r="N269" s="1802">
        <v>9.0</v>
      </c>
      <c r="O269" s="1173">
        <v>9.0</v>
      </c>
      <c r="P269" s="1151">
        <v>8.0</v>
      </c>
      <c r="Q269" s="1173">
        <v>8.0</v>
      </c>
      <c r="R269" s="1769">
        <v>2.0</v>
      </c>
      <c r="S269" s="1173">
        <v>2.0</v>
      </c>
      <c r="T269" s="1151">
        <v>1.0</v>
      </c>
      <c r="U269" s="1173">
        <v>1.0</v>
      </c>
      <c r="V269" s="2149">
        <v>3.0</v>
      </c>
      <c r="W269" s="1173">
        <v>3.0</v>
      </c>
      <c r="X269" s="1151">
        <v>2.0</v>
      </c>
      <c r="Y269" s="1173">
        <v>2.0</v>
      </c>
      <c r="Z269" s="1151"/>
      <c r="AA269" s="1173"/>
      <c r="AB269" s="1151">
        <v>0.0</v>
      </c>
      <c r="AC269" s="1173">
        <v>0.0</v>
      </c>
      <c r="AD269" s="1151">
        <v>7.0</v>
      </c>
      <c r="AE269" s="1173">
        <v>7.0</v>
      </c>
      <c r="AF269" s="1769">
        <v>4.0</v>
      </c>
      <c r="AG269" s="1173">
        <v>4.0</v>
      </c>
      <c r="AH269" s="1760">
        <v>0.0</v>
      </c>
      <c r="AI269" s="1173">
        <v>0.0</v>
      </c>
      <c r="AJ269" s="1760">
        <v>1.0</v>
      </c>
      <c r="AK269" s="1173">
        <v>1.0</v>
      </c>
      <c r="AL269" s="1151">
        <v>2.0</v>
      </c>
      <c r="AM269" s="1173">
        <v>2.0</v>
      </c>
      <c r="AN269" s="1151"/>
      <c r="AO269" s="1173"/>
      <c r="AP269" s="1760">
        <v>0.0</v>
      </c>
      <c r="AQ269" s="1173">
        <v>0.0</v>
      </c>
      <c r="AR269" s="1151">
        <v>6.0</v>
      </c>
      <c r="AS269" s="1173">
        <v>6.0</v>
      </c>
      <c r="AT269" s="1151">
        <v>6.0</v>
      </c>
      <c r="AU269" s="1173">
        <v>6.0</v>
      </c>
      <c r="AV269" s="1151">
        <v>3.0</v>
      </c>
      <c r="AW269" s="1173">
        <v>3.0</v>
      </c>
      <c r="AX269" s="1151">
        <v>3.0</v>
      </c>
      <c r="AY269" s="1173">
        <v>3.0</v>
      </c>
      <c r="AZ269" s="1151">
        <v>2.0</v>
      </c>
      <c r="BA269" s="1173">
        <v>2.0</v>
      </c>
      <c r="BB269" s="1151">
        <v>2.0</v>
      </c>
      <c r="BC269" s="1173">
        <v>2.0</v>
      </c>
      <c r="BD269" s="1151">
        <v>2.0</v>
      </c>
      <c r="BE269" s="1173">
        <v>2.0</v>
      </c>
      <c r="BF269" s="1151">
        <v>5.0</v>
      </c>
      <c r="BG269" s="1138">
        <v>5.0</v>
      </c>
      <c r="BH269" s="1126">
        <v>3.0</v>
      </c>
      <c r="BI269" s="1138">
        <v>3.0</v>
      </c>
      <c r="BJ269" s="1126">
        <v>8.0</v>
      </c>
      <c r="BK269" s="1138">
        <v>8.0</v>
      </c>
      <c r="BL269" s="1139"/>
      <c r="BM269" s="1140"/>
      <c r="BN269" s="77">
        <v>10.0</v>
      </c>
      <c r="BO269" s="2062"/>
      <c r="BP269" s="80">
        <f t="shared" si="229"/>
        <v>114</v>
      </c>
      <c r="BQ269" s="2231">
        <f t="shared" si="230"/>
        <v>113</v>
      </c>
      <c r="BR269" s="580">
        <v>113.0</v>
      </c>
      <c r="BS269" s="864">
        <f t="shared" si="232"/>
        <v>21660</v>
      </c>
      <c r="BT269" s="2232"/>
    </row>
    <row r="270" ht="19.5" customHeight="1">
      <c r="A270" s="1565" t="s">
        <v>145</v>
      </c>
      <c r="B270" s="1880">
        <v>2830.0</v>
      </c>
      <c r="C270" s="1176">
        <v>198.0</v>
      </c>
      <c r="D270" s="1755" t="s">
        <v>77</v>
      </c>
      <c r="E270" s="2239" t="str">
        <f>'Матрица 4 недели'!M139</f>
        <v>Запеканка картофельная с мясом</v>
      </c>
      <c r="F270" s="1286">
        <v>20.0</v>
      </c>
      <c r="G270" s="1285">
        <v>20.0</v>
      </c>
      <c r="H270" s="1284">
        <v>5.0</v>
      </c>
      <c r="I270" s="1285">
        <v>5.0</v>
      </c>
      <c r="J270" s="1284">
        <v>4.0</v>
      </c>
      <c r="K270" s="1285">
        <v>4.0</v>
      </c>
      <c r="L270" s="1286">
        <v>5.0</v>
      </c>
      <c r="M270" s="1285">
        <v>5.0</v>
      </c>
      <c r="N270" s="1762">
        <v>9.0</v>
      </c>
      <c r="O270" s="1285">
        <v>9.0</v>
      </c>
      <c r="P270" s="1284">
        <v>11.0</v>
      </c>
      <c r="Q270" s="1142">
        <v>11.0</v>
      </c>
      <c r="R270" s="1286">
        <v>2.0</v>
      </c>
      <c r="S270" s="1142">
        <v>2.0</v>
      </c>
      <c r="T270" s="1286">
        <v>1.0</v>
      </c>
      <c r="U270" s="1142">
        <v>1.0</v>
      </c>
      <c r="V270" s="1290">
        <v>2.0</v>
      </c>
      <c r="W270" s="1142">
        <v>2.0</v>
      </c>
      <c r="X270" s="1284">
        <v>2.0</v>
      </c>
      <c r="Y270" s="1288">
        <v>2.0</v>
      </c>
      <c r="Z270" s="1286"/>
      <c r="AA270" s="1289"/>
      <c r="AB270" s="1295">
        <v>2.0</v>
      </c>
      <c r="AC270" s="1142">
        <v>2.0</v>
      </c>
      <c r="AD270" s="1284">
        <v>7.0</v>
      </c>
      <c r="AE270" s="1296">
        <v>7.0</v>
      </c>
      <c r="AF270" s="1286">
        <v>2.0</v>
      </c>
      <c r="AG270" s="1289">
        <v>2.0</v>
      </c>
      <c r="AH270" s="1126">
        <v>2.0</v>
      </c>
      <c r="AI270" s="1289">
        <v>2.0</v>
      </c>
      <c r="AJ270" s="1290">
        <v>5.0</v>
      </c>
      <c r="AK270" s="1289">
        <v>5.0</v>
      </c>
      <c r="AL270" s="1126">
        <v>3.0</v>
      </c>
      <c r="AM270" s="1138">
        <v>3.0</v>
      </c>
      <c r="AN270" s="1120"/>
      <c r="AO270" s="1131"/>
      <c r="AP270" s="1126">
        <v>2.0</v>
      </c>
      <c r="AQ270" s="1131">
        <v>2.0</v>
      </c>
      <c r="AR270" s="1126">
        <v>3.0</v>
      </c>
      <c r="AS270" s="1138">
        <v>3.0</v>
      </c>
      <c r="AT270" s="1126">
        <v>0.0</v>
      </c>
      <c r="AU270" s="1138">
        <v>0.0</v>
      </c>
      <c r="AV270" s="1126">
        <v>3.0</v>
      </c>
      <c r="AW270" s="1138">
        <v>3.0</v>
      </c>
      <c r="AX270" s="1126">
        <v>3.0</v>
      </c>
      <c r="AY270" s="1138">
        <v>3.0</v>
      </c>
      <c r="AZ270" s="1126">
        <v>2.0</v>
      </c>
      <c r="BA270" s="1138">
        <v>2.0</v>
      </c>
      <c r="BB270" s="1126">
        <v>2.0</v>
      </c>
      <c r="BC270" s="1127">
        <v>2.0</v>
      </c>
      <c r="BD270" s="1126">
        <v>2.0</v>
      </c>
      <c r="BE270" s="1127">
        <v>2.0</v>
      </c>
      <c r="BF270" s="1126">
        <v>2.0</v>
      </c>
      <c r="BG270" s="1127">
        <v>2.0</v>
      </c>
      <c r="BH270" s="1126">
        <v>2.0</v>
      </c>
      <c r="BI270" s="1127">
        <v>2.0</v>
      </c>
      <c r="BJ270" s="1126">
        <v>6.0</v>
      </c>
      <c r="BK270" s="1127">
        <v>6.0</v>
      </c>
      <c r="BL270" s="1134"/>
      <c r="BM270" s="1140"/>
      <c r="BN270" s="77">
        <v>10.0</v>
      </c>
      <c r="BO270" s="2062"/>
      <c r="BP270" s="2069">
        <f t="shared" si="229"/>
        <v>110</v>
      </c>
      <c r="BQ270" s="2231">
        <f t="shared" si="230"/>
        <v>109</v>
      </c>
      <c r="BR270" s="580">
        <f t="shared" ref="BR270:BR274" si="233">BQ270*C270</f>
        <v>21582</v>
      </c>
      <c r="BS270" s="864">
        <f t="shared" si="232"/>
        <v>21780</v>
      </c>
      <c r="BT270" s="2232"/>
    </row>
    <row r="271" ht="19.5" customHeight="1">
      <c r="A271" s="1565" t="s">
        <v>145</v>
      </c>
      <c r="B271" s="1880">
        <v>657.0</v>
      </c>
      <c r="C271" s="1176">
        <v>212.0</v>
      </c>
      <c r="D271" s="1755" t="s">
        <v>77</v>
      </c>
      <c r="E271" s="1652" t="str">
        <f>'Матрица 4 недели'!M140</f>
        <v>Перец фаршированный с пюре</v>
      </c>
      <c r="F271" s="1126">
        <v>15.0</v>
      </c>
      <c r="G271" s="1138">
        <v>15.0</v>
      </c>
      <c r="H271" s="1126">
        <v>8.0</v>
      </c>
      <c r="I271" s="1138">
        <v>8.0</v>
      </c>
      <c r="J271" s="1126">
        <v>5.0</v>
      </c>
      <c r="K271" s="1138">
        <v>5.0</v>
      </c>
      <c r="L271" s="1141">
        <v>2.0</v>
      </c>
      <c r="M271" s="1138">
        <v>2.0</v>
      </c>
      <c r="N271" s="1151">
        <v>6.0</v>
      </c>
      <c r="O271" s="1138">
        <v>6.0</v>
      </c>
      <c r="P271" s="1126">
        <v>3.0</v>
      </c>
      <c r="Q271" s="1138">
        <v>3.0</v>
      </c>
      <c r="R271" s="1137">
        <v>2.0</v>
      </c>
      <c r="S271" s="1138">
        <v>2.0</v>
      </c>
      <c r="T271" s="1126">
        <v>2.0</v>
      </c>
      <c r="U271" s="1138">
        <v>2.0</v>
      </c>
      <c r="V271" s="1126">
        <v>2.0</v>
      </c>
      <c r="W271" s="1138">
        <v>2.0</v>
      </c>
      <c r="X271" s="1126">
        <v>1.0</v>
      </c>
      <c r="Y271" s="1138">
        <v>1.0</v>
      </c>
      <c r="Z271" s="1126"/>
      <c r="AA271" s="1138"/>
      <c r="AB271" s="1120">
        <v>2.0</v>
      </c>
      <c r="AC271" s="1138">
        <v>2.0</v>
      </c>
      <c r="AD271" s="1126">
        <v>2.0</v>
      </c>
      <c r="AE271" s="1138">
        <v>2.0</v>
      </c>
      <c r="AF271" s="1126">
        <v>2.0</v>
      </c>
      <c r="AG271" s="1138">
        <v>2.0</v>
      </c>
      <c r="AH271" s="1126">
        <v>3.0</v>
      </c>
      <c r="AI271" s="1138">
        <v>3.0</v>
      </c>
      <c r="AJ271" s="1120">
        <v>1.0</v>
      </c>
      <c r="AK271" s="1138">
        <v>1.0</v>
      </c>
      <c r="AL271" s="1126">
        <v>2.0</v>
      </c>
      <c r="AM271" s="1138">
        <v>2.0</v>
      </c>
      <c r="AN271" s="1120"/>
      <c r="AO271" s="1131"/>
      <c r="AP271" s="1126">
        <v>2.0</v>
      </c>
      <c r="AQ271" s="1131">
        <v>2.0</v>
      </c>
      <c r="AR271" s="1126">
        <v>2.0</v>
      </c>
      <c r="AS271" s="1138">
        <v>2.0</v>
      </c>
      <c r="AT271" s="1126">
        <v>6.0</v>
      </c>
      <c r="AU271" s="1138">
        <v>6.0</v>
      </c>
      <c r="AV271" s="1126">
        <v>0.0</v>
      </c>
      <c r="AW271" s="1138">
        <v>0.0</v>
      </c>
      <c r="AX271" s="1126">
        <v>2.0</v>
      </c>
      <c r="AY271" s="1138">
        <v>2.0</v>
      </c>
      <c r="AZ271" s="1126">
        <v>1.0</v>
      </c>
      <c r="BA271" s="1138">
        <v>1.0</v>
      </c>
      <c r="BB271" s="1126">
        <v>2.0</v>
      </c>
      <c r="BC271" s="1127">
        <v>2.0</v>
      </c>
      <c r="BD271" s="1126">
        <v>0.0</v>
      </c>
      <c r="BE271" s="1127">
        <v>0.0</v>
      </c>
      <c r="BF271" s="1126">
        <v>2.0</v>
      </c>
      <c r="BG271" s="1127">
        <v>2.0</v>
      </c>
      <c r="BH271" s="1126">
        <v>0.0</v>
      </c>
      <c r="BI271" s="1127">
        <v>0.0</v>
      </c>
      <c r="BJ271" s="1126">
        <v>3.0</v>
      </c>
      <c r="BK271" s="1127">
        <v>3.0</v>
      </c>
      <c r="BL271" s="1134"/>
      <c r="BM271" s="1140"/>
      <c r="BN271" s="77">
        <v>10.0</v>
      </c>
      <c r="BO271" s="2062"/>
      <c r="BP271" s="80">
        <f t="shared" si="229"/>
        <v>79</v>
      </c>
      <c r="BQ271" s="2231">
        <f t="shared" si="230"/>
        <v>78</v>
      </c>
      <c r="BR271" s="580">
        <f t="shared" si="233"/>
        <v>16536</v>
      </c>
      <c r="BS271" s="864">
        <f t="shared" si="232"/>
        <v>16748</v>
      </c>
      <c r="BT271" s="2232"/>
    </row>
    <row r="272" ht="19.5" customHeight="1">
      <c r="A272" s="1565" t="s">
        <v>145</v>
      </c>
      <c r="B272" s="1880">
        <v>113.0</v>
      </c>
      <c r="C272" s="1176">
        <v>212.0</v>
      </c>
      <c r="D272" s="1755" t="s">
        <v>77</v>
      </c>
      <c r="E272" s="1652" t="str">
        <f>'Матрица 4 недели'!M141</f>
        <v>Спагетти ''Болоньезе''</v>
      </c>
      <c r="F272" s="1120">
        <v>20.0</v>
      </c>
      <c r="G272" s="1138">
        <v>20.0</v>
      </c>
      <c r="H272" s="1120">
        <v>4.0</v>
      </c>
      <c r="I272" s="1138">
        <v>4.0</v>
      </c>
      <c r="J272" s="1120">
        <v>5.0</v>
      </c>
      <c r="K272" s="1138">
        <v>5.0</v>
      </c>
      <c r="L272" s="1120">
        <v>4.0</v>
      </c>
      <c r="M272" s="1138">
        <v>4.0</v>
      </c>
      <c r="N272" s="1120">
        <v>11.0</v>
      </c>
      <c r="O272" s="1138">
        <v>11.0</v>
      </c>
      <c r="P272" s="1120">
        <v>11.0</v>
      </c>
      <c r="Q272" s="1138">
        <v>11.0</v>
      </c>
      <c r="R272" s="1120">
        <v>2.0</v>
      </c>
      <c r="S272" s="1138">
        <v>2.0</v>
      </c>
      <c r="T272" s="1120">
        <v>1.0</v>
      </c>
      <c r="U272" s="1138">
        <v>1.0</v>
      </c>
      <c r="V272" s="1120">
        <v>4.0</v>
      </c>
      <c r="W272" s="1138">
        <v>4.0</v>
      </c>
      <c r="X272" s="1120">
        <v>2.0</v>
      </c>
      <c r="Y272" s="1138">
        <v>2.0</v>
      </c>
      <c r="Z272" s="1126"/>
      <c r="AA272" s="1138"/>
      <c r="AB272" s="1120">
        <v>0.0</v>
      </c>
      <c r="AC272" s="1138">
        <v>0.0</v>
      </c>
      <c r="AD272" s="1120">
        <v>8.0</v>
      </c>
      <c r="AE272" s="1138">
        <v>8.0</v>
      </c>
      <c r="AF272" s="1120">
        <v>4.0</v>
      </c>
      <c r="AG272" s="1138">
        <v>4.0</v>
      </c>
      <c r="AH272" s="1120">
        <v>3.0</v>
      </c>
      <c r="AI272" s="1138">
        <v>3.0</v>
      </c>
      <c r="AJ272" s="1120">
        <v>1.0</v>
      </c>
      <c r="AK272" s="1138">
        <v>1.0</v>
      </c>
      <c r="AL272" s="1126">
        <v>6.0</v>
      </c>
      <c r="AM272" s="1138">
        <v>6.0</v>
      </c>
      <c r="AN272" s="1120"/>
      <c r="AO272" s="1138"/>
      <c r="AP272" s="1120">
        <v>0.0</v>
      </c>
      <c r="AQ272" s="1138">
        <v>0.0</v>
      </c>
      <c r="AR272" s="1120">
        <v>6.0</v>
      </c>
      <c r="AS272" s="1138">
        <v>6.0</v>
      </c>
      <c r="AT272" s="1126">
        <v>9.0</v>
      </c>
      <c r="AU272" s="1138">
        <v>9.0</v>
      </c>
      <c r="AV272" s="1126">
        <v>3.0</v>
      </c>
      <c r="AW272" s="1138">
        <v>3.0</v>
      </c>
      <c r="AX272" s="1126">
        <v>3.0</v>
      </c>
      <c r="AY272" s="1138">
        <v>3.0</v>
      </c>
      <c r="AZ272" s="1126">
        <v>2.0</v>
      </c>
      <c r="BA272" s="1138">
        <v>2.0</v>
      </c>
      <c r="BB272" s="1126">
        <v>2.0</v>
      </c>
      <c r="BC272" s="1138">
        <v>2.0</v>
      </c>
      <c r="BD272" s="1126">
        <v>2.0</v>
      </c>
      <c r="BE272" s="1138">
        <v>2.0</v>
      </c>
      <c r="BF272" s="1126">
        <v>5.0</v>
      </c>
      <c r="BG272" s="1138">
        <v>5.0</v>
      </c>
      <c r="BH272" s="1126">
        <v>2.0</v>
      </c>
      <c r="BI272" s="1138">
        <v>2.0</v>
      </c>
      <c r="BJ272" s="1126">
        <v>7.0</v>
      </c>
      <c r="BK272" s="1138">
        <v>7.0</v>
      </c>
      <c r="BL272" s="1134"/>
      <c r="BM272" s="1138"/>
      <c r="BN272" s="77"/>
      <c r="BO272" s="2062"/>
      <c r="BP272" s="80">
        <f t="shared" si="229"/>
        <v>128</v>
      </c>
      <c r="BQ272" s="1579">
        <f t="shared" si="230"/>
        <v>127</v>
      </c>
      <c r="BR272" s="580">
        <f t="shared" si="233"/>
        <v>26924</v>
      </c>
      <c r="BS272" s="864">
        <f t="shared" si="232"/>
        <v>27136</v>
      </c>
      <c r="BT272" s="2232"/>
    </row>
    <row r="273" ht="19.5" customHeight="1">
      <c r="A273" s="1565"/>
      <c r="B273" s="1880">
        <v>3528.0</v>
      </c>
      <c r="C273" s="2240">
        <v>56.0</v>
      </c>
      <c r="D273" s="1755" t="s">
        <v>78</v>
      </c>
      <c r="E273" s="1652" t="str">
        <f>'Матрица 4 недели'!P134</f>
        <v>Сырная палочка 80 гр</v>
      </c>
      <c r="F273" s="1137"/>
      <c r="G273" s="1121"/>
      <c r="H273" s="1126"/>
      <c r="I273" s="1121"/>
      <c r="J273" s="1126"/>
      <c r="K273" s="1160"/>
      <c r="L273" s="1161"/>
      <c r="M273" s="1160"/>
      <c r="N273" s="1126"/>
      <c r="O273" s="1121"/>
      <c r="P273" s="1126"/>
      <c r="Q273" s="1121"/>
      <c r="R273" s="1120"/>
      <c r="S273" s="1121"/>
      <c r="T273" s="1126"/>
      <c r="U273" s="1138"/>
      <c r="V273" s="1137"/>
      <c r="W273" s="1138"/>
      <c r="X273" s="1137"/>
      <c r="Y273" s="1138"/>
      <c r="Z273" s="1126"/>
      <c r="AA273" s="1138"/>
      <c r="AB273" s="1137"/>
      <c r="AC273" s="1138"/>
      <c r="AD273" s="1137"/>
      <c r="AE273" s="1138"/>
      <c r="AF273" s="1137"/>
      <c r="AG273" s="1138"/>
      <c r="AH273" s="1137"/>
      <c r="AI273" s="1138"/>
      <c r="AJ273" s="1137"/>
      <c r="AK273" s="1138"/>
      <c r="AL273" s="1120"/>
      <c r="AM273" s="1138"/>
      <c r="AN273" s="1120"/>
      <c r="AO273" s="1305"/>
      <c r="AP273" s="1302"/>
      <c r="AQ273" s="1138"/>
      <c r="AR273" s="1120"/>
      <c r="AS273" s="1138"/>
      <c r="AT273" s="1126"/>
      <c r="AU273" s="1138"/>
      <c r="AV273" s="1126"/>
      <c r="AW273" s="1138"/>
      <c r="AX273" s="1126"/>
      <c r="AY273" s="1138"/>
      <c r="AZ273" s="1126"/>
      <c r="BA273" s="1138"/>
      <c r="BB273" s="1126"/>
      <c r="BC273" s="1127"/>
      <c r="BD273" s="1126"/>
      <c r="BE273" s="1127"/>
      <c r="BF273" s="1126"/>
      <c r="BG273" s="1127"/>
      <c r="BH273" s="1126"/>
      <c r="BI273" s="1127"/>
      <c r="BJ273" s="1126"/>
      <c r="BK273" s="1127"/>
      <c r="BL273" s="1134">
        <v>10.0</v>
      </c>
      <c r="BM273" s="1138">
        <v>15.0</v>
      </c>
      <c r="BN273" s="80"/>
      <c r="BO273" s="1579"/>
      <c r="BP273" s="80">
        <f t="shared" si="229"/>
        <v>11</v>
      </c>
      <c r="BQ273" s="1579">
        <f t="shared" si="230"/>
        <v>15</v>
      </c>
      <c r="BR273" s="580">
        <f t="shared" si="233"/>
        <v>840</v>
      </c>
      <c r="BS273" s="864">
        <f t="shared" si="232"/>
        <v>616</v>
      </c>
      <c r="BT273" s="2232"/>
    </row>
    <row r="274" ht="19.5" customHeight="1">
      <c r="A274" s="1565" t="s">
        <v>145</v>
      </c>
      <c r="B274" s="1880">
        <v>3.0</v>
      </c>
      <c r="C274" s="1176">
        <v>172.0</v>
      </c>
      <c r="D274" s="1755" t="s">
        <v>79</v>
      </c>
      <c r="E274" s="1652" t="str">
        <f>'Матрица 4 недели'!S134</f>
        <v>Сэндвич с курочкой и скремблом</v>
      </c>
      <c r="F274" s="1120">
        <v>25.0</v>
      </c>
      <c r="G274" s="1138">
        <v>25.0</v>
      </c>
      <c r="H274" s="1120">
        <v>3.0</v>
      </c>
      <c r="I274" s="1138">
        <v>3.0</v>
      </c>
      <c r="J274" s="1120">
        <v>4.0</v>
      </c>
      <c r="K274" s="1138">
        <v>4.0</v>
      </c>
      <c r="L274" s="1120">
        <v>7.0</v>
      </c>
      <c r="M274" s="1138">
        <v>7.0</v>
      </c>
      <c r="N274" s="1120">
        <v>3.0</v>
      </c>
      <c r="O274" s="1138">
        <v>3.0</v>
      </c>
      <c r="P274" s="1120">
        <v>8.0</v>
      </c>
      <c r="Q274" s="1138">
        <v>8.0</v>
      </c>
      <c r="R274" s="1120">
        <v>2.0</v>
      </c>
      <c r="S274" s="1138">
        <v>2.0</v>
      </c>
      <c r="T274" s="1120">
        <v>0.0</v>
      </c>
      <c r="U274" s="1138">
        <v>0.0</v>
      </c>
      <c r="V274" s="1120">
        <v>2.0</v>
      </c>
      <c r="W274" s="1138">
        <v>2.0</v>
      </c>
      <c r="X274" s="1120">
        <v>6.0</v>
      </c>
      <c r="Y274" s="1138">
        <v>6.0</v>
      </c>
      <c r="Z274" s="1126"/>
      <c r="AA274" s="1138"/>
      <c r="AB274" s="1120">
        <v>3.0</v>
      </c>
      <c r="AC274" s="1138">
        <v>3.0</v>
      </c>
      <c r="AD274" s="1120">
        <v>5.0</v>
      </c>
      <c r="AE274" s="1138">
        <v>5.0</v>
      </c>
      <c r="AF274" s="1120">
        <v>2.0</v>
      </c>
      <c r="AG274" s="1138">
        <v>2.0</v>
      </c>
      <c r="AH274" s="1120">
        <v>3.0</v>
      </c>
      <c r="AI274" s="1138">
        <v>3.0</v>
      </c>
      <c r="AJ274" s="1120">
        <v>3.0</v>
      </c>
      <c r="AK274" s="1138">
        <v>3.0</v>
      </c>
      <c r="AL274" s="1126">
        <v>4.0</v>
      </c>
      <c r="AM274" s="1138">
        <v>4.0</v>
      </c>
      <c r="AN274" s="1120"/>
      <c r="AO274" s="1138"/>
      <c r="AP274" s="1120">
        <v>3.0</v>
      </c>
      <c r="AQ274" s="1138">
        <v>3.0</v>
      </c>
      <c r="AR274" s="1120">
        <v>12.0</v>
      </c>
      <c r="AS274" s="1138">
        <v>12.0</v>
      </c>
      <c r="AT274" s="1126">
        <v>5.0</v>
      </c>
      <c r="AU274" s="1138">
        <v>5.0</v>
      </c>
      <c r="AV274" s="1126">
        <v>10.0</v>
      </c>
      <c r="AW274" s="1138">
        <v>10.0</v>
      </c>
      <c r="AX274" s="1126">
        <v>4.0</v>
      </c>
      <c r="AY274" s="1138">
        <v>4.0</v>
      </c>
      <c r="AZ274" s="1126">
        <v>4.0</v>
      </c>
      <c r="BA274" s="1138">
        <v>4.0</v>
      </c>
      <c r="BB274" s="1126">
        <v>14.0</v>
      </c>
      <c r="BC274" s="1138">
        <v>14.0</v>
      </c>
      <c r="BD274" s="1126">
        <v>0.0</v>
      </c>
      <c r="BE274" s="1138">
        <v>0.0</v>
      </c>
      <c r="BF274" s="1126">
        <v>6.0</v>
      </c>
      <c r="BG274" s="1138">
        <v>6.0</v>
      </c>
      <c r="BH274" s="1126">
        <v>4.0</v>
      </c>
      <c r="BI274" s="1138">
        <v>4.0</v>
      </c>
      <c r="BJ274" s="1126">
        <v>8.0</v>
      </c>
      <c r="BK274" s="1138">
        <v>8.0</v>
      </c>
      <c r="BL274" s="1134"/>
      <c r="BM274" s="1138"/>
      <c r="BN274" s="80"/>
      <c r="BO274" s="1579"/>
      <c r="BP274" s="80">
        <f t="shared" si="229"/>
        <v>151</v>
      </c>
      <c r="BQ274" s="1579">
        <f t="shared" si="230"/>
        <v>150</v>
      </c>
      <c r="BR274" s="580">
        <f t="shared" si="233"/>
        <v>25800</v>
      </c>
      <c r="BS274" s="864">
        <f t="shared" si="232"/>
        <v>25972</v>
      </c>
      <c r="BT274" s="2232"/>
    </row>
    <row r="275" ht="19.5" customHeight="1">
      <c r="A275" s="1565" t="s">
        <v>145</v>
      </c>
      <c r="B275" s="1880">
        <v>2364.0</v>
      </c>
      <c r="C275" s="1176">
        <v>170.0</v>
      </c>
      <c r="D275" s="1755" t="s">
        <v>79</v>
      </c>
      <c r="E275" s="1652" t="str">
        <f>'Матрица 4 недели'!S135</f>
        <v>Сэндвич с ветчиной и томатом </v>
      </c>
      <c r="F275" s="1120">
        <v>25.0</v>
      </c>
      <c r="G275" s="1138">
        <v>25.0</v>
      </c>
      <c r="H275" s="1120">
        <v>4.0</v>
      </c>
      <c r="I275" s="1138">
        <v>4.0</v>
      </c>
      <c r="J275" s="1120">
        <v>5.0</v>
      </c>
      <c r="K275" s="1138">
        <v>5.0</v>
      </c>
      <c r="L275" s="1120">
        <v>7.0</v>
      </c>
      <c r="M275" s="1138">
        <v>7.0</v>
      </c>
      <c r="N275" s="1120">
        <v>10.0</v>
      </c>
      <c r="O275" s="1138">
        <v>10.0</v>
      </c>
      <c r="P275" s="1120">
        <v>16.0</v>
      </c>
      <c r="Q275" s="1138">
        <v>16.0</v>
      </c>
      <c r="R275" s="1120">
        <v>4.0</v>
      </c>
      <c r="S275" s="1138">
        <v>4.0</v>
      </c>
      <c r="T275" s="1120">
        <v>3.0</v>
      </c>
      <c r="U275" s="1138">
        <v>3.0</v>
      </c>
      <c r="V275" s="1120">
        <v>4.0</v>
      </c>
      <c r="W275" s="1138">
        <v>4.0</v>
      </c>
      <c r="X275" s="1120">
        <v>12.0</v>
      </c>
      <c r="Y275" s="1138">
        <v>12.0</v>
      </c>
      <c r="Z275" s="1126"/>
      <c r="AA275" s="1138"/>
      <c r="AB275" s="1120">
        <v>3.0</v>
      </c>
      <c r="AC275" s="1138">
        <v>3.0</v>
      </c>
      <c r="AD275" s="1120">
        <v>5.0</v>
      </c>
      <c r="AE275" s="1138">
        <v>5.0</v>
      </c>
      <c r="AF275" s="1120">
        <v>3.0</v>
      </c>
      <c r="AG275" s="1138">
        <v>3.0</v>
      </c>
      <c r="AH275" s="1120">
        <v>8.0</v>
      </c>
      <c r="AI275" s="1138">
        <v>8.0</v>
      </c>
      <c r="AJ275" s="1120">
        <v>4.0</v>
      </c>
      <c r="AK275" s="1138">
        <v>4.0</v>
      </c>
      <c r="AL275" s="1126">
        <v>11.0</v>
      </c>
      <c r="AM275" s="1138">
        <v>11.0</v>
      </c>
      <c r="AN275" s="1120"/>
      <c r="AO275" s="1138"/>
      <c r="AP275" s="1120">
        <v>4.0</v>
      </c>
      <c r="AQ275" s="1138">
        <v>4.0</v>
      </c>
      <c r="AR275" s="1120">
        <v>15.0</v>
      </c>
      <c r="AS275" s="1138">
        <v>15.0</v>
      </c>
      <c r="AT275" s="1126">
        <v>5.0</v>
      </c>
      <c r="AU275" s="1138">
        <v>5.0</v>
      </c>
      <c r="AV275" s="1126">
        <v>6.0</v>
      </c>
      <c r="AW275" s="1138">
        <v>6.0</v>
      </c>
      <c r="AX275" s="1126">
        <v>4.0</v>
      </c>
      <c r="AY275" s="1138">
        <v>4.0</v>
      </c>
      <c r="AZ275" s="1126">
        <v>6.0</v>
      </c>
      <c r="BA275" s="1138">
        <v>6.0</v>
      </c>
      <c r="BB275" s="1126">
        <v>14.0</v>
      </c>
      <c r="BC275" s="1138">
        <v>14.0</v>
      </c>
      <c r="BD275" s="1126">
        <v>2.0</v>
      </c>
      <c r="BE275" s="1138">
        <v>2.0</v>
      </c>
      <c r="BF275" s="1126">
        <v>14.0</v>
      </c>
      <c r="BG275" s="1138">
        <v>14.0</v>
      </c>
      <c r="BH275" s="1126">
        <v>2.0</v>
      </c>
      <c r="BI275" s="1138">
        <v>2.0</v>
      </c>
      <c r="BJ275" s="1126">
        <v>9.0</v>
      </c>
      <c r="BK275" s="1138">
        <v>9.0</v>
      </c>
      <c r="BL275" s="1134"/>
      <c r="BM275" s="1138"/>
      <c r="BN275" s="80"/>
      <c r="BO275" s="1579"/>
      <c r="BP275" s="80">
        <f t="shared" si="229"/>
        <v>206</v>
      </c>
      <c r="BQ275" s="1579">
        <f t="shared" si="230"/>
        <v>205</v>
      </c>
      <c r="BR275" s="580">
        <v>205.0</v>
      </c>
      <c r="BS275" s="864">
        <f t="shared" si="232"/>
        <v>35020</v>
      </c>
      <c r="BT275" s="2232"/>
    </row>
    <row r="276" ht="19.5" customHeight="1">
      <c r="A276" s="1565" t="s">
        <v>145</v>
      </c>
      <c r="B276" s="1176">
        <v>4173.0</v>
      </c>
      <c r="C276" s="1176">
        <v>98.0</v>
      </c>
      <c r="D276" s="1735" t="s">
        <v>80</v>
      </c>
      <c r="E276" s="1596" t="str">
        <f>'Матрица 4 недели'!V134</f>
        <v>Морс клюквенный 0,5 л</v>
      </c>
      <c r="F276" s="1888">
        <v>40.0</v>
      </c>
      <c r="G276" s="1889">
        <v>20.0</v>
      </c>
      <c r="H276" s="1890">
        <v>0.0</v>
      </c>
      <c r="I276" s="1891">
        <v>0.0</v>
      </c>
      <c r="J276" s="1890"/>
      <c r="K276" s="1892"/>
      <c r="L276" s="2241">
        <v>6.0</v>
      </c>
      <c r="M276" s="1892">
        <v>6.0</v>
      </c>
      <c r="N276" s="1890">
        <v>0.0</v>
      </c>
      <c r="O276" s="1889">
        <v>0.0</v>
      </c>
      <c r="P276" s="1890">
        <v>7.0</v>
      </c>
      <c r="Q276" s="1894">
        <v>7.0</v>
      </c>
      <c r="R276" s="1890">
        <v>0.0</v>
      </c>
      <c r="S276" s="1896">
        <v>0.0</v>
      </c>
      <c r="T276" s="1888">
        <v>0.0</v>
      </c>
      <c r="U276" s="1896">
        <v>0.0</v>
      </c>
      <c r="V276" s="1888">
        <v>0.0</v>
      </c>
      <c r="W276" s="1896">
        <v>0.0</v>
      </c>
      <c r="X276" s="1888">
        <v>0.0</v>
      </c>
      <c r="Y276" s="1896">
        <v>0.0</v>
      </c>
      <c r="Z276" s="1890"/>
      <c r="AA276" s="1896"/>
      <c r="AB276" s="1888">
        <v>0.0</v>
      </c>
      <c r="AC276" s="1896">
        <v>0.0</v>
      </c>
      <c r="AD276" s="1888">
        <v>0.0</v>
      </c>
      <c r="AE276" s="1896">
        <v>0.0</v>
      </c>
      <c r="AF276" s="1888">
        <v>0.0</v>
      </c>
      <c r="AG276" s="1896">
        <v>0.0</v>
      </c>
      <c r="AH276" s="1888">
        <v>0.0</v>
      </c>
      <c r="AI276" s="1896">
        <v>0.0</v>
      </c>
      <c r="AJ276" s="1888">
        <v>0.0</v>
      </c>
      <c r="AK276" s="1896">
        <v>0.0</v>
      </c>
      <c r="AL276" s="1888">
        <v>0.0</v>
      </c>
      <c r="AM276" s="1896">
        <v>0.0</v>
      </c>
      <c r="AN276" s="1888"/>
      <c r="AO276" s="1889"/>
      <c r="AP276" s="1888">
        <v>0.0</v>
      </c>
      <c r="AQ276" s="1889">
        <v>0.0</v>
      </c>
      <c r="AR276" s="1888">
        <v>40.0</v>
      </c>
      <c r="AS276" s="1889">
        <v>30.0</v>
      </c>
      <c r="AT276" s="1890">
        <v>4.0</v>
      </c>
      <c r="AU276" s="1889">
        <v>4.0</v>
      </c>
      <c r="AV276" s="1890">
        <v>20.0</v>
      </c>
      <c r="AW276" s="1889">
        <v>16.0</v>
      </c>
      <c r="AX276" s="1890">
        <v>8.0</v>
      </c>
      <c r="AY276" s="1889">
        <v>8.0</v>
      </c>
      <c r="AZ276" s="1890">
        <v>0.0</v>
      </c>
      <c r="BA276" s="1889">
        <v>0.0</v>
      </c>
      <c r="BB276" s="1890">
        <v>5.0</v>
      </c>
      <c r="BC276" s="1127">
        <v>5.0</v>
      </c>
      <c r="BD276" s="1126">
        <v>9.0</v>
      </c>
      <c r="BE276" s="1127">
        <v>9.0</v>
      </c>
      <c r="BF276" s="1126">
        <v>25.0</v>
      </c>
      <c r="BG276" s="1127">
        <v>20.0</v>
      </c>
      <c r="BH276" s="1126">
        <v>6.0</v>
      </c>
      <c r="BI276" s="1127">
        <v>7.0</v>
      </c>
      <c r="BJ276" s="1126">
        <v>10.0</v>
      </c>
      <c r="BK276" s="1127">
        <v>12.0</v>
      </c>
      <c r="BL276" s="1134"/>
      <c r="BM276" s="1296"/>
      <c r="BN276" s="80"/>
      <c r="BO276" s="1579"/>
      <c r="BP276" s="80">
        <f t="shared" si="229"/>
        <v>181</v>
      </c>
      <c r="BQ276" s="2231">
        <f t="shared" si="230"/>
        <v>144</v>
      </c>
      <c r="BR276" s="580">
        <f t="shared" ref="BR276:BR280" si="234">BQ276*C276</f>
        <v>14112</v>
      </c>
      <c r="BS276" s="864">
        <f t="shared" si="232"/>
        <v>17738</v>
      </c>
      <c r="BT276" s="2232"/>
    </row>
    <row r="277" ht="19.5" customHeight="1">
      <c r="A277" s="1565" t="s">
        <v>145</v>
      </c>
      <c r="B277" s="1176">
        <v>822.0</v>
      </c>
      <c r="C277" s="1176">
        <v>5.0</v>
      </c>
      <c r="D277" s="1735" t="s">
        <v>74</v>
      </c>
      <c r="E277" s="575" t="str">
        <f>'Матрица 4 недели'!J135</f>
        <v>Хлеб пшеничный</v>
      </c>
      <c r="F277" s="1137">
        <v>35.0</v>
      </c>
      <c r="G277" s="1138">
        <v>35.0</v>
      </c>
      <c r="H277" s="1126">
        <v>3.0</v>
      </c>
      <c r="I277" s="1140">
        <v>3.0</v>
      </c>
      <c r="J277" s="1126"/>
      <c r="K277" s="1405"/>
      <c r="L277" s="1161">
        <v>0.0</v>
      </c>
      <c r="M277" s="1405">
        <v>0.0</v>
      </c>
      <c r="N277" s="1126">
        <v>0.0</v>
      </c>
      <c r="O277" s="1138">
        <v>0.0</v>
      </c>
      <c r="P277" s="1126">
        <v>5.0</v>
      </c>
      <c r="Q277" s="1142">
        <v>5.0</v>
      </c>
      <c r="R277" s="1126">
        <v>4.0</v>
      </c>
      <c r="S277" s="1121">
        <v>4.0</v>
      </c>
      <c r="T277" s="1137"/>
      <c r="U277" s="1121"/>
      <c r="V277" s="1137">
        <v>4.0</v>
      </c>
      <c r="W277" s="1121">
        <v>4.0</v>
      </c>
      <c r="X277" s="1137">
        <v>18.0</v>
      </c>
      <c r="Y277" s="1121">
        <v>18.0</v>
      </c>
      <c r="Z277" s="1126"/>
      <c r="AA277" s="1121"/>
      <c r="AB277" s="1120">
        <v>3.0</v>
      </c>
      <c r="AC277" s="1121">
        <v>3.0</v>
      </c>
      <c r="AD277" s="1120">
        <v>4.0</v>
      </c>
      <c r="AE277" s="1121">
        <v>4.0</v>
      </c>
      <c r="AF277" s="1137">
        <v>6.0</v>
      </c>
      <c r="AG277" s="1121">
        <v>6.0</v>
      </c>
      <c r="AH277" s="1120"/>
      <c r="AI277" s="1121"/>
      <c r="AJ277" s="1120">
        <v>3.0</v>
      </c>
      <c r="AK277" s="1121">
        <v>3.0</v>
      </c>
      <c r="AL277" s="1137">
        <v>12.0</v>
      </c>
      <c r="AM277" s="1121">
        <v>12.0</v>
      </c>
      <c r="AN277" s="1137"/>
      <c r="AO277" s="1138"/>
      <c r="AP277" s="1137"/>
      <c r="AQ277" s="1131"/>
      <c r="AR277" s="1137"/>
      <c r="AS277" s="1131"/>
      <c r="AT277" s="1126">
        <v>3.0</v>
      </c>
      <c r="AU277" s="1138">
        <v>3.0</v>
      </c>
      <c r="AV277" s="1126">
        <v>3.0</v>
      </c>
      <c r="AW277" s="1138">
        <v>3.0</v>
      </c>
      <c r="AX277" s="1126">
        <v>4.0</v>
      </c>
      <c r="AY277" s="1138">
        <v>4.0</v>
      </c>
      <c r="AZ277" s="1126">
        <v>20.0</v>
      </c>
      <c r="BA277" s="1138">
        <v>20.0</v>
      </c>
      <c r="BB277" s="1126"/>
      <c r="BC277" s="1127"/>
      <c r="BD277" s="1126"/>
      <c r="BE277" s="1127"/>
      <c r="BF277" s="1126">
        <v>5.0</v>
      </c>
      <c r="BG277" s="1127">
        <v>5.0</v>
      </c>
      <c r="BH277" s="1126">
        <v>4.0</v>
      </c>
      <c r="BI277" s="1127">
        <v>4.0</v>
      </c>
      <c r="BJ277" s="1126">
        <v>3.0</v>
      </c>
      <c r="BK277" s="1127">
        <v>3.0</v>
      </c>
      <c r="BL277" s="1139">
        <v>120.0</v>
      </c>
      <c r="BM277" s="1131">
        <v>120.0</v>
      </c>
      <c r="BN277" s="80"/>
      <c r="BO277" s="1579"/>
      <c r="BP277" s="80">
        <f t="shared" si="229"/>
        <v>260</v>
      </c>
      <c r="BQ277" s="2231">
        <f t="shared" si="230"/>
        <v>259</v>
      </c>
      <c r="BR277" s="580">
        <f t="shared" si="234"/>
        <v>1295</v>
      </c>
      <c r="BS277" s="864">
        <f t="shared" si="232"/>
        <v>1300</v>
      </c>
      <c r="BT277" s="2232"/>
    </row>
    <row r="278" ht="19.5" customHeight="1">
      <c r="A278" s="1565"/>
      <c r="B278" s="2242">
        <v>4281.0</v>
      </c>
      <c r="C278" s="1176">
        <v>98.0</v>
      </c>
      <c r="D278" s="2243"/>
      <c r="E278" s="575" t="s">
        <v>1039</v>
      </c>
      <c r="F278" s="1137"/>
      <c r="G278" s="1138">
        <v>20.0</v>
      </c>
      <c r="H278" s="1126"/>
      <c r="I278" s="1140"/>
      <c r="J278" s="1126"/>
      <c r="K278" s="1405"/>
      <c r="L278" s="1161"/>
      <c r="M278" s="1405">
        <v>4.0</v>
      </c>
      <c r="N278" s="1126"/>
      <c r="O278" s="1138"/>
      <c r="P278" s="1126"/>
      <c r="Q278" s="1142">
        <v>3.0</v>
      </c>
      <c r="R278" s="1126"/>
      <c r="S278" s="1121"/>
      <c r="T278" s="1137"/>
      <c r="U278" s="1121"/>
      <c r="V278" s="1137"/>
      <c r="W278" s="1121"/>
      <c r="X278" s="1137"/>
      <c r="Y278" s="1121"/>
      <c r="Z278" s="1126"/>
      <c r="AA278" s="1121"/>
      <c r="AB278" s="1120"/>
      <c r="AC278" s="1121"/>
      <c r="AD278" s="1120"/>
      <c r="AE278" s="1121"/>
      <c r="AF278" s="1137"/>
      <c r="AG278" s="1121"/>
      <c r="AH278" s="1120"/>
      <c r="AI278" s="1121"/>
      <c r="AJ278" s="1120"/>
      <c r="AK278" s="1121"/>
      <c r="AL278" s="1137"/>
      <c r="AM278" s="1121"/>
      <c r="AN278" s="1137"/>
      <c r="AO278" s="1138"/>
      <c r="AP278" s="1120"/>
      <c r="AQ278" s="1131"/>
      <c r="AR278" s="1120"/>
      <c r="AS278" s="1131">
        <v>10.0</v>
      </c>
      <c r="AT278" s="1126"/>
      <c r="AU278" s="1138">
        <v>4.0</v>
      </c>
      <c r="AV278" s="1126"/>
      <c r="AW278" s="1138">
        <v>4.0</v>
      </c>
      <c r="AX278" s="1126"/>
      <c r="AY278" s="1138"/>
      <c r="AZ278" s="1126"/>
      <c r="BA278" s="1138"/>
      <c r="BB278" s="1126"/>
      <c r="BC278" s="1127"/>
      <c r="BD278" s="1126"/>
      <c r="BE278" s="1127"/>
      <c r="BF278" s="1126"/>
      <c r="BG278" s="1127">
        <v>5.0</v>
      </c>
      <c r="BH278" s="1126"/>
      <c r="BI278" s="1127"/>
      <c r="BJ278" s="1126"/>
      <c r="BK278" s="1127"/>
      <c r="BL278" s="1134"/>
      <c r="BM278" s="1138"/>
      <c r="BN278" s="77">
        <v>10.0</v>
      </c>
      <c r="BO278" s="1579"/>
      <c r="BP278" s="80">
        <f t="shared" si="229"/>
        <v>1</v>
      </c>
      <c r="BQ278" s="2231">
        <f t="shared" si="230"/>
        <v>50</v>
      </c>
      <c r="BR278" s="580">
        <f t="shared" si="234"/>
        <v>4900</v>
      </c>
      <c r="BS278" s="864">
        <f t="shared" si="232"/>
        <v>98</v>
      </c>
      <c r="BT278" s="2232"/>
    </row>
    <row r="279" ht="19.5" customHeight="1">
      <c r="A279" s="1565"/>
      <c r="B279" s="2242">
        <v>2077.0</v>
      </c>
      <c r="C279" s="1176">
        <v>180.0</v>
      </c>
      <c r="D279" s="2244"/>
      <c r="E279" s="575" t="s">
        <v>1278</v>
      </c>
      <c r="F279" s="1141"/>
      <c r="G279" s="1303">
        <v>4.0</v>
      </c>
      <c r="H279" s="1141"/>
      <c r="I279" s="1303"/>
      <c r="J279" s="1141"/>
      <c r="K279" s="1303">
        <v>2.0</v>
      </c>
      <c r="L279" s="1141"/>
      <c r="M279" s="1303">
        <v>2.0</v>
      </c>
      <c r="N279" s="1141"/>
      <c r="O279" s="1303">
        <v>3.0</v>
      </c>
      <c r="P279" s="1141"/>
      <c r="Q279" s="1303">
        <v>3.0</v>
      </c>
      <c r="R279" s="1141"/>
      <c r="S279" s="1959"/>
      <c r="T279" s="1141"/>
      <c r="U279" s="1307">
        <v>2.0</v>
      </c>
      <c r="V279" s="1143"/>
      <c r="W279" s="1307">
        <v>2.0</v>
      </c>
      <c r="X279" s="1143"/>
      <c r="Y279" s="1138">
        <v>2.0</v>
      </c>
      <c r="Z279" s="1126"/>
      <c r="AA279" s="1138"/>
      <c r="AB279" s="1120"/>
      <c r="AC279" s="1138">
        <v>2.0</v>
      </c>
      <c r="AD279" s="1120"/>
      <c r="AE279" s="1138">
        <v>2.0</v>
      </c>
      <c r="AF279" s="1120"/>
      <c r="AG279" s="1138">
        <v>3.0</v>
      </c>
      <c r="AH279" s="1120"/>
      <c r="AI279" s="1138">
        <v>2.0</v>
      </c>
      <c r="AJ279" s="1120"/>
      <c r="AK279" s="1138">
        <v>2.0</v>
      </c>
      <c r="AL279" s="1120"/>
      <c r="AM279" s="1138"/>
      <c r="AN279" s="1120"/>
      <c r="AO279" s="1138"/>
      <c r="AP279" s="1126"/>
      <c r="AQ279" s="1138">
        <v>2.0</v>
      </c>
      <c r="AR279" s="1120"/>
      <c r="AS279" s="1121"/>
      <c r="AT279" s="1126"/>
      <c r="AU279" s="1121">
        <v>2.0</v>
      </c>
      <c r="AV279" s="1126"/>
      <c r="AW279" s="1121">
        <v>2.0</v>
      </c>
      <c r="AX279" s="1126"/>
      <c r="AY279" s="1121">
        <v>2.0</v>
      </c>
      <c r="AZ279" s="1126"/>
      <c r="BA279" s="1121"/>
      <c r="BB279" s="1126"/>
      <c r="BC279" s="1127">
        <v>2.0</v>
      </c>
      <c r="BD279" s="1126"/>
      <c r="BE279" s="1127">
        <v>2.0</v>
      </c>
      <c r="BF279" s="1126"/>
      <c r="BG279" s="1127">
        <v>2.0</v>
      </c>
      <c r="BH279" s="1126"/>
      <c r="BI279" s="1127">
        <v>2.0</v>
      </c>
      <c r="BJ279" s="1126"/>
      <c r="BK279" s="1127">
        <v>2.0</v>
      </c>
      <c r="BL279" s="1134"/>
      <c r="BM279" s="1653"/>
      <c r="BN279" s="2245">
        <v>10.0</v>
      </c>
      <c r="BO279" s="2246"/>
      <c r="BP279" s="80">
        <f t="shared" si="229"/>
        <v>1</v>
      </c>
      <c r="BQ279" s="1579">
        <f t="shared" si="230"/>
        <v>49</v>
      </c>
      <c r="BR279" s="580">
        <f t="shared" si="234"/>
        <v>8820</v>
      </c>
      <c r="BS279" s="864">
        <f t="shared" si="232"/>
        <v>180</v>
      </c>
      <c r="BT279" s="2232"/>
    </row>
    <row r="280" ht="19.5" customHeight="1">
      <c r="A280" s="1565"/>
      <c r="B280" s="2242"/>
      <c r="C280" s="1176"/>
      <c r="D280" s="2247"/>
      <c r="E280" s="1592"/>
      <c r="F280" s="1126"/>
      <c r="G280" s="1138"/>
      <c r="H280" s="1126"/>
      <c r="I280" s="1138"/>
      <c r="J280" s="1126"/>
      <c r="K280" s="1138"/>
      <c r="L280" s="1126"/>
      <c r="M280" s="1138"/>
      <c r="N280" s="1126"/>
      <c r="O280" s="1138"/>
      <c r="P280" s="1126"/>
      <c r="Q280" s="1138"/>
      <c r="R280" s="1120"/>
      <c r="S280" s="1138"/>
      <c r="T280" s="1137"/>
      <c r="U280" s="1138"/>
      <c r="V280" s="1126"/>
      <c r="W280" s="1138"/>
      <c r="X280" s="1126"/>
      <c r="Y280" s="1138"/>
      <c r="Z280" s="1126"/>
      <c r="AA280" s="1138"/>
      <c r="AB280" s="1120"/>
      <c r="AC280" s="1138"/>
      <c r="AD280" s="1137"/>
      <c r="AE280" s="1138"/>
      <c r="AF280" s="1137"/>
      <c r="AG280" s="1138"/>
      <c r="AH280" s="1137"/>
      <c r="AI280" s="1138"/>
      <c r="AJ280" s="1137"/>
      <c r="AK280" s="1138"/>
      <c r="AL280" s="1120"/>
      <c r="AM280" s="1138"/>
      <c r="AN280" s="1137"/>
      <c r="AO280" s="1138"/>
      <c r="AP280" s="1126"/>
      <c r="AQ280" s="1138"/>
      <c r="AR280" s="1137"/>
      <c r="AS280" s="1138"/>
      <c r="AT280" s="1126"/>
      <c r="AU280" s="1138"/>
      <c r="AV280" s="1126"/>
      <c r="AW280" s="1138"/>
      <c r="AX280" s="1126"/>
      <c r="AY280" s="1138"/>
      <c r="AZ280" s="1126"/>
      <c r="BA280" s="1138"/>
      <c r="BB280" s="1126"/>
      <c r="BC280" s="1127"/>
      <c r="BD280" s="1126"/>
      <c r="BE280" s="1127"/>
      <c r="BF280" s="1126"/>
      <c r="BG280" s="1127"/>
      <c r="BH280" s="1126"/>
      <c r="BI280" s="1127"/>
      <c r="BJ280" s="1126"/>
      <c r="BK280" s="1127"/>
      <c r="BL280" s="1139"/>
      <c r="BM280" s="1138"/>
      <c r="BN280" s="80"/>
      <c r="BO280" s="1579"/>
      <c r="BP280" s="80">
        <f t="shared" si="229"/>
        <v>1</v>
      </c>
      <c r="BQ280" s="1579">
        <f t="shared" si="230"/>
        <v>0</v>
      </c>
      <c r="BR280" s="580">
        <f t="shared" si="234"/>
        <v>0</v>
      </c>
      <c r="BS280" s="864">
        <f t="shared" si="232"/>
        <v>0</v>
      </c>
      <c r="BT280" s="1610" t="s">
        <v>3104</v>
      </c>
    </row>
    <row r="281" ht="15.75" customHeight="1">
      <c r="A281" s="2248"/>
      <c r="B281" s="624"/>
      <c r="C281" s="624"/>
      <c r="D281" s="1848"/>
      <c r="F281" s="1190"/>
      <c r="H281" s="1190"/>
      <c r="J281" s="1190"/>
      <c r="L281" s="1190"/>
      <c r="N281" s="1190"/>
      <c r="P281" s="1190"/>
      <c r="R281" s="1190"/>
      <c r="T281" s="1190"/>
      <c r="V281" s="1190"/>
      <c r="X281" s="1190"/>
      <c r="Z281" s="1190"/>
      <c r="AB281" s="1190"/>
      <c r="AD281" s="1190"/>
      <c r="AF281" s="1190"/>
      <c r="AH281" s="1190"/>
      <c r="AJ281" s="1190"/>
      <c r="AL281" s="1187"/>
      <c r="AM281" s="1187"/>
      <c r="AN281" s="1187"/>
      <c r="AO281" s="1187"/>
      <c r="AP281" s="1187"/>
      <c r="AQ281" s="1209"/>
      <c r="AR281" s="1187"/>
      <c r="AS281" s="1187"/>
      <c r="AT281" s="1187"/>
      <c r="AU281" s="1187"/>
      <c r="AV281" s="1187"/>
      <c r="AW281" s="1187"/>
      <c r="AX281" s="1187"/>
      <c r="AY281" s="1187"/>
      <c r="AZ281" s="1187"/>
      <c r="BA281" s="1187"/>
      <c r="BB281" s="1187"/>
      <c r="BC281" s="1187"/>
      <c r="BD281" s="1187"/>
      <c r="BE281" s="1187"/>
      <c r="BF281" s="1187"/>
      <c r="BG281" s="1187"/>
      <c r="BH281" s="1187"/>
      <c r="BI281" s="1187"/>
      <c r="BJ281" s="1187"/>
      <c r="BK281" s="1187"/>
      <c r="BL281" s="1187"/>
      <c r="BM281" s="1187"/>
      <c r="BN281" s="63" t="s">
        <v>1365</v>
      </c>
      <c r="BP281" s="1327">
        <f t="shared" ref="BP281:BS281" si="235">SUM(BP257:BP280)</f>
        <v>2576</v>
      </c>
      <c r="BQ281" s="2069">
        <f t="shared" si="235"/>
        <v>2608</v>
      </c>
      <c r="BR281" s="2249">
        <f t="shared" si="235"/>
        <v>299854</v>
      </c>
      <c r="BS281" s="2028">
        <f t="shared" si="235"/>
        <v>350657</v>
      </c>
      <c r="BT281" s="1678">
        <f>BR281-BS281</f>
        <v>-50803</v>
      </c>
      <c r="BU281" s="2251"/>
    </row>
    <row r="282" ht="26.25" customHeight="1">
      <c r="A282" s="2252" t="s">
        <v>1354</v>
      </c>
      <c r="C282" s="2253">
        <v>46247.0</v>
      </c>
      <c r="E282" s="908" t="s">
        <v>3106</v>
      </c>
      <c r="F282" s="1198"/>
      <c r="G282" s="13"/>
      <c r="H282" s="13"/>
      <c r="I282" s="13"/>
      <c r="J282" s="13"/>
      <c r="K282" s="11"/>
      <c r="L282" s="11"/>
      <c r="M282" s="13"/>
      <c r="N282" s="13"/>
      <c r="O282" s="13"/>
      <c r="P282" s="13"/>
      <c r="Q282" s="2254"/>
      <c r="R282" s="2254"/>
      <c r="S282" s="2255"/>
      <c r="T282" s="2254"/>
      <c r="U282" s="2254"/>
      <c r="V282" s="2254"/>
      <c r="W282" s="2254"/>
      <c r="X282" s="2254"/>
      <c r="Y282" s="2254"/>
      <c r="Z282" s="2254"/>
      <c r="AA282" s="2254"/>
      <c r="AB282" s="2254"/>
      <c r="AC282" s="2254"/>
      <c r="AD282" s="2254"/>
      <c r="AE282" s="2254"/>
      <c r="AF282" s="2254"/>
      <c r="AG282" s="2162"/>
      <c r="AH282" s="2254"/>
      <c r="AI282" s="2162"/>
      <c r="AJ282" s="2254"/>
      <c r="AK282" s="2254"/>
      <c r="AL282" s="2254"/>
      <c r="AM282" s="2254"/>
      <c r="AN282" s="2254"/>
      <c r="AO282" s="2254"/>
      <c r="AP282" s="2254"/>
      <c r="AQ282" s="2254"/>
      <c r="AR282" s="2254"/>
      <c r="AS282" s="2254"/>
      <c r="AT282" s="2254"/>
      <c r="AU282" s="2254"/>
      <c r="AV282" s="2254"/>
      <c r="AW282" s="2254"/>
      <c r="AX282" s="2254"/>
      <c r="AY282" s="2254"/>
      <c r="AZ282" s="2254"/>
      <c r="BA282" s="2254"/>
      <c r="BB282" s="2254"/>
      <c r="BC282" s="2254"/>
      <c r="BD282" s="2254"/>
      <c r="BE282" s="2254"/>
      <c r="BF282" s="2254"/>
      <c r="BG282" s="2254"/>
      <c r="BH282" s="2254"/>
      <c r="BI282" s="2254"/>
      <c r="BJ282" s="2254"/>
      <c r="BK282" s="2254"/>
      <c r="BL282" s="2254"/>
      <c r="BM282" s="2254"/>
      <c r="BN282" s="2254"/>
      <c r="BO282" s="2254"/>
      <c r="BP282" s="2254"/>
      <c r="BQ282" s="2256"/>
      <c r="BR282" s="2256"/>
      <c r="BS282" s="13"/>
      <c r="BT282" s="870"/>
      <c r="BU282" s="13"/>
    </row>
    <row r="283" ht="21.0" customHeight="1">
      <c r="A283" s="2257" t="s">
        <v>3069</v>
      </c>
      <c r="B283" s="2258" t="s">
        <v>1283</v>
      </c>
      <c r="C283" s="2258" t="s">
        <v>19</v>
      </c>
      <c r="D283" s="1734" t="s">
        <v>473</v>
      </c>
      <c r="E283" s="1126" t="str">
        <f t="shared" ref="E283:E307" si="236">E256</f>
        <v>Название блюда</v>
      </c>
      <c r="F283" s="2034" t="s">
        <v>1357</v>
      </c>
      <c r="G283" s="69"/>
      <c r="H283" s="2034" t="s">
        <v>1287</v>
      </c>
      <c r="I283" s="69"/>
      <c r="J283" s="2034" t="s">
        <v>1358</v>
      </c>
      <c r="K283" s="69"/>
      <c r="L283" s="2034" t="s">
        <v>1359</v>
      </c>
      <c r="M283" s="69"/>
      <c r="N283" s="2034" t="s">
        <v>1360</v>
      </c>
      <c r="O283" s="69"/>
      <c r="P283" s="2034" t="s">
        <v>1361</v>
      </c>
      <c r="Q283" s="69"/>
      <c r="R283" s="2034" t="s">
        <v>1362</v>
      </c>
      <c r="S283" s="69"/>
      <c r="T283" s="2034" t="s">
        <v>1299</v>
      </c>
      <c r="U283" s="69"/>
      <c r="V283" s="2034" t="s">
        <v>1301</v>
      </c>
      <c r="W283" s="69"/>
      <c r="X283" s="2034" t="s">
        <v>1363</v>
      </c>
      <c r="Y283" s="69"/>
      <c r="Z283" s="2034" t="s">
        <v>1305</v>
      </c>
      <c r="AA283" s="69"/>
      <c r="AB283" s="2034" t="s">
        <v>1307</v>
      </c>
      <c r="AC283" s="69"/>
      <c r="AD283" s="2034" t="s">
        <v>1309</v>
      </c>
      <c r="AE283" s="69"/>
      <c r="AF283" s="2034" t="s">
        <v>1311</v>
      </c>
      <c r="AG283" s="69"/>
      <c r="AH283" s="1842" t="s">
        <v>1313</v>
      </c>
      <c r="AI283" s="69"/>
      <c r="AJ283" s="1842" t="s">
        <v>1315</v>
      </c>
      <c r="AK283" s="69"/>
      <c r="AL283" s="2034" t="s">
        <v>1317</v>
      </c>
      <c r="AM283" s="69"/>
      <c r="AN283" s="2034" t="s">
        <v>1319</v>
      </c>
      <c r="AO283" s="69"/>
      <c r="AP283" s="2034" t="s">
        <v>1321</v>
      </c>
      <c r="AQ283" s="69"/>
      <c r="AR283" s="2034" t="s">
        <v>1323</v>
      </c>
      <c r="AS283" s="69"/>
      <c r="AT283" s="2034" t="s">
        <v>1325</v>
      </c>
      <c r="AU283" s="69"/>
      <c r="AV283" s="2034" t="s">
        <v>1327</v>
      </c>
      <c r="AW283" s="69"/>
      <c r="AX283" s="2034" t="s">
        <v>3076</v>
      </c>
      <c r="AY283" s="69"/>
      <c r="AZ283" s="2034" t="s">
        <v>3078</v>
      </c>
      <c r="BA283" s="69"/>
      <c r="BB283" s="2034" t="s">
        <v>3080</v>
      </c>
      <c r="BC283" s="69"/>
      <c r="BD283" s="2034" t="s">
        <v>3082</v>
      </c>
      <c r="BE283" s="69"/>
      <c r="BF283" s="2034" t="s">
        <v>3084</v>
      </c>
      <c r="BG283" s="69"/>
      <c r="BH283" s="2034" t="s">
        <v>3086</v>
      </c>
      <c r="BI283" s="69"/>
      <c r="BJ283" s="2034" t="s">
        <v>3088</v>
      </c>
      <c r="BK283" s="69"/>
      <c r="BL283" s="2034" t="s">
        <v>297</v>
      </c>
      <c r="BM283" s="69"/>
      <c r="BN283" s="2034" t="s">
        <v>3090</v>
      </c>
      <c r="BO283" s="69"/>
      <c r="BP283" s="1306" t="s">
        <v>5</v>
      </c>
      <c r="BQ283" s="1840"/>
      <c r="BR283" s="545"/>
      <c r="BS283" s="2177" t="s">
        <v>3129</v>
      </c>
      <c r="BT283" s="1683"/>
      <c r="BU283" s="1840"/>
    </row>
    <row r="284" ht="27.0" customHeight="1">
      <c r="A284" s="2263" t="str">
        <f t="shared" ref="A284:A307" si="237">A257</f>
        <v>Да</v>
      </c>
      <c r="B284" s="1978">
        <v>2951.0</v>
      </c>
      <c r="C284" s="1568">
        <v>85.0</v>
      </c>
      <c r="D284" s="1817"/>
      <c r="E284" s="2172" t="str">
        <f t="shared" si="236"/>
        <v>Каша овсяная с яблоком и корицей</v>
      </c>
      <c r="F284" s="2264">
        <f t="shared" ref="F284:F306" si="238">G257</f>
        <v>10</v>
      </c>
      <c r="G284" s="69"/>
      <c r="H284" s="2265">
        <f t="shared" ref="H284:H306" si="239">I257</f>
        <v>2</v>
      </c>
      <c r="I284" s="69"/>
      <c r="J284" s="2265">
        <f t="shared" ref="J284:J306" si="240">K257</f>
        <v>3</v>
      </c>
      <c r="K284" s="69"/>
      <c r="L284" s="2265">
        <f t="shared" ref="L284:L306" si="241">M257</f>
        <v>2</v>
      </c>
      <c r="M284" s="69"/>
      <c r="N284" s="2265">
        <f t="shared" ref="N284:N306" si="242">O257</f>
        <v>9</v>
      </c>
      <c r="O284" s="69"/>
      <c r="P284" s="2265">
        <f t="shared" ref="P284:P306" si="243">Q257</f>
        <v>5</v>
      </c>
      <c r="Q284" s="69"/>
      <c r="R284" s="2265">
        <f t="shared" ref="R284:R306" si="244">S257</f>
        <v>1</v>
      </c>
      <c r="S284" s="69"/>
      <c r="T284" s="2265">
        <f t="shared" ref="T284:T306" si="245">U257</f>
        <v>1</v>
      </c>
      <c r="U284" s="69"/>
      <c r="V284" s="2265">
        <f t="shared" ref="V284:V306" si="246">W257</f>
        <v>3</v>
      </c>
      <c r="W284" s="69"/>
      <c r="X284" s="2265">
        <f t="shared" ref="X284:X306" si="247">Y257</f>
        <v>3</v>
      </c>
      <c r="Y284" s="69"/>
      <c r="Z284" s="2265" t="str">
        <f t="shared" ref="Z284:Z306" si="248">AA257</f>
        <v/>
      </c>
      <c r="AA284" s="69"/>
      <c r="AB284" s="2265">
        <f t="shared" ref="AB284:AB306" si="249">AC257</f>
        <v>0</v>
      </c>
      <c r="AC284" s="69"/>
      <c r="AD284" s="2265">
        <f t="shared" ref="AD284:AD306" si="250">AE257</f>
        <v>1</v>
      </c>
      <c r="AE284" s="69"/>
      <c r="AF284" s="2265">
        <f t="shared" ref="AF284:AF306" si="251">AG257</f>
        <v>4</v>
      </c>
      <c r="AG284" s="69"/>
      <c r="AH284" s="2265">
        <f t="shared" ref="AH284:AH306" si="252">AI257</f>
        <v>2</v>
      </c>
      <c r="AI284" s="69"/>
      <c r="AJ284" s="2265">
        <f t="shared" ref="AJ284:AJ306" si="253">AK257</f>
        <v>3</v>
      </c>
      <c r="AK284" s="69"/>
      <c r="AL284" s="2266">
        <f t="shared" ref="AL284:AL306" si="254">AM257</f>
        <v>0</v>
      </c>
      <c r="AM284" s="69"/>
      <c r="AN284" s="2266" t="str">
        <f t="shared" ref="AN284:AN306" si="255">AO257</f>
        <v/>
      </c>
      <c r="AO284" s="69"/>
      <c r="AP284" s="2266">
        <f t="shared" ref="AP284:AP306" si="256">AQ257</f>
        <v>1</v>
      </c>
      <c r="AQ284" s="69"/>
      <c r="AR284" s="2266">
        <f t="shared" ref="AR284:AR306" si="257">AS257</f>
        <v>5</v>
      </c>
      <c r="AS284" s="69"/>
      <c r="AT284" s="2266">
        <f t="shared" ref="AT284:AT306" si="258">AU257</f>
        <v>2</v>
      </c>
      <c r="AU284" s="69"/>
      <c r="AV284" s="2267">
        <f t="shared" ref="AV284:AV306" si="259">AW257</f>
        <v>2</v>
      </c>
      <c r="AW284" s="69"/>
      <c r="AX284" s="2267">
        <f t="shared" ref="AX284:AX306" si="260">AY257</f>
        <v>2</v>
      </c>
      <c r="AY284" s="69"/>
      <c r="AZ284" s="2267">
        <f t="shared" ref="AZ284:AZ306" si="261">BA257</f>
        <v>4</v>
      </c>
      <c r="BA284" s="69"/>
      <c r="BB284" s="2267">
        <f t="shared" ref="BB284:BB306" si="262">BC257</f>
        <v>2</v>
      </c>
      <c r="BC284" s="69"/>
      <c r="BD284" s="2267">
        <f t="shared" ref="BD284:BD306" si="263">BE257</f>
        <v>0</v>
      </c>
      <c r="BE284" s="69"/>
      <c r="BF284" s="2267">
        <f t="shared" ref="BF284:BF306" si="264">BG257</f>
        <v>3</v>
      </c>
      <c r="BG284" s="69"/>
      <c r="BH284" s="2267">
        <f t="shared" ref="BH284:BH306" si="265">BI257</f>
        <v>0</v>
      </c>
      <c r="BI284" s="69"/>
      <c r="BJ284" s="2184">
        <f t="shared" ref="BJ284:BJ306" si="266">BK257</f>
        <v>5</v>
      </c>
      <c r="BK284" s="69"/>
      <c r="BL284" s="2264" t="str">
        <f t="shared" ref="BL284:BL306" si="267">BM257</f>
        <v/>
      </c>
      <c r="BM284" s="69"/>
      <c r="BN284" s="1201" t="str">
        <f t="shared" ref="BN284:BN305" si="268">BO257</f>
        <v/>
      </c>
      <c r="BO284" s="69"/>
      <c r="BP284" s="2268">
        <f t="shared" ref="BP284:BP307" si="269">SUM(F284:BO284)</f>
        <v>75</v>
      </c>
      <c r="BS284" s="2269">
        <f>BT281+BT220+BT155+BT92+BT31</f>
        <v>-278750</v>
      </c>
    </row>
    <row r="285" ht="27.0" customHeight="1">
      <c r="A285" s="2263" t="str">
        <f t="shared" si="237"/>
        <v>Да</v>
      </c>
      <c r="B285" s="1978">
        <v>4242.0</v>
      </c>
      <c r="C285" s="1568">
        <v>158.0</v>
      </c>
      <c r="D285" s="1817"/>
      <c r="E285" s="1163" t="str">
        <f t="shared" si="236"/>
        <v>Яичный рулет с овощами</v>
      </c>
      <c r="F285" s="2266">
        <f t="shared" si="238"/>
        <v>18</v>
      </c>
      <c r="G285" s="69"/>
      <c r="H285" s="2266">
        <f t="shared" si="239"/>
        <v>0</v>
      </c>
      <c r="I285" s="69"/>
      <c r="J285" s="2266">
        <f t="shared" si="240"/>
        <v>5</v>
      </c>
      <c r="K285" s="69"/>
      <c r="L285" s="2266">
        <f t="shared" si="241"/>
        <v>4</v>
      </c>
      <c r="M285" s="69"/>
      <c r="N285" s="2266">
        <f t="shared" si="242"/>
        <v>7</v>
      </c>
      <c r="O285" s="69"/>
      <c r="P285" s="2266">
        <f t="shared" si="243"/>
        <v>5</v>
      </c>
      <c r="Q285" s="69"/>
      <c r="R285" s="2266">
        <f t="shared" si="244"/>
        <v>2</v>
      </c>
      <c r="S285" s="69"/>
      <c r="T285" s="2266">
        <f t="shared" si="245"/>
        <v>2</v>
      </c>
      <c r="U285" s="69"/>
      <c r="V285" s="2266">
        <f t="shared" si="246"/>
        <v>5</v>
      </c>
      <c r="W285" s="69"/>
      <c r="X285" s="2266">
        <f t="shared" si="247"/>
        <v>4</v>
      </c>
      <c r="Y285" s="69"/>
      <c r="Z285" s="2266" t="str">
        <f t="shared" si="248"/>
        <v/>
      </c>
      <c r="AA285" s="69"/>
      <c r="AB285" s="2266">
        <f t="shared" si="249"/>
        <v>2</v>
      </c>
      <c r="AC285" s="69"/>
      <c r="AD285" s="2266">
        <f t="shared" si="250"/>
        <v>3</v>
      </c>
      <c r="AE285" s="69"/>
      <c r="AF285" s="2266">
        <f t="shared" si="251"/>
        <v>3</v>
      </c>
      <c r="AG285" s="69"/>
      <c r="AH285" s="2266">
        <f t="shared" si="252"/>
        <v>4</v>
      </c>
      <c r="AI285" s="69"/>
      <c r="AJ285" s="2266">
        <f t="shared" si="253"/>
        <v>1</v>
      </c>
      <c r="AK285" s="69"/>
      <c r="AL285" s="2266">
        <f t="shared" si="254"/>
        <v>6</v>
      </c>
      <c r="AM285" s="69"/>
      <c r="AN285" s="2266" t="str">
        <f t="shared" si="255"/>
        <v/>
      </c>
      <c r="AO285" s="69"/>
      <c r="AP285" s="2266">
        <f t="shared" si="256"/>
        <v>4</v>
      </c>
      <c r="AQ285" s="69"/>
      <c r="AR285" s="2266">
        <f t="shared" si="257"/>
        <v>10</v>
      </c>
      <c r="AS285" s="69"/>
      <c r="AT285" s="2266">
        <f t="shared" si="258"/>
        <v>4</v>
      </c>
      <c r="AU285" s="69"/>
      <c r="AV285" s="2267">
        <f t="shared" si="259"/>
        <v>4</v>
      </c>
      <c r="AW285" s="69"/>
      <c r="AX285" s="2267">
        <f t="shared" si="260"/>
        <v>4</v>
      </c>
      <c r="AY285" s="69"/>
      <c r="AZ285" s="2267">
        <f t="shared" si="261"/>
        <v>3</v>
      </c>
      <c r="BA285" s="69"/>
      <c r="BB285" s="2267">
        <f t="shared" si="262"/>
        <v>2</v>
      </c>
      <c r="BC285" s="69"/>
      <c r="BD285" s="2267">
        <f t="shared" si="263"/>
        <v>2</v>
      </c>
      <c r="BE285" s="69"/>
      <c r="BF285" s="2267">
        <f t="shared" si="264"/>
        <v>4</v>
      </c>
      <c r="BG285" s="69"/>
      <c r="BH285" s="2267">
        <f t="shared" si="265"/>
        <v>4</v>
      </c>
      <c r="BI285" s="69"/>
      <c r="BJ285" s="2184">
        <f t="shared" si="266"/>
        <v>7</v>
      </c>
      <c r="BK285" s="69"/>
      <c r="BL285" s="2267" t="str">
        <f t="shared" si="267"/>
        <v/>
      </c>
      <c r="BM285" s="69"/>
      <c r="BN285" s="1201" t="str">
        <f t="shared" si="268"/>
        <v/>
      </c>
      <c r="BO285" s="69"/>
      <c r="BP285" s="2270">
        <f t="shared" si="269"/>
        <v>119</v>
      </c>
      <c r="BR285" s="2271"/>
      <c r="BS285" s="2272"/>
      <c r="BT285" s="2232"/>
    </row>
    <row r="286" ht="27.0" customHeight="1">
      <c r="A286" s="2263" t="str">
        <f t="shared" si="237"/>
        <v>Да</v>
      </c>
      <c r="B286" s="1978">
        <v>2769.0</v>
      </c>
      <c r="C286" s="1568">
        <v>158.0</v>
      </c>
      <c r="D286" s="1817"/>
      <c r="E286" s="1163" t="str">
        <f t="shared" si="236"/>
        <v>Блинчики с моцареллой и зеленью</v>
      </c>
      <c r="F286" s="2266">
        <f t="shared" si="238"/>
        <v>25</v>
      </c>
      <c r="G286" s="69"/>
      <c r="H286" s="2266">
        <f t="shared" si="239"/>
        <v>4</v>
      </c>
      <c r="I286" s="69"/>
      <c r="J286" s="2266">
        <f t="shared" si="240"/>
        <v>6</v>
      </c>
      <c r="K286" s="69"/>
      <c r="L286" s="2266">
        <f t="shared" si="241"/>
        <v>4</v>
      </c>
      <c r="M286" s="69"/>
      <c r="N286" s="2266">
        <f t="shared" si="242"/>
        <v>17</v>
      </c>
      <c r="O286" s="69"/>
      <c r="P286" s="2266">
        <f t="shared" si="243"/>
        <v>6</v>
      </c>
      <c r="Q286" s="69"/>
      <c r="R286" s="2266">
        <f t="shared" si="244"/>
        <v>2</v>
      </c>
      <c r="S286" s="69"/>
      <c r="T286" s="2266">
        <f t="shared" si="245"/>
        <v>2</v>
      </c>
      <c r="U286" s="69"/>
      <c r="V286" s="2266">
        <f t="shared" si="246"/>
        <v>6</v>
      </c>
      <c r="W286" s="69"/>
      <c r="X286" s="2266">
        <f t="shared" si="247"/>
        <v>10</v>
      </c>
      <c r="Y286" s="69"/>
      <c r="Z286" s="2266" t="str">
        <f t="shared" si="248"/>
        <v/>
      </c>
      <c r="AA286" s="69"/>
      <c r="AB286" s="2266">
        <f t="shared" si="249"/>
        <v>4</v>
      </c>
      <c r="AC286" s="69"/>
      <c r="AD286" s="2266">
        <f t="shared" si="250"/>
        <v>4</v>
      </c>
      <c r="AE286" s="69"/>
      <c r="AF286" s="2266">
        <f t="shared" si="251"/>
        <v>7</v>
      </c>
      <c r="AG286" s="69"/>
      <c r="AH286" s="2266">
        <f t="shared" si="252"/>
        <v>4</v>
      </c>
      <c r="AI286" s="69"/>
      <c r="AJ286" s="2266">
        <f t="shared" si="253"/>
        <v>7</v>
      </c>
      <c r="AK286" s="69"/>
      <c r="AL286" s="2266">
        <f t="shared" si="254"/>
        <v>7</v>
      </c>
      <c r="AM286" s="69"/>
      <c r="AN286" s="2266" t="str">
        <f t="shared" si="255"/>
        <v/>
      </c>
      <c r="AO286" s="69"/>
      <c r="AP286" s="2266">
        <f t="shared" si="256"/>
        <v>4</v>
      </c>
      <c r="AQ286" s="69"/>
      <c r="AR286" s="2266">
        <f t="shared" si="257"/>
        <v>11</v>
      </c>
      <c r="AS286" s="69"/>
      <c r="AT286" s="2266">
        <f t="shared" si="258"/>
        <v>5</v>
      </c>
      <c r="AU286" s="69"/>
      <c r="AV286" s="2267">
        <f t="shared" si="259"/>
        <v>6</v>
      </c>
      <c r="AW286" s="69"/>
      <c r="AX286" s="2267">
        <f t="shared" si="260"/>
        <v>5</v>
      </c>
      <c r="AY286" s="69"/>
      <c r="AZ286" s="2267">
        <f t="shared" si="261"/>
        <v>4</v>
      </c>
      <c r="BA286" s="69"/>
      <c r="BB286" s="2267">
        <f t="shared" si="262"/>
        <v>2</v>
      </c>
      <c r="BC286" s="69"/>
      <c r="BD286" s="2267">
        <f t="shared" si="263"/>
        <v>2</v>
      </c>
      <c r="BE286" s="69"/>
      <c r="BF286" s="2267">
        <f t="shared" si="264"/>
        <v>5</v>
      </c>
      <c r="BG286" s="69"/>
      <c r="BH286" s="2267">
        <f t="shared" si="265"/>
        <v>6</v>
      </c>
      <c r="BI286" s="69"/>
      <c r="BJ286" s="2184">
        <f t="shared" si="266"/>
        <v>9</v>
      </c>
      <c r="BK286" s="69"/>
      <c r="BL286" s="2267" t="str">
        <f t="shared" si="267"/>
        <v/>
      </c>
      <c r="BM286" s="69"/>
      <c r="BN286" s="1201" t="str">
        <f t="shared" si="268"/>
        <v/>
      </c>
      <c r="BO286" s="69"/>
      <c r="BP286" s="2270">
        <f t="shared" si="269"/>
        <v>174</v>
      </c>
      <c r="BR286" s="2271"/>
      <c r="BS286" s="2272"/>
      <c r="BT286" s="2232"/>
    </row>
    <row r="287" ht="27.0" customHeight="1">
      <c r="A287" s="2263" t="str">
        <f t="shared" si="237"/>
        <v>Да</v>
      </c>
      <c r="B287" s="1978">
        <v>3323.0</v>
      </c>
      <c r="C287" s="1568">
        <v>98.0</v>
      </c>
      <c r="D287" s="1817"/>
      <c r="E287" s="1163" t="str">
        <f t="shared" si="236"/>
        <v>Салат ''Морковь с чесноком'' 120гр</v>
      </c>
      <c r="F287" s="2266">
        <f t="shared" si="238"/>
        <v>17</v>
      </c>
      <c r="G287" s="69"/>
      <c r="H287" s="2266">
        <f t="shared" si="239"/>
        <v>2</v>
      </c>
      <c r="I287" s="69"/>
      <c r="J287" s="2266">
        <f t="shared" si="240"/>
        <v>7</v>
      </c>
      <c r="K287" s="69"/>
      <c r="L287" s="2266">
        <f t="shared" si="241"/>
        <v>5</v>
      </c>
      <c r="M287" s="69"/>
      <c r="N287" s="2266">
        <f t="shared" si="242"/>
        <v>14</v>
      </c>
      <c r="O287" s="69"/>
      <c r="P287" s="2266">
        <f t="shared" si="243"/>
        <v>2</v>
      </c>
      <c r="Q287" s="69"/>
      <c r="R287" s="2266">
        <f t="shared" si="244"/>
        <v>3</v>
      </c>
      <c r="S287" s="69"/>
      <c r="T287" s="2266">
        <f t="shared" si="245"/>
        <v>3</v>
      </c>
      <c r="U287" s="69"/>
      <c r="V287" s="2266">
        <f t="shared" si="246"/>
        <v>4</v>
      </c>
      <c r="W287" s="69"/>
      <c r="X287" s="2266">
        <f t="shared" si="247"/>
        <v>3</v>
      </c>
      <c r="Y287" s="69"/>
      <c r="Z287" s="2266" t="str">
        <f t="shared" si="248"/>
        <v/>
      </c>
      <c r="AA287" s="69"/>
      <c r="AB287" s="2266">
        <f t="shared" si="249"/>
        <v>1</v>
      </c>
      <c r="AC287" s="69"/>
      <c r="AD287" s="2266">
        <f t="shared" si="250"/>
        <v>4</v>
      </c>
      <c r="AE287" s="69"/>
      <c r="AF287" s="2266">
        <f t="shared" si="251"/>
        <v>2</v>
      </c>
      <c r="AG287" s="69"/>
      <c r="AH287" s="2266">
        <f t="shared" si="252"/>
        <v>3</v>
      </c>
      <c r="AI287" s="69"/>
      <c r="AJ287" s="2266">
        <f t="shared" si="253"/>
        <v>0</v>
      </c>
      <c r="AK287" s="69"/>
      <c r="AL287" s="2266">
        <f t="shared" si="254"/>
        <v>3</v>
      </c>
      <c r="AM287" s="69"/>
      <c r="AN287" s="2266" t="str">
        <f t="shared" si="255"/>
        <v/>
      </c>
      <c r="AO287" s="69"/>
      <c r="AP287" s="2266">
        <f t="shared" si="256"/>
        <v>3</v>
      </c>
      <c r="AQ287" s="69"/>
      <c r="AR287" s="2266">
        <f t="shared" si="257"/>
        <v>12</v>
      </c>
      <c r="AS287" s="69"/>
      <c r="AT287" s="2266">
        <f t="shared" si="258"/>
        <v>5</v>
      </c>
      <c r="AU287" s="69"/>
      <c r="AV287" s="2267">
        <f t="shared" si="259"/>
        <v>4</v>
      </c>
      <c r="AW287" s="69"/>
      <c r="AX287" s="2267">
        <f t="shared" si="260"/>
        <v>3</v>
      </c>
      <c r="AY287" s="69"/>
      <c r="AZ287" s="2267">
        <f t="shared" si="261"/>
        <v>4</v>
      </c>
      <c r="BA287" s="69"/>
      <c r="BB287" s="2267">
        <f t="shared" si="262"/>
        <v>2</v>
      </c>
      <c r="BC287" s="69"/>
      <c r="BD287" s="2267">
        <f t="shared" si="263"/>
        <v>2</v>
      </c>
      <c r="BE287" s="69"/>
      <c r="BF287" s="2267">
        <f t="shared" si="264"/>
        <v>3</v>
      </c>
      <c r="BG287" s="69"/>
      <c r="BH287" s="2267">
        <f t="shared" si="265"/>
        <v>3</v>
      </c>
      <c r="BI287" s="69"/>
      <c r="BJ287" s="2184">
        <f t="shared" si="266"/>
        <v>6</v>
      </c>
      <c r="BK287" s="69"/>
      <c r="BL287" s="2264">
        <f t="shared" si="267"/>
        <v>44</v>
      </c>
      <c r="BM287" s="69"/>
      <c r="BN287" s="1201" t="str">
        <f t="shared" si="268"/>
        <v/>
      </c>
      <c r="BO287" s="69"/>
      <c r="BP287" s="2270">
        <f t="shared" si="269"/>
        <v>164</v>
      </c>
      <c r="BR287" s="2271"/>
      <c r="BS287" s="2272"/>
      <c r="BT287" s="2232"/>
    </row>
    <row r="288" ht="27.0" customHeight="1">
      <c r="A288" s="2263" t="str">
        <f t="shared" si="237"/>
        <v>Да</v>
      </c>
      <c r="B288" s="1978">
        <v>4058.0</v>
      </c>
      <c r="C288" s="1568">
        <v>98.0</v>
      </c>
      <c r="D288" s="1817"/>
      <c r="E288" s="1163" t="str">
        <f t="shared" si="236"/>
        <v>Салат "Городской"(колбаса вареная)</v>
      </c>
      <c r="F288" s="2266">
        <f t="shared" si="238"/>
        <v>27</v>
      </c>
      <c r="G288" s="69"/>
      <c r="H288" s="2266">
        <f t="shared" si="239"/>
        <v>3</v>
      </c>
      <c r="I288" s="69"/>
      <c r="J288" s="2266">
        <f t="shared" si="240"/>
        <v>5</v>
      </c>
      <c r="K288" s="69"/>
      <c r="L288" s="2266">
        <f t="shared" si="241"/>
        <v>4</v>
      </c>
      <c r="M288" s="69"/>
      <c r="N288" s="2266">
        <f t="shared" si="242"/>
        <v>7</v>
      </c>
      <c r="O288" s="69"/>
      <c r="P288" s="2266">
        <f t="shared" si="243"/>
        <v>1</v>
      </c>
      <c r="Q288" s="69"/>
      <c r="R288" s="2266">
        <f t="shared" si="244"/>
        <v>6</v>
      </c>
      <c r="S288" s="69"/>
      <c r="T288" s="2266">
        <f t="shared" si="245"/>
        <v>3</v>
      </c>
      <c r="U288" s="69"/>
      <c r="V288" s="2266">
        <f t="shared" si="246"/>
        <v>2</v>
      </c>
      <c r="W288" s="69"/>
      <c r="X288" s="2266">
        <f t="shared" si="247"/>
        <v>7</v>
      </c>
      <c r="Y288" s="69"/>
      <c r="Z288" s="2266" t="str">
        <f t="shared" si="248"/>
        <v/>
      </c>
      <c r="AA288" s="69"/>
      <c r="AB288" s="2266">
        <f t="shared" si="249"/>
        <v>1</v>
      </c>
      <c r="AC288" s="69"/>
      <c r="AD288" s="2266">
        <f t="shared" si="250"/>
        <v>4</v>
      </c>
      <c r="AE288" s="69"/>
      <c r="AF288" s="2266">
        <f t="shared" si="251"/>
        <v>2</v>
      </c>
      <c r="AG288" s="69"/>
      <c r="AH288" s="2266">
        <f t="shared" si="252"/>
        <v>3</v>
      </c>
      <c r="AI288" s="69"/>
      <c r="AJ288" s="2266">
        <f t="shared" si="253"/>
        <v>2</v>
      </c>
      <c r="AK288" s="69"/>
      <c r="AL288" s="2266">
        <f t="shared" si="254"/>
        <v>3</v>
      </c>
      <c r="AM288" s="69"/>
      <c r="AN288" s="2266" t="str">
        <f t="shared" si="255"/>
        <v/>
      </c>
      <c r="AO288" s="69"/>
      <c r="AP288" s="2266">
        <f t="shared" si="256"/>
        <v>3</v>
      </c>
      <c r="AQ288" s="69"/>
      <c r="AR288" s="2266">
        <f t="shared" si="257"/>
        <v>8</v>
      </c>
      <c r="AS288" s="69"/>
      <c r="AT288" s="2266">
        <f t="shared" si="258"/>
        <v>4</v>
      </c>
      <c r="AU288" s="69"/>
      <c r="AV288" s="2267">
        <f t="shared" si="259"/>
        <v>6</v>
      </c>
      <c r="AW288" s="69"/>
      <c r="AX288" s="2267">
        <f t="shared" si="260"/>
        <v>3</v>
      </c>
      <c r="AY288" s="69"/>
      <c r="AZ288" s="2267">
        <f t="shared" si="261"/>
        <v>2</v>
      </c>
      <c r="BA288" s="69"/>
      <c r="BB288" s="2267">
        <f t="shared" si="262"/>
        <v>2</v>
      </c>
      <c r="BC288" s="69"/>
      <c r="BD288" s="2267">
        <f t="shared" si="263"/>
        <v>2</v>
      </c>
      <c r="BE288" s="69"/>
      <c r="BF288" s="2267">
        <f t="shared" si="264"/>
        <v>9</v>
      </c>
      <c r="BG288" s="69"/>
      <c r="BH288" s="2267">
        <f t="shared" si="265"/>
        <v>3</v>
      </c>
      <c r="BI288" s="69"/>
      <c r="BJ288" s="2184">
        <f t="shared" si="266"/>
        <v>10</v>
      </c>
      <c r="BK288" s="69"/>
      <c r="BL288" s="2264">
        <f t="shared" si="267"/>
        <v>42</v>
      </c>
      <c r="BM288" s="69"/>
      <c r="BN288" s="1201" t="str">
        <f t="shared" si="268"/>
        <v/>
      </c>
      <c r="BO288" s="69"/>
      <c r="BP288" s="2270">
        <f t="shared" si="269"/>
        <v>174</v>
      </c>
      <c r="BR288" s="2271"/>
      <c r="BS288" s="2272"/>
      <c r="BT288" s="2232"/>
    </row>
    <row r="289" ht="27.0" customHeight="1">
      <c r="A289" s="2263" t="str">
        <f t="shared" si="237"/>
        <v>Да</v>
      </c>
      <c r="B289" s="1978">
        <v>2706.0</v>
      </c>
      <c r="C289" s="1568">
        <v>98.0</v>
      </c>
      <c r="D289" s="1817"/>
      <c r="E289" s="1163" t="str">
        <f t="shared" si="236"/>
        <v>Салат ''Фасолька'' с курицей  </v>
      </c>
      <c r="F289" s="2266">
        <f t="shared" si="238"/>
        <v>19</v>
      </c>
      <c r="G289" s="69"/>
      <c r="H289" s="2266">
        <f t="shared" si="239"/>
        <v>2</v>
      </c>
      <c r="I289" s="69"/>
      <c r="J289" s="2266">
        <f t="shared" si="240"/>
        <v>6</v>
      </c>
      <c r="K289" s="69"/>
      <c r="L289" s="2266">
        <f t="shared" si="241"/>
        <v>3</v>
      </c>
      <c r="M289" s="69"/>
      <c r="N289" s="2266">
        <f t="shared" si="242"/>
        <v>9</v>
      </c>
      <c r="O289" s="69"/>
      <c r="P289" s="2266">
        <f t="shared" si="243"/>
        <v>7</v>
      </c>
      <c r="Q289" s="69"/>
      <c r="R289" s="2266">
        <f t="shared" si="244"/>
        <v>2</v>
      </c>
      <c r="S289" s="69"/>
      <c r="T289" s="2266">
        <f t="shared" si="245"/>
        <v>3</v>
      </c>
      <c r="U289" s="69"/>
      <c r="V289" s="2266">
        <f t="shared" si="246"/>
        <v>2</v>
      </c>
      <c r="W289" s="69"/>
      <c r="X289" s="2266">
        <f t="shared" si="247"/>
        <v>2</v>
      </c>
      <c r="Y289" s="69"/>
      <c r="Z289" s="2266" t="str">
        <f t="shared" si="248"/>
        <v/>
      </c>
      <c r="AA289" s="69"/>
      <c r="AB289" s="2266">
        <f t="shared" si="249"/>
        <v>1</v>
      </c>
      <c r="AC289" s="69"/>
      <c r="AD289" s="2266">
        <f t="shared" si="250"/>
        <v>2</v>
      </c>
      <c r="AE289" s="69"/>
      <c r="AF289" s="2266">
        <f t="shared" si="251"/>
        <v>3</v>
      </c>
      <c r="AG289" s="69"/>
      <c r="AH289" s="2266">
        <f t="shared" si="252"/>
        <v>3</v>
      </c>
      <c r="AI289" s="69"/>
      <c r="AJ289" s="2266">
        <f t="shared" si="253"/>
        <v>5</v>
      </c>
      <c r="AK289" s="69"/>
      <c r="AL289" s="2266">
        <f t="shared" si="254"/>
        <v>4</v>
      </c>
      <c r="AM289" s="69"/>
      <c r="AN289" s="2266" t="str">
        <f t="shared" si="255"/>
        <v/>
      </c>
      <c r="AO289" s="69"/>
      <c r="AP289" s="2266">
        <f t="shared" si="256"/>
        <v>3</v>
      </c>
      <c r="AQ289" s="69"/>
      <c r="AR289" s="2266">
        <f t="shared" si="257"/>
        <v>8</v>
      </c>
      <c r="AS289" s="69"/>
      <c r="AT289" s="2266">
        <f t="shared" si="258"/>
        <v>5</v>
      </c>
      <c r="AU289" s="69"/>
      <c r="AV289" s="2267">
        <f t="shared" si="259"/>
        <v>5</v>
      </c>
      <c r="AW289" s="69"/>
      <c r="AX289" s="2267">
        <f t="shared" si="260"/>
        <v>3</v>
      </c>
      <c r="AY289" s="69"/>
      <c r="AZ289" s="2267">
        <f t="shared" si="261"/>
        <v>2</v>
      </c>
      <c r="BA289" s="69"/>
      <c r="BB289" s="2267">
        <f t="shared" si="262"/>
        <v>2</v>
      </c>
      <c r="BC289" s="69"/>
      <c r="BD289" s="2267">
        <f t="shared" si="263"/>
        <v>2</v>
      </c>
      <c r="BE289" s="69"/>
      <c r="BF289" s="2267">
        <f t="shared" si="264"/>
        <v>7</v>
      </c>
      <c r="BG289" s="69"/>
      <c r="BH289" s="2267">
        <f t="shared" si="265"/>
        <v>3</v>
      </c>
      <c r="BI289" s="69"/>
      <c r="BJ289" s="2184">
        <f t="shared" si="266"/>
        <v>10</v>
      </c>
      <c r="BK289" s="69"/>
      <c r="BL289" s="2264">
        <f t="shared" si="267"/>
        <v>43</v>
      </c>
      <c r="BM289" s="69"/>
      <c r="BN289" s="1201" t="str">
        <f t="shared" si="268"/>
        <v/>
      </c>
      <c r="BO289" s="69"/>
      <c r="BP289" s="2270">
        <f t="shared" si="269"/>
        <v>166</v>
      </c>
      <c r="BR289" s="2271"/>
      <c r="BS289" s="2272"/>
      <c r="BT289" s="2232"/>
    </row>
    <row r="290" ht="27.0" customHeight="1">
      <c r="A290" s="2263" t="str">
        <f t="shared" si="237"/>
        <v>Да</v>
      </c>
      <c r="B290" s="1978">
        <v>2954.0</v>
      </c>
      <c r="C290" s="1568">
        <v>160.0</v>
      </c>
      <c r="D290" s="1817"/>
      <c r="E290" s="1163" t="str">
        <f t="shared" si="236"/>
        <v>Салат рыбный ''Мимоза'' 220 г</v>
      </c>
      <c r="F290" s="2266">
        <f t="shared" si="238"/>
        <v>9</v>
      </c>
      <c r="G290" s="69"/>
      <c r="H290" s="2266">
        <f t="shared" si="239"/>
        <v>2</v>
      </c>
      <c r="I290" s="69"/>
      <c r="J290" s="2266">
        <f t="shared" si="240"/>
        <v>6</v>
      </c>
      <c r="K290" s="69"/>
      <c r="L290" s="2266">
        <f t="shared" si="241"/>
        <v>0</v>
      </c>
      <c r="M290" s="69"/>
      <c r="N290" s="2266">
        <f t="shared" si="242"/>
        <v>10</v>
      </c>
      <c r="O290" s="69"/>
      <c r="P290" s="2266">
        <f t="shared" si="243"/>
        <v>3</v>
      </c>
      <c r="Q290" s="69"/>
      <c r="R290" s="2266">
        <f t="shared" si="244"/>
        <v>0</v>
      </c>
      <c r="S290" s="69"/>
      <c r="T290" s="2266">
        <f t="shared" si="245"/>
        <v>0</v>
      </c>
      <c r="U290" s="69"/>
      <c r="V290" s="2266">
        <f t="shared" si="246"/>
        <v>4</v>
      </c>
      <c r="W290" s="69"/>
      <c r="X290" s="2266">
        <f t="shared" si="247"/>
        <v>3</v>
      </c>
      <c r="Y290" s="69"/>
      <c r="Z290" s="2266" t="str">
        <f t="shared" si="248"/>
        <v/>
      </c>
      <c r="AA290" s="69"/>
      <c r="AB290" s="2266">
        <f t="shared" si="249"/>
        <v>2</v>
      </c>
      <c r="AC290" s="69"/>
      <c r="AD290" s="2266">
        <f t="shared" si="250"/>
        <v>2</v>
      </c>
      <c r="AE290" s="69"/>
      <c r="AF290" s="2266">
        <f t="shared" si="251"/>
        <v>3</v>
      </c>
      <c r="AG290" s="69"/>
      <c r="AH290" s="2266">
        <f t="shared" si="252"/>
        <v>3</v>
      </c>
      <c r="AI290" s="69"/>
      <c r="AJ290" s="2266">
        <f t="shared" si="253"/>
        <v>3</v>
      </c>
      <c r="AK290" s="69"/>
      <c r="AL290" s="2266">
        <f t="shared" si="254"/>
        <v>3</v>
      </c>
      <c r="AM290" s="69"/>
      <c r="AN290" s="2266" t="str">
        <f t="shared" si="255"/>
        <v/>
      </c>
      <c r="AO290" s="69"/>
      <c r="AP290" s="2266">
        <f t="shared" si="256"/>
        <v>2</v>
      </c>
      <c r="AQ290" s="69"/>
      <c r="AR290" s="2266">
        <f t="shared" si="257"/>
        <v>9</v>
      </c>
      <c r="AS290" s="69"/>
      <c r="AT290" s="2266">
        <f t="shared" si="258"/>
        <v>1</v>
      </c>
      <c r="AU290" s="69"/>
      <c r="AV290" s="2267">
        <f t="shared" si="259"/>
        <v>3</v>
      </c>
      <c r="AW290" s="69"/>
      <c r="AX290" s="2267">
        <f t="shared" si="260"/>
        <v>3</v>
      </c>
      <c r="AY290" s="69"/>
      <c r="AZ290" s="2267">
        <f t="shared" si="261"/>
        <v>3</v>
      </c>
      <c r="BA290" s="69"/>
      <c r="BB290" s="2267">
        <f t="shared" si="262"/>
        <v>3</v>
      </c>
      <c r="BC290" s="69"/>
      <c r="BD290" s="2267">
        <f t="shared" si="263"/>
        <v>0</v>
      </c>
      <c r="BE290" s="69"/>
      <c r="BF290" s="2267">
        <f t="shared" si="264"/>
        <v>4</v>
      </c>
      <c r="BG290" s="69"/>
      <c r="BH290" s="2267">
        <f t="shared" si="265"/>
        <v>4</v>
      </c>
      <c r="BI290" s="69"/>
      <c r="BJ290" s="2184">
        <f t="shared" si="266"/>
        <v>5</v>
      </c>
      <c r="BK290" s="69"/>
      <c r="BL290" s="2264" t="str">
        <f t="shared" si="267"/>
        <v/>
      </c>
      <c r="BM290" s="69"/>
      <c r="BN290" s="1201" t="str">
        <f t="shared" si="268"/>
        <v/>
      </c>
      <c r="BO290" s="69"/>
      <c r="BP290" s="2270">
        <f t="shared" si="269"/>
        <v>90</v>
      </c>
      <c r="BR290" s="2271"/>
      <c r="BS290" s="2272"/>
      <c r="BT290" s="2232"/>
    </row>
    <row r="291" ht="27.0" customHeight="1">
      <c r="A291" s="2263" t="str">
        <f t="shared" si="237"/>
        <v>Да</v>
      </c>
      <c r="B291" s="1978">
        <v>2288.0</v>
      </c>
      <c r="C291" s="1568">
        <v>88.0</v>
      </c>
      <c r="D291" s="1817"/>
      <c r="E291" s="2172" t="str">
        <f t="shared" si="236"/>
        <v>Суп картофельный с курицей</v>
      </c>
      <c r="F291" s="2266" t="str">
        <f t="shared" si="238"/>
        <v/>
      </c>
      <c r="G291" s="69"/>
      <c r="H291" s="2266" t="str">
        <f t="shared" si="239"/>
        <v/>
      </c>
      <c r="I291" s="69"/>
      <c r="J291" s="2266" t="str">
        <f t="shared" si="240"/>
        <v/>
      </c>
      <c r="K291" s="69"/>
      <c r="L291" s="2266" t="str">
        <f t="shared" si="241"/>
        <v/>
      </c>
      <c r="M291" s="69"/>
      <c r="N291" s="2266" t="str">
        <f t="shared" si="242"/>
        <v/>
      </c>
      <c r="O291" s="69"/>
      <c r="P291" s="2266" t="str">
        <f t="shared" si="243"/>
        <v/>
      </c>
      <c r="Q291" s="69"/>
      <c r="R291" s="2266" t="str">
        <f t="shared" si="244"/>
        <v/>
      </c>
      <c r="S291" s="69"/>
      <c r="T291" s="2266" t="str">
        <f t="shared" si="245"/>
        <v/>
      </c>
      <c r="U291" s="69"/>
      <c r="V291" s="2266" t="str">
        <f t="shared" si="246"/>
        <v/>
      </c>
      <c r="W291" s="69"/>
      <c r="X291" s="2266" t="str">
        <f t="shared" si="247"/>
        <v/>
      </c>
      <c r="Y291" s="69"/>
      <c r="Z291" s="2266" t="str">
        <f t="shared" si="248"/>
        <v/>
      </c>
      <c r="AA291" s="69"/>
      <c r="AB291" s="2266" t="str">
        <f t="shared" si="249"/>
        <v/>
      </c>
      <c r="AC291" s="69"/>
      <c r="AD291" s="2266" t="str">
        <f t="shared" si="250"/>
        <v/>
      </c>
      <c r="AE291" s="69"/>
      <c r="AF291" s="2266" t="str">
        <f t="shared" si="251"/>
        <v/>
      </c>
      <c r="AG291" s="69"/>
      <c r="AH291" s="2266" t="str">
        <f t="shared" si="252"/>
        <v/>
      </c>
      <c r="AI291" s="69"/>
      <c r="AJ291" s="2266" t="str">
        <f t="shared" si="253"/>
        <v/>
      </c>
      <c r="AK291" s="69"/>
      <c r="AL291" s="2266" t="str">
        <f t="shared" si="254"/>
        <v/>
      </c>
      <c r="AM291" s="69"/>
      <c r="AN291" s="2266" t="str">
        <f t="shared" si="255"/>
        <v/>
      </c>
      <c r="AO291" s="69"/>
      <c r="AP291" s="2266" t="str">
        <f t="shared" si="256"/>
        <v/>
      </c>
      <c r="AQ291" s="69"/>
      <c r="AR291" s="2266" t="str">
        <f t="shared" si="257"/>
        <v/>
      </c>
      <c r="AS291" s="69"/>
      <c r="AT291" s="2266" t="str">
        <f t="shared" si="258"/>
        <v/>
      </c>
      <c r="AU291" s="69"/>
      <c r="AV291" s="2267" t="str">
        <f t="shared" si="259"/>
        <v/>
      </c>
      <c r="AW291" s="69"/>
      <c r="AX291" s="2267" t="str">
        <f t="shared" si="260"/>
        <v/>
      </c>
      <c r="AY291" s="69"/>
      <c r="AZ291" s="2267" t="str">
        <f t="shared" si="261"/>
        <v/>
      </c>
      <c r="BA291" s="69"/>
      <c r="BB291" s="2267" t="str">
        <f t="shared" si="262"/>
        <v/>
      </c>
      <c r="BC291" s="69"/>
      <c r="BD291" s="2267" t="str">
        <f t="shared" si="263"/>
        <v/>
      </c>
      <c r="BE291" s="69"/>
      <c r="BF291" s="2267" t="str">
        <f t="shared" si="264"/>
        <v/>
      </c>
      <c r="BG291" s="69"/>
      <c r="BH291" s="2267" t="str">
        <f t="shared" si="265"/>
        <v/>
      </c>
      <c r="BI291" s="69"/>
      <c r="BJ291" s="2184" t="str">
        <f t="shared" si="266"/>
        <v/>
      </c>
      <c r="BK291" s="69"/>
      <c r="BL291" s="2267">
        <f t="shared" si="267"/>
        <v>120</v>
      </c>
      <c r="BM291" s="69"/>
      <c r="BN291" s="1201" t="str">
        <f t="shared" si="268"/>
        <v/>
      </c>
      <c r="BO291" s="69"/>
      <c r="BP291" s="2270">
        <f t="shared" si="269"/>
        <v>120</v>
      </c>
      <c r="BR291" s="2271"/>
      <c r="BS291" s="2272"/>
      <c r="BT291" s="2232"/>
    </row>
    <row r="292" ht="27.0" customHeight="1">
      <c r="A292" s="2263" t="str">
        <f t="shared" si="237"/>
        <v/>
      </c>
      <c r="B292" s="1978">
        <v>3462.0</v>
      </c>
      <c r="C292" s="1568">
        <v>225.0</v>
      </c>
      <c r="D292" s="1817"/>
      <c r="E292" s="2172" t="str">
        <f t="shared" si="236"/>
        <v>Азу из говядины с картофельным пюре</v>
      </c>
      <c r="F292" s="2265" t="str">
        <f t="shared" si="238"/>
        <v/>
      </c>
      <c r="G292" s="69"/>
      <c r="H292" s="2265" t="str">
        <f t="shared" si="239"/>
        <v/>
      </c>
      <c r="I292" s="69"/>
      <c r="J292" s="2265" t="str">
        <f t="shared" si="240"/>
        <v/>
      </c>
      <c r="K292" s="69"/>
      <c r="L292" s="2265" t="str">
        <f t="shared" si="241"/>
        <v/>
      </c>
      <c r="M292" s="69"/>
      <c r="N292" s="2265" t="str">
        <f t="shared" si="242"/>
        <v/>
      </c>
      <c r="O292" s="69"/>
      <c r="P292" s="2265" t="str">
        <f t="shared" si="243"/>
        <v/>
      </c>
      <c r="Q292" s="69"/>
      <c r="R292" s="2265" t="str">
        <f t="shared" si="244"/>
        <v/>
      </c>
      <c r="S292" s="69"/>
      <c r="T292" s="2265" t="str">
        <f t="shared" si="245"/>
        <v/>
      </c>
      <c r="U292" s="69"/>
      <c r="V292" s="2265" t="str">
        <f t="shared" si="246"/>
        <v/>
      </c>
      <c r="W292" s="69"/>
      <c r="X292" s="2265" t="str">
        <f t="shared" si="247"/>
        <v/>
      </c>
      <c r="Y292" s="69"/>
      <c r="Z292" s="2265" t="str">
        <f t="shared" si="248"/>
        <v/>
      </c>
      <c r="AA292" s="69"/>
      <c r="AB292" s="2266" t="str">
        <f t="shared" si="249"/>
        <v/>
      </c>
      <c r="AC292" s="69"/>
      <c r="AD292" s="2265" t="str">
        <f t="shared" si="250"/>
        <v/>
      </c>
      <c r="AE292" s="69"/>
      <c r="AF292" s="2265" t="str">
        <f t="shared" si="251"/>
        <v/>
      </c>
      <c r="AG292" s="69"/>
      <c r="AH292" s="2265" t="str">
        <f t="shared" si="252"/>
        <v/>
      </c>
      <c r="AI292" s="69"/>
      <c r="AJ292" s="2265" t="str">
        <f t="shared" si="253"/>
        <v/>
      </c>
      <c r="AK292" s="69"/>
      <c r="AL292" s="2266" t="str">
        <f t="shared" si="254"/>
        <v/>
      </c>
      <c r="AM292" s="69"/>
      <c r="AN292" s="2266" t="str">
        <f t="shared" si="255"/>
        <v/>
      </c>
      <c r="AO292" s="69"/>
      <c r="AP292" s="2266" t="str">
        <f t="shared" si="256"/>
        <v/>
      </c>
      <c r="AQ292" s="69"/>
      <c r="AR292" s="2266" t="str">
        <f t="shared" si="257"/>
        <v/>
      </c>
      <c r="AS292" s="69"/>
      <c r="AT292" s="2266" t="str">
        <f t="shared" si="258"/>
        <v/>
      </c>
      <c r="AU292" s="69"/>
      <c r="AV292" s="2267" t="str">
        <f t="shared" si="259"/>
        <v/>
      </c>
      <c r="AW292" s="69"/>
      <c r="AX292" s="2267" t="str">
        <f t="shared" si="260"/>
        <v/>
      </c>
      <c r="AY292" s="69"/>
      <c r="AZ292" s="2267" t="str">
        <f t="shared" si="261"/>
        <v/>
      </c>
      <c r="BA292" s="69"/>
      <c r="BB292" s="2267" t="str">
        <f t="shared" si="262"/>
        <v/>
      </c>
      <c r="BC292" s="69"/>
      <c r="BD292" s="2267" t="str">
        <f t="shared" si="263"/>
        <v/>
      </c>
      <c r="BE292" s="69"/>
      <c r="BF292" s="2267" t="str">
        <f t="shared" si="264"/>
        <v/>
      </c>
      <c r="BG292" s="69"/>
      <c r="BH292" s="2267" t="str">
        <f t="shared" si="265"/>
        <v/>
      </c>
      <c r="BI292" s="69"/>
      <c r="BJ292" s="2184" t="str">
        <f t="shared" si="266"/>
        <v/>
      </c>
      <c r="BK292" s="69"/>
      <c r="BL292" s="2264">
        <f t="shared" si="267"/>
        <v>25</v>
      </c>
      <c r="BM292" s="69"/>
      <c r="BN292" s="1201" t="str">
        <f t="shared" si="268"/>
        <v/>
      </c>
      <c r="BO292" s="69"/>
      <c r="BP292" s="2268">
        <f t="shared" si="269"/>
        <v>25</v>
      </c>
      <c r="BR292" s="2271"/>
      <c r="BS292" s="2272"/>
      <c r="BT292" s="2232"/>
    </row>
    <row r="293" ht="27.0" customHeight="1">
      <c r="A293" s="2263" t="str">
        <f t="shared" si="237"/>
        <v/>
      </c>
      <c r="B293" s="1978">
        <v>3361.0</v>
      </c>
      <c r="C293" s="1568">
        <v>205.0</v>
      </c>
      <c r="D293" s="1817"/>
      <c r="E293" s="2172" t="str">
        <f t="shared" si="236"/>
        <v>Азу из говядины с рисом</v>
      </c>
      <c r="F293" s="2265" t="str">
        <f t="shared" si="238"/>
        <v/>
      </c>
      <c r="G293" s="69"/>
      <c r="H293" s="2265" t="str">
        <f t="shared" si="239"/>
        <v/>
      </c>
      <c r="I293" s="69"/>
      <c r="J293" s="2265" t="str">
        <f t="shared" si="240"/>
        <v/>
      </c>
      <c r="K293" s="69"/>
      <c r="L293" s="2265" t="str">
        <f t="shared" si="241"/>
        <v/>
      </c>
      <c r="M293" s="69"/>
      <c r="N293" s="2265" t="str">
        <f t="shared" si="242"/>
        <v/>
      </c>
      <c r="O293" s="69"/>
      <c r="P293" s="2265" t="str">
        <f t="shared" si="243"/>
        <v/>
      </c>
      <c r="Q293" s="69"/>
      <c r="R293" s="2265" t="str">
        <f t="shared" si="244"/>
        <v/>
      </c>
      <c r="S293" s="69"/>
      <c r="T293" s="2265" t="str">
        <f t="shared" si="245"/>
        <v/>
      </c>
      <c r="U293" s="69"/>
      <c r="V293" s="2265" t="str">
        <f t="shared" si="246"/>
        <v/>
      </c>
      <c r="W293" s="69"/>
      <c r="X293" s="2265" t="str">
        <f t="shared" si="247"/>
        <v/>
      </c>
      <c r="Y293" s="69"/>
      <c r="Z293" s="2265" t="str">
        <f t="shared" si="248"/>
        <v/>
      </c>
      <c r="AA293" s="69"/>
      <c r="AB293" s="2265" t="str">
        <f t="shared" si="249"/>
        <v/>
      </c>
      <c r="AC293" s="69"/>
      <c r="AD293" s="2265" t="str">
        <f t="shared" si="250"/>
        <v/>
      </c>
      <c r="AE293" s="69"/>
      <c r="AF293" s="2265" t="str">
        <f t="shared" si="251"/>
        <v/>
      </c>
      <c r="AG293" s="69"/>
      <c r="AH293" s="2265" t="str">
        <f t="shared" si="252"/>
        <v/>
      </c>
      <c r="AI293" s="69"/>
      <c r="AJ293" s="2265" t="str">
        <f t="shared" si="253"/>
        <v/>
      </c>
      <c r="AK293" s="69"/>
      <c r="AL293" s="2266" t="str">
        <f t="shared" si="254"/>
        <v/>
      </c>
      <c r="AM293" s="69"/>
      <c r="AN293" s="2266" t="str">
        <f t="shared" si="255"/>
        <v/>
      </c>
      <c r="AO293" s="69"/>
      <c r="AP293" s="2266" t="str">
        <f t="shared" si="256"/>
        <v/>
      </c>
      <c r="AQ293" s="69"/>
      <c r="AR293" s="2266" t="str">
        <f t="shared" si="257"/>
        <v/>
      </c>
      <c r="AS293" s="69"/>
      <c r="AT293" s="2266" t="str">
        <f t="shared" si="258"/>
        <v/>
      </c>
      <c r="AU293" s="69"/>
      <c r="AV293" s="2267" t="str">
        <f t="shared" si="259"/>
        <v/>
      </c>
      <c r="AW293" s="69"/>
      <c r="AX293" s="2267" t="str">
        <f t="shared" si="260"/>
        <v/>
      </c>
      <c r="AY293" s="69"/>
      <c r="AZ293" s="2267" t="str">
        <f t="shared" si="261"/>
        <v/>
      </c>
      <c r="BA293" s="69"/>
      <c r="BB293" s="2267" t="str">
        <f t="shared" si="262"/>
        <v/>
      </c>
      <c r="BC293" s="69"/>
      <c r="BD293" s="2267" t="str">
        <f t="shared" si="263"/>
        <v/>
      </c>
      <c r="BE293" s="69"/>
      <c r="BF293" s="2267" t="str">
        <f t="shared" si="264"/>
        <v/>
      </c>
      <c r="BG293" s="69"/>
      <c r="BH293" s="2267" t="str">
        <f t="shared" si="265"/>
        <v/>
      </c>
      <c r="BI293" s="69"/>
      <c r="BJ293" s="2184" t="str">
        <f t="shared" si="266"/>
        <v/>
      </c>
      <c r="BK293" s="69"/>
      <c r="BL293" s="2264">
        <f t="shared" si="267"/>
        <v>80</v>
      </c>
      <c r="BM293" s="69"/>
      <c r="BN293" s="1201" t="str">
        <f t="shared" si="268"/>
        <v/>
      </c>
      <c r="BO293" s="69"/>
      <c r="BP293" s="2268">
        <f t="shared" si="269"/>
        <v>80</v>
      </c>
      <c r="BR293" s="2271"/>
      <c r="BS293" s="2272"/>
      <c r="BT293" s="2232"/>
    </row>
    <row r="294" ht="27.0" customHeight="1">
      <c r="A294" s="2263" t="str">
        <f t="shared" si="237"/>
        <v/>
      </c>
      <c r="B294" s="1978">
        <v>3351.0</v>
      </c>
      <c r="C294" s="1568">
        <v>225.0</v>
      </c>
      <c r="D294" s="1817"/>
      <c r="E294" s="1163" t="str">
        <f t="shared" si="236"/>
        <v>Азу из говядины с макаронами</v>
      </c>
      <c r="F294" s="2266" t="str">
        <f t="shared" si="238"/>
        <v/>
      </c>
      <c r="G294" s="69"/>
      <c r="H294" s="2266" t="str">
        <f t="shared" si="239"/>
        <v/>
      </c>
      <c r="I294" s="69"/>
      <c r="J294" s="2266" t="str">
        <f t="shared" si="240"/>
        <v/>
      </c>
      <c r="K294" s="69"/>
      <c r="L294" s="2266" t="str">
        <f t="shared" si="241"/>
        <v/>
      </c>
      <c r="M294" s="69"/>
      <c r="N294" s="2266" t="str">
        <f t="shared" si="242"/>
        <v/>
      </c>
      <c r="O294" s="69"/>
      <c r="P294" s="2266" t="str">
        <f t="shared" si="243"/>
        <v/>
      </c>
      <c r="Q294" s="69"/>
      <c r="R294" s="2266" t="str">
        <f t="shared" si="244"/>
        <v/>
      </c>
      <c r="S294" s="69"/>
      <c r="T294" s="2266" t="str">
        <f t="shared" si="245"/>
        <v/>
      </c>
      <c r="U294" s="69"/>
      <c r="V294" s="2266" t="str">
        <f t="shared" si="246"/>
        <v/>
      </c>
      <c r="W294" s="69"/>
      <c r="X294" s="2266" t="str">
        <f t="shared" si="247"/>
        <v/>
      </c>
      <c r="Y294" s="69"/>
      <c r="Z294" s="2266" t="str">
        <f t="shared" si="248"/>
        <v/>
      </c>
      <c r="AA294" s="69"/>
      <c r="AB294" s="2266" t="str">
        <f t="shared" si="249"/>
        <v/>
      </c>
      <c r="AC294" s="69"/>
      <c r="AD294" s="2266" t="str">
        <f t="shared" si="250"/>
        <v/>
      </c>
      <c r="AE294" s="69"/>
      <c r="AF294" s="2266" t="str">
        <f t="shared" si="251"/>
        <v/>
      </c>
      <c r="AG294" s="69"/>
      <c r="AH294" s="2266" t="str">
        <f t="shared" si="252"/>
        <v/>
      </c>
      <c r="AI294" s="69"/>
      <c r="AJ294" s="2266" t="str">
        <f t="shared" si="253"/>
        <v/>
      </c>
      <c r="AK294" s="69"/>
      <c r="AL294" s="2266" t="str">
        <f t="shared" si="254"/>
        <v/>
      </c>
      <c r="AM294" s="69"/>
      <c r="AN294" s="2266" t="str">
        <f t="shared" si="255"/>
        <v/>
      </c>
      <c r="AO294" s="69"/>
      <c r="AP294" s="2266" t="str">
        <f t="shared" si="256"/>
        <v/>
      </c>
      <c r="AQ294" s="69"/>
      <c r="AR294" s="2266" t="str">
        <f t="shared" si="257"/>
        <v/>
      </c>
      <c r="AS294" s="69"/>
      <c r="AT294" s="2266" t="str">
        <f t="shared" si="258"/>
        <v/>
      </c>
      <c r="AU294" s="69"/>
      <c r="AV294" s="2267" t="str">
        <f t="shared" si="259"/>
        <v/>
      </c>
      <c r="AW294" s="69"/>
      <c r="AX294" s="2267" t="str">
        <f t="shared" si="260"/>
        <v/>
      </c>
      <c r="AY294" s="69"/>
      <c r="AZ294" s="2267" t="str">
        <f t="shared" si="261"/>
        <v/>
      </c>
      <c r="BA294" s="69"/>
      <c r="BB294" s="2267" t="str">
        <f t="shared" si="262"/>
        <v/>
      </c>
      <c r="BC294" s="69"/>
      <c r="BD294" s="2267" t="str">
        <f t="shared" si="263"/>
        <v/>
      </c>
      <c r="BE294" s="69"/>
      <c r="BF294" s="2267" t="str">
        <f t="shared" si="264"/>
        <v/>
      </c>
      <c r="BG294" s="69"/>
      <c r="BH294" s="2267" t="str">
        <f t="shared" si="265"/>
        <v/>
      </c>
      <c r="BI294" s="69"/>
      <c r="BJ294" s="2184" t="str">
        <f t="shared" si="266"/>
        <v/>
      </c>
      <c r="BK294" s="69"/>
      <c r="BL294" s="2264">
        <f t="shared" si="267"/>
        <v>25</v>
      </c>
      <c r="BM294" s="69"/>
      <c r="BN294" s="1201" t="str">
        <f t="shared" si="268"/>
        <v/>
      </c>
      <c r="BO294" s="69"/>
      <c r="BP294" s="2270">
        <f t="shared" si="269"/>
        <v>25</v>
      </c>
      <c r="BR294" s="2271"/>
      <c r="BS294" s="2272"/>
      <c r="BT294" s="2232"/>
    </row>
    <row r="295" ht="27.0" customHeight="1">
      <c r="A295" s="2263" t="str">
        <f t="shared" si="237"/>
        <v>Да</v>
      </c>
      <c r="B295" s="1978">
        <v>3869.0</v>
      </c>
      <c r="C295" s="1568">
        <v>248.0</v>
      </c>
      <c r="D295" s="1817"/>
      <c r="E295" s="1163" t="str">
        <f t="shared" si="236"/>
        <v>Курочка гриль с овощами</v>
      </c>
      <c r="F295" s="2266">
        <f t="shared" si="238"/>
        <v>15</v>
      </c>
      <c r="G295" s="69"/>
      <c r="H295" s="2266">
        <f t="shared" si="239"/>
        <v>4</v>
      </c>
      <c r="I295" s="69"/>
      <c r="J295" s="2266">
        <f t="shared" si="240"/>
        <v>3</v>
      </c>
      <c r="K295" s="69"/>
      <c r="L295" s="2266">
        <f t="shared" si="241"/>
        <v>5</v>
      </c>
      <c r="M295" s="69"/>
      <c r="N295" s="2266">
        <f t="shared" si="242"/>
        <v>10</v>
      </c>
      <c r="O295" s="69"/>
      <c r="P295" s="2266">
        <f t="shared" si="243"/>
        <v>8</v>
      </c>
      <c r="Q295" s="69"/>
      <c r="R295" s="2266">
        <f t="shared" si="244"/>
        <v>2</v>
      </c>
      <c r="S295" s="69"/>
      <c r="T295" s="2266">
        <f t="shared" si="245"/>
        <v>0</v>
      </c>
      <c r="U295" s="69"/>
      <c r="V295" s="2266">
        <f t="shared" si="246"/>
        <v>3</v>
      </c>
      <c r="W295" s="69"/>
      <c r="X295" s="2266">
        <f t="shared" si="247"/>
        <v>2</v>
      </c>
      <c r="Y295" s="69"/>
      <c r="Z295" s="2266" t="str">
        <f t="shared" si="248"/>
        <v/>
      </c>
      <c r="AA295" s="69"/>
      <c r="AB295" s="2266">
        <f t="shared" si="249"/>
        <v>2</v>
      </c>
      <c r="AC295" s="69"/>
      <c r="AD295" s="2266">
        <f t="shared" si="250"/>
        <v>2</v>
      </c>
      <c r="AE295" s="69"/>
      <c r="AF295" s="2266">
        <f t="shared" si="251"/>
        <v>2</v>
      </c>
      <c r="AG295" s="69"/>
      <c r="AH295" s="2266">
        <f t="shared" si="252"/>
        <v>2</v>
      </c>
      <c r="AI295" s="69"/>
      <c r="AJ295" s="2266">
        <f t="shared" si="253"/>
        <v>3</v>
      </c>
      <c r="AK295" s="69"/>
      <c r="AL295" s="2266">
        <f t="shared" si="254"/>
        <v>5</v>
      </c>
      <c r="AM295" s="69"/>
      <c r="AN295" s="2266" t="str">
        <f t="shared" si="255"/>
        <v/>
      </c>
      <c r="AO295" s="69"/>
      <c r="AP295" s="2266">
        <f t="shared" si="256"/>
        <v>2</v>
      </c>
      <c r="AQ295" s="69"/>
      <c r="AR295" s="2266">
        <f t="shared" si="257"/>
        <v>4</v>
      </c>
      <c r="AS295" s="69"/>
      <c r="AT295" s="2266">
        <f t="shared" si="258"/>
        <v>7</v>
      </c>
      <c r="AU295" s="69"/>
      <c r="AV295" s="2267">
        <f t="shared" si="259"/>
        <v>1</v>
      </c>
      <c r="AW295" s="69"/>
      <c r="AX295" s="2267">
        <f t="shared" si="260"/>
        <v>3</v>
      </c>
      <c r="AY295" s="69"/>
      <c r="AZ295" s="2267">
        <f t="shared" si="261"/>
        <v>1</v>
      </c>
      <c r="BA295" s="69"/>
      <c r="BB295" s="2267">
        <f t="shared" si="262"/>
        <v>2</v>
      </c>
      <c r="BC295" s="69"/>
      <c r="BD295" s="2267">
        <f t="shared" si="263"/>
        <v>0</v>
      </c>
      <c r="BE295" s="69"/>
      <c r="BF295" s="2267">
        <f t="shared" si="264"/>
        <v>5</v>
      </c>
      <c r="BG295" s="69"/>
      <c r="BH295" s="2267">
        <f t="shared" si="265"/>
        <v>0</v>
      </c>
      <c r="BI295" s="69"/>
      <c r="BJ295" s="2184">
        <f t="shared" si="266"/>
        <v>4</v>
      </c>
      <c r="BK295" s="69"/>
      <c r="BL295" s="2264" t="str">
        <f t="shared" si="267"/>
        <v/>
      </c>
      <c r="BM295" s="69"/>
      <c r="BN295" s="1201" t="str">
        <f t="shared" si="268"/>
        <v/>
      </c>
      <c r="BO295" s="69"/>
      <c r="BP295" s="2270">
        <f t="shared" si="269"/>
        <v>97</v>
      </c>
      <c r="BR295" s="2271"/>
      <c r="BS295" s="2272"/>
      <c r="BT295" s="2232"/>
    </row>
    <row r="296" ht="27.0" customHeight="1">
      <c r="A296" s="2263" t="str">
        <f t="shared" si="237"/>
        <v>Да</v>
      </c>
      <c r="B296" s="1978">
        <v>26.0</v>
      </c>
      <c r="C296" s="1568">
        <v>190.0</v>
      </c>
      <c r="D296" s="1817"/>
      <c r="E296" s="1163" t="str">
        <f t="shared" si="236"/>
        <v>Плов по-узбекски с цыпленком б/250гр</v>
      </c>
      <c r="F296" s="2266">
        <f t="shared" si="238"/>
        <v>20</v>
      </c>
      <c r="G296" s="69"/>
      <c r="H296" s="2266">
        <f t="shared" si="239"/>
        <v>5</v>
      </c>
      <c r="I296" s="69"/>
      <c r="J296" s="2266">
        <f t="shared" si="240"/>
        <v>4</v>
      </c>
      <c r="K296" s="69"/>
      <c r="L296" s="2266">
        <f t="shared" si="241"/>
        <v>5</v>
      </c>
      <c r="M296" s="69"/>
      <c r="N296" s="2266">
        <f t="shared" si="242"/>
        <v>9</v>
      </c>
      <c r="O296" s="69"/>
      <c r="P296" s="2266">
        <f t="shared" si="243"/>
        <v>8</v>
      </c>
      <c r="Q296" s="69"/>
      <c r="R296" s="2266">
        <f t="shared" si="244"/>
        <v>2</v>
      </c>
      <c r="S296" s="69"/>
      <c r="T296" s="2266">
        <f t="shared" si="245"/>
        <v>1</v>
      </c>
      <c r="U296" s="69"/>
      <c r="V296" s="2266">
        <f t="shared" si="246"/>
        <v>3</v>
      </c>
      <c r="W296" s="69"/>
      <c r="X296" s="2266">
        <f t="shared" si="247"/>
        <v>2</v>
      </c>
      <c r="Y296" s="69"/>
      <c r="Z296" s="2266" t="str">
        <f t="shared" si="248"/>
        <v/>
      </c>
      <c r="AA296" s="69"/>
      <c r="AB296" s="2266">
        <f t="shared" si="249"/>
        <v>0</v>
      </c>
      <c r="AC296" s="69"/>
      <c r="AD296" s="2266">
        <f t="shared" si="250"/>
        <v>7</v>
      </c>
      <c r="AE296" s="69"/>
      <c r="AF296" s="2266">
        <f t="shared" si="251"/>
        <v>4</v>
      </c>
      <c r="AG296" s="69"/>
      <c r="AH296" s="2266">
        <f t="shared" si="252"/>
        <v>0</v>
      </c>
      <c r="AI296" s="69"/>
      <c r="AJ296" s="2266">
        <f t="shared" si="253"/>
        <v>1</v>
      </c>
      <c r="AK296" s="69"/>
      <c r="AL296" s="2266">
        <f t="shared" si="254"/>
        <v>2</v>
      </c>
      <c r="AM296" s="69"/>
      <c r="AN296" s="2266" t="str">
        <f t="shared" si="255"/>
        <v/>
      </c>
      <c r="AO296" s="69"/>
      <c r="AP296" s="2266">
        <f t="shared" si="256"/>
        <v>0</v>
      </c>
      <c r="AQ296" s="69"/>
      <c r="AR296" s="2266">
        <f t="shared" si="257"/>
        <v>6</v>
      </c>
      <c r="AS296" s="69"/>
      <c r="AT296" s="2266">
        <f t="shared" si="258"/>
        <v>6</v>
      </c>
      <c r="AU296" s="69"/>
      <c r="AV296" s="2267">
        <f t="shared" si="259"/>
        <v>3</v>
      </c>
      <c r="AW296" s="69"/>
      <c r="AX296" s="2267">
        <f t="shared" si="260"/>
        <v>3</v>
      </c>
      <c r="AY296" s="69"/>
      <c r="AZ296" s="2267">
        <f t="shared" si="261"/>
        <v>2</v>
      </c>
      <c r="BA296" s="69"/>
      <c r="BB296" s="2267">
        <f t="shared" si="262"/>
        <v>2</v>
      </c>
      <c r="BC296" s="69"/>
      <c r="BD296" s="2267">
        <f t="shared" si="263"/>
        <v>2</v>
      </c>
      <c r="BE296" s="69"/>
      <c r="BF296" s="2267">
        <f t="shared" si="264"/>
        <v>5</v>
      </c>
      <c r="BG296" s="69"/>
      <c r="BH296" s="2267">
        <f t="shared" si="265"/>
        <v>3</v>
      </c>
      <c r="BI296" s="69"/>
      <c r="BJ296" s="2184">
        <f t="shared" si="266"/>
        <v>8</v>
      </c>
      <c r="BK296" s="69"/>
      <c r="BL296" s="2264" t="str">
        <f t="shared" si="267"/>
        <v/>
      </c>
      <c r="BM296" s="69"/>
      <c r="BN296" s="1201" t="str">
        <f t="shared" si="268"/>
        <v/>
      </c>
      <c r="BO296" s="69"/>
      <c r="BP296" s="2270">
        <f t="shared" si="269"/>
        <v>113</v>
      </c>
      <c r="BR296" s="2271"/>
      <c r="BS296" s="2272"/>
      <c r="BT296" s="2232"/>
    </row>
    <row r="297" ht="27.0" customHeight="1">
      <c r="A297" s="2263" t="str">
        <f t="shared" si="237"/>
        <v>Да</v>
      </c>
      <c r="B297" s="1978">
        <v>2830.0</v>
      </c>
      <c r="C297" s="1568">
        <v>198.0</v>
      </c>
      <c r="D297" s="1817"/>
      <c r="E297" s="2172" t="str">
        <f t="shared" si="236"/>
        <v>Запеканка картофельная с мясом</v>
      </c>
      <c r="F297" s="2265">
        <f t="shared" si="238"/>
        <v>20</v>
      </c>
      <c r="G297" s="69"/>
      <c r="H297" s="2265">
        <f t="shared" si="239"/>
        <v>5</v>
      </c>
      <c r="I297" s="69"/>
      <c r="J297" s="2265">
        <f t="shared" si="240"/>
        <v>4</v>
      </c>
      <c r="K297" s="69"/>
      <c r="L297" s="2265">
        <f t="shared" si="241"/>
        <v>5</v>
      </c>
      <c r="M297" s="69"/>
      <c r="N297" s="2265">
        <f t="shared" si="242"/>
        <v>9</v>
      </c>
      <c r="O297" s="69"/>
      <c r="P297" s="2265">
        <f t="shared" si="243"/>
        <v>11</v>
      </c>
      <c r="Q297" s="69"/>
      <c r="R297" s="2265">
        <f t="shared" si="244"/>
        <v>2</v>
      </c>
      <c r="S297" s="69"/>
      <c r="T297" s="2265">
        <f t="shared" si="245"/>
        <v>1</v>
      </c>
      <c r="U297" s="69"/>
      <c r="V297" s="2265">
        <f t="shared" si="246"/>
        <v>2</v>
      </c>
      <c r="W297" s="69"/>
      <c r="X297" s="2265">
        <f t="shared" si="247"/>
        <v>2</v>
      </c>
      <c r="Y297" s="69"/>
      <c r="Z297" s="2265" t="str">
        <f t="shared" si="248"/>
        <v/>
      </c>
      <c r="AA297" s="69"/>
      <c r="AB297" s="2265">
        <f t="shared" si="249"/>
        <v>2</v>
      </c>
      <c r="AC297" s="69"/>
      <c r="AD297" s="2265">
        <f t="shared" si="250"/>
        <v>7</v>
      </c>
      <c r="AE297" s="69"/>
      <c r="AF297" s="2265">
        <f t="shared" si="251"/>
        <v>2</v>
      </c>
      <c r="AG297" s="69"/>
      <c r="AH297" s="2265">
        <f t="shared" si="252"/>
        <v>2</v>
      </c>
      <c r="AI297" s="69"/>
      <c r="AJ297" s="2265">
        <f t="shared" si="253"/>
        <v>5</v>
      </c>
      <c r="AK297" s="69"/>
      <c r="AL297" s="2266">
        <f t="shared" si="254"/>
        <v>3</v>
      </c>
      <c r="AM297" s="69"/>
      <c r="AN297" s="2266" t="str">
        <f t="shared" si="255"/>
        <v/>
      </c>
      <c r="AO297" s="69"/>
      <c r="AP297" s="2266">
        <f t="shared" si="256"/>
        <v>2</v>
      </c>
      <c r="AQ297" s="69"/>
      <c r="AR297" s="2266">
        <f t="shared" si="257"/>
        <v>3</v>
      </c>
      <c r="AS297" s="69"/>
      <c r="AT297" s="2266">
        <f t="shared" si="258"/>
        <v>0</v>
      </c>
      <c r="AU297" s="69"/>
      <c r="AV297" s="2267">
        <f t="shared" si="259"/>
        <v>3</v>
      </c>
      <c r="AW297" s="69"/>
      <c r="AX297" s="2267">
        <f t="shared" si="260"/>
        <v>3</v>
      </c>
      <c r="AY297" s="69"/>
      <c r="AZ297" s="2267">
        <f t="shared" si="261"/>
        <v>2</v>
      </c>
      <c r="BA297" s="69"/>
      <c r="BB297" s="2267">
        <f t="shared" si="262"/>
        <v>2</v>
      </c>
      <c r="BC297" s="69"/>
      <c r="BD297" s="2267">
        <f t="shared" si="263"/>
        <v>2</v>
      </c>
      <c r="BE297" s="69"/>
      <c r="BF297" s="2267">
        <f t="shared" si="264"/>
        <v>2</v>
      </c>
      <c r="BG297" s="69"/>
      <c r="BH297" s="2267">
        <f t="shared" si="265"/>
        <v>2</v>
      </c>
      <c r="BI297" s="69"/>
      <c r="BJ297" s="2184">
        <f t="shared" si="266"/>
        <v>6</v>
      </c>
      <c r="BK297" s="69"/>
      <c r="BL297" s="2264" t="str">
        <f t="shared" si="267"/>
        <v/>
      </c>
      <c r="BM297" s="69"/>
      <c r="BN297" s="1201" t="str">
        <f t="shared" si="268"/>
        <v/>
      </c>
      <c r="BO297" s="69"/>
      <c r="BP297" s="2268">
        <f t="shared" si="269"/>
        <v>109</v>
      </c>
      <c r="BR297" s="2275"/>
      <c r="BS297" s="2232"/>
      <c r="BT297" s="2232"/>
    </row>
    <row r="298" ht="27.0" customHeight="1">
      <c r="A298" s="2263" t="str">
        <f t="shared" si="237"/>
        <v>Да</v>
      </c>
      <c r="B298" s="1978">
        <v>657.0</v>
      </c>
      <c r="C298" s="1568">
        <v>212.0</v>
      </c>
      <c r="D298" s="1817"/>
      <c r="E298" s="1163" t="str">
        <f t="shared" si="236"/>
        <v>Перец фаршированный с пюре</v>
      </c>
      <c r="F298" s="2266">
        <f t="shared" si="238"/>
        <v>15</v>
      </c>
      <c r="G298" s="69"/>
      <c r="H298" s="2266">
        <f t="shared" si="239"/>
        <v>8</v>
      </c>
      <c r="I298" s="69"/>
      <c r="J298" s="2266">
        <f t="shared" si="240"/>
        <v>5</v>
      </c>
      <c r="K298" s="69"/>
      <c r="L298" s="2266">
        <f t="shared" si="241"/>
        <v>2</v>
      </c>
      <c r="M298" s="69"/>
      <c r="N298" s="2266">
        <f t="shared" si="242"/>
        <v>6</v>
      </c>
      <c r="O298" s="69"/>
      <c r="P298" s="2266">
        <f t="shared" si="243"/>
        <v>3</v>
      </c>
      <c r="Q298" s="69"/>
      <c r="R298" s="2266">
        <f t="shared" si="244"/>
        <v>2</v>
      </c>
      <c r="S298" s="69"/>
      <c r="T298" s="2266">
        <f t="shared" si="245"/>
        <v>2</v>
      </c>
      <c r="U298" s="69"/>
      <c r="V298" s="2266">
        <f t="shared" si="246"/>
        <v>2</v>
      </c>
      <c r="W298" s="69"/>
      <c r="X298" s="2266">
        <f t="shared" si="247"/>
        <v>1</v>
      </c>
      <c r="Y298" s="69"/>
      <c r="Z298" s="2266" t="str">
        <f t="shared" si="248"/>
        <v/>
      </c>
      <c r="AA298" s="69"/>
      <c r="AB298" s="2266">
        <f t="shared" si="249"/>
        <v>2</v>
      </c>
      <c r="AC298" s="69"/>
      <c r="AD298" s="2266">
        <f t="shared" si="250"/>
        <v>2</v>
      </c>
      <c r="AE298" s="69"/>
      <c r="AF298" s="2266">
        <f t="shared" si="251"/>
        <v>2</v>
      </c>
      <c r="AG298" s="69"/>
      <c r="AH298" s="2266">
        <f t="shared" si="252"/>
        <v>3</v>
      </c>
      <c r="AI298" s="69"/>
      <c r="AJ298" s="2266">
        <f t="shared" si="253"/>
        <v>1</v>
      </c>
      <c r="AK298" s="69"/>
      <c r="AL298" s="2266">
        <f t="shared" si="254"/>
        <v>2</v>
      </c>
      <c r="AM298" s="69"/>
      <c r="AN298" s="2266" t="str">
        <f t="shared" si="255"/>
        <v/>
      </c>
      <c r="AO298" s="69"/>
      <c r="AP298" s="2266">
        <f t="shared" si="256"/>
        <v>2</v>
      </c>
      <c r="AQ298" s="69"/>
      <c r="AR298" s="2266">
        <f t="shared" si="257"/>
        <v>2</v>
      </c>
      <c r="AS298" s="69"/>
      <c r="AT298" s="2266">
        <f t="shared" si="258"/>
        <v>6</v>
      </c>
      <c r="AU298" s="69"/>
      <c r="AV298" s="2267">
        <f t="shared" si="259"/>
        <v>0</v>
      </c>
      <c r="AW298" s="69"/>
      <c r="AX298" s="2267">
        <f t="shared" si="260"/>
        <v>2</v>
      </c>
      <c r="AY298" s="69"/>
      <c r="AZ298" s="2267">
        <f t="shared" si="261"/>
        <v>1</v>
      </c>
      <c r="BA298" s="69"/>
      <c r="BB298" s="2267">
        <f t="shared" si="262"/>
        <v>2</v>
      </c>
      <c r="BC298" s="69"/>
      <c r="BD298" s="2267">
        <f t="shared" si="263"/>
        <v>0</v>
      </c>
      <c r="BE298" s="69"/>
      <c r="BF298" s="2267">
        <f t="shared" si="264"/>
        <v>2</v>
      </c>
      <c r="BG298" s="69"/>
      <c r="BH298" s="2267">
        <f t="shared" si="265"/>
        <v>0</v>
      </c>
      <c r="BI298" s="69"/>
      <c r="BJ298" s="2184">
        <f t="shared" si="266"/>
        <v>3</v>
      </c>
      <c r="BK298" s="69"/>
      <c r="BL298" s="2264" t="str">
        <f t="shared" si="267"/>
        <v/>
      </c>
      <c r="BM298" s="69"/>
      <c r="BN298" s="1201" t="str">
        <f t="shared" si="268"/>
        <v/>
      </c>
      <c r="BO298" s="69"/>
      <c r="BP298" s="2270">
        <f t="shared" si="269"/>
        <v>78</v>
      </c>
      <c r="BR298" s="2275"/>
      <c r="BS298" s="2232"/>
      <c r="BT298" s="2232"/>
    </row>
    <row r="299" ht="27.0" customHeight="1">
      <c r="A299" s="2263" t="str">
        <f t="shared" si="237"/>
        <v>Да</v>
      </c>
      <c r="B299" s="1978">
        <v>113.0</v>
      </c>
      <c r="C299" s="1568">
        <v>212.0</v>
      </c>
      <c r="D299" s="1817"/>
      <c r="E299" s="1163" t="str">
        <f t="shared" si="236"/>
        <v>Спагетти ''Болоньезе''</v>
      </c>
      <c r="F299" s="2266">
        <f t="shared" si="238"/>
        <v>20</v>
      </c>
      <c r="G299" s="69"/>
      <c r="H299" s="2266">
        <f t="shared" si="239"/>
        <v>4</v>
      </c>
      <c r="I299" s="69"/>
      <c r="J299" s="2266">
        <f t="shared" si="240"/>
        <v>5</v>
      </c>
      <c r="K299" s="69"/>
      <c r="L299" s="2266">
        <f t="shared" si="241"/>
        <v>4</v>
      </c>
      <c r="M299" s="69"/>
      <c r="N299" s="2266">
        <f t="shared" si="242"/>
        <v>11</v>
      </c>
      <c r="O299" s="69"/>
      <c r="P299" s="2266">
        <f t="shared" si="243"/>
        <v>11</v>
      </c>
      <c r="Q299" s="69"/>
      <c r="R299" s="2266">
        <f t="shared" si="244"/>
        <v>2</v>
      </c>
      <c r="S299" s="69"/>
      <c r="T299" s="2266">
        <f t="shared" si="245"/>
        <v>1</v>
      </c>
      <c r="U299" s="69"/>
      <c r="V299" s="2266">
        <f t="shared" si="246"/>
        <v>4</v>
      </c>
      <c r="W299" s="69"/>
      <c r="X299" s="2266">
        <f t="shared" si="247"/>
        <v>2</v>
      </c>
      <c r="Y299" s="69"/>
      <c r="Z299" s="2266" t="str">
        <f t="shared" si="248"/>
        <v/>
      </c>
      <c r="AA299" s="69"/>
      <c r="AB299" s="2266">
        <f t="shared" si="249"/>
        <v>0</v>
      </c>
      <c r="AC299" s="69"/>
      <c r="AD299" s="2266">
        <f t="shared" si="250"/>
        <v>8</v>
      </c>
      <c r="AE299" s="69"/>
      <c r="AF299" s="2266">
        <f t="shared" si="251"/>
        <v>4</v>
      </c>
      <c r="AG299" s="69"/>
      <c r="AH299" s="2266">
        <f t="shared" si="252"/>
        <v>3</v>
      </c>
      <c r="AI299" s="69"/>
      <c r="AJ299" s="2266">
        <f t="shared" si="253"/>
        <v>1</v>
      </c>
      <c r="AK299" s="69"/>
      <c r="AL299" s="2266">
        <f t="shared" si="254"/>
        <v>6</v>
      </c>
      <c r="AM299" s="69"/>
      <c r="AN299" s="2266" t="str">
        <f t="shared" si="255"/>
        <v/>
      </c>
      <c r="AO299" s="69"/>
      <c r="AP299" s="2266">
        <f t="shared" si="256"/>
        <v>0</v>
      </c>
      <c r="AQ299" s="69"/>
      <c r="AR299" s="2266">
        <f t="shared" si="257"/>
        <v>6</v>
      </c>
      <c r="AS299" s="69"/>
      <c r="AT299" s="2266">
        <f t="shared" si="258"/>
        <v>9</v>
      </c>
      <c r="AU299" s="69"/>
      <c r="AV299" s="2267">
        <f t="shared" si="259"/>
        <v>3</v>
      </c>
      <c r="AW299" s="69"/>
      <c r="AX299" s="2267">
        <f t="shared" si="260"/>
        <v>3</v>
      </c>
      <c r="AY299" s="69"/>
      <c r="AZ299" s="2267">
        <f t="shared" si="261"/>
        <v>2</v>
      </c>
      <c r="BA299" s="69"/>
      <c r="BB299" s="2267">
        <f t="shared" si="262"/>
        <v>2</v>
      </c>
      <c r="BC299" s="69"/>
      <c r="BD299" s="2267">
        <f t="shared" si="263"/>
        <v>2</v>
      </c>
      <c r="BE299" s="69"/>
      <c r="BF299" s="2267">
        <f t="shared" si="264"/>
        <v>5</v>
      </c>
      <c r="BG299" s="69"/>
      <c r="BH299" s="2267">
        <f t="shared" si="265"/>
        <v>2</v>
      </c>
      <c r="BI299" s="69"/>
      <c r="BJ299" s="2184">
        <f t="shared" si="266"/>
        <v>7</v>
      </c>
      <c r="BK299" s="69"/>
      <c r="BL299" s="2267" t="str">
        <f t="shared" si="267"/>
        <v/>
      </c>
      <c r="BM299" s="69"/>
      <c r="BN299" s="1201" t="str">
        <f t="shared" si="268"/>
        <v/>
      </c>
      <c r="BO299" s="69"/>
      <c r="BP299" s="2270">
        <f t="shared" si="269"/>
        <v>127</v>
      </c>
      <c r="BR299" s="2275"/>
      <c r="BS299" s="2232"/>
      <c r="BT299" s="2232"/>
    </row>
    <row r="300" ht="27.0" customHeight="1">
      <c r="A300" s="2263" t="str">
        <f t="shared" si="237"/>
        <v/>
      </c>
      <c r="B300" s="1978">
        <v>3528.0</v>
      </c>
      <c r="C300" s="1568">
        <v>56.0</v>
      </c>
      <c r="D300" s="1817"/>
      <c r="E300" s="1163" t="str">
        <f t="shared" si="236"/>
        <v>Сырная палочка 80 гр</v>
      </c>
      <c r="F300" s="2266" t="str">
        <f t="shared" si="238"/>
        <v/>
      </c>
      <c r="G300" s="69"/>
      <c r="H300" s="2266" t="str">
        <f t="shared" si="239"/>
        <v/>
      </c>
      <c r="I300" s="69"/>
      <c r="J300" s="2266" t="str">
        <f t="shared" si="240"/>
        <v/>
      </c>
      <c r="K300" s="69"/>
      <c r="L300" s="2266" t="str">
        <f t="shared" si="241"/>
        <v/>
      </c>
      <c r="M300" s="69"/>
      <c r="N300" s="2266" t="str">
        <f t="shared" si="242"/>
        <v/>
      </c>
      <c r="O300" s="69"/>
      <c r="P300" s="2266" t="str">
        <f t="shared" si="243"/>
        <v/>
      </c>
      <c r="Q300" s="69"/>
      <c r="R300" s="2266" t="str">
        <f t="shared" si="244"/>
        <v/>
      </c>
      <c r="S300" s="69"/>
      <c r="T300" s="2266" t="str">
        <f t="shared" si="245"/>
        <v/>
      </c>
      <c r="U300" s="69"/>
      <c r="V300" s="2266" t="str">
        <f t="shared" si="246"/>
        <v/>
      </c>
      <c r="W300" s="69"/>
      <c r="X300" s="2266" t="str">
        <f t="shared" si="247"/>
        <v/>
      </c>
      <c r="Y300" s="69"/>
      <c r="Z300" s="2266" t="str">
        <f t="shared" si="248"/>
        <v/>
      </c>
      <c r="AA300" s="69"/>
      <c r="AB300" s="2266" t="str">
        <f t="shared" si="249"/>
        <v/>
      </c>
      <c r="AC300" s="69"/>
      <c r="AD300" s="2266" t="str">
        <f t="shared" si="250"/>
        <v/>
      </c>
      <c r="AE300" s="69"/>
      <c r="AF300" s="2266" t="str">
        <f t="shared" si="251"/>
        <v/>
      </c>
      <c r="AG300" s="69"/>
      <c r="AH300" s="2266" t="str">
        <f t="shared" si="252"/>
        <v/>
      </c>
      <c r="AI300" s="69"/>
      <c r="AJ300" s="2266" t="str">
        <f t="shared" si="253"/>
        <v/>
      </c>
      <c r="AK300" s="69"/>
      <c r="AL300" s="2266" t="str">
        <f t="shared" si="254"/>
        <v/>
      </c>
      <c r="AM300" s="69"/>
      <c r="AN300" s="2266" t="str">
        <f t="shared" si="255"/>
        <v/>
      </c>
      <c r="AO300" s="69"/>
      <c r="AP300" s="2266" t="str">
        <f t="shared" si="256"/>
        <v/>
      </c>
      <c r="AQ300" s="69"/>
      <c r="AR300" s="2266" t="str">
        <f t="shared" si="257"/>
        <v/>
      </c>
      <c r="AS300" s="69"/>
      <c r="AT300" s="2266" t="str">
        <f t="shared" si="258"/>
        <v/>
      </c>
      <c r="AU300" s="69"/>
      <c r="AV300" s="2267" t="str">
        <f t="shared" si="259"/>
        <v/>
      </c>
      <c r="AW300" s="69"/>
      <c r="AX300" s="2267" t="str">
        <f t="shared" si="260"/>
        <v/>
      </c>
      <c r="AY300" s="69"/>
      <c r="AZ300" s="2267" t="str">
        <f t="shared" si="261"/>
        <v/>
      </c>
      <c r="BA300" s="69"/>
      <c r="BB300" s="2267" t="str">
        <f t="shared" si="262"/>
        <v/>
      </c>
      <c r="BC300" s="69"/>
      <c r="BD300" s="2267" t="str">
        <f t="shared" si="263"/>
        <v/>
      </c>
      <c r="BE300" s="69"/>
      <c r="BF300" s="2267" t="str">
        <f t="shared" si="264"/>
        <v/>
      </c>
      <c r="BG300" s="69"/>
      <c r="BH300" s="2267" t="str">
        <f t="shared" si="265"/>
        <v/>
      </c>
      <c r="BI300" s="69"/>
      <c r="BJ300" s="2184" t="str">
        <f t="shared" si="266"/>
        <v/>
      </c>
      <c r="BK300" s="69"/>
      <c r="BL300" s="2267">
        <f t="shared" si="267"/>
        <v>15</v>
      </c>
      <c r="BM300" s="69"/>
      <c r="BN300" s="1201" t="str">
        <f t="shared" si="268"/>
        <v/>
      </c>
      <c r="BO300" s="69"/>
      <c r="BP300" s="2270">
        <f t="shared" si="269"/>
        <v>15</v>
      </c>
      <c r="BR300" s="2275"/>
      <c r="BS300" s="2232"/>
      <c r="BT300" s="2232"/>
    </row>
    <row r="301" ht="27.0" customHeight="1">
      <c r="A301" s="2263" t="str">
        <f t="shared" si="237"/>
        <v>Да</v>
      </c>
      <c r="B301" s="1978">
        <v>3.0</v>
      </c>
      <c r="C301" s="1568">
        <v>172.0</v>
      </c>
      <c r="D301" s="1817"/>
      <c r="E301" s="1163" t="str">
        <f t="shared" si="236"/>
        <v>Сэндвич с курочкой и скремблом</v>
      </c>
      <c r="F301" s="2266">
        <f t="shared" si="238"/>
        <v>25</v>
      </c>
      <c r="G301" s="69"/>
      <c r="H301" s="2266">
        <f t="shared" si="239"/>
        <v>3</v>
      </c>
      <c r="I301" s="69"/>
      <c r="J301" s="2266">
        <f t="shared" si="240"/>
        <v>4</v>
      </c>
      <c r="K301" s="69"/>
      <c r="L301" s="2266">
        <f t="shared" si="241"/>
        <v>7</v>
      </c>
      <c r="M301" s="69"/>
      <c r="N301" s="2266">
        <f t="shared" si="242"/>
        <v>3</v>
      </c>
      <c r="O301" s="69"/>
      <c r="P301" s="2266">
        <f t="shared" si="243"/>
        <v>8</v>
      </c>
      <c r="Q301" s="69"/>
      <c r="R301" s="2266">
        <f t="shared" si="244"/>
        <v>2</v>
      </c>
      <c r="S301" s="69"/>
      <c r="T301" s="2266">
        <f t="shared" si="245"/>
        <v>0</v>
      </c>
      <c r="U301" s="69"/>
      <c r="V301" s="2266">
        <f t="shared" si="246"/>
        <v>2</v>
      </c>
      <c r="W301" s="69"/>
      <c r="X301" s="2266">
        <f t="shared" si="247"/>
        <v>6</v>
      </c>
      <c r="Y301" s="69"/>
      <c r="Z301" s="2266" t="str">
        <f t="shared" si="248"/>
        <v/>
      </c>
      <c r="AA301" s="69"/>
      <c r="AB301" s="2266">
        <f t="shared" si="249"/>
        <v>3</v>
      </c>
      <c r="AC301" s="69"/>
      <c r="AD301" s="2266">
        <f t="shared" si="250"/>
        <v>5</v>
      </c>
      <c r="AE301" s="69"/>
      <c r="AF301" s="2266">
        <f t="shared" si="251"/>
        <v>2</v>
      </c>
      <c r="AG301" s="69"/>
      <c r="AH301" s="2266">
        <f t="shared" si="252"/>
        <v>3</v>
      </c>
      <c r="AI301" s="69"/>
      <c r="AJ301" s="2266">
        <f t="shared" si="253"/>
        <v>3</v>
      </c>
      <c r="AK301" s="69"/>
      <c r="AL301" s="2266">
        <f t="shared" si="254"/>
        <v>4</v>
      </c>
      <c r="AM301" s="69"/>
      <c r="AN301" s="2266" t="str">
        <f t="shared" si="255"/>
        <v/>
      </c>
      <c r="AO301" s="69"/>
      <c r="AP301" s="2266">
        <f t="shared" si="256"/>
        <v>3</v>
      </c>
      <c r="AQ301" s="69"/>
      <c r="AR301" s="2266">
        <f t="shared" si="257"/>
        <v>12</v>
      </c>
      <c r="AS301" s="69"/>
      <c r="AT301" s="2266">
        <f t="shared" si="258"/>
        <v>5</v>
      </c>
      <c r="AU301" s="69"/>
      <c r="AV301" s="2267">
        <f t="shared" si="259"/>
        <v>10</v>
      </c>
      <c r="AW301" s="69"/>
      <c r="AX301" s="2267">
        <f t="shared" si="260"/>
        <v>4</v>
      </c>
      <c r="AY301" s="69"/>
      <c r="AZ301" s="2267">
        <f t="shared" si="261"/>
        <v>4</v>
      </c>
      <c r="BA301" s="69"/>
      <c r="BB301" s="2267">
        <f t="shared" si="262"/>
        <v>14</v>
      </c>
      <c r="BC301" s="69"/>
      <c r="BD301" s="2267">
        <f t="shared" si="263"/>
        <v>0</v>
      </c>
      <c r="BE301" s="69"/>
      <c r="BF301" s="2267">
        <f t="shared" si="264"/>
        <v>6</v>
      </c>
      <c r="BG301" s="69"/>
      <c r="BH301" s="2267">
        <f t="shared" si="265"/>
        <v>4</v>
      </c>
      <c r="BI301" s="69"/>
      <c r="BJ301" s="2184">
        <f t="shared" si="266"/>
        <v>8</v>
      </c>
      <c r="BK301" s="69"/>
      <c r="BL301" s="2267" t="str">
        <f t="shared" si="267"/>
        <v/>
      </c>
      <c r="BM301" s="69"/>
      <c r="BN301" s="1201" t="str">
        <f t="shared" si="268"/>
        <v/>
      </c>
      <c r="BO301" s="69"/>
      <c r="BP301" s="2270">
        <f t="shared" si="269"/>
        <v>150</v>
      </c>
      <c r="BR301" s="2275"/>
      <c r="BS301" s="2232"/>
      <c r="BT301" s="2232"/>
    </row>
    <row r="302" ht="27.0" customHeight="1">
      <c r="A302" s="2263" t="str">
        <f t="shared" si="237"/>
        <v>Да</v>
      </c>
      <c r="B302" s="1978">
        <v>2364.0</v>
      </c>
      <c r="C302" s="1568">
        <v>170.0</v>
      </c>
      <c r="D302" s="1817"/>
      <c r="E302" s="1163" t="str">
        <f t="shared" si="236"/>
        <v>Сэндвич с ветчиной и томатом </v>
      </c>
      <c r="F302" s="2266">
        <f t="shared" si="238"/>
        <v>25</v>
      </c>
      <c r="G302" s="69"/>
      <c r="H302" s="2266">
        <f t="shared" si="239"/>
        <v>4</v>
      </c>
      <c r="I302" s="69"/>
      <c r="J302" s="2266">
        <f t="shared" si="240"/>
        <v>5</v>
      </c>
      <c r="K302" s="69"/>
      <c r="L302" s="2266">
        <f t="shared" si="241"/>
        <v>7</v>
      </c>
      <c r="M302" s="69"/>
      <c r="N302" s="2266">
        <f t="shared" si="242"/>
        <v>10</v>
      </c>
      <c r="O302" s="69"/>
      <c r="P302" s="2266">
        <f t="shared" si="243"/>
        <v>16</v>
      </c>
      <c r="Q302" s="69"/>
      <c r="R302" s="2266">
        <f t="shared" si="244"/>
        <v>4</v>
      </c>
      <c r="S302" s="69"/>
      <c r="T302" s="2266">
        <f t="shared" si="245"/>
        <v>3</v>
      </c>
      <c r="U302" s="69"/>
      <c r="V302" s="2266">
        <f t="shared" si="246"/>
        <v>4</v>
      </c>
      <c r="W302" s="69"/>
      <c r="X302" s="2266">
        <f t="shared" si="247"/>
        <v>12</v>
      </c>
      <c r="Y302" s="69"/>
      <c r="Z302" s="2266" t="str">
        <f t="shared" si="248"/>
        <v/>
      </c>
      <c r="AA302" s="69"/>
      <c r="AB302" s="2266">
        <f t="shared" si="249"/>
        <v>3</v>
      </c>
      <c r="AC302" s="69"/>
      <c r="AD302" s="2266">
        <f t="shared" si="250"/>
        <v>5</v>
      </c>
      <c r="AE302" s="69"/>
      <c r="AF302" s="2266">
        <f t="shared" si="251"/>
        <v>3</v>
      </c>
      <c r="AG302" s="69"/>
      <c r="AH302" s="2266">
        <f t="shared" si="252"/>
        <v>8</v>
      </c>
      <c r="AI302" s="69"/>
      <c r="AJ302" s="2266">
        <f t="shared" si="253"/>
        <v>4</v>
      </c>
      <c r="AK302" s="69"/>
      <c r="AL302" s="2266">
        <f t="shared" si="254"/>
        <v>11</v>
      </c>
      <c r="AM302" s="69"/>
      <c r="AN302" s="2266" t="str">
        <f t="shared" si="255"/>
        <v/>
      </c>
      <c r="AO302" s="69"/>
      <c r="AP302" s="2266">
        <f t="shared" si="256"/>
        <v>4</v>
      </c>
      <c r="AQ302" s="69"/>
      <c r="AR302" s="2266">
        <f t="shared" si="257"/>
        <v>15</v>
      </c>
      <c r="AS302" s="69"/>
      <c r="AT302" s="2266">
        <f t="shared" si="258"/>
        <v>5</v>
      </c>
      <c r="AU302" s="69"/>
      <c r="AV302" s="2267">
        <f t="shared" si="259"/>
        <v>6</v>
      </c>
      <c r="AW302" s="69"/>
      <c r="AX302" s="2267">
        <f t="shared" si="260"/>
        <v>4</v>
      </c>
      <c r="AY302" s="69"/>
      <c r="AZ302" s="2267">
        <f t="shared" si="261"/>
        <v>6</v>
      </c>
      <c r="BA302" s="69"/>
      <c r="BB302" s="2267">
        <f t="shared" si="262"/>
        <v>14</v>
      </c>
      <c r="BC302" s="69"/>
      <c r="BD302" s="2267">
        <f t="shared" si="263"/>
        <v>2</v>
      </c>
      <c r="BE302" s="69"/>
      <c r="BF302" s="2267">
        <f t="shared" si="264"/>
        <v>14</v>
      </c>
      <c r="BG302" s="69"/>
      <c r="BH302" s="2267">
        <f t="shared" si="265"/>
        <v>2</v>
      </c>
      <c r="BI302" s="69"/>
      <c r="BJ302" s="2184">
        <f t="shared" si="266"/>
        <v>9</v>
      </c>
      <c r="BK302" s="69"/>
      <c r="BL302" s="2267" t="str">
        <f t="shared" si="267"/>
        <v/>
      </c>
      <c r="BM302" s="69"/>
      <c r="BN302" s="1201" t="str">
        <f t="shared" si="268"/>
        <v/>
      </c>
      <c r="BO302" s="69"/>
      <c r="BP302" s="2270">
        <f t="shared" si="269"/>
        <v>205</v>
      </c>
      <c r="BR302" s="2275"/>
      <c r="BS302" s="2232"/>
      <c r="BT302" s="2232"/>
    </row>
    <row r="303" ht="27.0" customHeight="1">
      <c r="A303" s="2263" t="str">
        <f t="shared" si="237"/>
        <v>Да</v>
      </c>
      <c r="B303" s="1978">
        <v>4173.0</v>
      </c>
      <c r="C303" s="1568">
        <v>98.0</v>
      </c>
      <c r="D303" s="1817"/>
      <c r="E303" s="1163" t="str">
        <f t="shared" si="236"/>
        <v>Морс клюквенный 0,5 л</v>
      </c>
      <c r="F303" s="2266">
        <f t="shared" si="238"/>
        <v>20</v>
      </c>
      <c r="G303" s="69"/>
      <c r="H303" s="2265">
        <f t="shared" si="239"/>
        <v>0</v>
      </c>
      <c r="I303" s="69"/>
      <c r="J303" s="2266" t="str">
        <f t="shared" si="240"/>
        <v/>
      </c>
      <c r="K303" s="69"/>
      <c r="L303" s="2266">
        <f t="shared" si="241"/>
        <v>6</v>
      </c>
      <c r="M303" s="69"/>
      <c r="N303" s="2266">
        <f t="shared" si="242"/>
        <v>0</v>
      </c>
      <c r="O303" s="69"/>
      <c r="P303" s="2265">
        <f t="shared" si="243"/>
        <v>7</v>
      </c>
      <c r="Q303" s="69"/>
      <c r="R303" s="2266">
        <f t="shared" si="244"/>
        <v>0</v>
      </c>
      <c r="S303" s="69"/>
      <c r="T303" s="2266">
        <f t="shared" si="245"/>
        <v>0</v>
      </c>
      <c r="U303" s="69"/>
      <c r="V303" s="2266">
        <f t="shared" si="246"/>
        <v>0</v>
      </c>
      <c r="W303" s="69"/>
      <c r="X303" s="2266">
        <f t="shared" si="247"/>
        <v>0</v>
      </c>
      <c r="Y303" s="69"/>
      <c r="Z303" s="2266" t="str">
        <f t="shared" si="248"/>
        <v/>
      </c>
      <c r="AA303" s="69"/>
      <c r="AB303" s="2266">
        <f t="shared" si="249"/>
        <v>0</v>
      </c>
      <c r="AC303" s="69"/>
      <c r="AD303" s="2266">
        <f t="shared" si="250"/>
        <v>0</v>
      </c>
      <c r="AE303" s="69"/>
      <c r="AF303" s="2266">
        <f t="shared" si="251"/>
        <v>0</v>
      </c>
      <c r="AG303" s="69"/>
      <c r="AH303" s="2266">
        <f t="shared" si="252"/>
        <v>0</v>
      </c>
      <c r="AI303" s="69"/>
      <c r="AJ303" s="2266">
        <f t="shared" si="253"/>
        <v>0</v>
      </c>
      <c r="AK303" s="69"/>
      <c r="AL303" s="2266">
        <f t="shared" si="254"/>
        <v>0</v>
      </c>
      <c r="AM303" s="69"/>
      <c r="AN303" s="2266" t="str">
        <f t="shared" si="255"/>
        <v/>
      </c>
      <c r="AO303" s="69"/>
      <c r="AP303" s="2266">
        <f t="shared" si="256"/>
        <v>0</v>
      </c>
      <c r="AQ303" s="69"/>
      <c r="AR303" s="2266">
        <f t="shared" si="257"/>
        <v>30</v>
      </c>
      <c r="AS303" s="69"/>
      <c r="AT303" s="2266">
        <f t="shared" si="258"/>
        <v>4</v>
      </c>
      <c r="AU303" s="69"/>
      <c r="AV303" s="2267">
        <f t="shared" si="259"/>
        <v>16</v>
      </c>
      <c r="AW303" s="69"/>
      <c r="AX303" s="2267">
        <f t="shared" si="260"/>
        <v>8</v>
      </c>
      <c r="AY303" s="69"/>
      <c r="AZ303" s="2267">
        <f t="shared" si="261"/>
        <v>0</v>
      </c>
      <c r="BA303" s="69"/>
      <c r="BB303" s="2267">
        <f t="shared" si="262"/>
        <v>5</v>
      </c>
      <c r="BC303" s="69"/>
      <c r="BD303" s="2267">
        <f t="shared" si="263"/>
        <v>9</v>
      </c>
      <c r="BE303" s="69"/>
      <c r="BF303" s="2267">
        <f t="shared" si="264"/>
        <v>20</v>
      </c>
      <c r="BG303" s="69"/>
      <c r="BH303" s="2267">
        <f t="shared" si="265"/>
        <v>7</v>
      </c>
      <c r="BI303" s="69"/>
      <c r="BJ303" s="2184">
        <f t="shared" si="266"/>
        <v>12</v>
      </c>
      <c r="BK303" s="69"/>
      <c r="BL303" s="2264" t="str">
        <f t="shared" si="267"/>
        <v/>
      </c>
      <c r="BM303" s="69"/>
      <c r="BN303" s="1201" t="str">
        <f t="shared" si="268"/>
        <v/>
      </c>
      <c r="BO303" s="69"/>
      <c r="BP303" s="2270">
        <f t="shared" si="269"/>
        <v>144</v>
      </c>
      <c r="BR303" s="2275"/>
      <c r="BS303" s="2232"/>
      <c r="BT303" s="2232"/>
    </row>
    <row r="304" ht="27.0" customHeight="1">
      <c r="A304" s="2263" t="str">
        <f t="shared" si="237"/>
        <v>Да</v>
      </c>
      <c r="B304" s="1978">
        <v>822.0</v>
      </c>
      <c r="C304" s="1568">
        <v>5.0</v>
      </c>
      <c r="D304" s="1817"/>
      <c r="E304" s="1163" t="str">
        <f t="shared" si="236"/>
        <v>Хлеб пшеничный</v>
      </c>
      <c r="F304" s="2266">
        <f t="shared" si="238"/>
        <v>35</v>
      </c>
      <c r="G304" s="69"/>
      <c r="H304" s="2265">
        <f t="shared" si="239"/>
        <v>3</v>
      </c>
      <c r="I304" s="69"/>
      <c r="J304" s="2266" t="str">
        <f t="shared" si="240"/>
        <v/>
      </c>
      <c r="K304" s="69"/>
      <c r="L304" s="2266">
        <f t="shared" si="241"/>
        <v>0</v>
      </c>
      <c r="M304" s="69"/>
      <c r="N304" s="2266">
        <f t="shared" si="242"/>
        <v>0</v>
      </c>
      <c r="O304" s="69"/>
      <c r="P304" s="2265">
        <f t="shared" si="243"/>
        <v>5</v>
      </c>
      <c r="Q304" s="69"/>
      <c r="R304" s="2266">
        <f t="shared" si="244"/>
        <v>4</v>
      </c>
      <c r="S304" s="69"/>
      <c r="T304" s="2266" t="str">
        <f t="shared" si="245"/>
        <v/>
      </c>
      <c r="U304" s="69"/>
      <c r="V304" s="2266">
        <f t="shared" si="246"/>
        <v>4</v>
      </c>
      <c r="W304" s="69"/>
      <c r="X304" s="2266">
        <f t="shared" si="247"/>
        <v>18</v>
      </c>
      <c r="Y304" s="69"/>
      <c r="Z304" s="2266" t="str">
        <f t="shared" si="248"/>
        <v/>
      </c>
      <c r="AA304" s="69"/>
      <c r="AB304" s="2266">
        <f t="shared" si="249"/>
        <v>3</v>
      </c>
      <c r="AC304" s="69"/>
      <c r="AD304" s="2266">
        <f t="shared" si="250"/>
        <v>4</v>
      </c>
      <c r="AE304" s="69"/>
      <c r="AF304" s="2266">
        <f t="shared" si="251"/>
        <v>6</v>
      </c>
      <c r="AG304" s="69"/>
      <c r="AH304" s="2266" t="str">
        <f t="shared" si="252"/>
        <v/>
      </c>
      <c r="AI304" s="69"/>
      <c r="AJ304" s="2266">
        <f t="shared" si="253"/>
        <v>3</v>
      </c>
      <c r="AK304" s="69"/>
      <c r="AL304" s="2266">
        <f t="shared" si="254"/>
        <v>12</v>
      </c>
      <c r="AM304" s="69"/>
      <c r="AN304" s="2266" t="str">
        <f t="shared" si="255"/>
        <v/>
      </c>
      <c r="AO304" s="69"/>
      <c r="AP304" s="2266" t="str">
        <f t="shared" si="256"/>
        <v/>
      </c>
      <c r="AQ304" s="69"/>
      <c r="AR304" s="2266" t="str">
        <f t="shared" si="257"/>
        <v/>
      </c>
      <c r="AS304" s="69"/>
      <c r="AT304" s="2266">
        <f t="shared" si="258"/>
        <v>3</v>
      </c>
      <c r="AU304" s="69"/>
      <c r="AV304" s="2267">
        <f t="shared" si="259"/>
        <v>3</v>
      </c>
      <c r="AW304" s="69"/>
      <c r="AX304" s="2267">
        <f t="shared" si="260"/>
        <v>4</v>
      </c>
      <c r="AY304" s="69"/>
      <c r="AZ304" s="2267">
        <f t="shared" si="261"/>
        <v>20</v>
      </c>
      <c r="BA304" s="69"/>
      <c r="BB304" s="2267" t="str">
        <f t="shared" si="262"/>
        <v/>
      </c>
      <c r="BC304" s="69"/>
      <c r="BD304" s="2267" t="str">
        <f t="shared" si="263"/>
        <v/>
      </c>
      <c r="BE304" s="69"/>
      <c r="BF304" s="2267">
        <f t="shared" si="264"/>
        <v>5</v>
      </c>
      <c r="BG304" s="69"/>
      <c r="BH304" s="2267">
        <f t="shared" si="265"/>
        <v>4</v>
      </c>
      <c r="BI304" s="69"/>
      <c r="BJ304" s="2184">
        <f t="shared" si="266"/>
        <v>3</v>
      </c>
      <c r="BK304" s="69"/>
      <c r="BL304" s="2267">
        <f t="shared" si="267"/>
        <v>120</v>
      </c>
      <c r="BM304" s="69"/>
      <c r="BN304" s="1201" t="str">
        <f t="shared" si="268"/>
        <v/>
      </c>
      <c r="BO304" s="69"/>
      <c r="BP304" s="2270">
        <f t="shared" si="269"/>
        <v>259</v>
      </c>
      <c r="BR304" s="2275"/>
      <c r="BS304" s="2232"/>
      <c r="BT304" s="2232"/>
    </row>
    <row r="305" ht="27.0" customHeight="1">
      <c r="A305" s="2263" t="str">
        <f t="shared" si="237"/>
        <v/>
      </c>
      <c r="B305" s="1978">
        <v>4281.0</v>
      </c>
      <c r="C305" s="1568">
        <v>98.0</v>
      </c>
      <c r="D305" s="1817"/>
      <c r="E305" s="1163" t="str">
        <f t="shared" si="236"/>
        <v>Морс клюква/вишня 0,5 л</v>
      </c>
      <c r="F305" s="2266">
        <f t="shared" si="238"/>
        <v>20</v>
      </c>
      <c r="G305" s="69"/>
      <c r="H305" s="2265" t="str">
        <f t="shared" si="239"/>
        <v/>
      </c>
      <c r="I305" s="69"/>
      <c r="J305" s="2266" t="str">
        <f t="shared" si="240"/>
        <v/>
      </c>
      <c r="K305" s="69"/>
      <c r="L305" s="2266">
        <f t="shared" si="241"/>
        <v>4</v>
      </c>
      <c r="M305" s="69"/>
      <c r="N305" s="2266" t="str">
        <f t="shared" si="242"/>
        <v/>
      </c>
      <c r="O305" s="69"/>
      <c r="P305" s="2265">
        <f t="shared" si="243"/>
        <v>3</v>
      </c>
      <c r="Q305" s="69"/>
      <c r="R305" s="2266" t="str">
        <f t="shared" si="244"/>
        <v/>
      </c>
      <c r="S305" s="69"/>
      <c r="T305" s="2266" t="str">
        <f t="shared" si="245"/>
        <v/>
      </c>
      <c r="U305" s="69"/>
      <c r="V305" s="2266" t="str">
        <f t="shared" si="246"/>
        <v/>
      </c>
      <c r="W305" s="69"/>
      <c r="X305" s="2266" t="str">
        <f t="shared" si="247"/>
        <v/>
      </c>
      <c r="Y305" s="69"/>
      <c r="Z305" s="2266" t="str">
        <f t="shared" si="248"/>
        <v/>
      </c>
      <c r="AA305" s="69"/>
      <c r="AB305" s="2266" t="str">
        <f t="shared" si="249"/>
        <v/>
      </c>
      <c r="AC305" s="69"/>
      <c r="AD305" s="2266" t="str">
        <f t="shared" si="250"/>
        <v/>
      </c>
      <c r="AE305" s="69"/>
      <c r="AF305" s="2266" t="str">
        <f t="shared" si="251"/>
        <v/>
      </c>
      <c r="AG305" s="69"/>
      <c r="AH305" s="2266" t="str">
        <f t="shared" si="252"/>
        <v/>
      </c>
      <c r="AI305" s="69"/>
      <c r="AJ305" s="2266" t="str">
        <f t="shared" si="253"/>
        <v/>
      </c>
      <c r="AK305" s="69"/>
      <c r="AL305" s="2266" t="str">
        <f t="shared" si="254"/>
        <v/>
      </c>
      <c r="AM305" s="69"/>
      <c r="AN305" s="2266" t="str">
        <f t="shared" si="255"/>
        <v/>
      </c>
      <c r="AO305" s="69"/>
      <c r="AP305" s="2266" t="str">
        <f t="shared" si="256"/>
        <v/>
      </c>
      <c r="AQ305" s="69"/>
      <c r="AR305" s="2266">
        <f t="shared" si="257"/>
        <v>10</v>
      </c>
      <c r="AS305" s="69"/>
      <c r="AT305" s="2266">
        <f t="shared" si="258"/>
        <v>4</v>
      </c>
      <c r="AU305" s="69"/>
      <c r="AV305" s="2267">
        <f t="shared" si="259"/>
        <v>4</v>
      </c>
      <c r="AW305" s="69"/>
      <c r="AX305" s="2267" t="str">
        <f t="shared" si="260"/>
        <v/>
      </c>
      <c r="AY305" s="69"/>
      <c r="AZ305" s="2267" t="str">
        <f t="shared" si="261"/>
        <v/>
      </c>
      <c r="BA305" s="69"/>
      <c r="BB305" s="2267" t="str">
        <f t="shared" si="262"/>
        <v/>
      </c>
      <c r="BC305" s="69"/>
      <c r="BD305" s="2267" t="str">
        <f t="shared" si="263"/>
        <v/>
      </c>
      <c r="BE305" s="69"/>
      <c r="BF305" s="2267">
        <f t="shared" si="264"/>
        <v>5</v>
      </c>
      <c r="BG305" s="69"/>
      <c r="BH305" s="2267" t="str">
        <f t="shared" si="265"/>
        <v/>
      </c>
      <c r="BI305" s="69"/>
      <c r="BJ305" s="2184" t="str">
        <f t="shared" si="266"/>
        <v/>
      </c>
      <c r="BK305" s="69"/>
      <c r="BL305" s="2267" t="str">
        <f t="shared" si="267"/>
        <v/>
      </c>
      <c r="BM305" s="69"/>
      <c r="BN305" s="1201" t="str">
        <f t="shared" si="268"/>
        <v/>
      </c>
      <c r="BO305" s="69"/>
      <c r="BP305" s="2270">
        <f t="shared" si="269"/>
        <v>50</v>
      </c>
      <c r="BR305" s="2197"/>
      <c r="BS305" s="2197"/>
      <c r="BT305" s="2197"/>
    </row>
    <row r="306" ht="27.0" customHeight="1">
      <c r="A306" s="2263" t="str">
        <f t="shared" si="237"/>
        <v/>
      </c>
      <c r="B306" s="1880">
        <v>2077.0</v>
      </c>
      <c r="C306" s="1568">
        <v>180.0</v>
      </c>
      <c r="D306" s="1817"/>
      <c r="E306" s="1163" t="str">
        <f t="shared" si="236"/>
        <v>Трайфл с вишней </v>
      </c>
      <c r="F306" s="2266">
        <f t="shared" si="238"/>
        <v>4</v>
      </c>
      <c r="G306" s="69"/>
      <c r="H306" s="2266" t="str">
        <f t="shared" si="239"/>
        <v/>
      </c>
      <c r="I306" s="69"/>
      <c r="J306" s="2266">
        <f t="shared" si="240"/>
        <v>2</v>
      </c>
      <c r="K306" s="69"/>
      <c r="L306" s="2266">
        <f t="shared" si="241"/>
        <v>2</v>
      </c>
      <c r="M306" s="69"/>
      <c r="N306" s="2266">
        <f t="shared" si="242"/>
        <v>3</v>
      </c>
      <c r="O306" s="69"/>
      <c r="P306" s="2266">
        <f t="shared" si="243"/>
        <v>3</v>
      </c>
      <c r="Q306" s="69"/>
      <c r="R306" s="2266" t="str">
        <f t="shared" si="244"/>
        <v/>
      </c>
      <c r="S306" s="69"/>
      <c r="T306" s="2266">
        <f t="shared" si="245"/>
        <v>2</v>
      </c>
      <c r="U306" s="69"/>
      <c r="V306" s="2266">
        <f t="shared" si="246"/>
        <v>2</v>
      </c>
      <c r="W306" s="69"/>
      <c r="X306" s="2266">
        <f t="shared" si="247"/>
        <v>2</v>
      </c>
      <c r="Y306" s="69"/>
      <c r="Z306" s="2266" t="str">
        <f t="shared" si="248"/>
        <v/>
      </c>
      <c r="AA306" s="69"/>
      <c r="AB306" s="2266">
        <f t="shared" si="249"/>
        <v>2</v>
      </c>
      <c r="AC306" s="69"/>
      <c r="AD306" s="2266">
        <f t="shared" si="250"/>
        <v>2</v>
      </c>
      <c r="AE306" s="69"/>
      <c r="AF306" s="2266">
        <f t="shared" si="251"/>
        <v>3</v>
      </c>
      <c r="AG306" s="69"/>
      <c r="AH306" s="2266">
        <f t="shared" si="252"/>
        <v>2</v>
      </c>
      <c r="AI306" s="69"/>
      <c r="AJ306" s="2266">
        <f t="shared" si="253"/>
        <v>2</v>
      </c>
      <c r="AK306" s="69"/>
      <c r="AL306" s="2266" t="str">
        <f t="shared" si="254"/>
        <v/>
      </c>
      <c r="AM306" s="69"/>
      <c r="AN306" s="2266" t="str">
        <f t="shared" si="255"/>
        <v/>
      </c>
      <c r="AO306" s="69"/>
      <c r="AP306" s="2266">
        <f t="shared" si="256"/>
        <v>2</v>
      </c>
      <c r="AQ306" s="69"/>
      <c r="AR306" s="2266" t="str">
        <f t="shared" si="257"/>
        <v/>
      </c>
      <c r="AS306" s="69"/>
      <c r="AT306" s="2266">
        <f t="shared" si="258"/>
        <v>2</v>
      </c>
      <c r="AU306" s="69"/>
      <c r="AV306" s="2266">
        <f t="shared" si="259"/>
        <v>2</v>
      </c>
      <c r="AW306" s="69"/>
      <c r="AX306" s="2266">
        <f t="shared" si="260"/>
        <v>2</v>
      </c>
      <c r="AY306" s="69"/>
      <c r="AZ306" s="2266" t="str">
        <f t="shared" si="261"/>
        <v/>
      </c>
      <c r="BA306" s="69"/>
      <c r="BB306" s="2266">
        <f t="shared" si="262"/>
        <v>2</v>
      </c>
      <c r="BC306" s="69"/>
      <c r="BD306" s="2266">
        <f t="shared" si="263"/>
        <v>2</v>
      </c>
      <c r="BE306" s="69"/>
      <c r="BF306" s="2266">
        <f t="shared" si="264"/>
        <v>2</v>
      </c>
      <c r="BG306" s="69"/>
      <c r="BH306" s="2266">
        <f t="shared" si="265"/>
        <v>2</v>
      </c>
      <c r="BI306" s="69"/>
      <c r="BJ306" s="2266">
        <f t="shared" si="266"/>
        <v>2</v>
      </c>
      <c r="BK306" s="69"/>
      <c r="BL306" s="2266" t="str">
        <f t="shared" si="267"/>
        <v/>
      </c>
      <c r="BM306" s="69"/>
      <c r="BN306" s="2297"/>
      <c r="BO306" s="69"/>
      <c r="BP306" s="2270">
        <f t="shared" si="269"/>
        <v>49</v>
      </c>
      <c r="BR306" s="2298"/>
      <c r="BS306" s="2299"/>
      <c r="BT306" s="2299"/>
    </row>
    <row r="307" ht="27.0" customHeight="1">
      <c r="A307" s="2263" t="str">
        <f t="shared" si="237"/>
        <v/>
      </c>
      <c r="B307" s="1880"/>
      <c r="C307" s="1701"/>
      <c r="D307" s="1817"/>
      <c r="E307" s="1075" t="str">
        <f t="shared" si="236"/>
        <v/>
      </c>
      <c r="F307" s="2259">
        <f>SUM(F284:G306)</f>
        <v>344</v>
      </c>
      <c r="G307" s="69"/>
      <c r="H307" s="2259">
        <f>SUM(H284:I306)</f>
        <v>51</v>
      </c>
      <c r="I307" s="69"/>
      <c r="J307" s="2259">
        <f>SUM(J284:K306)</f>
        <v>70</v>
      </c>
      <c r="K307" s="69"/>
      <c r="L307" s="2259">
        <f>SUM(L284:M306)</f>
        <v>69</v>
      </c>
      <c r="M307" s="69"/>
      <c r="N307" s="2259">
        <f>SUM(N284:O306)</f>
        <v>134</v>
      </c>
      <c r="O307" s="69"/>
      <c r="P307" s="2259">
        <f>SUM(P284:Q306)</f>
        <v>112</v>
      </c>
      <c r="Q307" s="69"/>
      <c r="R307" s="2259">
        <f>SUM(R284:S306)</f>
        <v>36</v>
      </c>
      <c r="S307" s="69"/>
      <c r="T307" s="2259">
        <f>SUM(T284:U306)</f>
        <v>24</v>
      </c>
      <c r="U307" s="69"/>
      <c r="V307" s="2259">
        <f>SUM(V284:W306)</f>
        <v>52</v>
      </c>
      <c r="W307" s="69"/>
      <c r="X307" s="2259">
        <f>SUM(X284:Y306)</f>
        <v>79</v>
      </c>
      <c r="Y307" s="69"/>
      <c r="Z307" s="2259">
        <f>SUM(Z284:AA306)</f>
        <v>0</v>
      </c>
      <c r="AA307" s="69"/>
      <c r="AB307" s="2259">
        <f>SUM(AB284:AC306)</f>
        <v>28</v>
      </c>
      <c r="AC307" s="69"/>
      <c r="AD307" s="2259">
        <f>SUM(AD284:AE306)</f>
        <v>62</v>
      </c>
      <c r="AE307" s="69"/>
      <c r="AF307" s="2259">
        <f>SUM(AF284:AG306)</f>
        <v>52</v>
      </c>
      <c r="AG307" s="69"/>
      <c r="AH307" s="2259">
        <f>SUM(AH284:AI306)</f>
        <v>45</v>
      </c>
      <c r="AI307" s="69"/>
      <c r="AJ307" s="2259">
        <f>SUM(AJ284:AK306)</f>
        <v>44</v>
      </c>
      <c r="AK307" s="69"/>
      <c r="AL307" s="2233">
        <f>SUM(AL284:AM306)</f>
        <v>71</v>
      </c>
      <c r="AM307" s="69"/>
      <c r="AN307" s="2233">
        <f>SUM(AN284:AO306)</f>
        <v>0</v>
      </c>
      <c r="AO307" s="69"/>
      <c r="AP307" s="2233">
        <f>SUM(AP284:AQ306)</f>
        <v>35</v>
      </c>
      <c r="AQ307" s="69"/>
      <c r="AR307" s="2233">
        <f>SUM(AR284:AS306)</f>
        <v>151</v>
      </c>
      <c r="AS307" s="69"/>
      <c r="AT307" s="2233">
        <f>SUM(AT284:AU306)</f>
        <v>77</v>
      </c>
      <c r="AU307" s="69"/>
      <c r="AV307" s="2233">
        <f>SUM(AV284:AW306)</f>
        <v>81</v>
      </c>
      <c r="AW307" s="69"/>
      <c r="AX307" s="2233">
        <f>SUM(AX284:AY306)</f>
        <v>59</v>
      </c>
      <c r="AY307" s="69"/>
      <c r="AZ307" s="2233">
        <f>SUM(AZ284:BA306)</f>
        <v>60</v>
      </c>
      <c r="BA307" s="69"/>
      <c r="BB307" s="2233">
        <f>SUM(BB284:BC306)</f>
        <v>60</v>
      </c>
      <c r="BC307" s="69"/>
      <c r="BD307" s="2233">
        <f>SUM(BD284:BE306)</f>
        <v>29</v>
      </c>
      <c r="BE307" s="69"/>
      <c r="BF307" s="2233">
        <f>SUM(BF284:BG306)</f>
        <v>106</v>
      </c>
      <c r="BG307" s="69"/>
      <c r="BH307" s="2233">
        <f>SUM(BH284:BI306)</f>
        <v>49</v>
      </c>
      <c r="BI307" s="69"/>
      <c r="BJ307" s="2233">
        <f>SUM(BJ284:BK306)</f>
        <v>114</v>
      </c>
      <c r="BK307" s="69"/>
      <c r="BL307" s="2259">
        <f>SUM(BL284:BM306)</f>
        <v>514</v>
      </c>
      <c r="BM307" s="69"/>
      <c r="BN307" s="2297"/>
      <c r="BO307" s="69"/>
      <c r="BP307" s="2307">
        <f t="shared" si="269"/>
        <v>2608</v>
      </c>
      <c r="BR307" s="195"/>
    </row>
    <row r="308" ht="15.75" customHeight="1">
      <c r="A308" s="2308"/>
      <c r="B308" s="2309"/>
      <c r="C308" s="2310"/>
      <c r="D308" s="2311"/>
      <c r="E308" s="2312"/>
      <c r="F308" s="2312"/>
      <c r="G308" s="2312"/>
      <c r="H308" s="2312"/>
      <c r="I308" s="2312"/>
      <c r="J308" s="2312"/>
      <c r="K308" s="2312"/>
      <c r="L308" s="2312"/>
      <c r="M308" s="2312"/>
      <c r="N308" s="2312"/>
      <c r="O308" s="2312"/>
      <c r="P308" s="1469"/>
      <c r="Q308" s="2313"/>
      <c r="R308" s="2313"/>
      <c r="S308" s="2314"/>
      <c r="T308" s="2313"/>
      <c r="U308" s="2313"/>
      <c r="V308" s="2313"/>
      <c r="W308" s="2313"/>
      <c r="X308" s="1469"/>
      <c r="Y308" s="2313"/>
      <c r="Z308" s="2313"/>
      <c r="AA308" s="2313"/>
      <c r="AB308" s="2313"/>
      <c r="AC308" s="2313"/>
      <c r="AD308" s="2313"/>
      <c r="AE308" s="2313"/>
      <c r="AF308" s="2313"/>
      <c r="AG308" s="2315"/>
      <c r="AH308" s="2313"/>
      <c r="AI308" s="2315"/>
      <c r="AJ308" s="2313"/>
      <c r="AK308" s="2313"/>
      <c r="AL308" s="2313"/>
      <c r="AM308" s="2313"/>
      <c r="AN308" s="2313"/>
      <c r="AO308" s="1471"/>
      <c r="AP308" s="1471"/>
      <c r="AQ308" s="1471"/>
      <c r="AR308" s="1471"/>
      <c r="AS308" s="1471"/>
      <c r="AT308" s="1471"/>
      <c r="AU308" s="1471"/>
      <c r="AV308" s="1471"/>
      <c r="AW308" s="1471"/>
      <c r="AX308" s="2316"/>
      <c r="AY308" s="1471"/>
      <c r="AZ308" s="2316"/>
      <c r="BA308" s="1471"/>
      <c r="BB308" s="1471"/>
      <c r="BC308" s="1471"/>
      <c r="BD308" s="1471"/>
      <c r="BE308" s="1471"/>
      <c r="BF308" s="1471"/>
      <c r="BG308" s="1471"/>
      <c r="BH308" s="1471"/>
      <c r="BI308" s="1471"/>
      <c r="BJ308" s="2316"/>
      <c r="BK308" s="1469"/>
      <c r="BM308" s="2317" t="s">
        <v>1365</v>
      </c>
      <c r="BN308" s="2318"/>
      <c r="BO308" s="2318"/>
      <c r="BP308" s="2319">
        <f>SUM(BP285:BP307)</f>
        <v>5141</v>
      </c>
      <c r="BR308" s="195"/>
      <c r="BT308" s="1005"/>
    </row>
    <row r="309" ht="15.75" customHeight="1">
      <c r="A309" s="195"/>
      <c r="B309" s="978"/>
      <c r="C309" s="2321"/>
      <c r="D309" s="17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Q309" s="1190"/>
      <c r="R309" s="1190"/>
      <c r="S309" s="1189"/>
      <c r="T309" s="1190"/>
      <c r="U309" s="1190"/>
      <c r="V309" s="1190"/>
      <c r="W309" s="1190"/>
      <c r="Y309" s="1190"/>
      <c r="Z309" s="1190"/>
      <c r="AA309" s="1190"/>
      <c r="AB309" s="1190"/>
      <c r="AC309" s="1190"/>
      <c r="AD309" s="1190"/>
      <c r="AE309" s="1190"/>
      <c r="AF309" s="1190"/>
      <c r="AG309" s="1748"/>
      <c r="AH309" s="1190"/>
      <c r="AI309" s="1748"/>
      <c r="AJ309" s="1190"/>
      <c r="AK309" s="1190"/>
      <c r="AL309" s="1190"/>
      <c r="AM309" s="1190"/>
      <c r="AN309" s="1190"/>
      <c r="AO309" s="1190"/>
      <c r="AP309" s="1190"/>
      <c r="AQ309" s="1190"/>
      <c r="AR309" s="1190"/>
      <c r="AS309" s="1190"/>
      <c r="AT309" s="1190"/>
      <c r="AU309" s="1190"/>
      <c r="AV309" s="1190"/>
      <c r="AW309" s="1190"/>
      <c r="AX309" s="1190"/>
      <c r="AY309" s="1190"/>
      <c r="AZ309" s="1190"/>
      <c r="BA309" s="1190"/>
      <c r="BB309" s="1190"/>
      <c r="BC309" s="1190"/>
      <c r="BD309" s="1190"/>
      <c r="BE309" s="1190"/>
      <c r="BF309" s="1190"/>
      <c r="BG309" s="1190"/>
      <c r="BH309" s="1190"/>
      <c r="BI309" s="1190"/>
      <c r="BJ309" s="1190"/>
      <c r="BL309" s="1190"/>
      <c r="BM309" s="1190"/>
      <c r="BQ309" s="195"/>
      <c r="BR309" s="195"/>
      <c r="BT309" s="1005"/>
    </row>
    <row r="310" ht="15.75" customHeight="1">
      <c r="A310" s="195"/>
      <c r="B310" s="978"/>
      <c r="C310" s="2321"/>
      <c r="D310" s="172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190"/>
      <c r="R310" s="1190"/>
      <c r="S310" s="1189"/>
      <c r="T310" s="1190"/>
      <c r="U310" s="1190"/>
      <c r="V310" s="1190"/>
      <c r="W310" s="1190"/>
      <c r="Y310" s="1190"/>
      <c r="Z310" s="1190"/>
      <c r="AA310" s="1190"/>
      <c r="AB310" s="1190"/>
      <c r="AC310" s="1190"/>
      <c r="AD310" s="1190"/>
      <c r="AE310" s="1190"/>
      <c r="AF310" s="1190"/>
      <c r="AG310" s="1748"/>
      <c r="AH310" s="1190"/>
      <c r="AI310" s="1748"/>
      <c r="AJ310" s="1190"/>
      <c r="AK310" s="1190"/>
      <c r="AL310" s="1190"/>
      <c r="AM310" s="1190"/>
      <c r="AN310" s="1190"/>
      <c r="AO310" s="1190"/>
      <c r="AP310" s="1190"/>
      <c r="AQ310" s="1190"/>
      <c r="AR310" s="1190"/>
      <c r="AS310" s="1190"/>
      <c r="AT310" s="1190"/>
      <c r="AU310" s="1190"/>
      <c r="AV310" s="1190"/>
      <c r="AW310" s="1190"/>
      <c r="AX310" s="1190"/>
      <c r="AY310" s="1190"/>
      <c r="AZ310" s="1190"/>
      <c r="BA310" s="1190"/>
      <c r="BB310" s="1190"/>
      <c r="BC310" s="1190"/>
      <c r="BD310" s="1190"/>
      <c r="BE310" s="1190"/>
      <c r="BF310" s="1190"/>
      <c r="BG310" s="1190"/>
      <c r="BH310" s="1190"/>
      <c r="BI310" s="1190"/>
      <c r="BJ310" s="1190"/>
      <c r="BL310" s="1190"/>
      <c r="BM310" s="1190"/>
      <c r="BQ310" s="195"/>
      <c r="BR310" s="195"/>
      <c r="BT310" s="1005"/>
    </row>
    <row r="311" ht="15.75" customHeight="1">
      <c r="A311" s="195"/>
      <c r="B311" s="978"/>
      <c r="C311" s="2321"/>
      <c r="D311" s="172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190"/>
      <c r="R311" s="1190"/>
      <c r="S311" s="1189"/>
      <c r="T311" s="1190"/>
      <c r="U311" s="1190"/>
      <c r="V311" s="1190"/>
      <c r="W311" s="1190"/>
      <c r="Y311" s="1190"/>
      <c r="Z311" s="1190"/>
      <c r="AA311" s="1190"/>
      <c r="AB311" s="1190"/>
      <c r="AC311" s="1190"/>
      <c r="AD311" s="1190"/>
      <c r="AE311" s="1190"/>
      <c r="AF311" s="1190"/>
      <c r="AG311" s="1748"/>
      <c r="AH311" s="1190"/>
      <c r="AI311" s="1748"/>
      <c r="AJ311" s="1190"/>
      <c r="AK311" s="1190"/>
      <c r="AL311" s="1190"/>
      <c r="AM311" s="1190"/>
      <c r="AN311" s="1190"/>
      <c r="AO311" s="1190"/>
      <c r="AP311" s="1190"/>
      <c r="AQ311" s="1190"/>
      <c r="AR311" s="1190"/>
      <c r="AS311" s="1190"/>
      <c r="AT311" s="1190"/>
      <c r="AU311" s="1190"/>
      <c r="AV311" s="1190"/>
      <c r="AW311" s="1190"/>
      <c r="AX311" s="1190"/>
      <c r="AY311" s="1190"/>
      <c r="AZ311" s="1190"/>
      <c r="BA311" s="1190"/>
      <c r="BB311" s="1190"/>
      <c r="BC311" s="1190"/>
      <c r="BD311" s="1190"/>
      <c r="BE311" s="1190"/>
      <c r="BF311" s="1190"/>
      <c r="BG311" s="1190"/>
      <c r="BH311" s="1190"/>
      <c r="BI311" s="1190"/>
      <c r="BJ311" s="1190"/>
      <c r="BL311" s="1190"/>
      <c r="BM311" s="1190"/>
      <c r="BQ311" s="195"/>
      <c r="BR311" s="195"/>
      <c r="BT311" s="1005"/>
    </row>
    <row r="312" ht="15.75" customHeight="1">
      <c r="A312" s="1575"/>
      <c r="B312" s="1994"/>
      <c r="C312" s="2323"/>
      <c r="D312" s="2324"/>
      <c r="E312" s="2325"/>
      <c r="F312" s="2325"/>
      <c r="G312" s="2325"/>
      <c r="H312" s="2326"/>
      <c r="I312" s="2326"/>
      <c r="J312" s="2326"/>
      <c r="K312" s="2326"/>
      <c r="L312" s="2326"/>
      <c r="M312" s="2326"/>
      <c r="N312" s="2326"/>
      <c r="O312" s="2326"/>
      <c r="P312" s="705"/>
      <c r="R312" s="1190"/>
      <c r="T312" s="1190"/>
      <c r="V312" s="1190"/>
      <c r="Z312" s="1190"/>
      <c r="AB312" s="1190"/>
      <c r="AD312" s="1190"/>
      <c r="AF312" s="1190"/>
      <c r="AG312" s="541"/>
      <c r="AH312" s="1190"/>
      <c r="AI312" s="541"/>
      <c r="AJ312" s="1190"/>
      <c r="AL312" s="1190"/>
      <c r="AN312" s="1190"/>
      <c r="AP312" s="1190"/>
      <c r="AR312" s="1190"/>
      <c r="AT312" s="1190"/>
      <c r="AV312" s="1190"/>
      <c r="AX312" s="1190"/>
      <c r="AZ312" s="1190"/>
      <c r="BB312" s="1190"/>
      <c r="BC312" s="1190"/>
      <c r="BD312" s="1190"/>
      <c r="BE312" s="1190"/>
      <c r="BF312" s="1190"/>
      <c r="BG312" s="1190"/>
      <c r="BH312" s="1190"/>
      <c r="BI312" s="1190"/>
      <c r="BJ312" s="1190"/>
      <c r="BM312" s="1190"/>
      <c r="BQ312" s="705"/>
      <c r="BR312" s="705"/>
      <c r="BS312" s="2326"/>
      <c r="BT312" s="2327"/>
      <c r="BU312" s="2326"/>
    </row>
    <row r="313" ht="15.75" customHeight="1">
      <c r="A313" s="705"/>
      <c r="B313" s="1994"/>
      <c r="C313" s="2328"/>
      <c r="D313" s="2329"/>
      <c r="E313" s="705"/>
      <c r="F313" s="705"/>
      <c r="G313" s="1575"/>
      <c r="H313" s="1575"/>
      <c r="I313" s="705"/>
      <c r="J313" s="705"/>
      <c r="K313" s="705"/>
      <c r="L313" s="1575"/>
      <c r="M313" s="705"/>
      <c r="N313" s="705"/>
      <c r="O313" s="1575"/>
      <c r="P313" s="1575"/>
      <c r="Q313" s="1575"/>
      <c r="R313" s="1575"/>
      <c r="S313" s="1575"/>
      <c r="T313" s="1575"/>
      <c r="U313" s="1575"/>
      <c r="V313" s="1575"/>
      <c r="W313" s="1575"/>
      <c r="Y313" s="1575"/>
      <c r="Z313" s="1575"/>
      <c r="AA313" s="1575"/>
      <c r="AB313" s="1575"/>
      <c r="AC313" s="1575"/>
      <c r="AD313" s="1575"/>
      <c r="AE313" s="1575"/>
      <c r="AF313" s="1575"/>
      <c r="AG313" s="1610"/>
      <c r="AH313" s="1575"/>
      <c r="AI313" s="1610"/>
      <c r="AJ313" s="1575"/>
      <c r="AK313" s="1575"/>
      <c r="AL313" s="1575"/>
      <c r="AM313" s="1575"/>
      <c r="AN313" s="1575"/>
      <c r="AO313" s="1575"/>
      <c r="AP313" s="1575"/>
      <c r="AQ313" s="1575"/>
      <c r="AR313" s="1575"/>
      <c r="AS313" s="1575"/>
      <c r="AT313" s="1575"/>
      <c r="AU313" s="1575"/>
      <c r="AV313" s="1575"/>
      <c r="AW313" s="1575"/>
      <c r="AX313" s="547"/>
      <c r="AY313" s="1575"/>
      <c r="AZ313" s="547"/>
      <c r="BA313" s="1575"/>
      <c r="BB313" s="1575"/>
      <c r="BC313" s="1575"/>
      <c r="BD313" s="1575"/>
      <c r="BE313" s="1575"/>
      <c r="BF313" s="1575"/>
      <c r="BG313" s="1575"/>
      <c r="BH313" s="1575"/>
      <c r="BI313" s="1575"/>
      <c r="BJ313" s="547"/>
      <c r="BL313" s="1575"/>
      <c r="BM313" s="1575"/>
      <c r="BN313" s="705"/>
      <c r="BO313" s="705"/>
      <c r="BP313" s="705"/>
      <c r="BQ313" s="705"/>
      <c r="BR313" s="705"/>
      <c r="BS313" s="705"/>
      <c r="BT313" s="2330"/>
      <c r="BU313" s="705"/>
    </row>
    <row r="314" ht="15.75" customHeight="1">
      <c r="A314" s="802"/>
      <c r="B314" s="998"/>
      <c r="C314" s="2331"/>
      <c r="D314" s="2332"/>
      <c r="E314" s="2333"/>
      <c r="F314" s="2333"/>
      <c r="G314" s="2333"/>
      <c r="H314" s="2333"/>
      <c r="I314" s="2333"/>
      <c r="J314" s="2333"/>
      <c r="K314" s="2333"/>
      <c r="L314" s="2333"/>
      <c r="M314" s="2333"/>
      <c r="N314" s="2333"/>
      <c r="O314" s="2333"/>
      <c r="P314" s="2333"/>
      <c r="Q314" s="2333"/>
      <c r="R314" s="2333"/>
      <c r="S314" s="2333"/>
      <c r="T314" s="2333"/>
      <c r="U314" s="2333"/>
      <c r="V314" s="2333"/>
      <c r="W314" s="2333"/>
      <c r="Y314" s="2333"/>
      <c r="Z314" s="2333"/>
      <c r="AA314" s="2333"/>
      <c r="AB314" s="2333"/>
      <c r="AC314" s="2333"/>
      <c r="AD314" s="2333"/>
      <c r="AE314" s="2333"/>
      <c r="AF314" s="2333"/>
      <c r="AG314" s="2334"/>
      <c r="AH314" s="2333"/>
      <c r="AI314" s="2334"/>
      <c r="AJ314" s="2333"/>
      <c r="AK314" s="2333"/>
      <c r="AL314" s="2333"/>
      <c r="AM314" s="2333"/>
      <c r="AN314" s="2333"/>
      <c r="AO314" s="2333"/>
      <c r="AP314" s="2333"/>
      <c r="AQ314" s="2333"/>
      <c r="AR314" s="2333"/>
      <c r="AS314" s="2333"/>
      <c r="AT314" s="2333"/>
      <c r="AU314" s="2333"/>
      <c r="AV314" s="2333"/>
      <c r="AW314" s="2333"/>
      <c r="AX314" s="1846"/>
      <c r="AY314" s="2333"/>
      <c r="AZ314" s="1846"/>
      <c r="BA314" s="2333"/>
      <c r="BB314" s="2333"/>
      <c r="BC314" s="2333"/>
      <c r="BD314" s="2333"/>
      <c r="BE314" s="2333"/>
      <c r="BF314" s="2333"/>
      <c r="BG314" s="2333"/>
      <c r="BH314" s="2333"/>
      <c r="BI314" s="2333"/>
      <c r="BJ314" s="1846"/>
      <c r="BL314" s="2333"/>
      <c r="BM314" s="2333"/>
      <c r="BN314" s="2335"/>
      <c r="BO314" s="2335"/>
      <c r="BP314" s="2335"/>
      <c r="BQ314" s="2336"/>
      <c r="BR314" s="2337"/>
      <c r="BS314" s="2338"/>
      <c r="BT314" s="2339"/>
      <c r="BU314" s="2338"/>
    </row>
    <row r="315" ht="15.75" customHeight="1">
      <c r="A315" s="942"/>
      <c r="B315" s="998"/>
      <c r="C315" s="2331"/>
      <c r="D315" s="2332"/>
      <c r="E315" s="2333"/>
      <c r="F315" s="2333"/>
      <c r="G315" s="2333"/>
      <c r="H315" s="2333"/>
      <c r="I315" s="2333"/>
      <c r="J315" s="2333"/>
      <c r="K315" s="2333"/>
      <c r="L315" s="2333"/>
      <c r="M315" s="2333"/>
      <c r="N315" s="2333"/>
      <c r="O315" s="2333"/>
      <c r="P315" s="2333"/>
      <c r="Q315" s="2333"/>
      <c r="R315" s="2333"/>
      <c r="S315" s="2333"/>
      <c r="T315" s="2333"/>
      <c r="U315" s="2333"/>
      <c r="V315" s="2333"/>
      <c r="W315" s="2333"/>
      <c r="Y315" s="2333"/>
      <c r="Z315" s="2333"/>
      <c r="AA315" s="2333"/>
      <c r="AB315" s="2333"/>
      <c r="AC315" s="2333"/>
      <c r="AD315" s="2333"/>
      <c r="AE315" s="2333"/>
      <c r="AF315" s="2333"/>
      <c r="AG315" s="2334"/>
      <c r="AH315" s="2333"/>
      <c r="AI315" s="2334"/>
      <c r="AJ315" s="2333"/>
      <c r="AK315" s="2333"/>
      <c r="AL315" s="2333"/>
      <c r="AM315" s="2333"/>
      <c r="AN315" s="2333"/>
      <c r="AO315" s="2333"/>
      <c r="AP315" s="2333"/>
      <c r="AQ315" s="2333"/>
      <c r="AR315" s="2333"/>
      <c r="AS315" s="2333"/>
      <c r="AT315" s="2333"/>
      <c r="AU315" s="2333"/>
      <c r="AV315" s="2333"/>
      <c r="AW315" s="2333"/>
      <c r="AX315" s="1846"/>
      <c r="AY315" s="2333"/>
      <c r="AZ315" s="1846"/>
      <c r="BA315" s="2333"/>
      <c r="BB315" s="2333"/>
      <c r="BC315" s="2333"/>
      <c r="BD315" s="2333"/>
      <c r="BE315" s="2333"/>
      <c r="BF315" s="2333"/>
      <c r="BG315" s="2333"/>
      <c r="BH315" s="2333"/>
      <c r="BI315" s="2333"/>
      <c r="BJ315" s="1846"/>
      <c r="BL315" s="2333"/>
      <c r="BM315" s="2333"/>
      <c r="BN315" s="2335"/>
      <c r="BO315" s="2335"/>
      <c r="BP315" s="2335"/>
      <c r="BQ315" s="2336"/>
      <c r="BR315" s="2337"/>
      <c r="BS315" s="2338"/>
      <c r="BT315" s="2339"/>
      <c r="BU315" s="2338"/>
    </row>
    <row r="316" ht="15.75" customHeight="1">
      <c r="A316" s="802"/>
      <c r="B316" s="998"/>
      <c r="C316" s="2331"/>
      <c r="D316" s="2340"/>
      <c r="E316" s="2333"/>
      <c r="F316" s="2333"/>
      <c r="G316" s="2333"/>
      <c r="H316" s="2333"/>
      <c r="I316" s="2333"/>
      <c r="J316" s="2333"/>
      <c r="K316" s="2333"/>
      <c r="L316" s="2333"/>
      <c r="M316" s="2333"/>
      <c r="N316" s="2333"/>
      <c r="O316" s="2333"/>
      <c r="P316" s="2333"/>
      <c r="Q316" s="2333"/>
      <c r="R316" s="2333"/>
      <c r="S316" s="2333"/>
      <c r="T316" s="2333"/>
      <c r="U316" s="2333"/>
      <c r="V316" s="2333"/>
      <c r="W316" s="2333"/>
      <c r="Y316" s="2333"/>
      <c r="Z316" s="2333"/>
      <c r="AA316" s="2333"/>
      <c r="AB316" s="2333"/>
      <c r="AC316" s="2333"/>
      <c r="AD316" s="2333"/>
      <c r="AE316" s="2333"/>
      <c r="AF316" s="2333"/>
      <c r="AG316" s="2334"/>
      <c r="AH316" s="2333"/>
      <c r="AI316" s="2334"/>
      <c r="AJ316" s="2333"/>
      <c r="AK316" s="2333"/>
      <c r="AL316" s="2333"/>
      <c r="AM316" s="2333"/>
      <c r="AN316" s="2333"/>
      <c r="AO316" s="2333"/>
      <c r="AP316" s="2333"/>
      <c r="AQ316" s="2333"/>
      <c r="AR316" s="2333"/>
      <c r="AS316" s="2333"/>
      <c r="AT316" s="2333"/>
      <c r="AU316" s="2333"/>
      <c r="AV316" s="2333"/>
      <c r="AW316" s="2333"/>
      <c r="AX316" s="1846"/>
      <c r="AY316" s="2333"/>
      <c r="AZ316" s="1846"/>
      <c r="BA316" s="2333"/>
      <c r="BB316" s="2333"/>
      <c r="BC316" s="2333"/>
      <c r="BD316" s="2333"/>
      <c r="BE316" s="2333"/>
      <c r="BF316" s="2333"/>
      <c r="BG316" s="2333"/>
      <c r="BH316" s="2333"/>
      <c r="BI316" s="2333"/>
      <c r="BJ316" s="1846"/>
      <c r="BL316" s="2333"/>
      <c r="BM316" s="2333"/>
      <c r="BN316" s="2335"/>
      <c r="BO316" s="2335"/>
      <c r="BP316" s="2335"/>
      <c r="BQ316" s="2336"/>
      <c r="BR316" s="2337"/>
      <c r="BS316" s="2338"/>
      <c r="BT316" s="2339"/>
      <c r="BU316" s="2338"/>
    </row>
    <row r="317" ht="15.75" customHeight="1">
      <c r="A317" s="942"/>
      <c r="B317" s="998"/>
      <c r="C317" s="2331"/>
      <c r="D317" s="2341"/>
      <c r="E317" s="2333"/>
      <c r="F317" s="2333"/>
      <c r="G317" s="2333"/>
      <c r="H317" s="2333"/>
      <c r="I317" s="2333"/>
      <c r="J317" s="2333"/>
      <c r="K317" s="2333"/>
      <c r="L317" s="2333"/>
      <c r="M317" s="2333"/>
      <c r="N317" s="2333"/>
      <c r="O317" s="2333"/>
      <c r="P317" s="2333"/>
      <c r="Q317" s="2333"/>
      <c r="R317" s="2333"/>
      <c r="S317" s="2333"/>
      <c r="T317" s="2333"/>
      <c r="U317" s="2333"/>
      <c r="V317" s="2333"/>
      <c r="W317" s="2333"/>
      <c r="Y317" s="2333"/>
      <c r="Z317" s="2333"/>
      <c r="AA317" s="2333"/>
      <c r="AB317" s="2333"/>
      <c r="AC317" s="2333"/>
      <c r="AD317" s="2333"/>
      <c r="AE317" s="2333"/>
      <c r="AF317" s="2333"/>
      <c r="AG317" s="2334"/>
      <c r="AH317" s="2333"/>
      <c r="AI317" s="2334"/>
      <c r="AJ317" s="2333"/>
      <c r="AK317" s="2333"/>
      <c r="AL317" s="2333"/>
      <c r="AM317" s="2333"/>
      <c r="AN317" s="2333"/>
      <c r="AO317" s="2333"/>
      <c r="AP317" s="2333"/>
      <c r="AQ317" s="2333"/>
      <c r="AR317" s="2333"/>
      <c r="AS317" s="2333"/>
      <c r="AT317" s="2333"/>
      <c r="AU317" s="2333"/>
      <c r="AV317" s="2333"/>
      <c r="AW317" s="2333"/>
      <c r="AX317" s="1846"/>
      <c r="AY317" s="2333"/>
      <c r="AZ317" s="1846"/>
      <c r="BA317" s="2333"/>
      <c r="BB317" s="2333"/>
      <c r="BC317" s="2333"/>
      <c r="BD317" s="2333"/>
      <c r="BE317" s="2333"/>
      <c r="BF317" s="2333"/>
      <c r="BG317" s="2333"/>
      <c r="BH317" s="2333"/>
      <c r="BI317" s="2333"/>
      <c r="BJ317" s="1846"/>
      <c r="BL317" s="2333"/>
      <c r="BM317" s="2333"/>
      <c r="BN317" s="2335"/>
      <c r="BO317" s="2335"/>
      <c r="BP317" s="2335"/>
      <c r="BQ317" s="2336"/>
      <c r="BR317" s="2337"/>
      <c r="BS317" s="2338"/>
      <c r="BT317" s="2339"/>
      <c r="BU317" s="2338"/>
    </row>
    <row r="318" ht="15.75" customHeight="1">
      <c r="A318" s="802"/>
      <c r="B318" s="998"/>
      <c r="C318" s="2331"/>
      <c r="D318" s="2341"/>
      <c r="E318" s="2333"/>
      <c r="F318" s="2333"/>
      <c r="G318" s="2333"/>
      <c r="H318" s="2333"/>
      <c r="I318" s="2333"/>
      <c r="J318" s="2333"/>
      <c r="K318" s="2333"/>
      <c r="L318" s="2333"/>
      <c r="M318" s="2333"/>
      <c r="N318" s="2333"/>
      <c r="O318" s="2333"/>
      <c r="P318" s="2333"/>
      <c r="Q318" s="2333"/>
      <c r="R318" s="2333"/>
      <c r="S318" s="2333"/>
      <c r="T318" s="2333"/>
      <c r="U318" s="2333"/>
      <c r="V318" s="2333"/>
      <c r="W318" s="2333"/>
      <c r="Y318" s="2333"/>
      <c r="Z318" s="2333"/>
      <c r="AA318" s="2333"/>
      <c r="AB318" s="2333"/>
      <c r="AC318" s="2333"/>
      <c r="AD318" s="2333"/>
      <c r="AE318" s="2333"/>
      <c r="AF318" s="2333"/>
      <c r="AG318" s="2334"/>
      <c r="AH318" s="2333"/>
      <c r="AI318" s="2334"/>
      <c r="AJ318" s="2333"/>
      <c r="AK318" s="2333"/>
      <c r="AL318" s="2333"/>
      <c r="AM318" s="2333"/>
      <c r="AN318" s="2333"/>
      <c r="AO318" s="2333"/>
      <c r="AP318" s="2333"/>
      <c r="AQ318" s="2333"/>
      <c r="AR318" s="2333"/>
      <c r="AS318" s="2333"/>
      <c r="AT318" s="2333"/>
      <c r="AU318" s="2333"/>
      <c r="AV318" s="2333"/>
      <c r="AW318" s="2333"/>
      <c r="AX318" s="1846"/>
      <c r="AY318" s="2333"/>
      <c r="AZ318" s="1846"/>
      <c r="BA318" s="2333"/>
      <c r="BB318" s="2333"/>
      <c r="BC318" s="2333"/>
      <c r="BD318" s="2333"/>
      <c r="BE318" s="2333"/>
      <c r="BF318" s="2333"/>
      <c r="BG318" s="2333"/>
      <c r="BH318" s="2333"/>
      <c r="BI318" s="2333"/>
      <c r="BJ318" s="1846"/>
      <c r="BL318" s="2333"/>
      <c r="BM318" s="2333"/>
      <c r="BN318" s="2335"/>
      <c r="BO318" s="2335"/>
      <c r="BP318" s="2335"/>
      <c r="BQ318" s="2336"/>
      <c r="BR318" s="2337"/>
      <c r="BS318" s="2338"/>
      <c r="BT318" s="2339"/>
      <c r="BU318" s="2338"/>
    </row>
    <row r="319" ht="15.75" customHeight="1">
      <c r="A319" s="802"/>
      <c r="B319" s="998"/>
      <c r="C319" s="2331"/>
      <c r="D319" s="2341"/>
      <c r="E319" s="2333"/>
      <c r="F319" s="2333"/>
      <c r="G319" s="2333"/>
      <c r="H319" s="2333"/>
      <c r="I319" s="2333"/>
      <c r="J319" s="2333"/>
      <c r="K319" s="2333"/>
      <c r="L319" s="2333"/>
      <c r="M319" s="2333"/>
      <c r="N319" s="2333"/>
      <c r="O319" s="2333"/>
      <c r="P319" s="2333"/>
      <c r="Q319" s="2333"/>
      <c r="R319" s="2333"/>
      <c r="S319" s="2333"/>
      <c r="T319" s="2333"/>
      <c r="U319" s="2333"/>
      <c r="V319" s="2333"/>
      <c r="W319" s="2333"/>
      <c r="Y319" s="2333"/>
      <c r="Z319" s="2333"/>
      <c r="AA319" s="2333"/>
      <c r="AB319" s="2333"/>
      <c r="AC319" s="2333"/>
      <c r="AD319" s="2333"/>
      <c r="AE319" s="2333"/>
      <c r="AF319" s="2333"/>
      <c r="AG319" s="2334"/>
      <c r="AH319" s="2333"/>
      <c r="AI319" s="2334"/>
      <c r="AJ319" s="2333"/>
      <c r="AK319" s="2333"/>
      <c r="AL319" s="2333"/>
      <c r="AM319" s="2333"/>
      <c r="AN319" s="2333"/>
      <c r="AO319" s="2333"/>
      <c r="AP319" s="2333"/>
      <c r="AQ319" s="2333"/>
      <c r="AR319" s="2333"/>
      <c r="AS319" s="2333"/>
      <c r="AT319" s="2333"/>
      <c r="AU319" s="2333"/>
      <c r="AV319" s="2333"/>
      <c r="AW319" s="2333"/>
      <c r="AX319" s="1846"/>
      <c r="AY319" s="2333"/>
      <c r="AZ319" s="1846"/>
      <c r="BA319" s="2333"/>
      <c r="BB319" s="2333"/>
      <c r="BC319" s="2333"/>
      <c r="BD319" s="2333"/>
      <c r="BE319" s="2333"/>
      <c r="BF319" s="2333"/>
      <c r="BG319" s="2333"/>
      <c r="BH319" s="2333"/>
      <c r="BI319" s="2333"/>
      <c r="BJ319" s="1846"/>
      <c r="BL319" s="2333"/>
      <c r="BM319" s="2333"/>
      <c r="BN319" s="2335"/>
      <c r="BO319" s="2335"/>
      <c r="BP319" s="2335"/>
      <c r="BQ319" s="2336"/>
      <c r="BR319" s="2337"/>
      <c r="BS319" s="2338"/>
      <c r="BT319" s="2339"/>
      <c r="BU319" s="2338"/>
    </row>
    <row r="320" ht="15.75" customHeight="1">
      <c r="A320" s="942"/>
      <c r="B320" s="998"/>
      <c r="C320" s="2331"/>
      <c r="D320" s="2340"/>
      <c r="E320" s="2333"/>
      <c r="F320" s="2333"/>
      <c r="G320" s="2333"/>
      <c r="H320" s="2333"/>
      <c r="I320" s="2333"/>
      <c r="J320" s="2333"/>
      <c r="K320" s="2333"/>
      <c r="L320" s="2333"/>
      <c r="M320" s="2333"/>
      <c r="N320" s="2333"/>
      <c r="O320" s="2333"/>
      <c r="P320" s="2333"/>
      <c r="Q320" s="2333"/>
      <c r="R320" s="2333"/>
      <c r="S320" s="2333"/>
      <c r="T320" s="2333"/>
      <c r="U320" s="2333"/>
      <c r="V320" s="2333"/>
      <c r="W320" s="2333"/>
      <c r="Y320" s="2333"/>
      <c r="Z320" s="2333"/>
      <c r="AA320" s="2333"/>
      <c r="AB320" s="2333"/>
      <c r="AC320" s="2333"/>
      <c r="AD320" s="2333"/>
      <c r="AE320" s="2333"/>
      <c r="AF320" s="2333"/>
      <c r="AG320" s="2334"/>
      <c r="AH320" s="2333"/>
      <c r="AI320" s="2334"/>
      <c r="AJ320" s="2333"/>
      <c r="AK320" s="2333"/>
      <c r="AL320" s="2333"/>
      <c r="AM320" s="2333"/>
      <c r="AN320" s="2333"/>
      <c r="AO320" s="2333"/>
      <c r="AP320" s="2333"/>
      <c r="AQ320" s="2333"/>
      <c r="AR320" s="2333"/>
      <c r="AS320" s="2333"/>
      <c r="AT320" s="2333"/>
      <c r="AU320" s="2333"/>
      <c r="AV320" s="2333"/>
      <c r="AW320" s="2333"/>
      <c r="AX320" s="1846"/>
      <c r="AY320" s="2333"/>
      <c r="AZ320" s="1846"/>
      <c r="BA320" s="2333"/>
      <c r="BB320" s="2333"/>
      <c r="BC320" s="2333"/>
      <c r="BD320" s="2333"/>
      <c r="BE320" s="2333"/>
      <c r="BF320" s="2333"/>
      <c r="BG320" s="2333"/>
      <c r="BH320" s="2333"/>
      <c r="BI320" s="2333"/>
      <c r="BJ320" s="1846"/>
      <c r="BK320" s="2333"/>
      <c r="BL320" s="2333"/>
      <c r="BM320" s="2333"/>
      <c r="BN320" s="2335"/>
      <c r="BO320" s="2335"/>
      <c r="BP320" s="2335"/>
      <c r="BQ320" s="2336"/>
      <c r="BR320" s="2337"/>
      <c r="BS320" s="2338"/>
      <c r="BT320" s="2339"/>
      <c r="BU320" s="2338"/>
    </row>
    <row r="321" ht="15.75" customHeight="1">
      <c r="A321" s="802"/>
      <c r="B321" s="998"/>
      <c r="C321" s="2331"/>
      <c r="D321" s="2341"/>
      <c r="E321" s="2333"/>
      <c r="F321" s="2333"/>
      <c r="G321" s="2333"/>
      <c r="H321" s="2333"/>
      <c r="I321" s="2333"/>
      <c r="J321" s="2333"/>
      <c r="K321" s="2333"/>
      <c r="L321" s="2333"/>
      <c r="M321" s="2333"/>
      <c r="N321" s="2333"/>
      <c r="O321" s="2333"/>
      <c r="P321" s="2333"/>
      <c r="Q321" s="2333"/>
      <c r="R321" s="2333"/>
      <c r="S321" s="2333"/>
      <c r="T321" s="2333"/>
      <c r="U321" s="2333"/>
      <c r="V321" s="2333"/>
      <c r="W321" s="2333"/>
      <c r="Y321" s="2333"/>
      <c r="Z321" s="2333"/>
      <c r="AA321" s="2333"/>
      <c r="AB321" s="2333"/>
      <c r="AC321" s="2333"/>
      <c r="AD321" s="2333"/>
      <c r="AE321" s="2333"/>
      <c r="AF321" s="2333"/>
      <c r="AG321" s="2334"/>
      <c r="AH321" s="2333"/>
      <c r="AI321" s="2334"/>
      <c r="AJ321" s="2333"/>
      <c r="AK321" s="2333"/>
      <c r="AL321" s="2333"/>
      <c r="AM321" s="2333"/>
      <c r="AN321" s="2333"/>
      <c r="AO321" s="2333"/>
      <c r="AP321" s="2333"/>
      <c r="AQ321" s="2333"/>
      <c r="AR321" s="2333"/>
      <c r="AS321" s="2333"/>
      <c r="AT321" s="2333"/>
      <c r="AU321" s="2333"/>
      <c r="AV321" s="2333"/>
      <c r="AW321" s="2333"/>
      <c r="AX321" s="1846"/>
      <c r="AY321" s="2333"/>
      <c r="AZ321" s="1846"/>
      <c r="BA321" s="2333"/>
      <c r="BB321" s="2333"/>
      <c r="BC321" s="2333"/>
      <c r="BD321" s="2333"/>
      <c r="BE321" s="2333"/>
      <c r="BF321" s="2333"/>
      <c r="BG321" s="2333"/>
      <c r="BH321" s="2333"/>
      <c r="BI321" s="2333"/>
      <c r="BJ321" s="1846"/>
      <c r="BK321" s="2333"/>
      <c r="BL321" s="2333"/>
      <c r="BM321" s="2333"/>
      <c r="BN321" s="2335"/>
      <c r="BO321" s="2335"/>
      <c r="BP321" s="2335"/>
      <c r="BQ321" s="2336"/>
      <c r="BR321" s="2337"/>
      <c r="BS321" s="2338"/>
      <c r="BT321" s="2339"/>
      <c r="BU321" s="2338"/>
    </row>
    <row r="322" ht="15.75" customHeight="1">
      <c r="A322" s="942"/>
      <c r="B322" s="998"/>
      <c r="C322" s="2331"/>
      <c r="D322" s="2341"/>
      <c r="E322" s="2333"/>
      <c r="F322" s="2333"/>
      <c r="G322" s="2333"/>
      <c r="H322" s="2333"/>
      <c r="I322" s="2333"/>
      <c r="J322" s="2333"/>
      <c r="K322" s="2333"/>
      <c r="L322" s="2333"/>
      <c r="M322" s="2333"/>
      <c r="N322" s="2333"/>
      <c r="O322" s="2333"/>
      <c r="P322" s="2333"/>
      <c r="Q322" s="2333"/>
      <c r="R322" s="2333"/>
      <c r="S322" s="2333"/>
      <c r="T322" s="2333"/>
      <c r="U322" s="2333"/>
      <c r="V322" s="2333"/>
      <c r="W322" s="2333"/>
      <c r="Y322" s="2333"/>
      <c r="Z322" s="2333"/>
      <c r="AA322" s="2333"/>
      <c r="AB322" s="2333"/>
      <c r="AC322" s="2333"/>
      <c r="AD322" s="2333"/>
      <c r="AE322" s="2333"/>
      <c r="AF322" s="2333"/>
      <c r="AG322" s="2334"/>
      <c r="AH322" s="2333"/>
      <c r="AI322" s="2334"/>
      <c r="AJ322" s="2333"/>
      <c r="AK322" s="2333"/>
      <c r="AL322" s="2333"/>
      <c r="AM322" s="2333"/>
      <c r="AN322" s="2333"/>
      <c r="AO322" s="2333"/>
      <c r="AP322" s="2333"/>
      <c r="AQ322" s="2333"/>
      <c r="AR322" s="2333"/>
      <c r="AS322" s="2333"/>
      <c r="AT322" s="2333"/>
      <c r="AU322" s="2333"/>
      <c r="AV322" s="2333"/>
      <c r="AW322" s="2333"/>
      <c r="AX322" s="1846"/>
      <c r="AY322" s="2333"/>
      <c r="AZ322" s="1846"/>
      <c r="BA322" s="2333"/>
      <c r="BB322" s="2333"/>
      <c r="BC322" s="2333"/>
      <c r="BD322" s="2333"/>
      <c r="BE322" s="2333"/>
      <c r="BF322" s="2333"/>
      <c r="BG322" s="2333"/>
      <c r="BH322" s="2333"/>
      <c r="BI322" s="2333"/>
      <c r="BJ322" s="1846"/>
      <c r="BK322" s="2333"/>
      <c r="BL322" s="2333"/>
      <c r="BM322" s="2333"/>
      <c r="BN322" s="2335"/>
      <c r="BO322" s="2335"/>
      <c r="BP322" s="2335"/>
      <c r="BQ322" s="2336"/>
      <c r="BR322" s="2337"/>
      <c r="BS322" s="2338"/>
      <c r="BT322" s="2339"/>
      <c r="BU322" s="2338"/>
    </row>
    <row r="323" ht="15.75" customHeight="1">
      <c r="A323" s="802"/>
      <c r="B323" s="998"/>
      <c r="C323" s="2331"/>
      <c r="D323" s="2341"/>
      <c r="E323" s="2333"/>
      <c r="F323" s="2333"/>
      <c r="G323" s="2333"/>
      <c r="H323" s="2333"/>
      <c r="I323" s="2333"/>
      <c r="J323" s="2333"/>
      <c r="K323" s="2333"/>
      <c r="L323" s="2333"/>
      <c r="M323" s="2333"/>
      <c r="N323" s="2333"/>
      <c r="O323" s="2333"/>
      <c r="P323" s="2333"/>
      <c r="Q323" s="2333"/>
      <c r="R323" s="2333"/>
      <c r="S323" s="2333"/>
      <c r="T323" s="2333"/>
      <c r="U323" s="2333"/>
      <c r="V323" s="2333"/>
      <c r="W323" s="2333"/>
      <c r="Y323" s="2333"/>
      <c r="Z323" s="2333"/>
      <c r="AA323" s="2333"/>
      <c r="AB323" s="2333"/>
      <c r="AC323" s="2333"/>
      <c r="AD323" s="2333"/>
      <c r="AE323" s="2333"/>
      <c r="AF323" s="2333"/>
      <c r="AG323" s="2334"/>
      <c r="AH323" s="2333"/>
      <c r="AI323" s="2334"/>
      <c r="AJ323" s="2333"/>
      <c r="AK323" s="2333"/>
      <c r="AL323" s="2333"/>
      <c r="AM323" s="2333"/>
      <c r="AN323" s="2333"/>
      <c r="AO323" s="2333"/>
      <c r="AP323" s="2333"/>
      <c r="AQ323" s="2333"/>
      <c r="AR323" s="2333"/>
      <c r="AS323" s="2333"/>
      <c r="AT323" s="2333"/>
      <c r="AU323" s="2333"/>
      <c r="AV323" s="2333"/>
      <c r="AW323" s="2333"/>
      <c r="AX323" s="1846"/>
      <c r="AY323" s="2333"/>
      <c r="AZ323" s="1846"/>
      <c r="BA323" s="2333"/>
      <c r="BB323" s="2333"/>
      <c r="BC323" s="2333"/>
      <c r="BD323" s="2333"/>
      <c r="BE323" s="2333"/>
      <c r="BF323" s="2333"/>
      <c r="BG323" s="2333"/>
      <c r="BH323" s="2333"/>
      <c r="BI323" s="2333"/>
      <c r="BJ323" s="1846"/>
      <c r="BK323" s="2333"/>
      <c r="BL323" s="2333"/>
      <c r="BM323" s="2333"/>
      <c r="BN323" s="2335"/>
      <c r="BO323" s="2335"/>
      <c r="BP323" s="2335"/>
      <c r="BQ323" s="2336"/>
      <c r="BR323" s="2337"/>
      <c r="BS323" s="2338"/>
      <c r="BT323" s="2339"/>
      <c r="BU323" s="2338"/>
    </row>
    <row r="324" ht="15.75" customHeight="1">
      <c r="A324" s="942"/>
      <c r="B324" s="998"/>
      <c r="C324" s="2331"/>
      <c r="D324" s="2341"/>
      <c r="E324" s="2345"/>
      <c r="F324" s="1994"/>
      <c r="G324" s="2345"/>
      <c r="H324" s="1994"/>
      <c r="I324" s="1994"/>
      <c r="J324" s="1994"/>
      <c r="K324" s="2345"/>
      <c r="L324" s="2345"/>
      <c r="M324" s="2345"/>
      <c r="N324" s="1994"/>
      <c r="O324" s="2345"/>
      <c r="P324" s="1994"/>
      <c r="Q324" s="1994"/>
      <c r="R324" s="1994"/>
      <c r="S324" s="1994"/>
      <c r="T324" s="1994"/>
      <c r="U324" s="1994"/>
      <c r="V324" s="1994"/>
      <c r="W324" s="1994"/>
      <c r="Y324" s="1994"/>
      <c r="Z324" s="1994"/>
      <c r="AA324" s="2345"/>
      <c r="AB324" s="1994"/>
      <c r="AC324" s="2345"/>
      <c r="AD324" s="1994"/>
      <c r="AE324" s="2345"/>
      <c r="AF324" s="1994"/>
      <c r="AG324" s="753"/>
      <c r="AH324" s="1994"/>
      <c r="AI324" s="753"/>
      <c r="AJ324" s="1994"/>
      <c r="AK324" s="1994"/>
      <c r="AL324" s="2345"/>
      <c r="AM324" s="2345"/>
      <c r="AN324" s="2345"/>
      <c r="AO324" s="2345"/>
      <c r="AP324" s="2345"/>
      <c r="AQ324" s="2345"/>
      <c r="AR324" s="2345"/>
      <c r="AS324" s="2345"/>
      <c r="AT324" s="2345"/>
      <c r="AU324" s="2345"/>
      <c r="AV324" s="2345"/>
      <c r="AW324" s="2345"/>
      <c r="AX324" s="2347"/>
      <c r="AY324" s="2345"/>
      <c r="AZ324" s="2347"/>
      <c r="BA324" s="2345"/>
      <c r="BB324" s="2345"/>
      <c r="BC324" s="2345"/>
      <c r="BD324" s="2345"/>
      <c r="BE324" s="2345"/>
      <c r="BF324" s="2345"/>
      <c r="BG324" s="2345"/>
      <c r="BH324" s="2345"/>
      <c r="BI324" s="2345"/>
      <c r="BJ324" s="2347"/>
      <c r="BK324" s="2345"/>
      <c r="BL324" s="2345"/>
      <c r="BM324" s="2345"/>
      <c r="BN324" s="2335"/>
      <c r="BO324" s="2335"/>
      <c r="BP324" s="2335"/>
      <c r="BQ324" s="2336"/>
      <c r="BR324" s="2337"/>
      <c r="BS324" s="2338"/>
      <c r="BT324" s="2339"/>
      <c r="BU324" s="2338"/>
    </row>
    <row r="325" ht="15.75" customHeight="1">
      <c r="A325" s="195"/>
      <c r="B325" s="978"/>
      <c r="C325" s="2321"/>
      <c r="D325" s="1729"/>
      <c r="E325" s="13"/>
      <c r="F325" s="2349"/>
      <c r="G325" s="13"/>
      <c r="H325" s="2349"/>
      <c r="I325" s="13"/>
      <c r="J325" s="2349"/>
      <c r="K325" s="13"/>
      <c r="L325" s="2349"/>
      <c r="M325" s="13"/>
      <c r="N325" s="2349"/>
      <c r="O325" s="13"/>
      <c r="P325" s="2349"/>
      <c r="Q325" s="1190"/>
      <c r="R325" s="1190"/>
      <c r="S325" s="1189"/>
      <c r="T325" s="1190"/>
      <c r="U325" s="1190"/>
      <c r="V325" s="1190"/>
      <c r="W325" s="1190"/>
      <c r="X325" s="1190"/>
      <c r="Y325" s="1190"/>
      <c r="Z325" s="1190"/>
      <c r="AA325" s="1190"/>
      <c r="AB325" s="1190"/>
      <c r="AC325" s="1190"/>
      <c r="AD325" s="1190"/>
      <c r="AE325" s="1190"/>
      <c r="AF325" s="1190"/>
      <c r="AG325" s="1748"/>
      <c r="AH325" s="1190"/>
      <c r="AI325" s="1748"/>
      <c r="AJ325" s="1190"/>
      <c r="AK325" s="1190"/>
      <c r="AL325" s="1190"/>
      <c r="AM325" s="1190"/>
      <c r="AN325" s="1190"/>
      <c r="AO325" s="1190"/>
      <c r="AP325" s="1190"/>
      <c r="AQ325" s="1190"/>
      <c r="AR325" s="1190"/>
      <c r="AS325" s="1190"/>
      <c r="AT325" s="1190"/>
      <c r="AU325" s="1190"/>
      <c r="AV325" s="1190"/>
      <c r="AW325" s="1190"/>
      <c r="AX325" s="1190"/>
      <c r="AY325" s="1190"/>
      <c r="AZ325" s="1190"/>
      <c r="BA325" s="1190"/>
      <c r="BB325" s="1190"/>
      <c r="BC325" s="1190"/>
      <c r="BD325" s="1190"/>
      <c r="BE325" s="1190"/>
      <c r="BF325" s="1190"/>
      <c r="BG325" s="1190"/>
      <c r="BH325" s="1190"/>
      <c r="BI325" s="1190"/>
      <c r="BJ325" s="1190"/>
      <c r="BK325" s="1190"/>
      <c r="BL325" s="1190"/>
      <c r="BM325" s="1190"/>
      <c r="BQ325" s="195"/>
      <c r="BR325" s="195"/>
      <c r="BT325" s="1005"/>
    </row>
    <row r="326" ht="15.75" customHeight="1">
      <c r="A326" s="195"/>
      <c r="B326" s="978"/>
      <c r="C326" s="2321"/>
      <c r="D326" s="1729"/>
      <c r="E326" s="13"/>
      <c r="F326" s="2349"/>
      <c r="G326" s="13"/>
      <c r="H326" s="2349"/>
      <c r="I326" s="13"/>
      <c r="J326" s="2349"/>
      <c r="K326" s="13"/>
      <c r="L326" s="2349"/>
      <c r="M326" s="13"/>
      <c r="N326" s="2349"/>
      <c r="O326" s="13"/>
      <c r="P326" s="2349"/>
      <c r="Q326" s="1190"/>
      <c r="R326" s="1190"/>
      <c r="S326" s="1189"/>
      <c r="T326" s="1190"/>
      <c r="U326" s="1190"/>
      <c r="V326" s="1190"/>
      <c r="W326" s="1190"/>
      <c r="X326" s="1190"/>
      <c r="Y326" s="1190"/>
      <c r="Z326" s="1190"/>
      <c r="AA326" s="1190"/>
      <c r="AB326" s="1190"/>
      <c r="AC326" s="1190"/>
      <c r="AD326" s="1190"/>
      <c r="AE326" s="1190"/>
      <c r="AF326" s="1190"/>
      <c r="AG326" s="1748"/>
      <c r="AH326" s="1190"/>
      <c r="AI326" s="1748"/>
      <c r="AJ326" s="1190"/>
      <c r="AK326" s="1190"/>
      <c r="AL326" s="1190"/>
      <c r="AM326" s="1190"/>
      <c r="AN326" s="1190"/>
      <c r="AO326" s="1190"/>
      <c r="AP326" s="1190"/>
      <c r="AQ326" s="1190"/>
      <c r="AR326" s="1190"/>
      <c r="AS326" s="1190"/>
      <c r="AT326" s="1190"/>
      <c r="AU326" s="1190"/>
      <c r="AV326" s="1190"/>
      <c r="AW326" s="1190"/>
      <c r="AX326" s="1190"/>
      <c r="AY326" s="1190"/>
      <c r="AZ326" s="1190"/>
      <c r="BA326" s="1190"/>
      <c r="BB326" s="1190"/>
      <c r="BC326" s="1190"/>
      <c r="BD326" s="1190"/>
      <c r="BE326" s="1190"/>
      <c r="BF326" s="1190"/>
      <c r="BG326" s="1190"/>
      <c r="BH326" s="1190"/>
      <c r="BI326" s="1190"/>
      <c r="BJ326" s="1190"/>
      <c r="BK326" s="1190"/>
      <c r="BL326" s="1190"/>
      <c r="BM326" s="1190"/>
      <c r="BQ326" s="195"/>
      <c r="BR326" s="195"/>
      <c r="BT326" s="1005"/>
    </row>
    <row r="327" ht="15.75" customHeight="1">
      <c r="A327" s="195"/>
      <c r="B327" s="978"/>
      <c r="C327" s="2321"/>
      <c r="D327" s="1729"/>
      <c r="E327" s="13"/>
      <c r="F327" s="2349"/>
      <c r="G327" s="13"/>
      <c r="H327" s="2349"/>
      <c r="I327" s="13"/>
      <c r="J327" s="2349"/>
      <c r="K327" s="13"/>
      <c r="L327" s="2349"/>
      <c r="M327" s="13"/>
      <c r="N327" s="2349"/>
      <c r="O327" s="13"/>
      <c r="P327" s="2349"/>
      <c r="Q327" s="1190"/>
      <c r="R327" s="1190"/>
      <c r="S327" s="1189"/>
      <c r="T327" s="1190"/>
      <c r="U327" s="1190"/>
      <c r="V327" s="1190"/>
      <c r="W327" s="1190"/>
      <c r="X327" s="1190"/>
      <c r="Y327" s="1190"/>
      <c r="Z327" s="1190"/>
      <c r="AA327" s="1190"/>
      <c r="AB327" s="1190"/>
      <c r="AC327" s="1190"/>
      <c r="AD327" s="1190"/>
      <c r="AE327" s="1190"/>
      <c r="AF327" s="1190"/>
      <c r="AG327" s="1748"/>
      <c r="AH327" s="1190"/>
      <c r="AI327" s="1748"/>
      <c r="AJ327" s="1190"/>
      <c r="AK327" s="1190"/>
      <c r="AL327" s="1190"/>
      <c r="AM327" s="1190"/>
      <c r="AN327" s="1190"/>
      <c r="AO327" s="1190"/>
      <c r="AP327" s="1190"/>
      <c r="AQ327" s="1190"/>
      <c r="AR327" s="1190"/>
      <c r="AS327" s="1190"/>
      <c r="AT327" s="1190"/>
      <c r="AU327" s="1190"/>
      <c r="AV327" s="1190"/>
      <c r="AW327" s="1190"/>
      <c r="AX327" s="1190"/>
      <c r="AY327" s="1190"/>
      <c r="AZ327" s="1190"/>
      <c r="BA327" s="1190"/>
      <c r="BB327" s="1190"/>
      <c r="BC327" s="1190"/>
      <c r="BD327" s="1190"/>
      <c r="BE327" s="1190"/>
      <c r="BF327" s="1190"/>
      <c r="BG327" s="1190"/>
      <c r="BH327" s="1190"/>
      <c r="BI327" s="1190"/>
      <c r="BJ327" s="1190"/>
      <c r="BK327" s="1190"/>
      <c r="BL327" s="1190"/>
      <c r="BM327" s="1190"/>
      <c r="BQ327" s="195"/>
      <c r="BR327" s="195"/>
      <c r="BT327" s="1005"/>
    </row>
    <row r="328" ht="15.75" customHeight="1">
      <c r="A328" s="195"/>
      <c r="B328" s="978"/>
      <c r="C328" s="2321"/>
      <c r="D328" s="1729"/>
      <c r="E328" s="13"/>
      <c r="F328" s="2349"/>
      <c r="G328" s="13"/>
      <c r="H328" s="2349"/>
      <c r="I328" s="13"/>
      <c r="J328" s="2349"/>
      <c r="K328" s="13"/>
      <c r="L328" s="2349"/>
      <c r="M328" s="13"/>
      <c r="N328" s="2349"/>
      <c r="O328" s="13"/>
      <c r="P328" s="2349"/>
      <c r="Q328" s="1190"/>
      <c r="R328" s="1190"/>
      <c r="S328" s="1189"/>
      <c r="T328" s="1190"/>
      <c r="U328" s="1190"/>
      <c r="V328" s="1190"/>
      <c r="W328" s="1190"/>
      <c r="X328" s="1190"/>
      <c r="Y328" s="1190"/>
      <c r="Z328" s="1190"/>
      <c r="AA328" s="1190"/>
      <c r="AB328" s="1190"/>
      <c r="AC328" s="1190"/>
      <c r="AD328" s="1190"/>
      <c r="AE328" s="1190"/>
      <c r="AF328" s="1190"/>
      <c r="AG328" s="1748"/>
      <c r="AH328" s="1190"/>
      <c r="AI328" s="1748"/>
      <c r="AJ328" s="1190"/>
      <c r="AK328" s="1190"/>
      <c r="AL328" s="1190"/>
      <c r="AM328" s="1190"/>
      <c r="AN328" s="1190"/>
      <c r="AO328" s="1190"/>
      <c r="AP328" s="1190"/>
      <c r="AQ328" s="1190"/>
      <c r="AR328" s="1190"/>
      <c r="AS328" s="1190"/>
      <c r="AT328" s="1190"/>
      <c r="AU328" s="1190"/>
      <c r="AV328" s="1190"/>
      <c r="AW328" s="1190"/>
      <c r="AX328" s="1190"/>
      <c r="AY328" s="1190"/>
      <c r="AZ328" s="1190"/>
      <c r="BA328" s="1190"/>
      <c r="BB328" s="1190"/>
      <c r="BC328" s="1190"/>
      <c r="BD328" s="1190"/>
      <c r="BE328" s="1190"/>
      <c r="BF328" s="1190"/>
      <c r="BG328" s="1190"/>
      <c r="BH328" s="1190"/>
      <c r="BI328" s="1190"/>
      <c r="BJ328" s="1190"/>
      <c r="BK328" s="1190"/>
      <c r="BL328" s="1190"/>
      <c r="BM328" s="1190"/>
      <c r="BQ328" s="195"/>
      <c r="BR328" s="195"/>
      <c r="BT328" s="1005"/>
    </row>
    <row r="329" ht="15.75" customHeight="1">
      <c r="A329" s="195"/>
      <c r="B329" s="978"/>
      <c r="C329" s="2321"/>
      <c r="D329" s="1729"/>
      <c r="E329" s="13"/>
      <c r="F329" s="2349"/>
      <c r="G329" s="13"/>
      <c r="H329" s="2349"/>
      <c r="I329" s="13"/>
      <c r="J329" s="2349"/>
      <c r="K329" s="13"/>
      <c r="L329" s="2349"/>
      <c r="M329" s="13"/>
      <c r="N329" s="2349"/>
      <c r="O329" s="13"/>
      <c r="P329" s="2349"/>
      <c r="Q329" s="1190"/>
      <c r="R329" s="1190"/>
      <c r="S329" s="1189"/>
      <c r="T329" s="1190"/>
      <c r="U329" s="1190"/>
      <c r="V329" s="1190"/>
      <c r="W329" s="1190"/>
      <c r="X329" s="1190"/>
      <c r="Y329" s="1190"/>
      <c r="Z329" s="1190"/>
      <c r="AA329" s="1190"/>
      <c r="AB329" s="1190"/>
      <c r="AC329" s="1190"/>
      <c r="AD329" s="1190"/>
      <c r="AE329" s="1190"/>
      <c r="AF329" s="1190"/>
      <c r="AG329" s="1748"/>
      <c r="AH329" s="1190"/>
      <c r="AI329" s="1748"/>
      <c r="AJ329" s="1190"/>
      <c r="AK329" s="1190"/>
      <c r="AL329" s="1190"/>
      <c r="AM329" s="1190"/>
      <c r="AN329" s="1190"/>
      <c r="AO329" s="1190"/>
      <c r="AP329" s="1190"/>
      <c r="AQ329" s="1190"/>
      <c r="AR329" s="1190"/>
      <c r="AS329" s="1190"/>
      <c r="AT329" s="1190"/>
      <c r="AU329" s="1190"/>
      <c r="AV329" s="1190"/>
      <c r="AW329" s="1190"/>
      <c r="AX329" s="1190"/>
      <c r="AY329" s="1190"/>
      <c r="AZ329" s="1190"/>
      <c r="BA329" s="1190"/>
      <c r="BB329" s="1190"/>
      <c r="BC329" s="1190"/>
      <c r="BD329" s="1190"/>
      <c r="BE329" s="1190"/>
      <c r="BF329" s="1190"/>
      <c r="BG329" s="1190"/>
      <c r="BH329" s="1190"/>
      <c r="BI329" s="1190"/>
      <c r="BJ329" s="1190"/>
      <c r="BK329" s="1190"/>
      <c r="BL329" s="1190"/>
      <c r="BM329" s="1190"/>
      <c r="BQ329" s="195"/>
      <c r="BR329" s="195"/>
      <c r="BT329" s="1005"/>
    </row>
    <row r="330" ht="15.75" customHeight="1">
      <c r="A330" s="195"/>
      <c r="B330" s="978"/>
      <c r="C330" s="2321"/>
      <c r="D330" s="1729"/>
      <c r="E330" s="13"/>
      <c r="F330" s="2349"/>
      <c r="G330" s="13"/>
      <c r="H330" s="2349"/>
      <c r="I330" s="13"/>
      <c r="J330" s="2349"/>
      <c r="K330" s="13"/>
      <c r="L330" s="2349"/>
      <c r="M330" s="13"/>
      <c r="N330" s="2349"/>
      <c r="O330" s="13"/>
      <c r="P330" s="2349"/>
      <c r="Q330" s="1190"/>
      <c r="R330" s="1190"/>
      <c r="S330" s="1189"/>
      <c r="T330" s="1190"/>
      <c r="U330" s="1190"/>
      <c r="V330" s="1190"/>
      <c r="W330" s="1190"/>
      <c r="X330" s="1190"/>
      <c r="Y330" s="1190"/>
      <c r="Z330" s="1190"/>
      <c r="AA330" s="1190"/>
      <c r="AB330" s="1190"/>
      <c r="AC330" s="1190"/>
      <c r="AD330" s="1190"/>
      <c r="AE330" s="1190"/>
      <c r="AF330" s="1190"/>
      <c r="AG330" s="1748"/>
      <c r="AH330" s="1190"/>
      <c r="AI330" s="1748"/>
      <c r="AJ330" s="1190"/>
      <c r="AK330" s="1190"/>
      <c r="AL330" s="1190"/>
      <c r="AM330" s="1190"/>
      <c r="AN330" s="1190"/>
      <c r="AO330" s="1190"/>
      <c r="AP330" s="1190"/>
      <c r="AQ330" s="1190"/>
      <c r="AR330" s="1190"/>
      <c r="AS330" s="1190"/>
      <c r="AT330" s="1190"/>
      <c r="AU330" s="1190"/>
      <c r="AV330" s="1190"/>
      <c r="AW330" s="1190"/>
      <c r="AX330" s="1190"/>
      <c r="AY330" s="1190"/>
      <c r="AZ330" s="1190"/>
      <c r="BA330" s="1190"/>
      <c r="BB330" s="1190"/>
      <c r="BC330" s="1190"/>
      <c r="BD330" s="1190"/>
      <c r="BE330" s="1190"/>
      <c r="BF330" s="1190"/>
      <c r="BG330" s="1190"/>
      <c r="BH330" s="1190"/>
      <c r="BI330" s="1190"/>
      <c r="BJ330" s="1190"/>
      <c r="BK330" s="1190"/>
      <c r="BL330" s="1190"/>
      <c r="BM330" s="1190"/>
      <c r="BQ330" s="195"/>
      <c r="BR330" s="195"/>
      <c r="BT330" s="1005"/>
    </row>
    <row r="331" ht="15.75" customHeight="1">
      <c r="A331" s="195"/>
      <c r="B331" s="978"/>
      <c r="C331" s="2321"/>
      <c r="D331" s="1729"/>
      <c r="E331" s="13"/>
      <c r="F331" s="2349"/>
      <c r="G331" s="13"/>
      <c r="H331" s="2349"/>
      <c r="I331" s="13"/>
      <c r="J331" s="2349"/>
      <c r="K331" s="13"/>
      <c r="L331" s="2349"/>
      <c r="M331" s="13"/>
      <c r="N331" s="2349"/>
      <c r="O331" s="13"/>
      <c r="P331" s="2349"/>
      <c r="Q331" s="1190"/>
      <c r="R331" s="1190"/>
      <c r="S331" s="1189"/>
      <c r="T331" s="1190"/>
      <c r="U331" s="1190"/>
      <c r="V331" s="1190"/>
      <c r="W331" s="1190"/>
      <c r="X331" s="1190"/>
      <c r="Y331" s="1190"/>
      <c r="Z331" s="1190"/>
      <c r="AA331" s="1190"/>
      <c r="AB331" s="1190"/>
      <c r="AC331" s="1190"/>
      <c r="AD331" s="1190"/>
      <c r="AE331" s="1190"/>
      <c r="AF331" s="1190"/>
      <c r="AG331" s="1748"/>
      <c r="AH331" s="1190"/>
      <c r="AI331" s="1748"/>
      <c r="AJ331" s="1190"/>
      <c r="AK331" s="1190"/>
      <c r="AL331" s="1190"/>
      <c r="AM331" s="1190"/>
      <c r="AN331" s="1190"/>
      <c r="AO331" s="1190"/>
      <c r="AP331" s="1190"/>
      <c r="AQ331" s="1190"/>
      <c r="AR331" s="1190"/>
      <c r="AS331" s="1190"/>
      <c r="AT331" s="1190"/>
      <c r="AU331" s="1190"/>
      <c r="AV331" s="1190"/>
      <c r="AW331" s="1190"/>
      <c r="AX331" s="1190"/>
      <c r="AY331" s="1190"/>
      <c r="AZ331" s="1190"/>
      <c r="BA331" s="1190"/>
      <c r="BB331" s="1190"/>
      <c r="BC331" s="1190"/>
      <c r="BD331" s="1190"/>
      <c r="BE331" s="1190"/>
      <c r="BF331" s="1190"/>
      <c r="BG331" s="1190"/>
      <c r="BH331" s="1190"/>
      <c r="BI331" s="1190"/>
      <c r="BJ331" s="1190"/>
      <c r="BK331" s="1190"/>
      <c r="BL331" s="1190"/>
      <c r="BM331" s="1190"/>
      <c r="BQ331" s="195"/>
      <c r="BR331" s="195"/>
      <c r="BT331" s="1005"/>
    </row>
    <row r="332" ht="15.75" customHeight="1">
      <c r="A332" s="195"/>
      <c r="B332" s="978"/>
      <c r="C332" s="2321"/>
      <c r="D332" s="1729"/>
      <c r="E332" s="13"/>
      <c r="F332" s="2349"/>
      <c r="G332" s="13"/>
      <c r="H332" s="2349"/>
      <c r="I332" s="13"/>
      <c r="J332" s="2349"/>
      <c r="K332" s="13"/>
      <c r="L332" s="2349"/>
      <c r="M332" s="13"/>
      <c r="N332" s="2349"/>
      <c r="O332" s="13"/>
      <c r="P332" s="2349"/>
      <c r="Q332" s="1190"/>
      <c r="R332" s="1190"/>
      <c r="S332" s="1189"/>
      <c r="T332" s="1190"/>
      <c r="U332" s="1190"/>
      <c r="V332" s="1190"/>
      <c r="W332" s="1190"/>
      <c r="X332" s="1190"/>
      <c r="Y332" s="1190"/>
      <c r="Z332" s="1190"/>
      <c r="AA332" s="1190"/>
      <c r="AB332" s="1190"/>
      <c r="AC332" s="1190"/>
      <c r="AD332" s="1190"/>
      <c r="AE332" s="1190"/>
      <c r="AF332" s="1190"/>
      <c r="AG332" s="1748"/>
      <c r="AH332" s="1190"/>
      <c r="AI332" s="1748"/>
      <c r="AJ332" s="1190"/>
      <c r="AK332" s="1190"/>
      <c r="AL332" s="1190"/>
      <c r="AM332" s="1190"/>
      <c r="AN332" s="1190"/>
      <c r="AO332" s="1190"/>
      <c r="AP332" s="1190"/>
      <c r="AQ332" s="1190"/>
      <c r="AR332" s="1190"/>
      <c r="AS332" s="1190"/>
      <c r="AT332" s="1190"/>
      <c r="AU332" s="1190"/>
      <c r="AV332" s="1190"/>
      <c r="AW332" s="1190"/>
      <c r="AX332" s="1190"/>
      <c r="AY332" s="1190"/>
      <c r="AZ332" s="1190"/>
      <c r="BA332" s="1190"/>
      <c r="BB332" s="1190"/>
      <c r="BC332" s="1190"/>
      <c r="BD332" s="1190"/>
      <c r="BE332" s="1190"/>
      <c r="BF332" s="1190"/>
      <c r="BG332" s="1190"/>
      <c r="BH332" s="1190"/>
      <c r="BI332" s="1190"/>
      <c r="BJ332" s="1190"/>
      <c r="BK332" s="1190"/>
      <c r="BL332" s="1190"/>
      <c r="BM332" s="1190"/>
      <c r="BQ332" s="195"/>
      <c r="BR332" s="195"/>
      <c r="BT332" s="1005"/>
    </row>
    <row r="333" ht="15.75" customHeight="1">
      <c r="A333" s="195"/>
      <c r="B333" s="978"/>
      <c r="C333" s="2321"/>
      <c r="D333" s="1729"/>
      <c r="E333" s="13"/>
      <c r="F333" s="2349"/>
      <c r="G333" s="13"/>
      <c r="H333" s="2349"/>
      <c r="I333" s="13"/>
      <c r="J333" s="2349"/>
      <c r="K333" s="13"/>
      <c r="L333" s="2349"/>
      <c r="M333" s="13"/>
      <c r="N333" s="2349"/>
      <c r="O333" s="13"/>
      <c r="P333" s="2349"/>
      <c r="Q333" s="1190"/>
      <c r="R333" s="1190"/>
      <c r="S333" s="1189"/>
      <c r="T333" s="1190"/>
      <c r="U333" s="1190"/>
      <c r="V333" s="1190"/>
      <c r="W333" s="1190"/>
      <c r="X333" s="1190"/>
      <c r="Y333" s="1190"/>
      <c r="Z333" s="1190"/>
      <c r="AA333" s="1190"/>
      <c r="AB333" s="1190"/>
      <c r="AC333" s="1190"/>
      <c r="AD333" s="1190"/>
      <c r="AE333" s="1190"/>
      <c r="AF333" s="1190"/>
      <c r="AG333" s="1748"/>
      <c r="AH333" s="1190"/>
      <c r="AI333" s="1748"/>
      <c r="AJ333" s="1190"/>
      <c r="AK333" s="1190"/>
      <c r="AL333" s="1190"/>
      <c r="AM333" s="1190"/>
      <c r="AN333" s="1190"/>
      <c r="AO333" s="1190"/>
      <c r="AP333" s="1190"/>
      <c r="AQ333" s="1190"/>
      <c r="AR333" s="1190"/>
      <c r="AS333" s="1190"/>
      <c r="AT333" s="1190"/>
      <c r="AU333" s="1190"/>
      <c r="AV333" s="1190"/>
      <c r="AW333" s="1190"/>
      <c r="AX333" s="1190"/>
      <c r="AY333" s="1190"/>
      <c r="AZ333" s="1190"/>
      <c r="BA333" s="1190"/>
      <c r="BB333" s="1190"/>
      <c r="BC333" s="1190"/>
      <c r="BD333" s="1190"/>
      <c r="BE333" s="1190"/>
      <c r="BF333" s="1190"/>
      <c r="BG333" s="1190"/>
      <c r="BH333" s="1190"/>
      <c r="BI333" s="1190"/>
      <c r="BJ333" s="1190"/>
      <c r="BK333" s="1190"/>
      <c r="BL333" s="1190"/>
      <c r="BM333" s="1190"/>
      <c r="BQ333" s="195"/>
      <c r="BR333" s="195"/>
      <c r="BT333" s="1005"/>
    </row>
    <row r="334" ht="15.75" customHeight="1">
      <c r="A334" s="195"/>
      <c r="B334" s="978"/>
      <c r="C334" s="2321"/>
      <c r="D334" s="1729"/>
      <c r="E334" s="13"/>
      <c r="F334" s="2349"/>
      <c r="G334" s="13"/>
      <c r="H334" s="2349"/>
      <c r="I334" s="13"/>
      <c r="J334" s="2349"/>
      <c r="K334" s="13"/>
      <c r="L334" s="2349"/>
      <c r="M334" s="13"/>
      <c r="N334" s="2349"/>
      <c r="O334" s="13"/>
      <c r="P334" s="2349"/>
      <c r="Q334" s="1190"/>
      <c r="R334" s="1190"/>
      <c r="S334" s="1189"/>
      <c r="T334" s="1190"/>
      <c r="U334" s="1190"/>
      <c r="V334" s="1190"/>
      <c r="W334" s="1190"/>
      <c r="X334" s="1190"/>
      <c r="Y334" s="1190"/>
      <c r="Z334" s="1190"/>
      <c r="AA334" s="1190"/>
      <c r="AB334" s="1190"/>
      <c r="AC334" s="1190"/>
      <c r="AD334" s="1190"/>
      <c r="AE334" s="1190"/>
      <c r="AF334" s="1190"/>
      <c r="AG334" s="1748"/>
      <c r="AH334" s="1190"/>
      <c r="AI334" s="1748"/>
      <c r="AJ334" s="1190"/>
      <c r="AK334" s="1190"/>
      <c r="AL334" s="1190"/>
      <c r="AM334" s="1190"/>
      <c r="AN334" s="1190"/>
      <c r="AO334" s="1190"/>
      <c r="AP334" s="1190"/>
      <c r="AQ334" s="1190"/>
      <c r="AR334" s="1190"/>
      <c r="AS334" s="1190"/>
      <c r="AT334" s="1190"/>
      <c r="AU334" s="1190"/>
      <c r="AV334" s="1190"/>
      <c r="AW334" s="1190"/>
      <c r="AX334" s="1190"/>
      <c r="AY334" s="1190"/>
      <c r="AZ334" s="1190"/>
      <c r="BA334" s="1190"/>
      <c r="BB334" s="1190"/>
      <c r="BC334" s="1190"/>
      <c r="BD334" s="1190"/>
      <c r="BE334" s="1190"/>
      <c r="BF334" s="1190"/>
      <c r="BG334" s="1190"/>
      <c r="BH334" s="1190"/>
      <c r="BI334" s="1190"/>
      <c r="BJ334" s="1190"/>
      <c r="BK334" s="1190"/>
      <c r="BL334" s="1190"/>
      <c r="BM334" s="1190"/>
      <c r="BQ334" s="195"/>
      <c r="BR334" s="195"/>
      <c r="BT334" s="1005"/>
    </row>
    <row r="335" ht="15.75" customHeight="1">
      <c r="A335" s="195"/>
      <c r="B335" s="978"/>
      <c r="C335" s="2321"/>
      <c r="D335" s="1729"/>
      <c r="E335" s="13"/>
      <c r="F335" s="2349"/>
      <c r="G335" s="13"/>
      <c r="H335" s="2349"/>
      <c r="I335" s="13"/>
      <c r="J335" s="2349"/>
      <c r="K335" s="13"/>
      <c r="L335" s="2349"/>
      <c r="M335" s="13"/>
      <c r="N335" s="2349"/>
      <c r="O335" s="13"/>
      <c r="P335" s="2349"/>
      <c r="Q335" s="1190"/>
      <c r="R335" s="1190"/>
      <c r="S335" s="1189"/>
      <c r="T335" s="1190"/>
      <c r="U335" s="1190"/>
      <c r="V335" s="1190"/>
      <c r="W335" s="1190"/>
      <c r="X335" s="1190"/>
      <c r="Y335" s="1190"/>
      <c r="Z335" s="1190"/>
      <c r="AA335" s="1190"/>
      <c r="AB335" s="1190"/>
      <c r="AC335" s="1190"/>
      <c r="AD335" s="1190"/>
      <c r="AE335" s="1190"/>
      <c r="AF335" s="1190"/>
      <c r="AG335" s="1748"/>
      <c r="AH335" s="1190"/>
      <c r="AI335" s="1748"/>
      <c r="AJ335" s="1190"/>
      <c r="AK335" s="1190"/>
      <c r="AL335" s="1190"/>
      <c r="AM335" s="1190"/>
      <c r="AN335" s="1190"/>
      <c r="AO335" s="1190"/>
      <c r="AP335" s="1190"/>
      <c r="AQ335" s="1190"/>
      <c r="AR335" s="1190"/>
      <c r="AS335" s="1190"/>
      <c r="AT335" s="1190"/>
      <c r="AU335" s="1190"/>
      <c r="AV335" s="1190"/>
      <c r="AW335" s="1190"/>
      <c r="AX335" s="1190"/>
      <c r="AY335" s="1190"/>
      <c r="AZ335" s="1190"/>
      <c r="BA335" s="1190"/>
      <c r="BB335" s="1190"/>
      <c r="BC335" s="1190"/>
      <c r="BD335" s="1190"/>
      <c r="BE335" s="1190"/>
      <c r="BF335" s="1190"/>
      <c r="BG335" s="1190"/>
      <c r="BH335" s="1190"/>
      <c r="BI335" s="1190"/>
      <c r="BJ335" s="1190"/>
      <c r="BK335" s="1190"/>
      <c r="BL335" s="1190"/>
      <c r="BM335" s="1190"/>
      <c r="BQ335" s="195"/>
      <c r="BR335" s="195"/>
      <c r="BT335" s="1005"/>
    </row>
    <row r="336" ht="15.75" customHeight="1">
      <c r="A336" s="195"/>
      <c r="B336" s="978"/>
      <c r="C336" s="2321"/>
      <c r="D336" s="1729"/>
      <c r="E336" s="13"/>
      <c r="F336" s="2349"/>
      <c r="G336" s="13"/>
      <c r="H336" s="2349"/>
      <c r="I336" s="13"/>
      <c r="J336" s="2349"/>
      <c r="K336" s="13"/>
      <c r="L336" s="2349"/>
      <c r="M336" s="13"/>
      <c r="N336" s="2349"/>
      <c r="O336" s="13"/>
      <c r="P336" s="2349"/>
      <c r="Q336" s="1190"/>
      <c r="R336" s="1190"/>
      <c r="S336" s="1189"/>
      <c r="T336" s="1190"/>
      <c r="U336" s="1190"/>
      <c r="V336" s="1190"/>
      <c r="W336" s="1190"/>
      <c r="X336" s="1190"/>
      <c r="Y336" s="1190"/>
      <c r="Z336" s="1190"/>
      <c r="AA336" s="1190"/>
      <c r="AB336" s="1190"/>
      <c r="AC336" s="1190"/>
      <c r="AD336" s="1190"/>
      <c r="AE336" s="1190"/>
      <c r="AF336" s="1190"/>
      <c r="AG336" s="1748"/>
      <c r="AH336" s="1190"/>
      <c r="AI336" s="1748"/>
      <c r="AJ336" s="1190"/>
      <c r="AK336" s="1190"/>
      <c r="AL336" s="1190"/>
      <c r="AM336" s="1190"/>
      <c r="AN336" s="1190"/>
      <c r="AO336" s="1190"/>
      <c r="AP336" s="1190"/>
      <c r="AQ336" s="1190"/>
      <c r="AR336" s="1190"/>
      <c r="AS336" s="1190"/>
      <c r="AT336" s="1190"/>
      <c r="AU336" s="1190"/>
      <c r="AV336" s="1190"/>
      <c r="AW336" s="1190"/>
      <c r="AX336" s="1190"/>
      <c r="AY336" s="1190"/>
      <c r="AZ336" s="1190"/>
      <c r="BA336" s="1190"/>
      <c r="BB336" s="1190"/>
      <c r="BC336" s="1190"/>
      <c r="BD336" s="1190"/>
      <c r="BE336" s="1190"/>
      <c r="BF336" s="1190"/>
      <c r="BG336" s="1190"/>
      <c r="BH336" s="1190"/>
      <c r="BI336" s="1190"/>
      <c r="BJ336" s="1190"/>
      <c r="BK336" s="1190"/>
      <c r="BL336" s="1190"/>
      <c r="BM336" s="1190"/>
      <c r="BQ336" s="195"/>
      <c r="BR336" s="195"/>
      <c r="BT336" s="1005"/>
    </row>
    <row r="337" ht="15.75" customHeight="1">
      <c r="A337" s="195"/>
      <c r="B337" s="978"/>
      <c r="C337" s="2321"/>
      <c r="D337" s="1729"/>
      <c r="E337" s="13"/>
      <c r="F337" s="2349"/>
      <c r="G337" s="13"/>
      <c r="H337" s="2349"/>
      <c r="I337" s="13"/>
      <c r="J337" s="2349"/>
      <c r="K337" s="13"/>
      <c r="L337" s="2349"/>
      <c r="M337" s="13"/>
      <c r="N337" s="2349"/>
      <c r="O337" s="13"/>
      <c r="P337" s="2349"/>
      <c r="Q337" s="1190"/>
      <c r="R337" s="1190"/>
      <c r="S337" s="1189"/>
      <c r="T337" s="1190"/>
      <c r="U337" s="1190"/>
      <c r="V337" s="1190"/>
      <c r="W337" s="1190"/>
      <c r="X337" s="1190"/>
      <c r="Y337" s="1190"/>
      <c r="Z337" s="1190"/>
      <c r="AA337" s="1190"/>
      <c r="AB337" s="1190"/>
      <c r="AC337" s="1190"/>
      <c r="AD337" s="1190"/>
      <c r="AE337" s="1190"/>
      <c r="AF337" s="1190"/>
      <c r="AG337" s="1748"/>
      <c r="AH337" s="1190"/>
      <c r="AI337" s="1748"/>
      <c r="AJ337" s="1190"/>
      <c r="AK337" s="1190"/>
      <c r="AL337" s="1190"/>
      <c r="AM337" s="1190"/>
      <c r="AN337" s="1190"/>
      <c r="AO337" s="1190"/>
      <c r="AP337" s="1190"/>
      <c r="AQ337" s="1190"/>
      <c r="AR337" s="1190"/>
      <c r="AS337" s="1190"/>
      <c r="AT337" s="1190"/>
      <c r="AU337" s="1190"/>
      <c r="AV337" s="1190"/>
      <c r="AW337" s="1190"/>
      <c r="AX337" s="1190"/>
      <c r="AY337" s="1190"/>
      <c r="AZ337" s="1190"/>
      <c r="BA337" s="1190"/>
      <c r="BB337" s="1190"/>
      <c r="BC337" s="1190"/>
      <c r="BD337" s="1190"/>
      <c r="BE337" s="1190"/>
      <c r="BF337" s="1190"/>
      <c r="BG337" s="1190"/>
      <c r="BH337" s="1190"/>
      <c r="BI337" s="1190"/>
      <c r="BJ337" s="1190"/>
      <c r="BK337" s="1190"/>
      <c r="BL337" s="1190"/>
      <c r="BM337" s="1190"/>
      <c r="BQ337" s="195"/>
      <c r="BR337" s="195"/>
      <c r="BT337" s="1005"/>
    </row>
    <row r="338" ht="15.75" customHeight="1">
      <c r="A338" s="195"/>
      <c r="B338" s="978"/>
      <c r="C338" s="2321"/>
      <c r="D338" s="1729"/>
      <c r="E338" s="13"/>
      <c r="F338" s="2349"/>
      <c r="G338" s="13"/>
      <c r="H338" s="2349"/>
      <c r="I338" s="13"/>
      <c r="J338" s="2349"/>
      <c r="K338" s="13"/>
      <c r="L338" s="2349"/>
      <c r="M338" s="13"/>
      <c r="N338" s="2349"/>
      <c r="O338" s="13"/>
      <c r="P338" s="2349"/>
      <c r="Q338" s="1190"/>
      <c r="R338" s="1190"/>
      <c r="S338" s="1189"/>
      <c r="T338" s="1190"/>
      <c r="U338" s="1190"/>
      <c r="V338" s="1190"/>
      <c r="W338" s="1190"/>
      <c r="X338" s="1190"/>
      <c r="Y338" s="1190"/>
      <c r="Z338" s="1190"/>
      <c r="AA338" s="1190"/>
      <c r="AB338" s="1190"/>
      <c r="AC338" s="1190"/>
      <c r="AD338" s="1190"/>
      <c r="AE338" s="1190"/>
      <c r="AF338" s="1190"/>
      <c r="AG338" s="1748"/>
      <c r="AH338" s="1190"/>
      <c r="AI338" s="1748"/>
      <c r="AJ338" s="1190"/>
      <c r="AK338" s="1190"/>
      <c r="AL338" s="1190"/>
      <c r="AM338" s="1190"/>
      <c r="AN338" s="1190"/>
      <c r="AO338" s="1190"/>
      <c r="AP338" s="1190"/>
      <c r="AQ338" s="1190"/>
      <c r="AR338" s="1190"/>
      <c r="AS338" s="1190"/>
      <c r="AT338" s="1190"/>
      <c r="AU338" s="1190"/>
      <c r="AV338" s="1190"/>
      <c r="AW338" s="1190"/>
      <c r="AX338" s="1190"/>
      <c r="AY338" s="1190"/>
      <c r="AZ338" s="1190"/>
      <c r="BA338" s="1190"/>
      <c r="BB338" s="1190"/>
      <c r="BC338" s="1190"/>
      <c r="BD338" s="1190"/>
      <c r="BE338" s="1190"/>
      <c r="BF338" s="1190"/>
      <c r="BG338" s="1190"/>
      <c r="BH338" s="1190"/>
      <c r="BI338" s="1190"/>
      <c r="BJ338" s="1190"/>
      <c r="BK338" s="1190"/>
      <c r="BL338" s="1190"/>
      <c r="BM338" s="1190"/>
      <c r="BQ338" s="195"/>
      <c r="BR338" s="195"/>
      <c r="BT338" s="1005"/>
    </row>
    <row r="339" ht="15.75" customHeight="1">
      <c r="A339" s="195"/>
      <c r="B339" s="978"/>
      <c r="C339" s="2321"/>
      <c r="D339" s="1729"/>
      <c r="E339" s="13"/>
      <c r="F339" s="2349"/>
      <c r="G339" s="13"/>
      <c r="H339" s="2349"/>
      <c r="I339" s="13"/>
      <c r="J339" s="2349"/>
      <c r="K339" s="13"/>
      <c r="L339" s="2349"/>
      <c r="M339" s="13"/>
      <c r="N339" s="2349"/>
      <c r="O339" s="13"/>
      <c r="P339" s="2349"/>
      <c r="Q339" s="1190"/>
      <c r="R339" s="1190"/>
      <c r="S339" s="1189"/>
      <c r="T339" s="1190"/>
      <c r="U339" s="1190"/>
      <c r="V339" s="1190"/>
      <c r="W339" s="1190"/>
      <c r="X339" s="1190"/>
      <c r="Y339" s="1190"/>
      <c r="Z339" s="1190"/>
      <c r="AA339" s="1190"/>
      <c r="AB339" s="1190"/>
      <c r="AC339" s="1190"/>
      <c r="AD339" s="1190"/>
      <c r="AE339" s="1190"/>
      <c r="AF339" s="1190"/>
      <c r="AG339" s="1748"/>
      <c r="AH339" s="1190"/>
      <c r="AI339" s="1748"/>
      <c r="AJ339" s="1190"/>
      <c r="AK339" s="1190"/>
      <c r="AL339" s="1190"/>
      <c r="AM339" s="1190"/>
      <c r="AN339" s="1190"/>
      <c r="AO339" s="1190"/>
      <c r="AP339" s="1190"/>
      <c r="AQ339" s="1190"/>
      <c r="AR339" s="1190"/>
      <c r="AS339" s="1190"/>
      <c r="AT339" s="1190"/>
      <c r="AU339" s="1190"/>
      <c r="AV339" s="1190"/>
      <c r="AW339" s="1190"/>
      <c r="AX339" s="1190"/>
      <c r="AY339" s="1190"/>
      <c r="AZ339" s="1190"/>
      <c r="BA339" s="1190"/>
      <c r="BB339" s="1190"/>
      <c r="BC339" s="1190"/>
      <c r="BD339" s="1190"/>
      <c r="BE339" s="1190"/>
      <c r="BF339" s="1190"/>
      <c r="BG339" s="1190"/>
      <c r="BH339" s="1190"/>
      <c r="BI339" s="1190"/>
      <c r="BJ339" s="1190"/>
      <c r="BK339" s="1190"/>
      <c r="BL339" s="1190"/>
      <c r="BM339" s="1190"/>
      <c r="BQ339" s="195"/>
      <c r="BR339" s="195"/>
      <c r="BT339" s="1005"/>
    </row>
    <row r="340" ht="15.75" customHeight="1">
      <c r="A340" s="195"/>
      <c r="B340" s="978"/>
      <c r="C340" s="2321"/>
      <c r="D340" s="1729"/>
      <c r="E340" s="13"/>
      <c r="F340" s="2349"/>
      <c r="G340" s="13"/>
      <c r="H340" s="2349"/>
      <c r="I340" s="13"/>
      <c r="J340" s="2349"/>
      <c r="K340" s="13"/>
      <c r="L340" s="2349"/>
      <c r="M340" s="13"/>
      <c r="N340" s="2349"/>
      <c r="O340" s="13"/>
      <c r="P340" s="2349"/>
      <c r="Q340" s="1190"/>
      <c r="R340" s="1190"/>
      <c r="S340" s="1189"/>
      <c r="T340" s="1190"/>
      <c r="U340" s="1190"/>
      <c r="V340" s="1190"/>
      <c r="W340" s="1190"/>
      <c r="X340" s="1190"/>
      <c r="Y340" s="1190"/>
      <c r="Z340" s="1190"/>
      <c r="AA340" s="1190"/>
      <c r="AB340" s="1190"/>
      <c r="AC340" s="1190"/>
      <c r="AD340" s="1190"/>
      <c r="AE340" s="1190"/>
      <c r="AF340" s="1190"/>
      <c r="AG340" s="1748"/>
      <c r="AH340" s="1190"/>
      <c r="AI340" s="1748"/>
      <c r="AJ340" s="1190"/>
      <c r="AK340" s="1190"/>
      <c r="AL340" s="1190"/>
      <c r="AM340" s="1190"/>
      <c r="AN340" s="1190"/>
      <c r="AO340" s="1190"/>
      <c r="AP340" s="1190"/>
      <c r="AQ340" s="1190"/>
      <c r="AR340" s="1190"/>
      <c r="AS340" s="1190"/>
      <c r="AT340" s="1190"/>
      <c r="AU340" s="1190"/>
      <c r="AV340" s="1190"/>
      <c r="AW340" s="1190"/>
      <c r="AX340" s="1190"/>
      <c r="AY340" s="1190"/>
      <c r="AZ340" s="1190"/>
      <c r="BA340" s="1190"/>
      <c r="BB340" s="1190"/>
      <c r="BC340" s="1190"/>
      <c r="BD340" s="1190"/>
      <c r="BE340" s="1190"/>
      <c r="BF340" s="1190"/>
      <c r="BG340" s="1190"/>
      <c r="BH340" s="1190"/>
      <c r="BI340" s="1190"/>
      <c r="BJ340" s="1190"/>
      <c r="BK340" s="1190"/>
      <c r="BL340" s="1190"/>
      <c r="BM340" s="1190"/>
      <c r="BQ340" s="195"/>
      <c r="BR340" s="195"/>
      <c r="BT340" s="1005"/>
    </row>
    <row r="341" ht="15.75" customHeight="1">
      <c r="A341" s="195"/>
      <c r="B341" s="978"/>
      <c r="C341" s="2321"/>
      <c r="D341" s="1729"/>
      <c r="E341" s="13"/>
      <c r="F341" s="2349"/>
      <c r="G341" s="13"/>
      <c r="H341" s="2349"/>
      <c r="I341" s="13"/>
      <c r="J341" s="2349"/>
      <c r="K341" s="13"/>
      <c r="L341" s="2349"/>
      <c r="M341" s="13"/>
      <c r="N341" s="2349"/>
      <c r="O341" s="13"/>
      <c r="P341" s="2349"/>
      <c r="Q341" s="1190"/>
      <c r="R341" s="1190"/>
      <c r="S341" s="1189"/>
      <c r="T341" s="1190"/>
      <c r="U341" s="1190"/>
      <c r="V341" s="1190"/>
      <c r="W341" s="1190"/>
      <c r="X341" s="1190"/>
      <c r="Y341" s="1190"/>
      <c r="Z341" s="1190"/>
      <c r="AA341" s="1190"/>
      <c r="AB341" s="1190"/>
      <c r="AC341" s="1190"/>
      <c r="AD341" s="1190"/>
      <c r="AE341" s="1190"/>
      <c r="AF341" s="1190"/>
      <c r="AG341" s="1748"/>
      <c r="AH341" s="1190"/>
      <c r="AI341" s="1748"/>
      <c r="AJ341" s="1190"/>
      <c r="AK341" s="1190"/>
      <c r="AL341" s="1190"/>
      <c r="AM341" s="1190"/>
      <c r="AN341" s="1190"/>
      <c r="AO341" s="1190"/>
      <c r="AP341" s="1190"/>
      <c r="AQ341" s="1190"/>
      <c r="AR341" s="1190"/>
      <c r="AS341" s="1190"/>
      <c r="AT341" s="1190"/>
      <c r="AU341" s="1190"/>
      <c r="AV341" s="1190"/>
      <c r="AW341" s="1190"/>
      <c r="AX341" s="1190"/>
      <c r="AY341" s="1190"/>
      <c r="AZ341" s="1190"/>
      <c r="BA341" s="1190"/>
      <c r="BB341" s="1190"/>
      <c r="BC341" s="1190"/>
      <c r="BD341" s="1190"/>
      <c r="BE341" s="1190"/>
      <c r="BF341" s="1190"/>
      <c r="BG341" s="1190"/>
      <c r="BH341" s="1190"/>
      <c r="BI341" s="1190"/>
      <c r="BJ341" s="1190"/>
      <c r="BK341" s="1190"/>
      <c r="BL341" s="1190"/>
      <c r="BM341" s="1190"/>
      <c r="BQ341" s="195"/>
      <c r="BR341" s="195"/>
      <c r="BT341" s="1005"/>
    </row>
    <row r="342" ht="15.75" customHeight="1">
      <c r="A342" s="195"/>
      <c r="B342" s="978"/>
      <c r="C342" s="2321"/>
      <c r="D342" s="1729"/>
      <c r="E342" s="13"/>
      <c r="F342" s="2349"/>
      <c r="G342" s="13"/>
      <c r="H342" s="2349"/>
      <c r="I342" s="13"/>
      <c r="J342" s="2349"/>
      <c r="K342" s="13"/>
      <c r="L342" s="2349"/>
      <c r="M342" s="13"/>
      <c r="N342" s="2349"/>
      <c r="O342" s="13"/>
      <c r="P342" s="2349"/>
      <c r="Q342" s="1190"/>
      <c r="R342" s="1190"/>
      <c r="S342" s="1189"/>
      <c r="T342" s="1190"/>
      <c r="U342" s="1190"/>
      <c r="V342" s="1190"/>
      <c r="W342" s="1190"/>
      <c r="X342" s="1190"/>
      <c r="Y342" s="1190"/>
      <c r="Z342" s="1190"/>
      <c r="AA342" s="1190"/>
      <c r="AB342" s="1190"/>
      <c r="AC342" s="1190"/>
      <c r="AD342" s="1190"/>
      <c r="AE342" s="1190"/>
      <c r="AF342" s="1190"/>
      <c r="AG342" s="1748"/>
      <c r="AH342" s="1190"/>
      <c r="AI342" s="1748"/>
      <c r="AJ342" s="1190"/>
      <c r="AK342" s="1190"/>
      <c r="AL342" s="1190"/>
      <c r="AM342" s="1190"/>
      <c r="AN342" s="1190"/>
      <c r="AO342" s="1190"/>
      <c r="AP342" s="1190"/>
      <c r="AQ342" s="1190"/>
      <c r="AR342" s="1190"/>
      <c r="AS342" s="1190"/>
      <c r="AT342" s="1190"/>
      <c r="AU342" s="1190"/>
      <c r="AV342" s="1190"/>
      <c r="AW342" s="1190"/>
      <c r="AX342" s="1190"/>
      <c r="AY342" s="1190"/>
      <c r="AZ342" s="1190"/>
      <c r="BA342" s="1190"/>
      <c r="BB342" s="1190"/>
      <c r="BC342" s="1190"/>
      <c r="BD342" s="1190"/>
      <c r="BE342" s="1190"/>
      <c r="BF342" s="1190"/>
      <c r="BG342" s="1190"/>
      <c r="BH342" s="1190"/>
      <c r="BI342" s="1190"/>
      <c r="BJ342" s="1190"/>
      <c r="BK342" s="1190"/>
      <c r="BL342" s="1190"/>
      <c r="BM342" s="1190"/>
      <c r="BQ342" s="195"/>
      <c r="BR342" s="195"/>
      <c r="BT342" s="1005"/>
    </row>
    <row r="343" ht="15.75" customHeight="1">
      <c r="A343" s="195"/>
      <c r="B343" s="978"/>
      <c r="C343" s="2321"/>
      <c r="D343" s="1729"/>
      <c r="E343" s="13"/>
      <c r="F343" s="2349"/>
      <c r="G343" s="13"/>
      <c r="H343" s="2349"/>
      <c r="I343" s="13"/>
      <c r="J343" s="2349"/>
      <c r="K343" s="13"/>
      <c r="L343" s="2349"/>
      <c r="M343" s="13"/>
      <c r="N343" s="2349"/>
      <c r="O343" s="13"/>
      <c r="P343" s="2349"/>
      <c r="Q343" s="1190"/>
      <c r="R343" s="1190"/>
      <c r="S343" s="1189"/>
      <c r="T343" s="1190"/>
      <c r="U343" s="1190"/>
      <c r="V343" s="1190"/>
      <c r="W343" s="1190"/>
      <c r="X343" s="1190"/>
      <c r="Y343" s="1190"/>
      <c r="Z343" s="1190"/>
      <c r="AA343" s="1190"/>
      <c r="AB343" s="1190"/>
      <c r="AC343" s="1190"/>
      <c r="AD343" s="1190"/>
      <c r="AE343" s="1190"/>
      <c r="AF343" s="1190"/>
      <c r="AG343" s="1748"/>
      <c r="AH343" s="1190"/>
      <c r="AI343" s="1748"/>
      <c r="AJ343" s="1190"/>
      <c r="AK343" s="1190"/>
      <c r="AL343" s="1190"/>
      <c r="AM343" s="1190"/>
      <c r="AN343" s="1190"/>
      <c r="AO343" s="1190"/>
      <c r="AP343" s="1190"/>
      <c r="AQ343" s="1190"/>
      <c r="AR343" s="1190"/>
      <c r="AS343" s="1190"/>
      <c r="AT343" s="1190"/>
      <c r="AU343" s="1190"/>
      <c r="AV343" s="1190"/>
      <c r="AW343" s="1190"/>
      <c r="AX343" s="1190"/>
      <c r="AY343" s="1190"/>
      <c r="AZ343" s="1190"/>
      <c r="BA343" s="1190"/>
      <c r="BB343" s="1190"/>
      <c r="BC343" s="1190"/>
      <c r="BD343" s="1190"/>
      <c r="BE343" s="1190"/>
      <c r="BF343" s="1190"/>
      <c r="BG343" s="1190"/>
      <c r="BH343" s="1190"/>
      <c r="BI343" s="1190"/>
      <c r="BJ343" s="1190"/>
      <c r="BK343" s="1190"/>
      <c r="BL343" s="1190"/>
      <c r="BM343" s="1190"/>
      <c r="BQ343" s="195"/>
      <c r="BR343" s="195"/>
      <c r="BT343" s="1005"/>
    </row>
    <row r="344" ht="15.75" customHeight="1">
      <c r="A344" s="195"/>
      <c r="B344" s="978"/>
      <c r="C344" s="2321"/>
      <c r="D344" s="1729"/>
      <c r="E344" s="13"/>
      <c r="F344" s="2349"/>
      <c r="G344" s="13"/>
      <c r="H344" s="2349"/>
      <c r="I344" s="13"/>
      <c r="J344" s="2349"/>
      <c r="K344" s="13"/>
      <c r="L344" s="2349"/>
      <c r="M344" s="13"/>
      <c r="N344" s="2349"/>
      <c r="O344" s="13"/>
      <c r="P344" s="2349"/>
      <c r="Q344" s="1190"/>
      <c r="R344" s="1190"/>
      <c r="S344" s="1189"/>
      <c r="T344" s="1190"/>
      <c r="U344" s="1190"/>
      <c r="V344" s="1190"/>
      <c r="W344" s="1190"/>
      <c r="X344" s="1190"/>
      <c r="Y344" s="1190"/>
      <c r="Z344" s="1190"/>
      <c r="AA344" s="1190"/>
      <c r="AB344" s="1190"/>
      <c r="AC344" s="1190"/>
      <c r="AD344" s="1190"/>
      <c r="AE344" s="1190"/>
      <c r="AF344" s="1190"/>
      <c r="AG344" s="1748"/>
      <c r="AH344" s="1190"/>
      <c r="AI344" s="1748"/>
      <c r="AJ344" s="1190"/>
      <c r="AK344" s="1190"/>
      <c r="AL344" s="1190"/>
      <c r="AM344" s="1190"/>
      <c r="AN344" s="1190"/>
      <c r="AO344" s="1190"/>
      <c r="AP344" s="1190"/>
      <c r="AQ344" s="1190"/>
      <c r="AR344" s="1190"/>
      <c r="AS344" s="1190"/>
      <c r="AT344" s="1190"/>
      <c r="AU344" s="1190"/>
      <c r="AV344" s="1190"/>
      <c r="AW344" s="1190"/>
      <c r="AX344" s="1190"/>
      <c r="AY344" s="1190"/>
      <c r="AZ344" s="1190"/>
      <c r="BA344" s="1190"/>
      <c r="BB344" s="1190"/>
      <c r="BC344" s="1190"/>
      <c r="BD344" s="1190"/>
      <c r="BE344" s="1190"/>
      <c r="BF344" s="1190"/>
      <c r="BG344" s="1190"/>
      <c r="BH344" s="1190"/>
      <c r="BI344" s="1190"/>
      <c r="BJ344" s="1190"/>
      <c r="BK344" s="1190"/>
      <c r="BL344" s="1190"/>
      <c r="BM344" s="1190"/>
      <c r="BQ344" s="195"/>
      <c r="BR344" s="195"/>
      <c r="BT344" s="1005"/>
    </row>
    <row r="345" ht="15.75" customHeight="1">
      <c r="A345" s="195"/>
      <c r="B345" s="978"/>
      <c r="C345" s="2321"/>
      <c r="D345" s="1729"/>
      <c r="E345" s="13"/>
      <c r="F345" s="2349"/>
      <c r="G345" s="13"/>
      <c r="H345" s="2349"/>
      <c r="I345" s="13"/>
      <c r="J345" s="2349"/>
      <c r="K345" s="13"/>
      <c r="L345" s="2349"/>
      <c r="M345" s="13"/>
      <c r="N345" s="2349"/>
      <c r="O345" s="13"/>
      <c r="P345" s="2349"/>
      <c r="Q345" s="1190"/>
      <c r="R345" s="1190"/>
      <c r="S345" s="1189"/>
      <c r="T345" s="1190"/>
      <c r="U345" s="1190"/>
      <c r="V345" s="1190"/>
      <c r="W345" s="1190"/>
      <c r="X345" s="1190"/>
      <c r="Y345" s="1190"/>
      <c r="Z345" s="1190"/>
      <c r="AA345" s="1190"/>
      <c r="AB345" s="1190"/>
      <c r="AC345" s="1190"/>
      <c r="AD345" s="1190"/>
      <c r="AE345" s="1190"/>
      <c r="AF345" s="1190"/>
      <c r="AG345" s="1748"/>
      <c r="AH345" s="1190"/>
      <c r="AI345" s="1748"/>
      <c r="AJ345" s="1190"/>
      <c r="AK345" s="1190"/>
      <c r="AL345" s="1190"/>
      <c r="AM345" s="1190"/>
      <c r="AN345" s="1190"/>
      <c r="AO345" s="1190"/>
      <c r="AP345" s="1190"/>
      <c r="AQ345" s="1190"/>
      <c r="AR345" s="1190"/>
      <c r="AS345" s="1190"/>
      <c r="AT345" s="1190"/>
      <c r="AU345" s="1190"/>
      <c r="AV345" s="1190"/>
      <c r="AW345" s="1190"/>
      <c r="AX345" s="1190"/>
      <c r="AY345" s="1190"/>
      <c r="AZ345" s="1190"/>
      <c r="BA345" s="1190"/>
      <c r="BB345" s="1190"/>
      <c r="BC345" s="1190"/>
      <c r="BD345" s="1190"/>
      <c r="BE345" s="1190"/>
      <c r="BF345" s="1190"/>
      <c r="BG345" s="1190"/>
      <c r="BH345" s="1190"/>
      <c r="BI345" s="1190"/>
      <c r="BJ345" s="1190"/>
      <c r="BK345" s="1190"/>
      <c r="BL345" s="1190"/>
      <c r="BM345" s="1190"/>
      <c r="BQ345" s="195"/>
      <c r="BR345" s="195"/>
      <c r="BT345" s="1005"/>
    </row>
    <row r="346" ht="15.75" customHeight="1">
      <c r="A346" s="195"/>
      <c r="B346" s="978"/>
      <c r="C346" s="2321"/>
      <c r="D346" s="1729"/>
      <c r="E346" s="13"/>
      <c r="F346" s="2349"/>
      <c r="G346" s="13"/>
      <c r="H346" s="2349"/>
      <c r="I346" s="13"/>
      <c r="J346" s="2349"/>
      <c r="K346" s="13"/>
      <c r="L346" s="2349"/>
      <c r="M346" s="13"/>
      <c r="N346" s="2349"/>
      <c r="O346" s="13"/>
      <c r="P346" s="2349"/>
      <c r="Q346" s="1190"/>
      <c r="R346" s="1190"/>
      <c r="S346" s="1189"/>
      <c r="T346" s="1190"/>
      <c r="U346" s="1190"/>
      <c r="V346" s="1190"/>
      <c r="W346" s="1190"/>
      <c r="X346" s="1190"/>
      <c r="Y346" s="1190"/>
      <c r="Z346" s="1190"/>
      <c r="AA346" s="1190"/>
      <c r="AB346" s="1190"/>
      <c r="AC346" s="1190"/>
      <c r="AD346" s="1190"/>
      <c r="AE346" s="1190"/>
      <c r="AF346" s="1190"/>
      <c r="AG346" s="1748"/>
      <c r="AH346" s="1190"/>
      <c r="AI346" s="1748"/>
      <c r="AJ346" s="1190"/>
      <c r="AK346" s="1190"/>
      <c r="AL346" s="1190"/>
      <c r="AM346" s="1190"/>
      <c r="AN346" s="1190"/>
      <c r="AO346" s="1190"/>
      <c r="AP346" s="1190"/>
      <c r="AQ346" s="1190"/>
      <c r="AR346" s="1190"/>
      <c r="AS346" s="1190"/>
      <c r="AT346" s="1190"/>
      <c r="AU346" s="1190"/>
      <c r="AV346" s="1190"/>
      <c r="AW346" s="1190"/>
      <c r="AX346" s="1190"/>
      <c r="AY346" s="1190"/>
      <c r="AZ346" s="1190"/>
      <c r="BA346" s="1190"/>
      <c r="BB346" s="1190"/>
      <c r="BC346" s="1190"/>
      <c r="BD346" s="1190"/>
      <c r="BE346" s="1190"/>
      <c r="BF346" s="1190"/>
      <c r="BG346" s="1190"/>
      <c r="BH346" s="1190"/>
      <c r="BI346" s="1190"/>
      <c r="BJ346" s="1190"/>
      <c r="BK346" s="1190"/>
      <c r="BL346" s="1190"/>
      <c r="BM346" s="1190"/>
      <c r="BQ346" s="195"/>
      <c r="BR346" s="195"/>
      <c r="BT346" s="1005"/>
    </row>
    <row r="347" ht="15.75" customHeight="1">
      <c r="A347" s="195"/>
      <c r="B347" s="978"/>
      <c r="C347" s="2321"/>
      <c r="D347" s="1729"/>
      <c r="E347" s="13"/>
      <c r="F347" s="2349"/>
      <c r="G347" s="13"/>
      <c r="H347" s="2349"/>
      <c r="I347" s="13"/>
      <c r="J347" s="2349"/>
      <c r="K347" s="13"/>
      <c r="L347" s="2349"/>
      <c r="M347" s="13"/>
      <c r="N347" s="2349"/>
      <c r="O347" s="13"/>
      <c r="P347" s="2349"/>
      <c r="Q347" s="1190"/>
      <c r="R347" s="1190"/>
      <c r="S347" s="1189"/>
      <c r="T347" s="1190"/>
      <c r="U347" s="1190"/>
      <c r="V347" s="1190"/>
      <c r="W347" s="1190"/>
      <c r="X347" s="1190"/>
      <c r="Y347" s="1190"/>
      <c r="Z347" s="1190"/>
      <c r="AA347" s="1190"/>
      <c r="AB347" s="1190"/>
      <c r="AC347" s="1190"/>
      <c r="AD347" s="1190"/>
      <c r="AE347" s="1190"/>
      <c r="AF347" s="1190"/>
      <c r="AG347" s="1748"/>
      <c r="AH347" s="1190"/>
      <c r="AI347" s="1748"/>
      <c r="AJ347" s="1190"/>
      <c r="AK347" s="1190"/>
      <c r="AL347" s="1190"/>
      <c r="AM347" s="1190"/>
      <c r="AN347" s="1190"/>
      <c r="AO347" s="1190"/>
      <c r="AP347" s="1190"/>
      <c r="AQ347" s="1190"/>
      <c r="AR347" s="1190"/>
      <c r="AS347" s="1190"/>
      <c r="AT347" s="1190"/>
      <c r="AU347" s="1190"/>
      <c r="AV347" s="1190"/>
      <c r="AW347" s="1190"/>
      <c r="AX347" s="1190"/>
      <c r="AY347" s="1190"/>
      <c r="AZ347" s="1190"/>
      <c r="BA347" s="1190"/>
      <c r="BB347" s="1190"/>
      <c r="BC347" s="1190"/>
      <c r="BD347" s="1190"/>
      <c r="BE347" s="1190"/>
      <c r="BF347" s="1190"/>
      <c r="BG347" s="1190"/>
      <c r="BH347" s="1190"/>
      <c r="BI347" s="1190"/>
      <c r="BJ347" s="1190"/>
      <c r="BK347" s="1190"/>
      <c r="BL347" s="1190"/>
      <c r="BM347" s="1190"/>
      <c r="BQ347" s="195"/>
      <c r="BR347" s="195"/>
      <c r="BT347" s="1005"/>
    </row>
    <row r="348" ht="15.75" customHeight="1">
      <c r="A348" s="195"/>
      <c r="B348" s="978"/>
      <c r="C348" s="2321"/>
      <c r="D348" s="1729"/>
      <c r="E348" s="13"/>
      <c r="F348" s="2349"/>
      <c r="G348" s="13"/>
      <c r="H348" s="2349"/>
      <c r="I348" s="13"/>
      <c r="J348" s="2349"/>
      <c r="K348" s="13"/>
      <c r="L348" s="2349"/>
      <c r="M348" s="13"/>
      <c r="N348" s="2349"/>
      <c r="O348" s="13"/>
      <c r="P348" s="2349"/>
      <c r="Q348" s="1190"/>
      <c r="R348" s="1190"/>
      <c r="S348" s="1189"/>
      <c r="T348" s="1190"/>
      <c r="U348" s="1190"/>
      <c r="V348" s="1190"/>
      <c r="W348" s="1190"/>
      <c r="X348" s="1190"/>
      <c r="Y348" s="1190"/>
      <c r="Z348" s="1190"/>
      <c r="AA348" s="1190"/>
      <c r="AB348" s="1190"/>
      <c r="AC348" s="1190"/>
      <c r="AD348" s="1190"/>
      <c r="AE348" s="1190"/>
      <c r="AF348" s="1190"/>
      <c r="AG348" s="1748"/>
      <c r="AH348" s="1190"/>
      <c r="AI348" s="1748"/>
      <c r="AJ348" s="1190"/>
      <c r="AK348" s="1190"/>
      <c r="AL348" s="1190"/>
      <c r="AM348" s="1190"/>
      <c r="AN348" s="1190"/>
      <c r="AO348" s="1190"/>
      <c r="AP348" s="1190"/>
      <c r="AQ348" s="1190"/>
      <c r="AR348" s="1190"/>
      <c r="AS348" s="1190"/>
      <c r="AT348" s="1190"/>
      <c r="AU348" s="1190"/>
      <c r="AV348" s="1190"/>
      <c r="AW348" s="1190"/>
      <c r="AX348" s="1190"/>
      <c r="AY348" s="1190"/>
      <c r="AZ348" s="1190"/>
      <c r="BA348" s="1190"/>
      <c r="BB348" s="1190"/>
      <c r="BC348" s="1190"/>
      <c r="BD348" s="1190"/>
      <c r="BE348" s="1190"/>
      <c r="BF348" s="1190"/>
      <c r="BG348" s="1190"/>
      <c r="BH348" s="1190"/>
      <c r="BI348" s="1190"/>
      <c r="BJ348" s="1190"/>
      <c r="BK348" s="1190"/>
      <c r="BL348" s="1190"/>
      <c r="BM348" s="1190"/>
      <c r="BQ348" s="195"/>
      <c r="BR348" s="195"/>
      <c r="BT348" s="1005"/>
    </row>
    <row r="349" ht="15.75" customHeight="1">
      <c r="A349" s="195"/>
      <c r="B349" s="978"/>
      <c r="C349" s="2321"/>
      <c r="D349" s="1729"/>
      <c r="E349" s="13"/>
      <c r="F349" s="2349"/>
      <c r="G349" s="13"/>
      <c r="H349" s="2349"/>
      <c r="I349" s="13"/>
      <c r="J349" s="2349"/>
      <c r="K349" s="13"/>
      <c r="L349" s="2349"/>
      <c r="M349" s="13"/>
      <c r="N349" s="2349"/>
      <c r="O349" s="13"/>
      <c r="P349" s="2349"/>
      <c r="Q349" s="1190"/>
      <c r="R349" s="1190"/>
      <c r="S349" s="1189"/>
      <c r="T349" s="1190"/>
      <c r="U349" s="1190"/>
      <c r="V349" s="1190"/>
      <c r="W349" s="1190"/>
      <c r="X349" s="1190"/>
      <c r="Y349" s="1190"/>
      <c r="Z349" s="1190"/>
      <c r="AA349" s="1190"/>
      <c r="AB349" s="1190"/>
      <c r="AC349" s="1190"/>
      <c r="AD349" s="1190"/>
      <c r="AE349" s="1190"/>
      <c r="AF349" s="1190"/>
      <c r="AG349" s="1748"/>
      <c r="AH349" s="1190"/>
      <c r="AI349" s="1748"/>
      <c r="AJ349" s="1190"/>
      <c r="AK349" s="1190"/>
      <c r="AL349" s="1190"/>
      <c r="AM349" s="1190"/>
      <c r="AN349" s="1190"/>
      <c r="AO349" s="1190"/>
      <c r="AP349" s="1190"/>
      <c r="AQ349" s="1190"/>
      <c r="AR349" s="1190"/>
      <c r="AS349" s="1190"/>
      <c r="AT349" s="1190"/>
      <c r="AU349" s="1190"/>
      <c r="AV349" s="1190"/>
      <c r="AW349" s="1190"/>
      <c r="AX349" s="1190"/>
      <c r="AY349" s="1190"/>
      <c r="AZ349" s="1190"/>
      <c r="BA349" s="1190"/>
      <c r="BB349" s="1190"/>
      <c r="BC349" s="1190"/>
      <c r="BD349" s="1190"/>
      <c r="BE349" s="1190"/>
      <c r="BF349" s="1190"/>
      <c r="BG349" s="1190"/>
      <c r="BH349" s="1190"/>
      <c r="BI349" s="1190"/>
      <c r="BJ349" s="1190"/>
      <c r="BK349" s="1190"/>
      <c r="BL349" s="1190"/>
      <c r="BM349" s="1190"/>
      <c r="BQ349" s="195"/>
      <c r="BR349" s="195"/>
      <c r="BT349" s="1005"/>
    </row>
    <row r="350" ht="15.75" customHeight="1">
      <c r="A350" s="195"/>
      <c r="B350" s="978"/>
      <c r="C350" s="2321"/>
      <c r="D350" s="1729"/>
      <c r="E350" s="13"/>
      <c r="F350" s="2349"/>
      <c r="G350" s="13"/>
      <c r="H350" s="2349"/>
      <c r="I350" s="13"/>
      <c r="J350" s="2349"/>
      <c r="K350" s="13"/>
      <c r="L350" s="2349"/>
      <c r="M350" s="13"/>
      <c r="N350" s="2349"/>
      <c r="O350" s="13"/>
      <c r="P350" s="2349"/>
      <c r="Q350" s="1190"/>
      <c r="R350" s="1190"/>
      <c r="S350" s="1189"/>
      <c r="T350" s="1190"/>
      <c r="U350" s="1190"/>
      <c r="V350" s="1190"/>
      <c r="W350" s="1190"/>
      <c r="X350" s="1190"/>
      <c r="Y350" s="1190"/>
      <c r="Z350" s="1190"/>
      <c r="AA350" s="1190"/>
      <c r="AB350" s="1190"/>
      <c r="AC350" s="1190"/>
      <c r="AD350" s="1190"/>
      <c r="AE350" s="1190"/>
      <c r="AF350" s="1190"/>
      <c r="AG350" s="1748"/>
      <c r="AH350" s="1190"/>
      <c r="AI350" s="1748"/>
      <c r="AJ350" s="1190"/>
      <c r="AK350" s="1190"/>
      <c r="AL350" s="1190"/>
      <c r="AM350" s="1190"/>
      <c r="AN350" s="1190"/>
      <c r="AO350" s="1190"/>
      <c r="AP350" s="1190"/>
      <c r="AQ350" s="1190"/>
      <c r="AR350" s="1190"/>
      <c r="AS350" s="1190"/>
      <c r="AT350" s="1190"/>
      <c r="AU350" s="1190"/>
      <c r="AV350" s="1190"/>
      <c r="AW350" s="1190"/>
      <c r="AX350" s="1190"/>
      <c r="AY350" s="1190"/>
      <c r="AZ350" s="1190"/>
      <c r="BA350" s="1190"/>
      <c r="BB350" s="1190"/>
      <c r="BC350" s="1190"/>
      <c r="BD350" s="1190"/>
      <c r="BE350" s="1190"/>
      <c r="BF350" s="1190"/>
      <c r="BG350" s="1190"/>
      <c r="BH350" s="1190"/>
      <c r="BI350" s="1190"/>
      <c r="BJ350" s="1190"/>
      <c r="BK350" s="1190"/>
      <c r="BL350" s="1190"/>
      <c r="BM350" s="1190"/>
      <c r="BQ350" s="195"/>
      <c r="BR350" s="195"/>
      <c r="BT350" s="1005"/>
    </row>
    <row r="351" ht="15.75" customHeight="1">
      <c r="A351" s="195"/>
      <c r="B351" s="978"/>
      <c r="C351" s="2321"/>
      <c r="D351" s="1729"/>
      <c r="E351" s="13"/>
      <c r="F351" s="2349"/>
      <c r="G351" s="13"/>
      <c r="H351" s="2349"/>
      <c r="I351" s="13"/>
      <c r="J351" s="2349"/>
      <c r="K351" s="13"/>
      <c r="L351" s="2349"/>
      <c r="M351" s="13"/>
      <c r="N351" s="2349"/>
      <c r="O351" s="13"/>
      <c r="P351" s="2349"/>
      <c r="Q351" s="1190"/>
      <c r="R351" s="1190"/>
      <c r="S351" s="1189"/>
      <c r="T351" s="1190"/>
      <c r="U351" s="1190"/>
      <c r="V351" s="1190"/>
      <c r="W351" s="1190"/>
      <c r="X351" s="1190"/>
      <c r="Y351" s="1190"/>
      <c r="Z351" s="1190"/>
      <c r="AA351" s="1190"/>
      <c r="AB351" s="1190"/>
      <c r="AC351" s="1190"/>
      <c r="AD351" s="1190"/>
      <c r="AE351" s="1190"/>
      <c r="AF351" s="1190"/>
      <c r="AG351" s="1748"/>
      <c r="AH351" s="1190"/>
      <c r="AI351" s="1748"/>
      <c r="AJ351" s="1190"/>
      <c r="AK351" s="1190"/>
      <c r="AL351" s="1190"/>
      <c r="AM351" s="1190"/>
      <c r="AN351" s="1190"/>
      <c r="AO351" s="1190"/>
      <c r="AP351" s="1190"/>
      <c r="AQ351" s="1190"/>
      <c r="AR351" s="1190"/>
      <c r="AS351" s="1190"/>
      <c r="AT351" s="1190"/>
      <c r="AU351" s="1190"/>
      <c r="AV351" s="1190"/>
      <c r="AW351" s="1190"/>
      <c r="AX351" s="1190"/>
      <c r="AY351" s="1190"/>
      <c r="AZ351" s="1190"/>
      <c r="BA351" s="1190"/>
      <c r="BB351" s="1190"/>
      <c r="BC351" s="1190"/>
      <c r="BD351" s="1190"/>
      <c r="BE351" s="1190"/>
      <c r="BF351" s="1190"/>
      <c r="BG351" s="1190"/>
      <c r="BH351" s="1190"/>
      <c r="BI351" s="1190"/>
      <c r="BJ351" s="1190"/>
      <c r="BK351" s="1190"/>
      <c r="BL351" s="1190"/>
      <c r="BM351" s="1190"/>
      <c r="BQ351" s="195"/>
      <c r="BR351" s="195"/>
      <c r="BT351" s="1005"/>
    </row>
    <row r="352" ht="15.75" customHeight="1">
      <c r="A352" s="195"/>
      <c r="B352" s="978"/>
      <c r="C352" s="2321"/>
      <c r="D352" s="1729"/>
      <c r="E352" s="13"/>
      <c r="F352" s="2349"/>
      <c r="G352" s="13"/>
      <c r="H352" s="2349"/>
      <c r="I352" s="13"/>
      <c r="J352" s="2349"/>
      <c r="K352" s="13"/>
      <c r="L352" s="2349"/>
      <c r="M352" s="13"/>
      <c r="N352" s="2349"/>
      <c r="O352" s="13"/>
      <c r="P352" s="2349"/>
      <c r="Q352" s="1190"/>
      <c r="R352" s="1190"/>
      <c r="S352" s="1189"/>
      <c r="T352" s="1190"/>
      <c r="U352" s="1190"/>
      <c r="V352" s="1190"/>
      <c r="W352" s="1190"/>
      <c r="X352" s="1190"/>
      <c r="Y352" s="1190"/>
      <c r="Z352" s="1190"/>
      <c r="AA352" s="1190"/>
      <c r="AB352" s="1190"/>
      <c r="AC352" s="1190"/>
      <c r="AD352" s="1190"/>
      <c r="AE352" s="1190"/>
      <c r="AF352" s="1190"/>
      <c r="AG352" s="1748"/>
      <c r="AH352" s="1190"/>
      <c r="AI352" s="1748"/>
      <c r="AJ352" s="1190"/>
      <c r="AK352" s="1190"/>
      <c r="AL352" s="1190"/>
      <c r="AM352" s="1190"/>
      <c r="AN352" s="1190"/>
      <c r="AO352" s="1190"/>
      <c r="AP352" s="1190"/>
      <c r="AQ352" s="1190"/>
      <c r="AR352" s="1190"/>
      <c r="AS352" s="1190"/>
      <c r="AT352" s="1190"/>
      <c r="AU352" s="1190"/>
      <c r="AV352" s="1190"/>
      <c r="AW352" s="1190"/>
      <c r="AX352" s="1190"/>
      <c r="AY352" s="1190"/>
      <c r="AZ352" s="1190"/>
      <c r="BA352" s="1190"/>
      <c r="BB352" s="1190"/>
      <c r="BC352" s="1190"/>
      <c r="BD352" s="1190"/>
      <c r="BE352" s="1190"/>
      <c r="BF352" s="1190"/>
      <c r="BG352" s="1190"/>
      <c r="BH352" s="1190"/>
      <c r="BI352" s="1190"/>
      <c r="BJ352" s="1190"/>
      <c r="BK352" s="1190"/>
      <c r="BL352" s="1190"/>
      <c r="BM352" s="1190"/>
      <c r="BQ352" s="195"/>
      <c r="BR352" s="195"/>
      <c r="BT352" s="1005"/>
    </row>
    <row r="353" ht="15.75" customHeight="1">
      <c r="A353" s="195"/>
      <c r="B353" s="978"/>
      <c r="C353" s="2321"/>
      <c r="D353" s="1729"/>
      <c r="E353" s="13"/>
      <c r="F353" s="2349"/>
      <c r="G353" s="13"/>
      <c r="H353" s="2349"/>
      <c r="I353" s="13"/>
      <c r="J353" s="2349"/>
      <c r="K353" s="13"/>
      <c r="L353" s="2349"/>
      <c r="M353" s="13"/>
      <c r="N353" s="2349"/>
      <c r="O353" s="13"/>
      <c r="P353" s="2349"/>
      <c r="Q353" s="1190"/>
      <c r="R353" s="1190"/>
      <c r="S353" s="1189"/>
      <c r="T353" s="1190"/>
      <c r="U353" s="1190"/>
      <c r="V353" s="1190"/>
      <c r="W353" s="1190"/>
      <c r="X353" s="1190"/>
      <c r="Y353" s="1190"/>
      <c r="Z353" s="1190"/>
      <c r="AA353" s="1190"/>
      <c r="AB353" s="1190"/>
      <c r="AC353" s="1190"/>
      <c r="AD353" s="1190"/>
      <c r="AE353" s="1190"/>
      <c r="AF353" s="1190"/>
      <c r="AG353" s="1748"/>
      <c r="AH353" s="1190"/>
      <c r="AI353" s="1748"/>
      <c r="AJ353" s="1190"/>
      <c r="AK353" s="1190"/>
      <c r="AL353" s="1190"/>
      <c r="AM353" s="1190"/>
      <c r="AN353" s="1190"/>
      <c r="AO353" s="1190"/>
      <c r="AP353" s="1190"/>
      <c r="AQ353" s="1190"/>
      <c r="AR353" s="1190"/>
      <c r="AS353" s="1190"/>
      <c r="AT353" s="1190"/>
      <c r="AU353" s="1190"/>
      <c r="AV353" s="1190"/>
      <c r="AW353" s="1190"/>
      <c r="AX353" s="1190"/>
      <c r="AY353" s="1190"/>
      <c r="AZ353" s="1190"/>
      <c r="BA353" s="1190"/>
      <c r="BB353" s="1190"/>
      <c r="BC353" s="1190"/>
      <c r="BD353" s="1190"/>
      <c r="BE353" s="1190"/>
      <c r="BF353" s="1190"/>
      <c r="BG353" s="1190"/>
      <c r="BH353" s="1190"/>
      <c r="BI353" s="1190"/>
      <c r="BJ353" s="1190"/>
      <c r="BK353" s="1190"/>
      <c r="BL353" s="1190"/>
      <c r="BM353" s="1190"/>
      <c r="BQ353" s="195"/>
      <c r="BR353" s="195"/>
      <c r="BT353" s="1005"/>
    </row>
    <row r="354" ht="15.75" customHeight="1">
      <c r="A354" s="195"/>
      <c r="B354" s="978"/>
      <c r="C354" s="2321"/>
      <c r="D354" s="1729"/>
      <c r="E354" s="13"/>
      <c r="F354" s="2349"/>
      <c r="G354" s="13"/>
      <c r="H354" s="2349"/>
      <c r="I354" s="13"/>
      <c r="J354" s="2349"/>
      <c r="K354" s="13"/>
      <c r="L354" s="2349"/>
      <c r="M354" s="13"/>
      <c r="N354" s="2349"/>
      <c r="O354" s="13"/>
      <c r="P354" s="2349"/>
      <c r="Q354" s="1190"/>
      <c r="R354" s="1190"/>
      <c r="S354" s="1189"/>
      <c r="T354" s="1190"/>
      <c r="U354" s="1190"/>
      <c r="V354" s="1190"/>
      <c r="W354" s="1190"/>
      <c r="X354" s="1190"/>
      <c r="Y354" s="1190"/>
      <c r="Z354" s="1190"/>
      <c r="AA354" s="1190"/>
      <c r="AB354" s="1190"/>
      <c r="AC354" s="1190"/>
      <c r="AD354" s="1190"/>
      <c r="AE354" s="1190"/>
      <c r="AF354" s="1190"/>
      <c r="AG354" s="1748"/>
      <c r="AH354" s="1190"/>
      <c r="AI354" s="1748"/>
      <c r="AJ354" s="1190"/>
      <c r="AK354" s="1190"/>
      <c r="AL354" s="1190"/>
      <c r="AM354" s="1190"/>
      <c r="AN354" s="1190"/>
      <c r="AO354" s="1190"/>
      <c r="AP354" s="1190"/>
      <c r="AQ354" s="1190"/>
      <c r="AR354" s="1190"/>
      <c r="AS354" s="1190"/>
      <c r="AT354" s="1190"/>
      <c r="AU354" s="1190"/>
      <c r="AV354" s="1190"/>
      <c r="AW354" s="1190"/>
      <c r="AX354" s="1190"/>
      <c r="AY354" s="1190"/>
      <c r="AZ354" s="1190"/>
      <c r="BA354" s="1190"/>
      <c r="BB354" s="1190"/>
      <c r="BC354" s="1190"/>
      <c r="BD354" s="1190"/>
      <c r="BE354" s="1190"/>
      <c r="BF354" s="1190"/>
      <c r="BG354" s="1190"/>
      <c r="BH354" s="1190"/>
      <c r="BI354" s="1190"/>
      <c r="BJ354" s="1190"/>
      <c r="BK354" s="1190"/>
      <c r="BL354" s="1190"/>
      <c r="BM354" s="1190"/>
      <c r="BQ354" s="195"/>
      <c r="BR354" s="195"/>
      <c r="BT354" s="1005"/>
    </row>
    <row r="355" ht="15.75" customHeight="1">
      <c r="A355" s="195"/>
      <c r="B355" s="978"/>
      <c r="C355" s="2321"/>
      <c r="D355" s="1729"/>
      <c r="E355" s="1190"/>
      <c r="F355" s="1190"/>
      <c r="G355" s="1190"/>
      <c r="H355" s="1190"/>
      <c r="I355" s="1190"/>
      <c r="J355" s="1190"/>
      <c r="K355" s="1190"/>
      <c r="L355" s="1190"/>
      <c r="M355" s="1190"/>
      <c r="N355" s="1190"/>
      <c r="O355" s="1190"/>
      <c r="P355" s="1190"/>
      <c r="Q355" s="1190"/>
      <c r="R355" s="1190"/>
      <c r="S355" s="1189"/>
      <c r="T355" s="1190"/>
      <c r="U355" s="1190"/>
      <c r="V355" s="1190"/>
      <c r="W355" s="1190"/>
      <c r="X355" s="1190"/>
      <c r="Y355" s="1190"/>
      <c r="Z355" s="1190"/>
      <c r="AA355" s="1190"/>
      <c r="AB355" s="1190"/>
      <c r="AC355" s="1190"/>
      <c r="AD355" s="1190"/>
      <c r="AE355" s="1190"/>
      <c r="AF355" s="1190"/>
      <c r="AG355" s="1748"/>
      <c r="AH355" s="1190"/>
      <c r="AI355" s="1748"/>
      <c r="AJ355" s="1190"/>
      <c r="AK355" s="1190"/>
      <c r="AL355" s="1190"/>
      <c r="AM355" s="1190"/>
      <c r="AN355" s="1190"/>
      <c r="AO355" s="1190"/>
      <c r="AP355" s="1190"/>
      <c r="AQ355" s="1190"/>
      <c r="AR355" s="1190"/>
      <c r="AS355" s="1190"/>
      <c r="AT355" s="1190"/>
      <c r="AU355" s="1190"/>
      <c r="AV355" s="1190"/>
      <c r="AW355" s="1190"/>
      <c r="AX355" s="1190"/>
      <c r="AY355" s="1190"/>
      <c r="AZ355" s="1190"/>
      <c r="BA355" s="1190"/>
      <c r="BB355" s="1190"/>
      <c r="BC355" s="1190"/>
      <c r="BD355" s="1190"/>
      <c r="BE355" s="1190"/>
      <c r="BF355" s="1190"/>
      <c r="BG355" s="1190"/>
      <c r="BH355" s="1190"/>
      <c r="BI355" s="1190"/>
      <c r="BJ355" s="1190"/>
      <c r="BK355" s="1190"/>
      <c r="BL355" s="1190"/>
      <c r="BM355" s="1190"/>
      <c r="BQ355" s="195"/>
      <c r="BR355" s="195"/>
      <c r="BT355" s="1005"/>
    </row>
    <row r="356" ht="15.75" customHeight="1">
      <c r="A356" s="195"/>
      <c r="B356" s="978"/>
      <c r="C356" s="2321"/>
      <c r="D356" s="1729"/>
      <c r="E356" s="1190"/>
      <c r="F356" s="1190"/>
      <c r="G356" s="1190"/>
      <c r="H356" s="1190"/>
      <c r="I356" s="1190"/>
      <c r="J356" s="1190"/>
      <c r="K356" s="1190"/>
      <c r="L356" s="1190"/>
      <c r="M356" s="1190"/>
      <c r="N356" s="1190"/>
      <c r="O356" s="1190"/>
      <c r="P356" s="1190"/>
      <c r="Q356" s="1190"/>
      <c r="R356" s="1190"/>
      <c r="S356" s="1189"/>
      <c r="T356" s="1190"/>
      <c r="U356" s="1190"/>
      <c r="V356" s="1190"/>
      <c r="W356" s="1190"/>
      <c r="X356" s="1190"/>
      <c r="Y356" s="1190"/>
      <c r="Z356" s="1190"/>
      <c r="AA356" s="1190"/>
      <c r="AB356" s="1190"/>
      <c r="AC356" s="1190"/>
      <c r="AD356" s="1190"/>
      <c r="AE356" s="1190"/>
      <c r="AF356" s="1190"/>
      <c r="AG356" s="1748"/>
      <c r="AH356" s="1190"/>
      <c r="AI356" s="1748"/>
      <c r="AJ356" s="1190"/>
      <c r="AK356" s="1190"/>
      <c r="AL356" s="1190"/>
      <c r="AM356" s="1190"/>
      <c r="AN356" s="1190"/>
      <c r="AO356" s="1190"/>
      <c r="AP356" s="1190"/>
      <c r="AQ356" s="1190"/>
      <c r="AR356" s="1190"/>
      <c r="AS356" s="1190"/>
      <c r="AT356" s="1190"/>
      <c r="AU356" s="1190"/>
      <c r="AV356" s="1190"/>
      <c r="AW356" s="1190"/>
      <c r="AX356" s="1190"/>
      <c r="AY356" s="1190"/>
      <c r="AZ356" s="1190"/>
      <c r="BA356" s="1190"/>
      <c r="BB356" s="1190"/>
      <c r="BC356" s="1190"/>
      <c r="BD356" s="1190"/>
      <c r="BE356" s="1190"/>
      <c r="BF356" s="1190"/>
      <c r="BG356" s="1190"/>
      <c r="BH356" s="1190"/>
      <c r="BI356" s="1190"/>
      <c r="BJ356" s="1190"/>
      <c r="BK356" s="1190"/>
      <c r="BL356" s="1190"/>
      <c r="BM356" s="1190"/>
      <c r="BQ356" s="195"/>
      <c r="BR356" s="195"/>
      <c r="BT356" s="1005"/>
    </row>
    <row r="357" ht="15.75" customHeight="1">
      <c r="A357" s="195"/>
      <c r="B357" s="978"/>
      <c r="C357" s="2321"/>
      <c r="D357" s="1729"/>
      <c r="E357" s="1190"/>
      <c r="F357" s="1190"/>
      <c r="G357" s="1190"/>
      <c r="H357" s="1190"/>
      <c r="I357" s="1190"/>
      <c r="J357" s="1190"/>
      <c r="K357" s="1190"/>
      <c r="L357" s="1190"/>
      <c r="M357" s="1190"/>
      <c r="N357" s="1190"/>
      <c r="O357" s="1190"/>
      <c r="P357" s="1190"/>
      <c r="Q357" s="1190"/>
      <c r="R357" s="1190"/>
      <c r="S357" s="1189"/>
      <c r="T357" s="1190"/>
      <c r="U357" s="1190"/>
      <c r="V357" s="1190"/>
      <c r="W357" s="1190"/>
      <c r="X357" s="1190"/>
      <c r="Y357" s="1190"/>
      <c r="Z357" s="1190"/>
      <c r="AA357" s="1190"/>
      <c r="AB357" s="1190"/>
      <c r="AC357" s="1190"/>
      <c r="AD357" s="1190"/>
      <c r="AE357" s="1190"/>
      <c r="AF357" s="1190"/>
      <c r="AG357" s="1748"/>
      <c r="AH357" s="1190"/>
      <c r="AI357" s="1748"/>
      <c r="AJ357" s="1190"/>
      <c r="AK357" s="1190"/>
      <c r="AL357" s="1190"/>
      <c r="AM357" s="1190"/>
      <c r="AN357" s="1190"/>
      <c r="AO357" s="1190"/>
      <c r="AP357" s="1190"/>
      <c r="AQ357" s="1190"/>
      <c r="AR357" s="1190"/>
      <c r="AS357" s="1190"/>
      <c r="AT357" s="1190"/>
      <c r="AU357" s="1190"/>
      <c r="AV357" s="1190"/>
      <c r="AW357" s="1190"/>
      <c r="AX357" s="1190"/>
      <c r="AY357" s="1190"/>
      <c r="AZ357" s="1190"/>
      <c r="BA357" s="1190"/>
      <c r="BB357" s="1190"/>
      <c r="BC357" s="1190"/>
      <c r="BD357" s="1190"/>
      <c r="BE357" s="1190"/>
      <c r="BF357" s="1190"/>
      <c r="BG357" s="1190"/>
      <c r="BH357" s="1190"/>
      <c r="BI357" s="1190"/>
      <c r="BJ357" s="1190"/>
      <c r="BK357" s="1190"/>
      <c r="BL357" s="1190"/>
      <c r="BM357" s="1190"/>
      <c r="BQ357" s="195"/>
      <c r="BR357" s="195"/>
      <c r="BT357" s="1005"/>
    </row>
    <row r="358" ht="15.75" customHeight="1">
      <c r="A358" s="195"/>
      <c r="B358" s="978"/>
      <c r="C358" s="2321"/>
      <c r="D358" s="1729"/>
      <c r="E358" s="1190"/>
      <c r="F358" s="1190"/>
      <c r="G358" s="1190"/>
      <c r="H358" s="1190"/>
      <c r="I358" s="1190"/>
      <c r="J358" s="1190"/>
      <c r="K358" s="1190"/>
      <c r="L358" s="1190"/>
      <c r="M358" s="1190"/>
      <c r="N358" s="1190"/>
      <c r="O358" s="1190"/>
      <c r="P358" s="1190"/>
      <c r="Q358" s="1190"/>
      <c r="R358" s="1190"/>
      <c r="S358" s="1189"/>
      <c r="T358" s="1190"/>
      <c r="U358" s="1190"/>
      <c r="V358" s="1190"/>
      <c r="W358" s="1190"/>
      <c r="X358" s="1190"/>
      <c r="Y358" s="1190"/>
      <c r="Z358" s="1190"/>
      <c r="AA358" s="1190"/>
      <c r="AB358" s="1190"/>
      <c r="AC358" s="1190"/>
      <c r="AD358" s="1190"/>
      <c r="AE358" s="1190"/>
      <c r="AF358" s="1190"/>
      <c r="AG358" s="1748"/>
      <c r="AH358" s="1190"/>
      <c r="AI358" s="1748"/>
      <c r="AJ358" s="1190"/>
      <c r="AK358" s="1190"/>
      <c r="AL358" s="1190"/>
      <c r="AM358" s="1190"/>
      <c r="AN358" s="1190"/>
      <c r="AO358" s="1190"/>
      <c r="AP358" s="1190"/>
      <c r="AQ358" s="1190"/>
      <c r="AR358" s="1190"/>
      <c r="AS358" s="1190"/>
      <c r="AT358" s="1190"/>
      <c r="AU358" s="1190"/>
      <c r="AV358" s="1190"/>
      <c r="AW358" s="1190"/>
      <c r="AX358" s="1190"/>
      <c r="AY358" s="1190"/>
      <c r="AZ358" s="1190"/>
      <c r="BA358" s="1190"/>
      <c r="BB358" s="1190"/>
      <c r="BC358" s="1190"/>
      <c r="BD358" s="1190"/>
      <c r="BE358" s="1190"/>
      <c r="BF358" s="1190"/>
      <c r="BG358" s="1190"/>
      <c r="BH358" s="1190"/>
      <c r="BI358" s="1190"/>
      <c r="BJ358" s="1190"/>
      <c r="BK358" s="1190"/>
      <c r="BL358" s="1190"/>
      <c r="BM358" s="1190"/>
      <c r="BQ358" s="195"/>
      <c r="BR358" s="195"/>
      <c r="BT358" s="1005"/>
    </row>
    <row r="359" ht="15.75" customHeight="1">
      <c r="A359" s="195"/>
      <c r="B359" s="978"/>
      <c r="C359" s="2321"/>
      <c r="D359" s="1729"/>
      <c r="E359" s="1190"/>
      <c r="F359" s="1190"/>
      <c r="G359" s="1190"/>
      <c r="H359" s="1190"/>
      <c r="I359" s="1190"/>
      <c r="J359" s="1190"/>
      <c r="K359" s="1190"/>
      <c r="L359" s="1190"/>
      <c r="M359" s="1190"/>
      <c r="N359" s="1190"/>
      <c r="O359" s="1190"/>
      <c r="P359" s="1190"/>
      <c r="Q359" s="1190"/>
      <c r="R359" s="1190"/>
      <c r="S359" s="1189"/>
      <c r="T359" s="1190"/>
      <c r="U359" s="1190"/>
      <c r="V359" s="1190"/>
      <c r="W359" s="1190"/>
      <c r="X359" s="1190"/>
      <c r="Y359" s="1190"/>
      <c r="Z359" s="1190"/>
      <c r="AA359" s="1190"/>
      <c r="AB359" s="1190"/>
      <c r="AC359" s="1190"/>
      <c r="AD359" s="1190"/>
      <c r="AE359" s="1190"/>
      <c r="AF359" s="1190"/>
      <c r="AG359" s="1748"/>
      <c r="AH359" s="1190"/>
      <c r="AI359" s="1748"/>
      <c r="AJ359" s="1190"/>
      <c r="AK359" s="1190"/>
      <c r="AL359" s="1190"/>
      <c r="AM359" s="1190"/>
      <c r="AN359" s="1190"/>
      <c r="AO359" s="1190"/>
      <c r="AP359" s="1190"/>
      <c r="AQ359" s="1190"/>
      <c r="AR359" s="1190"/>
      <c r="AS359" s="1190"/>
      <c r="AT359" s="1190"/>
      <c r="AU359" s="1190"/>
      <c r="AV359" s="1190"/>
      <c r="AW359" s="1190"/>
      <c r="AX359" s="1190"/>
      <c r="AY359" s="1190"/>
      <c r="AZ359" s="1190"/>
      <c r="BA359" s="1190"/>
      <c r="BB359" s="1190"/>
      <c r="BC359" s="1190"/>
      <c r="BD359" s="1190"/>
      <c r="BE359" s="1190"/>
      <c r="BF359" s="1190"/>
      <c r="BG359" s="1190"/>
      <c r="BH359" s="1190"/>
      <c r="BI359" s="1190"/>
      <c r="BJ359" s="1190"/>
      <c r="BK359" s="1190"/>
      <c r="BL359" s="1190"/>
      <c r="BM359" s="1190"/>
      <c r="BQ359" s="195"/>
      <c r="BR359" s="195"/>
      <c r="BT359" s="1005"/>
    </row>
    <row r="360" ht="15.75" customHeight="1">
      <c r="A360" s="195"/>
      <c r="B360" s="978"/>
      <c r="C360" s="2321"/>
      <c r="D360" s="1729"/>
      <c r="E360" s="1190"/>
      <c r="F360" s="1190"/>
      <c r="G360" s="1190"/>
      <c r="H360" s="1190"/>
      <c r="I360" s="1190"/>
      <c r="J360" s="1190"/>
      <c r="K360" s="1190"/>
      <c r="L360" s="1190"/>
      <c r="M360" s="1190"/>
      <c r="N360" s="1190"/>
      <c r="O360" s="1190"/>
      <c r="P360" s="1190"/>
      <c r="Q360" s="1190"/>
      <c r="R360" s="1190"/>
      <c r="S360" s="1189"/>
      <c r="T360" s="1190"/>
      <c r="U360" s="1190"/>
      <c r="V360" s="1190"/>
      <c r="W360" s="1190"/>
      <c r="X360" s="1190"/>
      <c r="Y360" s="1190"/>
      <c r="Z360" s="1190"/>
      <c r="AA360" s="1190"/>
      <c r="AB360" s="1190"/>
      <c r="AC360" s="1190"/>
      <c r="AD360" s="1190"/>
      <c r="AE360" s="1190"/>
      <c r="AF360" s="1190"/>
      <c r="AG360" s="1748"/>
      <c r="AH360" s="1190"/>
      <c r="AI360" s="1748"/>
      <c r="AJ360" s="1190"/>
      <c r="AK360" s="1190"/>
      <c r="AL360" s="1190"/>
      <c r="AM360" s="1190"/>
      <c r="AN360" s="1190"/>
      <c r="AO360" s="1190"/>
      <c r="AP360" s="1190"/>
      <c r="AQ360" s="1190"/>
      <c r="AR360" s="1190"/>
      <c r="AS360" s="1190"/>
      <c r="AT360" s="1190"/>
      <c r="AU360" s="1190"/>
      <c r="AV360" s="1190"/>
      <c r="AW360" s="1190"/>
      <c r="AX360" s="1190"/>
      <c r="AY360" s="1190"/>
      <c r="AZ360" s="1190"/>
      <c r="BA360" s="1190"/>
      <c r="BB360" s="1190"/>
      <c r="BC360" s="1190"/>
      <c r="BD360" s="1190"/>
      <c r="BE360" s="1190"/>
      <c r="BF360" s="1190"/>
      <c r="BG360" s="1190"/>
      <c r="BH360" s="1190"/>
      <c r="BI360" s="1190"/>
      <c r="BJ360" s="1190"/>
      <c r="BK360" s="1190"/>
      <c r="BL360" s="1190"/>
      <c r="BM360" s="1190"/>
      <c r="BQ360" s="195"/>
      <c r="BR360" s="195"/>
      <c r="BT360" s="1005"/>
    </row>
    <row r="361" ht="15.75" customHeight="1">
      <c r="A361" s="195"/>
      <c r="B361" s="978"/>
      <c r="C361" s="2321"/>
      <c r="D361" s="1729"/>
      <c r="E361" s="1190"/>
      <c r="F361" s="1190"/>
      <c r="G361" s="1190"/>
      <c r="H361" s="1190"/>
      <c r="I361" s="1190"/>
      <c r="J361" s="1190"/>
      <c r="K361" s="1190"/>
      <c r="L361" s="1190"/>
      <c r="M361" s="1190"/>
      <c r="N361" s="1190"/>
      <c r="O361" s="1190"/>
      <c r="P361" s="1190"/>
      <c r="Q361" s="1190"/>
      <c r="R361" s="1190"/>
      <c r="S361" s="1189"/>
      <c r="T361" s="1190"/>
      <c r="U361" s="1190"/>
      <c r="V361" s="1190"/>
      <c r="W361" s="1190"/>
      <c r="X361" s="1190"/>
      <c r="Y361" s="1190"/>
      <c r="Z361" s="1190"/>
      <c r="AA361" s="1190"/>
      <c r="AB361" s="1190"/>
      <c r="AC361" s="1190"/>
      <c r="AD361" s="1190"/>
      <c r="AE361" s="1190"/>
      <c r="AF361" s="1190"/>
      <c r="AG361" s="1748"/>
      <c r="AH361" s="1190"/>
      <c r="AI361" s="1748"/>
      <c r="AJ361" s="1190"/>
      <c r="AK361" s="1190"/>
      <c r="AL361" s="1190"/>
      <c r="AM361" s="1190"/>
      <c r="AN361" s="1190"/>
      <c r="AO361" s="1190"/>
      <c r="AP361" s="1190"/>
      <c r="AQ361" s="1190"/>
      <c r="AR361" s="1190"/>
      <c r="AS361" s="1190"/>
      <c r="AT361" s="1190"/>
      <c r="AU361" s="1190"/>
      <c r="AV361" s="1190"/>
      <c r="AW361" s="1190"/>
      <c r="AX361" s="1190"/>
      <c r="AY361" s="1190"/>
      <c r="AZ361" s="1190"/>
      <c r="BA361" s="1190"/>
      <c r="BB361" s="1190"/>
      <c r="BC361" s="1190"/>
      <c r="BD361" s="1190"/>
      <c r="BE361" s="1190"/>
      <c r="BF361" s="1190"/>
      <c r="BG361" s="1190"/>
      <c r="BH361" s="1190"/>
      <c r="BI361" s="1190"/>
      <c r="BJ361" s="1190"/>
      <c r="BK361" s="1190"/>
      <c r="BL361" s="1190"/>
      <c r="BM361" s="1190"/>
      <c r="BQ361" s="195"/>
      <c r="BR361" s="195"/>
      <c r="BT361" s="1005"/>
    </row>
    <row r="362" ht="15.75" customHeight="1">
      <c r="A362" s="195"/>
      <c r="B362" s="978"/>
      <c r="C362" s="2321"/>
      <c r="D362" s="1729"/>
      <c r="E362" s="1190"/>
      <c r="F362" s="1190"/>
      <c r="G362" s="1190"/>
      <c r="H362" s="1190"/>
      <c r="I362" s="1190"/>
      <c r="J362" s="1190"/>
      <c r="K362" s="1190"/>
      <c r="L362" s="1190"/>
      <c r="M362" s="1190"/>
      <c r="N362" s="1190"/>
      <c r="O362" s="1190"/>
      <c r="P362" s="1190"/>
      <c r="Q362" s="1190"/>
      <c r="R362" s="1190"/>
      <c r="S362" s="1189"/>
      <c r="T362" s="1190"/>
      <c r="U362" s="1190"/>
      <c r="V362" s="1190"/>
      <c r="W362" s="1190"/>
      <c r="X362" s="1190"/>
      <c r="Y362" s="1190"/>
      <c r="Z362" s="1190"/>
      <c r="AA362" s="1190"/>
      <c r="AB362" s="1190"/>
      <c r="AC362" s="1190"/>
      <c r="AD362" s="1190"/>
      <c r="AE362" s="1190"/>
      <c r="AF362" s="1190"/>
      <c r="AG362" s="1748"/>
      <c r="AH362" s="1190"/>
      <c r="AI362" s="1748"/>
      <c r="AJ362" s="1190"/>
      <c r="AK362" s="1190"/>
      <c r="AL362" s="1190"/>
      <c r="AM362" s="1190"/>
      <c r="AN362" s="1190"/>
      <c r="AO362" s="1190"/>
      <c r="AP362" s="1190"/>
      <c r="AQ362" s="1190"/>
      <c r="AR362" s="1190"/>
      <c r="AS362" s="1190"/>
      <c r="AT362" s="1190"/>
      <c r="AU362" s="1190"/>
      <c r="AV362" s="1190"/>
      <c r="AW362" s="1190"/>
      <c r="AX362" s="1190"/>
      <c r="AY362" s="1190"/>
      <c r="AZ362" s="1190"/>
      <c r="BA362" s="1190"/>
      <c r="BB362" s="1190"/>
      <c r="BC362" s="1190"/>
      <c r="BD362" s="1190"/>
      <c r="BE362" s="1190"/>
      <c r="BF362" s="1190"/>
      <c r="BG362" s="1190"/>
      <c r="BH362" s="1190"/>
      <c r="BI362" s="1190"/>
      <c r="BJ362" s="1190"/>
      <c r="BK362" s="1190"/>
      <c r="BL362" s="1190"/>
      <c r="BM362" s="1190"/>
      <c r="BQ362" s="195"/>
      <c r="BR362" s="195"/>
      <c r="BT362" s="1005"/>
    </row>
    <row r="363" ht="15.75" customHeight="1">
      <c r="A363" s="195"/>
      <c r="B363" s="978"/>
      <c r="C363" s="2321"/>
      <c r="D363" s="1729"/>
      <c r="E363" s="1190"/>
      <c r="F363" s="1190"/>
      <c r="G363" s="1190"/>
      <c r="H363" s="1190"/>
      <c r="I363" s="1190"/>
      <c r="J363" s="1190"/>
      <c r="K363" s="1190"/>
      <c r="L363" s="1190"/>
      <c r="M363" s="1190"/>
      <c r="N363" s="1190"/>
      <c r="O363" s="1190"/>
      <c r="P363" s="1190"/>
      <c r="Q363" s="1190"/>
      <c r="R363" s="1190"/>
      <c r="S363" s="1189"/>
      <c r="T363" s="1190"/>
      <c r="U363" s="1190"/>
      <c r="V363" s="1190"/>
      <c r="W363" s="1190"/>
      <c r="X363" s="1190"/>
      <c r="Y363" s="1190"/>
      <c r="Z363" s="1190"/>
      <c r="AA363" s="1190"/>
      <c r="AB363" s="1190"/>
      <c r="AC363" s="1190"/>
      <c r="AD363" s="1190"/>
      <c r="AE363" s="1190"/>
      <c r="AF363" s="1190"/>
      <c r="AG363" s="1748"/>
      <c r="AH363" s="1190"/>
      <c r="AI363" s="1748"/>
      <c r="AJ363" s="1190"/>
      <c r="AK363" s="1190"/>
      <c r="AL363" s="1190"/>
      <c r="AM363" s="1190"/>
      <c r="AN363" s="1190"/>
      <c r="AO363" s="1190"/>
      <c r="AP363" s="1190"/>
      <c r="AQ363" s="1190"/>
      <c r="AR363" s="1190"/>
      <c r="AS363" s="1190"/>
      <c r="AT363" s="1190"/>
      <c r="AU363" s="1190"/>
      <c r="AV363" s="1190"/>
      <c r="AW363" s="1190"/>
      <c r="AX363" s="1190"/>
      <c r="AY363" s="1190"/>
      <c r="AZ363" s="1190"/>
      <c r="BA363" s="1190"/>
      <c r="BB363" s="1190"/>
      <c r="BC363" s="1190"/>
      <c r="BD363" s="1190"/>
      <c r="BE363" s="1190"/>
      <c r="BF363" s="1190"/>
      <c r="BG363" s="1190"/>
      <c r="BH363" s="1190"/>
      <c r="BI363" s="1190"/>
      <c r="BJ363" s="1190"/>
      <c r="BK363" s="1190"/>
      <c r="BL363" s="1190"/>
      <c r="BM363" s="1190"/>
      <c r="BQ363" s="195"/>
      <c r="BR363" s="195"/>
      <c r="BT363" s="1005"/>
    </row>
    <row r="364" ht="15.75" customHeight="1">
      <c r="A364" s="195"/>
      <c r="B364" s="978"/>
      <c r="C364" s="2321"/>
      <c r="D364" s="1729"/>
      <c r="E364" s="1190"/>
      <c r="F364" s="1190"/>
      <c r="G364" s="1190"/>
      <c r="H364" s="1190"/>
      <c r="I364" s="1190"/>
      <c r="J364" s="1190"/>
      <c r="K364" s="1190"/>
      <c r="L364" s="1190"/>
      <c r="M364" s="1190"/>
      <c r="N364" s="1190"/>
      <c r="O364" s="1190"/>
      <c r="P364" s="1190"/>
      <c r="Q364" s="1190"/>
      <c r="R364" s="1190"/>
      <c r="S364" s="1189"/>
      <c r="T364" s="1190"/>
      <c r="U364" s="1190"/>
      <c r="V364" s="1190"/>
      <c r="W364" s="1190"/>
      <c r="X364" s="1190"/>
      <c r="Y364" s="1190"/>
      <c r="Z364" s="1190"/>
      <c r="AA364" s="1190"/>
      <c r="AB364" s="1190"/>
      <c r="AC364" s="1190"/>
      <c r="AD364" s="1190"/>
      <c r="AE364" s="1190"/>
      <c r="AF364" s="1190"/>
      <c r="AG364" s="1748"/>
      <c r="AH364" s="1190"/>
      <c r="AI364" s="1748"/>
      <c r="AJ364" s="1190"/>
      <c r="AK364" s="1190"/>
      <c r="AL364" s="1190"/>
      <c r="AM364" s="1190"/>
      <c r="AN364" s="1190"/>
      <c r="AO364" s="1190"/>
      <c r="AP364" s="1190"/>
      <c r="AQ364" s="1190"/>
      <c r="AR364" s="1190"/>
      <c r="AS364" s="1190"/>
      <c r="AT364" s="1190"/>
      <c r="AU364" s="1190"/>
      <c r="AV364" s="1190"/>
      <c r="AW364" s="1190"/>
      <c r="AX364" s="1190"/>
      <c r="AY364" s="1190"/>
      <c r="AZ364" s="1190"/>
      <c r="BA364" s="1190"/>
      <c r="BB364" s="1190"/>
      <c r="BC364" s="1190"/>
      <c r="BD364" s="1190"/>
      <c r="BE364" s="1190"/>
      <c r="BF364" s="1190"/>
      <c r="BG364" s="1190"/>
      <c r="BH364" s="1190"/>
      <c r="BI364" s="1190"/>
      <c r="BJ364" s="1190"/>
      <c r="BK364" s="1190"/>
      <c r="BL364" s="1190"/>
      <c r="BM364" s="1190"/>
      <c r="BQ364" s="195"/>
      <c r="BR364" s="195"/>
      <c r="BT364" s="1005"/>
    </row>
    <row r="365" ht="15.75" customHeight="1">
      <c r="A365" s="195"/>
      <c r="B365" s="978"/>
      <c r="C365" s="2321"/>
      <c r="D365" s="1729"/>
      <c r="E365" s="1190"/>
      <c r="F365" s="1190"/>
      <c r="G365" s="1190"/>
      <c r="H365" s="1190"/>
      <c r="I365" s="1190"/>
      <c r="J365" s="1190"/>
      <c r="K365" s="1190"/>
      <c r="L365" s="1190"/>
      <c r="M365" s="1190"/>
      <c r="N365" s="1190"/>
      <c r="O365" s="1190"/>
      <c r="P365" s="1190"/>
      <c r="Q365" s="1190"/>
      <c r="R365" s="1190"/>
      <c r="S365" s="1189"/>
      <c r="T365" s="1190"/>
      <c r="U365" s="1190"/>
      <c r="V365" s="1190"/>
      <c r="W365" s="1190"/>
      <c r="X365" s="1190"/>
      <c r="Y365" s="1190"/>
      <c r="Z365" s="1190"/>
      <c r="AA365" s="1190"/>
      <c r="AB365" s="1190"/>
      <c r="AC365" s="1190"/>
      <c r="AD365" s="1190"/>
      <c r="AE365" s="1190"/>
      <c r="AF365" s="1190"/>
      <c r="AG365" s="1748"/>
      <c r="AH365" s="1190"/>
      <c r="AI365" s="1748"/>
      <c r="AJ365" s="1190"/>
      <c r="AK365" s="1190"/>
      <c r="AL365" s="1190"/>
      <c r="AM365" s="1190"/>
      <c r="AN365" s="1190"/>
      <c r="AO365" s="1190"/>
      <c r="AP365" s="1190"/>
      <c r="AQ365" s="1190"/>
      <c r="AR365" s="1190"/>
      <c r="AS365" s="1190"/>
      <c r="AT365" s="1190"/>
      <c r="AU365" s="1190"/>
      <c r="AV365" s="1190"/>
      <c r="AW365" s="1190"/>
      <c r="AX365" s="1190"/>
      <c r="AY365" s="1190"/>
      <c r="AZ365" s="1190"/>
      <c r="BA365" s="1190"/>
      <c r="BB365" s="1190"/>
      <c r="BC365" s="1190"/>
      <c r="BD365" s="1190"/>
      <c r="BE365" s="1190"/>
      <c r="BF365" s="1190"/>
      <c r="BG365" s="1190"/>
      <c r="BH365" s="1190"/>
      <c r="BI365" s="1190"/>
      <c r="BJ365" s="1190"/>
      <c r="BK365" s="1190"/>
      <c r="BL365" s="1190"/>
      <c r="BM365" s="1190"/>
      <c r="BQ365" s="195"/>
      <c r="BR365" s="195"/>
      <c r="BT365" s="1005"/>
    </row>
    <row r="366" ht="15.75" customHeight="1">
      <c r="A366" s="195"/>
      <c r="B366" s="978"/>
      <c r="C366" s="2321"/>
      <c r="D366" s="1729"/>
      <c r="E366" s="1190"/>
      <c r="F366" s="1190"/>
      <c r="G366" s="1190"/>
      <c r="H366" s="1190"/>
      <c r="I366" s="1190"/>
      <c r="J366" s="1190"/>
      <c r="K366" s="1190"/>
      <c r="L366" s="1190"/>
      <c r="M366" s="1190"/>
      <c r="N366" s="1190"/>
      <c r="O366" s="1190"/>
      <c r="P366" s="1190"/>
      <c r="Q366" s="1190"/>
      <c r="R366" s="1190"/>
      <c r="S366" s="1189"/>
      <c r="T366" s="1190"/>
      <c r="U366" s="1190"/>
      <c r="V366" s="1190"/>
      <c r="W366" s="1190"/>
      <c r="X366" s="1190"/>
      <c r="Y366" s="1190"/>
      <c r="Z366" s="1190"/>
      <c r="AA366" s="1190"/>
      <c r="AB366" s="1190"/>
      <c r="AC366" s="1190"/>
      <c r="AD366" s="1190"/>
      <c r="AE366" s="1190"/>
      <c r="AF366" s="1190"/>
      <c r="AG366" s="1748"/>
      <c r="AH366" s="1190"/>
      <c r="AI366" s="1748"/>
      <c r="AJ366" s="1190"/>
      <c r="AK366" s="1190"/>
      <c r="AL366" s="1190"/>
      <c r="AM366" s="1190"/>
      <c r="AN366" s="1190"/>
      <c r="AO366" s="1190"/>
      <c r="AP366" s="1190"/>
      <c r="AQ366" s="1190"/>
      <c r="AR366" s="1190"/>
      <c r="AS366" s="1190"/>
      <c r="AT366" s="1190"/>
      <c r="AU366" s="1190"/>
      <c r="AV366" s="1190"/>
      <c r="AW366" s="1190"/>
      <c r="AX366" s="1190"/>
      <c r="AY366" s="1190"/>
      <c r="AZ366" s="1190"/>
      <c r="BA366" s="1190"/>
      <c r="BB366" s="1190"/>
      <c r="BC366" s="1190"/>
      <c r="BD366" s="1190"/>
      <c r="BE366" s="1190"/>
      <c r="BF366" s="1190"/>
      <c r="BG366" s="1190"/>
      <c r="BH366" s="1190"/>
      <c r="BI366" s="1190"/>
      <c r="BJ366" s="1190"/>
      <c r="BK366" s="1190"/>
      <c r="BL366" s="1190"/>
      <c r="BM366" s="1190"/>
      <c r="BQ366" s="195"/>
      <c r="BR366" s="195"/>
      <c r="BT366" s="1005"/>
    </row>
    <row r="367" ht="15.75" customHeight="1">
      <c r="A367" s="195"/>
      <c r="B367" s="978"/>
      <c r="C367" s="2321"/>
      <c r="D367" s="1729"/>
      <c r="E367" s="1190"/>
      <c r="F367" s="1190"/>
      <c r="G367" s="1190"/>
      <c r="H367" s="1190"/>
      <c r="I367" s="1190"/>
      <c r="J367" s="1190"/>
      <c r="K367" s="1190"/>
      <c r="L367" s="1190"/>
      <c r="M367" s="1190"/>
      <c r="N367" s="1190"/>
      <c r="O367" s="1190"/>
      <c r="P367" s="1190"/>
      <c r="Q367" s="1190"/>
      <c r="R367" s="1190"/>
      <c r="S367" s="1189"/>
      <c r="T367" s="1190"/>
      <c r="U367" s="1190"/>
      <c r="V367" s="1190"/>
      <c r="W367" s="1190"/>
      <c r="X367" s="1190"/>
      <c r="Y367" s="1190"/>
      <c r="Z367" s="1190"/>
      <c r="AA367" s="1190"/>
      <c r="AB367" s="1190"/>
      <c r="AC367" s="1190"/>
      <c r="AD367" s="1190"/>
      <c r="AE367" s="1190"/>
      <c r="AF367" s="1190"/>
      <c r="AG367" s="1748"/>
      <c r="AH367" s="1190"/>
      <c r="AI367" s="1748"/>
      <c r="AJ367" s="1190"/>
      <c r="AK367" s="1190"/>
      <c r="AL367" s="1190"/>
      <c r="AM367" s="1190"/>
      <c r="AN367" s="1190"/>
      <c r="AO367" s="1190"/>
      <c r="AP367" s="1190"/>
      <c r="AQ367" s="1190"/>
      <c r="AR367" s="1190"/>
      <c r="AS367" s="1190"/>
      <c r="AT367" s="1190"/>
      <c r="AU367" s="1190"/>
      <c r="AV367" s="1190"/>
      <c r="AW367" s="1190"/>
      <c r="AX367" s="1190"/>
      <c r="AY367" s="1190"/>
      <c r="AZ367" s="1190"/>
      <c r="BA367" s="1190"/>
      <c r="BB367" s="1190"/>
      <c r="BC367" s="1190"/>
      <c r="BD367" s="1190"/>
      <c r="BE367" s="1190"/>
      <c r="BF367" s="1190"/>
      <c r="BG367" s="1190"/>
      <c r="BH367" s="1190"/>
      <c r="BI367" s="1190"/>
      <c r="BJ367" s="1190"/>
      <c r="BK367" s="1190"/>
      <c r="BL367" s="1190"/>
      <c r="BM367" s="1190"/>
      <c r="BQ367" s="195"/>
      <c r="BR367" s="195"/>
      <c r="BT367" s="1005"/>
    </row>
    <row r="368" ht="15.75" customHeight="1">
      <c r="A368" s="195"/>
      <c r="B368" s="978"/>
      <c r="C368" s="2321"/>
      <c r="D368" s="1729"/>
      <c r="E368" s="1190"/>
      <c r="F368" s="1190"/>
      <c r="G368" s="1190"/>
      <c r="H368" s="1190"/>
      <c r="I368" s="1190"/>
      <c r="J368" s="1190"/>
      <c r="K368" s="1190"/>
      <c r="L368" s="1190"/>
      <c r="M368" s="1190"/>
      <c r="N368" s="1190"/>
      <c r="O368" s="1190"/>
      <c r="P368" s="1190"/>
      <c r="Q368" s="1190"/>
      <c r="R368" s="1190"/>
      <c r="S368" s="1189"/>
      <c r="T368" s="1190"/>
      <c r="U368" s="1190"/>
      <c r="V368" s="1190"/>
      <c r="W368" s="1190"/>
      <c r="X368" s="1190"/>
      <c r="Y368" s="1190"/>
      <c r="Z368" s="1190"/>
      <c r="AA368" s="1190"/>
      <c r="AB368" s="1190"/>
      <c r="AC368" s="1190"/>
      <c r="AD368" s="1190"/>
      <c r="AE368" s="1190"/>
      <c r="AF368" s="1190"/>
      <c r="AG368" s="1748"/>
      <c r="AH368" s="1190"/>
      <c r="AI368" s="1748"/>
      <c r="AJ368" s="1190"/>
      <c r="AK368" s="1190"/>
      <c r="AL368" s="1190"/>
      <c r="AM368" s="1190"/>
      <c r="AN368" s="1190"/>
      <c r="AO368" s="1190"/>
      <c r="AP368" s="1190"/>
      <c r="AQ368" s="1190"/>
      <c r="AR368" s="1190"/>
      <c r="AS368" s="1190"/>
      <c r="AT368" s="1190"/>
      <c r="AU368" s="1190"/>
      <c r="AV368" s="1190"/>
      <c r="AW368" s="1190"/>
      <c r="AX368" s="1190"/>
      <c r="AY368" s="1190"/>
      <c r="AZ368" s="1190"/>
      <c r="BA368" s="1190"/>
      <c r="BB368" s="1190"/>
      <c r="BC368" s="1190"/>
      <c r="BD368" s="1190"/>
      <c r="BE368" s="1190"/>
      <c r="BF368" s="1190"/>
      <c r="BG368" s="1190"/>
      <c r="BH368" s="1190"/>
      <c r="BI368" s="1190"/>
      <c r="BJ368" s="1190"/>
      <c r="BK368" s="1190"/>
      <c r="BL368" s="1190"/>
      <c r="BM368" s="1190"/>
      <c r="BQ368" s="195"/>
      <c r="BR368" s="195"/>
      <c r="BT368" s="1005"/>
    </row>
    <row r="369" ht="15.75" customHeight="1">
      <c r="A369" s="195"/>
      <c r="B369" s="978"/>
      <c r="C369" s="2321"/>
      <c r="D369" s="1729"/>
      <c r="E369" s="1190"/>
      <c r="F369" s="1190"/>
      <c r="G369" s="1190"/>
      <c r="H369" s="1190"/>
      <c r="I369" s="1190"/>
      <c r="J369" s="1190"/>
      <c r="K369" s="1190"/>
      <c r="L369" s="1190"/>
      <c r="M369" s="1190"/>
      <c r="N369" s="1190"/>
      <c r="O369" s="1190"/>
      <c r="P369" s="1190"/>
      <c r="Q369" s="1190"/>
      <c r="R369" s="1190"/>
      <c r="S369" s="1189"/>
      <c r="T369" s="1190"/>
      <c r="U369" s="1190"/>
      <c r="V369" s="1190"/>
      <c r="W369" s="1190"/>
      <c r="X369" s="1190"/>
      <c r="Y369" s="1190"/>
      <c r="Z369" s="1190"/>
      <c r="AA369" s="1190"/>
      <c r="AB369" s="1190"/>
      <c r="AC369" s="1190"/>
      <c r="AD369" s="1190"/>
      <c r="AE369" s="1190"/>
      <c r="AF369" s="1190"/>
      <c r="AG369" s="1748"/>
      <c r="AH369" s="1190"/>
      <c r="AI369" s="1748"/>
      <c r="AJ369" s="1190"/>
      <c r="AK369" s="1190"/>
      <c r="AL369" s="1190"/>
      <c r="AM369" s="1190"/>
      <c r="AN369" s="1190"/>
      <c r="AO369" s="1190"/>
      <c r="AP369" s="1190"/>
      <c r="AQ369" s="1190"/>
      <c r="AR369" s="1190"/>
      <c r="AS369" s="1190"/>
      <c r="AT369" s="1190"/>
      <c r="AU369" s="1190"/>
      <c r="AV369" s="1190"/>
      <c r="AW369" s="1190"/>
      <c r="AX369" s="1190"/>
      <c r="AY369" s="1190"/>
      <c r="AZ369" s="1190"/>
      <c r="BA369" s="1190"/>
      <c r="BB369" s="1190"/>
      <c r="BC369" s="1190"/>
      <c r="BD369" s="1190"/>
      <c r="BE369" s="1190"/>
      <c r="BF369" s="1190"/>
      <c r="BG369" s="1190"/>
      <c r="BH369" s="1190"/>
      <c r="BI369" s="1190"/>
      <c r="BJ369" s="1190"/>
      <c r="BK369" s="1190"/>
      <c r="BL369" s="1190"/>
      <c r="BM369" s="1190"/>
      <c r="BQ369" s="195"/>
      <c r="BR369" s="195"/>
      <c r="BT369" s="1005"/>
    </row>
    <row r="370" ht="15.75" customHeight="1">
      <c r="A370" s="195"/>
      <c r="B370" s="978"/>
      <c r="C370" s="2321"/>
      <c r="D370" s="1729"/>
      <c r="E370" s="1190"/>
      <c r="F370" s="1190"/>
      <c r="G370" s="1190"/>
      <c r="H370" s="1190"/>
      <c r="I370" s="1190"/>
      <c r="J370" s="1190"/>
      <c r="K370" s="1190"/>
      <c r="L370" s="1190"/>
      <c r="M370" s="1190"/>
      <c r="N370" s="1190"/>
      <c r="O370" s="1190"/>
      <c r="P370" s="1190"/>
      <c r="Q370" s="1190"/>
      <c r="R370" s="1190"/>
      <c r="S370" s="1189"/>
      <c r="T370" s="1190"/>
      <c r="U370" s="1190"/>
      <c r="V370" s="1190"/>
      <c r="W370" s="1190"/>
      <c r="X370" s="1190"/>
      <c r="Y370" s="1190"/>
      <c r="Z370" s="1190"/>
      <c r="AA370" s="1190"/>
      <c r="AB370" s="1190"/>
      <c r="AC370" s="1190"/>
      <c r="AD370" s="1190"/>
      <c r="AE370" s="1190"/>
      <c r="AF370" s="1190"/>
      <c r="AG370" s="1748"/>
      <c r="AH370" s="1190"/>
      <c r="AI370" s="1748"/>
      <c r="AJ370" s="1190"/>
      <c r="AK370" s="1190"/>
      <c r="AL370" s="1190"/>
      <c r="AM370" s="1190"/>
      <c r="AN370" s="1190"/>
      <c r="AO370" s="1190"/>
      <c r="AP370" s="1190"/>
      <c r="AQ370" s="1190"/>
      <c r="AR370" s="1190"/>
      <c r="AS370" s="1190"/>
      <c r="AT370" s="1190"/>
      <c r="AU370" s="1190"/>
      <c r="AV370" s="1190"/>
      <c r="AW370" s="1190"/>
      <c r="AX370" s="1190"/>
      <c r="AY370" s="1190"/>
      <c r="AZ370" s="1190"/>
      <c r="BA370" s="1190"/>
      <c r="BB370" s="1190"/>
      <c r="BC370" s="1190"/>
      <c r="BD370" s="1190"/>
      <c r="BE370" s="1190"/>
      <c r="BF370" s="1190"/>
      <c r="BG370" s="1190"/>
      <c r="BH370" s="1190"/>
      <c r="BI370" s="1190"/>
      <c r="BJ370" s="1190"/>
      <c r="BK370" s="1190"/>
      <c r="BL370" s="1190"/>
      <c r="BM370" s="1190"/>
      <c r="BQ370" s="195"/>
      <c r="BR370" s="195"/>
      <c r="BT370" s="1005"/>
    </row>
    <row r="371" ht="15.75" customHeight="1">
      <c r="A371" s="195"/>
      <c r="B371" s="978"/>
      <c r="C371" s="2321"/>
      <c r="D371" s="1729"/>
      <c r="E371" s="1190"/>
      <c r="F371" s="1190"/>
      <c r="G371" s="1190"/>
      <c r="H371" s="1190"/>
      <c r="I371" s="1190"/>
      <c r="J371" s="1190"/>
      <c r="K371" s="1190"/>
      <c r="L371" s="1190"/>
      <c r="M371" s="1190"/>
      <c r="N371" s="1190"/>
      <c r="O371" s="1190"/>
      <c r="P371" s="1190"/>
      <c r="Q371" s="1190"/>
      <c r="R371" s="1190"/>
      <c r="S371" s="1189"/>
      <c r="T371" s="1190"/>
      <c r="U371" s="1190"/>
      <c r="V371" s="1190"/>
      <c r="W371" s="1190"/>
      <c r="X371" s="1190"/>
      <c r="Y371" s="1190"/>
      <c r="Z371" s="1190"/>
      <c r="AA371" s="1190"/>
      <c r="AB371" s="1190"/>
      <c r="AC371" s="1190"/>
      <c r="AD371" s="1190"/>
      <c r="AE371" s="1190"/>
      <c r="AF371" s="1190"/>
      <c r="AG371" s="1748"/>
      <c r="AH371" s="1190"/>
      <c r="AI371" s="1748"/>
      <c r="AJ371" s="1190"/>
      <c r="AK371" s="1190"/>
      <c r="AL371" s="1190"/>
      <c r="AM371" s="1190"/>
      <c r="AN371" s="1190"/>
      <c r="AO371" s="1190"/>
      <c r="AP371" s="1190"/>
      <c r="AQ371" s="1190"/>
      <c r="AR371" s="1190"/>
      <c r="AS371" s="1190"/>
      <c r="AT371" s="1190"/>
      <c r="AU371" s="1190"/>
      <c r="AV371" s="1190"/>
      <c r="AW371" s="1190"/>
      <c r="AX371" s="1190"/>
      <c r="AY371" s="1190"/>
      <c r="AZ371" s="1190"/>
      <c r="BA371" s="1190"/>
      <c r="BB371" s="1190"/>
      <c r="BC371" s="1190"/>
      <c r="BD371" s="1190"/>
      <c r="BE371" s="1190"/>
      <c r="BF371" s="1190"/>
      <c r="BG371" s="1190"/>
      <c r="BH371" s="1190"/>
      <c r="BI371" s="1190"/>
      <c r="BJ371" s="1190"/>
      <c r="BK371" s="1190"/>
      <c r="BL371" s="1190"/>
      <c r="BM371" s="1190"/>
      <c r="BQ371" s="195"/>
      <c r="BR371" s="195"/>
      <c r="BT371" s="1005"/>
    </row>
    <row r="372" ht="15.75" customHeight="1">
      <c r="A372" s="195"/>
      <c r="B372" s="978"/>
      <c r="C372" s="2321"/>
      <c r="D372" s="1729"/>
      <c r="E372" s="1190"/>
      <c r="F372" s="1190"/>
      <c r="G372" s="1190"/>
      <c r="H372" s="1190"/>
      <c r="I372" s="1190"/>
      <c r="J372" s="1190"/>
      <c r="K372" s="1190"/>
      <c r="L372" s="1190"/>
      <c r="M372" s="1190"/>
      <c r="N372" s="1190"/>
      <c r="O372" s="1190"/>
      <c r="P372" s="1190"/>
      <c r="Q372" s="1190"/>
      <c r="R372" s="1190"/>
      <c r="S372" s="1189"/>
      <c r="T372" s="1190"/>
      <c r="U372" s="1190"/>
      <c r="V372" s="1190"/>
      <c r="W372" s="1190"/>
      <c r="X372" s="1190"/>
      <c r="Y372" s="1190"/>
      <c r="Z372" s="1190"/>
      <c r="AA372" s="1190"/>
      <c r="AB372" s="1190"/>
      <c r="AC372" s="1190"/>
      <c r="AD372" s="1190"/>
      <c r="AE372" s="1190"/>
      <c r="AF372" s="1190"/>
      <c r="AG372" s="1748"/>
      <c r="AH372" s="1190"/>
      <c r="AI372" s="1748"/>
      <c r="AJ372" s="1190"/>
      <c r="AK372" s="1190"/>
      <c r="AL372" s="1190"/>
      <c r="AM372" s="1190"/>
      <c r="AN372" s="1190"/>
      <c r="AO372" s="1190"/>
      <c r="AP372" s="1190"/>
      <c r="AQ372" s="1190"/>
      <c r="AR372" s="1190"/>
      <c r="AS372" s="1190"/>
      <c r="AT372" s="1190"/>
      <c r="AU372" s="1190"/>
      <c r="AV372" s="1190"/>
      <c r="AW372" s="1190"/>
      <c r="AX372" s="1190"/>
      <c r="AY372" s="1190"/>
      <c r="AZ372" s="1190"/>
      <c r="BA372" s="1190"/>
      <c r="BB372" s="1190"/>
      <c r="BC372" s="1190"/>
      <c r="BD372" s="1190"/>
      <c r="BE372" s="1190"/>
      <c r="BF372" s="1190"/>
      <c r="BG372" s="1190"/>
      <c r="BH372" s="1190"/>
      <c r="BI372" s="1190"/>
      <c r="BJ372" s="1190"/>
      <c r="BK372" s="1190"/>
      <c r="BL372" s="1190"/>
      <c r="BM372" s="1190"/>
      <c r="BQ372" s="195"/>
      <c r="BR372" s="195"/>
      <c r="BT372" s="1005"/>
    </row>
    <row r="373" ht="15.75" customHeight="1">
      <c r="A373" s="195"/>
      <c r="B373" s="978"/>
      <c r="C373" s="2321"/>
      <c r="D373" s="1729"/>
      <c r="E373" s="1190"/>
      <c r="F373" s="1190"/>
      <c r="G373" s="1190"/>
      <c r="H373" s="1190"/>
      <c r="I373" s="1190"/>
      <c r="J373" s="1190"/>
      <c r="K373" s="1190"/>
      <c r="L373" s="1190"/>
      <c r="M373" s="1190"/>
      <c r="N373" s="1190"/>
      <c r="O373" s="1190"/>
      <c r="P373" s="1190"/>
      <c r="Q373" s="1190"/>
      <c r="R373" s="1190"/>
      <c r="S373" s="1189"/>
      <c r="T373" s="1190"/>
      <c r="U373" s="1190"/>
      <c r="V373" s="1190"/>
      <c r="W373" s="1190"/>
      <c r="X373" s="1190"/>
      <c r="Y373" s="1190"/>
      <c r="Z373" s="1190"/>
      <c r="AA373" s="1190"/>
      <c r="AB373" s="1190"/>
      <c r="AC373" s="1190"/>
      <c r="AD373" s="1190"/>
      <c r="AE373" s="1190"/>
      <c r="AF373" s="1190"/>
      <c r="AG373" s="1748"/>
      <c r="AH373" s="1190"/>
      <c r="AI373" s="1748"/>
      <c r="AJ373" s="1190"/>
      <c r="AK373" s="1190"/>
      <c r="AL373" s="1190"/>
      <c r="AM373" s="1190"/>
      <c r="AN373" s="1190"/>
      <c r="AO373" s="1190"/>
      <c r="AP373" s="1190"/>
      <c r="AQ373" s="1190"/>
      <c r="AR373" s="1190"/>
      <c r="AS373" s="1190"/>
      <c r="AT373" s="1190"/>
      <c r="AU373" s="1190"/>
      <c r="AV373" s="1190"/>
      <c r="AW373" s="1190"/>
      <c r="AX373" s="1190"/>
      <c r="AY373" s="1190"/>
      <c r="AZ373" s="1190"/>
      <c r="BA373" s="1190"/>
      <c r="BB373" s="1190"/>
      <c r="BC373" s="1190"/>
      <c r="BD373" s="1190"/>
      <c r="BE373" s="1190"/>
      <c r="BF373" s="1190"/>
      <c r="BG373" s="1190"/>
      <c r="BH373" s="1190"/>
      <c r="BI373" s="1190"/>
      <c r="BJ373" s="1190"/>
      <c r="BK373" s="1190"/>
      <c r="BL373" s="1190"/>
      <c r="BM373" s="1190"/>
      <c r="BQ373" s="195"/>
      <c r="BR373" s="195"/>
      <c r="BT373" s="1005"/>
    </row>
    <row r="374" ht="15.75" customHeight="1">
      <c r="A374" s="195"/>
      <c r="B374" s="978"/>
      <c r="C374" s="2321"/>
      <c r="D374" s="1729"/>
      <c r="E374" s="1190"/>
      <c r="F374" s="1190"/>
      <c r="G374" s="1190"/>
      <c r="H374" s="1190"/>
      <c r="I374" s="1190"/>
      <c r="J374" s="1190"/>
      <c r="K374" s="1190"/>
      <c r="L374" s="1190"/>
      <c r="M374" s="1190"/>
      <c r="N374" s="1190"/>
      <c r="O374" s="1190"/>
      <c r="P374" s="1190"/>
      <c r="Q374" s="1190"/>
      <c r="R374" s="1190"/>
      <c r="S374" s="1189"/>
      <c r="T374" s="1190"/>
      <c r="U374" s="1190"/>
      <c r="V374" s="1190"/>
      <c r="W374" s="1190"/>
      <c r="X374" s="1190"/>
      <c r="Y374" s="1190"/>
      <c r="Z374" s="1190"/>
      <c r="AA374" s="1190"/>
      <c r="AB374" s="1190"/>
      <c r="AC374" s="1190"/>
      <c r="AD374" s="1190"/>
      <c r="AE374" s="1190"/>
      <c r="AF374" s="1190"/>
      <c r="AG374" s="1748"/>
      <c r="AH374" s="1190"/>
      <c r="AI374" s="1748"/>
      <c r="AJ374" s="1190"/>
      <c r="AK374" s="1190"/>
      <c r="AL374" s="1190"/>
      <c r="AM374" s="1190"/>
      <c r="AN374" s="1190"/>
      <c r="AO374" s="1190"/>
      <c r="AP374" s="1190"/>
      <c r="AQ374" s="1190"/>
      <c r="AR374" s="1190"/>
      <c r="AS374" s="1190"/>
      <c r="AT374" s="1190"/>
      <c r="AU374" s="1190"/>
      <c r="AV374" s="1190"/>
      <c r="AW374" s="1190"/>
      <c r="AX374" s="1190"/>
      <c r="AY374" s="1190"/>
      <c r="AZ374" s="1190"/>
      <c r="BA374" s="1190"/>
      <c r="BB374" s="1190"/>
      <c r="BC374" s="1190"/>
      <c r="BD374" s="1190"/>
      <c r="BE374" s="1190"/>
      <c r="BF374" s="1190"/>
      <c r="BG374" s="1190"/>
      <c r="BH374" s="1190"/>
      <c r="BI374" s="1190"/>
      <c r="BJ374" s="1190"/>
      <c r="BK374" s="1190"/>
      <c r="BL374" s="1190"/>
      <c r="BM374" s="1190"/>
      <c r="BQ374" s="195"/>
      <c r="BR374" s="195"/>
      <c r="BT374" s="1005"/>
    </row>
    <row r="375" ht="15.75" customHeight="1">
      <c r="A375" s="195"/>
      <c r="B375" s="978"/>
      <c r="C375" s="2321"/>
      <c r="D375" s="1729"/>
      <c r="E375" s="1190"/>
      <c r="F375" s="1190"/>
      <c r="G375" s="1190"/>
      <c r="H375" s="1190"/>
      <c r="I375" s="1190"/>
      <c r="J375" s="1190"/>
      <c r="K375" s="1190"/>
      <c r="L375" s="1190"/>
      <c r="M375" s="1190"/>
      <c r="N375" s="1190"/>
      <c r="O375" s="1190"/>
      <c r="P375" s="1190"/>
      <c r="Q375" s="1190"/>
      <c r="R375" s="1190"/>
      <c r="S375" s="1189"/>
      <c r="T375" s="1190"/>
      <c r="U375" s="1190"/>
      <c r="V375" s="1190"/>
      <c r="W375" s="1190"/>
      <c r="X375" s="1190"/>
      <c r="Y375" s="1190"/>
      <c r="Z375" s="1190"/>
      <c r="AA375" s="1190"/>
      <c r="AB375" s="1190"/>
      <c r="AC375" s="1190"/>
      <c r="AD375" s="1190"/>
      <c r="AE375" s="1190"/>
      <c r="AF375" s="1190"/>
      <c r="AG375" s="1748"/>
      <c r="AH375" s="1190"/>
      <c r="AI375" s="1748"/>
      <c r="AJ375" s="1190"/>
      <c r="AK375" s="1190"/>
      <c r="AL375" s="1190"/>
      <c r="AM375" s="1190"/>
      <c r="AN375" s="1190"/>
      <c r="AO375" s="1190"/>
      <c r="AP375" s="1190"/>
      <c r="AQ375" s="1190"/>
      <c r="AR375" s="1190"/>
      <c r="AS375" s="1190"/>
      <c r="AT375" s="1190"/>
      <c r="AU375" s="1190"/>
      <c r="AV375" s="1190"/>
      <c r="AW375" s="1190"/>
      <c r="AX375" s="1190"/>
      <c r="AY375" s="1190"/>
      <c r="AZ375" s="1190"/>
      <c r="BA375" s="1190"/>
      <c r="BB375" s="1190"/>
      <c r="BC375" s="1190"/>
      <c r="BD375" s="1190"/>
      <c r="BE375" s="1190"/>
      <c r="BF375" s="1190"/>
      <c r="BG375" s="1190"/>
      <c r="BH375" s="1190"/>
      <c r="BI375" s="1190"/>
      <c r="BJ375" s="1190"/>
      <c r="BK375" s="1190"/>
      <c r="BL375" s="1190"/>
      <c r="BM375" s="1190"/>
      <c r="BQ375" s="195"/>
      <c r="BR375" s="195"/>
      <c r="BT375" s="1005"/>
    </row>
    <row r="376" ht="15.75" customHeight="1">
      <c r="A376" s="195"/>
      <c r="B376" s="978"/>
      <c r="C376" s="2321"/>
      <c r="D376" s="1729"/>
      <c r="E376" s="1190"/>
      <c r="F376" s="1190"/>
      <c r="G376" s="1190"/>
      <c r="H376" s="1190"/>
      <c r="I376" s="1190"/>
      <c r="J376" s="1190"/>
      <c r="K376" s="1190"/>
      <c r="L376" s="1190"/>
      <c r="M376" s="1190"/>
      <c r="N376" s="1190"/>
      <c r="O376" s="1190"/>
      <c r="P376" s="1190"/>
      <c r="Q376" s="1190"/>
      <c r="R376" s="1190"/>
      <c r="S376" s="1189"/>
      <c r="T376" s="1190"/>
      <c r="U376" s="1190"/>
      <c r="V376" s="1190"/>
      <c r="W376" s="1190"/>
      <c r="X376" s="1190"/>
      <c r="Y376" s="1190"/>
      <c r="Z376" s="1190"/>
      <c r="AA376" s="1190"/>
      <c r="AB376" s="1190"/>
      <c r="AC376" s="1190"/>
      <c r="AD376" s="1190"/>
      <c r="AE376" s="1190"/>
      <c r="AF376" s="1190"/>
      <c r="AG376" s="1748"/>
      <c r="AH376" s="1190"/>
      <c r="AI376" s="1748"/>
      <c r="AJ376" s="1190"/>
      <c r="AK376" s="1190"/>
      <c r="AL376" s="1190"/>
      <c r="AM376" s="1190"/>
      <c r="AN376" s="1190"/>
      <c r="AO376" s="1190"/>
      <c r="AP376" s="1190"/>
      <c r="AQ376" s="1190"/>
      <c r="AR376" s="1190"/>
      <c r="AS376" s="1190"/>
      <c r="AT376" s="1190"/>
      <c r="AU376" s="1190"/>
      <c r="AV376" s="1190"/>
      <c r="AW376" s="1190"/>
      <c r="AX376" s="1190"/>
      <c r="AY376" s="1190"/>
      <c r="AZ376" s="1190"/>
      <c r="BA376" s="1190"/>
      <c r="BB376" s="1190"/>
      <c r="BC376" s="1190"/>
      <c r="BD376" s="1190"/>
      <c r="BE376" s="1190"/>
      <c r="BF376" s="1190"/>
      <c r="BG376" s="1190"/>
      <c r="BH376" s="1190"/>
      <c r="BI376" s="1190"/>
      <c r="BJ376" s="1190"/>
      <c r="BK376" s="1190"/>
      <c r="BL376" s="1190"/>
      <c r="BM376" s="1190"/>
      <c r="BQ376" s="195"/>
      <c r="BR376" s="195"/>
      <c r="BT376" s="1005"/>
    </row>
    <row r="377" ht="15.75" customHeight="1">
      <c r="A377" s="195"/>
      <c r="B377" s="978"/>
      <c r="C377" s="2321"/>
      <c r="D377" s="1729"/>
      <c r="E377" s="1190"/>
      <c r="F377" s="1190"/>
      <c r="G377" s="1190"/>
      <c r="H377" s="1190"/>
      <c r="I377" s="1190"/>
      <c r="J377" s="1190"/>
      <c r="K377" s="1190"/>
      <c r="L377" s="1190"/>
      <c r="M377" s="1190"/>
      <c r="N377" s="1190"/>
      <c r="O377" s="1190"/>
      <c r="P377" s="1190"/>
      <c r="Q377" s="1190"/>
      <c r="R377" s="1190"/>
      <c r="S377" s="1189"/>
      <c r="T377" s="1190"/>
      <c r="U377" s="1190"/>
      <c r="V377" s="1190"/>
      <c r="W377" s="1190"/>
      <c r="X377" s="1190"/>
      <c r="Y377" s="1190"/>
      <c r="Z377" s="1190"/>
      <c r="AA377" s="1190"/>
      <c r="AB377" s="1190"/>
      <c r="AC377" s="1190"/>
      <c r="AD377" s="1190"/>
      <c r="AE377" s="1190"/>
      <c r="AF377" s="1190"/>
      <c r="AG377" s="1748"/>
      <c r="AH377" s="1190"/>
      <c r="AI377" s="1748"/>
      <c r="AJ377" s="1190"/>
      <c r="AK377" s="1190"/>
      <c r="AL377" s="1190"/>
      <c r="AM377" s="1190"/>
      <c r="AN377" s="1190"/>
      <c r="AO377" s="1190"/>
      <c r="AP377" s="1190"/>
      <c r="AQ377" s="1190"/>
      <c r="AR377" s="1190"/>
      <c r="AS377" s="1190"/>
      <c r="AT377" s="1190"/>
      <c r="AU377" s="1190"/>
      <c r="AV377" s="1190"/>
      <c r="AW377" s="1190"/>
      <c r="AX377" s="1190"/>
      <c r="AY377" s="1190"/>
      <c r="AZ377" s="1190"/>
      <c r="BA377" s="1190"/>
      <c r="BB377" s="1190"/>
      <c r="BC377" s="1190"/>
      <c r="BD377" s="1190"/>
      <c r="BE377" s="1190"/>
      <c r="BF377" s="1190"/>
      <c r="BG377" s="1190"/>
      <c r="BH377" s="1190"/>
      <c r="BI377" s="1190"/>
      <c r="BJ377" s="1190"/>
      <c r="BK377" s="1190"/>
      <c r="BL377" s="1190"/>
      <c r="BM377" s="1190"/>
      <c r="BQ377" s="195"/>
      <c r="BR377" s="195"/>
      <c r="BT377" s="1005"/>
    </row>
    <row r="378" ht="15.75" customHeight="1">
      <c r="A378" s="195"/>
      <c r="B378" s="978"/>
      <c r="C378" s="2321"/>
      <c r="D378" s="1729"/>
      <c r="E378" s="1190"/>
      <c r="F378" s="1190"/>
      <c r="G378" s="1190"/>
      <c r="H378" s="1190"/>
      <c r="I378" s="1190"/>
      <c r="J378" s="1190"/>
      <c r="K378" s="1190"/>
      <c r="L378" s="1190"/>
      <c r="M378" s="1190"/>
      <c r="N378" s="1190"/>
      <c r="O378" s="1190"/>
      <c r="P378" s="1190"/>
      <c r="Q378" s="1190"/>
      <c r="R378" s="1190"/>
      <c r="S378" s="1189"/>
      <c r="T378" s="1190"/>
      <c r="U378" s="1190"/>
      <c r="V378" s="1190"/>
      <c r="W378" s="1190"/>
      <c r="X378" s="1190"/>
      <c r="Y378" s="1190"/>
      <c r="Z378" s="1190"/>
      <c r="AA378" s="1190"/>
      <c r="AB378" s="1190"/>
      <c r="AC378" s="1190"/>
      <c r="AD378" s="1190"/>
      <c r="AE378" s="1190"/>
      <c r="AF378" s="1190"/>
      <c r="AG378" s="1748"/>
      <c r="AH378" s="1190"/>
      <c r="AI378" s="1748"/>
      <c r="AJ378" s="1190"/>
      <c r="AK378" s="1190"/>
      <c r="AL378" s="1190"/>
      <c r="AM378" s="1190"/>
      <c r="AN378" s="1190"/>
      <c r="AO378" s="1190"/>
      <c r="AP378" s="1190"/>
      <c r="AQ378" s="1190"/>
      <c r="AR378" s="1190"/>
      <c r="AS378" s="1190"/>
      <c r="AT378" s="1190"/>
      <c r="AU378" s="1190"/>
      <c r="AV378" s="1190"/>
      <c r="AW378" s="1190"/>
      <c r="AX378" s="1190"/>
      <c r="AY378" s="1190"/>
      <c r="AZ378" s="1190"/>
      <c r="BA378" s="1190"/>
      <c r="BB378" s="1190"/>
      <c r="BC378" s="1190"/>
      <c r="BD378" s="1190"/>
      <c r="BE378" s="1190"/>
      <c r="BF378" s="1190"/>
      <c r="BG378" s="1190"/>
      <c r="BH378" s="1190"/>
      <c r="BI378" s="1190"/>
      <c r="BJ378" s="1190"/>
      <c r="BK378" s="1190"/>
      <c r="BL378" s="1190"/>
      <c r="BM378" s="1190"/>
      <c r="BQ378" s="195"/>
      <c r="BR378" s="195"/>
      <c r="BT378" s="1005"/>
    </row>
    <row r="379" ht="15.75" customHeight="1">
      <c r="A379" s="195"/>
      <c r="B379" s="978"/>
      <c r="C379" s="2321"/>
      <c r="D379" s="1729"/>
      <c r="E379" s="1190"/>
      <c r="F379" s="1190"/>
      <c r="G379" s="1190"/>
      <c r="H379" s="1190"/>
      <c r="I379" s="1190"/>
      <c r="J379" s="1190"/>
      <c r="K379" s="1190"/>
      <c r="L379" s="1190"/>
      <c r="M379" s="1190"/>
      <c r="N379" s="1190"/>
      <c r="O379" s="1190"/>
      <c r="P379" s="1190"/>
      <c r="Q379" s="1190"/>
      <c r="R379" s="1190"/>
      <c r="S379" s="1189"/>
      <c r="T379" s="1190"/>
      <c r="U379" s="1190"/>
      <c r="V379" s="1190"/>
      <c r="W379" s="1190"/>
      <c r="X379" s="1190"/>
      <c r="Y379" s="1190"/>
      <c r="Z379" s="1190"/>
      <c r="AA379" s="1190"/>
      <c r="AB379" s="1190"/>
      <c r="AC379" s="1190"/>
      <c r="AD379" s="1190"/>
      <c r="AE379" s="1190"/>
      <c r="AF379" s="1190"/>
      <c r="AG379" s="1748"/>
      <c r="AH379" s="1190"/>
      <c r="AI379" s="1748"/>
      <c r="AJ379" s="1190"/>
      <c r="AK379" s="1190"/>
      <c r="AL379" s="1190"/>
      <c r="AM379" s="1190"/>
      <c r="AN379" s="1190"/>
      <c r="AO379" s="1190"/>
      <c r="AP379" s="1190"/>
      <c r="AQ379" s="1190"/>
      <c r="AR379" s="1190"/>
      <c r="AS379" s="1190"/>
      <c r="AT379" s="1190"/>
      <c r="AU379" s="1190"/>
      <c r="AV379" s="1190"/>
      <c r="AW379" s="1190"/>
      <c r="AX379" s="1190"/>
      <c r="AY379" s="1190"/>
      <c r="AZ379" s="1190"/>
      <c r="BA379" s="1190"/>
      <c r="BB379" s="1190"/>
      <c r="BC379" s="1190"/>
      <c r="BD379" s="1190"/>
      <c r="BE379" s="1190"/>
      <c r="BF379" s="1190"/>
      <c r="BG379" s="1190"/>
      <c r="BH379" s="1190"/>
      <c r="BI379" s="1190"/>
      <c r="BJ379" s="1190"/>
      <c r="BK379" s="1190"/>
      <c r="BL379" s="1190"/>
      <c r="BM379" s="1190"/>
      <c r="BQ379" s="195"/>
      <c r="BR379" s="195"/>
      <c r="BT379" s="1005"/>
    </row>
    <row r="380" ht="15.75" customHeight="1">
      <c r="A380" s="195"/>
      <c r="B380" s="978"/>
      <c r="C380" s="2321"/>
      <c r="D380" s="1729"/>
      <c r="E380" s="1190"/>
      <c r="F380" s="1190"/>
      <c r="G380" s="1190"/>
      <c r="H380" s="1190"/>
      <c r="I380" s="1190"/>
      <c r="J380" s="1190"/>
      <c r="K380" s="1190"/>
      <c r="L380" s="1190"/>
      <c r="M380" s="1190"/>
      <c r="N380" s="1190"/>
      <c r="O380" s="1190"/>
      <c r="P380" s="1190"/>
      <c r="Q380" s="1190"/>
      <c r="R380" s="1190"/>
      <c r="S380" s="1189"/>
      <c r="T380" s="1190"/>
      <c r="U380" s="1190"/>
      <c r="V380" s="1190"/>
      <c r="W380" s="1190"/>
      <c r="X380" s="1190"/>
      <c r="Y380" s="1190"/>
      <c r="Z380" s="1190"/>
      <c r="AA380" s="1190"/>
      <c r="AB380" s="1190"/>
      <c r="AC380" s="1190"/>
      <c r="AD380" s="1190"/>
      <c r="AE380" s="1190"/>
      <c r="AF380" s="1190"/>
      <c r="AG380" s="1748"/>
      <c r="AH380" s="1190"/>
      <c r="AI380" s="1748"/>
      <c r="AJ380" s="1190"/>
      <c r="AK380" s="1190"/>
      <c r="AL380" s="1190"/>
      <c r="AM380" s="1190"/>
      <c r="AN380" s="1190"/>
      <c r="AO380" s="1190"/>
      <c r="AP380" s="1190"/>
      <c r="AQ380" s="1190"/>
      <c r="AR380" s="1190"/>
      <c r="AS380" s="1190"/>
      <c r="AT380" s="1190"/>
      <c r="AU380" s="1190"/>
      <c r="AV380" s="1190"/>
      <c r="AW380" s="1190"/>
      <c r="AX380" s="1190"/>
      <c r="AY380" s="1190"/>
      <c r="AZ380" s="1190"/>
      <c r="BA380" s="1190"/>
      <c r="BB380" s="1190"/>
      <c r="BC380" s="1190"/>
      <c r="BD380" s="1190"/>
      <c r="BE380" s="1190"/>
      <c r="BF380" s="1190"/>
      <c r="BG380" s="1190"/>
      <c r="BH380" s="1190"/>
      <c r="BI380" s="1190"/>
      <c r="BJ380" s="1190"/>
      <c r="BK380" s="1190"/>
      <c r="BL380" s="1190"/>
      <c r="BM380" s="1190"/>
      <c r="BQ380" s="195"/>
      <c r="BR380" s="195"/>
      <c r="BT380" s="1005"/>
    </row>
    <row r="381" ht="15.75" customHeight="1">
      <c r="A381" s="195"/>
      <c r="B381" s="978"/>
      <c r="C381" s="2321"/>
      <c r="D381" s="1729"/>
      <c r="E381" s="1190"/>
      <c r="F381" s="1190"/>
      <c r="G381" s="1190"/>
      <c r="H381" s="1190"/>
      <c r="I381" s="1190"/>
      <c r="J381" s="1190"/>
      <c r="K381" s="1190"/>
      <c r="L381" s="1190"/>
      <c r="M381" s="1190"/>
      <c r="N381" s="1190"/>
      <c r="O381" s="1190"/>
      <c r="P381" s="1190"/>
      <c r="Q381" s="1190"/>
      <c r="R381" s="1190"/>
      <c r="S381" s="1189"/>
      <c r="T381" s="1190"/>
      <c r="U381" s="1190"/>
      <c r="V381" s="1190"/>
      <c r="W381" s="1190"/>
      <c r="X381" s="1190"/>
      <c r="Y381" s="1190"/>
      <c r="Z381" s="1190"/>
      <c r="AA381" s="1190"/>
      <c r="AB381" s="1190"/>
      <c r="AC381" s="1190"/>
      <c r="AD381" s="1190"/>
      <c r="AE381" s="1190"/>
      <c r="AF381" s="1190"/>
      <c r="AG381" s="1748"/>
      <c r="AH381" s="1190"/>
      <c r="AI381" s="1748"/>
      <c r="AJ381" s="1190"/>
      <c r="AK381" s="1190"/>
      <c r="AL381" s="1190"/>
      <c r="AM381" s="1190"/>
      <c r="AN381" s="1190"/>
      <c r="AO381" s="1190"/>
      <c r="AP381" s="1190"/>
      <c r="AQ381" s="1190"/>
      <c r="AR381" s="1190"/>
      <c r="AS381" s="1190"/>
      <c r="AT381" s="1190"/>
      <c r="AU381" s="1190"/>
      <c r="AV381" s="1190"/>
      <c r="AW381" s="1190"/>
      <c r="AX381" s="1190"/>
      <c r="AY381" s="1190"/>
      <c r="AZ381" s="1190"/>
      <c r="BA381" s="1190"/>
      <c r="BB381" s="1190"/>
      <c r="BC381" s="1190"/>
      <c r="BD381" s="1190"/>
      <c r="BE381" s="1190"/>
      <c r="BF381" s="1190"/>
      <c r="BG381" s="1190"/>
      <c r="BH381" s="1190"/>
      <c r="BI381" s="1190"/>
      <c r="BJ381" s="1190"/>
      <c r="BK381" s="1190"/>
      <c r="BL381" s="1190"/>
      <c r="BM381" s="1190"/>
      <c r="BQ381" s="195"/>
      <c r="BR381" s="195"/>
      <c r="BT381" s="1005"/>
    </row>
    <row r="382" ht="15.75" customHeight="1">
      <c r="A382" s="195"/>
      <c r="B382" s="978"/>
      <c r="C382" s="2321"/>
      <c r="D382" s="1729"/>
      <c r="E382" s="1190"/>
      <c r="F382" s="1190"/>
      <c r="G382" s="1190"/>
      <c r="H382" s="1190"/>
      <c r="I382" s="1190"/>
      <c r="J382" s="1190"/>
      <c r="K382" s="1190"/>
      <c r="L382" s="1190"/>
      <c r="M382" s="1190"/>
      <c r="N382" s="1190"/>
      <c r="O382" s="1190"/>
      <c r="P382" s="1190"/>
      <c r="Q382" s="1190"/>
      <c r="R382" s="1190"/>
      <c r="S382" s="1189"/>
      <c r="T382" s="1190"/>
      <c r="U382" s="1190"/>
      <c r="V382" s="1190"/>
      <c r="W382" s="1190"/>
      <c r="X382" s="1190"/>
      <c r="Y382" s="1190"/>
      <c r="Z382" s="1190"/>
      <c r="AA382" s="1190"/>
      <c r="AB382" s="1190"/>
      <c r="AC382" s="1190"/>
      <c r="AD382" s="1190"/>
      <c r="AE382" s="1190"/>
      <c r="AF382" s="1190"/>
      <c r="AG382" s="1748"/>
      <c r="AH382" s="1190"/>
      <c r="AI382" s="1748"/>
      <c r="AJ382" s="1190"/>
      <c r="AK382" s="1190"/>
      <c r="AL382" s="1190"/>
      <c r="AM382" s="1190"/>
      <c r="AN382" s="1190"/>
      <c r="AO382" s="1190"/>
      <c r="AP382" s="1190"/>
      <c r="AQ382" s="1190"/>
      <c r="AR382" s="1190"/>
      <c r="AS382" s="1190"/>
      <c r="AT382" s="1190"/>
      <c r="AU382" s="1190"/>
      <c r="AV382" s="1190"/>
      <c r="AW382" s="1190"/>
      <c r="AX382" s="1190"/>
      <c r="AY382" s="1190"/>
      <c r="AZ382" s="1190"/>
      <c r="BA382" s="1190"/>
      <c r="BB382" s="1190"/>
      <c r="BC382" s="1190"/>
      <c r="BD382" s="1190"/>
      <c r="BE382" s="1190"/>
      <c r="BF382" s="1190"/>
      <c r="BG382" s="1190"/>
      <c r="BH382" s="1190"/>
      <c r="BI382" s="1190"/>
      <c r="BJ382" s="1190"/>
      <c r="BK382" s="1190"/>
      <c r="BL382" s="1190"/>
      <c r="BM382" s="1190"/>
      <c r="BQ382" s="195"/>
      <c r="BR382" s="195"/>
      <c r="BT382" s="1005"/>
    </row>
    <row r="383" ht="15.75" customHeight="1">
      <c r="A383" s="195"/>
      <c r="B383" s="978"/>
      <c r="C383" s="2321"/>
      <c r="D383" s="1729"/>
      <c r="E383" s="1190"/>
      <c r="F383" s="1190"/>
      <c r="G383" s="1190"/>
      <c r="H383" s="1190"/>
      <c r="I383" s="1190"/>
      <c r="J383" s="1190"/>
      <c r="K383" s="1190"/>
      <c r="L383" s="1190"/>
      <c r="M383" s="1190"/>
      <c r="N383" s="1190"/>
      <c r="O383" s="1190"/>
      <c r="P383" s="1190"/>
      <c r="Q383" s="1190"/>
      <c r="R383" s="1190"/>
      <c r="S383" s="1189"/>
      <c r="T383" s="1190"/>
      <c r="U383" s="1190"/>
      <c r="V383" s="1190"/>
      <c r="W383" s="1190"/>
      <c r="X383" s="1190"/>
      <c r="Y383" s="1190"/>
      <c r="Z383" s="1190"/>
      <c r="AA383" s="1190"/>
      <c r="AB383" s="1190"/>
      <c r="AC383" s="1190"/>
      <c r="AD383" s="1190"/>
      <c r="AE383" s="1190"/>
      <c r="AF383" s="1190"/>
      <c r="AG383" s="1748"/>
      <c r="AH383" s="1190"/>
      <c r="AI383" s="1748"/>
      <c r="AJ383" s="1190"/>
      <c r="AK383" s="1190"/>
      <c r="AL383" s="1190"/>
      <c r="AM383" s="1190"/>
      <c r="AN383" s="1190"/>
      <c r="AO383" s="1190"/>
      <c r="AP383" s="1190"/>
      <c r="AQ383" s="1190"/>
      <c r="AR383" s="1190"/>
      <c r="AS383" s="1190"/>
      <c r="AT383" s="1190"/>
      <c r="AU383" s="1190"/>
      <c r="AV383" s="1190"/>
      <c r="AW383" s="1190"/>
      <c r="AX383" s="1190"/>
      <c r="AY383" s="1190"/>
      <c r="AZ383" s="1190"/>
      <c r="BA383" s="1190"/>
      <c r="BB383" s="1190"/>
      <c r="BC383" s="1190"/>
      <c r="BD383" s="1190"/>
      <c r="BE383" s="1190"/>
      <c r="BF383" s="1190"/>
      <c r="BG383" s="1190"/>
      <c r="BH383" s="1190"/>
      <c r="BI383" s="1190"/>
      <c r="BJ383" s="1190"/>
      <c r="BK383" s="1190"/>
      <c r="BL383" s="1190"/>
      <c r="BM383" s="1190"/>
      <c r="BQ383" s="195"/>
      <c r="BR383" s="195"/>
      <c r="BT383" s="1005"/>
    </row>
    <row r="384" ht="15.75" customHeight="1">
      <c r="A384" s="195"/>
      <c r="B384" s="978"/>
      <c r="C384" s="2321"/>
      <c r="D384" s="1729"/>
      <c r="E384" s="1190"/>
      <c r="F384" s="1190"/>
      <c r="G384" s="1190"/>
      <c r="H384" s="1190"/>
      <c r="I384" s="1190"/>
      <c r="J384" s="1190"/>
      <c r="K384" s="1190"/>
      <c r="L384" s="1190"/>
      <c r="M384" s="1190"/>
      <c r="N384" s="1190"/>
      <c r="O384" s="1190"/>
      <c r="P384" s="1190"/>
      <c r="Q384" s="1190"/>
      <c r="R384" s="1190"/>
      <c r="S384" s="1189"/>
      <c r="T384" s="1190"/>
      <c r="U384" s="1190"/>
      <c r="V384" s="1190"/>
      <c r="W384" s="1190"/>
      <c r="X384" s="1190"/>
      <c r="Y384" s="1190"/>
      <c r="Z384" s="1190"/>
      <c r="AA384" s="1190"/>
      <c r="AB384" s="1190"/>
      <c r="AC384" s="1190"/>
      <c r="AD384" s="1190"/>
      <c r="AE384" s="1190"/>
      <c r="AF384" s="1190"/>
      <c r="AG384" s="1748"/>
      <c r="AH384" s="1190"/>
      <c r="AI384" s="1748"/>
      <c r="AJ384" s="1190"/>
      <c r="AK384" s="1190"/>
      <c r="AL384" s="1190"/>
      <c r="AM384" s="1190"/>
      <c r="AN384" s="1190"/>
      <c r="AO384" s="1190"/>
      <c r="AP384" s="1190"/>
      <c r="AQ384" s="1190"/>
      <c r="AR384" s="1190"/>
      <c r="AS384" s="1190"/>
      <c r="AT384" s="1190"/>
      <c r="AU384" s="1190"/>
      <c r="AV384" s="1190"/>
      <c r="AW384" s="1190"/>
      <c r="AX384" s="1190"/>
      <c r="AY384" s="1190"/>
      <c r="AZ384" s="1190"/>
      <c r="BA384" s="1190"/>
      <c r="BB384" s="1190"/>
      <c r="BC384" s="1190"/>
      <c r="BD384" s="1190"/>
      <c r="BE384" s="1190"/>
      <c r="BF384" s="1190"/>
      <c r="BG384" s="1190"/>
      <c r="BH384" s="1190"/>
      <c r="BI384" s="1190"/>
      <c r="BJ384" s="1190"/>
      <c r="BK384" s="1190"/>
      <c r="BL384" s="1190"/>
      <c r="BM384" s="1190"/>
      <c r="BQ384" s="195"/>
      <c r="BR384" s="195"/>
      <c r="BT384" s="1005"/>
    </row>
    <row r="385" ht="15.75" customHeight="1">
      <c r="A385" s="195"/>
      <c r="B385" s="978"/>
      <c r="C385" s="2321"/>
      <c r="D385" s="1729"/>
      <c r="E385" s="1190"/>
      <c r="F385" s="1190"/>
      <c r="G385" s="1190"/>
      <c r="H385" s="1190"/>
      <c r="I385" s="1190"/>
      <c r="J385" s="1190"/>
      <c r="K385" s="1190"/>
      <c r="L385" s="1190"/>
      <c r="M385" s="1190"/>
      <c r="N385" s="1190"/>
      <c r="O385" s="1190"/>
      <c r="P385" s="1190"/>
      <c r="Q385" s="1190"/>
      <c r="R385" s="1190"/>
      <c r="S385" s="1189"/>
      <c r="T385" s="1190"/>
      <c r="U385" s="1190"/>
      <c r="V385" s="1190"/>
      <c r="W385" s="1190"/>
      <c r="X385" s="1190"/>
      <c r="Y385" s="1190"/>
      <c r="Z385" s="1190"/>
      <c r="AA385" s="1190"/>
      <c r="AB385" s="1190"/>
      <c r="AC385" s="1190"/>
      <c r="AD385" s="1190"/>
      <c r="AE385" s="1190"/>
      <c r="AF385" s="1190"/>
      <c r="AG385" s="1748"/>
      <c r="AH385" s="1190"/>
      <c r="AI385" s="1748"/>
      <c r="AJ385" s="1190"/>
      <c r="AK385" s="1190"/>
      <c r="AL385" s="1190"/>
      <c r="AM385" s="1190"/>
      <c r="AN385" s="1190"/>
      <c r="AO385" s="1190"/>
      <c r="AP385" s="1190"/>
      <c r="AQ385" s="1190"/>
      <c r="AR385" s="1190"/>
      <c r="AS385" s="1190"/>
      <c r="AT385" s="1190"/>
      <c r="AU385" s="1190"/>
      <c r="AV385" s="1190"/>
      <c r="AW385" s="1190"/>
      <c r="AX385" s="1190"/>
      <c r="AY385" s="1190"/>
      <c r="AZ385" s="1190"/>
      <c r="BA385" s="1190"/>
      <c r="BB385" s="1190"/>
      <c r="BC385" s="1190"/>
      <c r="BD385" s="1190"/>
      <c r="BE385" s="1190"/>
      <c r="BF385" s="1190"/>
      <c r="BG385" s="1190"/>
      <c r="BH385" s="1190"/>
      <c r="BI385" s="1190"/>
      <c r="BJ385" s="1190"/>
      <c r="BK385" s="1190"/>
      <c r="BL385" s="1190"/>
      <c r="BM385" s="1190"/>
      <c r="BQ385" s="195"/>
      <c r="BR385" s="195"/>
      <c r="BT385" s="1005"/>
    </row>
    <row r="386" ht="15.75" customHeight="1">
      <c r="A386" s="195"/>
      <c r="B386" s="978"/>
      <c r="C386" s="2321"/>
      <c r="D386" s="1729"/>
      <c r="E386" s="1190"/>
      <c r="F386" s="1190"/>
      <c r="G386" s="1190"/>
      <c r="H386" s="1190"/>
      <c r="I386" s="1190"/>
      <c r="J386" s="1190"/>
      <c r="K386" s="1190"/>
      <c r="L386" s="1190"/>
      <c r="M386" s="1190"/>
      <c r="N386" s="1190"/>
      <c r="O386" s="1190"/>
      <c r="P386" s="1190"/>
      <c r="Q386" s="1190"/>
      <c r="R386" s="1190"/>
      <c r="S386" s="1189"/>
      <c r="T386" s="1190"/>
      <c r="U386" s="1190"/>
      <c r="V386" s="1190"/>
      <c r="W386" s="1190"/>
      <c r="X386" s="1190"/>
      <c r="Y386" s="1190"/>
      <c r="Z386" s="1190"/>
      <c r="AA386" s="1190"/>
      <c r="AB386" s="1190"/>
      <c r="AC386" s="1190"/>
      <c r="AD386" s="1190"/>
      <c r="AE386" s="1190"/>
      <c r="AF386" s="1190"/>
      <c r="AG386" s="1748"/>
      <c r="AH386" s="1190"/>
      <c r="AI386" s="1748"/>
      <c r="AJ386" s="1190"/>
      <c r="AK386" s="1190"/>
      <c r="AL386" s="1190"/>
      <c r="AM386" s="1190"/>
      <c r="AN386" s="1190"/>
      <c r="AO386" s="1190"/>
      <c r="AP386" s="1190"/>
      <c r="AQ386" s="1190"/>
      <c r="AR386" s="1190"/>
      <c r="AS386" s="1190"/>
      <c r="AT386" s="1190"/>
      <c r="AU386" s="1190"/>
      <c r="AV386" s="1190"/>
      <c r="AW386" s="1190"/>
      <c r="AX386" s="1190"/>
      <c r="AY386" s="1190"/>
      <c r="AZ386" s="1190"/>
      <c r="BA386" s="1190"/>
      <c r="BB386" s="1190"/>
      <c r="BC386" s="1190"/>
      <c r="BD386" s="1190"/>
      <c r="BE386" s="1190"/>
      <c r="BF386" s="1190"/>
      <c r="BG386" s="1190"/>
      <c r="BH386" s="1190"/>
      <c r="BI386" s="1190"/>
      <c r="BJ386" s="1190"/>
      <c r="BK386" s="1190"/>
      <c r="BL386" s="1190"/>
      <c r="BM386" s="1190"/>
      <c r="BQ386" s="195"/>
      <c r="BR386" s="195"/>
      <c r="BT386" s="1005"/>
    </row>
    <row r="387" ht="15.75" customHeight="1">
      <c r="A387" s="195"/>
      <c r="B387" s="978"/>
      <c r="C387" s="2321"/>
      <c r="D387" s="1729"/>
      <c r="E387" s="1190"/>
      <c r="F387" s="1190"/>
      <c r="G387" s="1190"/>
      <c r="H387" s="1190"/>
      <c r="I387" s="1190"/>
      <c r="J387" s="1190"/>
      <c r="K387" s="1190"/>
      <c r="L387" s="1190"/>
      <c r="M387" s="1190"/>
      <c r="N387" s="1190"/>
      <c r="O387" s="1190"/>
      <c r="P387" s="1190"/>
      <c r="Q387" s="1190"/>
      <c r="R387" s="1190"/>
      <c r="S387" s="1189"/>
      <c r="T387" s="1190"/>
      <c r="U387" s="1190"/>
      <c r="V387" s="1190"/>
      <c r="W387" s="1190"/>
      <c r="X387" s="1190"/>
      <c r="Y387" s="1190"/>
      <c r="Z387" s="1190"/>
      <c r="AA387" s="1190"/>
      <c r="AB387" s="1190"/>
      <c r="AC387" s="1190"/>
      <c r="AD387" s="1190"/>
      <c r="AE387" s="1190"/>
      <c r="AF387" s="1190"/>
      <c r="AG387" s="1748"/>
      <c r="AH387" s="1190"/>
      <c r="AI387" s="1748"/>
      <c r="AJ387" s="1190"/>
      <c r="AK387" s="1190"/>
      <c r="AL387" s="1190"/>
      <c r="AM387" s="1190"/>
      <c r="AN387" s="1190"/>
      <c r="AO387" s="1190"/>
      <c r="AP387" s="1190"/>
      <c r="AQ387" s="1190"/>
      <c r="AR387" s="1190"/>
      <c r="AS387" s="1190"/>
      <c r="AT387" s="1190"/>
      <c r="AU387" s="1190"/>
      <c r="AV387" s="1190"/>
      <c r="AW387" s="1190"/>
      <c r="AX387" s="1190"/>
      <c r="AY387" s="1190"/>
      <c r="AZ387" s="1190"/>
      <c r="BA387" s="1190"/>
      <c r="BB387" s="1190"/>
      <c r="BC387" s="1190"/>
      <c r="BD387" s="1190"/>
      <c r="BE387" s="1190"/>
      <c r="BF387" s="1190"/>
      <c r="BG387" s="1190"/>
      <c r="BH387" s="1190"/>
      <c r="BI387" s="1190"/>
      <c r="BJ387" s="1190"/>
      <c r="BK387" s="1190"/>
      <c r="BL387" s="1190"/>
      <c r="BM387" s="1190"/>
      <c r="BQ387" s="195"/>
      <c r="BR387" s="195"/>
      <c r="BT387" s="1005"/>
    </row>
    <row r="388" ht="15.75" customHeight="1">
      <c r="A388" s="195"/>
      <c r="B388" s="978"/>
      <c r="C388" s="2321"/>
      <c r="D388" s="1729"/>
      <c r="E388" s="1190"/>
      <c r="F388" s="1190"/>
      <c r="G388" s="1190"/>
      <c r="H388" s="1190"/>
      <c r="I388" s="1190"/>
      <c r="J388" s="1190"/>
      <c r="K388" s="1190"/>
      <c r="L388" s="1190"/>
      <c r="M388" s="1190"/>
      <c r="N388" s="1190"/>
      <c r="O388" s="1190"/>
      <c r="P388" s="1190"/>
      <c r="Q388" s="1190"/>
      <c r="R388" s="1190"/>
      <c r="S388" s="1189"/>
      <c r="T388" s="1190"/>
      <c r="U388" s="1190"/>
      <c r="V388" s="1190"/>
      <c r="W388" s="1190"/>
      <c r="X388" s="1190"/>
      <c r="Y388" s="1190"/>
      <c r="Z388" s="1190"/>
      <c r="AA388" s="1190"/>
      <c r="AB388" s="1190"/>
      <c r="AC388" s="1190"/>
      <c r="AD388" s="1190"/>
      <c r="AE388" s="1190"/>
      <c r="AF388" s="1190"/>
      <c r="AG388" s="1748"/>
      <c r="AH388" s="1190"/>
      <c r="AI388" s="1748"/>
      <c r="AJ388" s="1190"/>
      <c r="AK388" s="1190"/>
      <c r="AL388" s="1190"/>
      <c r="AM388" s="1190"/>
      <c r="AN388" s="1190"/>
      <c r="AO388" s="1190"/>
      <c r="AP388" s="1190"/>
      <c r="AQ388" s="1190"/>
      <c r="AR388" s="1190"/>
      <c r="AS388" s="1190"/>
      <c r="AT388" s="1190"/>
      <c r="AU388" s="1190"/>
      <c r="AV388" s="1190"/>
      <c r="AW388" s="1190"/>
      <c r="AX388" s="1190"/>
      <c r="AY388" s="1190"/>
      <c r="AZ388" s="1190"/>
      <c r="BA388" s="1190"/>
      <c r="BB388" s="1190"/>
      <c r="BC388" s="1190"/>
      <c r="BD388" s="1190"/>
      <c r="BE388" s="1190"/>
      <c r="BF388" s="1190"/>
      <c r="BG388" s="1190"/>
      <c r="BH388" s="1190"/>
      <c r="BI388" s="1190"/>
      <c r="BJ388" s="1190"/>
      <c r="BK388" s="1190"/>
      <c r="BL388" s="1190"/>
      <c r="BM388" s="1190"/>
      <c r="BQ388" s="195"/>
      <c r="BR388" s="195"/>
      <c r="BT388" s="1005"/>
    </row>
    <row r="389" ht="15.75" customHeight="1">
      <c r="A389" s="195"/>
      <c r="B389" s="978"/>
      <c r="C389" s="2321"/>
      <c r="D389" s="1729"/>
      <c r="E389" s="1190"/>
      <c r="F389" s="1190"/>
      <c r="G389" s="1190"/>
      <c r="H389" s="1190"/>
      <c r="I389" s="1190"/>
      <c r="J389" s="1190"/>
      <c r="K389" s="1190"/>
      <c r="L389" s="1190"/>
      <c r="M389" s="1190"/>
      <c r="N389" s="1190"/>
      <c r="O389" s="1190"/>
      <c r="P389" s="1190"/>
      <c r="Q389" s="1190"/>
      <c r="R389" s="1190"/>
      <c r="S389" s="1189"/>
      <c r="T389" s="1190"/>
      <c r="U389" s="1190"/>
      <c r="V389" s="1190"/>
      <c r="W389" s="1190"/>
      <c r="X389" s="1190"/>
      <c r="Y389" s="1190"/>
      <c r="Z389" s="1190"/>
      <c r="AA389" s="1190"/>
      <c r="AB389" s="1190"/>
      <c r="AC389" s="1190"/>
      <c r="AD389" s="1190"/>
      <c r="AE389" s="1190"/>
      <c r="AF389" s="1190"/>
      <c r="AG389" s="1748"/>
      <c r="AH389" s="1190"/>
      <c r="AI389" s="1748"/>
      <c r="AJ389" s="1190"/>
      <c r="AK389" s="1190"/>
      <c r="AL389" s="1190"/>
      <c r="AM389" s="1190"/>
      <c r="AN389" s="1190"/>
      <c r="AO389" s="1190"/>
      <c r="AP389" s="1190"/>
      <c r="AQ389" s="1190"/>
      <c r="AR389" s="1190"/>
      <c r="AS389" s="1190"/>
      <c r="AT389" s="1190"/>
      <c r="AU389" s="1190"/>
      <c r="AV389" s="1190"/>
      <c r="AW389" s="1190"/>
      <c r="AX389" s="1190"/>
      <c r="AY389" s="1190"/>
      <c r="AZ389" s="1190"/>
      <c r="BA389" s="1190"/>
      <c r="BB389" s="1190"/>
      <c r="BC389" s="1190"/>
      <c r="BD389" s="1190"/>
      <c r="BE389" s="1190"/>
      <c r="BF389" s="1190"/>
      <c r="BG389" s="1190"/>
      <c r="BH389" s="1190"/>
      <c r="BI389" s="1190"/>
      <c r="BJ389" s="1190"/>
      <c r="BK389" s="1190"/>
      <c r="BL389" s="1190"/>
      <c r="BM389" s="1190"/>
      <c r="BQ389" s="195"/>
      <c r="BR389" s="195"/>
      <c r="BT389" s="1005"/>
    </row>
    <row r="390" ht="15.75" customHeight="1">
      <c r="A390" s="195"/>
      <c r="B390" s="978"/>
      <c r="C390" s="2321"/>
      <c r="D390" s="1729"/>
      <c r="E390" s="1190"/>
      <c r="F390" s="1190"/>
      <c r="G390" s="1190"/>
      <c r="H390" s="1190"/>
      <c r="I390" s="1190"/>
      <c r="J390" s="1190"/>
      <c r="K390" s="1190"/>
      <c r="L390" s="1190"/>
      <c r="M390" s="1190"/>
      <c r="N390" s="1190"/>
      <c r="O390" s="1190"/>
      <c r="P390" s="1190"/>
      <c r="Q390" s="1190"/>
      <c r="R390" s="1190"/>
      <c r="S390" s="1189"/>
      <c r="T390" s="1190"/>
      <c r="U390" s="1190"/>
      <c r="V390" s="1190"/>
      <c r="W390" s="1190"/>
      <c r="X390" s="1190"/>
      <c r="Y390" s="1190"/>
      <c r="Z390" s="1190"/>
      <c r="AA390" s="1190"/>
      <c r="AB390" s="1190"/>
      <c r="AC390" s="1190"/>
      <c r="AD390" s="1190"/>
      <c r="AE390" s="1190"/>
      <c r="AF390" s="1190"/>
      <c r="AG390" s="1748"/>
      <c r="AH390" s="1190"/>
      <c r="AI390" s="1748"/>
      <c r="AJ390" s="1190"/>
      <c r="AK390" s="1190"/>
      <c r="AL390" s="1190"/>
      <c r="AM390" s="1190"/>
      <c r="AN390" s="1190"/>
      <c r="AO390" s="1190"/>
      <c r="AP390" s="1190"/>
      <c r="AQ390" s="1190"/>
      <c r="AR390" s="1190"/>
      <c r="AS390" s="1190"/>
      <c r="AT390" s="1190"/>
      <c r="AU390" s="1190"/>
      <c r="AV390" s="1190"/>
      <c r="AW390" s="1190"/>
      <c r="AX390" s="1190"/>
      <c r="AY390" s="1190"/>
      <c r="AZ390" s="1190"/>
      <c r="BA390" s="1190"/>
      <c r="BB390" s="1190"/>
      <c r="BC390" s="1190"/>
      <c r="BD390" s="1190"/>
      <c r="BE390" s="1190"/>
      <c r="BF390" s="1190"/>
      <c r="BG390" s="1190"/>
      <c r="BH390" s="1190"/>
      <c r="BI390" s="1190"/>
      <c r="BJ390" s="1190"/>
      <c r="BK390" s="1190"/>
      <c r="BL390" s="1190"/>
      <c r="BM390" s="1190"/>
      <c r="BQ390" s="195"/>
      <c r="BR390" s="195"/>
      <c r="BT390" s="1005"/>
    </row>
    <row r="391" ht="15.75" customHeight="1">
      <c r="A391" s="195"/>
      <c r="B391" s="978"/>
      <c r="C391" s="2321"/>
      <c r="D391" s="1729"/>
      <c r="E391" s="1190"/>
      <c r="F391" s="1190"/>
      <c r="G391" s="1190"/>
      <c r="H391" s="1190"/>
      <c r="I391" s="1190"/>
      <c r="J391" s="1190"/>
      <c r="K391" s="1190"/>
      <c r="L391" s="1190"/>
      <c r="M391" s="1190"/>
      <c r="N391" s="1190"/>
      <c r="O391" s="1190"/>
      <c r="P391" s="1190"/>
      <c r="Q391" s="1190"/>
      <c r="R391" s="1190"/>
      <c r="S391" s="1189"/>
      <c r="T391" s="1190"/>
      <c r="U391" s="1190"/>
      <c r="V391" s="1190"/>
      <c r="W391" s="1190"/>
      <c r="X391" s="1190"/>
      <c r="Y391" s="1190"/>
      <c r="Z391" s="1190"/>
      <c r="AA391" s="1190"/>
      <c r="AB391" s="1190"/>
      <c r="AC391" s="1190"/>
      <c r="AD391" s="1190"/>
      <c r="AE391" s="1190"/>
      <c r="AF391" s="1190"/>
      <c r="AG391" s="1748"/>
      <c r="AH391" s="1190"/>
      <c r="AI391" s="1748"/>
      <c r="AJ391" s="1190"/>
      <c r="AK391" s="1190"/>
      <c r="AL391" s="1190"/>
      <c r="AM391" s="1190"/>
      <c r="AN391" s="1190"/>
      <c r="AO391" s="1190"/>
      <c r="AP391" s="1190"/>
      <c r="AQ391" s="1190"/>
      <c r="AR391" s="1190"/>
      <c r="AS391" s="1190"/>
      <c r="AT391" s="1190"/>
      <c r="AU391" s="1190"/>
      <c r="AV391" s="1190"/>
      <c r="AW391" s="1190"/>
      <c r="AX391" s="1190"/>
      <c r="AY391" s="1190"/>
      <c r="AZ391" s="1190"/>
      <c r="BA391" s="1190"/>
      <c r="BB391" s="1190"/>
      <c r="BC391" s="1190"/>
      <c r="BD391" s="1190"/>
      <c r="BE391" s="1190"/>
      <c r="BF391" s="1190"/>
      <c r="BG391" s="1190"/>
      <c r="BH391" s="1190"/>
      <c r="BI391" s="1190"/>
      <c r="BJ391" s="1190"/>
      <c r="BK391" s="1190"/>
      <c r="BL391" s="1190"/>
      <c r="BM391" s="1190"/>
      <c r="BQ391" s="195"/>
      <c r="BR391" s="195"/>
      <c r="BT391" s="1005"/>
    </row>
    <row r="392" ht="15.75" customHeight="1">
      <c r="A392" s="195"/>
      <c r="B392" s="978"/>
      <c r="C392" s="2321"/>
      <c r="D392" s="1729"/>
      <c r="E392" s="1190"/>
      <c r="F392" s="1190"/>
      <c r="G392" s="1190"/>
      <c r="H392" s="1190"/>
      <c r="I392" s="1190"/>
      <c r="J392" s="1190"/>
      <c r="K392" s="1190"/>
      <c r="L392" s="1190"/>
      <c r="M392" s="1190"/>
      <c r="N392" s="1190"/>
      <c r="O392" s="1190"/>
      <c r="P392" s="1190"/>
      <c r="Q392" s="1190"/>
      <c r="R392" s="1190"/>
      <c r="S392" s="1189"/>
      <c r="T392" s="1190"/>
      <c r="U392" s="1190"/>
      <c r="V392" s="1190"/>
      <c r="W392" s="1190"/>
      <c r="X392" s="1190"/>
      <c r="Y392" s="1190"/>
      <c r="Z392" s="1190"/>
      <c r="AA392" s="1190"/>
      <c r="AB392" s="1190"/>
      <c r="AC392" s="1190"/>
      <c r="AD392" s="1190"/>
      <c r="AE392" s="1190"/>
      <c r="AF392" s="1190"/>
      <c r="AG392" s="1748"/>
      <c r="AH392" s="1190"/>
      <c r="AI392" s="1748"/>
      <c r="AJ392" s="1190"/>
      <c r="AK392" s="1190"/>
      <c r="AL392" s="1190"/>
      <c r="AM392" s="1190"/>
      <c r="AN392" s="1190"/>
      <c r="AO392" s="1190"/>
      <c r="AP392" s="1190"/>
      <c r="AQ392" s="1190"/>
      <c r="AR392" s="1190"/>
      <c r="AS392" s="1190"/>
      <c r="AT392" s="1190"/>
      <c r="AU392" s="1190"/>
      <c r="AV392" s="1190"/>
      <c r="AW392" s="1190"/>
      <c r="AX392" s="1190"/>
      <c r="AY392" s="1190"/>
      <c r="AZ392" s="1190"/>
      <c r="BA392" s="1190"/>
      <c r="BB392" s="1190"/>
      <c r="BC392" s="1190"/>
      <c r="BD392" s="1190"/>
      <c r="BE392" s="1190"/>
      <c r="BF392" s="1190"/>
      <c r="BG392" s="1190"/>
      <c r="BH392" s="1190"/>
      <c r="BI392" s="1190"/>
      <c r="BJ392" s="1190"/>
      <c r="BK392" s="1190"/>
      <c r="BL392" s="1190"/>
      <c r="BM392" s="1190"/>
      <c r="BQ392" s="195"/>
      <c r="BR392" s="195"/>
      <c r="BT392" s="1005"/>
    </row>
    <row r="393" ht="15.75" customHeight="1">
      <c r="A393" s="195"/>
      <c r="B393" s="978"/>
      <c r="C393" s="2321"/>
      <c r="D393" s="1729"/>
      <c r="E393" s="1190"/>
      <c r="F393" s="1190"/>
      <c r="G393" s="1190"/>
      <c r="H393" s="1190"/>
      <c r="I393" s="1190"/>
      <c r="J393" s="1190"/>
      <c r="K393" s="1190"/>
      <c r="L393" s="1190"/>
      <c r="M393" s="1190"/>
      <c r="N393" s="1190"/>
      <c r="O393" s="1190"/>
      <c r="P393" s="1190"/>
      <c r="Q393" s="1190"/>
      <c r="R393" s="1190"/>
      <c r="S393" s="1189"/>
      <c r="T393" s="1190"/>
      <c r="U393" s="1190"/>
      <c r="V393" s="1190"/>
      <c r="W393" s="1190"/>
      <c r="X393" s="1190"/>
      <c r="Y393" s="1190"/>
      <c r="Z393" s="1190"/>
      <c r="AA393" s="1190"/>
      <c r="AB393" s="1190"/>
      <c r="AC393" s="1190"/>
      <c r="AD393" s="1190"/>
      <c r="AE393" s="1190"/>
      <c r="AF393" s="1190"/>
      <c r="AG393" s="1748"/>
      <c r="AH393" s="1190"/>
      <c r="AI393" s="1748"/>
      <c r="AJ393" s="1190"/>
      <c r="AK393" s="1190"/>
      <c r="AL393" s="1190"/>
      <c r="AM393" s="1190"/>
      <c r="AN393" s="1190"/>
      <c r="AO393" s="1190"/>
      <c r="AP393" s="1190"/>
      <c r="AQ393" s="1190"/>
      <c r="AR393" s="1190"/>
      <c r="AS393" s="1190"/>
      <c r="AT393" s="1190"/>
      <c r="AU393" s="1190"/>
      <c r="AV393" s="1190"/>
      <c r="AW393" s="1190"/>
      <c r="AX393" s="1190"/>
      <c r="AY393" s="1190"/>
      <c r="AZ393" s="1190"/>
      <c r="BA393" s="1190"/>
      <c r="BB393" s="1190"/>
      <c r="BC393" s="1190"/>
      <c r="BD393" s="1190"/>
      <c r="BE393" s="1190"/>
      <c r="BF393" s="1190"/>
      <c r="BG393" s="1190"/>
      <c r="BH393" s="1190"/>
      <c r="BI393" s="1190"/>
      <c r="BJ393" s="1190"/>
      <c r="BK393" s="1190"/>
      <c r="BL393" s="1190"/>
      <c r="BM393" s="1190"/>
      <c r="BQ393" s="195"/>
      <c r="BR393" s="195"/>
      <c r="BT393" s="1005"/>
    </row>
    <row r="394" ht="15.75" customHeight="1">
      <c r="A394" s="195"/>
      <c r="B394" s="978"/>
      <c r="C394" s="2321"/>
      <c r="D394" s="1729"/>
      <c r="E394" s="1190"/>
      <c r="F394" s="1190"/>
      <c r="G394" s="1190"/>
      <c r="H394" s="1190"/>
      <c r="I394" s="1190"/>
      <c r="J394" s="1190"/>
      <c r="K394" s="1190"/>
      <c r="L394" s="1190"/>
      <c r="M394" s="1190"/>
      <c r="N394" s="1190"/>
      <c r="O394" s="1190"/>
      <c r="P394" s="1190"/>
      <c r="Q394" s="1190"/>
      <c r="R394" s="1190"/>
      <c r="S394" s="1189"/>
      <c r="T394" s="1190"/>
      <c r="U394" s="1190"/>
      <c r="V394" s="1190"/>
      <c r="W394" s="1190"/>
      <c r="X394" s="1190"/>
      <c r="Y394" s="1190"/>
      <c r="Z394" s="1190"/>
      <c r="AA394" s="1190"/>
      <c r="AB394" s="1190"/>
      <c r="AC394" s="1190"/>
      <c r="AD394" s="1190"/>
      <c r="AE394" s="1190"/>
      <c r="AF394" s="1190"/>
      <c r="AG394" s="1748"/>
      <c r="AH394" s="1190"/>
      <c r="AI394" s="1748"/>
      <c r="AJ394" s="1190"/>
      <c r="AK394" s="1190"/>
      <c r="AL394" s="1190"/>
      <c r="AM394" s="1190"/>
      <c r="AN394" s="1190"/>
      <c r="AO394" s="1190"/>
      <c r="AP394" s="1190"/>
      <c r="AQ394" s="1190"/>
      <c r="AR394" s="1190"/>
      <c r="AS394" s="1190"/>
      <c r="AT394" s="1190"/>
      <c r="AU394" s="1190"/>
      <c r="AV394" s="1190"/>
      <c r="AW394" s="1190"/>
      <c r="AX394" s="1190"/>
      <c r="AY394" s="1190"/>
      <c r="AZ394" s="1190"/>
      <c r="BA394" s="1190"/>
      <c r="BB394" s="1190"/>
      <c r="BC394" s="1190"/>
      <c r="BD394" s="1190"/>
      <c r="BE394" s="1190"/>
      <c r="BF394" s="1190"/>
      <c r="BG394" s="1190"/>
      <c r="BH394" s="1190"/>
      <c r="BI394" s="1190"/>
      <c r="BJ394" s="1190"/>
      <c r="BK394" s="1190"/>
      <c r="BL394" s="1190"/>
      <c r="BM394" s="1190"/>
      <c r="BQ394" s="195"/>
      <c r="BR394" s="195"/>
      <c r="BT394" s="1005"/>
    </row>
    <row r="395" ht="15.75" customHeight="1">
      <c r="A395" s="195"/>
      <c r="B395" s="978"/>
      <c r="C395" s="2321"/>
      <c r="D395" s="1729"/>
      <c r="E395" s="1190"/>
      <c r="F395" s="1190"/>
      <c r="G395" s="1190"/>
      <c r="H395" s="1190"/>
      <c r="I395" s="1190"/>
      <c r="J395" s="1190"/>
      <c r="K395" s="1190"/>
      <c r="L395" s="1190"/>
      <c r="M395" s="1190"/>
      <c r="N395" s="1190"/>
      <c r="O395" s="1190"/>
      <c r="P395" s="1190"/>
      <c r="Q395" s="1190"/>
      <c r="R395" s="1190"/>
      <c r="S395" s="1189"/>
      <c r="T395" s="1190"/>
      <c r="U395" s="1190"/>
      <c r="V395" s="1190"/>
      <c r="W395" s="1190"/>
      <c r="X395" s="1190"/>
      <c r="Y395" s="1190"/>
      <c r="Z395" s="1190"/>
      <c r="AA395" s="1190"/>
      <c r="AB395" s="1190"/>
      <c r="AC395" s="1190"/>
      <c r="AD395" s="1190"/>
      <c r="AE395" s="1190"/>
      <c r="AF395" s="1190"/>
      <c r="AG395" s="1748"/>
      <c r="AH395" s="1190"/>
      <c r="AI395" s="1748"/>
      <c r="AJ395" s="1190"/>
      <c r="AK395" s="1190"/>
      <c r="AL395" s="1190"/>
      <c r="AM395" s="1190"/>
      <c r="AN395" s="1190"/>
      <c r="AO395" s="1190"/>
      <c r="AP395" s="1190"/>
      <c r="AQ395" s="1190"/>
      <c r="AR395" s="1190"/>
      <c r="AS395" s="1190"/>
      <c r="AT395" s="1190"/>
      <c r="AU395" s="1190"/>
      <c r="AV395" s="1190"/>
      <c r="AW395" s="1190"/>
      <c r="AX395" s="1190"/>
      <c r="AY395" s="1190"/>
      <c r="AZ395" s="1190"/>
      <c r="BA395" s="1190"/>
      <c r="BB395" s="1190"/>
      <c r="BC395" s="1190"/>
      <c r="BD395" s="1190"/>
      <c r="BE395" s="1190"/>
      <c r="BF395" s="1190"/>
      <c r="BG395" s="1190"/>
      <c r="BH395" s="1190"/>
      <c r="BI395" s="1190"/>
      <c r="BJ395" s="1190"/>
      <c r="BK395" s="1190"/>
      <c r="BL395" s="1190"/>
      <c r="BM395" s="1190"/>
      <c r="BQ395" s="195"/>
      <c r="BR395" s="195"/>
      <c r="BT395" s="1005"/>
    </row>
    <row r="396" ht="15.75" customHeight="1">
      <c r="A396" s="195"/>
      <c r="B396" s="978"/>
      <c r="C396" s="2321"/>
      <c r="D396" s="1729"/>
      <c r="E396" s="1190"/>
      <c r="F396" s="1190"/>
      <c r="G396" s="1190"/>
      <c r="H396" s="1190"/>
      <c r="I396" s="1190"/>
      <c r="J396" s="1190"/>
      <c r="K396" s="1190"/>
      <c r="L396" s="1190"/>
      <c r="M396" s="1190"/>
      <c r="N396" s="1190"/>
      <c r="O396" s="1190"/>
      <c r="P396" s="1190"/>
      <c r="Q396" s="1190"/>
      <c r="R396" s="1190"/>
      <c r="S396" s="1189"/>
      <c r="T396" s="1190"/>
      <c r="U396" s="1190"/>
      <c r="V396" s="1190"/>
      <c r="W396" s="1190"/>
      <c r="X396" s="1190"/>
      <c r="Y396" s="1190"/>
      <c r="Z396" s="1190"/>
      <c r="AA396" s="1190"/>
      <c r="AB396" s="1190"/>
      <c r="AC396" s="1190"/>
      <c r="AD396" s="1190"/>
      <c r="AE396" s="1190"/>
      <c r="AF396" s="1190"/>
      <c r="AG396" s="1748"/>
      <c r="AH396" s="1190"/>
      <c r="AI396" s="1748"/>
      <c r="AJ396" s="1190"/>
      <c r="AK396" s="1190"/>
      <c r="AL396" s="1190"/>
      <c r="AM396" s="1190"/>
      <c r="AN396" s="1190"/>
      <c r="AO396" s="1190"/>
      <c r="AP396" s="1190"/>
      <c r="AQ396" s="1190"/>
      <c r="AR396" s="1190"/>
      <c r="AS396" s="1190"/>
      <c r="AT396" s="1190"/>
      <c r="AU396" s="1190"/>
      <c r="AV396" s="1190"/>
      <c r="AW396" s="1190"/>
      <c r="AX396" s="1190"/>
      <c r="AY396" s="1190"/>
      <c r="AZ396" s="1190"/>
      <c r="BA396" s="1190"/>
      <c r="BB396" s="1190"/>
      <c r="BC396" s="1190"/>
      <c r="BD396" s="1190"/>
      <c r="BE396" s="1190"/>
      <c r="BF396" s="1190"/>
      <c r="BG396" s="1190"/>
      <c r="BH396" s="1190"/>
      <c r="BI396" s="1190"/>
      <c r="BJ396" s="1190"/>
      <c r="BK396" s="1190"/>
      <c r="BL396" s="1190"/>
      <c r="BM396" s="1190"/>
      <c r="BQ396" s="195"/>
      <c r="BR396" s="195"/>
      <c r="BT396" s="1005"/>
    </row>
    <row r="397" ht="15.75" customHeight="1">
      <c r="A397" s="195"/>
      <c r="B397" s="978"/>
      <c r="C397" s="2321"/>
      <c r="D397" s="1729"/>
      <c r="E397" s="1190"/>
      <c r="F397" s="1190"/>
      <c r="G397" s="1190"/>
      <c r="H397" s="1190"/>
      <c r="I397" s="1190"/>
      <c r="J397" s="1190"/>
      <c r="K397" s="1190"/>
      <c r="L397" s="1190"/>
      <c r="M397" s="1190"/>
      <c r="N397" s="1190"/>
      <c r="O397" s="1190"/>
      <c r="P397" s="1190"/>
      <c r="Q397" s="1190"/>
      <c r="R397" s="1190"/>
      <c r="S397" s="1189"/>
      <c r="T397" s="1190"/>
      <c r="U397" s="1190"/>
      <c r="V397" s="1190"/>
      <c r="W397" s="1190"/>
      <c r="X397" s="1190"/>
      <c r="Y397" s="1190"/>
      <c r="Z397" s="1190"/>
      <c r="AA397" s="1190"/>
      <c r="AB397" s="1190"/>
      <c r="AC397" s="1190"/>
      <c r="AD397" s="1190"/>
      <c r="AE397" s="1190"/>
      <c r="AF397" s="1190"/>
      <c r="AG397" s="1748"/>
      <c r="AH397" s="1190"/>
      <c r="AI397" s="1748"/>
      <c r="AJ397" s="1190"/>
      <c r="AK397" s="1190"/>
      <c r="AL397" s="1190"/>
      <c r="AM397" s="1190"/>
      <c r="AN397" s="1190"/>
      <c r="AO397" s="1190"/>
      <c r="AP397" s="1190"/>
      <c r="AQ397" s="1190"/>
      <c r="AR397" s="1190"/>
      <c r="AS397" s="1190"/>
      <c r="AT397" s="1190"/>
      <c r="AU397" s="1190"/>
      <c r="AV397" s="1190"/>
      <c r="AW397" s="1190"/>
      <c r="AX397" s="1190"/>
      <c r="AY397" s="1190"/>
      <c r="AZ397" s="1190"/>
      <c r="BA397" s="1190"/>
      <c r="BB397" s="1190"/>
      <c r="BC397" s="1190"/>
      <c r="BD397" s="1190"/>
      <c r="BE397" s="1190"/>
      <c r="BF397" s="1190"/>
      <c r="BG397" s="1190"/>
      <c r="BH397" s="1190"/>
      <c r="BI397" s="1190"/>
      <c r="BJ397" s="1190"/>
      <c r="BK397" s="1190"/>
      <c r="BL397" s="1190"/>
      <c r="BM397" s="1190"/>
      <c r="BQ397" s="195"/>
      <c r="BR397" s="195"/>
      <c r="BT397" s="1005"/>
    </row>
    <row r="398" ht="15.75" customHeight="1">
      <c r="A398" s="195"/>
      <c r="B398" s="978"/>
      <c r="C398" s="2321"/>
      <c r="D398" s="1729"/>
      <c r="E398" s="1190"/>
      <c r="F398" s="1190"/>
      <c r="G398" s="1190"/>
      <c r="H398" s="1190"/>
      <c r="I398" s="1190"/>
      <c r="J398" s="1190"/>
      <c r="K398" s="1190"/>
      <c r="L398" s="1190"/>
      <c r="M398" s="1190"/>
      <c r="N398" s="1190"/>
      <c r="O398" s="1190"/>
      <c r="P398" s="1190"/>
      <c r="Q398" s="1190"/>
      <c r="R398" s="1190"/>
      <c r="S398" s="1189"/>
      <c r="T398" s="1190"/>
      <c r="U398" s="1190"/>
      <c r="V398" s="1190"/>
      <c r="W398" s="1190"/>
      <c r="X398" s="1190"/>
      <c r="Y398" s="1190"/>
      <c r="Z398" s="1190"/>
      <c r="AA398" s="1190"/>
      <c r="AB398" s="1190"/>
      <c r="AC398" s="1190"/>
      <c r="AD398" s="1190"/>
      <c r="AE398" s="1190"/>
      <c r="AF398" s="1190"/>
      <c r="AG398" s="1748"/>
      <c r="AH398" s="1190"/>
      <c r="AI398" s="1748"/>
      <c r="AJ398" s="1190"/>
      <c r="AK398" s="1190"/>
      <c r="AL398" s="1190"/>
      <c r="AM398" s="1190"/>
      <c r="AN398" s="1190"/>
      <c r="AO398" s="1190"/>
      <c r="AP398" s="1190"/>
      <c r="AQ398" s="1190"/>
      <c r="AR398" s="1190"/>
      <c r="AS398" s="1190"/>
      <c r="AT398" s="1190"/>
      <c r="AU398" s="1190"/>
      <c r="AV398" s="1190"/>
      <c r="AW398" s="1190"/>
      <c r="AX398" s="1190"/>
      <c r="AY398" s="1190"/>
      <c r="AZ398" s="1190"/>
      <c r="BA398" s="1190"/>
      <c r="BB398" s="1190"/>
      <c r="BC398" s="1190"/>
      <c r="BD398" s="1190"/>
      <c r="BE398" s="1190"/>
      <c r="BF398" s="1190"/>
      <c r="BG398" s="1190"/>
      <c r="BH398" s="1190"/>
      <c r="BI398" s="1190"/>
      <c r="BJ398" s="1190"/>
      <c r="BK398" s="1190"/>
      <c r="BL398" s="1190"/>
      <c r="BM398" s="1190"/>
      <c r="BQ398" s="195"/>
      <c r="BR398" s="195"/>
      <c r="BT398" s="1005"/>
    </row>
    <row r="399" ht="15.75" customHeight="1">
      <c r="A399" s="195"/>
      <c r="B399" s="978"/>
      <c r="C399" s="2321"/>
      <c r="D399" s="1729"/>
      <c r="E399" s="1190"/>
      <c r="F399" s="1190"/>
      <c r="G399" s="1190"/>
      <c r="H399" s="1190"/>
      <c r="I399" s="1190"/>
      <c r="J399" s="1190"/>
      <c r="K399" s="1190"/>
      <c r="L399" s="1190"/>
      <c r="M399" s="1190"/>
      <c r="N399" s="1190"/>
      <c r="O399" s="1190"/>
      <c r="P399" s="1190"/>
      <c r="Q399" s="1190"/>
      <c r="R399" s="1190"/>
      <c r="S399" s="1189"/>
      <c r="T399" s="1190"/>
      <c r="U399" s="1190"/>
      <c r="V399" s="1190"/>
      <c r="W399" s="1190"/>
      <c r="X399" s="1190"/>
      <c r="Y399" s="1190"/>
      <c r="Z399" s="1190"/>
      <c r="AA399" s="1190"/>
      <c r="AB399" s="1190"/>
      <c r="AC399" s="1190"/>
      <c r="AD399" s="1190"/>
      <c r="AE399" s="1190"/>
      <c r="AF399" s="1190"/>
      <c r="AG399" s="1748"/>
      <c r="AH399" s="1190"/>
      <c r="AI399" s="1748"/>
      <c r="AJ399" s="1190"/>
      <c r="AK399" s="1190"/>
      <c r="AL399" s="1190"/>
      <c r="AM399" s="1190"/>
      <c r="AN399" s="1190"/>
      <c r="AO399" s="1190"/>
      <c r="AP399" s="1190"/>
      <c r="AQ399" s="1190"/>
      <c r="AR399" s="1190"/>
      <c r="AS399" s="1190"/>
      <c r="AT399" s="1190"/>
      <c r="AU399" s="1190"/>
      <c r="AV399" s="1190"/>
      <c r="AW399" s="1190"/>
      <c r="AX399" s="1190"/>
      <c r="AY399" s="1190"/>
      <c r="AZ399" s="1190"/>
      <c r="BA399" s="1190"/>
      <c r="BB399" s="1190"/>
      <c r="BC399" s="1190"/>
      <c r="BD399" s="1190"/>
      <c r="BE399" s="1190"/>
      <c r="BF399" s="1190"/>
      <c r="BG399" s="1190"/>
      <c r="BH399" s="1190"/>
      <c r="BI399" s="1190"/>
      <c r="BJ399" s="1190"/>
      <c r="BK399" s="1190"/>
      <c r="BL399" s="1190"/>
      <c r="BM399" s="1190"/>
      <c r="BQ399" s="195"/>
      <c r="BR399" s="195"/>
      <c r="BT399" s="1005"/>
    </row>
    <row r="400" ht="15.75" customHeight="1">
      <c r="A400" s="195"/>
      <c r="B400" s="978"/>
      <c r="C400" s="2321"/>
      <c r="D400" s="1729"/>
      <c r="E400" s="1190"/>
      <c r="F400" s="1190"/>
      <c r="G400" s="1190"/>
      <c r="H400" s="1190"/>
      <c r="I400" s="1190"/>
      <c r="J400" s="1190"/>
      <c r="K400" s="1190"/>
      <c r="L400" s="1190"/>
      <c r="M400" s="1190"/>
      <c r="N400" s="1190"/>
      <c r="O400" s="1190"/>
      <c r="P400" s="1190"/>
      <c r="Q400" s="1190"/>
      <c r="R400" s="1190"/>
      <c r="S400" s="1189"/>
      <c r="T400" s="1190"/>
      <c r="U400" s="1190"/>
      <c r="V400" s="1190"/>
      <c r="W400" s="1190"/>
      <c r="X400" s="1190"/>
      <c r="Y400" s="1190"/>
      <c r="Z400" s="1190"/>
      <c r="AA400" s="1190"/>
      <c r="AB400" s="1190"/>
      <c r="AC400" s="1190"/>
      <c r="AD400" s="1190"/>
      <c r="AE400" s="1190"/>
      <c r="AF400" s="1190"/>
      <c r="AG400" s="1748"/>
      <c r="AH400" s="1190"/>
      <c r="AI400" s="1748"/>
      <c r="AJ400" s="1190"/>
      <c r="AK400" s="1190"/>
      <c r="AL400" s="1190"/>
      <c r="AM400" s="1190"/>
      <c r="AN400" s="1190"/>
      <c r="AO400" s="1190"/>
      <c r="AP400" s="1190"/>
      <c r="AQ400" s="1190"/>
      <c r="AR400" s="1190"/>
      <c r="AS400" s="1190"/>
      <c r="AT400" s="1190"/>
      <c r="AU400" s="1190"/>
      <c r="AV400" s="1190"/>
      <c r="AW400" s="1190"/>
      <c r="AX400" s="1190"/>
      <c r="AY400" s="1190"/>
      <c r="AZ400" s="1190"/>
      <c r="BA400" s="1190"/>
      <c r="BB400" s="1190"/>
      <c r="BC400" s="1190"/>
      <c r="BD400" s="1190"/>
      <c r="BE400" s="1190"/>
      <c r="BF400" s="1190"/>
      <c r="BG400" s="1190"/>
      <c r="BH400" s="1190"/>
      <c r="BI400" s="1190"/>
      <c r="BJ400" s="1190"/>
      <c r="BK400" s="1190"/>
      <c r="BL400" s="1190"/>
      <c r="BM400" s="1190"/>
      <c r="BQ400" s="195"/>
      <c r="BR400" s="195"/>
      <c r="BT400" s="1005"/>
    </row>
    <row r="401" ht="15.75" customHeight="1">
      <c r="A401" s="195"/>
      <c r="B401" s="978"/>
      <c r="C401" s="2321"/>
      <c r="D401" s="1729"/>
      <c r="E401" s="1190"/>
      <c r="F401" s="1190"/>
      <c r="G401" s="1190"/>
      <c r="H401" s="1190"/>
      <c r="I401" s="1190"/>
      <c r="J401" s="1190"/>
      <c r="K401" s="1190"/>
      <c r="L401" s="1190"/>
      <c r="M401" s="1190"/>
      <c r="N401" s="1190"/>
      <c r="O401" s="1190"/>
      <c r="P401" s="1190"/>
      <c r="Q401" s="1190"/>
      <c r="R401" s="1190"/>
      <c r="S401" s="1189"/>
      <c r="T401" s="1190"/>
      <c r="U401" s="1190"/>
      <c r="V401" s="1190"/>
      <c r="W401" s="1190"/>
      <c r="X401" s="1190"/>
      <c r="Y401" s="1190"/>
      <c r="Z401" s="1190"/>
      <c r="AA401" s="1190"/>
      <c r="AB401" s="1190"/>
      <c r="AC401" s="1190"/>
      <c r="AD401" s="1190"/>
      <c r="AE401" s="1190"/>
      <c r="AF401" s="1190"/>
      <c r="AG401" s="1748"/>
      <c r="AH401" s="1190"/>
      <c r="AI401" s="1748"/>
      <c r="AJ401" s="1190"/>
      <c r="AK401" s="1190"/>
      <c r="AL401" s="1190"/>
      <c r="AM401" s="1190"/>
      <c r="AN401" s="1190"/>
      <c r="AO401" s="1190"/>
      <c r="AP401" s="1190"/>
      <c r="AQ401" s="1190"/>
      <c r="AR401" s="1190"/>
      <c r="AS401" s="1190"/>
      <c r="AT401" s="1190"/>
      <c r="AU401" s="1190"/>
      <c r="AV401" s="1190"/>
      <c r="AW401" s="1190"/>
      <c r="AX401" s="1190"/>
      <c r="AY401" s="1190"/>
      <c r="AZ401" s="1190"/>
      <c r="BA401" s="1190"/>
      <c r="BB401" s="1190"/>
      <c r="BC401" s="1190"/>
      <c r="BD401" s="1190"/>
      <c r="BE401" s="1190"/>
      <c r="BF401" s="1190"/>
      <c r="BG401" s="1190"/>
      <c r="BH401" s="1190"/>
      <c r="BI401" s="1190"/>
      <c r="BJ401" s="1190"/>
      <c r="BK401" s="1190"/>
      <c r="BL401" s="1190"/>
      <c r="BM401" s="1190"/>
      <c r="BQ401" s="195"/>
      <c r="BR401" s="195"/>
      <c r="BT401" s="1005"/>
    </row>
    <row r="402" ht="15.75" customHeight="1">
      <c r="A402" s="195"/>
      <c r="B402" s="978"/>
      <c r="C402" s="2321"/>
      <c r="D402" s="1729"/>
      <c r="E402" s="1190"/>
      <c r="F402" s="1190"/>
      <c r="G402" s="1190"/>
      <c r="H402" s="1190"/>
      <c r="I402" s="1190"/>
      <c r="J402" s="1190"/>
      <c r="K402" s="1190"/>
      <c r="L402" s="1190"/>
      <c r="M402" s="1190"/>
      <c r="N402" s="1190"/>
      <c r="O402" s="1190"/>
      <c r="P402" s="1190"/>
      <c r="Q402" s="1190"/>
      <c r="R402" s="1190"/>
      <c r="S402" s="1189"/>
      <c r="T402" s="1190"/>
      <c r="U402" s="1190"/>
      <c r="V402" s="1190"/>
      <c r="W402" s="1190"/>
      <c r="X402" s="1190"/>
      <c r="Y402" s="1190"/>
      <c r="Z402" s="1190"/>
      <c r="AA402" s="1190"/>
      <c r="AB402" s="1190"/>
      <c r="AC402" s="1190"/>
      <c r="AD402" s="1190"/>
      <c r="AE402" s="1190"/>
      <c r="AF402" s="1190"/>
      <c r="AG402" s="1748"/>
      <c r="AH402" s="1190"/>
      <c r="AI402" s="1748"/>
      <c r="AJ402" s="1190"/>
      <c r="AK402" s="1190"/>
      <c r="AL402" s="1190"/>
      <c r="AM402" s="1190"/>
      <c r="AN402" s="1190"/>
      <c r="AO402" s="1190"/>
      <c r="AP402" s="1190"/>
      <c r="AQ402" s="1190"/>
      <c r="AR402" s="1190"/>
      <c r="AS402" s="1190"/>
      <c r="AT402" s="1190"/>
      <c r="AU402" s="1190"/>
      <c r="AV402" s="1190"/>
      <c r="AW402" s="1190"/>
      <c r="AX402" s="1190"/>
      <c r="AY402" s="1190"/>
      <c r="AZ402" s="1190"/>
      <c r="BA402" s="1190"/>
      <c r="BB402" s="1190"/>
      <c r="BC402" s="1190"/>
      <c r="BD402" s="1190"/>
      <c r="BE402" s="1190"/>
      <c r="BF402" s="1190"/>
      <c r="BG402" s="1190"/>
      <c r="BH402" s="1190"/>
      <c r="BI402" s="1190"/>
      <c r="BJ402" s="1190"/>
      <c r="BK402" s="1190"/>
      <c r="BL402" s="1190"/>
      <c r="BM402" s="1190"/>
      <c r="BQ402" s="195"/>
      <c r="BR402" s="195"/>
      <c r="BT402" s="1005"/>
    </row>
    <row r="403" ht="15.75" customHeight="1">
      <c r="A403" s="195"/>
      <c r="B403" s="978"/>
      <c r="C403" s="2321"/>
      <c r="D403" s="1729"/>
      <c r="E403" s="1190"/>
      <c r="F403" s="1190"/>
      <c r="G403" s="1190"/>
      <c r="H403" s="1190"/>
      <c r="I403" s="1190"/>
      <c r="J403" s="1190"/>
      <c r="K403" s="1190"/>
      <c r="L403" s="1190"/>
      <c r="M403" s="1190"/>
      <c r="N403" s="1190"/>
      <c r="O403" s="1190"/>
      <c r="P403" s="1190"/>
      <c r="Q403" s="1190"/>
      <c r="R403" s="1190"/>
      <c r="S403" s="1189"/>
      <c r="T403" s="1190"/>
      <c r="U403" s="1190"/>
      <c r="V403" s="1190"/>
      <c r="W403" s="1190"/>
      <c r="X403" s="1190"/>
      <c r="Y403" s="1190"/>
      <c r="Z403" s="1190"/>
      <c r="AA403" s="1190"/>
      <c r="AB403" s="1190"/>
      <c r="AC403" s="1190"/>
      <c r="AD403" s="1190"/>
      <c r="AE403" s="1190"/>
      <c r="AF403" s="1190"/>
      <c r="AG403" s="1748"/>
      <c r="AH403" s="1190"/>
      <c r="AI403" s="1748"/>
      <c r="AJ403" s="1190"/>
      <c r="AK403" s="1190"/>
      <c r="AL403" s="1190"/>
      <c r="AM403" s="1190"/>
      <c r="AN403" s="1190"/>
      <c r="AO403" s="1190"/>
      <c r="AP403" s="1190"/>
      <c r="AQ403" s="1190"/>
      <c r="AR403" s="1190"/>
      <c r="AS403" s="1190"/>
      <c r="AT403" s="1190"/>
      <c r="AU403" s="1190"/>
      <c r="AV403" s="1190"/>
      <c r="AW403" s="1190"/>
      <c r="AX403" s="1190"/>
      <c r="AY403" s="1190"/>
      <c r="AZ403" s="1190"/>
      <c r="BA403" s="1190"/>
      <c r="BB403" s="1190"/>
      <c r="BC403" s="1190"/>
      <c r="BD403" s="1190"/>
      <c r="BE403" s="1190"/>
      <c r="BF403" s="1190"/>
      <c r="BG403" s="1190"/>
      <c r="BH403" s="1190"/>
      <c r="BI403" s="1190"/>
      <c r="BJ403" s="1190"/>
      <c r="BK403" s="1190"/>
      <c r="BL403" s="1190"/>
      <c r="BM403" s="1190"/>
      <c r="BQ403" s="195"/>
      <c r="BR403" s="195"/>
      <c r="BT403" s="1005"/>
    </row>
    <row r="404" ht="15.75" customHeight="1">
      <c r="A404" s="195"/>
      <c r="B404" s="978"/>
      <c r="C404" s="2321"/>
      <c r="D404" s="1729"/>
      <c r="E404" s="1190"/>
      <c r="F404" s="1190"/>
      <c r="G404" s="1190"/>
      <c r="H404" s="1190"/>
      <c r="I404" s="1190"/>
      <c r="J404" s="1190"/>
      <c r="K404" s="1190"/>
      <c r="L404" s="1190"/>
      <c r="M404" s="1190"/>
      <c r="N404" s="1190"/>
      <c r="O404" s="1190"/>
      <c r="P404" s="1190"/>
      <c r="Q404" s="1190"/>
      <c r="R404" s="1190"/>
      <c r="S404" s="1189"/>
      <c r="T404" s="1190"/>
      <c r="U404" s="1190"/>
      <c r="V404" s="1190"/>
      <c r="W404" s="1190"/>
      <c r="X404" s="1190"/>
      <c r="Y404" s="1190"/>
      <c r="Z404" s="1190"/>
      <c r="AA404" s="1190"/>
      <c r="AB404" s="1190"/>
      <c r="AC404" s="1190"/>
      <c r="AD404" s="1190"/>
      <c r="AE404" s="1190"/>
      <c r="AF404" s="1190"/>
      <c r="AG404" s="1748"/>
      <c r="AH404" s="1190"/>
      <c r="AI404" s="1748"/>
      <c r="AJ404" s="1190"/>
      <c r="AK404" s="1190"/>
      <c r="AL404" s="1190"/>
      <c r="AM404" s="1190"/>
      <c r="AN404" s="1190"/>
      <c r="AO404" s="1190"/>
      <c r="AP404" s="1190"/>
      <c r="AQ404" s="1190"/>
      <c r="AR404" s="1190"/>
      <c r="AS404" s="1190"/>
      <c r="AT404" s="1190"/>
      <c r="AU404" s="1190"/>
      <c r="AV404" s="1190"/>
      <c r="AW404" s="1190"/>
      <c r="AX404" s="1190"/>
      <c r="AY404" s="1190"/>
      <c r="AZ404" s="1190"/>
      <c r="BA404" s="1190"/>
      <c r="BB404" s="1190"/>
      <c r="BC404" s="1190"/>
      <c r="BD404" s="1190"/>
      <c r="BE404" s="1190"/>
      <c r="BF404" s="1190"/>
      <c r="BG404" s="1190"/>
      <c r="BH404" s="1190"/>
      <c r="BI404" s="1190"/>
      <c r="BJ404" s="1190"/>
      <c r="BK404" s="1190"/>
      <c r="BL404" s="1190"/>
      <c r="BM404" s="1190"/>
      <c r="BQ404" s="195"/>
      <c r="BR404" s="195"/>
      <c r="BT404" s="1005"/>
    </row>
    <row r="405" ht="15.75" customHeight="1">
      <c r="A405" s="195"/>
      <c r="B405" s="978"/>
      <c r="C405" s="2321"/>
      <c r="D405" s="1729"/>
      <c r="E405" s="1190"/>
      <c r="F405" s="1190"/>
      <c r="G405" s="1190"/>
      <c r="H405" s="1190"/>
      <c r="I405" s="1190"/>
      <c r="J405" s="1190"/>
      <c r="K405" s="1190"/>
      <c r="L405" s="1190"/>
      <c r="M405" s="1190"/>
      <c r="N405" s="1190"/>
      <c r="O405" s="1190"/>
      <c r="P405" s="1190"/>
      <c r="Q405" s="1190"/>
      <c r="R405" s="1190"/>
      <c r="S405" s="1189"/>
      <c r="T405" s="1190"/>
      <c r="U405" s="1190"/>
      <c r="V405" s="1190"/>
      <c r="W405" s="1190"/>
      <c r="X405" s="1190"/>
      <c r="Y405" s="1190"/>
      <c r="Z405" s="1190"/>
      <c r="AA405" s="1190"/>
      <c r="AB405" s="1190"/>
      <c r="AC405" s="1190"/>
      <c r="AD405" s="1190"/>
      <c r="AE405" s="1190"/>
      <c r="AF405" s="1190"/>
      <c r="AG405" s="1748"/>
      <c r="AH405" s="1190"/>
      <c r="AI405" s="1748"/>
      <c r="AJ405" s="1190"/>
      <c r="AK405" s="1190"/>
      <c r="AL405" s="1190"/>
      <c r="AM405" s="1190"/>
      <c r="AN405" s="1190"/>
      <c r="AO405" s="1190"/>
      <c r="AP405" s="1190"/>
      <c r="AQ405" s="1190"/>
      <c r="AR405" s="1190"/>
      <c r="AS405" s="1190"/>
      <c r="AT405" s="1190"/>
      <c r="AU405" s="1190"/>
      <c r="AV405" s="1190"/>
      <c r="AW405" s="1190"/>
      <c r="AX405" s="1190"/>
      <c r="AY405" s="1190"/>
      <c r="AZ405" s="1190"/>
      <c r="BA405" s="1190"/>
      <c r="BB405" s="1190"/>
      <c r="BC405" s="1190"/>
      <c r="BD405" s="1190"/>
      <c r="BE405" s="1190"/>
      <c r="BF405" s="1190"/>
      <c r="BG405" s="1190"/>
      <c r="BH405" s="1190"/>
      <c r="BI405" s="1190"/>
      <c r="BJ405" s="1190"/>
      <c r="BK405" s="1190"/>
      <c r="BL405" s="1190"/>
      <c r="BM405" s="1190"/>
      <c r="BQ405" s="195"/>
      <c r="BR405" s="195"/>
      <c r="BT405" s="1005"/>
    </row>
    <row r="406" ht="15.75" customHeight="1">
      <c r="A406" s="195"/>
      <c r="B406" s="978"/>
      <c r="C406" s="2321"/>
      <c r="D406" s="1729"/>
      <c r="E406" s="1190"/>
      <c r="F406" s="1190"/>
      <c r="G406" s="1190"/>
      <c r="H406" s="1190"/>
      <c r="I406" s="1190"/>
      <c r="J406" s="1190"/>
      <c r="K406" s="1190"/>
      <c r="L406" s="1190"/>
      <c r="M406" s="1190"/>
      <c r="N406" s="1190"/>
      <c r="O406" s="1190"/>
      <c r="P406" s="1190"/>
      <c r="Q406" s="1190"/>
      <c r="R406" s="1190"/>
      <c r="S406" s="1189"/>
      <c r="T406" s="1190"/>
      <c r="U406" s="1190"/>
      <c r="V406" s="1190"/>
      <c r="W406" s="1190"/>
      <c r="X406" s="1190"/>
      <c r="Y406" s="1190"/>
      <c r="Z406" s="1190"/>
      <c r="AA406" s="1190"/>
      <c r="AB406" s="1190"/>
      <c r="AC406" s="1190"/>
      <c r="AD406" s="1190"/>
      <c r="AE406" s="1190"/>
      <c r="AF406" s="1190"/>
      <c r="AG406" s="1748"/>
      <c r="AH406" s="1190"/>
      <c r="AI406" s="1748"/>
      <c r="AJ406" s="1190"/>
      <c r="AK406" s="1190"/>
      <c r="AL406" s="1190"/>
      <c r="AM406" s="1190"/>
      <c r="AN406" s="1190"/>
      <c r="AO406" s="1190"/>
      <c r="AP406" s="1190"/>
      <c r="AQ406" s="1190"/>
      <c r="AR406" s="1190"/>
      <c r="AS406" s="1190"/>
      <c r="AT406" s="1190"/>
      <c r="AU406" s="1190"/>
      <c r="AV406" s="1190"/>
      <c r="AW406" s="1190"/>
      <c r="AX406" s="1190"/>
      <c r="AY406" s="1190"/>
      <c r="AZ406" s="1190"/>
      <c r="BA406" s="1190"/>
      <c r="BB406" s="1190"/>
      <c r="BC406" s="1190"/>
      <c r="BD406" s="1190"/>
      <c r="BE406" s="1190"/>
      <c r="BF406" s="1190"/>
      <c r="BG406" s="1190"/>
      <c r="BH406" s="1190"/>
      <c r="BI406" s="1190"/>
      <c r="BJ406" s="1190"/>
      <c r="BK406" s="1190"/>
      <c r="BL406" s="1190"/>
      <c r="BM406" s="1190"/>
      <c r="BQ406" s="195"/>
      <c r="BR406" s="195"/>
      <c r="BT406" s="1005"/>
    </row>
    <row r="407" ht="15.75" customHeight="1">
      <c r="A407" s="195"/>
      <c r="B407" s="978"/>
      <c r="C407" s="2321"/>
      <c r="D407" s="1729"/>
      <c r="E407" s="1190"/>
      <c r="F407" s="1190"/>
      <c r="G407" s="1190"/>
      <c r="H407" s="1190"/>
      <c r="I407" s="1190"/>
      <c r="J407" s="1190"/>
      <c r="K407" s="1190"/>
      <c r="L407" s="1190"/>
      <c r="M407" s="1190"/>
      <c r="N407" s="1190"/>
      <c r="O407" s="1190"/>
      <c r="P407" s="1190"/>
      <c r="Q407" s="1190"/>
      <c r="R407" s="1190"/>
      <c r="S407" s="1189"/>
      <c r="T407" s="1190"/>
      <c r="U407" s="1190"/>
      <c r="V407" s="1190"/>
      <c r="W407" s="1190"/>
      <c r="X407" s="1190"/>
      <c r="Y407" s="1190"/>
      <c r="Z407" s="1190"/>
      <c r="AA407" s="1190"/>
      <c r="AB407" s="1190"/>
      <c r="AC407" s="1190"/>
      <c r="AD407" s="1190"/>
      <c r="AE407" s="1190"/>
      <c r="AF407" s="1190"/>
      <c r="AG407" s="1748"/>
      <c r="AH407" s="1190"/>
      <c r="AI407" s="1748"/>
      <c r="AJ407" s="1190"/>
      <c r="AK407" s="1190"/>
      <c r="AL407" s="1190"/>
      <c r="AM407" s="1190"/>
      <c r="AN407" s="1190"/>
      <c r="AO407" s="1190"/>
      <c r="AP407" s="1190"/>
      <c r="AQ407" s="1190"/>
      <c r="AR407" s="1190"/>
      <c r="AS407" s="1190"/>
      <c r="AT407" s="1190"/>
      <c r="AU407" s="1190"/>
      <c r="AV407" s="1190"/>
      <c r="AW407" s="1190"/>
      <c r="AX407" s="1190"/>
      <c r="AY407" s="1190"/>
      <c r="AZ407" s="1190"/>
      <c r="BA407" s="1190"/>
      <c r="BB407" s="1190"/>
      <c r="BC407" s="1190"/>
      <c r="BD407" s="1190"/>
      <c r="BE407" s="1190"/>
      <c r="BF407" s="1190"/>
      <c r="BG407" s="1190"/>
      <c r="BH407" s="1190"/>
      <c r="BI407" s="1190"/>
      <c r="BJ407" s="1190"/>
      <c r="BK407" s="1190"/>
      <c r="BL407" s="1190"/>
      <c r="BM407" s="1190"/>
      <c r="BQ407" s="195"/>
      <c r="BR407" s="195"/>
      <c r="BT407" s="1005"/>
    </row>
    <row r="408" ht="15.75" customHeight="1">
      <c r="A408" s="195"/>
      <c r="B408" s="978"/>
      <c r="C408" s="2321"/>
      <c r="D408" s="1729"/>
      <c r="E408" s="1190"/>
      <c r="F408" s="1190"/>
      <c r="G408" s="1190"/>
      <c r="H408" s="1190"/>
      <c r="I408" s="1190"/>
      <c r="J408" s="1190"/>
      <c r="K408" s="1190"/>
      <c r="L408" s="1190"/>
      <c r="M408" s="1190"/>
      <c r="N408" s="1190"/>
      <c r="O408" s="1190"/>
      <c r="P408" s="1190"/>
      <c r="Q408" s="1190"/>
      <c r="R408" s="1190"/>
      <c r="S408" s="1189"/>
      <c r="T408" s="1190"/>
      <c r="U408" s="1190"/>
      <c r="V408" s="1190"/>
      <c r="W408" s="1190"/>
      <c r="X408" s="1190"/>
      <c r="Y408" s="1190"/>
      <c r="Z408" s="1190"/>
      <c r="AA408" s="1190"/>
      <c r="AB408" s="1190"/>
      <c r="AC408" s="1190"/>
      <c r="AD408" s="1190"/>
      <c r="AE408" s="1190"/>
      <c r="AF408" s="1190"/>
      <c r="AG408" s="1748"/>
      <c r="AH408" s="1190"/>
      <c r="AI408" s="1748"/>
      <c r="AJ408" s="1190"/>
      <c r="AK408" s="1190"/>
      <c r="AL408" s="1190"/>
      <c r="AM408" s="1190"/>
      <c r="AN408" s="1190"/>
      <c r="AO408" s="1190"/>
      <c r="AP408" s="1190"/>
      <c r="AQ408" s="1190"/>
      <c r="AR408" s="1190"/>
      <c r="AS408" s="1190"/>
      <c r="AT408" s="1190"/>
      <c r="AU408" s="1190"/>
      <c r="AV408" s="1190"/>
      <c r="AW408" s="1190"/>
      <c r="AX408" s="1190"/>
      <c r="AY408" s="1190"/>
      <c r="AZ408" s="1190"/>
      <c r="BA408" s="1190"/>
      <c r="BB408" s="1190"/>
      <c r="BC408" s="1190"/>
      <c r="BD408" s="1190"/>
      <c r="BE408" s="1190"/>
      <c r="BF408" s="1190"/>
      <c r="BG408" s="1190"/>
      <c r="BH408" s="1190"/>
      <c r="BI408" s="1190"/>
      <c r="BJ408" s="1190"/>
      <c r="BK408" s="1190"/>
      <c r="BL408" s="1190"/>
      <c r="BM408" s="1190"/>
      <c r="BQ408" s="195"/>
      <c r="BR408" s="195"/>
      <c r="BT408" s="1005"/>
    </row>
    <row r="409" ht="15.75" customHeight="1">
      <c r="A409" s="195"/>
      <c r="B409" s="978"/>
      <c r="C409" s="2321"/>
      <c r="D409" s="1729"/>
      <c r="E409" s="1190"/>
      <c r="F409" s="1190"/>
      <c r="G409" s="1190"/>
      <c r="H409" s="1190"/>
      <c r="I409" s="1190"/>
      <c r="J409" s="1190"/>
      <c r="K409" s="1190"/>
      <c r="L409" s="1190"/>
      <c r="M409" s="1190"/>
      <c r="N409" s="1190"/>
      <c r="O409" s="1190"/>
      <c r="P409" s="1190"/>
      <c r="Q409" s="1190"/>
      <c r="R409" s="1190"/>
      <c r="S409" s="1189"/>
      <c r="T409" s="1190"/>
      <c r="U409" s="1190"/>
      <c r="V409" s="1190"/>
      <c r="W409" s="1190"/>
      <c r="X409" s="1190"/>
      <c r="Y409" s="1190"/>
      <c r="Z409" s="1190"/>
      <c r="AA409" s="1190"/>
      <c r="AB409" s="1190"/>
      <c r="AC409" s="1190"/>
      <c r="AD409" s="1190"/>
      <c r="AE409" s="1190"/>
      <c r="AF409" s="1190"/>
      <c r="AG409" s="1748"/>
      <c r="AH409" s="1190"/>
      <c r="AI409" s="1748"/>
      <c r="AJ409" s="1190"/>
      <c r="AK409" s="1190"/>
      <c r="AL409" s="1190"/>
      <c r="AM409" s="1190"/>
      <c r="AN409" s="1190"/>
      <c r="AO409" s="1190"/>
      <c r="AP409" s="1190"/>
      <c r="AQ409" s="1190"/>
      <c r="AR409" s="1190"/>
      <c r="AS409" s="1190"/>
      <c r="AT409" s="1190"/>
      <c r="AU409" s="1190"/>
      <c r="AV409" s="1190"/>
      <c r="AW409" s="1190"/>
      <c r="AX409" s="1190"/>
      <c r="AY409" s="1190"/>
      <c r="AZ409" s="1190"/>
      <c r="BA409" s="1190"/>
      <c r="BB409" s="1190"/>
      <c r="BC409" s="1190"/>
      <c r="BD409" s="1190"/>
      <c r="BE409" s="1190"/>
      <c r="BF409" s="1190"/>
      <c r="BG409" s="1190"/>
      <c r="BH409" s="1190"/>
      <c r="BI409" s="1190"/>
      <c r="BJ409" s="1190"/>
      <c r="BK409" s="1190"/>
      <c r="BL409" s="1190"/>
      <c r="BM409" s="1190"/>
      <c r="BQ409" s="195"/>
      <c r="BR409" s="195"/>
      <c r="BT409" s="1005"/>
    </row>
    <row r="410" ht="15.75" customHeight="1">
      <c r="A410" s="195"/>
      <c r="B410" s="978"/>
      <c r="C410" s="2321"/>
      <c r="D410" s="1729"/>
      <c r="E410" s="1190"/>
      <c r="F410" s="1190"/>
      <c r="G410" s="1190"/>
      <c r="H410" s="1190"/>
      <c r="I410" s="1190"/>
      <c r="J410" s="1190"/>
      <c r="K410" s="1190"/>
      <c r="L410" s="1190"/>
      <c r="M410" s="1190"/>
      <c r="N410" s="1190"/>
      <c r="O410" s="1190"/>
      <c r="P410" s="1190"/>
      <c r="Q410" s="1190"/>
      <c r="R410" s="1190"/>
      <c r="S410" s="1189"/>
      <c r="T410" s="1190"/>
      <c r="U410" s="1190"/>
      <c r="V410" s="1190"/>
      <c r="W410" s="1190"/>
      <c r="X410" s="1190"/>
      <c r="Y410" s="1190"/>
      <c r="Z410" s="1190"/>
      <c r="AA410" s="1190"/>
      <c r="AB410" s="1190"/>
      <c r="AC410" s="1190"/>
      <c r="AD410" s="1190"/>
      <c r="AE410" s="1190"/>
      <c r="AF410" s="1190"/>
      <c r="AG410" s="1748"/>
      <c r="AH410" s="1190"/>
      <c r="AI410" s="1748"/>
      <c r="AJ410" s="1190"/>
      <c r="AK410" s="1190"/>
      <c r="AL410" s="1190"/>
      <c r="AM410" s="1190"/>
      <c r="AN410" s="1190"/>
      <c r="AO410" s="1190"/>
      <c r="AP410" s="1190"/>
      <c r="AQ410" s="1190"/>
      <c r="AR410" s="1190"/>
      <c r="AS410" s="1190"/>
      <c r="AT410" s="1190"/>
      <c r="AU410" s="1190"/>
      <c r="AV410" s="1190"/>
      <c r="AW410" s="1190"/>
      <c r="AX410" s="1190"/>
      <c r="AY410" s="1190"/>
      <c r="AZ410" s="1190"/>
      <c r="BA410" s="1190"/>
      <c r="BB410" s="1190"/>
      <c r="BC410" s="1190"/>
      <c r="BD410" s="1190"/>
      <c r="BE410" s="1190"/>
      <c r="BF410" s="1190"/>
      <c r="BG410" s="1190"/>
      <c r="BH410" s="1190"/>
      <c r="BI410" s="1190"/>
      <c r="BJ410" s="1190"/>
      <c r="BK410" s="1190"/>
      <c r="BL410" s="1190"/>
      <c r="BM410" s="1190"/>
      <c r="BQ410" s="195"/>
      <c r="BR410" s="195"/>
      <c r="BT410" s="1005"/>
    </row>
    <row r="411" ht="15.75" customHeight="1">
      <c r="A411" s="195"/>
      <c r="B411" s="978"/>
      <c r="C411" s="2321"/>
      <c r="D411" s="1729"/>
      <c r="E411" s="1190"/>
      <c r="F411" s="1190"/>
      <c r="G411" s="1190"/>
      <c r="H411" s="1190"/>
      <c r="I411" s="1190"/>
      <c r="J411" s="1190"/>
      <c r="K411" s="1190"/>
      <c r="L411" s="1190"/>
      <c r="M411" s="1190"/>
      <c r="N411" s="1190"/>
      <c r="O411" s="1190"/>
      <c r="P411" s="1190"/>
      <c r="Q411" s="1190"/>
      <c r="R411" s="1190"/>
      <c r="S411" s="1189"/>
      <c r="T411" s="1190"/>
      <c r="U411" s="1190"/>
      <c r="V411" s="1190"/>
      <c r="W411" s="1190"/>
      <c r="X411" s="1190"/>
      <c r="Y411" s="1190"/>
      <c r="Z411" s="1190"/>
      <c r="AA411" s="1190"/>
      <c r="AB411" s="1190"/>
      <c r="AC411" s="1190"/>
      <c r="AD411" s="1190"/>
      <c r="AE411" s="1190"/>
      <c r="AF411" s="1190"/>
      <c r="AG411" s="1748"/>
      <c r="AH411" s="1190"/>
      <c r="AI411" s="1748"/>
      <c r="AJ411" s="1190"/>
      <c r="AK411" s="1190"/>
      <c r="AL411" s="1190"/>
      <c r="AM411" s="1190"/>
      <c r="AN411" s="1190"/>
      <c r="AO411" s="1190"/>
      <c r="AP411" s="1190"/>
      <c r="AQ411" s="1190"/>
      <c r="AR411" s="1190"/>
      <c r="AS411" s="1190"/>
      <c r="AT411" s="1190"/>
      <c r="AU411" s="1190"/>
      <c r="AV411" s="1190"/>
      <c r="AW411" s="1190"/>
      <c r="AX411" s="1190"/>
      <c r="AY411" s="1190"/>
      <c r="AZ411" s="1190"/>
      <c r="BA411" s="1190"/>
      <c r="BB411" s="1190"/>
      <c r="BC411" s="1190"/>
      <c r="BD411" s="1190"/>
      <c r="BE411" s="1190"/>
      <c r="BF411" s="1190"/>
      <c r="BG411" s="1190"/>
      <c r="BH411" s="1190"/>
      <c r="BI411" s="1190"/>
      <c r="BJ411" s="1190"/>
      <c r="BK411" s="1190"/>
      <c r="BL411" s="1190"/>
      <c r="BM411" s="1190"/>
      <c r="BQ411" s="195"/>
      <c r="BR411" s="195"/>
      <c r="BT411" s="1005"/>
    </row>
    <row r="412" ht="15.75" customHeight="1">
      <c r="A412" s="195"/>
      <c r="B412" s="978"/>
      <c r="C412" s="2321"/>
      <c r="D412" s="1729"/>
      <c r="E412" s="1190"/>
      <c r="F412" s="1190"/>
      <c r="G412" s="1190"/>
      <c r="H412" s="1190"/>
      <c r="I412" s="1190"/>
      <c r="J412" s="1190"/>
      <c r="K412" s="1190"/>
      <c r="L412" s="1190"/>
      <c r="M412" s="1190"/>
      <c r="N412" s="1190"/>
      <c r="O412" s="1190"/>
      <c r="P412" s="1190"/>
      <c r="Q412" s="1190"/>
      <c r="R412" s="1190"/>
      <c r="S412" s="1189"/>
      <c r="T412" s="1190"/>
      <c r="U412" s="1190"/>
      <c r="V412" s="1190"/>
      <c r="W412" s="1190"/>
      <c r="X412" s="1190"/>
      <c r="Y412" s="1190"/>
      <c r="Z412" s="1190"/>
      <c r="AA412" s="1190"/>
      <c r="AB412" s="1190"/>
      <c r="AC412" s="1190"/>
      <c r="AD412" s="1190"/>
      <c r="AE412" s="1190"/>
      <c r="AF412" s="1190"/>
      <c r="AG412" s="1748"/>
      <c r="AH412" s="1190"/>
      <c r="AI412" s="1748"/>
      <c r="AJ412" s="1190"/>
      <c r="AK412" s="1190"/>
      <c r="AL412" s="1190"/>
      <c r="AM412" s="1190"/>
      <c r="AN412" s="1190"/>
      <c r="AO412" s="1190"/>
      <c r="AP412" s="1190"/>
      <c r="AQ412" s="1190"/>
      <c r="AR412" s="1190"/>
      <c r="AS412" s="1190"/>
      <c r="AT412" s="1190"/>
      <c r="AU412" s="1190"/>
      <c r="AV412" s="1190"/>
      <c r="AW412" s="1190"/>
      <c r="AX412" s="1190"/>
      <c r="AY412" s="1190"/>
      <c r="AZ412" s="1190"/>
      <c r="BA412" s="1190"/>
      <c r="BB412" s="1190"/>
      <c r="BC412" s="1190"/>
      <c r="BD412" s="1190"/>
      <c r="BE412" s="1190"/>
      <c r="BF412" s="1190"/>
      <c r="BG412" s="1190"/>
      <c r="BH412" s="1190"/>
      <c r="BI412" s="1190"/>
      <c r="BJ412" s="1190"/>
      <c r="BK412" s="1190"/>
      <c r="BL412" s="1190"/>
      <c r="BM412" s="1190"/>
      <c r="BQ412" s="195"/>
      <c r="BR412" s="195"/>
      <c r="BT412" s="1005"/>
    </row>
    <row r="413" ht="15.75" customHeight="1">
      <c r="A413" s="195"/>
      <c r="B413" s="978"/>
      <c r="C413" s="2321"/>
      <c r="D413" s="1729"/>
      <c r="E413" s="1190"/>
      <c r="F413" s="1190"/>
      <c r="G413" s="1190"/>
      <c r="H413" s="1190"/>
      <c r="I413" s="1190"/>
      <c r="J413" s="1190"/>
      <c r="K413" s="1190"/>
      <c r="L413" s="1190"/>
      <c r="M413" s="1190"/>
      <c r="N413" s="1190"/>
      <c r="O413" s="1190"/>
      <c r="P413" s="1190"/>
      <c r="Q413" s="1190"/>
      <c r="R413" s="1190"/>
      <c r="S413" s="1189"/>
      <c r="T413" s="1190"/>
      <c r="U413" s="1190"/>
      <c r="V413" s="1190"/>
      <c r="W413" s="1190"/>
      <c r="X413" s="1190"/>
      <c r="Y413" s="1190"/>
      <c r="Z413" s="1190"/>
      <c r="AA413" s="1190"/>
      <c r="AB413" s="1190"/>
      <c r="AC413" s="1190"/>
      <c r="AD413" s="1190"/>
      <c r="AE413" s="1190"/>
      <c r="AF413" s="1190"/>
      <c r="AG413" s="1748"/>
      <c r="AH413" s="1190"/>
      <c r="AI413" s="1748"/>
      <c r="AJ413" s="1190"/>
      <c r="AK413" s="1190"/>
      <c r="AL413" s="1190"/>
      <c r="AM413" s="1190"/>
      <c r="AN413" s="1190"/>
      <c r="AO413" s="1190"/>
      <c r="AP413" s="1190"/>
      <c r="AQ413" s="1190"/>
      <c r="AR413" s="1190"/>
      <c r="AS413" s="1190"/>
      <c r="AT413" s="1190"/>
      <c r="AU413" s="1190"/>
      <c r="AV413" s="1190"/>
      <c r="AW413" s="1190"/>
      <c r="AX413" s="1190"/>
      <c r="AY413" s="1190"/>
      <c r="AZ413" s="1190"/>
      <c r="BA413" s="1190"/>
      <c r="BB413" s="1190"/>
      <c r="BC413" s="1190"/>
      <c r="BD413" s="1190"/>
      <c r="BE413" s="1190"/>
      <c r="BF413" s="1190"/>
      <c r="BG413" s="1190"/>
      <c r="BH413" s="1190"/>
      <c r="BI413" s="1190"/>
      <c r="BJ413" s="1190"/>
      <c r="BK413" s="1190"/>
      <c r="BL413" s="1190"/>
      <c r="BM413" s="1190"/>
      <c r="BQ413" s="195"/>
      <c r="BR413" s="195"/>
      <c r="BT413" s="1005"/>
    </row>
    <row r="414" ht="15.75" customHeight="1">
      <c r="A414" s="195"/>
      <c r="B414" s="978"/>
      <c r="C414" s="2321"/>
      <c r="D414" s="1729"/>
      <c r="E414" s="1190"/>
      <c r="F414" s="1190"/>
      <c r="G414" s="1190"/>
      <c r="H414" s="1190"/>
      <c r="I414" s="1190"/>
      <c r="J414" s="1190"/>
      <c r="K414" s="1190"/>
      <c r="L414" s="1190"/>
      <c r="M414" s="1190"/>
      <c r="N414" s="1190"/>
      <c r="O414" s="1190"/>
      <c r="P414" s="1190"/>
      <c r="Q414" s="1190"/>
      <c r="R414" s="1190"/>
      <c r="S414" s="1189"/>
      <c r="T414" s="1190"/>
      <c r="U414" s="1190"/>
      <c r="V414" s="1190"/>
      <c r="W414" s="1190"/>
      <c r="X414" s="1190"/>
      <c r="Y414" s="1190"/>
      <c r="Z414" s="1190"/>
      <c r="AA414" s="1190"/>
      <c r="AB414" s="1190"/>
      <c r="AC414" s="1190"/>
      <c r="AD414" s="1190"/>
      <c r="AE414" s="1190"/>
      <c r="AF414" s="1190"/>
      <c r="AG414" s="1748"/>
      <c r="AH414" s="1190"/>
      <c r="AI414" s="1748"/>
      <c r="AJ414" s="1190"/>
      <c r="AK414" s="1190"/>
      <c r="AL414" s="1190"/>
      <c r="AM414" s="1190"/>
      <c r="AN414" s="1190"/>
      <c r="AO414" s="1190"/>
      <c r="AP414" s="1190"/>
      <c r="AQ414" s="1190"/>
      <c r="AR414" s="1190"/>
      <c r="AS414" s="1190"/>
      <c r="AT414" s="1190"/>
      <c r="AU414" s="1190"/>
      <c r="AV414" s="1190"/>
      <c r="AW414" s="1190"/>
      <c r="AX414" s="1190"/>
      <c r="AY414" s="1190"/>
      <c r="AZ414" s="1190"/>
      <c r="BA414" s="1190"/>
      <c r="BB414" s="1190"/>
      <c r="BC414" s="1190"/>
      <c r="BD414" s="1190"/>
      <c r="BE414" s="1190"/>
      <c r="BF414" s="1190"/>
      <c r="BG414" s="1190"/>
      <c r="BH414" s="1190"/>
      <c r="BI414" s="1190"/>
      <c r="BJ414" s="1190"/>
      <c r="BK414" s="1190"/>
      <c r="BL414" s="1190"/>
      <c r="BM414" s="1190"/>
      <c r="BQ414" s="195"/>
      <c r="BR414" s="195"/>
      <c r="BT414" s="1005"/>
    </row>
    <row r="415" ht="15.75" customHeight="1">
      <c r="A415" s="195"/>
      <c r="B415" s="978"/>
      <c r="C415" s="2321"/>
      <c r="D415" s="1729"/>
      <c r="E415" s="1190"/>
      <c r="F415" s="1190"/>
      <c r="G415" s="1190"/>
      <c r="H415" s="1190"/>
      <c r="I415" s="1190"/>
      <c r="J415" s="1190"/>
      <c r="K415" s="1190"/>
      <c r="L415" s="1190"/>
      <c r="M415" s="1190"/>
      <c r="N415" s="1190"/>
      <c r="O415" s="1190"/>
      <c r="P415" s="1190"/>
      <c r="Q415" s="1190"/>
      <c r="R415" s="1190"/>
      <c r="S415" s="1189"/>
      <c r="T415" s="1190"/>
      <c r="U415" s="1190"/>
      <c r="V415" s="1190"/>
      <c r="W415" s="1190"/>
      <c r="X415" s="1190"/>
      <c r="Y415" s="1190"/>
      <c r="Z415" s="1190"/>
      <c r="AA415" s="1190"/>
      <c r="AB415" s="1190"/>
      <c r="AC415" s="1190"/>
      <c r="AD415" s="1190"/>
      <c r="AE415" s="1190"/>
      <c r="AF415" s="1190"/>
      <c r="AG415" s="1748"/>
      <c r="AH415" s="1190"/>
      <c r="AI415" s="1748"/>
      <c r="AJ415" s="1190"/>
      <c r="AK415" s="1190"/>
      <c r="AL415" s="1190"/>
      <c r="AM415" s="1190"/>
      <c r="AN415" s="1190"/>
      <c r="AO415" s="1190"/>
      <c r="AP415" s="1190"/>
      <c r="AQ415" s="1190"/>
      <c r="AR415" s="1190"/>
      <c r="AS415" s="1190"/>
      <c r="AT415" s="1190"/>
      <c r="AU415" s="1190"/>
      <c r="AV415" s="1190"/>
      <c r="AW415" s="1190"/>
      <c r="AX415" s="1190"/>
      <c r="AY415" s="1190"/>
      <c r="AZ415" s="1190"/>
      <c r="BA415" s="1190"/>
      <c r="BB415" s="1190"/>
      <c r="BC415" s="1190"/>
      <c r="BD415" s="1190"/>
      <c r="BE415" s="1190"/>
      <c r="BF415" s="1190"/>
      <c r="BG415" s="1190"/>
      <c r="BH415" s="1190"/>
      <c r="BI415" s="1190"/>
      <c r="BJ415" s="1190"/>
      <c r="BK415" s="1190"/>
      <c r="BL415" s="1190"/>
      <c r="BM415" s="1190"/>
      <c r="BQ415" s="195"/>
      <c r="BR415" s="195"/>
      <c r="BT415" s="1005"/>
    </row>
    <row r="416" ht="15.75" customHeight="1">
      <c r="A416" s="195"/>
      <c r="B416" s="978"/>
      <c r="C416" s="2321"/>
      <c r="D416" s="1729"/>
      <c r="E416" s="1190"/>
      <c r="F416" s="1190"/>
      <c r="G416" s="1190"/>
      <c r="H416" s="1190"/>
      <c r="I416" s="1190"/>
      <c r="J416" s="1190"/>
      <c r="K416" s="1190"/>
      <c r="L416" s="1190"/>
      <c r="M416" s="1190"/>
      <c r="N416" s="1190"/>
      <c r="O416" s="1190"/>
      <c r="P416" s="1190"/>
      <c r="Q416" s="1190"/>
      <c r="R416" s="1190"/>
      <c r="S416" s="1189"/>
      <c r="T416" s="1190"/>
      <c r="U416" s="1190"/>
      <c r="V416" s="1190"/>
      <c r="W416" s="1190"/>
      <c r="X416" s="1190"/>
      <c r="Y416" s="1190"/>
      <c r="Z416" s="1190"/>
      <c r="AA416" s="1190"/>
      <c r="AB416" s="1190"/>
      <c r="AC416" s="1190"/>
      <c r="AD416" s="1190"/>
      <c r="AE416" s="1190"/>
      <c r="AF416" s="1190"/>
      <c r="AG416" s="1748"/>
      <c r="AH416" s="1190"/>
      <c r="AI416" s="1748"/>
      <c r="AJ416" s="1190"/>
      <c r="AK416" s="1190"/>
      <c r="AL416" s="1190"/>
      <c r="AM416" s="1190"/>
      <c r="AN416" s="1190"/>
      <c r="AO416" s="1190"/>
      <c r="AP416" s="1190"/>
      <c r="AQ416" s="1190"/>
      <c r="AR416" s="1190"/>
      <c r="AS416" s="1190"/>
      <c r="AT416" s="1190"/>
      <c r="AU416" s="1190"/>
      <c r="AV416" s="1190"/>
      <c r="AW416" s="1190"/>
      <c r="AX416" s="1190"/>
      <c r="AY416" s="1190"/>
      <c r="AZ416" s="1190"/>
      <c r="BA416" s="1190"/>
      <c r="BB416" s="1190"/>
      <c r="BC416" s="1190"/>
      <c r="BD416" s="1190"/>
      <c r="BE416" s="1190"/>
      <c r="BF416" s="1190"/>
      <c r="BG416" s="1190"/>
      <c r="BH416" s="1190"/>
      <c r="BI416" s="1190"/>
      <c r="BJ416" s="1190"/>
      <c r="BK416" s="1190"/>
      <c r="BL416" s="1190"/>
      <c r="BM416" s="1190"/>
      <c r="BQ416" s="195"/>
      <c r="BR416" s="195"/>
      <c r="BT416" s="1005"/>
    </row>
    <row r="417" ht="15.75" customHeight="1">
      <c r="A417" s="195"/>
      <c r="B417" s="978"/>
      <c r="C417" s="2321"/>
      <c r="D417" s="1729"/>
      <c r="E417" s="1190"/>
      <c r="F417" s="1190"/>
      <c r="G417" s="1190"/>
      <c r="H417" s="1190"/>
      <c r="I417" s="1190"/>
      <c r="J417" s="1190"/>
      <c r="K417" s="1190"/>
      <c r="L417" s="1190"/>
      <c r="M417" s="1190"/>
      <c r="N417" s="1190"/>
      <c r="O417" s="1190"/>
      <c r="P417" s="1190"/>
      <c r="Q417" s="1190"/>
      <c r="R417" s="1190"/>
      <c r="S417" s="1189"/>
      <c r="T417" s="1190"/>
      <c r="U417" s="1190"/>
      <c r="V417" s="1190"/>
      <c r="W417" s="1190"/>
      <c r="X417" s="1190"/>
      <c r="Y417" s="1190"/>
      <c r="Z417" s="1190"/>
      <c r="AA417" s="1190"/>
      <c r="AB417" s="1190"/>
      <c r="AC417" s="1190"/>
      <c r="AD417" s="1190"/>
      <c r="AE417" s="1190"/>
      <c r="AF417" s="1190"/>
      <c r="AG417" s="1748"/>
      <c r="AH417" s="1190"/>
      <c r="AI417" s="1748"/>
      <c r="AJ417" s="1190"/>
      <c r="AK417" s="1190"/>
      <c r="AL417" s="1190"/>
      <c r="AM417" s="1190"/>
      <c r="AN417" s="1190"/>
      <c r="AO417" s="1190"/>
      <c r="AP417" s="1190"/>
      <c r="AQ417" s="1190"/>
      <c r="AR417" s="1190"/>
      <c r="AS417" s="1190"/>
      <c r="AT417" s="1190"/>
      <c r="AU417" s="1190"/>
      <c r="AV417" s="1190"/>
      <c r="AW417" s="1190"/>
      <c r="AX417" s="1190"/>
      <c r="AY417" s="1190"/>
      <c r="AZ417" s="1190"/>
      <c r="BA417" s="1190"/>
      <c r="BB417" s="1190"/>
      <c r="BC417" s="1190"/>
      <c r="BD417" s="1190"/>
      <c r="BE417" s="1190"/>
      <c r="BF417" s="1190"/>
      <c r="BG417" s="1190"/>
      <c r="BH417" s="1190"/>
      <c r="BI417" s="1190"/>
      <c r="BJ417" s="1190"/>
      <c r="BK417" s="1190"/>
      <c r="BL417" s="1190"/>
      <c r="BM417" s="1190"/>
      <c r="BQ417" s="195"/>
      <c r="BR417" s="195"/>
      <c r="BT417" s="1005"/>
    </row>
    <row r="418" ht="15.75" customHeight="1">
      <c r="A418" s="195"/>
      <c r="B418" s="978"/>
      <c r="C418" s="2321"/>
      <c r="D418" s="1729"/>
      <c r="E418" s="1190"/>
      <c r="F418" s="1190"/>
      <c r="G418" s="1190"/>
      <c r="H418" s="1190"/>
      <c r="I418" s="1190"/>
      <c r="J418" s="1190"/>
      <c r="K418" s="1190"/>
      <c r="L418" s="1190"/>
      <c r="M418" s="1190"/>
      <c r="N418" s="1190"/>
      <c r="O418" s="1190"/>
      <c r="P418" s="1190"/>
      <c r="Q418" s="1190"/>
      <c r="R418" s="1190"/>
      <c r="S418" s="1189"/>
      <c r="T418" s="1190"/>
      <c r="U418" s="1190"/>
      <c r="V418" s="1190"/>
      <c r="W418" s="1190"/>
      <c r="X418" s="1190"/>
      <c r="Y418" s="1190"/>
      <c r="Z418" s="1190"/>
      <c r="AA418" s="1190"/>
      <c r="AB418" s="1190"/>
      <c r="AC418" s="1190"/>
      <c r="AD418" s="1190"/>
      <c r="AE418" s="1190"/>
      <c r="AF418" s="1190"/>
      <c r="AG418" s="1748"/>
      <c r="AH418" s="1190"/>
      <c r="AI418" s="1748"/>
      <c r="AJ418" s="1190"/>
      <c r="AK418" s="1190"/>
      <c r="AL418" s="1190"/>
      <c r="AM418" s="1190"/>
      <c r="AN418" s="1190"/>
      <c r="AO418" s="1190"/>
      <c r="AP418" s="1190"/>
      <c r="AQ418" s="1190"/>
      <c r="AR418" s="1190"/>
      <c r="AS418" s="1190"/>
      <c r="AT418" s="1190"/>
      <c r="AU418" s="1190"/>
      <c r="AV418" s="1190"/>
      <c r="AW418" s="1190"/>
      <c r="AX418" s="1190"/>
      <c r="AY418" s="1190"/>
      <c r="AZ418" s="1190"/>
      <c r="BA418" s="1190"/>
      <c r="BB418" s="1190"/>
      <c r="BC418" s="1190"/>
      <c r="BD418" s="1190"/>
      <c r="BE418" s="1190"/>
      <c r="BF418" s="1190"/>
      <c r="BG418" s="1190"/>
      <c r="BH418" s="1190"/>
      <c r="BI418" s="1190"/>
      <c r="BJ418" s="1190"/>
      <c r="BK418" s="1190"/>
      <c r="BL418" s="1190"/>
      <c r="BM418" s="1190"/>
      <c r="BQ418" s="195"/>
      <c r="BR418" s="195"/>
      <c r="BT418" s="1005"/>
    </row>
    <row r="419" ht="15.75" customHeight="1">
      <c r="A419" s="195"/>
      <c r="B419" s="978"/>
      <c r="C419" s="2321"/>
      <c r="D419" s="1729"/>
      <c r="E419" s="1190"/>
      <c r="F419" s="1190"/>
      <c r="G419" s="1190"/>
      <c r="H419" s="1190"/>
      <c r="I419" s="1190"/>
      <c r="J419" s="1190"/>
      <c r="K419" s="1190"/>
      <c r="L419" s="1190"/>
      <c r="M419" s="1190"/>
      <c r="N419" s="1190"/>
      <c r="O419" s="1190"/>
      <c r="P419" s="1190"/>
      <c r="Q419" s="1190"/>
      <c r="R419" s="1190"/>
      <c r="S419" s="1189"/>
      <c r="T419" s="1190"/>
      <c r="U419" s="1190"/>
      <c r="V419" s="1190"/>
      <c r="W419" s="1190"/>
      <c r="X419" s="1190"/>
      <c r="Y419" s="1190"/>
      <c r="Z419" s="1190"/>
      <c r="AA419" s="1190"/>
      <c r="AB419" s="1190"/>
      <c r="AC419" s="1190"/>
      <c r="AD419" s="1190"/>
      <c r="AE419" s="1190"/>
      <c r="AF419" s="1190"/>
      <c r="AG419" s="1748"/>
      <c r="AH419" s="1190"/>
      <c r="AI419" s="1748"/>
      <c r="AJ419" s="1190"/>
      <c r="AK419" s="1190"/>
      <c r="AL419" s="1190"/>
      <c r="AM419" s="1190"/>
      <c r="AN419" s="1190"/>
      <c r="AO419" s="1190"/>
      <c r="AP419" s="1190"/>
      <c r="AQ419" s="1190"/>
      <c r="AR419" s="1190"/>
      <c r="AS419" s="1190"/>
      <c r="AT419" s="1190"/>
      <c r="AU419" s="1190"/>
      <c r="AV419" s="1190"/>
      <c r="AW419" s="1190"/>
      <c r="AX419" s="1190"/>
      <c r="AY419" s="1190"/>
      <c r="AZ419" s="1190"/>
      <c r="BA419" s="1190"/>
      <c r="BB419" s="1190"/>
      <c r="BC419" s="1190"/>
      <c r="BD419" s="1190"/>
      <c r="BE419" s="1190"/>
      <c r="BF419" s="1190"/>
      <c r="BG419" s="1190"/>
      <c r="BH419" s="1190"/>
      <c r="BI419" s="1190"/>
      <c r="BJ419" s="1190"/>
      <c r="BK419" s="1190"/>
      <c r="BL419" s="1190"/>
      <c r="BM419" s="1190"/>
      <c r="BQ419" s="195"/>
      <c r="BR419" s="195"/>
      <c r="BT419" s="1005"/>
    </row>
    <row r="420" ht="15.75" customHeight="1">
      <c r="A420" s="195"/>
      <c r="B420" s="978"/>
      <c r="C420" s="2321"/>
      <c r="D420" s="1729"/>
      <c r="E420" s="1190"/>
      <c r="F420" s="1190"/>
      <c r="G420" s="1190"/>
      <c r="H420" s="1190"/>
      <c r="I420" s="1190"/>
      <c r="J420" s="1190"/>
      <c r="K420" s="1190"/>
      <c r="L420" s="1190"/>
      <c r="M420" s="1190"/>
      <c r="N420" s="1190"/>
      <c r="O420" s="1190"/>
      <c r="P420" s="1190"/>
      <c r="Q420" s="1190"/>
      <c r="R420" s="1190"/>
      <c r="S420" s="1189"/>
      <c r="T420" s="1190"/>
      <c r="U420" s="1190"/>
      <c r="V420" s="1190"/>
      <c r="W420" s="1190"/>
      <c r="X420" s="1190"/>
      <c r="Y420" s="1190"/>
      <c r="Z420" s="1190"/>
      <c r="AA420" s="1190"/>
      <c r="AB420" s="1190"/>
      <c r="AC420" s="1190"/>
      <c r="AD420" s="1190"/>
      <c r="AE420" s="1190"/>
      <c r="AF420" s="1190"/>
      <c r="AG420" s="1748"/>
      <c r="AH420" s="1190"/>
      <c r="AI420" s="1748"/>
      <c r="AJ420" s="1190"/>
      <c r="AK420" s="1190"/>
      <c r="AL420" s="1190"/>
      <c r="AM420" s="1190"/>
      <c r="AN420" s="1190"/>
      <c r="AO420" s="1190"/>
      <c r="AP420" s="1190"/>
      <c r="AQ420" s="1190"/>
      <c r="AR420" s="1190"/>
      <c r="AS420" s="1190"/>
      <c r="AT420" s="1190"/>
      <c r="AU420" s="1190"/>
      <c r="AV420" s="1190"/>
      <c r="AW420" s="1190"/>
      <c r="AX420" s="1190"/>
      <c r="AY420" s="1190"/>
      <c r="AZ420" s="1190"/>
      <c r="BA420" s="1190"/>
      <c r="BB420" s="1190"/>
      <c r="BC420" s="1190"/>
      <c r="BD420" s="1190"/>
      <c r="BE420" s="1190"/>
      <c r="BF420" s="1190"/>
      <c r="BG420" s="1190"/>
      <c r="BH420" s="1190"/>
      <c r="BI420" s="1190"/>
      <c r="BJ420" s="1190"/>
      <c r="BK420" s="1190"/>
      <c r="BL420" s="1190"/>
      <c r="BM420" s="1190"/>
      <c r="BQ420" s="195"/>
      <c r="BR420" s="195"/>
      <c r="BT420" s="1005"/>
    </row>
    <row r="421" ht="15.75" customHeight="1">
      <c r="A421" s="195"/>
      <c r="B421" s="978"/>
      <c r="C421" s="2321"/>
      <c r="D421" s="1729"/>
      <c r="E421" s="1190"/>
      <c r="F421" s="1190"/>
      <c r="G421" s="1190"/>
      <c r="H421" s="1190"/>
      <c r="I421" s="1190"/>
      <c r="J421" s="1190"/>
      <c r="K421" s="1190"/>
      <c r="L421" s="1190"/>
      <c r="M421" s="1190"/>
      <c r="N421" s="1190"/>
      <c r="O421" s="1190"/>
      <c r="P421" s="1190"/>
      <c r="Q421" s="1190"/>
      <c r="R421" s="1190"/>
      <c r="S421" s="1189"/>
      <c r="T421" s="1190"/>
      <c r="U421" s="1190"/>
      <c r="V421" s="1190"/>
      <c r="W421" s="1190"/>
      <c r="X421" s="1190"/>
      <c r="Y421" s="1190"/>
      <c r="Z421" s="1190"/>
      <c r="AA421" s="1190"/>
      <c r="AB421" s="1190"/>
      <c r="AC421" s="1190"/>
      <c r="AD421" s="1190"/>
      <c r="AE421" s="1190"/>
      <c r="AF421" s="1190"/>
      <c r="AG421" s="1748"/>
      <c r="AH421" s="1190"/>
      <c r="AI421" s="1748"/>
      <c r="AJ421" s="1190"/>
      <c r="AK421" s="1190"/>
      <c r="AL421" s="1190"/>
      <c r="AM421" s="1190"/>
      <c r="AN421" s="1190"/>
      <c r="AO421" s="1190"/>
      <c r="AP421" s="1190"/>
      <c r="AQ421" s="1190"/>
      <c r="AR421" s="1190"/>
      <c r="AS421" s="1190"/>
      <c r="AT421" s="1190"/>
      <c r="AU421" s="1190"/>
      <c r="AV421" s="1190"/>
      <c r="AW421" s="1190"/>
      <c r="AX421" s="1190"/>
      <c r="AY421" s="1190"/>
      <c r="AZ421" s="1190"/>
      <c r="BA421" s="1190"/>
      <c r="BB421" s="1190"/>
      <c r="BC421" s="1190"/>
      <c r="BD421" s="1190"/>
      <c r="BE421" s="1190"/>
      <c r="BF421" s="1190"/>
      <c r="BG421" s="1190"/>
      <c r="BH421" s="1190"/>
      <c r="BI421" s="1190"/>
      <c r="BJ421" s="1190"/>
      <c r="BK421" s="1190"/>
      <c r="BL421" s="1190"/>
      <c r="BM421" s="1190"/>
      <c r="BQ421" s="195"/>
      <c r="BR421" s="195"/>
      <c r="BT421" s="1005"/>
    </row>
    <row r="422" ht="15.75" customHeight="1">
      <c r="A422" s="195"/>
      <c r="B422" s="978"/>
      <c r="C422" s="2321"/>
      <c r="D422" s="1729"/>
      <c r="E422" s="1190"/>
      <c r="F422" s="1190"/>
      <c r="G422" s="1190"/>
      <c r="H422" s="1190"/>
      <c r="I422" s="1190"/>
      <c r="J422" s="1190"/>
      <c r="K422" s="1190"/>
      <c r="L422" s="1190"/>
      <c r="M422" s="1190"/>
      <c r="N422" s="1190"/>
      <c r="O422" s="1190"/>
      <c r="P422" s="1190"/>
      <c r="Q422" s="1190"/>
      <c r="R422" s="1190"/>
      <c r="S422" s="1189"/>
      <c r="T422" s="1190"/>
      <c r="U422" s="1190"/>
      <c r="V422" s="1190"/>
      <c r="W422" s="1190"/>
      <c r="X422" s="1190"/>
      <c r="Y422" s="1190"/>
      <c r="Z422" s="1190"/>
      <c r="AA422" s="1190"/>
      <c r="AB422" s="1190"/>
      <c r="AC422" s="1190"/>
      <c r="AD422" s="1190"/>
      <c r="AE422" s="1190"/>
      <c r="AF422" s="1190"/>
      <c r="AG422" s="1748"/>
      <c r="AH422" s="1190"/>
      <c r="AI422" s="1748"/>
      <c r="AJ422" s="1190"/>
      <c r="AK422" s="1190"/>
      <c r="AL422" s="1190"/>
      <c r="AM422" s="1190"/>
      <c r="AN422" s="1190"/>
      <c r="AO422" s="1190"/>
      <c r="AP422" s="1190"/>
      <c r="AQ422" s="1190"/>
      <c r="AR422" s="1190"/>
      <c r="AS422" s="1190"/>
      <c r="AT422" s="1190"/>
      <c r="AU422" s="1190"/>
      <c r="AV422" s="1190"/>
      <c r="AW422" s="1190"/>
      <c r="AX422" s="1190"/>
      <c r="AY422" s="1190"/>
      <c r="AZ422" s="1190"/>
      <c r="BA422" s="1190"/>
      <c r="BB422" s="1190"/>
      <c r="BC422" s="1190"/>
      <c r="BD422" s="1190"/>
      <c r="BE422" s="1190"/>
      <c r="BF422" s="1190"/>
      <c r="BG422" s="1190"/>
      <c r="BH422" s="1190"/>
      <c r="BI422" s="1190"/>
      <c r="BJ422" s="1190"/>
      <c r="BK422" s="1190"/>
      <c r="BL422" s="1190"/>
      <c r="BM422" s="1190"/>
      <c r="BQ422" s="195"/>
      <c r="BR422" s="195"/>
      <c r="BT422" s="1005"/>
    </row>
    <row r="423" ht="15.75" customHeight="1">
      <c r="A423" s="195"/>
      <c r="B423" s="978"/>
      <c r="C423" s="2321"/>
      <c r="D423" s="1729"/>
      <c r="E423" s="1190"/>
      <c r="F423" s="1190"/>
      <c r="G423" s="1190"/>
      <c r="H423" s="1190"/>
      <c r="I423" s="1190"/>
      <c r="J423" s="1190"/>
      <c r="K423" s="1190"/>
      <c r="L423" s="1190"/>
      <c r="M423" s="1190"/>
      <c r="N423" s="1190"/>
      <c r="O423" s="1190"/>
      <c r="P423" s="1190"/>
      <c r="Q423" s="1190"/>
      <c r="R423" s="1190"/>
      <c r="S423" s="1189"/>
      <c r="T423" s="1190"/>
      <c r="U423" s="1190"/>
      <c r="V423" s="1190"/>
      <c r="W423" s="1190"/>
      <c r="X423" s="1190"/>
      <c r="Y423" s="1190"/>
      <c r="Z423" s="1190"/>
      <c r="AA423" s="1190"/>
      <c r="AB423" s="1190"/>
      <c r="AC423" s="1190"/>
      <c r="AD423" s="1190"/>
      <c r="AE423" s="1190"/>
      <c r="AF423" s="1190"/>
      <c r="AG423" s="1748"/>
      <c r="AH423" s="1190"/>
      <c r="AI423" s="1748"/>
      <c r="AJ423" s="1190"/>
      <c r="AK423" s="1190"/>
      <c r="AL423" s="1190"/>
      <c r="AM423" s="1190"/>
      <c r="AN423" s="1190"/>
      <c r="AO423" s="1190"/>
      <c r="AP423" s="1190"/>
      <c r="AQ423" s="1190"/>
      <c r="AR423" s="1190"/>
      <c r="AS423" s="1190"/>
      <c r="AT423" s="1190"/>
      <c r="AU423" s="1190"/>
      <c r="AV423" s="1190"/>
      <c r="AW423" s="1190"/>
      <c r="AX423" s="1190"/>
      <c r="AY423" s="1190"/>
      <c r="AZ423" s="1190"/>
      <c r="BA423" s="1190"/>
      <c r="BB423" s="1190"/>
      <c r="BC423" s="1190"/>
      <c r="BD423" s="1190"/>
      <c r="BE423" s="1190"/>
      <c r="BF423" s="1190"/>
      <c r="BG423" s="1190"/>
      <c r="BH423" s="1190"/>
      <c r="BI423" s="1190"/>
      <c r="BJ423" s="1190"/>
      <c r="BK423" s="1190"/>
      <c r="BL423" s="1190"/>
      <c r="BM423" s="1190"/>
      <c r="BQ423" s="195"/>
      <c r="BR423" s="195"/>
      <c r="BT423" s="1005"/>
    </row>
    <row r="424" ht="15.75" customHeight="1">
      <c r="A424" s="195"/>
      <c r="B424" s="978"/>
      <c r="C424" s="2321"/>
      <c r="D424" s="1729"/>
      <c r="E424" s="1190"/>
      <c r="F424" s="1190"/>
      <c r="G424" s="1190"/>
      <c r="H424" s="1190"/>
      <c r="I424" s="1190"/>
      <c r="J424" s="1190"/>
      <c r="K424" s="1190"/>
      <c r="L424" s="1190"/>
      <c r="M424" s="1190"/>
      <c r="N424" s="1190"/>
      <c r="O424" s="1190"/>
      <c r="P424" s="1190"/>
      <c r="Q424" s="1190"/>
      <c r="R424" s="1190"/>
      <c r="S424" s="1189"/>
      <c r="T424" s="1190"/>
      <c r="U424" s="1190"/>
      <c r="V424" s="1190"/>
      <c r="W424" s="1190"/>
      <c r="X424" s="1190"/>
      <c r="Y424" s="1190"/>
      <c r="Z424" s="1190"/>
      <c r="AA424" s="1190"/>
      <c r="AB424" s="1190"/>
      <c r="AC424" s="1190"/>
      <c r="AD424" s="1190"/>
      <c r="AE424" s="1190"/>
      <c r="AF424" s="1190"/>
      <c r="AG424" s="1748"/>
      <c r="AH424" s="1190"/>
      <c r="AI424" s="1748"/>
      <c r="AJ424" s="1190"/>
      <c r="AK424" s="1190"/>
      <c r="AL424" s="1190"/>
      <c r="AM424" s="1190"/>
      <c r="AN424" s="1190"/>
      <c r="AO424" s="1190"/>
      <c r="AP424" s="1190"/>
      <c r="AQ424" s="1190"/>
      <c r="AR424" s="1190"/>
      <c r="AS424" s="1190"/>
      <c r="AT424" s="1190"/>
      <c r="AU424" s="1190"/>
      <c r="AV424" s="1190"/>
      <c r="AW424" s="1190"/>
      <c r="AX424" s="1190"/>
      <c r="AY424" s="1190"/>
      <c r="AZ424" s="1190"/>
      <c r="BA424" s="1190"/>
      <c r="BB424" s="1190"/>
      <c r="BC424" s="1190"/>
      <c r="BD424" s="1190"/>
      <c r="BE424" s="1190"/>
      <c r="BF424" s="1190"/>
      <c r="BG424" s="1190"/>
      <c r="BH424" s="1190"/>
      <c r="BI424" s="1190"/>
      <c r="BJ424" s="1190"/>
      <c r="BK424" s="1190"/>
      <c r="BL424" s="1190"/>
      <c r="BM424" s="1190"/>
      <c r="BQ424" s="195"/>
      <c r="BR424" s="195"/>
      <c r="BT424" s="1005"/>
    </row>
    <row r="425" ht="15.75" customHeight="1">
      <c r="A425" s="195"/>
      <c r="B425" s="978"/>
      <c r="C425" s="2321"/>
      <c r="D425" s="1729"/>
      <c r="E425" s="1190"/>
      <c r="F425" s="1190"/>
      <c r="G425" s="1190"/>
      <c r="H425" s="1190"/>
      <c r="I425" s="1190"/>
      <c r="J425" s="1190"/>
      <c r="K425" s="1190"/>
      <c r="L425" s="1190"/>
      <c r="M425" s="1190"/>
      <c r="N425" s="1190"/>
      <c r="O425" s="1190"/>
      <c r="P425" s="1190"/>
      <c r="Q425" s="1190"/>
      <c r="R425" s="1190"/>
      <c r="S425" s="1189"/>
      <c r="T425" s="1190"/>
      <c r="U425" s="1190"/>
      <c r="V425" s="1190"/>
      <c r="W425" s="1190"/>
      <c r="X425" s="1190"/>
      <c r="Y425" s="1190"/>
      <c r="Z425" s="1190"/>
      <c r="AA425" s="1190"/>
      <c r="AB425" s="1190"/>
      <c r="AC425" s="1190"/>
      <c r="AD425" s="1190"/>
      <c r="AE425" s="1190"/>
      <c r="AF425" s="1190"/>
      <c r="AG425" s="1748"/>
      <c r="AH425" s="1190"/>
      <c r="AI425" s="1748"/>
      <c r="AJ425" s="1190"/>
      <c r="AK425" s="1190"/>
      <c r="AL425" s="1190"/>
      <c r="AM425" s="1190"/>
      <c r="AN425" s="1190"/>
      <c r="AO425" s="1190"/>
      <c r="AP425" s="1190"/>
      <c r="AQ425" s="1190"/>
      <c r="AR425" s="1190"/>
      <c r="AS425" s="1190"/>
      <c r="AT425" s="1190"/>
      <c r="AU425" s="1190"/>
      <c r="AV425" s="1190"/>
      <c r="AW425" s="1190"/>
      <c r="AX425" s="1190"/>
      <c r="AY425" s="1190"/>
      <c r="AZ425" s="1190"/>
      <c r="BA425" s="1190"/>
      <c r="BB425" s="1190"/>
      <c r="BC425" s="1190"/>
      <c r="BD425" s="1190"/>
      <c r="BE425" s="1190"/>
      <c r="BF425" s="1190"/>
      <c r="BG425" s="1190"/>
      <c r="BH425" s="1190"/>
      <c r="BI425" s="1190"/>
      <c r="BJ425" s="1190"/>
      <c r="BK425" s="1190"/>
      <c r="BL425" s="1190"/>
      <c r="BM425" s="1190"/>
      <c r="BQ425" s="195"/>
      <c r="BR425" s="195"/>
      <c r="BT425" s="1005"/>
    </row>
    <row r="426" ht="15.75" customHeight="1">
      <c r="A426" s="195"/>
      <c r="B426" s="978"/>
      <c r="C426" s="2321"/>
      <c r="D426" s="1729"/>
      <c r="E426" s="1190"/>
      <c r="F426" s="1190"/>
      <c r="G426" s="1190"/>
      <c r="H426" s="1190"/>
      <c r="I426" s="1190"/>
      <c r="J426" s="1190"/>
      <c r="K426" s="1190"/>
      <c r="L426" s="1190"/>
      <c r="M426" s="1190"/>
      <c r="N426" s="1190"/>
      <c r="O426" s="1190"/>
      <c r="P426" s="1190"/>
      <c r="Q426" s="1190"/>
      <c r="R426" s="1190"/>
      <c r="S426" s="1189"/>
      <c r="T426" s="1190"/>
      <c r="U426" s="1190"/>
      <c r="V426" s="1190"/>
      <c r="W426" s="1190"/>
      <c r="X426" s="1190"/>
      <c r="Y426" s="1190"/>
      <c r="Z426" s="1190"/>
      <c r="AA426" s="1190"/>
      <c r="AB426" s="1190"/>
      <c r="AC426" s="1190"/>
      <c r="AD426" s="1190"/>
      <c r="AE426" s="1190"/>
      <c r="AF426" s="1190"/>
      <c r="AG426" s="1748"/>
      <c r="AH426" s="1190"/>
      <c r="AI426" s="1748"/>
      <c r="AJ426" s="1190"/>
      <c r="AK426" s="1190"/>
      <c r="AL426" s="1190"/>
      <c r="AM426" s="1190"/>
      <c r="AN426" s="1190"/>
      <c r="AO426" s="1190"/>
      <c r="AP426" s="1190"/>
      <c r="AQ426" s="1190"/>
      <c r="AR426" s="1190"/>
      <c r="AS426" s="1190"/>
      <c r="AT426" s="1190"/>
      <c r="AU426" s="1190"/>
      <c r="AV426" s="1190"/>
      <c r="AW426" s="1190"/>
      <c r="AX426" s="1190"/>
      <c r="AY426" s="1190"/>
      <c r="AZ426" s="1190"/>
      <c r="BA426" s="1190"/>
      <c r="BB426" s="1190"/>
      <c r="BC426" s="1190"/>
      <c r="BD426" s="1190"/>
      <c r="BE426" s="1190"/>
      <c r="BF426" s="1190"/>
      <c r="BG426" s="1190"/>
      <c r="BH426" s="1190"/>
      <c r="BI426" s="1190"/>
      <c r="BJ426" s="1190"/>
      <c r="BK426" s="1190"/>
      <c r="BL426" s="1190"/>
      <c r="BM426" s="1190"/>
      <c r="BQ426" s="195"/>
      <c r="BR426" s="195"/>
      <c r="BT426" s="1005"/>
    </row>
    <row r="427" ht="15.75" customHeight="1">
      <c r="A427" s="195"/>
      <c r="B427" s="978"/>
      <c r="C427" s="2321"/>
      <c r="D427" s="1729"/>
      <c r="E427" s="1190"/>
      <c r="F427" s="1190"/>
      <c r="G427" s="1190"/>
      <c r="H427" s="1190"/>
      <c r="I427" s="1190"/>
      <c r="J427" s="1190"/>
      <c r="K427" s="1190"/>
      <c r="L427" s="1190"/>
      <c r="M427" s="1190"/>
      <c r="N427" s="1190"/>
      <c r="O427" s="1190"/>
      <c r="P427" s="1190"/>
      <c r="Q427" s="1190"/>
      <c r="R427" s="1190"/>
      <c r="S427" s="1189"/>
      <c r="T427" s="1190"/>
      <c r="U427" s="1190"/>
      <c r="V427" s="1190"/>
      <c r="W427" s="1190"/>
      <c r="X427" s="1190"/>
      <c r="Y427" s="1190"/>
      <c r="Z427" s="1190"/>
      <c r="AA427" s="1190"/>
      <c r="AB427" s="1190"/>
      <c r="AC427" s="1190"/>
      <c r="AD427" s="1190"/>
      <c r="AE427" s="1190"/>
      <c r="AF427" s="1190"/>
      <c r="AG427" s="1748"/>
      <c r="AH427" s="1190"/>
      <c r="AI427" s="1748"/>
      <c r="AJ427" s="1190"/>
      <c r="AK427" s="1190"/>
      <c r="AL427" s="1190"/>
      <c r="AM427" s="1190"/>
      <c r="AN427" s="1190"/>
      <c r="AO427" s="1190"/>
      <c r="AP427" s="1190"/>
      <c r="AQ427" s="1190"/>
      <c r="AR427" s="1190"/>
      <c r="AS427" s="1190"/>
      <c r="AT427" s="1190"/>
      <c r="AU427" s="1190"/>
      <c r="AV427" s="1190"/>
      <c r="AW427" s="1190"/>
      <c r="AX427" s="1190"/>
      <c r="AY427" s="1190"/>
      <c r="AZ427" s="1190"/>
      <c r="BA427" s="1190"/>
      <c r="BB427" s="1190"/>
      <c r="BC427" s="1190"/>
      <c r="BD427" s="1190"/>
      <c r="BE427" s="1190"/>
      <c r="BF427" s="1190"/>
      <c r="BG427" s="1190"/>
      <c r="BH427" s="1190"/>
      <c r="BI427" s="1190"/>
      <c r="BJ427" s="1190"/>
      <c r="BK427" s="1190"/>
      <c r="BL427" s="1190"/>
      <c r="BM427" s="1190"/>
      <c r="BQ427" s="195"/>
      <c r="BR427" s="195"/>
      <c r="BT427" s="1005"/>
    </row>
    <row r="428" ht="15.75" customHeight="1">
      <c r="A428" s="195"/>
      <c r="B428" s="978"/>
      <c r="C428" s="2321"/>
      <c r="D428" s="1729"/>
      <c r="E428" s="1190"/>
      <c r="F428" s="1190"/>
      <c r="G428" s="1190"/>
      <c r="H428" s="1190"/>
      <c r="I428" s="1190"/>
      <c r="J428" s="1190"/>
      <c r="K428" s="1190"/>
      <c r="L428" s="1190"/>
      <c r="M428" s="1190"/>
      <c r="N428" s="1190"/>
      <c r="O428" s="1190"/>
      <c r="P428" s="1190"/>
      <c r="Q428" s="1190"/>
      <c r="R428" s="1190"/>
      <c r="S428" s="1189"/>
      <c r="T428" s="1190"/>
      <c r="U428" s="1190"/>
      <c r="V428" s="1190"/>
      <c r="W428" s="1190"/>
      <c r="X428" s="1190"/>
      <c r="Y428" s="1190"/>
      <c r="Z428" s="1190"/>
      <c r="AA428" s="1190"/>
      <c r="AB428" s="1190"/>
      <c r="AC428" s="1190"/>
      <c r="AD428" s="1190"/>
      <c r="AE428" s="1190"/>
      <c r="AF428" s="1190"/>
      <c r="AG428" s="1748"/>
      <c r="AH428" s="1190"/>
      <c r="AI428" s="1748"/>
      <c r="AJ428" s="1190"/>
      <c r="AK428" s="1190"/>
      <c r="AL428" s="1190"/>
      <c r="AM428" s="1190"/>
      <c r="AN428" s="1190"/>
      <c r="AO428" s="1190"/>
      <c r="AP428" s="1190"/>
      <c r="AQ428" s="1190"/>
      <c r="AR428" s="1190"/>
      <c r="AS428" s="1190"/>
      <c r="AT428" s="1190"/>
      <c r="AU428" s="1190"/>
      <c r="AV428" s="1190"/>
      <c r="AW428" s="1190"/>
      <c r="AX428" s="1190"/>
      <c r="AY428" s="1190"/>
      <c r="AZ428" s="1190"/>
      <c r="BA428" s="1190"/>
      <c r="BB428" s="1190"/>
      <c r="BC428" s="1190"/>
      <c r="BD428" s="1190"/>
      <c r="BE428" s="1190"/>
      <c r="BF428" s="1190"/>
      <c r="BG428" s="1190"/>
      <c r="BH428" s="1190"/>
      <c r="BI428" s="1190"/>
      <c r="BJ428" s="1190"/>
      <c r="BK428" s="1190"/>
      <c r="BL428" s="1190"/>
      <c r="BM428" s="1190"/>
      <c r="BQ428" s="195"/>
      <c r="BR428" s="195"/>
      <c r="BT428" s="1005"/>
    </row>
    <row r="429" ht="15.75" customHeight="1">
      <c r="A429" s="195"/>
      <c r="B429" s="978"/>
      <c r="C429" s="2321"/>
      <c r="D429" s="1729"/>
      <c r="E429" s="1190"/>
      <c r="F429" s="1190"/>
      <c r="G429" s="1190"/>
      <c r="H429" s="1190"/>
      <c r="I429" s="1190"/>
      <c r="J429" s="1190"/>
      <c r="K429" s="1190"/>
      <c r="L429" s="1190"/>
      <c r="M429" s="1190"/>
      <c r="N429" s="1190"/>
      <c r="O429" s="1190"/>
      <c r="P429" s="1190"/>
      <c r="Q429" s="1190"/>
      <c r="R429" s="1190"/>
      <c r="S429" s="1189"/>
      <c r="T429" s="1190"/>
      <c r="U429" s="1190"/>
      <c r="V429" s="1190"/>
      <c r="W429" s="1190"/>
      <c r="X429" s="1190"/>
      <c r="Y429" s="1190"/>
      <c r="Z429" s="1190"/>
      <c r="AA429" s="1190"/>
      <c r="AB429" s="1190"/>
      <c r="AC429" s="1190"/>
      <c r="AD429" s="1190"/>
      <c r="AE429" s="1190"/>
      <c r="AF429" s="1190"/>
      <c r="AG429" s="1748"/>
      <c r="AH429" s="1190"/>
      <c r="AI429" s="1748"/>
      <c r="AJ429" s="1190"/>
      <c r="AK429" s="1190"/>
      <c r="AL429" s="1190"/>
      <c r="AM429" s="1190"/>
      <c r="AN429" s="1190"/>
      <c r="AO429" s="1190"/>
      <c r="AP429" s="1190"/>
      <c r="AQ429" s="1190"/>
      <c r="AR429" s="1190"/>
      <c r="AS429" s="1190"/>
      <c r="AT429" s="1190"/>
      <c r="AU429" s="1190"/>
      <c r="AV429" s="1190"/>
      <c r="AW429" s="1190"/>
      <c r="AX429" s="1190"/>
      <c r="AY429" s="1190"/>
      <c r="AZ429" s="1190"/>
      <c r="BA429" s="1190"/>
      <c r="BB429" s="1190"/>
      <c r="BC429" s="1190"/>
      <c r="BD429" s="1190"/>
      <c r="BE429" s="1190"/>
      <c r="BF429" s="1190"/>
      <c r="BG429" s="1190"/>
      <c r="BH429" s="1190"/>
      <c r="BI429" s="1190"/>
      <c r="BJ429" s="1190"/>
      <c r="BK429" s="1190"/>
      <c r="BL429" s="1190"/>
      <c r="BM429" s="1190"/>
      <c r="BQ429" s="195"/>
      <c r="BR429" s="195"/>
      <c r="BT429" s="1005"/>
    </row>
    <row r="430" ht="15.75" customHeight="1">
      <c r="A430" s="195"/>
      <c r="B430" s="978"/>
      <c r="C430" s="2321"/>
      <c r="D430" s="1729"/>
      <c r="E430" s="1190"/>
      <c r="F430" s="1190"/>
      <c r="G430" s="1190"/>
      <c r="H430" s="1190"/>
      <c r="I430" s="1190"/>
      <c r="J430" s="1190"/>
      <c r="K430" s="1190"/>
      <c r="L430" s="1190"/>
      <c r="M430" s="1190"/>
      <c r="N430" s="1190"/>
      <c r="O430" s="1190"/>
      <c r="P430" s="1190"/>
      <c r="Q430" s="1190"/>
      <c r="R430" s="1190"/>
      <c r="S430" s="1189"/>
      <c r="T430" s="1190"/>
      <c r="U430" s="1190"/>
      <c r="V430" s="1190"/>
      <c r="W430" s="1190"/>
      <c r="X430" s="1190"/>
      <c r="Y430" s="1190"/>
      <c r="Z430" s="1190"/>
      <c r="AA430" s="1190"/>
      <c r="AB430" s="1190"/>
      <c r="AC430" s="1190"/>
      <c r="AD430" s="1190"/>
      <c r="AE430" s="1190"/>
      <c r="AF430" s="1190"/>
      <c r="AG430" s="1748"/>
      <c r="AH430" s="1190"/>
      <c r="AI430" s="1748"/>
      <c r="AJ430" s="1190"/>
      <c r="AK430" s="1190"/>
      <c r="AL430" s="1190"/>
      <c r="AM430" s="1190"/>
      <c r="AN430" s="1190"/>
      <c r="AO430" s="1190"/>
      <c r="AP430" s="1190"/>
      <c r="AQ430" s="1190"/>
      <c r="AR430" s="1190"/>
      <c r="AS430" s="1190"/>
      <c r="AT430" s="1190"/>
      <c r="AU430" s="1190"/>
      <c r="AV430" s="1190"/>
      <c r="AW430" s="1190"/>
      <c r="AX430" s="1190"/>
      <c r="AY430" s="1190"/>
      <c r="AZ430" s="1190"/>
      <c r="BA430" s="1190"/>
      <c r="BB430" s="1190"/>
      <c r="BC430" s="1190"/>
      <c r="BD430" s="1190"/>
      <c r="BE430" s="1190"/>
      <c r="BF430" s="1190"/>
      <c r="BG430" s="1190"/>
      <c r="BH430" s="1190"/>
      <c r="BI430" s="1190"/>
      <c r="BJ430" s="1190"/>
      <c r="BK430" s="1190"/>
      <c r="BL430" s="1190"/>
      <c r="BM430" s="1190"/>
      <c r="BQ430" s="195"/>
      <c r="BR430" s="195"/>
      <c r="BT430" s="1005"/>
    </row>
    <row r="431" ht="15.75" customHeight="1">
      <c r="A431" s="195"/>
      <c r="B431" s="978"/>
      <c r="C431" s="2321"/>
      <c r="D431" s="1729"/>
      <c r="E431" s="1190"/>
      <c r="F431" s="1190"/>
      <c r="G431" s="1190"/>
      <c r="H431" s="1190"/>
      <c r="I431" s="1190"/>
      <c r="J431" s="1190"/>
      <c r="K431" s="1190"/>
      <c r="L431" s="1190"/>
      <c r="M431" s="1190"/>
      <c r="N431" s="1190"/>
      <c r="O431" s="1190"/>
      <c r="P431" s="1190"/>
      <c r="Q431" s="1190"/>
      <c r="R431" s="1190"/>
      <c r="S431" s="1189"/>
      <c r="T431" s="1190"/>
      <c r="U431" s="1190"/>
      <c r="V431" s="1190"/>
      <c r="W431" s="1190"/>
      <c r="X431" s="1190"/>
      <c r="Y431" s="1190"/>
      <c r="Z431" s="1190"/>
      <c r="AA431" s="1190"/>
      <c r="AB431" s="1190"/>
      <c r="AC431" s="1190"/>
      <c r="AD431" s="1190"/>
      <c r="AE431" s="1190"/>
      <c r="AF431" s="1190"/>
      <c r="AG431" s="1748"/>
      <c r="AH431" s="1190"/>
      <c r="AI431" s="1748"/>
      <c r="AJ431" s="1190"/>
      <c r="AK431" s="1190"/>
      <c r="AL431" s="1190"/>
      <c r="AM431" s="1190"/>
      <c r="AN431" s="1190"/>
      <c r="AO431" s="1190"/>
      <c r="AP431" s="1190"/>
      <c r="AQ431" s="1190"/>
      <c r="AR431" s="1190"/>
      <c r="AS431" s="1190"/>
      <c r="AT431" s="1190"/>
      <c r="AU431" s="1190"/>
      <c r="AV431" s="1190"/>
      <c r="AW431" s="1190"/>
      <c r="AX431" s="1190"/>
      <c r="AY431" s="1190"/>
      <c r="AZ431" s="1190"/>
      <c r="BA431" s="1190"/>
      <c r="BB431" s="1190"/>
      <c r="BC431" s="1190"/>
      <c r="BD431" s="1190"/>
      <c r="BE431" s="1190"/>
      <c r="BF431" s="1190"/>
      <c r="BG431" s="1190"/>
      <c r="BH431" s="1190"/>
      <c r="BI431" s="1190"/>
      <c r="BJ431" s="1190"/>
      <c r="BK431" s="1190"/>
      <c r="BL431" s="1190"/>
      <c r="BM431" s="1190"/>
      <c r="BQ431" s="195"/>
      <c r="BR431" s="195"/>
      <c r="BT431" s="1005"/>
    </row>
    <row r="432" ht="15.75" customHeight="1">
      <c r="A432" s="195"/>
      <c r="B432" s="978"/>
      <c r="C432" s="2321"/>
      <c r="D432" s="1729"/>
      <c r="E432" s="1190"/>
      <c r="F432" s="1190"/>
      <c r="G432" s="1190"/>
      <c r="H432" s="1190"/>
      <c r="I432" s="1190"/>
      <c r="J432" s="1190"/>
      <c r="K432" s="1190"/>
      <c r="L432" s="1190"/>
      <c r="M432" s="1190"/>
      <c r="N432" s="1190"/>
      <c r="O432" s="1190"/>
      <c r="P432" s="1190"/>
      <c r="Q432" s="1190"/>
      <c r="R432" s="1190"/>
      <c r="S432" s="1189"/>
      <c r="T432" s="1190"/>
      <c r="U432" s="1190"/>
      <c r="V432" s="1190"/>
      <c r="W432" s="1190"/>
      <c r="X432" s="1190"/>
      <c r="Y432" s="1190"/>
      <c r="Z432" s="1190"/>
      <c r="AA432" s="1190"/>
      <c r="AB432" s="1190"/>
      <c r="AC432" s="1190"/>
      <c r="AD432" s="1190"/>
      <c r="AE432" s="1190"/>
      <c r="AF432" s="1190"/>
      <c r="AG432" s="1748"/>
      <c r="AH432" s="1190"/>
      <c r="AI432" s="1748"/>
      <c r="AJ432" s="1190"/>
      <c r="AK432" s="1190"/>
      <c r="AL432" s="1190"/>
      <c r="AM432" s="1190"/>
      <c r="AN432" s="1190"/>
      <c r="AO432" s="1190"/>
      <c r="AP432" s="1190"/>
      <c r="AQ432" s="1190"/>
      <c r="AR432" s="1190"/>
      <c r="AS432" s="1190"/>
      <c r="AT432" s="1190"/>
      <c r="AU432" s="1190"/>
      <c r="AV432" s="1190"/>
      <c r="AW432" s="1190"/>
      <c r="AX432" s="1190"/>
      <c r="AY432" s="1190"/>
      <c r="AZ432" s="1190"/>
      <c r="BA432" s="1190"/>
      <c r="BB432" s="1190"/>
      <c r="BC432" s="1190"/>
      <c r="BD432" s="1190"/>
      <c r="BE432" s="1190"/>
      <c r="BF432" s="1190"/>
      <c r="BG432" s="1190"/>
      <c r="BH432" s="1190"/>
      <c r="BI432" s="1190"/>
      <c r="BJ432" s="1190"/>
      <c r="BK432" s="1190"/>
      <c r="BL432" s="1190"/>
      <c r="BM432" s="1190"/>
      <c r="BQ432" s="195"/>
      <c r="BR432" s="195"/>
      <c r="BT432" s="1005"/>
    </row>
    <row r="433" ht="15.75" customHeight="1">
      <c r="A433" s="195"/>
      <c r="B433" s="978"/>
      <c r="C433" s="2321"/>
      <c r="D433" s="1729"/>
      <c r="E433" s="1190"/>
      <c r="F433" s="1190"/>
      <c r="G433" s="1190"/>
      <c r="H433" s="1190"/>
      <c r="I433" s="1190"/>
      <c r="J433" s="1190"/>
      <c r="K433" s="1190"/>
      <c r="L433" s="1190"/>
      <c r="M433" s="1190"/>
      <c r="N433" s="1190"/>
      <c r="O433" s="1190"/>
      <c r="P433" s="1190"/>
      <c r="Q433" s="1190"/>
      <c r="R433" s="1190"/>
      <c r="S433" s="1189"/>
      <c r="T433" s="1190"/>
      <c r="U433" s="1190"/>
      <c r="V433" s="1190"/>
      <c r="W433" s="1190"/>
      <c r="X433" s="1190"/>
      <c r="Y433" s="1190"/>
      <c r="Z433" s="1190"/>
      <c r="AA433" s="1190"/>
      <c r="AB433" s="1190"/>
      <c r="AC433" s="1190"/>
      <c r="AD433" s="1190"/>
      <c r="AE433" s="1190"/>
      <c r="AF433" s="1190"/>
      <c r="AG433" s="1748"/>
      <c r="AH433" s="1190"/>
      <c r="AI433" s="1748"/>
      <c r="AJ433" s="1190"/>
      <c r="AK433" s="1190"/>
      <c r="AL433" s="1190"/>
      <c r="AM433" s="1190"/>
      <c r="AN433" s="1190"/>
      <c r="AO433" s="1190"/>
      <c r="AP433" s="1190"/>
      <c r="AQ433" s="1190"/>
      <c r="AR433" s="1190"/>
      <c r="AS433" s="1190"/>
      <c r="AT433" s="1190"/>
      <c r="AU433" s="1190"/>
      <c r="AV433" s="1190"/>
      <c r="AW433" s="1190"/>
      <c r="AX433" s="1190"/>
      <c r="AY433" s="1190"/>
      <c r="AZ433" s="1190"/>
      <c r="BA433" s="1190"/>
      <c r="BB433" s="1190"/>
      <c r="BC433" s="1190"/>
      <c r="BD433" s="1190"/>
      <c r="BE433" s="1190"/>
      <c r="BF433" s="1190"/>
      <c r="BG433" s="1190"/>
      <c r="BH433" s="1190"/>
      <c r="BI433" s="1190"/>
      <c r="BJ433" s="1190"/>
      <c r="BK433" s="1190"/>
      <c r="BL433" s="1190"/>
      <c r="BM433" s="1190"/>
      <c r="BQ433" s="195"/>
      <c r="BR433" s="195"/>
      <c r="BT433" s="1005"/>
    </row>
    <row r="434" ht="15.75" customHeight="1">
      <c r="A434" s="195"/>
      <c r="B434" s="978"/>
      <c r="C434" s="2321"/>
      <c r="D434" s="1729"/>
      <c r="E434" s="1190"/>
      <c r="F434" s="1190"/>
      <c r="G434" s="1190"/>
      <c r="H434" s="1190"/>
      <c r="I434" s="1190"/>
      <c r="J434" s="1190"/>
      <c r="K434" s="1190"/>
      <c r="L434" s="1190"/>
      <c r="M434" s="1190"/>
      <c r="N434" s="1190"/>
      <c r="O434" s="1190"/>
      <c r="P434" s="1190"/>
      <c r="Q434" s="1190"/>
      <c r="R434" s="1190"/>
      <c r="S434" s="1189"/>
      <c r="T434" s="1190"/>
      <c r="U434" s="1190"/>
      <c r="V434" s="1190"/>
      <c r="W434" s="1190"/>
      <c r="X434" s="1190"/>
      <c r="Y434" s="1190"/>
      <c r="Z434" s="1190"/>
      <c r="AA434" s="1190"/>
      <c r="AB434" s="1190"/>
      <c r="AC434" s="1190"/>
      <c r="AD434" s="1190"/>
      <c r="AE434" s="1190"/>
      <c r="AF434" s="1190"/>
      <c r="AG434" s="1748"/>
      <c r="AH434" s="1190"/>
      <c r="AI434" s="1748"/>
      <c r="AJ434" s="1190"/>
      <c r="AK434" s="1190"/>
      <c r="AL434" s="1190"/>
      <c r="AM434" s="1190"/>
      <c r="AN434" s="1190"/>
      <c r="AO434" s="1190"/>
      <c r="AP434" s="1190"/>
      <c r="AQ434" s="1190"/>
      <c r="AR434" s="1190"/>
      <c r="AS434" s="1190"/>
      <c r="AT434" s="1190"/>
      <c r="AU434" s="1190"/>
      <c r="AV434" s="1190"/>
      <c r="AW434" s="1190"/>
      <c r="AX434" s="1190"/>
      <c r="AY434" s="1190"/>
      <c r="AZ434" s="1190"/>
      <c r="BA434" s="1190"/>
      <c r="BB434" s="1190"/>
      <c r="BC434" s="1190"/>
      <c r="BD434" s="1190"/>
      <c r="BE434" s="1190"/>
      <c r="BF434" s="1190"/>
      <c r="BG434" s="1190"/>
      <c r="BH434" s="1190"/>
      <c r="BI434" s="1190"/>
      <c r="BJ434" s="1190"/>
      <c r="BK434" s="1190"/>
      <c r="BL434" s="1190"/>
      <c r="BM434" s="1190"/>
      <c r="BQ434" s="195"/>
      <c r="BR434" s="195"/>
      <c r="BT434" s="1005"/>
    </row>
    <row r="435" ht="15.75" customHeight="1">
      <c r="A435" s="195"/>
      <c r="B435" s="978"/>
      <c r="C435" s="2321"/>
      <c r="D435" s="1729"/>
      <c r="E435" s="1190"/>
      <c r="F435" s="1190"/>
      <c r="G435" s="1190"/>
      <c r="H435" s="1190"/>
      <c r="I435" s="1190"/>
      <c r="J435" s="1190"/>
      <c r="K435" s="1190"/>
      <c r="L435" s="1190"/>
      <c r="M435" s="1190"/>
      <c r="N435" s="1190"/>
      <c r="O435" s="1190"/>
      <c r="P435" s="1190"/>
      <c r="Q435" s="1190"/>
      <c r="R435" s="1190"/>
      <c r="S435" s="1189"/>
      <c r="T435" s="1190"/>
      <c r="U435" s="1190"/>
      <c r="V435" s="1190"/>
      <c r="W435" s="1190"/>
      <c r="X435" s="1190"/>
      <c r="Y435" s="1190"/>
      <c r="Z435" s="1190"/>
      <c r="AA435" s="1190"/>
      <c r="AB435" s="1190"/>
      <c r="AC435" s="1190"/>
      <c r="AD435" s="1190"/>
      <c r="AE435" s="1190"/>
      <c r="AF435" s="1190"/>
      <c r="AG435" s="1748"/>
      <c r="AH435" s="1190"/>
      <c r="AI435" s="1748"/>
      <c r="AJ435" s="1190"/>
      <c r="AK435" s="1190"/>
      <c r="AL435" s="1190"/>
      <c r="AM435" s="1190"/>
      <c r="AN435" s="1190"/>
      <c r="AO435" s="1190"/>
      <c r="AP435" s="1190"/>
      <c r="AQ435" s="1190"/>
      <c r="AR435" s="1190"/>
      <c r="AS435" s="1190"/>
      <c r="AT435" s="1190"/>
      <c r="AU435" s="1190"/>
      <c r="AV435" s="1190"/>
      <c r="AW435" s="1190"/>
      <c r="AX435" s="1190"/>
      <c r="AY435" s="1190"/>
      <c r="AZ435" s="1190"/>
      <c r="BA435" s="1190"/>
      <c r="BB435" s="1190"/>
      <c r="BC435" s="1190"/>
      <c r="BD435" s="1190"/>
      <c r="BE435" s="1190"/>
      <c r="BF435" s="1190"/>
      <c r="BG435" s="1190"/>
      <c r="BH435" s="1190"/>
      <c r="BI435" s="1190"/>
      <c r="BJ435" s="1190"/>
      <c r="BK435" s="1190"/>
      <c r="BL435" s="1190"/>
      <c r="BM435" s="1190"/>
      <c r="BQ435" s="195"/>
      <c r="BR435" s="195"/>
      <c r="BT435" s="1005"/>
    </row>
    <row r="436" ht="15.75" customHeight="1">
      <c r="A436" s="195"/>
      <c r="B436" s="978"/>
      <c r="C436" s="2321"/>
      <c r="D436" s="1729"/>
      <c r="E436" s="1190"/>
      <c r="F436" s="1190"/>
      <c r="G436" s="1190"/>
      <c r="H436" s="1190"/>
      <c r="I436" s="1190"/>
      <c r="J436" s="1190"/>
      <c r="K436" s="1190"/>
      <c r="L436" s="1190"/>
      <c r="M436" s="1190"/>
      <c r="N436" s="1190"/>
      <c r="O436" s="1190"/>
      <c r="P436" s="1190"/>
      <c r="Q436" s="1190"/>
      <c r="R436" s="1190"/>
      <c r="S436" s="1189"/>
      <c r="T436" s="1190"/>
      <c r="U436" s="1190"/>
      <c r="V436" s="1190"/>
      <c r="W436" s="1190"/>
      <c r="X436" s="1190"/>
      <c r="Y436" s="1190"/>
      <c r="Z436" s="1190"/>
      <c r="AA436" s="1190"/>
      <c r="AB436" s="1190"/>
      <c r="AC436" s="1190"/>
      <c r="AD436" s="1190"/>
      <c r="AE436" s="1190"/>
      <c r="AF436" s="1190"/>
      <c r="AG436" s="1748"/>
      <c r="AH436" s="1190"/>
      <c r="AI436" s="1748"/>
      <c r="AJ436" s="1190"/>
      <c r="AK436" s="1190"/>
      <c r="AL436" s="1190"/>
      <c r="AM436" s="1190"/>
      <c r="AN436" s="1190"/>
      <c r="AO436" s="1190"/>
      <c r="AP436" s="1190"/>
      <c r="AQ436" s="1190"/>
      <c r="AR436" s="1190"/>
      <c r="AS436" s="1190"/>
      <c r="AT436" s="1190"/>
      <c r="AU436" s="1190"/>
      <c r="AV436" s="1190"/>
      <c r="AW436" s="1190"/>
      <c r="AX436" s="1190"/>
      <c r="AY436" s="1190"/>
      <c r="AZ436" s="1190"/>
      <c r="BA436" s="1190"/>
      <c r="BB436" s="1190"/>
      <c r="BC436" s="1190"/>
      <c r="BD436" s="1190"/>
      <c r="BE436" s="1190"/>
      <c r="BF436" s="1190"/>
      <c r="BG436" s="1190"/>
      <c r="BH436" s="1190"/>
      <c r="BI436" s="1190"/>
      <c r="BJ436" s="1190"/>
      <c r="BK436" s="1190"/>
      <c r="BL436" s="1190"/>
      <c r="BM436" s="1190"/>
      <c r="BQ436" s="195"/>
      <c r="BR436" s="195"/>
      <c r="BT436" s="1005"/>
    </row>
    <row r="437" ht="15.75" customHeight="1">
      <c r="A437" s="195"/>
      <c r="B437" s="978"/>
      <c r="C437" s="2321"/>
      <c r="D437" s="1729"/>
      <c r="E437" s="1190"/>
      <c r="F437" s="1190"/>
      <c r="G437" s="1190"/>
      <c r="H437" s="1190"/>
      <c r="I437" s="1190"/>
      <c r="J437" s="1190"/>
      <c r="K437" s="1190"/>
      <c r="L437" s="1190"/>
      <c r="M437" s="1190"/>
      <c r="N437" s="1190"/>
      <c r="O437" s="1190"/>
      <c r="P437" s="1190"/>
      <c r="Q437" s="1190"/>
      <c r="R437" s="1190"/>
      <c r="S437" s="1189"/>
      <c r="T437" s="1190"/>
      <c r="U437" s="1190"/>
      <c r="V437" s="1190"/>
      <c r="W437" s="1190"/>
      <c r="X437" s="1190"/>
      <c r="Y437" s="1190"/>
      <c r="Z437" s="1190"/>
      <c r="AA437" s="1190"/>
      <c r="AB437" s="1190"/>
      <c r="AC437" s="1190"/>
      <c r="AD437" s="1190"/>
      <c r="AE437" s="1190"/>
      <c r="AF437" s="1190"/>
      <c r="AG437" s="1748"/>
      <c r="AH437" s="1190"/>
      <c r="AI437" s="1748"/>
      <c r="AJ437" s="1190"/>
      <c r="AK437" s="1190"/>
      <c r="AL437" s="1190"/>
      <c r="AM437" s="1190"/>
      <c r="AN437" s="1190"/>
      <c r="AO437" s="1190"/>
      <c r="AP437" s="1190"/>
      <c r="AQ437" s="1190"/>
      <c r="AR437" s="1190"/>
      <c r="AS437" s="1190"/>
      <c r="AT437" s="1190"/>
      <c r="AU437" s="1190"/>
      <c r="AV437" s="1190"/>
      <c r="AW437" s="1190"/>
      <c r="AX437" s="1190"/>
      <c r="AY437" s="1190"/>
      <c r="AZ437" s="1190"/>
      <c r="BA437" s="1190"/>
      <c r="BB437" s="1190"/>
      <c r="BC437" s="1190"/>
      <c r="BD437" s="1190"/>
      <c r="BE437" s="1190"/>
      <c r="BF437" s="1190"/>
      <c r="BG437" s="1190"/>
      <c r="BH437" s="1190"/>
      <c r="BI437" s="1190"/>
      <c r="BJ437" s="1190"/>
      <c r="BK437" s="1190"/>
      <c r="BL437" s="1190"/>
      <c r="BM437" s="1190"/>
      <c r="BQ437" s="195"/>
      <c r="BR437" s="195"/>
      <c r="BT437" s="1005"/>
    </row>
    <row r="438" ht="15.75" customHeight="1">
      <c r="A438" s="195"/>
      <c r="B438" s="978"/>
      <c r="C438" s="2321"/>
      <c r="D438" s="1729"/>
      <c r="E438" s="1190"/>
      <c r="F438" s="1190"/>
      <c r="G438" s="1190"/>
      <c r="H438" s="1190"/>
      <c r="I438" s="1190"/>
      <c r="J438" s="1190"/>
      <c r="K438" s="1190"/>
      <c r="L438" s="1190"/>
      <c r="M438" s="1190"/>
      <c r="N438" s="1190"/>
      <c r="O438" s="1190"/>
      <c r="P438" s="1190"/>
      <c r="Q438" s="1190"/>
      <c r="R438" s="1190"/>
      <c r="S438" s="1189"/>
      <c r="T438" s="1190"/>
      <c r="U438" s="1190"/>
      <c r="V438" s="1190"/>
      <c r="W438" s="1190"/>
      <c r="X438" s="1190"/>
      <c r="Y438" s="1190"/>
      <c r="Z438" s="1190"/>
      <c r="AA438" s="1190"/>
      <c r="AB438" s="1190"/>
      <c r="AC438" s="1190"/>
      <c r="AD438" s="1190"/>
      <c r="AE438" s="1190"/>
      <c r="AF438" s="1190"/>
      <c r="AG438" s="1748"/>
      <c r="AH438" s="1190"/>
      <c r="AI438" s="1748"/>
      <c r="AJ438" s="1190"/>
      <c r="AK438" s="1190"/>
      <c r="AL438" s="1190"/>
      <c r="AM438" s="1190"/>
      <c r="AN438" s="1190"/>
      <c r="AO438" s="1190"/>
      <c r="AP438" s="1190"/>
      <c r="AQ438" s="1190"/>
      <c r="AR438" s="1190"/>
      <c r="AS438" s="1190"/>
      <c r="AT438" s="1190"/>
      <c r="AU438" s="1190"/>
      <c r="AV438" s="1190"/>
      <c r="AW438" s="1190"/>
      <c r="AX438" s="1190"/>
      <c r="AY438" s="1190"/>
      <c r="AZ438" s="1190"/>
      <c r="BA438" s="1190"/>
      <c r="BB438" s="1190"/>
      <c r="BC438" s="1190"/>
      <c r="BD438" s="1190"/>
      <c r="BE438" s="1190"/>
      <c r="BF438" s="1190"/>
      <c r="BG438" s="1190"/>
      <c r="BH438" s="1190"/>
      <c r="BI438" s="1190"/>
      <c r="BJ438" s="1190"/>
      <c r="BK438" s="1190"/>
      <c r="BL438" s="1190"/>
      <c r="BM438" s="1190"/>
      <c r="BQ438" s="195"/>
      <c r="BR438" s="195"/>
      <c r="BT438" s="1005"/>
    </row>
    <row r="439" ht="15.75" customHeight="1">
      <c r="A439" s="195"/>
      <c r="B439" s="978"/>
      <c r="C439" s="2321"/>
      <c r="D439" s="1729"/>
      <c r="E439" s="1190"/>
      <c r="F439" s="1190"/>
      <c r="G439" s="1190"/>
      <c r="H439" s="1190"/>
      <c r="I439" s="1190"/>
      <c r="J439" s="1190"/>
      <c r="K439" s="1190"/>
      <c r="L439" s="1190"/>
      <c r="M439" s="1190"/>
      <c r="N439" s="1190"/>
      <c r="O439" s="1190"/>
      <c r="P439" s="1190"/>
      <c r="Q439" s="1190"/>
      <c r="R439" s="1190"/>
      <c r="S439" s="1189"/>
      <c r="T439" s="1190"/>
      <c r="U439" s="1190"/>
      <c r="V439" s="1190"/>
      <c r="W439" s="1190"/>
      <c r="X439" s="1190"/>
      <c r="Y439" s="1190"/>
      <c r="Z439" s="1190"/>
      <c r="AA439" s="1190"/>
      <c r="AB439" s="1190"/>
      <c r="AC439" s="1190"/>
      <c r="AD439" s="1190"/>
      <c r="AE439" s="1190"/>
      <c r="AF439" s="1190"/>
      <c r="AG439" s="1748"/>
      <c r="AH439" s="1190"/>
      <c r="AI439" s="1748"/>
      <c r="AJ439" s="1190"/>
      <c r="AK439" s="1190"/>
      <c r="AL439" s="1190"/>
      <c r="AM439" s="1190"/>
      <c r="AN439" s="1190"/>
      <c r="AO439" s="1190"/>
      <c r="AP439" s="1190"/>
      <c r="AQ439" s="1190"/>
      <c r="AR439" s="1190"/>
      <c r="AS439" s="1190"/>
      <c r="AT439" s="1190"/>
      <c r="AU439" s="1190"/>
      <c r="AV439" s="1190"/>
      <c r="AW439" s="1190"/>
      <c r="AX439" s="1190"/>
      <c r="AY439" s="1190"/>
      <c r="AZ439" s="1190"/>
      <c r="BA439" s="1190"/>
      <c r="BB439" s="1190"/>
      <c r="BC439" s="1190"/>
      <c r="BD439" s="1190"/>
      <c r="BE439" s="1190"/>
      <c r="BF439" s="1190"/>
      <c r="BG439" s="1190"/>
      <c r="BH439" s="1190"/>
      <c r="BI439" s="1190"/>
      <c r="BJ439" s="1190"/>
      <c r="BK439" s="1190"/>
      <c r="BL439" s="1190"/>
      <c r="BM439" s="1190"/>
      <c r="BQ439" s="195"/>
      <c r="BR439" s="195"/>
      <c r="BT439" s="1005"/>
    </row>
    <row r="440" ht="15.75" customHeight="1">
      <c r="A440" s="195"/>
      <c r="B440" s="978"/>
      <c r="C440" s="2321"/>
      <c r="D440" s="1729"/>
      <c r="E440" s="1190"/>
      <c r="F440" s="1190"/>
      <c r="G440" s="1190"/>
      <c r="H440" s="1190"/>
      <c r="I440" s="1190"/>
      <c r="J440" s="1190"/>
      <c r="K440" s="1190"/>
      <c r="L440" s="1190"/>
      <c r="M440" s="1190"/>
      <c r="N440" s="1190"/>
      <c r="O440" s="1190"/>
      <c r="P440" s="1190"/>
      <c r="Q440" s="1190"/>
      <c r="R440" s="1190"/>
      <c r="S440" s="1189"/>
      <c r="T440" s="1190"/>
      <c r="U440" s="1190"/>
      <c r="V440" s="1190"/>
      <c r="W440" s="1190"/>
      <c r="X440" s="1190"/>
      <c r="Y440" s="1190"/>
      <c r="Z440" s="1190"/>
      <c r="AA440" s="1190"/>
      <c r="AB440" s="1190"/>
      <c r="AC440" s="1190"/>
      <c r="AD440" s="1190"/>
      <c r="AE440" s="1190"/>
      <c r="AF440" s="1190"/>
      <c r="AG440" s="1748"/>
      <c r="AH440" s="1190"/>
      <c r="AI440" s="1748"/>
      <c r="AJ440" s="1190"/>
      <c r="AK440" s="1190"/>
      <c r="AL440" s="1190"/>
      <c r="AM440" s="1190"/>
      <c r="AN440" s="1190"/>
      <c r="AO440" s="1190"/>
      <c r="AP440" s="1190"/>
      <c r="AQ440" s="1190"/>
      <c r="AR440" s="1190"/>
      <c r="AS440" s="1190"/>
      <c r="AT440" s="1190"/>
      <c r="AU440" s="1190"/>
      <c r="AV440" s="1190"/>
      <c r="AW440" s="1190"/>
      <c r="AX440" s="1190"/>
      <c r="AY440" s="1190"/>
      <c r="AZ440" s="1190"/>
      <c r="BA440" s="1190"/>
      <c r="BB440" s="1190"/>
      <c r="BC440" s="1190"/>
      <c r="BD440" s="1190"/>
      <c r="BE440" s="1190"/>
      <c r="BF440" s="1190"/>
      <c r="BG440" s="1190"/>
      <c r="BH440" s="1190"/>
      <c r="BI440" s="1190"/>
      <c r="BJ440" s="1190"/>
      <c r="BK440" s="1190"/>
      <c r="BL440" s="1190"/>
      <c r="BM440" s="1190"/>
      <c r="BQ440" s="195"/>
      <c r="BR440" s="195"/>
      <c r="BT440" s="1005"/>
    </row>
    <row r="441" ht="15.75" customHeight="1">
      <c r="A441" s="195"/>
      <c r="B441" s="978"/>
      <c r="C441" s="2321"/>
      <c r="D441" s="1729"/>
      <c r="E441" s="1190"/>
      <c r="F441" s="1190"/>
      <c r="G441" s="1190"/>
      <c r="H441" s="1190"/>
      <c r="I441" s="1190"/>
      <c r="J441" s="1190"/>
      <c r="K441" s="1190"/>
      <c r="L441" s="1190"/>
      <c r="M441" s="1190"/>
      <c r="N441" s="1190"/>
      <c r="O441" s="1190"/>
      <c r="P441" s="1190"/>
      <c r="Q441" s="1190"/>
      <c r="R441" s="1190"/>
      <c r="S441" s="1189"/>
      <c r="T441" s="1190"/>
      <c r="U441" s="1190"/>
      <c r="V441" s="1190"/>
      <c r="W441" s="1190"/>
      <c r="X441" s="1190"/>
      <c r="Y441" s="1190"/>
      <c r="Z441" s="1190"/>
      <c r="AA441" s="1190"/>
      <c r="AB441" s="1190"/>
      <c r="AC441" s="1190"/>
      <c r="AD441" s="1190"/>
      <c r="AE441" s="1190"/>
      <c r="AF441" s="1190"/>
      <c r="AG441" s="1748"/>
      <c r="AH441" s="1190"/>
      <c r="AI441" s="1748"/>
      <c r="AJ441" s="1190"/>
      <c r="AK441" s="1190"/>
      <c r="AL441" s="1190"/>
      <c r="AM441" s="1190"/>
      <c r="AN441" s="1190"/>
      <c r="AO441" s="1190"/>
      <c r="AP441" s="1190"/>
      <c r="AQ441" s="1190"/>
      <c r="AR441" s="1190"/>
      <c r="AS441" s="1190"/>
      <c r="AT441" s="1190"/>
      <c r="AU441" s="1190"/>
      <c r="AV441" s="1190"/>
      <c r="AW441" s="1190"/>
      <c r="AX441" s="1190"/>
      <c r="AY441" s="1190"/>
      <c r="AZ441" s="1190"/>
      <c r="BA441" s="1190"/>
      <c r="BB441" s="1190"/>
      <c r="BC441" s="1190"/>
      <c r="BD441" s="1190"/>
      <c r="BE441" s="1190"/>
      <c r="BF441" s="1190"/>
      <c r="BG441" s="1190"/>
      <c r="BH441" s="1190"/>
      <c r="BI441" s="1190"/>
      <c r="BJ441" s="1190"/>
      <c r="BK441" s="1190"/>
      <c r="BL441" s="1190"/>
      <c r="BM441" s="1190"/>
      <c r="BQ441" s="195"/>
      <c r="BR441" s="195"/>
      <c r="BT441" s="1005"/>
    </row>
    <row r="442" ht="15.75" customHeight="1">
      <c r="A442" s="195"/>
      <c r="B442" s="978"/>
      <c r="C442" s="2321"/>
      <c r="D442" s="1729"/>
      <c r="E442" s="1190"/>
      <c r="F442" s="1190"/>
      <c r="G442" s="1190"/>
      <c r="H442" s="1190"/>
      <c r="I442" s="1190"/>
      <c r="J442" s="1190"/>
      <c r="K442" s="1190"/>
      <c r="L442" s="1190"/>
      <c r="M442" s="1190"/>
      <c r="N442" s="1190"/>
      <c r="O442" s="1190"/>
      <c r="P442" s="1190"/>
      <c r="Q442" s="1190"/>
      <c r="R442" s="1190"/>
      <c r="S442" s="1189"/>
      <c r="T442" s="1190"/>
      <c r="U442" s="1190"/>
      <c r="V442" s="1190"/>
      <c r="W442" s="1190"/>
      <c r="X442" s="1190"/>
      <c r="Y442" s="1190"/>
      <c r="Z442" s="1190"/>
      <c r="AA442" s="1190"/>
      <c r="AB442" s="1190"/>
      <c r="AC442" s="1190"/>
      <c r="AD442" s="1190"/>
      <c r="AE442" s="1190"/>
      <c r="AF442" s="1190"/>
      <c r="AG442" s="1748"/>
      <c r="AH442" s="1190"/>
      <c r="AI442" s="1748"/>
      <c r="AJ442" s="1190"/>
      <c r="AK442" s="1190"/>
      <c r="AL442" s="1190"/>
      <c r="AM442" s="1190"/>
      <c r="AN442" s="1190"/>
      <c r="AO442" s="1190"/>
      <c r="AP442" s="1190"/>
      <c r="AQ442" s="1190"/>
      <c r="AR442" s="1190"/>
      <c r="AS442" s="1190"/>
      <c r="AT442" s="1190"/>
      <c r="AU442" s="1190"/>
      <c r="AV442" s="1190"/>
      <c r="AW442" s="1190"/>
      <c r="AX442" s="1190"/>
      <c r="AY442" s="1190"/>
      <c r="AZ442" s="1190"/>
      <c r="BA442" s="1190"/>
      <c r="BB442" s="1190"/>
      <c r="BC442" s="1190"/>
      <c r="BD442" s="1190"/>
      <c r="BE442" s="1190"/>
      <c r="BF442" s="1190"/>
      <c r="BG442" s="1190"/>
      <c r="BH442" s="1190"/>
      <c r="BI442" s="1190"/>
      <c r="BJ442" s="1190"/>
      <c r="BK442" s="1190"/>
      <c r="BL442" s="1190"/>
      <c r="BM442" s="1190"/>
      <c r="BQ442" s="195"/>
      <c r="BR442" s="195"/>
      <c r="BT442" s="1005"/>
    </row>
    <row r="443" ht="15.75" customHeight="1">
      <c r="A443" s="195"/>
      <c r="B443" s="978"/>
      <c r="C443" s="2321"/>
      <c r="D443" s="1729"/>
      <c r="E443" s="1190"/>
      <c r="F443" s="1190"/>
      <c r="G443" s="1190"/>
      <c r="H443" s="1190"/>
      <c r="I443" s="1190"/>
      <c r="J443" s="1190"/>
      <c r="K443" s="1190"/>
      <c r="L443" s="1190"/>
      <c r="M443" s="1190"/>
      <c r="N443" s="1190"/>
      <c r="O443" s="1190"/>
      <c r="P443" s="1190"/>
      <c r="Q443" s="1190"/>
      <c r="R443" s="1190"/>
      <c r="S443" s="1189"/>
      <c r="T443" s="1190"/>
      <c r="U443" s="1190"/>
      <c r="V443" s="1190"/>
      <c r="W443" s="1190"/>
      <c r="X443" s="1190"/>
      <c r="Y443" s="1190"/>
      <c r="Z443" s="1190"/>
      <c r="AA443" s="1190"/>
      <c r="AB443" s="1190"/>
      <c r="AC443" s="1190"/>
      <c r="AD443" s="1190"/>
      <c r="AE443" s="1190"/>
      <c r="AF443" s="1190"/>
      <c r="AG443" s="1748"/>
      <c r="AH443" s="1190"/>
      <c r="AI443" s="1748"/>
      <c r="AJ443" s="1190"/>
      <c r="AK443" s="1190"/>
      <c r="AL443" s="1190"/>
      <c r="AM443" s="1190"/>
      <c r="AN443" s="1190"/>
      <c r="AO443" s="1190"/>
      <c r="AP443" s="1190"/>
      <c r="AQ443" s="1190"/>
      <c r="AR443" s="1190"/>
      <c r="AS443" s="1190"/>
      <c r="AT443" s="1190"/>
      <c r="AU443" s="1190"/>
      <c r="AV443" s="1190"/>
      <c r="AW443" s="1190"/>
      <c r="AX443" s="1190"/>
      <c r="AY443" s="1190"/>
      <c r="AZ443" s="1190"/>
      <c r="BA443" s="1190"/>
      <c r="BB443" s="1190"/>
      <c r="BC443" s="1190"/>
      <c r="BD443" s="1190"/>
      <c r="BE443" s="1190"/>
      <c r="BF443" s="1190"/>
      <c r="BG443" s="1190"/>
      <c r="BH443" s="1190"/>
      <c r="BI443" s="1190"/>
      <c r="BJ443" s="1190"/>
      <c r="BK443" s="1190"/>
      <c r="BL443" s="1190"/>
      <c r="BM443" s="1190"/>
      <c r="BQ443" s="195"/>
      <c r="BR443" s="195"/>
      <c r="BT443" s="1005"/>
    </row>
    <row r="444" ht="15.75" customHeight="1">
      <c r="A444" s="195"/>
      <c r="B444" s="978"/>
      <c r="C444" s="2321"/>
      <c r="D444" s="1729"/>
      <c r="E444" s="1190"/>
      <c r="F444" s="1190"/>
      <c r="G444" s="1190"/>
      <c r="H444" s="1190"/>
      <c r="I444" s="1190"/>
      <c r="J444" s="1190"/>
      <c r="K444" s="1190"/>
      <c r="L444" s="1190"/>
      <c r="M444" s="1190"/>
      <c r="N444" s="1190"/>
      <c r="O444" s="1190"/>
      <c r="P444" s="1190"/>
      <c r="Q444" s="1190"/>
      <c r="R444" s="1190"/>
      <c r="S444" s="1189"/>
      <c r="T444" s="1190"/>
      <c r="U444" s="1190"/>
      <c r="V444" s="1190"/>
      <c r="W444" s="1190"/>
      <c r="X444" s="1190"/>
      <c r="Y444" s="1190"/>
      <c r="Z444" s="1190"/>
      <c r="AA444" s="1190"/>
      <c r="AB444" s="1190"/>
      <c r="AC444" s="1190"/>
      <c r="AD444" s="1190"/>
      <c r="AE444" s="1190"/>
      <c r="AF444" s="1190"/>
      <c r="AG444" s="1748"/>
      <c r="AH444" s="1190"/>
      <c r="AI444" s="1748"/>
      <c r="AJ444" s="1190"/>
      <c r="AK444" s="1190"/>
      <c r="AL444" s="1190"/>
      <c r="AM444" s="1190"/>
      <c r="AN444" s="1190"/>
      <c r="AO444" s="1190"/>
      <c r="AP444" s="1190"/>
      <c r="AQ444" s="1190"/>
      <c r="AR444" s="1190"/>
      <c r="AS444" s="1190"/>
      <c r="AT444" s="1190"/>
      <c r="AU444" s="1190"/>
      <c r="AV444" s="1190"/>
      <c r="AW444" s="1190"/>
      <c r="AX444" s="1190"/>
      <c r="AY444" s="1190"/>
      <c r="AZ444" s="1190"/>
      <c r="BA444" s="1190"/>
      <c r="BB444" s="1190"/>
      <c r="BC444" s="1190"/>
      <c r="BD444" s="1190"/>
      <c r="BE444" s="1190"/>
      <c r="BF444" s="1190"/>
      <c r="BG444" s="1190"/>
      <c r="BH444" s="1190"/>
      <c r="BI444" s="1190"/>
      <c r="BJ444" s="1190"/>
      <c r="BK444" s="1190"/>
      <c r="BL444" s="1190"/>
      <c r="BM444" s="1190"/>
      <c r="BQ444" s="195"/>
      <c r="BR444" s="195"/>
      <c r="BT444" s="1005"/>
    </row>
    <row r="445" ht="15.75" customHeight="1">
      <c r="A445" s="195"/>
      <c r="B445" s="978"/>
      <c r="C445" s="2321"/>
      <c r="D445" s="1729"/>
      <c r="E445" s="1190"/>
      <c r="F445" s="1190"/>
      <c r="G445" s="1190"/>
      <c r="H445" s="1190"/>
      <c r="I445" s="1190"/>
      <c r="J445" s="1190"/>
      <c r="K445" s="1190"/>
      <c r="L445" s="1190"/>
      <c r="M445" s="1190"/>
      <c r="N445" s="1190"/>
      <c r="O445" s="1190"/>
      <c r="P445" s="1190"/>
      <c r="Q445" s="1190"/>
      <c r="R445" s="1190"/>
      <c r="S445" s="1189"/>
      <c r="T445" s="1190"/>
      <c r="U445" s="1190"/>
      <c r="V445" s="1190"/>
      <c r="W445" s="1190"/>
      <c r="X445" s="1190"/>
      <c r="Y445" s="1190"/>
      <c r="Z445" s="1190"/>
      <c r="AA445" s="1190"/>
      <c r="AB445" s="1190"/>
      <c r="AC445" s="1190"/>
      <c r="AD445" s="1190"/>
      <c r="AE445" s="1190"/>
      <c r="AF445" s="1190"/>
      <c r="AG445" s="1748"/>
      <c r="AH445" s="1190"/>
      <c r="AI445" s="1748"/>
      <c r="AJ445" s="1190"/>
      <c r="AK445" s="1190"/>
      <c r="AL445" s="1190"/>
      <c r="AM445" s="1190"/>
      <c r="AN445" s="1190"/>
      <c r="AO445" s="1190"/>
      <c r="AP445" s="1190"/>
      <c r="AQ445" s="1190"/>
      <c r="AR445" s="1190"/>
      <c r="AS445" s="1190"/>
      <c r="AT445" s="1190"/>
      <c r="AU445" s="1190"/>
      <c r="AV445" s="1190"/>
      <c r="AW445" s="1190"/>
      <c r="AX445" s="1190"/>
      <c r="AY445" s="1190"/>
      <c r="AZ445" s="1190"/>
      <c r="BA445" s="1190"/>
      <c r="BB445" s="1190"/>
      <c r="BC445" s="1190"/>
      <c r="BD445" s="1190"/>
      <c r="BE445" s="1190"/>
      <c r="BF445" s="1190"/>
      <c r="BG445" s="1190"/>
      <c r="BH445" s="1190"/>
      <c r="BI445" s="1190"/>
      <c r="BJ445" s="1190"/>
      <c r="BK445" s="1190"/>
      <c r="BL445" s="1190"/>
      <c r="BM445" s="1190"/>
      <c r="BQ445" s="195"/>
      <c r="BR445" s="195"/>
      <c r="BT445" s="1005"/>
    </row>
    <row r="446" ht="15.75" customHeight="1">
      <c r="A446" s="195"/>
      <c r="B446" s="978"/>
      <c r="C446" s="2321"/>
      <c r="D446" s="1729"/>
      <c r="E446" s="1190"/>
      <c r="F446" s="1190"/>
      <c r="G446" s="1190"/>
      <c r="H446" s="1190"/>
      <c r="I446" s="1190"/>
      <c r="J446" s="1190"/>
      <c r="K446" s="1190"/>
      <c r="L446" s="1190"/>
      <c r="M446" s="1190"/>
      <c r="N446" s="1190"/>
      <c r="O446" s="1190"/>
      <c r="P446" s="1190"/>
      <c r="Q446" s="1190"/>
      <c r="R446" s="1190"/>
      <c r="S446" s="1189"/>
      <c r="T446" s="1190"/>
      <c r="U446" s="1190"/>
      <c r="V446" s="1190"/>
      <c r="W446" s="1190"/>
      <c r="X446" s="1190"/>
      <c r="Y446" s="1190"/>
      <c r="Z446" s="1190"/>
      <c r="AA446" s="1190"/>
      <c r="AB446" s="1190"/>
      <c r="AC446" s="1190"/>
      <c r="AD446" s="1190"/>
      <c r="AE446" s="1190"/>
      <c r="AF446" s="1190"/>
      <c r="AG446" s="1748"/>
      <c r="AH446" s="1190"/>
      <c r="AI446" s="1748"/>
      <c r="AJ446" s="1190"/>
      <c r="AK446" s="1190"/>
      <c r="AL446" s="1190"/>
      <c r="AM446" s="1190"/>
      <c r="AN446" s="1190"/>
      <c r="AO446" s="1190"/>
      <c r="AP446" s="1190"/>
      <c r="AQ446" s="1190"/>
      <c r="AR446" s="1190"/>
      <c r="AS446" s="1190"/>
      <c r="AT446" s="1190"/>
      <c r="AU446" s="1190"/>
      <c r="AV446" s="1190"/>
      <c r="AW446" s="1190"/>
      <c r="AX446" s="1190"/>
      <c r="AY446" s="1190"/>
      <c r="AZ446" s="1190"/>
      <c r="BA446" s="1190"/>
      <c r="BB446" s="1190"/>
      <c r="BC446" s="1190"/>
      <c r="BD446" s="1190"/>
      <c r="BE446" s="1190"/>
      <c r="BF446" s="1190"/>
      <c r="BG446" s="1190"/>
      <c r="BH446" s="1190"/>
      <c r="BI446" s="1190"/>
      <c r="BJ446" s="1190"/>
      <c r="BK446" s="1190"/>
      <c r="BL446" s="1190"/>
      <c r="BM446" s="1190"/>
      <c r="BQ446" s="195"/>
      <c r="BR446" s="195"/>
      <c r="BT446" s="1005"/>
    </row>
    <row r="447" ht="15.75" customHeight="1">
      <c r="A447" s="195"/>
      <c r="B447" s="978"/>
      <c r="C447" s="2321"/>
      <c r="D447" s="1729"/>
      <c r="E447" s="1190"/>
      <c r="F447" s="1190"/>
      <c r="G447" s="1190"/>
      <c r="H447" s="1190"/>
      <c r="I447" s="1190"/>
      <c r="J447" s="1190"/>
      <c r="K447" s="1190"/>
      <c r="L447" s="1190"/>
      <c r="M447" s="1190"/>
      <c r="N447" s="1190"/>
      <c r="O447" s="1190"/>
      <c r="P447" s="1190"/>
      <c r="Q447" s="1190"/>
      <c r="R447" s="1190"/>
      <c r="S447" s="1189"/>
      <c r="T447" s="1190"/>
      <c r="U447" s="1190"/>
      <c r="V447" s="1190"/>
      <c r="W447" s="1190"/>
      <c r="X447" s="1190"/>
      <c r="Y447" s="1190"/>
      <c r="Z447" s="1190"/>
      <c r="AA447" s="1190"/>
      <c r="AB447" s="1190"/>
      <c r="AC447" s="1190"/>
      <c r="AD447" s="1190"/>
      <c r="AE447" s="1190"/>
      <c r="AF447" s="1190"/>
      <c r="AG447" s="1748"/>
      <c r="AH447" s="1190"/>
      <c r="AI447" s="1748"/>
      <c r="AJ447" s="1190"/>
      <c r="AK447" s="1190"/>
      <c r="AL447" s="1190"/>
      <c r="AM447" s="1190"/>
      <c r="AN447" s="1190"/>
      <c r="AO447" s="1190"/>
      <c r="AP447" s="1190"/>
      <c r="AQ447" s="1190"/>
      <c r="AR447" s="1190"/>
      <c r="AS447" s="1190"/>
      <c r="AT447" s="1190"/>
      <c r="AU447" s="1190"/>
      <c r="AV447" s="1190"/>
      <c r="AW447" s="1190"/>
      <c r="AX447" s="1190"/>
      <c r="AY447" s="1190"/>
      <c r="AZ447" s="1190"/>
      <c r="BA447" s="1190"/>
      <c r="BB447" s="1190"/>
      <c r="BC447" s="1190"/>
      <c r="BD447" s="1190"/>
      <c r="BE447" s="1190"/>
      <c r="BF447" s="1190"/>
      <c r="BG447" s="1190"/>
      <c r="BH447" s="1190"/>
      <c r="BI447" s="1190"/>
      <c r="BJ447" s="1190"/>
      <c r="BK447" s="1190"/>
      <c r="BL447" s="1190"/>
      <c r="BM447" s="1190"/>
      <c r="BQ447" s="195"/>
      <c r="BR447" s="195"/>
      <c r="BT447" s="1005"/>
    </row>
    <row r="448" ht="15.75" customHeight="1">
      <c r="A448" s="195"/>
      <c r="B448" s="978"/>
      <c r="C448" s="2321"/>
      <c r="D448" s="1729"/>
      <c r="E448" s="1190"/>
      <c r="F448" s="1190"/>
      <c r="G448" s="1190"/>
      <c r="H448" s="1190"/>
      <c r="I448" s="1190"/>
      <c r="J448" s="1190"/>
      <c r="K448" s="1190"/>
      <c r="L448" s="1190"/>
      <c r="M448" s="1190"/>
      <c r="N448" s="1190"/>
      <c r="O448" s="1190"/>
      <c r="P448" s="1190"/>
      <c r="Q448" s="1190"/>
      <c r="R448" s="1190"/>
      <c r="S448" s="1189"/>
      <c r="T448" s="1190"/>
      <c r="U448" s="1190"/>
      <c r="V448" s="1190"/>
      <c r="W448" s="1190"/>
      <c r="X448" s="1190"/>
      <c r="Y448" s="1190"/>
      <c r="Z448" s="1190"/>
      <c r="AA448" s="1190"/>
      <c r="AB448" s="1190"/>
      <c r="AC448" s="1190"/>
      <c r="AD448" s="1190"/>
      <c r="AE448" s="1190"/>
      <c r="AF448" s="1190"/>
      <c r="AG448" s="1748"/>
      <c r="AH448" s="1190"/>
      <c r="AI448" s="1748"/>
      <c r="AJ448" s="1190"/>
      <c r="AK448" s="1190"/>
      <c r="AL448" s="1190"/>
      <c r="AM448" s="1190"/>
      <c r="AN448" s="1190"/>
      <c r="AO448" s="1190"/>
      <c r="AP448" s="1190"/>
      <c r="AQ448" s="1190"/>
      <c r="AR448" s="1190"/>
      <c r="AS448" s="1190"/>
      <c r="AT448" s="1190"/>
      <c r="AU448" s="1190"/>
      <c r="AV448" s="1190"/>
      <c r="AW448" s="1190"/>
      <c r="AX448" s="1190"/>
      <c r="AY448" s="1190"/>
      <c r="AZ448" s="1190"/>
      <c r="BA448" s="1190"/>
      <c r="BB448" s="1190"/>
      <c r="BC448" s="1190"/>
      <c r="BD448" s="1190"/>
      <c r="BE448" s="1190"/>
      <c r="BF448" s="1190"/>
      <c r="BG448" s="1190"/>
      <c r="BH448" s="1190"/>
      <c r="BI448" s="1190"/>
      <c r="BJ448" s="1190"/>
      <c r="BK448" s="1190"/>
      <c r="BL448" s="1190"/>
      <c r="BM448" s="1190"/>
      <c r="BQ448" s="195"/>
      <c r="BR448" s="195"/>
      <c r="BT448" s="1005"/>
    </row>
    <row r="449" ht="15.75" customHeight="1">
      <c r="A449" s="195"/>
      <c r="B449" s="978"/>
      <c r="C449" s="2321"/>
      <c r="D449" s="1729"/>
      <c r="E449" s="1190"/>
      <c r="F449" s="1190"/>
      <c r="G449" s="1190"/>
      <c r="H449" s="1190"/>
      <c r="I449" s="1190"/>
      <c r="J449" s="1190"/>
      <c r="K449" s="1190"/>
      <c r="L449" s="1190"/>
      <c r="M449" s="1190"/>
      <c r="N449" s="1190"/>
      <c r="O449" s="1190"/>
      <c r="P449" s="1190"/>
      <c r="Q449" s="1190"/>
      <c r="R449" s="1190"/>
      <c r="S449" s="1189"/>
      <c r="T449" s="1190"/>
      <c r="U449" s="1190"/>
      <c r="V449" s="1190"/>
      <c r="W449" s="1190"/>
      <c r="X449" s="1190"/>
      <c r="Y449" s="1190"/>
      <c r="Z449" s="1190"/>
      <c r="AA449" s="1190"/>
      <c r="AB449" s="1190"/>
      <c r="AC449" s="1190"/>
      <c r="AD449" s="1190"/>
      <c r="AE449" s="1190"/>
      <c r="AF449" s="1190"/>
      <c r="AG449" s="1748"/>
      <c r="AH449" s="1190"/>
      <c r="AI449" s="1748"/>
      <c r="AJ449" s="1190"/>
      <c r="AK449" s="1190"/>
      <c r="AL449" s="1190"/>
      <c r="AM449" s="1190"/>
      <c r="AN449" s="1190"/>
      <c r="AO449" s="1190"/>
      <c r="AP449" s="1190"/>
      <c r="AQ449" s="1190"/>
      <c r="AR449" s="1190"/>
      <c r="AS449" s="1190"/>
      <c r="AT449" s="1190"/>
      <c r="AU449" s="1190"/>
      <c r="AV449" s="1190"/>
      <c r="AW449" s="1190"/>
      <c r="AX449" s="1190"/>
      <c r="AY449" s="1190"/>
      <c r="AZ449" s="1190"/>
      <c r="BA449" s="1190"/>
      <c r="BB449" s="1190"/>
      <c r="BC449" s="1190"/>
      <c r="BD449" s="1190"/>
      <c r="BE449" s="1190"/>
      <c r="BF449" s="1190"/>
      <c r="BG449" s="1190"/>
      <c r="BH449" s="1190"/>
      <c r="BI449" s="1190"/>
      <c r="BJ449" s="1190"/>
      <c r="BK449" s="1190"/>
      <c r="BL449" s="1190"/>
      <c r="BM449" s="1190"/>
      <c r="BQ449" s="195"/>
      <c r="BR449" s="195"/>
      <c r="BT449" s="1005"/>
    </row>
    <row r="450" ht="15.75" customHeight="1">
      <c r="A450" s="195"/>
      <c r="B450" s="978"/>
      <c r="C450" s="2321"/>
      <c r="D450" s="1729"/>
      <c r="E450" s="1190"/>
      <c r="F450" s="1190"/>
      <c r="G450" s="1190"/>
      <c r="H450" s="1190"/>
      <c r="I450" s="1190"/>
      <c r="J450" s="1190"/>
      <c r="K450" s="1190"/>
      <c r="L450" s="1190"/>
      <c r="M450" s="1190"/>
      <c r="N450" s="1190"/>
      <c r="O450" s="1190"/>
      <c r="P450" s="1190"/>
      <c r="Q450" s="1190"/>
      <c r="R450" s="1190"/>
      <c r="S450" s="1189"/>
      <c r="T450" s="1190"/>
      <c r="U450" s="1190"/>
      <c r="V450" s="1190"/>
      <c r="W450" s="1190"/>
      <c r="X450" s="1190"/>
      <c r="Y450" s="1190"/>
      <c r="Z450" s="1190"/>
      <c r="AA450" s="1190"/>
      <c r="AB450" s="1190"/>
      <c r="AC450" s="1190"/>
      <c r="AD450" s="1190"/>
      <c r="AE450" s="1190"/>
      <c r="AF450" s="1190"/>
      <c r="AG450" s="1748"/>
      <c r="AH450" s="1190"/>
      <c r="AI450" s="1748"/>
      <c r="AJ450" s="1190"/>
      <c r="AK450" s="1190"/>
      <c r="AL450" s="1190"/>
      <c r="AM450" s="1190"/>
      <c r="AN450" s="1190"/>
      <c r="AO450" s="1190"/>
      <c r="AP450" s="1190"/>
      <c r="AQ450" s="1190"/>
      <c r="AR450" s="1190"/>
      <c r="AS450" s="1190"/>
      <c r="AT450" s="1190"/>
      <c r="AU450" s="1190"/>
      <c r="AV450" s="1190"/>
      <c r="AW450" s="1190"/>
      <c r="AX450" s="1190"/>
      <c r="AY450" s="1190"/>
      <c r="AZ450" s="1190"/>
      <c r="BA450" s="1190"/>
      <c r="BB450" s="1190"/>
      <c r="BC450" s="1190"/>
      <c r="BD450" s="1190"/>
      <c r="BE450" s="1190"/>
      <c r="BF450" s="1190"/>
      <c r="BG450" s="1190"/>
      <c r="BH450" s="1190"/>
      <c r="BI450" s="1190"/>
      <c r="BJ450" s="1190"/>
      <c r="BK450" s="1190"/>
      <c r="BL450" s="1190"/>
      <c r="BM450" s="1190"/>
      <c r="BQ450" s="195"/>
      <c r="BR450" s="195"/>
      <c r="BT450" s="1005"/>
    </row>
    <row r="451" ht="15.75" customHeight="1">
      <c r="A451" s="195"/>
      <c r="B451" s="978"/>
      <c r="C451" s="2321"/>
      <c r="D451" s="1729"/>
      <c r="E451" s="1190"/>
      <c r="F451" s="1190"/>
      <c r="G451" s="1190"/>
      <c r="H451" s="1190"/>
      <c r="I451" s="1190"/>
      <c r="J451" s="1190"/>
      <c r="K451" s="1190"/>
      <c r="L451" s="1190"/>
      <c r="M451" s="1190"/>
      <c r="N451" s="1190"/>
      <c r="O451" s="1190"/>
      <c r="P451" s="1190"/>
      <c r="Q451" s="1190"/>
      <c r="R451" s="1190"/>
      <c r="S451" s="1189"/>
      <c r="T451" s="1190"/>
      <c r="U451" s="1190"/>
      <c r="V451" s="1190"/>
      <c r="W451" s="1190"/>
      <c r="X451" s="1190"/>
      <c r="Y451" s="1190"/>
      <c r="Z451" s="1190"/>
      <c r="AA451" s="1190"/>
      <c r="AB451" s="1190"/>
      <c r="AC451" s="1190"/>
      <c r="AD451" s="1190"/>
      <c r="AE451" s="1190"/>
      <c r="AF451" s="1190"/>
      <c r="AG451" s="1748"/>
      <c r="AH451" s="1190"/>
      <c r="AI451" s="1748"/>
      <c r="AJ451" s="1190"/>
      <c r="AK451" s="1190"/>
      <c r="AL451" s="1190"/>
      <c r="AM451" s="1190"/>
      <c r="AN451" s="1190"/>
      <c r="AO451" s="1190"/>
      <c r="AP451" s="1190"/>
      <c r="AQ451" s="1190"/>
      <c r="AR451" s="1190"/>
      <c r="AS451" s="1190"/>
      <c r="AT451" s="1190"/>
      <c r="AU451" s="1190"/>
      <c r="AV451" s="1190"/>
      <c r="AW451" s="1190"/>
      <c r="AX451" s="1190"/>
      <c r="AY451" s="1190"/>
      <c r="AZ451" s="1190"/>
      <c r="BA451" s="1190"/>
      <c r="BB451" s="1190"/>
      <c r="BC451" s="1190"/>
      <c r="BD451" s="1190"/>
      <c r="BE451" s="1190"/>
      <c r="BF451" s="1190"/>
      <c r="BG451" s="1190"/>
      <c r="BH451" s="1190"/>
      <c r="BI451" s="1190"/>
      <c r="BJ451" s="1190"/>
      <c r="BK451" s="1190"/>
      <c r="BL451" s="1190"/>
      <c r="BM451" s="1190"/>
      <c r="BQ451" s="195"/>
      <c r="BR451" s="195"/>
      <c r="BT451" s="1005"/>
    </row>
    <row r="452" ht="15.75" customHeight="1">
      <c r="A452" s="195"/>
      <c r="B452" s="978"/>
      <c r="C452" s="2321"/>
      <c r="D452" s="1729"/>
      <c r="E452" s="1190"/>
      <c r="F452" s="1190"/>
      <c r="G452" s="1190"/>
      <c r="H452" s="1190"/>
      <c r="I452" s="1190"/>
      <c r="J452" s="1190"/>
      <c r="K452" s="1190"/>
      <c r="L452" s="1190"/>
      <c r="M452" s="1190"/>
      <c r="N452" s="1190"/>
      <c r="O452" s="1190"/>
      <c r="P452" s="1190"/>
      <c r="Q452" s="1190"/>
      <c r="R452" s="1190"/>
      <c r="S452" s="1189"/>
      <c r="T452" s="1190"/>
      <c r="U452" s="1190"/>
      <c r="V452" s="1190"/>
      <c r="W452" s="1190"/>
      <c r="X452" s="1190"/>
      <c r="Y452" s="1190"/>
      <c r="Z452" s="1190"/>
      <c r="AA452" s="1190"/>
      <c r="AB452" s="1190"/>
      <c r="AC452" s="1190"/>
      <c r="AD452" s="1190"/>
      <c r="AE452" s="1190"/>
      <c r="AF452" s="1190"/>
      <c r="AG452" s="1748"/>
      <c r="AH452" s="1190"/>
      <c r="AI452" s="1748"/>
      <c r="AJ452" s="1190"/>
      <c r="AK452" s="1190"/>
      <c r="AL452" s="1190"/>
      <c r="AM452" s="1190"/>
      <c r="AN452" s="1190"/>
      <c r="AO452" s="1190"/>
      <c r="AP452" s="1190"/>
      <c r="AQ452" s="1190"/>
      <c r="AR452" s="1190"/>
      <c r="AS452" s="1190"/>
      <c r="AT452" s="1190"/>
      <c r="AU452" s="1190"/>
      <c r="AV452" s="1190"/>
      <c r="AW452" s="1190"/>
      <c r="AX452" s="1190"/>
      <c r="AY452" s="1190"/>
      <c r="AZ452" s="1190"/>
      <c r="BA452" s="1190"/>
      <c r="BB452" s="1190"/>
      <c r="BC452" s="1190"/>
      <c r="BD452" s="1190"/>
      <c r="BE452" s="1190"/>
      <c r="BF452" s="1190"/>
      <c r="BG452" s="1190"/>
      <c r="BH452" s="1190"/>
      <c r="BI452" s="1190"/>
      <c r="BJ452" s="1190"/>
      <c r="BK452" s="1190"/>
      <c r="BL452" s="1190"/>
      <c r="BM452" s="1190"/>
      <c r="BQ452" s="195"/>
      <c r="BR452" s="195"/>
      <c r="BT452" s="1005"/>
    </row>
    <row r="453" ht="15.75" customHeight="1">
      <c r="A453" s="195"/>
      <c r="B453" s="978"/>
      <c r="C453" s="2321"/>
      <c r="D453" s="1729"/>
      <c r="E453" s="1190"/>
      <c r="F453" s="1190"/>
      <c r="G453" s="1190"/>
      <c r="H453" s="1190"/>
      <c r="I453" s="1190"/>
      <c r="J453" s="1190"/>
      <c r="K453" s="1190"/>
      <c r="L453" s="1190"/>
      <c r="M453" s="1190"/>
      <c r="N453" s="1190"/>
      <c r="O453" s="1190"/>
      <c r="P453" s="1190"/>
      <c r="Q453" s="1190"/>
      <c r="R453" s="1190"/>
      <c r="S453" s="1189"/>
      <c r="T453" s="1190"/>
      <c r="U453" s="1190"/>
      <c r="V453" s="1190"/>
      <c r="W453" s="1190"/>
      <c r="X453" s="1190"/>
      <c r="Y453" s="1190"/>
      <c r="Z453" s="1190"/>
      <c r="AA453" s="1190"/>
      <c r="AB453" s="1190"/>
      <c r="AC453" s="1190"/>
      <c r="AD453" s="1190"/>
      <c r="AE453" s="1190"/>
      <c r="AF453" s="1190"/>
      <c r="AG453" s="1748"/>
      <c r="AH453" s="1190"/>
      <c r="AI453" s="1748"/>
      <c r="AJ453" s="1190"/>
      <c r="AK453" s="1190"/>
      <c r="AL453" s="1190"/>
      <c r="AM453" s="1190"/>
      <c r="AN453" s="1190"/>
      <c r="AO453" s="1190"/>
      <c r="AP453" s="1190"/>
      <c r="AQ453" s="1190"/>
      <c r="AR453" s="1190"/>
      <c r="AS453" s="1190"/>
      <c r="AT453" s="1190"/>
      <c r="AU453" s="1190"/>
      <c r="AV453" s="1190"/>
      <c r="AW453" s="1190"/>
      <c r="AX453" s="1190"/>
      <c r="AY453" s="1190"/>
      <c r="AZ453" s="1190"/>
      <c r="BA453" s="1190"/>
      <c r="BB453" s="1190"/>
      <c r="BC453" s="1190"/>
      <c r="BD453" s="1190"/>
      <c r="BE453" s="1190"/>
      <c r="BF453" s="1190"/>
      <c r="BG453" s="1190"/>
      <c r="BH453" s="1190"/>
      <c r="BI453" s="1190"/>
      <c r="BJ453" s="1190"/>
      <c r="BK453" s="1190"/>
      <c r="BL453" s="1190"/>
      <c r="BM453" s="1190"/>
      <c r="BQ453" s="195"/>
      <c r="BR453" s="195"/>
      <c r="BT453" s="1005"/>
    </row>
    <row r="454" ht="15.75" customHeight="1">
      <c r="A454" s="195"/>
      <c r="B454" s="978"/>
      <c r="C454" s="2321"/>
      <c r="D454" s="1729"/>
      <c r="E454" s="1190"/>
      <c r="F454" s="1190"/>
      <c r="G454" s="1190"/>
      <c r="H454" s="1190"/>
      <c r="I454" s="1190"/>
      <c r="J454" s="1190"/>
      <c r="K454" s="1190"/>
      <c r="L454" s="1190"/>
      <c r="M454" s="1190"/>
      <c r="N454" s="1190"/>
      <c r="O454" s="1190"/>
      <c r="P454" s="1190"/>
      <c r="Q454" s="1190"/>
      <c r="R454" s="1190"/>
      <c r="S454" s="1189"/>
      <c r="T454" s="1190"/>
      <c r="U454" s="1190"/>
      <c r="V454" s="1190"/>
      <c r="W454" s="1190"/>
      <c r="X454" s="1190"/>
      <c r="Y454" s="1190"/>
      <c r="Z454" s="1190"/>
      <c r="AA454" s="1190"/>
      <c r="AB454" s="1190"/>
      <c r="AC454" s="1190"/>
      <c r="AD454" s="1190"/>
      <c r="AE454" s="1190"/>
      <c r="AF454" s="1190"/>
      <c r="AG454" s="1748"/>
      <c r="AH454" s="1190"/>
      <c r="AI454" s="1748"/>
      <c r="AJ454" s="1190"/>
      <c r="AK454" s="1190"/>
      <c r="AL454" s="1190"/>
      <c r="AM454" s="1190"/>
      <c r="AN454" s="1190"/>
      <c r="AO454" s="1190"/>
      <c r="AP454" s="1190"/>
      <c r="AQ454" s="1190"/>
      <c r="AR454" s="1190"/>
      <c r="AS454" s="1190"/>
      <c r="AT454" s="1190"/>
      <c r="AU454" s="1190"/>
      <c r="AV454" s="1190"/>
      <c r="AW454" s="1190"/>
      <c r="AX454" s="1190"/>
      <c r="AY454" s="1190"/>
      <c r="AZ454" s="1190"/>
      <c r="BA454" s="1190"/>
      <c r="BB454" s="1190"/>
      <c r="BC454" s="1190"/>
      <c r="BD454" s="1190"/>
      <c r="BE454" s="1190"/>
      <c r="BF454" s="1190"/>
      <c r="BG454" s="1190"/>
      <c r="BH454" s="1190"/>
      <c r="BI454" s="1190"/>
      <c r="BJ454" s="1190"/>
      <c r="BK454" s="1190"/>
      <c r="BL454" s="1190"/>
      <c r="BM454" s="1190"/>
      <c r="BQ454" s="195"/>
      <c r="BR454" s="195"/>
      <c r="BT454" s="1005"/>
    </row>
    <row r="455" ht="15.75" customHeight="1">
      <c r="A455" s="195"/>
      <c r="B455" s="978"/>
      <c r="C455" s="2321"/>
      <c r="D455" s="1729"/>
      <c r="E455" s="1190"/>
      <c r="F455" s="1190"/>
      <c r="G455" s="1190"/>
      <c r="H455" s="1190"/>
      <c r="I455" s="1190"/>
      <c r="J455" s="1190"/>
      <c r="K455" s="1190"/>
      <c r="L455" s="1190"/>
      <c r="M455" s="1190"/>
      <c r="N455" s="1190"/>
      <c r="O455" s="1190"/>
      <c r="P455" s="1190"/>
      <c r="Q455" s="1190"/>
      <c r="R455" s="1190"/>
      <c r="S455" s="1189"/>
      <c r="T455" s="1190"/>
      <c r="U455" s="1190"/>
      <c r="V455" s="1190"/>
      <c r="W455" s="1190"/>
      <c r="X455" s="1190"/>
      <c r="Y455" s="1190"/>
      <c r="Z455" s="1190"/>
      <c r="AA455" s="1190"/>
      <c r="AB455" s="1190"/>
      <c r="AC455" s="1190"/>
      <c r="AD455" s="1190"/>
      <c r="AE455" s="1190"/>
      <c r="AF455" s="1190"/>
      <c r="AG455" s="1748"/>
      <c r="AH455" s="1190"/>
      <c r="AI455" s="1748"/>
      <c r="AJ455" s="1190"/>
      <c r="AK455" s="1190"/>
      <c r="AL455" s="1190"/>
      <c r="AM455" s="1190"/>
      <c r="AN455" s="1190"/>
      <c r="AO455" s="1190"/>
      <c r="AP455" s="1190"/>
      <c r="AQ455" s="1190"/>
      <c r="AR455" s="1190"/>
      <c r="AS455" s="1190"/>
      <c r="AT455" s="1190"/>
      <c r="AU455" s="1190"/>
      <c r="AV455" s="1190"/>
      <c r="AW455" s="1190"/>
      <c r="AX455" s="1190"/>
      <c r="AY455" s="1190"/>
      <c r="AZ455" s="1190"/>
      <c r="BA455" s="1190"/>
      <c r="BB455" s="1190"/>
      <c r="BC455" s="1190"/>
      <c r="BD455" s="1190"/>
      <c r="BE455" s="1190"/>
      <c r="BF455" s="1190"/>
      <c r="BG455" s="1190"/>
      <c r="BH455" s="1190"/>
      <c r="BI455" s="1190"/>
      <c r="BJ455" s="1190"/>
      <c r="BK455" s="1190"/>
      <c r="BL455" s="1190"/>
      <c r="BM455" s="1190"/>
      <c r="BQ455" s="195"/>
      <c r="BR455" s="195"/>
      <c r="BT455" s="1005"/>
    </row>
    <row r="456" ht="15.75" customHeight="1">
      <c r="A456" s="195"/>
      <c r="B456" s="978"/>
      <c r="C456" s="2321"/>
      <c r="D456" s="1729"/>
      <c r="E456" s="1190"/>
      <c r="F456" s="1190"/>
      <c r="G456" s="1190"/>
      <c r="H456" s="1190"/>
      <c r="I456" s="1190"/>
      <c r="J456" s="1190"/>
      <c r="K456" s="1190"/>
      <c r="L456" s="1190"/>
      <c r="M456" s="1190"/>
      <c r="N456" s="1190"/>
      <c r="O456" s="1190"/>
      <c r="P456" s="1190"/>
      <c r="Q456" s="1190"/>
      <c r="R456" s="1190"/>
      <c r="S456" s="1189"/>
      <c r="T456" s="1190"/>
      <c r="U456" s="1190"/>
      <c r="V456" s="1190"/>
      <c r="W456" s="1190"/>
      <c r="X456" s="1190"/>
      <c r="Y456" s="1190"/>
      <c r="Z456" s="1190"/>
      <c r="AA456" s="1190"/>
      <c r="AB456" s="1190"/>
      <c r="AC456" s="1190"/>
      <c r="AD456" s="1190"/>
      <c r="AE456" s="1190"/>
      <c r="AF456" s="1190"/>
      <c r="AG456" s="1748"/>
      <c r="AH456" s="1190"/>
      <c r="AI456" s="1748"/>
      <c r="AJ456" s="1190"/>
      <c r="AK456" s="1190"/>
      <c r="AL456" s="1190"/>
      <c r="AM456" s="1190"/>
      <c r="AN456" s="1190"/>
      <c r="AO456" s="1190"/>
      <c r="AP456" s="1190"/>
      <c r="AQ456" s="1190"/>
      <c r="AR456" s="1190"/>
      <c r="AS456" s="1190"/>
      <c r="AT456" s="1190"/>
      <c r="AU456" s="1190"/>
      <c r="AV456" s="1190"/>
      <c r="AW456" s="1190"/>
      <c r="AX456" s="1190"/>
      <c r="AY456" s="1190"/>
      <c r="AZ456" s="1190"/>
      <c r="BA456" s="1190"/>
      <c r="BB456" s="1190"/>
      <c r="BC456" s="1190"/>
      <c r="BD456" s="1190"/>
      <c r="BE456" s="1190"/>
      <c r="BF456" s="1190"/>
      <c r="BG456" s="1190"/>
      <c r="BH456" s="1190"/>
      <c r="BI456" s="1190"/>
      <c r="BJ456" s="1190"/>
      <c r="BK456" s="1190"/>
      <c r="BL456" s="1190"/>
      <c r="BM456" s="1190"/>
      <c r="BQ456" s="195"/>
      <c r="BR456" s="195"/>
      <c r="BT456" s="1005"/>
    </row>
    <row r="457" ht="15.75" customHeight="1">
      <c r="A457" s="195"/>
      <c r="B457" s="978"/>
      <c r="C457" s="2321"/>
      <c r="D457" s="1729"/>
      <c r="E457" s="1190"/>
      <c r="F457" s="1190"/>
      <c r="G457" s="1190"/>
      <c r="H457" s="1190"/>
      <c r="I457" s="1190"/>
      <c r="J457" s="1190"/>
      <c r="K457" s="1190"/>
      <c r="L457" s="1190"/>
      <c r="M457" s="1190"/>
      <c r="N457" s="1190"/>
      <c r="O457" s="1190"/>
      <c r="P457" s="1190"/>
      <c r="Q457" s="1190"/>
      <c r="R457" s="1190"/>
      <c r="S457" s="1189"/>
      <c r="T457" s="1190"/>
      <c r="U457" s="1190"/>
      <c r="V457" s="1190"/>
      <c r="W457" s="1190"/>
      <c r="X457" s="1190"/>
      <c r="Y457" s="1190"/>
      <c r="Z457" s="1190"/>
      <c r="AA457" s="1190"/>
      <c r="AB457" s="1190"/>
      <c r="AC457" s="1190"/>
      <c r="AD457" s="1190"/>
      <c r="AE457" s="1190"/>
      <c r="AF457" s="1190"/>
      <c r="AG457" s="1748"/>
      <c r="AH457" s="1190"/>
      <c r="AI457" s="1748"/>
      <c r="AJ457" s="1190"/>
      <c r="AK457" s="1190"/>
      <c r="AL457" s="1190"/>
      <c r="AM457" s="1190"/>
      <c r="AN457" s="1190"/>
      <c r="AO457" s="1190"/>
      <c r="AP457" s="1190"/>
      <c r="AQ457" s="1190"/>
      <c r="AR457" s="1190"/>
      <c r="AS457" s="1190"/>
      <c r="AT457" s="1190"/>
      <c r="AU457" s="1190"/>
      <c r="AV457" s="1190"/>
      <c r="AW457" s="1190"/>
      <c r="AX457" s="1190"/>
      <c r="AY457" s="1190"/>
      <c r="AZ457" s="1190"/>
      <c r="BA457" s="1190"/>
      <c r="BB457" s="1190"/>
      <c r="BC457" s="1190"/>
      <c r="BD457" s="1190"/>
      <c r="BE457" s="1190"/>
      <c r="BF457" s="1190"/>
      <c r="BG457" s="1190"/>
      <c r="BH457" s="1190"/>
      <c r="BI457" s="1190"/>
      <c r="BJ457" s="1190"/>
      <c r="BK457" s="1190"/>
      <c r="BL457" s="1190"/>
      <c r="BM457" s="1190"/>
      <c r="BQ457" s="195"/>
      <c r="BR457" s="195"/>
      <c r="BT457" s="1005"/>
    </row>
    <row r="458" ht="15.75" customHeight="1">
      <c r="A458" s="195"/>
      <c r="B458" s="978"/>
      <c r="C458" s="2321"/>
      <c r="D458" s="1729"/>
      <c r="E458" s="1190"/>
      <c r="F458" s="1190"/>
      <c r="G458" s="1190"/>
      <c r="H458" s="1190"/>
      <c r="I458" s="1190"/>
      <c r="J458" s="1190"/>
      <c r="K458" s="1190"/>
      <c r="L458" s="1190"/>
      <c r="M458" s="1190"/>
      <c r="N458" s="1190"/>
      <c r="O458" s="1190"/>
      <c r="P458" s="1190"/>
      <c r="Q458" s="1190"/>
      <c r="R458" s="1190"/>
      <c r="S458" s="1189"/>
      <c r="T458" s="1190"/>
      <c r="U458" s="1190"/>
      <c r="V458" s="1190"/>
      <c r="W458" s="1190"/>
      <c r="X458" s="1190"/>
      <c r="Y458" s="1190"/>
      <c r="Z458" s="1190"/>
      <c r="AA458" s="1190"/>
      <c r="AB458" s="1190"/>
      <c r="AC458" s="1190"/>
      <c r="AD458" s="1190"/>
      <c r="AE458" s="1190"/>
      <c r="AF458" s="1190"/>
      <c r="AG458" s="1748"/>
      <c r="AH458" s="1190"/>
      <c r="AI458" s="1748"/>
      <c r="AJ458" s="1190"/>
      <c r="AK458" s="1190"/>
      <c r="AL458" s="1190"/>
      <c r="AM458" s="1190"/>
      <c r="AN458" s="1190"/>
      <c r="AO458" s="1190"/>
      <c r="AP458" s="1190"/>
      <c r="AQ458" s="1190"/>
      <c r="AR458" s="1190"/>
      <c r="AS458" s="1190"/>
      <c r="AT458" s="1190"/>
      <c r="AU458" s="1190"/>
      <c r="AV458" s="1190"/>
      <c r="AW458" s="1190"/>
      <c r="AX458" s="1190"/>
      <c r="AY458" s="1190"/>
      <c r="AZ458" s="1190"/>
      <c r="BA458" s="1190"/>
      <c r="BB458" s="1190"/>
      <c r="BC458" s="1190"/>
      <c r="BD458" s="1190"/>
      <c r="BE458" s="1190"/>
      <c r="BF458" s="1190"/>
      <c r="BG458" s="1190"/>
      <c r="BH458" s="1190"/>
      <c r="BI458" s="1190"/>
      <c r="BJ458" s="1190"/>
      <c r="BK458" s="1190"/>
      <c r="BL458" s="1190"/>
      <c r="BM458" s="1190"/>
      <c r="BQ458" s="195"/>
      <c r="BR458" s="195"/>
      <c r="BT458" s="1005"/>
    </row>
    <row r="459" ht="15.75" customHeight="1">
      <c r="A459" s="195"/>
      <c r="B459" s="978"/>
      <c r="C459" s="2321"/>
      <c r="D459" s="1729"/>
      <c r="E459" s="1190"/>
      <c r="F459" s="1190"/>
      <c r="G459" s="1190"/>
      <c r="H459" s="1190"/>
      <c r="I459" s="1190"/>
      <c r="J459" s="1190"/>
      <c r="K459" s="1190"/>
      <c r="L459" s="1190"/>
      <c r="M459" s="1190"/>
      <c r="N459" s="1190"/>
      <c r="O459" s="1190"/>
      <c r="P459" s="1190"/>
      <c r="Q459" s="1190"/>
      <c r="R459" s="1190"/>
      <c r="S459" s="1189"/>
      <c r="T459" s="1190"/>
      <c r="U459" s="1190"/>
      <c r="V459" s="1190"/>
      <c r="W459" s="1190"/>
      <c r="X459" s="1190"/>
      <c r="Y459" s="1190"/>
      <c r="Z459" s="1190"/>
      <c r="AA459" s="1190"/>
      <c r="AB459" s="1190"/>
      <c r="AC459" s="1190"/>
      <c r="AD459" s="1190"/>
      <c r="AE459" s="1190"/>
      <c r="AF459" s="1190"/>
      <c r="AG459" s="1748"/>
      <c r="AH459" s="1190"/>
      <c r="AI459" s="1748"/>
      <c r="AJ459" s="1190"/>
      <c r="AK459" s="1190"/>
      <c r="AL459" s="1190"/>
      <c r="AM459" s="1190"/>
      <c r="AN459" s="1190"/>
      <c r="AO459" s="1190"/>
      <c r="AP459" s="1190"/>
      <c r="AQ459" s="1190"/>
      <c r="AR459" s="1190"/>
      <c r="AS459" s="1190"/>
      <c r="AT459" s="1190"/>
      <c r="AU459" s="1190"/>
      <c r="AV459" s="1190"/>
      <c r="AW459" s="1190"/>
      <c r="AX459" s="1190"/>
      <c r="AY459" s="1190"/>
      <c r="AZ459" s="1190"/>
      <c r="BA459" s="1190"/>
      <c r="BB459" s="1190"/>
      <c r="BC459" s="1190"/>
      <c r="BD459" s="1190"/>
      <c r="BE459" s="1190"/>
      <c r="BF459" s="1190"/>
      <c r="BG459" s="1190"/>
      <c r="BH459" s="1190"/>
      <c r="BI459" s="1190"/>
      <c r="BJ459" s="1190"/>
      <c r="BK459" s="1190"/>
      <c r="BL459" s="1190"/>
      <c r="BM459" s="1190"/>
      <c r="BQ459" s="195"/>
      <c r="BR459" s="195"/>
      <c r="BT459" s="1005"/>
    </row>
    <row r="460" ht="15.75" customHeight="1">
      <c r="A460" s="195"/>
      <c r="B460" s="978"/>
      <c r="C460" s="2321"/>
      <c r="D460" s="1729"/>
      <c r="E460" s="1190"/>
      <c r="F460" s="1190"/>
      <c r="G460" s="1190"/>
      <c r="H460" s="1190"/>
      <c r="I460" s="1190"/>
      <c r="J460" s="1190"/>
      <c r="K460" s="1190"/>
      <c r="L460" s="1190"/>
      <c r="M460" s="1190"/>
      <c r="N460" s="1190"/>
      <c r="O460" s="1190"/>
      <c r="P460" s="1190"/>
      <c r="Q460" s="1190"/>
      <c r="R460" s="1190"/>
      <c r="S460" s="1189"/>
      <c r="T460" s="1190"/>
      <c r="U460" s="1190"/>
      <c r="V460" s="1190"/>
      <c r="W460" s="1190"/>
      <c r="X460" s="1190"/>
      <c r="Y460" s="1190"/>
      <c r="Z460" s="1190"/>
      <c r="AA460" s="1190"/>
      <c r="AB460" s="1190"/>
      <c r="AC460" s="1190"/>
      <c r="AD460" s="1190"/>
      <c r="AE460" s="1190"/>
      <c r="AF460" s="1190"/>
      <c r="AG460" s="1748"/>
      <c r="AH460" s="1190"/>
      <c r="AI460" s="1748"/>
      <c r="AJ460" s="1190"/>
      <c r="AK460" s="1190"/>
      <c r="AL460" s="1190"/>
      <c r="AM460" s="1190"/>
      <c r="AN460" s="1190"/>
      <c r="AO460" s="1190"/>
      <c r="AP460" s="1190"/>
      <c r="AQ460" s="1190"/>
      <c r="AR460" s="1190"/>
      <c r="AS460" s="1190"/>
      <c r="AT460" s="1190"/>
      <c r="AU460" s="1190"/>
      <c r="AV460" s="1190"/>
      <c r="AW460" s="1190"/>
      <c r="AX460" s="1190"/>
      <c r="AY460" s="1190"/>
      <c r="AZ460" s="1190"/>
      <c r="BA460" s="1190"/>
      <c r="BB460" s="1190"/>
      <c r="BC460" s="1190"/>
      <c r="BD460" s="1190"/>
      <c r="BE460" s="1190"/>
      <c r="BF460" s="1190"/>
      <c r="BG460" s="1190"/>
      <c r="BH460" s="1190"/>
      <c r="BI460" s="1190"/>
      <c r="BJ460" s="1190"/>
      <c r="BK460" s="1190"/>
      <c r="BL460" s="1190"/>
      <c r="BM460" s="1190"/>
      <c r="BQ460" s="195"/>
      <c r="BR460" s="195"/>
      <c r="BT460" s="1005"/>
    </row>
    <row r="461" ht="15.75" customHeight="1">
      <c r="A461" s="195"/>
      <c r="B461" s="978"/>
      <c r="C461" s="2321"/>
      <c r="D461" s="1729"/>
      <c r="E461" s="1190"/>
      <c r="F461" s="1190"/>
      <c r="G461" s="1190"/>
      <c r="H461" s="1190"/>
      <c r="I461" s="1190"/>
      <c r="J461" s="1190"/>
      <c r="K461" s="1190"/>
      <c r="L461" s="1190"/>
      <c r="M461" s="1190"/>
      <c r="N461" s="1190"/>
      <c r="O461" s="1190"/>
      <c r="P461" s="1190"/>
      <c r="Q461" s="1190"/>
      <c r="R461" s="1190"/>
      <c r="S461" s="1189"/>
      <c r="T461" s="1190"/>
      <c r="U461" s="1190"/>
      <c r="V461" s="1190"/>
      <c r="W461" s="1190"/>
      <c r="X461" s="1190"/>
      <c r="Y461" s="1190"/>
      <c r="Z461" s="1190"/>
      <c r="AA461" s="1190"/>
      <c r="AB461" s="1190"/>
      <c r="AC461" s="1190"/>
      <c r="AD461" s="1190"/>
      <c r="AE461" s="1190"/>
      <c r="AF461" s="1190"/>
      <c r="AG461" s="1748"/>
      <c r="AH461" s="1190"/>
      <c r="AI461" s="1748"/>
      <c r="AJ461" s="1190"/>
      <c r="AK461" s="1190"/>
      <c r="AL461" s="1190"/>
      <c r="AM461" s="1190"/>
      <c r="AN461" s="1190"/>
      <c r="AO461" s="1190"/>
      <c r="AP461" s="1190"/>
      <c r="AQ461" s="1190"/>
      <c r="AR461" s="1190"/>
      <c r="AS461" s="1190"/>
      <c r="AT461" s="1190"/>
      <c r="AU461" s="1190"/>
      <c r="AV461" s="1190"/>
      <c r="AW461" s="1190"/>
      <c r="AX461" s="1190"/>
      <c r="AY461" s="1190"/>
      <c r="AZ461" s="1190"/>
      <c r="BA461" s="1190"/>
      <c r="BB461" s="1190"/>
      <c r="BC461" s="1190"/>
      <c r="BD461" s="1190"/>
      <c r="BE461" s="1190"/>
      <c r="BF461" s="1190"/>
      <c r="BG461" s="1190"/>
      <c r="BH461" s="1190"/>
      <c r="BI461" s="1190"/>
      <c r="BJ461" s="1190"/>
      <c r="BK461" s="1190"/>
      <c r="BL461" s="1190"/>
      <c r="BM461" s="1190"/>
      <c r="BQ461" s="195"/>
      <c r="BR461" s="195"/>
      <c r="BT461" s="1005"/>
    </row>
    <row r="462" ht="15.75" customHeight="1">
      <c r="A462" s="195"/>
      <c r="B462" s="978"/>
      <c r="C462" s="2321"/>
      <c r="D462" s="1729"/>
      <c r="E462" s="1190"/>
      <c r="F462" s="1190"/>
      <c r="G462" s="1190"/>
      <c r="H462" s="1190"/>
      <c r="I462" s="1190"/>
      <c r="J462" s="1190"/>
      <c r="K462" s="1190"/>
      <c r="L462" s="1190"/>
      <c r="M462" s="1190"/>
      <c r="N462" s="1190"/>
      <c r="O462" s="1190"/>
      <c r="P462" s="1190"/>
      <c r="Q462" s="1190"/>
      <c r="R462" s="1190"/>
      <c r="S462" s="1189"/>
      <c r="T462" s="1190"/>
      <c r="U462" s="1190"/>
      <c r="V462" s="1190"/>
      <c r="W462" s="1190"/>
      <c r="X462" s="1190"/>
      <c r="Y462" s="1190"/>
      <c r="Z462" s="1190"/>
      <c r="AA462" s="1190"/>
      <c r="AB462" s="1190"/>
      <c r="AC462" s="1190"/>
      <c r="AD462" s="1190"/>
      <c r="AE462" s="1190"/>
      <c r="AF462" s="1190"/>
      <c r="AG462" s="1748"/>
      <c r="AH462" s="1190"/>
      <c r="AI462" s="1748"/>
      <c r="AJ462" s="1190"/>
      <c r="AK462" s="1190"/>
      <c r="AL462" s="1190"/>
      <c r="AM462" s="1190"/>
      <c r="AN462" s="1190"/>
      <c r="AO462" s="1190"/>
      <c r="AP462" s="1190"/>
      <c r="AQ462" s="1190"/>
      <c r="AR462" s="1190"/>
      <c r="AS462" s="1190"/>
      <c r="AT462" s="1190"/>
      <c r="AU462" s="1190"/>
      <c r="AV462" s="1190"/>
      <c r="AW462" s="1190"/>
      <c r="AX462" s="1190"/>
      <c r="AY462" s="1190"/>
      <c r="AZ462" s="1190"/>
      <c r="BA462" s="1190"/>
      <c r="BB462" s="1190"/>
      <c r="BC462" s="1190"/>
      <c r="BD462" s="1190"/>
      <c r="BE462" s="1190"/>
      <c r="BF462" s="1190"/>
      <c r="BG462" s="1190"/>
      <c r="BH462" s="1190"/>
      <c r="BI462" s="1190"/>
      <c r="BJ462" s="1190"/>
      <c r="BK462" s="1190"/>
      <c r="BL462" s="1190"/>
      <c r="BM462" s="1190"/>
      <c r="BQ462" s="195"/>
      <c r="BR462" s="195"/>
      <c r="BT462" s="1005"/>
    </row>
    <row r="463" ht="15.75" customHeight="1">
      <c r="A463" s="195"/>
      <c r="B463" s="978"/>
      <c r="C463" s="2321"/>
      <c r="D463" s="1729"/>
      <c r="E463" s="1190"/>
      <c r="F463" s="1190"/>
      <c r="G463" s="1190"/>
      <c r="H463" s="1190"/>
      <c r="I463" s="1190"/>
      <c r="J463" s="1190"/>
      <c r="K463" s="1190"/>
      <c r="L463" s="1190"/>
      <c r="M463" s="1190"/>
      <c r="N463" s="1190"/>
      <c r="O463" s="1190"/>
      <c r="P463" s="1190"/>
      <c r="Q463" s="1190"/>
      <c r="R463" s="1190"/>
      <c r="S463" s="1189"/>
      <c r="T463" s="1190"/>
      <c r="U463" s="1190"/>
      <c r="V463" s="1190"/>
      <c r="W463" s="1190"/>
      <c r="X463" s="1190"/>
      <c r="Y463" s="1190"/>
      <c r="Z463" s="1190"/>
      <c r="AA463" s="1190"/>
      <c r="AB463" s="1190"/>
      <c r="AC463" s="1190"/>
      <c r="AD463" s="1190"/>
      <c r="AE463" s="1190"/>
      <c r="AF463" s="1190"/>
      <c r="AG463" s="1748"/>
      <c r="AH463" s="1190"/>
      <c r="AI463" s="1748"/>
      <c r="AJ463" s="1190"/>
      <c r="AK463" s="1190"/>
      <c r="AL463" s="1190"/>
      <c r="AM463" s="1190"/>
      <c r="AN463" s="1190"/>
      <c r="AO463" s="1190"/>
      <c r="AP463" s="1190"/>
      <c r="AQ463" s="1190"/>
      <c r="AR463" s="1190"/>
      <c r="AS463" s="1190"/>
      <c r="AT463" s="1190"/>
      <c r="AU463" s="1190"/>
      <c r="AV463" s="1190"/>
      <c r="AW463" s="1190"/>
      <c r="AX463" s="1190"/>
      <c r="AY463" s="1190"/>
      <c r="AZ463" s="1190"/>
      <c r="BA463" s="1190"/>
      <c r="BB463" s="1190"/>
      <c r="BC463" s="1190"/>
      <c r="BD463" s="1190"/>
      <c r="BE463" s="1190"/>
      <c r="BF463" s="1190"/>
      <c r="BG463" s="1190"/>
      <c r="BH463" s="1190"/>
      <c r="BI463" s="1190"/>
      <c r="BJ463" s="1190"/>
      <c r="BK463" s="1190"/>
      <c r="BL463" s="1190"/>
      <c r="BM463" s="1190"/>
      <c r="BQ463" s="195"/>
      <c r="BR463" s="195"/>
      <c r="BT463" s="1005"/>
    </row>
    <row r="464" ht="15.75" customHeight="1">
      <c r="A464" s="195"/>
      <c r="B464" s="978"/>
      <c r="C464" s="2321"/>
      <c r="D464" s="1729"/>
      <c r="E464" s="1190"/>
      <c r="F464" s="1190"/>
      <c r="G464" s="1190"/>
      <c r="H464" s="1190"/>
      <c r="I464" s="1190"/>
      <c r="J464" s="1190"/>
      <c r="K464" s="1190"/>
      <c r="L464" s="1190"/>
      <c r="M464" s="1190"/>
      <c r="N464" s="1190"/>
      <c r="O464" s="1190"/>
      <c r="P464" s="1190"/>
      <c r="Q464" s="1190"/>
      <c r="R464" s="1190"/>
      <c r="S464" s="1189"/>
      <c r="T464" s="1190"/>
      <c r="U464" s="1190"/>
      <c r="V464" s="1190"/>
      <c r="W464" s="1190"/>
      <c r="X464" s="1190"/>
      <c r="Y464" s="1190"/>
      <c r="Z464" s="1190"/>
      <c r="AA464" s="1190"/>
      <c r="AB464" s="1190"/>
      <c r="AC464" s="1190"/>
      <c r="AD464" s="1190"/>
      <c r="AE464" s="1190"/>
      <c r="AF464" s="1190"/>
      <c r="AG464" s="1748"/>
      <c r="AH464" s="1190"/>
      <c r="AI464" s="1748"/>
      <c r="AJ464" s="1190"/>
      <c r="AK464" s="1190"/>
      <c r="AL464" s="1190"/>
      <c r="AM464" s="1190"/>
      <c r="AN464" s="1190"/>
      <c r="AO464" s="1190"/>
      <c r="AP464" s="1190"/>
      <c r="AQ464" s="1190"/>
      <c r="AR464" s="1190"/>
      <c r="AS464" s="1190"/>
      <c r="AT464" s="1190"/>
      <c r="AU464" s="1190"/>
      <c r="AV464" s="1190"/>
      <c r="AW464" s="1190"/>
      <c r="AX464" s="1190"/>
      <c r="AY464" s="1190"/>
      <c r="AZ464" s="1190"/>
      <c r="BA464" s="1190"/>
      <c r="BB464" s="1190"/>
      <c r="BC464" s="1190"/>
      <c r="BD464" s="1190"/>
      <c r="BE464" s="1190"/>
      <c r="BF464" s="1190"/>
      <c r="BG464" s="1190"/>
      <c r="BH464" s="1190"/>
      <c r="BI464" s="1190"/>
      <c r="BJ464" s="1190"/>
      <c r="BK464" s="1190"/>
      <c r="BL464" s="1190"/>
      <c r="BM464" s="1190"/>
      <c r="BQ464" s="195"/>
      <c r="BR464" s="195"/>
      <c r="BT464" s="1005"/>
    </row>
    <row r="465" ht="15.75" customHeight="1">
      <c r="A465" s="195"/>
      <c r="B465" s="978"/>
      <c r="C465" s="2321"/>
      <c r="D465" s="1729"/>
      <c r="E465" s="1190"/>
      <c r="F465" s="1190"/>
      <c r="G465" s="1190"/>
      <c r="H465" s="1190"/>
      <c r="I465" s="1190"/>
      <c r="J465" s="1190"/>
      <c r="K465" s="1190"/>
      <c r="L465" s="1190"/>
      <c r="M465" s="1190"/>
      <c r="N465" s="1190"/>
      <c r="O465" s="1190"/>
      <c r="P465" s="1190"/>
      <c r="Q465" s="1190"/>
      <c r="R465" s="1190"/>
      <c r="S465" s="1189"/>
      <c r="T465" s="1190"/>
      <c r="U465" s="1190"/>
      <c r="V465" s="1190"/>
      <c r="W465" s="1190"/>
      <c r="X465" s="1190"/>
      <c r="Y465" s="1190"/>
      <c r="Z465" s="1190"/>
      <c r="AA465" s="1190"/>
      <c r="AB465" s="1190"/>
      <c r="AC465" s="1190"/>
      <c r="AD465" s="1190"/>
      <c r="AE465" s="1190"/>
      <c r="AF465" s="1190"/>
      <c r="AG465" s="1748"/>
      <c r="AH465" s="1190"/>
      <c r="AI465" s="1748"/>
      <c r="AJ465" s="1190"/>
      <c r="AK465" s="1190"/>
      <c r="AL465" s="1190"/>
      <c r="AM465" s="1190"/>
      <c r="AN465" s="1190"/>
      <c r="AO465" s="1190"/>
      <c r="AP465" s="1190"/>
      <c r="AQ465" s="1190"/>
      <c r="AR465" s="1190"/>
      <c r="AS465" s="1190"/>
      <c r="AT465" s="1190"/>
      <c r="AU465" s="1190"/>
      <c r="AV465" s="1190"/>
      <c r="AW465" s="1190"/>
      <c r="AX465" s="1190"/>
      <c r="AY465" s="1190"/>
      <c r="AZ465" s="1190"/>
      <c r="BA465" s="1190"/>
      <c r="BB465" s="1190"/>
      <c r="BC465" s="1190"/>
      <c r="BD465" s="1190"/>
      <c r="BE465" s="1190"/>
      <c r="BF465" s="1190"/>
      <c r="BG465" s="1190"/>
      <c r="BH465" s="1190"/>
      <c r="BI465" s="1190"/>
      <c r="BJ465" s="1190"/>
      <c r="BK465" s="1190"/>
      <c r="BL465" s="1190"/>
      <c r="BM465" s="1190"/>
      <c r="BQ465" s="195"/>
      <c r="BR465" s="195"/>
      <c r="BT465" s="1005"/>
    </row>
    <row r="466" ht="15.75" customHeight="1">
      <c r="A466" s="195"/>
      <c r="B466" s="978"/>
      <c r="C466" s="2321"/>
      <c r="D466" s="1729"/>
      <c r="E466" s="1190"/>
      <c r="F466" s="1190"/>
      <c r="G466" s="1190"/>
      <c r="H466" s="1190"/>
      <c r="I466" s="1190"/>
      <c r="J466" s="1190"/>
      <c r="K466" s="1190"/>
      <c r="L466" s="1190"/>
      <c r="M466" s="1190"/>
      <c r="N466" s="1190"/>
      <c r="O466" s="1190"/>
      <c r="P466" s="1190"/>
      <c r="Q466" s="1190"/>
      <c r="R466" s="1190"/>
      <c r="S466" s="1189"/>
      <c r="T466" s="1190"/>
      <c r="U466" s="1190"/>
      <c r="V466" s="1190"/>
      <c r="W466" s="1190"/>
      <c r="X466" s="1190"/>
      <c r="Y466" s="1190"/>
      <c r="Z466" s="1190"/>
      <c r="AA466" s="1190"/>
      <c r="AB466" s="1190"/>
      <c r="AC466" s="1190"/>
      <c r="AD466" s="1190"/>
      <c r="AE466" s="1190"/>
      <c r="AF466" s="1190"/>
      <c r="AG466" s="1748"/>
      <c r="AH466" s="1190"/>
      <c r="AI466" s="1748"/>
      <c r="AJ466" s="1190"/>
      <c r="AK466" s="1190"/>
      <c r="AL466" s="1190"/>
      <c r="AM466" s="1190"/>
      <c r="AN466" s="1190"/>
      <c r="AO466" s="1190"/>
      <c r="AP466" s="1190"/>
      <c r="AQ466" s="1190"/>
      <c r="AR466" s="1190"/>
      <c r="AS466" s="1190"/>
      <c r="AT466" s="1190"/>
      <c r="AU466" s="1190"/>
      <c r="AV466" s="1190"/>
      <c r="AW466" s="1190"/>
      <c r="AX466" s="1190"/>
      <c r="AY466" s="1190"/>
      <c r="AZ466" s="1190"/>
      <c r="BA466" s="1190"/>
      <c r="BB466" s="1190"/>
      <c r="BC466" s="1190"/>
      <c r="BD466" s="1190"/>
      <c r="BE466" s="1190"/>
      <c r="BF466" s="1190"/>
      <c r="BG466" s="1190"/>
      <c r="BH466" s="1190"/>
      <c r="BI466" s="1190"/>
      <c r="BJ466" s="1190"/>
      <c r="BK466" s="1190"/>
      <c r="BL466" s="1190"/>
      <c r="BM466" s="1190"/>
      <c r="BQ466" s="195"/>
      <c r="BR466" s="195"/>
      <c r="BT466" s="1005"/>
    </row>
    <row r="467" ht="15.75" customHeight="1">
      <c r="A467" s="195"/>
      <c r="B467" s="978"/>
      <c r="C467" s="2321"/>
      <c r="D467" s="1729"/>
      <c r="E467" s="1190"/>
      <c r="F467" s="1190"/>
      <c r="G467" s="1190"/>
      <c r="H467" s="1190"/>
      <c r="I467" s="1190"/>
      <c r="J467" s="1190"/>
      <c r="K467" s="1190"/>
      <c r="L467" s="1190"/>
      <c r="M467" s="1190"/>
      <c r="N467" s="1190"/>
      <c r="O467" s="1190"/>
      <c r="P467" s="1190"/>
      <c r="Q467" s="1190"/>
      <c r="R467" s="1190"/>
      <c r="S467" s="1189"/>
      <c r="T467" s="1190"/>
      <c r="U467" s="1190"/>
      <c r="V467" s="1190"/>
      <c r="W467" s="1190"/>
      <c r="X467" s="1190"/>
      <c r="Y467" s="1190"/>
      <c r="Z467" s="1190"/>
      <c r="AA467" s="1190"/>
      <c r="AB467" s="1190"/>
      <c r="AC467" s="1190"/>
      <c r="AD467" s="1190"/>
      <c r="AE467" s="1190"/>
      <c r="AF467" s="1190"/>
      <c r="AG467" s="1748"/>
      <c r="AH467" s="1190"/>
      <c r="AI467" s="1748"/>
      <c r="AJ467" s="1190"/>
      <c r="AK467" s="1190"/>
      <c r="AL467" s="1190"/>
      <c r="AM467" s="1190"/>
      <c r="AN467" s="1190"/>
      <c r="AO467" s="1190"/>
      <c r="AP467" s="1190"/>
      <c r="AQ467" s="1190"/>
      <c r="AR467" s="1190"/>
      <c r="AS467" s="1190"/>
      <c r="AT467" s="1190"/>
      <c r="AU467" s="1190"/>
      <c r="AV467" s="1190"/>
      <c r="AW467" s="1190"/>
      <c r="AX467" s="1190"/>
      <c r="AY467" s="1190"/>
      <c r="AZ467" s="1190"/>
      <c r="BA467" s="1190"/>
      <c r="BB467" s="1190"/>
      <c r="BC467" s="1190"/>
      <c r="BD467" s="1190"/>
      <c r="BE467" s="1190"/>
      <c r="BF467" s="1190"/>
      <c r="BG467" s="1190"/>
      <c r="BH467" s="1190"/>
      <c r="BI467" s="1190"/>
      <c r="BJ467" s="1190"/>
      <c r="BK467" s="1190"/>
      <c r="BL467" s="1190"/>
      <c r="BM467" s="1190"/>
      <c r="BQ467" s="195"/>
      <c r="BR467" s="195"/>
      <c r="BT467" s="1005"/>
    </row>
    <row r="468" ht="15.75" customHeight="1">
      <c r="A468" s="195"/>
      <c r="B468" s="978"/>
      <c r="C468" s="2321"/>
      <c r="D468" s="1729"/>
      <c r="E468" s="1190"/>
      <c r="F468" s="1190"/>
      <c r="G468" s="1190"/>
      <c r="H468" s="1190"/>
      <c r="I468" s="1190"/>
      <c r="J468" s="1190"/>
      <c r="K468" s="1190"/>
      <c r="L468" s="1190"/>
      <c r="M468" s="1190"/>
      <c r="N468" s="1190"/>
      <c r="O468" s="1190"/>
      <c r="P468" s="1190"/>
      <c r="Q468" s="1190"/>
      <c r="R468" s="1190"/>
      <c r="S468" s="1189"/>
      <c r="T468" s="1190"/>
      <c r="U468" s="1190"/>
      <c r="V468" s="1190"/>
      <c r="W468" s="1190"/>
      <c r="X468" s="1190"/>
      <c r="Y468" s="1190"/>
      <c r="Z468" s="1190"/>
      <c r="AA468" s="1190"/>
      <c r="AB468" s="1190"/>
      <c r="AC468" s="1190"/>
      <c r="AD468" s="1190"/>
      <c r="AE468" s="1190"/>
      <c r="AF468" s="1190"/>
      <c r="AG468" s="1748"/>
      <c r="AH468" s="1190"/>
      <c r="AI468" s="1748"/>
      <c r="AJ468" s="1190"/>
      <c r="AK468" s="1190"/>
      <c r="AL468" s="1190"/>
      <c r="AM468" s="1190"/>
      <c r="AN468" s="1190"/>
      <c r="AO468" s="1190"/>
      <c r="AP468" s="1190"/>
      <c r="AQ468" s="1190"/>
      <c r="AR468" s="1190"/>
      <c r="AS468" s="1190"/>
      <c r="AT468" s="1190"/>
      <c r="AU468" s="1190"/>
      <c r="AV468" s="1190"/>
      <c r="AW468" s="1190"/>
      <c r="AX468" s="1190"/>
      <c r="AY468" s="1190"/>
      <c r="AZ468" s="1190"/>
      <c r="BA468" s="1190"/>
      <c r="BB468" s="1190"/>
      <c r="BC468" s="1190"/>
      <c r="BD468" s="1190"/>
      <c r="BE468" s="1190"/>
      <c r="BF468" s="1190"/>
      <c r="BG468" s="1190"/>
      <c r="BH468" s="1190"/>
      <c r="BI468" s="1190"/>
      <c r="BJ468" s="1190"/>
      <c r="BK468" s="1190"/>
      <c r="BL468" s="1190"/>
      <c r="BM468" s="1190"/>
      <c r="BQ468" s="195"/>
      <c r="BR468" s="195"/>
      <c r="BT468" s="1005"/>
    </row>
    <row r="469" ht="15.75" customHeight="1">
      <c r="A469" s="195"/>
      <c r="B469" s="978"/>
      <c r="C469" s="2321"/>
      <c r="D469" s="1729"/>
      <c r="E469" s="1190"/>
      <c r="F469" s="1190"/>
      <c r="G469" s="1190"/>
      <c r="H469" s="1190"/>
      <c r="I469" s="1190"/>
      <c r="J469" s="1190"/>
      <c r="K469" s="1190"/>
      <c r="L469" s="1190"/>
      <c r="M469" s="1190"/>
      <c r="N469" s="1190"/>
      <c r="O469" s="1190"/>
      <c r="P469" s="1190"/>
      <c r="Q469" s="1190"/>
      <c r="R469" s="1190"/>
      <c r="S469" s="1189"/>
      <c r="T469" s="1190"/>
      <c r="U469" s="1190"/>
      <c r="V469" s="1190"/>
      <c r="W469" s="1190"/>
      <c r="X469" s="1190"/>
      <c r="Y469" s="1190"/>
      <c r="Z469" s="1190"/>
      <c r="AA469" s="1190"/>
      <c r="AB469" s="1190"/>
      <c r="AC469" s="1190"/>
      <c r="AD469" s="1190"/>
      <c r="AE469" s="1190"/>
      <c r="AF469" s="1190"/>
      <c r="AG469" s="1748"/>
      <c r="AH469" s="1190"/>
      <c r="AI469" s="1748"/>
      <c r="AJ469" s="1190"/>
      <c r="AK469" s="1190"/>
      <c r="AL469" s="1190"/>
      <c r="AM469" s="1190"/>
      <c r="AN469" s="1190"/>
      <c r="AO469" s="1190"/>
      <c r="AP469" s="1190"/>
      <c r="AQ469" s="1190"/>
      <c r="AR469" s="1190"/>
      <c r="AS469" s="1190"/>
      <c r="AT469" s="1190"/>
      <c r="AU469" s="1190"/>
      <c r="AV469" s="1190"/>
      <c r="AW469" s="1190"/>
      <c r="AX469" s="1190"/>
      <c r="AY469" s="1190"/>
      <c r="AZ469" s="1190"/>
      <c r="BA469" s="1190"/>
      <c r="BB469" s="1190"/>
      <c r="BC469" s="1190"/>
      <c r="BD469" s="1190"/>
      <c r="BE469" s="1190"/>
      <c r="BF469" s="1190"/>
      <c r="BG469" s="1190"/>
      <c r="BH469" s="1190"/>
      <c r="BI469" s="1190"/>
      <c r="BJ469" s="1190"/>
      <c r="BK469" s="1190"/>
      <c r="BL469" s="1190"/>
      <c r="BM469" s="1190"/>
      <c r="BQ469" s="195"/>
      <c r="BR469" s="195"/>
      <c r="BT469" s="1005"/>
    </row>
    <row r="470" ht="15.75" customHeight="1">
      <c r="A470" s="195"/>
      <c r="B470" s="978"/>
      <c r="C470" s="2321"/>
      <c r="D470" s="1729"/>
      <c r="E470" s="1190"/>
      <c r="F470" s="1190"/>
      <c r="G470" s="1190"/>
      <c r="H470" s="1190"/>
      <c r="I470" s="1190"/>
      <c r="J470" s="1190"/>
      <c r="K470" s="1190"/>
      <c r="L470" s="1190"/>
      <c r="M470" s="1190"/>
      <c r="N470" s="1190"/>
      <c r="O470" s="1190"/>
      <c r="P470" s="1190"/>
      <c r="Q470" s="1190"/>
      <c r="R470" s="1190"/>
      <c r="S470" s="1189"/>
      <c r="T470" s="1190"/>
      <c r="U470" s="1190"/>
      <c r="V470" s="1190"/>
      <c r="W470" s="1190"/>
      <c r="X470" s="1190"/>
      <c r="Y470" s="1190"/>
      <c r="Z470" s="1190"/>
      <c r="AA470" s="1190"/>
      <c r="AB470" s="1190"/>
      <c r="AC470" s="1190"/>
      <c r="AD470" s="1190"/>
      <c r="AE470" s="1190"/>
      <c r="AF470" s="1190"/>
      <c r="AG470" s="1748"/>
      <c r="AH470" s="1190"/>
      <c r="AI470" s="1748"/>
      <c r="AJ470" s="1190"/>
      <c r="AK470" s="1190"/>
      <c r="AL470" s="1190"/>
      <c r="AM470" s="1190"/>
      <c r="AN470" s="1190"/>
      <c r="AO470" s="1190"/>
      <c r="AP470" s="1190"/>
      <c r="AQ470" s="1190"/>
      <c r="AR470" s="1190"/>
      <c r="AS470" s="1190"/>
      <c r="AT470" s="1190"/>
      <c r="AU470" s="1190"/>
      <c r="AV470" s="1190"/>
      <c r="AW470" s="1190"/>
      <c r="AX470" s="1190"/>
      <c r="AY470" s="1190"/>
      <c r="AZ470" s="1190"/>
      <c r="BA470" s="1190"/>
      <c r="BB470" s="1190"/>
      <c r="BC470" s="1190"/>
      <c r="BD470" s="1190"/>
      <c r="BE470" s="1190"/>
      <c r="BF470" s="1190"/>
      <c r="BG470" s="1190"/>
      <c r="BH470" s="1190"/>
      <c r="BI470" s="1190"/>
      <c r="BJ470" s="1190"/>
      <c r="BK470" s="1190"/>
      <c r="BL470" s="1190"/>
      <c r="BM470" s="1190"/>
      <c r="BQ470" s="195"/>
      <c r="BR470" s="195"/>
      <c r="BT470" s="1005"/>
    </row>
    <row r="471" ht="15.75" customHeight="1">
      <c r="A471" s="195"/>
      <c r="B471" s="978"/>
      <c r="C471" s="2321"/>
      <c r="D471" s="1729"/>
      <c r="E471" s="1190"/>
      <c r="F471" s="1190"/>
      <c r="G471" s="1190"/>
      <c r="H471" s="1190"/>
      <c r="I471" s="1190"/>
      <c r="J471" s="1190"/>
      <c r="K471" s="1190"/>
      <c r="L471" s="1190"/>
      <c r="M471" s="1190"/>
      <c r="N471" s="1190"/>
      <c r="O471" s="1190"/>
      <c r="P471" s="1190"/>
      <c r="Q471" s="1190"/>
      <c r="R471" s="1190"/>
      <c r="S471" s="1189"/>
      <c r="T471" s="1190"/>
      <c r="U471" s="1190"/>
      <c r="V471" s="1190"/>
      <c r="W471" s="1190"/>
      <c r="X471" s="1190"/>
      <c r="Y471" s="1190"/>
      <c r="Z471" s="1190"/>
      <c r="AA471" s="1190"/>
      <c r="AB471" s="1190"/>
      <c r="AC471" s="1190"/>
      <c r="AD471" s="1190"/>
      <c r="AE471" s="1190"/>
      <c r="AF471" s="1190"/>
      <c r="AG471" s="1748"/>
      <c r="AH471" s="1190"/>
      <c r="AI471" s="1748"/>
      <c r="AJ471" s="1190"/>
      <c r="AK471" s="1190"/>
      <c r="AL471" s="1190"/>
      <c r="AM471" s="1190"/>
      <c r="AN471" s="1190"/>
      <c r="AO471" s="1190"/>
      <c r="AP471" s="1190"/>
      <c r="AQ471" s="1190"/>
      <c r="AR471" s="1190"/>
      <c r="AS471" s="1190"/>
      <c r="AT471" s="1190"/>
      <c r="AU471" s="1190"/>
      <c r="AV471" s="1190"/>
      <c r="AW471" s="1190"/>
      <c r="AX471" s="1190"/>
      <c r="AY471" s="1190"/>
      <c r="AZ471" s="1190"/>
      <c r="BA471" s="1190"/>
      <c r="BB471" s="1190"/>
      <c r="BC471" s="1190"/>
      <c r="BD471" s="1190"/>
      <c r="BE471" s="1190"/>
      <c r="BF471" s="1190"/>
      <c r="BG471" s="1190"/>
      <c r="BH471" s="1190"/>
      <c r="BI471" s="1190"/>
      <c r="BJ471" s="1190"/>
      <c r="BK471" s="1190"/>
      <c r="BL471" s="1190"/>
      <c r="BM471" s="1190"/>
      <c r="BQ471" s="195"/>
      <c r="BR471" s="195"/>
      <c r="BT471" s="1005"/>
    </row>
    <row r="472" ht="15.75" customHeight="1">
      <c r="A472" s="195"/>
      <c r="B472" s="978"/>
      <c r="C472" s="2321"/>
      <c r="D472" s="1729"/>
      <c r="E472" s="1190"/>
      <c r="F472" s="1190"/>
      <c r="G472" s="1190"/>
      <c r="H472" s="1190"/>
      <c r="I472" s="1190"/>
      <c r="J472" s="1190"/>
      <c r="K472" s="1190"/>
      <c r="L472" s="1190"/>
      <c r="M472" s="1190"/>
      <c r="N472" s="1190"/>
      <c r="O472" s="1190"/>
      <c r="P472" s="1190"/>
      <c r="Q472" s="1190"/>
      <c r="R472" s="1190"/>
      <c r="S472" s="1189"/>
      <c r="T472" s="1190"/>
      <c r="U472" s="1190"/>
      <c r="V472" s="1190"/>
      <c r="W472" s="1190"/>
      <c r="X472" s="1190"/>
      <c r="Y472" s="1190"/>
      <c r="Z472" s="1190"/>
      <c r="AA472" s="1190"/>
      <c r="AB472" s="1190"/>
      <c r="AC472" s="1190"/>
      <c r="AD472" s="1190"/>
      <c r="AE472" s="1190"/>
      <c r="AF472" s="1190"/>
      <c r="AG472" s="1748"/>
      <c r="AH472" s="1190"/>
      <c r="AI472" s="1748"/>
      <c r="AJ472" s="1190"/>
      <c r="AK472" s="1190"/>
      <c r="AL472" s="1190"/>
      <c r="AM472" s="1190"/>
      <c r="AN472" s="1190"/>
      <c r="AO472" s="1190"/>
      <c r="AP472" s="1190"/>
      <c r="AQ472" s="1190"/>
      <c r="AR472" s="1190"/>
      <c r="AS472" s="1190"/>
      <c r="AT472" s="1190"/>
      <c r="AU472" s="1190"/>
      <c r="AV472" s="1190"/>
      <c r="AW472" s="1190"/>
      <c r="AX472" s="1190"/>
      <c r="AY472" s="1190"/>
      <c r="AZ472" s="1190"/>
      <c r="BA472" s="1190"/>
      <c r="BB472" s="1190"/>
      <c r="BC472" s="1190"/>
      <c r="BD472" s="1190"/>
      <c r="BE472" s="1190"/>
      <c r="BF472" s="1190"/>
      <c r="BG472" s="1190"/>
      <c r="BH472" s="1190"/>
      <c r="BI472" s="1190"/>
      <c r="BJ472" s="1190"/>
      <c r="BK472" s="1190"/>
      <c r="BL472" s="1190"/>
      <c r="BM472" s="1190"/>
      <c r="BQ472" s="195"/>
      <c r="BR472" s="195"/>
      <c r="BT472" s="1005"/>
    </row>
    <row r="473" ht="15.75" customHeight="1">
      <c r="A473" s="195"/>
      <c r="B473" s="978"/>
      <c r="C473" s="2321"/>
      <c r="D473" s="1729"/>
      <c r="E473" s="1190"/>
      <c r="F473" s="1190"/>
      <c r="G473" s="1190"/>
      <c r="H473" s="1190"/>
      <c r="I473" s="1190"/>
      <c r="J473" s="1190"/>
      <c r="K473" s="1190"/>
      <c r="L473" s="1190"/>
      <c r="M473" s="1190"/>
      <c r="N473" s="1190"/>
      <c r="O473" s="1190"/>
      <c r="P473" s="1190"/>
      <c r="Q473" s="1190"/>
      <c r="R473" s="1190"/>
      <c r="S473" s="1189"/>
      <c r="T473" s="1190"/>
      <c r="U473" s="1190"/>
      <c r="V473" s="1190"/>
      <c r="W473" s="1190"/>
      <c r="X473" s="1190"/>
      <c r="Y473" s="1190"/>
      <c r="Z473" s="1190"/>
      <c r="AA473" s="1190"/>
      <c r="AB473" s="1190"/>
      <c r="AC473" s="1190"/>
      <c r="AD473" s="1190"/>
      <c r="AE473" s="1190"/>
      <c r="AF473" s="1190"/>
      <c r="AG473" s="1748"/>
      <c r="AH473" s="1190"/>
      <c r="AI473" s="1748"/>
      <c r="AJ473" s="1190"/>
      <c r="AK473" s="1190"/>
      <c r="AL473" s="1190"/>
      <c r="AM473" s="1190"/>
      <c r="AN473" s="1190"/>
      <c r="AO473" s="1190"/>
      <c r="AP473" s="1190"/>
      <c r="AQ473" s="1190"/>
      <c r="AR473" s="1190"/>
      <c r="AS473" s="1190"/>
      <c r="AT473" s="1190"/>
      <c r="AU473" s="1190"/>
      <c r="AV473" s="1190"/>
      <c r="AW473" s="1190"/>
      <c r="AX473" s="1190"/>
      <c r="AY473" s="1190"/>
      <c r="AZ473" s="1190"/>
      <c r="BA473" s="1190"/>
      <c r="BB473" s="1190"/>
      <c r="BC473" s="1190"/>
      <c r="BD473" s="1190"/>
      <c r="BE473" s="1190"/>
      <c r="BF473" s="1190"/>
      <c r="BG473" s="1190"/>
      <c r="BH473" s="1190"/>
      <c r="BI473" s="1190"/>
      <c r="BJ473" s="1190"/>
      <c r="BK473" s="1190"/>
      <c r="BL473" s="1190"/>
      <c r="BM473" s="1190"/>
      <c r="BQ473" s="195"/>
      <c r="BR473" s="195"/>
      <c r="BT473" s="1005"/>
    </row>
    <row r="474" ht="15.75" customHeight="1">
      <c r="A474" s="195"/>
      <c r="B474" s="978"/>
      <c r="C474" s="2321"/>
      <c r="D474" s="1729"/>
      <c r="E474" s="1190"/>
      <c r="F474" s="1190"/>
      <c r="G474" s="1190"/>
      <c r="H474" s="1190"/>
      <c r="I474" s="1190"/>
      <c r="J474" s="1190"/>
      <c r="K474" s="1190"/>
      <c r="L474" s="1190"/>
      <c r="M474" s="1190"/>
      <c r="N474" s="1190"/>
      <c r="O474" s="1190"/>
      <c r="P474" s="1190"/>
      <c r="Q474" s="1190"/>
      <c r="R474" s="1190"/>
      <c r="S474" s="1189"/>
      <c r="T474" s="1190"/>
      <c r="U474" s="1190"/>
      <c r="V474" s="1190"/>
      <c r="W474" s="1190"/>
      <c r="X474" s="1190"/>
      <c r="Y474" s="1190"/>
      <c r="Z474" s="1190"/>
      <c r="AA474" s="1190"/>
      <c r="AB474" s="1190"/>
      <c r="AC474" s="1190"/>
      <c r="AD474" s="1190"/>
      <c r="AE474" s="1190"/>
      <c r="AF474" s="1190"/>
      <c r="AG474" s="1748"/>
      <c r="AH474" s="1190"/>
      <c r="AI474" s="1748"/>
      <c r="AJ474" s="1190"/>
      <c r="AK474" s="1190"/>
      <c r="AL474" s="1190"/>
      <c r="AM474" s="1190"/>
      <c r="AN474" s="1190"/>
      <c r="AO474" s="1190"/>
      <c r="AP474" s="1190"/>
      <c r="AQ474" s="1190"/>
      <c r="AR474" s="1190"/>
      <c r="AS474" s="1190"/>
      <c r="AT474" s="1190"/>
      <c r="AU474" s="1190"/>
      <c r="AV474" s="1190"/>
      <c r="AW474" s="1190"/>
      <c r="AX474" s="1190"/>
      <c r="AY474" s="1190"/>
      <c r="AZ474" s="1190"/>
      <c r="BA474" s="1190"/>
      <c r="BB474" s="1190"/>
      <c r="BC474" s="1190"/>
      <c r="BD474" s="1190"/>
      <c r="BE474" s="1190"/>
      <c r="BF474" s="1190"/>
      <c r="BG474" s="1190"/>
      <c r="BH474" s="1190"/>
      <c r="BI474" s="1190"/>
      <c r="BJ474" s="1190"/>
      <c r="BK474" s="1190"/>
      <c r="BL474" s="1190"/>
      <c r="BM474" s="1190"/>
      <c r="BQ474" s="195"/>
      <c r="BR474" s="195"/>
      <c r="BT474" s="1005"/>
    </row>
    <row r="475" ht="15.75" customHeight="1">
      <c r="A475" s="195"/>
      <c r="B475" s="978"/>
      <c r="C475" s="2321"/>
      <c r="D475" s="1729"/>
      <c r="E475" s="1190"/>
      <c r="F475" s="1190"/>
      <c r="G475" s="1190"/>
      <c r="H475" s="1190"/>
      <c r="I475" s="1190"/>
      <c r="J475" s="1190"/>
      <c r="K475" s="1190"/>
      <c r="L475" s="1190"/>
      <c r="M475" s="1190"/>
      <c r="N475" s="1190"/>
      <c r="O475" s="1190"/>
      <c r="P475" s="1190"/>
      <c r="Q475" s="1190"/>
      <c r="R475" s="1190"/>
      <c r="S475" s="1189"/>
      <c r="T475" s="1190"/>
      <c r="U475" s="1190"/>
      <c r="V475" s="1190"/>
      <c r="W475" s="1190"/>
      <c r="X475" s="1190"/>
      <c r="Y475" s="1190"/>
      <c r="Z475" s="1190"/>
      <c r="AA475" s="1190"/>
      <c r="AB475" s="1190"/>
      <c r="AC475" s="1190"/>
      <c r="AD475" s="1190"/>
      <c r="AE475" s="1190"/>
      <c r="AF475" s="1190"/>
      <c r="AG475" s="1748"/>
      <c r="AH475" s="1190"/>
      <c r="AI475" s="1748"/>
      <c r="AJ475" s="1190"/>
      <c r="AK475" s="1190"/>
      <c r="AL475" s="1190"/>
      <c r="AM475" s="1190"/>
      <c r="AN475" s="1190"/>
      <c r="AO475" s="1190"/>
      <c r="AP475" s="1190"/>
      <c r="AQ475" s="1190"/>
      <c r="AR475" s="1190"/>
      <c r="AS475" s="1190"/>
      <c r="AT475" s="1190"/>
      <c r="AU475" s="1190"/>
      <c r="AV475" s="1190"/>
      <c r="AW475" s="1190"/>
      <c r="AX475" s="1190"/>
      <c r="AY475" s="1190"/>
      <c r="AZ475" s="1190"/>
      <c r="BA475" s="1190"/>
      <c r="BB475" s="1190"/>
      <c r="BC475" s="1190"/>
      <c r="BD475" s="1190"/>
      <c r="BE475" s="1190"/>
      <c r="BF475" s="1190"/>
      <c r="BG475" s="1190"/>
      <c r="BH475" s="1190"/>
      <c r="BI475" s="1190"/>
      <c r="BJ475" s="1190"/>
      <c r="BK475" s="1190"/>
      <c r="BL475" s="1190"/>
      <c r="BM475" s="1190"/>
      <c r="BQ475" s="195"/>
      <c r="BR475" s="195"/>
      <c r="BT475" s="1005"/>
    </row>
    <row r="476" ht="15.75" customHeight="1">
      <c r="A476" s="195"/>
      <c r="B476" s="978"/>
      <c r="C476" s="2321"/>
      <c r="D476" s="1729"/>
      <c r="E476" s="1190"/>
      <c r="F476" s="1190"/>
      <c r="G476" s="1190"/>
      <c r="H476" s="1190"/>
      <c r="I476" s="1190"/>
      <c r="J476" s="1190"/>
      <c r="K476" s="1190"/>
      <c r="L476" s="1190"/>
      <c r="M476" s="1190"/>
      <c r="N476" s="1190"/>
      <c r="O476" s="1190"/>
      <c r="P476" s="1190"/>
      <c r="Q476" s="1190"/>
      <c r="R476" s="1190"/>
      <c r="S476" s="1189"/>
      <c r="T476" s="1190"/>
      <c r="U476" s="1190"/>
      <c r="V476" s="1190"/>
      <c r="W476" s="1190"/>
      <c r="X476" s="1190"/>
      <c r="Y476" s="1190"/>
      <c r="Z476" s="1190"/>
      <c r="AA476" s="1190"/>
      <c r="AB476" s="1190"/>
      <c r="AC476" s="1190"/>
      <c r="AD476" s="1190"/>
      <c r="AE476" s="1190"/>
      <c r="AF476" s="1190"/>
      <c r="AG476" s="1748"/>
      <c r="AH476" s="1190"/>
      <c r="AI476" s="1748"/>
      <c r="AJ476" s="1190"/>
      <c r="AK476" s="1190"/>
      <c r="AL476" s="1190"/>
      <c r="AM476" s="1190"/>
      <c r="AN476" s="1190"/>
      <c r="AO476" s="1190"/>
      <c r="AP476" s="1190"/>
      <c r="AQ476" s="1190"/>
      <c r="AR476" s="1190"/>
      <c r="AS476" s="1190"/>
      <c r="AT476" s="1190"/>
      <c r="AU476" s="1190"/>
      <c r="AV476" s="1190"/>
      <c r="AW476" s="1190"/>
      <c r="AX476" s="1190"/>
      <c r="AY476" s="1190"/>
      <c r="AZ476" s="1190"/>
      <c r="BA476" s="1190"/>
      <c r="BB476" s="1190"/>
      <c r="BC476" s="1190"/>
      <c r="BD476" s="1190"/>
      <c r="BE476" s="1190"/>
      <c r="BF476" s="1190"/>
      <c r="BG476" s="1190"/>
      <c r="BH476" s="1190"/>
      <c r="BI476" s="1190"/>
      <c r="BJ476" s="1190"/>
      <c r="BK476" s="1190"/>
      <c r="BL476" s="1190"/>
      <c r="BM476" s="1190"/>
      <c r="BQ476" s="195"/>
      <c r="BR476" s="195"/>
      <c r="BT476" s="1005"/>
    </row>
    <row r="477" ht="15.75" customHeight="1">
      <c r="A477" s="195"/>
      <c r="B477" s="978"/>
      <c r="C477" s="2321"/>
      <c r="D477" s="1729"/>
      <c r="E477" s="1190"/>
      <c r="F477" s="1190"/>
      <c r="G477" s="1190"/>
      <c r="H477" s="1190"/>
      <c r="I477" s="1190"/>
      <c r="J477" s="1190"/>
      <c r="K477" s="1190"/>
      <c r="L477" s="1190"/>
      <c r="M477" s="1190"/>
      <c r="N477" s="1190"/>
      <c r="O477" s="1190"/>
      <c r="P477" s="1190"/>
      <c r="Q477" s="1190"/>
      <c r="R477" s="1190"/>
      <c r="S477" s="1189"/>
      <c r="T477" s="1190"/>
      <c r="U477" s="1190"/>
      <c r="V477" s="1190"/>
      <c r="W477" s="1190"/>
      <c r="X477" s="1190"/>
      <c r="Y477" s="1190"/>
      <c r="Z477" s="1190"/>
      <c r="AA477" s="1190"/>
      <c r="AB477" s="1190"/>
      <c r="AC477" s="1190"/>
      <c r="AD477" s="1190"/>
      <c r="AE477" s="1190"/>
      <c r="AF477" s="1190"/>
      <c r="AG477" s="1748"/>
      <c r="AH477" s="1190"/>
      <c r="AI477" s="1748"/>
      <c r="AJ477" s="1190"/>
      <c r="AK477" s="1190"/>
      <c r="AL477" s="1190"/>
      <c r="AM477" s="1190"/>
      <c r="AN477" s="1190"/>
      <c r="AO477" s="1190"/>
      <c r="AP477" s="1190"/>
      <c r="AQ477" s="1190"/>
      <c r="AR477" s="1190"/>
      <c r="AS477" s="1190"/>
      <c r="AT477" s="1190"/>
      <c r="AU477" s="1190"/>
      <c r="AV477" s="1190"/>
      <c r="AW477" s="1190"/>
      <c r="AX477" s="1190"/>
      <c r="AY477" s="1190"/>
      <c r="AZ477" s="1190"/>
      <c r="BA477" s="1190"/>
      <c r="BB477" s="1190"/>
      <c r="BC477" s="1190"/>
      <c r="BD477" s="1190"/>
      <c r="BE477" s="1190"/>
      <c r="BF477" s="1190"/>
      <c r="BG477" s="1190"/>
      <c r="BH477" s="1190"/>
      <c r="BI477" s="1190"/>
      <c r="BJ477" s="1190"/>
      <c r="BK477" s="1190"/>
      <c r="BL477" s="1190"/>
      <c r="BM477" s="1190"/>
      <c r="BQ477" s="195"/>
      <c r="BR477" s="195"/>
      <c r="BT477" s="1005"/>
    </row>
    <row r="478" ht="15.75" customHeight="1">
      <c r="A478" s="195"/>
      <c r="B478" s="978"/>
      <c r="C478" s="2321"/>
      <c r="D478" s="1729"/>
      <c r="E478" s="1190"/>
      <c r="F478" s="1190"/>
      <c r="G478" s="1190"/>
      <c r="H478" s="1190"/>
      <c r="I478" s="1190"/>
      <c r="J478" s="1190"/>
      <c r="K478" s="1190"/>
      <c r="L478" s="1190"/>
      <c r="M478" s="1190"/>
      <c r="N478" s="1190"/>
      <c r="O478" s="1190"/>
      <c r="P478" s="1190"/>
      <c r="Q478" s="1190"/>
      <c r="R478" s="1190"/>
      <c r="S478" s="1189"/>
      <c r="T478" s="1190"/>
      <c r="U478" s="1190"/>
      <c r="V478" s="1190"/>
      <c r="W478" s="1190"/>
      <c r="X478" s="1190"/>
      <c r="Y478" s="1190"/>
      <c r="Z478" s="1190"/>
      <c r="AA478" s="1190"/>
      <c r="AB478" s="1190"/>
      <c r="AC478" s="1190"/>
      <c r="AD478" s="1190"/>
      <c r="AE478" s="1190"/>
      <c r="AF478" s="1190"/>
      <c r="AG478" s="1748"/>
      <c r="AH478" s="1190"/>
      <c r="AI478" s="1748"/>
      <c r="AJ478" s="1190"/>
      <c r="AK478" s="1190"/>
      <c r="AL478" s="1190"/>
      <c r="AM478" s="1190"/>
      <c r="AN478" s="1190"/>
      <c r="AO478" s="1190"/>
      <c r="AP478" s="1190"/>
      <c r="AQ478" s="1190"/>
      <c r="AR478" s="1190"/>
      <c r="AS478" s="1190"/>
      <c r="AT478" s="1190"/>
      <c r="AU478" s="1190"/>
      <c r="AV478" s="1190"/>
      <c r="AW478" s="1190"/>
      <c r="AX478" s="1190"/>
      <c r="AY478" s="1190"/>
      <c r="AZ478" s="1190"/>
      <c r="BA478" s="1190"/>
      <c r="BB478" s="1190"/>
      <c r="BC478" s="1190"/>
      <c r="BD478" s="1190"/>
      <c r="BE478" s="1190"/>
      <c r="BF478" s="1190"/>
      <c r="BG478" s="1190"/>
      <c r="BH478" s="1190"/>
      <c r="BI478" s="1190"/>
      <c r="BJ478" s="1190"/>
      <c r="BK478" s="1190"/>
      <c r="BL478" s="1190"/>
      <c r="BM478" s="1190"/>
      <c r="BQ478" s="195"/>
      <c r="BR478" s="195"/>
      <c r="BT478" s="1005"/>
    </row>
    <row r="479" ht="15.75" customHeight="1">
      <c r="A479" s="195"/>
      <c r="B479" s="978"/>
      <c r="C479" s="2321"/>
      <c r="D479" s="1729"/>
      <c r="E479" s="1190"/>
      <c r="F479" s="1190"/>
      <c r="G479" s="1190"/>
      <c r="H479" s="1190"/>
      <c r="I479" s="1190"/>
      <c r="J479" s="1190"/>
      <c r="K479" s="1190"/>
      <c r="L479" s="1190"/>
      <c r="M479" s="1190"/>
      <c r="N479" s="1190"/>
      <c r="O479" s="1190"/>
      <c r="P479" s="1190"/>
      <c r="Q479" s="1190"/>
      <c r="R479" s="1190"/>
      <c r="S479" s="1189"/>
      <c r="T479" s="1190"/>
      <c r="U479" s="1190"/>
      <c r="V479" s="1190"/>
      <c r="W479" s="1190"/>
      <c r="X479" s="1190"/>
      <c r="Y479" s="1190"/>
      <c r="Z479" s="1190"/>
      <c r="AA479" s="1190"/>
      <c r="AB479" s="1190"/>
      <c r="AC479" s="1190"/>
      <c r="AD479" s="1190"/>
      <c r="AE479" s="1190"/>
      <c r="AF479" s="1190"/>
      <c r="AG479" s="1748"/>
      <c r="AH479" s="1190"/>
      <c r="AI479" s="1748"/>
      <c r="AJ479" s="1190"/>
      <c r="AK479" s="1190"/>
      <c r="AL479" s="1190"/>
      <c r="AM479" s="1190"/>
      <c r="AN479" s="1190"/>
      <c r="AO479" s="1190"/>
      <c r="AP479" s="1190"/>
      <c r="AQ479" s="1190"/>
      <c r="AR479" s="1190"/>
      <c r="AS479" s="1190"/>
      <c r="AT479" s="1190"/>
      <c r="AU479" s="1190"/>
      <c r="AV479" s="1190"/>
      <c r="AW479" s="1190"/>
      <c r="AX479" s="1190"/>
      <c r="AY479" s="1190"/>
      <c r="AZ479" s="1190"/>
      <c r="BA479" s="1190"/>
      <c r="BB479" s="1190"/>
      <c r="BC479" s="1190"/>
      <c r="BD479" s="1190"/>
      <c r="BE479" s="1190"/>
      <c r="BF479" s="1190"/>
      <c r="BG479" s="1190"/>
      <c r="BH479" s="1190"/>
      <c r="BI479" s="1190"/>
      <c r="BJ479" s="1190"/>
      <c r="BK479" s="1190"/>
      <c r="BL479" s="1190"/>
      <c r="BM479" s="1190"/>
      <c r="BQ479" s="195"/>
      <c r="BR479" s="195"/>
      <c r="BT479" s="1005"/>
    </row>
    <row r="480" ht="15.75" customHeight="1">
      <c r="A480" s="195"/>
      <c r="B480" s="978"/>
      <c r="C480" s="2321"/>
      <c r="D480" s="1729"/>
      <c r="E480" s="1190"/>
      <c r="F480" s="1190"/>
      <c r="G480" s="1190"/>
      <c r="H480" s="1190"/>
      <c r="I480" s="1190"/>
      <c r="J480" s="1190"/>
      <c r="K480" s="1190"/>
      <c r="L480" s="1190"/>
      <c r="M480" s="1190"/>
      <c r="N480" s="1190"/>
      <c r="O480" s="1190"/>
      <c r="P480" s="1190"/>
      <c r="Q480" s="1190"/>
      <c r="R480" s="1190"/>
      <c r="S480" s="1189"/>
      <c r="T480" s="1190"/>
      <c r="U480" s="1190"/>
      <c r="V480" s="1190"/>
      <c r="W480" s="1190"/>
      <c r="X480" s="1190"/>
      <c r="Y480" s="1190"/>
      <c r="Z480" s="1190"/>
      <c r="AA480" s="1190"/>
      <c r="AB480" s="1190"/>
      <c r="AC480" s="1190"/>
      <c r="AD480" s="1190"/>
      <c r="AE480" s="1190"/>
      <c r="AF480" s="1190"/>
      <c r="AG480" s="1748"/>
      <c r="AH480" s="1190"/>
      <c r="AI480" s="1748"/>
      <c r="AJ480" s="1190"/>
      <c r="AK480" s="1190"/>
      <c r="AL480" s="1190"/>
      <c r="AM480" s="1190"/>
      <c r="AN480" s="1190"/>
      <c r="AO480" s="1190"/>
      <c r="AP480" s="1190"/>
      <c r="AQ480" s="1190"/>
      <c r="AR480" s="1190"/>
      <c r="AS480" s="1190"/>
      <c r="AT480" s="1190"/>
      <c r="AU480" s="1190"/>
      <c r="AV480" s="1190"/>
      <c r="AW480" s="1190"/>
      <c r="AX480" s="1190"/>
      <c r="AY480" s="1190"/>
      <c r="AZ480" s="1190"/>
      <c r="BA480" s="1190"/>
      <c r="BB480" s="1190"/>
      <c r="BC480" s="1190"/>
      <c r="BD480" s="1190"/>
      <c r="BE480" s="1190"/>
      <c r="BF480" s="1190"/>
      <c r="BG480" s="1190"/>
      <c r="BH480" s="1190"/>
      <c r="BI480" s="1190"/>
      <c r="BJ480" s="1190"/>
      <c r="BK480" s="1190"/>
      <c r="BL480" s="1190"/>
      <c r="BM480" s="1190"/>
      <c r="BQ480" s="195"/>
      <c r="BR480" s="195"/>
      <c r="BT480" s="1005"/>
    </row>
    <row r="481" ht="15.75" customHeight="1">
      <c r="A481" s="195"/>
      <c r="B481" s="978"/>
      <c r="C481" s="2321"/>
      <c r="D481" s="1729"/>
      <c r="E481" s="1190"/>
      <c r="F481" s="1190"/>
      <c r="G481" s="1190"/>
      <c r="H481" s="1190"/>
      <c r="I481" s="1190"/>
      <c r="J481" s="1190"/>
      <c r="K481" s="1190"/>
      <c r="L481" s="1190"/>
      <c r="M481" s="1190"/>
      <c r="N481" s="1190"/>
      <c r="O481" s="1190"/>
      <c r="P481" s="1190"/>
      <c r="Q481" s="1190"/>
      <c r="R481" s="1190"/>
      <c r="S481" s="1189"/>
      <c r="T481" s="1190"/>
      <c r="U481" s="1190"/>
      <c r="V481" s="1190"/>
      <c r="W481" s="1190"/>
      <c r="X481" s="1190"/>
      <c r="Y481" s="1190"/>
      <c r="Z481" s="1190"/>
      <c r="AA481" s="1190"/>
      <c r="AB481" s="1190"/>
      <c r="AC481" s="1190"/>
      <c r="AD481" s="1190"/>
      <c r="AE481" s="1190"/>
      <c r="AF481" s="1190"/>
      <c r="AG481" s="1748"/>
      <c r="AH481" s="1190"/>
      <c r="AI481" s="1748"/>
      <c r="AJ481" s="1190"/>
      <c r="AK481" s="1190"/>
      <c r="AL481" s="1190"/>
      <c r="AM481" s="1190"/>
      <c r="AN481" s="1190"/>
      <c r="AO481" s="1190"/>
      <c r="AP481" s="1190"/>
      <c r="AQ481" s="1190"/>
      <c r="AR481" s="1190"/>
      <c r="AS481" s="1190"/>
      <c r="AT481" s="1190"/>
      <c r="AU481" s="1190"/>
      <c r="AV481" s="1190"/>
      <c r="AW481" s="1190"/>
      <c r="AX481" s="1190"/>
      <c r="AY481" s="1190"/>
      <c r="AZ481" s="1190"/>
      <c r="BA481" s="1190"/>
      <c r="BB481" s="1190"/>
      <c r="BC481" s="1190"/>
      <c r="BD481" s="1190"/>
      <c r="BE481" s="1190"/>
      <c r="BF481" s="1190"/>
      <c r="BG481" s="1190"/>
      <c r="BH481" s="1190"/>
      <c r="BI481" s="1190"/>
      <c r="BJ481" s="1190"/>
      <c r="BK481" s="1190"/>
      <c r="BL481" s="1190"/>
      <c r="BM481" s="1190"/>
      <c r="BQ481" s="195"/>
      <c r="BR481" s="195"/>
      <c r="BT481" s="1005"/>
    </row>
    <row r="482" ht="15.75" customHeight="1">
      <c r="A482" s="195"/>
      <c r="B482" s="978"/>
      <c r="C482" s="2321"/>
      <c r="D482" s="1729"/>
      <c r="E482" s="1190"/>
      <c r="F482" s="1190"/>
      <c r="G482" s="1190"/>
      <c r="H482" s="1190"/>
      <c r="I482" s="1190"/>
      <c r="J482" s="1190"/>
      <c r="K482" s="1190"/>
      <c r="L482" s="1190"/>
      <c r="M482" s="1190"/>
      <c r="N482" s="1190"/>
      <c r="O482" s="1190"/>
      <c r="P482" s="1190"/>
      <c r="Q482" s="1190"/>
      <c r="R482" s="1190"/>
      <c r="S482" s="1189"/>
      <c r="T482" s="1190"/>
      <c r="U482" s="1190"/>
      <c r="V482" s="1190"/>
      <c r="W482" s="1190"/>
      <c r="X482" s="1190"/>
      <c r="Y482" s="1190"/>
      <c r="Z482" s="1190"/>
      <c r="AA482" s="1190"/>
      <c r="AB482" s="1190"/>
      <c r="AC482" s="1190"/>
      <c r="AD482" s="1190"/>
      <c r="AE482" s="1190"/>
      <c r="AF482" s="1190"/>
      <c r="AG482" s="1748"/>
      <c r="AH482" s="1190"/>
      <c r="AI482" s="1748"/>
      <c r="AJ482" s="1190"/>
      <c r="AK482" s="1190"/>
      <c r="AL482" s="1190"/>
      <c r="AM482" s="1190"/>
      <c r="AN482" s="1190"/>
      <c r="AO482" s="1190"/>
      <c r="AP482" s="1190"/>
      <c r="AQ482" s="1190"/>
      <c r="AR482" s="1190"/>
      <c r="AS482" s="1190"/>
      <c r="AT482" s="1190"/>
      <c r="AU482" s="1190"/>
      <c r="AV482" s="1190"/>
      <c r="AW482" s="1190"/>
      <c r="AX482" s="1190"/>
      <c r="AY482" s="1190"/>
      <c r="AZ482" s="1190"/>
      <c r="BA482" s="1190"/>
      <c r="BB482" s="1190"/>
      <c r="BC482" s="1190"/>
      <c r="BD482" s="1190"/>
      <c r="BE482" s="1190"/>
      <c r="BF482" s="1190"/>
      <c r="BG482" s="1190"/>
      <c r="BH482" s="1190"/>
      <c r="BI482" s="1190"/>
      <c r="BJ482" s="1190"/>
      <c r="BK482" s="1190"/>
      <c r="BL482" s="1190"/>
      <c r="BM482" s="1190"/>
      <c r="BQ482" s="195"/>
      <c r="BR482" s="195"/>
      <c r="BT482" s="1005"/>
    </row>
    <row r="483" ht="15.75" customHeight="1">
      <c r="A483" s="195"/>
      <c r="B483" s="978"/>
      <c r="C483" s="2321"/>
      <c r="D483" s="1729"/>
      <c r="E483" s="1190"/>
      <c r="F483" s="1190"/>
      <c r="G483" s="1190"/>
      <c r="H483" s="1190"/>
      <c r="I483" s="1190"/>
      <c r="J483" s="1190"/>
      <c r="K483" s="1190"/>
      <c r="L483" s="1190"/>
      <c r="M483" s="1190"/>
      <c r="N483" s="1190"/>
      <c r="O483" s="1190"/>
      <c r="P483" s="1190"/>
      <c r="Q483" s="1190"/>
      <c r="R483" s="1190"/>
      <c r="S483" s="1189"/>
      <c r="T483" s="1190"/>
      <c r="U483" s="1190"/>
      <c r="V483" s="1190"/>
      <c r="W483" s="1190"/>
      <c r="X483" s="1190"/>
      <c r="Y483" s="1190"/>
      <c r="Z483" s="1190"/>
      <c r="AA483" s="1190"/>
      <c r="AB483" s="1190"/>
      <c r="AC483" s="1190"/>
      <c r="AD483" s="1190"/>
      <c r="AE483" s="1190"/>
      <c r="AF483" s="1190"/>
      <c r="AG483" s="1748"/>
      <c r="AH483" s="1190"/>
      <c r="AI483" s="1748"/>
      <c r="AJ483" s="1190"/>
      <c r="AK483" s="1190"/>
      <c r="AL483" s="1190"/>
      <c r="AM483" s="1190"/>
      <c r="AN483" s="1190"/>
      <c r="AO483" s="1190"/>
      <c r="AP483" s="1190"/>
      <c r="AQ483" s="1190"/>
      <c r="AR483" s="1190"/>
      <c r="AS483" s="1190"/>
      <c r="AT483" s="1190"/>
      <c r="AU483" s="1190"/>
      <c r="AV483" s="1190"/>
      <c r="AW483" s="1190"/>
      <c r="AX483" s="1190"/>
      <c r="AY483" s="1190"/>
      <c r="AZ483" s="1190"/>
      <c r="BA483" s="1190"/>
      <c r="BB483" s="1190"/>
      <c r="BC483" s="1190"/>
      <c r="BD483" s="1190"/>
      <c r="BE483" s="1190"/>
      <c r="BF483" s="1190"/>
      <c r="BG483" s="1190"/>
      <c r="BH483" s="1190"/>
      <c r="BI483" s="1190"/>
      <c r="BJ483" s="1190"/>
      <c r="BK483" s="1190"/>
      <c r="BL483" s="1190"/>
      <c r="BM483" s="1190"/>
      <c r="BQ483" s="195"/>
      <c r="BR483" s="195"/>
      <c r="BT483" s="1005"/>
    </row>
    <row r="484" ht="15.75" customHeight="1">
      <c r="A484" s="195"/>
      <c r="B484" s="978"/>
      <c r="C484" s="2321"/>
      <c r="D484" s="1729"/>
      <c r="E484" s="1190"/>
      <c r="F484" s="1190"/>
      <c r="G484" s="1190"/>
      <c r="H484" s="1190"/>
      <c r="I484" s="1190"/>
      <c r="J484" s="1190"/>
      <c r="K484" s="1190"/>
      <c r="L484" s="1190"/>
      <c r="M484" s="1190"/>
      <c r="N484" s="1190"/>
      <c r="O484" s="1190"/>
      <c r="P484" s="1190"/>
      <c r="Q484" s="1190"/>
      <c r="R484" s="1190"/>
      <c r="S484" s="1189"/>
      <c r="T484" s="1190"/>
      <c r="U484" s="1190"/>
      <c r="V484" s="1190"/>
      <c r="W484" s="1190"/>
      <c r="X484" s="1190"/>
      <c r="Y484" s="1190"/>
      <c r="Z484" s="1190"/>
      <c r="AA484" s="1190"/>
      <c r="AB484" s="1190"/>
      <c r="AC484" s="1190"/>
      <c r="AD484" s="1190"/>
      <c r="AE484" s="1190"/>
      <c r="AF484" s="1190"/>
      <c r="AG484" s="1748"/>
      <c r="AH484" s="1190"/>
      <c r="AI484" s="1748"/>
      <c r="AJ484" s="1190"/>
      <c r="AK484" s="1190"/>
      <c r="AL484" s="1190"/>
      <c r="AM484" s="1190"/>
      <c r="AN484" s="1190"/>
      <c r="AO484" s="1190"/>
      <c r="AP484" s="1190"/>
      <c r="AQ484" s="1190"/>
      <c r="AR484" s="1190"/>
      <c r="AS484" s="1190"/>
      <c r="AT484" s="1190"/>
      <c r="AU484" s="1190"/>
      <c r="AV484" s="1190"/>
      <c r="AW484" s="1190"/>
      <c r="AX484" s="1190"/>
      <c r="AY484" s="1190"/>
      <c r="AZ484" s="1190"/>
      <c r="BA484" s="1190"/>
      <c r="BB484" s="1190"/>
      <c r="BC484" s="1190"/>
      <c r="BD484" s="1190"/>
      <c r="BE484" s="1190"/>
      <c r="BF484" s="1190"/>
      <c r="BG484" s="1190"/>
      <c r="BH484" s="1190"/>
      <c r="BI484" s="1190"/>
      <c r="BJ484" s="1190"/>
      <c r="BK484" s="1190"/>
      <c r="BL484" s="1190"/>
      <c r="BM484" s="1190"/>
      <c r="BQ484" s="195"/>
      <c r="BR484" s="195"/>
      <c r="BT484" s="1005"/>
    </row>
    <row r="485" ht="15.75" customHeight="1">
      <c r="A485" s="195"/>
      <c r="B485" s="978"/>
      <c r="C485" s="2321"/>
      <c r="D485" s="1729"/>
      <c r="E485" s="1190"/>
      <c r="F485" s="1190"/>
      <c r="G485" s="1190"/>
      <c r="H485" s="1190"/>
      <c r="I485" s="1190"/>
      <c r="J485" s="1190"/>
      <c r="K485" s="1190"/>
      <c r="L485" s="1190"/>
      <c r="M485" s="1190"/>
      <c r="N485" s="1190"/>
      <c r="O485" s="1190"/>
      <c r="P485" s="1190"/>
      <c r="Q485" s="1190"/>
      <c r="R485" s="1190"/>
      <c r="S485" s="1189"/>
      <c r="T485" s="1190"/>
      <c r="U485" s="1190"/>
      <c r="V485" s="1190"/>
      <c r="W485" s="1190"/>
      <c r="X485" s="1190"/>
      <c r="Y485" s="1190"/>
      <c r="Z485" s="1190"/>
      <c r="AA485" s="1190"/>
      <c r="AB485" s="1190"/>
      <c r="AC485" s="1190"/>
      <c r="AD485" s="1190"/>
      <c r="AE485" s="1190"/>
      <c r="AF485" s="1190"/>
      <c r="AG485" s="1748"/>
      <c r="AH485" s="1190"/>
      <c r="AI485" s="1748"/>
      <c r="AJ485" s="1190"/>
      <c r="AK485" s="1190"/>
      <c r="AL485" s="1190"/>
      <c r="AM485" s="1190"/>
      <c r="AN485" s="1190"/>
      <c r="AO485" s="1190"/>
      <c r="AP485" s="1190"/>
      <c r="AQ485" s="1190"/>
      <c r="AR485" s="1190"/>
      <c r="AS485" s="1190"/>
      <c r="AT485" s="1190"/>
      <c r="AU485" s="1190"/>
      <c r="AV485" s="1190"/>
      <c r="AW485" s="1190"/>
      <c r="AX485" s="1190"/>
      <c r="AY485" s="1190"/>
      <c r="AZ485" s="1190"/>
      <c r="BA485" s="1190"/>
      <c r="BB485" s="1190"/>
      <c r="BC485" s="1190"/>
      <c r="BD485" s="1190"/>
      <c r="BE485" s="1190"/>
      <c r="BF485" s="1190"/>
      <c r="BG485" s="1190"/>
      <c r="BH485" s="1190"/>
      <c r="BI485" s="1190"/>
      <c r="BJ485" s="1190"/>
      <c r="BK485" s="1190"/>
      <c r="BL485" s="1190"/>
      <c r="BM485" s="1190"/>
      <c r="BQ485" s="195"/>
      <c r="BR485" s="195"/>
      <c r="BT485" s="1005"/>
    </row>
    <row r="486" ht="15.75" customHeight="1">
      <c r="A486" s="195"/>
      <c r="B486" s="978"/>
      <c r="C486" s="2321"/>
      <c r="D486" s="1729"/>
      <c r="E486" s="1190"/>
      <c r="F486" s="1190"/>
      <c r="G486" s="1190"/>
      <c r="H486" s="1190"/>
      <c r="I486" s="1190"/>
      <c r="J486" s="1190"/>
      <c r="K486" s="1190"/>
      <c r="L486" s="1190"/>
      <c r="M486" s="1190"/>
      <c r="N486" s="1190"/>
      <c r="O486" s="1190"/>
      <c r="P486" s="1190"/>
      <c r="Q486" s="1190"/>
      <c r="R486" s="1190"/>
      <c r="S486" s="1189"/>
      <c r="T486" s="1190"/>
      <c r="U486" s="1190"/>
      <c r="V486" s="1190"/>
      <c r="W486" s="1190"/>
      <c r="X486" s="1190"/>
      <c r="Y486" s="1190"/>
      <c r="Z486" s="1190"/>
      <c r="AA486" s="1190"/>
      <c r="AB486" s="1190"/>
      <c r="AC486" s="1190"/>
      <c r="AD486" s="1190"/>
      <c r="AE486" s="1190"/>
      <c r="AF486" s="1190"/>
      <c r="AG486" s="1748"/>
      <c r="AH486" s="1190"/>
      <c r="AI486" s="1748"/>
      <c r="AJ486" s="1190"/>
      <c r="AK486" s="1190"/>
      <c r="AL486" s="1190"/>
      <c r="AM486" s="1190"/>
      <c r="AN486" s="1190"/>
      <c r="AO486" s="1190"/>
      <c r="AP486" s="1190"/>
      <c r="AQ486" s="1190"/>
      <c r="AR486" s="1190"/>
      <c r="AS486" s="1190"/>
      <c r="AT486" s="1190"/>
      <c r="AU486" s="1190"/>
      <c r="AV486" s="1190"/>
      <c r="AW486" s="1190"/>
      <c r="AX486" s="1190"/>
      <c r="AY486" s="1190"/>
      <c r="AZ486" s="1190"/>
      <c r="BA486" s="1190"/>
      <c r="BB486" s="1190"/>
      <c r="BC486" s="1190"/>
      <c r="BD486" s="1190"/>
      <c r="BE486" s="1190"/>
      <c r="BF486" s="1190"/>
      <c r="BG486" s="1190"/>
      <c r="BH486" s="1190"/>
      <c r="BI486" s="1190"/>
      <c r="BJ486" s="1190"/>
      <c r="BK486" s="1190"/>
      <c r="BL486" s="1190"/>
      <c r="BM486" s="1190"/>
      <c r="BQ486" s="195"/>
      <c r="BR486" s="195"/>
      <c r="BT486" s="1005"/>
    </row>
    <row r="487" ht="15.75" customHeight="1">
      <c r="A487" s="195"/>
      <c r="B487" s="978"/>
      <c r="C487" s="2321"/>
      <c r="D487" s="1729"/>
      <c r="E487" s="1190"/>
      <c r="F487" s="1190"/>
      <c r="G487" s="1190"/>
      <c r="H487" s="1190"/>
      <c r="I487" s="1190"/>
      <c r="J487" s="1190"/>
      <c r="K487" s="1190"/>
      <c r="L487" s="1190"/>
      <c r="M487" s="1190"/>
      <c r="N487" s="1190"/>
      <c r="O487" s="1190"/>
      <c r="P487" s="1190"/>
      <c r="Q487" s="1190"/>
      <c r="R487" s="1190"/>
      <c r="S487" s="1189"/>
      <c r="T487" s="1190"/>
      <c r="U487" s="1190"/>
      <c r="V487" s="1190"/>
      <c r="W487" s="1190"/>
      <c r="X487" s="1190"/>
      <c r="Y487" s="1190"/>
      <c r="Z487" s="1190"/>
      <c r="AA487" s="1190"/>
      <c r="AB487" s="1190"/>
      <c r="AC487" s="1190"/>
      <c r="AD487" s="1190"/>
      <c r="AE487" s="1190"/>
      <c r="AF487" s="1190"/>
      <c r="AG487" s="1748"/>
      <c r="AH487" s="1190"/>
      <c r="AI487" s="1748"/>
      <c r="AJ487" s="1190"/>
      <c r="AK487" s="1190"/>
      <c r="AL487" s="1190"/>
      <c r="AM487" s="1190"/>
      <c r="AN487" s="1190"/>
      <c r="AO487" s="1190"/>
      <c r="AP487" s="1190"/>
      <c r="AQ487" s="1190"/>
      <c r="AR487" s="1190"/>
      <c r="AS487" s="1190"/>
      <c r="AT487" s="1190"/>
      <c r="AU487" s="1190"/>
      <c r="AV487" s="1190"/>
      <c r="AW487" s="1190"/>
      <c r="AX487" s="1190"/>
      <c r="AY487" s="1190"/>
      <c r="AZ487" s="1190"/>
      <c r="BA487" s="1190"/>
      <c r="BB487" s="1190"/>
      <c r="BC487" s="1190"/>
      <c r="BD487" s="1190"/>
      <c r="BE487" s="1190"/>
      <c r="BF487" s="1190"/>
      <c r="BG487" s="1190"/>
      <c r="BH487" s="1190"/>
      <c r="BI487" s="1190"/>
      <c r="BJ487" s="1190"/>
      <c r="BK487" s="1190"/>
      <c r="BL487" s="1190"/>
      <c r="BM487" s="1190"/>
      <c r="BQ487" s="195"/>
      <c r="BR487" s="195"/>
      <c r="BT487" s="1005"/>
    </row>
    <row r="488" ht="15.75" customHeight="1">
      <c r="A488" s="195"/>
      <c r="B488" s="978"/>
      <c r="C488" s="2321"/>
      <c r="D488" s="1729"/>
      <c r="E488" s="1190"/>
      <c r="F488" s="1190"/>
      <c r="G488" s="1190"/>
      <c r="H488" s="1190"/>
      <c r="I488" s="1190"/>
      <c r="J488" s="1190"/>
      <c r="K488" s="1190"/>
      <c r="L488" s="1190"/>
      <c r="M488" s="1190"/>
      <c r="N488" s="1190"/>
      <c r="O488" s="1190"/>
      <c r="P488" s="1190"/>
      <c r="Q488" s="1190"/>
      <c r="R488" s="1190"/>
      <c r="S488" s="1189"/>
      <c r="T488" s="1190"/>
      <c r="U488" s="1190"/>
      <c r="V488" s="1190"/>
      <c r="W488" s="1190"/>
      <c r="X488" s="1190"/>
      <c r="Y488" s="1190"/>
      <c r="Z488" s="1190"/>
      <c r="AA488" s="1190"/>
      <c r="AB488" s="1190"/>
      <c r="AC488" s="1190"/>
      <c r="AD488" s="1190"/>
      <c r="AE488" s="1190"/>
      <c r="AF488" s="1190"/>
      <c r="AG488" s="1748"/>
      <c r="AH488" s="1190"/>
      <c r="AI488" s="1748"/>
      <c r="AJ488" s="1190"/>
      <c r="AK488" s="1190"/>
      <c r="AL488" s="1190"/>
      <c r="AM488" s="1190"/>
      <c r="AN488" s="1190"/>
      <c r="AO488" s="1190"/>
      <c r="AP488" s="1190"/>
      <c r="AQ488" s="1190"/>
      <c r="AR488" s="1190"/>
      <c r="AS488" s="1190"/>
      <c r="AT488" s="1190"/>
      <c r="AU488" s="1190"/>
      <c r="AV488" s="1190"/>
      <c r="AW488" s="1190"/>
      <c r="AX488" s="1190"/>
      <c r="AY488" s="1190"/>
      <c r="AZ488" s="1190"/>
      <c r="BA488" s="1190"/>
      <c r="BB488" s="1190"/>
      <c r="BC488" s="1190"/>
      <c r="BD488" s="1190"/>
      <c r="BE488" s="1190"/>
      <c r="BF488" s="1190"/>
      <c r="BG488" s="1190"/>
      <c r="BH488" s="1190"/>
      <c r="BI488" s="1190"/>
      <c r="BJ488" s="1190"/>
      <c r="BK488" s="1190"/>
      <c r="BL488" s="1190"/>
      <c r="BM488" s="1190"/>
      <c r="BQ488" s="195"/>
      <c r="BR488" s="195"/>
      <c r="BT488" s="1005"/>
    </row>
    <row r="489" ht="15.75" customHeight="1">
      <c r="A489" s="195"/>
      <c r="B489" s="978"/>
      <c r="C489" s="2321"/>
      <c r="D489" s="1729"/>
      <c r="E489" s="1190"/>
      <c r="F489" s="1190"/>
      <c r="G489" s="1190"/>
      <c r="H489" s="1190"/>
      <c r="I489" s="1190"/>
      <c r="J489" s="1190"/>
      <c r="K489" s="1190"/>
      <c r="L489" s="1190"/>
      <c r="M489" s="1190"/>
      <c r="N489" s="1190"/>
      <c r="O489" s="1190"/>
      <c r="P489" s="1190"/>
      <c r="Q489" s="1190"/>
      <c r="R489" s="1190"/>
      <c r="S489" s="1189"/>
      <c r="T489" s="1190"/>
      <c r="U489" s="1190"/>
      <c r="V489" s="1190"/>
      <c r="W489" s="1190"/>
      <c r="X489" s="1190"/>
      <c r="Y489" s="1190"/>
      <c r="Z489" s="1190"/>
      <c r="AA489" s="1190"/>
      <c r="AB489" s="1190"/>
      <c r="AC489" s="1190"/>
      <c r="AD489" s="1190"/>
      <c r="AE489" s="1190"/>
      <c r="AF489" s="1190"/>
      <c r="AG489" s="1748"/>
      <c r="AH489" s="1190"/>
      <c r="AI489" s="1748"/>
      <c r="AJ489" s="1190"/>
      <c r="AK489" s="1190"/>
      <c r="AL489" s="1190"/>
      <c r="AM489" s="1190"/>
      <c r="AN489" s="1190"/>
      <c r="AO489" s="1190"/>
      <c r="AP489" s="1190"/>
      <c r="AQ489" s="1190"/>
      <c r="AR489" s="1190"/>
      <c r="AS489" s="1190"/>
      <c r="AT489" s="1190"/>
      <c r="AU489" s="1190"/>
      <c r="AV489" s="1190"/>
      <c r="AW489" s="1190"/>
      <c r="AX489" s="1190"/>
      <c r="AY489" s="1190"/>
      <c r="AZ489" s="1190"/>
      <c r="BA489" s="1190"/>
      <c r="BB489" s="1190"/>
      <c r="BC489" s="1190"/>
      <c r="BD489" s="1190"/>
      <c r="BE489" s="1190"/>
      <c r="BF489" s="1190"/>
      <c r="BG489" s="1190"/>
      <c r="BH489" s="1190"/>
      <c r="BI489" s="1190"/>
      <c r="BJ489" s="1190"/>
      <c r="BK489" s="1190"/>
      <c r="BL489" s="1190"/>
      <c r="BM489" s="1190"/>
      <c r="BQ489" s="195"/>
      <c r="BR489" s="195"/>
      <c r="BT489" s="1005"/>
    </row>
    <row r="490" ht="15.75" customHeight="1">
      <c r="A490" s="195"/>
      <c r="B490" s="978"/>
      <c r="C490" s="2321"/>
      <c r="D490" s="1729"/>
      <c r="E490" s="1190"/>
      <c r="F490" s="1190"/>
      <c r="G490" s="1190"/>
      <c r="H490" s="1190"/>
      <c r="I490" s="1190"/>
      <c r="J490" s="1190"/>
      <c r="K490" s="1190"/>
      <c r="L490" s="1190"/>
      <c r="M490" s="1190"/>
      <c r="N490" s="1190"/>
      <c r="O490" s="1190"/>
      <c r="P490" s="1190"/>
      <c r="Q490" s="1190"/>
      <c r="R490" s="1190"/>
      <c r="S490" s="1189"/>
      <c r="T490" s="1190"/>
      <c r="U490" s="1190"/>
      <c r="V490" s="1190"/>
      <c r="W490" s="1190"/>
      <c r="X490" s="1190"/>
      <c r="Y490" s="1190"/>
      <c r="Z490" s="1190"/>
      <c r="AA490" s="1190"/>
      <c r="AB490" s="1190"/>
      <c r="AC490" s="1190"/>
      <c r="AD490" s="1190"/>
      <c r="AE490" s="1190"/>
      <c r="AF490" s="1190"/>
      <c r="AG490" s="1748"/>
      <c r="AH490" s="1190"/>
      <c r="AI490" s="1748"/>
      <c r="AJ490" s="1190"/>
      <c r="AK490" s="1190"/>
      <c r="AL490" s="1190"/>
      <c r="AM490" s="1190"/>
      <c r="AN490" s="1190"/>
      <c r="AO490" s="1190"/>
      <c r="AP490" s="1190"/>
      <c r="AQ490" s="1190"/>
      <c r="AR490" s="1190"/>
      <c r="AS490" s="1190"/>
      <c r="AT490" s="1190"/>
      <c r="AU490" s="1190"/>
      <c r="AV490" s="1190"/>
      <c r="AW490" s="1190"/>
      <c r="AX490" s="1190"/>
      <c r="AY490" s="1190"/>
      <c r="AZ490" s="1190"/>
      <c r="BA490" s="1190"/>
      <c r="BB490" s="1190"/>
      <c r="BC490" s="1190"/>
      <c r="BD490" s="1190"/>
      <c r="BE490" s="1190"/>
      <c r="BF490" s="1190"/>
      <c r="BG490" s="1190"/>
      <c r="BH490" s="1190"/>
      <c r="BI490" s="1190"/>
      <c r="BJ490" s="1190"/>
      <c r="BK490" s="1190"/>
      <c r="BL490" s="1190"/>
      <c r="BM490" s="1190"/>
      <c r="BQ490" s="195"/>
      <c r="BR490" s="195"/>
      <c r="BT490" s="1005"/>
    </row>
    <row r="491" ht="15.75" customHeight="1">
      <c r="A491" s="195"/>
      <c r="B491" s="978"/>
      <c r="C491" s="2321"/>
      <c r="D491" s="1729"/>
      <c r="E491" s="1190"/>
      <c r="F491" s="1190"/>
      <c r="G491" s="1190"/>
      <c r="H491" s="1190"/>
      <c r="I491" s="1190"/>
      <c r="J491" s="1190"/>
      <c r="K491" s="1190"/>
      <c r="L491" s="1190"/>
      <c r="M491" s="1190"/>
      <c r="N491" s="1190"/>
      <c r="O491" s="1190"/>
      <c r="P491" s="1190"/>
      <c r="Q491" s="1190"/>
      <c r="R491" s="1190"/>
      <c r="S491" s="1189"/>
      <c r="T491" s="1190"/>
      <c r="U491" s="1190"/>
      <c r="V491" s="1190"/>
      <c r="W491" s="1190"/>
      <c r="X491" s="1190"/>
      <c r="Y491" s="1190"/>
      <c r="Z491" s="1190"/>
      <c r="AA491" s="1190"/>
      <c r="AB491" s="1190"/>
      <c r="AC491" s="1190"/>
      <c r="AD491" s="1190"/>
      <c r="AE491" s="1190"/>
      <c r="AF491" s="1190"/>
      <c r="AG491" s="1748"/>
      <c r="AH491" s="1190"/>
      <c r="AI491" s="1748"/>
      <c r="AJ491" s="1190"/>
      <c r="AK491" s="1190"/>
      <c r="AL491" s="1190"/>
      <c r="AM491" s="1190"/>
      <c r="AN491" s="1190"/>
      <c r="AO491" s="1190"/>
      <c r="AP491" s="1190"/>
      <c r="AQ491" s="1190"/>
      <c r="AR491" s="1190"/>
      <c r="AS491" s="1190"/>
      <c r="AT491" s="1190"/>
      <c r="AU491" s="1190"/>
      <c r="AV491" s="1190"/>
      <c r="AW491" s="1190"/>
      <c r="AX491" s="1190"/>
      <c r="AY491" s="1190"/>
      <c r="AZ491" s="1190"/>
      <c r="BA491" s="1190"/>
      <c r="BB491" s="1190"/>
      <c r="BC491" s="1190"/>
      <c r="BD491" s="1190"/>
      <c r="BE491" s="1190"/>
      <c r="BF491" s="1190"/>
      <c r="BG491" s="1190"/>
      <c r="BH491" s="1190"/>
      <c r="BI491" s="1190"/>
      <c r="BJ491" s="1190"/>
      <c r="BK491" s="1190"/>
      <c r="BL491" s="1190"/>
      <c r="BM491" s="1190"/>
      <c r="BQ491" s="195"/>
      <c r="BR491" s="195"/>
      <c r="BT491" s="1005"/>
    </row>
    <row r="492" ht="15.75" customHeight="1">
      <c r="A492" s="195"/>
      <c r="B492" s="978"/>
      <c r="C492" s="2321"/>
      <c r="D492" s="1729"/>
      <c r="E492" s="1190"/>
      <c r="F492" s="1190"/>
      <c r="G492" s="1190"/>
      <c r="H492" s="1190"/>
      <c r="I492" s="1190"/>
      <c r="J492" s="1190"/>
      <c r="K492" s="1190"/>
      <c r="L492" s="1190"/>
      <c r="M492" s="1190"/>
      <c r="N492" s="1190"/>
      <c r="O492" s="1190"/>
      <c r="P492" s="1190"/>
      <c r="Q492" s="1190"/>
      <c r="R492" s="1190"/>
      <c r="S492" s="1189"/>
      <c r="T492" s="1190"/>
      <c r="U492" s="1190"/>
      <c r="V492" s="1190"/>
      <c r="W492" s="1190"/>
      <c r="X492" s="1190"/>
      <c r="Y492" s="1190"/>
      <c r="Z492" s="1190"/>
      <c r="AA492" s="1190"/>
      <c r="AB492" s="1190"/>
      <c r="AC492" s="1190"/>
      <c r="AD492" s="1190"/>
      <c r="AE492" s="1190"/>
      <c r="AF492" s="1190"/>
      <c r="AG492" s="1748"/>
      <c r="AH492" s="1190"/>
      <c r="AI492" s="1748"/>
      <c r="AJ492" s="1190"/>
      <c r="AK492" s="1190"/>
      <c r="AL492" s="1190"/>
      <c r="AM492" s="1190"/>
      <c r="AN492" s="1190"/>
      <c r="AO492" s="1190"/>
      <c r="AP492" s="1190"/>
      <c r="AQ492" s="1190"/>
      <c r="AR492" s="1190"/>
      <c r="AS492" s="1190"/>
      <c r="AT492" s="1190"/>
      <c r="AU492" s="1190"/>
      <c r="AV492" s="1190"/>
      <c r="AW492" s="1190"/>
      <c r="AX492" s="1190"/>
      <c r="AY492" s="1190"/>
      <c r="AZ492" s="1190"/>
      <c r="BA492" s="1190"/>
      <c r="BB492" s="1190"/>
      <c r="BC492" s="1190"/>
      <c r="BD492" s="1190"/>
      <c r="BE492" s="1190"/>
      <c r="BF492" s="1190"/>
      <c r="BG492" s="1190"/>
      <c r="BH492" s="1190"/>
      <c r="BI492" s="1190"/>
      <c r="BJ492" s="1190"/>
      <c r="BK492" s="1190"/>
      <c r="BL492" s="1190"/>
      <c r="BM492" s="1190"/>
      <c r="BQ492" s="195"/>
      <c r="BR492" s="195"/>
      <c r="BT492" s="1005"/>
    </row>
    <row r="493" ht="15.75" customHeight="1">
      <c r="A493" s="195"/>
      <c r="B493" s="978"/>
      <c r="C493" s="2321"/>
      <c r="D493" s="1729"/>
      <c r="E493" s="1190"/>
      <c r="F493" s="1190"/>
      <c r="G493" s="1190"/>
      <c r="H493" s="1190"/>
      <c r="I493" s="1190"/>
      <c r="J493" s="1190"/>
      <c r="K493" s="1190"/>
      <c r="L493" s="1190"/>
      <c r="M493" s="1190"/>
      <c r="N493" s="1190"/>
      <c r="O493" s="1190"/>
      <c r="P493" s="1190"/>
      <c r="Q493" s="1190"/>
      <c r="R493" s="1190"/>
      <c r="S493" s="1189"/>
      <c r="T493" s="1190"/>
      <c r="U493" s="1190"/>
      <c r="V493" s="1190"/>
      <c r="W493" s="1190"/>
      <c r="X493" s="1190"/>
      <c r="Y493" s="1190"/>
      <c r="Z493" s="1190"/>
      <c r="AA493" s="1190"/>
      <c r="AB493" s="1190"/>
      <c r="AC493" s="1190"/>
      <c r="AD493" s="1190"/>
      <c r="AE493" s="1190"/>
      <c r="AF493" s="1190"/>
      <c r="AG493" s="1748"/>
      <c r="AH493" s="1190"/>
      <c r="AI493" s="1748"/>
      <c r="AJ493" s="1190"/>
      <c r="AK493" s="1190"/>
      <c r="AL493" s="1190"/>
      <c r="AM493" s="1190"/>
      <c r="AN493" s="1190"/>
      <c r="AO493" s="1190"/>
      <c r="AP493" s="1190"/>
      <c r="AQ493" s="1190"/>
      <c r="AR493" s="1190"/>
      <c r="AS493" s="1190"/>
      <c r="AT493" s="1190"/>
      <c r="AU493" s="1190"/>
      <c r="AV493" s="1190"/>
      <c r="AW493" s="1190"/>
      <c r="AX493" s="1190"/>
      <c r="AY493" s="1190"/>
      <c r="AZ493" s="1190"/>
      <c r="BA493" s="1190"/>
      <c r="BB493" s="1190"/>
      <c r="BC493" s="1190"/>
      <c r="BD493" s="1190"/>
      <c r="BE493" s="1190"/>
      <c r="BF493" s="1190"/>
      <c r="BG493" s="1190"/>
      <c r="BH493" s="1190"/>
      <c r="BI493" s="1190"/>
      <c r="BJ493" s="1190"/>
      <c r="BK493" s="1190"/>
      <c r="BL493" s="1190"/>
      <c r="BM493" s="1190"/>
      <c r="BQ493" s="195"/>
      <c r="BR493" s="195"/>
      <c r="BT493" s="1005"/>
    </row>
    <row r="494" ht="15.75" customHeight="1">
      <c r="A494" s="195"/>
      <c r="B494" s="978"/>
      <c r="C494" s="2321"/>
      <c r="D494" s="1729"/>
      <c r="E494" s="1190"/>
      <c r="F494" s="1190"/>
      <c r="G494" s="1190"/>
      <c r="H494" s="1190"/>
      <c r="I494" s="1190"/>
      <c r="J494" s="1190"/>
      <c r="K494" s="1190"/>
      <c r="L494" s="1190"/>
      <c r="M494" s="1190"/>
      <c r="N494" s="1190"/>
      <c r="O494" s="1190"/>
      <c r="P494" s="1190"/>
      <c r="Q494" s="1190"/>
      <c r="R494" s="1190"/>
      <c r="S494" s="1189"/>
      <c r="T494" s="1190"/>
      <c r="U494" s="1190"/>
      <c r="V494" s="1190"/>
      <c r="W494" s="1190"/>
      <c r="X494" s="1190"/>
      <c r="Y494" s="1190"/>
      <c r="Z494" s="1190"/>
      <c r="AA494" s="1190"/>
      <c r="AB494" s="1190"/>
      <c r="AC494" s="1190"/>
      <c r="AD494" s="1190"/>
      <c r="AE494" s="1190"/>
      <c r="AF494" s="1190"/>
      <c r="AG494" s="1748"/>
      <c r="AH494" s="1190"/>
      <c r="AI494" s="1748"/>
      <c r="AJ494" s="1190"/>
      <c r="AK494" s="1190"/>
      <c r="AL494" s="1190"/>
      <c r="AM494" s="1190"/>
      <c r="AN494" s="1190"/>
      <c r="AO494" s="1190"/>
      <c r="AP494" s="1190"/>
      <c r="AQ494" s="1190"/>
      <c r="AR494" s="1190"/>
      <c r="AS494" s="1190"/>
      <c r="AT494" s="1190"/>
      <c r="AU494" s="1190"/>
      <c r="AV494" s="1190"/>
      <c r="AW494" s="1190"/>
      <c r="AX494" s="1190"/>
      <c r="AY494" s="1190"/>
      <c r="AZ494" s="1190"/>
      <c r="BA494" s="1190"/>
      <c r="BB494" s="1190"/>
      <c r="BC494" s="1190"/>
      <c r="BD494" s="1190"/>
      <c r="BE494" s="1190"/>
      <c r="BF494" s="1190"/>
      <c r="BG494" s="1190"/>
      <c r="BH494" s="1190"/>
      <c r="BI494" s="1190"/>
      <c r="BJ494" s="1190"/>
      <c r="BK494" s="1190"/>
      <c r="BL494" s="1190"/>
      <c r="BM494" s="1190"/>
      <c r="BQ494" s="195"/>
      <c r="BR494" s="195"/>
      <c r="BT494" s="1005"/>
    </row>
    <row r="495" ht="15.75" customHeight="1">
      <c r="A495" s="195"/>
      <c r="B495" s="978"/>
      <c r="C495" s="2321"/>
      <c r="D495" s="1729"/>
      <c r="E495" s="1190"/>
      <c r="F495" s="1190"/>
      <c r="G495" s="1190"/>
      <c r="H495" s="1190"/>
      <c r="I495" s="1190"/>
      <c r="J495" s="1190"/>
      <c r="K495" s="1190"/>
      <c r="L495" s="1190"/>
      <c r="M495" s="1190"/>
      <c r="N495" s="1190"/>
      <c r="O495" s="1190"/>
      <c r="P495" s="1190"/>
      <c r="Q495" s="1190"/>
      <c r="R495" s="1190"/>
      <c r="S495" s="1189"/>
      <c r="T495" s="1190"/>
      <c r="U495" s="1190"/>
      <c r="V495" s="1190"/>
      <c r="W495" s="1190"/>
      <c r="X495" s="1190"/>
      <c r="Y495" s="1190"/>
      <c r="Z495" s="1190"/>
      <c r="AA495" s="1190"/>
      <c r="AB495" s="1190"/>
      <c r="AC495" s="1190"/>
      <c r="AD495" s="1190"/>
      <c r="AE495" s="1190"/>
      <c r="AF495" s="1190"/>
      <c r="AG495" s="1748"/>
      <c r="AH495" s="1190"/>
      <c r="AI495" s="1748"/>
      <c r="AJ495" s="1190"/>
      <c r="AK495" s="1190"/>
      <c r="AL495" s="1190"/>
      <c r="AM495" s="1190"/>
      <c r="AN495" s="1190"/>
      <c r="AO495" s="1190"/>
      <c r="AP495" s="1190"/>
      <c r="AQ495" s="1190"/>
      <c r="AR495" s="1190"/>
      <c r="AS495" s="1190"/>
      <c r="AT495" s="1190"/>
      <c r="AU495" s="1190"/>
      <c r="AV495" s="1190"/>
      <c r="AW495" s="1190"/>
      <c r="AX495" s="1190"/>
      <c r="AY495" s="1190"/>
      <c r="AZ495" s="1190"/>
      <c r="BA495" s="1190"/>
      <c r="BB495" s="1190"/>
      <c r="BC495" s="1190"/>
      <c r="BD495" s="1190"/>
      <c r="BE495" s="1190"/>
      <c r="BF495" s="1190"/>
      <c r="BG495" s="1190"/>
      <c r="BH495" s="1190"/>
      <c r="BI495" s="1190"/>
      <c r="BJ495" s="1190"/>
      <c r="BK495" s="1190"/>
      <c r="BL495" s="1190"/>
      <c r="BM495" s="1190"/>
      <c r="BQ495" s="195"/>
      <c r="BR495" s="195"/>
      <c r="BT495" s="1005"/>
    </row>
    <row r="496" ht="15.75" customHeight="1">
      <c r="A496" s="195"/>
      <c r="B496" s="978"/>
      <c r="C496" s="2321"/>
      <c r="D496" s="1729"/>
      <c r="E496" s="1190"/>
      <c r="F496" s="1190"/>
      <c r="G496" s="1190"/>
      <c r="H496" s="1190"/>
      <c r="I496" s="1190"/>
      <c r="J496" s="1190"/>
      <c r="K496" s="1190"/>
      <c r="L496" s="1190"/>
      <c r="M496" s="1190"/>
      <c r="N496" s="1190"/>
      <c r="O496" s="1190"/>
      <c r="P496" s="1190"/>
      <c r="Q496" s="1190"/>
      <c r="R496" s="1190"/>
      <c r="S496" s="1189"/>
      <c r="T496" s="1190"/>
      <c r="U496" s="1190"/>
      <c r="V496" s="1190"/>
      <c r="W496" s="1190"/>
      <c r="X496" s="1190"/>
      <c r="Y496" s="1190"/>
      <c r="Z496" s="1190"/>
      <c r="AA496" s="1190"/>
      <c r="AB496" s="1190"/>
      <c r="AC496" s="1190"/>
      <c r="AD496" s="1190"/>
      <c r="AE496" s="1190"/>
      <c r="AF496" s="1190"/>
      <c r="AG496" s="1748"/>
      <c r="AH496" s="1190"/>
      <c r="AI496" s="1748"/>
      <c r="AJ496" s="1190"/>
      <c r="AK496" s="1190"/>
      <c r="AL496" s="1190"/>
      <c r="AM496" s="1190"/>
      <c r="AN496" s="1190"/>
      <c r="AO496" s="1190"/>
      <c r="AP496" s="1190"/>
      <c r="AQ496" s="1190"/>
      <c r="AR496" s="1190"/>
      <c r="AS496" s="1190"/>
      <c r="AT496" s="1190"/>
      <c r="AU496" s="1190"/>
      <c r="AV496" s="1190"/>
      <c r="AW496" s="1190"/>
      <c r="AX496" s="1190"/>
      <c r="AY496" s="1190"/>
      <c r="AZ496" s="1190"/>
      <c r="BA496" s="1190"/>
      <c r="BB496" s="1190"/>
      <c r="BC496" s="1190"/>
      <c r="BD496" s="1190"/>
      <c r="BE496" s="1190"/>
      <c r="BF496" s="1190"/>
      <c r="BG496" s="1190"/>
      <c r="BH496" s="1190"/>
      <c r="BI496" s="1190"/>
      <c r="BJ496" s="1190"/>
      <c r="BK496" s="1190"/>
      <c r="BL496" s="1190"/>
      <c r="BM496" s="1190"/>
      <c r="BQ496" s="195"/>
      <c r="BR496" s="195"/>
      <c r="BT496" s="1005"/>
    </row>
    <row r="497" ht="15.75" customHeight="1">
      <c r="A497" s="195"/>
      <c r="B497" s="978"/>
      <c r="C497" s="2321"/>
      <c r="D497" s="1729"/>
      <c r="E497" s="1190"/>
      <c r="F497" s="1190"/>
      <c r="G497" s="1190"/>
      <c r="H497" s="1190"/>
      <c r="I497" s="1190"/>
      <c r="J497" s="1190"/>
      <c r="K497" s="1190"/>
      <c r="L497" s="1190"/>
      <c r="M497" s="1190"/>
      <c r="N497" s="1190"/>
      <c r="O497" s="1190"/>
      <c r="P497" s="1190"/>
      <c r="Q497" s="1190"/>
      <c r="R497" s="1190"/>
      <c r="S497" s="1189"/>
      <c r="T497" s="1190"/>
      <c r="U497" s="1190"/>
      <c r="V497" s="1190"/>
      <c r="W497" s="1190"/>
      <c r="X497" s="1190"/>
      <c r="Y497" s="1190"/>
      <c r="Z497" s="1190"/>
      <c r="AA497" s="1190"/>
      <c r="AB497" s="1190"/>
      <c r="AC497" s="1190"/>
      <c r="AD497" s="1190"/>
      <c r="AE497" s="1190"/>
      <c r="AF497" s="1190"/>
      <c r="AG497" s="1748"/>
      <c r="AH497" s="1190"/>
      <c r="AI497" s="1748"/>
      <c r="AJ497" s="1190"/>
      <c r="AK497" s="1190"/>
      <c r="AL497" s="1190"/>
      <c r="AM497" s="1190"/>
      <c r="AN497" s="1190"/>
      <c r="AO497" s="1190"/>
      <c r="AP497" s="1190"/>
      <c r="AQ497" s="1190"/>
      <c r="AR497" s="1190"/>
      <c r="AS497" s="1190"/>
      <c r="AT497" s="1190"/>
      <c r="AU497" s="1190"/>
      <c r="AV497" s="1190"/>
      <c r="AW497" s="1190"/>
      <c r="AX497" s="1190"/>
      <c r="AY497" s="1190"/>
      <c r="AZ497" s="1190"/>
      <c r="BA497" s="1190"/>
      <c r="BB497" s="1190"/>
      <c r="BC497" s="1190"/>
      <c r="BD497" s="1190"/>
      <c r="BE497" s="1190"/>
      <c r="BF497" s="1190"/>
      <c r="BG497" s="1190"/>
      <c r="BH497" s="1190"/>
      <c r="BI497" s="1190"/>
      <c r="BJ497" s="1190"/>
      <c r="BK497" s="1190"/>
      <c r="BL497" s="1190"/>
      <c r="BM497" s="1190"/>
      <c r="BQ497" s="195"/>
      <c r="BR497" s="195"/>
      <c r="BT497" s="1005"/>
    </row>
    <row r="498" ht="15.75" customHeight="1">
      <c r="A498" s="195"/>
      <c r="B498" s="978"/>
      <c r="C498" s="2321"/>
      <c r="D498" s="1729"/>
      <c r="E498" s="1190"/>
      <c r="F498" s="1190"/>
      <c r="G498" s="1190"/>
      <c r="H498" s="1190"/>
      <c r="I498" s="1190"/>
      <c r="J498" s="1190"/>
      <c r="K498" s="1190"/>
      <c r="L498" s="1190"/>
      <c r="M498" s="1190"/>
      <c r="N498" s="1190"/>
      <c r="O498" s="1190"/>
      <c r="P498" s="1190"/>
      <c r="Q498" s="1190"/>
      <c r="R498" s="1190"/>
      <c r="S498" s="1189"/>
      <c r="T498" s="1190"/>
      <c r="U498" s="1190"/>
      <c r="V498" s="1190"/>
      <c r="W498" s="1190"/>
      <c r="X498" s="1190"/>
      <c r="Y498" s="1190"/>
      <c r="Z498" s="1190"/>
      <c r="AA498" s="1190"/>
      <c r="AB498" s="1190"/>
      <c r="AC498" s="1190"/>
      <c r="AD498" s="1190"/>
      <c r="AE498" s="1190"/>
      <c r="AF498" s="1190"/>
      <c r="AG498" s="1748"/>
      <c r="AH498" s="1190"/>
      <c r="AI498" s="1748"/>
      <c r="AJ498" s="1190"/>
      <c r="AK498" s="1190"/>
      <c r="AL498" s="1190"/>
      <c r="AM498" s="1190"/>
      <c r="AN498" s="1190"/>
      <c r="AO498" s="1190"/>
      <c r="AP498" s="1190"/>
      <c r="AQ498" s="1190"/>
      <c r="AR498" s="1190"/>
      <c r="AS498" s="1190"/>
      <c r="AT498" s="1190"/>
      <c r="AU498" s="1190"/>
      <c r="AV498" s="1190"/>
      <c r="AW498" s="1190"/>
      <c r="AX498" s="1190"/>
      <c r="AY498" s="1190"/>
      <c r="AZ498" s="1190"/>
      <c r="BA498" s="1190"/>
      <c r="BB498" s="1190"/>
      <c r="BC498" s="1190"/>
      <c r="BD498" s="1190"/>
      <c r="BE498" s="1190"/>
      <c r="BF498" s="1190"/>
      <c r="BG498" s="1190"/>
      <c r="BH498" s="1190"/>
      <c r="BI498" s="1190"/>
      <c r="BJ498" s="1190"/>
      <c r="BK498" s="1190"/>
      <c r="BL498" s="1190"/>
      <c r="BM498" s="1190"/>
      <c r="BQ498" s="195"/>
      <c r="BR498" s="195"/>
      <c r="BT498" s="1005"/>
    </row>
    <row r="499" ht="15.75" customHeight="1">
      <c r="A499" s="195"/>
      <c r="B499" s="978"/>
      <c r="C499" s="2321"/>
      <c r="D499" s="1729"/>
      <c r="E499" s="1190"/>
      <c r="F499" s="1190"/>
      <c r="G499" s="1190"/>
      <c r="H499" s="1190"/>
      <c r="I499" s="1190"/>
      <c r="J499" s="1190"/>
      <c r="K499" s="1190"/>
      <c r="L499" s="1190"/>
      <c r="M499" s="1190"/>
      <c r="N499" s="1190"/>
      <c r="O499" s="1190"/>
      <c r="P499" s="1190"/>
      <c r="Q499" s="1190"/>
      <c r="R499" s="1190"/>
      <c r="S499" s="1189"/>
      <c r="T499" s="1190"/>
      <c r="U499" s="1190"/>
      <c r="V499" s="1190"/>
      <c r="W499" s="1190"/>
      <c r="X499" s="1190"/>
      <c r="Y499" s="1190"/>
      <c r="Z499" s="1190"/>
      <c r="AA499" s="1190"/>
      <c r="AB499" s="1190"/>
      <c r="AC499" s="1190"/>
      <c r="AD499" s="1190"/>
      <c r="AE499" s="1190"/>
      <c r="AF499" s="1190"/>
      <c r="AG499" s="1748"/>
      <c r="AH499" s="1190"/>
      <c r="AI499" s="1748"/>
      <c r="AJ499" s="1190"/>
      <c r="AK499" s="1190"/>
      <c r="AL499" s="1190"/>
      <c r="AM499" s="1190"/>
      <c r="AN499" s="1190"/>
      <c r="AO499" s="1190"/>
      <c r="AP499" s="1190"/>
      <c r="AQ499" s="1190"/>
      <c r="AR499" s="1190"/>
      <c r="AS499" s="1190"/>
      <c r="AT499" s="1190"/>
      <c r="AU499" s="1190"/>
      <c r="AV499" s="1190"/>
      <c r="AW499" s="1190"/>
      <c r="AX499" s="1190"/>
      <c r="AY499" s="1190"/>
      <c r="AZ499" s="1190"/>
      <c r="BA499" s="1190"/>
      <c r="BB499" s="1190"/>
      <c r="BC499" s="1190"/>
      <c r="BD499" s="1190"/>
      <c r="BE499" s="1190"/>
      <c r="BF499" s="1190"/>
      <c r="BG499" s="1190"/>
      <c r="BH499" s="1190"/>
      <c r="BI499" s="1190"/>
      <c r="BJ499" s="1190"/>
      <c r="BK499" s="1190"/>
      <c r="BL499" s="1190"/>
      <c r="BM499" s="1190"/>
      <c r="BQ499" s="195"/>
      <c r="BR499" s="195"/>
      <c r="BT499" s="1005"/>
    </row>
    <row r="500" ht="15.75" customHeight="1">
      <c r="A500" s="195"/>
      <c r="B500" s="978"/>
      <c r="C500" s="2321"/>
      <c r="D500" s="1729"/>
      <c r="E500" s="1190"/>
      <c r="F500" s="1190"/>
      <c r="G500" s="1190"/>
      <c r="H500" s="1190"/>
      <c r="I500" s="1190"/>
      <c r="J500" s="1190"/>
      <c r="K500" s="1190"/>
      <c r="L500" s="1190"/>
      <c r="M500" s="1190"/>
      <c r="N500" s="1190"/>
      <c r="O500" s="1190"/>
      <c r="P500" s="1190"/>
      <c r="Q500" s="1190"/>
      <c r="R500" s="1190"/>
      <c r="S500" s="1189"/>
      <c r="T500" s="1190"/>
      <c r="U500" s="1190"/>
      <c r="V500" s="1190"/>
      <c r="W500" s="1190"/>
      <c r="X500" s="1190"/>
      <c r="Y500" s="1190"/>
      <c r="Z500" s="1190"/>
      <c r="AA500" s="1190"/>
      <c r="AB500" s="1190"/>
      <c r="AC500" s="1190"/>
      <c r="AD500" s="1190"/>
      <c r="AE500" s="1190"/>
      <c r="AF500" s="1190"/>
      <c r="AG500" s="1748"/>
      <c r="AH500" s="1190"/>
      <c r="AI500" s="1748"/>
      <c r="AJ500" s="1190"/>
      <c r="AK500" s="1190"/>
      <c r="AL500" s="1190"/>
      <c r="AM500" s="1190"/>
      <c r="AN500" s="1190"/>
      <c r="AO500" s="1190"/>
      <c r="AP500" s="1190"/>
      <c r="AQ500" s="1190"/>
      <c r="AR500" s="1190"/>
      <c r="AS500" s="1190"/>
      <c r="AT500" s="1190"/>
      <c r="AU500" s="1190"/>
      <c r="AV500" s="1190"/>
      <c r="AW500" s="1190"/>
      <c r="AX500" s="1190"/>
      <c r="AY500" s="1190"/>
      <c r="AZ500" s="1190"/>
      <c r="BA500" s="1190"/>
      <c r="BB500" s="1190"/>
      <c r="BC500" s="1190"/>
      <c r="BD500" s="1190"/>
      <c r="BE500" s="1190"/>
      <c r="BF500" s="1190"/>
      <c r="BG500" s="1190"/>
      <c r="BH500" s="1190"/>
      <c r="BI500" s="1190"/>
      <c r="BJ500" s="1190"/>
      <c r="BK500" s="1190"/>
      <c r="BL500" s="1190"/>
      <c r="BM500" s="1190"/>
      <c r="BQ500" s="195"/>
      <c r="BR500" s="195"/>
      <c r="BT500" s="1005"/>
    </row>
    <row r="501" ht="15.75" customHeight="1">
      <c r="A501" s="195"/>
      <c r="B501" s="978"/>
      <c r="C501" s="2321"/>
      <c r="D501" s="1729"/>
      <c r="E501" s="1190"/>
      <c r="F501" s="1190"/>
      <c r="G501" s="1190"/>
      <c r="H501" s="1190"/>
      <c r="I501" s="1190"/>
      <c r="J501" s="1190"/>
      <c r="K501" s="1190"/>
      <c r="L501" s="1190"/>
      <c r="M501" s="1190"/>
      <c r="N501" s="1190"/>
      <c r="O501" s="1190"/>
      <c r="P501" s="1190"/>
      <c r="Q501" s="1190"/>
      <c r="R501" s="1190"/>
      <c r="S501" s="1189"/>
      <c r="T501" s="1190"/>
      <c r="U501" s="1190"/>
      <c r="V501" s="1190"/>
      <c r="W501" s="1190"/>
      <c r="X501" s="1190"/>
      <c r="Y501" s="1190"/>
      <c r="Z501" s="1190"/>
      <c r="AA501" s="1190"/>
      <c r="AB501" s="1190"/>
      <c r="AC501" s="1190"/>
      <c r="AD501" s="1190"/>
      <c r="AE501" s="1190"/>
      <c r="AF501" s="1190"/>
      <c r="AG501" s="1748"/>
      <c r="AH501" s="1190"/>
      <c r="AI501" s="1748"/>
      <c r="AJ501" s="1190"/>
      <c r="AK501" s="1190"/>
      <c r="AL501" s="1190"/>
      <c r="AM501" s="1190"/>
      <c r="AN501" s="1190"/>
      <c r="AO501" s="1190"/>
      <c r="AP501" s="1190"/>
      <c r="AQ501" s="1190"/>
      <c r="AR501" s="1190"/>
      <c r="AS501" s="1190"/>
      <c r="AT501" s="1190"/>
      <c r="AU501" s="1190"/>
      <c r="AV501" s="1190"/>
      <c r="AW501" s="1190"/>
      <c r="AX501" s="1190"/>
      <c r="AY501" s="1190"/>
      <c r="AZ501" s="1190"/>
      <c r="BA501" s="1190"/>
      <c r="BB501" s="1190"/>
      <c r="BC501" s="1190"/>
      <c r="BD501" s="1190"/>
      <c r="BE501" s="1190"/>
      <c r="BF501" s="1190"/>
      <c r="BG501" s="1190"/>
      <c r="BH501" s="1190"/>
      <c r="BI501" s="1190"/>
      <c r="BJ501" s="1190"/>
      <c r="BK501" s="1190"/>
      <c r="BL501" s="1190"/>
      <c r="BM501" s="1190"/>
      <c r="BQ501" s="195"/>
      <c r="BR501" s="195"/>
      <c r="BT501" s="1005"/>
    </row>
    <row r="502" ht="15.75" customHeight="1">
      <c r="A502" s="195"/>
      <c r="B502" s="978"/>
      <c r="C502" s="2321"/>
      <c r="D502" s="1729"/>
      <c r="E502" s="1190"/>
      <c r="F502" s="1190"/>
      <c r="G502" s="1190"/>
      <c r="H502" s="1190"/>
      <c r="I502" s="1190"/>
      <c r="J502" s="1190"/>
      <c r="K502" s="1190"/>
      <c r="L502" s="1190"/>
      <c r="M502" s="1190"/>
      <c r="N502" s="1190"/>
      <c r="O502" s="1190"/>
      <c r="P502" s="1190"/>
      <c r="Q502" s="1190"/>
      <c r="R502" s="1190"/>
      <c r="S502" s="1189"/>
      <c r="T502" s="1190"/>
      <c r="U502" s="1190"/>
      <c r="V502" s="1190"/>
      <c r="W502" s="1190"/>
      <c r="X502" s="1190"/>
      <c r="Y502" s="1190"/>
      <c r="Z502" s="1190"/>
      <c r="AA502" s="1190"/>
      <c r="AB502" s="1190"/>
      <c r="AC502" s="1190"/>
      <c r="AD502" s="1190"/>
      <c r="AE502" s="1190"/>
      <c r="AF502" s="1190"/>
      <c r="AG502" s="1748"/>
      <c r="AH502" s="1190"/>
      <c r="AI502" s="1748"/>
      <c r="AJ502" s="1190"/>
      <c r="AK502" s="1190"/>
      <c r="AL502" s="1190"/>
      <c r="AM502" s="1190"/>
      <c r="AN502" s="1190"/>
      <c r="AO502" s="1190"/>
      <c r="AP502" s="1190"/>
      <c r="AQ502" s="1190"/>
      <c r="AR502" s="1190"/>
      <c r="AS502" s="1190"/>
      <c r="AT502" s="1190"/>
      <c r="AU502" s="1190"/>
      <c r="AV502" s="1190"/>
      <c r="AW502" s="1190"/>
      <c r="AX502" s="1190"/>
      <c r="AY502" s="1190"/>
      <c r="AZ502" s="1190"/>
      <c r="BA502" s="1190"/>
      <c r="BB502" s="1190"/>
      <c r="BC502" s="1190"/>
      <c r="BD502" s="1190"/>
      <c r="BE502" s="1190"/>
      <c r="BF502" s="1190"/>
      <c r="BG502" s="1190"/>
      <c r="BH502" s="1190"/>
      <c r="BI502" s="1190"/>
      <c r="BJ502" s="1190"/>
      <c r="BK502" s="1190"/>
      <c r="BL502" s="1190"/>
      <c r="BM502" s="1190"/>
      <c r="BQ502" s="195"/>
      <c r="BR502" s="195"/>
      <c r="BT502" s="1005"/>
    </row>
    <row r="503" ht="15.75" customHeight="1">
      <c r="A503" s="195"/>
      <c r="B503" s="978"/>
      <c r="C503" s="2321"/>
      <c r="D503" s="1729"/>
      <c r="E503" s="1190"/>
      <c r="F503" s="1190"/>
      <c r="G503" s="1190"/>
      <c r="H503" s="1190"/>
      <c r="I503" s="1190"/>
      <c r="J503" s="1190"/>
      <c r="K503" s="1190"/>
      <c r="L503" s="1190"/>
      <c r="M503" s="1190"/>
      <c r="N503" s="1190"/>
      <c r="O503" s="1190"/>
      <c r="P503" s="1190"/>
      <c r="Q503" s="1190"/>
      <c r="R503" s="1190"/>
      <c r="S503" s="1189"/>
      <c r="T503" s="1190"/>
      <c r="U503" s="1190"/>
      <c r="V503" s="1190"/>
      <c r="W503" s="1190"/>
      <c r="X503" s="1190"/>
      <c r="Y503" s="1190"/>
      <c r="Z503" s="1190"/>
      <c r="AA503" s="1190"/>
      <c r="AB503" s="1190"/>
      <c r="AC503" s="1190"/>
      <c r="AD503" s="1190"/>
      <c r="AE503" s="1190"/>
      <c r="AF503" s="1190"/>
      <c r="AG503" s="1748"/>
      <c r="AH503" s="1190"/>
      <c r="AI503" s="1748"/>
      <c r="AJ503" s="1190"/>
      <c r="AK503" s="1190"/>
      <c r="AL503" s="1190"/>
      <c r="AM503" s="1190"/>
      <c r="AN503" s="1190"/>
      <c r="AO503" s="1190"/>
      <c r="AP503" s="1190"/>
      <c r="AQ503" s="1190"/>
      <c r="AR503" s="1190"/>
      <c r="AS503" s="1190"/>
      <c r="AT503" s="1190"/>
      <c r="AU503" s="1190"/>
      <c r="AV503" s="1190"/>
      <c r="AW503" s="1190"/>
      <c r="AX503" s="1190"/>
      <c r="AY503" s="1190"/>
      <c r="AZ503" s="1190"/>
      <c r="BA503" s="1190"/>
      <c r="BB503" s="1190"/>
      <c r="BC503" s="1190"/>
      <c r="BD503" s="1190"/>
      <c r="BE503" s="1190"/>
      <c r="BF503" s="1190"/>
      <c r="BG503" s="1190"/>
      <c r="BH503" s="1190"/>
      <c r="BI503" s="1190"/>
      <c r="BJ503" s="1190"/>
      <c r="BK503" s="1190"/>
      <c r="BL503" s="1190"/>
      <c r="BM503" s="1190"/>
      <c r="BQ503" s="195"/>
      <c r="BR503" s="195"/>
      <c r="BT503" s="1005"/>
    </row>
    <row r="504" ht="15.75" customHeight="1">
      <c r="A504" s="195"/>
      <c r="B504" s="978"/>
      <c r="C504" s="2321"/>
      <c r="D504" s="1729"/>
      <c r="E504" s="1190"/>
      <c r="F504" s="1190"/>
      <c r="G504" s="1190"/>
      <c r="H504" s="1190"/>
      <c r="I504" s="1190"/>
      <c r="J504" s="1190"/>
      <c r="K504" s="1190"/>
      <c r="L504" s="1190"/>
      <c r="M504" s="1190"/>
      <c r="N504" s="1190"/>
      <c r="O504" s="1190"/>
      <c r="P504" s="1190"/>
      <c r="Q504" s="1190"/>
      <c r="R504" s="1190"/>
      <c r="S504" s="1189"/>
      <c r="T504" s="1190"/>
      <c r="U504" s="1190"/>
      <c r="V504" s="1190"/>
      <c r="W504" s="1190"/>
      <c r="X504" s="1190"/>
      <c r="Y504" s="1190"/>
      <c r="Z504" s="1190"/>
      <c r="AA504" s="1190"/>
      <c r="AB504" s="1190"/>
      <c r="AC504" s="1190"/>
      <c r="AD504" s="1190"/>
      <c r="AE504" s="1190"/>
      <c r="AF504" s="1190"/>
      <c r="AG504" s="1748"/>
      <c r="AH504" s="1190"/>
      <c r="AI504" s="1748"/>
      <c r="AJ504" s="1190"/>
      <c r="AK504" s="1190"/>
      <c r="AL504" s="1190"/>
      <c r="AM504" s="1190"/>
      <c r="AN504" s="1190"/>
      <c r="AO504" s="1190"/>
      <c r="AP504" s="1190"/>
      <c r="AQ504" s="1190"/>
      <c r="AR504" s="1190"/>
      <c r="AS504" s="1190"/>
      <c r="AT504" s="1190"/>
      <c r="AU504" s="1190"/>
      <c r="AV504" s="1190"/>
      <c r="AW504" s="1190"/>
      <c r="AX504" s="1190"/>
      <c r="AY504" s="1190"/>
      <c r="AZ504" s="1190"/>
      <c r="BA504" s="1190"/>
      <c r="BB504" s="1190"/>
      <c r="BC504" s="1190"/>
      <c r="BD504" s="1190"/>
      <c r="BE504" s="1190"/>
      <c r="BF504" s="1190"/>
      <c r="BG504" s="1190"/>
      <c r="BH504" s="1190"/>
      <c r="BI504" s="1190"/>
      <c r="BJ504" s="1190"/>
      <c r="BK504" s="1190"/>
      <c r="BL504" s="1190"/>
      <c r="BM504" s="1190"/>
      <c r="BQ504" s="195"/>
      <c r="BR504" s="195"/>
      <c r="BT504" s="1005"/>
    </row>
    <row r="505" ht="15.75" customHeight="1">
      <c r="A505" s="195"/>
      <c r="B505" s="978"/>
      <c r="C505" s="2321"/>
      <c r="D505" s="1729"/>
      <c r="E505" s="1190"/>
      <c r="F505" s="1190"/>
      <c r="G505" s="1190"/>
      <c r="H505" s="1190"/>
      <c r="I505" s="1190"/>
      <c r="J505" s="1190"/>
      <c r="K505" s="1190"/>
      <c r="L505" s="1190"/>
      <c r="M505" s="1190"/>
      <c r="N505" s="1190"/>
      <c r="O505" s="1190"/>
      <c r="P505" s="1190"/>
      <c r="Q505" s="1190"/>
      <c r="R505" s="1190"/>
      <c r="S505" s="1189"/>
      <c r="T505" s="1190"/>
      <c r="U505" s="1190"/>
      <c r="V505" s="1190"/>
      <c r="W505" s="1190"/>
      <c r="X505" s="1190"/>
      <c r="Y505" s="1190"/>
      <c r="Z505" s="1190"/>
      <c r="AA505" s="1190"/>
      <c r="AB505" s="1190"/>
      <c r="AC505" s="1190"/>
      <c r="AD505" s="1190"/>
      <c r="AE505" s="1190"/>
      <c r="AF505" s="1190"/>
      <c r="AG505" s="1748"/>
      <c r="AH505" s="1190"/>
      <c r="AI505" s="1748"/>
      <c r="AJ505" s="1190"/>
      <c r="AK505" s="1190"/>
      <c r="AL505" s="1190"/>
      <c r="AM505" s="1190"/>
      <c r="AN505" s="1190"/>
      <c r="AO505" s="1190"/>
      <c r="AP505" s="1190"/>
      <c r="AQ505" s="1190"/>
      <c r="AR505" s="1190"/>
      <c r="AS505" s="1190"/>
      <c r="AT505" s="1190"/>
      <c r="AU505" s="1190"/>
      <c r="AV505" s="1190"/>
      <c r="AW505" s="1190"/>
      <c r="AX505" s="1190"/>
      <c r="AY505" s="1190"/>
      <c r="AZ505" s="1190"/>
      <c r="BA505" s="1190"/>
      <c r="BB505" s="1190"/>
      <c r="BC505" s="1190"/>
      <c r="BD505" s="1190"/>
      <c r="BE505" s="1190"/>
      <c r="BF505" s="1190"/>
      <c r="BG505" s="1190"/>
      <c r="BH505" s="1190"/>
      <c r="BI505" s="1190"/>
      <c r="BJ505" s="1190"/>
      <c r="BK505" s="1190"/>
      <c r="BL505" s="1190"/>
      <c r="BM505" s="1190"/>
      <c r="BQ505" s="195"/>
      <c r="BR505" s="195"/>
      <c r="BT505" s="1005"/>
    </row>
    <row r="506" ht="15.75" customHeight="1">
      <c r="A506" s="195"/>
      <c r="B506" s="978"/>
      <c r="C506" s="2321"/>
      <c r="D506" s="1729"/>
      <c r="E506" s="1190"/>
      <c r="F506" s="1190"/>
      <c r="G506" s="1190"/>
      <c r="H506" s="1190"/>
      <c r="I506" s="1190"/>
      <c r="J506" s="1190"/>
      <c r="K506" s="1190"/>
      <c r="L506" s="1190"/>
      <c r="M506" s="1190"/>
      <c r="N506" s="1190"/>
      <c r="O506" s="1190"/>
      <c r="P506" s="1190"/>
      <c r="Q506" s="1190"/>
      <c r="R506" s="1190"/>
      <c r="S506" s="1189"/>
      <c r="T506" s="1190"/>
      <c r="U506" s="1190"/>
      <c r="V506" s="1190"/>
      <c r="W506" s="1190"/>
      <c r="X506" s="1190"/>
      <c r="Y506" s="1190"/>
      <c r="Z506" s="1190"/>
      <c r="AA506" s="1190"/>
      <c r="AB506" s="1190"/>
      <c r="AC506" s="1190"/>
      <c r="AD506" s="1190"/>
      <c r="AE506" s="1190"/>
      <c r="AF506" s="1190"/>
      <c r="AG506" s="1748"/>
      <c r="AH506" s="1190"/>
      <c r="AI506" s="1748"/>
      <c r="AJ506" s="1190"/>
      <c r="AK506" s="1190"/>
      <c r="AL506" s="1190"/>
      <c r="AM506" s="1190"/>
      <c r="AN506" s="1190"/>
      <c r="AO506" s="1190"/>
      <c r="AP506" s="1190"/>
      <c r="AQ506" s="1190"/>
      <c r="AR506" s="1190"/>
      <c r="AS506" s="1190"/>
      <c r="AT506" s="1190"/>
      <c r="AU506" s="1190"/>
      <c r="AV506" s="1190"/>
      <c r="AW506" s="1190"/>
      <c r="AX506" s="1190"/>
      <c r="AY506" s="1190"/>
      <c r="AZ506" s="1190"/>
      <c r="BA506" s="1190"/>
      <c r="BB506" s="1190"/>
      <c r="BC506" s="1190"/>
      <c r="BD506" s="1190"/>
      <c r="BE506" s="1190"/>
      <c r="BF506" s="1190"/>
      <c r="BG506" s="1190"/>
      <c r="BH506" s="1190"/>
      <c r="BI506" s="1190"/>
      <c r="BJ506" s="1190"/>
      <c r="BK506" s="1190"/>
      <c r="BL506" s="1190"/>
      <c r="BM506" s="1190"/>
      <c r="BQ506" s="195"/>
      <c r="BR506" s="195"/>
      <c r="BT506" s="1005"/>
    </row>
    <row r="507" ht="15.75" customHeight="1">
      <c r="A507" s="195"/>
      <c r="B507" s="978"/>
      <c r="C507" s="2321"/>
      <c r="D507" s="1729"/>
      <c r="E507" s="1190"/>
      <c r="F507" s="1190"/>
      <c r="G507" s="1190"/>
      <c r="H507" s="1190"/>
      <c r="I507" s="1190"/>
      <c r="J507" s="1190"/>
      <c r="K507" s="1190"/>
      <c r="L507" s="1190"/>
      <c r="M507" s="1190"/>
      <c r="N507" s="1190"/>
      <c r="O507" s="1190"/>
      <c r="P507" s="1190"/>
      <c r="Q507" s="1190"/>
      <c r="R507" s="1190"/>
      <c r="S507" s="1189"/>
      <c r="T507" s="1190"/>
      <c r="U507" s="1190"/>
      <c r="V507" s="1190"/>
      <c r="W507" s="1190"/>
      <c r="X507" s="1190"/>
      <c r="Y507" s="1190"/>
      <c r="Z507" s="1190"/>
      <c r="AA507" s="1190"/>
      <c r="AB507" s="1190"/>
      <c r="AC507" s="1190"/>
      <c r="AD507" s="1190"/>
      <c r="AE507" s="1190"/>
      <c r="AF507" s="1190"/>
      <c r="AG507" s="1748"/>
      <c r="AH507" s="1190"/>
      <c r="AI507" s="1748"/>
      <c r="AJ507" s="1190"/>
      <c r="AK507" s="1190"/>
      <c r="AL507" s="1190"/>
      <c r="AM507" s="1190"/>
      <c r="AN507" s="1190"/>
      <c r="AO507" s="1190"/>
      <c r="AP507" s="1190"/>
      <c r="AQ507" s="1190"/>
      <c r="AR507" s="1190"/>
      <c r="AS507" s="1190"/>
      <c r="AT507" s="1190"/>
      <c r="AU507" s="1190"/>
      <c r="AV507" s="1190"/>
      <c r="AW507" s="1190"/>
      <c r="AX507" s="1190"/>
      <c r="AY507" s="1190"/>
      <c r="AZ507" s="1190"/>
      <c r="BA507" s="1190"/>
      <c r="BB507" s="1190"/>
      <c r="BC507" s="1190"/>
      <c r="BD507" s="1190"/>
      <c r="BE507" s="1190"/>
      <c r="BF507" s="1190"/>
      <c r="BG507" s="1190"/>
      <c r="BH507" s="1190"/>
      <c r="BI507" s="1190"/>
      <c r="BJ507" s="1190"/>
      <c r="BK507" s="1190"/>
      <c r="BL507" s="1190"/>
      <c r="BM507" s="1190"/>
      <c r="BQ507" s="195"/>
      <c r="BR507" s="195"/>
      <c r="BT507" s="1005"/>
    </row>
    <row r="508" ht="15.75" customHeight="1">
      <c r="A508" s="195"/>
      <c r="B508" s="978"/>
      <c r="C508" s="2321"/>
      <c r="D508" s="1729"/>
      <c r="E508" s="1190"/>
      <c r="F508" s="1190"/>
      <c r="G508" s="1190"/>
      <c r="H508" s="1190"/>
      <c r="I508" s="1190"/>
      <c r="J508" s="1190"/>
      <c r="K508" s="1190"/>
      <c r="L508" s="1190"/>
      <c r="M508" s="1190"/>
      <c r="N508" s="1190"/>
      <c r="O508" s="1190"/>
      <c r="P508" s="1190"/>
      <c r="Q508" s="1190"/>
      <c r="R508" s="1190"/>
      <c r="S508" s="1189"/>
      <c r="T508" s="1190"/>
      <c r="U508" s="1190"/>
      <c r="V508" s="1190"/>
      <c r="W508" s="1190"/>
      <c r="X508" s="1190"/>
      <c r="Y508" s="1190"/>
      <c r="Z508" s="1190"/>
      <c r="AA508" s="1190"/>
      <c r="AB508" s="1190"/>
      <c r="AC508" s="1190"/>
      <c r="AD508" s="1190"/>
      <c r="AE508" s="1190"/>
      <c r="AF508" s="1190"/>
      <c r="AG508" s="1748"/>
      <c r="AH508" s="1190"/>
      <c r="AI508" s="1748"/>
      <c r="AJ508" s="1190"/>
      <c r="AK508" s="1190"/>
      <c r="AL508" s="1190"/>
      <c r="AM508" s="1190"/>
      <c r="AN508" s="1190"/>
      <c r="AO508" s="1190"/>
      <c r="AP508" s="1190"/>
      <c r="AQ508" s="1190"/>
      <c r="AR508" s="1190"/>
      <c r="AS508" s="1190"/>
      <c r="AT508" s="1190"/>
      <c r="AU508" s="1190"/>
      <c r="AV508" s="1190"/>
      <c r="AW508" s="1190"/>
      <c r="AX508" s="1190"/>
      <c r="AY508" s="1190"/>
      <c r="AZ508" s="1190"/>
      <c r="BA508" s="1190"/>
      <c r="BB508" s="1190"/>
      <c r="BC508" s="1190"/>
      <c r="BD508" s="1190"/>
      <c r="BE508" s="1190"/>
      <c r="BF508" s="1190"/>
      <c r="BG508" s="1190"/>
      <c r="BH508" s="1190"/>
      <c r="BI508" s="1190"/>
      <c r="BJ508" s="1190"/>
      <c r="BK508" s="1190"/>
      <c r="BL508" s="1190"/>
      <c r="BM508" s="1190"/>
      <c r="BQ508" s="195"/>
      <c r="BR508" s="195"/>
      <c r="BT508" s="1005"/>
    </row>
    <row r="509" ht="15.75" customHeight="1">
      <c r="A509" s="195"/>
      <c r="B509" s="978"/>
      <c r="C509" s="2321"/>
      <c r="D509" s="1729"/>
      <c r="E509" s="1190"/>
      <c r="F509" s="1190"/>
      <c r="G509" s="1190"/>
      <c r="H509" s="1190"/>
      <c r="I509" s="1190"/>
      <c r="J509" s="1190"/>
      <c r="K509" s="1190"/>
      <c r="L509" s="1190"/>
      <c r="M509" s="1190"/>
      <c r="N509" s="1190"/>
      <c r="O509" s="1190"/>
      <c r="P509" s="1190"/>
      <c r="Q509" s="1190"/>
      <c r="R509" s="1190"/>
      <c r="S509" s="1189"/>
      <c r="T509" s="1190"/>
      <c r="U509" s="1190"/>
      <c r="V509" s="1190"/>
      <c r="W509" s="1190"/>
      <c r="X509" s="1190"/>
      <c r="Y509" s="1190"/>
      <c r="Z509" s="1190"/>
      <c r="AA509" s="1190"/>
      <c r="AB509" s="1190"/>
      <c r="AC509" s="1190"/>
      <c r="AD509" s="1190"/>
      <c r="AE509" s="1190"/>
      <c r="AF509" s="1190"/>
      <c r="AG509" s="1748"/>
      <c r="AH509" s="1190"/>
      <c r="AI509" s="1748"/>
      <c r="AJ509" s="1190"/>
      <c r="AK509" s="1190"/>
      <c r="AL509" s="1190"/>
      <c r="AM509" s="1190"/>
      <c r="AN509" s="1190"/>
      <c r="AO509" s="1190"/>
      <c r="AP509" s="1190"/>
      <c r="AQ509" s="1190"/>
      <c r="AR509" s="1190"/>
      <c r="AS509" s="1190"/>
      <c r="AT509" s="1190"/>
      <c r="AU509" s="1190"/>
      <c r="AV509" s="1190"/>
      <c r="AW509" s="1190"/>
      <c r="AX509" s="1190"/>
      <c r="AY509" s="1190"/>
      <c r="AZ509" s="1190"/>
      <c r="BA509" s="1190"/>
      <c r="BB509" s="1190"/>
      <c r="BC509" s="1190"/>
      <c r="BD509" s="1190"/>
      <c r="BE509" s="1190"/>
      <c r="BF509" s="1190"/>
      <c r="BG509" s="1190"/>
      <c r="BH509" s="1190"/>
      <c r="BI509" s="1190"/>
      <c r="BJ509" s="1190"/>
      <c r="BK509" s="1190"/>
      <c r="BL509" s="1190"/>
      <c r="BM509" s="1190"/>
      <c r="BQ509" s="195"/>
      <c r="BR509" s="195"/>
      <c r="BT509" s="1005"/>
    </row>
    <row r="510" ht="15.75" customHeight="1">
      <c r="A510" s="195"/>
      <c r="B510" s="978"/>
      <c r="C510" s="2321"/>
      <c r="D510" s="1729"/>
      <c r="E510" s="1190"/>
      <c r="F510" s="1190"/>
      <c r="G510" s="1190"/>
      <c r="H510" s="1190"/>
      <c r="I510" s="1190"/>
      <c r="J510" s="1190"/>
      <c r="K510" s="1190"/>
      <c r="L510" s="1190"/>
      <c r="M510" s="1190"/>
      <c r="N510" s="1190"/>
      <c r="O510" s="1190"/>
      <c r="P510" s="1190"/>
      <c r="Q510" s="1190"/>
      <c r="R510" s="1190"/>
      <c r="S510" s="1189"/>
      <c r="T510" s="1190"/>
      <c r="U510" s="1190"/>
      <c r="V510" s="1190"/>
      <c r="W510" s="1190"/>
      <c r="X510" s="1190"/>
      <c r="Y510" s="1190"/>
      <c r="Z510" s="1190"/>
      <c r="AA510" s="1190"/>
      <c r="AB510" s="1190"/>
      <c r="AC510" s="1190"/>
      <c r="AD510" s="1190"/>
      <c r="AE510" s="1190"/>
      <c r="AF510" s="1190"/>
      <c r="AG510" s="1748"/>
      <c r="AH510" s="1190"/>
      <c r="AI510" s="1748"/>
      <c r="AJ510" s="1190"/>
      <c r="AK510" s="1190"/>
      <c r="AL510" s="1190"/>
      <c r="AM510" s="1190"/>
      <c r="AN510" s="1190"/>
      <c r="AO510" s="1190"/>
      <c r="AP510" s="1190"/>
      <c r="AQ510" s="1190"/>
      <c r="AR510" s="1190"/>
      <c r="AS510" s="1190"/>
      <c r="AT510" s="1190"/>
      <c r="AU510" s="1190"/>
      <c r="AV510" s="1190"/>
      <c r="AW510" s="1190"/>
      <c r="AX510" s="1190"/>
      <c r="AY510" s="1190"/>
      <c r="AZ510" s="1190"/>
      <c r="BA510" s="1190"/>
      <c r="BB510" s="1190"/>
      <c r="BC510" s="1190"/>
      <c r="BD510" s="1190"/>
      <c r="BE510" s="1190"/>
      <c r="BF510" s="1190"/>
      <c r="BG510" s="1190"/>
      <c r="BH510" s="1190"/>
      <c r="BI510" s="1190"/>
      <c r="BJ510" s="1190"/>
      <c r="BK510" s="1190"/>
      <c r="BL510" s="1190"/>
      <c r="BM510" s="1190"/>
      <c r="BQ510" s="195"/>
      <c r="BR510" s="195"/>
      <c r="BT510" s="1005"/>
    </row>
    <row r="511" ht="15.75" customHeight="1">
      <c r="A511" s="195"/>
      <c r="B511" s="978"/>
      <c r="C511" s="2321"/>
      <c r="D511" s="1729"/>
      <c r="E511" s="1190"/>
      <c r="F511" s="1190"/>
      <c r="G511" s="1190"/>
      <c r="H511" s="1190"/>
      <c r="I511" s="1190"/>
      <c r="J511" s="1190"/>
      <c r="K511" s="1190"/>
      <c r="L511" s="1190"/>
      <c r="M511" s="1190"/>
      <c r="N511" s="1190"/>
      <c r="O511" s="1190"/>
      <c r="P511" s="1190"/>
      <c r="Q511" s="1190"/>
      <c r="R511" s="1190"/>
      <c r="S511" s="1189"/>
      <c r="T511" s="1190"/>
      <c r="U511" s="1190"/>
      <c r="V511" s="1190"/>
      <c r="W511" s="1190"/>
      <c r="X511" s="1190"/>
      <c r="Y511" s="1190"/>
      <c r="Z511" s="1190"/>
      <c r="AA511" s="1190"/>
      <c r="AB511" s="1190"/>
      <c r="AC511" s="1190"/>
      <c r="AD511" s="1190"/>
      <c r="AE511" s="1190"/>
      <c r="AF511" s="1190"/>
      <c r="AG511" s="1748"/>
      <c r="AH511" s="1190"/>
      <c r="AI511" s="1748"/>
      <c r="AJ511" s="1190"/>
      <c r="AK511" s="1190"/>
      <c r="AL511" s="1190"/>
      <c r="AM511" s="1190"/>
      <c r="AN511" s="1190"/>
      <c r="AO511" s="1190"/>
      <c r="AP511" s="1190"/>
      <c r="AQ511" s="1190"/>
      <c r="AR511" s="1190"/>
      <c r="AS511" s="1190"/>
      <c r="AT511" s="1190"/>
      <c r="AU511" s="1190"/>
      <c r="AV511" s="1190"/>
      <c r="AW511" s="1190"/>
      <c r="AX511" s="1190"/>
      <c r="AY511" s="1190"/>
      <c r="AZ511" s="1190"/>
      <c r="BA511" s="1190"/>
      <c r="BB511" s="1190"/>
      <c r="BC511" s="1190"/>
      <c r="BD511" s="1190"/>
      <c r="BE511" s="1190"/>
      <c r="BF511" s="1190"/>
      <c r="BG511" s="1190"/>
      <c r="BH511" s="1190"/>
      <c r="BI511" s="1190"/>
      <c r="BJ511" s="1190"/>
      <c r="BK511" s="1190"/>
      <c r="BL511" s="1190"/>
      <c r="BM511" s="1190"/>
      <c r="BQ511" s="195"/>
      <c r="BR511" s="195"/>
      <c r="BT511" s="1005"/>
    </row>
    <row r="512" ht="15.75" customHeight="1">
      <c r="A512" s="195"/>
      <c r="B512" s="978"/>
      <c r="C512" s="2321"/>
      <c r="D512" s="1729"/>
      <c r="E512" s="1190"/>
      <c r="F512" s="1190"/>
      <c r="G512" s="1190"/>
      <c r="H512" s="1190"/>
      <c r="I512" s="1190"/>
      <c r="J512" s="1190"/>
      <c r="K512" s="1190"/>
      <c r="L512" s="1190"/>
      <c r="M512" s="1190"/>
      <c r="N512" s="1190"/>
      <c r="O512" s="1190"/>
      <c r="P512" s="1190"/>
      <c r="Q512" s="1190"/>
      <c r="R512" s="1190"/>
      <c r="S512" s="1189"/>
      <c r="T512" s="1190"/>
      <c r="U512" s="1190"/>
      <c r="V512" s="1190"/>
      <c r="W512" s="1190"/>
      <c r="X512" s="1190"/>
      <c r="Y512" s="1190"/>
      <c r="Z512" s="1190"/>
      <c r="AA512" s="1190"/>
      <c r="AB512" s="1190"/>
      <c r="AC512" s="1190"/>
      <c r="AD512" s="1190"/>
      <c r="AE512" s="1190"/>
      <c r="AF512" s="1190"/>
      <c r="AG512" s="1748"/>
      <c r="AH512" s="1190"/>
      <c r="AI512" s="1748"/>
      <c r="AJ512" s="1190"/>
      <c r="AK512" s="1190"/>
      <c r="AL512" s="1190"/>
      <c r="AM512" s="1190"/>
      <c r="AN512" s="1190"/>
      <c r="AO512" s="1190"/>
      <c r="AP512" s="1190"/>
      <c r="AQ512" s="1190"/>
      <c r="AR512" s="1190"/>
      <c r="AS512" s="1190"/>
      <c r="AT512" s="1190"/>
      <c r="AU512" s="1190"/>
      <c r="AV512" s="1190"/>
      <c r="AW512" s="1190"/>
      <c r="AX512" s="1190"/>
      <c r="AY512" s="1190"/>
      <c r="AZ512" s="1190"/>
      <c r="BA512" s="1190"/>
      <c r="BB512" s="1190"/>
      <c r="BC512" s="1190"/>
      <c r="BD512" s="1190"/>
      <c r="BE512" s="1190"/>
      <c r="BF512" s="1190"/>
      <c r="BG512" s="1190"/>
      <c r="BH512" s="1190"/>
      <c r="BI512" s="1190"/>
      <c r="BJ512" s="1190"/>
      <c r="BK512" s="1190"/>
      <c r="BL512" s="1190"/>
      <c r="BM512" s="1190"/>
      <c r="BQ512" s="195"/>
      <c r="BR512" s="195"/>
      <c r="BT512" s="1005"/>
    </row>
    <row r="513" ht="15.75" customHeight="1">
      <c r="A513" s="195"/>
      <c r="B513" s="978"/>
      <c r="C513" s="2321"/>
      <c r="D513" s="1729"/>
      <c r="E513" s="1190"/>
      <c r="F513" s="1190"/>
      <c r="G513" s="1190"/>
      <c r="H513" s="1190"/>
      <c r="I513" s="1190"/>
      <c r="J513" s="1190"/>
      <c r="K513" s="1190"/>
      <c r="L513" s="1190"/>
      <c r="M513" s="1190"/>
      <c r="N513" s="1190"/>
      <c r="O513" s="1190"/>
      <c r="P513" s="1190"/>
      <c r="Q513" s="1190"/>
      <c r="R513" s="1190"/>
      <c r="S513" s="1189"/>
      <c r="T513" s="1190"/>
      <c r="U513" s="1190"/>
      <c r="V513" s="1190"/>
      <c r="W513" s="1190"/>
      <c r="X513" s="1190"/>
      <c r="Y513" s="1190"/>
      <c r="Z513" s="1190"/>
      <c r="AA513" s="1190"/>
      <c r="AB513" s="1190"/>
      <c r="AC513" s="1190"/>
      <c r="AD513" s="1190"/>
      <c r="AE513" s="1190"/>
      <c r="AF513" s="1190"/>
      <c r="AG513" s="1748"/>
      <c r="AH513" s="1190"/>
      <c r="AI513" s="1748"/>
      <c r="AJ513" s="1190"/>
      <c r="AK513" s="1190"/>
      <c r="AL513" s="1190"/>
      <c r="AM513" s="1190"/>
      <c r="AN513" s="1190"/>
      <c r="AO513" s="1190"/>
      <c r="AP513" s="1190"/>
      <c r="AQ513" s="1190"/>
      <c r="AR513" s="1190"/>
      <c r="AS513" s="1190"/>
      <c r="AT513" s="1190"/>
      <c r="AU513" s="1190"/>
      <c r="AV513" s="1190"/>
      <c r="AW513" s="1190"/>
      <c r="AX513" s="1190"/>
      <c r="AY513" s="1190"/>
      <c r="AZ513" s="1190"/>
      <c r="BA513" s="1190"/>
      <c r="BB513" s="1190"/>
      <c r="BC513" s="1190"/>
      <c r="BD513" s="1190"/>
      <c r="BE513" s="1190"/>
      <c r="BF513" s="1190"/>
      <c r="BG513" s="1190"/>
      <c r="BH513" s="1190"/>
      <c r="BI513" s="1190"/>
      <c r="BJ513" s="1190"/>
      <c r="BK513" s="1190"/>
      <c r="BL513" s="1190"/>
      <c r="BM513" s="1190"/>
      <c r="BQ513" s="195"/>
      <c r="BR513" s="195"/>
      <c r="BT513" s="1005"/>
    </row>
    <row r="514" ht="15.75" customHeight="1">
      <c r="A514" s="195"/>
      <c r="B514" s="978"/>
      <c r="C514" s="2321"/>
      <c r="D514" s="1729"/>
      <c r="E514" s="1190"/>
      <c r="F514" s="1190"/>
      <c r="G514" s="1190"/>
      <c r="H514" s="1190"/>
      <c r="I514" s="1190"/>
      <c r="J514" s="1190"/>
      <c r="K514" s="1190"/>
      <c r="L514" s="1190"/>
      <c r="M514" s="1190"/>
      <c r="N514" s="1190"/>
      <c r="O514" s="1190"/>
      <c r="P514" s="1190"/>
      <c r="Q514" s="1190"/>
      <c r="R514" s="1190"/>
      <c r="S514" s="1189"/>
      <c r="T514" s="1190"/>
      <c r="U514" s="1190"/>
      <c r="V514" s="1190"/>
      <c r="W514" s="1190"/>
      <c r="X514" s="1190"/>
      <c r="Y514" s="1190"/>
      <c r="Z514" s="1190"/>
      <c r="AA514" s="1190"/>
      <c r="AB514" s="1190"/>
      <c r="AC514" s="1190"/>
      <c r="AD514" s="1190"/>
      <c r="AE514" s="1190"/>
      <c r="AF514" s="1190"/>
      <c r="AG514" s="1748"/>
      <c r="AH514" s="1190"/>
      <c r="AI514" s="1748"/>
      <c r="AJ514" s="1190"/>
      <c r="AK514" s="1190"/>
      <c r="AL514" s="1190"/>
      <c r="AM514" s="1190"/>
      <c r="AN514" s="1190"/>
      <c r="AO514" s="1190"/>
      <c r="AP514" s="1190"/>
      <c r="AQ514" s="1190"/>
      <c r="AR514" s="1190"/>
      <c r="AS514" s="1190"/>
      <c r="AT514" s="1190"/>
      <c r="AU514" s="1190"/>
      <c r="AV514" s="1190"/>
      <c r="AW514" s="1190"/>
      <c r="AX514" s="1190"/>
      <c r="AY514" s="1190"/>
      <c r="AZ514" s="1190"/>
      <c r="BA514" s="1190"/>
      <c r="BB514" s="1190"/>
      <c r="BC514" s="1190"/>
      <c r="BD514" s="1190"/>
      <c r="BE514" s="1190"/>
      <c r="BF514" s="1190"/>
      <c r="BG514" s="1190"/>
      <c r="BH514" s="1190"/>
      <c r="BI514" s="1190"/>
      <c r="BJ514" s="1190"/>
      <c r="BK514" s="1190"/>
      <c r="BL514" s="1190"/>
      <c r="BM514" s="1190"/>
      <c r="BQ514" s="195"/>
      <c r="BR514" s="195"/>
      <c r="BT514" s="1005"/>
    </row>
    <row r="515" ht="15.75" customHeight="1">
      <c r="A515" s="195"/>
      <c r="B515" s="978"/>
      <c r="C515" s="2321"/>
      <c r="D515" s="1729"/>
      <c r="E515" s="1190"/>
      <c r="F515" s="1190"/>
      <c r="G515" s="1190"/>
      <c r="H515" s="1190"/>
      <c r="I515" s="1190"/>
      <c r="J515" s="1190"/>
      <c r="K515" s="1190"/>
      <c r="L515" s="1190"/>
      <c r="M515" s="1190"/>
      <c r="N515" s="1190"/>
      <c r="O515" s="1190"/>
      <c r="P515" s="1190"/>
      <c r="Q515" s="1190"/>
      <c r="R515" s="1190"/>
      <c r="S515" s="1189"/>
      <c r="T515" s="1190"/>
      <c r="U515" s="1190"/>
      <c r="V515" s="1190"/>
      <c r="W515" s="1190"/>
      <c r="X515" s="1190"/>
      <c r="Y515" s="1190"/>
      <c r="Z515" s="1190"/>
      <c r="AA515" s="1190"/>
      <c r="AB515" s="1190"/>
      <c r="AC515" s="1190"/>
      <c r="AD515" s="1190"/>
      <c r="AE515" s="1190"/>
      <c r="AF515" s="1190"/>
      <c r="AG515" s="1748"/>
      <c r="AH515" s="1190"/>
      <c r="AI515" s="1748"/>
      <c r="AJ515" s="1190"/>
      <c r="AK515" s="1190"/>
      <c r="AL515" s="1190"/>
      <c r="AM515" s="1190"/>
      <c r="AN515" s="1190"/>
      <c r="AO515" s="1190"/>
      <c r="AP515" s="1190"/>
      <c r="AQ515" s="1190"/>
      <c r="AR515" s="1190"/>
      <c r="AS515" s="1190"/>
      <c r="AT515" s="1190"/>
      <c r="AU515" s="1190"/>
      <c r="AV515" s="1190"/>
      <c r="AW515" s="1190"/>
      <c r="AX515" s="1190"/>
      <c r="AY515" s="1190"/>
      <c r="AZ515" s="1190"/>
      <c r="BA515" s="1190"/>
      <c r="BB515" s="1190"/>
      <c r="BC515" s="1190"/>
      <c r="BD515" s="1190"/>
      <c r="BE515" s="1190"/>
      <c r="BF515" s="1190"/>
      <c r="BG515" s="1190"/>
      <c r="BH515" s="1190"/>
      <c r="BI515" s="1190"/>
      <c r="BJ515" s="1190"/>
      <c r="BK515" s="1190"/>
      <c r="BL515" s="1190"/>
      <c r="BM515" s="1190"/>
      <c r="BQ515" s="195"/>
      <c r="BR515" s="195"/>
      <c r="BT515" s="1005"/>
    </row>
    <row r="516" ht="15.75" customHeight="1">
      <c r="A516" s="195"/>
      <c r="B516" s="978"/>
      <c r="C516" s="2321"/>
      <c r="D516" s="1729"/>
      <c r="E516" s="1190"/>
      <c r="F516" s="1190"/>
      <c r="G516" s="1190"/>
      <c r="H516" s="1190"/>
      <c r="I516" s="1190"/>
      <c r="J516" s="1190"/>
      <c r="K516" s="1190"/>
      <c r="L516" s="1190"/>
      <c r="M516" s="1190"/>
      <c r="N516" s="1190"/>
      <c r="O516" s="1190"/>
      <c r="P516" s="1190"/>
      <c r="Q516" s="1190"/>
      <c r="R516" s="1190"/>
      <c r="S516" s="1189"/>
      <c r="T516" s="1190"/>
      <c r="U516" s="1190"/>
      <c r="V516" s="1190"/>
      <c r="W516" s="1190"/>
      <c r="X516" s="1190"/>
      <c r="Y516" s="1190"/>
      <c r="Z516" s="1190"/>
      <c r="AA516" s="1190"/>
      <c r="AB516" s="1190"/>
      <c r="AC516" s="1190"/>
      <c r="AD516" s="1190"/>
      <c r="AE516" s="1190"/>
      <c r="AF516" s="1190"/>
      <c r="AG516" s="1748"/>
      <c r="AH516" s="1190"/>
      <c r="AI516" s="1748"/>
      <c r="AJ516" s="1190"/>
      <c r="AK516" s="1190"/>
      <c r="AL516" s="1190"/>
      <c r="AM516" s="1190"/>
      <c r="AN516" s="1190"/>
      <c r="AO516" s="1190"/>
      <c r="AP516" s="1190"/>
      <c r="AQ516" s="1190"/>
      <c r="AR516" s="1190"/>
      <c r="AS516" s="1190"/>
      <c r="AT516" s="1190"/>
      <c r="AU516" s="1190"/>
      <c r="AV516" s="1190"/>
      <c r="AW516" s="1190"/>
      <c r="AX516" s="1190"/>
      <c r="AY516" s="1190"/>
      <c r="AZ516" s="1190"/>
      <c r="BA516" s="1190"/>
      <c r="BB516" s="1190"/>
      <c r="BC516" s="1190"/>
      <c r="BD516" s="1190"/>
      <c r="BE516" s="1190"/>
      <c r="BF516" s="1190"/>
      <c r="BG516" s="1190"/>
      <c r="BH516" s="1190"/>
      <c r="BI516" s="1190"/>
      <c r="BJ516" s="1190"/>
      <c r="BK516" s="1190"/>
      <c r="BL516" s="1190"/>
      <c r="BM516" s="1190"/>
      <c r="BQ516" s="195"/>
      <c r="BR516" s="195"/>
      <c r="BT516" s="1005"/>
    </row>
    <row r="517" ht="15.75" customHeight="1">
      <c r="A517" s="195"/>
      <c r="B517" s="978"/>
      <c r="C517" s="2321"/>
      <c r="D517" s="1729"/>
      <c r="E517" s="1190"/>
      <c r="F517" s="1190"/>
      <c r="G517" s="1190"/>
      <c r="H517" s="1190"/>
      <c r="I517" s="1190"/>
      <c r="J517" s="1190"/>
      <c r="K517" s="1190"/>
      <c r="L517" s="1190"/>
      <c r="M517" s="1190"/>
      <c r="N517" s="1190"/>
      <c r="O517" s="1190"/>
      <c r="P517" s="1190"/>
      <c r="Q517" s="1190"/>
      <c r="R517" s="1190"/>
      <c r="S517" s="1189"/>
      <c r="T517" s="1190"/>
      <c r="U517" s="1190"/>
      <c r="V517" s="1190"/>
      <c r="W517" s="1190"/>
      <c r="X517" s="1190"/>
      <c r="Y517" s="1190"/>
      <c r="Z517" s="1190"/>
      <c r="AA517" s="1190"/>
      <c r="AB517" s="1190"/>
      <c r="AC517" s="1190"/>
      <c r="AD517" s="1190"/>
      <c r="AE517" s="1190"/>
      <c r="AF517" s="1190"/>
      <c r="AG517" s="1748"/>
      <c r="AH517" s="1190"/>
      <c r="AI517" s="1748"/>
      <c r="AJ517" s="1190"/>
      <c r="AK517" s="1190"/>
      <c r="AL517" s="1190"/>
      <c r="AM517" s="1190"/>
      <c r="AN517" s="1190"/>
      <c r="AO517" s="1190"/>
      <c r="AP517" s="1190"/>
      <c r="AQ517" s="1190"/>
      <c r="AR517" s="1190"/>
      <c r="AS517" s="1190"/>
      <c r="AT517" s="1190"/>
      <c r="AU517" s="1190"/>
      <c r="AV517" s="1190"/>
      <c r="AW517" s="1190"/>
      <c r="AX517" s="1190"/>
      <c r="AY517" s="1190"/>
      <c r="AZ517" s="1190"/>
      <c r="BA517" s="1190"/>
      <c r="BB517" s="1190"/>
      <c r="BC517" s="1190"/>
      <c r="BD517" s="1190"/>
      <c r="BE517" s="1190"/>
      <c r="BF517" s="1190"/>
      <c r="BG517" s="1190"/>
      <c r="BH517" s="1190"/>
      <c r="BI517" s="1190"/>
      <c r="BJ517" s="1190"/>
      <c r="BK517" s="1190"/>
      <c r="BL517" s="1190"/>
      <c r="BM517" s="1190"/>
      <c r="BQ517" s="195"/>
      <c r="BR517" s="195"/>
      <c r="BT517" s="1005"/>
    </row>
    <row r="518" ht="15.75" customHeight="1">
      <c r="A518" s="195"/>
      <c r="B518" s="978"/>
      <c r="C518" s="2321"/>
      <c r="D518" s="1729"/>
      <c r="E518" s="1190"/>
      <c r="F518" s="1190"/>
      <c r="G518" s="1190"/>
      <c r="H518" s="1190"/>
      <c r="I518" s="1190"/>
      <c r="J518" s="1190"/>
      <c r="K518" s="1190"/>
      <c r="L518" s="1190"/>
      <c r="M518" s="1190"/>
      <c r="N518" s="1190"/>
      <c r="O518" s="1190"/>
      <c r="P518" s="1190"/>
      <c r="Q518" s="1190"/>
      <c r="R518" s="1190"/>
      <c r="S518" s="1189"/>
      <c r="T518" s="1190"/>
      <c r="U518" s="1190"/>
      <c r="V518" s="1190"/>
      <c r="W518" s="1190"/>
      <c r="X518" s="1190"/>
      <c r="Y518" s="1190"/>
      <c r="Z518" s="1190"/>
      <c r="AA518" s="1190"/>
      <c r="AB518" s="1190"/>
      <c r="AC518" s="1190"/>
      <c r="AD518" s="1190"/>
      <c r="AE518" s="1190"/>
      <c r="AF518" s="1190"/>
      <c r="AG518" s="1748"/>
      <c r="AH518" s="1190"/>
      <c r="AI518" s="1748"/>
      <c r="AJ518" s="1190"/>
      <c r="AK518" s="1190"/>
      <c r="AL518" s="1190"/>
      <c r="AM518" s="1190"/>
      <c r="AN518" s="1190"/>
      <c r="AO518" s="1190"/>
      <c r="AP518" s="1190"/>
      <c r="AQ518" s="1190"/>
      <c r="AR518" s="1190"/>
      <c r="AS518" s="1190"/>
      <c r="AT518" s="1190"/>
      <c r="AU518" s="1190"/>
      <c r="AV518" s="1190"/>
      <c r="AW518" s="1190"/>
      <c r="AX518" s="1190"/>
      <c r="AY518" s="1190"/>
      <c r="AZ518" s="1190"/>
      <c r="BA518" s="1190"/>
      <c r="BB518" s="1190"/>
      <c r="BC518" s="1190"/>
      <c r="BD518" s="1190"/>
      <c r="BE518" s="1190"/>
      <c r="BF518" s="1190"/>
      <c r="BG518" s="1190"/>
      <c r="BH518" s="1190"/>
      <c r="BI518" s="1190"/>
      <c r="BJ518" s="1190"/>
      <c r="BK518" s="1190"/>
      <c r="BL518" s="1190"/>
      <c r="BM518" s="1190"/>
      <c r="BQ518" s="195"/>
      <c r="BR518" s="195"/>
      <c r="BT518" s="1005"/>
    </row>
    <row r="519" ht="15.75" customHeight="1">
      <c r="A519" s="195"/>
      <c r="B519" s="978"/>
      <c r="C519" s="2321"/>
      <c r="D519" s="1729"/>
      <c r="E519" s="1190"/>
      <c r="F519" s="1190"/>
      <c r="G519" s="1190"/>
      <c r="H519" s="1190"/>
      <c r="I519" s="1190"/>
      <c r="J519" s="1190"/>
      <c r="K519" s="1190"/>
      <c r="L519" s="1190"/>
      <c r="M519" s="1190"/>
      <c r="N519" s="1190"/>
      <c r="O519" s="1190"/>
      <c r="P519" s="1190"/>
      <c r="Q519" s="1190"/>
      <c r="R519" s="1190"/>
      <c r="S519" s="1189"/>
      <c r="T519" s="1190"/>
      <c r="U519" s="1190"/>
      <c r="V519" s="1190"/>
      <c r="W519" s="1190"/>
      <c r="X519" s="1190"/>
      <c r="Y519" s="1190"/>
      <c r="Z519" s="1190"/>
      <c r="AA519" s="1190"/>
      <c r="AB519" s="1190"/>
      <c r="AC519" s="1190"/>
      <c r="AD519" s="1190"/>
      <c r="AE519" s="1190"/>
      <c r="AF519" s="1190"/>
      <c r="AG519" s="1748"/>
      <c r="AH519" s="1190"/>
      <c r="AI519" s="1748"/>
      <c r="AJ519" s="1190"/>
      <c r="AK519" s="1190"/>
      <c r="AL519" s="1190"/>
      <c r="AM519" s="1190"/>
      <c r="AN519" s="1190"/>
      <c r="AO519" s="1190"/>
      <c r="AP519" s="1190"/>
      <c r="AQ519" s="1190"/>
      <c r="AR519" s="1190"/>
      <c r="AS519" s="1190"/>
      <c r="AT519" s="1190"/>
      <c r="AU519" s="1190"/>
      <c r="AV519" s="1190"/>
      <c r="AW519" s="1190"/>
      <c r="AX519" s="1190"/>
      <c r="AY519" s="1190"/>
      <c r="AZ519" s="1190"/>
      <c r="BA519" s="1190"/>
      <c r="BB519" s="1190"/>
      <c r="BC519" s="1190"/>
      <c r="BD519" s="1190"/>
      <c r="BE519" s="1190"/>
      <c r="BF519" s="1190"/>
      <c r="BG519" s="1190"/>
      <c r="BH519" s="1190"/>
      <c r="BI519" s="1190"/>
      <c r="BJ519" s="1190"/>
      <c r="BK519" s="1190"/>
      <c r="BL519" s="1190"/>
      <c r="BM519" s="1190"/>
      <c r="BQ519" s="195"/>
      <c r="BR519" s="195"/>
      <c r="BT519" s="1005"/>
    </row>
    <row r="520" ht="15.75" customHeight="1">
      <c r="A520" s="195"/>
      <c r="B520" s="978"/>
      <c r="C520" s="2321"/>
      <c r="D520" s="1729"/>
      <c r="E520" s="1190"/>
      <c r="F520" s="1190"/>
      <c r="G520" s="1190"/>
      <c r="H520" s="1190"/>
      <c r="I520" s="1190"/>
      <c r="J520" s="1190"/>
      <c r="K520" s="1190"/>
      <c r="L520" s="1190"/>
      <c r="M520" s="1190"/>
      <c r="N520" s="1190"/>
      <c r="O520" s="1190"/>
      <c r="P520" s="1190"/>
      <c r="Q520" s="1190"/>
      <c r="R520" s="1190"/>
      <c r="S520" s="1189"/>
      <c r="T520" s="1190"/>
      <c r="U520" s="1190"/>
      <c r="V520" s="1190"/>
      <c r="W520" s="1190"/>
      <c r="X520" s="1190"/>
      <c r="Y520" s="1190"/>
      <c r="Z520" s="1190"/>
      <c r="AA520" s="1190"/>
      <c r="AB520" s="1190"/>
      <c r="AC520" s="1190"/>
      <c r="AD520" s="1190"/>
      <c r="AE520" s="1190"/>
      <c r="AF520" s="1190"/>
      <c r="AG520" s="1748"/>
      <c r="AH520" s="1190"/>
      <c r="AI520" s="1748"/>
      <c r="AJ520" s="1190"/>
      <c r="AK520" s="1190"/>
      <c r="AL520" s="1190"/>
      <c r="AM520" s="1190"/>
      <c r="AN520" s="1190"/>
      <c r="AO520" s="1190"/>
      <c r="AP520" s="1190"/>
      <c r="AQ520" s="1190"/>
      <c r="AR520" s="1190"/>
      <c r="AS520" s="1190"/>
      <c r="AT520" s="1190"/>
      <c r="AU520" s="1190"/>
      <c r="AV520" s="1190"/>
      <c r="AW520" s="1190"/>
      <c r="AX520" s="1190"/>
      <c r="AY520" s="1190"/>
      <c r="AZ520" s="1190"/>
      <c r="BA520" s="1190"/>
      <c r="BB520" s="1190"/>
      <c r="BC520" s="1190"/>
      <c r="BD520" s="1190"/>
      <c r="BE520" s="1190"/>
      <c r="BF520" s="1190"/>
      <c r="BG520" s="1190"/>
      <c r="BH520" s="1190"/>
      <c r="BI520" s="1190"/>
      <c r="BJ520" s="1190"/>
      <c r="BK520" s="1190"/>
      <c r="BL520" s="1190"/>
      <c r="BM520" s="1190"/>
      <c r="BQ520" s="195"/>
      <c r="BR520" s="195"/>
      <c r="BT520" s="1005"/>
    </row>
    <row r="521" ht="15.75" customHeight="1">
      <c r="A521" s="195"/>
      <c r="B521" s="978"/>
      <c r="C521" s="2321"/>
      <c r="D521" s="1729"/>
      <c r="E521" s="1190"/>
      <c r="F521" s="1190"/>
      <c r="G521" s="1190"/>
      <c r="H521" s="1190"/>
      <c r="I521" s="1190"/>
      <c r="J521" s="1190"/>
      <c r="K521" s="1190"/>
      <c r="L521" s="1190"/>
      <c r="M521" s="1190"/>
      <c r="N521" s="1190"/>
      <c r="O521" s="1190"/>
      <c r="P521" s="1190"/>
      <c r="Q521" s="1190"/>
      <c r="R521" s="1190"/>
      <c r="S521" s="1189"/>
      <c r="T521" s="1190"/>
      <c r="U521" s="1190"/>
      <c r="V521" s="1190"/>
      <c r="W521" s="1190"/>
      <c r="X521" s="1190"/>
      <c r="Y521" s="1190"/>
      <c r="Z521" s="1190"/>
      <c r="AA521" s="1190"/>
      <c r="AB521" s="1190"/>
      <c r="AC521" s="1190"/>
      <c r="AD521" s="1190"/>
      <c r="AE521" s="1190"/>
      <c r="AF521" s="1190"/>
      <c r="AG521" s="1748"/>
      <c r="AH521" s="1190"/>
      <c r="AI521" s="1748"/>
      <c r="AJ521" s="1190"/>
      <c r="AK521" s="1190"/>
      <c r="AL521" s="1190"/>
      <c r="AM521" s="1190"/>
      <c r="AN521" s="1190"/>
      <c r="AO521" s="1190"/>
      <c r="AP521" s="1190"/>
      <c r="AQ521" s="1190"/>
      <c r="AR521" s="1190"/>
      <c r="AS521" s="1190"/>
      <c r="AT521" s="1190"/>
      <c r="AU521" s="1190"/>
      <c r="AV521" s="1190"/>
      <c r="AW521" s="1190"/>
      <c r="AX521" s="1190"/>
      <c r="AY521" s="1190"/>
      <c r="AZ521" s="1190"/>
      <c r="BA521" s="1190"/>
      <c r="BB521" s="1190"/>
      <c r="BC521" s="1190"/>
      <c r="BD521" s="1190"/>
      <c r="BE521" s="1190"/>
      <c r="BF521" s="1190"/>
      <c r="BG521" s="1190"/>
      <c r="BH521" s="1190"/>
      <c r="BI521" s="1190"/>
      <c r="BJ521" s="1190"/>
      <c r="BK521" s="1190"/>
      <c r="BL521" s="1190"/>
      <c r="BM521" s="1190"/>
      <c r="BQ521" s="195"/>
      <c r="BR521" s="195"/>
      <c r="BT521" s="1005"/>
    </row>
    <row r="522" ht="15.75" customHeight="1">
      <c r="A522" s="195"/>
      <c r="B522" s="978"/>
      <c r="C522" s="2321"/>
      <c r="D522" s="1729"/>
      <c r="E522" s="1190"/>
      <c r="F522" s="1190"/>
      <c r="G522" s="1190"/>
      <c r="H522" s="1190"/>
      <c r="I522" s="1190"/>
      <c r="J522" s="1190"/>
      <c r="K522" s="1190"/>
      <c r="L522" s="1190"/>
      <c r="M522" s="1190"/>
      <c r="N522" s="1190"/>
      <c r="O522" s="1190"/>
      <c r="P522" s="1190"/>
      <c r="Q522" s="1190"/>
      <c r="R522" s="1190"/>
      <c r="S522" s="1189"/>
      <c r="T522" s="1190"/>
      <c r="U522" s="1190"/>
      <c r="V522" s="1190"/>
      <c r="W522" s="1190"/>
      <c r="X522" s="1190"/>
      <c r="Y522" s="1190"/>
      <c r="Z522" s="1190"/>
      <c r="AA522" s="1190"/>
      <c r="AB522" s="1190"/>
      <c r="AC522" s="1190"/>
      <c r="AD522" s="1190"/>
      <c r="AE522" s="1190"/>
      <c r="AF522" s="1190"/>
      <c r="AG522" s="1748"/>
      <c r="AH522" s="1190"/>
      <c r="AI522" s="1748"/>
      <c r="AJ522" s="1190"/>
      <c r="AK522" s="1190"/>
      <c r="AL522" s="1190"/>
      <c r="AM522" s="1190"/>
      <c r="AN522" s="1190"/>
      <c r="AO522" s="1190"/>
      <c r="AP522" s="1190"/>
      <c r="AQ522" s="1190"/>
      <c r="AR522" s="1190"/>
      <c r="AS522" s="1190"/>
      <c r="AT522" s="1190"/>
      <c r="AU522" s="1190"/>
      <c r="AV522" s="1190"/>
      <c r="AW522" s="1190"/>
      <c r="AX522" s="1190"/>
      <c r="AY522" s="1190"/>
      <c r="AZ522" s="1190"/>
      <c r="BA522" s="1190"/>
      <c r="BB522" s="1190"/>
      <c r="BC522" s="1190"/>
      <c r="BD522" s="1190"/>
      <c r="BE522" s="1190"/>
      <c r="BF522" s="1190"/>
      <c r="BG522" s="1190"/>
      <c r="BH522" s="1190"/>
      <c r="BI522" s="1190"/>
      <c r="BJ522" s="1190"/>
      <c r="BK522" s="1190"/>
      <c r="BL522" s="1190"/>
      <c r="BM522" s="1190"/>
      <c r="BQ522" s="195"/>
      <c r="BR522" s="195"/>
      <c r="BT522" s="1005"/>
    </row>
    <row r="523" ht="15.75" customHeight="1">
      <c r="A523" s="195"/>
      <c r="B523" s="978"/>
      <c r="C523" s="2321"/>
      <c r="D523" s="1729"/>
      <c r="E523" s="1190"/>
      <c r="F523" s="1190"/>
      <c r="G523" s="1190"/>
      <c r="H523" s="1190"/>
      <c r="I523" s="1190"/>
      <c r="J523" s="1190"/>
      <c r="K523" s="1190"/>
      <c r="L523" s="1190"/>
      <c r="M523" s="1190"/>
      <c r="N523" s="1190"/>
      <c r="O523" s="1190"/>
      <c r="P523" s="1190"/>
      <c r="Q523" s="1190"/>
      <c r="R523" s="1190"/>
      <c r="S523" s="1189"/>
      <c r="T523" s="1190"/>
      <c r="U523" s="1190"/>
      <c r="V523" s="1190"/>
      <c r="W523" s="1190"/>
      <c r="X523" s="1190"/>
      <c r="Y523" s="1190"/>
      <c r="Z523" s="1190"/>
      <c r="AA523" s="1190"/>
      <c r="AB523" s="1190"/>
      <c r="AC523" s="1190"/>
      <c r="AD523" s="1190"/>
      <c r="AE523" s="1190"/>
      <c r="AF523" s="1190"/>
      <c r="AG523" s="1748"/>
      <c r="AH523" s="1190"/>
      <c r="AI523" s="1748"/>
      <c r="AJ523" s="1190"/>
      <c r="AK523" s="1190"/>
      <c r="AL523" s="1190"/>
      <c r="AM523" s="1190"/>
      <c r="AN523" s="1190"/>
      <c r="AO523" s="1190"/>
      <c r="AP523" s="1190"/>
      <c r="AQ523" s="1190"/>
      <c r="AR523" s="1190"/>
      <c r="AS523" s="1190"/>
      <c r="AT523" s="1190"/>
      <c r="AU523" s="1190"/>
      <c r="AV523" s="1190"/>
      <c r="AW523" s="1190"/>
      <c r="AX523" s="1190"/>
      <c r="AY523" s="1190"/>
      <c r="AZ523" s="1190"/>
      <c r="BA523" s="1190"/>
      <c r="BB523" s="1190"/>
      <c r="BC523" s="1190"/>
      <c r="BD523" s="1190"/>
      <c r="BE523" s="1190"/>
      <c r="BF523" s="1190"/>
      <c r="BG523" s="1190"/>
      <c r="BH523" s="1190"/>
      <c r="BI523" s="1190"/>
      <c r="BJ523" s="1190"/>
      <c r="BK523" s="1190"/>
      <c r="BL523" s="1190"/>
      <c r="BM523" s="1190"/>
      <c r="BQ523" s="195"/>
      <c r="BR523" s="195"/>
      <c r="BT523" s="1005"/>
    </row>
    <row r="524" ht="15.75" customHeight="1">
      <c r="A524" s="195"/>
      <c r="B524" s="978"/>
      <c r="C524" s="2321"/>
      <c r="D524" s="1729"/>
      <c r="E524" s="1190"/>
      <c r="F524" s="1190"/>
      <c r="G524" s="1190"/>
      <c r="H524" s="1190"/>
      <c r="I524" s="1190"/>
      <c r="J524" s="1190"/>
      <c r="K524" s="1190"/>
      <c r="L524" s="1190"/>
      <c r="M524" s="1190"/>
      <c r="N524" s="1190"/>
      <c r="O524" s="1190"/>
      <c r="P524" s="1190"/>
      <c r="Q524" s="1190"/>
      <c r="R524" s="1190"/>
      <c r="S524" s="1189"/>
      <c r="T524" s="1190"/>
      <c r="U524" s="1190"/>
      <c r="V524" s="1190"/>
      <c r="W524" s="1190"/>
      <c r="X524" s="1190"/>
      <c r="Y524" s="1190"/>
      <c r="Z524" s="1190"/>
      <c r="AA524" s="1190"/>
      <c r="AB524" s="1190"/>
      <c r="AC524" s="1190"/>
      <c r="AD524" s="1190"/>
      <c r="AE524" s="1190"/>
      <c r="AF524" s="1190"/>
      <c r="AG524" s="1748"/>
      <c r="AH524" s="1190"/>
      <c r="AI524" s="1748"/>
      <c r="AJ524" s="1190"/>
      <c r="AK524" s="1190"/>
      <c r="AL524" s="1190"/>
      <c r="AM524" s="1190"/>
      <c r="AN524" s="1190"/>
      <c r="AO524" s="1190"/>
      <c r="AP524" s="1190"/>
      <c r="AQ524" s="1190"/>
      <c r="AR524" s="1190"/>
      <c r="AS524" s="1190"/>
      <c r="AT524" s="1190"/>
      <c r="AU524" s="1190"/>
      <c r="AV524" s="1190"/>
      <c r="AW524" s="1190"/>
      <c r="AX524" s="1190"/>
      <c r="AY524" s="1190"/>
      <c r="AZ524" s="1190"/>
      <c r="BA524" s="1190"/>
      <c r="BB524" s="1190"/>
      <c r="BC524" s="1190"/>
      <c r="BD524" s="1190"/>
      <c r="BE524" s="1190"/>
      <c r="BF524" s="1190"/>
      <c r="BG524" s="1190"/>
      <c r="BH524" s="1190"/>
      <c r="BI524" s="1190"/>
      <c r="BJ524" s="1190"/>
      <c r="BK524" s="1190"/>
      <c r="BL524" s="1190"/>
      <c r="BM524" s="1190"/>
      <c r="BQ524" s="195"/>
      <c r="BR524" s="195"/>
      <c r="BT524" s="1005"/>
    </row>
    <row r="525" ht="15.75" customHeight="1">
      <c r="A525" s="195"/>
      <c r="B525" s="978"/>
      <c r="C525" s="2321"/>
      <c r="D525" s="1729"/>
      <c r="E525" s="1190"/>
      <c r="F525" s="1190"/>
      <c r="G525" s="1190"/>
      <c r="H525" s="1190"/>
      <c r="I525" s="1190"/>
      <c r="J525" s="1190"/>
      <c r="K525" s="1190"/>
      <c r="L525" s="1190"/>
      <c r="M525" s="1190"/>
      <c r="N525" s="1190"/>
      <c r="O525" s="1190"/>
      <c r="P525" s="1190"/>
      <c r="Q525" s="1190"/>
      <c r="R525" s="1190"/>
      <c r="S525" s="1189"/>
      <c r="T525" s="1190"/>
      <c r="U525" s="1190"/>
      <c r="V525" s="1190"/>
      <c r="W525" s="1190"/>
      <c r="X525" s="1190"/>
      <c r="Y525" s="1190"/>
      <c r="Z525" s="1190"/>
      <c r="AA525" s="1190"/>
      <c r="AB525" s="1190"/>
      <c r="AC525" s="1190"/>
      <c r="AD525" s="1190"/>
      <c r="AE525" s="1190"/>
      <c r="AF525" s="1190"/>
      <c r="AG525" s="1748"/>
      <c r="AH525" s="1190"/>
      <c r="AI525" s="1748"/>
      <c r="AJ525" s="1190"/>
      <c r="AK525" s="1190"/>
      <c r="AL525" s="1190"/>
      <c r="AM525" s="1190"/>
      <c r="AN525" s="1190"/>
      <c r="AO525" s="1190"/>
      <c r="AP525" s="1190"/>
      <c r="AQ525" s="1190"/>
      <c r="AR525" s="1190"/>
      <c r="AS525" s="1190"/>
      <c r="AT525" s="1190"/>
      <c r="AU525" s="1190"/>
      <c r="AV525" s="1190"/>
      <c r="AW525" s="1190"/>
      <c r="AX525" s="1190"/>
      <c r="AY525" s="1190"/>
      <c r="AZ525" s="1190"/>
      <c r="BA525" s="1190"/>
      <c r="BB525" s="1190"/>
      <c r="BC525" s="1190"/>
      <c r="BD525" s="1190"/>
      <c r="BE525" s="1190"/>
      <c r="BF525" s="1190"/>
      <c r="BG525" s="1190"/>
      <c r="BH525" s="1190"/>
      <c r="BI525" s="1190"/>
      <c r="BJ525" s="1190"/>
      <c r="BK525" s="1190"/>
      <c r="BL525" s="1190"/>
      <c r="BM525" s="1190"/>
      <c r="BQ525" s="195"/>
      <c r="BR525" s="195"/>
      <c r="BT525" s="1005"/>
    </row>
    <row r="526" ht="15.75" customHeight="1">
      <c r="A526" s="195"/>
      <c r="B526" s="978"/>
      <c r="C526" s="2321"/>
      <c r="D526" s="1729"/>
      <c r="E526" s="1190"/>
      <c r="F526" s="1190"/>
      <c r="G526" s="1190"/>
      <c r="H526" s="1190"/>
      <c r="I526" s="1190"/>
      <c r="J526" s="1190"/>
      <c r="K526" s="1190"/>
      <c r="L526" s="1190"/>
      <c r="M526" s="1190"/>
      <c r="N526" s="1190"/>
      <c r="O526" s="1190"/>
      <c r="P526" s="1190"/>
      <c r="Q526" s="1190"/>
      <c r="R526" s="1190"/>
      <c r="S526" s="1189"/>
      <c r="T526" s="1190"/>
      <c r="U526" s="1190"/>
      <c r="V526" s="1190"/>
      <c r="W526" s="1190"/>
      <c r="X526" s="1190"/>
      <c r="Y526" s="1190"/>
      <c r="Z526" s="1190"/>
      <c r="AA526" s="1190"/>
      <c r="AB526" s="1190"/>
      <c r="AC526" s="1190"/>
      <c r="AD526" s="1190"/>
      <c r="AE526" s="1190"/>
      <c r="AF526" s="1190"/>
      <c r="AG526" s="1748"/>
      <c r="AH526" s="1190"/>
      <c r="AI526" s="1748"/>
      <c r="AJ526" s="1190"/>
      <c r="AK526" s="1190"/>
      <c r="AL526" s="1190"/>
      <c r="AM526" s="1190"/>
      <c r="AN526" s="1190"/>
      <c r="AO526" s="1190"/>
      <c r="AP526" s="1190"/>
      <c r="AQ526" s="1190"/>
      <c r="AR526" s="1190"/>
      <c r="AS526" s="1190"/>
      <c r="AT526" s="1190"/>
      <c r="AU526" s="1190"/>
      <c r="AV526" s="1190"/>
      <c r="AW526" s="1190"/>
      <c r="AX526" s="1190"/>
      <c r="AY526" s="1190"/>
      <c r="AZ526" s="1190"/>
      <c r="BA526" s="1190"/>
      <c r="BB526" s="1190"/>
      <c r="BC526" s="1190"/>
      <c r="BD526" s="1190"/>
      <c r="BE526" s="1190"/>
      <c r="BF526" s="1190"/>
      <c r="BG526" s="1190"/>
      <c r="BH526" s="1190"/>
      <c r="BI526" s="1190"/>
      <c r="BJ526" s="1190"/>
      <c r="BK526" s="1190"/>
      <c r="BL526" s="1190"/>
      <c r="BM526" s="1190"/>
      <c r="BQ526" s="195"/>
      <c r="BR526" s="195"/>
      <c r="BT526" s="1005"/>
    </row>
    <row r="527" ht="15.75" customHeight="1">
      <c r="A527" s="195"/>
      <c r="B527" s="978"/>
      <c r="C527" s="2321"/>
      <c r="D527" s="1729"/>
      <c r="E527" s="1190"/>
      <c r="F527" s="1190"/>
      <c r="G527" s="1190"/>
      <c r="H527" s="1190"/>
      <c r="I527" s="1190"/>
      <c r="J527" s="1190"/>
      <c r="K527" s="1190"/>
      <c r="L527" s="1190"/>
      <c r="M527" s="1190"/>
      <c r="N527" s="1190"/>
      <c r="O527" s="1190"/>
      <c r="P527" s="1190"/>
      <c r="Q527" s="1190"/>
      <c r="R527" s="1190"/>
      <c r="S527" s="1189"/>
      <c r="T527" s="1190"/>
      <c r="U527" s="1190"/>
      <c r="V527" s="1190"/>
      <c r="W527" s="1190"/>
      <c r="X527" s="1190"/>
      <c r="Y527" s="1190"/>
      <c r="Z527" s="1190"/>
      <c r="AA527" s="1190"/>
      <c r="AB527" s="1190"/>
      <c r="AC527" s="1190"/>
      <c r="AD527" s="1190"/>
      <c r="AE527" s="1190"/>
      <c r="AF527" s="1190"/>
      <c r="AG527" s="1748"/>
      <c r="AH527" s="1190"/>
      <c r="AI527" s="1748"/>
      <c r="AJ527" s="1190"/>
      <c r="AK527" s="1190"/>
      <c r="AL527" s="1190"/>
      <c r="AM527" s="1190"/>
      <c r="AN527" s="1190"/>
      <c r="AO527" s="1190"/>
      <c r="AP527" s="1190"/>
      <c r="AQ527" s="1190"/>
      <c r="AR527" s="1190"/>
      <c r="AS527" s="1190"/>
      <c r="AT527" s="1190"/>
      <c r="AU527" s="1190"/>
      <c r="AV527" s="1190"/>
      <c r="AW527" s="1190"/>
      <c r="AX527" s="1190"/>
      <c r="AY527" s="1190"/>
      <c r="AZ527" s="1190"/>
      <c r="BA527" s="1190"/>
      <c r="BB527" s="1190"/>
      <c r="BC527" s="1190"/>
      <c r="BD527" s="1190"/>
      <c r="BE527" s="1190"/>
      <c r="BF527" s="1190"/>
      <c r="BG527" s="1190"/>
      <c r="BH527" s="1190"/>
      <c r="BI527" s="1190"/>
      <c r="BJ527" s="1190"/>
      <c r="BK527" s="1190"/>
      <c r="BL527" s="1190"/>
      <c r="BM527" s="1190"/>
      <c r="BQ527" s="195"/>
      <c r="BR527" s="195"/>
      <c r="BT527" s="1005"/>
    </row>
    <row r="528" ht="15.75" customHeight="1">
      <c r="A528" s="195"/>
      <c r="B528" s="978"/>
      <c r="C528" s="2321"/>
      <c r="D528" s="1729"/>
      <c r="E528" s="1190"/>
      <c r="F528" s="1190"/>
      <c r="G528" s="1190"/>
      <c r="H528" s="1190"/>
      <c r="I528" s="1190"/>
      <c r="J528" s="1190"/>
      <c r="K528" s="1190"/>
      <c r="L528" s="1190"/>
      <c r="M528" s="1190"/>
      <c r="N528" s="1190"/>
      <c r="O528" s="1190"/>
      <c r="P528" s="1190"/>
      <c r="Q528" s="1190"/>
      <c r="R528" s="1190"/>
      <c r="S528" s="1189"/>
      <c r="T528" s="1190"/>
      <c r="U528" s="1190"/>
      <c r="V528" s="1190"/>
      <c r="W528" s="1190"/>
      <c r="X528" s="1190"/>
      <c r="Y528" s="1190"/>
      <c r="Z528" s="1190"/>
      <c r="AA528" s="1190"/>
      <c r="AB528" s="1190"/>
      <c r="AC528" s="1190"/>
      <c r="AD528" s="1190"/>
      <c r="AE528" s="1190"/>
      <c r="AF528" s="1190"/>
      <c r="AG528" s="1748"/>
      <c r="AH528" s="1190"/>
      <c r="AI528" s="1748"/>
      <c r="AJ528" s="1190"/>
      <c r="AK528" s="1190"/>
      <c r="AL528" s="1190"/>
      <c r="AM528" s="1190"/>
      <c r="AN528" s="1190"/>
      <c r="AO528" s="1190"/>
      <c r="AP528" s="1190"/>
      <c r="AQ528" s="1190"/>
      <c r="AR528" s="1190"/>
      <c r="AS528" s="1190"/>
      <c r="AT528" s="1190"/>
      <c r="AU528" s="1190"/>
      <c r="AV528" s="1190"/>
      <c r="AW528" s="1190"/>
      <c r="AX528" s="1190"/>
      <c r="AY528" s="1190"/>
      <c r="AZ528" s="1190"/>
      <c r="BA528" s="1190"/>
      <c r="BB528" s="1190"/>
      <c r="BC528" s="1190"/>
      <c r="BD528" s="1190"/>
      <c r="BE528" s="1190"/>
      <c r="BF528" s="1190"/>
      <c r="BG528" s="1190"/>
      <c r="BH528" s="1190"/>
      <c r="BI528" s="1190"/>
      <c r="BJ528" s="1190"/>
      <c r="BK528" s="1190"/>
      <c r="BL528" s="1190"/>
      <c r="BM528" s="1190"/>
      <c r="BQ528" s="195"/>
      <c r="BR528" s="195"/>
      <c r="BT528" s="1005"/>
    </row>
    <row r="529" ht="15.75" customHeight="1">
      <c r="A529" s="195"/>
      <c r="B529" s="978"/>
      <c r="C529" s="2321"/>
      <c r="D529" s="1729"/>
      <c r="E529" s="1190"/>
      <c r="F529" s="1190"/>
      <c r="G529" s="1190"/>
      <c r="H529" s="1190"/>
      <c r="I529" s="1190"/>
      <c r="J529" s="1190"/>
      <c r="K529" s="1190"/>
      <c r="L529" s="1190"/>
      <c r="M529" s="1190"/>
      <c r="N529" s="1190"/>
      <c r="O529" s="1190"/>
      <c r="P529" s="1190"/>
      <c r="Q529" s="1190"/>
      <c r="R529" s="1190"/>
      <c r="S529" s="1189"/>
      <c r="T529" s="1190"/>
      <c r="U529" s="1190"/>
      <c r="V529" s="1190"/>
      <c r="W529" s="1190"/>
      <c r="X529" s="1190"/>
      <c r="Y529" s="1190"/>
      <c r="Z529" s="1190"/>
      <c r="AA529" s="1190"/>
      <c r="AB529" s="1190"/>
      <c r="AC529" s="1190"/>
      <c r="AD529" s="1190"/>
      <c r="AE529" s="1190"/>
      <c r="AF529" s="1190"/>
      <c r="AG529" s="1748"/>
      <c r="AH529" s="1190"/>
      <c r="AI529" s="1748"/>
      <c r="AJ529" s="1190"/>
      <c r="AK529" s="1190"/>
      <c r="AL529" s="1190"/>
      <c r="AM529" s="1190"/>
      <c r="AN529" s="1190"/>
      <c r="AO529" s="1190"/>
      <c r="AP529" s="1190"/>
      <c r="AQ529" s="1190"/>
      <c r="AR529" s="1190"/>
      <c r="AS529" s="1190"/>
      <c r="AT529" s="1190"/>
      <c r="AU529" s="1190"/>
      <c r="AV529" s="1190"/>
      <c r="AW529" s="1190"/>
      <c r="AX529" s="1190"/>
      <c r="AY529" s="1190"/>
      <c r="AZ529" s="1190"/>
      <c r="BA529" s="1190"/>
      <c r="BB529" s="1190"/>
      <c r="BC529" s="1190"/>
      <c r="BD529" s="1190"/>
      <c r="BE529" s="1190"/>
      <c r="BF529" s="1190"/>
      <c r="BG529" s="1190"/>
      <c r="BH529" s="1190"/>
      <c r="BI529" s="1190"/>
      <c r="BJ529" s="1190"/>
      <c r="BK529" s="1190"/>
      <c r="BL529" s="1190"/>
      <c r="BM529" s="1190"/>
      <c r="BQ529" s="195"/>
      <c r="BR529" s="195"/>
      <c r="BT529" s="1005"/>
    </row>
    <row r="530" ht="15.75" customHeight="1">
      <c r="A530" s="195"/>
      <c r="B530" s="978"/>
      <c r="C530" s="2321"/>
      <c r="D530" s="1729"/>
      <c r="E530" s="1190"/>
      <c r="F530" s="1190"/>
      <c r="G530" s="1190"/>
      <c r="H530" s="1190"/>
      <c r="I530" s="1190"/>
      <c r="J530" s="1190"/>
      <c r="K530" s="1190"/>
      <c r="L530" s="1190"/>
      <c r="M530" s="1190"/>
      <c r="N530" s="1190"/>
      <c r="O530" s="1190"/>
      <c r="P530" s="1190"/>
      <c r="Q530" s="1190"/>
      <c r="R530" s="1190"/>
      <c r="S530" s="1189"/>
      <c r="T530" s="1190"/>
      <c r="U530" s="1190"/>
      <c r="V530" s="1190"/>
      <c r="W530" s="1190"/>
      <c r="X530" s="1190"/>
      <c r="Y530" s="1190"/>
      <c r="Z530" s="1190"/>
      <c r="AA530" s="1190"/>
      <c r="AB530" s="1190"/>
      <c r="AC530" s="1190"/>
      <c r="AD530" s="1190"/>
      <c r="AE530" s="1190"/>
      <c r="AF530" s="1190"/>
      <c r="AG530" s="1748"/>
      <c r="AH530" s="1190"/>
      <c r="AI530" s="1748"/>
      <c r="AJ530" s="1190"/>
      <c r="AK530" s="1190"/>
      <c r="AL530" s="1190"/>
      <c r="AM530" s="1190"/>
      <c r="AN530" s="1190"/>
      <c r="AO530" s="1190"/>
      <c r="AP530" s="1190"/>
      <c r="AQ530" s="1190"/>
      <c r="AR530" s="1190"/>
      <c r="AS530" s="1190"/>
      <c r="AT530" s="1190"/>
      <c r="AU530" s="1190"/>
      <c r="AV530" s="1190"/>
      <c r="AW530" s="1190"/>
      <c r="AX530" s="1190"/>
      <c r="AY530" s="1190"/>
      <c r="AZ530" s="1190"/>
      <c r="BA530" s="1190"/>
      <c r="BB530" s="1190"/>
      <c r="BC530" s="1190"/>
      <c r="BD530" s="1190"/>
      <c r="BE530" s="1190"/>
      <c r="BF530" s="1190"/>
      <c r="BG530" s="1190"/>
      <c r="BH530" s="1190"/>
      <c r="BI530" s="1190"/>
      <c r="BJ530" s="1190"/>
      <c r="BK530" s="1190"/>
      <c r="BL530" s="1190"/>
      <c r="BM530" s="1190"/>
      <c r="BQ530" s="195"/>
      <c r="BR530" s="195"/>
      <c r="BT530" s="1005"/>
    </row>
    <row r="531" ht="15.75" customHeight="1">
      <c r="A531" s="195"/>
      <c r="B531" s="978"/>
      <c r="C531" s="2321"/>
      <c r="D531" s="1729"/>
      <c r="E531" s="1190"/>
      <c r="F531" s="1190"/>
      <c r="G531" s="1190"/>
      <c r="H531" s="1190"/>
      <c r="I531" s="1190"/>
      <c r="J531" s="1190"/>
      <c r="K531" s="1190"/>
      <c r="L531" s="1190"/>
      <c r="M531" s="1190"/>
      <c r="N531" s="1190"/>
      <c r="O531" s="1190"/>
      <c r="P531" s="1190"/>
      <c r="Q531" s="1190"/>
      <c r="R531" s="1190"/>
      <c r="S531" s="1189"/>
      <c r="T531" s="1190"/>
      <c r="U531" s="1190"/>
      <c r="V531" s="1190"/>
      <c r="W531" s="1190"/>
      <c r="X531" s="1190"/>
      <c r="Y531" s="1190"/>
      <c r="Z531" s="1190"/>
      <c r="AA531" s="1190"/>
      <c r="AB531" s="1190"/>
      <c r="AC531" s="1190"/>
      <c r="AD531" s="1190"/>
      <c r="AE531" s="1190"/>
      <c r="AF531" s="1190"/>
      <c r="AG531" s="1748"/>
      <c r="AH531" s="1190"/>
      <c r="AI531" s="1748"/>
      <c r="AJ531" s="1190"/>
      <c r="AK531" s="1190"/>
      <c r="AL531" s="1190"/>
      <c r="AM531" s="1190"/>
      <c r="AN531" s="1190"/>
      <c r="AO531" s="1190"/>
      <c r="AP531" s="1190"/>
      <c r="AQ531" s="1190"/>
      <c r="AR531" s="1190"/>
      <c r="AS531" s="1190"/>
      <c r="AT531" s="1190"/>
      <c r="AU531" s="1190"/>
      <c r="AV531" s="1190"/>
      <c r="AW531" s="1190"/>
      <c r="AX531" s="1190"/>
      <c r="AY531" s="1190"/>
      <c r="AZ531" s="1190"/>
      <c r="BA531" s="1190"/>
      <c r="BB531" s="1190"/>
      <c r="BC531" s="1190"/>
      <c r="BD531" s="1190"/>
      <c r="BE531" s="1190"/>
      <c r="BF531" s="1190"/>
      <c r="BG531" s="1190"/>
      <c r="BH531" s="1190"/>
      <c r="BI531" s="1190"/>
      <c r="BJ531" s="1190"/>
      <c r="BK531" s="1190"/>
      <c r="BL531" s="1190"/>
      <c r="BM531" s="1190"/>
      <c r="BQ531" s="195"/>
      <c r="BR531" s="195"/>
      <c r="BT531" s="1005"/>
    </row>
    <row r="532" ht="15.75" customHeight="1">
      <c r="A532" s="195"/>
      <c r="B532" s="978"/>
      <c r="C532" s="2321"/>
      <c r="D532" s="1729"/>
      <c r="E532" s="1190"/>
      <c r="F532" s="1190"/>
      <c r="G532" s="1190"/>
      <c r="H532" s="1190"/>
      <c r="I532" s="1190"/>
      <c r="J532" s="1190"/>
      <c r="K532" s="1190"/>
      <c r="L532" s="1190"/>
      <c r="M532" s="1190"/>
      <c r="N532" s="1190"/>
      <c r="O532" s="1190"/>
      <c r="P532" s="1190"/>
      <c r="Q532" s="1190"/>
      <c r="R532" s="1190"/>
      <c r="S532" s="1189"/>
      <c r="T532" s="1190"/>
      <c r="U532" s="1190"/>
      <c r="V532" s="1190"/>
      <c r="W532" s="1190"/>
      <c r="X532" s="1190"/>
      <c r="Y532" s="1190"/>
      <c r="Z532" s="1190"/>
      <c r="AA532" s="1190"/>
      <c r="AB532" s="1190"/>
      <c r="AC532" s="1190"/>
      <c r="AD532" s="1190"/>
      <c r="AE532" s="1190"/>
      <c r="AF532" s="1190"/>
      <c r="AG532" s="1748"/>
      <c r="AH532" s="1190"/>
      <c r="AI532" s="1748"/>
      <c r="AJ532" s="1190"/>
      <c r="AK532" s="1190"/>
      <c r="AL532" s="1190"/>
      <c r="AM532" s="1190"/>
      <c r="AN532" s="1190"/>
      <c r="AO532" s="1190"/>
      <c r="AP532" s="1190"/>
      <c r="AQ532" s="1190"/>
      <c r="AR532" s="1190"/>
      <c r="AS532" s="1190"/>
      <c r="AT532" s="1190"/>
      <c r="AU532" s="1190"/>
      <c r="AV532" s="1190"/>
      <c r="AW532" s="1190"/>
      <c r="AX532" s="1190"/>
      <c r="AY532" s="1190"/>
      <c r="AZ532" s="1190"/>
      <c r="BA532" s="1190"/>
      <c r="BB532" s="1190"/>
      <c r="BC532" s="1190"/>
      <c r="BD532" s="1190"/>
      <c r="BE532" s="1190"/>
      <c r="BF532" s="1190"/>
      <c r="BG532" s="1190"/>
      <c r="BH532" s="1190"/>
      <c r="BI532" s="1190"/>
      <c r="BJ532" s="1190"/>
      <c r="BK532" s="1190"/>
      <c r="BL532" s="1190"/>
      <c r="BM532" s="1190"/>
      <c r="BQ532" s="195"/>
      <c r="BR532" s="195"/>
      <c r="BT532" s="1005"/>
    </row>
    <row r="533" ht="15.75" customHeight="1">
      <c r="A533" s="195"/>
      <c r="B533" s="978"/>
      <c r="C533" s="2321"/>
      <c r="D533" s="1729"/>
      <c r="E533" s="1190"/>
      <c r="F533" s="1190"/>
      <c r="G533" s="1190"/>
      <c r="H533" s="1190"/>
      <c r="I533" s="1190"/>
      <c r="J533" s="1190"/>
      <c r="K533" s="1190"/>
      <c r="L533" s="1190"/>
      <c r="M533" s="1190"/>
      <c r="N533" s="1190"/>
      <c r="O533" s="1190"/>
      <c r="P533" s="1190"/>
      <c r="Q533" s="1190"/>
      <c r="R533" s="1190"/>
      <c r="S533" s="1189"/>
      <c r="T533" s="1190"/>
      <c r="U533" s="1190"/>
      <c r="V533" s="1190"/>
      <c r="W533" s="1190"/>
      <c r="X533" s="1190"/>
      <c r="Y533" s="1190"/>
      <c r="Z533" s="1190"/>
      <c r="AA533" s="1190"/>
      <c r="AB533" s="1190"/>
      <c r="AC533" s="1190"/>
      <c r="AD533" s="1190"/>
      <c r="AE533" s="1190"/>
      <c r="AF533" s="1190"/>
      <c r="AG533" s="1748"/>
      <c r="AH533" s="1190"/>
      <c r="AI533" s="1748"/>
      <c r="AJ533" s="1190"/>
      <c r="AK533" s="1190"/>
      <c r="AL533" s="1190"/>
      <c r="AM533" s="1190"/>
      <c r="AN533" s="1190"/>
      <c r="AO533" s="1190"/>
      <c r="AP533" s="1190"/>
      <c r="AQ533" s="1190"/>
      <c r="AR533" s="1190"/>
      <c r="AS533" s="1190"/>
      <c r="AT533" s="1190"/>
      <c r="AU533" s="1190"/>
      <c r="AV533" s="1190"/>
      <c r="AW533" s="1190"/>
      <c r="AX533" s="1190"/>
      <c r="AY533" s="1190"/>
      <c r="AZ533" s="1190"/>
      <c r="BA533" s="1190"/>
      <c r="BB533" s="1190"/>
      <c r="BC533" s="1190"/>
      <c r="BD533" s="1190"/>
      <c r="BE533" s="1190"/>
      <c r="BF533" s="1190"/>
      <c r="BG533" s="1190"/>
      <c r="BH533" s="1190"/>
      <c r="BI533" s="1190"/>
      <c r="BJ533" s="1190"/>
      <c r="BK533" s="1190"/>
      <c r="BL533" s="1190"/>
      <c r="BM533" s="1190"/>
      <c r="BQ533" s="195"/>
      <c r="BR533" s="195"/>
      <c r="BT533" s="1005"/>
    </row>
    <row r="534" ht="15.75" customHeight="1">
      <c r="A534" s="195"/>
      <c r="B534" s="978"/>
      <c r="C534" s="2321"/>
      <c r="D534" s="1729"/>
      <c r="E534" s="1190"/>
      <c r="F534" s="1190"/>
      <c r="G534" s="1190"/>
      <c r="H534" s="1190"/>
      <c r="I534" s="1190"/>
      <c r="J534" s="1190"/>
      <c r="K534" s="1190"/>
      <c r="L534" s="1190"/>
      <c r="M534" s="1190"/>
      <c r="N534" s="1190"/>
      <c r="O534" s="1190"/>
      <c r="P534" s="1190"/>
      <c r="Q534" s="1190"/>
      <c r="R534" s="1190"/>
      <c r="S534" s="1189"/>
      <c r="T534" s="1190"/>
      <c r="U534" s="1190"/>
      <c r="V534" s="1190"/>
      <c r="W534" s="1190"/>
      <c r="X534" s="1190"/>
      <c r="Y534" s="1190"/>
      <c r="Z534" s="1190"/>
      <c r="AA534" s="1190"/>
      <c r="AB534" s="1190"/>
      <c r="AC534" s="1190"/>
      <c r="AD534" s="1190"/>
      <c r="AE534" s="1190"/>
      <c r="AF534" s="1190"/>
      <c r="AG534" s="1748"/>
      <c r="AH534" s="1190"/>
      <c r="AI534" s="1748"/>
      <c r="AJ534" s="1190"/>
      <c r="AK534" s="1190"/>
      <c r="AL534" s="1190"/>
      <c r="AM534" s="1190"/>
      <c r="AN534" s="1190"/>
      <c r="AO534" s="1190"/>
      <c r="AP534" s="1190"/>
      <c r="AQ534" s="1190"/>
      <c r="AR534" s="1190"/>
      <c r="AS534" s="1190"/>
      <c r="AT534" s="1190"/>
      <c r="AU534" s="1190"/>
      <c r="AV534" s="1190"/>
      <c r="AW534" s="1190"/>
      <c r="AX534" s="1190"/>
      <c r="AY534" s="1190"/>
      <c r="AZ534" s="1190"/>
      <c r="BA534" s="1190"/>
      <c r="BB534" s="1190"/>
      <c r="BC534" s="1190"/>
      <c r="BD534" s="1190"/>
      <c r="BE534" s="1190"/>
      <c r="BF534" s="1190"/>
      <c r="BG534" s="1190"/>
      <c r="BH534" s="1190"/>
      <c r="BI534" s="1190"/>
      <c r="BJ534" s="1190"/>
      <c r="BK534" s="1190"/>
      <c r="BL534" s="1190"/>
      <c r="BM534" s="1190"/>
      <c r="BQ534" s="195"/>
      <c r="BR534" s="195"/>
      <c r="BT534" s="1005"/>
    </row>
    <row r="535" ht="15.75" customHeight="1">
      <c r="A535" s="195"/>
      <c r="B535" s="978"/>
      <c r="C535" s="2321"/>
      <c r="D535" s="1729"/>
      <c r="E535" s="1190"/>
      <c r="F535" s="1190"/>
      <c r="G535" s="1190"/>
      <c r="H535" s="1190"/>
      <c r="I535" s="1190"/>
      <c r="J535" s="1190"/>
      <c r="K535" s="1190"/>
      <c r="L535" s="1190"/>
      <c r="M535" s="1190"/>
      <c r="N535" s="1190"/>
      <c r="O535" s="1190"/>
      <c r="P535" s="1190"/>
      <c r="Q535" s="1190"/>
      <c r="R535" s="1190"/>
      <c r="S535" s="1189"/>
      <c r="T535" s="1190"/>
      <c r="U535" s="1190"/>
      <c r="V535" s="1190"/>
      <c r="W535" s="1190"/>
      <c r="X535" s="1190"/>
      <c r="Y535" s="1190"/>
      <c r="Z535" s="1190"/>
      <c r="AA535" s="1190"/>
      <c r="AB535" s="1190"/>
      <c r="AC535" s="1190"/>
      <c r="AD535" s="1190"/>
      <c r="AE535" s="1190"/>
      <c r="AF535" s="1190"/>
      <c r="AG535" s="1748"/>
      <c r="AH535" s="1190"/>
      <c r="AI535" s="1748"/>
      <c r="AJ535" s="1190"/>
      <c r="AK535" s="1190"/>
      <c r="AL535" s="1190"/>
      <c r="AM535" s="1190"/>
      <c r="AN535" s="1190"/>
      <c r="AO535" s="1190"/>
      <c r="AP535" s="1190"/>
      <c r="AQ535" s="1190"/>
      <c r="AR535" s="1190"/>
      <c r="AS535" s="1190"/>
      <c r="AT535" s="1190"/>
      <c r="AU535" s="1190"/>
      <c r="AV535" s="1190"/>
      <c r="AW535" s="1190"/>
      <c r="AX535" s="1190"/>
      <c r="AY535" s="1190"/>
      <c r="AZ535" s="1190"/>
      <c r="BA535" s="1190"/>
      <c r="BB535" s="1190"/>
      <c r="BC535" s="1190"/>
      <c r="BD535" s="1190"/>
      <c r="BE535" s="1190"/>
      <c r="BF535" s="1190"/>
      <c r="BG535" s="1190"/>
      <c r="BH535" s="1190"/>
      <c r="BI535" s="1190"/>
      <c r="BJ535" s="1190"/>
      <c r="BK535" s="1190"/>
      <c r="BL535" s="1190"/>
      <c r="BM535" s="1190"/>
      <c r="BQ535" s="195"/>
      <c r="BR535" s="195"/>
      <c r="BT535" s="1005"/>
    </row>
    <row r="536" ht="15.75" customHeight="1">
      <c r="A536" s="195"/>
      <c r="B536" s="978"/>
      <c r="C536" s="2321"/>
      <c r="D536" s="1729"/>
      <c r="E536" s="1190"/>
      <c r="F536" s="1190"/>
      <c r="G536" s="1190"/>
      <c r="H536" s="1190"/>
      <c r="I536" s="1190"/>
      <c r="J536" s="1190"/>
      <c r="K536" s="1190"/>
      <c r="L536" s="1190"/>
      <c r="M536" s="1190"/>
      <c r="N536" s="1190"/>
      <c r="O536" s="1190"/>
      <c r="P536" s="1190"/>
      <c r="Q536" s="1190"/>
      <c r="R536" s="1190"/>
      <c r="S536" s="1189"/>
      <c r="T536" s="1190"/>
      <c r="U536" s="1190"/>
      <c r="V536" s="1190"/>
      <c r="W536" s="1190"/>
      <c r="X536" s="1190"/>
      <c r="Y536" s="1190"/>
      <c r="Z536" s="1190"/>
      <c r="AA536" s="1190"/>
      <c r="AB536" s="1190"/>
      <c r="AC536" s="1190"/>
      <c r="AD536" s="1190"/>
      <c r="AE536" s="1190"/>
      <c r="AF536" s="1190"/>
      <c r="AG536" s="1748"/>
      <c r="AH536" s="1190"/>
      <c r="AI536" s="1748"/>
      <c r="AJ536" s="1190"/>
      <c r="AK536" s="1190"/>
      <c r="AL536" s="1190"/>
      <c r="AM536" s="1190"/>
      <c r="AN536" s="1190"/>
      <c r="AO536" s="1190"/>
      <c r="AP536" s="1190"/>
      <c r="AQ536" s="1190"/>
      <c r="AR536" s="1190"/>
      <c r="AS536" s="1190"/>
      <c r="AT536" s="1190"/>
      <c r="AU536" s="1190"/>
      <c r="AV536" s="1190"/>
      <c r="AW536" s="1190"/>
      <c r="AX536" s="1190"/>
      <c r="AY536" s="1190"/>
      <c r="AZ536" s="1190"/>
      <c r="BA536" s="1190"/>
      <c r="BB536" s="1190"/>
      <c r="BC536" s="1190"/>
      <c r="BD536" s="1190"/>
      <c r="BE536" s="1190"/>
      <c r="BF536" s="1190"/>
      <c r="BG536" s="1190"/>
      <c r="BH536" s="1190"/>
      <c r="BI536" s="1190"/>
      <c r="BJ536" s="1190"/>
      <c r="BK536" s="1190"/>
      <c r="BL536" s="1190"/>
      <c r="BM536" s="1190"/>
      <c r="BQ536" s="195"/>
      <c r="BR536" s="195"/>
      <c r="BT536" s="1005"/>
    </row>
    <row r="537" ht="15.75" customHeight="1">
      <c r="A537" s="195"/>
      <c r="B537" s="978"/>
      <c r="C537" s="2321"/>
      <c r="D537" s="1729"/>
      <c r="E537" s="1190"/>
      <c r="F537" s="1190"/>
      <c r="G537" s="1190"/>
      <c r="H537" s="1190"/>
      <c r="I537" s="1190"/>
      <c r="J537" s="1190"/>
      <c r="K537" s="1190"/>
      <c r="L537" s="1190"/>
      <c r="M537" s="1190"/>
      <c r="N537" s="1190"/>
      <c r="O537" s="1190"/>
      <c r="P537" s="1190"/>
      <c r="Q537" s="1190"/>
      <c r="R537" s="1190"/>
      <c r="S537" s="1189"/>
      <c r="T537" s="1190"/>
      <c r="U537" s="1190"/>
      <c r="V537" s="1190"/>
      <c r="W537" s="1190"/>
      <c r="X537" s="1190"/>
      <c r="Y537" s="1190"/>
      <c r="Z537" s="1190"/>
      <c r="AA537" s="1190"/>
      <c r="AB537" s="1190"/>
      <c r="AC537" s="1190"/>
      <c r="AD537" s="1190"/>
      <c r="AE537" s="1190"/>
      <c r="AF537" s="1190"/>
      <c r="AG537" s="1748"/>
      <c r="AH537" s="1190"/>
      <c r="AI537" s="1748"/>
      <c r="AJ537" s="1190"/>
      <c r="AK537" s="1190"/>
      <c r="AL537" s="1190"/>
      <c r="AM537" s="1190"/>
      <c r="AN537" s="1190"/>
      <c r="AO537" s="1190"/>
      <c r="AP537" s="1190"/>
      <c r="AQ537" s="1190"/>
      <c r="AR537" s="1190"/>
      <c r="AS537" s="1190"/>
      <c r="AT537" s="1190"/>
      <c r="AU537" s="1190"/>
      <c r="AV537" s="1190"/>
      <c r="AW537" s="1190"/>
      <c r="AX537" s="1190"/>
      <c r="AY537" s="1190"/>
      <c r="AZ537" s="1190"/>
      <c r="BA537" s="1190"/>
      <c r="BB537" s="1190"/>
      <c r="BC537" s="1190"/>
      <c r="BD537" s="1190"/>
      <c r="BE537" s="1190"/>
      <c r="BF537" s="1190"/>
      <c r="BG537" s="1190"/>
      <c r="BH537" s="1190"/>
      <c r="BI537" s="1190"/>
      <c r="BJ537" s="1190"/>
      <c r="BK537" s="1190"/>
      <c r="BL537" s="1190"/>
      <c r="BM537" s="1190"/>
      <c r="BQ537" s="195"/>
      <c r="BR537" s="195"/>
      <c r="BT537" s="1005"/>
    </row>
    <row r="538" ht="15.75" customHeight="1">
      <c r="A538" s="195"/>
      <c r="B538" s="978"/>
      <c r="C538" s="2321"/>
      <c r="D538" s="1729"/>
      <c r="E538" s="1190"/>
      <c r="F538" s="1190"/>
      <c r="G538" s="1190"/>
      <c r="H538" s="1190"/>
      <c r="I538" s="1190"/>
      <c r="J538" s="1190"/>
      <c r="K538" s="1190"/>
      <c r="L538" s="1190"/>
      <c r="M538" s="1190"/>
      <c r="N538" s="1190"/>
      <c r="O538" s="1190"/>
      <c r="P538" s="1190"/>
      <c r="Q538" s="1190"/>
      <c r="R538" s="1190"/>
      <c r="S538" s="1189"/>
      <c r="T538" s="1190"/>
      <c r="U538" s="1190"/>
      <c r="V538" s="1190"/>
      <c r="W538" s="1190"/>
      <c r="X538" s="1190"/>
      <c r="Y538" s="1190"/>
      <c r="Z538" s="1190"/>
      <c r="AA538" s="1190"/>
      <c r="AB538" s="1190"/>
      <c r="AC538" s="1190"/>
      <c r="AD538" s="1190"/>
      <c r="AE538" s="1190"/>
      <c r="AF538" s="1190"/>
      <c r="AG538" s="1748"/>
      <c r="AH538" s="1190"/>
      <c r="AI538" s="1748"/>
      <c r="AJ538" s="1190"/>
      <c r="AK538" s="1190"/>
      <c r="AL538" s="1190"/>
      <c r="AM538" s="1190"/>
      <c r="AN538" s="1190"/>
      <c r="AO538" s="1190"/>
      <c r="AP538" s="1190"/>
      <c r="AQ538" s="1190"/>
      <c r="AR538" s="1190"/>
      <c r="AS538" s="1190"/>
      <c r="AT538" s="1190"/>
      <c r="AU538" s="1190"/>
      <c r="AV538" s="1190"/>
      <c r="AW538" s="1190"/>
      <c r="AX538" s="1190"/>
      <c r="AY538" s="1190"/>
      <c r="AZ538" s="1190"/>
      <c r="BA538" s="1190"/>
      <c r="BB538" s="1190"/>
      <c r="BC538" s="1190"/>
      <c r="BD538" s="1190"/>
      <c r="BE538" s="1190"/>
      <c r="BF538" s="1190"/>
      <c r="BG538" s="1190"/>
      <c r="BH538" s="1190"/>
      <c r="BI538" s="1190"/>
      <c r="BJ538" s="1190"/>
      <c r="BK538" s="1190"/>
      <c r="BL538" s="1190"/>
      <c r="BM538" s="1190"/>
      <c r="BQ538" s="195"/>
      <c r="BR538" s="195"/>
      <c r="BT538" s="1005"/>
    </row>
    <row r="539" ht="15.75" customHeight="1">
      <c r="A539" s="195"/>
      <c r="B539" s="978"/>
      <c r="C539" s="2321"/>
      <c r="D539" s="1729"/>
      <c r="E539" s="1190"/>
      <c r="F539" s="1190"/>
      <c r="G539" s="1190"/>
      <c r="H539" s="1190"/>
      <c r="I539" s="1190"/>
      <c r="J539" s="1190"/>
      <c r="K539" s="1190"/>
      <c r="L539" s="1190"/>
      <c r="M539" s="1190"/>
      <c r="N539" s="1190"/>
      <c r="O539" s="1190"/>
      <c r="P539" s="1190"/>
      <c r="Q539" s="1190"/>
      <c r="R539" s="1190"/>
      <c r="S539" s="1189"/>
      <c r="T539" s="1190"/>
      <c r="U539" s="1190"/>
      <c r="V539" s="1190"/>
      <c r="W539" s="1190"/>
      <c r="X539" s="1190"/>
      <c r="Y539" s="1190"/>
      <c r="Z539" s="1190"/>
      <c r="AA539" s="1190"/>
      <c r="AB539" s="1190"/>
      <c r="AC539" s="1190"/>
      <c r="AD539" s="1190"/>
      <c r="AE539" s="1190"/>
      <c r="AF539" s="1190"/>
      <c r="AG539" s="1748"/>
      <c r="AH539" s="1190"/>
      <c r="AI539" s="1748"/>
      <c r="AJ539" s="1190"/>
      <c r="AK539" s="1190"/>
      <c r="AL539" s="1190"/>
      <c r="AM539" s="1190"/>
      <c r="AN539" s="1190"/>
      <c r="AO539" s="1190"/>
      <c r="AP539" s="1190"/>
      <c r="AQ539" s="1190"/>
      <c r="AR539" s="1190"/>
      <c r="AS539" s="1190"/>
      <c r="AT539" s="1190"/>
      <c r="AU539" s="1190"/>
      <c r="AV539" s="1190"/>
      <c r="AW539" s="1190"/>
      <c r="AX539" s="1190"/>
      <c r="AY539" s="1190"/>
      <c r="AZ539" s="1190"/>
      <c r="BA539" s="1190"/>
      <c r="BB539" s="1190"/>
      <c r="BC539" s="1190"/>
      <c r="BD539" s="1190"/>
      <c r="BE539" s="1190"/>
      <c r="BF539" s="1190"/>
      <c r="BG539" s="1190"/>
      <c r="BH539" s="1190"/>
      <c r="BI539" s="1190"/>
      <c r="BJ539" s="1190"/>
      <c r="BK539" s="1190"/>
      <c r="BL539" s="1190"/>
      <c r="BM539" s="1190"/>
      <c r="BQ539" s="195"/>
      <c r="BR539" s="195"/>
      <c r="BT539" s="1005"/>
    </row>
    <row r="540" ht="15.75" customHeight="1">
      <c r="A540" s="195"/>
      <c r="B540" s="978"/>
      <c r="C540" s="2321"/>
      <c r="D540" s="1729"/>
      <c r="E540" s="1190"/>
      <c r="F540" s="1190"/>
      <c r="G540" s="1190"/>
      <c r="H540" s="1190"/>
      <c r="I540" s="1190"/>
      <c r="J540" s="1190"/>
      <c r="K540" s="1190"/>
      <c r="L540" s="1190"/>
      <c r="M540" s="1190"/>
      <c r="N540" s="1190"/>
      <c r="O540" s="1190"/>
      <c r="P540" s="1190"/>
      <c r="Q540" s="1190"/>
      <c r="R540" s="1190"/>
      <c r="S540" s="1189"/>
      <c r="T540" s="1190"/>
      <c r="U540" s="1190"/>
      <c r="V540" s="1190"/>
      <c r="W540" s="1190"/>
      <c r="X540" s="1190"/>
      <c r="Y540" s="1190"/>
      <c r="Z540" s="1190"/>
      <c r="AA540" s="1190"/>
      <c r="AB540" s="1190"/>
      <c r="AC540" s="1190"/>
      <c r="AD540" s="1190"/>
      <c r="AE540" s="1190"/>
      <c r="AF540" s="1190"/>
      <c r="AG540" s="1748"/>
      <c r="AH540" s="1190"/>
      <c r="AI540" s="1748"/>
      <c r="AJ540" s="1190"/>
      <c r="AK540" s="1190"/>
      <c r="AL540" s="1190"/>
      <c r="AM540" s="1190"/>
      <c r="AN540" s="1190"/>
      <c r="AO540" s="1190"/>
      <c r="AP540" s="1190"/>
      <c r="AQ540" s="1190"/>
      <c r="AR540" s="1190"/>
      <c r="AS540" s="1190"/>
      <c r="AT540" s="1190"/>
      <c r="AU540" s="1190"/>
      <c r="AV540" s="1190"/>
      <c r="AW540" s="1190"/>
      <c r="AX540" s="1190"/>
      <c r="AY540" s="1190"/>
      <c r="AZ540" s="1190"/>
      <c r="BA540" s="1190"/>
      <c r="BB540" s="1190"/>
      <c r="BC540" s="1190"/>
      <c r="BD540" s="1190"/>
      <c r="BE540" s="1190"/>
      <c r="BF540" s="1190"/>
      <c r="BG540" s="1190"/>
      <c r="BH540" s="1190"/>
      <c r="BI540" s="1190"/>
      <c r="BJ540" s="1190"/>
      <c r="BK540" s="1190"/>
      <c r="BL540" s="1190"/>
      <c r="BM540" s="1190"/>
      <c r="BQ540" s="195"/>
      <c r="BR540" s="195"/>
      <c r="BT540" s="1005"/>
    </row>
    <row r="541" ht="15.75" customHeight="1">
      <c r="A541" s="195"/>
      <c r="B541" s="978"/>
      <c r="C541" s="2321"/>
      <c r="D541" s="1729"/>
      <c r="E541" s="1190"/>
      <c r="F541" s="1190"/>
      <c r="G541" s="1190"/>
      <c r="H541" s="1190"/>
      <c r="I541" s="1190"/>
      <c r="J541" s="1190"/>
      <c r="K541" s="1190"/>
      <c r="L541" s="1190"/>
      <c r="M541" s="1190"/>
      <c r="N541" s="1190"/>
      <c r="O541" s="1190"/>
      <c r="P541" s="1190"/>
      <c r="Q541" s="1190"/>
      <c r="R541" s="1190"/>
      <c r="S541" s="1189"/>
      <c r="T541" s="1190"/>
      <c r="U541" s="1190"/>
      <c r="V541" s="1190"/>
      <c r="W541" s="1190"/>
      <c r="X541" s="1190"/>
      <c r="Y541" s="1190"/>
      <c r="Z541" s="1190"/>
      <c r="AA541" s="1190"/>
      <c r="AB541" s="1190"/>
      <c r="AC541" s="1190"/>
      <c r="AD541" s="1190"/>
      <c r="AE541" s="1190"/>
      <c r="AF541" s="1190"/>
      <c r="AG541" s="1748"/>
      <c r="AH541" s="1190"/>
      <c r="AI541" s="1748"/>
      <c r="AJ541" s="1190"/>
      <c r="AK541" s="1190"/>
      <c r="AL541" s="1190"/>
      <c r="AM541" s="1190"/>
      <c r="AN541" s="1190"/>
      <c r="AO541" s="1190"/>
      <c r="AP541" s="1190"/>
      <c r="AQ541" s="1190"/>
      <c r="AR541" s="1190"/>
      <c r="AS541" s="1190"/>
      <c r="AT541" s="1190"/>
      <c r="AU541" s="1190"/>
      <c r="AV541" s="1190"/>
      <c r="AW541" s="1190"/>
      <c r="AX541" s="1190"/>
      <c r="AY541" s="1190"/>
      <c r="AZ541" s="1190"/>
      <c r="BA541" s="1190"/>
      <c r="BB541" s="1190"/>
      <c r="BC541" s="1190"/>
      <c r="BD541" s="1190"/>
      <c r="BE541" s="1190"/>
      <c r="BF541" s="1190"/>
      <c r="BG541" s="1190"/>
      <c r="BH541" s="1190"/>
      <c r="BI541" s="1190"/>
      <c r="BJ541" s="1190"/>
      <c r="BK541" s="1190"/>
      <c r="BL541" s="1190"/>
      <c r="BM541" s="1190"/>
      <c r="BQ541" s="195"/>
      <c r="BR541" s="195"/>
      <c r="BT541" s="1005"/>
    </row>
    <row r="542" ht="15.75" customHeight="1">
      <c r="A542" s="195"/>
      <c r="B542" s="978"/>
      <c r="C542" s="2321"/>
      <c r="D542" s="1729"/>
      <c r="E542" s="1190"/>
      <c r="F542" s="1190"/>
      <c r="G542" s="1190"/>
      <c r="H542" s="1190"/>
      <c r="I542" s="1190"/>
      <c r="J542" s="1190"/>
      <c r="K542" s="1190"/>
      <c r="L542" s="1190"/>
      <c r="M542" s="1190"/>
      <c r="N542" s="1190"/>
      <c r="O542" s="1190"/>
      <c r="P542" s="1190"/>
      <c r="Q542" s="1190"/>
      <c r="R542" s="1190"/>
      <c r="S542" s="1189"/>
      <c r="T542" s="1190"/>
      <c r="U542" s="1190"/>
      <c r="V542" s="1190"/>
      <c r="W542" s="1190"/>
      <c r="X542" s="1190"/>
      <c r="Y542" s="1190"/>
      <c r="Z542" s="1190"/>
      <c r="AA542" s="1190"/>
      <c r="AB542" s="1190"/>
      <c r="AC542" s="1190"/>
      <c r="AD542" s="1190"/>
      <c r="AE542" s="1190"/>
      <c r="AF542" s="1190"/>
      <c r="AG542" s="1748"/>
      <c r="AH542" s="1190"/>
      <c r="AI542" s="1748"/>
      <c r="AJ542" s="1190"/>
      <c r="AK542" s="1190"/>
      <c r="AL542" s="1190"/>
      <c r="AM542" s="1190"/>
      <c r="AN542" s="1190"/>
      <c r="AO542" s="1190"/>
      <c r="AP542" s="1190"/>
      <c r="AQ542" s="1190"/>
      <c r="AR542" s="1190"/>
      <c r="AS542" s="1190"/>
      <c r="AT542" s="1190"/>
      <c r="AU542" s="1190"/>
      <c r="AV542" s="1190"/>
      <c r="AW542" s="1190"/>
      <c r="AX542" s="1190"/>
      <c r="AY542" s="1190"/>
      <c r="AZ542" s="1190"/>
      <c r="BA542" s="1190"/>
      <c r="BB542" s="1190"/>
      <c r="BC542" s="1190"/>
      <c r="BD542" s="1190"/>
      <c r="BE542" s="1190"/>
      <c r="BF542" s="1190"/>
      <c r="BG542" s="1190"/>
      <c r="BH542" s="1190"/>
      <c r="BI542" s="1190"/>
      <c r="BJ542" s="1190"/>
      <c r="BK542" s="1190"/>
      <c r="BL542" s="1190"/>
      <c r="BM542" s="1190"/>
      <c r="BQ542" s="195"/>
      <c r="BR542" s="195"/>
      <c r="BT542" s="1005"/>
    </row>
    <row r="543" ht="15.75" customHeight="1">
      <c r="A543" s="195"/>
      <c r="B543" s="978"/>
      <c r="C543" s="2321"/>
      <c r="D543" s="1729"/>
      <c r="E543" s="1190"/>
      <c r="F543" s="1190"/>
      <c r="G543" s="1190"/>
      <c r="H543" s="1190"/>
      <c r="I543" s="1190"/>
      <c r="J543" s="1190"/>
      <c r="K543" s="1190"/>
      <c r="L543" s="1190"/>
      <c r="M543" s="1190"/>
      <c r="N543" s="1190"/>
      <c r="O543" s="1190"/>
      <c r="P543" s="1190"/>
      <c r="Q543" s="1190"/>
      <c r="R543" s="1190"/>
      <c r="S543" s="1189"/>
      <c r="T543" s="1190"/>
      <c r="U543" s="1190"/>
      <c r="V543" s="1190"/>
      <c r="W543" s="1190"/>
      <c r="X543" s="1190"/>
      <c r="Y543" s="1190"/>
      <c r="Z543" s="1190"/>
      <c r="AA543" s="1190"/>
      <c r="AB543" s="1190"/>
      <c r="AC543" s="1190"/>
      <c r="AD543" s="1190"/>
      <c r="AE543" s="1190"/>
      <c r="AF543" s="1190"/>
      <c r="AG543" s="1748"/>
      <c r="AH543" s="1190"/>
      <c r="AI543" s="1748"/>
      <c r="AJ543" s="1190"/>
      <c r="AK543" s="1190"/>
      <c r="AL543" s="1190"/>
      <c r="AM543" s="1190"/>
      <c r="AN543" s="1190"/>
      <c r="AO543" s="1190"/>
      <c r="AP543" s="1190"/>
      <c r="AQ543" s="1190"/>
      <c r="AR543" s="1190"/>
      <c r="AS543" s="1190"/>
      <c r="AT543" s="1190"/>
      <c r="AU543" s="1190"/>
      <c r="AV543" s="1190"/>
      <c r="AW543" s="1190"/>
      <c r="AX543" s="1190"/>
      <c r="AY543" s="1190"/>
      <c r="AZ543" s="1190"/>
      <c r="BA543" s="1190"/>
      <c r="BB543" s="1190"/>
      <c r="BC543" s="1190"/>
      <c r="BD543" s="1190"/>
      <c r="BE543" s="1190"/>
      <c r="BF543" s="1190"/>
      <c r="BG543" s="1190"/>
      <c r="BH543" s="1190"/>
      <c r="BI543" s="1190"/>
      <c r="BJ543" s="1190"/>
      <c r="BK543" s="1190"/>
      <c r="BL543" s="1190"/>
      <c r="BM543" s="1190"/>
      <c r="BQ543" s="195"/>
      <c r="BR543" s="195"/>
      <c r="BT543" s="1005"/>
    </row>
    <row r="544" ht="15.75" customHeight="1">
      <c r="A544" s="195"/>
      <c r="B544" s="978"/>
      <c r="C544" s="2321"/>
      <c r="D544" s="1729"/>
      <c r="E544" s="1190"/>
      <c r="F544" s="1190"/>
      <c r="G544" s="1190"/>
      <c r="H544" s="1190"/>
      <c r="I544" s="1190"/>
      <c r="J544" s="1190"/>
      <c r="K544" s="1190"/>
      <c r="L544" s="1190"/>
      <c r="M544" s="1190"/>
      <c r="N544" s="1190"/>
      <c r="O544" s="1190"/>
      <c r="P544" s="1190"/>
      <c r="Q544" s="1190"/>
      <c r="R544" s="1190"/>
      <c r="S544" s="1189"/>
      <c r="T544" s="1190"/>
      <c r="U544" s="1190"/>
      <c r="V544" s="1190"/>
      <c r="W544" s="1190"/>
      <c r="X544" s="1190"/>
      <c r="Y544" s="1190"/>
      <c r="Z544" s="1190"/>
      <c r="AA544" s="1190"/>
      <c r="AB544" s="1190"/>
      <c r="AC544" s="1190"/>
      <c r="AD544" s="1190"/>
      <c r="AE544" s="1190"/>
      <c r="AF544" s="1190"/>
      <c r="AG544" s="1748"/>
      <c r="AH544" s="1190"/>
      <c r="AI544" s="1748"/>
      <c r="AJ544" s="1190"/>
      <c r="AK544" s="1190"/>
      <c r="AL544" s="1190"/>
      <c r="AM544" s="1190"/>
      <c r="AN544" s="1190"/>
      <c r="AO544" s="1190"/>
      <c r="AP544" s="1190"/>
      <c r="AQ544" s="1190"/>
      <c r="AR544" s="1190"/>
      <c r="AS544" s="1190"/>
      <c r="AT544" s="1190"/>
      <c r="AU544" s="1190"/>
      <c r="AV544" s="1190"/>
      <c r="AW544" s="1190"/>
      <c r="AX544" s="1190"/>
      <c r="AY544" s="1190"/>
      <c r="AZ544" s="1190"/>
      <c r="BA544" s="1190"/>
      <c r="BB544" s="1190"/>
      <c r="BC544" s="1190"/>
      <c r="BD544" s="1190"/>
      <c r="BE544" s="1190"/>
      <c r="BF544" s="1190"/>
      <c r="BG544" s="1190"/>
      <c r="BH544" s="1190"/>
      <c r="BI544" s="1190"/>
      <c r="BJ544" s="1190"/>
      <c r="BK544" s="1190"/>
      <c r="BL544" s="1190"/>
      <c r="BM544" s="1190"/>
      <c r="BQ544" s="195"/>
      <c r="BR544" s="195"/>
      <c r="BT544" s="1005"/>
    </row>
    <row r="545" ht="15.75" customHeight="1">
      <c r="A545" s="195"/>
      <c r="B545" s="978"/>
      <c r="C545" s="2321"/>
      <c r="D545" s="1729"/>
      <c r="E545" s="1190"/>
      <c r="F545" s="1190"/>
      <c r="G545" s="1190"/>
      <c r="H545" s="1190"/>
      <c r="I545" s="1190"/>
      <c r="J545" s="1190"/>
      <c r="K545" s="1190"/>
      <c r="L545" s="1190"/>
      <c r="M545" s="1190"/>
      <c r="N545" s="1190"/>
      <c r="O545" s="1190"/>
      <c r="P545" s="1190"/>
      <c r="Q545" s="1190"/>
      <c r="R545" s="1190"/>
      <c r="S545" s="1189"/>
      <c r="T545" s="1190"/>
      <c r="U545" s="1190"/>
      <c r="V545" s="1190"/>
      <c r="W545" s="1190"/>
      <c r="X545" s="1190"/>
      <c r="Y545" s="1190"/>
      <c r="Z545" s="1190"/>
      <c r="AA545" s="1190"/>
      <c r="AB545" s="1190"/>
      <c r="AC545" s="1190"/>
      <c r="AD545" s="1190"/>
      <c r="AE545" s="1190"/>
      <c r="AF545" s="1190"/>
      <c r="AG545" s="1748"/>
      <c r="AH545" s="1190"/>
      <c r="AI545" s="1748"/>
      <c r="AJ545" s="1190"/>
      <c r="AK545" s="1190"/>
      <c r="AL545" s="1190"/>
      <c r="AM545" s="1190"/>
      <c r="AN545" s="1190"/>
      <c r="AO545" s="1190"/>
      <c r="AP545" s="1190"/>
      <c r="AQ545" s="1190"/>
      <c r="AR545" s="1190"/>
      <c r="AS545" s="1190"/>
      <c r="AT545" s="1190"/>
      <c r="AU545" s="1190"/>
      <c r="AV545" s="1190"/>
      <c r="AW545" s="1190"/>
      <c r="AX545" s="1190"/>
      <c r="AY545" s="1190"/>
      <c r="AZ545" s="1190"/>
      <c r="BA545" s="1190"/>
      <c r="BB545" s="1190"/>
      <c r="BC545" s="1190"/>
      <c r="BD545" s="1190"/>
      <c r="BE545" s="1190"/>
      <c r="BF545" s="1190"/>
      <c r="BG545" s="1190"/>
      <c r="BH545" s="1190"/>
      <c r="BI545" s="1190"/>
      <c r="BJ545" s="1190"/>
      <c r="BK545" s="1190"/>
      <c r="BL545" s="1190"/>
      <c r="BM545" s="1190"/>
      <c r="BQ545" s="195"/>
      <c r="BR545" s="195"/>
      <c r="BT545" s="1005"/>
    </row>
    <row r="546" ht="15.75" customHeight="1">
      <c r="A546" s="195"/>
      <c r="B546" s="978"/>
      <c r="C546" s="2321"/>
      <c r="D546" s="1729"/>
      <c r="E546" s="1190"/>
      <c r="F546" s="1190"/>
      <c r="G546" s="1190"/>
      <c r="H546" s="1190"/>
      <c r="I546" s="1190"/>
      <c r="J546" s="1190"/>
      <c r="K546" s="1190"/>
      <c r="L546" s="1190"/>
      <c r="M546" s="1190"/>
      <c r="N546" s="1190"/>
      <c r="O546" s="1190"/>
      <c r="P546" s="1190"/>
      <c r="Q546" s="1190"/>
      <c r="R546" s="1190"/>
      <c r="S546" s="1189"/>
      <c r="T546" s="1190"/>
      <c r="U546" s="1190"/>
      <c r="V546" s="1190"/>
      <c r="W546" s="1190"/>
      <c r="X546" s="1190"/>
      <c r="Y546" s="1190"/>
      <c r="Z546" s="1190"/>
      <c r="AA546" s="1190"/>
      <c r="AB546" s="1190"/>
      <c r="AC546" s="1190"/>
      <c r="AD546" s="1190"/>
      <c r="AE546" s="1190"/>
      <c r="AF546" s="1190"/>
      <c r="AG546" s="1748"/>
      <c r="AH546" s="1190"/>
      <c r="AI546" s="1748"/>
      <c r="AJ546" s="1190"/>
      <c r="AK546" s="1190"/>
      <c r="AL546" s="1190"/>
      <c r="AM546" s="1190"/>
      <c r="AN546" s="1190"/>
      <c r="AO546" s="1190"/>
      <c r="AP546" s="1190"/>
      <c r="AQ546" s="1190"/>
      <c r="AR546" s="1190"/>
      <c r="AS546" s="1190"/>
      <c r="AT546" s="1190"/>
      <c r="AU546" s="1190"/>
      <c r="AV546" s="1190"/>
      <c r="AW546" s="1190"/>
      <c r="AX546" s="1190"/>
      <c r="AY546" s="1190"/>
      <c r="AZ546" s="1190"/>
      <c r="BA546" s="1190"/>
      <c r="BB546" s="1190"/>
      <c r="BC546" s="1190"/>
      <c r="BD546" s="1190"/>
      <c r="BE546" s="1190"/>
      <c r="BF546" s="1190"/>
      <c r="BG546" s="1190"/>
      <c r="BH546" s="1190"/>
      <c r="BI546" s="1190"/>
      <c r="BJ546" s="1190"/>
      <c r="BK546" s="1190"/>
      <c r="BL546" s="1190"/>
      <c r="BM546" s="1190"/>
      <c r="BQ546" s="195"/>
      <c r="BR546" s="195"/>
      <c r="BT546" s="1005"/>
    </row>
    <row r="547" ht="15.75" customHeight="1">
      <c r="A547" s="195"/>
      <c r="B547" s="978"/>
      <c r="C547" s="2321"/>
      <c r="D547" s="1729"/>
      <c r="E547" s="1190"/>
      <c r="F547" s="1190"/>
      <c r="G547" s="1190"/>
      <c r="H547" s="1190"/>
      <c r="I547" s="1190"/>
      <c r="J547" s="1190"/>
      <c r="K547" s="1190"/>
      <c r="L547" s="1190"/>
      <c r="M547" s="1190"/>
      <c r="N547" s="1190"/>
      <c r="O547" s="1190"/>
      <c r="P547" s="1190"/>
      <c r="Q547" s="1190"/>
      <c r="R547" s="1190"/>
      <c r="S547" s="1189"/>
      <c r="T547" s="1190"/>
      <c r="U547" s="1190"/>
      <c r="V547" s="1190"/>
      <c r="W547" s="1190"/>
      <c r="X547" s="1190"/>
      <c r="Y547" s="1190"/>
      <c r="Z547" s="1190"/>
      <c r="AA547" s="1190"/>
      <c r="AB547" s="1190"/>
      <c r="AC547" s="1190"/>
      <c r="AD547" s="1190"/>
      <c r="AE547" s="1190"/>
      <c r="AF547" s="1190"/>
      <c r="AG547" s="1748"/>
      <c r="AH547" s="1190"/>
      <c r="AI547" s="1748"/>
      <c r="AJ547" s="1190"/>
      <c r="AK547" s="1190"/>
      <c r="AL547" s="1190"/>
      <c r="AM547" s="1190"/>
      <c r="AN547" s="1190"/>
      <c r="AO547" s="1190"/>
      <c r="AP547" s="1190"/>
      <c r="AQ547" s="1190"/>
      <c r="AR547" s="1190"/>
      <c r="AS547" s="1190"/>
      <c r="AT547" s="1190"/>
      <c r="AU547" s="1190"/>
      <c r="AV547" s="1190"/>
      <c r="AW547" s="1190"/>
      <c r="AX547" s="1190"/>
      <c r="AY547" s="1190"/>
      <c r="AZ547" s="1190"/>
      <c r="BA547" s="1190"/>
      <c r="BB547" s="1190"/>
      <c r="BC547" s="1190"/>
      <c r="BD547" s="1190"/>
      <c r="BE547" s="1190"/>
      <c r="BF547" s="1190"/>
      <c r="BG547" s="1190"/>
      <c r="BH547" s="1190"/>
      <c r="BI547" s="1190"/>
      <c r="BJ547" s="1190"/>
      <c r="BK547" s="1190"/>
      <c r="BL547" s="1190"/>
      <c r="BM547" s="1190"/>
      <c r="BQ547" s="195"/>
      <c r="BR547" s="195"/>
      <c r="BT547" s="1005"/>
    </row>
    <row r="548" ht="15.75" customHeight="1">
      <c r="A548" s="195"/>
      <c r="B548" s="978"/>
      <c r="C548" s="2321"/>
      <c r="D548" s="1729"/>
      <c r="E548" s="1190"/>
      <c r="F548" s="1190"/>
      <c r="G548" s="1190"/>
      <c r="H548" s="1190"/>
      <c r="I548" s="1190"/>
      <c r="J548" s="1190"/>
      <c r="K548" s="1190"/>
      <c r="L548" s="1190"/>
      <c r="M548" s="1190"/>
      <c r="N548" s="1190"/>
      <c r="O548" s="1190"/>
      <c r="P548" s="1190"/>
      <c r="Q548" s="1190"/>
      <c r="R548" s="1190"/>
      <c r="S548" s="1189"/>
      <c r="T548" s="1190"/>
      <c r="U548" s="1190"/>
      <c r="V548" s="1190"/>
      <c r="W548" s="1190"/>
      <c r="X548" s="1190"/>
      <c r="Y548" s="1190"/>
      <c r="Z548" s="1190"/>
      <c r="AA548" s="1190"/>
      <c r="AB548" s="1190"/>
      <c r="AC548" s="1190"/>
      <c r="AD548" s="1190"/>
      <c r="AE548" s="1190"/>
      <c r="AF548" s="1190"/>
      <c r="AG548" s="1748"/>
      <c r="AH548" s="1190"/>
      <c r="AI548" s="1748"/>
      <c r="AJ548" s="1190"/>
      <c r="AK548" s="1190"/>
      <c r="AL548" s="1190"/>
      <c r="AM548" s="1190"/>
      <c r="AN548" s="1190"/>
      <c r="AO548" s="1190"/>
      <c r="AP548" s="1190"/>
      <c r="AQ548" s="1190"/>
      <c r="AR548" s="1190"/>
      <c r="AS548" s="1190"/>
      <c r="AT548" s="1190"/>
      <c r="AU548" s="1190"/>
      <c r="AV548" s="1190"/>
      <c r="AW548" s="1190"/>
      <c r="AX548" s="1190"/>
      <c r="AY548" s="1190"/>
      <c r="AZ548" s="1190"/>
      <c r="BA548" s="1190"/>
      <c r="BB548" s="1190"/>
      <c r="BC548" s="1190"/>
      <c r="BD548" s="1190"/>
      <c r="BE548" s="1190"/>
      <c r="BF548" s="1190"/>
      <c r="BG548" s="1190"/>
      <c r="BH548" s="1190"/>
      <c r="BI548" s="1190"/>
      <c r="BJ548" s="1190"/>
      <c r="BK548" s="1190"/>
      <c r="BL548" s="1190"/>
      <c r="BM548" s="1190"/>
      <c r="BQ548" s="195"/>
      <c r="BR548" s="195"/>
      <c r="BT548" s="1005"/>
    </row>
    <row r="549" ht="15.75" customHeight="1">
      <c r="A549" s="195"/>
      <c r="B549" s="978"/>
      <c r="C549" s="2321"/>
      <c r="D549" s="1729"/>
      <c r="E549" s="1190"/>
      <c r="F549" s="1190"/>
      <c r="G549" s="1190"/>
      <c r="H549" s="1190"/>
      <c r="I549" s="1190"/>
      <c r="J549" s="1190"/>
      <c r="K549" s="1190"/>
      <c r="L549" s="1190"/>
      <c r="M549" s="1190"/>
      <c r="N549" s="1190"/>
      <c r="O549" s="1190"/>
      <c r="P549" s="1190"/>
      <c r="Q549" s="1190"/>
      <c r="R549" s="1190"/>
      <c r="S549" s="1189"/>
      <c r="T549" s="1190"/>
      <c r="U549" s="1190"/>
      <c r="V549" s="1190"/>
      <c r="W549" s="1190"/>
      <c r="X549" s="1190"/>
      <c r="Y549" s="1190"/>
      <c r="Z549" s="1190"/>
      <c r="AA549" s="1190"/>
      <c r="AB549" s="1190"/>
      <c r="AC549" s="1190"/>
      <c r="AD549" s="1190"/>
      <c r="AE549" s="1190"/>
      <c r="AF549" s="1190"/>
      <c r="AG549" s="1748"/>
      <c r="AH549" s="1190"/>
      <c r="AI549" s="1748"/>
      <c r="AJ549" s="1190"/>
      <c r="AK549" s="1190"/>
      <c r="AL549" s="1190"/>
      <c r="AM549" s="1190"/>
      <c r="AN549" s="1190"/>
      <c r="AO549" s="1190"/>
      <c r="AP549" s="1190"/>
      <c r="AQ549" s="1190"/>
      <c r="AR549" s="1190"/>
      <c r="AS549" s="1190"/>
      <c r="AT549" s="1190"/>
      <c r="AU549" s="1190"/>
      <c r="AV549" s="1190"/>
      <c r="AW549" s="1190"/>
      <c r="AX549" s="1190"/>
      <c r="AY549" s="1190"/>
      <c r="AZ549" s="1190"/>
      <c r="BA549" s="1190"/>
      <c r="BB549" s="1190"/>
      <c r="BC549" s="1190"/>
      <c r="BD549" s="1190"/>
      <c r="BE549" s="1190"/>
      <c r="BF549" s="1190"/>
      <c r="BG549" s="1190"/>
      <c r="BH549" s="1190"/>
      <c r="BI549" s="1190"/>
      <c r="BJ549" s="1190"/>
      <c r="BK549" s="1190"/>
      <c r="BL549" s="1190"/>
      <c r="BM549" s="1190"/>
      <c r="BQ549" s="195"/>
      <c r="BR549" s="195"/>
      <c r="BT549" s="1005"/>
    </row>
    <row r="550" ht="15.75" customHeight="1">
      <c r="A550" s="195"/>
      <c r="B550" s="978"/>
      <c r="C550" s="2321"/>
      <c r="D550" s="1729"/>
      <c r="E550" s="1190"/>
      <c r="F550" s="1190"/>
      <c r="G550" s="1190"/>
      <c r="H550" s="1190"/>
      <c r="I550" s="1190"/>
      <c r="J550" s="1190"/>
      <c r="K550" s="1190"/>
      <c r="L550" s="1190"/>
      <c r="M550" s="1190"/>
      <c r="N550" s="1190"/>
      <c r="O550" s="1190"/>
      <c r="P550" s="1190"/>
      <c r="Q550" s="1190"/>
      <c r="R550" s="1190"/>
      <c r="S550" s="1189"/>
      <c r="T550" s="1190"/>
      <c r="U550" s="1190"/>
      <c r="V550" s="1190"/>
      <c r="W550" s="1190"/>
      <c r="X550" s="1190"/>
      <c r="Y550" s="1190"/>
      <c r="Z550" s="1190"/>
      <c r="AA550" s="1190"/>
      <c r="AB550" s="1190"/>
      <c r="AC550" s="1190"/>
      <c r="AD550" s="1190"/>
      <c r="AE550" s="1190"/>
      <c r="AF550" s="1190"/>
      <c r="AG550" s="1748"/>
      <c r="AH550" s="1190"/>
      <c r="AI550" s="1748"/>
      <c r="AJ550" s="1190"/>
      <c r="AK550" s="1190"/>
      <c r="AL550" s="1190"/>
      <c r="AM550" s="1190"/>
      <c r="AN550" s="1190"/>
      <c r="AO550" s="1190"/>
      <c r="AP550" s="1190"/>
      <c r="AQ550" s="1190"/>
      <c r="AR550" s="1190"/>
      <c r="AS550" s="1190"/>
      <c r="AT550" s="1190"/>
      <c r="AU550" s="1190"/>
      <c r="AV550" s="1190"/>
      <c r="AW550" s="1190"/>
      <c r="AX550" s="1190"/>
      <c r="AY550" s="1190"/>
      <c r="AZ550" s="1190"/>
      <c r="BA550" s="1190"/>
      <c r="BB550" s="1190"/>
      <c r="BC550" s="1190"/>
      <c r="BD550" s="1190"/>
      <c r="BE550" s="1190"/>
      <c r="BF550" s="1190"/>
      <c r="BG550" s="1190"/>
      <c r="BH550" s="1190"/>
      <c r="BI550" s="1190"/>
      <c r="BJ550" s="1190"/>
      <c r="BK550" s="1190"/>
      <c r="BL550" s="1190"/>
      <c r="BM550" s="1190"/>
      <c r="BQ550" s="195"/>
      <c r="BR550" s="195"/>
      <c r="BT550" s="1005"/>
    </row>
    <row r="551" ht="15.75" customHeight="1">
      <c r="A551" s="195"/>
      <c r="B551" s="978"/>
      <c r="C551" s="2321"/>
      <c r="D551" s="1729"/>
      <c r="E551" s="1190"/>
      <c r="F551" s="1190"/>
      <c r="G551" s="1190"/>
      <c r="H551" s="1190"/>
      <c r="I551" s="1190"/>
      <c r="J551" s="1190"/>
      <c r="K551" s="1190"/>
      <c r="L551" s="1190"/>
      <c r="M551" s="1190"/>
      <c r="N551" s="1190"/>
      <c r="O551" s="1190"/>
      <c r="P551" s="1190"/>
      <c r="Q551" s="1190"/>
      <c r="R551" s="1190"/>
      <c r="S551" s="1189"/>
      <c r="T551" s="1190"/>
      <c r="U551" s="1190"/>
      <c r="V551" s="1190"/>
      <c r="W551" s="1190"/>
      <c r="X551" s="1190"/>
      <c r="Y551" s="1190"/>
      <c r="Z551" s="1190"/>
      <c r="AA551" s="1190"/>
      <c r="AB551" s="1190"/>
      <c r="AC551" s="1190"/>
      <c r="AD551" s="1190"/>
      <c r="AE551" s="1190"/>
      <c r="AF551" s="1190"/>
      <c r="AG551" s="1748"/>
      <c r="AH551" s="1190"/>
      <c r="AI551" s="1748"/>
      <c r="AJ551" s="1190"/>
      <c r="AK551" s="1190"/>
      <c r="AL551" s="1190"/>
      <c r="AM551" s="1190"/>
      <c r="AN551" s="1190"/>
      <c r="AO551" s="1190"/>
      <c r="AP551" s="1190"/>
      <c r="AQ551" s="1190"/>
      <c r="AR551" s="1190"/>
      <c r="AS551" s="1190"/>
      <c r="AT551" s="1190"/>
      <c r="AU551" s="1190"/>
      <c r="AV551" s="1190"/>
      <c r="AW551" s="1190"/>
      <c r="AX551" s="1190"/>
      <c r="AY551" s="1190"/>
      <c r="AZ551" s="1190"/>
      <c r="BA551" s="1190"/>
      <c r="BB551" s="1190"/>
      <c r="BC551" s="1190"/>
      <c r="BD551" s="1190"/>
      <c r="BE551" s="1190"/>
      <c r="BF551" s="1190"/>
      <c r="BG551" s="1190"/>
      <c r="BH551" s="1190"/>
      <c r="BI551" s="1190"/>
      <c r="BJ551" s="1190"/>
      <c r="BK551" s="1190"/>
      <c r="BL551" s="1190"/>
      <c r="BM551" s="1190"/>
      <c r="BQ551" s="195"/>
      <c r="BR551" s="195"/>
      <c r="BT551" s="1005"/>
    </row>
    <row r="552" ht="15.75" customHeight="1">
      <c r="A552" s="195"/>
      <c r="B552" s="978"/>
      <c r="C552" s="2321"/>
      <c r="D552" s="1729"/>
      <c r="E552" s="1190"/>
      <c r="F552" s="1190"/>
      <c r="G552" s="1190"/>
      <c r="H552" s="1190"/>
      <c r="I552" s="1190"/>
      <c r="J552" s="1190"/>
      <c r="K552" s="1190"/>
      <c r="L552" s="1190"/>
      <c r="M552" s="1190"/>
      <c r="N552" s="1190"/>
      <c r="O552" s="1190"/>
      <c r="P552" s="1190"/>
      <c r="Q552" s="1190"/>
      <c r="R552" s="1190"/>
      <c r="S552" s="1189"/>
      <c r="T552" s="1190"/>
      <c r="U552" s="1190"/>
      <c r="V552" s="1190"/>
      <c r="W552" s="1190"/>
      <c r="X552" s="1190"/>
      <c r="Y552" s="1190"/>
      <c r="Z552" s="1190"/>
      <c r="AA552" s="1190"/>
      <c r="AB552" s="1190"/>
      <c r="AC552" s="1190"/>
      <c r="AD552" s="1190"/>
      <c r="AE552" s="1190"/>
      <c r="AF552" s="1190"/>
      <c r="AG552" s="1748"/>
      <c r="AH552" s="1190"/>
      <c r="AI552" s="1748"/>
      <c r="AJ552" s="1190"/>
      <c r="AK552" s="1190"/>
      <c r="AL552" s="1190"/>
      <c r="AM552" s="1190"/>
      <c r="AN552" s="1190"/>
      <c r="AO552" s="1190"/>
      <c r="AP552" s="1190"/>
      <c r="AQ552" s="1190"/>
      <c r="AR552" s="1190"/>
      <c r="AS552" s="1190"/>
      <c r="AT552" s="1190"/>
      <c r="AU552" s="1190"/>
      <c r="AV552" s="1190"/>
      <c r="AW552" s="1190"/>
      <c r="AX552" s="1190"/>
      <c r="AY552" s="1190"/>
      <c r="AZ552" s="1190"/>
      <c r="BA552" s="1190"/>
      <c r="BB552" s="1190"/>
      <c r="BC552" s="1190"/>
      <c r="BD552" s="1190"/>
      <c r="BE552" s="1190"/>
      <c r="BF552" s="1190"/>
      <c r="BG552" s="1190"/>
      <c r="BH552" s="1190"/>
      <c r="BI552" s="1190"/>
      <c r="BJ552" s="1190"/>
      <c r="BK552" s="1190"/>
      <c r="BL552" s="1190"/>
      <c r="BM552" s="1190"/>
      <c r="BQ552" s="195"/>
      <c r="BR552" s="195"/>
      <c r="BT552" s="1005"/>
    </row>
    <row r="553" ht="15.75" customHeight="1">
      <c r="A553" s="195"/>
      <c r="B553" s="978"/>
      <c r="C553" s="2321"/>
      <c r="D553" s="1729"/>
      <c r="E553" s="1190"/>
      <c r="F553" s="1190"/>
      <c r="G553" s="1190"/>
      <c r="H553" s="1190"/>
      <c r="I553" s="1190"/>
      <c r="J553" s="1190"/>
      <c r="K553" s="1190"/>
      <c r="L553" s="1190"/>
      <c r="M553" s="1190"/>
      <c r="N553" s="1190"/>
      <c r="O553" s="1190"/>
      <c r="P553" s="1190"/>
      <c r="Q553" s="1190"/>
      <c r="R553" s="1190"/>
      <c r="S553" s="1189"/>
      <c r="T553" s="1190"/>
      <c r="U553" s="1190"/>
      <c r="V553" s="1190"/>
      <c r="W553" s="1190"/>
      <c r="X553" s="1190"/>
      <c r="Y553" s="1190"/>
      <c r="Z553" s="1190"/>
      <c r="AA553" s="1190"/>
      <c r="AB553" s="1190"/>
      <c r="AC553" s="1190"/>
      <c r="AD553" s="1190"/>
      <c r="AE553" s="1190"/>
      <c r="AF553" s="1190"/>
      <c r="AG553" s="1748"/>
      <c r="AH553" s="1190"/>
      <c r="AI553" s="1748"/>
      <c r="AJ553" s="1190"/>
      <c r="AK553" s="1190"/>
      <c r="AL553" s="1190"/>
      <c r="AM553" s="1190"/>
      <c r="AN553" s="1190"/>
      <c r="AO553" s="1190"/>
      <c r="AP553" s="1190"/>
      <c r="AQ553" s="1190"/>
      <c r="AR553" s="1190"/>
      <c r="AS553" s="1190"/>
      <c r="AT553" s="1190"/>
      <c r="AU553" s="1190"/>
      <c r="AV553" s="1190"/>
      <c r="AW553" s="1190"/>
      <c r="AX553" s="1190"/>
      <c r="AY553" s="1190"/>
      <c r="AZ553" s="1190"/>
      <c r="BA553" s="1190"/>
      <c r="BB553" s="1190"/>
      <c r="BC553" s="1190"/>
      <c r="BD553" s="1190"/>
      <c r="BE553" s="1190"/>
      <c r="BF553" s="1190"/>
      <c r="BG553" s="1190"/>
      <c r="BH553" s="1190"/>
      <c r="BI553" s="1190"/>
      <c r="BJ553" s="1190"/>
      <c r="BK553" s="1190"/>
      <c r="BL553" s="1190"/>
      <c r="BM553" s="1190"/>
      <c r="BQ553" s="195"/>
      <c r="BR553" s="195"/>
      <c r="BT553" s="1005"/>
    </row>
    <row r="554" ht="15.75" customHeight="1">
      <c r="A554" s="195"/>
      <c r="B554" s="978"/>
      <c r="C554" s="2321"/>
      <c r="D554" s="1729"/>
      <c r="E554" s="1190"/>
      <c r="F554" s="1190"/>
      <c r="G554" s="1190"/>
      <c r="H554" s="1190"/>
      <c r="I554" s="1190"/>
      <c r="J554" s="1190"/>
      <c r="K554" s="1190"/>
      <c r="L554" s="1190"/>
      <c r="M554" s="1190"/>
      <c r="N554" s="1190"/>
      <c r="O554" s="1190"/>
      <c r="P554" s="1190"/>
      <c r="Q554" s="1190"/>
      <c r="R554" s="1190"/>
      <c r="S554" s="1189"/>
      <c r="T554" s="1190"/>
      <c r="U554" s="1190"/>
      <c r="V554" s="1190"/>
      <c r="W554" s="1190"/>
      <c r="X554" s="1190"/>
      <c r="Y554" s="1190"/>
      <c r="Z554" s="1190"/>
      <c r="AA554" s="1190"/>
      <c r="AB554" s="1190"/>
      <c r="AC554" s="1190"/>
      <c r="AD554" s="1190"/>
      <c r="AE554" s="1190"/>
      <c r="AF554" s="1190"/>
      <c r="AG554" s="1748"/>
      <c r="AH554" s="1190"/>
      <c r="AI554" s="1748"/>
      <c r="AJ554" s="1190"/>
      <c r="AK554" s="1190"/>
      <c r="AL554" s="1190"/>
      <c r="AM554" s="1190"/>
      <c r="AN554" s="1190"/>
      <c r="AO554" s="1190"/>
      <c r="AP554" s="1190"/>
      <c r="AQ554" s="1190"/>
      <c r="AR554" s="1190"/>
      <c r="AS554" s="1190"/>
      <c r="AT554" s="1190"/>
      <c r="AU554" s="1190"/>
      <c r="AV554" s="1190"/>
      <c r="AW554" s="1190"/>
      <c r="AX554" s="1190"/>
      <c r="AY554" s="1190"/>
      <c r="AZ554" s="1190"/>
      <c r="BA554" s="1190"/>
      <c r="BB554" s="1190"/>
      <c r="BC554" s="1190"/>
      <c r="BD554" s="1190"/>
      <c r="BE554" s="1190"/>
      <c r="BF554" s="1190"/>
      <c r="BG554" s="1190"/>
      <c r="BH554" s="1190"/>
      <c r="BI554" s="1190"/>
      <c r="BJ554" s="1190"/>
      <c r="BK554" s="1190"/>
      <c r="BL554" s="1190"/>
      <c r="BM554" s="1190"/>
      <c r="BQ554" s="195"/>
      <c r="BR554" s="195"/>
      <c r="BT554" s="1005"/>
    </row>
    <row r="555" ht="15.75" customHeight="1">
      <c r="A555" s="195"/>
      <c r="B555" s="978"/>
      <c r="C555" s="2321"/>
      <c r="D555" s="1729"/>
      <c r="E555" s="1190"/>
      <c r="F555" s="1190"/>
      <c r="G555" s="1190"/>
      <c r="H555" s="1190"/>
      <c r="I555" s="1190"/>
      <c r="J555" s="1190"/>
      <c r="K555" s="1190"/>
      <c r="L555" s="1190"/>
      <c r="M555" s="1190"/>
      <c r="N555" s="1190"/>
      <c r="O555" s="1190"/>
      <c r="P555" s="1190"/>
      <c r="Q555" s="1190"/>
      <c r="R555" s="1190"/>
      <c r="S555" s="1189"/>
      <c r="T555" s="1190"/>
      <c r="U555" s="1190"/>
      <c r="V555" s="1190"/>
      <c r="W555" s="1190"/>
      <c r="X555" s="1190"/>
      <c r="Y555" s="1190"/>
      <c r="Z555" s="1190"/>
      <c r="AA555" s="1190"/>
      <c r="AB555" s="1190"/>
      <c r="AC555" s="1190"/>
      <c r="AD555" s="1190"/>
      <c r="AE555" s="1190"/>
      <c r="AF555" s="1190"/>
      <c r="AG555" s="1748"/>
      <c r="AH555" s="1190"/>
      <c r="AI555" s="1748"/>
      <c r="AJ555" s="1190"/>
      <c r="AK555" s="1190"/>
      <c r="AL555" s="1190"/>
      <c r="AM555" s="1190"/>
      <c r="AN555" s="1190"/>
      <c r="AO555" s="1190"/>
      <c r="AP555" s="1190"/>
      <c r="AQ555" s="1190"/>
      <c r="AR555" s="1190"/>
      <c r="AS555" s="1190"/>
      <c r="AT555" s="1190"/>
      <c r="AU555" s="1190"/>
      <c r="AV555" s="1190"/>
      <c r="AW555" s="1190"/>
      <c r="AX555" s="1190"/>
      <c r="AY555" s="1190"/>
      <c r="AZ555" s="1190"/>
      <c r="BA555" s="1190"/>
      <c r="BB555" s="1190"/>
      <c r="BC555" s="1190"/>
      <c r="BD555" s="1190"/>
      <c r="BE555" s="1190"/>
      <c r="BF555" s="1190"/>
      <c r="BG555" s="1190"/>
      <c r="BH555" s="1190"/>
      <c r="BI555" s="1190"/>
      <c r="BJ555" s="1190"/>
      <c r="BK555" s="1190"/>
      <c r="BL555" s="1190"/>
      <c r="BM555" s="1190"/>
      <c r="BQ555" s="195"/>
      <c r="BR555" s="195"/>
      <c r="BT555" s="1005"/>
    </row>
    <row r="556" ht="15.75" customHeight="1">
      <c r="A556" s="195"/>
      <c r="B556" s="978"/>
      <c r="C556" s="2321"/>
      <c r="D556" s="1729"/>
      <c r="E556" s="1190"/>
      <c r="F556" s="1190"/>
      <c r="G556" s="1190"/>
      <c r="H556" s="1190"/>
      <c r="I556" s="1190"/>
      <c r="J556" s="1190"/>
      <c r="K556" s="1190"/>
      <c r="L556" s="1190"/>
      <c r="M556" s="1190"/>
      <c r="N556" s="1190"/>
      <c r="O556" s="1190"/>
      <c r="P556" s="1190"/>
      <c r="Q556" s="1190"/>
      <c r="R556" s="1190"/>
      <c r="S556" s="1189"/>
      <c r="T556" s="1190"/>
      <c r="U556" s="1190"/>
      <c r="V556" s="1190"/>
      <c r="W556" s="1190"/>
      <c r="X556" s="1190"/>
      <c r="Y556" s="1190"/>
      <c r="Z556" s="1190"/>
      <c r="AA556" s="1190"/>
      <c r="AB556" s="1190"/>
      <c r="AC556" s="1190"/>
      <c r="AD556" s="1190"/>
      <c r="AE556" s="1190"/>
      <c r="AF556" s="1190"/>
      <c r="AG556" s="1748"/>
      <c r="AH556" s="1190"/>
      <c r="AI556" s="1748"/>
      <c r="AJ556" s="1190"/>
      <c r="AK556" s="1190"/>
      <c r="AL556" s="1190"/>
      <c r="AM556" s="1190"/>
      <c r="AN556" s="1190"/>
      <c r="AO556" s="1190"/>
      <c r="AP556" s="1190"/>
      <c r="AQ556" s="1190"/>
      <c r="AR556" s="1190"/>
      <c r="AS556" s="1190"/>
      <c r="AT556" s="1190"/>
      <c r="AU556" s="1190"/>
      <c r="AV556" s="1190"/>
      <c r="AW556" s="1190"/>
      <c r="AX556" s="1190"/>
      <c r="AY556" s="1190"/>
      <c r="AZ556" s="1190"/>
      <c r="BA556" s="1190"/>
      <c r="BB556" s="1190"/>
      <c r="BC556" s="1190"/>
      <c r="BD556" s="1190"/>
      <c r="BE556" s="1190"/>
      <c r="BF556" s="1190"/>
      <c r="BG556" s="1190"/>
      <c r="BH556" s="1190"/>
      <c r="BI556" s="1190"/>
      <c r="BJ556" s="1190"/>
      <c r="BK556" s="1190"/>
      <c r="BL556" s="1190"/>
      <c r="BM556" s="1190"/>
      <c r="BQ556" s="195"/>
      <c r="BR556" s="195"/>
      <c r="BT556" s="1005"/>
    </row>
    <row r="557" ht="15.75" customHeight="1">
      <c r="A557" s="195"/>
      <c r="B557" s="978"/>
      <c r="C557" s="2321"/>
      <c r="D557" s="1729"/>
      <c r="E557" s="1190"/>
      <c r="F557" s="1190"/>
      <c r="G557" s="1190"/>
      <c r="H557" s="1190"/>
      <c r="I557" s="1190"/>
      <c r="J557" s="1190"/>
      <c r="K557" s="1190"/>
      <c r="L557" s="1190"/>
      <c r="M557" s="1190"/>
      <c r="N557" s="1190"/>
      <c r="O557" s="1190"/>
      <c r="P557" s="1190"/>
      <c r="Q557" s="1190"/>
      <c r="R557" s="1190"/>
      <c r="S557" s="1189"/>
      <c r="T557" s="1190"/>
      <c r="U557" s="1190"/>
      <c r="V557" s="1190"/>
      <c r="W557" s="1190"/>
      <c r="X557" s="1190"/>
      <c r="Y557" s="1190"/>
      <c r="Z557" s="1190"/>
      <c r="AA557" s="1190"/>
      <c r="AB557" s="1190"/>
      <c r="AC557" s="1190"/>
      <c r="AD557" s="1190"/>
      <c r="AE557" s="1190"/>
      <c r="AF557" s="1190"/>
      <c r="AG557" s="1748"/>
      <c r="AH557" s="1190"/>
      <c r="AI557" s="1748"/>
      <c r="AJ557" s="1190"/>
      <c r="AK557" s="1190"/>
      <c r="AL557" s="1190"/>
      <c r="AM557" s="1190"/>
      <c r="AN557" s="1190"/>
      <c r="AO557" s="1190"/>
      <c r="AP557" s="1190"/>
      <c r="AQ557" s="1190"/>
      <c r="AR557" s="1190"/>
      <c r="AS557" s="1190"/>
      <c r="AT557" s="1190"/>
      <c r="AU557" s="1190"/>
      <c r="AV557" s="1190"/>
      <c r="AW557" s="1190"/>
      <c r="AX557" s="1190"/>
      <c r="AY557" s="1190"/>
      <c r="AZ557" s="1190"/>
      <c r="BA557" s="1190"/>
      <c r="BB557" s="1190"/>
      <c r="BC557" s="1190"/>
      <c r="BD557" s="1190"/>
      <c r="BE557" s="1190"/>
      <c r="BF557" s="1190"/>
      <c r="BG557" s="1190"/>
      <c r="BH557" s="1190"/>
      <c r="BI557" s="1190"/>
      <c r="BJ557" s="1190"/>
      <c r="BK557" s="1190"/>
      <c r="BL557" s="1190"/>
      <c r="BM557" s="1190"/>
      <c r="BQ557" s="195"/>
      <c r="BR557" s="195"/>
      <c r="BT557" s="1005"/>
    </row>
    <row r="558" ht="15.75" customHeight="1">
      <c r="A558" s="195"/>
      <c r="B558" s="978"/>
      <c r="C558" s="2321"/>
      <c r="D558" s="1729"/>
      <c r="E558" s="1190"/>
      <c r="F558" s="1190"/>
      <c r="G558" s="1190"/>
      <c r="H558" s="1190"/>
      <c r="I558" s="1190"/>
      <c r="J558" s="1190"/>
      <c r="K558" s="1190"/>
      <c r="L558" s="1190"/>
      <c r="M558" s="1190"/>
      <c r="N558" s="1190"/>
      <c r="O558" s="1190"/>
      <c r="P558" s="1190"/>
      <c r="Q558" s="1190"/>
      <c r="R558" s="1190"/>
      <c r="S558" s="1189"/>
      <c r="T558" s="1190"/>
      <c r="U558" s="1190"/>
      <c r="V558" s="1190"/>
      <c r="W558" s="1190"/>
      <c r="X558" s="1190"/>
      <c r="Y558" s="1190"/>
      <c r="Z558" s="1190"/>
      <c r="AA558" s="1190"/>
      <c r="AB558" s="1190"/>
      <c r="AC558" s="1190"/>
      <c r="AD558" s="1190"/>
      <c r="AE558" s="1190"/>
      <c r="AF558" s="1190"/>
      <c r="AG558" s="1748"/>
      <c r="AH558" s="1190"/>
      <c r="AI558" s="1748"/>
      <c r="AJ558" s="1190"/>
      <c r="AK558" s="1190"/>
      <c r="AL558" s="1190"/>
      <c r="AM558" s="1190"/>
      <c r="AN558" s="1190"/>
      <c r="AO558" s="1190"/>
      <c r="AP558" s="1190"/>
      <c r="AQ558" s="1190"/>
      <c r="AR558" s="1190"/>
      <c r="AS558" s="1190"/>
      <c r="AT558" s="1190"/>
      <c r="AU558" s="1190"/>
      <c r="AV558" s="1190"/>
      <c r="AW558" s="1190"/>
      <c r="AX558" s="1190"/>
      <c r="AY558" s="1190"/>
      <c r="AZ558" s="1190"/>
      <c r="BA558" s="1190"/>
      <c r="BB558" s="1190"/>
      <c r="BC558" s="1190"/>
      <c r="BD558" s="1190"/>
      <c r="BE558" s="1190"/>
      <c r="BF558" s="1190"/>
      <c r="BG558" s="1190"/>
      <c r="BH558" s="1190"/>
      <c r="BI558" s="1190"/>
      <c r="BJ558" s="1190"/>
      <c r="BK558" s="1190"/>
      <c r="BL558" s="1190"/>
      <c r="BM558" s="1190"/>
      <c r="BQ558" s="195"/>
      <c r="BR558" s="195"/>
      <c r="BT558" s="1005"/>
    </row>
    <row r="559" ht="15.75" customHeight="1">
      <c r="A559" s="195"/>
      <c r="B559" s="978"/>
      <c r="C559" s="2321"/>
      <c r="D559" s="1729"/>
      <c r="E559" s="1190"/>
      <c r="F559" s="1190"/>
      <c r="G559" s="1190"/>
      <c r="H559" s="1190"/>
      <c r="I559" s="1190"/>
      <c r="J559" s="1190"/>
      <c r="K559" s="1190"/>
      <c r="L559" s="1190"/>
      <c r="M559" s="1190"/>
      <c r="N559" s="1190"/>
      <c r="O559" s="1190"/>
      <c r="P559" s="1190"/>
      <c r="Q559" s="1190"/>
      <c r="R559" s="1190"/>
      <c r="S559" s="1189"/>
      <c r="T559" s="1190"/>
      <c r="U559" s="1190"/>
      <c r="V559" s="1190"/>
      <c r="W559" s="1190"/>
      <c r="X559" s="1190"/>
      <c r="Y559" s="1190"/>
      <c r="Z559" s="1190"/>
      <c r="AA559" s="1190"/>
      <c r="AB559" s="1190"/>
      <c r="AC559" s="1190"/>
      <c r="AD559" s="1190"/>
      <c r="AE559" s="1190"/>
      <c r="AF559" s="1190"/>
      <c r="AG559" s="1748"/>
      <c r="AH559" s="1190"/>
      <c r="AI559" s="1748"/>
      <c r="AJ559" s="1190"/>
      <c r="AK559" s="1190"/>
      <c r="AL559" s="1190"/>
      <c r="AM559" s="1190"/>
      <c r="AN559" s="1190"/>
      <c r="AO559" s="1190"/>
      <c r="AP559" s="1190"/>
      <c r="AQ559" s="1190"/>
      <c r="AR559" s="1190"/>
      <c r="AS559" s="1190"/>
      <c r="AT559" s="1190"/>
      <c r="AU559" s="1190"/>
      <c r="AV559" s="1190"/>
      <c r="AW559" s="1190"/>
      <c r="AX559" s="1190"/>
      <c r="AY559" s="1190"/>
      <c r="AZ559" s="1190"/>
      <c r="BA559" s="1190"/>
      <c r="BB559" s="1190"/>
      <c r="BC559" s="1190"/>
      <c r="BD559" s="1190"/>
      <c r="BE559" s="1190"/>
      <c r="BF559" s="1190"/>
      <c r="BG559" s="1190"/>
      <c r="BH559" s="1190"/>
      <c r="BI559" s="1190"/>
      <c r="BJ559" s="1190"/>
      <c r="BK559" s="1190"/>
      <c r="BL559" s="1190"/>
      <c r="BM559" s="1190"/>
      <c r="BQ559" s="195"/>
      <c r="BR559" s="195"/>
      <c r="BT559" s="1005"/>
    </row>
    <row r="560" ht="15.75" customHeight="1">
      <c r="A560" s="195"/>
      <c r="B560" s="978"/>
      <c r="C560" s="2321"/>
      <c r="D560" s="1729"/>
      <c r="E560" s="1190"/>
      <c r="F560" s="1190"/>
      <c r="G560" s="1190"/>
      <c r="H560" s="1190"/>
      <c r="I560" s="1190"/>
      <c r="J560" s="1190"/>
      <c r="K560" s="1190"/>
      <c r="L560" s="1190"/>
      <c r="M560" s="1190"/>
      <c r="N560" s="1190"/>
      <c r="O560" s="1190"/>
      <c r="P560" s="1190"/>
      <c r="Q560" s="1190"/>
      <c r="R560" s="1190"/>
      <c r="S560" s="1189"/>
      <c r="T560" s="1190"/>
      <c r="U560" s="1190"/>
      <c r="V560" s="1190"/>
      <c r="W560" s="1190"/>
      <c r="X560" s="1190"/>
      <c r="Y560" s="1190"/>
      <c r="Z560" s="1190"/>
      <c r="AA560" s="1190"/>
      <c r="AB560" s="1190"/>
      <c r="AC560" s="1190"/>
      <c r="AD560" s="1190"/>
      <c r="AE560" s="1190"/>
      <c r="AF560" s="1190"/>
      <c r="AG560" s="1748"/>
      <c r="AH560" s="1190"/>
      <c r="AI560" s="1748"/>
      <c r="AJ560" s="1190"/>
      <c r="AK560" s="1190"/>
      <c r="AL560" s="1190"/>
      <c r="AM560" s="1190"/>
      <c r="AN560" s="1190"/>
      <c r="AO560" s="1190"/>
      <c r="AP560" s="1190"/>
      <c r="AQ560" s="1190"/>
      <c r="AR560" s="1190"/>
      <c r="AS560" s="1190"/>
      <c r="AT560" s="1190"/>
      <c r="AU560" s="1190"/>
      <c r="AV560" s="1190"/>
      <c r="AW560" s="1190"/>
      <c r="AX560" s="1190"/>
      <c r="AY560" s="1190"/>
      <c r="AZ560" s="1190"/>
      <c r="BA560" s="1190"/>
      <c r="BB560" s="1190"/>
      <c r="BC560" s="1190"/>
      <c r="BD560" s="1190"/>
      <c r="BE560" s="1190"/>
      <c r="BF560" s="1190"/>
      <c r="BG560" s="1190"/>
      <c r="BH560" s="1190"/>
      <c r="BI560" s="1190"/>
      <c r="BJ560" s="1190"/>
      <c r="BK560" s="1190"/>
      <c r="BL560" s="1190"/>
      <c r="BM560" s="1190"/>
      <c r="BQ560" s="195"/>
      <c r="BR560" s="195"/>
      <c r="BT560" s="1005"/>
    </row>
    <row r="561" ht="15.75" customHeight="1">
      <c r="A561" s="195"/>
      <c r="B561" s="978"/>
      <c r="C561" s="2321"/>
      <c r="D561" s="1729"/>
      <c r="E561" s="1190"/>
      <c r="F561" s="1190"/>
      <c r="G561" s="1190"/>
      <c r="H561" s="1190"/>
      <c r="I561" s="1190"/>
      <c r="J561" s="1190"/>
      <c r="K561" s="1190"/>
      <c r="L561" s="1190"/>
      <c r="M561" s="1190"/>
      <c r="N561" s="1190"/>
      <c r="O561" s="1190"/>
      <c r="P561" s="1190"/>
      <c r="Q561" s="1190"/>
      <c r="R561" s="1190"/>
      <c r="S561" s="1189"/>
      <c r="T561" s="1190"/>
      <c r="U561" s="1190"/>
      <c r="V561" s="1190"/>
      <c r="W561" s="1190"/>
      <c r="X561" s="1190"/>
      <c r="Y561" s="1190"/>
      <c r="Z561" s="1190"/>
      <c r="AA561" s="1190"/>
      <c r="AB561" s="1190"/>
      <c r="AC561" s="1190"/>
      <c r="AD561" s="1190"/>
      <c r="AE561" s="1190"/>
      <c r="AF561" s="1190"/>
      <c r="AG561" s="1748"/>
      <c r="AH561" s="1190"/>
      <c r="AI561" s="1748"/>
      <c r="AJ561" s="1190"/>
      <c r="AK561" s="1190"/>
      <c r="AL561" s="1190"/>
      <c r="AM561" s="1190"/>
      <c r="AN561" s="1190"/>
      <c r="AO561" s="1190"/>
      <c r="AP561" s="1190"/>
      <c r="AQ561" s="1190"/>
      <c r="AR561" s="1190"/>
      <c r="AS561" s="1190"/>
      <c r="AT561" s="1190"/>
      <c r="AU561" s="1190"/>
      <c r="AV561" s="1190"/>
      <c r="AW561" s="1190"/>
      <c r="AX561" s="1190"/>
      <c r="AY561" s="1190"/>
      <c r="AZ561" s="1190"/>
      <c r="BA561" s="1190"/>
      <c r="BB561" s="1190"/>
      <c r="BC561" s="1190"/>
      <c r="BD561" s="1190"/>
      <c r="BE561" s="1190"/>
      <c r="BF561" s="1190"/>
      <c r="BG561" s="1190"/>
      <c r="BH561" s="1190"/>
      <c r="BI561" s="1190"/>
      <c r="BJ561" s="1190"/>
      <c r="BK561" s="1190"/>
      <c r="BL561" s="1190"/>
      <c r="BM561" s="1190"/>
      <c r="BQ561" s="195"/>
      <c r="BR561" s="195"/>
      <c r="BT561" s="1005"/>
    </row>
    <row r="562" ht="15.75" customHeight="1">
      <c r="A562" s="195"/>
      <c r="B562" s="978"/>
      <c r="C562" s="2321"/>
      <c r="D562" s="1729"/>
      <c r="E562" s="1190"/>
      <c r="F562" s="1190"/>
      <c r="G562" s="1190"/>
      <c r="H562" s="1190"/>
      <c r="I562" s="1190"/>
      <c r="J562" s="1190"/>
      <c r="K562" s="1190"/>
      <c r="L562" s="1190"/>
      <c r="M562" s="1190"/>
      <c r="N562" s="1190"/>
      <c r="O562" s="1190"/>
      <c r="P562" s="1190"/>
      <c r="Q562" s="1190"/>
      <c r="R562" s="1190"/>
      <c r="S562" s="1189"/>
      <c r="T562" s="1190"/>
      <c r="U562" s="1190"/>
      <c r="V562" s="1190"/>
      <c r="W562" s="1190"/>
      <c r="X562" s="1190"/>
      <c r="Y562" s="1190"/>
      <c r="Z562" s="1190"/>
      <c r="AA562" s="1190"/>
      <c r="AB562" s="1190"/>
      <c r="AC562" s="1190"/>
      <c r="AD562" s="1190"/>
      <c r="AE562" s="1190"/>
      <c r="AF562" s="1190"/>
      <c r="AG562" s="1748"/>
      <c r="AH562" s="1190"/>
      <c r="AI562" s="1748"/>
      <c r="AJ562" s="1190"/>
      <c r="AK562" s="1190"/>
      <c r="AL562" s="1190"/>
      <c r="AM562" s="1190"/>
      <c r="AN562" s="1190"/>
      <c r="AO562" s="1190"/>
      <c r="AP562" s="1190"/>
      <c r="AQ562" s="1190"/>
      <c r="AR562" s="1190"/>
      <c r="AS562" s="1190"/>
      <c r="AT562" s="1190"/>
      <c r="AU562" s="1190"/>
      <c r="AV562" s="1190"/>
      <c r="AW562" s="1190"/>
      <c r="AX562" s="1190"/>
      <c r="AY562" s="1190"/>
      <c r="AZ562" s="1190"/>
      <c r="BA562" s="1190"/>
      <c r="BB562" s="1190"/>
      <c r="BC562" s="1190"/>
      <c r="BD562" s="1190"/>
      <c r="BE562" s="1190"/>
      <c r="BF562" s="1190"/>
      <c r="BG562" s="1190"/>
      <c r="BH562" s="1190"/>
      <c r="BI562" s="1190"/>
      <c r="BJ562" s="1190"/>
      <c r="BK562" s="1190"/>
      <c r="BL562" s="1190"/>
      <c r="BM562" s="1190"/>
      <c r="BQ562" s="195"/>
      <c r="BR562" s="195"/>
      <c r="BT562" s="1005"/>
    </row>
    <row r="563" ht="15.75" customHeight="1">
      <c r="A563" s="195"/>
      <c r="B563" s="978"/>
      <c r="C563" s="2321"/>
      <c r="D563" s="1729"/>
      <c r="E563" s="1190"/>
      <c r="F563" s="1190"/>
      <c r="G563" s="1190"/>
      <c r="H563" s="1190"/>
      <c r="I563" s="1190"/>
      <c r="J563" s="1190"/>
      <c r="K563" s="1190"/>
      <c r="L563" s="1190"/>
      <c r="M563" s="1190"/>
      <c r="N563" s="1190"/>
      <c r="O563" s="1190"/>
      <c r="P563" s="1190"/>
      <c r="Q563" s="1190"/>
      <c r="R563" s="1190"/>
      <c r="S563" s="1189"/>
      <c r="T563" s="1190"/>
      <c r="U563" s="1190"/>
      <c r="V563" s="1190"/>
      <c r="W563" s="1190"/>
      <c r="X563" s="1190"/>
      <c r="Y563" s="1190"/>
      <c r="Z563" s="1190"/>
      <c r="AA563" s="1190"/>
      <c r="AB563" s="1190"/>
      <c r="AC563" s="1190"/>
      <c r="AD563" s="1190"/>
      <c r="AE563" s="1190"/>
      <c r="AF563" s="1190"/>
      <c r="AG563" s="1748"/>
      <c r="AH563" s="1190"/>
      <c r="AI563" s="1748"/>
      <c r="AJ563" s="1190"/>
      <c r="AK563" s="1190"/>
      <c r="AL563" s="1190"/>
      <c r="AM563" s="1190"/>
      <c r="AN563" s="1190"/>
      <c r="AO563" s="1190"/>
      <c r="AP563" s="1190"/>
      <c r="AQ563" s="1190"/>
      <c r="AR563" s="1190"/>
      <c r="AS563" s="1190"/>
      <c r="AT563" s="1190"/>
      <c r="AU563" s="1190"/>
      <c r="AV563" s="1190"/>
      <c r="AW563" s="1190"/>
      <c r="AX563" s="1190"/>
      <c r="AY563" s="1190"/>
      <c r="AZ563" s="1190"/>
      <c r="BA563" s="1190"/>
      <c r="BB563" s="1190"/>
      <c r="BC563" s="1190"/>
      <c r="BD563" s="1190"/>
      <c r="BE563" s="1190"/>
      <c r="BF563" s="1190"/>
      <c r="BG563" s="1190"/>
      <c r="BH563" s="1190"/>
      <c r="BI563" s="1190"/>
      <c r="BJ563" s="1190"/>
      <c r="BK563" s="1190"/>
      <c r="BL563" s="1190"/>
      <c r="BM563" s="1190"/>
      <c r="BQ563" s="195"/>
      <c r="BR563" s="195"/>
      <c r="BT563" s="1005"/>
    </row>
    <row r="564" ht="15.75" customHeight="1">
      <c r="A564" s="195"/>
      <c r="B564" s="978"/>
      <c r="C564" s="2321"/>
      <c r="D564" s="1729"/>
      <c r="E564" s="1190"/>
      <c r="F564" s="1190"/>
      <c r="G564" s="1190"/>
      <c r="H564" s="1190"/>
      <c r="I564" s="1190"/>
      <c r="J564" s="1190"/>
      <c r="K564" s="1190"/>
      <c r="L564" s="1190"/>
      <c r="M564" s="1190"/>
      <c r="N564" s="1190"/>
      <c r="O564" s="1190"/>
      <c r="P564" s="1190"/>
      <c r="Q564" s="1190"/>
      <c r="R564" s="1190"/>
      <c r="S564" s="1189"/>
      <c r="T564" s="1190"/>
      <c r="U564" s="1190"/>
      <c r="V564" s="1190"/>
      <c r="W564" s="1190"/>
      <c r="X564" s="1190"/>
      <c r="Y564" s="1190"/>
      <c r="Z564" s="1190"/>
      <c r="AA564" s="1190"/>
      <c r="AB564" s="1190"/>
      <c r="AC564" s="1190"/>
      <c r="AD564" s="1190"/>
      <c r="AE564" s="1190"/>
      <c r="AF564" s="1190"/>
      <c r="AG564" s="1748"/>
      <c r="AH564" s="1190"/>
      <c r="AI564" s="1748"/>
      <c r="AJ564" s="1190"/>
      <c r="AK564" s="1190"/>
      <c r="AL564" s="1190"/>
      <c r="AM564" s="1190"/>
      <c r="AN564" s="1190"/>
      <c r="AO564" s="1190"/>
      <c r="AP564" s="1190"/>
      <c r="AQ564" s="1190"/>
      <c r="AR564" s="1190"/>
      <c r="AS564" s="1190"/>
      <c r="AT564" s="1190"/>
      <c r="AU564" s="1190"/>
      <c r="AV564" s="1190"/>
      <c r="AW564" s="1190"/>
      <c r="AX564" s="1190"/>
      <c r="AY564" s="1190"/>
      <c r="AZ564" s="1190"/>
      <c r="BA564" s="1190"/>
      <c r="BB564" s="1190"/>
      <c r="BC564" s="1190"/>
      <c r="BD564" s="1190"/>
      <c r="BE564" s="1190"/>
      <c r="BF564" s="1190"/>
      <c r="BG564" s="1190"/>
      <c r="BH564" s="1190"/>
      <c r="BI564" s="1190"/>
      <c r="BJ564" s="1190"/>
      <c r="BK564" s="1190"/>
      <c r="BL564" s="1190"/>
      <c r="BM564" s="1190"/>
      <c r="BQ564" s="195"/>
      <c r="BR564" s="195"/>
      <c r="BT564" s="1005"/>
    </row>
    <row r="565" ht="15.75" customHeight="1">
      <c r="A565" s="195"/>
      <c r="B565" s="978"/>
      <c r="C565" s="2321"/>
      <c r="D565" s="1729"/>
      <c r="E565" s="1190"/>
      <c r="F565" s="1190"/>
      <c r="G565" s="1190"/>
      <c r="H565" s="1190"/>
      <c r="I565" s="1190"/>
      <c r="J565" s="1190"/>
      <c r="K565" s="1190"/>
      <c r="L565" s="1190"/>
      <c r="M565" s="1190"/>
      <c r="N565" s="1190"/>
      <c r="O565" s="1190"/>
      <c r="P565" s="1190"/>
      <c r="Q565" s="1190"/>
      <c r="R565" s="1190"/>
      <c r="S565" s="1189"/>
      <c r="T565" s="1190"/>
      <c r="U565" s="1190"/>
      <c r="V565" s="1190"/>
      <c r="W565" s="1190"/>
      <c r="X565" s="1190"/>
      <c r="Y565" s="1190"/>
      <c r="Z565" s="1190"/>
      <c r="AA565" s="1190"/>
      <c r="AB565" s="1190"/>
      <c r="AC565" s="1190"/>
      <c r="AD565" s="1190"/>
      <c r="AE565" s="1190"/>
      <c r="AF565" s="1190"/>
      <c r="AG565" s="1748"/>
      <c r="AH565" s="1190"/>
      <c r="AI565" s="1748"/>
      <c r="AJ565" s="1190"/>
      <c r="AK565" s="1190"/>
      <c r="AL565" s="1190"/>
      <c r="AM565" s="1190"/>
      <c r="AN565" s="1190"/>
      <c r="AO565" s="1190"/>
      <c r="AP565" s="1190"/>
      <c r="AQ565" s="1190"/>
      <c r="AR565" s="1190"/>
      <c r="AS565" s="1190"/>
      <c r="AT565" s="1190"/>
      <c r="AU565" s="1190"/>
      <c r="AV565" s="1190"/>
      <c r="AW565" s="1190"/>
      <c r="AX565" s="1190"/>
      <c r="AY565" s="1190"/>
      <c r="AZ565" s="1190"/>
      <c r="BA565" s="1190"/>
      <c r="BB565" s="1190"/>
      <c r="BC565" s="1190"/>
      <c r="BD565" s="1190"/>
      <c r="BE565" s="1190"/>
      <c r="BF565" s="1190"/>
      <c r="BG565" s="1190"/>
      <c r="BH565" s="1190"/>
      <c r="BI565" s="1190"/>
      <c r="BJ565" s="1190"/>
      <c r="BK565" s="1190"/>
      <c r="BL565" s="1190"/>
      <c r="BM565" s="1190"/>
      <c r="BQ565" s="195"/>
      <c r="BR565" s="195"/>
      <c r="BT565" s="1005"/>
    </row>
    <row r="566" ht="15.75" customHeight="1">
      <c r="A566" s="195"/>
      <c r="B566" s="978"/>
      <c r="C566" s="2321"/>
      <c r="D566" s="1729"/>
      <c r="E566" s="1190"/>
      <c r="F566" s="1190"/>
      <c r="G566" s="1190"/>
      <c r="H566" s="1190"/>
      <c r="I566" s="1190"/>
      <c r="J566" s="1190"/>
      <c r="K566" s="1190"/>
      <c r="L566" s="1190"/>
      <c r="M566" s="1190"/>
      <c r="N566" s="1190"/>
      <c r="O566" s="1190"/>
      <c r="P566" s="1190"/>
      <c r="Q566" s="1190"/>
      <c r="R566" s="1190"/>
      <c r="S566" s="1189"/>
      <c r="T566" s="1190"/>
      <c r="U566" s="1190"/>
      <c r="V566" s="1190"/>
      <c r="W566" s="1190"/>
      <c r="X566" s="1190"/>
      <c r="Y566" s="1190"/>
      <c r="Z566" s="1190"/>
      <c r="AA566" s="1190"/>
      <c r="AB566" s="1190"/>
      <c r="AC566" s="1190"/>
      <c r="AD566" s="1190"/>
      <c r="AE566" s="1190"/>
      <c r="AF566" s="1190"/>
      <c r="AG566" s="1748"/>
      <c r="AH566" s="1190"/>
      <c r="AI566" s="1748"/>
      <c r="AJ566" s="1190"/>
      <c r="AK566" s="1190"/>
      <c r="AL566" s="1190"/>
      <c r="AM566" s="1190"/>
      <c r="AN566" s="1190"/>
      <c r="AO566" s="1190"/>
      <c r="AP566" s="1190"/>
      <c r="AQ566" s="1190"/>
      <c r="AR566" s="1190"/>
      <c r="AS566" s="1190"/>
      <c r="AT566" s="1190"/>
      <c r="AU566" s="1190"/>
      <c r="AV566" s="1190"/>
      <c r="AW566" s="1190"/>
      <c r="AX566" s="1190"/>
      <c r="AY566" s="1190"/>
      <c r="AZ566" s="1190"/>
      <c r="BA566" s="1190"/>
      <c r="BB566" s="1190"/>
      <c r="BC566" s="1190"/>
      <c r="BD566" s="1190"/>
      <c r="BE566" s="1190"/>
      <c r="BF566" s="1190"/>
      <c r="BG566" s="1190"/>
      <c r="BH566" s="1190"/>
      <c r="BI566" s="1190"/>
      <c r="BJ566" s="1190"/>
      <c r="BK566" s="1190"/>
      <c r="BL566" s="1190"/>
      <c r="BM566" s="1190"/>
      <c r="BQ566" s="195"/>
      <c r="BR566" s="195"/>
      <c r="BT566" s="1005"/>
    </row>
    <row r="567" ht="15.75" customHeight="1">
      <c r="A567" s="195"/>
      <c r="B567" s="978"/>
      <c r="C567" s="2321"/>
      <c r="D567" s="1729"/>
      <c r="E567" s="1190"/>
      <c r="F567" s="1190"/>
      <c r="G567" s="1190"/>
      <c r="H567" s="1190"/>
      <c r="I567" s="1190"/>
      <c r="J567" s="1190"/>
      <c r="K567" s="1190"/>
      <c r="L567" s="1190"/>
      <c r="M567" s="1190"/>
      <c r="N567" s="1190"/>
      <c r="O567" s="1190"/>
      <c r="P567" s="1190"/>
      <c r="Q567" s="1190"/>
      <c r="R567" s="1190"/>
      <c r="S567" s="1189"/>
      <c r="T567" s="1190"/>
      <c r="U567" s="1190"/>
      <c r="V567" s="1190"/>
      <c r="W567" s="1190"/>
      <c r="X567" s="1190"/>
      <c r="Y567" s="1190"/>
      <c r="Z567" s="1190"/>
      <c r="AA567" s="1190"/>
      <c r="AB567" s="1190"/>
      <c r="AC567" s="1190"/>
      <c r="AD567" s="1190"/>
      <c r="AE567" s="1190"/>
      <c r="AF567" s="1190"/>
      <c r="AG567" s="1748"/>
      <c r="AH567" s="1190"/>
      <c r="AI567" s="1748"/>
      <c r="AJ567" s="1190"/>
      <c r="AK567" s="1190"/>
      <c r="AL567" s="1190"/>
      <c r="AM567" s="1190"/>
      <c r="AN567" s="1190"/>
      <c r="AO567" s="1190"/>
      <c r="AP567" s="1190"/>
      <c r="AQ567" s="1190"/>
      <c r="AR567" s="1190"/>
      <c r="AS567" s="1190"/>
      <c r="AT567" s="1190"/>
      <c r="AU567" s="1190"/>
      <c r="AV567" s="1190"/>
      <c r="AW567" s="1190"/>
      <c r="AX567" s="1190"/>
      <c r="AY567" s="1190"/>
      <c r="AZ567" s="1190"/>
      <c r="BA567" s="1190"/>
      <c r="BB567" s="1190"/>
      <c r="BC567" s="1190"/>
      <c r="BD567" s="1190"/>
      <c r="BE567" s="1190"/>
      <c r="BF567" s="1190"/>
      <c r="BG567" s="1190"/>
      <c r="BH567" s="1190"/>
      <c r="BI567" s="1190"/>
      <c r="BJ567" s="1190"/>
      <c r="BK567" s="1190"/>
      <c r="BL567" s="1190"/>
      <c r="BM567" s="1190"/>
      <c r="BQ567" s="195"/>
      <c r="BR567" s="195"/>
      <c r="BT567" s="1005"/>
    </row>
    <row r="568" ht="15.75" customHeight="1">
      <c r="A568" s="195"/>
      <c r="B568" s="978"/>
      <c r="C568" s="2321"/>
      <c r="D568" s="1729"/>
      <c r="E568" s="1190"/>
      <c r="F568" s="1190"/>
      <c r="G568" s="1190"/>
      <c r="H568" s="1190"/>
      <c r="I568" s="1190"/>
      <c r="J568" s="1190"/>
      <c r="K568" s="1190"/>
      <c r="L568" s="1190"/>
      <c r="M568" s="1190"/>
      <c r="N568" s="1190"/>
      <c r="O568" s="1190"/>
      <c r="P568" s="1190"/>
      <c r="Q568" s="1190"/>
      <c r="R568" s="1190"/>
      <c r="S568" s="1189"/>
      <c r="T568" s="1190"/>
      <c r="U568" s="1190"/>
      <c r="V568" s="1190"/>
      <c r="W568" s="1190"/>
      <c r="X568" s="1190"/>
      <c r="Y568" s="1190"/>
      <c r="Z568" s="1190"/>
      <c r="AA568" s="1190"/>
      <c r="AB568" s="1190"/>
      <c r="AC568" s="1190"/>
      <c r="AD568" s="1190"/>
      <c r="AE568" s="1190"/>
      <c r="AF568" s="1190"/>
      <c r="AG568" s="1748"/>
      <c r="AH568" s="1190"/>
      <c r="AI568" s="1748"/>
      <c r="AJ568" s="1190"/>
      <c r="AK568" s="1190"/>
      <c r="AL568" s="1190"/>
      <c r="AM568" s="1190"/>
      <c r="AN568" s="1190"/>
      <c r="AO568" s="1190"/>
      <c r="AP568" s="1190"/>
      <c r="AQ568" s="1190"/>
      <c r="AR568" s="1190"/>
      <c r="AS568" s="1190"/>
      <c r="AT568" s="1190"/>
      <c r="AU568" s="1190"/>
      <c r="AV568" s="1190"/>
      <c r="AW568" s="1190"/>
      <c r="AX568" s="1190"/>
      <c r="AY568" s="1190"/>
      <c r="AZ568" s="1190"/>
      <c r="BA568" s="1190"/>
      <c r="BB568" s="1190"/>
      <c r="BC568" s="1190"/>
      <c r="BD568" s="1190"/>
      <c r="BE568" s="1190"/>
      <c r="BF568" s="1190"/>
      <c r="BG568" s="1190"/>
      <c r="BH568" s="1190"/>
      <c r="BI568" s="1190"/>
      <c r="BJ568" s="1190"/>
      <c r="BK568" s="1190"/>
      <c r="BL568" s="1190"/>
      <c r="BM568" s="1190"/>
      <c r="BQ568" s="195"/>
      <c r="BR568" s="195"/>
      <c r="BT568" s="1005"/>
    </row>
    <row r="569" ht="15.75" customHeight="1">
      <c r="A569" s="195"/>
      <c r="B569" s="978"/>
      <c r="C569" s="2321"/>
      <c r="D569" s="1729"/>
      <c r="E569" s="1190"/>
      <c r="F569" s="1190"/>
      <c r="G569" s="1190"/>
      <c r="H569" s="1190"/>
      <c r="I569" s="1190"/>
      <c r="J569" s="1190"/>
      <c r="K569" s="1190"/>
      <c r="L569" s="1190"/>
      <c r="M569" s="1190"/>
      <c r="N569" s="1190"/>
      <c r="O569" s="1190"/>
      <c r="P569" s="1190"/>
      <c r="Q569" s="1190"/>
      <c r="R569" s="1190"/>
      <c r="S569" s="1189"/>
      <c r="T569" s="1190"/>
      <c r="U569" s="1190"/>
      <c r="V569" s="1190"/>
      <c r="W569" s="1190"/>
      <c r="X569" s="1190"/>
      <c r="Y569" s="1190"/>
      <c r="Z569" s="1190"/>
      <c r="AA569" s="1190"/>
      <c r="AB569" s="1190"/>
      <c r="AC569" s="1190"/>
      <c r="AD569" s="1190"/>
      <c r="AE569" s="1190"/>
      <c r="AF569" s="1190"/>
      <c r="AG569" s="1748"/>
      <c r="AH569" s="1190"/>
      <c r="AI569" s="1748"/>
      <c r="AJ569" s="1190"/>
      <c r="AK569" s="1190"/>
      <c r="AL569" s="1190"/>
      <c r="AM569" s="1190"/>
      <c r="AN569" s="1190"/>
      <c r="AO569" s="1190"/>
      <c r="AP569" s="1190"/>
      <c r="AQ569" s="1190"/>
      <c r="AR569" s="1190"/>
      <c r="AS569" s="1190"/>
      <c r="AT569" s="1190"/>
      <c r="AU569" s="1190"/>
      <c r="AV569" s="1190"/>
      <c r="AW569" s="1190"/>
      <c r="AX569" s="1190"/>
      <c r="AY569" s="1190"/>
      <c r="AZ569" s="1190"/>
      <c r="BA569" s="1190"/>
      <c r="BB569" s="1190"/>
      <c r="BC569" s="1190"/>
      <c r="BD569" s="1190"/>
      <c r="BE569" s="1190"/>
      <c r="BF569" s="1190"/>
      <c r="BG569" s="1190"/>
      <c r="BH569" s="1190"/>
      <c r="BI569" s="1190"/>
      <c r="BJ569" s="1190"/>
      <c r="BK569" s="1190"/>
      <c r="BL569" s="1190"/>
      <c r="BM569" s="1190"/>
      <c r="BQ569" s="195"/>
      <c r="BR569" s="195"/>
      <c r="BT569" s="1005"/>
    </row>
    <row r="570" ht="15.75" customHeight="1">
      <c r="A570" s="195"/>
      <c r="B570" s="978"/>
      <c r="C570" s="2321"/>
      <c r="D570" s="1729"/>
      <c r="E570" s="1190"/>
      <c r="F570" s="1190"/>
      <c r="G570" s="1190"/>
      <c r="H570" s="1190"/>
      <c r="I570" s="1190"/>
      <c r="J570" s="1190"/>
      <c r="K570" s="1190"/>
      <c r="L570" s="1190"/>
      <c r="M570" s="1190"/>
      <c r="N570" s="1190"/>
      <c r="O570" s="1190"/>
      <c r="P570" s="1190"/>
      <c r="Q570" s="1190"/>
      <c r="R570" s="1190"/>
      <c r="S570" s="1189"/>
      <c r="T570" s="1190"/>
      <c r="U570" s="1190"/>
      <c r="V570" s="1190"/>
      <c r="W570" s="1190"/>
      <c r="X570" s="1190"/>
      <c r="Y570" s="1190"/>
      <c r="Z570" s="1190"/>
      <c r="AA570" s="1190"/>
      <c r="AB570" s="1190"/>
      <c r="AC570" s="1190"/>
      <c r="AD570" s="1190"/>
      <c r="AE570" s="1190"/>
      <c r="AF570" s="1190"/>
      <c r="AG570" s="1748"/>
      <c r="AH570" s="1190"/>
      <c r="AI570" s="1748"/>
      <c r="AJ570" s="1190"/>
      <c r="AK570" s="1190"/>
      <c r="AL570" s="1190"/>
      <c r="AM570" s="1190"/>
      <c r="AN570" s="1190"/>
      <c r="AO570" s="1190"/>
      <c r="AP570" s="1190"/>
      <c r="AQ570" s="1190"/>
      <c r="AR570" s="1190"/>
      <c r="AS570" s="1190"/>
      <c r="AT570" s="1190"/>
      <c r="AU570" s="1190"/>
      <c r="AV570" s="1190"/>
      <c r="AW570" s="1190"/>
      <c r="AX570" s="1190"/>
      <c r="AY570" s="1190"/>
      <c r="AZ570" s="1190"/>
      <c r="BA570" s="1190"/>
      <c r="BB570" s="1190"/>
      <c r="BC570" s="1190"/>
      <c r="BD570" s="1190"/>
      <c r="BE570" s="1190"/>
      <c r="BF570" s="1190"/>
      <c r="BG570" s="1190"/>
      <c r="BH570" s="1190"/>
      <c r="BI570" s="1190"/>
      <c r="BJ570" s="1190"/>
      <c r="BK570" s="1190"/>
      <c r="BL570" s="1190"/>
      <c r="BM570" s="1190"/>
      <c r="BQ570" s="195"/>
      <c r="BR570" s="195"/>
      <c r="BT570" s="1005"/>
    </row>
    <row r="571" ht="15.75" customHeight="1">
      <c r="A571" s="195"/>
      <c r="B571" s="978"/>
      <c r="C571" s="2321"/>
      <c r="D571" s="1729"/>
      <c r="E571" s="1190"/>
      <c r="F571" s="1190"/>
      <c r="G571" s="1190"/>
      <c r="H571" s="1190"/>
      <c r="I571" s="1190"/>
      <c r="J571" s="1190"/>
      <c r="K571" s="1190"/>
      <c r="L571" s="1190"/>
      <c r="M571" s="1190"/>
      <c r="N571" s="1190"/>
      <c r="O571" s="1190"/>
      <c r="P571" s="1190"/>
      <c r="Q571" s="1190"/>
      <c r="R571" s="1190"/>
      <c r="S571" s="1189"/>
      <c r="T571" s="1190"/>
      <c r="U571" s="1190"/>
      <c r="V571" s="1190"/>
      <c r="W571" s="1190"/>
      <c r="X571" s="1190"/>
      <c r="Y571" s="1190"/>
      <c r="Z571" s="1190"/>
      <c r="AA571" s="1190"/>
      <c r="AB571" s="1190"/>
      <c r="AC571" s="1190"/>
      <c r="AD571" s="1190"/>
      <c r="AE571" s="1190"/>
      <c r="AF571" s="1190"/>
      <c r="AG571" s="1748"/>
      <c r="AH571" s="1190"/>
      <c r="AI571" s="1748"/>
      <c r="AJ571" s="1190"/>
      <c r="AK571" s="1190"/>
      <c r="AL571" s="1190"/>
      <c r="AM571" s="1190"/>
      <c r="AN571" s="1190"/>
      <c r="AO571" s="1190"/>
      <c r="AP571" s="1190"/>
      <c r="AQ571" s="1190"/>
      <c r="AR571" s="1190"/>
      <c r="AS571" s="1190"/>
      <c r="AT571" s="1190"/>
      <c r="AU571" s="1190"/>
      <c r="AV571" s="1190"/>
      <c r="AW571" s="1190"/>
      <c r="AX571" s="1190"/>
      <c r="AY571" s="1190"/>
      <c r="AZ571" s="1190"/>
      <c r="BA571" s="1190"/>
      <c r="BB571" s="1190"/>
      <c r="BC571" s="1190"/>
      <c r="BD571" s="1190"/>
      <c r="BE571" s="1190"/>
      <c r="BF571" s="1190"/>
      <c r="BG571" s="1190"/>
      <c r="BH571" s="1190"/>
      <c r="BI571" s="1190"/>
      <c r="BJ571" s="1190"/>
      <c r="BK571" s="1190"/>
      <c r="BL571" s="1190"/>
      <c r="BM571" s="1190"/>
      <c r="BQ571" s="195"/>
      <c r="BR571" s="195"/>
      <c r="BT571" s="1005"/>
    </row>
    <row r="572" ht="15.75" customHeight="1">
      <c r="A572" s="195"/>
      <c r="B572" s="978"/>
      <c r="C572" s="2321"/>
      <c r="D572" s="1729"/>
      <c r="E572" s="1190"/>
      <c r="F572" s="1190"/>
      <c r="G572" s="1190"/>
      <c r="H572" s="1190"/>
      <c r="I572" s="1190"/>
      <c r="J572" s="1190"/>
      <c r="K572" s="1190"/>
      <c r="L572" s="1190"/>
      <c r="M572" s="1190"/>
      <c r="N572" s="1190"/>
      <c r="O572" s="1190"/>
      <c r="P572" s="1190"/>
      <c r="Q572" s="1190"/>
      <c r="R572" s="1190"/>
      <c r="S572" s="1189"/>
      <c r="T572" s="1190"/>
      <c r="U572" s="1190"/>
      <c r="V572" s="1190"/>
      <c r="W572" s="1190"/>
      <c r="X572" s="1190"/>
      <c r="Y572" s="1190"/>
      <c r="Z572" s="1190"/>
      <c r="AA572" s="1190"/>
      <c r="AB572" s="1190"/>
      <c r="AC572" s="1190"/>
      <c r="AD572" s="1190"/>
      <c r="AE572" s="1190"/>
      <c r="AF572" s="1190"/>
      <c r="AG572" s="1748"/>
      <c r="AH572" s="1190"/>
      <c r="AI572" s="1748"/>
      <c r="AJ572" s="1190"/>
      <c r="AK572" s="1190"/>
      <c r="AL572" s="1190"/>
      <c r="AM572" s="1190"/>
      <c r="AN572" s="1190"/>
      <c r="AO572" s="1190"/>
      <c r="AP572" s="1190"/>
      <c r="AQ572" s="1190"/>
      <c r="AR572" s="1190"/>
      <c r="AS572" s="1190"/>
      <c r="AT572" s="1190"/>
      <c r="AU572" s="1190"/>
      <c r="AV572" s="1190"/>
      <c r="AW572" s="1190"/>
      <c r="AX572" s="1190"/>
      <c r="AY572" s="1190"/>
      <c r="AZ572" s="1190"/>
      <c r="BA572" s="1190"/>
      <c r="BB572" s="1190"/>
      <c r="BC572" s="1190"/>
      <c r="BD572" s="1190"/>
      <c r="BE572" s="1190"/>
      <c r="BF572" s="1190"/>
      <c r="BG572" s="1190"/>
      <c r="BH572" s="1190"/>
      <c r="BI572" s="1190"/>
      <c r="BJ572" s="1190"/>
      <c r="BK572" s="1190"/>
      <c r="BL572" s="1190"/>
      <c r="BM572" s="1190"/>
      <c r="BQ572" s="195"/>
      <c r="BR572" s="195"/>
      <c r="BT572" s="1005"/>
    </row>
    <row r="573" ht="15.75" customHeight="1">
      <c r="A573" s="195"/>
      <c r="B573" s="978"/>
      <c r="C573" s="2321"/>
      <c r="D573" s="1729"/>
      <c r="E573" s="1190"/>
      <c r="F573" s="1190"/>
      <c r="G573" s="1190"/>
      <c r="H573" s="1190"/>
      <c r="I573" s="1190"/>
      <c r="J573" s="1190"/>
      <c r="K573" s="1190"/>
      <c r="L573" s="1190"/>
      <c r="M573" s="1190"/>
      <c r="N573" s="1190"/>
      <c r="O573" s="1190"/>
      <c r="P573" s="1190"/>
      <c r="Q573" s="1190"/>
      <c r="R573" s="1190"/>
      <c r="S573" s="1189"/>
      <c r="T573" s="1190"/>
      <c r="U573" s="1190"/>
      <c r="V573" s="1190"/>
      <c r="W573" s="1190"/>
      <c r="X573" s="1190"/>
      <c r="Y573" s="1190"/>
      <c r="Z573" s="1190"/>
      <c r="AA573" s="1190"/>
      <c r="AB573" s="1190"/>
      <c r="AC573" s="1190"/>
      <c r="AD573" s="1190"/>
      <c r="AE573" s="1190"/>
      <c r="AF573" s="1190"/>
      <c r="AG573" s="1748"/>
      <c r="AH573" s="1190"/>
      <c r="AI573" s="1748"/>
      <c r="AJ573" s="1190"/>
      <c r="AK573" s="1190"/>
      <c r="AL573" s="1190"/>
      <c r="AM573" s="1190"/>
      <c r="AN573" s="1190"/>
      <c r="AO573" s="1190"/>
      <c r="AP573" s="1190"/>
      <c r="AQ573" s="1190"/>
      <c r="AR573" s="1190"/>
      <c r="AS573" s="1190"/>
      <c r="AT573" s="1190"/>
      <c r="AU573" s="1190"/>
      <c r="AV573" s="1190"/>
      <c r="AW573" s="1190"/>
      <c r="AX573" s="1190"/>
      <c r="AY573" s="1190"/>
      <c r="AZ573" s="1190"/>
      <c r="BA573" s="1190"/>
      <c r="BB573" s="1190"/>
      <c r="BC573" s="1190"/>
      <c r="BD573" s="1190"/>
      <c r="BE573" s="1190"/>
      <c r="BF573" s="1190"/>
      <c r="BG573" s="1190"/>
      <c r="BH573" s="1190"/>
      <c r="BI573" s="1190"/>
      <c r="BJ573" s="1190"/>
      <c r="BK573" s="1190"/>
      <c r="BL573" s="1190"/>
      <c r="BM573" s="1190"/>
      <c r="BQ573" s="195"/>
      <c r="BR573" s="195"/>
      <c r="BT573" s="1005"/>
    </row>
    <row r="574" ht="15.75" customHeight="1">
      <c r="A574" s="195"/>
      <c r="B574" s="978"/>
      <c r="C574" s="2321"/>
      <c r="D574" s="1729"/>
      <c r="E574" s="1190"/>
      <c r="F574" s="1190"/>
      <c r="G574" s="1190"/>
      <c r="H574" s="1190"/>
      <c r="I574" s="1190"/>
      <c r="J574" s="1190"/>
      <c r="K574" s="1190"/>
      <c r="L574" s="1190"/>
      <c r="M574" s="1190"/>
      <c r="N574" s="1190"/>
      <c r="O574" s="1190"/>
      <c r="P574" s="1190"/>
      <c r="Q574" s="1190"/>
      <c r="R574" s="1190"/>
      <c r="S574" s="1189"/>
      <c r="T574" s="1190"/>
      <c r="U574" s="1190"/>
      <c r="V574" s="1190"/>
      <c r="W574" s="1190"/>
      <c r="X574" s="1190"/>
      <c r="Y574" s="1190"/>
      <c r="Z574" s="1190"/>
      <c r="AA574" s="1190"/>
      <c r="AB574" s="1190"/>
      <c r="AC574" s="1190"/>
      <c r="AD574" s="1190"/>
      <c r="AE574" s="1190"/>
      <c r="AF574" s="1190"/>
      <c r="AG574" s="1748"/>
      <c r="AH574" s="1190"/>
      <c r="AI574" s="1748"/>
      <c r="AJ574" s="1190"/>
      <c r="AK574" s="1190"/>
      <c r="AL574" s="1190"/>
      <c r="AM574" s="1190"/>
      <c r="AN574" s="1190"/>
      <c r="AO574" s="1190"/>
      <c r="AP574" s="1190"/>
      <c r="AQ574" s="1190"/>
      <c r="AR574" s="1190"/>
      <c r="AS574" s="1190"/>
      <c r="AT574" s="1190"/>
      <c r="AU574" s="1190"/>
      <c r="AV574" s="1190"/>
      <c r="AW574" s="1190"/>
      <c r="AX574" s="1190"/>
      <c r="AY574" s="1190"/>
      <c r="AZ574" s="1190"/>
      <c r="BA574" s="1190"/>
      <c r="BB574" s="1190"/>
      <c r="BC574" s="1190"/>
      <c r="BD574" s="1190"/>
      <c r="BE574" s="1190"/>
      <c r="BF574" s="1190"/>
      <c r="BG574" s="1190"/>
      <c r="BH574" s="1190"/>
      <c r="BI574" s="1190"/>
      <c r="BJ574" s="1190"/>
      <c r="BK574" s="1190"/>
      <c r="BL574" s="1190"/>
      <c r="BM574" s="1190"/>
      <c r="BQ574" s="195"/>
      <c r="BR574" s="195"/>
      <c r="BT574" s="1005"/>
    </row>
    <row r="575" ht="15.75" customHeight="1">
      <c r="A575" s="195"/>
      <c r="B575" s="978"/>
      <c r="C575" s="2321"/>
      <c r="D575" s="1729"/>
      <c r="E575" s="1190"/>
      <c r="F575" s="1190"/>
      <c r="G575" s="1190"/>
      <c r="H575" s="1190"/>
      <c r="I575" s="1190"/>
      <c r="J575" s="1190"/>
      <c r="K575" s="1190"/>
      <c r="L575" s="1190"/>
      <c r="M575" s="1190"/>
      <c r="N575" s="1190"/>
      <c r="O575" s="1190"/>
      <c r="P575" s="1190"/>
      <c r="Q575" s="1190"/>
      <c r="R575" s="1190"/>
      <c r="S575" s="1189"/>
      <c r="T575" s="1190"/>
      <c r="U575" s="1190"/>
      <c r="V575" s="1190"/>
      <c r="W575" s="1190"/>
      <c r="X575" s="1190"/>
      <c r="Y575" s="1190"/>
      <c r="Z575" s="1190"/>
      <c r="AA575" s="1190"/>
      <c r="AB575" s="1190"/>
      <c r="AC575" s="1190"/>
      <c r="AD575" s="1190"/>
      <c r="AE575" s="1190"/>
      <c r="AF575" s="1190"/>
      <c r="AG575" s="1748"/>
      <c r="AH575" s="1190"/>
      <c r="AI575" s="1748"/>
      <c r="AJ575" s="1190"/>
      <c r="AK575" s="1190"/>
      <c r="AL575" s="1190"/>
      <c r="AM575" s="1190"/>
      <c r="AN575" s="1190"/>
      <c r="AO575" s="1190"/>
      <c r="AP575" s="1190"/>
      <c r="AQ575" s="1190"/>
      <c r="AR575" s="1190"/>
      <c r="AS575" s="1190"/>
      <c r="AT575" s="1190"/>
      <c r="AU575" s="1190"/>
      <c r="AV575" s="1190"/>
      <c r="AW575" s="1190"/>
      <c r="AX575" s="1190"/>
      <c r="AY575" s="1190"/>
      <c r="AZ575" s="1190"/>
      <c r="BA575" s="1190"/>
      <c r="BB575" s="1190"/>
      <c r="BC575" s="1190"/>
      <c r="BD575" s="1190"/>
      <c r="BE575" s="1190"/>
      <c r="BF575" s="1190"/>
      <c r="BG575" s="1190"/>
      <c r="BH575" s="1190"/>
      <c r="BI575" s="1190"/>
      <c r="BJ575" s="1190"/>
      <c r="BK575" s="1190"/>
      <c r="BL575" s="1190"/>
      <c r="BM575" s="1190"/>
      <c r="BQ575" s="195"/>
      <c r="BR575" s="195"/>
      <c r="BT575" s="1005"/>
    </row>
    <row r="576" ht="15.75" customHeight="1">
      <c r="A576" s="195"/>
      <c r="B576" s="978"/>
      <c r="C576" s="2321"/>
      <c r="D576" s="1729"/>
      <c r="E576" s="1190"/>
      <c r="F576" s="1190"/>
      <c r="G576" s="1190"/>
      <c r="H576" s="1190"/>
      <c r="I576" s="1190"/>
      <c r="J576" s="1190"/>
      <c r="K576" s="1190"/>
      <c r="L576" s="1190"/>
      <c r="M576" s="1190"/>
      <c r="N576" s="1190"/>
      <c r="O576" s="1190"/>
      <c r="P576" s="1190"/>
      <c r="Q576" s="1190"/>
      <c r="R576" s="1190"/>
      <c r="S576" s="1189"/>
      <c r="T576" s="1190"/>
      <c r="U576" s="1190"/>
      <c r="V576" s="1190"/>
      <c r="W576" s="1190"/>
      <c r="X576" s="1190"/>
      <c r="Y576" s="1190"/>
      <c r="Z576" s="1190"/>
      <c r="AA576" s="1190"/>
      <c r="AB576" s="1190"/>
      <c r="AC576" s="1190"/>
      <c r="AD576" s="1190"/>
      <c r="AE576" s="1190"/>
      <c r="AF576" s="1190"/>
      <c r="AG576" s="1748"/>
      <c r="AH576" s="1190"/>
      <c r="AI576" s="1748"/>
      <c r="AJ576" s="1190"/>
      <c r="AK576" s="1190"/>
      <c r="AL576" s="1190"/>
      <c r="AM576" s="1190"/>
      <c r="AN576" s="1190"/>
      <c r="AO576" s="1190"/>
      <c r="AP576" s="1190"/>
      <c r="AQ576" s="1190"/>
      <c r="AR576" s="1190"/>
      <c r="AS576" s="1190"/>
      <c r="AT576" s="1190"/>
      <c r="AU576" s="1190"/>
      <c r="AV576" s="1190"/>
      <c r="AW576" s="1190"/>
      <c r="AX576" s="1190"/>
      <c r="AY576" s="1190"/>
      <c r="AZ576" s="1190"/>
      <c r="BA576" s="1190"/>
      <c r="BB576" s="1190"/>
      <c r="BC576" s="1190"/>
      <c r="BD576" s="1190"/>
      <c r="BE576" s="1190"/>
      <c r="BF576" s="1190"/>
      <c r="BG576" s="1190"/>
      <c r="BH576" s="1190"/>
      <c r="BI576" s="1190"/>
      <c r="BJ576" s="1190"/>
      <c r="BK576" s="1190"/>
      <c r="BL576" s="1190"/>
      <c r="BM576" s="1190"/>
      <c r="BQ576" s="195"/>
      <c r="BR576" s="195"/>
      <c r="BT576" s="1005"/>
    </row>
    <row r="577" ht="15.75" customHeight="1">
      <c r="A577" s="195"/>
      <c r="B577" s="978"/>
      <c r="C577" s="2321"/>
      <c r="D577" s="1729"/>
      <c r="E577" s="1190"/>
      <c r="F577" s="1190"/>
      <c r="G577" s="1190"/>
      <c r="H577" s="1190"/>
      <c r="I577" s="1190"/>
      <c r="J577" s="1190"/>
      <c r="K577" s="1190"/>
      <c r="L577" s="1190"/>
      <c r="M577" s="1190"/>
      <c r="N577" s="1190"/>
      <c r="O577" s="1190"/>
      <c r="P577" s="1190"/>
      <c r="Q577" s="1190"/>
      <c r="R577" s="1190"/>
      <c r="S577" s="1189"/>
      <c r="T577" s="1190"/>
      <c r="U577" s="1190"/>
      <c r="V577" s="1190"/>
      <c r="W577" s="1190"/>
      <c r="X577" s="1190"/>
      <c r="Y577" s="1190"/>
      <c r="Z577" s="1190"/>
      <c r="AA577" s="1190"/>
      <c r="AB577" s="1190"/>
      <c r="AC577" s="1190"/>
      <c r="AD577" s="1190"/>
      <c r="AE577" s="1190"/>
      <c r="AF577" s="1190"/>
      <c r="AG577" s="1748"/>
      <c r="AH577" s="1190"/>
      <c r="AI577" s="1748"/>
      <c r="AJ577" s="1190"/>
      <c r="AK577" s="1190"/>
      <c r="AL577" s="1190"/>
      <c r="AM577" s="1190"/>
      <c r="AN577" s="1190"/>
      <c r="AO577" s="1190"/>
      <c r="AP577" s="1190"/>
      <c r="AQ577" s="1190"/>
      <c r="AR577" s="1190"/>
      <c r="AS577" s="1190"/>
      <c r="AT577" s="1190"/>
      <c r="AU577" s="1190"/>
      <c r="AV577" s="1190"/>
      <c r="AW577" s="1190"/>
      <c r="AX577" s="1190"/>
      <c r="AY577" s="1190"/>
      <c r="AZ577" s="1190"/>
      <c r="BA577" s="1190"/>
      <c r="BB577" s="1190"/>
      <c r="BC577" s="1190"/>
      <c r="BD577" s="1190"/>
      <c r="BE577" s="1190"/>
      <c r="BF577" s="1190"/>
      <c r="BG577" s="1190"/>
      <c r="BH577" s="1190"/>
      <c r="BI577" s="1190"/>
      <c r="BJ577" s="1190"/>
      <c r="BK577" s="1190"/>
      <c r="BL577" s="1190"/>
      <c r="BM577" s="1190"/>
      <c r="BQ577" s="195"/>
      <c r="BR577" s="195"/>
      <c r="BT577" s="1005"/>
    </row>
    <row r="578" ht="15.75" customHeight="1">
      <c r="A578" s="195"/>
      <c r="B578" s="978"/>
      <c r="C578" s="2321"/>
      <c r="D578" s="1729"/>
      <c r="E578" s="1190"/>
      <c r="F578" s="1190"/>
      <c r="G578" s="1190"/>
      <c r="H578" s="1190"/>
      <c r="I578" s="1190"/>
      <c r="J578" s="1190"/>
      <c r="K578" s="1190"/>
      <c r="L578" s="1190"/>
      <c r="M578" s="1190"/>
      <c r="N578" s="1190"/>
      <c r="O578" s="1190"/>
      <c r="P578" s="1190"/>
      <c r="Q578" s="1190"/>
      <c r="R578" s="1190"/>
      <c r="S578" s="1189"/>
      <c r="T578" s="1190"/>
      <c r="U578" s="1190"/>
      <c r="V578" s="1190"/>
      <c r="W578" s="1190"/>
      <c r="X578" s="1190"/>
      <c r="Y578" s="1190"/>
      <c r="Z578" s="1190"/>
      <c r="AA578" s="1190"/>
      <c r="AB578" s="1190"/>
      <c r="AC578" s="1190"/>
      <c r="AD578" s="1190"/>
      <c r="AE578" s="1190"/>
      <c r="AF578" s="1190"/>
      <c r="AG578" s="1748"/>
      <c r="AH578" s="1190"/>
      <c r="AI578" s="1748"/>
      <c r="AJ578" s="1190"/>
      <c r="AK578" s="1190"/>
      <c r="AL578" s="1190"/>
      <c r="AM578" s="1190"/>
      <c r="AN578" s="1190"/>
      <c r="AO578" s="1190"/>
      <c r="AP578" s="1190"/>
      <c r="AQ578" s="1190"/>
      <c r="AR578" s="1190"/>
      <c r="AS578" s="1190"/>
      <c r="AT578" s="1190"/>
      <c r="AU578" s="1190"/>
      <c r="AV578" s="1190"/>
      <c r="AW578" s="1190"/>
      <c r="AX578" s="1190"/>
      <c r="AY578" s="1190"/>
      <c r="AZ578" s="1190"/>
      <c r="BA578" s="1190"/>
      <c r="BB578" s="1190"/>
      <c r="BC578" s="1190"/>
      <c r="BD578" s="1190"/>
      <c r="BE578" s="1190"/>
      <c r="BF578" s="1190"/>
      <c r="BG578" s="1190"/>
      <c r="BH578" s="1190"/>
      <c r="BI578" s="1190"/>
      <c r="BJ578" s="1190"/>
      <c r="BK578" s="1190"/>
      <c r="BL578" s="1190"/>
      <c r="BM578" s="1190"/>
      <c r="BQ578" s="195"/>
      <c r="BR578" s="195"/>
      <c r="BT578" s="1005"/>
    </row>
    <row r="579" ht="15.75" customHeight="1">
      <c r="A579" s="195"/>
      <c r="B579" s="978"/>
      <c r="C579" s="2321"/>
      <c r="D579" s="1729"/>
      <c r="E579" s="1190"/>
      <c r="F579" s="1190"/>
      <c r="G579" s="1190"/>
      <c r="H579" s="1190"/>
      <c r="I579" s="1190"/>
      <c r="J579" s="1190"/>
      <c r="K579" s="1190"/>
      <c r="L579" s="1190"/>
      <c r="M579" s="1190"/>
      <c r="N579" s="1190"/>
      <c r="O579" s="1190"/>
      <c r="P579" s="1190"/>
      <c r="Q579" s="1190"/>
      <c r="R579" s="1190"/>
      <c r="S579" s="1189"/>
      <c r="T579" s="1190"/>
      <c r="U579" s="1190"/>
      <c r="V579" s="1190"/>
      <c r="W579" s="1190"/>
      <c r="X579" s="1190"/>
      <c r="Y579" s="1190"/>
      <c r="Z579" s="1190"/>
      <c r="AA579" s="1190"/>
      <c r="AB579" s="1190"/>
      <c r="AC579" s="1190"/>
      <c r="AD579" s="1190"/>
      <c r="AE579" s="1190"/>
      <c r="AF579" s="1190"/>
      <c r="AG579" s="1748"/>
      <c r="AH579" s="1190"/>
      <c r="AI579" s="1748"/>
      <c r="AJ579" s="1190"/>
      <c r="AK579" s="1190"/>
      <c r="AL579" s="1190"/>
      <c r="AM579" s="1190"/>
      <c r="AN579" s="1190"/>
      <c r="AO579" s="1190"/>
      <c r="AP579" s="1190"/>
      <c r="AQ579" s="1190"/>
      <c r="AR579" s="1190"/>
      <c r="AS579" s="1190"/>
      <c r="AT579" s="1190"/>
      <c r="AU579" s="1190"/>
      <c r="AV579" s="1190"/>
      <c r="AW579" s="1190"/>
      <c r="AX579" s="1190"/>
      <c r="AY579" s="1190"/>
      <c r="AZ579" s="1190"/>
      <c r="BA579" s="1190"/>
      <c r="BB579" s="1190"/>
      <c r="BC579" s="1190"/>
      <c r="BD579" s="1190"/>
      <c r="BE579" s="1190"/>
      <c r="BF579" s="1190"/>
      <c r="BG579" s="1190"/>
      <c r="BH579" s="1190"/>
      <c r="BI579" s="1190"/>
      <c r="BJ579" s="1190"/>
      <c r="BK579" s="1190"/>
      <c r="BL579" s="1190"/>
      <c r="BM579" s="1190"/>
      <c r="BQ579" s="195"/>
      <c r="BR579" s="195"/>
      <c r="BT579" s="1005"/>
    </row>
    <row r="580" ht="15.75" customHeight="1">
      <c r="A580" s="195"/>
      <c r="B580" s="978"/>
      <c r="C580" s="2321"/>
      <c r="D580" s="1729"/>
      <c r="E580" s="1190"/>
      <c r="F580" s="1190"/>
      <c r="G580" s="1190"/>
      <c r="H580" s="1190"/>
      <c r="I580" s="1190"/>
      <c r="J580" s="1190"/>
      <c r="K580" s="1190"/>
      <c r="L580" s="1190"/>
      <c r="M580" s="1190"/>
      <c r="N580" s="1190"/>
      <c r="O580" s="1190"/>
      <c r="P580" s="1190"/>
      <c r="Q580" s="1190"/>
      <c r="R580" s="1190"/>
      <c r="S580" s="1189"/>
      <c r="T580" s="1190"/>
      <c r="U580" s="1190"/>
      <c r="V580" s="1190"/>
      <c r="W580" s="1190"/>
      <c r="X580" s="1190"/>
      <c r="Y580" s="1190"/>
      <c r="Z580" s="1190"/>
      <c r="AA580" s="1190"/>
      <c r="AB580" s="1190"/>
      <c r="AC580" s="1190"/>
      <c r="AD580" s="1190"/>
      <c r="AE580" s="1190"/>
      <c r="AF580" s="1190"/>
      <c r="AG580" s="1748"/>
      <c r="AH580" s="1190"/>
      <c r="AI580" s="1748"/>
      <c r="AJ580" s="1190"/>
      <c r="AK580" s="1190"/>
      <c r="AL580" s="1190"/>
      <c r="AM580" s="1190"/>
      <c r="AN580" s="1190"/>
      <c r="AO580" s="1190"/>
      <c r="AP580" s="1190"/>
      <c r="AQ580" s="1190"/>
      <c r="AR580" s="1190"/>
      <c r="AS580" s="1190"/>
      <c r="AT580" s="1190"/>
      <c r="AU580" s="1190"/>
      <c r="AV580" s="1190"/>
      <c r="AW580" s="1190"/>
      <c r="AX580" s="1190"/>
      <c r="AY580" s="1190"/>
      <c r="AZ580" s="1190"/>
      <c r="BA580" s="1190"/>
      <c r="BB580" s="1190"/>
      <c r="BC580" s="1190"/>
      <c r="BD580" s="1190"/>
      <c r="BE580" s="1190"/>
      <c r="BF580" s="1190"/>
      <c r="BG580" s="1190"/>
      <c r="BH580" s="1190"/>
      <c r="BI580" s="1190"/>
      <c r="BJ580" s="1190"/>
      <c r="BK580" s="1190"/>
      <c r="BL580" s="1190"/>
      <c r="BM580" s="1190"/>
      <c r="BQ580" s="195"/>
      <c r="BR580" s="195"/>
      <c r="BT580" s="1005"/>
    </row>
    <row r="581" ht="15.75" customHeight="1">
      <c r="A581" s="195"/>
      <c r="B581" s="978"/>
      <c r="C581" s="2321"/>
      <c r="D581" s="1729"/>
      <c r="E581" s="1190"/>
      <c r="F581" s="1190"/>
      <c r="G581" s="1190"/>
      <c r="H581" s="1190"/>
      <c r="I581" s="1190"/>
      <c r="J581" s="1190"/>
      <c r="K581" s="1190"/>
      <c r="L581" s="1190"/>
      <c r="M581" s="1190"/>
      <c r="N581" s="1190"/>
      <c r="O581" s="1190"/>
      <c r="P581" s="1190"/>
      <c r="Q581" s="1190"/>
      <c r="R581" s="1190"/>
      <c r="S581" s="1189"/>
      <c r="T581" s="1190"/>
      <c r="U581" s="1190"/>
      <c r="V581" s="1190"/>
      <c r="W581" s="1190"/>
      <c r="X581" s="1190"/>
      <c r="Y581" s="1190"/>
      <c r="Z581" s="1190"/>
      <c r="AA581" s="1190"/>
      <c r="AB581" s="1190"/>
      <c r="AC581" s="1190"/>
      <c r="AD581" s="1190"/>
      <c r="AE581" s="1190"/>
      <c r="AF581" s="1190"/>
      <c r="AG581" s="1748"/>
      <c r="AH581" s="1190"/>
      <c r="AI581" s="1748"/>
      <c r="AJ581" s="1190"/>
      <c r="AK581" s="1190"/>
      <c r="AL581" s="1190"/>
      <c r="AM581" s="1190"/>
      <c r="AN581" s="1190"/>
      <c r="AO581" s="1190"/>
      <c r="AP581" s="1190"/>
      <c r="AQ581" s="1190"/>
      <c r="AR581" s="1190"/>
      <c r="AS581" s="1190"/>
      <c r="AT581" s="1190"/>
      <c r="AU581" s="1190"/>
      <c r="AV581" s="1190"/>
      <c r="AW581" s="1190"/>
      <c r="AX581" s="1190"/>
      <c r="AY581" s="1190"/>
      <c r="AZ581" s="1190"/>
      <c r="BA581" s="1190"/>
      <c r="BB581" s="1190"/>
      <c r="BC581" s="1190"/>
      <c r="BD581" s="1190"/>
      <c r="BE581" s="1190"/>
      <c r="BF581" s="1190"/>
      <c r="BG581" s="1190"/>
      <c r="BH581" s="1190"/>
      <c r="BI581" s="1190"/>
      <c r="BJ581" s="1190"/>
      <c r="BK581" s="1190"/>
      <c r="BL581" s="1190"/>
      <c r="BM581" s="1190"/>
      <c r="BQ581" s="195"/>
      <c r="BR581" s="195"/>
      <c r="BT581" s="1005"/>
    </row>
    <row r="582" ht="15.75" customHeight="1">
      <c r="A582" s="195"/>
      <c r="B582" s="978"/>
      <c r="C582" s="2321"/>
      <c r="D582" s="1729"/>
      <c r="E582" s="1190"/>
      <c r="F582" s="1190"/>
      <c r="G582" s="1190"/>
      <c r="H582" s="1190"/>
      <c r="I582" s="1190"/>
      <c r="J582" s="1190"/>
      <c r="K582" s="1190"/>
      <c r="L582" s="1190"/>
      <c r="M582" s="1190"/>
      <c r="N582" s="1190"/>
      <c r="O582" s="1190"/>
      <c r="P582" s="1190"/>
      <c r="Q582" s="1190"/>
      <c r="R582" s="1190"/>
      <c r="S582" s="1189"/>
      <c r="T582" s="1190"/>
      <c r="U582" s="1190"/>
      <c r="V582" s="1190"/>
      <c r="W582" s="1190"/>
      <c r="X582" s="1190"/>
      <c r="Y582" s="1190"/>
      <c r="Z582" s="1190"/>
      <c r="AA582" s="1190"/>
      <c r="AB582" s="1190"/>
      <c r="AC582" s="1190"/>
      <c r="AD582" s="1190"/>
      <c r="AE582" s="1190"/>
      <c r="AF582" s="1190"/>
      <c r="AG582" s="1748"/>
      <c r="AH582" s="1190"/>
      <c r="AI582" s="1748"/>
      <c r="AJ582" s="1190"/>
      <c r="AK582" s="1190"/>
      <c r="AL582" s="1190"/>
      <c r="AM582" s="1190"/>
      <c r="AN582" s="1190"/>
      <c r="AO582" s="1190"/>
      <c r="AP582" s="1190"/>
      <c r="AQ582" s="1190"/>
      <c r="AR582" s="1190"/>
      <c r="AS582" s="1190"/>
      <c r="AT582" s="1190"/>
      <c r="AU582" s="1190"/>
      <c r="AV582" s="1190"/>
      <c r="AW582" s="1190"/>
      <c r="AX582" s="1190"/>
      <c r="AY582" s="1190"/>
      <c r="AZ582" s="1190"/>
      <c r="BA582" s="1190"/>
      <c r="BB582" s="1190"/>
      <c r="BC582" s="1190"/>
      <c r="BD582" s="1190"/>
      <c r="BE582" s="1190"/>
      <c r="BF582" s="1190"/>
      <c r="BG582" s="1190"/>
      <c r="BH582" s="1190"/>
      <c r="BI582" s="1190"/>
      <c r="BJ582" s="1190"/>
      <c r="BK582" s="1190"/>
      <c r="BL582" s="1190"/>
      <c r="BM582" s="1190"/>
      <c r="BQ582" s="195"/>
      <c r="BR582" s="195"/>
      <c r="BT582" s="1005"/>
    </row>
    <row r="583" ht="15.75" customHeight="1">
      <c r="A583" s="195"/>
      <c r="B583" s="978"/>
      <c r="C583" s="2321"/>
      <c r="D583" s="1729"/>
      <c r="E583" s="1190"/>
      <c r="F583" s="1190"/>
      <c r="G583" s="1190"/>
      <c r="H583" s="1190"/>
      <c r="I583" s="1190"/>
      <c r="J583" s="1190"/>
      <c r="K583" s="1190"/>
      <c r="L583" s="1190"/>
      <c r="M583" s="1190"/>
      <c r="N583" s="1190"/>
      <c r="O583" s="1190"/>
      <c r="P583" s="1190"/>
      <c r="Q583" s="1190"/>
      <c r="R583" s="1190"/>
      <c r="S583" s="1189"/>
      <c r="T583" s="1190"/>
      <c r="U583" s="1190"/>
      <c r="V583" s="1190"/>
      <c r="W583" s="1190"/>
      <c r="X583" s="1190"/>
      <c r="Y583" s="1190"/>
      <c r="Z583" s="1190"/>
      <c r="AA583" s="1190"/>
      <c r="AB583" s="1190"/>
      <c r="AC583" s="1190"/>
      <c r="AD583" s="1190"/>
      <c r="AE583" s="1190"/>
      <c r="AF583" s="1190"/>
      <c r="AG583" s="1748"/>
      <c r="AH583" s="1190"/>
      <c r="AI583" s="1748"/>
      <c r="AJ583" s="1190"/>
      <c r="AK583" s="1190"/>
      <c r="AL583" s="1190"/>
      <c r="AM583" s="1190"/>
      <c r="AN583" s="1190"/>
      <c r="AO583" s="1190"/>
      <c r="AP583" s="1190"/>
      <c r="AQ583" s="1190"/>
      <c r="AR583" s="1190"/>
      <c r="AS583" s="1190"/>
      <c r="AT583" s="1190"/>
      <c r="AU583" s="1190"/>
      <c r="AV583" s="1190"/>
      <c r="AW583" s="1190"/>
      <c r="AX583" s="1190"/>
      <c r="AY583" s="1190"/>
      <c r="AZ583" s="1190"/>
      <c r="BA583" s="1190"/>
      <c r="BB583" s="1190"/>
      <c r="BC583" s="1190"/>
      <c r="BD583" s="1190"/>
      <c r="BE583" s="1190"/>
      <c r="BF583" s="1190"/>
      <c r="BG583" s="1190"/>
      <c r="BH583" s="1190"/>
      <c r="BI583" s="1190"/>
      <c r="BJ583" s="1190"/>
      <c r="BK583" s="1190"/>
      <c r="BL583" s="1190"/>
      <c r="BM583" s="1190"/>
      <c r="BQ583" s="195"/>
      <c r="BR583" s="195"/>
      <c r="BT583" s="1005"/>
    </row>
    <row r="584" ht="15.75" customHeight="1">
      <c r="A584" s="195"/>
      <c r="B584" s="978"/>
      <c r="C584" s="2321"/>
      <c r="D584" s="1729"/>
      <c r="E584" s="1190"/>
      <c r="F584" s="1190"/>
      <c r="G584" s="1190"/>
      <c r="H584" s="1190"/>
      <c r="I584" s="1190"/>
      <c r="J584" s="1190"/>
      <c r="K584" s="1190"/>
      <c r="L584" s="1190"/>
      <c r="M584" s="1190"/>
      <c r="N584" s="1190"/>
      <c r="O584" s="1190"/>
      <c r="P584" s="1190"/>
      <c r="Q584" s="1190"/>
      <c r="R584" s="1190"/>
      <c r="S584" s="1189"/>
      <c r="T584" s="1190"/>
      <c r="U584" s="1190"/>
      <c r="V584" s="1190"/>
      <c r="W584" s="1190"/>
      <c r="X584" s="1190"/>
      <c r="Y584" s="1190"/>
      <c r="Z584" s="1190"/>
      <c r="AA584" s="1190"/>
      <c r="AB584" s="1190"/>
      <c r="AC584" s="1190"/>
      <c r="AD584" s="1190"/>
      <c r="AE584" s="1190"/>
      <c r="AF584" s="1190"/>
      <c r="AG584" s="1748"/>
      <c r="AH584" s="1190"/>
      <c r="AI584" s="1748"/>
      <c r="AJ584" s="1190"/>
      <c r="AK584" s="1190"/>
      <c r="AL584" s="1190"/>
      <c r="AM584" s="1190"/>
      <c r="AN584" s="1190"/>
      <c r="AO584" s="1190"/>
      <c r="AP584" s="1190"/>
      <c r="AQ584" s="1190"/>
      <c r="AR584" s="1190"/>
      <c r="AS584" s="1190"/>
      <c r="AT584" s="1190"/>
      <c r="AU584" s="1190"/>
      <c r="AV584" s="1190"/>
      <c r="AW584" s="1190"/>
      <c r="AX584" s="1190"/>
      <c r="AY584" s="1190"/>
      <c r="AZ584" s="1190"/>
      <c r="BA584" s="1190"/>
      <c r="BB584" s="1190"/>
      <c r="BC584" s="1190"/>
      <c r="BD584" s="1190"/>
      <c r="BE584" s="1190"/>
      <c r="BF584" s="1190"/>
      <c r="BG584" s="1190"/>
      <c r="BH584" s="1190"/>
      <c r="BI584" s="1190"/>
      <c r="BJ584" s="1190"/>
      <c r="BK584" s="1190"/>
      <c r="BL584" s="1190"/>
      <c r="BM584" s="1190"/>
      <c r="BQ584" s="195"/>
      <c r="BR584" s="195"/>
      <c r="BT584" s="1005"/>
    </row>
    <row r="585" ht="15.75" customHeight="1">
      <c r="A585" s="195"/>
      <c r="B585" s="978"/>
      <c r="C585" s="2321"/>
      <c r="D585" s="1729"/>
      <c r="E585" s="1190"/>
      <c r="F585" s="1190"/>
      <c r="G585" s="1190"/>
      <c r="H585" s="1190"/>
      <c r="I585" s="1190"/>
      <c r="J585" s="1190"/>
      <c r="K585" s="1190"/>
      <c r="L585" s="1190"/>
      <c r="M585" s="1190"/>
      <c r="N585" s="1190"/>
      <c r="O585" s="1190"/>
      <c r="P585" s="1190"/>
      <c r="Q585" s="1190"/>
      <c r="R585" s="1190"/>
      <c r="S585" s="1189"/>
      <c r="T585" s="1190"/>
      <c r="U585" s="1190"/>
      <c r="V585" s="1190"/>
      <c r="W585" s="1190"/>
      <c r="X585" s="1190"/>
      <c r="Y585" s="1190"/>
      <c r="Z585" s="1190"/>
      <c r="AA585" s="1190"/>
      <c r="AB585" s="1190"/>
      <c r="AC585" s="1190"/>
      <c r="AD585" s="1190"/>
      <c r="AE585" s="1190"/>
      <c r="AF585" s="1190"/>
      <c r="AG585" s="1748"/>
      <c r="AH585" s="1190"/>
      <c r="AI585" s="1748"/>
      <c r="AJ585" s="1190"/>
      <c r="AK585" s="1190"/>
      <c r="AL585" s="1190"/>
      <c r="AM585" s="1190"/>
      <c r="AN585" s="1190"/>
      <c r="AO585" s="1190"/>
      <c r="AP585" s="1190"/>
      <c r="AQ585" s="1190"/>
      <c r="AR585" s="1190"/>
      <c r="AS585" s="1190"/>
      <c r="AT585" s="1190"/>
      <c r="AU585" s="1190"/>
      <c r="AV585" s="1190"/>
      <c r="AW585" s="1190"/>
      <c r="AX585" s="1190"/>
      <c r="AY585" s="1190"/>
      <c r="AZ585" s="1190"/>
      <c r="BA585" s="1190"/>
      <c r="BB585" s="1190"/>
      <c r="BC585" s="1190"/>
      <c r="BD585" s="1190"/>
      <c r="BE585" s="1190"/>
      <c r="BF585" s="1190"/>
      <c r="BG585" s="1190"/>
      <c r="BH585" s="1190"/>
      <c r="BI585" s="1190"/>
      <c r="BJ585" s="1190"/>
      <c r="BK585" s="1190"/>
      <c r="BL585" s="1190"/>
      <c r="BM585" s="1190"/>
      <c r="BQ585" s="195"/>
      <c r="BR585" s="195"/>
      <c r="BT585" s="1005"/>
    </row>
    <row r="586" ht="15.75" customHeight="1">
      <c r="A586" s="195"/>
      <c r="B586" s="978"/>
      <c r="C586" s="2321"/>
      <c r="D586" s="1729"/>
      <c r="E586" s="1190"/>
      <c r="F586" s="1190"/>
      <c r="G586" s="1190"/>
      <c r="H586" s="1190"/>
      <c r="I586" s="1190"/>
      <c r="J586" s="1190"/>
      <c r="K586" s="1190"/>
      <c r="L586" s="1190"/>
      <c r="M586" s="1190"/>
      <c r="N586" s="1190"/>
      <c r="O586" s="1190"/>
      <c r="P586" s="1190"/>
      <c r="Q586" s="1190"/>
      <c r="R586" s="1190"/>
      <c r="S586" s="1189"/>
      <c r="T586" s="1190"/>
      <c r="U586" s="1190"/>
      <c r="V586" s="1190"/>
      <c r="W586" s="1190"/>
      <c r="X586" s="1190"/>
      <c r="Y586" s="1190"/>
      <c r="Z586" s="1190"/>
      <c r="AA586" s="1190"/>
      <c r="AB586" s="1190"/>
      <c r="AC586" s="1190"/>
      <c r="AD586" s="1190"/>
      <c r="AE586" s="1190"/>
      <c r="AF586" s="1190"/>
      <c r="AG586" s="1748"/>
      <c r="AH586" s="1190"/>
      <c r="AI586" s="1748"/>
      <c r="AJ586" s="1190"/>
      <c r="AK586" s="1190"/>
      <c r="AL586" s="1190"/>
      <c r="AM586" s="1190"/>
      <c r="AN586" s="1190"/>
      <c r="AO586" s="1190"/>
      <c r="AP586" s="1190"/>
      <c r="AQ586" s="1190"/>
      <c r="AR586" s="1190"/>
      <c r="AS586" s="1190"/>
      <c r="AT586" s="1190"/>
      <c r="AU586" s="1190"/>
      <c r="AV586" s="1190"/>
      <c r="AW586" s="1190"/>
      <c r="AX586" s="1190"/>
      <c r="AY586" s="1190"/>
      <c r="AZ586" s="1190"/>
      <c r="BA586" s="1190"/>
      <c r="BB586" s="1190"/>
      <c r="BC586" s="1190"/>
      <c r="BD586" s="1190"/>
      <c r="BE586" s="1190"/>
      <c r="BF586" s="1190"/>
      <c r="BG586" s="1190"/>
      <c r="BH586" s="1190"/>
      <c r="BI586" s="1190"/>
      <c r="BJ586" s="1190"/>
      <c r="BK586" s="1190"/>
      <c r="BL586" s="1190"/>
      <c r="BM586" s="1190"/>
      <c r="BQ586" s="195"/>
      <c r="BR586" s="195"/>
      <c r="BT586" s="1005"/>
    </row>
    <row r="587" ht="15.75" customHeight="1">
      <c r="A587" s="195"/>
      <c r="B587" s="978"/>
      <c r="C587" s="2321"/>
      <c r="D587" s="1729"/>
      <c r="E587" s="1190"/>
      <c r="F587" s="1190"/>
      <c r="G587" s="1190"/>
      <c r="H587" s="1190"/>
      <c r="I587" s="1190"/>
      <c r="J587" s="1190"/>
      <c r="K587" s="1190"/>
      <c r="L587" s="1190"/>
      <c r="M587" s="1190"/>
      <c r="N587" s="1190"/>
      <c r="O587" s="1190"/>
      <c r="P587" s="1190"/>
      <c r="Q587" s="1190"/>
      <c r="R587" s="1190"/>
      <c r="S587" s="1189"/>
      <c r="T587" s="1190"/>
      <c r="U587" s="1190"/>
      <c r="V587" s="1190"/>
      <c r="W587" s="1190"/>
      <c r="X587" s="1190"/>
      <c r="Y587" s="1190"/>
      <c r="Z587" s="1190"/>
      <c r="AA587" s="1190"/>
      <c r="AB587" s="1190"/>
      <c r="AC587" s="1190"/>
      <c r="AD587" s="1190"/>
      <c r="AE587" s="1190"/>
      <c r="AF587" s="1190"/>
      <c r="AG587" s="1748"/>
      <c r="AH587" s="1190"/>
      <c r="AI587" s="1748"/>
      <c r="AJ587" s="1190"/>
      <c r="AK587" s="1190"/>
      <c r="AL587" s="1190"/>
      <c r="AM587" s="1190"/>
      <c r="AN587" s="1190"/>
      <c r="AO587" s="1190"/>
      <c r="AP587" s="1190"/>
      <c r="AQ587" s="1190"/>
      <c r="AR587" s="1190"/>
      <c r="AS587" s="1190"/>
      <c r="AT587" s="1190"/>
      <c r="AU587" s="1190"/>
      <c r="AV587" s="1190"/>
      <c r="AW587" s="1190"/>
      <c r="AX587" s="1190"/>
      <c r="AY587" s="1190"/>
      <c r="AZ587" s="1190"/>
      <c r="BA587" s="1190"/>
      <c r="BB587" s="1190"/>
      <c r="BC587" s="1190"/>
      <c r="BD587" s="1190"/>
      <c r="BE587" s="1190"/>
      <c r="BF587" s="1190"/>
      <c r="BG587" s="1190"/>
      <c r="BH587" s="1190"/>
      <c r="BI587" s="1190"/>
      <c r="BJ587" s="1190"/>
      <c r="BK587" s="1190"/>
      <c r="BL587" s="1190"/>
      <c r="BM587" s="1190"/>
      <c r="BQ587" s="195"/>
      <c r="BR587" s="195"/>
      <c r="BT587" s="1005"/>
    </row>
    <row r="588" ht="15.75" customHeight="1">
      <c r="A588" s="195"/>
      <c r="B588" s="978"/>
      <c r="C588" s="2321"/>
      <c r="D588" s="1729"/>
      <c r="E588" s="1190"/>
      <c r="F588" s="1190"/>
      <c r="G588" s="1190"/>
      <c r="H588" s="1190"/>
      <c r="I588" s="1190"/>
      <c r="J588" s="1190"/>
      <c r="K588" s="1190"/>
      <c r="L588" s="1190"/>
      <c r="M588" s="1190"/>
      <c r="N588" s="1190"/>
      <c r="O588" s="1190"/>
      <c r="P588" s="1190"/>
      <c r="Q588" s="1190"/>
      <c r="R588" s="1190"/>
      <c r="S588" s="1189"/>
      <c r="T588" s="1190"/>
      <c r="U588" s="1190"/>
      <c r="V588" s="1190"/>
      <c r="W588" s="1190"/>
      <c r="X588" s="1190"/>
      <c r="Y588" s="1190"/>
      <c r="Z588" s="1190"/>
      <c r="AA588" s="1190"/>
      <c r="AB588" s="1190"/>
      <c r="AC588" s="1190"/>
      <c r="AD588" s="1190"/>
      <c r="AE588" s="1190"/>
      <c r="AF588" s="1190"/>
      <c r="AG588" s="1748"/>
      <c r="AH588" s="1190"/>
      <c r="AI588" s="1748"/>
      <c r="AJ588" s="1190"/>
      <c r="AK588" s="1190"/>
      <c r="AL588" s="1190"/>
      <c r="AM588" s="1190"/>
      <c r="AN588" s="1190"/>
      <c r="AO588" s="1190"/>
      <c r="AP588" s="1190"/>
      <c r="AQ588" s="1190"/>
      <c r="AR588" s="1190"/>
      <c r="AS588" s="1190"/>
      <c r="AT588" s="1190"/>
      <c r="AU588" s="1190"/>
      <c r="AV588" s="1190"/>
      <c r="AW588" s="1190"/>
      <c r="AX588" s="1190"/>
      <c r="AY588" s="1190"/>
      <c r="AZ588" s="1190"/>
      <c r="BA588" s="1190"/>
      <c r="BB588" s="1190"/>
      <c r="BC588" s="1190"/>
      <c r="BD588" s="1190"/>
      <c r="BE588" s="1190"/>
      <c r="BF588" s="1190"/>
      <c r="BG588" s="1190"/>
      <c r="BH588" s="1190"/>
      <c r="BI588" s="1190"/>
      <c r="BJ588" s="1190"/>
      <c r="BK588" s="1190"/>
      <c r="BL588" s="1190"/>
      <c r="BM588" s="1190"/>
      <c r="BQ588" s="195"/>
      <c r="BR588" s="195"/>
      <c r="BT588" s="1005"/>
    </row>
    <row r="589" ht="15.75" customHeight="1">
      <c r="A589" s="195"/>
      <c r="B589" s="978"/>
      <c r="C589" s="2321"/>
      <c r="D589" s="1729"/>
      <c r="E589" s="1190"/>
      <c r="F589" s="1190"/>
      <c r="G589" s="1190"/>
      <c r="H589" s="1190"/>
      <c r="I589" s="1190"/>
      <c r="J589" s="1190"/>
      <c r="K589" s="1190"/>
      <c r="L589" s="1190"/>
      <c r="M589" s="1190"/>
      <c r="N589" s="1190"/>
      <c r="O589" s="1190"/>
      <c r="P589" s="1190"/>
      <c r="Q589" s="1190"/>
      <c r="R589" s="1190"/>
      <c r="S589" s="1189"/>
      <c r="T589" s="1190"/>
      <c r="U589" s="1190"/>
      <c r="V589" s="1190"/>
      <c r="W589" s="1190"/>
      <c r="X589" s="1190"/>
      <c r="Y589" s="1190"/>
      <c r="Z589" s="1190"/>
      <c r="AA589" s="1190"/>
      <c r="AB589" s="1190"/>
      <c r="AC589" s="1190"/>
      <c r="AD589" s="1190"/>
      <c r="AE589" s="1190"/>
      <c r="AF589" s="1190"/>
      <c r="AG589" s="1748"/>
      <c r="AH589" s="1190"/>
      <c r="AI589" s="1748"/>
      <c r="AJ589" s="1190"/>
      <c r="AK589" s="1190"/>
      <c r="AL589" s="1190"/>
      <c r="AM589" s="1190"/>
      <c r="AN589" s="1190"/>
      <c r="AO589" s="1190"/>
      <c r="AP589" s="1190"/>
      <c r="AQ589" s="1190"/>
      <c r="AR589" s="1190"/>
      <c r="AS589" s="1190"/>
      <c r="AT589" s="1190"/>
      <c r="AU589" s="1190"/>
      <c r="AV589" s="1190"/>
      <c r="AW589" s="1190"/>
      <c r="AX589" s="1190"/>
      <c r="AY589" s="1190"/>
      <c r="AZ589" s="1190"/>
      <c r="BA589" s="1190"/>
      <c r="BB589" s="1190"/>
      <c r="BC589" s="1190"/>
      <c r="BD589" s="1190"/>
      <c r="BE589" s="1190"/>
      <c r="BF589" s="1190"/>
      <c r="BG589" s="1190"/>
      <c r="BH589" s="1190"/>
      <c r="BI589" s="1190"/>
      <c r="BJ589" s="1190"/>
      <c r="BK589" s="1190"/>
      <c r="BL589" s="1190"/>
      <c r="BM589" s="1190"/>
      <c r="BQ589" s="195"/>
      <c r="BR589" s="195"/>
      <c r="BT589" s="1005"/>
    </row>
    <row r="590" ht="15.75" customHeight="1">
      <c r="A590" s="195"/>
      <c r="B590" s="978"/>
      <c r="C590" s="2321"/>
      <c r="D590" s="1729"/>
      <c r="E590" s="1190"/>
      <c r="F590" s="1190"/>
      <c r="G590" s="1190"/>
      <c r="H590" s="1190"/>
      <c r="I590" s="1190"/>
      <c r="J590" s="1190"/>
      <c r="K590" s="1190"/>
      <c r="L590" s="1190"/>
      <c r="M590" s="1190"/>
      <c r="N590" s="1190"/>
      <c r="O590" s="1190"/>
      <c r="P590" s="1190"/>
      <c r="Q590" s="1190"/>
      <c r="R590" s="1190"/>
      <c r="S590" s="1189"/>
      <c r="T590" s="1190"/>
      <c r="U590" s="1190"/>
      <c r="V590" s="1190"/>
      <c r="W590" s="1190"/>
      <c r="X590" s="1190"/>
      <c r="Y590" s="1190"/>
      <c r="Z590" s="1190"/>
      <c r="AA590" s="1190"/>
      <c r="AB590" s="1190"/>
      <c r="AC590" s="1190"/>
      <c r="AD590" s="1190"/>
      <c r="AE590" s="1190"/>
      <c r="AF590" s="1190"/>
      <c r="AG590" s="1748"/>
      <c r="AH590" s="1190"/>
      <c r="AI590" s="1748"/>
      <c r="AJ590" s="1190"/>
      <c r="AK590" s="1190"/>
      <c r="AL590" s="1190"/>
      <c r="AM590" s="1190"/>
      <c r="AN590" s="1190"/>
      <c r="AO590" s="1190"/>
      <c r="AP590" s="1190"/>
      <c r="AQ590" s="1190"/>
      <c r="AR590" s="1190"/>
      <c r="AS590" s="1190"/>
      <c r="AT590" s="1190"/>
      <c r="AU590" s="1190"/>
      <c r="AV590" s="1190"/>
      <c r="AW590" s="1190"/>
      <c r="AX590" s="1190"/>
      <c r="AY590" s="1190"/>
      <c r="AZ590" s="1190"/>
      <c r="BA590" s="1190"/>
      <c r="BB590" s="1190"/>
      <c r="BC590" s="1190"/>
      <c r="BD590" s="1190"/>
      <c r="BE590" s="1190"/>
      <c r="BF590" s="1190"/>
      <c r="BG590" s="1190"/>
      <c r="BH590" s="1190"/>
      <c r="BI590" s="1190"/>
      <c r="BJ590" s="1190"/>
      <c r="BK590" s="1190"/>
      <c r="BL590" s="1190"/>
      <c r="BM590" s="1190"/>
      <c r="BQ590" s="195"/>
      <c r="BR590" s="195"/>
      <c r="BT590" s="1005"/>
    </row>
    <row r="591" ht="15.75" customHeight="1">
      <c r="A591" s="195"/>
      <c r="B591" s="978"/>
      <c r="C591" s="2321"/>
      <c r="D591" s="1729"/>
      <c r="E591" s="1190"/>
      <c r="F591" s="1190"/>
      <c r="G591" s="1190"/>
      <c r="H591" s="1190"/>
      <c r="I591" s="1190"/>
      <c r="J591" s="1190"/>
      <c r="K591" s="1190"/>
      <c r="L591" s="1190"/>
      <c r="M591" s="1190"/>
      <c r="N591" s="1190"/>
      <c r="O591" s="1190"/>
      <c r="P591" s="1190"/>
      <c r="Q591" s="1190"/>
      <c r="R591" s="1190"/>
      <c r="S591" s="1189"/>
      <c r="T591" s="1190"/>
      <c r="U591" s="1190"/>
      <c r="V591" s="1190"/>
      <c r="W591" s="1190"/>
      <c r="X591" s="1190"/>
      <c r="Y591" s="1190"/>
      <c r="Z591" s="1190"/>
      <c r="AA591" s="1190"/>
      <c r="AB591" s="1190"/>
      <c r="AC591" s="1190"/>
      <c r="AD591" s="1190"/>
      <c r="AE591" s="1190"/>
      <c r="AF591" s="1190"/>
      <c r="AG591" s="1748"/>
      <c r="AH591" s="1190"/>
      <c r="AI591" s="1748"/>
      <c r="AJ591" s="1190"/>
      <c r="AK591" s="1190"/>
      <c r="AL591" s="1190"/>
      <c r="AM591" s="1190"/>
      <c r="AN591" s="1190"/>
      <c r="AO591" s="1190"/>
      <c r="AP591" s="1190"/>
      <c r="AQ591" s="1190"/>
      <c r="AR591" s="1190"/>
      <c r="AS591" s="1190"/>
      <c r="AT591" s="1190"/>
      <c r="AU591" s="1190"/>
      <c r="AV591" s="1190"/>
      <c r="AW591" s="1190"/>
      <c r="AX591" s="1190"/>
      <c r="AY591" s="1190"/>
      <c r="AZ591" s="1190"/>
      <c r="BA591" s="1190"/>
      <c r="BB591" s="1190"/>
      <c r="BC591" s="1190"/>
      <c r="BD591" s="1190"/>
      <c r="BE591" s="1190"/>
      <c r="BF591" s="1190"/>
      <c r="BG591" s="1190"/>
      <c r="BH591" s="1190"/>
      <c r="BI591" s="1190"/>
      <c r="BJ591" s="1190"/>
      <c r="BK591" s="1190"/>
      <c r="BL591" s="1190"/>
      <c r="BM591" s="1190"/>
      <c r="BQ591" s="195"/>
      <c r="BR591" s="195"/>
      <c r="BT591" s="1005"/>
    </row>
    <row r="592" ht="15.75" customHeight="1">
      <c r="A592" s="195"/>
      <c r="B592" s="978"/>
      <c r="C592" s="2321"/>
      <c r="D592" s="1729"/>
      <c r="E592" s="1190"/>
      <c r="F592" s="1190"/>
      <c r="G592" s="1190"/>
      <c r="H592" s="1190"/>
      <c r="I592" s="1190"/>
      <c r="J592" s="1190"/>
      <c r="K592" s="1190"/>
      <c r="L592" s="1190"/>
      <c r="M592" s="1190"/>
      <c r="N592" s="1190"/>
      <c r="O592" s="1190"/>
      <c r="P592" s="1190"/>
      <c r="Q592" s="1190"/>
      <c r="R592" s="1190"/>
      <c r="S592" s="1189"/>
      <c r="T592" s="1190"/>
      <c r="U592" s="1190"/>
      <c r="V592" s="1190"/>
      <c r="W592" s="1190"/>
      <c r="X592" s="1190"/>
      <c r="Y592" s="1190"/>
      <c r="Z592" s="1190"/>
      <c r="AA592" s="1190"/>
      <c r="AB592" s="1190"/>
      <c r="AC592" s="1190"/>
      <c r="AD592" s="1190"/>
      <c r="AE592" s="1190"/>
      <c r="AF592" s="1190"/>
      <c r="AG592" s="1748"/>
      <c r="AH592" s="1190"/>
      <c r="AI592" s="1748"/>
      <c r="AJ592" s="1190"/>
      <c r="AK592" s="1190"/>
      <c r="AL592" s="1190"/>
      <c r="AM592" s="1190"/>
      <c r="AN592" s="1190"/>
      <c r="AO592" s="1190"/>
      <c r="AP592" s="1190"/>
      <c r="AQ592" s="1190"/>
      <c r="AR592" s="1190"/>
      <c r="AS592" s="1190"/>
      <c r="AT592" s="1190"/>
      <c r="AU592" s="1190"/>
      <c r="AV592" s="1190"/>
      <c r="AW592" s="1190"/>
      <c r="AX592" s="1190"/>
      <c r="AY592" s="1190"/>
      <c r="AZ592" s="1190"/>
      <c r="BA592" s="1190"/>
      <c r="BB592" s="1190"/>
      <c r="BC592" s="1190"/>
      <c r="BD592" s="1190"/>
      <c r="BE592" s="1190"/>
      <c r="BF592" s="1190"/>
      <c r="BG592" s="1190"/>
      <c r="BH592" s="1190"/>
      <c r="BI592" s="1190"/>
      <c r="BJ592" s="1190"/>
      <c r="BK592" s="1190"/>
      <c r="BL592" s="1190"/>
      <c r="BM592" s="1190"/>
      <c r="BQ592" s="195"/>
      <c r="BR592" s="195"/>
      <c r="BT592" s="1005"/>
    </row>
    <row r="593" ht="15.75" customHeight="1">
      <c r="A593" s="195"/>
      <c r="B593" s="978"/>
      <c r="C593" s="2321"/>
      <c r="D593" s="1729"/>
      <c r="E593" s="1190"/>
      <c r="F593" s="1190"/>
      <c r="G593" s="1190"/>
      <c r="H593" s="1190"/>
      <c r="I593" s="1190"/>
      <c r="J593" s="1190"/>
      <c r="K593" s="1190"/>
      <c r="L593" s="1190"/>
      <c r="M593" s="1190"/>
      <c r="N593" s="1190"/>
      <c r="O593" s="1190"/>
      <c r="P593" s="1190"/>
      <c r="Q593" s="1190"/>
      <c r="R593" s="1190"/>
      <c r="S593" s="1189"/>
      <c r="T593" s="1190"/>
      <c r="U593" s="1190"/>
      <c r="V593" s="1190"/>
      <c r="W593" s="1190"/>
      <c r="X593" s="1190"/>
      <c r="Y593" s="1190"/>
      <c r="Z593" s="1190"/>
      <c r="AA593" s="1190"/>
      <c r="AB593" s="1190"/>
      <c r="AC593" s="1190"/>
      <c r="AD593" s="1190"/>
      <c r="AE593" s="1190"/>
      <c r="AF593" s="1190"/>
      <c r="AG593" s="1748"/>
      <c r="AH593" s="1190"/>
      <c r="AI593" s="1748"/>
      <c r="AJ593" s="1190"/>
      <c r="AK593" s="1190"/>
      <c r="AL593" s="1190"/>
      <c r="AM593" s="1190"/>
      <c r="AN593" s="1190"/>
      <c r="AO593" s="1190"/>
      <c r="AP593" s="1190"/>
      <c r="AQ593" s="1190"/>
      <c r="AR593" s="1190"/>
      <c r="AS593" s="1190"/>
      <c r="AT593" s="1190"/>
      <c r="AU593" s="1190"/>
      <c r="AV593" s="1190"/>
      <c r="AW593" s="1190"/>
      <c r="AX593" s="1190"/>
      <c r="AY593" s="1190"/>
      <c r="AZ593" s="1190"/>
      <c r="BA593" s="1190"/>
      <c r="BB593" s="1190"/>
      <c r="BC593" s="1190"/>
      <c r="BD593" s="1190"/>
      <c r="BE593" s="1190"/>
      <c r="BF593" s="1190"/>
      <c r="BG593" s="1190"/>
      <c r="BH593" s="1190"/>
      <c r="BI593" s="1190"/>
      <c r="BJ593" s="1190"/>
      <c r="BK593" s="1190"/>
      <c r="BL593" s="1190"/>
      <c r="BM593" s="1190"/>
      <c r="BQ593" s="195"/>
      <c r="BR593" s="195"/>
      <c r="BT593" s="1005"/>
    </row>
    <row r="594" ht="15.75" customHeight="1">
      <c r="A594" s="195"/>
      <c r="B594" s="978"/>
      <c r="C594" s="2321"/>
      <c r="D594" s="1729"/>
      <c r="E594" s="1190"/>
      <c r="F594" s="1190"/>
      <c r="G594" s="1190"/>
      <c r="H594" s="1190"/>
      <c r="I594" s="1190"/>
      <c r="J594" s="1190"/>
      <c r="K594" s="1190"/>
      <c r="L594" s="1190"/>
      <c r="M594" s="1190"/>
      <c r="N594" s="1190"/>
      <c r="O594" s="1190"/>
      <c r="P594" s="1190"/>
      <c r="Q594" s="1190"/>
      <c r="R594" s="1190"/>
      <c r="S594" s="1189"/>
      <c r="T594" s="1190"/>
      <c r="U594" s="1190"/>
      <c r="V594" s="1190"/>
      <c r="W594" s="1190"/>
      <c r="X594" s="1190"/>
      <c r="Y594" s="1190"/>
      <c r="Z594" s="1190"/>
      <c r="AA594" s="1190"/>
      <c r="AB594" s="1190"/>
      <c r="AC594" s="1190"/>
      <c r="AD594" s="1190"/>
      <c r="AE594" s="1190"/>
      <c r="AF594" s="1190"/>
      <c r="AG594" s="1748"/>
      <c r="AH594" s="1190"/>
      <c r="AI594" s="1748"/>
      <c r="AJ594" s="1190"/>
      <c r="AK594" s="1190"/>
      <c r="AL594" s="1190"/>
      <c r="AM594" s="1190"/>
      <c r="AN594" s="1190"/>
      <c r="AO594" s="1190"/>
      <c r="AP594" s="1190"/>
      <c r="AQ594" s="1190"/>
      <c r="AR594" s="1190"/>
      <c r="AS594" s="1190"/>
      <c r="AT594" s="1190"/>
      <c r="AU594" s="1190"/>
      <c r="AV594" s="1190"/>
      <c r="AW594" s="1190"/>
      <c r="AX594" s="1190"/>
      <c r="AY594" s="1190"/>
      <c r="AZ594" s="1190"/>
      <c r="BA594" s="1190"/>
      <c r="BB594" s="1190"/>
      <c r="BC594" s="1190"/>
      <c r="BD594" s="1190"/>
      <c r="BE594" s="1190"/>
      <c r="BF594" s="1190"/>
      <c r="BG594" s="1190"/>
      <c r="BH594" s="1190"/>
      <c r="BI594" s="1190"/>
      <c r="BJ594" s="1190"/>
      <c r="BK594" s="1190"/>
      <c r="BL594" s="1190"/>
      <c r="BM594" s="1190"/>
      <c r="BQ594" s="195"/>
      <c r="BR594" s="195"/>
      <c r="BT594" s="1005"/>
    </row>
    <row r="595" ht="15.75" customHeight="1">
      <c r="A595" s="195"/>
      <c r="B595" s="978"/>
      <c r="C595" s="2321"/>
      <c r="D595" s="1729"/>
      <c r="E595" s="1190"/>
      <c r="F595" s="1190"/>
      <c r="G595" s="1190"/>
      <c r="H595" s="1190"/>
      <c r="I595" s="1190"/>
      <c r="J595" s="1190"/>
      <c r="K595" s="1190"/>
      <c r="L595" s="1190"/>
      <c r="M595" s="1190"/>
      <c r="N595" s="1190"/>
      <c r="O595" s="1190"/>
      <c r="P595" s="1190"/>
      <c r="Q595" s="1190"/>
      <c r="R595" s="1190"/>
      <c r="S595" s="1189"/>
      <c r="T595" s="1190"/>
      <c r="U595" s="1190"/>
      <c r="V595" s="1190"/>
      <c r="W595" s="1190"/>
      <c r="X595" s="1190"/>
      <c r="Y595" s="1190"/>
      <c r="Z595" s="1190"/>
      <c r="AA595" s="1190"/>
      <c r="AB595" s="1190"/>
      <c r="AC595" s="1190"/>
      <c r="AD595" s="1190"/>
      <c r="AE595" s="1190"/>
      <c r="AF595" s="1190"/>
      <c r="AG595" s="1748"/>
      <c r="AH595" s="1190"/>
      <c r="AI595" s="1748"/>
      <c r="AJ595" s="1190"/>
      <c r="AK595" s="1190"/>
      <c r="AL595" s="1190"/>
      <c r="AM595" s="1190"/>
      <c r="AN595" s="1190"/>
      <c r="AO595" s="1190"/>
      <c r="AP595" s="1190"/>
      <c r="AQ595" s="1190"/>
      <c r="AR595" s="1190"/>
      <c r="AS595" s="1190"/>
      <c r="AT595" s="1190"/>
      <c r="AU595" s="1190"/>
      <c r="AV595" s="1190"/>
      <c r="AW595" s="1190"/>
      <c r="AX595" s="1190"/>
      <c r="AY595" s="1190"/>
      <c r="AZ595" s="1190"/>
      <c r="BA595" s="1190"/>
      <c r="BB595" s="1190"/>
      <c r="BC595" s="1190"/>
      <c r="BD595" s="1190"/>
      <c r="BE595" s="1190"/>
      <c r="BF595" s="1190"/>
      <c r="BG595" s="1190"/>
      <c r="BH595" s="1190"/>
      <c r="BI595" s="1190"/>
      <c r="BJ595" s="1190"/>
      <c r="BK595" s="1190"/>
      <c r="BL595" s="1190"/>
      <c r="BM595" s="1190"/>
      <c r="BQ595" s="195"/>
      <c r="BR595" s="195"/>
      <c r="BT595" s="1005"/>
    </row>
    <row r="596" ht="15.75" customHeight="1">
      <c r="A596" s="195"/>
      <c r="B596" s="978"/>
      <c r="C596" s="2321"/>
      <c r="D596" s="1729"/>
      <c r="E596" s="1190"/>
      <c r="F596" s="1190"/>
      <c r="G596" s="1190"/>
      <c r="H596" s="1190"/>
      <c r="I596" s="1190"/>
      <c r="J596" s="1190"/>
      <c r="K596" s="1190"/>
      <c r="L596" s="1190"/>
      <c r="M596" s="1190"/>
      <c r="N596" s="1190"/>
      <c r="O596" s="1190"/>
      <c r="P596" s="1190"/>
      <c r="Q596" s="1190"/>
      <c r="R596" s="1190"/>
      <c r="S596" s="1189"/>
      <c r="T596" s="1190"/>
      <c r="U596" s="1190"/>
      <c r="V596" s="1190"/>
      <c r="W596" s="1190"/>
      <c r="X596" s="1190"/>
      <c r="Y596" s="1190"/>
      <c r="Z596" s="1190"/>
      <c r="AA596" s="1190"/>
      <c r="AB596" s="1190"/>
      <c r="AC596" s="1190"/>
      <c r="AD596" s="1190"/>
      <c r="AE596" s="1190"/>
      <c r="AF596" s="1190"/>
      <c r="AG596" s="1748"/>
      <c r="AH596" s="1190"/>
      <c r="AI596" s="1748"/>
      <c r="AJ596" s="1190"/>
      <c r="AK596" s="1190"/>
      <c r="AL596" s="1190"/>
      <c r="AM596" s="1190"/>
      <c r="AN596" s="1190"/>
      <c r="AO596" s="1190"/>
      <c r="AP596" s="1190"/>
      <c r="AQ596" s="1190"/>
      <c r="AR596" s="1190"/>
      <c r="AS596" s="1190"/>
      <c r="AT596" s="1190"/>
      <c r="AU596" s="1190"/>
      <c r="AV596" s="1190"/>
      <c r="AW596" s="1190"/>
      <c r="AX596" s="1190"/>
      <c r="AY596" s="1190"/>
      <c r="AZ596" s="1190"/>
      <c r="BA596" s="1190"/>
      <c r="BB596" s="1190"/>
      <c r="BC596" s="1190"/>
      <c r="BD596" s="1190"/>
      <c r="BE596" s="1190"/>
      <c r="BF596" s="1190"/>
      <c r="BG596" s="1190"/>
      <c r="BH596" s="1190"/>
      <c r="BI596" s="1190"/>
      <c r="BJ596" s="1190"/>
      <c r="BK596" s="1190"/>
      <c r="BL596" s="1190"/>
      <c r="BM596" s="1190"/>
      <c r="BQ596" s="195"/>
      <c r="BR596" s="195"/>
      <c r="BT596" s="1005"/>
    </row>
    <row r="597" ht="15.75" customHeight="1">
      <c r="A597" s="195"/>
      <c r="B597" s="978"/>
      <c r="C597" s="2321"/>
      <c r="D597" s="1729"/>
      <c r="E597" s="1190"/>
      <c r="F597" s="1190"/>
      <c r="G597" s="1190"/>
      <c r="H597" s="1190"/>
      <c r="I597" s="1190"/>
      <c r="J597" s="1190"/>
      <c r="K597" s="1190"/>
      <c r="L597" s="1190"/>
      <c r="M597" s="1190"/>
      <c r="N597" s="1190"/>
      <c r="O597" s="1190"/>
      <c r="P597" s="1190"/>
      <c r="Q597" s="1190"/>
      <c r="R597" s="1190"/>
      <c r="S597" s="1189"/>
      <c r="T597" s="1190"/>
      <c r="U597" s="1190"/>
      <c r="V597" s="1190"/>
      <c r="W597" s="1190"/>
      <c r="X597" s="1190"/>
      <c r="Y597" s="1190"/>
      <c r="Z597" s="1190"/>
      <c r="AA597" s="1190"/>
      <c r="AB597" s="1190"/>
      <c r="AC597" s="1190"/>
      <c r="AD597" s="1190"/>
      <c r="AE597" s="1190"/>
      <c r="AF597" s="1190"/>
      <c r="AG597" s="1748"/>
      <c r="AH597" s="1190"/>
      <c r="AI597" s="1748"/>
      <c r="AJ597" s="1190"/>
      <c r="AK597" s="1190"/>
      <c r="AL597" s="1190"/>
      <c r="AM597" s="1190"/>
      <c r="AN597" s="1190"/>
      <c r="AO597" s="1190"/>
      <c r="AP597" s="1190"/>
      <c r="AQ597" s="1190"/>
      <c r="AR597" s="1190"/>
      <c r="AS597" s="1190"/>
      <c r="AT597" s="1190"/>
      <c r="AU597" s="1190"/>
      <c r="AV597" s="1190"/>
      <c r="AW597" s="1190"/>
      <c r="AX597" s="1190"/>
      <c r="AY597" s="1190"/>
      <c r="AZ597" s="1190"/>
      <c r="BA597" s="1190"/>
      <c r="BB597" s="1190"/>
      <c r="BC597" s="1190"/>
      <c r="BD597" s="1190"/>
      <c r="BE597" s="1190"/>
      <c r="BF597" s="1190"/>
      <c r="BG597" s="1190"/>
      <c r="BH597" s="1190"/>
      <c r="BI597" s="1190"/>
      <c r="BJ597" s="1190"/>
      <c r="BK597" s="1190"/>
      <c r="BL597" s="1190"/>
      <c r="BM597" s="1190"/>
      <c r="BQ597" s="195"/>
      <c r="BR597" s="195"/>
      <c r="BT597" s="1005"/>
    </row>
    <row r="598" ht="15.75" customHeight="1">
      <c r="A598" s="195"/>
      <c r="B598" s="978"/>
      <c r="C598" s="2321"/>
      <c r="D598" s="1729"/>
      <c r="E598" s="1190"/>
      <c r="F598" s="1190"/>
      <c r="G598" s="1190"/>
      <c r="H598" s="1190"/>
      <c r="I598" s="1190"/>
      <c r="J598" s="1190"/>
      <c r="K598" s="1190"/>
      <c r="L598" s="1190"/>
      <c r="M598" s="1190"/>
      <c r="N598" s="1190"/>
      <c r="O598" s="1190"/>
      <c r="P598" s="1190"/>
      <c r="Q598" s="1190"/>
      <c r="R598" s="1190"/>
      <c r="S598" s="1189"/>
      <c r="T598" s="1190"/>
      <c r="U598" s="1190"/>
      <c r="V598" s="1190"/>
      <c r="W598" s="1190"/>
      <c r="X598" s="1190"/>
      <c r="Y598" s="1190"/>
      <c r="Z598" s="1190"/>
      <c r="AA598" s="1190"/>
      <c r="AB598" s="1190"/>
      <c r="AC598" s="1190"/>
      <c r="AD598" s="1190"/>
      <c r="AE598" s="1190"/>
      <c r="AF598" s="1190"/>
      <c r="AG598" s="1748"/>
      <c r="AH598" s="1190"/>
      <c r="AI598" s="1748"/>
      <c r="AJ598" s="1190"/>
      <c r="AK598" s="1190"/>
      <c r="AL598" s="1190"/>
      <c r="AM598" s="1190"/>
      <c r="AN598" s="1190"/>
      <c r="AO598" s="1190"/>
      <c r="AP598" s="1190"/>
      <c r="AQ598" s="1190"/>
      <c r="AR598" s="1190"/>
      <c r="AS598" s="1190"/>
      <c r="AT598" s="1190"/>
      <c r="AU598" s="1190"/>
      <c r="AV598" s="1190"/>
      <c r="AW598" s="1190"/>
      <c r="AX598" s="1190"/>
      <c r="AY598" s="1190"/>
      <c r="AZ598" s="1190"/>
      <c r="BA598" s="1190"/>
      <c r="BB598" s="1190"/>
      <c r="BC598" s="1190"/>
      <c r="BD598" s="1190"/>
      <c r="BE598" s="1190"/>
      <c r="BF598" s="1190"/>
      <c r="BG598" s="1190"/>
      <c r="BH598" s="1190"/>
      <c r="BI598" s="1190"/>
      <c r="BJ598" s="1190"/>
      <c r="BK598" s="1190"/>
      <c r="BL598" s="1190"/>
      <c r="BM598" s="1190"/>
      <c r="BQ598" s="195"/>
      <c r="BR598" s="195"/>
      <c r="BT598" s="1005"/>
    </row>
    <row r="599" ht="15.75" customHeight="1">
      <c r="A599" s="195"/>
      <c r="B599" s="978"/>
      <c r="C599" s="2321"/>
      <c r="D599" s="1729"/>
      <c r="E599" s="1190"/>
      <c r="F599" s="1190"/>
      <c r="G599" s="1190"/>
      <c r="H599" s="1190"/>
      <c r="I599" s="1190"/>
      <c r="J599" s="1190"/>
      <c r="K599" s="1190"/>
      <c r="L599" s="1190"/>
      <c r="M599" s="1190"/>
      <c r="N599" s="1190"/>
      <c r="O599" s="1190"/>
      <c r="P599" s="1190"/>
      <c r="Q599" s="1190"/>
      <c r="R599" s="1190"/>
      <c r="S599" s="1189"/>
      <c r="T599" s="1190"/>
      <c r="U599" s="1190"/>
      <c r="V599" s="1190"/>
      <c r="W599" s="1190"/>
      <c r="X599" s="1190"/>
      <c r="Y599" s="1190"/>
      <c r="Z599" s="1190"/>
      <c r="AA599" s="1190"/>
      <c r="AB599" s="1190"/>
      <c r="AC599" s="1190"/>
      <c r="AD599" s="1190"/>
      <c r="AE599" s="1190"/>
      <c r="AF599" s="1190"/>
      <c r="AG599" s="1748"/>
      <c r="AH599" s="1190"/>
      <c r="AI599" s="1748"/>
      <c r="AJ599" s="1190"/>
      <c r="AK599" s="1190"/>
      <c r="AL599" s="1190"/>
      <c r="AM599" s="1190"/>
      <c r="AN599" s="1190"/>
      <c r="AO599" s="1190"/>
      <c r="AP599" s="1190"/>
      <c r="AQ599" s="1190"/>
      <c r="AR599" s="1190"/>
      <c r="AS599" s="1190"/>
      <c r="AT599" s="1190"/>
      <c r="AU599" s="1190"/>
      <c r="AV599" s="1190"/>
      <c r="AW599" s="1190"/>
      <c r="AX599" s="1190"/>
      <c r="AY599" s="1190"/>
      <c r="AZ599" s="1190"/>
      <c r="BA599" s="1190"/>
      <c r="BB599" s="1190"/>
      <c r="BC599" s="1190"/>
      <c r="BD599" s="1190"/>
      <c r="BE599" s="1190"/>
      <c r="BF599" s="1190"/>
      <c r="BG599" s="1190"/>
      <c r="BH599" s="1190"/>
      <c r="BI599" s="1190"/>
      <c r="BJ599" s="1190"/>
      <c r="BK599" s="1190"/>
      <c r="BL599" s="1190"/>
      <c r="BM599" s="1190"/>
      <c r="BQ599" s="195"/>
      <c r="BR599" s="195"/>
      <c r="BT599" s="1005"/>
    </row>
    <row r="600" ht="15.75" customHeight="1">
      <c r="A600" s="195"/>
      <c r="B600" s="978"/>
      <c r="C600" s="2321"/>
      <c r="D600" s="1729"/>
      <c r="E600" s="1190"/>
      <c r="F600" s="1190"/>
      <c r="G600" s="1190"/>
      <c r="H600" s="1190"/>
      <c r="I600" s="1190"/>
      <c r="J600" s="1190"/>
      <c r="K600" s="1190"/>
      <c r="L600" s="1190"/>
      <c r="M600" s="1190"/>
      <c r="N600" s="1190"/>
      <c r="O600" s="1190"/>
      <c r="P600" s="1190"/>
      <c r="Q600" s="1190"/>
      <c r="R600" s="1190"/>
      <c r="S600" s="1189"/>
      <c r="T600" s="1190"/>
      <c r="U600" s="1190"/>
      <c r="V600" s="1190"/>
      <c r="W600" s="1190"/>
      <c r="X600" s="1190"/>
      <c r="Y600" s="1190"/>
      <c r="Z600" s="1190"/>
      <c r="AA600" s="1190"/>
      <c r="AB600" s="1190"/>
      <c r="AC600" s="1190"/>
      <c r="AD600" s="1190"/>
      <c r="AE600" s="1190"/>
      <c r="AF600" s="1190"/>
      <c r="AG600" s="1748"/>
      <c r="AH600" s="1190"/>
      <c r="AI600" s="1748"/>
      <c r="AJ600" s="1190"/>
      <c r="AK600" s="1190"/>
      <c r="AL600" s="1190"/>
      <c r="AM600" s="1190"/>
      <c r="AN600" s="1190"/>
      <c r="AO600" s="1190"/>
      <c r="AP600" s="1190"/>
      <c r="AQ600" s="1190"/>
      <c r="AR600" s="1190"/>
      <c r="AS600" s="1190"/>
      <c r="AT600" s="1190"/>
      <c r="AU600" s="1190"/>
      <c r="AV600" s="1190"/>
      <c r="AW600" s="1190"/>
      <c r="AX600" s="1190"/>
      <c r="AY600" s="1190"/>
      <c r="AZ600" s="1190"/>
      <c r="BA600" s="1190"/>
      <c r="BB600" s="1190"/>
      <c r="BC600" s="1190"/>
      <c r="BD600" s="1190"/>
      <c r="BE600" s="1190"/>
      <c r="BF600" s="1190"/>
      <c r="BG600" s="1190"/>
      <c r="BH600" s="1190"/>
      <c r="BI600" s="1190"/>
      <c r="BJ600" s="1190"/>
      <c r="BK600" s="1190"/>
      <c r="BL600" s="1190"/>
      <c r="BM600" s="1190"/>
      <c r="BQ600" s="195"/>
      <c r="BR600" s="195"/>
      <c r="BT600" s="1005"/>
    </row>
    <row r="601" ht="15.75" customHeight="1">
      <c r="A601" s="195"/>
      <c r="B601" s="978"/>
      <c r="C601" s="2321"/>
      <c r="D601" s="1729"/>
      <c r="E601" s="1190"/>
      <c r="F601" s="1190"/>
      <c r="G601" s="1190"/>
      <c r="H601" s="1190"/>
      <c r="I601" s="1190"/>
      <c r="J601" s="1190"/>
      <c r="K601" s="1190"/>
      <c r="L601" s="1190"/>
      <c r="M601" s="1190"/>
      <c r="N601" s="1190"/>
      <c r="O601" s="1190"/>
      <c r="P601" s="1190"/>
      <c r="Q601" s="1190"/>
      <c r="R601" s="1190"/>
      <c r="S601" s="1189"/>
      <c r="T601" s="1190"/>
      <c r="U601" s="1190"/>
      <c r="V601" s="1190"/>
      <c r="W601" s="1190"/>
      <c r="X601" s="1190"/>
      <c r="Y601" s="1190"/>
      <c r="Z601" s="1190"/>
      <c r="AA601" s="1190"/>
      <c r="AB601" s="1190"/>
      <c r="AC601" s="1190"/>
      <c r="AD601" s="1190"/>
      <c r="AE601" s="1190"/>
      <c r="AF601" s="1190"/>
      <c r="AG601" s="1748"/>
      <c r="AH601" s="1190"/>
      <c r="AI601" s="1748"/>
      <c r="AJ601" s="1190"/>
      <c r="AK601" s="1190"/>
      <c r="AL601" s="1190"/>
      <c r="AM601" s="1190"/>
      <c r="AN601" s="1190"/>
      <c r="AO601" s="1190"/>
      <c r="AP601" s="1190"/>
      <c r="AQ601" s="1190"/>
      <c r="AR601" s="1190"/>
      <c r="AS601" s="1190"/>
      <c r="AT601" s="1190"/>
      <c r="AU601" s="1190"/>
      <c r="AV601" s="1190"/>
      <c r="AW601" s="1190"/>
      <c r="AX601" s="1190"/>
      <c r="AY601" s="1190"/>
      <c r="AZ601" s="1190"/>
      <c r="BA601" s="1190"/>
      <c r="BB601" s="1190"/>
      <c r="BC601" s="1190"/>
      <c r="BD601" s="1190"/>
      <c r="BE601" s="1190"/>
      <c r="BF601" s="1190"/>
      <c r="BG601" s="1190"/>
      <c r="BH601" s="1190"/>
      <c r="BI601" s="1190"/>
      <c r="BJ601" s="1190"/>
      <c r="BK601" s="1190"/>
      <c r="BL601" s="1190"/>
      <c r="BM601" s="1190"/>
      <c r="BQ601" s="195"/>
      <c r="BR601" s="195"/>
      <c r="BT601" s="1005"/>
    </row>
    <row r="602" ht="15.75" customHeight="1">
      <c r="A602" s="195"/>
      <c r="B602" s="978"/>
      <c r="C602" s="2321"/>
      <c r="D602" s="1729"/>
      <c r="E602" s="1190"/>
      <c r="F602" s="1190"/>
      <c r="G602" s="1190"/>
      <c r="H602" s="1190"/>
      <c r="I602" s="1190"/>
      <c r="J602" s="1190"/>
      <c r="K602" s="1190"/>
      <c r="L602" s="1190"/>
      <c r="M602" s="1190"/>
      <c r="N602" s="1190"/>
      <c r="O602" s="1190"/>
      <c r="P602" s="1190"/>
      <c r="Q602" s="1190"/>
      <c r="R602" s="1190"/>
      <c r="S602" s="1189"/>
      <c r="T602" s="1190"/>
      <c r="U602" s="1190"/>
      <c r="V602" s="1190"/>
      <c r="W602" s="1190"/>
      <c r="X602" s="1190"/>
      <c r="Y602" s="1190"/>
      <c r="Z602" s="1190"/>
      <c r="AA602" s="1190"/>
      <c r="AB602" s="1190"/>
      <c r="AC602" s="1190"/>
      <c r="AD602" s="1190"/>
      <c r="AE602" s="1190"/>
      <c r="AF602" s="1190"/>
      <c r="AG602" s="1748"/>
      <c r="AH602" s="1190"/>
      <c r="AI602" s="1748"/>
      <c r="AJ602" s="1190"/>
      <c r="AK602" s="1190"/>
      <c r="AL602" s="1190"/>
      <c r="AM602" s="1190"/>
      <c r="AN602" s="1190"/>
      <c r="AO602" s="1190"/>
      <c r="AP602" s="1190"/>
      <c r="AQ602" s="1190"/>
      <c r="AR602" s="1190"/>
      <c r="AS602" s="1190"/>
      <c r="AT602" s="1190"/>
      <c r="AU602" s="1190"/>
      <c r="AV602" s="1190"/>
      <c r="AW602" s="1190"/>
      <c r="AX602" s="1190"/>
      <c r="AY602" s="1190"/>
      <c r="AZ602" s="1190"/>
      <c r="BA602" s="1190"/>
      <c r="BB602" s="1190"/>
      <c r="BC602" s="1190"/>
      <c r="BD602" s="1190"/>
      <c r="BE602" s="1190"/>
      <c r="BF602" s="1190"/>
      <c r="BG602" s="1190"/>
      <c r="BH602" s="1190"/>
      <c r="BI602" s="1190"/>
      <c r="BJ602" s="1190"/>
      <c r="BK602" s="1190"/>
      <c r="BL602" s="1190"/>
      <c r="BM602" s="1190"/>
      <c r="BQ602" s="195"/>
      <c r="BR602" s="195"/>
      <c r="BT602" s="1005"/>
    </row>
    <row r="603" ht="15.75" customHeight="1">
      <c r="A603" s="195"/>
      <c r="B603" s="978"/>
      <c r="C603" s="2321"/>
      <c r="D603" s="1729"/>
      <c r="E603" s="1190"/>
      <c r="F603" s="1190"/>
      <c r="G603" s="1190"/>
      <c r="H603" s="1190"/>
      <c r="I603" s="1190"/>
      <c r="J603" s="1190"/>
      <c r="K603" s="1190"/>
      <c r="L603" s="1190"/>
      <c r="M603" s="1190"/>
      <c r="N603" s="1190"/>
      <c r="O603" s="1190"/>
      <c r="P603" s="1190"/>
      <c r="Q603" s="1190"/>
      <c r="R603" s="1190"/>
      <c r="S603" s="1189"/>
      <c r="T603" s="1190"/>
      <c r="U603" s="1190"/>
      <c r="V603" s="1190"/>
      <c r="W603" s="1190"/>
      <c r="X603" s="1190"/>
      <c r="Y603" s="1190"/>
      <c r="Z603" s="1190"/>
      <c r="AA603" s="1190"/>
      <c r="AB603" s="1190"/>
      <c r="AC603" s="1190"/>
      <c r="AD603" s="1190"/>
      <c r="AE603" s="1190"/>
      <c r="AF603" s="1190"/>
      <c r="AG603" s="1748"/>
      <c r="AH603" s="1190"/>
      <c r="AI603" s="1748"/>
      <c r="AJ603" s="1190"/>
      <c r="AK603" s="1190"/>
      <c r="AL603" s="1190"/>
      <c r="AM603" s="1190"/>
      <c r="AN603" s="1190"/>
      <c r="AO603" s="1190"/>
      <c r="AP603" s="1190"/>
      <c r="AQ603" s="1190"/>
      <c r="AR603" s="1190"/>
      <c r="AS603" s="1190"/>
      <c r="AT603" s="1190"/>
      <c r="AU603" s="1190"/>
      <c r="AV603" s="1190"/>
      <c r="AW603" s="1190"/>
      <c r="AX603" s="1190"/>
      <c r="AY603" s="1190"/>
      <c r="AZ603" s="1190"/>
      <c r="BA603" s="1190"/>
      <c r="BB603" s="1190"/>
      <c r="BC603" s="1190"/>
      <c r="BD603" s="1190"/>
      <c r="BE603" s="1190"/>
      <c r="BF603" s="1190"/>
      <c r="BG603" s="1190"/>
      <c r="BH603" s="1190"/>
      <c r="BI603" s="1190"/>
      <c r="BJ603" s="1190"/>
      <c r="BK603" s="1190"/>
      <c r="BL603" s="1190"/>
      <c r="BM603" s="1190"/>
      <c r="BQ603" s="195"/>
      <c r="BR603" s="195"/>
      <c r="BT603" s="1005"/>
    </row>
    <row r="604" ht="15.75" customHeight="1">
      <c r="A604" s="195"/>
      <c r="B604" s="978"/>
      <c r="C604" s="2321"/>
      <c r="D604" s="1729"/>
      <c r="E604" s="1190"/>
      <c r="F604" s="1190"/>
      <c r="G604" s="1190"/>
      <c r="H604" s="1190"/>
      <c r="I604" s="1190"/>
      <c r="J604" s="1190"/>
      <c r="K604" s="1190"/>
      <c r="L604" s="1190"/>
      <c r="M604" s="1190"/>
      <c r="N604" s="1190"/>
      <c r="O604" s="1190"/>
      <c r="P604" s="1190"/>
      <c r="Q604" s="1190"/>
      <c r="R604" s="1190"/>
      <c r="S604" s="1189"/>
      <c r="T604" s="1190"/>
      <c r="U604" s="1190"/>
      <c r="V604" s="1190"/>
      <c r="W604" s="1190"/>
      <c r="X604" s="1190"/>
      <c r="Y604" s="1190"/>
      <c r="Z604" s="1190"/>
      <c r="AA604" s="1190"/>
      <c r="AB604" s="1190"/>
      <c r="AC604" s="1190"/>
      <c r="AD604" s="1190"/>
      <c r="AE604" s="1190"/>
      <c r="AF604" s="1190"/>
      <c r="AG604" s="1748"/>
      <c r="AH604" s="1190"/>
      <c r="AI604" s="1748"/>
      <c r="AJ604" s="1190"/>
      <c r="AK604" s="1190"/>
      <c r="AL604" s="1190"/>
      <c r="AM604" s="1190"/>
      <c r="AN604" s="1190"/>
      <c r="AO604" s="1190"/>
      <c r="AP604" s="1190"/>
      <c r="AQ604" s="1190"/>
      <c r="AR604" s="1190"/>
      <c r="AS604" s="1190"/>
      <c r="AT604" s="1190"/>
      <c r="AU604" s="1190"/>
      <c r="AV604" s="1190"/>
      <c r="AW604" s="1190"/>
      <c r="AX604" s="1190"/>
      <c r="AY604" s="1190"/>
      <c r="AZ604" s="1190"/>
      <c r="BA604" s="1190"/>
      <c r="BB604" s="1190"/>
      <c r="BC604" s="1190"/>
      <c r="BD604" s="1190"/>
      <c r="BE604" s="1190"/>
      <c r="BF604" s="1190"/>
      <c r="BG604" s="1190"/>
      <c r="BH604" s="1190"/>
      <c r="BI604" s="1190"/>
      <c r="BJ604" s="1190"/>
      <c r="BK604" s="1190"/>
      <c r="BL604" s="1190"/>
      <c r="BM604" s="1190"/>
      <c r="BQ604" s="195"/>
      <c r="BR604" s="195"/>
      <c r="BT604" s="1005"/>
    </row>
    <row r="605" ht="15.75" customHeight="1">
      <c r="A605" s="195"/>
      <c r="B605" s="978"/>
      <c r="C605" s="2321"/>
      <c r="D605" s="1729"/>
      <c r="E605" s="1190"/>
      <c r="F605" s="1190"/>
      <c r="G605" s="1190"/>
      <c r="H605" s="1190"/>
      <c r="I605" s="1190"/>
      <c r="J605" s="1190"/>
      <c r="K605" s="1190"/>
      <c r="L605" s="1190"/>
      <c r="M605" s="1190"/>
      <c r="N605" s="1190"/>
      <c r="O605" s="1190"/>
      <c r="P605" s="1190"/>
      <c r="Q605" s="1190"/>
      <c r="R605" s="1190"/>
      <c r="S605" s="1189"/>
      <c r="T605" s="1190"/>
      <c r="U605" s="1190"/>
      <c r="V605" s="1190"/>
      <c r="W605" s="1190"/>
      <c r="X605" s="1190"/>
      <c r="Y605" s="1190"/>
      <c r="Z605" s="1190"/>
      <c r="AA605" s="1190"/>
      <c r="AB605" s="1190"/>
      <c r="AC605" s="1190"/>
      <c r="AD605" s="1190"/>
      <c r="AE605" s="1190"/>
      <c r="AF605" s="1190"/>
      <c r="AG605" s="1748"/>
      <c r="AH605" s="1190"/>
      <c r="AI605" s="1748"/>
      <c r="AJ605" s="1190"/>
      <c r="AK605" s="1190"/>
      <c r="AL605" s="1190"/>
      <c r="AM605" s="1190"/>
      <c r="AN605" s="1190"/>
      <c r="AO605" s="1190"/>
      <c r="AP605" s="1190"/>
      <c r="AQ605" s="1190"/>
      <c r="AR605" s="1190"/>
      <c r="AS605" s="1190"/>
      <c r="AT605" s="1190"/>
      <c r="AU605" s="1190"/>
      <c r="AV605" s="1190"/>
      <c r="AW605" s="1190"/>
      <c r="AX605" s="1190"/>
      <c r="AY605" s="1190"/>
      <c r="AZ605" s="1190"/>
      <c r="BA605" s="1190"/>
      <c r="BB605" s="1190"/>
      <c r="BC605" s="1190"/>
      <c r="BD605" s="1190"/>
      <c r="BE605" s="1190"/>
      <c r="BF605" s="1190"/>
      <c r="BG605" s="1190"/>
      <c r="BH605" s="1190"/>
      <c r="BI605" s="1190"/>
      <c r="BJ605" s="1190"/>
      <c r="BK605" s="1190"/>
      <c r="BL605" s="1190"/>
      <c r="BM605" s="1190"/>
      <c r="BQ605" s="195"/>
      <c r="BR605" s="195"/>
      <c r="BT605" s="1005"/>
    </row>
    <row r="606" ht="15.75" customHeight="1">
      <c r="A606" s="195"/>
      <c r="B606" s="978"/>
      <c r="C606" s="2321"/>
      <c r="D606" s="1729"/>
      <c r="E606" s="1190"/>
      <c r="F606" s="1190"/>
      <c r="G606" s="1190"/>
      <c r="H606" s="1190"/>
      <c r="I606" s="1190"/>
      <c r="J606" s="1190"/>
      <c r="K606" s="1190"/>
      <c r="L606" s="1190"/>
      <c r="M606" s="1190"/>
      <c r="N606" s="1190"/>
      <c r="O606" s="1190"/>
      <c r="P606" s="1190"/>
      <c r="Q606" s="1190"/>
      <c r="R606" s="1190"/>
      <c r="S606" s="1189"/>
      <c r="T606" s="1190"/>
      <c r="U606" s="1190"/>
      <c r="V606" s="1190"/>
      <c r="W606" s="1190"/>
      <c r="X606" s="1190"/>
      <c r="Y606" s="1190"/>
      <c r="Z606" s="1190"/>
      <c r="AA606" s="1190"/>
      <c r="AB606" s="1190"/>
      <c r="AC606" s="1190"/>
      <c r="AD606" s="1190"/>
      <c r="AE606" s="1190"/>
      <c r="AF606" s="1190"/>
      <c r="AG606" s="1748"/>
      <c r="AH606" s="1190"/>
      <c r="AI606" s="1748"/>
      <c r="AJ606" s="1190"/>
      <c r="AK606" s="1190"/>
      <c r="AL606" s="1190"/>
      <c r="AM606" s="1190"/>
      <c r="AN606" s="1190"/>
      <c r="AO606" s="1190"/>
      <c r="AP606" s="1190"/>
      <c r="AQ606" s="1190"/>
      <c r="AR606" s="1190"/>
      <c r="AS606" s="1190"/>
      <c r="AT606" s="1190"/>
      <c r="AU606" s="1190"/>
      <c r="AV606" s="1190"/>
      <c r="AW606" s="1190"/>
      <c r="AX606" s="1190"/>
      <c r="AY606" s="1190"/>
      <c r="AZ606" s="1190"/>
      <c r="BA606" s="1190"/>
      <c r="BB606" s="1190"/>
      <c r="BC606" s="1190"/>
      <c r="BD606" s="1190"/>
      <c r="BE606" s="1190"/>
      <c r="BF606" s="1190"/>
      <c r="BG606" s="1190"/>
      <c r="BH606" s="1190"/>
      <c r="BI606" s="1190"/>
      <c r="BJ606" s="1190"/>
      <c r="BK606" s="1190"/>
      <c r="BL606" s="1190"/>
      <c r="BM606" s="1190"/>
      <c r="BQ606" s="195"/>
      <c r="BR606" s="195"/>
      <c r="BT606" s="1005"/>
    </row>
    <row r="607" ht="15.75" customHeight="1">
      <c r="A607" s="195"/>
      <c r="B607" s="978"/>
      <c r="C607" s="2321"/>
      <c r="D607" s="1729"/>
      <c r="E607" s="1190"/>
      <c r="F607" s="1190"/>
      <c r="G607" s="1190"/>
      <c r="H607" s="1190"/>
      <c r="I607" s="1190"/>
      <c r="J607" s="1190"/>
      <c r="K607" s="1190"/>
      <c r="L607" s="1190"/>
      <c r="M607" s="1190"/>
      <c r="N607" s="1190"/>
      <c r="O607" s="1190"/>
      <c r="P607" s="1190"/>
      <c r="Q607" s="1190"/>
      <c r="R607" s="1190"/>
      <c r="S607" s="1189"/>
      <c r="T607" s="1190"/>
      <c r="U607" s="1190"/>
      <c r="V607" s="1190"/>
      <c r="W607" s="1190"/>
      <c r="X607" s="1190"/>
      <c r="Y607" s="1190"/>
      <c r="Z607" s="1190"/>
      <c r="AA607" s="1190"/>
      <c r="AB607" s="1190"/>
      <c r="AC607" s="1190"/>
      <c r="AD607" s="1190"/>
      <c r="AE607" s="1190"/>
      <c r="AF607" s="1190"/>
      <c r="AG607" s="1748"/>
      <c r="AH607" s="1190"/>
      <c r="AI607" s="1748"/>
      <c r="AJ607" s="1190"/>
      <c r="AK607" s="1190"/>
      <c r="AL607" s="1190"/>
      <c r="AM607" s="1190"/>
      <c r="AN607" s="1190"/>
      <c r="AO607" s="1190"/>
      <c r="AP607" s="1190"/>
      <c r="AQ607" s="1190"/>
      <c r="AR607" s="1190"/>
      <c r="AS607" s="1190"/>
      <c r="AT607" s="1190"/>
      <c r="AU607" s="1190"/>
      <c r="AV607" s="1190"/>
      <c r="AW607" s="1190"/>
      <c r="AX607" s="1190"/>
      <c r="AY607" s="1190"/>
      <c r="AZ607" s="1190"/>
      <c r="BA607" s="1190"/>
      <c r="BB607" s="1190"/>
      <c r="BC607" s="1190"/>
      <c r="BD607" s="1190"/>
      <c r="BE607" s="1190"/>
      <c r="BF607" s="1190"/>
      <c r="BG607" s="1190"/>
      <c r="BH607" s="1190"/>
      <c r="BI607" s="1190"/>
      <c r="BJ607" s="1190"/>
      <c r="BK607" s="1190"/>
      <c r="BL607" s="1190"/>
      <c r="BM607" s="1190"/>
      <c r="BQ607" s="195"/>
      <c r="BR607" s="195"/>
      <c r="BT607" s="1005"/>
    </row>
    <row r="608" ht="15.75" customHeight="1">
      <c r="A608" s="195"/>
      <c r="B608" s="978"/>
      <c r="C608" s="2321"/>
      <c r="D608" s="1729"/>
      <c r="E608" s="1190"/>
      <c r="F608" s="1190"/>
      <c r="G608" s="1190"/>
      <c r="H608" s="1190"/>
      <c r="I608" s="1190"/>
      <c r="J608" s="1190"/>
      <c r="K608" s="1190"/>
      <c r="L608" s="1190"/>
      <c r="M608" s="1190"/>
      <c r="N608" s="1190"/>
      <c r="O608" s="1190"/>
      <c r="P608" s="1190"/>
      <c r="Q608" s="1190"/>
      <c r="R608" s="1190"/>
      <c r="S608" s="1189"/>
      <c r="T608" s="1190"/>
      <c r="U608" s="1190"/>
      <c r="V608" s="1190"/>
      <c r="W608" s="1190"/>
      <c r="X608" s="1190"/>
      <c r="Y608" s="1190"/>
      <c r="Z608" s="1190"/>
      <c r="AA608" s="1190"/>
      <c r="AB608" s="1190"/>
      <c r="AC608" s="1190"/>
      <c r="AD608" s="1190"/>
      <c r="AE608" s="1190"/>
      <c r="AF608" s="1190"/>
      <c r="AG608" s="1748"/>
      <c r="AH608" s="1190"/>
      <c r="AI608" s="1748"/>
      <c r="AJ608" s="1190"/>
      <c r="AK608" s="1190"/>
      <c r="AL608" s="1190"/>
      <c r="AM608" s="1190"/>
      <c r="AN608" s="1190"/>
      <c r="AO608" s="1190"/>
      <c r="AP608" s="1190"/>
      <c r="AQ608" s="1190"/>
      <c r="AR608" s="1190"/>
      <c r="AS608" s="1190"/>
      <c r="AT608" s="1190"/>
      <c r="AU608" s="1190"/>
      <c r="AV608" s="1190"/>
      <c r="AW608" s="1190"/>
      <c r="AX608" s="1190"/>
      <c r="AY608" s="1190"/>
      <c r="AZ608" s="1190"/>
      <c r="BA608" s="1190"/>
      <c r="BB608" s="1190"/>
      <c r="BC608" s="1190"/>
      <c r="BD608" s="1190"/>
      <c r="BE608" s="1190"/>
      <c r="BF608" s="1190"/>
      <c r="BG608" s="1190"/>
      <c r="BH608" s="1190"/>
      <c r="BI608" s="1190"/>
      <c r="BJ608" s="1190"/>
      <c r="BK608" s="1190"/>
      <c r="BL608" s="1190"/>
      <c r="BM608" s="1190"/>
      <c r="BQ608" s="195"/>
      <c r="BR608" s="195"/>
      <c r="BT608" s="1005"/>
    </row>
    <row r="609" ht="15.75" customHeight="1">
      <c r="A609" s="195"/>
      <c r="B609" s="978"/>
      <c r="C609" s="2321"/>
      <c r="D609" s="1729"/>
      <c r="E609" s="1190"/>
      <c r="F609" s="1190"/>
      <c r="G609" s="1190"/>
      <c r="H609" s="1190"/>
      <c r="I609" s="1190"/>
      <c r="J609" s="1190"/>
      <c r="K609" s="1190"/>
      <c r="L609" s="1190"/>
      <c r="M609" s="1190"/>
      <c r="N609" s="1190"/>
      <c r="O609" s="1190"/>
      <c r="P609" s="1190"/>
      <c r="Q609" s="1190"/>
      <c r="R609" s="1190"/>
      <c r="S609" s="1189"/>
      <c r="T609" s="1190"/>
      <c r="U609" s="1190"/>
      <c r="V609" s="1190"/>
      <c r="W609" s="1190"/>
      <c r="X609" s="1190"/>
      <c r="Y609" s="1190"/>
      <c r="Z609" s="1190"/>
      <c r="AA609" s="1190"/>
      <c r="AB609" s="1190"/>
      <c r="AC609" s="1190"/>
      <c r="AD609" s="1190"/>
      <c r="AE609" s="1190"/>
      <c r="AF609" s="1190"/>
      <c r="AG609" s="1748"/>
      <c r="AH609" s="1190"/>
      <c r="AI609" s="1748"/>
      <c r="AJ609" s="1190"/>
      <c r="AK609" s="1190"/>
      <c r="AL609" s="1190"/>
      <c r="AM609" s="1190"/>
      <c r="AN609" s="1190"/>
      <c r="AO609" s="1190"/>
      <c r="AP609" s="1190"/>
      <c r="AQ609" s="1190"/>
      <c r="AR609" s="1190"/>
      <c r="AS609" s="1190"/>
      <c r="AT609" s="1190"/>
      <c r="AU609" s="1190"/>
      <c r="AV609" s="1190"/>
      <c r="AW609" s="1190"/>
      <c r="AX609" s="1190"/>
      <c r="AY609" s="1190"/>
      <c r="AZ609" s="1190"/>
      <c r="BA609" s="1190"/>
      <c r="BB609" s="1190"/>
      <c r="BC609" s="1190"/>
      <c r="BD609" s="1190"/>
      <c r="BE609" s="1190"/>
      <c r="BF609" s="1190"/>
      <c r="BG609" s="1190"/>
      <c r="BH609" s="1190"/>
      <c r="BI609" s="1190"/>
      <c r="BJ609" s="1190"/>
      <c r="BK609" s="1190"/>
      <c r="BL609" s="1190"/>
      <c r="BM609" s="1190"/>
      <c r="BQ609" s="195"/>
      <c r="BR609" s="195"/>
      <c r="BT609" s="1005"/>
    </row>
    <row r="610" ht="15.75" customHeight="1">
      <c r="A610" s="195"/>
      <c r="B610" s="978"/>
      <c r="C610" s="2321"/>
      <c r="D610" s="1729"/>
      <c r="E610" s="1190"/>
      <c r="F610" s="1190"/>
      <c r="G610" s="1190"/>
      <c r="H610" s="1190"/>
      <c r="I610" s="1190"/>
      <c r="J610" s="1190"/>
      <c r="K610" s="1190"/>
      <c r="L610" s="1190"/>
      <c r="M610" s="1190"/>
      <c r="N610" s="1190"/>
      <c r="O610" s="1190"/>
      <c r="P610" s="1190"/>
      <c r="Q610" s="1190"/>
      <c r="R610" s="1190"/>
      <c r="S610" s="1189"/>
      <c r="T610" s="1190"/>
      <c r="U610" s="1190"/>
      <c r="V610" s="1190"/>
      <c r="W610" s="1190"/>
      <c r="X610" s="1190"/>
      <c r="Y610" s="1190"/>
      <c r="Z610" s="1190"/>
      <c r="AA610" s="1190"/>
      <c r="AB610" s="1190"/>
      <c r="AC610" s="1190"/>
      <c r="AD610" s="1190"/>
      <c r="AE610" s="1190"/>
      <c r="AF610" s="1190"/>
      <c r="AG610" s="1748"/>
      <c r="AH610" s="1190"/>
      <c r="AI610" s="1748"/>
      <c r="AJ610" s="1190"/>
      <c r="AK610" s="1190"/>
      <c r="AL610" s="1190"/>
      <c r="AM610" s="1190"/>
      <c r="AN610" s="1190"/>
      <c r="AO610" s="1190"/>
      <c r="AP610" s="1190"/>
      <c r="AQ610" s="1190"/>
      <c r="AR610" s="1190"/>
      <c r="AS610" s="1190"/>
      <c r="AT610" s="1190"/>
      <c r="AU610" s="1190"/>
      <c r="AV610" s="1190"/>
      <c r="AW610" s="1190"/>
      <c r="AX610" s="1190"/>
      <c r="AY610" s="1190"/>
      <c r="AZ610" s="1190"/>
      <c r="BA610" s="1190"/>
      <c r="BB610" s="1190"/>
      <c r="BC610" s="1190"/>
      <c r="BD610" s="1190"/>
      <c r="BE610" s="1190"/>
      <c r="BF610" s="1190"/>
      <c r="BG610" s="1190"/>
      <c r="BH610" s="1190"/>
      <c r="BI610" s="1190"/>
      <c r="BJ610" s="1190"/>
      <c r="BK610" s="1190"/>
      <c r="BL610" s="1190"/>
      <c r="BM610" s="1190"/>
      <c r="BQ610" s="195"/>
      <c r="BR610" s="195"/>
      <c r="BT610" s="1005"/>
    </row>
    <row r="611" ht="15.75" customHeight="1">
      <c r="A611" s="195"/>
      <c r="B611" s="978"/>
      <c r="C611" s="2321"/>
      <c r="D611" s="1729"/>
      <c r="E611" s="1190"/>
      <c r="F611" s="1190"/>
      <c r="G611" s="1190"/>
      <c r="H611" s="1190"/>
      <c r="I611" s="1190"/>
      <c r="J611" s="1190"/>
      <c r="K611" s="1190"/>
      <c r="L611" s="1190"/>
      <c r="M611" s="1190"/>
      <c r="N611" s="1190"/>
      <c r="O611" s="1190"/>
      <c r="P611" s="1190"/>
      <c r="Q611" s="1190"/>
      <c r="R611" s="1190"/>
      <c r="S611" s="1189"/>
      <c r="T611" s="1190"/>
      <c r="U611" s="1190"/>
      <c r="V611" s="1190"/>
      <c r="W611" s="1190"/>
      <c r="X611" s="1190"/>
      <c r="Y611" s="1190"/>
      <c r="Z611" s="1190"/>
      <c r="AA611" s="1190"/>
      <c r="AB611" s="1190"/>
      <c r="AC611" s="1190"/>
      <c r="AD611" s="1190"/>
      <c r="AE611" s="1190"/>
      <c r="AF611" s="1190"/>
      <c r="AG611" s="1748"/>
      <c r="AH611" s="1190"/>
      <c r="AI611" s="1748"/>
      <c r="AJ611" s="1190"/>
      <c r="AK611" s="1190"/>
      <c r="AL611" s="1190"/>
      <c r="AM611" s="1190"/>
      <c r="AN611" s="1190"/>
      <c r="AO611" s="1190"/>
      <c r="AP611" s="1190"/>
      <c r="AQ611" s="1190"/>
      <c r="AR611" s="1190"/>
      <c r="AS611" s="1190"/>
      <c r="AT611" s="1190"/>
      <c r="AU611" s="1190"/>
      <c r="AV611" s="1190"/>
      <c r="AW611" s="1190"/>
      <c r="AX611" s="1190"/>
      <c r="AY611" s="1190"/>
      <c r="AZ611" s="1190"/>
      <c r="BA611" s="1190"/>
      <c r="BB611" s="1190"/>
      <c r="BC611" s="1190"/>
      <c r="BD611" s="1190"/>
      <c r="BE611" s="1190"/>
      <c r="BF611" s="1190"/>
      <c r="BG611" s="1190"/>
      <c r="BH611" s="1190"/>
      <c r="BI611" s="1190"/>
      <c r="BJ611" s="1190"/>
      <c r="BK611" s="1190"/>
      <c r="BL611" s="1190"/>
      <c r="BM611" s="1190"/>
      <c r="BQ611" s="195"/>
      <c r="BR611" s="195"/>
      <c r="BT611" s="1005"/>
    </row>
    <row r="612" ht="15.75" customHeight="1">
      <c r="A612" s="195"/>
      <c r="B612" s="978"/>
      <c r="C612" s="2321"/>
      <c r="D612" s="1729"/>
      <c r="E612" s="1190"/>
      <c r="F612" s="1190"/>
      <c r="G612" s="1190"/>
      <c r="H612" s="1190"/>
      <c r="I612" s="1190"/>
      <c r="J612" s="1190"/>
      <c r="K612" s="1190"/>
      <c r="L612" s="1190"/>
      <c r="M612" s="1190"/>
      <c r="N612" s="1190"/>
      <c r="O612" s="1190"/>
      <c r="P612" s="1190"/>
      <c r="Q612" s="1190"/>
      <c r="R612" s="1190"/>
      <c r="S612" s="1189"/>
      <c r="T612" s="1190"/>
      <c r="U612" s="1190"/>
      <c r="V612" s="1190"/>
      <c r="W612" s="1190"/>
      <c r="X612" s="1190"/>
      <c r="Y612" s="1190"/>
      <c r="Z612" s="1190"/>
      <c r="AA612" s="1190"/>
      <c r="AB612" s="1190"/>
      <c r="AC612" s="1190"/>
      <c r="AD612" s="1190"/>
      <c r="AE612" s="1190"/>
      <c r="AF612" s="1190"/>
      <c r="AG612" s="1748"/>
      <c r="AH612" s="1190"/>
      <c r="AI612" s="1748"/>
      <c r="AJ612" s="1190"/>
      <c r="AK612" s="1190"/>
      <c r="AL612" s="1190"/>
      <c r="AM612" s="1190"/>
      <c r="AN612" s="1190"/>
      <c r="AO612" s="1190"/>
      <c r="AP612" s="1190"/>
      <c r="AQ612" s="1190"/>
      <c r="AR612" s="1190"/>
      <c r="AS612" s="1190"/>
      <c r="AT612" s="1190"/>
      <c r="AU612" s="1190"/>
      <c r="AV612" s="1190"/>
      <c r="AW612" s="1190"/>
      <c r="AX612" s="1190"/>
      <c r="AY612" s="1190"/>
      <c r="AZ612" s="1190"/>
      <c r="BA612" s="1190"/>
      <c r="BB612" s="1190"/>
      <c r="BC612" s="1190"/>
      <c r="BD612" s="1190"/>
      <c r="BE612" s="1190"/>
      <c r="BF612" s="1190"/>
      <c r="BG612" s="1190"/>
      <c r="BH612" s="1190"/>
      <c r="BI612" s="1190"/>
      <c r="BJ612" s="1190"/>
      <c r="BK612" s="1190"/>
      <c r="BL612" s="1190"/>
      <c r="BM612" s="1190"/>
      <c r="BQ612" s="195"/>
      <c r="BR612" s="195"/>
      <c r="BT612" s="1005"/>
    </row>
    <row r="613" ht="15.75" customHeight="1">
      <c r="A613" s="195"/>
      <c r="B613" s="978"/>
      <c r="C613" s="2321"/>
      <c r="D613" s="1729"/>
      <c r="E613" s="1190"/>
      <c r="F613" s="1190"/>
      <c r="G613" s="1190"/>
      <c r="H613" s="1190"/>
      <c r="I613" s="1190"/>
      <c r="J613" s="1190"/>
      <c r="K613" s="1190"/>
      <c r="L613" s="1190"/>
      <c r="M613" s="1190"/>
      <c r="N613" s="1190"/>
      <c r="O613" s="1190"/>
      <c r="P613" s="1190"/>
      <c r="Q613" s="1190"/>
      <c r="R613" s="1190"/>
      <c r="S613" s="1189"/>
      <c r="T613" s="1190"/>
      <c r="U613" s="1190"/>
      <c r="V613" s="1190"/>
      <c r="W613" s="1190"/>
      <c r="X613" s="1190"/>
      <c r="Y613" s="1190"/>
      <c r="Z613" s="1190"/>
      <c r="AA613" s="1190"/>
      <c r="AB613" s="1190"/>
      <c r="AC613" s="1190"/>
      <c r="AD613" s="1190"/>
      <c r="AE613" s="1190"/>
      <c r="AF613" s="1190"/>
      <c r="AG613" s="1748"/>
      <c r="AH613" s="1190"/>
      <c r="AI613" s="1748"/>
      <c r="AJ613" s="1190"/>
      <c r="AK613" s="1190"/>
      <c r="AL613" s="1190"/>
      <c r="AM613" s="1190"/>
      <c r="AN613" s="1190"/>
      <c r="AO613" s="1190"/>
      <c r="AP613" s="1190"/>
      <c r="AQ613" s="1190"/>
      <c r="AR613" s="1190"/>
      <c r="AS613" s="1190"/>
      <c r="AT613" s="1190"/>
      <c r="AU613" s="1190"/>
      <c r="AV613" s="1190"/>
      <c r="AW613" s="1190"/>
      <c r="AX613" s="1190"/>
      <c r="AY613" s="1190"/>
      <c r="AZ613" s="1190"/>
      <c r="BA613" s="1190"/>
      <c r="BB613" s="1190"/>
      <c r="BC613" s="1190"/>
      <c r="BD613" s="1190"/>
      <c r="BE613" s="1190"/>
      <c r="BF613" s="1190"/>
      <c r="BG613" s="1190"/>
      <c r="BH613" s="1190"/>
      <c r="BI613" s="1190"/>
      <c r="BJ613" s="1190"/>
      <c r="BK613" s="1190"/>
      <c r="BL613" s="1190"/>
      <c r="BM613" s="1190"/>
      <c r="BQ613" s="195"/>
      <c r="BR613" s="195"/>
      <c r="BT613" s="1005"/>
    </row>
    <row r="614" ht="15.75" customHeight="1">
      <c r="A614" s="195"/>
      <c r="B614" s="978"/>
      <c r="C614" s="2321"/>
      <c r="D614" s="1729"/>
      <c r="E614" s="1190"/>
      <c r="F614" s="1190"/>
      <c r="G614" s="1190"/>
      <c r="H614" s="1190"/>
      <c r="I614" s="1190"/>
      <c r="J614" s="1190"/>
      <c r="K614" s="1190"/>
      <c r="L614" s="1190"/>
      <c r="M614" s="1190"/>
      <c r="N614" s="1190"/>
      <c r="O614" s="1190"/>
      <c r="P614" s="1190"/>
      <c r="Q614" s="1190"/>
      <c r="R614" s="1190"/>
      <c r="S614" s="1189"/>
      <c r="T614" s="1190"/>
      <c r="U614" s="1190"/>
      <c r="V614" s="1190"/>
      <c r="W614" s="1190"/>
      <c r="X614" s="1190"/>
      <c r="Y614" s="1190"/>
      <c r="Z614" s="1190"/>
      <c r="AA614" s="1190"/>
      <c r="AB614" s="1190"/>
      <c r="AC614" s="1190"/>
      <c r="AD614" s="1190"/>
      <c r="AE614" s="1190"/>
      <c r="AF614" s="1190"/>
      <c r="AG614" s="1748"/>
      <c r="AH614" s="1190"/>
      <c r="AI614" s="1748"/>
      <c r="AJ614" s="1190"/>
      <c r="AK614" s="1190"/>
      <c r="AL614" s="1190"/>
      <c r="AM614" s="1190"/>
      <c r="AN614" s="1190"/>
      <c r="AO614" s="1190"/>
      <c r="AP614" s="1190"/>
      <c r="AQ614" s="1190"/>
      <c r="AR614" s="1190"/>
      <c r="AS614" s="1190"/>
      <c r="AT614" s="1190"/>
      <c r="AU614" s="1190"/>
      <c r="AV614" s="1190"/>
      <c r="AW614" s="1190"/>
      <c r="AX614" s="1190"/>
      <c r="AY614" s="1190"/>
      <c r="AZ614" s="1190"/>
      <c r="BA614" s="1190"/>
      <c r="BB614" s="1190"/>
      <c r="BC614" s="1190"/>
      <c r="BD614" s="1190"/>
      <c r="BE614" s="1190"/>
      <c r="BF614" s="1190"/>
      <c r="BG614" s="1190"/>
      <c r="BH614" s="1190"/>
      <c r="BI614" s="1190"/>
      <c r="BJ614" s="1190"/>
      <c r="BK614" s="1190"/>
      <c r="BL614" s="1190"/>
      <c r="BM614" s="1190"/>
      <c r="BQ614" s="195"/>
      <c r="BR614" s="195"/>
      <c r="BT614" s="1005"/>
    </row>
    <row r="615" ht="15.75" customHeight="1">
      <c r="A615" s="195"/>
      <c r="B615" s="978"/>
      <c r="C615" s="2321"/>
      <c r="D615" s="1729"/>
      <c r="E615" s="1190"/>
      <c r="F615" s="1190"/>
      <c r="G615" s="1190"/>
      <c r="H615" s="1190"/>
      <c r="I615" s="1190"/>
      <c r="J615" s="1190"/>
      <c r="K615" s="1190"/>
      <c r="L615" s="1190"/>
      <c r="M615" s="1190"/>
      <c r="N615" s="1190"/>
      <c r="O615" s="1190"/>
      <c r="P615" s="1190"/>
      <c r="Q615" s="1190"/>
      <c r="R615" s="1190"/>
      <c r="S615" s="1189"/>
      <c r="T615" s="1190"/>
      <c r="U615" s="1190"/>
      <c r="V615" s="1190"/>
      <c r="W615" s="1190"/>
      <c r="X615" s="1190"/>
      <c r="Y615" s="1190"/>
      <c r="Z615" s="1190"/>
      <c r="AA615" s="1190"/>
      <c r="AB615" s="1190"/>
      <c r="AC615" s="1190"/>
      <c r="AD615" s="1190"/>
      <c r="AE615" s="1190"/>
      <c r="AF615" s="1190"/>
      <c r="AG615" s="1748"/>
      <c r="AH615" s="1190"/>
      <c r="AI615" s="1748"/>
      <c r="AJ615" s="1190"/>
      <c r="AK615" s="1190"/>
      <c r="AL615" s="1190"/>
      <c r="AM615" s="1190"/>
      <c r="AN615" s="1190"/>
      <c r="AO615" s="1190"/>
      <c r="AP615" s="1190"/>
      <c r="AQ615" s="1190"/>
      <c r="AR615" s="1190"/>
      <c r="AS615" s="1190"/>
      <c r="AT615" s="1190"/>
      <c r="AU615" s="1190"/>
      <c r="AV615" s="1190"/>
      <c r="AW615" s="1190"/>
      <c r="AX615" s="1190"/>
      <c r="AY615" s="1190"/>
      <c r="AZ615" s="1190"/>
      <c r="BA615" s="1190"/>
      <c r="BB615" s="1190"/>
      <c r="BC615" s="1190"/>
      <c r="BD615" s="1190"/>
      <c r="BE615" s="1190"/>
      <c r="BF615" s="1190"/>
      <c r="BG615" s="1190"/>
      <c r="BH615" s="1190"/>
      <c r="BI615" s="1190"/>
      <c r="BJ615" s="1190"/>
      <c r="BK615" s="1190"/>
      <c r="BL615" s="1190"/>
      <c r="BM615" s="1190"/>
      <c r="BQ615" s="195"/>
      <c r="BR615" s="195"/>
      <c r="BT615" s="1005"/>
    </row>
    <row r="616" ht="15.75" customHeight="1">
      <c r="A616" s="195"/>
      <c r="B616" s="978"/>
      <c r="C616" s="2321"/>
      <c r="D616" s="1729"/>
      <c r="E616" s="1190"/>
      <c r="F616" s="1190"/>
      <c r="G616" s="1190"/>
      <c r="H616" s="1190"/>
      <c r="I616" s="1190"/>
      <c r="J616" s="1190"/>
      <c r="K616" s="1190"/>
      <c r="L616" s="1190"/>
      <c r="M616" s="1190"/>
      <c r="N616" s="1190"/>
      <c r="O616" s="1190"/>
      <c r="P616" s="1190"/>
      <c r="Q616" s="1190"/>
      <c r="R616" s="1190"/>
      <c r="S616" s="1189"/>
      <c r="T616" s="1190"/>
      <c r="U616" s="1190"/>
      <c r="V616" s="1190"/>
      <c r="W616" s="1190"/>
      <c r="X616" s="1190"/>
      <c r="Y616" s="1190"/>
      <c r="Z616" s="1190"/>
      <c r="AA616" s="1190"/>
      <c r="AB616" s="1190"/>
      <c r="AC616" s="1190"/>
      <c r="AD616" s="1190"/>
      <c r="AE616" s="1190"/>
      <c r="AF616" s="1190"/>
      <c r="AG616" s="1748"/>
      <c r="AH616" s="1190"/>
      <c r="AI616" s="1748"/>
      <c r="AJ616" s="1190"/>
      <c r="AK616" s="1190"/>
      <c r="AL616" s="1190"/>
      <c r="AM616" s="1190"/>
      <c r="AN616" s="1190"/>
      <c r="AO616" s="1190"/>
      <c r="AP616" s="1190"/>
      <c r="AQ616" s="1190"/>
      <c r="AR616" s="1190"/>
      <c r="AS616" s="1190"/>
      <c r="AT616" s="1190"/>
      <c r="AU616" s="1190"/>
      <c r="AV616" s="1190"/>
      <c r="AW616" s="1190"/>
      <c r="AX616" s="1190"/>
      <c r="AY616" s="1190"/>
      <c r="AZ616" s="1190"/>
      <c r="BA616" s="1190"/>
      <c r="BB616" s="1190"/>
      <c r="BC616" s="1190"/>
      <c r="BD616" s="1190"/>
      <c r="BE616" s="1190"/>
      <c r="BF616" s="1190"/>
      <c r="BG616" s="1190"/>
      <c r="BH616" s="1190"/>
      <c r="BI616" s="1190"/>
      <c r="BJ616" s="1190"/>
      <c r="BK616" s="1190"/>
      <c r="BL616" s="1190"/>
      <c r="BM616" s="1190"/>
      <c r="BQ616" s="195"/>
      <c r="BR616" s="195"/>
      <c r="BT616" s="1005"/>
    </row>
    <row r="617" ht="15.75" customHeight="1">
      <c r="A617" s="195"/>
      <c r="B617" s="978"/>
      <c r="C617" s="2321"/>
      <c r="D617" s="1729"/>
      <c r="E617" s="1190"/>
      <c r="F617" s="1190"/>
      <c r="G617" s="1190"/>
      <c r="H617" s="1190"/>
      <c r="I617" s="1190"/>
      <c r="J617" s="1190"/>
      <c r="K617" s="1190"/>
      <c r="L617" s="1190"/>
      <c r="M617" s="1190"/>
      <c r="N617" s="1190"/>
      <c r="O617" s="1190"/>
      <c r="P617" s="1190"/>
      <c r="Q617" s="1190"/>
      <c r="R617" s="1190"/>
      <c r="S617" s="1189"/>
      <c r="T617" s="1190"/>
      <c r="U617" s="1190"/>
      <c r="V617" s="1190"/>
      <c r="W617" s="1190"/>
      <c r="X617" s="1190"/>
      <c r="Y617" s="1190"/>
      <c r="Z617" s="1190"/>
      <c r="AA617" s="1190"/>
      <c r="AB617" s="1190"/>
      <c r="AC617" s="1190"/>
      <c r="AD617" s="1190"/>
      <c r="AE617" s="1190"/>
      <c r="AF617" s="1190"/>
      <c r="AG617" s="1748"/>
      <c r="AH617" s="1190"/>
      <c r="AI617" s="1748"/>
      <c r="AJ617" s="1190"/>
      <c r="AK617" s="1190"/>
      <c r="AL617" s="1190"/>
      <c r="AM617" s="1190"/>
      <c r="AN617" s="1190"/>
      <c r="AO617" s="1190"/>
      <c r="AP617" s="1190"/>
      <c r="AQ617" s="1190"/>
      <c r="AR617" s="1190"/>
      <c r="AS617" s="1190"/>
      <c r="AT617" s="1190"/>
      <c r="AU617" s="1190"/>
      <c r="AV617" s="1190"/>
      <c r="AW617" s="1190"/>
      <c r="AX617" s="1190"/>
      <c r="AY617" s="1190"/>
      <c r="AZ617" s="1190"/>
      <c r="BA617" s="1190"/>
      <c r="BB617" s="1190"/>
      <c r="BC617" s="1190"/>
      <c r="BD617" s="1190"/>
      <c r="BE617" s="1190"/>
      <c r="BF617" s="1190"/>
      <c r="BG617" s="1190"/>
      <c r="BH617" s="1190"/>
      <c r="BI617" s="1190"/>
      <c r="BJ617" s="1190"/>
      <c r="BK617" s="1190"/>
      <c r="BL617" s="1190"/>
      <c r="BM617" s="1190"/>
      <c r="BQ617" s="195"/>
      <c r="BR617" s="195"/>
      <c r="BT617" s="1005"/>
    </row>
    <row r="618" ht="15.75" customHeight="1">
      <c r="A618" s="195"/>
      <c r="B618" s="978"/>
      <c r="C618" s="2321"/>
      <c r="D618" s="1729"/>
      <c r="E618" s="1190"/>
      <c r="F618" s="1190"/>
      <c r="G618" s="1190"/>
      <c r="H618" s="1190"/>
      <c r="I618" s="1190"/>
      <c r="J618" s="1190"/>
      <c r="K618" s="1190"/>
      <c r="L618" s="1190"/>
      <c r="M618" s="1190"/>
      <c r="N618" s="1190"/>
      <c r="O618" s="1190"/>
      <c r="P618" s="1190"/>
      <c r="Q618" s="1190"/>
      <c r="R618" s="1190"/>
      <c r="S618" s="1189"/>
      <c r="T618" s="1190"/>
      <c r="U618" s="1190"/>
      <c r="V618" s="1190"/>
      <c r="W618" s="1190"/>
      <c r="X618" s="1190"/>
      <c r="Y618" s="1190"/>
      <c r="Z618" s="1190"/>
      <c r="AA618" s="1190"/>
      <c r="AB618" s="1190"/>
      <c r="AC618" s="1190"/>
      <c r="AD618" s="1190"/>
      <c r="AE618" s="1190"/>
      <c r="AF618" s="1190"/>
      <c r="AG618" s="1748"/>
      <c r="AH618" s="1190"/>
      <c r="AI618" s="1748"/>
      <c r="AJ618" s="1190"/>
      <c r="AK618" s="1190"/>
      <c r="AL618" s="1190"/>
      <c r="AM618" s="1190"/>
      <c r="AN618" s="1190"/>
      <c r="AO618" s="1190"/>
      <c r="AP618" s="1190"/>
      <c r="AQ618" s="1190"/>
      <c r="AR618" s="1190"/>
      <c r="AS618" s="1190"/>
      <c r="AT618" s="1190"/>
      <c r="AU618" s="1190"/>
      <c r="AV618" s="1190"/>
      <c r="AW618" s="1190"/>
      <c r="AX618" s="1190"/>
      <c r="AY618" s="1190"/>
      <c r="AZ618" s="1190"/>
      <c r="BA618" s="1190"/>
      <c r="BB618" s="1190"/>
      <c r="BC618" s="1190"/>
      <c r="BD618" s="1190"/>
      <c r="BE618" s="1190"/>
      <c r="BF618" s="1190"/>
      <c r="BG618" s="1190"/>
      <c r="BH618" s="1190"/>
      <c r="BI618" s="1190"/>
      <c r="BJ618" s="1190"/>
      <c r="BK618" s="1190"/>
      <c r="BL618" s="1190"/>
      <c r="BM618" s="1190"/>
      <c r="BQ618" s="195"/>
      <c r="BR618" s="195"/>
      <c r="BT618" s="1005"/>
    </row>
    <row r="619" ht="15.75" customHeight="1">
      <c r="A619" s="195"/>
      <c r="B619" s="978"/>
      <c r="C619" s="2321"/>
      <c r="D619" s="1729"/>
      <c r="E619" s="1190"/>
      <c r="F619" s="1190"/>
      <c r="G619" s="1190"/>
      <c r="H619" s="1190"/>
      <c r="I619" s="1190"/>
      <c r="J619" s="1190"/>
      <c r="K619" s="1190"/>
      <c r="L619" s="1190"/>
      <c r="M619" s="1190"/>
      <c r="N619" s="1190"/>
      <c r="O619" s="1190"/>
      <c r="P619" s="1190"/>
      <c r="Q619" s="1190"/>
      <c r="R619" s="1190"/>
      <c r="S619" s="1189"/>
      <c r="T619" s="1190"/>
      <c r="U619" s="1190"/>
      <c r="V619" s="1190"/>
      <c r="W619" s="1190"/>
      <c r="X619" s="1190"/>
      <c r="Y619" s="1190"/>
      <c r="Z619" s="1190"/>
      <c r="AA619" s="1190"/>
      <c r="AB619" s="1190"/>
      <c r="AC619" s="1190"/>
      <c r="AD619" s="1190"/>
      <c r="AE619" s="1190"/>
      <c r="AF619" s="1190"/>
      <c r="AG619" s="1748"/>
      <c r="AH619" s="1190"/>
      <c r="AI619" s="1748"/>
      <c r="AJ619" s="1190"/>
      <c r="AK619" s="1190"/>
      <c r="AL619" s="1190"/>
      <c r="AM619" s="1190"/>
      <c r="AN619" s="1190"/>
      <c r="AO619" s="1190"/>
      <c r="AP619" s="1190"/>
      <c r="AQ619" s="1190"/>
      <c r="AR619" s="1190"/>
      <c r="AS619" s="1190"/>
      <c r="AT619" s="1190"/>
      <c r="AU619" s="1190"/>
      <c r="AV619" s="1190"/>
      <c r="AW619" s="1190"/>
      <c r="AX619" s="1190"/>
      <c r="AY619" s="1190"/>
      <c r="AZ619" s="1190"/>
      <c r="BA619" s="1190"/>
      <c r="BB619" s="1190"/>
      <c r="BC619" s="1190"/>
      <c r="BD619" s="1190"/>
      <c r="BE619" s="1190"/>
      <c r="BF619" s="1190"/>
      <c r="BG619" s="1190"/>
      <c r="BH619" s="1190"/>
      <c r="BI619" s="1190"/>
      <c r="BJ619" s="1190"/>
      <c r="BK619" s="1190"/>
      <c r="BL619" s="1190"/>
      <c r="BM619" s="1190"/>
      <c r="BQ619" s="195"/>
      <c r="BR619" s="195"/>
      <c r="BT619" s="1005"/>
    </row>
    <row r="620" ht="15.75" customHeight="1">
      <c r="A620" s="195"/>
      <c r="B620" s="978"/>
      <c r="C620" s="2321"/>
      <c r="D620" s="1729"/>
      <c r="E620" s="1190"/>
      <c r="F620" s="1190"/>
      <c r="G620" s="1190"/>
      <c r="H620" s="1190"/>
      <c r="I620" s="1190"/>
      <c r="J620" s="1190"/>
      <c r="K620" s="1190"/>
      <c r="L620" s="1190"/>
      <c r="M620" s="1190"/>
      <c r="N620" s="1190"/>
      <c r="O620" s="1190"/>
      <c r="P620" s="1190"/>
      <c r="Q620" s="1190"/>
      <c r="R620" s="1190"/>
      <c r="S620" s="1189"/>
      <c r="T620" s="1190"/>
      <c r="U620" s="1190"/>
      <c r="V620" s="1190"/>
      <c r="W620" s="1190"/>
      <c r="X620" s="1190"/>
      <c r="Y620" s="1190"/>
      <c r="Z620" s="1190"/>
      <c r="AA620" s="1190"/>
      <c r="AB620" s="1190"/>
      <c r="AC620" s="1190"/>
      <c r="AD620" s="1190"/>
      <c r="AE620" s="1190"/>
      <c r="AF620" s="1190"/>
      <c r="AG620" s="1748"/>
      <c r="AH620" s="1190"/>
      <c r="AI620" s="1748"/>
      <c r="AJ620" s="1190"/>
      <c r="AK620" s="1190"/>
      <c r="AL620" s="1190"/>
      <c r="AM620" s="1190"/>
      <c r="AN620" s="1190"/>
      <c r="AO620" s="1190"/>
      <c r="AP620" s="1190"/>
      <c r="AQ620" s="1190"/>
      <c r="AR620" s="1190"/>
      <c r="AS620" s="1190"/>
      <c r="AT620" s="1190"/>
      <c r="AU620" s="1190"/>
      <c r="AV620" s="1190"/>
      <c r="AW620" s="1190"/>
      <c r="AX620" s="1190"/>
      <c r="AY620" s="1190"/>
      <c r="AZ620" s="1190"/>
      <c r="BA620" s="1190"/>
      <c r="BB620" s="1190"/>
      <c r="BC620" s="1190"/>
      <c r="BD620" s="1190"/>
      <c r="BE620" s="1190"/>
      <c r="BF620" s="1190"/>
      <c r="BG620" s="1190"/>
      <c r="BH620" s="1190"/>
      <c r="BI620" s="1190"/>
      <c r="BJ620" s="1190"/>
      <c r="BK620" s="1190"/>
      <c r="BL620" s="1190"/>
      <c r="BM620" s="1190"/>
      <c r="BQ620" s="195"/>
      <c r="BR620" s="195"/>
      <c r="BT620" s="1005"/>
    </row>
    <row r="621" ht="15.75" customHeight="1">
      <c r="A621" s="195"/>
      <c r="B621" s="978"/>
      <c r="C621" s="2321"/>
      <c r="D621" s="1729"/>
      <c r="E621" s="1190"/>
      <c r="F621" s="1190"/>
      <c r="G621" s="1190"/>
      <c r="H621" s="1190"/>
      <c r="I621" s="1190"/>
      <c r="J621" s="1190"/>
      <c r="K621" s="1190"/>
      <c r="L621" s="1190"/>
      <c r="M621" s="1190"/>
      <c r="N621" s="1190"/>
      <c r="O621" s="1190"/>
      <c r="P621" s="1190"/>
      <c r="Q621" s="1190"/>
      <c r="R621" s="1190"/>
      <c r="S621" s="1189"/>
      <c r="T621" s="1190"/>
      <c r="U621" s="1190"/>
      <c r="V621" s="1190"/>
      <c r="W621" s="1190"/>
      <c r="X621" s="1190"/>
      <c r="Y621" s="1190"/>
      <c r="Z621" s="1190"/>
      <c r="AA621" s="1190"/>
      <c r="AB621" s="1190"/>
      <c r="AC621" s="1190"/>
      <c r="AD621" s="1190"/>
      <c r="AE621" s="1190"/>
      <c r="AF621" s="1190"/>
      <c r="AG621" s="1748"/>
      <c r="AH621" s="1190"/>
      <c r="AI621" s="1748"/>
      <c r="AJ621" s="1190"/>
      <c r="AK621" s="1190"/>
      <c r="AL621" s="1190"/>
      <c r="AM621" s="1190"/>
      <c r="AN621" s="1190"/>
      <c r="AO621" s="1190"/>
      <c r="AP621" s="1190"/>
      <c r="AQ621" s="1190"/>
      <c r="AR621" s="1190"/>
      <c r="AS621" s="1190"/>
      <c r="AT621" s="1190"/>
      <c r="AU621" s="1190"/>
      <c r="AV621" s="1190"/>
      <c r="AW621" s="1190"/>
      <c r="AX621" s="1190"/>
      <c r="AY621" s="1190"/>
      <c r="AZ621" s="1190"/>
      <c r="BA621" s="1190"/>
      <c r="BB621" s="1190"/>
      <c r="BC621" s="1190"/>
      <c r="BD621" s="1190"/>
      <c r="BE621" s="1190"/>
      <c r="BF621" s="1190"/>
      <c r="BG621" s="1190"/>
      <c r="BH621" s="1190"/>
      <c r="BI621" s="1190"/>
      <c r="BJ621" s="1190"/>
      <c r="BK621" s="1190"/>
      <c r="BL621" s="1190"/>
      <c r="BM621" s="1190"/>
      <c r="BQ621" s="195"/>
      <c r="BR621" s="195"/>
      <c r="BT621" s="1005"/>
    </row>
    <row r="622" ht="15.75" customHeight="1">
      <c r="A622" s="195"/>
      <c r="B622" s="978"/>
      <c r="C622" s="2321"/>
      <c r="D622" s="1729"/>
      <c r="E622" s="1190"/>
      <c r="F622" s="1190"/>
      <c r="G622" s="1190"/>
      <c r="H622" s="1190"/>
      <c r="I622" s="1190"/>
      <c r="J622" s="1190"/>
      <c r="K622" s="1190"/>
      <c r="L622" s="1190"/>
      <c r="M622" s="1190"/>
      <c r="N622" s="1190"/>
      <c r="O622" s="1190"/>
      <c r="P622" s="1190"/>
      <c r="Q622" s="1190"/>
      <c r="R622" s="1190"/>
      <c r="S622" s="1189"/>
      <c r="T622" s="1190"/>
      <c r="U622" s="1190"/>
      <c r="V622" s="1190"/>
      <c r="W622" s="1190"/>
      <c r="X622" s="1190"/>
      <c r="Y622" s="1190"/>
      <c r="Z622" s="1190"/>
      <c r="AA622" s="1190"/>
      <c r="AB622" s="1190"/>
      <c r="AC622" s="1190"/>
      <c r="AD622" s="1190"/>
      <c r="AE622" s="1190"/>
      <c r="AF622" s="1190"/>
      <c r="AG622" s="1748"/>
      <c r="AH622" s="1190"/>
      <c r="AI622" s="1748"/>
      <c r="AJ622" s="1190"/>
      <c r="AK622" s="1190"/>
      <c r="AL622" s="1190"/>
      <c r="AM622" s="1190"/>
      <c r="AN622" s="1190"/>
      <c r="AO622" s="1190"/>
      <c r="AP622" s="1190"/>
      <c r="AQ622" s="1190"/>
      <c r="AR622" s="1190"/>
      <c r="AS622" s="1190"/>
      <c r="AT622" s="1190"/>
      <c r="AU622" s="1190"/>
      <c r="AV622" s="1190"/>
      <c r="AW622" s="1190"/>
      <c r="AX622" s="1190"/>
      <c r="AY622" s="1190"/>
      <c r="AZ622" s="1190"/>
      <c r="BA622" s="1190"/>
      <c r="BB622" s="1190"/>
      <c r="BC622" s="1190"/>
      <c r="BD622" s="1190"/>
      <c r="BE622" s="1190"/>
      <c r="BF622" s="1190"/>
      <c r="BG622" s="1190"/>
      <c r="BH622" s="1190"/>
      <c r="BI622" s="1190"/>
      <c r="BJ622" s="1190"/>
      <c r="BK622" s="1190"/>
      <c r="BL622" s="1190"/>
      <c r="BM622" s="1190"/>
      <c r="BQ622" s="195"/>
      <c r="BR622" s="195"/>
      <c r="BT622" s="1005"/>
    </row>
    <row r="623" ht="15.75" customHeight="1">
      <c r="A623" s="195"/>
      <c r="B623" s="978"/>
      <c r="C623" s="2321"/>
      <c r="D623" s="1729"/>
      <c r="E623" s="1190"/>
      <c r="F623" s="1190"/>
      <c r="G623" s="1190"/>
      <c r="H623" s="1190"/>
      <c r="I623" s="1190"/>
      <c r="J623" s="1190"/>
      <c r="K623" s="1190"/>
      <c r="L623" s="1190"/>
      <c r="M623" s="1190"/>
      <c r="N623" s="1190"/>
      <c r="O623" s="1190"/>
      <c r="P623" s="1190"/>
      <c r="Q623" s="1190"/>
      <c r="R623" s="1190"/>
      <c r="S623" s="1189"/>
      <c r="T623" s="1190"/>
      <c r="U623" s="1190"/>
      <c r="V623" s="1190"/>
      <c r="W623" s="1190"/>
      <c r="X623" s="1190"/>
      <c r="Y623" s="1190"/>
      <c r="Z623" s="1190"/>
      <c r="AA623" s="1190"/>
      <c r="AB623" s="1190"/>
      <c r="AC623" s="1190"/>
      <c r="AD623" s="1190"/>
      <c r="AE623" s="1190"/>
      <c r="AF623" s="1190"/>
      <c r="AG623" s="1748"/>
      <c r="AH623" s="1190"/>
      <c r="AI623" s="1748"/>
      <c r="AJ623" s="1190"/>
      <c r="AK623" s="1190"/>
      <c r="AL623" s="1190"/>
      <c r="AM623" s="1190"/>
      <c r="AN623" s="1190"/>
      <c r="AO623" s="1190"/>
      <c r="AP623" s="1190"/>
      <c r="AQ623" s="1190"/>
      <c r="AR623" s="1190"/>
      <c r="AS623" s="1190"/>
      <c r="AT623" s="1190"/>
      <c r="AU623" s="1190"/>
      <c r="AV623" s="1190"/>
      <c r="AW623" s="1190"/>
      <c r="AX623" s="1190"/>
      <c r="AY623" s="1190"/>
      <c r="AZ623" s="1190"/>
      <c r="BA623" s="1190"/>
      <c r="BB623" s="1190"/>
      <c r="BC623" s="1190"/>
      <c r="BD623" s="1190"/>
      <c r="BE623" s="1190"/>
      <c r="BF623" s="1190"/>
      <c r="BG623" s="1190"/>
      <c r="BH623" s="1190"/>
      <c r="BI623" s="1190"/>
      <c r="BJ623" s="1190"/>
      <c r="BK623" s="1190"/>
      <c r="BL623" s="1190"/>
      <c r="BM623" s="1190"/>
      <c r="BQ623" s="195"/>
      <c r="BR623" s="195"/>
      <c r="BT623" s="1005"/>
    </row>
    <row r="624" ht="15.75" customHeight="1">
      <c r="A624" s="195"/>
      <c r="B624" s="978"/>
      <c r="C624" s="2321"/>
      <c r="D624" s="1729"/>
      <c r="E624" s="1190"/>
      <c r="F624" s="1190"/>
      <c r="G624" s="1190"/>
      <c r="H624" s="1190"/>
      <c r="I624" s="1190"/>
      <c r="J624" s="1190"/>
      <c r="K624" s="1190"/>
      <c r="L624" s="1190"/>
      <c r="M624" s="1190"/>
      <c r="N624" s="1190"/>
      <c r="O624" s="1190"/>
      <c r="P624" s="1190"/>
      <c r="Q624" s="1190"/>
      <c r="R624" s="1190"/>
      <c r="S624" s="1189"/>
      <c r="T624" s="1190"/>
      <c r="U624" s="1190"/>
      <c r="V624" s="1190"/>
      <c r="W624" s="1190"/>
      <c r="X624" s="1190"/>
      <c r="Y624" s="1190"/>
      <c r="Z624" s="1190"/>
      <c r="AA624" s="1190"/>
      <c r="AB624" s="1190"/>
      <c r="AC624" s="1190"/>
      <c r="AD624" s="1190"/>
      <c r="AE624" s="1190"/>
      <c r="AF624" s="1190"/>
      <c r="AG624" s="1748"/>
      <c r="AH624" s="1190"/>
      <c r="AI624" s="1748"/>
      <c r="AJ624" s="1190"/>
      <c r="AK624" s="1190"/>
      <c r="AL624" s="1190"/>
      <c r="AM624" s="1190"/>
      <c r="AN624" s="1190"/>
      <c r="AO624" s="1190"/>
      <c r="AP624" s="1190"/>
      <c r="AQ624" s="1190"/>
      <c r="AR624" s="1190"/>
      <c r="AS624" s="1190"/>
      <c r="AT624" s="1190"/>
      <c r="AU624" s="1190"/>
      <c r="AV624" s="1190"/>
      <c r="AW624" s="1190"/>
      <c r="AX624" s="1190"/>
      <c r="AY624" s="1190"/>
      <c r="AZ624" s="1190"/>
      <c r="BA624" s="1190"/>
      <c r="BB624" s="1190"/>
      <c r="BC624" s="1190"/>
      <c r="BD624" s="1190"/>
      <c r="BE624" s="1190"/>
      <c r="BF624" s="1190"/>
      <c r="BG624" s="1190"/>
      <c r="BH624" s="1190"/>
      <c r="BI624" s="1190"/>
      <c r="BJ624" s="1190"/>
      <c r="BK624" s="1190"/>
      <c r="BL624" s="1190"/>
      <c r="BM624" s="1190"/>
      <c r="BQ624" s="195"/>
      <c r="BR624" s="195"/>
      <c r="BT624" s="1005"/>
    </row>
    <row r="625" ht="15.75" customHeight="1">
      <c r="A625" s="195"/>
      <c r="B625" s="978"/>
      <c r="C625" s="2321"/>
      <c r="D625" s="1729"/>
      <c r="E625" s="1190"/>
      <c r="F625" s="1190"/>
      <c r="G625" s="1190"/>
      <c r="H625" s="1190"/>
      <c r="I625" s="1190"/>
      <c r="J625" s="1190"/>
      <c r="K625" s="1190"/>
      <c r="L625" s="1190"/>
      <c r="M625" s="1190"/>
      <c r="N625" s="1190"/>
      <c r="O625" s="1190"/>
      <c r="P625" s="1190"/>
      <c r="Q625" s="1190"/>
      <c r="R625" s="1190"/>
      <c r="S625" s="1189"/>
      <c r="T625" s="1190"/>
      <c r="U625" s="1190"/>
      <c r="V625" s="1190"/>
      <c r="W625" s="1190"/>
      <c r="X625" s="1190"/>
      <c r="Y625" s="1190"/>
      <c r="Z625" s="1190"/>
      <c r="AA625" s="1190"/>
      <c r="AB625" s="1190"/>
      <c r="AC625" s="1190"/>
      <c r="AD625" s="1190"/>
      <c r="AE625" s="1190"/>
      <c r="AF625" s="1190"/>
      <c r="AG625" s="1748"/>
      <c r="AH625" s="1190"/>
      <c r="AI625" s="1748"/>
      <c r="AJ625" s="1190"/>
      <c r="AK625" s="1190"/>
      <c r="AL625" s="1190"/>
      <c r="AM625" s="1190"/>
      <c r="AN625" s="1190"/>
      <c r="AO625" s="1190"/>
      <c r="AP625" s="1190"/>
      <c r="AQ625" s="1190"/>
      <c r="AR625" s="1190"/>
      <c r="AS625" s="1190"/>
      <c r="AT625" s="1190"/>
      <c r="AU625" s="1190"/>
      <c r="AV625" s="1190"/>
      <c r="AW625" s="1190"/>
      <c r="AX625" s="1190"/>
      <c r="AY625" s="1190"/>
      <c r="AZ625" s="1190"/>
      <c r="BA625" s="1190"/>
      <c r="BB625" s="1190"/>
      <c r="BC625" s="1190"/>
      <c r="BD625" s="1190"/>
      <c r="BE625" s="1190"/>
      <c r="BF625" s="1190"/>
      <c r="BG625" s="1190"/>
      <c r="BH625" s="1190"/>
      <c r="BI625" s="1190"/>
      <c r="BJ625" s="1190"/>
      <c r="BK625" s="1190"/>
      <c r="BL625" s="1190"/>
      <c r="BM625" s="1190"/>
      <c r="BQ625" s="195"/>
      <c r="BR625" s="195"/>
      <c r="BT625" s="1005"/>
    </row>
    <row r="626" ht="15.75" customHeight="1">
      <c r="A626" s="195"/>
      <c r="B626" s="978"/>
      <c r="C626" s="2321"/>
      <c r="D626" s="1729"/>
      <c r="E626" s="1190"/>
      <c r="F626" s="1190"/>
      <c r="G626" s="1190"/>
      <c r="H626" s="1190"/>
      <c r="I626" s="1190"/>
      <c r="J626" s="1190"/>
      <c r="K626" s="1190"/>
      <c r="L626" s="1190"/>
      <c r="M626" s="1190"/>
      <c r="N626" s="1190"/>
      <c r="O626" s="1190"/>
      <c r="P626" s="1190"/>
      <c r="Q626" s="1190"/>
      <c r="R626" s="1190"/>
      <c r="S626" s="1189"/>
      <c r="T626" s="1190"/>
      <c r="U626" s="1190"/>
      <c r="V626" s="1190"/>
      <c r="W626" s="1190"/>
      <c r="X626" s="1190"/>
      <c r="Y626" s="1190"/>
      <c r="Z626" s="1190"/>
      <c r="AA626" s="1190"/>
      <c r="AB626" s="1190"/>
      <c r="AC626" s="1190"/>
      <c r="AD626" s="1190"/>
      <c r="AE626" s="1190"/>
      <c r="AF626" s="1190"/>
      <c r="AG626" s="1748"/>
      <c r="AH626" s="1190"/>
      <c r="AI626" s="1748"/>
      <c r="AJ626" s="1190"/>
      <c r="AK626" s="1190"/>
      <c r="AL626" s="1190"/>
      <c r="AM626" s="1190"/>
      <c r="AN626" s="1190"/>
      <c r="AO626" s="1190"/>
      <c r="AP626" s="1190"/>
      <c r="AQ626" s="1190"/>
      <c r="AR626" s="1190"/>
      <c r="AS626" s="1190"/>
      <c r="AT626" s="1190"/>
      <c r="AU626" s="1190"/>
      <c r="AV626" s="1190"/>
      <c r="AW626" s="1190"/>
      <c r="AX626" s="1190"/>
      <c r="AY626" s="1190"/>
      <c r="AZ626" s="1190"/>
      <c r="BA626" s="1190"/>
      <c r="BB626" s="1190"/>
      <c r="BC626" s="1190"/>
      <c r="BD626" s="1190"/>
      <c r="BE626" s="1190"/>
      <c r="BF626" s="1190"/>
      <c r="BG626" s="1190"/>
      <c r="BH626" s="1190"/>
      <c r="BI626" s="1190"/>
      <c r="BJ626" s="1190"/>
      <c r="BK626" s="1190"/>
      <c r="BL626" s="1190"/>
      <c r="BM626" s="1190"/>
      <c r="BQ626" s="195"/>
      <c r="BR626" s="195"/>
      <c r="BT626" s="1005"/>
    </row>
    <row r="627" ht="15.75" customHeight="1">
      <c r="A627" s="195"/>
      <c r="B627" s="978"/>
      <c r="C627" s="2321"/>
      <c r="D627" s="1729"/>
      <c r="E627" s="1190"/>
      <c r="F627" s="1190"/>
      <c r="G627" s="1190"/>
      <c r="H627" s="1190"/>
      <c r="I627" s="1190"/>
      <c r="J627" s="1190"/>
      <c r="K627" s="1190"/>
      <c r="L627" s="1190"/>
      <c r="M627" s="1190"/>
      <c r="N627" s="1190"/>
      <c r="O627" s="1190"/>
      <c r="P627" s="1190"/>
      <c r="Q627" s="1190"/>
      <c r="R627" s="1190"/>
      <c r="S627" s="1189"/>
      <c r="T627" s="1190"/>
      <c r="U627" s="1190"/>
      <c r="V627" s="1190"/>
      <c r="W627" s="1190"/>
      <c r="X627" s="1190"/>
      <c r="Y627" s="1190"/>
      <c r="Z627" s="1190"/>
      <c r="AA627" s="1190"/>
      <c r="AB627" s="1190"/>
      <c r="AC627" s="1190"/>
      <c r="AD627" s="1190"/>
      <c r="AE627" s="1190"/>
      <c r="AF627" s="1190"/>
      <c r="AG627" s="1748"/>
      <c r="AH627" s="1190"/>
      <c r="AI627" s="1748"/>
      <c r="AJ627" s="1190"/>
      <c r="AK627" s="1190"/>
      <c r="AL627" s="1190"/>
      <c r="AM627" s="1190"/>
      <c r="AN627" s="1190"/>
      <c r="AO627" s="1190"/>
      <c r="AP627" s="1190"/>
      <c r="AQ627" s="1190"/>
      <c r="AR627" s="1190"/>
      <c r="AS627" s="1190"/>
      <c r="AT627" s="1190"/>
      <c r="AU627" s="1190"/>
      <c r="AV627" s="1190"/>
      <c r="AW627" s="1190"/>
      <c r="AX627" s="1190"/>
      <c r="AY627" s="1190"/>
      <c r="AZ627" s="1190"/>
      <c r="BA627" s="1190"/>
      <c r="BB627" s="1190"/>
      <c r="BC627" s="1190"/>
      <c r="BD627" s="1190"/>
      <c r="BE627" s="1190"/>
      <c r="BF627" s="1190"/>
      <c r="BG627" s="1190"/>
      <c r="BH627" s="1190"/>
      <c r="BI627" s="1190"/>
      <c r="BJ627" s="1190"/>
      <c r="BK627" s="1190"/>
      <c r="BL627" s="1190"/>
      <c r="BM627" s="1190"/>
      <c r="BQ627" s="195"/>
      <c r="BR627" s="195"/>
      <c r="BT627" s="1005"/>
    </row>
    <row r="628" ht="15.75" customHeight="1">
      <c r="A628" s="195"/>
      <c r="B628" s="978"/>
      <c r="C628" s="2321"/>
      <c r="D628" s="1729"/>
      <c r="E628" s="1190"/>
      <c r="F628" s="1190"/>
      <c r="G628" s="1190"/>
      <c r="H628" s="1190"/>
      <c r="I628" s="1190"/>
      <c r="J628" s="1190"/>
      <c r="K628" s="1190"/>
      <c r="L628" s="1190"/>
      <c r="M628" s="1190"/>
      <c r="N628" s="1190"/>
      <c r="O628" s="1190"/>
      <c r="P628" s="1190"/>
      <c r="Q628" s="1190"/>
      <c r="R628" s="1190"/>
      <c r="S628" s="1189"/>
      <c r="T628" s="1190"/>
      <c r="U628" s="1190"/>
      <c r="V628" s="1190"/>
      <c r="W628" s="1190"/>
      <c r="X628" s="1190"/>
      <c r="Y628" s="1190"/>
      <c r="Z628" s="1190"/>
      <c r="AA628" s="1190"/>
      <c r="AB628" s="1190"/>
      <c r="AC628" s="1190"/>
      <c r="AD628" s="1190"/>
      <c r="AE628" s="1190"/>
      <c r="AF628" s="1190"/>
      <c r="AG628" s="1748"/>
      <c r="AH628" s="1190"/>
      <c r="AI628" s="1748"/>
      <c r="AJ628" s="1190"/>
      <c r="AK628" s="1190"/>
      <c r="AL628" s="1190"/>
      <c r="AM628" s="1190"/>
      <c r="AN628" s="1190"/>
      <c r="AO628" s="1190"/>
      <c r="AP628" s="1190"/>
      <c r="AQ628" s="1190"/>
      <c r="AR628" s="1190"/>
      <c r="AS628" s="1190"/>
      <c r="AT628" s="1190"/>
      <c r="AU628" s="1190"/>
      <c r="AV628" s="1190"/>
      <c r="AW628" s="1190"/>
      <c r="AX628" s="1190"/>
      <c r="AY628" s="1190"/>
      <c r="AZ628" s="1190"/>
      <c r="BA628" s="1190"/>
      <c r="BB628" s="1190"/>
      <c r="BC628" s="1190"/>
      <c r="BD628" s="1190"/>
      <c r="BE628" s="1190"/>
      <c r="BF628" s="1190"/>
      <c r="BG628" s="1190"/>
      <c r="BH628" s="1190"/>
      <c r="BI628" s="1190"/>
      <c r="BJ628" s="1190"/>
      <c r="BK628" s="1190"/>
      <c r="BL628" s="1190"/>
      <c r="BM628" s="1190"/>
      <c r="BQ628" s="195"/>
      <c r="BR628" s="195"/>
      <c r="BT628" s="1005"/>
    </row>
    <row r="629" ht="15.75" customHeight="1">
      <c r="A629" s="195"/>
      <c r="B629" s="978"/>
      <c r="C629" s="2321"/>
      <c r="D629" s="1729"/>
      <c r="E629" s="1190"/>
      <c r="F629" s="1190"/>
      <c r="G629" s="1190"/>
      <c r="H629" s="1190"/>
      <c r="I629" s="1190"/>
      <c r="J629" s="1190"/>
      <c r="K629" s="1190"/>
      <c r="L629" s="1190"/>
      <c r="M629" s="1190"/>
      <c r="N629" s="1190"/>
      <c r="O629" s="1190"/>
      <c r="P629" s="1190"/>
      <c r="Q629" s="1190"/>
      <c r="R629" s="1190"/>
      <c r="S629" s="1189"/>
      <c r="T629" s="1190"/>
      <c r="U629" s="1190"/>
      <c r="V629" s="1190"/>
      <c r="W629" s="1190"/>
      <c r="X629" s="1190"/>
      <c r="Y629" s="1190"/>
      <c r="Z629" s="1190"/>
      <c r="AA629" s="1190"/>
      <c r="AB629" s="1190"/>
      <c r="AC629" s="1190"/>
      <c r="AD629" s="1190"/>
      <c r="AE629" s="1190"/>
      <c r="AF629" s="1190"/>
      <c r="AG629" s="1748"/>
      <c r="AH629" s="1190"/>
      <c r="AI629" s="1748"/>
      <c r="AJ629" s="1190"/>
      <c r="AK629" s="1190"/>
      <c r="AL629" s="1190"/>
      <c r="AM629" s="1190"/>
      <c r="AN629" s="1190"/>
      <c r="AO629" s="1190"/>
      <c r="AP629" s="1190"/>
      <c r="AQ629" s="1190"/>
      <c r="AR629" s="1190"/>
      <c r="AS629" s="1190"/>
      <c r="AT629" s="1190"/>
      <c r="AU629" s="1190"/>
      <c r="AV629" s="1190"/>
      <c r="AW629" s="1190"/>
      <c r="AX629" s="1190"/>
      <c r="AY629" s="1190"/>
      <c r="AZ629" s="1190"/>
      <c r="BA629" s="1190"/>
      <c r="BB629" s="1190"/>
      <c r="BC629" s="1190"/>
      <c r="BD629" s="1190"/>
      <c r="BE629" s="1190"/>
      <c r="BF629" s="1190"/>
      <c r="BG629" s="1190"/>
      <c r="BH629" s="1190"/>
      <c r="BI629" s="1190"/>
      <c r="BJ629" s="1190"/>
      <c r="BK629" s="1190"/>
      <c r="BL629" s="1190"/>
      <c r="BM629" s="1190"/>
      <c r="BQ629" s="195"/>
      <c r="BR629" s="195"/>
      <c r="BT629" s="1005"/>
    </row>
    <row r="630" ht="15.75" customHeight="1">
      <c r="A630" s="195"/>
      <c r="B630" s="978"/>
      <c r="C630" s="2321"/>
      <c r="D630" s="1729"/>
      <c r="E630" s="1190"/>
      <c r="F630" s="1190"/>
      <c r="G630" s="1190"/>
      <c r="H630" s="1190"/>
      <c r="I630" s="1190"/>
      <c r="J630" s="1190"/>
      <c r="K630" s="1190"/>
      <c r="L630" s="1190"/>
      <c r="M630" s="1190"/>
      <c r="N630" s="1190"/>
      <c r="O630" s="1190"/>
      <c r="P630" s="1190"/>
      <c r="Q630" s="1190"/>
      <c r="R630" s="1190"/>
      <c r="S630" s="1189"/>
      <c r="T630" s="1190"/>
      <c r="U630" s="1190"/>
      <c r="V630" s="1190"/>
      <c r="W630" s="1190"/>
      <c r="X630" s="1190"/>
      <c r="Y630" s="1190"/>
      <c r="Z630" s="1190"/>
      <c r="AA630" s="1190"/>
      <c r="AB630" s="1190"/>
      <c r="AC630" s="1190"/>
      <c r="AD630" s="1190"/>
      <c r="AE630" s="1190"/>
      <c r="AF630" s="1190"/>
      <c r="AG630" s="1748"/>
      <c r="AH630" s="1190"/>
      <c r="AI630" s="1748"/>
      <c r="AJ630" s="1190"/>
      <c r="AK630" s="1190"/>
      <c r="AL630" s="1190"/>
      <c r="AM630" s="1190"/>
      <c r="AN630" s="1190"/>
      <c r="AO630" s="1190"/>
      <c r="AP630" s="1190"/>
      <c r="AQ630" s="1190"/>
      <c r="AR630" s="1190"/>
      <c r="AS630" s="1190"/>
      <c r="AT630" s="1190"/>
      <c r="AU630" s="1190"/>
      <c r="AV630" s="1190"/>
      <c r="AW630" s="1190"/>
      <c r="AX630" s="1190"/>
      <c r="AY630" s="1190"/>
      <c r="AZ630" s="1190"/>
      <c r="BA630" s="1190"/>
      <c r="BB630" s="1190"/>
      <c r="BC630" s="1190"/>
      <c r="BD630" s="1190"/>
      <c r="BE630" s="1190"/>
      <c r="BF630" s="1190"/>
      <c r="BG630" s="1190"/>
      <c r="BH630" s="1190"/>
      <c r="BI630" s="1190"/>
      <c r="BJ630" s="1190"/>
      <c r="BK630" s="1190"/>
      <c r="BL630" s="1190"/>
      <c r="BM630" s="1190"/>
      <c r="BQ630" s="195"/>
      <c r="BR630" s="195"/>
      <c r="BT630" s="1005"/>
    </row>
    <row r="631" ht="15.75" customHeight="1">
      <c r="A631" s="195"/>
      <c r="B631" s="978"/>
      <c r="C631" s="2321"/>
      <c r="D631" s="1729"/>
      <c r="E631" s="1190"/>
      <c r="F631" s="1190"/>
      <c r="G631" s="1190"/>
      <c r="H631" s="1190"/>
      <c r="I631" s="1190"/>
      <c r="J631" s="1190"/>
      <c r="K631" s="1190"/>
      <c r="L631" s="1190"/>
      <c r="M631" s="1190"/>
      <c r="N631" s="1190"/>
      <c r="O631" s="1190"/>
      <c r="P631" s="1190"/>
      <c r="Q631" s="1190"/>
      <c r="R631" s="1190"/>
      <c r="S631" s="1189"/>
      <c r="T631" s="1190"/>
      <c r="U631" s="1190"/>
      <c r="V631" s="1190"/>
      <c r="W631" s="1190"/>
      <c r="X631" s="1190"/>
      <c r="Y631" s="1190"/>
      <c r="Z631" s="1190"/>
      <c r="AA631" s="1190"/>
      <c r="AB631" s="1190"/>
      <c r="AC631" s="1190"/>
      <c r="AD631" s="1190"/>
      <c r="AE631" s="1190"/>
      <c r="AF631" s="1190"/>
      <c r="AG631" s="1748"/>
      <c r="AH631" s="1190"/>
      <c r="AI631" s="1748"/>
      <c r="AJ631" s="1190"/>
      <c r="AK631" s="1190"/>
      <c r="AL631" s="1190"/>
      <c r="AM631" s="1190"/>
      <c r="AN631" s="1190"/>
      <c r="AO631" s="1190"/>
      <c r="AP631" s="1190"/>
      <c r="AQ631" s="1190"/>
      <c r="AR631" s="1190"/>
      <c r="AS631" s="1190"/>
      <c r="AT631" s="1190"/>
      <c r="AU631" s="1190"/>
      <c r="AV631" s="1190"/>
      <c r="AW631" s="1190"/>
      <c r="AX631" s="1190"/>
      <c r="AY631" s="1190"/>
      <c r="AZ631" s="1190"/>
      <c r="BA631" s="1190"/>
      <c r="BB631" s="1190"/>
      <c r="BC631" s="1190"/>
      <c r="BD631" s="1190"/>
      <c r="BE631" s="1190"/>
      <c r="BF631" s="1190"/>
      <c r="BG631" s="1190"/>
      <c r="BH631" s="1190"/>
      <c r="BI631" s="1190"/>
      <c r="BJ631" s="1190"/>
      <c r="BK631" s="1190"/>
      <c r="BL631" s="1190"/>
      <c r="BM631" s="1190"/>
      <c r="BQ631" s="195"/>
      <c r="BR631" s="195"/>
      <c r="BT631" s="1005"/>
    </row>
    <row r="632" ht="15.75" customHeight="1">
      <c r="A632" s="195"/>
      <c r="B632" s="978"/>
      <c r="C632" s="2321"/>
      <c r="D632" s="1729"/>
      <c r="E632" s="1190"/>
      <c r="F632" s="1190"/>
      <c r="G632" s="1190"/>
      <c r="H632" s="1190"/>
      <c r="I632" s="1190"/>
      <c r="J632" s="1190"/>
      <c r="K632" s="1190"/>
      <c r="L632" s="1190"/>
      <c r="M632" s="1190"/>
      <c r="N632" s="1190"/>
      <c r="O632" s="1190"/>
      <c r="P632" s="1190"/>
      <c r="Q632" s="1190"/>
      <c r="R632" s="1190"/>
      <c r="S632" s="1189"/>
      <c r="T632" s="1190"/>
      <c r="U632" s="1190"/>
      <c r="V632" s="1190"/>
      <c r="W632" s="1190"/>
      <c r="X632" s="1190"/>
      <c r="Y632" s="1190"/>
      <c r="Z632" s="1190"/>
      <c r="AA632" s="1190"/>
      <c r="AB632" s="1190"/>
      <c r="AC632" s="1190"/>
      <c r="AD632" s="1190"/>
      <c r="AE632" s="1190"/>
      <c r="AF632" s="1190"/>
      <c r="AG632" s="1748"/>
      <c r="AH632" s="1190"/>
      <c r="AI632" s="1748"/>
      <c r="AJ632" s="1190"/>
      <c r="AK632" s="1190"/>
      <c r="AL632" s="1190"/>
      <c r="AM632" s="1190"/>
      <c r="AN632" s="1190"/>
      <c r="AO632" s="1190"/>
      <c r="AP632" s="1190"/>
      <c r="AQ632" s="1190"/>
      <c r="AR632" s="1190"/>
      <c r="AS632" s="1190"/>
      <c r="AT632" s="1190"/>
      <c r="AU632" s="1190"/>
      <c r="AV632" s="1190"/>
      <c r="AW632" s="1190"/>
      <c r="AX632" s="1190"/>
      <c r="AY632" s="1190"/>
      <c r="AZ632" s="1190"/>
      <c r="BA632" s="1190"/>
      <c r="BB632" s="1190"/>
      <c r="BC632" s="1190"/>
      <c r="BD632" s="1190"/>
      <c r="BE632" s="1190"/>
      <c r="BF632" s="1190"/>
      <c r="BG632" s="1190"/>
      <c r="BH632" s="1190"/>
      <c r="BI632" s="1190"/>
      <c r="BJ632" s="1190"/>
      <c r="BK632" s="1190"/>
      <c r="BL632" s="1190"/>
      <c r="BM632" s="1190"/>
      <c r="BQ632" s="195"/>
      <c r="BR632" s="195"/>
      <c r="BT632" s="1005"/>
    </row>
    <row r="633" ht="15.75" customHeight="1">
      <c r="A633" s="195"/>
      <c r="B633" s="978"/>
      <c r="C633" s="2321"/>
      <c r="D633" s="1729"/>
      <c r="E633" s="1190"/>
      <c r="F633" s="1190"/>
      <c r="G633" s="1190"/>
      <c r="H633" s="1190"/>
      <c r="I633" s="1190"/>
      <c r="J633" s="1190"/>
      <c r="K633" s="1190"/>
      <c r="L633" s="1190"/>
      <c r="M633" s="1190"/>
      <c r="N633" s="1190"/>
      <c r="O633" s="1190"/>
      <c r="P633" s="1190"/>
      <c r="Q633" s="1190"/>
      <c r="R633" s="1190"/>
      <c r="S633" s="1189"/>
      <c r="T633" s="1190"/>
      <c r="U633" s="1190"/>
      <c r="V633" s="1190"/>
      <c r="W633" s="1190"/>
      <c r="X633" s="1190"/>
      <c r="Y633" s="1190"/>
      <c r="Z633" s="1190"/>
      <c r="AA633" s="1190"/>
      <c r="AB633" s="1190"/>
      <c r="AC633" s="1190"/>
      <c r="AD633" s="1190"/>
      <c r="AE633" s="1190"/>
      <c r="AF633" s="1190"/>
      <c r="AG633" s="1748"/>
      <c r="AH633" s="1190"/>
      <c r="AI633" s="1748"/>
      <c r="AJ633" s="1190"/>
      <c r="AK633" s="1190"/>
      <c r="AL633" s="1190"/>
      <c r="AM633" s="1190"/>
      <c r="AN633" s="1190"/>
      <c r="AO633" s="1190"/>
      <c r="AP633" s="1190"/>
      <c r="AQ633" s="1190"/>
      <c r="AR633" s="1190"/>
      <c r="AS633" s="1190"/>
      <c r="AT633" s="1190"/>
      <c r="AU633" s="1190"/>
      <c r="AV633" s="1190"/>
      <c r="AW633" s="1190"/>
      <c r="AX633" s="1190"/>
      <c r="AY633" s="1190"/>
      <c r="AZ633" s="1190"/>
      <c r="BA633" s="1190"/>
      <c r="BB633" s="1190"/>
      <c r="BC633" s="1190"/>
      <c r="BD633" s="1190"/>
      <c r="BE633" s="1190"/>
      <c r="BF633" s="1190"/>
      <c r="BG633" s="1190"/>
      <c r="BH633" s="1190"/>
      <c r="BI633" s="1190"/>
      <c r="BJ633" s="1190"/>
      <c r="BK633" s="1190"/>
      <c r="BL633" s="1190"/>
      <c r="BM633" s="1190"/>
      <c r="BQ633" s="195"/>
      <c r="BR633" s="195"/>
      <c r="BT633" s="1005"/>
    </row>
    <row r="634" ht="15.75" customHeight="1">
      <c r="A634" s="195"/>
      <c r="B634" s="978"/>
      <c r="C634" s="2321"/>
      <c r="D634" s="1729"/>
      <c r="E634" s="1190"/>
      <c r="F634" s="1190"/>
      <c r="G634" s="1190"/>
      <c r="H634" s="1190"/>
      <c r="I634" s="1190"/>
      <c r="J634" s="1190"/>
      <c r="K634" s="1190"/>
      <c r="L634" s="1190"/>
      <c r="M634" s="1190"/>
      <c r="N634" s="1190"/>
      <c r="O634" s="1190"/>
      <c r="P634" s="1190"/>
      <c r="Q634" s="1190"/>
      <c r="R634" s="1190"/>
      <c r="S634" s="1189"/>
      <c r="T634" s="1190"/>
      <c r="U634" s="1190"/>
      <c r="V634" s="1190"/>
      <c r="W634" s="1190"/>
      <c r="X634" s="1190"/>
      <c r="Y634" s="1190"/>
      <c r="Z634" s="1190"/>
      <c r="AA634" s="1190"/>
      <c r="AB634" s="1190"/>
      <c r="AC634" s="1190"/>
      <c r="AD634" s="1190"/>
      <c r="AE634" s="1190"/>
      <c r="AF634" s="1190"/>
      <c r="AG634" s="1748"/>
      <c r="AH634" s="1190"/>
      <c r="AI634" s="1748"/>
      <c r="AJ634" s="1190"/>
      <c r="AK634" s="1190"/>
      <c r="AL634" s="1190"/>
      <c r="AM634" s="1190"/>
      <c r="AN634" s="1190"/>
      <c r="AO634" s="1190"/>
      <c r="AP634" s="1190"/>
      <c r="AQ634" s="1190"/>
      <c r="AR634" s="1190"/>
      <c r="AS634" s="1190"/>
      <c r="AT634" s="1190"/>
      <c r="AU634" s="1190"/>
      <c r="AV634" s="1190"/>
      <c r="AW634" s="1190"/>
      <c r="AX634" s="1190"/>
      <c r="AY634" s="1190"/>
      <c r="AZ634" s="1190"/>
      <c r="BA634" s="1190"/>
      <c r="BB634" s="1190"/>
      <c r="BC634" s="1190"/>
      <c r="BD634" s="1190"/>
      <c r="BE634" s="1190"/>
      <c r="BF634" s="1190"/>
      <c r="BG634" s="1190"/>
      <c r="BH634" s="1190"/>
      <c r="BI634" s="1190"/>
      <c r="BJ634" s="1190"/>
      <c r="BK634" s="1190"/>
      <c r="BL634" s="1190"/>
      <c r="BM634" s="1190"/>
      <c r="BQ634" s="195"/>
      <c r="BR634" s="195"/>
      <c r="BT634" s="1005"/>
    </row>
    <row r="635" ht="15.75" customHeight="1">
      <c r="A635" s="195"/>
      <c r="B635" s="978"/>
      <c r="C635" s="2321"/>
      <c r="D635" s="1729"/>
      <c r="E635" s="1190"/>
      <c r="F635" s="1190"/>
      <c r="G635" s="1190"/>
      <c r="H635" s="1190"/>
      <c r="I635" s="1190"/>
      <c r="J635" s="1190"/>
      <c r="K635" s="1190"/>
      <c r="L635" s="1190"/>
      <c r="M635" s="1190"/>
      <c r="N635" s="1190"/>
      <c r="O635" s="1190"/>
      <c r="P635" s="1190"/>
      <c r="Q635" s="1190"/>
      <c r="R635" s="1190"/>
      <c r="S635" s="1189"/>
      <c r="T635" s="1190"/>
      <c r="U635" s="1190"/>
      <c r="V635" s="1190"/>
      <c r="W635" s="1190"/>
      <c r="X635" s="1190"/>
      <c r="Y635" s="1190"/>
      <c r="Z635" s="1190"/>
      <c r="AA635" s="1190"/>
      <c r="AB635" s="1190"/>
      <c r="AC635" s="1190"/>
      <c r="AD635" s="1190"/>
      <c r="AE635" s="1190"/>
      <c r="AF635" s="1190"/>
      <c r="AG635" s="1748"/>
      <c r="AH635" s="1190"/>
      <c r="AI635" s="1748"/>
      <c r="AJ635" s="1190"/>
      <c r="AK635" s="1190"/>
      <c r="AL635" s="1190"/>
      <c r="AM635" s="1190"/>
      <c r="AN635" s="1190"/>
      <c r="AO635" s="1190"/>
      <c r="AP635" s="1190"/>
      <c r="AQ635" s="1190"/>
      <c r="AR635" s="1190"/>
      <c r="AS635" s="1190"/>
      <c r="AT635" s="1190"/>
      <c r="AU635" s="1190"/>
      <c r="AV635" s="1190"/>
      <c r="AW635" s="1190"/>
      <c r="AX635" s="1190"/>
      <c r="AY635" s="1190"/>
      <c r="AZ635" s="1190"/>
      <c r="BA635" s="1190"/>
      <c r="BB635" s="1190"/>
      <c r="BC635" s="1190"/>
      <c r="BD635" s="1190"/>
      <c r="BE635" s="1190"/>
      <c r="BF635" s="1190"/>
      <c r="BG635" s="1190"/>
      <c r="BH635" s="1190"/>
      <c r="BI635" s="1190"/>
      <c r="BJ635" s="1190"/>
      <c r="BK635" s="1190"/>
      <c r="BL635" s="1190"/>
      <c r="BM635" s="1190"/>
      <c r="BQ635" s="195"/>
      <c r="BR635" s="195"/>
      <c r="BT635" s="1005"/>
    </row>
    <row r="636" ht="15.75" customHeight="1">
      <c r="A636" s="195"/>
      <c r="B636" s="978"/>
      <c r="C636" s="2321"/>
      <c r="D636" s="1729"/>
      <c r="E636" s="1190"/>
      <c r="F636" s="1190"/>
      <c r="G636" s="1190"/>
      <c r="H636" s="1190"/>
      <c r="I636" s="1190"/>
      <c r="J636" s="1190"/>
      <c r="K636" s="1190"/>
      <c r="L636" s="1190"/>
      <c r="M636" s="1190"/>
      <c r="N636" s="1190"/>
      <c r="O636" s="1190"/>
      <c r="P636" s="1190"/>
      <c r="Q636" s="1190"/>
      <c r="R636" s="1190"/>
      <c r="S636" s="1189"/>
      <c r="T636" s="1190"/>
      <c r="U636" s="1190"/>
      <c r="V636" s="1190"/>
      <c r="W636" s="1190"/>
      <c r="X636" s="1190"/>
      <c r="Y636" s="1190"/>
      <c r="Z636" s="1190"/>
      <c r="AA636" s="1190"/>
      <c r="AB636" s="1190"/>
      <c r="AC636" s="1190"/>
      <c r="AD636" s="1190"/>
      <c r="AE636" s="1190"/>
      <c r="AF636" s="1190"/>
      <c r="AG636" s="1748"/>
      <c r="AH636" s="1190"/>
      <c r="AI636" s="1748"/>
      <c r="AJ636" s="1190"/>
      <c r="AK636" s="1190"/>
      <c r="AL636" s="1190"/>
      <c r="AM636" s="1190"/>
      <c r="AN636" s="1190"/>
      <c r="AO636" s="1190"/>
      <c r="AP636" s="1190"/>
      <c r="AQ636" s="1190"/>
      <c r="AR636" s="1190"/>
      <c r="AS636" s="1190"/>
      <c r="AT636" s="1190"/>
      <c r="AU636" s="1190"/>
      <c r="AV636" s="1190"/>
      <c r="AW636" s="1190"/>
      <c r="AX636" s="1190"/>
      <c r="AY636" s="1190"/>
      <c r="AZ636" s="1190"/>
      <c r="BA636" s="1190"/>
      <c r="BB636" s="1190"/>
      <c r="BC636" s="1190"/>
      <c r="BD636" s="1190"/>
      <c r="BE636" s="1190"/>
      <c r="BF636" s="1190"/>
      <c r="BG636" s="1190"/>
      <c r="BH636" s="1190"/>
      <c r="BI636" s="1190"/>
      <c r="BJ636" s="1190"/>
      <c r="BK636" s="1190"/>
      <c r="BL636" s="1190"/>
      <c r="BM636" s="1190"/>
      <c r="BQ636" s="195"/>
      <c r="BR636" s="195"/>
      <c r="BT636" s="1005"/>
    </row>
    <row r="637" ht="15.75" customHeight="1">
      <c r="A637" s="195"/>
      <c r="B637" s="978"/>
      <c r="C637" s="2321"/>
      <c r="D637" s="1729"/>
      <c r="E637" s="1190"/>
      <c r="F637" s="1190"/>
      <c r="G637" s="1190"/>
      <c r="H637" s="1190"/>
      <c r="I637" s="1190"/>
      <c r="J637" s="1190"/>
      <c r="K637" s="1190"/>
      <c r="L637" s="1190"/>
      <c r="M637" s="1190"/>
      <c r="N637" s="1190"/>
      <c r="O637" s="1190"/>
      <c r="P637" s="1190"/>
      <c r="Q637" s="1190"/>
      <c r="R637" s="1190"/>
      <c r="S637" s="1189"/>
      <c r="T637" s="1190"/>
      <c r="U637" s="1190"/>
      <c r="V637" s="1190"/>
      <c r="W637" s="1190"/>
      <c r="X637" s="1190"/>
      <c r="Y637" s="1190"/>
      <c r="Z637" s="1190"/>
      <c r="AA637" s="1190"/>
      <c r="AB637" s="1190"/>
      <c r="AC637" s="1190"/>
      <c r="AD637" s="1190"/>
      <c r="AE637" s="1190"/>
      <c r="AF637" s="1190"/>
      <c r="AG637" s="1748"/>
      <c r="AH637" s="1190"/>
      <c r="AI637" s="1748"/>
      <c r="AJ637" s="1190"/>
      <c r="AK637" s="1190"/>
      <c r="AL637" s="1190"/>
      <c r="AM637" s="1190"/>
      <c r="AN637" s="1190"/>
      <c r="AO637" s="1190"/>
      <c r="AP637" s="1190"/>
      <c r="AQ637" s="1190"/>
      <c r="AR637" s="1190"/>
      <c r="AS637" s="1190"/>
      <c r="AT637" s="1190"/>
      <c r="AU637" s="1190"/>
      <c r="AV637" s="1190"/>
      <c r="AW637" s="1190"/>
      <c r="AX637" s="1190"/>
      <c r="AY637" s="1190"/>
      <c r="AZ637" s="1190"/>
      <c r="BA637" s="1190"/>
      <c r="BB637" s="1190"/>
      <c r="BC637" s="1190"/>
      <c r="BD637" s="1190"/>
      <c r="BE637" s="1190"/>
      <c r="BF637" s="1190"/>
      <c r="BG637" s="1190"/>
      <c r="BH637" s="1190"/>
      <c r="BI637" s="1190"/>
      <c r="BJ637" s="1190"/>
      <c r="BK637" s="1190"/>
      <c r="BL637" s="1190"/>
      <c r="BM637" s="1190"/>
      <c r="BQ637" s="195"/>
      <c r="BR637" s="195"/>
      <c r="BT637" s="1005"/>
    </row>
    <row r="638" ht="15.75" customHeight="1">
      <c r="A638" s="195"/>
      <c r="B638" s="978"/>
      <c r="C638" s="2321"/>
      <c r="D638" s="1729"/>
      <c r="E638" s="1190"/>
      <c r="F638" s="1190"/>
      <c r="G638" s="1190"/>
      <c r="H638" s="1190"/>
      <c r="I638" s="1190"/>
      <c r="J638" s="1190"/>
      <c r="K638" s="1190"/>
      <c r="L638" s="1190"/>
      <c r="M638" s="1190"/>
      <c r="N638" s="1190"/>
      <c r="O638" s="1190"/>
      <c r="P638" s="1190"/>
      <c r="Q638" s="1190"/>
      <c r="R638" s="1190"/>
      <c r="S638" s="1189"/>
      <c r="T638" s="1190"/>
      <c r="U638" s="1190"/>
      <c r="V638" s="1190"/>
      <c r="W638" s="1190"/>
      <c r="X638" s="1190"/>
      <c r="Y638" s="1190"/>
      <c r="Z638" s="1190"/>
      <c r="AA638" s="1190"/>
      <c r="AB638" s="1190"/>
      <c r="AC638" s="1190"/>
      <c r="AD638" s="1190"/>
      <c r="AE638" s="1190"/>
      <c r="AF638" s="1190"/>
      <c r="AG638" s="1748"/>
      <c r="AH638" s="1190"/>
      <c r="AI638" s="1748"/>
      <c r="AJ638" s="1190"/>
      <c r="AK638" s="1190"/>
      <c r="AL638" s="1190"/>
      <c r="AM638" s="1190"/>
      <c r="AN638" s="1190"/>
      <c r="AO638" s="1190"/>
      <c r="AP638" s="1190"/>
      <c r="AQ638" s="1190"/>
      <c r="AR638" s="1190"/>
      <c r="AS638" s="1190"/>
      <c r="AT638" s="1190"/>
      <c r="AU638" s="1190"/>
      <c r="AV638" s="1190"/>
      <c r="AW638" s="1190"/>
      <c r="AX638" s="1190"/>
      <c r="AY638" s="1190"/>
      <c r="AZ638" s="1190"/>
      <c r="BA638" s="1190"/>
      <c r="BB638" s="1190"/>
      <c r="BC638" s="1190"/>
      <c r="BD638" s="1190"/>
      <c r="BE638" s="1190"/>
      <c r="BF638" s="1190"/>
      <c r="BG638" s="1190"/>
      <c r="BH638" s="1190"/>
      <c r="BI638" s="1190"/>
      <c r="BJ638" s="1190"/>
      <c r="BK638" s="1190"/>
      <c r="BL638" s="1190"/>
      <c r="BM638" s="1190"/>
      <c r="BQ638" s="195"/>
      <c r="BR638" s="195"/>
      <c r="BT638" s="1005"/>
    </row>
    <row r="639" ht="15.75" customHeight="1">
      <c r="A639" s="195"/>
      <c r="B639" s="978"/>
      <c r="C639" s="2321"/>
      <c r="D639" s="1729"/>
      <c r="E639" s="1190"/>
      <c r="F639" s="1190"/>
      <c r="G639" s="1190"/>
      <c r="H639" s="1190"/>
      <c r="I639" s="1190"/>
      <c r="J639" s="1190"/>
      <c r="K639" s="1190"/>
      <c r="L639" s="1190"/>
      <c r="M639" s="1190"/>
      <c r="N639" s="1190"/>
      <c r="O639" s="1190"/>
      <c r="P639" s="1190"/>
      <c r="Q639" s="1190"/>
      <c r="R639" s="1190"/>
      <c r="S639" s="1189"/>
      <c r="T639" s="1190"/>
      <c r="U639" s="1190"/>
      <c r="V639" s="1190"/>
      <c r="W639" s="1190"/>
      <c r="X639" s="1190"/>
      <c r="Y639" s="1190"/>
      <c r="Z639" s="1190"/>
      <c r="AA639" s="1190"/>
      <c r="AB639" s="1190"/>
      <c r="AC639" s="1190"/>
      <c r="AD639" s="1190"/>
      <c r="AE639" s="1190"/>
      <c r="AF639" s="1190"/>
      <c r="AG639" s="1748"/>
      <c r="AH639" s="1190"/>
      <c r="AI639" s="1748"/>
      <c r="AJ639" s="1190"/>
      <c r="AK639" s="1190"/>
      <c r="AL639" s="1190"/>
      <c r="AM639" s="1190"/>
      <c r="AN639" s="1190"/>
      <c r="AO639" s="1190"/>
      <c r="AP639" s="1190"/>
      <c r="AQ639" s="1190"/>
      <c r="AR639" s="1190"/>
      <c r="AS639" s="1190"/>
      <c r="AT639" s="1190"/>
      <c r="AU639" s="1190"/>
      <c r="AV639" s="1190"/>
      <c r="AW639" s="1190"/>
      <c r="AX639" s="1190"/>
      <c r="AY639" s="1190"/>
      <c r="AZ639" s="1190"/>
      <c r="BA639" s="1190"/>
      <c r="BB639" s="1190"/>
      <c r="BC639" s="1190"/>
      <c r="BD639" s="1190"/>
      <c r="BE639" s="1190"/>
      <c r="BF639" s="1190"/>
      <c r="BG639" s="1190"/>
      <c r="BH639" s="1190"/>
      <c r="BI639" s="1190"/>
      <c r="BJ639" s="1190"/>
      <c r="BK639" s="1190"/>
      <c r="BL639" s="1190"/>
      <c r="BM639" s="1190"/>
      <c r="BQ639" s="195"/>
      <c r="BR639" s="195"/>
      <c r="BT639" s="1005"/>
    </row>
    <row r="640" ht="15.75" customHeight="1">
      <c r="A640" s="195"/>
      <c r="B640" s="978"/>
      <c r="C640" s="2321"/>
      <c r="D640" s="1729"/>
      <c r="E640" s="1190"/>
      <c r="F640" s="1190"/>
      <c r="G640" s="1190"/>
      <c r="H640" s="1190"/>
      <c r="I640" s="1190"/>
      <c r="J640" s="1190"/>
      <c r="K640" s="1190"/>
      <c r="L640" s="1190"/>
      <c r="M640" s="1190"/>
      <c r="N640" s="1190"/>
      <c r="O640" s="1190"/>
      <c r="P640" s="1190"/>
      <c r="Q640" s="1190"/>
      <c r="R640" s="1190"/>
      <c r="S640" s="1189"/>
      <c r="T640" s="1190"/>
      <c r="U640" s="1190"/>
      <c r="V640" s="1190"/>
      <c r="W640" s="1190"/>
      <c r="X640" s="1190"/>
      <c r="Y640" s="1190"/>
      <c r="Z640" s="1190"/>
      <c r="AA640" s="1190"/>
      <c r="AB640" s="1190"/>
      <c r="AC640" s="1190"/>
      <c r="AD640" s="1190"/>
      <c r="AE640" s="1190"/>
      <c r="AF640" s="1190"/>
      <c r="AG640" s="1748"/>
      <c r="AH640" s="1190"/>
      <c r="AI640" s="1748"/>
      <c r="AJ640" s="1190"/>
      <c r="AK640" s="1190"/>
      <c r="AL640" s="1190"/>
      <c r="AM640" s="1190"/>
      <c r="AN640" s="1190"/>
      <c r="AO640" s="1190"/>
      <c r="AP640" s="1190"/>
      <c r="AQ640" s="1190"/>
      <c r="AR640" s="1190"/>
      <c r="AS640" s="1190"/>
      <c r="AT640" s="1190"/>
      <c r="AU640" s="1190"/>
      <c r="AV640" s="1190"/>
      <c r="AW640" s="1190"/>
      <c r="AX640" s="1190"/>
      <c r="AY640" s="1190"/>
      <c r="AZ640" s="1190"/>
      <c r="BA640" s="1190"/>
      <c r="BB640" s="1190"/>
      <c r="BC640" s="1190"/>
      <c r="BD640" s="1190"/>
      <c r="BE640" s="1190"/>
      <c r="BF640" s="1190"/>
      <c r="BG640" s="1190"/>
      <c r="BH640" s="1190"/>
      <c r="BI640" s="1190"/>
      <c r="BJ640" s="1190"/>
      <c r="BK640" s="1190"/>
      <c r="BL640" s="1190"/>
      <c r="BM640" s="1190"/>
      <c r="BQ640" s="195"/>
      <c r="BR640" s="195"/>
      <c r="BT640" s="1005"/>
    </row>
    <row r="641" ht="15.75" customHeight="1">
      <c r="A641" s="195"/>
      <c r="B641" s="978"/>
      <c r="C641" s="2321"/>
      <c r="D641" s="1729"/>
      <c r="E641" s="1190"/>
      <c r="F641" s="1190"/>
      <c r="G641" s="1190"/>
      <c r="H641" s="1190"/>
      <c r="I641" s="1190"/>
      <c r="J641" s="1190"/>
      <c r="K641" s="1190"/>
      <c r="L641" s="1190"/>
      <c r="M641" s="1190"/>
      <c r="N641" s="1190"/>
      <c r="O641" s="1190"/>
      <c r="P641" s="1190"/>
      <c r="Q641" s="1190"/>
      <c r="R641" s="1190"/>
      <c r="S641" s="1189"/>
      <c r="T641" s="1190"/>
      <c r="U641" s="1190"/>
      <c r="V641" s="1190"/>
      <c r="W641" s="1190"/>
      <c r="X641" s="1190"/>
      <c r="Y641" s="1190"/>
      <c r="Z641" s="1190"/>
      <c r="AA641" s="1190"/>
      <c r="AB641" s="1190"/>
      <c r="AC641" s="1190"/>
      <c r="AD641" s="1190"/>
      <c r="AE641" s="1190"/>
      <c r="AF641" s="1190"/>
      <c r="AG641" s="1748"/>
      <c r="AH641" s="1190"/>
      <c r="AI641" s="1748"/>
      <c r="AJ641" s="1190"/>
      <c r="AK641" s="1190"/>
      <c r="AL641" s="1190"/>
      <c r="AM641" s="1190"/>
      <c r="AN641" s="1190"/>
      <c r="AO641" s="1190"/>
      <c r="AP641" s="1190"/>
      <c r="AQ641" s="1190"/>
      <c r="AR641" s="1190"/>
      <c r="AS641" s="1190"/>
      <c r="AT641" s="1190"/>
      <c r="AU641" s="1190"/>
      <c r="AV641" s="1190"/>
      <c r="AW641" s="1190"/>
      <c r="AX641" s="1190"/>
      <c r="AY641" s="1190"/>
      <c r="AZ641" s="1190"/>
      <c r="BA641" s="1190"/>
      <c r="BB641" s="1190"/>
      <c r="BC641" s="1190"/>
      <c r="BD641" s="1190"/>
      <c r="BE641" s="1190"/>
      <c r="BF641" s="1190"/>
      <c r="BG641" s="1190"/>
      <c r="BH641" s="1190"/>
      <c r="BI641" s="1190"/>
      <c r="BJ641" s="1190"/>
      <c r="BK641" s="1190"/>
      <c r="BL641" s="1190"/>
      <c r="BM641" s="1190"/>
      <c r="BQ641" s="195"/>
      <c r="BR641" s="195"/>
      <c r="BT641" s="1005"/>
    </row>
    <row r="642" ht="15.75" customHeight="1">
      <c r="A642" s="195"/>
      <c r="B642" s="978"/>
      <c r="C642" s="2321"/>
      <c r="D642" s="1729"/>
      <c r="E642" s="1190"/>
      <c r="F642" s="1190"/>
      <c r="G642" s="1190"/>
      <c r="H642" s="1190"/>
      <c r="I642" s="1190"/>
      <c r="J642" s="1190"/>
      <c r="K642" s="1190"/>
      <c r="L642" s="1190"/>
      <c r="M642" s="1190"/>
      <c r="N642" s="1190"/>
      <c r="O642" s="1190"/>
      <c r="P642" s="1190"/>
      <c r="Q642" s="1190"/>
      <c r="R642" s="1190"/>
      <c r="S642" s="1189"/>
      <c r="T642" s="1190"/>
      <c r="U642" s="1190"/>
      <c r="V642" s="1190"/>
      <c r="W642" s="1190"/>
      <c r="X642" s="1190"/>
      <c r="Y642" s="1190"/>
      <c r="Z642" s="1190"/>
      <c r="AA642" s="1190"/>
      <c r="AB642" s="1190"/>
      <c r="AC642" s="1190"/>
      <c r="AD642" s="1190"/>
      <c r="AE642" s="1190"/>
      <c r="AF642" s="1190"/>
      <c r="AG642" s="1748"/>
      <c r="AH642" s="1190"/>
      <c r="AI642" s="1748"/>
      <c r="AJ642" s="1190"/>
      <c r="AK642" s="1190"/>
      <c r="AL642" s="1190"/>
      <c r="AM642" s="1190"/>
      <c r="AN642" s="1190"/>
      <c r="AO642" s="1190"/>
      <c r="AP642" s="1190"/>
      <c r="AQ642" s="1190"/>
      <c r="AR642" s="1190"/>
      <c r="AS642" s="1190"/>
      <c r="AT642" s="1190"/>
      <c r="AU642" s="1190"/>
      <c r="AV642" s="1190"/>
      <c r="AW642" s="1190"/>
      <c r="AX642" s="1190"/>
      <c r="AY642" s="1190"/>
      <c r="AZ642" s="1190"/>
      <c r="BA642" s="1190"/>
      <c r="BB642" s="1190"/>
      <c r="BC642" s="1190"/>
      <c r="BD642" s="1190"/>
      <c r="BE642" s="1190"/>
      <c r="BF642" s="1190"/>
      <c r="BG642" s="1190"/>
      <c r="BH642" s="1190"/>
      <c r="BI642" s="1190"/>
      <c r="BJ642" s="1190"/>
      <c r="BK642" s="1190"/>
      <c r="BL642" s="1190"/>
      <c r="BM642" s="1190"/>
      <c r="BQ642" s="195"/>
      <c r="BR642" s="195"/>
      <c r="BT642" s="1005"/>
    </row>
    <row r="643" ht="15.75" customHeight="1">
      <c r="A643" s="195"/>
      <c r="B643" s="978"/>
      <c r="C643" s="2321"/>
      <c r="D643" s="1729"/>
      <c r="E643" s="1190"/>
      <c r="F643" s="1190"/>
      <c r="G643" s="1190"/>
      <c r="H643" s="1190"/>
      <c r="I643" s="1190"/>
      <c r="J643" s="1190"/>
      <c r="K643" s="1190"/>
      <c r="L643" s="1190"/>
      <c r="M643" s="1190"/>
      <c r="N643" s="1190"/>
      <c r="O643" s="1190"/>
      <c r="P643" s="1190"/>
      <c r="Q643" s="1190"/>
      <c r="R643" s="1190"/>
      <c r="S643" s="1189"/>
      <c r="T643" s="1190"/>
      <c r="U643" s="1190"/>
      <c r="V643" s="1190"/>
      <c r="W643" s="1190"/>
      <c r="X643" s="1190"/>
      <c r="Y643" s="1190"/>
      <c r="Z643" s="1190"/>
      <c r="AA643" s="1190"/>
      <c r="AB643" s="1190"/>
      <c r="AC643" s="1190"/>
      <c r="AD643" s="1190"/>
      <c r="AE643" s="1190"/>
      <c r="AF643" s="1190"/>
      <c r="AG643" s="1748"/>
      <c r="AH643" s="1190"/>
      <c r="AI643" s="1748"/>
      <c r="AJ643" s="1190"/>
      <c r="AK643" s="1190"/>
      <c r="AL643" s="1190"/>
      <c r="AM643" s="1190"/>
      <c r="AN643" s="1190"/>
      <c r="AO643" s="1190"/>
      <c r="AP643" s="1190"/>
      <c r="AQ643" s="1190"/>
      <c r="AR643" s="1190"/>
      <c r="AS643" s="1190"/>
      <c r="AT643" s="1190"/>
      <c r="AU643" s="1190"/>
      <c r="AV643" s="1190"/>
      <c r="AW643" s="1190"/>
      <c r="AX643" s="1190"/>
      <c r="AY643" s="1190"/>
      <c r="AZ643" s="1190"/>
      <c r="BA643" s="1190"/>
      <c r="BB643" s="1190"/>
      <c r="BC643" s="1190"/>
      <c r="BD643" s="1190"/>
      <c r="BE643" s="1190"/>
      <c r="BF643" s="1190"/>
      <c r="BG643" s="1190"/>
      <c r="BH643" s="1190"/>
      <c r="BI643" s="1190"/>
      <c r="BJ643" s="1190"/>
      <c r="BK643" s="1190"/>
      <c r="BL643" s="1190"/>
      <c r="BM643" s="1190"/>
      <c r="BQ643" s="195"/>
      <c r="BR643" s="195"/>
      <c r="BT643" s="1005"/>
    </row>
    <row r="644" ht="15.75" customHeight="1">
      <c r="A644" s="195"/>
      <c r="B644" s="978"/>
      <c r="C644" s="2321"/>
      <c r="D644" s="1729"/>
      <c r="E644" s="1190"/>
      <c r="F644" s="1190"/>
      <c r="G644" s="1190"/>
      <c r="H644" s="1190"/>
      <c r="I644" s="1190"/>
      <c r="J644" s="1190"/>
      <c r="K644" s="1190"/>
      <c r="L644" s="1190"/>
      <c r="M644" s="1190"/>
      <c r="N644" s="1190"/>
      <c r="O644" s="1190"/>
      <c r="P644" s="1190"/>
      <c r="Q644" s="1190"/>
      <c r="R644" s="1190"/>
      <c r="S644" s="1189"/>
      <c r="T644" s="1190"/>
      <c r="U644" s="1190"/>
      <c r="V644" s="1190"/>
      <c r="W644" s="1190"/>
      <c r="X644" s="1190"/>
      <c r="Y644" s="1190"/>
      <c r="Z644" s="1190"/>
      <c r="AA644" s="1190"/>
      <c r="AB644" s="1190"/>
      <c r="AC644" s="1190"/>
      <c r="AD644" s="1190"/>
      <c r="AE644" s="1190"/>
      <c r="AF644" s="1190"/>
      <c r="AG644" s="1748"/>
      <c r="AH644" s="1190"/>
      <c r="AI644" s="1748"/>
      <c r="AJ644" s="1190"/>
      <c r="AK644" s="1190"/>
      <c r="AL644" s="1190"/>
      <c r="AM644" s="1190"/>
      <c r="AN644" s="1190"/>
      <c r="AO644" s="1190"/>
      <c r="AP644" s="1190"/>
      <c r="AQ644" s="1190"/>
      <c r="AR644" s="1190"/>
      <c r="AS644" s="1190"/>
      <c r="AT644" s="1190"/>
      <c r="AU644" s="1190"/>
      <c r="AV644" s="1190"/>
      <c r="AW644" s="1190"/>
      <c r="AX644" s="1190"/>
      <c r="AY644" s="1190"/>
      <c r="AZ644" s="1190"/>
      <c r="BA644" s="1190"/>
      <c r="BB644" s="1190"/>
      <c r="BC644" s="1190"/>
      <c r="BD644" s="1190"/>
      <c r="BE644" s="1190"/>
      <c r="BF644" s="1190"/>
      <c r="BG644" s="1190"/>
      <c r="BH644" s="1190"/>
      <c r="BI644" s="1190"/>
      <c r="BJ644" s="1190"/>
      <c r="BK644" s="1190"/>
      <c r="BL644" s="1190"/>
      <c r="BM644" s="1190"/>
      <c r="BQ644" s="195"/>
      <c r="BR644" s="195"/>
      <c r="BT644" s="1005"/>
    </row>
    <row r="645" ht="15.75" customHeight="1">
      <c r="A645" s="195"/>
      <c r="B645" s="978"/>
      <c r="C645" s="2321"/>
      <c r="D645" s="1729"/>
      <c r="E645" s="1190"/>
      <c r="F645" s="1190"/>
      <c r="G645" s="1190"/>
      <c r="H645" s="1190"/>
      <c r="I645" s="1190"/>
      <c r="J645" s="1190"/>
      <c r="K645" s="1190"/>
      <c r="L645" s="1190"/>
      <c r="M645" s="1190"/>
      <c r="N645" s="1190"/>
      <c r="O645" s="1190"/>
      <c r="P645" s="1190"/>
      <c r="Q645" s="1190"/>
      <c r="R645" s="1190"/>
      <c r="S645" s="1189"/>
      <c r="T645" s="1190"/>
      <c r="U645" s="1190"/>
      <c r="V645" s="1190"/>
      <c r="W645" s="1190"/>
      <c r="X645" s="1190"/>
      <c r="Y645" s="1190"/>
      <c r="Z645" s="1190"/>
      <c r="AA645" s="1190"/>
      <c r="AB645" s="1190"/>
      <c r="AC645" s="1190"/>
      <c r="AD645" s="1190"/>
      <c r="AE645" s="1190"/>
      <c r="AF645" s="1190"/>
      <c r="AG645" s="1748"/>
      <c r="AH645" s="1190"/>
      <c r="AI645" s="1748"/>
      <c r="AJ645" s="1190"/>
      <c r="AK645" s="1190"/>
      <c r="AL645" s="1190"/>
      <c r="AM645" s="1190"/>
      <c r="AN645" s="1190"/>
      <c r="AO645" s="1190"/>
      <c r="AP645" s="1190"/>
      <c r="AQ645" s="1190"/>
      <c r="AR645" s="1190"/>
      <c r="AS645" s="1190"/>
      <c r="AT645" s="1190"/>
      <c r="AU645" s="1190"/>
      <c r="AV645" s="1190"/>
      <c r="AW645" s="1190"/>
      <c r="AX645" s="1190"/>
      <c r="AY645" s="1190"/>
      <c r="AZ645" s="1190"/>
      <c r="BA645" s="1190"/>
      <c r="BB645" s="1190"/>
      <c r="BC645" s="1190"/>
      <c r="BD645" s="1190"/>
      <c r="BE645" s="1190"/>
      <c r="BF645" s="1190"/>
      <c r="BG645" s="1190"/>
      <c r="BH645" s="1190"/>
      <c r="BI645" s="1190"/>
      <c r="BJ645" s="1190"/>
      <c r="BK645" s="1190"/>
      <c r="BL645" s="1190"/>
      <c r="BM645" s="1190"/>
      <c r="BQ645" s="195"/>
      <c r="BR645" s="195"/>
      <c r="BT645" s="1005"/>
    </row>
    <row r="646" ht="15.75" customHeight="1">
      <c r="A646" s="195"/>
      <c r="B646" s="978"/>
      <c r="C646" s="2321"/>
      <c r="D646" s="1729"/>
      <c r="E646" s="1190"/>
      <c r="F646" s="1190"/>
      <c r="G646" s="1190"/>
      <c r="H646" s="1190"/>
      <c r="I646" s="1190"/>
      <c r="J646" s="1190"/>
      <c r="K646" s="1190"/>
      <c r="L646" s="1190"/>
      <c r="M646" s="1190"/>
      <c r="N646" s="1190"/>
      <c r="O646" s="1190"/>
      <c r="P646" s="1190"/>
      <c r="Q646" s="1190"/>
      <c r="R646" s="1190"/>
      <c r="S646" s="1189"/>
      <c r="T646" s="1190"/>
      <c r="U646" s="1190"/>
      <c r="V646" s="1190"/>
      <c r="W646" s="1190"/>
      <c r="X646" s="1190"/>
      <c r="Y646" s="1190"/>
      <c r="Z646" s="1190"/>
      <c r="AA646" s="1190"/>
      <c r="AB646" s="1190"/>
      <c r="AC646" s="1190"/>
      <c r="AD646" s="1190"/>
      <c r="AE646" s="1190"/>
      <c r="AF646" s="1190"/>
      <c r="AG646" s="1748"/>
      <c r="AH646" s="1190"/>
      <c r="AI646" s="1748"/>
      <c r="AJ646" s="1190"/>
      <c r="AK646" s="1190"/>
      <c r="AL646" s="1190"/>
      <c r="AM646" s="1190"/>
      <c r="AN646" s="1190"/>
      <c r="AO646" s="1190"/>
      <c r="AP646" s="1190"/>
      <c r="AQ646" s="1190"/>
      <c r="AR646" s="1190"/>
      <c r="AS646" s="1190"/>
      <c r="AT646" s="1190"/>
      <c r="AU646" s="1190"/>
      <c r="AV646" s="1190"/>
      <c r="AW646" s="1190"/>
      <c r="AX646" s="1190"/>
      <c r="AY646" s="1190"/>
      <c r="AZ646" s="1190"/>
      <c r="BA646" s="1190"/>
      <c r="BB646" s="1190"/>
      <c r="BC646" s="1190"/>
      <c r="BD646" s="1190"/>
      <c r="BE646" s="1190"/>
      <c r="BF646" s="1190"/>
      <c r="BG646" s="1190"/>
      <c r="BH646" s="1190"/>
      <c r="BI646" s="1190"/>
      <c r="BJ646" s="1190"/>
      <c r="BK646" s="1190"/>
      <c r="BL646" s="1190"/>
      <c r="BM646" s="1190"/>
      <c r="BQ646" s="195"/>
      <c r="BR646" s="195"/>
      <c r="BT646" s="1005"/>
    </row>
    <row r="647" ht="15.75" customHeight="1">
      <c r="A647" s="195"/>
      <c r="B647" s="978"/>
      <c r="C647" s="2321"/>
      <c r="D647" s="1729"/>
      <c r="E647" s="1190"/>
      <c r="F647" s="1190"/>
      <c r="G647" s="1190"/>
      <c r="H647" s="1190"/>
      <c r="I647" s="1190"/>
      <c r="J647" s="1190"/>
      <c r="K647" s="1190"/>
      <c r="L647" s="1190"/>
      <c r="M647" s="1190"/>
      <c r="N647" s="1190"/>
      <c r="O647" s="1190"/>
      <c r="P647" s="1190"/>
      <c r="Q647" s="1190"/>
      <c r="R647" s="1190"/>
      <c r="S647" s="1189"/>
      <c r="T647" s="1190"/>
      <c r="U647" s="1190"/>
      <c r="V647" s="1190"/>
      <c r="W647" s="1190"/>
      <c r="X647" s="1190"/>
      <c r="Y647" s="1190"/>
      <c r="Z647" s="1190"/>
      <c r="AA647" s="1190"/>
      <c r="AB647" s="1190"/>
      <c r="AC647" s="1190"/>
      <c r="AD647" s="1190"/>
      <c r="AE647" s="1190"/>
      <c r="AF647" s="1190"/>
      <c r="AG647" s="1748"/>
      <c r="AH647" s="1190"/>
      <c r="AI647" s="1748"/>
      <c r="AJ647" s="1190"/>
      <c r="AK647" s="1190"/>
      <c r="AL647" s="1190"/>
      <c r="AM647" s="1190"/>
      <c r="AN647" s="1190"/>
      <c r="AO647" s="1190"/>
      <c r="AP647" s="1190"/>
      <c r="AQ647" s="1190"/>
      <c r="AR647" s="1190"/>
      <c r="AS647" s="1190"/>
      <c r="AT647" s="1190"/>
      <c r="AU647" s="1190"/>
      <c r="AV647" s="1190"/>
      <c r="AW647" s="1190"/>
      <c r="AX647" s="1190"/>
      <c r="AY647" s="1190"/>
      <c r="AZ647" s="1190"/>
      <c r="BA647" s="1190"/>
      <c r="BB647" s="1190"/>
      <c r="BC647" s="1190"/>
      <c r="BD647" s="1190"/>
      <c r="BE647" s="1190"/>
      <c r="BF647" s="1190"/>
      <c r="BG647" s="1190"/>
      <c r="BH647" s="1190"/>
      <c r="BI647" s="1190"/>
      <c r="BJ647" s="1190"/>
      <c r="BK647" s="1190"/>
      <c r="BL647" s="1190"/>
      <c r="BM647" s="1190"/>
      <c r="BQ647" s="195"/>
      <c r="BR647" s="195"/>
      <c r="BT647" s="1005"/>
    </row>
    <row r="648" ht="15.75" customHeight="1">
      <c r="A648" s="195"/>
      <c r="B648" s="978"/>
      <c r="C648" s="2321"/>
      <c r="D648" s="1729"/>
      <c r="E648" s="1190"/>
      <c r="F648" s="1190"/>
      <c r="G648" s="1190"/>
      <c r="H648" s="1190"/>
      <c r="I648" s="1190"/>
      <c r="J648" s="1190"/>
      <c r="K648" s="1190"/>
      <c r="L648" s="1190"/>
      <c r="M648" s="1190"/>
      <c r="N648" s="1190"/>
      <c r="O648" s="1190"/>
      <c r="P648" s="1190"/>
      <c r="Q648" s="1190"/>
      <c r="R648" s="1190"/>
      <c r="S648" s="1189"/>
      <c r="T648" s="1190"/>
      <c r="U648" s="1190"/>
      <c r="V648" s="1190"/>
      <c r="W648" s="1190"/>
      <c r="X648" s="1190"/>
      <c r="Y648" s="1190"/>
      <c r="Z648" s="1190"/>
      <c r="AA648" s="1190"/>
      <c r="AB648" s="1190"/>
      <c r="AC648" s="1190"/>
      <c r="AD648" s="1190"/>
      <c r="AE648" s="1190"/>
      <c r="AF648" s="1190"/>
      <c r="AG648" s="1748"/>
      <c r="AH648" s="1190"/>
      <c r="AI648" s="1748"/>
      <c r="AJ648" s="1190"/>
      <c r="AK648" s="1190"/>
      <c r="AL648" s="1190"/>
      <c r="AM648" s="1190"/>
      <c r="AN648" s="1190"/>
      <c r="AO648" s="1190"/>
      <c r="AP648" s="1190"/>
      <c r="AQ648" s="1190"/>
      <c r="AR648" s="1190"/>
      <c r="AS648" s="1190"/>
      <c r="AT648" s="1190"/>
      <c r="AU648" s="1190"/>
      <c r="AV648" s="1190"/>
      <c r="AW648" s="1190"/>
      <c r="AX648" s="1190"/>
      <c r="AY648" s="1190"/>
      <c r="AZ648" s="1190"/>
      <c r="BA648" s="1190"/>
      <c r="BB648" s="1190"/>
      <c r="BC648" s="1190"/>
      <c r="BD648" s="1190"/>
      <c r="BE648" s="1190"/>
      <c r="BF648" s="1190"/>
      <c r="BG648" s="1190"/>
      <c r="BH648" s="1190"/>
      <c r="BI648" s="1190"/>
      <c r="BJ648" s="1190"/>
      <c r="BK648" s="1190"/>
      <c r="BL648" s="1190"/>
      <c r="BM648" s="1190"/>
      <c r="BQ648" s="195"/>
      <c r="BR648" s="195"/>
      <c r="BT648" s="1005"/>
    </row>
    <row r="649" ht="15.75" customHeight="1">
      <c r="A649" s="195"/>
      <c r="B649" s="978"/>
      <c r="C649" s="2321"/>
      <c r="D649" s="1729"/>
      <c r="E649" s="1190"/>
      <c r="F649" s="1190"/>
      <c r="G649" s="1190"/>
      <c r="H649" s="1190"/>
      <c r="I649" s="1190"/>
      <c r="J649" s="1190"/>
      <c r="K649" s="1190"/>
      <c r="L649" s="1190"/>
      <c r="M649" s="1190"/>
      <c r="N649" s="1190"/>
      <c r="O649" s="1190"/>
      <c r="P649" s="1190"/>
      <c r="Q649" s="1190"/>
      <c r="R649" s="1190"/>
      <c r="S649" s="1189"/>
      <c r="T649" s="1190"/>
      <c r="U649" s="1190"/>
      <c r="V649" s="1190"/>
      <c r="W649" s="1190"/>
      <c r="X649" s="1190"/>
      <c r="Y649" s="1190"/>
      <c r="Z649" s="1190"/>
      <c r="AA649" s="1190"/>
      <c r="AB649" s="1190"/>
      <c r="AC649" s="1190"/>
      <c r="AD649" s="1190"/>
      <c r="AE649" s="1190"/>
      <c r="AF649" s="1190"/>
      <c r="AG649" s="1748"/>
      <c r="AH649" s="1190"/>
      <c r="AI649" s="1748"/>
      <c r="AJ649" s="1190"/>
      <c r="AK649" s="1190"/>
      <c r="AL649" s="1190"/>
      <c r="AM649" s="1190"/>
      <c r="AN649" s="1190"/>
      <c r="AO649" s="1190"/>
      <c r="AP649" s="1190"/>
      <c r="AQ649" s="1190"/>
      <c r="AR649" s="1190"/>
      <c r="AS649" s="1190"/>
      <c r="AT649" s="1190"/>
      <c r="AU649" s="1190"/>
      <c r="AV649" s="1190"/>
      <c r="AW649" s="1190"/>
      <c r="AX649" s="1190"/>
      <c r="AY649" s="1190"/>
      <c r="AZ649" s="1190"/>
      <c r="BA649" s="1190"/>
      <c r="BB649" s="1190"/>
      <c r="BC649" s="1190"/>
      <c r="BD649" s="1190"/>
      <c r="BE649" s="1190"/>
      <c r="BF649" s="1190"/>
      <c r="BG649" s="1190"/>
      <c r="BH649" s="1190"/>
      <c r="BI649" s="1190"/>
      <c r="BJ649" s="1190"/>
      <c r="BK649" s="1190"/>
      <c r="BL649" s="1190"/>
      <c r="BM649" s="1190"/>
      <c r="BQ649" s="195"/>
      <c r="BR649" s="195"/>
      <c r="BT649" s="1005"/>
    </row>
    <row r="650" ht="15.75" customHeight="1">
      <c r="A650" s="195"/>
      <c r="B650" s="978"/>
      <c r="C650" s="2321"/>
      <c r="D650" s="1729"/>
      <c r="E650" s="1190"/>
      <c r="F650" s="1190"/>
      <c r="G650" s="1190"/>
      <c r="H650" s="1190"/>
      <c r="I650" s="1190"/>
      <c r="J650" s="1190"/>
      <c r="K650" s="1190"/>
      <c r="L650" s="1190"/>
      <c r="M650" s="1190"/>
      <c r="N650" s="1190"/>
      <c r="O650" s="1190"/>
      <c r="P650" s="1190"/>
      <c r="Q650" s="1190"/>
      <c r="R650" s="1190"/>
      <c r="S650" s="1189"/>
      <c r="T650" s="1190"/>
      <c r="U650" s="1190"/>
      <c r="V650" s="1190"/>
      <c r="W650" s="1190"/>
      <c r="X650" s="1190"/>
      <c r="Y650" s="1190"/>
      <c r="Z650" s="1190"/>
      <c r="AA650" s="1190"/>
      <c r="AB650" s="1190"/>
      <c r="AC650" s="1190"/>
      <c r="AD650" s="1190"/>
      <c r="AE650" s="1190"/>
      <c r="AF650" s="1190"/>
      <c r="AG650" s="1748"/>
      <c r="AH650" s="1190"/>
      <c r="AI650" s="1748"/>
      <c r="AJ650" s="1190"/>
      <c r="AK650" s="1190"/>
      <c r="AL650" s="1190"/>
      <c r="AM650" s="1190"/>
      <c r="AN650" s="1190"/>
      <c r="AO650" s="1190"/>
      <c r="AP650" s="1190"/>
      <c r="AQ650" s="1190"/>
      <c r="AR650" s="1190"/>
      <c r="AS650" s="1190"/>
      <c r="AT650" s="1190"/>
      <c r="AU650" s="1190"/>
      <c r="AV650" s="1190"/>
      <c r="AW650" s="1190"/>
      <c r="AX650" s="1190"/>
      <c r="AY650" s="1190"/>
      <c r="AZ650" s="1190"/>
      <c r="BA650" s="1190"/>
      <c r="BB650" s="1190"/>
      <c r="BC650" s="1190"/>
      <c r="BD650" s="1190"/>
      <c r="BE650" s="1190"/>
      <c r="BF650" s="1190"/>
      <c r="BG650" s="1190"/>
      <c r="BH650" s="1190"/>
      <c r="BI650" s="1190"/>
      <c r="BJ650" s="1190"/>
      <c r="BK650" s="1190"/>
      <c r="BL650" s="1190"/>
      <c r="BM650" s="1190"/>
      <c r="BQ650" s="195"/>
      <c r="BR650" s="195"/>
      <c r="BT650" s="1005"/>
    </row>
    <row r="651" ht="15.75" customHeight="1">
      <c r="A651" s="195"/>
      <c r="B651" s="978"/>
      <c r="C651" s="2321"/>
      <c r="D651" s="1729"/>
      <c r="E651" s="1190"/>
      <c r="F651" s="1190"/>
      <c r="G651" s="1190"/>
      <c r="H651" s="1190"/>
      <c r="I651" s="1190"/>
      <c r="J651" s="1190"/>
      <c r="K651" s="1190"/>
      <c r="L651" s="1190"/>
      <c r="M651" s="1190"/>
      <c r="N651" s="1190"/>
      <c r="O651" s="1190"/>
      <c r="P651" s="1190"/>
      <c r="Q651" s="1190"/>
      <c r="R651" s="1190"/>
      <c r="S651" s="1189"/>
      <c r="T651" s="1190"/>
      <c r="U651" s="1190"/>
      <c r="V651" s="1190"/>
      <c r="W651" s="1190"/>
      <c r="X651" s="1190"/>
      <c r="Y651" s="1190"/>
      <c r="Z651" s="1190"/>
      <c r="AA651" s="1190"/>
      <c r="AB651" s="1190"/>
      <c r="AC651" s="1190"/>
      <c r="AD651" s="1190"/>
      <c r="AE651" s="1190"/>
      <c r="AF651" s="1190"/>
      <c r="AG651" s="1748"/>
      <c r="AH651" s="1190"/>
      <c r="AI651" s="1748"/>
      <c r="AJ651" s="1190"/>
      <c r="AK651" s="1190"/>
      <c r="AL651" s="1190"/>
      <c r="AM651" s="1190"/>
      <c r="AN651" s="1190"/>
      <c r="AO651" s="1190"/>
      <c r="AP651" s="1190"/>
      <c r="AQ651" s="1190"/>
      <c r="AR651" s="1190"/>
      <c r="AS651" s="1190"/>
      <c r="AT651" s="1190"/>
      <c r="AU651" s="1190"/>
      <c r="AV651" s="1190"/>
      <c r="AW651" s="1190"/>
      <c r="AX651" s="1190"/>
      <c r="AY651" s="1190"/>
      <c r="AZ651" s="1190"/>
      <c r="BA651" s="1190"/>
      <c r="BB651" s="1190"/>
      <c r="BC651" s="1190"/>
      <c r="BD651" s="1190"/>
      <c r="BE651" s="1190"/>
      <c r="BF651" s="1190"/>
      <c r="BG651" s="1190"/>
      <c r="BH651" s="1190"/>
      <c r="BI651" s="1190"/>
      <c r="BJ651" s="1190"/>
      <c r="BK651" s="1190"/>
      <c r="BL651" s="1190"/>
      <c r="BM651" s="1190"/>
      <c r="BQ651" s="195"/>
      <c r="BR651" s="195"/>
      <c r="BT651" s="1005"/>
    </row>
    <row r="652" ht="15.75" customHeight="1">
      <c r="A652" s="195"/>
      <c r="B652" s="978"/>
      <c r="C652" s="2321"/>
      <c r="D652" s="1729"/>
      <c r="E652" s="1190"/>
      <c r="F652" s="1190"/>
      <c r="G652" s="1190"/>
      <c r="H652" s="1190"/>
      <c r="I652" s="1190"/>
      <c r="J652" s="1190"/>
      <c r="K652" s="1190"/>
      <c r="L652" s="1190"/>
      <c r="M652" s="1190"/>
      <c r="N652" s="1190"/>
      <c r="O652" s="1190"/>
      <c r="P652" s="1190"/>
      <c r="Q652" s="1190"/>
      <c r="R652" s="1190"/>
      <c r="S652" s="1189"/>
      <c r="T652" s="1190"/>
      <c r="U652" s="1190"/>
      <c r="V652" s="1190"/>
      <c r="W652" s="1190"/>
      <c r="X652" s="1190"/>
      <c r="Y652" s="1190"/>
      <c r="Z652" s="1190"/>
      <c r="AA652" s="1190"/>
      <c r="AB652" s="1190"/>
      <c r="AC652" s="1190"/>
      <c r="AD652" s="1190"/>
      <c r="AE652" s="1190"/>
      <c r="AF652" s="1190"/>
      <c r="AG652" s="1748"/>
      <c r="AH652" s="1190"/>
      <c r="AI652" s="1748"/>
      <c r="AJ652" s="1190"/>
      <c r="AK652" s="1190"/>
      <c r="AL652" s="1190"/>
      <c r="AM652" s="1190"/>
      <c r="AN652" s="1190"/>
      <c r="AO652" s="1190"/>
      <c r="AP652" s="1190"/>
      <c r="AQ652" s="1190"/>
      <c r="AR652" s="1190"/>
      <c r="AS652" s="1190"/>
      <c r="AT652" s="1190"/>
      <c r="AU652" s="1190"/>
      <c r="AV652" s="1190"/>
      <c r="AW652" s="1190"/>
      <c r="AX652" s="1190"/>
      <c r="AY652" s="1190"/>
      <c r="AZ652" s="1190"/>
      <c r="BA652" s="1190"/>
      <c r="BB652" s="1190"/>
      <c r="BC652" s="1190"/>
      <c r="BD652" s="1190"/>
      <c r="BE652" s="1190"/>
      <c r="BF652" s="1190"/>
      <c r="BG652" s="1190"/>
      <c r="BH652" s="1190"/>
      <c r="BI652" s="1190"/>
      <c r="BJ652" s="1190"/>
      <c r="BK652" s="1190"/>
      <c r="BL652" s="1190"/>
      <c r="BM652" s="1190"/>
      <c r="BQ652" s="195"/>
      <c r="BR652" s="195"/>
      <c r="BT652" s="1005"/>
    </row>
    <row r="653" ht="15.75" customHeight="1">
      <c r="A653" s="195"/>
      <c r="B653" s="978"/>
      <c r="C653" s="2321"/>
      <c r="D653" s="1729"/>
      <c r="E653" s="1190"/>
      <c r="F653" s="1190"/>
      <c r="G653" s="1190"/>
      <c r="H653" s="1190"/>
      <c r="I653" s="1190"/>
      <c r="J653" s="1190"/>
      <c r="K653" s="1190"/>
      <c r="L653" s="1190"/>
      <c r="M653" s="1190"/>
      <c r="N653" s="1190"/>
      <c r="O653" s="1190"/>
      <c r="P653" s="1190"/>
      <c r="Q653" s="1190"/>
      <c r="R653" s="1190"/>
      <c r="S653" s="1189"/>
      <c r="T653" s="1190"/>
      <c r="U653" s="1190"/>
      <c r="V653" s="1190"/>
      <c r="W653" s="1190"/>
      <c r="X653" s="1190"/>
      <c r="Y653" s="1190"/>
      <c r="Z653" s="1190"/>
      <c r="AA653" s="1190"/>
      <c r="AB653" s="1190"/>
      <c r="AC653" s="1190"/>
      <c r="AD653" s="1190"/>
      <c r="AE653" s="1190"/>
      <c r="AF653" s="1190"/>
      <c r="AG653" s="1748"/>
      <c r="AH653" s="1190"/>
      <c r="AI653" s="1748"/>
      <c r="AJ653" s="1190"/>
      <c r="AK653" s="1190"/>
      <c r="AL653" s="1190"/>
      <c r="AM653" s="1190"/>
      <c r="AN653" s="1190"/>
      <c r="AO653" s="1190"/>
      <c r="AP653" s="1190"/>
      <c r="AQ653" s="1190"/>
      <c r="AR653" s="1190"/>
      <c r="AS653" s="1190"/>
      <c r="AT653" s="1190"/>
      <c r="AU653" s="1190"/>
      <c r="AV653" s="1190"/>
      <c r="AW653" s="1190"/>
      <c r="AX653" s="1190"/>
      <c r="AY653" s="1190"/>
      <c r="AZ653" s="1190"/>
      <c r="BA653" s="1190"/>
      <c r="BB653" s="1190"/>
      <c r="BC653" s="1190"/>
      <c r="BD653" s="1190"/>
      <c r="BE653" s="1190"/>
      <c r="BF653" s="1190"/>
      <c r="BG653" s="1190"/>
      <c r="BH653" s="1190"/>
      <c r="BI653" s="1190"/>
      <c r="BJ653" s="1190"/>
      <c r="BK653" s="1190"/>
      <c r="BL653" s="1190"/>
      <c r="BM653" s="1190"/>
      <c r="BQ653" s="195"/>
      <c r="BR653" s="195"/>
      <c r="BT653" s="1005"/>
    </row>
    <row r="654" ht="15.75" customHeight="1">
      <c r="A654" s="195"/>
      <c r="B654" s="978"/>
      <c r="C654" s="2321"/>
      <c r="D654" s="1729"/>
      <c r="E654" s="1190"/>
      <c r="F654" s="1190"/>
      <c r="G654" s="1190"/>
      <c r="H654" s="1190"/>
      <c r="I654" s="1190"/>
      <c r="J654" s="1190"/>
      <c r="K654" s="1190"/>
      <c r="L654" s="1190"/>
      <c r="M654" s="1190"/>
      <c r="N654" s="1190"/>
      <c r="O654" s="1190"/>
      <c r="P654" s="1190"/>
      <c r="Q654" s="1190"/>
      <c r="R654" s="1190"/>
      <c r="S654" s="1189"/>
      <c r="T654" s="1190"/>
      <c r="U654" s="1190"/>
      <c r="V654" s="1190"/>
      <c r="W654" s="1190"/>
      <c r="X654" s="1190"/>
      <c r="Y654" s="1190"/>
      <c r="Z654" s="1190"/>
      <c r="AA654" s="1190"/>
      <c r="AB654" s="1190"/>
      <c r="AC654" s="1190"/>
      <c r="AD654" s="1190"/>
      <c r="AE654" s="1190"/>
      <c r="AF654" s="1190"/>
      <c r="AG654" s="1748"/>
      <c r="AH654" s="1190"/>
      <c r="AI654" s="1748"/>
      <c r="AJ654" s="1190"/>
      <c r="AK654" s="1190"/>
      <c r="AL654" s="1190"/>
      <c r="AM654" s="1190"/>
      <c r="AN654" s="1190"/>
      <c r="AO654" s="1190"/>
      <c r="AP654" s="1190"/>
      <c r="AQ654" s="1190"/>
      <c r="AR654" s="1190"/>
      <c r="AS654" s="1190"/>
      <c r="AT654" s="1190"/>
      <c r="AU654" s="1190"/>
      <c r="AV654" s="1190"/>
      <c r="AW654" s="1190"/>
      <c r="AX654" s="1190"/>
      <c r="AY654" s="1190"/>
      <c r="AZ654" s="1190"/>
      <c r="BA654" s="1190"/>
      <c r="BB654" s="1190"/>
      <c r="BC654" s="1190"/>
      <c r="BD654" s="1190"/>
      <c r="BE654" s="1190"/>
      <c r="BF654" s="1190"/>
      <c r="BG654" s="1190"/>
      <c r="BH654" s="1190"/>
      <c r="BI654" s="1190"/>
      <c r="BJ654" s="1190"/>
      <c r="BK654" s="1190"/>
      <c r="BL654" s="1190"/>
      <c r="BM654" s="1190"/>
      <c r="BQ654" s="195"/>
      <c r="BR654" s="195"/>
      <c r="BT654" s="1005"/>
    </row>
    <row r="655" ht="15.75" customHeight="1">
      <c r="A655" s="195"/>
      <c r="B655" s="978"/>
      <c r="C655" s="2321"/>
      <c r="D655" s="1729"/>
      <c r="E655" s="1190"/>
      <c r="F655" s="1190"/>
      <c r="G655" s="1190"/>
      <c r="H655" s="1190"/>
      <c r="I655" s="1190"/>
      <c r="J655" s="1190"/>
      <c r="K655" s="1190"/>
      <c r="L655" s="1190"/>
      <c r="M655" s="1190"/>
      <c r="N655" s="1190"/>
      <c r="O655" s="1190"/>
      <c r="P655" s="1190"/>
      <c r="Q655" s="1190"/>
      <c r="R655" s="1190"/>
      <c r="S655" s="1189"/>
      <c r="T655" s="1190"/>
      <c r="U655" s="1190"/>
      <c r="V655" s="1190"/>
      <c r="W655" s="1190"/>
      <c r="X655" s="1190"/>
      <c r="Y655" s="1190"/>
      <c r="Z655" s="1190"/>
      <c r="AA655" s="1190"/>
      <c r="AB655" s="1190"/>
      <c r="AC655" s="1190"/>
      <c r="AD655" s="1190"/>
      <c r="AE655" s="1190"/>
      <c r="AF655" s="1190"/>
      <c r="AG655" s="1748"/>
      <c r="AH655" s="1190"/>
      <c r="AI655" s="1748"/>
      <c r="AJ655" s="1190"/>
      <c r="AK655" s="1190"/>
      <c r="AL655" s="1190"/>
      <c r="AM655" s="1190"/>
      <c r="AN655" s="1190"/>
      <c r="AO655" s="1190"/>
      <c r="AP655" s="1190"/>
      <c r="AQ655" s="1190"/>
      <c r="AR655" s="1190"/>
      <c r="AS655" s="1190"/>
      <c r="AT655" s="1190"/>
      <c r="AU655" s="1190"/>
      <c r="AV655" s="1190"/>
      <c r="AW655" s="1190"/>
      <c r="AX655" s="1190"/>
      <c r="AY655" s="1190"/>
      <c r="AZ655" s="1190"/>
      <c r="BA655" s="1190"/>
      <c r="BB655" s="1190"/>
      <c r="BC655" s="1190"/>
      <c r="BD655" s="1190"/>
      <c r="BE655" s="1190"/>
      <c r="BF655" s="1190"/>
      <c r="BG655" s="1190"/>
      <c r="BH655" s="1190"/>
      <c r="BI655" s="1190"/>
      <c r="BJ655" s="1190"/>
      <c r="BK655" s="1190"/>
      <c r="BL655" s="1190"/>
      <c r="BM655" s="1190"/>
      <c r="BQ655" s="195"/>
      <c r="BR655" s="195"/>
      <c r="BT655" s="1005"/>
    </row>
    <row r="656" ht="15.75" customHeight="1">
      <c r="A656" s="195"/>
      <c r="B656" s="978"/>
      <c r="C656" s="2321"/>
      <c r="D656" s="1729"/>
      <c r="E656" s="1190"/>
      <c r="F656" s="1190"/>
      <c r="G656" s="1190"/>
      <c r="H656" s="1190"/>
      <c r="I656" s="1190"/>
      <c r="J656" s="1190"/>
      <c r="K656" s="1190"/>
      <c r="L656" s="1190"/>
      <c r="M656" s="1190"/>
      <c r="N656" s="1190"/>
      <c r="O656" s="1190"/>
      <c r="P656" s="1190"/>
      <c r="Q656" s="1190"/>
      <c r="R656" s="1190"/>
      <c r="S656" s="1189"/>
      <c r="T656" s="1190"/>
      <c r="U656" s="1190"/>
      <c r="V656" s="1190"/>
      <c r="W656" s="1190"/>
      <c r="X656" s="1190"/>
      <c r="Y656" s="1190"/>
      <c r="Z656" s="1190"/>
      <c r="AA656" s="1190"/>
      <c r="AB656" s="1190"/>
      <c r="AC656" s="1190"/>
      <c r="AD656" s="1190"/>
      <c r="AE656" s="1190"/>
      <c r="AF656" s="1190"/>
      <c r="AG656" s="1748"/>
      <c r="AH656" s="1190"/>
      <c r="AI656" s="1748"/>
      <c r="AJ656" s="1190"/>
      <c r="AK656" s="1190"/>
      <c r="AL656" s="1190"/>
      <c r="AM656" s="1190"/>
      <c r="AN656" s="1190"/>
      <c r="AO656" s="1190"/>
      <c r="AP656" s="1190"/>
      <c r="AQ656" s="1190"/>
      <c r="AR656" s="1190"/>
      <c r="AS656" s="1190"/>
      <c r="AT656" s="1190"/>
      <c r="AU656" s="1190"/>
      <c r="AV656" s="1190"/>
      <c r="AW656" s="1190"/>
      <c r="AX656" s="1190"/>
      <c r="AY656" s="1190"/>
      <c r="AZ656" s="1190"/>
      <c r="BA656" s="1190"/>
      <c r="BB656" s="1190"/>
      <c r="BC656" s="1190"/>
      <c r="BD656" s="1190"/>
      <c r="BE656" s="1190"/>
      <c r="BF656" s="1190"/>
      <c r="BG656" s="1190"/>
      <c r="BH656" s="1190"/>
      <c r="BI656" s="1190"/>
      <c r="BJ656" s="1190"/>
      <c r="BK656" s="1190"/>
      <c r="BL656" s="1190"/>
      <c r="BM656" s="1190"/>
      <c r="BQ656" s="195"/>
      <c r="BR656" s="195"/>
      <c r="BT656" s="1005"/>
    </row>
    <row r="657" ht="15.75" customHeight="1">
      <c r="A657" s="195"/>
      <c r="B657" s="978"/>
      <c r="C657" s="2321"/>
      <c r="D657" s="1729"/>
      <c r="E657" s="1190"/>
      <c r="F657" s="1190"/>
      <c r="G657" s="1190"/>
      <c r="H657" s="1190"/>
      <c r="I657" s="1190"/>
      <c r="J657" s="1190"/>
      <c r="K657" s="1190"/>
      <c r="L657" s="1190"/>
      <c r="M657" s="1190"/>
      <c r="N657" s="1190"/>
      <c r="O657" s="1190"/>
      <c r="P657" s="1190"/>
      <c r="Q657" s="1190"/>
      <c r="R657" s="1190"/>
      <c r="S657" s="1189"/>
      <c r="T657" s="1190"/>
      <c r="U657" s="1190"/>
      <c r="V657" s="1190"/>
      <c r="W657" s="1190"/>
      <c r="X657" s="1190"/>
      <c r="Y657" s="1190"/>
      <c r="Z657" s="1190"/>
      <c r="AA657" s="1190"/>
      <c r="AB657" s="1190"/>
      <c r="AC657" s="1190"/>
      <c r="AD657" s="1190"/>
      <c r="AE657" s="1190"/>
      <c r="AF657" s="1190"/>
      <c r="AG657" s="1748"/>
      <c r="AH657" s="1190"/>
      <c r="AI657" s="1748"/>
      <c r="AJ657" s="1190"/>
      <c r="AK657" s="1190"/>
      <c r="AL657" s="1190"/>
      <c r="AM657" s="1190"/>
      <c r="AN657" s="1190"/>
      <c r="AO657" s="1190"/>
      <c r="AP657" s="1190"/>
      <c r="AQ657" s="1190"/>
      <c r="AR657" s="1190"/>
      <c r="AS657" s="1190"/>
      <c r="AT657" s="1190"/>
      <c r="AU657" s="1190"/>
      <c r="AV657" s="1190"/>
      <c r="AW657" s="1190"/>
      <c r="AX657" s="1190"/>
      <c r="AY657" s="1190"/>
      <c r="AZ657" s="1190"/>
      <c r="BA657" s="1190"/>
      <c r="BB657" s="1190"/>
      <c r="BC657" s="1190"/>
      <c r="BD657" s="1190"/>
      <c r="BE657" s="1190"/>
      <c r="BF657" s="1190"/>
      <c r="BG657" s="1190"/>
      <c r="BH657" s="1190"/>
      <c r="BI657" s="1190"/>
      <c r="BJ657" s="1190"/>
      <c r="BK657" s="1190"/>
      <c r="BL657" s="1190"/>
      <c r="BM657" s="1190"/>
      <c r="BQ657" s="195"/>
      <c r="BR657" s="195"/>
      <c r="BT657" s="1005"/>
    </row>
    <row r="658" ht="15.75" customHeight="1">
      <c r="A658" s="195"/>
      <c r="B658" s="978"/>
      <c r="C658" s="2321"/>
      <c r="D658" s="1729"/>
      <c r="E658" s="1190"/>
      <c r="F658" s="1190"/>
      <c r="G658" s="1190"/>
      <c r="H658" s="1190"/>
      <c r="I658" s="1190"/>
      <c r="J658" s="1190"/>
      <c r="K658" s="1190"/>
      <c r="L658" s="1190"/>
      <c r="M658" s="1190"/>
      <c r="N658" s="1190"/>
      <c r="O658" s="1190"/>
      <c r="P658" s="1190"/>
      <c r="Q658" s="1190"/>
      <c r="R658" s="1190"/>
      <c r="S658" s="1189"/>
      <c r="T658" s="1190"/>
      <c r="U658" s="1190"/>
      <c r="V658" s="1190"/>
      <c r="W658" s="1190"/>
      <c r="X658" s="1190"/>
      <c r="Y658" s="1190"/>
      <c r="Z658" s="1190"/>
      <c r="AA658" s="1190"/>
      <c r="AB658" s="1190"/>
      <c r="AC658" s="1190"/>
      <c r="AD658" s="1190"/>
      <c r="AE658" s="1190"/>
      <c r="AF658" s="1190"/>
      <c r="AG658" s="1748"/>
      <c r="AH658" s="1190"/>
      <c r="AI658" s="1748"/>
      <c r="AJ658" s="1190"/>
      <c r="AK658" s="1190"/>
      <c r="AL658" s="1190"/>
      <c r="AM658" s="1190"/>
      <c r="AN658" s="1190"/>
      <c r="AO658" s="1190"/>
      <c r="AP658" s="1190"/>
      <c r="AQ658" s="1190"/>
      <c r="AR658" s="1190"/>
      <c r="AS658" s="1190"/>
      <c r="AT658" s="1190"/>
      <c r="AU658" s="1190"/>
      <c r="AV658" s="1190"/>
      <c r="AW658" s="1190"/>
      <c r="AX658" s="1190"/>
      <c r="AY658" s="1190"/>
      <c r="AZ658" s="1190"/>
      <c r="BA658" s="1190"/>
      <c r="BB658" s="1190"/>
      <c r="BC658" s="1190"/>
      <c r="BD658" s="1190"/>
      <c r="BE658" s="1190"/>
      <c r="BF658" s="1190"/>
      <c r="BG658" s="1190"/>
      <c r="BH658" s="1190"/>
      <c r="BI658" s="1190"/>
      <c r="BJ658" s="1190"/>
      <c r="BK658" s="1190"/>
      <c r="BL658" s="1190"/>
      <c r="BM658" s="1190"/>
      <c r="BQ658" s="195"/>
      <c r="BR658" s="195"/>
      <c r="BT658" s="1005"/>
    </row>
    <row r="659" ht="15.75" customHeight="1">
      <c r="A659" s="195"/>
      <c r="B659" s="978"/>
      <c r="C659" s="2321"/>
      <c r="D659" s="1729"/>
      <c r="E659" s="1190"/>
      <c r="F659" s="1190"/>
      <c r="G659" s="1190"/>
      <c r="H659" s="1190"/>
      <c r="I659" s="1190"/>
      <c r="J659" s="1190"/>
      <c r="K659" s="1190"/>
      <c r="L659" s="1190"/>
      <c r="M659" s="1190"/>
      <c r="N659" s="1190"/>
      <c r="O659" s="1190"/>
      <c r="P659" s="1190"/>
      <c r="Q659" s="1190"/>
      <c r="R659" s="1190"/>
      <c r="S659" s="1189"/>
      <c r="T659" s="1190"/>
      <c r="U659" s="1190"/>
      <c r="V659" s="1190"/>
      <c r="W659" s="1190"/>
      <c r="X659" s="1190"/>
      <c r="Y659" s="1190"/>
      <c r="Z659" s="1190"/>
      <c r="AA659" s="1190"/>
      <c r="AB659" s="1190"/>
      <c r="AC659" s="1190"/>
      <c r="AD659" s="1190"/>
      <c r="AE659" s="1190"/>
      <c r="AF659" s="1190"/>
      <c r="AG659" s="1748"/>
      <c r="AH659" s="1190"/>
      <c r="AI659" s="1748"/>
      <c r="AJ659" s="1190"/>
      <c r="AK659" s="1190"/>
      <c r="AL659" s="1190"/>
      <c r="AM659" s="1190"/>
      <c r="AN659" s="1190"/>
      <c r="AO659" s="1190"/>
      <c r="AP659" s="1190"/>
      <c r="AQ659" s="1190"/>
      <c r="AR659" s="1190"/>
      <c r="AS659" s="1190"/>
      <c r="AT659" s="1190"/>
      <c r="AU659" s="1190"/>
      <c r="AV659" s="1190"/>
      <c r="AW659" s="1190"/>
      <c r="AX659" s="1190"/>
      <c r="AY659" s="1190"/>
      <c r="AZ659" s="1190"/>
      <c r="BA659" s="1190"/>
      <c r="BB659" s="1190"/>
      <c r="BC659" s="1190"/>
      <c r="BD659" s="1190"/>
      <c r="BE659" s="1190"/>
      <c r="BF659" s="1190"/>
      <c r="BG659" s="1190"/>
      <c r="BH659" s="1190"/>
      <c r="BI659" s="1190"/>
      <c r="BJ659" s="1190"/>
      <c r="BK659" s="1190"/>
      <c r="BL659" s="1190"/>
      <c r="BM659" s="1190"/>
      <c r="BQ659" s="195"/>
      <c r="BR659" s="195"/>
      <c r="BT659" s="1005"/>
    </row>
    <row r="660" ht="15.75" customHeight="1">
      <c r="A660" s="195"/>
      <c r="B660" s="978"/>
      <c r="C660" s="2321"/>
      <c r="D660" s="1729"/>
      <c r="E660" s="1190"/>
      <c r="F660" s="1190"/>
      <c r="G660" s="1190"/>
      <c r="H660" s="1190"/>
      <c r="I660" s="1190"/>
      <c r="J660" s="1190"/>
      <c r="K660" s="1190"/>
      <c r="L660" s="1190"/>
      <c r="M660" s="1190"/>
      <c r="N660" s="1190"/>
      <c r="O660" s="1190"/>
      <c r="P660" s="1190"/>
      <c r="Q660" s="1190"/>
      <c r="R660" s="1190"/>
      <c r="S660" s="1189"/>
      <c r="T660" s="1190"/>
      <c r="U660" s="1190"/>
      <c r="V660" s="1190"/>
      <c r="W660" s="1190"/>
      <c r="X660" s="1190"/>
      <c r="Y660" s="1190"/>
      <c r="Z660" s="1190"/>
      <c r="AA660" s="1190"/>
      <c r="AB660" s="1190"/>
      <c r="AC660" s="1190"/>
      <c r="AD660" s="1190"/>
      <c r="AE660" s="1190"/>
      <c r="AF660" s="1190"/>
      <c r="AG660" s="1748"/>
      <c r="AH660" s="1190"/>
      <c r="AI660" s="1748"/>
      <c r="AJ660" s="1190"/>
      <c r="AK660" s="1190"/>
      <c r="AL660" s="1190"/>
      <c r="AM660" s="1190"/>
      <c r="AN660" s="1190"/>
      <c r="AO660" s="1190"/>
      <c r="AP660" s="1190"/>
      <c r="AQ660" s="1190"/>
      <c r="AR660" s="1190"/>
      <c r="AS660" s="1190"/>
      <c r="AT660" s="1190"/>
      <c r="AU660" s="1190"/>
      <c r="AV660" s="1190"/>
      <c r="AW660" s="1190"/>
      <c r="AX660" s="1190"/>
      <c r="AY660" s="1190"/>
      <c r="AZ660" s="1190"/>
      <c r="BA660" s="1190"/>
      <c r="BB660" s="1190"/>
      <c r="BC660" s="1190"/>
      <c r="BD660" s="1190"/>
      <c r="BE660" s="1190"/>
      <c r="BF660" s="1190"/>
      <c r="BG660" s="1190"/>
      <c r="BH660" s="1190"/>
      <c r="BI660" s="1190"/>
      <c r="BJ660" s="1190"/>
      <c r="BK660" s="1190"/>
      <c r="BL660" s="1190"/>
      <c r="BM660" s="1190"/>
      <c r="BQ660" s="195"/>
      <c r="BR660" s="195"/>
      <c r="BT660" s="1005"/>
    </row>
    <row r="661" ht="15.75" customHeight="1">
      <c r="A661" s="195"/>
      <c r="B661" s="978"/>
      <c r="C661" s="2321"/>
      <c r="D661" s="1729"/>
      <c r="E661" s="1190"/>
      <c r="F661" s="1190"/>
      <c r="G661" s="1190"/>
      <c r="H661" s="1190"/>
      <c r="I661" s="1190"/>
      <c r="J661" s="1190"/>
      <c r="K661" s="1190"/>
      <c r="L661" s="1190"/>
      <c r="M661" s="1190"/>
      <c r="N661" s="1190"/>
      <c r="O661" s="1190"/>
      <c r="P661" s="1190"/>
      <c r="Q661" s="1190"/>
      <c r="R661" s="1190"/>
      <c r="S661" s="1189"/>
      <c r="T661" s="1190"/>
      <c r="U661" s="1190"/>
      <c r="V661" s="1190"/>
      <c r="W661" s="1190"/>
      <c r="X661" s="1190"/>
      <c r="Y661" s="1190"/>
      <c r="Z661" s="1190"/>
      <c r="AA661" s="1190"/>
      <c r="AB661" s="1190"/>
      <c r="AC661" s="1190"/>
      <c r="AD661" s="1190"/>
      <c r="AE661" s="1190"/>
      <c r="AF661" s="1190"/>
      <c r="AG661" s="1748"/>
      <c r="AH661" s="1190"/>
      <c r="AI661" s="1748"/>
      <c r="AJ661" s="1190"/>
      <c r="AK661" s="1190"/>
      <c r="AL661" s="1190"/>
      <c r="AM661" s="1190"/>
      <c r="AN661" s="1190"/>
      <c r="AO661" s="1190"/>
      <c r="AP661" s="1190"/>
      <c r="AQ661" s="1190"/>
      <c r="AR661" s="1190"/>
      <c r="AS661" s="1190"/>
      <c r="AT661" s="1190"/>
      <c r="AU661" s="1190"/>
      <c r="AV661" s="1190"/>
      <c r="AW661" s="1190"/>
      <c r="AX661" s="1190"/>
      <c r="AY661" s="1190"/>
      <c r="AZ661" s="1190"/>
      <c r="BA661" s="1190"/>
      <c r="BB661" s="1190"/>
      <c r="BC661" s="1190"/>
      <c r="BD661" s="1190"/>
      <c r="BE661" s="1190"/>
      <c r="BF661" s="1190"/>
      <c r="BG661" s="1190"/>
      <c r="BH661" s="1190"/>
      <c r="BI661" s="1190"/>
      <c r="BJ661" s="1190"/>
      <c r="BK661" s="1190"/>
      <c r="BL661" s="1190"/>
      <c r="BM661" s="1190"/>
      <c r="BQ661" s="195"/>
      <c r="BR661" s="195"/>
      <c r="BT661" s="1005"/>
    </row>
    <row r="662" ht="15.75" customHeight="1">
      <c r="A662" s="195"/>
      <c r="B662" s="978"/>
      <c r="C662" s="2321"/>
      <c r="D662" s="1729"/>
      <c r="E662" s="1190"/>
      <c r="F662" s="1190"/>
      <c r="G662" s="1190"/>
      <c r="H662" s="1190"/>
      <c r="I662" s="1190"/>
      <c r="J662" s="1190"/>
      <c r="K662" s="1190"/>
      <c r="L662" s="1190"/>
      <c r="M662" s="1190"/>
      <c r="N662" s="1190"/>
      <c r="O662" s="1190"/>
      <c r="P662" s="1190"/>
      <c r="Q662" s="1190"/>
      <c r="R662" s="1190"/>
      <c r="S662" s="1189"/>
      <c r="T662" s="1190"/>
      <c r="U662" s="1190"/>
      <c r="V662" s="1190"/>
      <c r="W662" s="1190"/>
      <c r="X662" s="1190"/>
      <c r="Y662" s="1190"/>
      <c r="Z662" s="1190"/>
      <c r="AA662" s="1190"/>
      <c r="AB662" s="1190"/>
      <c r="AC662" s="1190"/>
      <c r="AD662" s="1190"/>
      <c r="AE662" s="1190"/>
      <c r="AF662" s="1190"/>
      <c r="AG662" s="1748"/>
      <c r="AH662" s="1190"/>
      <c r="AI662" s="1748"/>
      <c r="AJ662" s="1190"/>
      <c r="AK662" s="1190"/>
      <c r="AL662" s="1190"/>
      <c r="AM662" s="1190"/>
      <c r="AN662" s="1190"/>
      <c r="AO662" s="1190"/>
      <c r="AP662" s="1190"/>
      <c r="AQ662" s="1190"/>
      <c r="AR662" s="1190"/>
      <c r="AS662" s="1190"/>
      <c r="AT662" s="1190"/>
      <c r="AU662" s="1190"/>
      <c r="AV662" s="1190"/>
      <c r="AW662" s="1190"/>
      <c r="AX662" s="1190"/>
      <c r="AY662" s="1190"/>
      <c r="AZ662" s="1190"/>
      <c r="BA662" s="1190"/>
      <c r="BB662" s="1190"/>
      <c r="BC662" s="1190"/>
      <c r="BD662" s="1190"/>
      <c r="BE662" s="1190"/>
      <c r="BF662" s="1190"/>
      <c r="BG662" s="1190"/>
      <c r="BH662" s="1190"/>
      <c r="BI662" s="1190"/>
      <c r="BJ662" s="1190"/>
      <c r="BK662" s="1190"/>
      <c r="BL662" s="1190"/>
      <c r="BM662" s="1190"/>
      <c r="BQ662" s="195"/>
      <c r="BR662" s="195"/>
      <c r="BT662" s="1005"/>
    </row>
    <row r="663" ht="15.75" customHeight="1">
      <c r="A663" s="195"/>
      <c r="B663" s="978"/>
      <c r="C663" s="2321"/>
      <c r="D663" s="1729"/>
      <c r="E663" s="1190"/>
      <c r="F663" s="1190"/>
      <c r="G663" s="1190"/>
      <c r="H663" s="1190"/>
      <c r="I663" s="1190"/>
      <c r="J663" s="1190"/>
      <c r="K663" s="1190"/>
      <c r="L663" s="1190"/>
      <c r="M663" s="1190"/>
      <c r="N663" s="1190"/>
      <c r="O663" s="1190"/>
      <c r="P663" s="1190"/>
      <c r="Q663" s="1190"/>
      <c r="R663" s="1190"/>
      <c r="S663" s="1189"/>
      <c r="T663" s="1190"/>
      <c r="U663" s="1190"/>
      <c r="V663" s="1190"/>
      <c r="W663" s="1190"/>
      <c r="X663" s="1190"/>
      <c r="Y663" s="1190"/>
      <c r="Z663" s="1190"/>
      <c r="AA663" s="1190"/>
      <c r="AB663" s="1190"/>
      <c r="AC663" s="1190"/>
      <c r="AD663" s="1190"/>
      <c r="AE663" s="1190"/>
      <c r="AF663" s="1190"/>
      <c r="AG663" s="1748"/>
      <c r="AH663" s="1190"/>
      <c r="AI663" s="1748"/>
      <c r="AJ663" s="1190"/>
      <c r="AK663" s="1190"/>
      <c r="AL663" s="1190"/>
      <c r="AM663" s="1190"/>
      <c r="AN663" s="1190"/>
      <c r="AO663" s="1190"/>
      <c r="AP663" s="1190"/>
      <c r="AQ663" s="1190"/>
      <c r="AR663" s="1190"/>
      <c r="AS663" s="1190"/>
      <c r="AT663" s="1190"/>
      <c r="AU663" s="1190"/>
      <c r="AV663" s="1190"/>
      <c r="AW663" s="1190"/>
      <c r="AX663" s="1190"/>
      <c r="AY663" s="1190"/>
      <c r="AZ663" s="1190"/>
      <c r="BA663" s="1190"/>
      <c r="BB663" s="1190"/>
      <c r="BC663" s="1190"/>
      <c r="BD663" s="1190"/>
      <c r="BE663" s="1190"/>
      <c r="BF663" s="1190"/>
      <c r="BG663" s="1190"/>
      <c r="BH663" s="1190"/>
      <c r="BI663" s="1190"/>
      <c r="BJ663" s="1190"/>
      <c r="BK663" s="1190"/>
      <c r="BL663" s="1190"/>
      <c r="BM663" s="1190"/>
      <c r="BQ663" s="195"/>
      <c r="BR663" s="195"/>
      <c r="BT663" s="1005"/>
    </row>
    <row r="664" ht="15.75" customHeight="1">
      <c r="A664" s="195"/>
      <c r="B664" s="978"/>
      <c r="C664" s="2321"/>
      <c r="D664" s="1729"/>
      <c r="E664" s="1190"/>
      <c r="F664" s="1190"/>
      <c r="G664" s="1190"/>
      <c r="H664" s="1190"/>
      <c r="I664" s="1190"/>
      <c r="J664" s="1190"/>
      <c r="K664" s="1190"/>
      <c r="L664" s="1190"/>
      <c r="M664" s="1190"/>
      <c r="N664" s="1190"/>
      <c r="O664" s="1190"/>
      <c r="P664" s="1190"/>
      <c r="Q664" s="1190"/>
      <c r="R664" s="1190"/>
      <c r="S664" s="1189"/>
      <c r="T664" s="1190"/>
      <c r="U664" s="1190"/>
      <c r="V664" s="1190"/>
      <c r="W664" s="1190"/>
      <c r="X664" s="1190"/>
      <c r="Y664" s="1190"/>
      <c r="Z664" s="1190"/>
      <c r="AA664" s="1190"/>
      <c r="AB664" s="1190"/>
      <c r="AC664" s="1190"/>
      <c r="AD664" s="1190"/>
      <c r="AE664" s="1190"/>
      <c r="AF664" s="1190"/>
      <c r="AG664" s="1748"/>
      <c r="AH664" s="1190"/>
      <c r="AI664" s="1748"/>
      <c r="AJ664" s="1190"/>
      <c r="AK664" s="1190"/>
      <c r="AL664" s="1190"/>
      <c r="AM664" s="1190"/>
      <c r="AN664" s="1190"/>
      <c r="AO664" s="1190"/>
      <c r="AP664" s="1190"/>
      <c r="AQ664" s="1190"/>
      <c r="AR664" s="1190"/>
      <c r="AS664" s="1190"/>
      <c r="AT664" s="1190"/>
      <c r="AU664" s="1190"/>
      <c r="AV664" s="1190"/>
      <c r="AW664" s="1190"/>
      <c r="AX664" s="1190"/>
      <c r="AY664" s="1190"/>
      <c r="AZ664" s="1190"/>
      <c r="BA664" s="1190"/>
      <c r="BB664" s="1190"/>
      <c r="BC664" s="1190"/>
      <c r="BD664" s="1190"/>
      <c r="BE664" s="1190"/>
      <c r="BF664" s="1190"/>
      <c r="BG664" s="1190"/>
      <c r="BH664" s="1190"/>
      <c r="BI664" s="1190"/>
      <c r="BJ664" s="1190"/>
      <c r="BK664" s="1190"/>
      <c r="BL664" s="1190"/>
      <c r="BM664" s="1190"/>
      <c r="BQ664" s="195"/>
      <c r="BR664" s="195"/>
      <c r="BT664" s="1005"/>
    </row>
    <row r="665" ht="15.75" customHeight="1">
      <c r="A665" s="195"/>
      <c r="B665" s="978"/>
      <c r="C665" s="2321"/>
      <c r="D665" s="1729"/>
      <c r="E665" s="1190"/>
      <c r="F665" s="1190"/>
      <c r="G665" s="1190"/>
      <c r="H665" s="1190"/>
      <c r="I665" s="1190"/>
      <c r="J665" s="1190"/>
      <c r="K665" s="1190"/>
      <c r="L665" s="1190"/>
      <c r="M665" s="1190"/>
      <c r="N665" s="1190"/>
      <c r="O665" s="1190"/>
      <c r="P665" s="1190"/>
      <c r="Q665" s="1190"/>
      <c r="R665" s="1190"/>
      <c r="S665" s="1189"/>
      <c r="T665" s="1190"/>
      <c r="U665" s="1190"/>
      <c r="V665" s="1190"/>
      <c r="W665" s="1190"/>
      <c r="X665" s="1190"/>
      <c r="Y665" s="1190"/>
      <c r="Z665" s="1190"/>
      <c r="AA665" s="1190"/>
      <c r="AB665" s="1190"/>
      <c r="AC665" s="1190"/>
      <c r="AD665" s="1190"/>
      <c r="AE665" s="1190"/>
      <c r="AF665" s="1190"/>
      <c r="AG665" s="1748"/>
      <c r="AH665" s="1190"/>
      <c r="AI665" s="1748"/>
      <c r="AJ665" s="1190"/>
      <c r="AK665" s="1190"/>
      <c r="AL665" s="1190"/>
      <c r="AM665" s="1190"/>
      <c r="AN665" s="1190"/>
      <c r="AO665" s="1190"/>
      <c r="AP665" s="1190"/>
      <c r="AQ665" s="1190"/>
      <c r="AR665" s="1190"/>
      <c r="AS665" s="1190"/>
      <c r="AT665" s="1190"/>
      <c r="AU665" s="1190"/>
      <c r="AV665" s="1190"/>
      <c r="AW665" s="1190"/>
      <c r="AX665" s="1190"/>
      <c r="AY665" s="1190"/>
      <c r="AZ665" s="1190"/>
      <c r="BA665" s="1190"/>
      <c r="BB665" s="1190"/>
      <c r="BC665" s="1190"/>
      <c r="BD665" s="1190"/>
      <c r="BE665" s="1190"/>
      <c r="BF665" s="1190"/>
      <c r="BG665" s="1190"/>
      <c r="BH665" s="1190"/>
      <c r="BI665" s="1190"/>
      <c r="BJ665" s="1190"/>
      <c r="BK665" s="1190"/>
      <c r="BL665" s="1190"/>
      <c r="BM665" s="1190"/>
      <c r="BQ665" s="195"/>
      <c r="BR665" s="195"/>
      <c r="BT665" s="1005"/>
    </row>
    <row r="666" ht="15.75" customHeight="1">
      <c r="A666" s="195"/>
      <c r="B666" s="978"/>
      <c r="C666" s="2321"/>
      <c r="D666" s="1729"/>
      <c r="E666" s="1190"/>
      <c r="F666" s="1190"/>
      <c r="G666" s="1190"/>
      <c r="H666" s="1190"/>
      <c r="I666" s="1190"/>
      <c r="J666" s="1190"/>
      <c r="K666" s="1190"/>
      <c r="L666" s="1190"/>
      <c r="M666" s="1190"/>
      <c r="N666" s="1190"/>
      <c r="O666" s="1190"/>
      <c r="P666" s="1190"/>
      <c r="Q666" s="1190"/>
      <c r="R666" s="1190"/>
      <c r="S666" s="1189"/>
      <c r="T666" s="1190"/>
      <c r="U666" s="1190"/>
      <c r="V666" s="1190"/>
      <c r="W666" s="1190"/>
      <c r="X666" s="1190"/>
      <c r="Y666" s="1190"/>
      <c r="Z666" s="1190"/>
      <c r="AA666" s="1190"/>
      <c r="AB666" s="1190"/>
      <c r="AC666" s="1190"/>
      <c r="AD666" s="1190"/>
      <c r="AE666" s="1190"/>
      <c r="AF666" s="1190"/>
      <c r="AG666" s="1748"/>
      <c r="AH666" s="1190"/>
      <c r="AI666" s="1748"/>
      <c r="AJ666" s="1190"/>
      <c r="AK666" s="1190"/>
      <c r="AL666" s="1190"/>
      <c r="AM666" s="1190"/>
      <c r="AN666" s="1190"/>
      <c r="AO666" s="1190"/>
      <c r="AP666" s="1190"/>
      <c r="AQ666" s="1190"/>
      <c r="AR666" s="1190"/>
      <c r="AS666" s="1190"/>
      <c r="AT666" s="1190"/>
      <c r="AU666" s="1190"/>
      <c r="AV666" s="1190"/>
      <c r="AW666" s="1190"/>
      <c r="AX666" s="1190"/>
      <c r="AY666" s="1190"/>
      <c r="AZ666" s="1190"/>
      <c r="BA666" s="1190"/>
      <c r="BB666" s="1190"/>
      <c r="BC666" s="1190"/>
      <c r="BD666" s="1190"/>
      <c r="BE666" s="1190"/>
      <c r="BF666" s="1190"/>
      <c r="BG666" s="1190"/>
      <c r="BH666" s="1190"/>
      <c r="BI666" s="1190"/>
      <c r="BJ666" s="1190"/>
      <c r="BK666" s="1190"/>
      <c r="BL666" s="1190"/>
      <c r="BM666" s="1190"/>
      <c r="BQ666" s="195"/>
      <c r="BR666" s="195"/>
      <c r="BT666" s="1005"/>
    </row>
    <row r="667" ht="15.75" customHeight="1">
      <c r="A667" s="195"/>
      <c r="B667" s="978"/>
      <c r="C667" s="2321"/>
      <c r="D667" s="1729"/>
      <c r="E667" s="1190"/>
      <c r="F667" s="1190"/>
      <c r="G667" s="1190"/>
      <c r="H667" s="1190"/>
      <c r="I667" s="1190"/>
      <c r="J667" s="1190"/>
      <c r="K667" s="1190"/>
      <c r="L667" s="1190"/>
      <c r="M667" s="1190"/>
      <c r="N667" s="1190"/>
      <c r="O667" s="1190"/>
      <c r="P667" s="1190"/>
      <c r="Q667" s="1190"/>
      <c r="R667" s="1190"/>
      <c r="S667" s="1189"/>
      <c r="T667" s="1190"/>
      <c r="U667" s="1190"/>
      <c r="V667" s="1190"/>
      <c r="W667" s="1190"/>
      <c r="X667" s="1190"/>
      <c r="Y667" s="1190"/>
      <c r="Z667" s="1190"/>
      <c r="AA667" s="1190"/>
      <c r="AB667" s="1190"/>
      <c r="AC667" s="1190"/>
      <c r="AD667" s="1190"/>
      <c r="AE667" s="1190"/>
      <c r="AF667" s="1190"/>
      <c r="AG667" s="1748"/>
      <c r="AH667" s="1190"/>
      <c r="AI667" s="1748"/>
      <c r="AJ667" s="1190"/>
      <c r="AK667" s="1190"/>
      <c r="AL667" s="1190"/>
      <c r="AM667" s="1190"/>
      <c r="AN667" s="1190"/>
      <c r="AO667" s="1190"/>
      <c r="AP667" s="1190"/>
      <c r="AQ667" s="1190"/>
      <c r="AR667" s="1190"/>
      <c r="AS667" s="1190"/>
      <c r="AT667" s="1190"/>
      <c r="AU667" s="1190"/>
      <c r="AV667" s="1190"/>
      <c r="AW667" s="1190"/>
      <c r="AX667" s="1190"/>
      <c r="AY667" s="1190"/>
      <c r="AZ667" s="1190"/>
      <c r="BA667" s="1190"/>
      <c r="BB667" s="1190"/>
      <c r="BC667" s="1190"/>
      <c r="BD667" s="1190"/>
      <c r="BE667" s="1190"/>
      <c r="BF667" s="1190"/>
      <c r="BG667" s="1190"/>
      <c r="BH667" s="1190"/>
      <c r="BI667" s="1190"/>
      <c r="BJ667" s="1190"/>
      <c r="BK667" s="1190"/>
      <c r="BL667" s="1190"/>
      <c r="BM667" s="1190"/>
      <c r="BQ667" s="195"/>
      <c r="BR667" s="195"/>
      <c r="BT667" s="1005"/>
    </row>
    <row r="668" ht="15.75" customHeight="1">
      <c r="A668" s="195"/>
      <c r="B668" s="978"/>
      <c r="C668" s="2321"/>
      <c r="D668" s="1729"/>
      <c r="E668" s="1190"/>
      <c r="F668" s="1190"/>
      <c r="G668" s="1190"/>
      <c r="H668" s="1190"/>
      <c r="I668" s="1190"/>
      <c r="J668" s="1190"/>
      <c r="K668" s="1190"/>
      <c r="L668" s="1190"/>
      <c r="M668" s="1190"/>
      <c r="N668" s="1190"/>
      <c r="O668" s="1190"/>
      <c r="P668" s="1190"/>
      <c r="Q668" s="1190"/>
      <c r="R668" s="1190"/>
      <c r="S668" s="1189"/>
      <c r="T668" s="1190"/>
      <c r="U668" s="1190"/>
      <c r="V668" s="1190"/>
      <c r="W668" s="1190"/>
      <c r="X668" s="1190"/>
      <c r="Y668" s="1190"/>
      <c r="Z668" s="1190"/>
      <c r="AA668" s="1190"/>
      <c r="AB668" s="1190"/>
      <c r="AC668" s="1190"/>
      <c r="AD668" s="1190"/>
      <c r="AE668" s="1190"/>
      <c r="AF668" s="1190"/>
      <c r="AG668" s="1748"/>
      <c r="AH668" s="1190"/>
      <c r="AI668" s="1748"/>
      <c r="AJ668" s="1190"/>
      <c r="AK668" s="1190"/>
      <c r="AL668" s="1190"/>
      <c r="AM668" s="1190"/>
      <c r="AN668" s="1190"/>
      <c r="AO668" s="1190"/>
      <c r="AP668" s="1190"/>
      <c r="AQ668" s="1190"/>
      <c r="AR668" s="1190"/>
      <c r="AS668" s="1190"/>
      <c r="AT668" s="1190"/>
      <c r="AU668" s="1190"/>
      <c r="AV668" s="1190"/>
      <c r="AW668" s="1190"/>
      <c r="AX668" s="1190"/>
      <c r="AY668" s="1190"/>
      <c r="AZ668" s="1190"/>
      <c r="BA668" s="1190"/>
      <c r="BB668" s="1190"/>
      <c r="BC668" s="1190"/>
      <c r="BD668" s="1190"/>
      <c r="BE668" s="1190"/>
      <c r="BF668" s="1190"/>
      <c r="BG668" s="1190"/>
      <c r="BH668" s="1190"/>
      <c r="BI668" s="1190"/>
      <c r="BJ668" s="1190"/>
      <c r="BK668" s="1190"/>
      <c r="BL668" s="1190"/>
      <c r="BM668" s="1190"/>
      <c r="BQ668" s="195"/>
      <c r="BR668" s="195"/>
      <c r="BT668" s="1005"/>
    </row>
    <row r="669" ht="15.75" customHeight="1">
      <c r="A669" s="195"/>
      <c r="B669" s="978"/>
      <c r="C669" s="2321"/>
      <c r="D669" s="1729"/>
      <c r="E669" s="1190"/>
      <c r="F669" s="1190"/>
      <c r="G669" s="1190"/>
      <c r="H669" s="1190"/>
      <c r="I669" s="1190"/>
      <c r="J669" s="1190"/>
      <c r="K669" s="1190"/>
      <c r="L669" s="1190"/>
      <c r="M669" s="1190"/>
      <c r="N669" s="1190"/>
      <c r="O669" s="1190"/>
      <c r="P669" s="1190"/>
      <c r="Q669" s="1190"/>
      <c r="R669" s="1190"/>
      <c r="S669" s="1189"/>
      <c r="T669" s="1190"/>
      <c r="U669" s="1190"/>
      <c r="V669" s="1190"/>
      <c r="W669" s="1190"/>
      <c r="X669" s="1190"/>
      <c r="Y669" s="1190"/>
      <c r="Z669" s="1190"/>
      <c r="AA669" s="1190"/>
      <c r="AB669" s="1190"/>
      <c r="AC669" s="1190"/>
      <c r="AD669" s="1190"/>
      <c r="AE669" s="1190"/>
      <c r="AF669" s="1190"/>
      <c r="AG669" s="1748"/>
      <c r="AH669" s="1190"/>
      <c r="AI669" s="1748"/>
      <c r="AJ669" s="1190"/>
      <c r="AK669" s="1190"/>
      <c r="AL669" s="1190"/>
      <c r="AM669" s="1190"/>
      <c r="AN669" s="1190"/>
      <c r="AO669" s="1190"/>
      <c r="AP669" s="1190"/>
      <c r="AQ669" s="1190"/>
      <c r="AR669" s="1190"/>
      <c r="AS669" s="1190"/>
      <c r="AT669" s="1190"/>
      <c r="AU669" s="1190"/>
      <c r="AV669" s="1190"/>
      <c r="AW669" s="1190"/>
      <c r="AX669" s="1190"/>
      <c r="AY669" s="1190"/>
      <c r="AZ669" s="1190"/>
      <c r="BA669" s="1190"/>
      <c r="BB669" s="1190"/>
      <c r="BC669" s="1190"/>
      <c r="BD669" s="1190"/>
      <c r="BE669" s="1190"/>
      <c r="BF669" s="1190"/>
      <c r="BG669" s="1190"/>
      <c r="BH669" s="1190"/>
      <c r="BI669" s="1190"/>
      <c r="BJ669" s="1190"/>
      <c r="BK669" s="1190"/>
      <c r="BL669" s="1190"/>
      <c r="BM669" s="1190"/>
      <c r="BQ669" s="195"/>
      <c r="BR669" s="195"/>
      <c r="BT669" s="1005"/>
    </row>
    <row r="670" ht="15.75" customHeight="1">
      <c r="A670" s="195"/>
      <c r="B670" s="978"/>
      <c r="C670" s="2321"/>
      <c r="D670" s="1729"/>
      <c r="E670" s="1190"/>
      <c r="F670" s="1190"/>
      <c r="G670" s="1190"/>
      <c r="H670" s="1190"/>
      <c r="I670" s="1190"/>
      <c r="J670" s="1190"/>
      <c r="K670" s="1190"/>
      <c r="L670" s="1190"/>
      <c r="M670" s="1190"/>
      <c r="N670" s="1190"/>
      <c r="O670" s="1190"/>
      <c r="P670" s="1190"/>
      <c r="Q670" s="1190"/>
      <c r="R670" s="1190"/>
      <c r="S670" s="1189"/>
      <c r="T670" s="1190"/>
      <c r="U670" s="1190"/>
      <c r="V670" s="1190"/>
      <c r="W670" s="1190"/>
      <c r="X670" s="1190"/>
      <c r="Y670" s="1190"/>
      <c r="Z670" s="1190"/>
      <c r="AA670" s="1190"/>
      <c r="AB670" s="1190"/>
      <c r="AC670" s="1190"/>
      <c r="AD670" s="1190"/>
      <c r="AE670" s="1190"/>
      <c r="AF670" s="1190"/>
      <c r="AG670" s="1748"/>
      <c r="AH670" s="1190"/>
      <c r="AI670" s="1748"/>
      <c r="AJ670" s="1190"/>
      <c r="AK670" s="1190"/>
      <c r="AL670" s="1190"/>
      <c r="AM670" s="1190"/>
      <c r="AN670" s="1190"/>
      <c r="AO670" s="1190"/>
      <c r="AP670" s="1190"/>
      <c r="AQ670" s="1190"/>
      <c r="AR670" s="1190"/>
      <c r="AS670" s="1190"/>
      <c r="AT670" s="1190"/>
      <c r="AU670" s="1190"/>
      <c r="AV670" s="1190"/>
      <c r="AW670" s="1190"/>
      <c r="AX670" s="1190"/>
      <c r="AY670" s="1190"/>
      <c r="AZ670" s="1190"/>
      <c r="BA670" s="1190"/>
      <c r="BB670" s="1190"/>
      <c r="BC670" s="1190"/>
      <c r="BD670" s="1190"/>
      <c r="BE670" s="1190"/>
      <c r="BF670" s="1190"/>
      <c r="BG670" s="1190"/>
      <c r="BH670" s="1190"/>
      <c r="BI670" s="1190"/>
      <c r="BJ670" s="1190"/>
      <c r="BK670" s="1190"/>
      <c r="BL670" s="1190"/>
      <c r="BM670" s="1190"/>
      <c r="BQ670" s="195"/>
      <c r="BR670" s="195"/>
      <c r="BT670" s="1005"/>
    </row>
    <row r="671" ht="15.75" customHeight="1">
      <c r="A671" s="195"/>
      <c r="B671" s="978"/>
      <c r="C671" s="2321"/>
      <c r="D671" s="1729"/>
      <c r="E671" s="1190"/>
      <c r="F671" s="1190"/>
      <c r="G671" s="1190"/>
      <c r="H671" s="1190"/>
      <c r="I671" s="1190"/>
      <c r="J671" s="1190"/>
      <c r="K671" s="1190"/>
      <c r="L671" s="1190"/>
      <c r="M671" s="1190"/>
      <c r="N671" s="1190"/>
      <c r="O671" s="1190"/>
      <c r="P671" s="1190"/>
      <c r="Q671" s="1190"/>
      <c r="R671" s="1190"/>
      <c r="S671" s="1189"/>
      <c r="T671" s="1190"/>
      <c r="U671" s="1190"/>
      <c r="V671" s="1190"/>
      <c r="W671" s="1190"/>
      <c r="X671" s="1190"/>
      <c r="Y671" s="1190"/>
      <c r="Z671" s="1190"/>
      <c r="AA671" s="1190"/>
      <c r="AB671" s="1190"/>
      <c r="AC671" s="1190"/>
      <c r="AD671" s="1190"/>
      <c r="AE671" s="1190"/>
      <c r="AF671" s="1190"/>
      <c r="AG671" s="1748"/>
      <c r="AH671" s="1190"/>
      <c r="AI671" s="1748"/>
      <c r="AJ671" s="1190"/>
      <c r="AK671" s="1190"/>
      <c r="AL671" s="1190"/>
      <c r="AM671" s="1190"/>
      <c r="AN671" s="1190"/>
      <c r="AO671" s="1190"/>
      <c r="AP671" s="1190"/>
      <c r="AQ671" s="1190"/>
      <c r="AR671" s="1190"/>
      <c r="AS671" s="1190"/>
      <c r="AT671" s="1190"/>
      <c r="AU671" s="1190"/>
      <c r="AV671" s="1190"/>
      <c r="AW671" s="1190"/>
      <c r="AX671" s="1190"/>
      <c r="AY671" s="1190"/>
      <c r="AZ671" s="1190"/>
      <c r="BA671" s="1190"/>
      <c r="BB671" s="1190"/>
      <c r="BC671" s="1190"/>
      <c r="BD671" s="1190"/>
      <c r="BE671" s="1190"/>
      <c r="BF671" s="1190"/>
      <c r="BG671" s="1190"/>
      <c r="BH671" s="1190"/>
      <c r="BI671" s="1190"/>
      <c r="BJ671" s="1190"/>
      <c r="BK671" s="1190"/>
      <c r="BL671" s="1190"/>
      <c r="BM671" s="1190"/>
      <c r="BQ671" s="195"/>
      <c r="BR671" s="195"/>
      <c r="BT671" s="1005"/>
    </row>
    <row r="672" ht="15.75" customHeight="1">
      <c r="A672" s="195"/>
      <c r="B672" s="978"/>
      <c r="C672" s="2321"/>
      <c r="D672" s="1729"/>
      <c r="E672" s="1190"/>
      <c r="F672" s="1190"/>
      <c r="G672" s="1190"/>
      <c r="H672" s="1190"/>
      <c r="I672" s="1190"/>
      <c r="J672" s="1190"/>
      <c r="K672" s="1190"/>
      <c r="L672" s="1190"/>
      <c r="M672" s="1190"/>
      <c r="N672" s="1190"/>
      <c r="O672" s="1190"/>
      <c r="P672" s="1190"/>
      <c r="Q672" s="1190"/>
      <c r="R672" s="1190"/>
      <c r="S672" s="1189"/>
      <c r="T672" s="1190"/>
      <c r="U672" s="1190"/>
      <c r="V672" s="1190"/>
      <c r="W672" s="1190"/>
      <c r="X672" s="1190"/>
      <c r="Y672" s="1190"/>
      <c r="Z672" s="1190"/>
      <c r="AA672" s="1190"/>
      <c r="AB672" s="1190"/>
      <c r="AC672" s="1190"/>
      <c r="AD672" s="1190"/>
      <c r="AE672" s="1190"/>
      <c r="AF672" s="1190"/>
      <c r="AG672" s="1748"/>
      <c r="AH672" s="1190"/>
      <c r="AI672" s="1748"/>
      <c r="AJ672" s="1190"/>
      <c r="AK672" s="1190"/>
      <c r="AL672" s="1190"/>
      <c r="AM672" s="1190"/>
      <c r="AN672" s="1190"/>
      <c r="AO672" s="1190"/>
      <c r="AP672" s="1190"/>
      <c r="AQ672" s="1190"/>
      <c r="AR672" s="1190"/>
      <c r="AS672" s="1190"/>
      <c r="AT672" s="1190"/>
      <c r="AU672" s="1190"/>
      <c r="AV672" s="1190"/>
      <c r="AW672" s="1190"/>
      <c r="AX672" s="1190"/>
      <c r="AY672" s="1190"/>
      <c r="AZ672" s="1190"/>
      <c r="BA672" s="1190"/>
      <c r="BB672" s="1190"/>
      <c r="BC672" s="1190"/>
      <c r="BD672" s="1190"/>
      <c r="BE672" s="1190"/>
      <c r="BF672" s="1190"/>
      <c r="BG672" s="1190"/>
      <c r="BH672" s="1190"/>
      <c r="BI672" s="1190"/>
      <c r="BJ672" s="1190"/>
      <c r="BK672" s="1190"/>
      <c r="BL672" s="1190"/>
      <c r="BM672" s="1190"/>
      <c r="BQ672" s="195"/>
      <c r="BR672" s="195"/>
      <c r="BT672" s="1005"/>
    </row>
    <row r="673" ht="15.75" customHeight="1">
      <c r="A673" s="195"/>
      <c r="B673" s="978"/>
      <c r="C673" s="2321"/>
      <c r="D673" s="1729"/>
      <c r="E673" s="1190"/>
      <c r="F673" s="1190"/>
      <c r="G673" s="1190"/>
      <c r="H673" s="1190"/>
      <c r="I673" s="1190"/>
      <c r="J673" s="1190"/>
      <c r="K673" s="1190"/>
      <c r="L673" s="1190"/>
      <c r="M673" s="1190"/>
      <c r="N673" s="1190"/>
      <c r="O673" s="1190"/>
      <c r="P673" s="1190"/>
      <c r="Q673" s="1190"/>
      <c r="R673" s="1190"/>
      <c r="S673" s="1189"/>
      <c r="T673" s="1190"/>
      <c r="U673" s="1190"/>
      <c r="V673" s="1190"/>
      <c r="W673" s="1190"/>
      <c r="X673" s="1190"/>
      <c r="Y673" s="1190"/>
      <c r="Z673" s="1190"/>
      <c r="AA673" s="1190"/>
      <c r="AB673" s="1190"/>
      <c r="AC673" s="1190"/>
      <c r="AD673" s="1190"/>
      <c r="AE673" s="1190"/>
      <c r="AF673" s="1190"/>
      <c r="AG673" s="1748"/>
      <c r="AH673" s="1190"/>
      <c r="AI673" s="1748"/>
      <c r="AJ673" s="1190"/>
      <c r="AK673" s="1190"/>
      <c r="AL673" s="1190"/>
      <c r="AM673" s="1190"/>
      <c r="AN673" s="1190"/>
      <c r="AO673" s="1190"/>
      <c r="AP673" s="1190"/>
      <c r="AQ673" s="1190"/>
      <c r="AR673" s="1190"/>
      <c r="AS673" s="1190"/>
      <c r="AT673" s="1190"/>
      <c r="AU673" s="1190"/>
      <c r="AV673" s="1190"/>
      <c r="AW673" s="1190"/>
      <c r="AX673" s="1190"/>
      <c r="AY673" s="1190"/>
      <c r="AZ673" s="1190"/>
      <c r="BA673" s="1190"/>
      <c r="BB673" s="1190"/>
      <c r="BC673" s="1190"/>
      <c r="BD673" s="1190"/>
      <c r="BE673" s="1190"/>
      <c r="BF673" s="1190"/>
      <c r="BG673" s="1190"/>
      <c r="BH673" s="1190"/>
      <c r="BI673" s="1190"/>
      <c r="BJ673" s="1190"/>
      <c r="BK673" s="1190"/>
      <c r="BL673" s="1190"/>
      <c r="BM673" s="1190"/>
      <c r="BQ673" s="195"/>
      <c r="BR673" s="195"/>
      <c r="BT673" s="1005"/>
    </row>
    <row r="674" ht="15.75" customHeight="1">
      <c r="A674" s="195"/>
      <c r="B674" s="978"/>
      <c r="C674" s="2321"/>
      <c r="D674" s="1729"/>
      <c r="E674" s="1190"/>
      <c r="F674" s="1190"/>
      <c r="G674" s="1190"/>
      <c r="H674" s="1190"/>
      <c r="I674" s="1190"/>
      <c r="J674" s="1190"/>
      <c r="K674" s="1190"/>
      <c r="L674" s="1190"/>
      <c r="M674" s="1190"/>
      <c r="N674" s="1190"/>
      <c r="O674" s="1190"/>
      <c r="P674" s="1190"/>
      <c r="Q674" s="1190"/>
      <c r="R674" s="1190"/>
      <c r="S674" s="1189"/>
      <c r="T674" s="1190"/>
      <c r="U674" s="1190"/>
      <c r="V674" s="1190"/>
      <c r="W674" s="1190"/>
      <c r="X674" s="1190"/>
      <c r="Y674" s="1190"/>
      <c r="Z674" s="1190"/>
      <c r="AA674" s="1190"/>
      <c r="AB674" s="1190"/>
      <c r="AC674" s="1190"/>
      <c r="AD674" s="1190"/>
      <c r="AE674" s="1190"/>
      <c r="AF674" s="1190"/>
      <c r="AG674" s="1748"/>
      <c r="AH674" s="1190"/>
      <c r="AI674" s="1748"/>
      <c r="AJ674" s="1190"/>
      <c r="AK674" s="1190"/>
      <c r="AL674" s="1190"/>
      <c r="AM674" s="1190"/>
      <c r="AN674" s="1190"/>
      <c r="AO674" s="1190"/>
      <c r="AP674" s="1190"/>
      <c r="AQ674" s="1190"/>
      <c r="AR674" s="1190"/>
      <c r="AS674" s="1190"/>
      <c r="AT674" s="1190"/>
      <c r="AU674" s="1190"/>
      <c r="AV674" s="1190"/>
      <c r="AW674" s="1190"/>
      <c r="AX674" s="1190"/>
      <c r="AY674" s="1190"/>
      <c r="AZ674" s="1190"/>
      <c r="BA674" s="1190"/>
      <c r="BB674" s="1190"/>
      <c r="BC674" s="1190"/>
      <c r="BD674" s="1190"/>
      <c r="BE674" s="1190"/>
      <c r="BF674" s="1190"/>
      <c r="BG674" s="1190"/>
      <c r="BH674" s="1190"/>
      <c r="BI674" s="1190"/>
      <c r="BJ674" s="1190"/>
      <c r="BK674" s="1190"/>
      <c r="BL674" s="1190"/>
      <c r="BM674" s="1190"/>
      <c r="BQ674" s="195"/>
      <c r="BR674" s="195"/>
      <c r="BT674" s="1005"/>
    </row>
    <row r="675" ht="15.75" customHeight="1">
      <c r="A675" s="195"/>
      <c r="B675" s="978"/>
      <c r="C675" s="2321"/>
      <c r="D675" s="1729"/>
      <c r="E675" s="1190"/>
      <c r="F675" s="1190"/>
      <c r="G675" s="1190"/>
      <c r="H675" s="1190"/>
      <c r="I675" s="1190"/>
      <c r="J675" s="1190"/>
      <c r="K675" s="1190"/>
      <c r="L675" s="1190"/>
      <c r="M675" s="1190"/>
      <c r="N675" s="1190"/>
      <c r="O675" s="1190"/>
      <c r="P675" s="1190"/>
      <c r="Q675" s="1190"/>
      <c r="R675" s="1190"/>
      <c r="S675" s="1189"/>
      <c r="T675" s="1190"/>
      <c r="U675" s="1190"/>
      <c r="V675" s="1190"/>
      <c r="W675" s="1190"/>
      <c r="X675" s="1190"/>
      <c r="Y675" s="1190"/>
      <c r="Z675" s="1190"/>
      <c r="AA675" s="1190"/>
      <c r="AB675" s="1190"/>
      <c r="AC675" s="1190"/>
      <c r="AD675" s="1190"/>
      <c r="AE675" s="1190"/>
      <c r="AF675" s="1190"/>
      <c r="AG675" s="1748"/>
      <c r="AH675" s="1190"/>
      <c r="AI675" s="1748"/>
      <c r="AJ675" s="1190"/>
      <c r="AK675" s="1190"/>
      <c r="AL675" s="1190"/>
      <c r="AM675" s="1190"/>
      <c r="AN675" s="1190"/>
      <c r="AO675" s="1190"/>
      <c r="AP675" s="1190"/>
      <c r="AQ675" s="1190"/>
      <c r="AR675" s="1190"/>
      <c r="AS675" s="1190"/>
      <c r="AT675" s="1190"/>
      <c r="AU675" s="1190"/>
      <c r="AV675" s="1190"/>
      <c r="AW675" s="1190"/>
      <c r="AX675" s="1190"/>
      <c r="AY675" s="1190"/>
      <c r="AZ675" s="1190"/>
      <c r="BA675" s="1190"/>
      <c r="BB675" s="1190"/>
      <c r="BC675" s="1190"/>
      <c r="BD675" s="1190"/>
      <c r="BE675" s="1190"/>
      <c r="BF675" s="1190"/>
      <c r="BG675" s="1190"/>
      <c r="BH675" s="1190"/>
      <c r="BI675" s="1190"/>
      <c r="BJ675" s="1190"/>
      <c r="BK675" s="1190"/>
      <c r="BL675" s="1190"/>
      <c r="BM675" s="1190"/>
      <c r="BQ675" s="195"/>
      <c r="BR675" s="195"/>
      <c r="BT675" s="1005"/>
    </row>
    <row r="676" ht="15.75" customHeight="1">
      <c r="A676" s="195"/>
      <c r="B676" s="978"/>
      <c r="C676" s="2321"/>
      <c r="D676" s="1729"/>
      <c r="E676" s="1190"/>
      <c r="F676" s="1190"/>
      <c r="G676" s="1190"/>
      <c r="H676" s="1190"/>
      <c r="I676" s="1190"/>
      <c r="J676" s="1190"/>
      <c r="K676" s="1190"/>
      <c r="L676" s="1190"/>
      <c r="M676" s="1190"/>
      <c r="N676" s="1190"/>
      <c r="O676" s="1190"/>
      <c r="P676" s="1190"/>
      <c r="Q676" s="1190"/>
      <c r="R676" s="1190"/>
      <c r="S676" s="1189"/>
      <c r="T676" s="1190"/>
      <c r="U676" s="1190"/>
      <c r="V676" s="1190"/>
      <c r="W676" s="1190"/>
      <c r="X676" s="1190"/>
      <c r="Y676" s="1190"/>
      <c r="Z676" s="1190"/>
      <c r="AA676" s="1190"/>
      <c r="AB676" s="1190"/>
      <c r="AC676" s="1190"/>
      <c r="AD676" s="1190"/>
      <c r="AE676" s="1190"/>
      <c r="AF676" s="1190"/>
      <c r="AG676" s="1748"/>
      <c r="AH676" s="1190"/>
      <c r="AI676" s="1748"/>
      <c r="AJ676" s="1190"/>
      <c r="AK676" s="1190"/>
      <c r="AL676" s="1190"/>
      <c r="AM676" s="1190"/>
      <c r="AN676" s="1190"/>
      <c r="AO676" s="1190"/>
      <c r="AP676" s="1190"/>
      <c r="AQ676" s="1190"/>
      <c r="AR676" s="1190"/>
      <c r="AS676" s="1190"/>
      <c r="AT676" s="1190"/>
      <c r="AU676" s="1190"/>
      <c r="AV676" s="1190"/>
      <c r="AW676" s="1190"/>
      <c r="AX676" s="1190"/>
      <c r="AY676" s="1190"/>
      <c r="AZ676" s="1190"/>
      <c r="BA676" s="1190"/>
      <c r="BB676" s="1190"/>
      <c r="BC676" s="1190"/>
      <c r="BD676" s="1190"/>
      <c r="BE676" s="1190"/>
      <c r="BF676" s="1190"/>
      <c r="BG676" s="1190"/>
      <c r="BH676" s="1190"/>
      <c r="BI676" s="1190"/>
      <c r="BJ676" s="1190"/>
      <c r="BK676" s="1190"/>
      <c r="BL676" s="1190"/>
      <c r="BM676" s="1190"/>
      <c r="BQ676" s="195"/>
      <c r="BR676" s="195"/>
      <c r="BT676" s="1005"/>
    </row>
    <row r="677" ht="15.75" customHeight="1">
      <c r="A677" s="195"/>
      <c r="B677" s="978"/>
      <c r="C677" s="2321"/>
      <c r="D677" s="1729"/>
      <c r="E677" s="1190"/>
      <c r="F677" s="1190"/>
      <c r="G677" s="1190"/>
      <c r="H677" s="1190"/>
      <c r="I677" s="1190"/>
      <c r="J677" s="1190"/>
      <c r="K677" s="1190"/>
      <c r="L677" s="1190"/>
      <c r="M677" s="1190"/>
      <c r="N677" s="1190"/>
      <c r="O677" s="1190"/>
      <c r="P677" s="1190"/>
      <c r="Q677" s="1190"/>
      <c r="R677" s="1190"/>
      <c r="S677" s="1189"/>
      <c r="T677" s="1190"/>
      <c r="U677" s="1190"/>
      <c r="V677" s="1190"/>
      <c r="W677" s="1190"/>
      <c r="X677" s="1190"/>
      <c r="Y677" s="1190"/>
      <c r="Z677" s="1190"/>
      <c r="AA677" s="1190"/>
      <c r="AB677" s="1190"/>
      <c r="AC677" s="1190"/>
      <c r="AD677" s="1190"/>
      <c r="AE677" s="1190"/>
      <c r="AF677" s="1190"/>
      <c r="AG677" s="1748"/>
      <c r="AH677" s="1190"/>
      <c r="AI677" s="1748"/>
      <c r="AJ677" s="1190"/>
      <c r="AK677" s="1190"/>
      <c r="AL677" s="1190"/>
      <c r="AM677" s="1190"/>
      <c r="AN677" s="1190"/>
      <c r="AO677" s="1190"/>
      <c r="AP677" s="1190"/>
      <c r="AQ677" s="1190"/>
      <c r="AR677" s="1190"/>
      <c r="AS677" s="1190"/>
      <c r="AT677" s="1190"/>
      <c r="AU677" s="1190"/>
      <c r="AV677" s="1190"/>
      <c r="AW677" s="1190"/>
      <c r="AX677" s="1190"/>
      <c r="AY677" s="1190"/>
      <c r="AZ677" s="1190"/>
      <c r="BA677" s="1190"/>
      <c r="BB677" s="1190"/>
      <c r="BC677" s="1190"/>
      <c r="BD677" s="1190"/>
      <c r="BE677" s="1190"/>
      <c r="BF677" s="1190"/>
      <c r="BG677" s="1190"/>
      <c r="BH677" s="1190"/>
      <c r="BI677" s="1190"/>
      <c r="BJ677" s="1190"/>
      <c r="BK677" s="1190"/>
      <c r="BL677" s="1190"/>
      <c r="BM677" s="1190"/>
      <c r="BQ677" s="195"/>
      <c r="BR677" s="195"/>
      <c r="BT677" s="1005"/>
    </row>
    <row r="678" ht="15.75" customHeight="1">
      <c r="A678" s="195"/>
      <c r="B678" s="978"/>
      <c r="C678" s="2321"/>
      <c r="D678" s="1729"/>
      <c r="E678" s="1190"/>
      <c r="F678" s="1190"/>
      <c r="G678" s="1190"/>
      <c r="H678" s="1190"/>
      <c r="I678" s="1190"/>
      <c r="J678" s="1190"/>
      <c r="K678" s="1190"/>
      <c r="L678" s="1190"/>
      <c r="M678" s="1190"/>
      <c r="N678" s="1190"/>
      <c r="O678" s="1190"/>
      <c r="P678" s="1190"/>
      <c r="Q678" s="1190"/>
      <c r="R678" s="1190"/>
      <c r="S678" s="1189"/>
      <c r="T678" s="1190"/>
      <c r="U678" s="1190"/>
      <c r="V678" s="1190"/>
      <c r="W678" s="1190"/>
      <c r="X678" s="1190"/>
      <c r="Y678" s="1190"/>
      <c r="Z678" s="1190"/>
      <c r="AA678" s="1190"/>
      <c r="AB678" s="1190"/>
      <c r="AC678" s="1190"/>
      <c r="AD678" s="1190"/>
      <c r="AE678" s="1190"/>
      <c r="AF678" s="1190"/>
      <c r="AG678" s="1748"/>
      <c r="AH678" s="1190"/>
      <c r="AI678" s="1748"/>
      <c r="AJ678" s="1190"/>
      <c r="AK678" s="1190"/>
      <c r="AL678" s="1190"/>
      <c r="AM678" s="1190"/>
      <c r="AN678" s="1190"/>
      <c r="AO678" s="1190"/>
      <c r="AP678" s="1190"/>
      <c r="AQ678" s="1190"/>
      <c r="AR678" s="1190"/>
      <c r="AS678" s="1190"/>
      <c r="AT678" s="1190"/>
      <c r="AU678" s="1190"/>
      <c r="AV678" s="1190"/>
      <c r="AW678" s="1190"/>
      <c r="AX678" s="1190"/>
      <c r="AY678" s="1190"/>
      <c r="AZ678" s="1190"/>
      <c r="BA678" s="1190"/>
      <c r="BB678" s="1190"/>
      <c r="BC678" s="1190"/>
      <c r="BD678" s="1190"/>
      <c r="BE678" s="1190"/>
      <c r="BF678" s="1190"/>
      <c r="BG678" s="1190"/>
      <c r="BH678" s="1190"/>
      <c r="BI678" s="1190"/>
      <c r="BJ678" s="1190"/>
      <c r="BK678" s="1190"/>
      <c r="BL678" s="1190"/>
      <c r="BM678" s="1190"/>
      <c r="BQ678" s="195"/>
      <c r="BR678" s="195"/>
      <c r="BT678" s="1005"/>
    </row>
    <row r="679" ht="15.75" customHeight="1">
      <c r="A679" s="195"/>
      <c r="B679" s="978"/>
      <c r="C679" s="2321"/>
      <c r="D679" s="1729"/>
      <c r="E679" s="1190"/>
      <c r="F679" s="1190"/>
      <c r="G679" s="1190"/>
      <c r="H679" s="1190"/>
      <c r="I679" s="1190"/>
      <c r="J679" s="1190"/>
      <c r="K679" s="1190"/>
      <c r="L679" s="1190"/>
      <c r="M679" s="1190"/>
      <c r="N679" s="1190"/>
      <c r="O679" s="1190"/>
      <c r="P679" s="1190"/>
      <c r="Q679" s="1190"/>
      <c r="R679" s="1190"/>
      <c r="S679" s="1189"/>
      <c r="T679" s="1190"/>
      <c r="U679" s="1190"/>
      <c r="V679" s="1190"/>
      <c r="W679" s="1190"/>
      <c r="X679" s="1190"/>
      <c r="Y679" s="1190"/>
      <c r="Z679" s="1190"/>
      <c r="AA679" s="1190"/>
      <c r="AB679" s="1190"/>
      <c r="AC679" s="1190"/>
      <c r="AD679" s="1190"/>
      <c r="AE679" s="1190"/>
      <c r="AF679" s="1190"/>
      <c r="AG679" s="1748"/>
      <c r="AH679" s="1190"/>
      <c r="AI679" s="1748"/>
      <c r="AJ679" s="1190"/>
      <c r="AK679" s="1190"/>
      <c r="AL679" s="1190"/>
      <c r="AM679" s="1190"/>
      <c r="AN679" s="1190"/>
      <c r="AO679" s="1190"/>
      <c r="AP679" s="1190"/>
      <c r="AQ679" s="1190"/>
      <c r="AR679" s="1190"/>
      <c r="AS679" s="1190"/>
      <c r="AT679" s="1190"/>
      <c r="AU679" s="1190"/>
      <c r="AV679" s="1190"/>
      <c r="AW679" s="1190"/>
      <c r="AX679" s="1190"/>
      <c r="AY679" s="1190"/>
      <c r="AZ679" s="1190"/>
      <c r="BA679" s="1190"/>
      <c r="BB679" s="1190"/>
      <c r="BC679" s="1190"/>
      <c r="BD679" s="1190"/>
      <c r="BE679" s="1190"/>
      <c r="BF679" s="1190"/>
      <c r="BG679" s="1190"/>
      <c r="BH679" s="1190"/>
      <c r="BI679" s="1190"/>
      <c r="BJ679" s="1190"/>
      <c r="BK679" s="1190"/>
      <c r="BL679" s="1190"/>
      <c r="BM679" s="1190"/>
      <c r="BQ679" s="195"/>
      <c r="BR679" s="195"/>
      <c r="BT679" s="1005"/>
    </row>
    <row r="680" ht="15.75" customHeight="1">
      <c r="A680" s="195"/>
      <c r="B680" s="978"/>
      <c r="C680" s="2321"/>
      <c r="D680" s="1729"/>
      <c r="E680" s="1190"/>
      <c r="F680" s="1190"/>
      <c r="G680" s="1190"/>
      <c r="H680" s="1190"/>
      <c r="I680" s="1190"/>
      <c r="J680" s="1190"/>
      <c r="K680" s="1190"/>
      <c r="L680" s="1190"/>
      <c r="M680" s="1190"/>
      <c r="N680" s="1190"/>
      <c r="O680" s="1190"/>
      <c r="P680" s="1190"/>
      <c r="Q680" s="1190"/>
      <c r="R680" s="1190"/>
      <c r="S680" s="1189"/>
      <c r="T680" s="1190"/>
      <c r="U680" s="1190"/>
      <c r="V680" s="1190"/>
      <c r="W680" s="1190"/>
      <c r="X680" s="1190"/>
      <c r="Y680" s="1190"/>
      <c r="Z680" s="1190"/>
      <c r="AA680" s="1190"/>
      <c r="AB680" s="1190"/>
      <c r="AC680" s="1190"/>
      <c r="AD680" s="1190"/>
      <c r="AE680" s="1190"/>
      <c r="AF680" s="1190"/>
      <c r="AG680" s="1748"/>
      <c r="AH680" s="1190"/>
      <c r="AI680" s="1748"/>
      <c r="AJ680" s="1190"/>
      <c r="AK680" s="1190"/>
      <c r="AL680" s="1190"/>
      <c r="AM680" s="1190"/>
      <c r="AN680" s="1190"/>
      <c r="AO680" s="1190"/>
      <c r="AP680" s="1190"/>
      <c r="AQ680" s="1190"/>
      <c r="AR680" s="1190"/>
      <c r="AS680" s="1190"/>
      <c r="AT680" s="1190"/>
      <c r="AU680" s="1190"/>
      <c r="AV680" s="1190"/>
      <c r="AW680" s="1190"/>
      <c r="AX680" s="1190"/>
      <c r="AY680" s="1190"/>
      <c r="AZ680" s="1190"/>
      <c r="BA680" s="1190"/>
      <c r="BB680" s="1190"/>
      <c r="BC680" s="1190"/>
      <c r="BD680" s="1190"/>
      <c r="BE680" s="1190"/>
      <c r="BF680" s="1190"/>
      <c r="BG680" s="1190"/>
      <c r="BH680" s="1190"/>
      <c r="BI680" s="1190"/>
      <c r="BJ680" s="1190"/>
      <c r="BK680" s="1190"/>
      <c r="BL680" s="1190"/>
      <c r="BM680" s="1190"/>
      <c r="BQ680" s="195"/>
      <c r="BR680" s="195"/>
      <c r="BT680" s="1005"/>
    </row>
    <row r="681" ht="15.75" customHeight="1">
      <c r="A681" s="195"/>
      <c r="B681" s="978"/>
      <c r="C681" s="2321"/>
      <c r="D681" s="1729"/>
      <c r="E681" s="1190"/>
      <c r="F681" s="1190"/>
      <c r="G681" s="1190"/>
      <c r="H681" s="1190"/>
      <c r="I681" s="1190"/>
      <c r="J681" s="1190"/>
      <c r="K681" s="1190"/>
      <c r="L681" s="1190"/>
      <c r="M681" s="1190"/>
      <c r="N681" s="1190"/>
      <c r="O681" s="1190"/>
      <c r="P681" s="1190"/>
      <c r="Q681" s="1190"/>
      <c r="R681" s="1190"/>
      <c r="S681" s="1189"/>
      <c r="T681" s="1190"/>
      <c r="U681" s="1190"/>
      <c r="V681" s="1190"/>
      <c r="W681" s="1190"/>
      <c r="X681" s="1190"/>
      <c r="Y681" s="1190"/>
      <c r="Z681" s="1190"/>
      <c r="AA681" s="1190"/>
      <c r="AB681" s="1190"/>
      <c r="AC681" s="1190"/>
      <c r="AD681" s="1190"/>
      <c r="AE681" s="1190"/>
      <c r="AF681" s="1190"/>
      <c r="AG681" s="1748"/>
      <c r="AH681" s="1190"/>
      <c r="AI681" s="1748"/>
      <c r="AJ681" s="1190"/>
      <c r="AK681" s="1190"/>
      <c r="AL681" s="1190"/>
      <c r="AM681" s="1190"/>
      <c r="AN681" s="1190"/>
      <c r="AO681" s="1190"/>
      <c r="AP681" s="1190"/>
      <c r="AQ681" s="1190"/>
      <c r="AR681" s="1190"/>
      <c r="AS681" s="1190"/>
      <c r="AT681" s="1190"/>
      <c r="AU681" s="1190"/>
      <c r="AV681" s="1190"/>
      <c r="AW681" s="1190"/>
      <c r="AX681" s="1190"/>
      <c r="AY681" s="1190"/>
      <c r="AZ681" s="1190"/>
      <c r="BA681" s="1190"/>
      <c r="BB681" s="1190"/>
      <c r="BC681" s="1190"/>
      <c r="BD681" s="1190"/>
      <c r="BE681" s="1190"/>
      <c r="BF681" s="1190"/>
      <c r="BG681" s="1190"/>
      <c r="BH681" s="1190"/>
      <c r="BI681" s="1190"/>
      <c r="BJ681" s="1190"/>
      <c r="BK681" s="1190"/>
      <c r="BL681" s="1190"/>
      <c r="BM681" s="1190"/>
      <c r="BQ681" s="195"/>
      <c r="BR681" s="195"/>
      <c r="BT681" s="1005"/>
    </row>
    <row r="682" ht="15.75" customHeight="1">
      <c r="A682" s="195"/>
      <c r="B682" s="978"/>
      <c r="C682" s="2321"/>
      <c r="D682" s="1729"/>
      <c r="E682" s="1190"/>
      <c r="F682" s="1190"/>
      <c r="G682" s="1190"/>
      <c r="H682" s="1190"/>
      <c r="I682" s="1190"/>
      <c r="J682" s="1190"/>
      <c r="K682" s="1190"/>
      <c r="L682" s="1190"/>
      <c r="M682" s="1190"/>
      <c r="N682" s="1190"/>
      <c r="O682" s="1190"/>
      <c r="P682" s="1190"/>
      <c r="Q682" s="1190"/>
      <c r="R682" s="1190"/>
      <c r="S682" s="1189"/>
      <c r="T682" s="1190"/>
      <c r="U682" s="1190"/>
      <c r="V682" s="1190"/>
      <c r="W682" s="1190"/>
      <c r="X682" s="1190"/>
      <c r="Y682" s="1190"/>
      <c r="Z682" s="1190"/>
      <c r="AA682" s="1190"/>
      <c r="AB682" s="1190"/>
      <c r="AC682" s="1190"/>
      <c r="AD682" s="1190"/>
      <c r="AE682" s="1190"/>
      <c r="AF682" s="1190"/>
      <c r="AG682" s="1748"/>
      <c r="AH682" s="1190"/>
      <c r="AI682" s="1748"/>
      <c r="AJ682" s="1190"/>
      <c r="AK682" s="1190"/>
      <c r="AL682" s="1190"/>
      <c r="AM682" s="1190"/>
      <c r="AN682" s="1190"/>
      <c r="AO682" s="1190"/>
      <c r="AP682" s="1190"/>
      <c r="AQ682" s="1190"/>
      <c r="AR682" s="1190"/>
      <c r="AS682" s="1190"/>
      <c r="AT682" s="1190"/>
      <c r="AU682" s="1190"/>
      <c r="AV682" s="1190"/>
      <c r="AW682" s="1190"/>
      <c r="AX682" s="1190"/>
      <c r="AY682" s="1190"/>
      <c r="AZ682" s="1190"/>
      <c r="BA682" s="1190"/>
      <c r="BB682" s="1190"/>
      <c r="BC682" s="1190"/>
      <c r="BD682" s="1190"/>
      <c r="BE682" s="1190"/>
      <c r="BF682" s="1190"/>
      <c r="BG682" s="1190"/>
      <c r="BH682" s="1190"/>
      <c r="BI682" s="1190"/>
      <c r="BJ682" s="1190"/>
      <c r="BK682" s="1190"/>
      <c r="BL682" s="1190"/>
      <c r="BM682" s="1190"/>
      <c r="BQ682" s="195"/>
      <c r="BR682" s="195"/>
      <c r="BT682" s="1005"/>
    </row>
    <row r="683" ht="15.75" customHeight="1">
      <c r="A683" s="195"/>
      <c r="B683" s="978"/>
      <c r="C683" s="2321"/>
      <c r="D683" s="1729"/>
      <c r="E683" s="1190"/>
      <c r="F683" s="1190"/>
      <c r="G683" s="1190"/>
      <c r="H683" s="1190"/>
      <c r="I683" s="1190"/>
      <c r="J683" s="1190"/>
      <c r="K683" s="1190"/>
      <c r="L683" s="1190"/>
      <c r="M683" s="1190"/>
      <c r="N683" s="1190"/>
      <c r="O683" s="1190"/>
      <c r="P683" s="1190"/>
      <c r="Q683" s="1190"/>
      <c r="R683" s="1190"/>
      <c r="S683" s="1189"/>
      <c r="T683" s="1190"/>
      <c r="U683" s="1190"/>
      <c r="V683" s="1190"/>
      <c r="W683" s="1190"/>
      <c r="X683" s="1190"/>
      <c r="Y683" s="1190"/>
      <c r="Z683" s="1190"/>
      <c r="AA683" s="1190"/>
      <c r="AB683" s="1190"/>
      <c r="AC683" s="1190"/>
      <c r="AD683" s="1190"/>
      <c r="AE683" s="1190"/>
      <c r="AF683" s="1190"/>
      <c r="AG683" s="1748"/>
      <c r="AH683" s="1190"/>
      <c r="AI683" s="1748"/>
      <c r="AJ683" s="1190"/>
      <c r="AK683" s="1190"/>
      <c r="AL683" s="1190"/>
      <c r="AM683" s="1190"/>
      <c r="AN683" s="1190"/>
      <c r="AO683" s="1190"/>
      <c r="AP683" s="1190"/>
      <c r="AQ683" s="1190"/>
      <c r="AR683" s="1190"/>
      <c r="AS683" s="1190"/>
      <c r="AT683" s="1190"/>
      <c r="AU683" s="1190"/>
      <c r="AV683" s="1190"/>
      <c r="AW683" s="1190"/>
      <c r="AX683" s="1190"/>
      <c r="AY683" s="1190"/>
      <c r="AZ683" s="1190"/>
      <c r="BA683" s="1190"/>
      <c r="BB683" s="1190"/>
      <c r="BC683" s="1190"/>
      <c r="BD683" s="1190"/>
      <c r="BE683" s="1190"/>
      <c r="BF683" s="1190"/>
      <c r="BG683" s="1190"/>
      <c r="BH683" s="1190"/>
      <c r="BI683" s="1190"/>
      <c r="BJ683" s="1190"/>
      <c r="BK683" s="1190"/>
      <c r="BL683" s="1190"/>
      <c r="BM683" s="1190"/>
      <c r="BQ683" s="195"/>
      <c r="BR683" s="195"/>
      <c r="BT683" s="1005"/>
    </row>
    <row r="684" ht="15.75" customHeight="1">
      <c r="A684" s="195"/>
      <c r="B684" s="978"/>
      <c r="C684" s="2321"/>
      <c r="D684" s="1729"/>
      <c r="E684" s="1190"/>
      <c r="F684" s="1190"/>
      <c r="G684" s="1190"/>
      <c r="H684" s="1190"/>
      <c r="I684" s="1190"/>
      <c r="J684" s="1190"/>
      <c r="K684" s="1190"/>
      <c r="L684" s="1190"/>
      <c r="M684" s="1190"/>
      <c r="N684" s="1190"/>
      <c r="O684" s="1190"/>
      <c r="P684" s="1190"/>
      <c r="Q684" s="1190"/>
      <c r="R684" s="1190"/>
      <c r="S684" s="1189"/>
      <c r="T684" s="1190"/>
      <c r="U684" s="1190"/>
      <c r="V684" s="1190"/>
      <c r="W684" s="1190"/>
      <c r="X684" s="1190"/>
      <c r="Y684" s="1190"/>
      <c r="Z684" s="1190"/>
      <c r="AA684" s="1190"/>
      <c r="AB684" s="1190"/>
      <c r="AC684" s="1190"/>
      <c r="AD684" s="1190"/>
      <c r="AE684" s="1190"/>
      <c r="AF684" s="1190"/>
      <c r="AG684" s="1748"/>
      <c r="AH684" s="1190"/>
      <c r="AI684" s="1748"/>
      <c r="AJ684" s="1190"/>
      <c r="AK684" s="1190"/>
      <c r="AL684" s="1190"/>
      <c r="AM684" s="1190"/>
      <c r="AN684" s="1190"/>
      <c r="AO684" s="1190"/>
      <c r="AP684" s="1190"/>
      <c r="AQ684" s="1190"/>
      <c r="AR684" s="1190"/>
      <c r="AS684" s="1190"/>
      <c r="AT684" s="1190"/>
      <c r="AU684" s="1190"/>
      <c r="AV684" s="1190"/>
      <c r="AW684" s="1190"/>
      <c r="AX684" s="1190"/>
      <c r="AY684" s="1190"/>
      <c r="AZ684" s="1190"/>
      <c r="BA684" s="1190"/>
      <c r="BB684" s="1190"/>
      <c r="BC684" s="1190"/>
      <c r="BD684" s="1190"/>
      <c r="BE684" s="1190"/>
      <c r="BF684" s="1190"/>
      <c r="BG684" s="1190"/>
      <c r="BH684" s="1190"/>
      <c r="BI684" s="1190"/>
      <c r="BJ684" s="1190"/>
      <c r="BK684" s="1190"/>
      <c r="BL684" s="1190"/>
      <c r="BM684" s="1190"/>
      <c r="BQ684" s="195"/>
      <c r="BR684" s="195"/>
      <c r="BT684" s="1005"/>
    </row>
    <row r="685" ht="15.75" customHeight="1">
      <c r="A685" s="195"/>
      <c r="B685" s="978"/>
      <c r="C685" s="2321"/>
      <c r="D685" s="1729"/>
      <c r="E685" s="1190"/>
      <c r="F685" s="1190"/>
      <c r="G685" s="1190"/>
      <c r="H685" s="1190"/>
      <c r="I685" s="1190"/>
      <c r="J685" s="1190"/>
      <c r="K685" s="1190"/>
      <c r="L685" s="1190"/>
      <c r="M685" s="1190"/>
      <c r="N685" s="1190"/>
      <c r="O685" s="1190"/>
      <c r="P685" s="1190"/>
      <c r="Q685" s="1190"/>
      <c r="R685" s="1190"/>
      <c r="S685" s="1189"/>
      <c r="T685" s="1190"/>
      <c r="U685" s="1190"/>
      <c r="V685" s="1190"/>
      <c r="W685" s="1190"/>
      <c r="X685" s="1190"/>
      <c r="Y685" s="1190"/>
      <c r="Z685" s="1190"/>
      <c r="AA685" s="1190"/>
      <c r="AB685" s="1190"/>
      <c r="AC685" s="1190"/>
      <c r="AD685" s="1190"/>
      <c r="AE685" s="1190"/>
      <c r="AF685" s="1190"/>
      <c r="AG685" s="1748"/>
      <c r="AH685" s="1190"/>
      <c r="AI685" s="1748"/>
      <c r="AJ685" s="1190"/>
      <c r="AK685" s="1190"/>
      <c r="AL685" s="1190"/>
      <c r="AM685" s="1190"/>
      <c r="AN685" s="1190"/>
      <c r="AO685" s="1190"/>
      <c r="AP685" s="1190"/>
      <c r="AQ685" s="1190"/>
      <c r="AR685" s="1190"/>
      <c r="AS685" s="1190"/>
      <c r="AT685" s="1190"/>
      <c r="AU685" s="1190"/>
      <c r="AV685" s="1190"/>
      <c r="AW685" s="1190"/>
      <c r="AX685" s="1190"/>
      <c r="AY685" s="1190"/>
      <c r="AZ685" s="1190"/>
      <c r="BA685" s="1190"/>
      <c r="BB685" s="1190"/>
      <c r="BC685" s="1190"/>
      <c r="BD685" s="1190"/>
      <c r="BE685" s="1190"/>
      <c r="BF685" s="1190"/>
      <c r="BG685" s="1190"/>
      <c r="BH685" s="1190"/>
      <c r="BI685" s="1190"/>
      <c r="BJ685" s="1190"/>
      <c r="BK685" s="1190"/>
      <c r="BL685" s="1190"/>
      <c r="BM685" s="1190"/>
      <c r="BQ685" s="195"/>
      <c r="BR685" s="195"/>
      <c r="BT685" s="1005"/>
    </row>
    <row r="686" ht="15.75" customHeight="1">
      <c r="A686" s="195"/>
      <c r="B686" s="978"/>
      <c r="C686" s="2321"/>
      <c r="D686" s="1729"/>
      <c r="E686" s="1190"/>
      <c r="F686" s="1190"/>
      <c r="G686" s="1190"/>
      <c r="H686" s="1190"/>
      <c r="I686" s="1190"/>
      <c r="J686" s="1190"/>
      <c r="K686" s="1190"/>
      <c r="L686" s="1190"/>
      <c r="M686" s="1190"/>
      <c r="N686" s="1190"/>
      <c r="O686" s="1190"/>
      <c r="P686" s="1190"/>
      <c r="Q686" s="1190"/>
      <c r="R686" s="1190"/>
      <c r="S686" s="1189"/>
      <c r="T686" s="1190"/>
      <c r="U686" s="1190"/>
      <c r="V686" s="1190"/>
      <c r="W686" s="1190"/>
      <c r="X686" s="1190"/>
      <c r="Y686" s="1190"/>
      <c r="Z686" s="1190"/>
      <c r="AA686" s="1190"/>
      <c r="AB686" s="1190"/>
      <c r="AC686" s="1190"/>
      <c r="AD686" s="1190"/>
      <c r="AE686" s="1190"/>
      <c r="AF686" s="1190"/>
      <c r="AG686" s="1748"/>
      <c r="AH686" s="1190"/>
      <c r="AI686" s="1748"/>
      <c r="AJ686" s="1190"/>
      <c r="AK686" s="1190"/>
      <c r="AL686" s="1190"/>
      <c r="AM686" s="1190"/>
      <c r="AN686" s="1190"/>
      <c r="AO686" s="1190"/>
      <c r="AP686" s="1190"/>
      <c r="AQ686" s="1190"/>
      <c r="AR686" s="1190"/>
      <c r="AS686" s="1190"/>
      <c r="AT686" s="1190"/>
      <c r="AU686" s="1190"/>
      <c r="AV686" s="1190"/>
      <c r="AW686" s="1190"/>
      <c r="AX686" s="1190"/>
      <c r="AY686" s="1190"/>
      <c r="AZ686" s="1190"/>
      <c r="BA686" s="1190"/>
      <c r="BB686" s="1190"/>
      <c r="BC686" s="1190"/>
      <c r="BD686" s="1190"/>
      <c r="BE686" s="1190"/>
      <c r="BF686" s="1190"/>
      <c r="BG686" s="1190"/>
      <c r="BH686" s="1190"/>
      <c r="BI686" s="1190"/>
      <c r="BJ686" s="1190"/>
      <c r="BK686" s="1190"/>
      <c r="BL686" s="1190"/>
      <c r="BM686" s="1190"/>
      <c r="BQ686" s="195"/>
      <c r="BR686" s="195"/>
      <c r="BT686" s="1005"/>
    </row>
    <row r="687" ht="15.75" customHeight="1">
      <c r="A687" s="195"/>
      <c r="B687" s="978"/>
      <c r="C687" s="2321"/>
      <c r="D687" s="1729"/>
      <c r="E687" s="1190"/>
      <c r="F687" s="1190"/>
      <c r="G687" s="1190"/>
      <c r="H687" s="1190"/>
      <c r="I687" s="1190"/>
      <c r="J687" s="1190"/>
      <c r="K687" s="1190"/>
      <c r="L687" s="1190"/>
      <c r="M687" s="1190"/>
      <c r="N687" s="1190"/>
      <c r="O687" s="1190"/>
      <c r="P687" s="1190"/>
      <c r="Q687" s="1190"/>
      <c r="R687" s="1190"/>
      <c r="S687" s="1189"/>
      <c r="T687" s="1190"/>
      <c r="U687" s="1190"/>
      <c r="V687" s="1190"/>
      <c r="W687" s="1190"/>
      <c r="X687" s="1190"/>
      <c r="Y687" s="1190"/>
      <c r="Z687" s="1190"/>
      <c r="AA687" s="1190"/>
      <c r="AB687" s="1190"/>
      <c r="AC687" s="1190"/>
      <c r="AD687" s="1190"/>
      <c r="AE687" s="1190"/>
      <c r="AF687" s="1190"/>
      <c r="AG687" s="1748"/>
      <c r="AH687" s="1190"/>
      <c r="AI687" s="1748"/>
      <c r="AJ687" s="1190"/>
      <c r="AK687" s="1190"/>
      <c r="AL687" s="1190"/>
      <c r="AM687" s="1190"/>
      <c r="AN687" s="1190"/>
      <c r="AO687" s="1190"/>
      <c r="AP687" s="1190"/>
      <c r="AQ687" s="1190"/>
      <c r="AR687" s="1190"/>
      <c r="AS687" s="1190"/>
      <c r="AT687" s="1190"/>
      <c r="AU687" s="1190"/>
      <c r="AV687" s="1190"/>
      <c r="AW687" s="1190"/>
      <c r="AX687" s="1190"/>
      <c r="AY687" s="1190"/>
      <c r="AZ687" s="1190"/>
      <c r="BA687" s="1190"/>
      <c r="BB687" s="1190"/>
      <c r="BC687" s="1190"/>
      <c r="BD687" s="1190"/>
      <c r="BE687" s="1190"/>
      <c r="BF687" s="1190"/>
      <c r="BG687" s="1190"/>
      <c r="BH687" s="1190"/>
      <c r="BI687" s="1190"/>
      <c r="BJ687" s="1190"/>
      <c r="BK687" s="1190"/>
      <c r="BL687" s="1190"/>
      <c r="BM687" s="1190"/>
      <c r="BQ687" s="195"/>
      <c r="BR687" s="195"/>
      <c r="BT687" s="1005"/>
    </row>
    <row r="688" ht="15.75" customHeight="1">
      <c r="A688" s="195"/>
      <c r="B688" s="978"/>
      <c r="C688" s="2321"/>
      <c r="D688" s="1729"/>
      <c r="E688" s="1190"/>
      <c r="F688" s="1190"/>
      <c r="G688" s="1190"/>
      <c r="H688" s="1190"/>
      <c r="I688" s="1190"/>
      <c r="J688" s="1190"/>
      <c r="K688" s="1190"/>
      <c r="L688" s="1190"/>
      <c r="M688" s="1190"/>
      <c r="N688" s="1190"/>
      <c r="O688" s="1190"/>
      <c r="P688" s="1190"/>
      <c r="Q688" s="1190"/>
      <c r="R688" s="1190"/>
      <c r="S688" s="1189"/>
      <c r="T688" s="1190"/>
      <c r="U688" s="1190"/>
      <c r="V688" s="1190"/>
      <c r="W688" s="1190"/>
      <c r="X688" s="1190"/>
      <c r="Y688" s="1190"/>
      <c r="Z688" s="1190"/>
      <c r="AA688" s="1190"/>
      <c r="AB688" s="1190"/>
      <c r="AC688" s="1190"/>
      <c r="AD688" s="1190"/>
      <c r="AE688" s="1190"/>
      <c r="AF688" s="1190"/>
      <c r="AG688" s="1748"/>
      <c r="AH688" s="1190"/>
      <c r="AI688" s="1748"/>
      <c r="AJ688" s="1190"/>
      <c r="AK688" s="1190"/>
      <c r="AL688" s="1190"/>
      <c r="AM688" s="1190"/>
      <c r="AN688" s="1190"/>
      <c r="AO688" s="1190"/>
      <c r="AP688" s="1190"/>
      <c r="AQ688" s="1190"/>
      <c r="AR688" s="1190"/>
      <c r="AS688" s="1190"/>
      <c r="AT688" s="1190"/>
      <c r="AU688" s="1190"/>
      <c r="AV688" s="1190"/>
      <c r="AW688" s="1190"/>
      <c r="AX688" s="1190"/>
      <c r="AY688" s="1190"/>
      <c r="AZ688" s="1190"/>
      <c r="BA688" s="1190"/>
      <c r="BB688" s="1190"/>
      <c r="BC688" s="1190"/>
      <c r="BD688" s="1190"/>
      <c r="BE688" s="1190"/>
      <c r="BF688" s="1190"/>
      <c r="BG688" s="1190"/>
      <c r="BH688" s="1190"/>
      <c r="BI688" s="1190"/>
      <c r="BJ688" s="1190"/>
      <c r="BK688" s="1190"/>
      <c r="BL688" s="1190"/>
      <c r="BM688" s="1190"/>
      <c r="BQ688" s="195"/>
      <c r="BR688" s="195"/>
      <c r="BT688" s="1005"/>
    </row>
    <row r="689" ht="15.75" customHeight="1">
      <c r="A689" s="195"/>
      <c r="B689" s="978"/>
      <c r="C689" s="2321"/>
      <c r="D689" s="1729"/>
      <c r="E689" s="1190"/>
      <c r="F689" s="1190"/>
      <c r="G689" s="1190"/>
      <c r="H689" s="1190"/>
      <c r="I689" s="1190"/>
      <c r="J689" s="1190"/>
      <c r="K689" s="1190"/>
      <c r="L689" s="1190"/>
      <c r="M689" s="1190"/>
      <c r="N689" s="1190"/>
      <c r="O689" s="1190"/>
      <c r="P689" s="1190"/>
      <c r="Q689" s="1190"/>
      <c r="R689" s="1190"/>
      <c r="S689" s="1189"/>
      <c r="T689" s="1190"/>
      <c r="U689" s="1190"/>
      <c r="V689" s="1190"/>
      <c r="W689" s="1190"/>
      <c r="X689" s="1190"/>
      <c r="Y689" s="1190"/>
      <c r="Z689" s="1190"/>
      <c r="AA689" s="1190"/>
      <c r="AB689" s="1190"/>
      <c r="AC689" s="1190"/>
      <c r="AD689" s="1190"/>
      <c r="AE689" s="1190"/>
      <c r="AF689" s="1190"/>
      <c r="AG689" s="1748"/>
      <c r="AH689" s="1190"/>
      <c r="AI689" s="1748"/>
      <c r="AJ689" s="1190"/>
      <c r="AK689" s="1190"/>
      <c r="AL689" s="1190"/>
      <c r="AM689" s="1190"/>
      <c r="AN689" s="1190"/>
      <c r="AO689" s="1190"/>
      <c r="AP689" s="1190"/>
      <c r="AQ689" s="1190"/>
      <c r="AR689" s="1190"/>
      <c r="AS689" s="1190"/>
      <c r="AT689" s="1190"/>
      <c r="AU689" s="1190"/>
      <c r="AV689" s="1190"/>
      <c r="AW689" s="1190"/>
      <c r="AX689" s="1190"/>
      <c r="AY689" s="1190"/>
      <c r="AZ689" s="1190"/>
      <c r="BA689" s="1190"/>
      <c r="BB689" s="1190"/>
      <c r="BC689" s="1190"/>
      <c r="BD689" s="1190"/>
      <c r="BE689" s="1190"/>
      <c r="BF689" s="1190"/>
      <c r="BG689" s="1190"/>
      <c r="BH689" s="1190"/>
      <c r="BI689" s="1190"/>
      <c r="BJ689" s="1190"/>
      <c r="BK689" s="1190"/>
      <c r="BL689" s="1190"/>
      <c r="BM689" s="1190"/>
      <c r="BQ689" s="195"/>
      <c r="BR689" s="195"/>
      <c r="BT689" s="1005"/>
    </row>
    <row r="690" ht="15.75" customHeight="1">
      <c r="A690" s="195"/>
      <c r="B690" s="978"/>
      <c r="C690" s="2321"/>
      <c r="D690" s="1729"/>
      <c r="E690" s="1190"/>
      <c r="F690" s="1190"/>
      <c r="G690" s="1190"/>
      <c r="H690" s="1190"/>
      <c r="I690" s="1190"/>
      <c r="J690" s="1190"/>
      <c r="K690" s="1190"/>
      <c r="L690" s="1190"/>
      <c r="M690" s="1190"/>
      <c r="N690" s="1190"/>
      <c r="O690" s="1190"/>
      <c r="P690" s="1190"/>
      <c r="Q690" s="1190"/>
      <c r="R690" s="1190"/>
      <c r="S690" s="1189"/>
      <c r="T690" s="1190"/>
      <c r="U690" s="1190"/>
      <c r="V690" s="1190"/>
      <c r="W690" s="1190"/>
      <c r="X690" s="1190"/>
      <c r="Y690" s="1190"/>
      <c r="Z690" s="1190"/>
      <c r="AA690" s="1190"/>
      <c r="AB690" s="1190"/>
      <c r="AC690" s="1190"/>
      <c r="AD690" s="1190"/>
      <c r="AE690" s="1190"/>
      <c r="AF690" s="1190"/>
      <c r="AG690" s="1748"/>
      <c r="AH690" s="1190"/>
      <c r="AI690" s="1748"/>
      <c r="AJ690" s="1190"/>
      <c r="AK690" s="1190"/>
      <c r="AL690" s="1190"/>
      <c r="AM690" s="1190"/>
      <c r="AN690" s="1190"/>
      <c r="AO690" s="1190"/>
      <c r="AP690" s="1190"/>
      <c r="AQ690" s="1190"/>
      <c r="AR690" s="1190"/>
      <c r="AS690" s="1190"/>
      <c r="AT690" s="1190"/>
      <c r="AU690" s="1190"/>
      <c r="AV690" s="1190"/>
      <c r="AW690" s="1190"/>
      <c r="AX690" s="1190"/>
      <c r="AY690" s="1190"/>
      <c r="AZ690" s="1190"/>
      <c r="BA690" s="1190"/>
      <c r="BB690" s="1190"/>
      <c r="BC690" s="1190"/>
      <c r="BD690" s="1190"/>
      <c r="BE690" s="1190"/>
      <c r="BF690" s="1190"/>
      <c r="BG690" s="1190"/>
      <c r="BH690" s="1190"/>
      <c r="BI690" s="1190"/>
      <c r="BJ690" s="1190"/>
      <c r="BK690" s="1190"/>
      <c r="BL690" s="1190"/>
      <c r="BM690" s="1190"/>
      <c r="BQ690" s="195"/>
      <c r="BR690" s="195"/>
      <c r="BT690" s="1005"/>
    </row>
    <row r="691" ht="15.75" customHeight="1">
      <c r="A691" s="195"/>
      <c r="B691" s="978"/>
      <c r="C691" s="2321"/>
      <c r="D691" s="1729"/>
      <c r="E691" s="1190"/>
      <c r="F691" s="1190"/>
      <c r="G691" s="1190"/>
      <c r="H691" s="1190"/>
      <c r="I691" s="1190"/>
      <c r="J691" s="1190"/>
      <c r="K691" s="1190"/>
      <c r="L691" s="1190"/>
      <c r="M691" s="1190"/>
      <c r="N691" s="1190"/>
      <c r="O691" s="1190"/>
      <c r="P691" s="1190"/>
      <c r="Q691" s="1190"/>
      <c r="R691" s="1190"/>
      <c r="S691" s="1189"/>
      <c r="T691" s="1190"/>
      <c r="U691" s="1190"/>
      <c r="V691" s="1190"/>
      <c r="W691" s="1190"/>
      <c r="X691" s="1190"/>
      <c r="Y691" s="1190"/>
      <c r="Z691" s="1190"/>
      <c r="AA691" s="1190"/>
      <c r="AB691" s="1190"/>
      <c r="AC691" s="1190"/>
      <c r="AD691" s="1190"/>
      <c r="AE691" s="1190"/>
      <c r="AF691" s="1190"/>
      <c r="AG691" s="1748"/>
      <c r="AH691" s="1190"/>
      <c r="AI691" s="1748"/>
      <c r="AJ691" s="1190"/>
      <c r="AK691" s="1190"/>
      <c r="AL691" s="1190"/>
      <c r="AM691" s="1190"/>
      <c r="AN691" s="1190"/>
      <c r="AO691" s="1190"/>
      <c r="AP691" s="1190"/>
      <c r="AQ691" s="1190"/>
      <c r="AR691" s="1190"/>
      <c r="AS691" s="1190"/>
      <c r="AT691" s="1190"/>
      <c r="AU691" s="1190"/>
      <c r="AV691" s="1190"/>
      <c r="AW691" s="1190"/>
      <c r="AX691" s="1190"/>
      <c r="AY691" s="1190"/>
      <c r="AZ691" s="1190"/>
      <c r="BA691" s="1190"/>
      <c r="BB691" s="1190"/>
      <c r="BC691" s="1190"/>
      <c r="BD691" s="1190"/>
      <c r="BE691" s="1190"/>
      <c r="BF691" s="1190"/>
      <c r="BG691" s="1190"/>
      <c r="BH691" s="1190"/>
      <c r="BI691" s="1190"/>
      <c r="BJ691" s="1190"/>
      <c r="BK691" s="1190"/>
      <c r="BL691" s="1190"/>
      <c r="BM691" s="1190"/>
      <c r="BQ691" s="195"/>
      <c r="BR691" s="195"/>
      <c r="BT691" s="1005"/>
    </row>
    <row r="692" ht="15.75" customHeight="1">
      <c r="A692" s="195"/>
      <c r="B692" s="978"/>
      <c r="C692" s="2321"/>
      <c r="D692" s="1729"/>
      <c r="E692" s="1190"/>
      <c r="F692" s="1190"/>
      <c r="G692" s="1190"/>
      <c r="H692" s="1190"/>
      <c r="I692" s="1190"/>
      <c r="J692" s="1190"/>
      <c r="K692" s="1190"/>
      <c r="L692" s="1190"/>
      <c r="M692" s="1190"/>
      <c r="N692" s="1190"/>
      <c r="O692" s="1190"/>
      <c r="P692" s="1190"/>
      <c r="Q692" s="1190"/>
      <c r="R692" s="1190"/>
      <c r="S692" s="1189"/>
      <c r="T692" s="1190"/>
      <c r="U692" s="1190"/>
      <c r="V692" s="1190"/>
      <c r="W692" s="1190"/>
      <c r="X692" s="1190"/>
      <c r="Y692" s="1190"/>
      <c r="Z692" s="1190"/>
      <c r="AA692" s="1190"/>
      <c r="AB692" s="1190"/>
      <c r="AC692" s="1190"/>
      <c r="AD692" s="1190"/>
      <c r="AE692" s="1190"/>
      <c r="AF692" s="1190"/>
      <c r="AG692" s="1748"/>
      <c r="AH692" s="1190"/>
      <c r="AI692" s="1748"/>
      <c r="AJ692" s="1190"/>
      <c r="AK692" s="1190"/>
      <c r="AL692" s="1190"/>
      <c r="AM692" s="1190"/>
      <c r="AN692" s="1190"/>
      <c r="AO692" s="1190"/>
      <c r="AP692" s="1190"/>
      <c r="AQ692" s="1190"/>
      <c r="AR692" s="1190"/>
      <c r="AS692" s="1190"/>
      <c r="AT692" s="1190"/>
      <c r="AU692" s="1190"/>
      <c r="AV692" s="1190"/>
      <c r="AW692" s="1190"/>
      <c r="AX692" s="1190"/>
      <c r="AY692" s="1190"/>
      <c r="AZ692" s="1190"/>
      <c r="BA692" s="1190"/>
      <c r="BB692" s="1190"/>
      <c r="BC692" s="1190"/>
      <c r="BD692" s="1190"/>
      <c r="BE692" s="1190"/>
      <c r="BF692" s="1190"/>
      <c r="BG692" s="1190"/>
      <c r="BH692" s="1190"/>
      <c r="BI692" s="1190"/>
      <c r="BJ692" s="1190"/>
      <c r="BK692" s="1190"/>
      <c r="BL692" s="1190"/>
      <c r="BM692" s="1190"/>
      <c r="BQ692" s="195"/>
      <c r="BR692" s="195"/>
      <c r="BT692" s="1005"/>
    </row>
    <row r="693" ht="15.75" customHeight="1">
      <c r="A693" s="195"/>
      <c r="B693" s="978"/>
      <c r="C693" s="2321"/>
      <c r="D693" s="1729"/>
      <c r="E693" s="1190"/>
      <c r="F693" s="1190"/>
      <c r="G693" s="1190"/>
      <c r="H693" s="1190"/>
      <c r="I693" s="1190"/>
      <c r="J693" s="1190"/>
      <c r="K693" s="1190"/>
      <c r="L693" s="1190"/>
      <c r="M693" s="1190"/>
      <c r="N693" s="1190"/>
      <c r="O693" s="1190"/>
      <c r="P693" s="1190"/>
      <c r="Q693" s="1190"/>
      <c r="R693" s="1190"/>
      <c r="S693" s="1189"/>
      <c r="T693" s="1190"/>
      <c r="U693" s="1190"/>
      <c r="V693" s="1190"/>
      <c r="W693" s="1190"/>
      <c r="X693" s="1190"/>
      <c r="Y693" s="1190"/>
      <c r="Z693" s="1190"/>
      <c r="AA693" s="1190"/>
      <c r="AB693" s="1190"/>
      <c r="AC693" s="1190"/>
      <c r="AD693" s="1190"/>
      <c r="AE693" s="1190"/>
      <c r="AF693" s="1190"/>
      <c r="AG693" s="1748"/>
      <c r="AH693" s="1190"/>
      <c r="AI693" s="1748"/>
      <c r="AJ693" s="1190"/>
      <c r="AK693" s="1190"/>
      <c r="AL693" s="1190"/>
      <c r="AM693" s="1190"/>
      <c r="AN693" s="1190"/>
      <c r="AO693" s="1190"/>
      <c r="AP693" s="1190"/>
      <c r="AQ693" s="1190"/>
      <c r="AR693" s="1190"/>
      <c r="AS693" s="1190"/>
      <c r="AT693" s="1190"/>
      <c r="AU693" s="1190"/>
      <c r="AV693" s="1190"/>
      <c r="AW693" s="1190"/>
      <c r="AX693" s="1190"/>
      <c r="AY693" s="1190"/>
      <c r="AZ693" s="1190"/>
      <c r="BA693" s="1190"/>
      <c r="BB693" s="1190"/>
      <c r="BC693" s="1190"/>
      <c r="BD693" s="1190"/>
      <c r="BE693" s="1190"/>
      <c r="BF693" s="1190"/>
      <c r="BG693" s="1190"/>
      <c r="BH693" s="1190"/>
      <c r="BI693" s="1190"/>
      <c r="BJ693" s="1190"/>
      <c r="BK693" s="1190"/>
      <c r="BL693" s="1190"/>
      <c r="BM693" s="1190"/>
      <c r="BQ693" s="195"/>
      <c r="BR693" s="195"/>
      <c r="BT693" s="1005"/>
    </row>
    <row r="694" ht="15.75" customHeight="1">
      <c r="A694" s="195"/>
      <c r="B694" s="978"/>
      <c r="C694" s="2321"/>
      <c r="D694" s="1729"/>
      <c r="E694" s="1190"/>
      <c r="F694" s="1190"/>
      <c r="G694" s="1190"/>
      <c r="H694" s="1190"/>
      <c r="I694" s="1190"/>
      <c r="J694" s="1190"/>
      <c r="K694" s="1190"/>
      <c r="L694" s="1190"/>
      <c r="M694" s="1190"/>
      <c r="N694" s="1190"/>
      <c r="O694" s="1190"/>
      <c r="P694" s="1190"/>
      <c r="Q694" s="1190"/>
      <c r="R694" s="1190"/>
      <c r="S694" s="1189"/>
      <c r="T694" s="1190"/>
      <c r="U694" s="1190"/>
      <c r="V694" s="1190"/>
      <c r="W694" s="1190"/>
      <c r="X694" s="1190"/>
      <c r="Y694" s="1190"/>
      <c r="Z694" s="1190"/>
      <c r="AA694" s="1190"/>
      <c r="AB694" s="1190"/>
      <c r="AC694" s="1190"/>
      <c r="AD694" s="1190"/>
      <c r="AE694" s="1190"/>
      <c r="AF694" s="1190"/>
      <c r="AG694" s="1748"/>
      <c r="AH694" s="1190"/>
      <c r="AI694" s="1748"/>
      <c r="AJ694" s="1190"/>
      <c r="AK694" s="1190"/>
      <c r="AL694" s="1190"/>
      <c r="AM694" s="1190"/>
      <c r="AN694" s="1190"/>
      <c r="AO694" s="1190"/>
      <c r="AP694" s="1190"/>
      <c r="AQ694" s="1190"/>
      <c r="AR694" s="1190"/>
      <c r="AS694" s="1190"/>
      <c r="AT694" s="1190"/>
      <c r="AU694" s="1190"/>
      <c r="AV694" s="1190"/>
      <c r="AW694" s="1190"/>
      <c r="AX694" s="1190"/>
      <c r="AY694" s="1190"/>
      <c r="AZ694" s="1190"/>
      <c r="BA694" s="1190"/>
      <c r="BB694" s="1190"/>
      <c r="BC694" s="1190"/>
      <c r="BD694" s="1190"/>
      <c r="BE694" s="1190"/>
      <c r="BF694" s="1190"/>
      <c r="BG694" s="1190"/>
      <c r="BH694" s="1190"/>
      <c r="BI694" s="1190"/>
      <c r="BJ694" s="1190"/>
      <c r="BK694" s="1190"/>
      <c r="BL694" s="1190"/>
      <c r="BM694" s="1190"/>
      <c r="BQ694" s="195"/>
      <c r="BR694" s="195"/>
      <c r="BT694" s="1005"/>
    </row>
    <row r="695" ht="15.75" customHeight="1">
      <c r="A695" s="195"/>
      <c r="B695" s="978"/>
      <c r="C695" s="2321"/>
      <c r="D695" s="1729"/>
      <c r="E695" s="1190"/>
      <c r="F695" s="1190"/>
      <c r="G695" s="1190"/>
      <c r="H695" s="1190"/>
      <c r="I695" s="1190"/>
      <c r="J695" s="1190"/>
      <c r="K695" s="1190"/>
      <c r="L695" s="1190"/>
      <c r="M695" s="1190"/>
      <c r="N695" s="1190"/>
      <c r="O695" s="1190"/>
      <c r="P695" s="1190"/>
      <c r="Q695" s="1190"/>
      <c r="R695" s="1190"/>
      <c r="S695" s="1189"/>
      <c r="T695" s="1190"/>
      <c r="U695" s="1190"/>
      <c r="V695" s="1190"/>
      <c r="W695" s="1190"/>
      <c r="X695" s="1190"/>
      <c r="Y695" s="1190"/>
      <c r="Z695" s="1190"/>
      <c r="AA695" s="1190"/>
      <c r="AB695" s="1190"/>
      <c r="AC695" s="1190"/>
      <c r="AD695" s="1190"/>
      <c r="AE695" s="1190"/>
      <c r="AF695" s="1190"/>
      <c r="AG695" s="1748"/>
      <c r="AH695" s="1190"/>
      <c r="AI695" s="1748"/>
      <c r="AJ695" s="1190"/>
      <c r="AK695" s="1190"/>
      <c r="AL695" s="1190"/>
      <c r="AM695" s="1190"/>
      <c r="AN695" s="1190"/>
      <c r="AO695" s="1190"/>
      <c r="AP695" s="1190"/>
      <c r="AQ695" s="1190"/>
      <c r="AR695" s="1190"/>
      <c r="AS695" s="1190"/>
      <c r="AT695" s="1190"/>
      <c r="AU695" s="1190"/>
      <c r="AV695" s="1190"/>
      <c r="AW695" s="1190"/>
      <c r="AX695" s="1190"/>
      <c r="AY695" s="1190"/>
      <c r="AZ695" s="1190"/>
      <c r="BA695" s="1190"/>
      <c r="BB695" s="1190"/>
      <c r="BC695" s="1190"/>
      <c r="BD695" s="1190"/>
      <c r="BE695" s="1190"/>
      <c r="BF695" s="1190"/>
      <c r="BG695" s="1190"/>
      <c r="BH695" s="1190"/>
      <c r="BI695" s="1190"/>
      <c r="BJ695" s="1190"/>
      <c r="BK695" s="1190"/>
      <c r="BL695" s="1190"/>
      <c r="BM695" s="1190"/>
      <c r="BQ695" s="195"/>
      <c r="BR695" s="195"/>
      <c r="BT695" s="1005"/>
    </row>
    <row r="696" ht="15.75" customHeight="1">
      <c r="A696" s="195"/>
      <c r="B696" s="978"/>
      <c r="C696" s="2321"/>
      <c r="D696" s="1729"/>
      <c r="E696" s="1190"/>
      <c r="F696" s="1190"/>
      <c r="G696" s="1190"/>
      <c r="H696" s="1190"/>
      <c r="I696" s="1190"/>
      <c r="J696" s="1190"/>
      <c r="K696" s="1190"/>
      <c r="L696" s="1190"/>
      <c r="M696" s="1190"/>
      <c r="N696" s="1190"/>
      <c r="O696" s="1190"/>
      <c r="P696" s="1190"/>
      <c r="Q696" s="1190"/>
      <c r="R696" s="1190"/>
      <c r="S696" s="1189"/>
      <c r="T696" s="1190"/>
      <c r="U696" s="1190"/>
      <c r="V696" s="1190"/>
      <c r="W696" s="1190"/>
      <c r="X696" s="1190"/>
      <c r="Y696" s="1190"/>
      <c r="Z696" s="1190"/>
      <c r="AA696" s="1190"/>
      <c r="AB696" s="1190"/>
      <c r="AC696" s="1190"/>
      <c r="AD696" s="1190"/>
      <c r="AE696" s="1190"/>
      <c r="AF696" s="1190"/>
      <c r="AG696" s="1748"/>
      <c r="AH696" s="1190"/>
      <c r="AI696" s="1748"/>
      <c r="AJ696" s="1190"/>
      <c r="AK696" s="1190"/>
      <c r="AL696" s="1190"/>
      <c r="AM696" s="1190"/>
      <c r="AN696" s="1190"/>
      <c r="AO696" s="1190"/>
      <c r="AP696" s="1190"/>
      <c r="AQ696" s="1190"/>
      <c r="AR696" s="1190"/>
      <c r="AS696" s="1190"/>
      <c r="AT696" s="1190"/>
      <c r="AU696" s="1190"/>
      <c r="AV696" s="1190"/>
      <c r="AW696" s="1190"/>
      <c r="AX696" s="1190"/>
      <c r="AY696" s="1190"/>
      <c r="AZ696" s="1190"/>
      <c r="BA696" s="1190"/>
      <c r="BB696" s="1190"/>
      <c r="BC696" s="1190"/>
      <c r="BD696" s="1190"/>
      <c r="BE696" s="1190"/>
      <c r="BF696" s="1190"/>
      <c r="BG696" s="1190"/>
      <c r="BH696" s="1190"/>
      <c r="BI696" s="1190"/>
      <c r="BJ696" s="1190"/>
      <c r="BK696" s="1190"/>
      <c r="BL696" s="1190"/>
      <c r="BM696" s="1190"/>
      <c r="BQ696" s="195"/>
      <c r="BR696" s="195"/>
      <c r="BT696" s="1005"/>
    </row>
    <row r="697" ht="15.75" customHeight="1">
      <c r="A697" s="195"/>
      <c r="B697" s="978"/>
      <c r="C697" s="2321"/>
      <c r="D697" s="1729"/>
      <c r="E697" s="1190"/>
      <c r="F697" s="1190"/>
      <c r="G697" s="1190"/>
      <c r="H697" s="1190"/>
      <c r="I697" s="1190"/>
      <c r="J697" s="1190"/>
      <c r="K697" s="1190"/>
      <c r="L697" s="1190"/>
      <c r="M697" s="1190"/>
      <c r="N697" s="1190"/>
      <c r="O697" s="1190"/>
      <c r="P697" s="1190"/>
      <c r="Q697" s="1190"/>
      <c r="R697" s="1190"/>
      <c r="S697" s="1189"/>
      <c r="T697" s="1190"/>
      <c r="U697" s="1190"/>
      <c r="V697" s="1190"/>
      <c r="W697" s="1190"/>
      <c r="X697" s="1190"/>
      <c r="Y697" s="1190"/>
      <c r="Z697" s="1190"/>
      <c r="AA697" s="1190"/>
      <c r="AB697" s="1190"/>
      <c r="AC697" s="1190"/>
      <c r="AD697" s="1190"/>
      <c r="AE697" s="1190"/>
      <c r="AF697" s="1190"/>
      <c r="AG697" s="1748"/>
      <c r="AH697" s="1190"/>
      <c r="AI697" s="1748"/>
      <c r="AJ697" s="1190"/>
      <c r="AK697" s="1190"/>
      <c r="AL697" s="1190"/>
      <c r="AM697" s="1190"/>
      <c r="AN697" s="1190"/>
      <c r="AO697" s="1190"/>
      <c r="AP697" s="1190"/>
      <c r="AQ697" s="1190"/>
      <c r="AR697" s="1190"/>
      <c r="AS697" s="1190"/>
      <c r="AT697" s="1190"/>
      <c r="AU697" s="1190"/>
      <c r="AV697" s="1190"/>
      <c r="AW697" s="1190"/>
      <c r="AX697" s="1190"/>
      <c r="AY697" s="1190"/>
      <c r="AZ697" s="1190"/>
      <c r="BA697" s="1190"/>
      <c r="BB697" s="1190"/>
      <c r="BC697" s="1190"/>
      <c r="BD697" s="1190"/>
      <c r="BE697" s="1190"/>
      <c r="BF697" s="1190"/>
      <c r="BG697" s="1190"/>
      <c r="BH697" s="1190"/>
      <c r="BI697" s="1190"/>
      <c r="BJ697" s="1190"/>
      <c r="BK697" s="1190"/>
      <c r="BL697" s="1190"/>
      <c r="BM697" s="1190"/>
      <c r="BQ697" s="195"/>
      <c r="BR697" s="195"/>
      <c r="BT697" s="1005"/>
    </row>
    <row r="698" ht="15.75" customHeight="1">
      <c r="A698" s="195"/>
      <c r="B698" s="978"/>
      <c r="C698" s="2321"/>
      <c r="D698" s="1729"/>
      <c r="E698" s="1190"/>
      <c r="F698" s="1190"/>
      <c r="G698" s="1190"/>
      <c r="H698" s="1190"/>
      <c r="I698" s="1190"/>
      <c r="J698" s="1190"/>
      <c r="K698" s="1190"/>
      <c r="L698" s="1190"/>
      <c r="M698" s="1190"/>
      <c r="N698" s="1190"/>
      <c r="O698" s="1190"/>
      <c r="P698" s="1190"/>
      <c r="Q698" s="1190"/>
      <c r="R698" s="1190"/>
      <c r="S698" s="1189"/>
      <c r="T698" s="1190"/>
      <c r="U698" s="1190"/>
      <c r="V698" s="1190"/>
      <c r="W698" s="1190"/>
      <c r="X698" s="1190"/>
      <c r="Y698" s="1190"/>
      <c r="Z698" s="1190"/>
      <c r="AA698" s="1190"/>
      <c r="AB698" s="1190"/>
      <c r="AC698" s="1190"/>
      <c r="AD698" s="1190"/>
      <c r="AE698" s="1190"/>
      <c r="AF698" s="1190"/>
      <c r="AG698" s="1748"/>
      <c r="AH698" s="1190"/>
      <c r="AI698" s="1748"/>
      <c r="AJ698" s="1190"/>
      <c r="AK698" s="1190"/>
      <c r="AL698" s="1190"/>
      <c r="AM698" s="1190"/>
      <c r="AN698" s="1190"/>
      <c r="AO698" s="1190"/>
      <c r="AP698" s="1190"/>
      <c r="AQ698" s="1190"/>
      <c r="AR698" s="1190"/>
      <c r="AS698" s="1190"/>
      <c r="AT698" s="1190"/>
      <c r="AU698" s="1190"/>
      <c r="AV698" s="1190"/>
      <c r="AW698" s="1190"/>
      <c r="AX698" s="1190"/>
      <c r="AY698" s="1190"/>
      <c r="AZ698" s="1190"/>
      <c r="BA698" s="1190"/>
      <c r="BB698" s="1190"/>
      <c r="BC698" s="1190"/>
      <c r="BD698" s="1190"/>
      <c r="BE698" s="1190"/>
      <c r="BF698" s="1190"/>
      <c r="BG698" s="1190"/>
      <c r="BH698" s="1190"/>
      <c r="BI698" s="1190"/>
      <c r="BJ698" s="1190"/>
      <c r="BK698" s="1190"/>
      <c r="BL698" s="1190"/>
      <c r="BM698" s="1190"/>
      <c r="BQ698" s="195"/>
      <c r="BR698" s="195"/>
      <c r="BT698" s="1005"/>
    </row>
    <row r="699" ht="15.75" customHeight="1">
      <c r="A699" s="195"/>
      <c r="B699" s="978"/>
      <c r="C699" s="2321"/>
      <c r="D699" s="1729"/>
      <c r="E699" s="1190"/>
      <c r="F699" s="1190"/>
      <c r="G699" s="1190"/>
      <c r="H699" s="1190"/>
      <c r="I699" s="1190"/>
      <c r="J699" s="1190"/>
      <c r="K699" s="1190"/>
      <c r="L699" s="1190"/>
      <c r="M699" s="1190"/>
      <c r="N699" s="1190"/>
      <c r="O699" s="1190"/>
      <c r="P699" s="1190"/>
      <c r="Q699" s="1190"/>
      <c r="R699" s="1190"/>
      <c r="S699" s="1189"/>
      <c r="T699" s="1190"/>
      <c r="U699" s="1190"/>
      <c r="V699" s="1190"/>
      <c r="W699" s="1190"/>
      <c r="X699" s="1190"/>
      <c r="Y699" s="1190"/>
      <c r="Z699" s="1190"/>
      <c r="AA699" s="1190"/>
      <c r="AB699" s="1190"/>
      <c r="AC699" s="1190"/>
      <c r="AD699" s="1190"/>
      <c r="AE699" s="1190"/>
      <c r="AF699" s="1190"/>
      <c r="AG699" s="1748"/>
      <c r="AH699" s="1190"/>
      <c r="AI699" s="1748"/>
      <c r="AJ699" s="1190"/>
      <c r="AK699" s="1190"/>
      <c r="AL699" s="1190"/>
      <c r="AM699" s="1190"/>
      <c r="AN699" s="1190"/>
      <c r="AO699" s="1190"/>
      <c r="AP699" s="1190"/>
      <c r="AQ699" s="1190"/>
      <c r="AR699" s="1190"/>
      <c r="AS699" s="1190"/>
      <c r="AT699" s="1190"/>
      <c r="AU699" s="1190"/>
      <c r="AV699" s="1190"/>
      <c r="AW699" s="1190"/>
      <c r="AX699" s="1190"/>
      <c r="AY699" s="1190"/>
      <c r="AZ699" s="1190"/>
      <c r="BA699" s="1190"/>
      <c r="BB699" s="1190"/>
      <c r="BC699" s="1190"/>
      <c r="BD699" s="1190"/>
      <c r="BE699" s="1190"/>
      <c r="BF699" s="1190"/>
      <c r="BG699" s="1190"/>
      <c r="BH699" s="1190"/>
      <c r="BI699" s="1190"/>
      <c r="BJ699" s="1190"/>
      <c r="BK699" s="1190"/>
      <c r="BL699" s="1190"/>
      <c r="BM699" s="1190"/>
      <c r="BQ699" s="195"/>
      <c r="BR699" s="195"/>
      <c r="BT699" s="1005"/>
    </row>
    <row r="700" ht="15.75" customHeight="1">
      <c r="A700" s="195"/>
      <c r="B700" s="978"/>
      <c r="C700" s="2321"/>
      <c r="D700" s="1729"/>
      <c r="E700" s="1190"/>
      <c r="F700" s="1190"/>
      <c r="G700" s="1190"/>
      <c r="H700" s="1190"/>
      <c r="I700" s="1190"/>
      <c r="J700" s="1190"/>
      <c r="K700" s="1190"/>
      <c r="L700" s="1190"/>
      <c r="M700" s="1190"/>
      <c r="N700" s="1190"/>
      <c r="O700" s="1190"/>
      <c r="P700" s="1190"/>
      <c r="Q700" s="1190"/>
      <c r="R700" s="1190"/>
      <c r="S700" s="1189"/>
      <c r="T700" s="1190"/>
      <c r="U700" s="1190"/>
      <c r="V700" s="1190"/>
      <c r="W700" s="1190"/>
      <c r="X700" s="1190"/>
      <c r="Y700" s="1190"/>
      <c r="Z700" s="1190"/>
      <c r="AA700" s="1190"/>
      <c r="AB700" s="1190"/>
      <c r="AC700" s="1190"/>
      <c r="AD700" s="1190"/>
      <c r="AE700" s="1190"/>
      <c r="AF700" s="1190"/>
      <c r="AG700" s="1748"/>
      <c r="AH700" s="1190"/>
      <c r="AI700" s="1748"/>
      <c r="AJ700" s="1190"/>
      <c r="AK700" s="1190"/>
      <c r="AL700" s="1190"/>
      <c r="AM700" s="1190"/>
      <c r="AN700" s="1190"/>
      <c r="AO700" s="1190"/>
      <c r="AP700" s="1190"/>
      <c r="AQ700" s="1190"/>
      <c r="AR700" s="1190"/>
      <c r="AS700" s="1190"/>
      <c r="AT700" s="1190"/>
      <c r="AU700" s="1190"/>
      <c r="AV700" s="1190"/>
      <c r="AW700" s="1190"/>
      <c r="AX700" s="1190"/>
      <c r="AY700" s="1190"/>
      <c r="AZ700" s="1190"/>
      <c r="BA700" s="1190"/>
      <c r="BB700" s="1190"/>
      <c r="BC700" s="1190"/>
      <c r="BD700" s="1190"/>
      <c r="BE700" s="1190"/>
      <c r="BF700" s="1190"/>
      <c r="BG700" s="1190"/>
      <c r="BH700" s="1190"/>
      <c r="BI700" s="1190"/>
      <c r="BJ700" s="1190"/>
      <c r="BK700" s="1190"/>
      <c r="BL700" s="1190"/>
      <c r="BM700" s="1190"/>
      <c r="BQ700" s="195"/>
      <c r="BR700" s="195"/>
      <c r="BT700" s="1005"/>
    </row>
    <row r="701" ht="15.75" customHeight="1">
      <c r="A701" s="195"/>
      <c r="B701" s="978"/>
      <c r="C701" s="2321"/>
      <c r="D701" s="1729"/>
      <c r="E701" s="1190"/>
      <c r="F701" s="1190"/>
      <c r="G701" s="1190"/>
      <c r="H701" s="1190"/>
      <c r="I701" s="1190"/>
      <c r="J701" s="1190"/>
      <c r="K701" s="1190"/>
      <c r="L701" s="1190"/>
      <c r="M701" s="1190"/>
      <c r="N701" s="1190"/>
      <c r="O701" s="1190"/>
      <c r="P701" s="1190"/>
      <c r="Q701" s="1190"/>
      <c r="R701" s="1190"/>
      <c r="S701" s="1189"/>
      <c r="T701" s="1190"/>
      <c r="U701" s="1190"/>
      <c r="V701" s="1190"/>
      <c r="W701" s="1190"/>
      <c r="X701" s="1190"/>
      <c r="Y701" s="1190"/>
      <c r="Z701" s="1190"/>
      <c r="AA701" s="1190"/>
      <c r="AB701" s="1190"/>
      <c r="AC701" s="1190"/>
      <c r="AD701" s="1190"/>
      <c r="AE701" s="1190"/>
      <c r="AF701" s="1190"/>
      <c r="AG701" s="1748"/>
      <c r="AH701" s="1190"/>
      <c r="AI701" s="1748"/>
      <c r="AJ701" s="1190"/>
      <c r="AK701" s="1190"/>
      <c r="AL701" s="1190"/>
      <c r="AM701" s="1190"/>
      <c r="AN701" s="1190"/>
      <c r="AO701" s="1190"/>
      <c r="AP701" s="1190"/>
      <c r="AQ701" s="1190"/>
      <c r="AR701" s="1190"/>
      <c r="AS701" s="1190"/>
      <c r="AT701" s="1190"/>
      <c r="AU701" s="1190"/>
      <c r="AV701" s="1190"/>
      <c r="AW701" s="1190"/>
      <c r="AX701" s="1190"/>
      <c r="AY701" s="1190"/>
      <c r="AZ701" s="1190"/>
      <c r="BA701" s="1190"/>
      <c r="BB701" s="1190"/>
      <c r="BC701" s="1190"/>
      <c r="BD701" s="1190"/>
      <c r="BE701" s="1190"/>
      <c r="BF701" s="1190"/>
      <c r="BG701" s="1190"/>
      <c r="BH701" s="1190"/>
      <c r="BI701" s="1190"/>
      <c r="BJ701" s="1190"/>
      <c r="BK701" s="1190"/>
      <c r="BL701" s="1190"/>
      <c r="BM701" s="1190"/>
      <c r="BQ701" s="195"/>
      <c r="BR701" s="195"/>
      <c r="BT701" s="1005"/>
    </row>
    <row r="702" ht="15.75" customHeight="1">
      <c r="A702" s="195"/>
      <c r="B702" s="978"/>
      <c r="C702" s="2321"/>
      <c r="D702" s="1729"/>
      <c r="E702" s="1190"/>
      <c r="F702" s="1190"/>
      <c r="G702" s="1190"/>
      <c r="H702" s="1190"/>
      <c r="I702" s="1190"/>
      <c r="J702" s="1190"/>
      <c r="K702" s="1190"/>
      <c r="L702" s="1190"/>
      <c r="M702" s="1190"/>
      <c r="N702" s="1190"/>
      <c r="O702" s="1190"/>
      <c r="P702" s="1190"/>
      <c r="Q702" s="1190"/>
      <c r="R702" s="1190"/>
      <c r="S702" s="1189"/>
      <c r="T702" s="1190"/>
      <c r="U702" s="1190"/>
      <c r="V702" s="1190"/>
      <c r="W702" s="1190"/>
      <c r="X702" s="1190"/>
      <c r="Y702" s="1190"/>
      <c r="Z702" s="1190"/>
      <c r="AA702" s="1190"/>
      <c r="AB702" s="1190"/>
      <c r="AC702" s="1190"/>
      <c r="AD702" s="1190"/>
      <c r="AE702" s="1190"/>
      <c r="AF702" s="1190"/>
      <c r="AG702" s="1748"/>
      <c r="AH702" s="1190"/>
      <c r="AI702" s="1748"/>
      <c r="AJ702" s="1190"/>
      <c r="AK702" s="1190"/>
      <c r="AL702" s="1190"/>
      <c r="AM702" s="1190"/>
      <c r="AN702" s="1190"/>
      <c r="AO702" s="1190"/>
      <c r="AP702" s="1190"/>
      <c r="AQ702" s="1190"/>
      <c r="AR702" s="1190"/>
      <c r="AS702" s="1190"/>
      <c r="AT702" s="1190"/>
      <c r="AU702" s="1190"/>
      <c r="AV702" s="1190"/>
      <c r="AW702" s="1190"/>
      <c r="AX702" s="1190"/>
      <c r="AY702" s="1190"/>
      <c r="AZ702" s="1190"/>
      <c r="BA702" s="1190"/>
      <c r="BB702" s="1190"/>
      <c r="BC702" s="1190"/>
      <c r="BD702" s="1190"/>
      <c r="BE702" s="1190"/>
      <c r="BF702" s="1190"/>
      <c r="BG702" s="1190"/>
      <c r="BH702" s="1190"/>
      <c r="BI702" s="1190"/>
      <c r="BJ702" s="1190"/>
      <c r="BK702" s="1190"/>
      <c r="BL702" s="1190"/>
      <c r="BM702" s="1190"/>
      <c r="BQ702" s="195"/>
      <c r="BR702" s="195"/>
      <c r="BT702" s="1005"/>
    </row>
    <row r="703" ht="15.75" customHeight="1">
      <c r="A703" s="195"/>
      <c r="B703" s="978"/>
      <c r="C703" s="2321"/>
      <c r="D703" s="1729"/>
      <c r="E703" s="1190"/>
      <c r="F703" s="1190"/>
      <c r="G703" s="1190"/>
      <c r="H703" s="1190"/>
      <c r="I703" s="1190"/>
      <c r="J703" s="1190"/>
      <c r="K703" s="1190"/>
      <c r="L703" s="1190"/>
      <c r="M703" s="1190"/>
      <c r="N703" s="1190"/>
      <c r="O703" s="1190"/>
      <c r="P703" s="1190"/>
      <c r="Q703" s="1190"/>
      <c r="R703" s="1190"/>
      <c r="S703" s="1189"/>
      <c r="T703" s="1190"/>
      <c r="U703" s="1190"/>
      <c r="V703" s="1190"/>
      <c r="W703" s="1190"/>
      <c r="X703" s="1190"/>
      <c r="Y703" s="1190"/>
      <c r="Z703" s="1190"/>
      <c r="AA703" s="1190"/>
      <c r="AB703" s="1190"/>
      <c r="AC703" s="1190"/>
      <c r="AD703" s="1190"/>
      <c r="AE703" s="1190"/>
      <c r="AF703" s="1190"/>
      <c r="AG703" s="1748"/>
      <c r="AH703" s="1190"/>
      <c r="AI703" s="1748"/>
      <c r="AJ703" s="1190"/>
      <c r="AK703" s="1190"/>
      <c r="AL703" s="1190"/>
      <c r="AM703" s="1190"/>
      <c r="AN703" s="1190"/>
      <c r="AO703" s="1190"/>
      <c r="AP703" s="1190"/>
      <c r="AQ703" s="1190"/>
      <c r="AR703" s="1190"/>
      <c r="AS703" s="1190"/>
      <c r="AT703" s="1190"/>
      <c r="AU703" s="1190"/>
      <c r="AV703" s="1190"/>
      <c r="AW703" s="1190"/>
      <c r="AX703" s="1190"/>
      <c r="AY703" s="1190"/>
      <c r="AZ703" s="1190"/>
      <c r="BA703" s="1190"/>
      <c r="BB703" s="1190"/>
      <c r="BC703" s="1190"/>
      <c r="BD703" s="1190"/>
      <c r="BE703" s="1190"/>
      <c r="BF703" s="1190"/>
      <c r="BG703" s="1190"/>
      <c r="BH703" s="1190"/>
      <c r="BI703" s="1190"/>
      <c r="BJ703" s="1190"/>
      <c r="BK703" s="1190"/>
      <c r="BL703" s="1190"/>
      <c r="BM703" s="1190"/>
      <c r="BQ703" s="195"/>
      <c r="BR703" s="195"/>
      <c r="BT703" s="1005"/>
    </row>
    <row r="704" ht="15.75" customHeight="1">
      <c r="A704" s="195"/>
      <c r="B704" s="978"/>
      <c r="C704" s="2321"/>
      <c r="D704" s="1729"/>
      <c r="E704" s="1190"/>
      <c r="F704" s="1190"/>
      <c r="G704" s="1190"/>
      <c r="H704" s="1190"/>
      <c r="I704" s="1190"/>
      <c r="J704" s="1190"/>
      <c r="K704" s="1190"/>
      <c r="L704" s="1190"/>
      <c r="M704" s="1190"/>
      <c r="N704" s="1190"/>
      <c r="O704" s="1190"/>
      <c r="P704" s="1190"/>
      <c r="Q704" s="1190"/>
      <c r="R704" s="1190"/>
      <c r="S704" s="1189"/>
      <c r="T704" s="1190"/>
      <c r="U704" s="1190"/>
      <c r="V704" s="1190"/>
      <c r="W704" s="1190"/>
      <c r="X704" s="1190"/>
      <c r="Y704" s="1190"/>
      <c r="Z704" s="1190"/>
      <c r="AA704" s="1190"/>
      <c r="AB704" s="1190"/>
      <c r="AC704" s="1190"/>
      <c r="AD704" s="1190"/>
      <c r="AE704" s="1190"/>
      <c r="AF704" s="1190"/>
      <c r="AG704" s="1748"/>
      <c r="AH704" s="1190"/>
      <c r="AI704" s="1748"/>
      <c r="AJ704" s="1190"/>
      <c r="AK704" s="1190"/>
      <c r="AL704" s="1190"/>
      <c r="AM704" s="1190"/>
      <c r="AN704" s="1190"/>
      <c r="AO704" s="1190"/>
      <c r="AP704" s="1190"/>
      <c r="AQ704" s="1190"/>
      <c r="AR704" s="1190"/>
      <c r="AS704" s="1190"/>
      <c r="AT704" s="1190"/>
      <c r="AU704" s="1190"/>
      <c r="AV704" s="1190"/>
      <c r="AW704" s="1190"/>
      <c r="AX704" s="1190"/>
      <c r="AY704" s="1190"/>
      <c r="AZ704" s="1190"/>
      <c r="BA704" s="1190"/>
      <c r="BB704" s="1190"/>
      <c r="BC704" s="1190"/>
      <c r="BD704" s="1190"/>
      <c r="BE704" s="1190"/>
      <c r="BF704" s="1190"/>
      <c r="BG704" s="1190"/>
      <c r="BH704" s="1190"/>
      <c r="BI704" s="1190"/>
      <c r="BJ704" s="1190"/>
      <c r="BK704" s="1190"/>
      <c r="BL704" s="1190"/>
      <c r="BM704" s="1190"/>
      <c r="BQ704" s="195"/>
      <c r="BR704" s="195"/>
      <c r="BT704" s="1005"/>
    </row>
    <row r="705" ht="15.75" customHeight="1">
      <c r="A705" s="195"/>
      <c r="B705" s="978"/>
      <c r="C705" s="2321"/>
      <c r="D705" s="1729"/>
      <c r="E705" s="1190"/>
      <c r="F705" s="1190"/>
      <c r="G705" s="1190"/>
      <c r="H705" s="1190"/>
      <c r="I705" s="1190"/>
      <c r="J705" s="1190"/>
      <c r="K705" s="1190"/>
      <c r="L705" s="1190"/>
      <c r="M705" s="1190"/>
      <c r="N705" s="1190"/>
      <c r="O705" s="1190"/>
      <c r="P705" s="1190"/>
      <c r="Q705" s="1190"/>
      <c r="R705" s="1190"/>
      <c r="S705" s="1189"/>
      <c r="T705" s="1190"/>
      <c r="U705" s="1190"/>
      <c r="V705" s="1190"/>
      <c r="W705" s="1190"/>
      <c r="X705" s="1190"/>
      <c r="Y705" s="1190"/>
      <c r="Z705" s="1190"/>
      <c r="AA705" s="1190"/>
      <c r="AB705" s="1190"/>
      <c r="AC705" s="1190"/>
      <c r="AD705" s="1190"/>
      <c r="AE705" s="1190"/>
      <c r="AF705" s="1190"/>
      <c r="AG705" s="1748"/>
      <c r="AH705" s="1190"/>
      <c r="AI705" s="1748"/>
      <c r="AJ705" s="1190"/>
      <c r="AK705" s="1190"/>
      <c r="AL705" s="1190"/>
      <c r="AM705" s="1190"/>
      <c r="AN705" s="1190"/>
      <c r="AO705" s="1190"/>
      <c r="AP705" s="1190"/>
      <c r="AQ705" s="1190"/>
      <c r="AR705" s="1190"/>
      <c r="AS705" s="1190"/>
      <c r="AT705" s="1190"/>
      <c r="AU705" s="1190"/>
      <c r="AV705" s="1190"/>
      <c r="AW705" s="1190"/>
      <c r="AX705" s="1190"/>
      <c r="AY705" s="1190"/>
      <c r="AZ705" s="1190"/>
      <c r="BA705" s="1190"/>
      <c r="BB705" s="1190"/>
      <c r="BC705" s="1190"/>
      <c r="BD705" s="1190"/>
      <c r="BE705" s="1190"/>
      <c r="BF705" s="1190"/>
      <c r="BG705" s="1190"/>
      <c r="BH705" s="1190"/>
      <c r="BI705" s="1190"/>
      <c r="BJ705" s="1190"/>
      <c r="BK705" s="1190"/>
      <c r="BL705" s="1190"/>
      <c r="BM705" s="1190"/>
      <c r="BQ705" s="195"/>
      <c r="BR705" s="195"/>
      <c r="BT705" s="1005"/>
    </row>
    <row r="706" ht="15.75" customHeight="1">
      <c r="A706" s="195"/>
      <c r="B706" s="978"/>
      <c r="C706" s="2321"/>
      <c r="D706" s="1729"/>
      <c r="E706" s="1190"/>
      <c r="F706" s="1190"/>
      <c r="G706" s="1190"/>
      <c r="H706" s="1190"/>
      <c r="I706" s="1190"/>
      <c r="J706" s="1190"/>
      <c r="K706" s="1190"/>
      <c r="L706" s="1190"/>
      <c r="M706" s="1190"/>
      <c r="N706" s="1190"/>
      <c r="O706" s="1190"/>
      <c r="P706" s="1190"/>
      <c r="Q706" s="1190"/>
      <c r="R706" s="1190"/>
      <c r="S706" s="1189"/>
      <c r="T706" s="1190"/>
      <c r="U706" s="1190"/>
      <c r="V706" s="1190"/>
      <c r="W706" s="1190"/>
      <c r="X706" s="1190"/>
      <c r="Y706" s="1190"/>
      <c r="Z706" s="1190"/>
      <c r="AA706" s="1190"/>
      <c r="AB706" s="1190"/>
      <c r="AC706" s="1190"/>
      <c r="AD706" s="1190"/>
      <c r="AE706" s="1190"/>
      <c r="AF706" s="1190"/>
      <c r="AG706" s="1748"/>
      <c r="AH706" s="1190"/>
      <c r="AI706" s="1748"/>
      <c r="AJ706" s="1190"/>
      <c r="AK706" s="1190"/>
      <c r="AL706" s="1190"/>
      <c r="AM706" s="1190"/>
      <c r="AN706" s="1190"/>
      <c r="AO706" s="1190"/>
      <c r="AP706" s="1190"/>
      <c r="AQ706" s="1190"/>
      <c r="AR706" s="1190"/>
      <c r="AS706" s="1190"/>
      <c r="AT706" s="1190"/>
      <c r="AU706" s="1190"/>
      <c r="AV706" s="1190"/>
      <c r="AW706" s="1190"/>
      <c r="AX706" s="1190"/>
      <c r="AY706" s="1190"/>
      <c r="AZ706" s="1190"/>
      <c r="BA706" s="1190"/>
      <c r="BB706" s="1190"/>
      <c r="BC706" s="1190"/>
      <c r="BD706" s="1190"/>
      <c r="BE706" s="1190"/>
      <c r="BF706" s="1190"/>
      <c r="BG706" s="1190"/>
      <c r="BH706" s="1190"/>
      <c r="BI706" s="1190"/>
      <c r="BJ706" s="1190"/>
      <c r="BK706" s="1190"/>
      <c r="BL706" s="1190"/>
      <c r="BM706" s="1190"/>
      <c r="BQ706" s="195"/>
      <c r="BR706" s="195"/>
      <c r="BT706" s="1005"/>
    </row>
    <row r="707" ht="15.75" customHeight="1">
      <c r="A707" s="195"/>
      <c r="B707" s="978"/>
      <c r="C707" s="2321"/>
      <c r="D707" s="1729"/>
      <c r="E707" s="1190"/>
      <c r="F707" s="1190"/>
      <c r="G707" s="1190"/>
      <c r="H707" s="1190"/>
      <c r="I707" s="1190"/>
      <c r="J707" s="1190"/>
      <c r="K707" s="1190"/>
      <c r="L707" s="1190"/>
      <c r="M707" s="1190"/>
      <c r="N707" s="1190"/>
      <c r="O707" s="1190"/>
      <c r="P707" s="1190"/>
      <c r="Q707" s="1190"/>
      <c r="R707" s="1190"/>
      <c r="S707" s="1189"/>
      <c r="T707" s="1190"/>
      <c r="U707" s="1190"/>
      <c r="V707" s="1190"/>
      <c r="W707" s="1190"/>
      <c r="X707" s="1190"/>
      <c r="Y707" s="1190"/>
      <c r="Z707" s="1190"/>
      <c r="AA707" s="1190"/>
      <c r="AB707" s="1190"/>
      <c r="AC707" s="1190"/>
      <c r="AD707" s="1190"/>
      <c r="AE707" s="1190"/>
      <c r="AF707" s="1190"/>
      <c r="AG707" s="1748"/>
      <c r="AH707" s="1190"/>
      <c r="AI707" s="1748"/>
      <c r="AJ707" s="1190"/>
      <c r="AK707" s="1190"/>
      <c r="AL707" s="1190"/>
      <c r="AM707" s="1190"/>
      <c r="AN707" s="1190"/>
      <c r="AO707" s="1190"/>
      <c r="AP707" s="1190"/>
      <c r="AQ707" s="1190"/>
      <c r="AR707" s="1190"/>
      <c r="AS707" s="1190"/>
      <c r="AT707" s="1190"/>
      <c r="AU707" s="1190"/>
      <c r="AV707" s="1190"/>
      <c r="AW707" s="1190"/>
      <c r="AX707" s="1190"/>
      <c r="AY707" s="1190"/>
      <c r="AZ707" s="1190"/>
      <c r="BA707" s="1190"/>
      <c r="BB707" s="1190"/>
      <c r="BC707" s="1190"/>
      <c r="BD707" s="1190"/>
      <c r="BE707" s="1190"/>
      <c r="BF707" s="1190"/>
      <c r="BG707" s="1190"/>
      <c r="BH707" s="1190"/>
      <c r="BI707" s="1190"/>
      <c r="BJ707" s="1190"/>
      <c r="BK707" s="1190"/>
      <c r="BL707" s="1190"/>
      <c r="BM707" s="1190"/>
      <c r="BQ707" s="195"/>
      <c r="BR707" s="195"/>
      <c r="BT707" s="1005"/>
    </row>
    <row r="708" ht="15.75" customHeight="1">
      <c r="A708" s="195"/>
      <c r="B708" s="978"/>
      <c r="C708" s="2321"/>
      <c r="D708" s="1729"/>
      <c r="E708" s="1190"/>
      <c r="F708" s="1190"/>
      <c r="G708" s="1190"/>
      <c r="H708" s="1190"/>
      <c r="I708" s="1190"/>
      <c r="J708" s="1190"/>
      <c r="K708" s="1190"/>
      <c r="L708" s="1190"/>
      <c r="M708" s="1190"/>
      <c r="N708" s="1190"/>
      <c r="O708" s="1190"/>
      <c r="P708" s="1190"/>
      <c r="Q708" s="1190"/>
      <c r="R708" s="1190"/>
      <c r="S708" s="1189"/>
      <c r="T708" s="1190"/>
      <c r="U708" s="1190"/>
      <c r="V708" s="1190"/>
      <c r="W708" s="1190"/>
      <c r="X708" s="1190"/>
      <c r="Y708" s="1190"/>
      <c r="Z708" s="1190"/>
      <c r="AA708" s="1190"/>
      <c r="AB708" s="1190"/>
      <c r="AC708" s="1190"/>
      <c r="AD708" s="1190"/>
      <c r="AE708" s="1190"/>
      <c r="AF708" s="1190"/>
      <c r="AG708" s="1748"/>
      <c r="AH708" s="1190"/>
      <c r="AI708" s="1748"/>
      <c r="AJ708" s="1190"/>
      <c r="AK708" s="1190"/>
      <c r="AL708" s="1190"/>
      <c r="AM708" s="1190"/>
      <c r="AN708" s="1190"/>
      <c r="AO708" s="1190"/>
      <c r="AP708" s="1190"/>
      <c r="AQ708" s="1190"/>
      <c r="AR708" s="1190"/>
      <c r="AS708" s="1190"/>
      <c r="AT708" s="1190"/>
      <c r="AU708" s="1190"/>
      <c r="AV708" s="1190"/>
      <c r="AW708" s="1190"/>
      <c r="AX708" s="1190"/>
      <c r="AY708" s="1190"/>
      <c r="AZ708" s="1190"/>
      <c r="BA708" s="1190"/>
      <c r="BB708" s="1190"/>
      <c r="BC708" s="1190"/>
      <c r="BD708" s="1190"/>
      <c r="BE708" s="1190"/>
      <c r="BF708" s="1190"/>
      <c r="BG708" s="1190"/>
      <c r="BH708" s="1190"/>
      <c r="BI708" s="1190"/>
      <c r="BJ708" s="1190"/>
      <c r="BK708" s="1190"/>
      <c r="BL708" s="1190"/>
      <c r="BM708" s="1190"/>
      <c r="BQ708" s="195"/>
      <c r="BR708" s="195"/>
      <c r="BT708" s="1005"/>
    </row>
    <row r="709" ht="15.75" customHeight="1">
      <c r="A709" s="195"/>
      <c r="B709" s="978"/>
      <c r="C709" s="2321"/>
      <c r="D709" s="1729"/>
      <c r="E709" s="1190"/>
      <c r="F709" s="1190"/>
      <c r="G709" s="1190"/>
      <c r="H709" s="1190"/>
      <c r="I709" s="1190"/>
      <c r="J709" s="1190"/>
      <c r="K709" s="1190"/>
      <c r="L709" s="1190"/>
      <c r="M709" s="1190"/>
      <c r="N709" s="1190"/>
      <c r="O709" s="1190"/>
      <c r="P709" s="1190"/>
      <c r="Q709" s="1190"/>
      <c r="R709" s="1190"/>
      <c r="S709" s="1189"/>
      <c r="T709" s="1190"/>
      <c r="U709" s="1190"/>
      <c r="V709" s="1190"/>
      <c r="W709" s="1190"/>
      <c r="X709" s="1190"/>
      <c r="Y709" s="1190"/>
      <c r="Z709" s="1190"/>
      <c r="AA709" s="1190"/>
      <c r="AB709" s="1190"/>
      <c r="AC709" s="1190"/>
      <c r="AD709" s="1190"/>
      <c r="AE709" s="1190"/>
      <c r="AF709" s="1190"/>
      <c r="AG709" s="1748"/>
      <c r="AH709" s="1190"/>
      <c r="AI709" s="1748"/>
      <c r="AJ709" s="1190"/>
      <c r="AK709" s="1190"/>
      <c r="AL709" s="1190"/>
      <c r="AM709" s="1190"/>
      <c r="AN709" s="1190"/>
      <c r="AO709" s="1190"/>
      <c r="AP709" s="1190"/>
      <c r="AQ709" s="1190"/>
      <c r="AR709" s="1190"/>
      <c r="AS709" s="1190"/>
      <c r="AT709" s="1190"/>
      <c r="AU709" s="1190"/>
      <c r="AV709" s="1190"/>
      <c r="AW709" s="1190"/>
      <c r="AX709" s="1190"/>
      <c r="AY709" s="1190"/>
      <c r="AZ709" s="1190"/>
      <c r="BA709" s="1190"/>
      <c r="BB709" s="1190"/>
      <c r="BC709" s="1190"/>
      <c r="BD709" s="1190"/>
      <c r="BE709" s="1190"/>
      <c r="BF709" s="1190"/>
      <c r="BG709" s="1190"/>
      <c r="BH709" s="1190"/>
      <c r="BI709" s="1190"/>
      <c r="BJ709" s="1190"/>
      <c r="BK709" s="1190"/>
      <c r="BL709" s="1190"/>
      <c r="BM709" s="1190"/>
      <c r="BQ709" s="195"/>
      <c r="BR709" s="195"/>
      <c r="BT709" s="1005"/>
    </row>
    <row r="710" ht="15.75" customHeight="1">
      <c r="A710" s="195"/>
      <c r="B710" s="978"/>
      <c r="C710" s="2321"/>
      <c r="D710" s="1729"/>
      <c r="E710" s="1190"/>
      <c r="F710" s="1190"/>
      <c r="G710" s="1190"/>
      <c r="H710" s="1190"/>
      <c r="I710" s="1190"/>
      <c r="J710" s="1190"/>
      <c r="K710" s="1190"/>
      <c r="L710" s="1190"/>
      <c r="M710" s="1190"/>
      <c r="N710" s="1190"/>
      <c r="O710" s="1190"/>
      <c r="P710" s="1190"/>
      <c r="Q710" s="1190"/>
      <c r="R710" s="1190"/>
      <c r="S710" s="1189"/>
      <c r="T710" s="1190"/>
      <c r="U710" s="1190"/>
      <c r="V710" s="1190"/>
      <c r="W710" s="1190"/>
      <c r="X710" s="1190"/>
      <c r="Y710" s="1190"/>
      <c r="Z710" s="1190"/>
      <c r="AA710" s="1190"/>
      <c r="AB710" s="1190"/>
      <c r="AC710" s="1190"/>
      <c r="AD710" s="1190"/>
      <c r="AE710" s="1190"/>
      <c r="AF710" s="1190"/>
      <c r="AG710" s="1748"/>
      <c r="AH710" s="1190"/>
      <c r="AI710" s="1748"/>
      <c r="AJ710" s="1190"/>
      <c r="AK710" s="1190"/>
      <c r="AL710" s="1190"/>
      <c r="AM710" s="1190"/>
      <c r="AN710" s="1190"/>
      <c r="AO710" s="1190"/>
      <c r="AP710" s="1190"/>
      <c r="AQ710" s="1190"/>
      <c r="AR710" s="1190"/>
      <c r="AS710" s="1190"/>
      <c r="AT710" s="1190"/>
      <c r="AU710" s="1190"/>
      <c r="AV710" s="1190"/>
      <c r="AW710" s="1190"/>
      <c r="AX710" s="1190"/>
      <c r="AY710" s="1190"/>
      <c r="AZ710" s="1190"/>
      <c r="BA710" s="1190"/>
      <c r="BB710" s="1190"/>
      <c r="BC710" s="1190"/>
      <c r="BD710" s="1190"/>
      <c r="BE710" s="1190"/>
      <c r="BF710" s="1190"/>
      <c r="BG710" s="1190"/>
      <c r="BH710" s="1190"/>
      <c r="BI710" s="1190"/>
      <c r="BJ710" s="1190"/>
      <c r="BK710" s="1190"/>
      <c r="BL710" s="1190"/>
      <c r="BM710" s="1190"/>
      <c r="BQ710" s="195"/>
      <c r="BR710" s="195"/>
      <c r="BT710" s="1005"/>
    </row>
    <row r="711" ht="15.75" customHeight="1">
      <c r="A711" s="195"/>
      <c r="B711" s="978"/>
      <c r="C711" s="2321"/>
      <c r="D711" s="1729"/>
      <c r="E711" s="1190"/>
      <c r="F711" s="1190"/>
      <c r="G711" s="1190"/>
      <c r="H711" s="1190"/>
      <c r="I711" s="1190"/>
      <c r="J711" s="1190"/>
      <c r="K711" s="1190"/>
      <c r="L711" s="1190"/>
      <c r="M711" s="1190"/>
      <c r="N711" s="1190"/>
      <c r="O711" s="1190"/>
      <c r="P711" s="1190"/>
      <c r="Q711" s="1190"/>
      <c r="R711" s="1190"/>
      <c r="S711" s="1189"/>
      <c r="T711" s="1190"/>
      <c r="U711" s="1190"/>
      <c r="V711" s="1190"/>
      <c r="W711" s="1190"/>
      <c r="X711" s="1190"/>
      <c r="Y711" s="1190"/>
      <c r="Z711" s="1190"/>
      <c r="AA711" s="1190"/>
      <c r="AB711" s="1190"/>
      <c r="AC711" s="1190"/>
      <c r="AD711" s="1190"/>
      <c r="AE711" s="1190"/>
      <c r="AF711" s="1190"/>
      <c r="AG711" s="1748"/>
      <c r="AH711" s="1190"/>
      <c r="AI711" s="1748"/>
      <c r="AJ711" s="1190"/>
      <c r="AK711" s="1190"/>
      <c r="AL711" s="1190"/>
      <c r="AM711" s="1190"/>
      <c r="AN711" s="1190"/>
      <c r="AO711" s="1190"/>
      <c r="AP711" s="1190"/>
      <c r="AQ711" s="1190"/>
      <c r="AR711" s="1190"/>
      <c r="AS711" s="1190"/>
      <c r="AT711" s="1190"/>
      <c r="AU711" s="1190"/>
      <c r="AV711" s="1190"/>
      <c r="AW711" s="1190"/>
      <c r="AX711" s="1190"/>
      <c r="AY711" s="1190"/>
      <c r="AZ711" s="1190"/>
      <c r="BA711" s="1190"/>
      <c r="BB711" s="1190"/>
      <c r="BC711" s="1190"/>
      <c r="BD711" s="1190"/>
      <c r="BE711" s="1190"/>
      <c r="BF711" s="1190"/>
      <c r="BG711" s="1190"/>
      <c r="BH711" s="1190"/>
      <c r="BI711" s="1190"/>
      <c r="BJ711" s="1190"/>
      <c r="BK711" s="1190"/>
      <c r="BL711" s="1190"/>
      <c r="BM711" s="1190"/>
      <c r="BQ711" s="195"/>
      <c r="BR711" s="195"/>
      <c r="BT711" s="1005"/>
    </row>
    <row r="712" ht="15.75" customHeight="1">
      <c r="A712" s="195"/>
      <c r="B712" s="978"/>
      <c r="C712" s="2321"/>
      <c r="D712" s="1729"/>
      <c r="E712" s="1190"/>
      <c r="F712" s="1190"/>
      <c r="G712" s="1190"/>
      <c r="H712" s="1190"/>
      <c r="I712" s="1190"/>
      <c r="J712" s="1190"/>
      <c r="K712" s="1190"/>
      <c r="L712" s="1190"/>
      <c r="M712" s="1190"/>
      <c r="N712" s="1190"/>
      <c r="O712" s="1190"/>
      <c r="P712" s="1190"/>
      <c r="Q712" s="1190"/>
      <c r="R712" s="1190"/>
      <c r="S712" s="1189"/>
      <c r="T712" s="1190"/>
      <c r="U712" s="1190"/>
      <c r="V712" s="1190"/>
      <c r="W712" s="1190"/>
      <c r="X712" s="1190"/>
      <c r="Y712" s="1190"/>
      <c r="Z712" s="1190"/>
      <c r="AA712" s="1190"/>
      <c r="AB712" s="1190"/>
      <c r="AC712" s="1190"/>
      <c r="AD712" s="1190"/>
      <c r="AE712" s="1190"/>
      <c r="AF712" s="1190"/>
      <c r="AG712" s="1748"/>
      <c r="AH712" s="1190"/>
      <c r="AI712" s="1748"/>
      <c r="AJ712" s="1190"/>
      <c r="AK712" s="1190"/>
      <c r="AL712" s="1190"/>
      <c r="AM712" s="1190"/>
      <c r="AN712" s="1190"/>
      <c r="AO712" s="1190"/>
      <c r="AP712" s="1190"/>
      <c r="AQ712" s="1190"/>
      <c r="AR712" s="1190"/>
      <c r="AS712" s="1190"/>
      <c r="AT712" s="1190"/>
      <c r="AU712" s="1190"/>
      <c r="AV712" s="1190"/>
      <c r="AW712" s="1190"/>
      <c r="AX712" s="1190"/>
      <c r="AY712" s="1190"/>
      <c r="AZ712" s="1190"/>
      <c r="BA712" s="1190"/>
      <c r="BB712" s="1190"/>
      <c r="BC712" s="1190"/>
      <c r="BD712" s="1190"/>
      <c r="BE712" s="1190"/>
      <c r="BF712" s="1190"/>
      <c r="BG712" s="1190"/>
      <c r="BH712" s="1190"/>
      <c r="BI712" s="1190"/>
      <c r="BJ712" s="1190"/>
      <c r="BK712" s="1190"/>
      <c r="BL712" s="1190"/>
      <c r="BM712" s="1190"/>
      <c r="BQ712" s="195"/>
      <c r="BR712" s="195"/>
      <c r="BT712" s="1005"/>
    </row>
    <row r="713" ht="15.75" customHeight="1">
      <c r="A713" s="195"/>
      <c r="B713" s="978"/>
      <c r="C713" s="2321"/>
      <c r="D713" s="1729"/>
      <c r="E713" s="1190"/>
      <c r="F713" s="1190"/>
      <c r="G713" s="1190"/>
      <c r="H713" s="1190"/>
      <c r="I713" s="1190"/>
      <c r="J713" s="1190"/>
      <c r="K713" s="1190"/>
      <c r="L713" s="1190"/>
      <c r="M713" s="1190"/>
      <c r="N713" s="1190"/>
      <c r="O713" s="1190"/>
      <c r="P713" s="1190"/>
      <c r="Q713" s="1190"/>
      <c r="R713" s="1190"/>
      <c r="S713" s="1189"/>
      <c r="T713" s="1190"/>
      <c r="U713" s="1190"/>
      <c r="V713" s="1190"/>
      <c r="W713" s="1190"/>
      <c r="X713" s="1190"/>
      <c r="Y713" s="1190"/>
      <c r="Z713" s="1190"/>
      <c r="AA713" s="1190"/>
      <c r="AB713" s="1190"/>
      <c r="AC713" s="1190"/>
      <c r="AD713" s="1190"/>
      <c r="AE713" s="1190"/>
      <c r="AF713" s="1190"/>
      <c r="AG713" s="1748"/>
      <c r="AH713" s="1190"/>
      <c r="AI713" s="1748"/>
      <c r="AJ713" s="1190"/>
      <c r="AK713" s="1190"/>
      <c r="AL713" s="1190"/>
      <c r="AM713" s="1190"/>
      <c r="AN713" s="1190"/>
      <c r="AO713" s="1190"/>
      <c r="AP713" s="1190"/>
      <c r="AQ713" s="1190"/>
      <c r="AR713" s="1190"/>
      <c r="AS713" s="1190"/>
      <c r="AT713" s="1190"/>
      <c r="AU713" s="1190"/>
      <c r="AV713" s="1190"/>
      <c r="AW713" s="1190"/>
      <c r="AX713" s="1190"/>
      <c r="AY713" s="1190"/>
      <c r="AZ713" s="1190"/>
      <c r="BA713" s="1190"/>
      <c r="BB713" s="1190"/>
      <c r="BC713" s="1190"/>
      <c r="BD713" s="1190"/>
      <c r="BE713" s="1190"/>
      <c r="BF713" s="1190"/>
      <c r="BG713" s="1190"/>
      <c r="BH713" s="1190"/>
      <c r="BI713" s="1190"/>
      <c r="BJ713" s="1190"/>
      <c r="BK713" s="1190"/>
      <c r="BL713" s="1190"/>
      <c r="BM713" s="1190"/>
      <c r="BQ713" s="195"/>
      <c r="BR713" s="195"/>
      <c r="BT713" s="1005"/>
    </row>
    <row r="714" ht="15.75" customHeight="1">
      <c r="A714" s="195"/>
      <c r="B714" s="978"/>
      <c r="C714" s="2321"/>
      <c r="D714" s="1729"/>
      <c r="E714" s="1190"/>
      <c r="F714" s="1190"/>
      <c r="G714" s="1190"/>
      <c r="H714" s="1190"/>
      <c r="I714" s="1190"/>
      <c r="J714" s="1190"/>
      <c r="K714" s="1190"/>
      <c r="L714" s="1190"/>
      <c r="M714" s="1190"/>
      <c r="N714" s="1190"/>
      <c r="O714" s="1190"/>
      <c r="P714" s="1190"/>
      <c r="Q714" s="1190"/>
      <c r="R714" s="1190"/>
      <c r="S714" s="1189"/>
      <c r="T714" s="1190"/>
      <c r="U714" s="1190"/>
      <c r="V714" s="1190"/>
      <c r="W714" s="1190"/>
      <c r="X714" s="1190"/>
      <c r="Y714" s="1190"/>
      <c r="Z714" s="1190"/>
      <c r="AA714" s="1190"/>
      <c r="AB714" s="1190"/>
      <c r="AC714" s="1190"/>
      <c r="AD714" s="1190"/>
      <c r="AE714" s="1190"/>
      <c r="AF714" s="1190"/>
      <c r="AG714" s="1748"/>
      <c r="AH714" s="1190"/>
      <c r="AI714" s="1748"/>
      <c r="AJ714" s="1190"/>
      <c r="AK714" s="1190"/>
      <c r="AL714" s="1190"/>
      <c r="AM714" s="1190"/>
      <c r="AN714" s="1190"/>
      <c r="AO714" s="1190"/>
      <c r="AP714" s="1190"/>
      <c r="AQ714" s="1190"/>
      <c r="AR714" s="1190"/>
      <c r="AS714" s="1190"/>
      <c r="AT714" s="1190"/>
      <c r="AU714" s="1190"/>
      <c r="AV714" s="1190"/>
      <c r="AW714" s="1190"/>
      <c r="AX714" s="1190"/>
      <c r="AY714" s="1190"/>
      <c r="AZ714" s="1190"/>
      <c r="BA714" s="1190"/>
      <c r="BB714" s="1190"/>
      <c r="BC714" s="1190"/>
      <c r="BD714" s="1190"/>
      <c r="BE714" s="1190"/>
      <c r="BF714" s="1190"/>
      <c r="BG714" s="1190"/>
      <c r="BH714" s="1190"/>
      <c r="BI714" s="1190"/>
      <c r="BJ714" s="1190"/>
      <c r="BK714" s="1190"/>
      <c r="BL714" s="1190"/>
      <c r="BM714" s="1190"/>
      <c r="BQ714" s="195"/>
      <c r="BR714" s="195"/>
      <c r="BT714" s="1005"/>
    </row>
    <row r="715" ht="15.75" customHeight="1">
      <c r="A715" s="195"/>
      <c r="B715" s="978"/>
      <c r="C715" s="2321"/>
      <c r="D715" s="1729"/>
      <c r="E715" s="1190"/>
      <c r="F715" s="1190"/>
      <c r="G715" s="1190"/>
      <c r="H715" s="1190"/>
      <c r="I715" s="1190"/>
      <c r="J715" s="1190"/>
      <c r="K715" s="1190"/>
      <c r="L715" s="1190"/>
      <c r="M715" s="1190"/>
      <c r="N715" s="1190"/>
      <c r="O715" s="1190"/>
      <c r="P715" s="1190"/>
      <c r="Q715" s="1190"/>
      <c r="R715" s="1190"/>
      <c r="S715" s="1189"/>
      <c r="T715" s="1190"/>
      <c r="U715" s="1190"/>
      <c r="V715" s="1190"/>
      <c r="W715" s="1190"/>
      <c r="X715" s="1190"/>
      <c r="Y715" s="1190"/>
      <c r="Z715" s="1190"/>
      <c r="AA715" s="1190"/>
      <c r="AB715" s="1190"/>
      <c r="AC715" s="1190"/>
      <c r="AD715" s="1190"/>
      <c r="AE715" s="1190"/>
      <c r="AF715" s="1190"/>
      <c r="AG715" s="1748"/>
      <c r="AH715" s="1190"/>
      <c r="AI715" s="1748"/>
      <c r="AJ715" s="1190"/>
      <c r="AK715" s="1190"/>
      <c r="AL715" s="1190"/>
      <c r="AM715" s="1190"/>
      <c r="AN715" s="1190"/>
      <c r="AO715" s="1190"/>
      <c r="AP715" s="1190"/>
      <c r="AQ715" s="1190"/>
      <c r="AR715" s="1190"/>
      <c r="AS715" s="1190"/>
      <c r="AT715" s="1190"/>
      <c r="AU715" s="1190"/>
      <c r="AV715" s="1190"/>
      <c r="AW715" s="1190"/>
      <c r="AX715" s="1190"/>
      <c r="AY715" s="1190"/>
      <c r="AZ715" s="1190"/>
      <c r="BA715" s="1190"/>
      <c r="BB715" s="1190"/>
      <c r="BC715" s="1190"/>
      <c r="BD715" s="1190"/>
      <c r="BE715" s="1190"/>
      <c r="BF715" s="1190"/>
      <c r="BG715" s="1190"/>
      <c r="BH715" s="1190"/>
      <c r="BI715" s="1190"/>
      <c r="BJ715" s="1190"/>
      <c r="BK715" s="1190"/>
      <c r="BL715" s="1190"/>
      <c r="BM715" s="1190"/>
      <c r="BQ715" s="195"/>
      <c r="BR715" s="195"/>
      <c r="BT715" s="1005"/>
    </row>
    <row r="716" ht="15.75" customHeight="1">
      <c r="A716" s="195"/>
      <c r="B716" s="978"/>
      <c r="C716" s="2321"/>
      <c r="D716" s="1729"/>
      <c r="E716" s="1190"/>
      <c r="F716" s="1190"/>
      <c r="G716" s="1190"/>
      <c r="H716" s="1190"/>
      <c r="I716" s="1190"/>
      <c r="J716" s="1190"/>
      <c r="K716" s="1190"/>
      <c r="L716" s="1190"/>
      <c r="M716" s="1190"/>
      <c r="N716" s="1190"/>
      <c r="O716" s="1190"/>
      <c r="P716" s="1190"/>
      <c r="Q716" s="1190"/>
      <c r="R716" s="1190"/>
      <c r="S716" s="1189"/>
      <c r="T716" s="1190"/>
      <c r="U716" s="1190"/>
      <c r="V716" s="1190"/>
      <c r="W716" s="1190"/>
      <c r="X716" s="1190"/>
      <c r="Y716" s="1190"/>
      <c r="Z716" s="1190"/>
      <c r="AA716" s="1190"/>
      <c r="AB716" s="1190"/>
      <c r="AC716" s="1190"/>
      <c r="AD716" s="1190"/>
      <c r="AE716" s="1190"/>
      <c r="AF716" s="1190"/>
      <c r="AG716" s="1748"/>
      <c r="AH716" s="1190"/>
      <c r="AI716" s="1748"/>
      <c r="AJ716" s="1190"/>
      <c r="AK716" s="1190"/>
      <c r="AL716" s="1190"/>
      <c r="AM716" s="1190"/>
      <c r="AN716" s="1190"/>
      <c r="AO716" s="1190"/>
      <c r="AP716" s="1190"/>
      <c r="AQ716" s="1190"/>
      <c r="AR716" s="1190"/>
      <c r="AS716" s="1190"/>
      <c r="AT716" s="1190"/>
      <c r="AU716" s="1190"/>
      <c r="AV716" s="1190"/>
      <c r="AW716" s="1190"/>
      <c r="AX716" s="1190"/>
      <c r="AY716" s="1190"/>
      <c r="AZ716" s="1190"/>
      <c r="BA716" s="1190"/>
      <c r="BB716" s="1190"/>
      <c r="BC716" s="1190"/>
      <c r="BD716" s="1190"/>
      <c r="BE716" s="1190"/>
      <c r="BF716" s="1190"/>
      <c r="BG716" s="1190"/>
      <c r="BH716" s="1190"/>
      <c r="BI716" s="1190"/>
      <c r="BJ716" s="1190"/>
      <c r="BK716" s="1190"/>
      <c r="BL716" s="1190"/>
      <c r="BM716" s="1190"/>
      <c r="BQ716" s="195"/>
      <c r="BR716" s="195"/>
      <c r="BT716" s="1005"/>
    </row>
    <row r="717" ht="15.75" customHeight="1">
      <c r="A717" s="195"/>
      <c r="B717" s="978"/>
      <c r="C717" s="2321"/>
      <c r="D717" s="1729"/>
      <c r="E717" s="1190"/>
      <c r="F717" s="1190"/>
      <c r="G717" s="1190"/>
      <c r="H717" s="1190"/>
      <c r="I717" s="1190"/>
      <c r="J717" s="1190"/>
      <c r="K717" s="1190"/>
      <c r="L717" s="1190"/>
      <c r="M717" s="1190"/>
      <c r="N717" s="1190"/>
      <c r="O717" s="1190"/>
      <c r="P717" s="1190"/>
      <c r="Q717" s="1190"/>
      <c r="R717" s="1190"/>
      <c r="S717" s="1189"/>
      <c r="T717" s="1190"/>
      <c r="U717" s="1190"/>
      <c r="V717" s="1190"/>
      <c r="W717" s="1190"/>
      <c r="X717" s="1190"/>
      <c r="Y717" s="1190"/>
      <c r="Z717" s="1190"/>
      <c r="AA717" s="1190"/>
      <c r="AB717" s="1190"/>
      <c r="AC717" s="1190"/>
      <c r="AD717" s="1190"/>
      <c r="AE717" s="1190"/>
      <c r="AF717" s="1190"/>
      <c r="AG717" s="1748"/>
      <c r="AH717" s="1190"/>
      <c r="AI717" s="1748"/>
      <c r="AJ717" s="1190"/>
      <c r="AK717" s="1190"/>
      <c r="AL717" s="1190"/>
      <c r="AM717" s="1190"/>
      <c r="AN717" s="1190"/>
      <c r="AO717" s="1190"/>
      <c r="AP717" s="1190"/>
      <c r="AQ717" s="1190"/>
      <c r="AR717" s="1190"/>
      <c r="AS717" s="1190"/>
      <c r="AT717" s="1190"/>
      <c r="AU717" s="1190"/>
      <c r="AV717" s="1190"/>
      <c r="AW717" s="1190"/>
      <c r="AX717" s="1190"/>
      <c r="AY717" s="1190"/>
      <c r="AZ717" s="1190"/>
      <c r="BA717" s="1190"/>
      <c r="BB717" s="1190"/>
      <c r="BC717" s="1190"/>
      <c r="BD717" s="1190"/>
      <c r="BE717" s="1190"/>
      <c r="BF717" s="1190"/>
      <c r="BG717" s="1190"/>
      <c r="BH717" s="1190"/>
      <c r="BI717" s="1190"/>
      <c r="BJ717" s="1190"/>
      <c r="BK717" s="1190"/>
      <c r="BL717" s="1190"/>
      <c r="BM717" s="1190"/>
      <c r="BQ717" s="195"/>
      <c r="BR717" s="195"/>
      <c r="BT717" s="1005"/>
    </row>
    <row r="718" ht="15.75" customHeight="1">
      <c r="A718" s="195"/>
      <c r="B718" s="978"/>
      <c r="C718" s="2321"/>
      <c r="D718" s="1729"/>
      <c r="E718" s="1190"/>
      <c r="F718" s="1190"/>
      <c r="G718" s="1190"/>
      <c r="H718" s="1190"/>
      <c r="I718" s="1190"/>
      <c r="J718" s="1190"/>
      <c r="K718" s="1190"/>
      <c r="L718" s="1190"/>
      <c r="M718" s="1190"/>
      <c r="N718" s="1190"/>
      <c r="O718" s="1190"/>
      <c r="P718" s="1190"/>
      <c r="Q718" s="1190"/>
      <c r="R718" s="1190"/>
      <c r="S718" s="1189"/>
      <c r="T718" s="1190"/>
      <c r="U718" s="1190"/>
      <c r="V718" s="1190"/>
      <c r="W718" s="1190"/>
      <c r="X718" s="1190"/>
      <c r="Y718" s="1190"/>
      <c r="Z718" s="1190"/>
      <c r="AA718" s="1190"/>
      <c r="AB718" s="1190"/>
      <c r="AC718" s="1190"/>
      <c r="AD718" s="1190"/>
      <c r="AE718" s="1190"/>
      <c r="AF718" s="1190"/>
      <c r="AG718" s="1748"/>
      <c r="AH718" s="1190"/>
      <c r="AI718" s="1748"/>
      <c r="AJ718" s="1190"/>
      <c r="AK718" s="1190"/>
      <c r="AL718" s="1190"/>
      <c r="AM718" s="1190"/>
      <c r="AN718" s="1190"/>
      <c r="AO718" s="1190"/>
      <c r="AP718" s="1190"/>
      <c r="AQ718" s="1190"/>
      <c r="AR718" s="1190"/>
      <c r="AS718" s="1190"/>
      <c r="AT718" s="1190"/>
      <c r="AU718" s="1190"/>
      <c r="AV718" s="1190"/>
      <c r="AW718" s="1190"/>
      <c r="AX718" s="1190"/>
      <c r="AY718" s="1190"/>
      <c r="AZ718" s="1190"/>
      <c r="BA718" s="1190"/>
      <c r="BB718" s="1190"/>
      <c r="BC718" s="1190"/>
      <c r="BD718" s="1190"/>
      <c r="BE718" s="1190"/>
      <c r="BF718" s="1190"/>
      <c r="BG718" s="1190"/>
      <c r="BH718" s="1190"/>
      <c r="BI718" s="1190"/>
      <c r="BJ718" s="1190"/>
      <c r="BK718" s="1190"/>
      <c r="BL718" s="1190"/>
      <c r="BM718" s="1190"/>
      <c r="BQ718" s="195"/>
      <c r="BR718" s="195"/>
      <c r="BT718" s="1005"/>
    </row>
    <row r="719" ht="15.75" customHeight="1">
      <c r="A719" s="195"/>
      <c r="B719" s="978"/>
      <c r="C719" s="2321"/>
      <c r="D719" s="1729"/>
      <c r="E719" s="1190"/>
      <c r="F719" s="1190"/>
      <c r="G719" s="1190"/>
      <c r="H719" s="1190"/>
      <c r="I719" s="1190"/>
      <c r="J719" s="1190"/>
      <c r="K719" s="1190"/>
      <c r="L719" s="1190"/>
      <c r="M719" s="1190"/>
      <c r="N719" s="1190"/>
      <c r="O719" s="1190"/>
      <c r="P719" s="1190"/>
      <c r="Q719" s="1190"/>
      <c r="R719" s="1190"/>
      <c r="S719" s="1189"/>
      <c r="T719" s="1190"/>
      <c r="U719" s="1190"/>
      <c r="V719" s="1190"/>
      <c r="W719" s="1190"/>
      <c r="X719" s="1190"/>
      <c r="Y719" s="1190"/>
      <c r="Z719" s="1190"/>
      <c r="AA719" s="1190"/>
      <c r="AB719" s="1190"/>
      <c r="AC719" s="1190"/>
      <c r="AD719" s="1190"/>
      <c r="AE719" s="1190"/>
      <c r="AF719" s="1190"/>
      <c r="AG719" s="1748"/>
      <c r="AH719" s="1190"/>
      <c r="AI719" s="1748"/>
      <c r="AJ719" s="1190"/>
      <c r="AK719" s="1190"/>
      <c r="AL719" s="1190"/>
      <c r="AM719" s="1190"/>
      <c r="AN719" s="1190"/>
      <c r="AO719" s="1190"/>
      <c r="AP719" s="1190"/>
      <c r="AQ719" s="1190"/>
      <c r="AR719" s="1190"/>
      <c r="AS719" s="1190"/>
      <c r="AT719" s="1190"/>
      <c r="AU719" s="1190"/>
      <c r="AV719" s="1190"/>
      <c r="AW719" s="1190"/>
      <c r="AX719" s="1190"/>
      <c r="AY719" s="1190"/>
      <c r="AZ719" s="1190"/>
      <c r="BA719" s="1190"/>
      <c r="BB719" s="1190"/>
      <c r="BC719" s="1190"/>
      <c r="BD719" s="1190"/>
      <c r="BE719" s="1190"/>
      <c r="BF719" s="1190"/>
      <c r="BG719" s="1190"/>
      <c r="BH719" s="1190"/>
      <c r="BI719" s="1190"/>
      <c r="BJ719" s="1190"/>
      <c r="BK719" s="1190"/>
      <c r="BL719" s="1190"/>
      <c r="BM719" s="1190"/>
      <c r="BQ719" s="195"/>
      <c r="BR719" s="195"/>
      <c r="BT719" s="1005"/>
    </row>
    <row r="720" ht="15.75" customHeight="1">
      <c r="A720" s="195"/>
      <c r="B720" s="978"/>
      <c r="C720" s="2321"/>
      <c r="D720" s="1729"/>
      <c r="E720" s="1190"/>
      <c r="F720" s="1190"/>
      <c r="G720" s="1190"/>
      <c r="H720" s="1190"/>
      <c r="I720" s="1190"/>
      <c r="J720" s="1190"/>
      <c r="K720" s="1190"/>
      <c r="L720" s="1190"/>
      <c r="M720" s="1190"/>
      <c r="N720" s="1190"/>
      <c r="O720" s="1190"/>
      <c r="P720" s="1190"/>
      <c r="Q720" s="1190"/>
      <c r="R720" s="1190"/>
      <c r="S720" s="1189"/>
      <c r="T720" s="1190"/>
      <c r="U720" s="1190"/>
      <c r="V720" s="1190"/>
      <c r="W720" s="1190"/>
      <c r="X720" s="1190"/>
      <c r="Y720" s="1190"/>
      <c r="Z720" s="1190"/>
      <c r="AA720" s="1190"/>
      <c r="AB720" s="1190"/>
      <c r="AC720" s="1190"/>
      <c r="AD720" s="1190"/>
      <c r="AE720" s="1190"/>
      <c r="AF720" s="1190"/>
      <c r="AG720" s="1748"/>
      <c r="AH720" s="1190"/>
      <c r="AI720" s="1748"/>
      <c r="AJ720" s="1190"/>
      <c r="AK720" s="1190"/>
      <c r="AL720" s="1190"/>
      <c r="AM720" s="1190"/>
      <c r="AN720" s="1190"/>
      <c r="AO720" s="1190"/>
      <c r="AP720" s="1190"/>
      <c r="AQ720" s="1190"/>
      <c r="AR720" s="1190"/>
      <c r="AS720" s="1190"/>
      <c r="AT720" s="1190"/>
      <c r="AU720" s="1190"/>
      <c r="AV720" s="1190"/>
      <c r="AW720" s="1190"/>
      <c r="AX720" s="1190"/>
      <c r="AY720" s="1190"/>
      <c r="AZ720" s="1190"/>
      <c r="BA720" s="1190"/>
      <c r="BB720" s="1190"/>
      <c r="BC720" s="1190"/>
      <c r="BD720" s="1190"/>
      <c r="BE720" s="1190"/>
      <c r="BF720" s="1190"/>
      <c r="BG720" s="1190"/>
      <c r="BH720" s="1190"/>
      <c r="BI720" s="1190"/>
      <c r="BJ720" s="1190"/>
      <c r="BK720" s="1190"/>
      <c r="BL720" s="1190"/>
      <c r="BM720" s="1190"/>
      <c r="BQ720" s="195"/>
      <c r="BR720" s="195"/>
      <c r="BT720" s="1005"/>
    </row>
    <row r="721" ht="15.75" customHeight="1">
      <c r="A721" s="195"/>
      <c r="B721" s="978"/>
      <c r="C721" s="2321"/>
      <c r="D721" s="1729"/>
      <c r="E721" s="1190"/>
      <c r="F721" s="1190"/>
      <c r="G721" s="1190"/>
      <c r="H721" s="1190"/>
      <c r="I721" s="1190"/>
      <c r="J721" s="1190"/>
      <c r="K721" s="1190"/>
      <c r="L721" s="1190"/>
      <c r="M721" s="1190"/>
      <c r="N721" s="1190"/>
      <c r="O721" s="1190"/>
      <c r="P721" s="1190"/>
      <c r="Q721" s="1190"/>
      <c r="R721" s="1190"/>
      <c r="S721" s="1189"/>
      <c r="T721" s="1190"/>
      <c r="U721" s="1190"/>
      <c r="V721" s="1190"/>
      <c r="W721" s="1190"/>
      <c r="X721" s="1190"/>
      <c r="Y721" s="1190"/>
      <c r="Z721" s="1190"/>
      <c r="AA721" s="1190"/>
      <c r="AB721" s="1190"/>
      <c r="AC721" s="1190"/>
      <c r="AD721" s="1190"/>
      <c r="AE721" s="1190"/>
      <c r="AF721" s="1190"/>
      <c r="AG721" s="1748"/>
      <c r="AH721" s="1190"/>
      <c r="AI721" s="1748"/>
      <c r="AJ721" s="1190"/>
      <c r="AK721" s="1190"/>
      <c r="AL721" s="1190"/>
      <c r="AM721" s="1190"/>
      <c r="AN721" s="1190"/>
      <c r="AO721" s="1190"/>
      <c r="AP721" s="1190"/>
      <c r="AQ721" s="1190"/>
      <c r="AR721" s="1190"/>
      <c r="AS721" s="1190"/>
      <c r="AT721" s="1190"/>
      <c r="AU721" s="1190"/>
      <c r="AV721" s="1190"/>
      <c r="AW721" s="1190"/>
      <c r="AX721" s="1190"/>
      <c r="AY721" s="1190"/>
      <c r="AZ721" s="1190"/>
      <c r="BA721" s="1190"/>
      <c r="BB721" s="1190"/>
      <c r="BC721" s="1190"/>
      <c r="BD721" s="1190"/>
      <c r="BE721" s="1190"/>
      <c r="BF721" s="1190"/>
      <c r="BG721" s="1190"/>
      <c r="BH721" s="1190"/>
      <c r="BI721" s="1190"/>
      <c r="BJ721" s="1190"/>
      <c r="BK721" s="1190"/>
      <c r="BL721" s="1190"/>
      <c r="BM721" s="1190"/>
      <c r="BQ721" s="195"/>
      <c r="BR721" s="195"/>
      <c r="BT721" s="1005"/>
    </row>
    <row r="722" ht="15.75" customHeight="1">
      <c r="A722" s="195"/>
      <c r="B722" s="978"/>
      <c r="C722" s="2321"/>
      <c r="D722" s="1729"/>
      <c r="E722" s="1190"/>
      <c r="F722" s="1190"/>
      <c r="G722" s="1190"/>
      <c r="H722" s="1190"/>
      <c r="I722" s="1190"/>
      <c r="J722" s="1190"/>
      <c r="K722" s="1190"/>
      <c r="L722" s="1190"/>
      <c r="M722" s="1190"/>
      <c r="N722" s="1190"/>
      <c r="O722" s="1190"/>
      <c r="P722" s="1190"/>
      <c r="Q722" s="1190"/>
      <c r="R722" s="1190"/>
      <c r="S722" s="1189"/>
      <c r="T722" s="1190"/>
      <c r="U722" s="1190"/>
      <c r="V722" s="1190"/>
      <c r="W722" s="1190"/>
      <c r="X722" s="1190"/>
      <c r="Y722" s="1190"/>
      <c r="Z722" s="1190"/>
      <c r="AA722" s="1190"/>
      <c r="AB722" s="1190"/>
      <c r="AC722" s="1190"/>
      <c r="AD722" s="1190"/>
      <c r="AE722" s="1190"/>
      <c r="AF722" s="1190"/>
      <c r="AG722" s="1748"/>
      <c r="AH722" s="1190"/>
      <c r="AI722" s="1748"/>
      <c r="AJ722" s="1190"/>
      <c r="AK722" s="1190"/>
      <c r="AL722" s="1190"/>
      <c r="AM722" s="1190"/>
      <c r="AN722" s="1190"/>
      <c r="AO722" s="1190"/>
      <c r="AP722" s="1190"/>
      <c r="AQ722" s="1190"/>
      <c r="AR722" s="1190"/>
      <c r="AS722" s="1190"/>
      <c r="AT722" s="1190"/>
      <c r="AU722" s="1190"/>
      <c r="AV722" s="1190"/>
      <c r="AW722" s="1190"/>
      <c r="AX722" s="1190"/>
      <c r="AY722" s="1190"/>
      <c r="AZ722" s="1190"/>
      <c r="BA722" s="1190"/>
      <c r="BB722" s="1190"/>
      <c r="BC722" s="1190"/>
      <c r="BD722" s="1190"/>
      <c r="BE722" s="1190"/>
      <c r="BF722" s="1190"/>
      <c r="BG722" s="1190"/>
      <c r="BH722" s="1190"/>
      <c r="BI722" s="1190"/>
      <c r="BJ722" s="1190"/>
      <c r="BK722" s="1190"/>
      <c r="BL722" s="1190"/>
      <c r="BM722" s="1190"/>
      <c r="BQ722" s="195"/>
      <c r="BR722" s="195"/>
      <c r="BT722" s="1005"/>
    </row>
    <row r="723" ht="15.75" customHeight="1">
      <c r="A723" s="195"/>
      <c r="B723" s="978"/>
      <c r="C723" s="2321"/>
      <c r="D723" s="1729"/>
      <c r="E723" s="1190"/>
      <c r="F723" s="1190"/>
      <c r="G723" s="1190"/>
      <c r="H723" s="1190"/>
      <c r="I723" s="1190"/>
      <c r="J723" s="1190"/>
      <c r="K723" s="1190"/>
      <c r="L723" s="1190"/>
      <c r="M723" s="1190"/>
      <c r="N723" s="1190"/>
      <c r="O723" s="1190"/>
      <c r="P723" s="1190"/>
      <c r="Q723" s="1190"/>
      <c r="R723" s="1190"/>
      <c r="S723" s="1189"/>
      <c r="T723" s="1190"/>
      <c r="U723" s="1190"/>
      <c r="V723" s="1190"/>
      <c r="W723" s="1190"/>
      <c r="X723" s="1190"/>
      <c r="Y723" s="1190"/>
      <c r="Z723" s="1190"/>
      <c r="AA723" s="1190"/>
      <c r="AB723" s="1190"/>
      <c r="AC723" s="1190"/>
      <c r="AD723" s="1190"/>
      <c r="AE723" s="1190"/>
      <c r="AF723" s="1190"/>
      <c r="AG723" s="1748"/>
      <c r="AH723" s="1190"/>
      <c r="AI723" s="1748"/>
      <c r="AJ723" s="1190"/>
      <c r="AK723" s="1190"/>
      <c r="AL723" s="1190"/>
      <c r="AM723" s="1190"/>
      <c r="AN723" s="1190"/>
      <c r="AO723" s="1190"/>
      <c r="AP723" s="1190"/>
      <c r="AQ723" s="1190"/>
      <c r="AR723" s="1190"/>
      <c r="AS723" s="1190"/>
      <c r="AT723" s="1190"/>
      <c r="AU723" s="1190"/>
      <c r="AV723" s="1190"/>
      <c r="AW723" s="1190"/>
      <c r="AX723" s="1190"/>
      <c r="AY723" s="1190"/>
      <c r="AZ723" s="1190"/>
      <c r="BA723" s="1190"/>
      <c r="BB723" s="1190"/>
      <c r="BC723" s="1190"/>
      <c r="BD723" s="1190"/>
      <c r="BE723" s="1190"/>
      <c r="BF723" s="1190"/>
      <c r="BG723" s="1190"/>
      <c r="BH723" s="1190"/>
      <c r="BI723" s="1190"/>
      <c r="BJ723" s="1190"/>
      <c r="BK723" s="1190"/>
      <c r="BL723" s="1190"/>
      <c r="BM723" s="1190"/>
      <c r="BQ723" s="195"/>
      <c r="BR723" s="195"/>
      <c r="BT723" s="1005"/>
    </row>
    <row r="724" ht="15.75" customHeight="1">
      <c r="A724" s="195"/>
      <c r="B724" s="978"/>
      <c r="C724" s="2321"/>
      <c r="D724" s="1729"/>
      <c r="E724" s="1190"/>
      <c r="F724" s="1190"/>
      <c r="G724" s="1190"/>
      <c r="H724" s="1190"/>
      <c r="I724" s="1190"/>
      <c r="J724" s="1190"/>
      <c r="K724" s="1190"/>
      <c r="L724" s="1190"/>
      <c r="M724" s="1190"/>
      <c r="N724" s="1190"/>
      <c r="O724" s="1190"/>
      <c r="P724" s="1190"/>
      <c r="Q724" s="1190"/>
      <c r="R724" s="1190"/>
      <c r="S724" s="1189"/>
      <c r="T724" s="1190"/>
      <c r="U724" s="1190"/>
      <c r="V724" s="1190"/>
      <c r="W724" s="1190"/>
      <c r="X724" s="1190"/>
      <c r="Y724" s="1190"/>
      <c r="Z724" s="1190"/>
      <c r="AA724" s="1190"/>
      <c r="AB724" s="1190"/>
      <c r="AC724" s="1190"/>
      <c r="AD724" s="1190"/>
      <c r="AE724" s="1190"/>
      <c r="AF724" s="1190"/>
      <c r="AG724" s="1748"/>
      <c r="AH724" s="1190"/>
      <c r="AI724" s="1748"/>
      <c r="AJ724" s="1190"/>
      <c r="AK724" s="1190"/>
      <c r="AL724" s="1190"/>
      <c r="AM724" s="1190"/>
      <c r="AN724" s="1190"/>
      <c r="AO724" s="1190"/>
      <c r="AP724" s="1190"/>
      <c r="AQ724" s="1190"/>
      <c r="AR724" s="1190"/>
      <c r="AS724" s="1190"/>
      <c r="AT724" s="1190"/>
      <c r="AU724" s="1190"/>
      <c r="AV724" s="1190"/>
      <c r="AW724" s="1190"/>
      <c r="AX724" s="1190"/>
      <c r="AY724" s="1190"/>
      <c r="AZ724" s="1190"/>
      <c r="BA724" s="1190"/>
      <c r="BB724" s="1190"/>
      <c r="BC724" s="1190"/>
      <c r="BD724" s="1190"/>
      <c r="BE724" s="1190"/>
      <c r="BF724" s="1190"/>
      <c r="BG724" s="1190"/>
      <c r="BH724" s="1190"/>
      <c r="BI724" s="1190"/>
      <c r="BJ724" s="1190"/>
      <c r="BK724" s="1190"/>
      <c r="BL724" s="1190"/>
      <c r="BM724" s="1190"/>
      <c r="BQ724" s="195"/>
      <c r="BR724" s="195"/>
      <c r="BT724" s="1005"/>
    </row>
    <row r="725" ht="15.75" customHeight="1">
      <c r="A725" s="195"/>
      <c r="B725" s="978"/>
      <c r="C725" s="2321"/>
      <c r="D725" s="1729"/>
      <c r="E725" s="1190"/>
      <c r="F725" s="1190"/>
      <c r="G725" s="1190"/>
      <c r="H725" s="1190"/>
      <c r="I725" s="1190"/>
      <c r="J725" s="1190"/>
      <c r="K725" s="1190"/>
      <c r="L725" s="1190"/>
      <c r="M725" s="1190"/>
      <c r="N725" s="1190"/>
      <c r="O725" s="1190"/>
      <c r="P725" s="1190"/>
      <c r="Q725" s="1190"/>
      <c r="R725" s="1190"/>
      <c r="S725" s="1189"/>
      <c r="T725" s="1190"/>
      <c r="U725" s="1190"/>
      <c r="V725" s="1190"/>
      <c r="W725" s="1190"/>
      <c r="X725" s="1190"/>
      <c r="Y725" s="1190"/>
      <c r="Z725" s="1190"/>
      <c r="AA725" s="1190"/>
      <c r="AB725" s="1190"/>
      <c r="AC725" s="1190"/>
      <c r="AD725" s="1190"/>
      <c r="AE725" s="1190"/>
      <c r="AF725" s="1190"/>
      <c r="AG725" s="1748"/>
      <c r="AH725" s="1190"/>
      <c r="AI725" s="1748"/>
      <c r="AJ725" s="1190"/>
      <c r="AK725" s="1190"/>
      <c r="AL725" s="1190"/>
      <c r="AM725" s="1190"/>
      <c r="AN725" s="1190"/>
      <c r="AO725" s="1190"/>
      <c r="AP725" s="1190"/>
      <c r="AQ725" s="1190"/>
      <c r="AR725" s="1190"/>
      <c r="AS725" s="1190"/>
      <c r="AT725" s="1190"/>
      <c r="AU725" s="1190"/>
      <c r="AV725" s="1190"/>
      <c r="AW725" s="1190"/>
      <c r="AX725" s="1190"/>
      <c r="AY725" s="1190"/>
      <c r="AZ725" s="1190"/>
      <c r="BA725" s="1190"/>
      <c r="BB725" s="1190"/>
      <c r="BC725" s="1190"/>
      <c r="BD725" s="1190"/>
      <c r="BE725" s="1190"/>
      <c r="BF725" s="1190"/>
      <c r="BG725" s="1190"/>
      <c r="BH725" s="1190"/>
      <c r="BI725" s="1190"/>
      <c r="BJ725" s="1190"/>
      <c r="BK725" s="1190"/>
      <c r="BL725" s="1190"/>
      <c r="BM725" s="1190"/>
      <c r="BQ725" s="195"/>
      <c r="BR725" s="195"/>
      <c r="BT725" s="1005"/>
    </row>
    <row r="726" ht="15.75" customHeight="1">
      <c r="A726" s="195"/>
      <c r="B726" s="978"/>
      <c r="C726" s="2321"/>
      <c r="D726" s="1729"/>
      <c r="E726" s="1190"/>
      <c r="F726" s="1190"/>
      <c r="G726" s="1190"/>
      <c r="H726" s="1190"/>
      <c r="I726" s="1190"/>
      <c r="J726" s="1190"/>
      <c r="K726" s="1190"/>
      <c r="L726" s="1190"/>
      <c r="M726" s="1190"/>
      <c r="N726" s="1190"/>
      <c r="O726" s="1190"/>
      <c r="P726" s="1190"/>
      <c r="Q726" s="1190"/>
      <c r="R726" s="1190"/>
      <c r="S726" s="1189"/>
      <c r="T726" s="1190"/>
      <c r="U726" s="1190"/>
      <c r="V726" s="1190"/>
      <c r="W726" s="1190"/>
      <c r="X726" s="1190"/>
      <c r="Y726" s="1190"/>
      <c r="Z726" s="1190"/>
      <c r="AA726" s="1190"/>
      <c r="AB726" s="1190"/>
      <c r="AC726" s="1190"/>
      <c r="AD726" s="1190"/>
      <c r="AE726" s="1190"/>
      <c r="AF726" s="1190"/>
      <c r="AG726" s="1748"/>
      <c r="AH726" s="1190"/>
      <c r="AI726" s="1748"/>
      <c r="AJ726" s="1190"/>
      <c r="AK726" s="1190"/>
      <c r="AL726" s="1190"/>
      <c r="AM726" s="1190"/>
      <c r="AN726" s="1190"/>
      <c r="AO726" s="1190"/>
      <c r="AP726" s="1190"/>
      <c r="AQ726" s="1190"/>
      <c r="AR726" s="1190"/>
      <c r="AS726" s="1190"/>
      <c r="AT726" s="1190"/>
      <c r="AU726" s="1190"/>
      <c r="AV726" s="1190"/>
      <c r="AW726" s="1190"/>
      <c r="AX726" s="1190"/>
      <c r="AY726" s="1190"/>
      <c r="AZ726" s="1190"/>
      <c r="BA726" s="1190"/>
      <c r="BB726" s="1190"/>
      <c r="BC726" s="1190"/>
      <c r="BD726" s="1190"/>
      <c r="BE726" s="1190"/>
      <c r="BF726" s="1190"/>
      <c r="BG726" s="1190"/>
      <c r="BH726" s="1190"/>
      <c r="BI726" s="1190"/>
      <c r="BJ726" s="1190"/>
      <c r="BK726" s="1190"/>
      <c r="BL726" s="1190"/>
      <c r="BM726" s="1190"/>
      <c r="BQ726" s="195"/>
      <c r="BR726" s="195"/>
      <c r="BT726" s="1005"/>
    </row>
    <row r="727" ht="15.75" customHeight="1">
      <c r="A727" s="195"/>
      <c r="B727" s="978"/>
      <c r="C727" s="2321"/>
      <c r="D727" s="1729"/>
      <c r="E727" s="1190"/>
      <c r="F727" s="1190"/>
      <c r="G727" s="1190"/>
      <c r="H727" s="1190"/>
      <c r="I727" s="1190"/>
      <c r="J727" s="1190"/>
      <c r="K727" s="1190"/>
      <c r="L727" s="1190"/>
      <c r="M727" s="1190"/>
      <c r="N727" s="1190"/>
      <c r="O727" s="1190"/>
      <c r="P727" s="1190"/>
      <c r="Q727" s="1190"/>
      <c r="R727" s="1190"/>
      <c r="S727" s="1189"/>
      <c r="T727" s="1190"/>
      <c r="U727" s="1190"/>
      <c r="V727" s="1190"/>
      <c r="W727" s="1190"/>
      <c r="X727" s="1190"/>
      <c r="Y727" s="1190"/>
      <c r="Z727" s="1190"/>
      <c r="AA727" s="1190"/>
      <c r="AB727" s="1190"/>
      <c r="AC727" s="1190"/>
      <c r="AD727" s="1190"/>
      <c r="AE727" s="1190"/>
      <c r="AF727" s="1190"/>
      <c r="AG727" s="1748"/>
      <c r="AH727" s="1190"/>
      <c r="AI727" s="1748"/>
      <c r="AJ727" s="1190"/>
      <c r="AK727" s="1190"/>
      <c r="AL727" s="1190"/>
      <c r="AM727" s="1190"/>
      <c r="AN727" s="1190"/>
      <c r="AO727" s="1190"/>
      <c r="AP727" s="1190"/>
      <c r="AQ727" s="1190"/>
      <c r="AR727" s="1190"/>
      <c r="AS727" s="1190"/>
      <c r="AT727" s="1190"/>
      <c r="AU727" s="1190"/>
      <c r="AV727" s="1190"/>
      <c r="AW727" s="1190"/>
      <c r="AX727" s="1190"/>
      <c r="AY727" s="1190"/>
      <c r="AZ727" s="1190"/>
      <c r="BA727" s="1190"/>
      <c r="BB727" s="1190"/>
      <c r="BC727" s="1190"/>
      <c r="BD727" s="1190"/>
      <c r="BE727" s="1190"/>
      <c r="BF727" s="1190"/>
      <c r="BG727" s="1190"/>
      <c r="BH727" s="1190"/>
      <c r="BI727" s="1190"/>
      <c r="BJ727" s="1190"/>
      <c r="BK727" s="1190"/>
      <c r="BL727" s="1190"/>
      <c r="BM727" s="1190"/>
      <c r="BQ727" s="195"/>
      <c r="BR727" s="195"/>
      <c r="BT727" s="1005"/>
    </row>
    <row r="728" ht="15.75" customHeight="1">
      <c r="A728" s="195"/>
      <c r="B728" s="978"/>
      <c r="C728" s="2321"/>
      <c r="D728" s="1729"/>
      <c r="E728" s="1190"/>
      <c r="F728" s="1190"/>
      <c r="G728" s="1190"/>
      <c r="H728" s="1190"/>
      <c r="I728" s="1190"/>
      <c r="J728" s="1190"/>
      <c r="K728" s="1190"/>
      <c r="L728" s="1190"/>
      <c r="M728" s="1190"/>
      <c r="N728" s="1190"/>
      <c r="O728" s="1190"/>
      <c r="P728" s="1190"/>
      <c r="Q728" s="1190"/>
      <c r="R728" s="1190"/>
      <c r="S728" s="1189"/>
      <c r="T728" s="1190"/>
      <c r="U728" s="1190"/>
      <c r="V728" s="1190"/>
      <c r="W728" s="1190"/>
      <c r="X728" s="1190"/>
      <c r="Y728" s="1190"/>
      <c r="Z728" s="1190"/>
      <c r="AA728" s="1190"/>
      <c r="AB728" s="1190"/>
      <c r="AC728" s="1190"/>
      <c r="AD728" s="1190"/>
      <c r="AE728" s="1190"/>
      <c r="AF728" s="1190"/>
      <c r="AG728" s="1748"/>
      <c r="AH728" s="1190"/>
      <c r="AI728" s="1748"/>
      <c r="AJ728" s="1190"/>
      <c r="AK728" s="1190"/>
      <c r="AL728" s="1190"/>
      <c r="AM728" s="1190"/>
      <c r="AN728" s="1190"/>
      <c r="AO728" s="1190"/>
      <c r="AP728" s="1190"/>
      <c r="AQ728" s="1190"/>
      <c r="AR728" s="1190"/>
      <c r="AS728" s="1190"/>
      <c r="AT728" s="1190"/>
      <c r="AU728" s="1190"/>
      <c r="AV728" s="1190"/>
      <c r="AW728" s="1190"/>
      <c r="AX728" s="1190"/>
      <c r="AY728" s="1190"/>
      <c r="AZ728" s="1190"/>
      <c r="BA728" s="1190"/>
      <c r="BB728" s="1190"/>
      <c r="BC728" s="1190"/>
      <c r="BD728" s="1190"/>
      <c r="BE728" s="1190"/>
      <c r="BF728" s="1190"/>
      <c r="BG728" s="1190"/>
      <c r="BH728" s="1190"/>
      <c r="BI728" s="1190"/>
      <c r="BJ728" s="1190"/>
      <c r="BK728" s="1190"/>
      <c r="BL728" s="1190"/>
      <c r="BM728" s="1190"/>
      <c r="BQ728" s="195"/>
      <c r="BR728" s="195"/>
      <c r="BT728" s="1005"/>
    </row>
    <row r="729" ht="15.75" customHeight="1">
      <c r="A729" s="195"/>
      <c r="B729" s="978"/>
      <c r="C729" s="2321"/>
      <c r="D729" s="1729"/>
      <c r="E729" s="1190"/>
      <c r="F729" s="1190"/>
      <c r="G729" s="1190"/>
      <c r="H729" s="1190"/>
      <c r="I729" s="1190"/>
      <c r="J729" s="1190"/>
      <c r="K729" s="1190"/>
      <c r="L729" s="1190"/>
      <c r="M729" s="1190"/>
      <c r="N729" s="1190"/>
      <c r="O729" s="1190"/>
      <c r="P729" s="1190"/>
      <c r="Q729" s="1190"/>
      <c r="R729" s="1190"/>
      <c r="S729" s="1189"/>
      <c r="T729" s="1190"/>
      <c r="U729" s="1190"/>
      <c r="V729" s="1190"/>
      <c r="W729" s="1190"/>
      <c r="X729" s="1190"/>
      <c r="Y729" s="1190"/>
      <c r="Z729" s="1190"/>
      <c r="AA729" s="1190"/>
      <c r="AB729" s="1190"/>
      <c r="AC729" s="1190"/>
      <c r="AD729" s="1190"/>
      <c r="AE729" s="1190"/>
      <c r="AF729" s="1190"/>
      <c r="AG729" s="1748"/>
      <c r="AH729" s="1190"/>
      <c r="AI729" s="1748"/>
      <c r="AJ729" s="1190"/>
      <c r="AK729" s="1190"/>
      <c r="AL729" s="1190"/>
      <c r="AM729" s="1190"/>
      <c r="AN729" s="1190"/>
      <c r="AO729" s="1190"/>
      <c r="AP729" s="1190"/>
      <c r="AQ729" s="1190"/>
      <c r="AR729" s="1190"/>
      <c r="AS729" s="1190"/>
      <c r="AT729" s="1190"/>
      <c r="AU729" s="1190"/>
      <c r="AV729" s="1190"/>
      <c r="AW729" s="1190"/>
      <c r="AX729" s="1190"/>
      <c r="AY729" s="1190"/>
      <c r="AZ729" s="1190"/>
      <c r="BA729" s="1190"/>
      <c r="BB729" s="1190"/>
      <c r="BC729" s="1190"/>
      <c r="BD729" s="1190"/>
      <c r="BE729" s="1190"/>
      <c r="BF729" s="1190"/>
      <c r="BG729" s="1190"/>
      <c r="BH729" s="1190"/>
      <c r="BI729" s="1190"/>
      <c r="BJ729" s="1190"/>
      <c r="BK729" s="1190"/>
      <c r="BL729" s="1190"/>
      <c r="BM729" s="1190"/>
      <c r="BQ729" s="195"/>
      <c r="BR729" s="195"/>
      <c r="BT729" s="1005"/>
    </row>
    <row r="730" ht="15.75" customHeight="1">
      <c r="A730" s="195"/>
      <c r="B730" s="978"/>
      <c r="C730" s="2321"/>
      <c r="D730" s="1729"/>
      <c r="E730" s="1190"/>
      <c r="F730" s="1190"/>
      <c r="G730" s="1190"/>
      <c r="H730" s="1190"/>
      <c r="I730" s="1190"/>
      <c r="J730" s="1190"/>
      <c r="K730" s="1190"/>
      <c r="L730" s="1190"/>
      <c r="M730" s="1190"/>
      <c r="N730" s="1190"/>
      <c r="O730" s="1190"/>
      <c r="P730" s="1190"/>
      <c r="Q730" s="1190"/>
      <c r="R730" s="1190"/>
      <c r="S730" s="1189"/>
      <c r="T730" s="1190"/>
      <c r="U730" s="1190"/>
      <c r="V730" s="1190"/>
      <c r="W730" s="1190"/>
      <c r="X730" s="1190"/>
      <c r="Y730" s="1190"/>
      <c r="Z730" s="1190"/>
      <c r="AA730" s="1190"/>
      <c r="AB730" s="1190"/>
      <c r="AC730" s="1190"/>
      <c r="AD730" s="1190"/>
      <c r="AE730" s="1190"/>
      <c r="AF730" s="1190"/>
      <c r="AG730" s="1748"/>
      <c r="AH730" s="1190"/>
      <c r="AI730" s="1748"/>
      <c r="AJ730" s="1190"/>
      <c r="AK730" s="1190"/>
      <c r="AL730" s="1190"/>
      <c r="AM730" s="1190"/>
      <c r="AN730" s="1190"/>
      <c r="AO730" s="1190"/>
      <c r="AP730" s="1190"/>
      <c r="AQ730" s="1190"/>
      <c r="AR730" s="1190"/>
      <c r="AS730" s="1190"/>
      <c r="AT730" s="1190"/>
      <c r="AU730" s="1190"/>
      <c r="AV730" s="1190"/>
      <c r="AW730" s="1190"/>
      <c r="AX730" s="1190"/>
      <c r="AY730" s="1190"/>
      <c r="AZ730" s="1190"/>
      <c r="BA730" s="1190"/>
      <c r="BB730" s="1190"/>
      <c r="BC730" s="1190"/>
      <c r="BD730" s="1190"/>
      <c r="BE730" s="1190"/>
      <c r="BF730" s="1190"/>
      <c r="BG730" s="1190"/>
      <c r="BH730" s="1190"/>
      <c r="BI730" s="1190"/>
      <c r="BJ730" s="1190"/>
      <c r="BK730" s="1190"/>
      <c r="BL730" s="1190"/>
      <c r="BM730" s="1190"/>
      <c r="BQ730" s="195"/>
      <c r="BR730" s="195"/>
      <c r="BT730" s="1005"/>
    </row>
    <row r="731" ht="15.75" customHeight="1">
      <c r="A731" s="195"/>
      <c r="B731" s="978"/>
      <c r="C731" s="2321"/>
      <c r="D731" s="1729"/>
      <c r="E731" s="1190"/>
      <c r="F731" s="1190"/>
      <c r="G731" s="1190"/>
      <c r="H731" s="1190"/>
      <c r="I731" s="1190"/>
      <c r="J731" s="1190"/>
      <c r="K731" s="1190"/>
      <c r="L731" s="1190"/>
      <c r="M731" s="1190"/>
      <c r="N731" s="1190"/>
      <c r="O731" s="1190"/>
      <c r="P731" s="1190"/>
      <c r="Q731" s="1190"/>
      <c r="R731" s="1190"/>
      <c r="S731" s="1189"/>
      <c r="T731" s="1190"/>
      <c r="U731" s="1190"/>
      <c r="V731" s="1190"/>
      <c r="W731" s="1190"/>
      <c r="X731" s="1190"/>
      <c r="Y731" s="1190"/>
      <c r="Z731" s="1190"/>
      <c r="AA731" s="1190"/>
      <c r="AB731" s="1190"/>
      <c r="AC731" s="1190"/>
      <c r="AD731" s="1190"/>
      <c r="AE731" s="1190"/>
      <c r="AF731" s="1190"/>
      <c r="AG731" s="1748"/>
      <c r="AH731" s="1190"/>
      <c r="AI731" s="1748"/>
      <c r="AJ731" s="1190"/>
      <c r="AK731" s="1190"/>
      <c r="AL731" s="1190"/>
      <c r="AM731" s="1190"/>
      <c r="AN731" s="1190"/>
      <c r="AO731" s="1190"/>
      <c r="AP731" s="1190"/>
      <c r="AQ731" s="1190"/>
      <c r="AR731" s="1190"/>
      <c r="AS731" s="1190"/>
      <c r="AT731" s="1190"/>
      <c r="AU731" s="1190"/>
      <c r="AV731" s="1190"/>
      <c r="AW731" s="1190"/>
      <c r="AX731" s="1190"/>
      <c r="AY731" s="1190"/>
      <c r="AZ731" s="1190"/>
      <c r="BA731" s="1190"/>
      <c r="BB731" s="1190"/>
      <c r="BC731" s="1190"/>
      <c r="BD731" s="1190"/>
      <c r="BE731" s="1190"/>
      <c r="BF731" s="1190"/>
      <c r="BG731" s="1190"/>
      <c r="BH731" s="1190"/>
      <c r="BI731" s="1190"/>
      <c r="BJ731" s="1190"/>
      <c r="BK731" s="1190"/>
      <c r="BL731" s="1190"/>
      <c r="BM731" s="1190"/>
      <c r="BQ731" s="195"/>
      <c r="BR731" s="195"/>
      <c r="BT731" s="1005"/>
    </row>
    <row r="732" ht="15.75" customHeight="1">
      <c r="A732" s="195"/>
      <c r="B732" s="978"/>
      <c r="C732" s="2321"/>
      <c r="D732" s="1729"/>
      <c r="E732" s="1190"/>
      <c r="F732" s="1190"/>
      <c r="G732" s="1190"/>
      <c r="H732" s="1190"/>
      <c r="I732" s="1190"/>
      <c r="J732" s="1190"/>
      <c r="K732" s="1190"/>
      <c r="L732" s="1190"/>
      <c r="M732" s="1190"/>
      <c r="N732" s="1190"/>
      <c r="O732" s="1190"/>
      <c r="P732" s="1190"/>
      <c r="Q732" s="1190"/>
      <c r="R732" s="1190"/>
      <c r="S732" s="1189"/>
      <c r="T732" s="1190"/>
      <c r="U732" s="1190"/>
      <c r="V732" s="1190"/>
      <c r="W732" s="1190"/>
      <c r="X732" s="1190"/>
      <c r="Y732" s="1190"/>
      <c r="Z732" s="1190"/>
      <c r="AA732" s="1190"/>
      <c r="AB732" s="1190"/>
      <c r="AC732" s="1190"/>
      <c r="AD732" s="1190"/>
      <c r="AE732" s="1190"/>
      <c r="AF732" s="1190"/>
      <c r="AG732" s="1748"/>
      <c r="AH732" s="1190"/>
      <c r="AI732" s="1748"/>
      <c r="AJ732" s="1190"/>
      <c r="AK732" s="1190"/>
      <c r="AL732" s="1190"/>
      <c r="AM732" s="1190"/>
      <c r="AN732" s="1190"/>
      <c r="AO732" s="1190"/>
      <c r="AP732" s="1190"/>
      <c r="AQ732" s="1190"/>
      <c r="AR732" s="1190"/>
      <c r="AS732" s="1190"/>
      <c r="AT732" s="1190"/>
      <c r="AU732" s="1190"/>
      <c r="AV732" s="1190"/>
      <c r="AW732" s="1190"/>
      <c r="AX732" s="1190"/>
      <c r="AY732" s="1190"/>
      <c r="AZ732" s="1190"/>
      <c r="BA732" s="1190"/>
      <c r="BB732" s="1190"/>
      <c r="BC732" s="1190"/>
      <c r="BD732" s="1190"/>
      <c r="BE732" s="1190"/>
      <c r="BF732" s="1190"/>
      <c r="BG732" s="1190"/>
      <c r="BH732" s="1190"/>
      <c r="BI732" s="1190"/>
      <c r="BJ732" s="1190"/>
      <c r="BK732" s="1190"/>
      <c r="BL732" s="1190"/>
      <c r="BM732" s="1190"/>
      <c r="BQ732" s="195"/>
      <c r="BR732" s="195"/>
      <c r="BT732" s="1005"/>
    </row>
    <row r="733" ht="15.75" customHeight="1">
      <c r="A733" s="195"/>
      <c r="B733" s="978"/>
      <c r="C733" s="2321"/>
      <c r="D733" s="1729"/>
      <c r="E733" s="1190"/>
      <c r="F733" s="1190"/>
      <c r="G733" s="1190"/>
      <c r="H733" s="1190"/>
      <c r="I733" s="1190"/>
      <c r="J733" s="1190"/>
      <c r="K733" s="1190"/>
      <c r="L733" s="1190"/>
      <c r="M733" s="1190"/>
      <c r="N733" s="1190"/>
      <c r="O733" s="1190"/>
      <c r="P733" s="1190"/>
      <c r="Q733" s="1190"/>
      <c r="R733" s="1190"/>
      <c r="S733" s="1189"/>
      <c r="T733" s="1190"/>
      <c r="U733" s="1190"/>
      <c r="V733" s="1190"/>
      <c r="W733" s="1190"/>
      <c r="X733" s="1190"/>
      <c r="Y733" s="1190"/>
      <c r="Z733" s="1190"/>
      <c r="AA733" s="1190"/>
      <c r="AB733" s="1190"/>
      <c r="AC733" s="1190"/>
      <c r="AD733" s="1190"/>
      <c r="AE733" s="1190"/>
      <c r="AF733" s="1190"/>
      <c r="AG733" s="1748"/>
      <c r="AH733" s="1190"/>
      <c r="AI733" s="1748"/>
      <c r="AJ733" s="1190"/>
      <c r="AK733" s="1190"/>
      <c r="AL733" s="1190"/>
      <c r="AM733" s="1190"/>
      <c r="AN733" s="1190"/>
      <c r="AO733" s="1190"/>
      <c r="AP733" s="1190"/>
      <c r="AQ733" s="1190"/>
      <c r="AR733" s="1190"/>
      <c r="AS733" s="1190"/>
      <c r="AT733" s="1190"/>
      <c r="AU733" s="1190"/>
      <c r="AV733" s="1190"/>
      <c r="AW733" s="1190"/>
      <c r="AX733" s="1190"/>
      <c r="AY733" s="1190"/>
      <c r="AZ733" s="1190"/>
      <c r="BA733" s="1190"/>
      <c r="BB733" s="1190"/>
      <c r="BC733" s="1190"/>
      <c r="BD733" s="1190"/>
      <c r="BE733" s="1190"/>
      <c r="BF733" s="1190"/>
      <c r="BG733" s="1190"/>
      <c r="BH733" s="1190"/>
      <c r="BI733" s="1190"/>
      <c r="BJ733" s="1190"/>
      <c r="BK733" s="1190"/>
      <c r="BL733" s="1190"/>
      <c r="BM733" s="1190"/>
      <c r="BQ733" s="195"/>
      <c r="BR733" s="195"/>
      <c r="BT733" s="1005"/>
    </row>
    <row r="734" ht="15.75" customHeight="1">
      <c r="A734" s="195"/>
      <c r="B734" s="978"/>
      <c r="C734" s="2321"/>
      <c r="D734" s="1729"/>
      <c r="E734" s="1190"/>
      <c r="F734" s="1190"/>
      <c r="G734" s="1190"/>
      <c r="H734" s="1190"/>
      <c r="I734" s="1190"/>
      <c r="J734" s="1190"/>
      <c r="K734" s="1190"/>
      <c r="L734" s="1190"/>
      <c r="M734" s="1190"/>
      <c r="N734" s="1190"/>
      <c r="O734" s="1190"/>
      <c r="P734" s="1190"/>
      <c r="Q734" s="1190"/>
      <c r="R734" s="1190"/>
      <c r="S734" s="1189"/>
      <c r="T734" s="1190"/>
      <c r="U734" s="1190"/>
      <c r="V734" s="1190"/>
      <c r="W734" s="1190"/>
      <c r="X734" s="1190"/>
      <c r="Y734" s="1190"/>
      <c r="Z734" s="1190"/>
      <c r="AA734" s="1190"/>
      <c r="AB734" s="1190"/>
      <c r="AC734" s="1190"/>
      <c r="AD734" s="1190"/>
      <c r="AE734" s="1190"/>
      <c r="AF734" s="1190"/>
      <c r="AG734" s="1748"/>
      <c r="AH734" s="1190"/>
      <c r="AI734" s="1748"/>
      <c r="AJ734" s="1190"/>
      <c r="AK734" s="1190"/>
      <c r="AL734" s="1190"/>
      <c r="AM734" s="1190"/>
      <c r="AN734" s="1190"/>
      <c r="AO734" s="1190"/>
      <c r="AP734" s="1190"/>
      <c r="AQ734" s="1190"/>
      <c r="AR734" s="1190"/>
      <c r="AS734" s="1190"/>
      <c r="AT734" s="1190"/>
      <c r="AU734" s="1190"/>
      <c r="AV734" s="1190"/>
      <c r="AW734" s="1190"/>
      <c r="AX734" s="1190"/>
      <c r="AY734" s="1190"/>
      <c r="AZ734" s="1190"/>
      <c r="BA734" s="1190"/>
      <c r="BB734" s="1190"/>
      <c r="BC734" s="1190"/>
      <c r="BD734" s="1190"/>
      <c r="BE734" s="1190"/>
      <c r="BF734" s="1190"/>
      <c r="BG734" s="1190"/>
      <c r="BH734" s="1190"/>
      <c r="BI734" s="1190"/>
      <c r="BJ734" s="1190"/>
      <c r="BK734" s="1190"/>
      <c r="BL734" s="1190"/>
      <c r="BM734" s="1190"/>
      <c r="BQ734" s="195"/>
      <c r="BR734" s="195"/>
      <c r="BT734" s="1005"/>
    </row>
    <row r="735" ht="15.75" customHeight="1">
      <c r="A735" s="195"/>
      <c r="B735" s="978"/>
      <c r="C735" s="2321"/>
      <c r="D735" s="1729"/>
      <c r="E735" s="1190"/>
      <c r="F735" s="1190"/>
      <c r="G735" s="1190"/>
      <c r="H735" s="1190"/>
      <c r="I735" s="1190"/>
      <c r="J735" s="1190"/>
      <c r="K735" s="1190"/>
      <c r="L735" s="1190"/>
      <c r="M735" s="1190"/>
      <c r="N735" s="1190"/>
      <c r="O735" s="1190"/>
      <c r="P735" s="1190"/>
      <c r="Q735" s="1190"/>
      <c r="R735" s="1190"/>
      <c r="S735" s="1189"/>
      <c r="T735" s="1190"/>
      <c r="U735" s="1190"/>
      <c r="V735" s="1190"/>
      <c r="W735" s="1190"/>
      <c r="X735" s="1190"/>
      <c r="Y735" s="1190"/>
      <c r="Z735" s="1190"/>
      <c r="AA735" s="1190"/>
      <c r="AB735" s="1190"/>
      <c r="AC735" s="1190"/>
      <c r="AD735" s="1190"/>
      <c r="AE735" s="1190"/>
      <c r="AF735" s="1190"/>
      <c r="AG735" s="1748"/>
      <c r="AH735" s="1190"/>
      <c r="AI735" s="1748"/>
      <c r="AJ735" s="1190"/>
      <c r="AK735" s="1190"/>
      <c r="AL735" s="1190"/>
      <c r="AM735" s="1190"/>
      <c r="AN735" s="1190"/>
      <c r="AO735" s="1190"/>
      <c r="AP735" s="1190"/>
      <c r="AQ735" s="1190"/>
      <c r="AR735" s="1190"/>
      <c r="AS735" s="1190"/>
      <c r="AT735" s="1190"/>
      <c r="AU735" s="1190"/>
      <c r="AV735" s="1190"/>
      <c r="AW735" s="1190"/>
      <c r="AX735" s="1190"/>
      <c r="AY735" s="1190"/>
      <c r="AZ735" s="1190"/>
      <c r="BA735" s="1190"/>
      <c r="BB735" s="1190"/>
      <c r="BC735" s="1190"/>
      <c r="BD735" s="1190"/>
      <c r="BE735" s="1190"/>
      <c r="BF735" s="1190"/>
      <c r="BG735" s="1190"/>
      <c r="BH735" s="1190"/>
      <c r="BI735" s="1190"/>
      <c r="BJ735" s="1190"/>
      <c r="BK735" s="1190"/>
      <c r="BL735" s="1190"/>
      <c r="BM735" s="1190"/>
      <c r="BQ735" s="195"/>
      <c r="BR735" s="195"/>
      <c r="BT735" s="1005"/>
    </row>
    <row r="736" ht="15.75" customHeight="1">
      <c r="A736" s="195"/>
      <c r="B736" s="978"/>
      <c r="C736" s="2321"/>
      <c r="D736" s="1729"/>
      <c r="E736" s="1190"/>
      <c r="F736" s="1190"/>
      <c r="G736" s="1190"/>
      <c r="H736" s="1190"/>
      <c r="I736" s="1190"/>
      <c r="J736" s="1190"/>
      <c r="K736" s="1190"/>
      <c r="L736" s="1190"/>
      <c r="M736" s="1190"/>
      <c r="N736" s="1190"/>
      <c r="O736" s="1190"/>
      <c r="P736" s="1190"/>
      <c r="Q736" s="1190"/>
      <c r="R736" s="1190"/>
      <c r="S736" s="1189"/>
      <c r="T736" s="1190"/>
      <c r="U736" s="1190"/>
      <c r="V736" s="1190"/>
      <c r="W736" s="1190"/>
      <c r="X736" s="1190"/>
      <c r="Y736" s="1190"/>
      <c r="Z736" s="1190"/>
      <c r="AA736" s="1190"/>
      <c r="AB736" s="1190"/>
      <c r="AC736" s="1190"/>
      <c r="AD736" s="1190"/>
      <c r="AE736" s="1190"/>
      <c r="AF736" s="1190"/>
      <c r="AG736" s="1748"/>
      <c r="AH736" s="1190"/>
      <c r="AI736" s="1748"/>
      <c r="AJ736" s="1190"/>
      <c r="AK736" s="1190"/>
      <c r="AL736" s="1190"/>
      <c r="AM736" s="1190"/>
      <c r="AN736" s="1190"/>
      <c r="AO736" s="1190"/>
      <c r="AP736" s="1190"/>
      <c r="AQ736" s="1190"/>
      <c r="AR736" s="1190"/>
      <c r="AS736" s="1190"/>
      <c r="AT736" s="1190"/>
      <c r="AU736" s="1190"/>
      <c r="AV736" s="1190"/>
      <c r="AW736" s="1190"/>
      <c r="AX736" s="1190"/>
      <c r="AY736" s="1190"/>
      <c r="AZ736" s="1190"/>
      <c r="BA736" s="1190"/>
      <c r="BB736" s="1190"/>
      <c r="BC736" s="1190"/>
      <c r="BD736" s="1190"/>
      <c r="BE736" s="1190"/>
      <c r="BF736" s="1190"/>
      <c r="BG736" s="1190"/>
      <c r="BH736" s="1190"/>
      <c r="BI736" s="1190"/>
      <c r="BJ736" s="1190"/>
      <c r="BK736" s="1190"/>
      <c r="BL736" s="1190"/>
      <c r="BM736" s="1190"/>
      <c r="BQ736" s="195"/>
      <c r="BR736" s="195"/>
      <c r="BT736" s="1005"/>
    </row>
    <row r="737" ht="15.75" customHeight="1">
      <c r="A737" s="195"/>
      <c r="B737" s="978"/>
      <c r="C737" s="2321"/>
      <c r="D737" s="1729"/>
      <c r="E737" s="1190"/>
      <c r="F737" s="1190"/>
      <c r="G737" s="1190"/>
      <c r="H737" s="1190"/>
      <c r="I737" s="1190"/>
      <c r="J737" s="1190"/>
      <c r="K737" s="1190"/>
      <c r="L737" s="1190"/>
      <c r="M737" s="1190"/>
      <c r="N737" s="1190"/>
      <c r="O737" s="1190"/>
      <c r="P737" s="1190"/>
      <c r="Q737" s="1190"/>
      <c r="R737" s="1190"/>
      <c r="S737" s="1189"/>
      <c r="T737" s="1190"/>
      <c r="U737" s="1190"/>
      <c r="V737" s="1190"/>
      <c r="W737" s="1190"/>
      <c r="X737" s="1190"/>
      <c r="Y737" s="1190"/>
      <c r="Z737" s="1190"/>
      <c r="AA737" s="1190"/>
      <c r="AB737" s="1190"/>
      <c r="AC737" s="1190"/>
      <c r="AD737" s="1190"/>
      <c r="AE737" s="1190"/>
      <c r="AF737" s="1190"/>
      <c r="AG737" s="1748"/>
      <c r="AH737" s="1190"/>
      <c r="AI737" s="1748"/>
      <c r="AJ737" s="1190"/>
      <c r="AK737" s="1190"/>
      <c r="AL737" s="1190"/>
      <c r="AM737" s="1190"/>
      <c r="AN737" s="1190"/>
      <c r="AO737" s="1190"/>
      <c r="AP737" s="1190"/>
      <c r="AQ737" s="1190"/>
      <c r="AR737" s="1190"/>
      <c r="AS737" s="1190"/>
      <c r="AT737" s="1190"/>
      <c r="AU737" s="1190"/>
      <c r="AV737" s="1190"/>
      <c r="AW737" s="1190"/>
      <c r="AX737" s="1190"/>
      <c r="AY737" s="1190"/>
      <c r="AZ737" s="1190"/>
      <c r="BA737" s="1190"/>
      <c r="BB737" s="1190"/>
      <c r="BC737" s="1190"/>
      <c r="BD737" s="1190"/>
      <c r="BE737" s="1190"/>
      <c r="BF737" s="1190"/>
      <c r="BG737" s="1190"/>
      <c r="BH737" s="1190"/>
      <c r="BI737" s="1190"/>
      <c r="BJ737" s="1190"/>
      <c r="BK737" s="1190"/>
      <c r="BL737" s="1190"/>
      <c r="BM737" s="1190"/>
      <c r="BQ737" s="195"/>
      <c r="BR737" s="195"/>
      <c r="BT737" s="1005"/>
    </row>
    <row r="738" ht="15.75" customHeight="1">
      <c r="A738" s="195"/>
      <c r="B738" s="978"/>
      <c r="C738" s="2321"/>
      <c r="D738" s="1729"/>
      <c r="E738" s="1190"/>
      <c r="F738" s="1190"/>
      <c r="G738" s="1190"/>
      <c r="H738" s="1190"/>
      <c r="I738" s="1190"/>
      <c r="J738" s="1190"/>
      <c r="K738" s="1190"/>
      <c r="L738" s="1190"/>
      <c r="M738" s="1190"/>
      <c r="N738" s="1190"/>
      <c r="O738" s="1190"/>
      <c r="P738" s="1190"/>
      <c r="Q738" s="1190"/>
      <c r="R738" s="1190"/>
      <c r="S738" s="1189"/>
      <c r="T738" s="1190"/>
      <c r="U738" s="1190"/>
      <c r="V738" s="1190"/>
      <c r="W738" s="1190"/>
      <c r="X738" s="1190"/>
      <c r="Y738" s="1190"/>
      <c r="Z738" s="1190"/>
      <c r="AA738" s="1190"/>
      <c r="AB738" s="1190"/>
      <c r="AC738" s="1190"/>
      <c r="AD738" s="1190"/>
      <c r="AE738" s="1190"/>
      <c r="AF738" s="1190"/>
      <c r="AG738" s="1748"/>
      <c r="AH738" s="1190"/>
      <c r="AI738" s="1748"/>
      <c r="AJ738" s="1190"/>
      <c r="AK738" s="1190"/>
      <c r="AL738" s="1190"/>
      <c r="AM738" s="1190"/>
      <c r="AN738" s="1190"/>
      <c r="AO738" s="1190"/>
      <c r="AP738" s="1190"/>
      <c r="AQ738" s="1190"/>
      <c r="AR738" s="1190"/>
      <c r="AS738" s="1190"/>
      <c r="AT738" s="1190"/>
      <c r="AU738" s="1190"/>
      <c r="AV738" s="1190"/>
      <c r="AW738" s="1190"/>
      <c r="AX738" s="1190"/>
      <c r="AY738" s="1190"/>
      <c r="AZ738" s="1190"/>
      <c r="BA738" s="1190"/>
      <c r="BB738" s="1190"/>
      <c r="BC738" s="1190"/>
      <c r="BD738" s="1190"/>
      <c r="BE738" s="1190"/>
      <c r="BF738" s="1190"/>
      <c r="BG738" s="1190"/>
      <c r="BH738" s="1190"/>
      <c r="BI738" s="1190"/>
      <c r="BJ738" s="1190"/>
      <c r="BK738" s="1190"/>
      <c r="BL738" s="1190"/>
      <c r="BM738" s="1190"/>
      <c r="BQ738" s="195"/>
      <c r="BR738" s="195"/>
      <c r="BT738" s="1005"/>
    </row>
    <row r="739" ht="15.75" customHeight="1">
      <c r="A739" s="195"/>
      <c r="B739" s="978"/>
      <c r="C739" s="2321"/>
      <c r="D739" s="1729"/>
      <c r="E739" s="1190"/>
      <c r="F739" s="1190"/>
      <c r="G739" s="1190"/>
      <c r="H739" s="1190"/>
      <c r="I739" s="1190"/>
      <c r="J739" s="1190"/>
      <c r="K739" s="1190"/>
      <c r="L739" s="1190"/>
      <c r="M739" s="1190"/>
      <c r="N739" s="1190"/>
      <c r="O739" s="1190"/>
      <c r="P739" s="1190"/>
      <c r="Q739" s="1190"/>
      <c r="R739" s="1190"/>
      <c r="S739" s="1189"/>
      <c r="T739" s="1190"/>
      <c r="U739" s="1190"/>
      <c r="V739" s="1190"/>
      <c r="W739" s="1190"/>
      <c r="X739" s="1190"/>
      <c r="Y739" s="1190"/>
      <c r="Z739" s="1190"/>
      <c r="AA739" s="1190"/>
      <c r="AB739" s="1190"/>
      <c r="AC739" s="1190"/>
      <c r="AD739" s="1190"/>
      <c r="AE739" s="1190"/>
      <c r="AF739" s="1190"/>
      <c r="AG739" s="1748"/>
      <c r="AH739" s="1190"/>
      <c r="AI739" s="1748"/>
      <c r="AJ739" s="1190"/>
      <c r="AK739" s="1190"/>
      <c r="AL739" s="1190"/>
      <c r="AM739" s="1190"/>
      <c r="AN739" s="1190"/>
      <c r="AO739" s="1190"/>
      <c r="AP739" s="1190"/>
      <c r="AQ739" s="1190"/>
      <c r="AR739" s="1190"/>
      <c r="AS739" s="1190"/>
      <c r="AT739" s="1190"/>
      <c r="AU739" s="1190"/>
      <c r="AV739" s="1190"/>
      <c r="AW739" s="1190"/>
      <c r="AX739" s="1190"/>
      <c r="AY739" s="1190"/>
      <c r="AZ739" s="1190"/>
      <c r="BA739" s="1190"/>
      <c r="BB739" s="1190"/>
      <c r="BC739" s="1190"/>
      <c r="BD739" s="1190"/>
      <c r="BE739" s="1190"/>
      <c r="BF739" s="1190"/>
      <c r="BG739" s="1190"/>
      <c r="BH739" s="1190"/>
      <c r="BI739" s="1190"/>
      <c r="BJ739" s="1190"/>
      <c r="BK739" s="1190"/>
      <c r="BL739" s="1190"/>
      <c r="BM739" s="1190"/>
      <c r="BQ739" s="195"/>
      <c r="BR739" s="195"/>
      <c r="BT739" s="1005"/>
    </row>
    <row r="740" ht="15.75" customHeight="1">
      <c r="A740" s="195"/>
      <c r="B740" s="978"/>
      <c r="C740" s="2321"/>
      <c r="D740" s="1729"/>
      <c r="E740" s="1190"/>
      <c r="F740" s="1190"/>
      <c r="G740" s="1190"/>
      <c r="H740" s="1190"/>
      <c r="I740" s="1190"/>
      <c r="J740" s="1190"/>
      <c r="K740" s="1190"/>
      <c r="L740" s="1190"/>
      <c r="M740" s="1190"/>
      <c r="N740" s="1190"/>
      <c r="O740" s="1190"/>
      <c r="P740" s="1190"/>
      <c r="Q740" s="1190"/>
      <c r="R740" s="1190"/>
      <c r="S740" s="1189"/>
      <c r="T740" s="1190"/>
      <c r="U740" s="1190"/>
      <c r="V740" s="1190"/>
      <c r="W740" s="1190"/>
      <c r="X740" s="1190"/>
      <c r="Y740" s="1190"/>
      <c r="Z740" s="1190"/>
      <c r="AA740" s="1190"/>
      <c r="AB740" s="1190"/>
      <c r="AC740" s="1190"/>
      <c r="AD740" s="1190"/>
      <c r="AE740" s="1190"/>
      <c r="AF740" s="1190"/>
      <c r="AG740" s="1748"/>
      <c r="AH740" s="1190"/>
      <c r="AI740" s="1748"/>
      <c r="AJ740" s="1190"/>
      <c r="AK740" s="1190"/>
      <c r="AL740" s="1190"/>
      <c r="AM740" s="1190"/>
      <c r="AN740" s="1190"/>
      <c r="AO740" s="1190"/>
      <c r="AP740" s="1190"/>
      <c r="AQ740" s="1190"/>
      <c r="AR740" s="1190"/>
      <c r="AS740" s="1190"/>
      <c r="AT740" s="1190"/>
      <c r="AU740" s="1190"/>
      <c r="AV740" s="1190"/>
      <c r="AW740" s="1190"/>
      <c r="AX740" s="1190"/>
      <c r="AY740" s="1190"/>
      <c r="AZ740" s="1190"/>
      <c r="BA740" s="1190"/>
      <c r="BB740" s="1190"/>
      <c r="BC740" s="1190"/>
      <c r="BD740" s="1190"/>
      <c r="BE740" s="1190"/>
      <c r="BF740" s="1190"/>
      <c r="BG740" s="1190"/>
      <c r="BH740" s="1190"/>
      <c r="BI740" s="1190"/>
      <c r="BJ740" s="1190"/>
      <c r="BK740" s="1190"/>
      <c r="BL740" s="1190"/>
      <c r="BM740" s="1190"/>
      <c r="BQ740" s="195"/>
      <c r="BR740" s="195"/>
      <c r="BT740" s="1005"/>
    </row>
    <row r="741" ht="15.75" customHeight="1">
      <c r="A741" s="195"/>
      <c r="B741" s="978"/>
      <c r="C741" s="2321"/>
      <c r="D741" s="1729"/>
      <c r="E741" s="1190"/>
      <c r="F741" s="1190"/>
      <c r="G741" s="1190"/>
      <c r="H741" s="1190"/>
      <c r="I741" s="1190"/>
      <c r="J741" s="1190"/>
      <c r="K741" s="1190"/>
      <c r="L741" s="1190"/>
      <c r="M741" s="1190"/>
      <c r="N741" s="1190"/>
      <c r="O741" s="1190"/>
      <c r="P741" s="1190"/>
      <c r="Q741" s="1190"/>
      <c r="R741" s="1190"/>
      <c r="S741" s="1189"/>
      <c r="T741" s="1190"/>
      <c r="U741" s="1190"/>
      <c r="V741" s="1190"/>
      <c r="W741" s="1190"/>
      <c r="X741" s="1190"/>
      <c r="Y741" s="1190"/>
      <c r="Z741" s="1190"/>
      <c r="AA741" s="1190"/>
      <c r="AB741" s="1190"/>
      <c r="AC741" s="1190"/>
      <c r="AD741" s="1190"/>
      <c r="AE741" s="1190"/>
      <c r="AF741" s="1190"/>
      <c r="AG741" s="1748"/>
      <c r="AH741" s="1190"/>
      <c r="AI741" s="1748"/>
      <c r="AJ741" s="1190"/>
      <c r="AK741" s="1190"/>
      <c r="AL741" s="1190"/>
      <c r="AM741" s="1190"/>
      <c r="AN741" s="1190"/>
      <c r="AO741" s="1190"/>
      <c r="AP741" s="1190"/>
      <c r="AQ741" s="1190"/>
      <c r="AR741" s="1190"/>
      <c r="AS741" s="1190"/>
      <c r="AT741" s="1190"/>
      <c r="AU741" s="1190"/>
      <c r="AV741" s="1190"/>
      <c r="AW741" s="1190"/>
      <c r="AX741" s="1190"/>
      <c r="AY741" s="1190"/>
      <c r="AZ741" s="1190"/>
      <c r="BA741" s="1190"/>
      <c r="BB741" s="1190"/>
      <c r="BC741" s="1190"/>
      <c r="BD741" s="1190"/>
      <c r="BE741" s="1190"/>
      <c r="BF741" s="1190"/>
      <c r="BG741" s="1190"/>
      <c r="BH741" s="1190"/>
      <c r="BI741" s="1190"/>
      <c r="BJ741" s="1190"/>
      <c r="BK741" s="1190"/>
      <c r="BL741" s="1190"/>
      <c r="BM741" s="1190"/>
      <c r="BQ741" s="195"/>
      <c r="BR741" s="195"/>
      <c r="BT741" s="1005"/>
    </row>
    <row r="742" ht="15.75" customHeight="1">
      <c r="A742" s="195"/>
      <c r="B742" s="978"/>
      <c r="C742" s="2321"/>
      <c r="D742" s="1729"/>
      <c r="E742" s="1190"/>
      <c r="F742" s="1190"/>
      <c r="G742" s="1190"/>
      <c r="H742" s="1190"/>
      <c r="I742" s="1190"/>
      <c r="J742" s="1190"/>
      <c r="K742" s="1190"/>
      <c r="L742" s="1190"/>
      <c r="M742" s="1190"/>
      <c r="N742" s="1190"/>
      <c r="O742" s="1190"/>
      <c r="P742" s="1190"/>
      <c r="Q742" s="1190"/>
      <c r="R742" s="1190"/>
      <c r="S742" s="1189"/>
      <c r="T742" s="1190"/>
      <c r="U742" s="1190"/>
      <c r="V742" s="1190"/>
      <c r="W742" s="1190"/>
      <c r="X742" s="1190"/>
      <c r="Y742" s="1190"/>
      <c r="Z742" s="1190"/>
      <c r="AA742" s="1190"/>
      <c r="AB742" s="1190"/>
      <c r="AC742" s="1190"/>
      <c r="AD742" s="1190"/>
      <c r="AE742" s="1190"/>
      <c r="AF742" s="1190"/>
      <c r="AG742" s="1748"/>
      <c r="AH742" s="1190"/>
      <c r="AI742" s="1748"/>
      <c r="AJ742" s="1190"/>
      <c r="AK742" s="1190"/>
      <c r="AL742" s="1190"/>
      <c r="AM742" s="1190"/>
      <c r="AN742" s="1190"/>
      <c r="AO742" s="1190"/>
      <c r="AP742" s="1190"/>
      <c r="AQ742" s="1190"/>
      <c r="AR742" s="1190"/>
      <c r="AS742" s="1190"/>
      <c r="AT742" s="1190"/>
      <c r="AU742" s="1190"/>
      <c r="AV742" s="1190"/>
      <c r="AW742" s="1190"/>
      <c r="AX742" s="1190"/>
      <c r="AY742" s="1190"/>
      <c r="AZ742" s="1190"/>
      <c r="BA742" s="1190"/>
      <c r="BB742" s="1190"/>
      <c r="BC742" s="1190"/>
      <c r="BD742" s="1190"/>
      <c r="BE742" s="1190"/>
      <c r="BF742" s="1190"/>
      <c r="BG742" s="1190"/>
      <c r="BH742" s="1190"/>
      <c r="BI742" s="1190"/>
      <c r="BJ742" s="1190"/>
      <c r="BK742" s="1190"/>
      <c r="BL742" s="1190"/>
      <c r="BM742" s="1190"/>
      <c r="BQ742" s="195"/>
      <c r="BR742" s="195"/>
      <c r="BT742" s="1005"/>
    </row>
    <row r="743" ht="15.75" customHeight="1">
      <c r="A743" s="195"/>
      <c r="B743" s="978"/>
      <c r="C743" s="2321"/>
      <c r="D743" s="1729"/>
      <c r="E743" s="1190"/>
      <c r="F743" s="1190"/>
      <c r="G743" s="1190"/>
      <c r="H743" s="1190"/>
      <c r="I743" s="1190"/>
      <c r="J743" s="1190"/>
      <c r="K743" s="1190"/>
      <c r="L743" s="1190"/>
      <c r="M743" s="1190"/>
      <c r="N743" s="1190"/>
      <c r="O743" s="1190"/>
      <c r="P743" s="1190"/>
      <c r="Q743" s="1190"/>
      <c r="R743" s="1190"/>
      <c r="S743" s="1189"/>
      <c r="T743" s="1190"/>
      <c r="U743" s="1190"/>
      <c r="V743" s="1190"/>
      <c r="W743" s="1190"/>
      <c r="X743" s="1190"/>
      <c r="Y743" s="1190"/>
      <c r="Z743" s="1190"/>
      <c r="AA743" s="1190"/>
      <c r="AB743" s="1190"/>
      <c r="AC743" s="1190"/>
      <c r="AD743" s="1190"/>
      <c r="AE743" s="1190"/>
      <c r="AF743" s="1190"/>
      <c r="AG743" s="1748"/>
      <c r="AH743" s="1190"/>
      <c r="AI743" s="1748"/>
      <c r="AJ743" s="1190"/>
      <c r="AK743" s="1190"/>
      <c r="AL743" s="1190"/>
      <c r="AM743" s="1190"/>
      <c r="AN743" s="1190"/>
      <c r="AO743" s="1190"/>
      <c r="AP743" s="1190"/>
      <c r="AQ743" s="1190"/>
      <c r="AR743" s="1190"/>
      <c r="AS743" s="1190"/>
      <c r="AT743" s="1190"/>
      <c r="AU743" s="1190"/>
      <c r="AV743" s="1190"/>
      <c r="AW743" s="1190"/>
      <c r="AX743" s="1190"/>
      <c r="AY743" s="1190"/>
      <c r="AZ743" s="1190"/>
      <c r="BA743" s="1190"/>
      <c r="BB743" s="1190"/>
      <c r="BC743" s="1190"/>
      <c r="BD743" s="1190"/>
      <c r="BE743" s="1190"/>
      <c r="BF743" s="1190"/>
      <c r="BG743" s="1190"/>
      <c r="BH743" s="1190"/>
      <c r="BI743" s="1190"/>
      <c r="BJ743" s="1190"/>
      <c r="BK743" s="1190"/>
      <c r="BL743" s="1190"/>
      <c r="BM743" s="1190"/>
      <c r="BQ743" s="195"/>
      <c r="BR743" s="195"/>
      <c r="BT743" s="1005"/>
    </row>
    <row r="744" ht="15.75" customHeight="1">
      <c r="A744" s="195"/>
      <c r="B744" s="978"/>
      <c r="C744" s="2321"/>
      <c r="D744" s="1729"/>
      <c r="E744" s="1190"/>
      <c r="F744" s="1190"/>
      <c r="G744" s="1190"/>
      <c r="H744" s="1190"/>
      <c r="I744" s="1190"/>
      <c r="J744" s="1190"/>
      <c r="K744" s="1190"/>
      <c r="L744" s="1190"/>
      <c r="M744" s="1190"/>
      <c r="N744" s="1190"/>
      <c r="O744" s="1190"/>
      <c r="P744" s="1190"/>
      <c r="Q744" s="1190"/>
      <c r="R744" s="1190"/>
      <c r="S744" s="1189"/>
      <c r="T744" s="1190"/>
      <c r="U744" s="1190"/>
      <c r="V744" s="1190"/>
      <c r="W744" s="1190"/>
      <c r="X744" s="1190"/>
      <c r="Y744" s="1190"/>
      <c r="Z744" s="1190"/>
      <c r="AA744" s="1190"/>
      <c r="AB744" s="1190"/>
      <c r="AC744" s="1190"/>
      <c r="AD744" s="1190"/>
      <c r="AE744" s="1190"/>
      <c r="AF744" s="1190"/>
      <c r="AG744" s="1748"/>
      <c r="AH744" s="1190"/>
      <c r="AI744" s="1748"/>
      <c r="AJ744" s="1190"/>
      <c r="AK744" s="1190"/>
      <c r="AL744" s="1190"/>
      <c r="AM744" s="1190"/>
      <c r="AN744" s="1190"/>
      <c r="AO744" s="1190"/>
      <c r="AP744" s="1190"/>
      <c r="AQ744" s="1190"/>
      <c r="AR744" s="1190"/>
      <c r="AS744" s="1190"/>
      <c r="AT744" s="1190"/>
      <c r="AU744" s="1190"/>
      <c r="AV744" s="1190"/>
      <c r="AW744" s="1190"/>
      <c r="AX744" s="1190"/>
      <c r="AY744" s="1190"/>
      <c r="AZ744" s="1190"/>
      <c r="BA744" s="1190"/>
      <c r="BB744" s="1190"/>
      <c r="BC744" s="1190"/>
      <c r="BD744" s="1190"/>
      <c r="BE744" s="1190"/>
      <c r="BF744" s="1190"/>
      <c r="BG744" s="1190"/>
      <c r="BH744" s="1190"/>
      <c r="BI744" s="1190"/>
      <c r="BJ744" s="1190"/>
      <c r="BK744" s="1190"/>
      <c r="BL744" s="1190"/>
      <c r="BM744" s="1190"/>
      <c r="BQ744" s="195"/>
      <c r="BR744" s="195"/>
      <c r="BT744" s="1005"/>
    </row>
    <row r="745" ht="15.75" customHeight="1">
      <c r="A745" s="195"/>
      <c r="B745" s="978"/>
      <c r="C745" s="2321"/>
      <c r="D745" s="1729"/>
      <c r="E745" s="1190"/>
      <c r="F745" s="1190"/>
      <c r="G745" s="1190"/>
      <c r="H745" s="1190"/>
      <c r="I745" s="1190"/>
      <c r="J745" s="1190"/>
      <c r="K745" s="1190"/>
      <c r="L745" s="1190"/>
      <c r="M745" s="1190"/>
      <c r="N745" s="1190"/>
      <c r="O745" s="1190"/>
      <c r="P745" s="1190"/>
      <c r="Q745" s="1190"/>
      <c r="R745" s="1190"/>
      <c r="S745" s="1189"/>
      <c r="T745" s="1190"/>
      <c r="U745" s="1190"/>
      <c r="V745" s="1190"/>
      <c r="W745" s="1190"/>
      <c r="X745" s="1190"/>
      <c r="Y745" s="1190"/>
      <c r="Z745" s="1190"/>
      <c r="AA745" s="1190"/>
      <c r="AB745" s="1190"/>
      <c r="AC745" s="1190"/>
      <c r="AD745" s="1190"/>
      <c r="AE745" s="1190"/>
      <c r="AF745" s="1190"/>
      <c r="AG745" s="1748"/>
      <c r="AH745" s="1190"/>
      <c r="AI745" s="1748"/>
      <c r="AJ745" s="1190"/>
      <c r="AK745" s="1190"/>
      <c r="AL745" s="1190"/>
      <c r="AM745" s="1190"/>
      <c r="AN745" s="1190"/>
      <c r="AO745" s="1190"/>
      <c r="AP745" s="1190"/>
      <c r="AQ745" s="1190"/>
      <c r="AR745" s="1190"/>
      <c r="AS745" s="1190"/>
      <c r="AT745" s="1190"/>
      <c r="AU745" s="1190"/>
      <c r="AV745" s="1190"/>
      <c r="AW745" s="1190"/>
      <c r="AX745" s="1190"/>
      <c r="AY745" s="1190"/>
      <c r="AZ745" s="1190"/>
      <c r="BA745" s="1190"/>
      <c r="BB745" s="1190"/>
      <c r="BC745" s="1190"/>
      <c r="BD745" s="1190"/>
      <c r="BE745" s="1190"/>
      <c r="BF745" s="1190"/>
      <c r="BG745" s="1190"/>
      <c r="BH745" s="1190"/>
      <c r="BI745" s="1190"/>
      <c r="BJ745" s="1190"/>
      <c r="BK745" s="1190"/>
      <c r="BL745" s="1190"/>
      <c r="BM745" s="1190"/>
      <c r="BQ745" s="195"/>
      <c r="BR745" s="195"/>
      <c r="BT745" s="1005"/>
    </row>
    <row r="746" ht="15.75" customHeight="1">
      <c r="A746" s="195"/>
      <c r="B746" s="978"/>
      <c r="C746" s="2321"/>
      <c r="D746" s="1729"/>
      <c r="E746" s="1190"/>
      <c r="F746" s="1190"/>
      <c r="G746" s="1190"/>
      <c r="H746" s="1190"/>
      <c r="I746" s="1190"/>
      <c r="J746" s="1190"/>
      <c r="K746" s="1190"/>
      <c r="L746" s="1190"/>
      <c r="M746" s="1190"/>
      <c r="N746" s="1190"/>
      <c r="O746" s="1190"/>
      <c r="P746" s="1190"/>
      <c r="Q746" s="1190"/>
      <c r="R746" s="1190"/>
      <c r="S746" s="1189"/>
      <c r="T746" s="1190"/>
      <c r="U746" s="1190"/>
      <c r="V746" s="1190"/>
      <c r="W746" s="1190"/>
      <c r="X746" s="1190"/>
      <c r="Y746" s="1190"/>
      <c r="Z746" s="1190"/>
      <c r="AA746" s="1190"/>
      <c r="AB746" s="1190"/>
      <c r="AC746" s="1190"/>
      <c r="AD746" s="1190"/>
      <c r="AE746" s="1190"/>
      <c r="AF746" s="1190"/>
      <c r="AG746" s="1748"/>
      <c r="AH746" s="1190"/>
      <c r="AI746" s="1748"/>
      <c r="AJ746" s="1190"/>
      <c r="AK746" s="1190"/>
      <c r="AL746" s="1190"/>
      <c r="AM746" s="1190"/>
      <c r="AN746" s="1190"/>
      <c r="AO746" s="1190"/>
      <c r="AP746" s="1190"/>
      <c r="AQ746" s="1190"/>
      <c r="AR746" s="1190"/>
      <c r="AS746" s="1190"/>
      <c r="AT746" s="1190"/>
      <c r="AU746" s="1190"/>
      <c r="AV746" s="1190"/>
      <c r="AW746" s="1190"/>
      <c r="AX746" s="1190"/>
      <c r="AY746" s="1190"/>
      <c r="AZ746" s="1190"/>
      <c r="BA746" s="1190"/>
      <c r="BB746" s="1190"/>
      <c r="BC746" s="1190"/>
      <c r="BD746" s="1190"/>
      <c r="BE746" s="1190"/>
      <c r="BF746" s="1190"/>
      <c r="BG746" s="1190"/>
      <c r="BH746" s="1190"/>
      <c r="BI746" s="1190"/>
      <c r="BJ746" s="1190"/>
      <c r="BK746" s="1190"/>
      <c r="BL746" s="1190"/>
      <c r="BM746" s="1190"/>
      <c r="BQ746" s="195"/>
      <c r="BR746" s="195"/>
      <c r="BT746" s="1005"/>
    </row>
    <row r="747" ht="15.75" customHeight="1">
      <c r="A747" s="195"/>
      <c r="B747" s="978"/>
      <c r="C747" s="2321"/>
      <c r="D747" s="1729"/>
      <c r="E747" s="1190"/>
      <c r="F747" s="1190"/>
      <c r="G747" s="1190"/>
      <c r="H747" s="1190"/>
      <c r="I747" s="1190"/>
      <c r="J747" s="1190"/>
      <c r="K747" s="1190"/>
      <c r="L747" s="1190"/>
      <c r="M747" s="1190"/>
      <c r="N747" s="1190"/>
      <c r="O747" s="1190"/>
      <c r="P747" s="1190"/>
      <c r="Q747" s="1190"/>
      <c r="R747" s="1190"/>
      <c r="S747" s="1189"/>
      <c r="T747" s="1190"/>
      <c r="U747" s="1190"/>
      <c r="V747" s="1190"/>
      <c r="W747" s="1190"/>
      <c r="X747" s="1190"/>
      <c r="Y747" s="1190"/>
      <c r="Z747" s="1190"/>
      <c r="AA747" s="1190"/>
      <c r="AB747" s="1190"/>
      <c r="AC747" s="1190"/>
      <c r="AD747" s="1190"/>
      <c r="AE747" s="1190"/>
      <c r="AF747" s="1190"/>
      <c r="AG747" s="1748"/>
      <c r="AH747" s="1190"/>
      <c r="AI747" s="1748"/>
      <c r="AJ747" s="1190"/>
      <c r="AK747" s="1190"/>
      <c r="AL747" s="1190"/>
      <c r="AM747" s="1190"/>
      <c r="AN747" s="1190"/>
      <c r="AO747" s="1190"/>
      <c r="AP747" s="1190"/>
      <c r="AQ747" s="1190"/>
      <c r="AR747" s="1190"/>
      <c r="AS747" s="1190"/>
      <c r="AT747" s="1190"/>
      <c r="AU747" s="1190"/>
      <c r="AV747" s="1190"/>
      <c r="AW747" s="1190"/>
      <c r="AX747" s="1190"/>
      <c r="AY747" s="1190"/>
      <c r="AZ747" s="1190"/>
      <c r="BA747" s="1190"/>
      <c r="BB747" s="1190"/>
      <c r="BC747" s="1190"/>
      <c r="BD747" s="1190"/>
      <c r="BE747" s="1190"/>
      <c r="BF747" s="1190"/>
      <c r="BG747" s="1190"/>
      <c r="BH747" s="1190"/>
      <c r="BI747" s="1190"/>
      <c r="BJ747" s="1190"/>
      <c r="BK747" s="1190"/>
      <c r="BL747" s="1190"/>
      <c r="BM747" s="1190"/>
      <c r="BQ747" s="195"/>
      <c r="BR747" s="195"/>
      <c r="BT747" s="1005"/>
    </row>
    <row r="748" ht="15.75" customHeight="1">
      <c r="A748" s="195"/>
      <c r="B748" s="978"/>
      <c r="C748" s="2321"/>
      <c r="D748" s="1729"/>
      <c r="E748" s="1190"/>
      <c r="F748" s="1190"/>
      <c r="G748" s="1190"/>
      <c r="H748" s="1190"/>
      <c r="I748" s="1190"/>
      <c r="J748" s="1190"/>
      <c r="K748" s="1190"/>
      <c r="L748" s="1190"/>
      <c r="M748" s="1190"/>
      <c r="N748" s="1190"/>
      <c r="O748" s="1190"/>
      <c r="P748" s="1190"/>
      <c r="Q748" s="1190"/>
      <c r="R748" s="1190"/>
      <c r="S748" s="1189"/>
      <c r="T748" s="1190"/>
      <c r="U748" s="1190"/>
      <c r="V748" s="1190"/>
      <c r="W748" s="1190"/>
      <c r="X748" s="1190"/>
      <c r="Y748" s="1190"/>
      <c r="Z748" s="1190"/>
      <c r="AA748" s="1190"/>
      <c r="AB748" s="1190"/>
      <c r="AC748" s="1190"/>
      <c r="AD748" s="1190"/>
      <c r="AE748" s="1190"/>
      <c r="AF748" s="1190"/>
      <c r="AG748" s="1748"/>
      <c r="AH748" s="1190"/>
      <c r="AI748" s="1748"/>
      <c r="AJ748" s="1190"/>
      <c r="AK748" s="1190"/>
      <c r="AL748" s="1190"/>
      <c r="AM748" s="1190"/>
      <c r="AN748" s="1190"/>
      <c r="AO748" s="1190"/>
      <c r="AP748" s="1190"/>
      <c r="AQ748" s="1190"/>
      <c r="AR748" s="1190"/>
      <c r="AS748" s="1190"/>
      <c r="AT748" s="1190"/>
      <c r="AU748" s="1190"/>
      <c r="AV748" s="1190"/>
      <c r="AW748" s="1190"/>
      <c r="AX748" s="1190"/>
      <c r="AY748" s="1190"/>
      <c r="AZ748" s="1190"/>
      <c r="BA748" s="1190"/>
      <c r="BB748" s="1190"/>
      <c r="BC748" s="1190"/>
      <c r="BD748" s="1190"/>
      <c r="BE748" s="1190"/>
      <c r="BF748" s="1190"/>
      <c r="BG748" s="1190"/>
      <c r="BH748" s="1190"/>
      <c r="BI748" s="1190"/>
      <c r="BJ748" s="1190"/>
      <c r="BK748" s="1190"/>
      <c r="BL748" s="1190"/>
      <c r="BM748" s="1190"/>
      <c r="BQ748" s="195"/>
      <c r="BR748" s="195"/>
      <c r="BT748" s="1005"/>
    </row>
    <row r="749" ht="15.75" customHeight="1">
      <c r="A749" s="195"/>
      <c r="B749" s="978"/>
      <c r="C749" s="2321"/>
      <c r="D749" s="1729"/>
      <c r="E749" s="1190"/>
      <c r="F749" s="1190"/>
      <c r="G749" s="1190"/>
      <c r="H749" s="1190"/>
      <c r="I749" s="1190"/>
      <c r="J749" s="1190"/>
      <c r="K749" s="1190"/>
      <c r="L749" s="1190"/>
      <c r="M749" s="1190"/>
      <c r="N749" s="1190"/>
      <c r="O749" s="1190"/>
      <c r="P749" s="1190"/>
      <c r="Q749" s="1190"/>
      <c r="R749" s="1190"/>
      <c r="S749" s="1189"/>
      <c r="T749" s="1190"/>
      <c r="U749" s="1190"/>
      <c r="V749" s="1190"/>
      <c r="W749" s="1190"/>
      <c r="X749" s="1190"/>
      <c r="Y749" s="1190"/>
      <c r="Z749" s="1190"/>
      <c r="AA749" s="1190"/>
      <c r="AB749" s="1190"/>
      <c r="AC749" s="1190"/>
      <c r="AD749" s="1190"/>
      <c r="AE749" s="1190"/>
      <c r="AF749" s="1190"/>
      <c r="AG749" s="1748"/>
      <c r="AH749" s="1190"/>
      <c r="AI749" s="1748"/>
      <c r="AJ749" s="1190"/>
      <c r="AK749" s="1190"/>
      <c r="AL749" s="1190"/>
      <c r="AM749" s="1190"/>
      <c r="AN749" s="1190"/>
      <c r="AO749" s="1190"/>
      <c r="AP749" s="1190"/>
      <c r="AQ749" s="1190"/>
      <c r="AR749" s="1190"/>
      <c r="AS749" s="1190"/>
      <c r="AT749" s="1190"/>
      <c r="AU749" s="1190"/>
      <c r="AV749" s="1190"/>
      <c r="AW749" s="1190"/>
      <c r="AX749" s="1190"/>
      <c r="AY749" s="1190"/>
      <c r="AZ749" s="1190"/>
      <c r="BA749" s="1190"/>
      <c r="BB749" s="1190"/>
      <c r="BC749" s="1190"/>
      <c r="BD749" s="1190"/>
      <c r="BE749" s="1190"/>
      <c r="BF749" s="1190"/>
      <c r="BG749" s="1190"/>
      <c r="BH749" s="1190"/>
      <c r="BI749" s="1190"/>
      <c r="BJ749" s="1190"/>
      <c r="BK749" s="1190"/>
      <c r="BL749" s="1190"/>
      <c r="BM749" s="1190"/>
      <c r="BQ749" s="195"/>
      <c r="BR749" s="195"/>
      <c r="BT749" s="1005"/>
    </row>
    <row r="750" ht="15.75" customHeight="1">
      <c r="A750" s="195"/>
      <c r="B750" s="978"/>
      <c r="C750" s="2321"/>
      <c r="D750" s="1729"/>
      <c r="E750" s="1190"/>
      <c r="F750" s="1190"/>
      <c r="G750" s="1190"/>
      <c r="H750" s="1190"/>
      <c r="I750" s="1190"/>
      <c r="J750" s="1190"/>
      <c r="K750" s="1190"/>
      <c r="L750" s="1190"/>
      <c r="M750" s="1190"/>
      <c r="N750" s="1190"/>
      <c r="O750" s="1190"/>
      <c r="P750" s="1190"/>
      <c r="Q750" s="1190"/>
      <c r="R750" s="1190"/>
      <c r="S750" s="1189"/>
      <c r="T750" s="1190"/>
      <c r="U750" s="1190"/>
      <c r="V750" s="1190"/>
      <c r="W750" s="1190"/>
      <c r="X750" s="1190"/>
      <c r="Y750" s="1190"/>
      <c r="Z750" s="1190"/>
      <c r="AA750" s="1190"/>
      <c r="AB750" s="1190"/>
      <c r="AC750" s="1190"/>
      <c r="AD750" s="1190"/>
      <c r="AE750" s="1190"/>
      <c r="AF750" s="1190"/>
      <c r="AG750" s="1748"/>
      <c r="AH750" s="1190"/>
      <c r="AI750" s="1748"/>
      <c r="AJ750" s="1190"/>
      <c r="AK750" s="1190"/>
      <c r="AL750" s="1190"/>
      <c r="AM750" s="1190"/>
      <c r="AN750" s="1190"/>
      <c r="AO750" s="1190"/>
      <c r="AP750" s="1190"/>
      <c r="AQ750" s="1190"/>
      <c r="AR750" s="1190"/>
      <c r="AS750" s="1190"/>
      <c r="AT750" s="1190"/>
      <c r="AU750" s="1190"/>
      <c r="AV750" s="1190"/>
      <c r="AW750" s="1190"/>
      <c r="AX750" s="1190"/>
      <c r="AY750" s="1190"/>
      <c r="AZ750" s="1190"/>
      <c r="BA750" s="1190"/>
      <c r="BB750" s="1190"/>
      <c r="BC750" s="1190"/>
      <c r="BD750" s="1190"/>
      <c r="BE750" s="1190"/>
      <c r="BF750" s="1190"/>
      <c r="BG750" s="1190"/>
      <c r="BH750" s="1190"/>
      <c r="BI750" s="1190"/>
      <c r="BJ750" s="1190"/>
      <c r="BK750" s="1190"/>
      <c r="BL750" s="1190"/>
      <c r="BM750" s="1190"/>
      <c r="BQ750" s="195"/>
      <c r="BR750" s="195"/>
      <c r="BT750" s="1005"/>
    </row>
    <row r="751" ht="15.75" customHeight="1">
      <c r="A751" s="195"/>
      <c r="B751" s="978"/>
      <c r="C751" s="2321"/>
      <c r="D751" s="1729"/>
      <c r="E751" s="1190"/>
      <c r="F751" s="1190"/>
      <c r="G751" s="1190"/>
      <c r="H751" s="1190"/>
      <c r="I751" s="1190"/>
      <c r="J751" s="1190"/>
      <c r="K751" s="1190"/>
      <c r="L751" s="1190"/>
      <c r="M751" s="1190"/>
      <c r="N751" s="1190"/>
      <c r="O751" s="1190"/>
      <c r="P751" s="1190"/>
      <c r="Q751" s="1190"/>
      <c r="R751" s="1190"/>
      <c r="S751" s="1189"/>
      <c r="T751" s="1190"/>
      <c r="U751" s="1190"/>
      <c r="V751" s="1190"/>
      <c r="W751" s="1190"/>
      <c r="X751" s="1190"/>
      <c r="Y751" s="1190"/>
      <c r="Z751" s="1190"/>
      <c r="AA751" s="1190"/>
      <c r="AB751" s="1190"/>
      <c r="AC751" s="1190"/>
      <c r="AD751" s="1190"/>
      <c r="AE751" s="1190"/>
      <c r="AF751" s="1190"/>
      <c r="AG751" s="1748"/>
      <c r="AH751" s="1190"/>
      <c r="AI751" s="1748"/>
      <c r="AJ751" s="1190"/>
      <c r="AK751" s="1190"/>
      <c r="AL751" s="1190"/>
      <c r="AM751" s="1190"/>
      <c r="AN751" s="1190"/>
      <c r="AO751" s="1190"/>
      <c r="AP751" s="1190"/>
      <c r="AQ751" s="1190"/>
      <c r="AR751" s="1190"/>
      <c r="AS751" s="1190"/>
      <c r="AT751" s="1190"/>
      <c r="AU751" s="1190"/>
      <c r="AV751" s="1190"/>
      <c r="AW751" s="1190"/>
      <c r="AX751" s="1190"/>
      <c r="AY751" s="1190"/>
      <c r="AZ751" s="1190"/>
      <c r="BA751" s="1190"/>
      <c r="BB751" s="1190"/>
      <c r="BC751" s="1190"/>
      <c r="BD751" s="1190"/>
      <c r="BE751" s="1190"/>
      <c r="BF751" s="1190"/>
      <c r="BG751" s="1190"/>
      <c r="BH751" s="1190"/>
      <c r="BI751" s="1190"/>
      <c r="BJ751" s="1190"/>
      <c r="BK751" s="1190"/>
      <c r="BL751" s="1190"/>
      <c r="BM751" s="1190"/>
      <c r="BQ751" s="195"/>
      <c r="BR751" s="195"/>
      <c r="BT751" s="1005"/>
    </row>
    <row r="752" ht="15.75" customHeight="1">
      <c r="A752" s="195"/>
      <c r="B752" s="978"/>
      <c r="C752" s="2321"/>
      <c r="D752" s="1729"/>
      <c r="E752" s="1190"/>
      <c r="F752" s="1190"/>
      <c r="G752" s="1190"/>
      <c r="H752" s="1190"/>
      <c r="I752" s="1190"/>
      <c r="J752" s="1190"/>
      <c r="K752" s="1190"/>
      <c r="L752" s="1190"/>
      <c r="M752" s="1190"/>
      <c r="N752" s="1190"/>
      <c r="O752" s="1190"/>
      <c r="P752" s="1190"/>
      <c r="Q752" s="1190"/>
      <c r="R752" s="1190"/>
      <c r="S752" s="1189"/>
      <c r="T752" s="1190"/>
      <c r="U752" s="1190"/>
      <c r="V752" s="1190"/>
      <c r="W752" s="1190"/>
      <c r="X752" s="1190"/>
      <c r="Y752" s="1190"/>
      <c r="Z752" s="1190"/>
      <c r="AA752" s="1190"/>
      <c r="AB752" s="1190"/>
      <c r="AC752" s="1190"/>
      <c r="AD752" s="1190"/>
      <c r="AE752" s="1190"/>
      <c r="AF752" s="1190"/>
      <c r="AG752" s="1748"/>
      <c r="AH752" s="1190"/>
      <c r="AI752" s="1748"/>
      <c r="AJ752" s="1190"/>
      <c r="AK752" s="1190"/>
      <c r="AL752" s="1190"/>
      <c r="AM752" s="1190"/>
      <c r="AN752" s="1190"/>
      <c r="AO752" s="1190"/>
      <c r="AP752" s="1190"/>
      <c r="AQ752" s="1190"/>
      <c r="AR752" s="1190"/>
      <c r="AS752" s="1190"/>
      <c r="AT752" s="1190"/>
      <c r="AU752" s="1190"/>
      <c r="AV752" s="1190"/>
      <c r="AW752" s="1190"/>
      <c r="AX752" s="1190"/>
      <c r="AY752" s="1190"/>
      <c r="AZ752" s="1190"/>
      <c r="BA752" s="1190"/>
      <c r="BB752" s="1190"/>
      <c r="BC752" s="1190"/>
      <c r="BD752" s="1190"/>
      <c r="BE752" s="1190"/>
      <c r="BF752" s="1190"/>
      <c r="BG752" s="1190"/>
      <c r="BH752" s="1190"/>
      <c r="BI752" s="1190"/>
      <c r="BJ752" s="1190"/>
      <c r="BK752" s="1190"/>
      <c r="BL752" s="1190"/>
      <c r="BM752" s="1190"/>
      <c r="BQ752" s="195"/>
      <c r="BR752" s="195"/>
      <c r="BT752" s="1005"/>
    </row>
    <row r="753" ht="15.75" customHeight="1">
      <c r="A753" s="195"/>
      <c r="B753" s="978"/>
      <c r="C753" s="2321"/>
      <c r="D753" s="1729"/>
      <c r="E753" s="1190"/>
      <c r="F753" s="1190"/>
      <c r="G753" s="1190"/>
      <c r="H753" s="1190"/>
      <c r="I753" s="1190"/>
      <c r="J753" s="1190"/>
      <c r="K753" s="1190"/>
      <c r="L753" s="1190"/>
      <c r="M753" s="1190"/>
      <c r="N753" s="1190"/>
      <c r="O753" s="1190"/>
      <c r="P753" s="1190"/>
      <c r="Q753" s="1190"/>
      <c r="R753" s="1190"/>
      <c r="S753" s="1189"/>
      <c r="T753" s="1190"/>
      <c r="U753" s="1190"/>
      <c r="V753" s="1190"/>
      <c r="W753" s="1190"/>
      <c r="X753" s="1190"/>
      <c r="Y753" s="1190"/>
      <c r="Z753" s="1190"/>
      <c r="AA753" s="1190"/>
      <c r="AB753" s="1190"/>
      <c r="AC753" s="1190"/>
      <c r="AD753" s="1190"/>
      <c r="AE753" s="1190"/>
      <c r="AF753" s="1190"/>
      <c r="AG753" s="1748"/>
      <c r="AH753" s="1190"/>
      <c r="AI753" s="1748"/>
      <c r="AJ753" s="1190"/>
      <c r="AK753" s="1190"/>
      <c r="AL753" s="1190"/>
      <c r="AM753" s="1190"/>
      <c r="AN753" s="1190"/>
      <c r="AO753" s="1190"/>
      <c r="AP753" s="1190"/>
      <c r="AQ753" s="1190"/>
      <c r="AR753" s="1190"/>
      <c r="AS753" s="1190"/>
      <c r="AT753" s="1190"/>
      <c r="AU753" s="1190"/>
      <c r="AV753" s="1190"/>
      <c r="AW753" s="1190"/>
      <c r="AX753" s="1190"/>
      <c r="AY753" s="1190"/>
      <c r="AZ753" s="1190"/>
      <c r="BA753" s="1190"/>
      <c r="BB753" s="1190"/>
      <c r="BC753" s="1190"/>
      <c r="BD753" s="1190"/>
      <c r="BE753" s="1190"/>
      <c r="BF753" s="1190"/>
      <c r="BG753" s="1190"/>
      <c r="BH753" s="1190"/>
      <c r="BI753" s="1190"/>
      <c r="BJ753" s="1190"/>
      <c r="BK753" s="1190"/>
      <c r="BL753" s="1190"/>
      <c r="BM753" s="1190"/>
      <c r="BQ753" s="195"/>
      <c r="BR753" s="195"/>
      <c r="BT753" s="1005"/>
    </row>
    <row r="754" ht="15.75" customHeight="1">
      <c r="A754" s="195"/>
      <c r="B754" s="978"/>
      <c r="C754" s="2321"/>
      <c r="D754" s="1729"/>
      <c r="E754" s="1190"/>
      <c r="F754" s="1190"/>
      <c r="G754" s="1190"/>
      <c r="H754" s="1190"/>
      <c r="I754" s="1190"/>
      <c r="J754" s="1190"/>
      <c r="K754" s="1190"/>
      <c r="L754" s="1190"/>
      <c r="M754" s="1190"/>
      <c r="N754" s="1190"/>
      <c r="O754" s="1190"/>
      <c r="P754" s="1190"/>
      <c r="Q754" s="1190"/>
      <c r="R754" s="1190"/>
      <c r="S754" s="1189"/>
      <c r="T754" s="1190"/>
      <c r="U754" s="1190"/>
      <c r="V754" s="1190"/>
      <c r="W754" s="1190"/>
      <c r="X754" s="1190"/>
      <c r="Y754" s="1190"/>
      <c r="Z754" s="1190"/>
      <c r="AA754" s="1190"/>
      <c r="AB754" s="1190"/>
      <c r="AC754" s="1190"/>
      <c r="AD754" s="1190"/>
      <c r="AE754" s="1190"/>
      <c r="AF754" s="1190"/>
      <c r="AG754" s="1748"/>
      <c r="AH754" s="1190"/>
      <c r="AI754" s="1748"/>
      <c r="AJ754" s="1190"/>
      <c r="AK754" s="1190"/>
      <c r="AL754" s="1190"/>
      <c r="AM754" s="1190"/>
      <c r="AN754" s="1190"/>
      <c r="AO754" s="1190"/>
      <c r="AP754" s="1190"/>
      <c r="AQ754" s="1190"/>
      <c r="AR754" s="1190"/>
      <c r="AS754" s="1190"/>
      <c r="AT754" s="1190"/>
      <c r="AU754" s="1190"/>
      <c r="AV754" s="1190"/>
      <c r="AW754" s="1190"/>
      <c r="AX754" s="1190"/>
      <c r="AY754" s="1190"/>
      <c r="AZ754" s="1190"/>
      <c r="BA754" s="1190"/>
      <c r="BB754" s="1190"/>
      <c r="BC754" s="1190"/>
      <c r="BD754" s="1190"/>
      <c r="BE754" s="1190"/>
      <c r="BF754" s="1190"/>
      <c r="BG754" s="1190"/>
      <c r="BH754" s="1190"/>
      <c r="BI754" s="1190"/>
      <c r="BJ754" s="1190"/>
      <c r="BK754" s="1190"/>
      <c r="BL754" s="1190"/>
      <c r="BM754" s="1190"/>
      <c r="BQ754" s="195"/>
      <c r="BR754" s="195"/>
      <c r="BT754" s="1005"/>
    </row>
    <row r="755" ht="15.75" customHeight="1">
      <c r="A755" s="195"/>
      <c r="B755" s="978"/>
      <c r="C755" s="2321"/>
      <c r="D755" s="1729"/>
      <c r="E755" s="1190"/>
      <c r="F755" s="1190"/>
      <c r="G755" s="1190"/>
      <c r="H755" s="1190"/>
      <c r="I755" s="1190"/>
      <c r="J755" s="1190"/>
      <c r="K755" s="1190"/>
      <c r="L755" s="1190"/>
      <c r="M755" s="1190"/>
      <c r="N755" s="1190"/>
      <c r="O755" s="1190"/>
      <c r="P755" s="1190"/>
      <c r="Q755" s="1190"/>
      <c r="R755" s="1190"/>
      <c r="S755" s="1189"/>
      <c r="T755" s="1190"/>
      <c r="U755" s="1190"/>
      <c r="V755" s="1190"/>
      <c r="W755" s="1190"/>
      <c r="X755" s="1190"/>
      <c r="Y755" s="1190"/>
      <c r="Z755" s="1190"/>
      <c r="AA755" s="1190"/>
      <c r="AB755" s="1190"/>
      <c r="AC755" s="1190"/>
      <c r="AD755" s="1190"/>
      <c r="AE755" s="1190"/>
      <c r="AF755" s="1190"/>
      <c r="AG755" s="1748"/>
      <c r="AH755" s="1190"/>
      <c r="AI755" s="1748"/>
      <c r="AJ755" s="1190"/>
      <c r="AK755" s="1190"/>
      <c r="AL755" s="1190"/>
      <c r="AM755" s="1190"/>
      <c r="AN755" s="1190"/>
      <c r="AO755" s="1190"/>
      <c r="AP755" s="1190"/>
      <c r="AQ755" s="1190"/>
      <c r="AR755" s="1190"/>
      <c r="AS755" s="1190"/>
      <c r="AT755" s="1190"/>
      <c r="AU755" s="1190"/>
      <c r="AV755" s="1190"/>
      <c r="AW755" s="1190"/>
      <c r="AX755" s="1190"/>
      <c r="AY755" s="1190"/>
      <c r="AZ755" s="1190"/>
      <c r="BA755" s="1190"/>
      <c r="BB755" s="1190"/>
      <c r="BC755" s="1190"/>
      <c r="BD755" s="1190"/>
      <c r="BE755" s="1190"/>
      <c r="BF755" s="1190"/>
      <c r="BG755" s="1190"/>
      <c r="BH755" s="1190"/>
      <c r="BI755" s="1190"/>
      <c r="BJ755" s="1190"/>
      <c r="BK755" s="1190"/>
      <c r="BL755" s="1190"/>
      <c r="BM755" s="1190"/>
      <c r="BQ755" s="195"/>
      <c r="BR755" s="195"/>
      <c r="BT755" s="1005"/>
    </row>
    <row r="756" ht="15.75" customHeight="1">
      <c r="A756" s="195"/>
      <c r="B756" s="978"/>
      <c r="C756" s="2321"/>
      <c r="D756" s="1729"/>
      <c r="E756" s="1190"/>
      <c r="F756" s="1190"/>
      <c r="G756" s="1190"/>
      <c r="H756" s="1190"/>
      <c r="I756" s="1190"/>
      <c r="J756" s="1190"/>
      <c r="K756" s="1190"/>
      <c r="L756" s="1190"/>
      <c r="M756" s="1190"/>
      <c r="N756" s="1190"/>
      <c r="O756" s="1190"/>
      <c r="P756" s="1190"/>
      <c r="Q756" s="1190"/>
      <c r="R756" s="1190"/>
      <c r="S756" s="1189"/>
      <c r="T756" s="1190"/>
      <c r="U756" s="1190"/>
      <c r="V756" s="1190"/>
      <c r="W756" s="1190"/>
      <c r="X756" s="1190"/>
      <c r="Y756" s="1190"/>
      <c r="Z756" s="1190"/>
      <c r="AA756" s="1190"/>
      <c r="AB756" s="1190"/>
      <c r="AC756" s="1190"/>
      <c r="AD756" s="1190"/>
      <c r="AE756" s="1190"/>
      <c r="AF756" s="1190"/>
      <c r="AG756" s="1748"/>
      <c r="AH756" s="1190"/>
      <c r="AI756" s="1748"/>
      <c r="AJ756" s="1190"/>
      <c r="AK756" s="1190"/>
      <c r="AL756" s="1190"/>
      <c r="AM756" s="1190"/>
      <c r="AN756" s="1190"/>
      <c r="AO756" s="1190"/>
      <c r="AP756" s="1190"/>
      <c r="AQ756" s="1190"/>
      <c r="AR756" s="1190"/>
      <c r="AS756" s="1190"/>
      <c r="AT756" s="1190"/>
      <c r="AU756" s="1190"/>
      <c r="AV756" s="1190"/>
      <c r="AW756" s="1190"/>
      <c r="AX756" s="1190"/>
      <c r="AY756" s="1190"/>
      <c r="AZ756" s="1190"/>
      <c r="BA756" s="1190"/>
      <c r="BB756" s="1190"/>
      <c r="BC756" s="1190"/>
      <c r="BD756" s="1190"/>
      <c r="BE756" s="1190"/>
      <c r="BF756" s="1190"/>
      <c r="BG756" s="1190"/>
      <c r="BH756" s="1190"/>
      <c r="BI756" s="1190"/>
      <c r="BJ756" s="1190"/>
      <c r="BK756" s="1190"/>
      <c r="BL756" s="1190"/>
      <c r="BM756" s="1190"/>
      <c r="BQ756" s="195"/>
      <c r="BR756" s="195"/>
      <c r="BT756" s="1005"/>
    </row>
    <row r="757" ht="15.75" customHeight="1">
      <c r="A757" s="195"/>
      <c r="B757" s="978"/>
      <c r="C757" s="2321"/>
      <c r="D757" s="1729"/>
      <c r="E757" s="1190"/>
      <c r="F757" s="1190"/>
      <c r="G757" s="1190"/>
      <c r="H757" s="1190"/>
      <c r="I757" s="1190"/>
      <c r="J757" s="1190"/>
      <c r="K757" s="1190"/>
      <c r="L757" s="1190"/>
      <c r="M757" s="1190"/>
      <c r="N757" s="1190"/>
      <c r="O757" s="1190"/>
      <c r="P757" s="1190"/>
      <c r="Q757" s="1190"/>
      <c r="R757" s="1190"/>
      <c r="S757" s="1189"/>
      <c r="T757" s="1190"/>
      <c r="U757" s="1190"/>
      <c r="V757" s="1190"/>
      <c r="W757" s="1190"/>
      <c r="X757" s="1190"/>
      <c r="Y757" s="1190"/>
      <c r="Z757" s="1190"/>
      <c r="AA757" s="1190"/>
      <c r="AB757" s="1190"/>
      <c r="AC757" s="1190"/>
      <c r="AD757" s="1190"/>
      <c r="AE757" s="1190"/>
      <c r="AF757" s="1190"/>
      <c r="AG757" s="1748"/>
      <c r="AH757" s="1190"/>
      <c r="AI757" s="1748"/>
      <c r="AJ757" s="1190"/>
      <c r="AK757" s="1190"/>
      <c r="AL757" s="1190"/>
      <c r="AM757" s="1190"/>
      <c r="AN757" s="1190"/>
      <c r="AO757" s="1190"/>
      <c r="AP757" s="1190"/>
      <c r="AQ757" s="1190"/>
      <c r="AR757" s="1190"/>
      <c r="AS757" s="1190"/>
      <c r="AT757" s="1190"/>
      <c r="AU757" s="1190"/>
      <c r="AV757" s="1190"/>
      <c r="AW757" s="1190"/>
      <c r="AX757" s="1190"/>
      <c r="AY757" s="1190"/>
      <c r="AZ757" s="1190"/>
      <c r="BA757" s="1190"/>
      <c r="BB757" s="1190"/>
      <c r="BC757" s="1190"/>
      <c r="BD757" s="1190"/>
      <c r="BE757" s="1190"/>
      <c r="BF757" s="1190"/>
      <c r="BG757" s="1190"/>
      <c r="BH757" s="1190"/>
      <c r="BI757" s="1190"/>
      <c r="BJ757" s="1190"/>
      <c r="BK757" s="1190"/>
      <c r="BL757" s="1190"/>
      <c r="BM757" s="1190"/>
      <c r="BQ757" s="195"/>
      <c r="BR757" s="195"/>
      <c r="BT757" s="1005"/>
    </row>
    <row r="758" ht="15.75" customHeight="1">
      <c r="A758" s="195"/>
      <c r="B758" s="978"/>
      <c r="C758" s="2321"/>
      <c r="D758" s="1729"/>
      <c r="E758" s="1190"/>
      <c r="F758" s="1190"/>
      <c r="G758" s="1190"/>
      <c r="H758" s="1190"/>
      <c r="I758" s="1190"/>
      <c r="J758" s="1190"/>
      <c r="K758" s="1190"/>
      <c r="L758" s="1190"/>
      <c r="M758" s="1190"/>
      <c r="N758" s="1190"/>
      <c r="O758" s="1190"/>
      <c r="P758" s="1190"/>
      <c r="Q758" s="1190"/>
      <c r="R758" s="1190"/>
      <c r="S758" s="1189"/>
      <c r="T758" s="1190"/>
      <c r="U758" s="1190"/>
      <c r="V758" s="1190"/>
      <c r="W758" s="1190"/>
      <c r="X758" s="1190"/>
      <c r="Y758" s="1190"/>
      <c r="Z758" s="1190"/>
      <c r="AA758" s="1190"/>
      <c r="AB758" s="1190"/>
      <c r="AC758" s="1190"/>
      <c r="AD758" s="1190"/>
      <c r="AE758" s="1190"/>
      <c r="AF758" s="1190"/>
      <c r="AG758" s="1748"/>
      <c r="AH758" s="1190"/>
      <c r="AI758" s="1748"/>
      <c r="AJ758" s="1190"/>
      <c r="AK758" s="1190"/>
      <c r="AL758" s="1190"/>
      <c r="AM758" s="1190"/>
      <c r="AN758" s="1190"/>
      <c r="AO758" s="1190"/>
      <c r="AP758" s="1190"/>
      <c r="AQ758" s="1190"/>
      <c r="AR758" s="1190"/>
      <c r="AS758" s="1190"/>
      <c r="AT758" s="1190"/>
      <c r="AU758" s="1190"/>
      <c r="AV758" s="1190"/>
      <c r="AW758" s="1190"/>
      <c r="AX758" s="1190"/>
      <c r="AY758" s="1190"/>
      <c r="AZ758" s="1190"/>
      <c r="BA758" s="1190"/>
      <c r="BB758" s="1190"/>
      <c r="BC758" s="1190"/>
      <c r="BD758" s="1190"/>
      <c r="BE758" s="1190"/>
      <c r="BF758" s="1190"/>
      <c r="BG758" s="1190"/>
      <c r="BH758" s="1190"/>
      <c r="BI758" s="1190"/>
      <c r="BJ758" s="1190"/>
      <c r="BK758" s="1190"/>
      <c r="BL758" s="1190"/>
      <c r="BM758" s="1190"/>
      <c r="BQ758" s="195"/>
      <c r="BR758" s="195"/>
      <c r="BT758" s="1005"/>
    </row>
    <row r="759" ht="15.75" customHeight="1">
      <c r="A759" s="195"/>
      <c r="B759" s="978"/>
      <c r="C759" s="2321"/>
      <c r="D759" s="1729"/>
      <c r="E759" s="1190"/>
      <c r="F759" s="1190"/>
      <c r="G759" s="1190"/>
      <c r="H759" s="1190"/>
      <c r="I759" s="1190"/>
      <c r="J759" s="1190"/>
      <c r="K759" s="1190"/>
      <c r="L759" s="1190"/>
      <c r="M759" s="1190"/>
      <c r="N759" s="1190"/>
      <c r="O759" s="1190"/>
      <c r="P759" s="1190"/>
      <c r="Q759" s="1190"/>
      <c r="R759" s="1190"/>
      <c r="S759" s="1189"/>
      <c r="T759" s="1190"/>
      <c r="U759" s="1190"/>
      <c r="V759" s="1190"/>
      <c r="W759" s="1190"/>
      <c r="X759" s="1190"/>
      <c r="Y759" s="1190"/>
      <c r="Z759" s="1190"/>
      <c r="AA759" s="1190"/>
      <c r="AB759" s="1190"/>
      <c r="AC759" s="1190"/>
      <c r="AD759" s="1190"/>
      <c r="AE759" s="1190"/>
      <c r="AF759" s="1190"/>
      <c r="AG759" s="1748"/>
      <c r="AH759" s="1190"/>
      <c r="AI759" s="1748"/>
      <c r="AJ759" s="1190"/>
      <c r="AK759" s="1190"/>
      <c r="AL759" s="1190"/>
      <c r="AM759" s="1190"/>
      <c r="AN759" s="1190"/>
      <c r="AO759" s="1190"/>
      <c r="AP759" s="1190"/>
      <c r="AQ759" s="1190"/>
      <c r="AR759" s="1190"/>
      <c r="AS759" s="1190"/>
      <c r="AT759" s="1190"/>
      <c r="AU759" s="1190"/>
      <c r="AV759" s="1190"/>
      <c r="AW759" s="1190"/>
      <c r="AX759" s="1190"/>
      <c r="AY759" s="1190"/>
      <c r="AZ759" s="1190"/>
      <c r="BA759" s="1190"/>
      <c r="BB759" s="1190"/>
      <c r="BC759" s="1190"/>
      <c r="BD759" s="1190"/>
      <c r="BE759" s="1190"/>
      <c r="BF759" s="1190"/>
      <c r="BG759" s="1190"/>
      <c r="BH759" s="1190"/>
      <c r="BI759" s="1190"/>
      <c r="BJ759" s="1190"/>
      <c r="BK759" s="1190"/>
      <c r="BL759" s="1190"/>
      <c r="BM759" s="1190"/>
      <c r="BQ759" s="195"/>
      <c r="BR759" s="195"/>
      <c r="BT759" s="1005"/>
    </row>
    <row r="760" ht="15.75" customHeight="1">
      <c r="A760" s="195"/>
      <c r="B760" s="978"/>
      <c r="C760" s="2321"/>
      <c r="D760" s="1729"/>
      <c r="E760" s="1190"/>
      <c r="F760" s="1190"/>
      <c r="G760" s="1190"/>
      <c r="H760" s="1190"/>
      <c r="I760" s="1190"/>
      <c r="J760" s="1190"/>
      <c r="K760" s="1190"/>
      <c r="L760" s="1190"/>
      <c r="M760" s="1190"/>
      <c r="N760" s="1190"/>
      <c r="O760" s="1190"/>
      <c r="P760" s="1190"/>
      <c r="Q760" s="1190"/>
      <c r="R760" s="1190"/>
      <c r="S760" s="1189"/>
      <c r="T760" s="1190"/>
      <c r="U760" s="1190"/>
      <c r="V760" s="1190"/>
      <c r="W760" s="1190"/>
      <c r="X760" s="1190"/>
      <c r="Y760" s="1190"/>
      <c r="Z760" s="1190"/>
      <c r="AA760" s="1190"/>
      <c r="AB760" s="1190"/>
      <c r="AC760" s="1190"/>
      <c r="AD760" s="1190"/>
      <c r="AE760" s="1190"/>
      <c r="AF760" s="1190"/>
      <c r="AG760" s="1748"/>
      <c r="AH760" s="1190"/>
      <c r="AI760" s="1748"/>
      <c r="AJ760" s="1190"/>
      <c r="AK760" s="1190"/>
      <c r="AL760" s="1190"/>
      <c r="AM760" s="1190"/>
      <c r="AN760" s="1190"/>
      <c r="AO760" s="1190"/>
      <c r="AP760" s="1190"/>
      <c r="AQ760" s="1190"/>
      <c r="AR760" s="1190"/>
      <c r="AS760" s="1190"/>
      <c r="AT760" s="1190"/>
      <c r="AU760" s="1190"/>
      <c r="AV760" s="1190"/>
      <c r="AW760" s="1190"/>
      <c r="AX760" s="1190"/>
      <c r="AY760" s="1190"/>
      <c r="AZ760" s="1190"/>
      <c r="BA760" s="1190"/>
      <c r="BB760" s="1190"/>
      <c r="BC760" s="1190"/>
      <c r="BD760" s="1190"/>
      <c r="BE760" s="1190"/>
      <c r="BF760" s="1190"/>
      <c r="BG760" s="1190"/>
      <c r="BH760" s="1190"/>
      <c r="BI760" s="1190"/>
      <c r="BJ760" s="1190"/>
      <c r="BK760" s="1190"/>
      <c r="BL760" s="1190"/>
      <c r="BM760" s="1190"/>
      <c r="BQ760" s="195"/>
      <c r="BR760" s="195"/>
      <c r="BT760" s="1005"/>
    </row>
    <row r="761" ht="15.75" customHeight="1">
      <c r="A761" s="195"/>
      <c r="B761" s="978"/>
      <c r="C761" s="2321"/>
      <c r="D761" s="1729"/>
      <c r="E761" s="1190"/>
      <c r="F761" s="1190"/>
      <c r="G761" s="1190"/>
      <c r="H761" s="1190"/>
      <c r="I761" s="1190"/>
      <c r="J761" s="1190"/>
      <c r="K761" s="1190"/>
      <c r="L761" s="1190"/>
      <c r="M761" s="1190"/>
      <c r="N761" s="1190"/>
      <c r="O761" s="1190"/>
      <c r="P761" s="1190"/>
      <c r="Q761" s="1190"/>
      <c r="R761" s="1190"/>
      <c r="S761" s="1189"/>
      <c r="T761" s="1190"/>
      <c r="U761" s="1190"/>
      <c r="V761" s="1190"/>
      <c r="W761" s="1190"/>
      <c r="X761" s="1190"/>
      <c r="Y761" s="1190"/>
      <c r="Z761" s="1190"/>
      <c r="AA761" s="1190"/>
      <c r="AB761" s="1190"/>
      <c r="AC761" s="1190"/>
      <c r="AD761" s="1190"/>
      <c r="AE761" s="1190"/>
      <c r="AF761" s="1190"/>
      <c r="AG761" s="1748"/>
      <c r="AH761" s="1190"/>
      <c r="AI761" s="1748"/>
      <c r="AJ761" s="1190"/>
      <c r="AK761" s="1190"/>
      <c r="AL761" s="1190"/>
      <c r="AM761" s="1190"/>
      <c r="AN761" s="1190"/>
      <c r="AO761" s="1190"/>
      <c r="AP761" s="1190"/>
      <c r="AQ761" s="1190"/>
      <c r="AR761" s="1190"/>
      <c r="AS761" s="1190"/>
      <c r="AT761" s="1190"/>
      <c r="AU761" s="1190"/>
      <c r="AV761" s="1190"/>
      <c r="AW761" s="1190"/>
      <c r="AX761" s="1190"/>
      <c r="AY761" s="1190"/>
      <c r="AZ761" s="1190"/>
      <c r="BA761" s="1190"/>
      <c r="BB761" s="1190"/>
      <c r="BC761" s="1190"/>
      <c r="BD761" s="1190"/>
      <c r="BE761" s="1190"/>
      <c r="BF761" s="1190"/>
      <c r="BG761" s="1190"/>
      <c r="BH761" s="1190"/>
      <c r="BI761" s="1190"/>
      <c r="BJ761" s="1190"/>
      <c r="BK761" s="1190"/>
      <c r="BL761" s="1190"/>
      <c r="BM761" s="1190"/>
      <c r="BQ761" s="195"/>
      <c r="BR761" s="195"/>
      <c r="BT761" s="1005"/>
    </row>
    <row r="762" ht="15.75" customHeight="1">
      <c r="A762" s="195"/>
      <c r="B762" s="978"/>
      <c r="C762" s="2321"/>
      <c r="D762" s="1729"/>
      <c r="E762" s="1190"/>
      <c r="F762" s="1190"/>
      <c r="G762" s="1190"/>
      <c r="H762" s="1190"/>
      <c r="I762" s="1190"/>
      <c r="J762" s="1190"/>
      <c r="K762" s="1190"/>
      <c r="L762" s="1190"/>
      <c r="M762" s="1190"/>
      <c r="N762" s="1190"/>
      <c r="O762" s="1190"/>
      <c r="P762" s="1190"/>
      <c r="Q762" s="1190"/>
      <c r="R762" s="1190"/>
      <c r="S762" s="1189"/>
      <c r="T762" s="1190"/>
      <c r="U762" s="1190"/>
      <c r="V762" s="1190"/>
      <c r="W762" s="1190"/>
      <c r="X762" s="1190"/>
      <c r="Y762" s="1190"/>
      <c r="Z762" s="1190"/>
      <c r="AA762" s="1190"/>
      <c r="AB762" s="1190"/>
      <c r="AC762" s="1190"/>
      <c r="AD762" s="1190"/>
      <c r="AE762" s="1190"/>
      <c r="AF762" s="1190"/>
      <c r="AG762" s="1748"/>
      <c r="AH762" s="1190"/>
      <c r="AI762" s="1748"/>
      <c r="AJ762" s="1190"/>
      <c r="AK762" s="1190"/>
      <c r="AL762" s="1190"/>
      <c r="AM762" s="1190"/>
      <c r="AN762" s="1190"/>
      <c r="AO762" s="1190"/>
      <c r="AP762" s="1190"/>
      <c r="AQ762" s="1190"/>
      <c r="AR762" s="1190"/>
      <c r="AS762" s="1190"/>
      <c r="AT762" s="1190"/>
      <c r="AU762" s="1190"/>
      <c r="AV762" s="1190"/>
      <c r="AW762" s="1190"/>
      <c r="AX762" s="1190"/>
      <c r="AY762" s="1190"/>
      <c r="AZ762" s="1190"/>
      <c r="BA762" s="1190"/>
      <c r="BB762" s="1190"/>
      <c r="BC762" s="1190"/>
      <c r="BD762" s="1190"/>
      <c r="BE762" s="1190"/>
      <c r="BF762" s="1190"/>
      <c r="BG762" s="1190"/>
      <c r="BH762" s="1190"/>
      <c r="BI762" s="1190"/>
      <c r="BJ762" s="1190"/>
      <c r="BK762" s="1190"/>
      <c r="BL762" s="1190"/>
      <c r="BM762" s="1190"/>
      <c r="BQ762" s="195"/>
      <c r="BR762" s="195"/>
      <c r="BT762" s="1005"/>
    </row>
    <row r="763" ht="15.75" customHeight="1">
      <c r="A763" s="195"/>
      <c r="B763" s="978"/>
      <c r="C763" s="2321"/>
      <c r="D763" s="1729"/>
      <c r="E763" s="1190"/>
      <c r="F763" s="1190"/>
      <c r="G763" s="1190"/>
      <c r="H763" s="1190"/>
      <c r="I763" s="1190"/>
      <c r="J763" s="1190"/>
      <c r="K763" s="1190"/>
      <c r="L763" s="1190"/>
      <c r="M763" s="1190"/>
      <c r="N763" s="1190"/>
      <c r="O763" s="1190"/>
      <c r="P763" s="1190"/>
      <c r="Q763" s="1190"/>
      <c r="R763" s="1190"/>
      <c r="S763" s="1189"/>
      <c r="T763" s="1190"/>
      <c r="U763" s="1190"/>
      <c r="V763" s="1190"/>
      <c r="W763" s="1190"/>
      <c r="X763" s="1190"/>
      <c r="Y763" s="1190"/>
      <c r="Z763" s="1190"/>
      <c r="AA763" s="1190"/>
      <c r="AB763" s="1190"/>
      <c r="AC763" s="1190"/>
      <c r="AD763" s="1190"/>
      <c r="AE763" s="1190"/>
      <c r="AF763" s="1190"/>
      <c r="AG763" s="1748"/>
      <c r="AH763" s="1190"/>
      <c r="AI763" s="1748"/>
      <c r="AJ763" s="1190"/>
      <c r="AK763" s="1190"/>
      <c r="AL763" s="1190"/>
      <c r="AM763" s="1190"/>
      <c r="AN763" s="1190"/>
      <c r="AO763" s="1190"/>
      <c r="AP763" s="1190"/>
      <c r="AQ763" s="1190"/>
      <c r="AR763" s="1190"/>
      <c r="AS763" s="1190"/>
      <c r="AT763" s="1190"/>
      <c r="AU763" s="1190"/>
      <c r="AV763" s="1190"/>
      <c r="AW763" s="1190"/>
      <c r="AX763" s="1190"/>
      <c r="AY763" s="1190"/>
      <c r="AZ763" s="1190"/>
      <c r="BA763" s="1190"/>
      <c r="BB763" s="1190"/>
      <c r="BC763" s="1190"/>
      <c r="BD763" s="1190"/>
      <c r="BE763" s="1190"/>
      <c r="BF763" s="1190"/>
      <c r="BG763" s="1190"/>
      <c r="BH763" s="1190"/>
      <c r="BI763" s="1190"/>
      <c r="BJ763" s="1190"/>
      <c r="BK763" s="1190"/>
      <c r="BL763" s="1190"/>
      <c r="BM763" s="1190"/>
      <c r="BQ763" s="195"/>
      <c r="BR763" s="195"/>
      <c r="BT763" s="1005"/>
    </row>
    <row r="764" ht="15.75" customHeight="1">
      <c r="A764" s="195"/>
      <c r="B764" s="978"/>
      <c r="C764" s="2321"/>
      <c r="D764" s="1729"/>
      <c r="E764" s="1190"/>
      <c r="F764" s="1190"/>
      <c r="G764" s="1190"/>
      <c r="H764" s="1190"/>
      <c r="I764" s="1190"/>
      <c r="J764" s="1190"/>
      <c r="K764" s="1190"/>
      <c r="L764" s="1190"/>
      <c r="M764" s="1190"/>
      <c r="N764" s="1190"/>
      <c r="O764" s="1190"/>
      <c r="P764" s="1190"/>
      <c r="Q764" s="1190"/>
      <c r="R764" s="1190"/>
      <c r="S764" s="1189"/>
      <c r="T764" s="1190"/>
      <c r="U764" s="1190"/>
      <c r="V764" s="1190"/>
      <c r="W764" s="1190"/>
      <c r="X764" s="1190"/>
      <c r="Y764" s="1190"/>
      <c r="Z764" s="1190"/>
      <c r="AA764" s="1190"/>
      <c r="AB764" s="1190"/>
      <c r="AC764" s="1190"/>
      <c r="AD764" s="1190"/>
      <c r="AE764" s="1190"/>
      <c r="AF764" s="1190"/>
      <c r="AG764" s="1748"/>
      <c r="AH764" s="1190"/>
      <c r="AI764" s="1748"/>
      <c r="AJ764" s="1190"/>
      <c r="AK764" s="1190"/>
      <c r="AL764" s="1190"/>
      <c r="AM764" s="1190"/>
      <c r="AN764" s="1190"/>
      <c r="AO764" s="1190"/>
      <c r="AP764" s="1190"/>
      <c r="AQ764" s="1190"/>
      <c r="AR764" s="1190"/>
      <c r="AS764" s="1190"/>
      <c r="AT764" s="1190"/>
      <c r="AU764" s="1190"/>
      <c r="AV764" s="1190"/>
      <c r="AW764" s="1190"/>
      <c r="AX764" s="1190"/>
      <c r="AY764" s="1190"/>
      <c r="AZ764" s="1190"/>
      <c r="BA764" s="1190"/>
      <c r="BB764" s="1190"/>
      <c r="BC764" s="1190"/>
      <c r="BD764" s="1190"/>
      <c r="BE764" s="1190"/>
      <c r="BF764" s="1190"/>
      <c r="BG764" s="1190"/>
      <c r="BH764" s="1190"/>
      <c r="BI764" s="1190"/>
      <c r="BJ764" s="1190"/>
      <c r="BK764" s="1190"/>
      <c r="BL764" s="1190"/>
      <c r="BM764" s="1190"/>
      <c r="BQ764" s="195"/>
      <c r="BR764" s="195"/>
      <c r="BT764" s="1005"/>
    </row>
    <row r="765" ht="15.75" customHeight="1">
      <c r="A765" s="195"/>
      <c r="B765" s="978"/>
      <c r="C765" s="2321"/>
      <c r="D765" s="1729"/>
      <c r="E765" s="1190"/>
      <c r="F765" s="1190"/>
      <c r="G765" s="1190"/>
      <c r="H765" s="1190"/>
      <c r="I765" s="1190"/>
      <c r="J765" s="1190"/>
      <c r="K765" s="1190"/>
      <c r="L765" s="1190"/>
      <c r="M765" s="1190"/>
      <c r="N765" s="1190"/>
      <c r="O765" s="1190"/>
      <c r="P765" s="1190"/>
      <c r="Q765" s="1190"/>
      <c r="R765" s="1190"/>
      <c r="S765" s="1189"/>
      <c r="T765" s="1190"/>
      <c r="U765" s="1190"/>
      <c r="V765" s="1190"/>
      <c r="W765" s="1190"/>
      <c r="X765" s="1190"/>
      <c r="Y765" s="1190"/>
      <c r="Z765" s="1190"/>
      <c r="AA765" s="1190"/>
      <c r="AB765" s="1190"/>
      <c r="AC765" s="1190"/>
      <c r="AD765" s="1190"/>
      <c r="AE765" s="1190"/>
      <c r="AF765" s="1190"/>
      <c r="AG765" s="1748"/>
      <c r="AH765" s="1190"/>
      <c r="AI765" s="1748"/>
      <c r="AJ765" s="1190"/>
      <c r="AK765" s="1190"/>
      <c r="AL765" s="1190"/>
      <c r="AM765" s="1190"/>
      <c r="AN765" s="1190"/>
      <c r="AO765" s="1190"/>
      <c r="AP765" s="1190"/>
      <c r="AQ765" s="1190"/>
      <c r="AR765" s="1190"/>
      <c r="AS765" s="1190"/>
      <c r="AT765" s="1190"/>
      <c r="AU765" s="1190"/>
      <c r="AV765" s="1190"/>
      <c r="AW765" s="1190"/>
      <c r="AX765" s="1190"/>
      <c r="AY765" s="1190"/>
      <c r="AZ765" s="1190"/>
      <c r="BA765" s="1190"/>
      <c r="BB765" s="1190"/>
      <c r="BC765" s="1190"/>
      <c r="BD765" s="1190"/>
      <c r="BE765" s="1190"/>
      <c r="BF765" s="1190"/>
      <c r="BG765" s="1190"/>
      <c r="BH765" s="1190"/>
      <c r="BI765" s="1190"/>
      <c r="BJ765" s="1190"/>
      <c r="BK765" s="1190"/>
      <c r="BL765" s="1190"/>
      <c r="BM765" s="1190"/>
      <c r="BQ765" s="195"/>
      <c r="BR765" s="195"/>
      <c r="BT765" s="1005"/>
    </row>
    <row r="766" ht="15.75" customHeight="1">
      <c r="A766" s="195"/>
      <c r="B766" s="978"/>
      <c r="C766" s="2321"/>
      <c r="D766" s="1729"/>
      <c r="E766" s="1190"/>
      <c r="F766" s="1190"/>
      <c r="G766" s="1190"/>
      <c r="H766" s="1190"/>
      <c r="I766" s="1190"/>
      <c r="J766" s="1190"/>
      <c r="K766" s="1190"/>
      <c r="L766" s="1190"/>
      <c r="M766" s="1190"/>
      <c r="N766" s="1190"/>
      <c r="O766" s="1190"/>
      <c r="P766" s="1190"/>
      <c r="Q766" s="1190"/>
      <c r="R766" s="1190"/>
      <c r="S766" s="1189"/>
      <c r="T766" s="1190"/>
      <c r="U766" s="1190"/>
      <c r="V766" s="1190"/>
      <c r="W766" s="1190"/>
      <c r="X766" s="1190"/>
      <c r="Y766" s="1190"/>
      <c r="Z766" s="1190"/>
      <c r="AA766" s="1190"/>
      <c r="AB766" s="1190"/>
      <c r="AC766" s="1190"/>
      <c r="AD766" s="1190"/>
      <c r="AE766" s="1190"/>
      <c r="AF766" s="1190"/>
      <c r="AG766" s="1748"/>
      <c r="AH766" s="1190"/>
      <c r="AI766" s="1748"/>
      <c r="AJ766" s="1190"/>
      <c r="AK766" s="1190"/>
      <c r="AL766" s="1190"/>
      <c r="AM766" s="1190"/>
      <c r="AN766" s="1190"/>
      <c r="AO766" s="1190"/>
      <c r="AP766" s="1190"/>
      <c r="AQ766" s="1190"/>
      <c r="AR766" s="1190"/>
      <c r="AS766" s="1190"/>
      <c r="AT766" s="1190"/>
      <c r="AU766" s="1190"/>
      <c r="AV766" s="1190"/>
      <c r="AW766" s="1190"/>
      <c r="AX766" s="1190"/>
      <c r="AY766" s="1190"/>
      <c r="AZ766" s="1190"/>
      <c r="BA766" s="1190"/>
      <c r="BB766" s="1190"/>
      <c r="BC766" s="1190"/>
      <c r="BD766" s="1190"/>
      <c r="BE766" s="1190"/>
      <c r="BF766" s="1190"/>
      <c r="BG766" s="1190"/>
      <c r="BH766" s="1190"/>
      <c r="BI766" s="1190"/>
      <c r="BJ766" s="1190"/>
      <c r="BK766" s="1190"/>
      <c r="BL766" s="1190"/>
      <c r="BM766" s="1190"/>
      <c r="BQ766" s="195"/>
      <c r="BR766" s="195"/>
      <c r="BT766" s="1005"/>
    </row>
    <row r="767" ht="15.75" customHeight="1">
      <c r="A767" s="195"/>
      <c r="B767" s="978"/>
      <c r="C767" s="2321"/>
      <c r="D767" s="1729"/>
      <c r="E767" s="1190"/>
      <c r="F767" s="1190"/>
      <c r="G767" s="1190"/>
      <c r="H767" s="1190"/>
      <c r="I767" s="1190"/>
      <c r="J767" s="1190"/>
      <c r="K767" s="1190"/>
      <c r="L767" s="1190"/>
      <c r="M767" s="1190"/>
      <c r="N767" s="1190"/>
      <c r="O767" s="1190"/>
      <c r="P767" s="1190"/>
      <c r="Q767" s="1190"/>
      <c r="R767" s="1190"/>
      <c r="S767" s="1189"/>
      <c r="T767" s="1190"/>
      <c r="U767" s="1190"/>
      <c r="V767" s="1190"/>
      <c r="W767" s="1190"/>
      <c r="X767" s="1190"/>
      <c r="Y767" s="1190"/>
      <c r="Z767" s="1190"/>
      <c r="AA767" s="1190"/>
      <c r="AB767" s="1190"/>
      <c r="AC767" s="1190"/>
      <c r="AD767" s="1190"/>
      <c r="AE767" s="1190"/>
      <c r="AF767" s="1190"/>
      <c r="AG767" s="1748"/>
      <c r="AH767" s="1190"/>
      <c r="AI767" s="1748"/>
      <c r="AJ767" s="1190"/>
      <c r="AK767" s="1190"/>
      <c r="AL767" s="1190"/>
      <c r="AM767" s="1190"/>
      <c r="AN767" s="1190"/>
      <c r="AO767" s="1190"/>
      <c r="AP767" s="1190"/>
      <c r="AQ767" s="1190"/>
      <c r="AR767" s="1190"/>
      <c r="AS767" s="1190"/>
      <c r="AT767" s="1190"/>
      <c r="AU767" s="1190"/>
      <c r="AV767" s="1190"/>
      <c r="AW767" s="1190"/>
      <c r="AX767" s="1190"/>
      <c r="AY767" s="1190"/>
      <c r="AZ767" s="1190"/>
      <c r="BA767" s="1190"/>
      <c r="BB767" s="1190"/>
      <c r="BC767" s="1190"/>
      <c r="BD767" s="1190"/>
      <c r="BE767" s="1190"/>
      <c r="BF767" s="1190"/>
      <c r="BG767" s="1190"/>
      <c r="BH767" s="1190"/>
      <c r="BI767" s="1190"/>
      <c r="BJ767" s="1190"/>
      <c r="BK767" s="1190"/>
      <c r="BL767" s="1190"/>
      <c r="BM767" s="1190"/>
      <c r="BQ767" s="195"/>
      <c r="BR767" s="195"/>
      <c r="BT767" s="1005"/>
    </row>
    <row r="768" ht="15.75" customHeight="1">
      <c r="A768" s="195"/>
      <c r="B768" s="978"/>
      <c r="C768" s="2321"/>
      <c r="D768" s="1729"/>
      <c r="E768" s="1190"/>
      <c r="F768" s="1190"/>
      <c r="G768" s="1190"/>
      <c r="H768" s="1190"/>
      <c r="I768" s="1190"/>
      <c r="J768" s="1190"/>
      <c r="K768" s="1190"/>
      <c r="L768" s="1190"/>
      <c r="M768" s="1190"/>
      <c r="N768" s="1190"/>
      <c r="O768" s="1190"/>
      <c r="P768" s="1190"/>
      <c r="Q768" s="1190"/>
      <c r="R768" s="1190"/>
      <c r="S768" s="1189"/>
      <c r="T768" s="1190"/>
      <c r="U768" s="1190"/>
      <c r="V768" s="1190"/>
      <c r="W768" s="1190"/>
      <c r="X768" s="1190"/>
      <c r="Y768" s="1190"/>
      <c r="Z768" s="1190"/>
      <c r="AA768" s="1190"/>
      <c r="AB768" s="1190"/>
      <c r="AC768" s="1190"/>
      <c r="AD768" s="1190"/>
      <c r="AE768" s="1190"/>
      <c r="AF768" s="1190"/>
      <c r="AG768" s="1748"/>
      <c r="AH768" s="1190"/>
      <c r="AI768" s="1748"/>
      <c r="AJ768" s="1190"/>
      <c r="AK768" s="1190"/>
      <c r="AL768" s="1190"/>
      <c r="AM768" s="1190"/>
      <c r="AN768" s="1190"/>
      <c r="AO768" s="1190"/>
      <c r="AP768" s="1190"/>
      <c r="AQ768" s="1190"/>
      <c r="AR768" s="1190"/>
      <c r="AS768" s="1190"/>
      <c r="AT768" s="1190"/>
      <c r="AU768" s="1190"/>
      <c r="AV768" s="1190"/>
      <c r="AW768" s="1190"/>
      <c r="AX768" s="1190"/>
      <c r="AY768" s="1190"/>
      <c r="AZ768" s="1190"/>
      <c r="BA768" s="1190"/>
      <c r="BB768" s="1190"/>
      <c r="BC768" s="1190"/>
      <c r="BD768" s="1190"/>
      <c r="BE768" s="1190"/>
      <c r="BF768" s="1190"/>
      <c r="BG768" s="1190"/>
      <c r="BH768" s="1190"/>
      <c r="BI768" s="1190"/>
      <c r="BJ768" s="1190"/>
      <c r="BK768" s="1190"/>
      <c r="BL768" s="1190"/>
      <c r="BM768" s="1190"/>
      <c r="BQ768" s="195"/>
      <c r="BR768" s="195"/>
      <c r="BT768" s="1005"/>
    </row>
    <row r="769" ht="15.75" customHeight="1">
      <c r="A769" s="195"/>
      <c r="B769" s="978"/>
      <c r="C769" s="2321"/>
      <c r="D769" s="1729"/>
      <c r="E769" s="1190"/>
      <c r="F769" s="1190"/>
      <c r="G769" s="1190"/>
      <c r="H769" s="1190"/>
      <c r="I769" s="1190"/>
      <c r="J769" s="1190"/>
      <c r="K769" s="1190"/>
      <c r="L769" s="1190"/>
      <c r="M769" s="1190"/>
      <c r="N769" s="1190"/>
      <c r="O769" s="1190"/>
      <c r="P769" s="1190"/>
      <c r="Q769" s="1190"/>
      <c r="R769" s="1190"/>
      <c r="S769" s="1189"/>
      <c r="T769" s="1190"/>
      <c r="U769" s="1190"/>
      <c r="V769" s="1190"/>
      <c r="W769" s="1190"/>
      <c r="X769" s="1190"/>
      <c r="Y769" s="1190"/>
      <c r="Z769" s="1190"/>
      <c r="AA769" s="1190"/>
      <c r="AB769" s="1190"/>
      <c r="AC769" s="1190"/>
      <c r="AD769" s="1190"/>
      <c r="AE769" s="1190"/>
      <c r="AF769" s="1190"/>
      <c r="AG769" s="1748"/>
      <c r="AH769" s="1190"/>
      <c r="AI769" s="1748"/>
      <c r="AJ769" s="1190"/>
      <c r="AK769" s="1190"/>
      <c r="AL769" s="1190"/>
      <c r="AM769" s="1190"/>
      <c r="AN769" s="1190"/>
      <c r="AO769" s="1190"/>
      <c r="AP769" s="1190"/>
      <c r="AQ769" s="1190"/>
      <c r="AR769" s="1190"/>
      <c r="AS769" s="1190"/>
      <c r="AT769" s="1190"/>
      <c r="AU769" s="1190"/>
      <c r="AV769" s="1190"/>
      <c r="AW769" s="1190"/>
      <c r="AX769" s="1190"/>
      <c r="AY769" s="1190"/>
      <c r="AZ769" s="1190"/>
      <c r="BA769" s="1190"/>
      <c r="BB769" s="1190"/>
      <c r="BC769" s="1190"/>
      <c r="BD769" s="1190"/>
      <c r="BE769" s="1190"/>
      <c r="BF769" s="1190"/>
      <c r="BG769" s="1190"/>
      <c r="BH769" s="1190"/>
      <c r="BI769" s="1190"/>
      <c r="BJ769" s="1190"/>
      <c r="BK769" s="1190"/>
      <c r="BL769" s="1190"/>
      <c r="BM769" s="1190"/>
      <c r="BQ769" s="195"/>
      <c r="BR769" s="195"/>
      <c r="BT769" s="1005"/>
    </row>
    <row r="770" ht="15.75" customHeight="1">
      <c r="A770" s="195"/>
      <c r="B770" s="978"/>
      <c r="C770" s="2321"/>
      <c r="D770" s="1729"/>
      <c r="E770" s="1190"/>
      <c r="F770" s="1190"/>
      <c r="G770" s="1190"/>
      <c r="H770" s="1190"/>
      <c r="I770" s="1190"/>
      <c r="J770" s="1190"/>
      <c r="K770" s="1190"/>
      <c r="L770" s="1190"/>
      <c r="M770" s="1190"/>
      <c r="N770" s="1190"/>
      <c r="O770" s="1190"/>
      <c r="P770" s="1190"/>
      <c r="Q770" s="1190"/>
      <c r="R770" s="1190"/>
      <c r="S770" s="1189"/>
      <c r="T770" s="1190"/>
      <c r="U770" s="1190"/>
      <c r="V770" s="1190"/>
      <c r="W770" s="1190"/>
      <c r="X770" s="1190"/>
      <c r="Y770" s="1190"/>
      <c r="Z770" s="1190"/>
      <c r="AA770" s="1190"/>
      <c r="AB770" s="1190"/>
      <c r="AC770" s="1190"/>
      <c r="AD770" s="1190"/>
      <c r="AE770" s="1190"/>
      <c r="AF770" s="1190"/>
      <c r="AG770" s="1748"/>
      <c r="AH770" s="1190"/>
      <c r="AI770" s="1748"/>
      <c r="AJ770" s="1190"/>
      <c r="AK770" s="1190"/>
      <c r="AL770" s="1190"/>
      <c r="AM770" s="1190"/>
      <c r="AN770" s="1190"/>
      <c r="AO770" s="1190"/>
      <c r="AP770" s="1190"/>
      <c r="AQ770" s="1190"/>
      <c r="AR770" s="1190"/>
      <c r="AS770" s="1190"/>
      <c r="AT770" s="1190"/>
      <c r="AU770" s="1190"/>
      <c r="AV770" s="1190"/>
      <c r="AW770" s="1190"/>
      <c r="AX770" s="1190"/>
      <c r="AY770" s="1190"/>
      <c r="AZ770" s="1190"/>
      <c r="BA770" s="1190"/>
      <c r="BB770" s="1190"/>
      <c r="BC770" s="1190"/>
      <c r="BD770" s="1190"/>
      <c r="BE770" s="1190"/>
      <c r="BF770" s="1190"/>
      <c r="BG770" s="1190"/>
      <c r="BH770" s="1190"/>
      <c r="BI770" s="1190"/>
      <c r="BJ770" s="1190"/>
      <c r="BK770" s="1190"/>
      <c r="BL770" s="1190"/>
      <c r="BM770" s="1190"/>
      <c r="BQ770" s="195"/>
      <c r="BR770" s="195"/>
      <c r="BT770" s="1005"/>
    </row>
    <row r="771" ht="15.75" customHeight="1">
      <c r="A771" s="195"/>
      <c r="B771" s="978"/>
      <c r="C771" s="2321"/>
      <c r="D771" s="1729"/>
      <c r="E771" s="1190"/>
      <c r="F771" s="1190"/>
      <c r="G771" s="1190"/>
      <c r="H771" s="1190"/>
      <c r="I771" s="1190"/>
      <c r="J771" s="1190"/>
      <c r="K771" s="1190"/>
      <c r="L771" s="1190"/>
      <c r="M771" s="1190"/>
      <c r="N771" s="1190"/>
      <c r="O771" s="1190"/>
      <c r="P771" s="1190"/>
      <c r="Q771" s="1190"/>
      <c r="R771" s="1190"/>
      <c r="S771" s="1189"/>
      <c r="T771" s="1190"/>
      <c r="U771" s="1190"/>
      <c r="V771" s="1190"/>
      <c r="W771" s="1190"/>
      <c r="X771" s="1190"/>
      <c r="Y771" s="1190"/>
      <c r="Z771" s="1190"/>
      <c r="AA771" s="1190"/>
      <c r="AB771" s="1190"/>
      <c r="AC771" s="1190"/>
      <c r="AD771" s="1190"/>
      <c r="AE771" s="1190"/>
      <c r="AF771" s="1190"/>
      <c r="AG771" s="1748"/>
      <c r="AH771" s="1190"/>
      <c r="AI771" s="1748"/>
      <c r="AJ771" s="1190"/>
      <c r="AK771" s="1190"/>
      <c r="AL771" s="1190"/>
      <c r="AM771" s="1190"/>
      <c r="AN771" s="1190"/>
      <c r="AO771" s="1190"/>
      <c r="AP771" s="1190"/>
      <c r="AQ771" s="1190"/>
      <c r="AR771" s="1190"/>
      <c r="AS771" s="1190"/>
      <c r="AT771" s="1190"/>
      <c r="AU771" s="1190"/>
      <c r="AV771" s="1190"/>
      <c r="AW771" s="1190"/>
      <c r="AX771" s="1190"/>
      <c r="AY771" s="1190"/>
      <c r="AZ771" s="1190"/>
      <c r="BA771" s="1190"/>
      <c r="BB771" s="1190"/>
      <c r="BC771" s="1190"/>
      <c r="BD771" s="1190"/>
      <c r="BE771" s="1190"/>
      <c r="BF771" s="1190"/>
      <c r="BG771" s="1190"/>
      <c r="BH771" s="1190"/>
      <c r="BI771" s="1190"/>
      <c r="BJ771" s="1190"/>
      <c r="BK771" s="1190"/>
      <c r="BL771" s="1190"/>
      <c r="BM771" s="1190"/>
      <c r="BQ771" s="195"/>
      <c r="BR771" s="195"/>
      <c r="BT771" s="1005"/>
    </row>
    <row r="772" ht="15.75" customHeight="1">
      <c r="A772" s="195"/>
      <c r="B772" s="978"/>
      <c r="C772" s="2321"/>
      <c r="D772" s="1729"/>
      <c r="E772" s="1190"/>
      <c r="F772" s="1190"/>
      <c r="G772" s="1190"/>
      <c r="H772" s="1190"/>
      <c r="I772" s="1190"/>
      <c r="J772" s="1190"/>
      <c r="K772" s="1190"/>
      <c r="L772" s="1190"/>
      <c r="M772" s="1190"/>
      <c r="N772" s="1190"/>
      <c r="O772" s="1190"/>
      <c r="P772" s="1190"/>
      <c r="Q772" s="1190"/>
      <c r="R772" s="1190"/>
      <c r="S772" s="1189"/>
      <c r="T772" s="1190"/>
      <c r="U772" s="1190"/>
      <c r="V772" s="1190"/>
      <c r="W772" s="1190"/>
      <c r="X772" s="1190"/>
      <c r="Y772" s="1190"/>
      <c r="Z772" s="1190"/>
      <c r="AA772" s="1190"/>
      <c r="AB772" s="1190"/>
      <c r="AC772" s="1190"/>
      <c r="AD772" s="1190"/>
      <c r="AE772" s="1190"/>
      <c r="AF772" s="1190"/>
      <c r="AG772" s="1748"/>
      <c r="AH772" s="1190"/>
      <c r="AI772" s="1748"/>
      <c r="AJ772" s="1190"/>
      <c r="AK772" s="1190"/>
      <c r="AL772" s="1190"/>
      <c r="AM772" s="1190"/>
      <c r="AN772" s="1190"/>
      <c r="AO772" s="1190"/>
      <c r="AP772" s="1190"/>
      <c r="AQ772" s="1190"/>
      <c r="AR772" s="1190"/>
      <c r="AS772" s="1190"/>
      <c r="AT772" s="1190"/>
      <c r="AU772" s="1190"/>
      <c r="AV772" s="1190"/>
      <c r="AW772" s="1190"/>
      <c r="AX772" s="1190"/>
      <c r="AY772" s="1190"/>
      <c r="AZ772" s="1190"/>
      <c r="BA772" s="1190"/>
      <c r="BB772" s="1190"/>
      <c r="BC772" s="1190"/>
      <c r="BD772" s="1190"/>
      <c r="BE772" s="1190"/>
      <c r="BF772" s="1190"/>
      <c r="BG772" s="1190"/>
      <c r="BH772" s="1190"/>
      <c r="BI772" s="1190"/>
      <c r="BJ772" s="1190"/>
      <c r="BK772" s="1190"/>
      <c r="BL772" s="1190"/>
      <c r="BM772" s="1190"/>
      <c r="BQ772" s="195"/>
      <c r="BR772" s="195"/>
      <c r="BT772" s="1005"/>
    </row>
    <row r="773" ht="15.75" customHeight="1">
      <c r="A773" s="195"/>
      <c r="B773" s="978"/>
      <c r="C773" s="2321"/>
      <c r="D773" s="1729"/>
      <c r="E773" s="1190"/>
      <c r="F773" s="1190"/>
      <c r="G773" s="1190"/>
      <c r="H773" s="1190"/>
      <c r="I773" s="1190"/>
      <c r="J773" s="1190"/>
      <c r="K773" s="1190"/>
      <c r="L773" s="1190"/>
      <c r="M773" s="1190"/>
      <c r="N773" s="1190"/>
      <c r="O773" s="1190"/>
      <c r="P773" s="1190"/>
      <c r="Q773" s="1190"/>
      <c r="R773" s="1190"/>
      <c r="S773" s="1189"/>
      <c r="T773" s="1190"/>
      <c r="U773" s="1190"/>
      <c r="V773" s="1190"/>
      <c r="W773" s="1190"/>
      <c r="X773" s="1190"/>
      <c r="Y773" s="1190"/>
      <c r="Z773" s="1190"/>
      <c r="AA773" s="1190"/>
      <c r="AB773" s="1190"/>
      <c r="AC773" s="1190"/>
      <c r="AD773" s="1190"/>
      <c r="AE773" s="1190"/>
      <c r="AF773" s="1190"/>
      <c r="AG773" s="1748"/>
      <c r="AH773" s="1190"/>
      <c r="AI773" s="1748"/>
      <c r="AJ773" s="1190"/>
      <c r="AK773" s="1190"/>
      <c r="AL773" s="1190"/>
      <c r="AM773" s="1190"/>
      <c r="AN773" s="1190"/>
      <c r="AO773" s="1190"/>
      <c r="AP773" s="1190"/>
      <c r="AQ773" s="1190"/>
      <c r="AR773" s="1190"/>
      <c r="AS773" s="1190"/>
      <c r="AT773" s="1190"/>
      <c r="AU773" s="1190"/>
      <c r="AV773" s="1190"/>
      <c r="AW773" s="1190"/>
      <c r="AX773" s="1190"/>
      <c r="AY773" s="1190"/>
      <c r="AZ773" s="1190"/>
      <c r="BA773" s="1190"/>
      <c r="BB773" s="1190"/>
      <c r="BC773" s="1190"/>
      <c r="BD773" s="1190"/>
      <c r="BE773" s="1190"/>
      <c r="BF773" s="1190"/>
      <c r="BG773" s="1190"/>
      <c r="BH773" s="1190"/>
      <c r="BI773" s="1190"/>
      <c r="BJ773" s="1190"/>
      <c r="BK773" s="1190"/>
      <c r="BL773" s="1190"/>
      <c r="BM773" s="1190"/>
      <c r="BQ773" s="195"/>
      <c r="BR773" s="195"/>
      <c r="BT773" s="1005"/>
    </row>
    <row r="774" ht="15.75" customHeight="1">
      <c r="A774" s="195"/>
      <c r="B774" s="978"/>
      <c r="C774" s="2321"/>
      <c r="D774" s="1729"/>
      <c r="E774" s="1190"/>
      <c r="F774" s="1190"/>
      <c r="G774" s="1190"/>
      <c r="H774" s="1190"/>
      <c r="I774" s="1190"/>
      <c r="J774" s="1190"/>
      <c r="K774" s="1190"/>
      <c r="L774" s="1190"/>
      <c r="M774" s="1190"/>
      <c r="N774" s="1190"/>
      <c r="O774" s="1190"/>
      <c r="P774" s="1190"/>
      <c r="Q774" s="1190"/>
      <c r="R774" s="1190"/>
      <c r="S774" s="1189"/>
      <c r="T774" s="1190"/>
      <c r="U774" s="1190"/>
      <c r="V774" s="1190"/>
      <c r="W774" s="1190"/>
      <c r="X774" s="1190"/>
      <c r="Y774" s="1190"/>
      <c r="Z774" s="1190"/>
      <c r="AA774" s="1190"/>
      <c r="AB774" s="1190"/>
      <c r="AC774" s="1190"/>
      <c r="AD774" s="1190"/>
      <c r="AE774" s="1190"/>
      <c r="AF774" s="1190"/>
      <c r="AG774" s="1748"/>
      <c r="AH774" s="1190"/>
      <c r="AI774" s="1748"/>
      <c r="AJ774" s="1190"/>
      <c r="AK774" s="1190"/>
      <c r="AL774" s="1190"/>
      <c r="AM774" s="1190"/>
      <c r="AN774" s="1190"/>
      <c r="AO774" s="1190"/>
      <c r="AP774" s="1190"/>
      <c r="AQ774" s="1190"/>
      <c r="AR774" s="1190"/>
      <c r="AS774" s="1190"/>
      <c r="AT774" s="1190"/>
      <c r="AU774" s="1190"/>
      <c r="AV774" s="1190"/>
      <c r="AW774" s="1190"/>
      <c r="AX774" s="1190"/>
      <c r="AY774" s="1190"/>
      <c r="AZ774" s="1190"/>
      <c r="BA774" s="1190"/>
      <c r="BB774" s="1190"/>
      <c r="BC774" s="1190"/>
      <c r="BD774" s="1190"/>
      <c r="BE774" s="1190"/>
      <c r="BF774" s="1190"/>
      <c r="BG774" s="1190"/>
      <c r="BH774" s="1190"/>
      <c r="BI774" s="1190"/>
      <c r="BJ774" s="1190"/>
      <c r="BK774" s="1190"/>
      <c r="BL774" s="1190"/>
      <c r="BM774" s="1190"/>
      <c r="BQ774" s="195"/>
      <c r="BR774" s="195"/>
      <c r="BT774" s="1005"/>
    </row>
    <row r="775" ht="15.75" customHeight="1">
      <c r="A775" s="195"/>
      <c r="B775" s="978"/>
      <c r="C775" s="2321"/>
      <c r="D775" s="1729"/>
      <c r="E775" s="1190"/>
      <c r="F775" s="1190"/>
      <c r="G775" s="1190"/>
      <c r="H775" s="1190"/>
      <c r="I775" s="1190"/>
      <c r="J775" s="1190"/>
      <c r="K775" s="1190"/>
      <c r="L775" s="1190"/>
      <c r="M775" s="1190"/>
      <c r="N775" s="1190"/>
      <c r="O775" s="1190"/>
      <c r="P775" s="1190"/>
      <c r="Q775" s="1190"/>
      <c r="R775" s="1190"/>
      <c r="S775" s="1189"/>
      <c r="T775" s="1190"/>
      <c r="U775" s="1190"/>
      <c r="V775" s="1190"/>
      <c r="W775" s="1190"/>
      <c r="X775" s="1190"/>
      <c r="Y775" s="1190"/>
      <c r="Z775" s="1190"/>
      <c r="AA775" s="1190"/>
      <c r="AB775" s="1190"/>
      <c r="AC775" s="1190"/>
      <c r="AD775" s="1190"/>
      <c r="AE775" s="1190"/>
      <c r="AF775" s="1190"/>
      <c r="AG775" s="1748"/>
      <c r="AH775" s="1190"/>
      <c r="AI775" s="1748"/>
      <c r="AJ775" s="1190"/>
      <c r="AK775" s="1190"/>
      <c r="AL775" s="1190"/>
      <c r="AM775" s="1190"/>
      <c r="AN775" s="1190"/>
      <c r="AO775" s="1190"/>
      <c r="AP775" s="1190"/>
      <c r="AQ775" s="1190"/>
      <c r="AR775" s="1190"/>
      <c r="AS775" s="1190"/>
      <c r="AT775" s="1190"/>
      <c r="AU775" s="1190"/>
      <c r="AV775" s="1190"/>
      <c r="AW775" s="1190"/>
      <c r="AX775" s="1190"/>
      <c r="AY775" s="1190"/>
      <c r="AZ775" s="1190"/>
      <c r="BA775" s="1190"/>
      <c r="BB775" s="1190"/>
      <c r="BC775" s="1190"/>
      <c r="BD775" s="1190"/>
      <c r="BE775" s="1190"/>
      <c r="BF775" s="1190"/>
      <c r="BG775" s="1190"/>
      <c r="BH775" s="1190"/>
      <c r="BI775" s="1190"/>
      <c r="BJ775" s="1190"/>
      <c r="BK775" s="1190"/>
      <c r="BL775" s="1190"/>
      <c r="BM775" s="1190"/>
      <c r="BQ775" s="195"/>
      <c r="BR775" s="195"/>
      <c r="BT775" s="1005"/>
    </row>
    <row r="776" ht="15.75" customHeight="1">
      <c r="A776" s="195"/>
      <c r="B776" s="978"/>
      <c r="C776" s="2321"/>
      <c r="D776" s="1729"/>
      <c r="E776" s="1190"/>
      <c r="F776" s="1190"/>
      <c r="G776" s="1190"/>
      <c r="H776" s="1190"/>
      <c r="I776" s="1190"/>
      <c r="J776" s="1190"/>
      <c r="K776" s="1190"/>
      <c r="L776" s="1190"/>
      <c r="M776" s="1190"/>
      <c r="N776" s="1190"/>
      <c r="O776" s="1190"/>
      <c r="P776" s="1190"/>
      <c r="Q776" s="1190"/>
      <c r="R776" s="1190"/>
      <c r="S776" s="1189"/>
      <c r="T776" s="1190"/>
      <c r="U776" s="1190"/>
      <c r="V776" s="1190"/>
      <c r="W776" s="1190"/>
      <c r="X776" s="1190"/>
      <c r="Y776" s="1190"/>
      <c r="Z776" s="1190"/>
      <c r="AA776" s="1190"/>
      <c r="AB776" s="1190"/>
      <c r="AC776" s="1190"/>
      <c r="AD776" s="1190"/>
      <c r="AE776" s="1190"/>
      <c r="AF776" s="1190"/>
      <c r="AG776" s="1748"/>
      <c r="AH776" s="1190"/>
      <c r="AI776" s="1748"/>
      <c r="AJ776" s="1190"/>
      <c r="AK776" s="1190"/>
      <c r="AL776" s="1190"/>
      <c r="AM776" s="1190"/>
      <c r="AN776" s="1190"/>
      <c r="AO776" s="1190"/>
      <c r="AP776" s="1190"/>
      <c r="AQ776" s="1190"/>
      <c r="AR776" s="1190"/>
      <c r="AS776" s="1190"/>
      <c r="AT776" s="1190"/>
      <c r="AU776" s="1190"/>
      <c r="AV776" s="1190"/>
      <c r="AW776" s="1190"/>
      <c r="AX776" s="1190"/>
      <c r="AY776" s="1190"/>
      <c r="AZ776" s="1190"/>
      <c r="BA776" s="1190"/>
      <c r="BB776" s="1190"/>
      <c r="BC776" s="1190"/>
      <c r="BD776" s="1190"/>
      <c r="BE776" s="1190"/>
      <c r="BF776" s="1190"/>
      <c r="BG776" s="1190"/>
      <c r="BH776" s="1190"/>
      <c r="BI776" s="1190"/>
      <c r="BJ776" s="1190"/>
      <c r="BK776" s="1190"/>
      <c r="BL776" s="1190"/>
      <c r="BM776" s="1190"/>
      <c r="BQ776" s="195"/>
      <c r="BR776" s="195"/>
      <c r="BT776" s="1005"/>
    </row>
    <row r="777" ht="15.75" customHeight="1">
      <c r="A777" s="195"/>
      <c r="B777" s="978"/>
      <c r="C777" s="2321"/>
      <c r="D777" s="1729"/>
      <c r="E777" s="1190"/>
      <c r="F777" s="1190"/>
      <c r="G777" s="1190"/>
      <c r="H777" s="1190"/>
      <c r="I777" s="1190"/>
      <c r="J777" s="1190"/>
      <c r="K777" s="1190"/>
      <c r="L777" s="1190"/>
      <c r="M777" s="1190"/>
      <c r="N777" s="1190"/>
      <c r="O777" s="1190"/>
      <c r="P777" s="1190"/>
      <c r="Q777" s="1190"/>
      <c r="R777" s="1190"/>
      <c r="S777" s="1189"/>
      <c r="T777" s="1190"/>
      <c r="U777" s="1190"/>
      <c r="V777" s="1190"/>
      <c r="W777" s="1190"/>
      <c r="X777" s="1190"/>
      <c r="Y777" s="1190"/>
      <c r="Z777" s="1190"/>
      <c r="AA777" s="1190"/>
      <c r="AB777" s="1190"/>
      <c r="AC777" s="1190"/>
      <c r="AD777" s="1190"/>
      <c r="AE777" s="1190"/>
      <c r="AF777" s="1190"/>
      <c r="AG777" s="1748"/>
      <c r="AH777" s="1190"/>
      <c r="AI777" s="1748"/>
      <c r="AJ777" s="1190"/>
      <c r="AK777" s="1190"/>
      <c r="AL777" s="1190"/>
      <c r="AM777" s="1190"/>
      <c r="AN777" s="1190"/>
      <c r="AO777" s="1190"/>
      <c r="AP777" s="1190"/>
      <c r="AQ777" s="1190"/>
      <c r="AR777" s="1190"/>
      <c r="AS777" s="1190"/>
      <c r="AT777" s="1190"/>
      <c r="AU777" s="1190"/>
      <c r="AV777" s="1190"/>
      <c r="AW777" s="1190"/>
      <c r="AX777" s="1190"/>
      <c r="AY777" s="1190"/>
      <c r="AZ777" s="1190"/>
      <c r="BA777" s="1190"/>
      <c r="BB777" s="1190"/>
      <c r="BC777" s="1190"/>
      <c r="BD777" s="1190"/>
      <c r="BE777" s="1190"/>
      <c r="BF777" s="1190"/>
      <c r="BG777" s="1190"/>
      <c r="BH777" s="1190"/>
      <c r="BI777" s="1190"/>
      <c r="BJ777" s="1190"/>
      <c r="BK777" s="1190"/>
      <c r="BL777" s="1190"/>
      <c r="BM777" s="1190"/>
      <c r="BQ777" s="195"/>
      <c r="BR777" s="195"/>
      <c r="BT777" s="1005"/>
    </row>
    <row r="778" ht="15.75" customHeight="1">
      <c r="A778" s="195"/>
      <c r="B778" s="978"/>
      <c r="C778" s="2321"/>
      <c r="D778" s="1729"/>
      <c r="E778" s="1190"/>
      <c r="F778" s="1190"/>
      <c r="G778" s="1190"/>
      <c r="H778" s="1190"/>
      <c r="I778" s="1190"/>
      <c r="J778" s="1190"/>
      <c r="K778" s="1190"/>
      <c r="L778" s="1190"/>
      <c r="M778" s="1190"/>
      <c r="N778" s="1190"/>
      <c r="O778" s="1190"/>
      <c r="P778" s="1190"/>
      <c r="Q778" s="1190"/>
      <c r="R778" s="1190"/>
      <c r="S778" s="1189"/>
      <c r="T778" s="1190"/>
      <c r="U778" s="1190"/>
      <c r="V778" s="1190"/>
      <c r="W778" s="1190"/>
      <c r="X778" s="1190"/>
      <c r="Y778" s="1190"/>
      <c r="Z778" s="1190"/>
      <c r="AA778" s="1190"/>
      <c r="AB778" s="1190"/>
      <c r="AC778" s="1190"/>
      <c r="AD778" s="1190"/>
      <c r="AE778" s="1190"/>
      <c r="AF778" s="1190"/>
      <c r="AG778" s="1748"/>
      <c r="AH778" s="1190"/>
      <c r="AI778" s="1748"/>
      <c r="AJ778" s="1190"/>
      <c r="AK778" s="1190"/>
      <c r="AL778" s="1190"/>
      <c r="AM778" s="1190"/>
      <c r="AN778" s="1190"/>
      <c r="AO778" s="1190"/>
      <c r="AP778" s="1190"/>
      <c r="AQ778" s="1190"/>
      <c r="AR778" s="1190"/>
      <c r="AS778" s="1190"/>
      <c r="AT778" s="1190"/>
      <c r="AU778" s="1190"/>
      <c r="AV778" s="1190"/>
      <c r="AW778" s="1190"/>
      <c r="AX778" s="1190"/>
      <c r="AY778" s="1190"/>
      <c r="AZ778" s="1190"/>
      <c r="BA778" s="1190"/>
      <c r="BB778" s="1190"/>
      <c r="BC778" s="1190"/>
      <c r="BD778" s="1190"/>
      <c r="BE778" s="1190"/>
      <c r="BF778" s="1190"/>
      <c r="BG778" s="1190"/>
      <c r="BH778" s="1190"/>
      <c r="BI778" s="1190"/>
      <c r="BJ778" s="1190"/>
      <c r="BK778" s="1190"/>
      <c r="BL778" s="1190"/>
      <c r="BM778" s="1190"/>
      <c r="BQ778" s="195"/>
      <c r="BR778" s="195"/>
      <c r="BT778" s="1005"/>
    </row>
    <row r="779" ht="15.75" customHeight="1">
      <c r="A779" s="195"/>
      <c r="B779" s="978"/>
      <c r="C779" s="2321"/>
      <c r="D779" s="1729"/>
      <c r="E779" s="1190"/>
      <c r="F779" s="1190"/>
      <c r="G779" s="1190"/>
      <c r="H779" s="1190"/>
      <c r="I779" s="1190"/>
      <c r="J779" s="1190"/>
      <c r="K779" s="1190"/>
      <c r="L779" s="1190"/>
      <c r="M779" s="1190"/>
      <c r="N779" s="1190"/>
      <c r="O779" s="1190"/>
      <c r="P779" s="1190"/>
      <c r="Q779" s="1190"/>
      <c r="R779" s="1190"/>
      <c r="S779" s="1189"/>
      <c r="T779" s="1190"/>
      <c r="U779" s="1190"/>
      <c r="V779" s="1190"/>
      <c r="W779" s="1190"/>
      <c r="X779" s="1190"/>
      <c r="Y779" s="1190"/>
      <c r="Z779" s="1190"/>
      <c r="AA779" s="1190"/>
      <c r="AB779" s="1190"/>
      <c r="AC779" s="1190"/>
      <c r="AD779" s="1190"/>
      <c r="AE779" s="1190"/>
      <c r="AF779" s="1190"/>
      <c r="AG779" s="1748"/>
      <c r="AH779" s="1190"/>
      <c r="AI779" s="1748"/>
      <c r="AJ779" s="1190"/>
      <c r="AK779" s="1190"/>
      <c r="AL779" s="1190"/>
      <c r="AM779" s="1190"/>
      <c r="AN779" s="1190"/>
      <c r="AO779" s="1190"/>
      <c r="AP779" s="1190"/>
      <c r="AQ779" s="1190"/>
      <c r="AR779" s="1190"/>
      <c r="AS779" s="1190"/>
      <c r="AT779" s="1190"/>
      <c r="AU779" s="1190"/>
      <c r="AV779" s="1190"/>
      <c r="AW779" s="1190"/>
      <c r="AX779" s="1190"/>
      <c r="AY779" s="1190"/>
      <c r="AZ779" s="1190"/>
      <c r="BA779" s="1190"/>
      <c r="BB779" s="1190"/>
      <c r="BC779" s="1190"/>
      <c r="BD779" s="1190"/>
      <c r="BE779" s="1190"/>
      <c r="BF779" s="1190"/>
      <c r="BG779" s="1190"/>
      <c r="BH779" s="1190"/>
      <c r="BI779" s="1190"/>
      <c r="BJ779" s="1190"/>
      <c r="BK779" s="1190"/>
      <c r="BL779" s="1190"/>
      <c r="BM779" s="1190"/>
      <c r="BQ779" s="195"/>
      <c r="BR779" s="195"/>
      <c r="BT779" s="1005"/>
    </row>
    <row r="780" ht="15.75" customHeight="1">
      <c r="A780" s="195"/>
      <c r="B780" s="978"/>
      <c r="C780" s="2321"/>
      <c r="D780" s="1729"/>
      <c r="E780" s="1190"/>
      <c r="F780" s="1190"/>
      <c r="G780" s="1190"/>
      <c r="H780" s="1190"/>
      <c r="I780" s="1190"/>
      <c r="J780" s="1190"/>
      <c r="K780" s="1190"/>
      <c r="L780" s="1190"/>
      <c r="M780" s="1190"/>
      <c r="N780" s="1190"/>
      <c r="O780" s="1190"/>
      <c r="P780" s="1190"/>
      <c r="Q780" s="1190"/>
      <c r="R780" s="1190"/>
      <c r="S780" s="1189"/>
      <c r="T780" s="1190"/>
      <c r="U780" s="1190"/>
      <c r="V780" s="1190"/>
      <c r="W780" s="1190"/>
      <c r="X780" s="1190"/>
      <c r="Y780" s="1190"/>
      <c r="Z780" s="1190"/>
      <c r="AA780" s="1190"/>
      <c r="AB780" s="1190"/>
      <c r="AC780" s="1190"/>
      <c r="AD780" s="1190"/>
      <c r="AE780" s="1190"/>
      <c r="AF780" s="1190"/>
      <c r="AG780" s="1748"/>
      <c r="AH780" s="1190"/>
      <c r="AI780" s="1748"/>
      <c r="AJ780" s="1190"/>
      <c r="AK780" s="1190"/>
      <c r="AL780" s="1190"/>
      <c r="AM780" s="1190"/>
      <c r="AN780" s="1190"/>
      <c r="AO780" s="1190"/>
      <c r="AP780" s="1190"/>
      <c r="AQ780" s="1190"/>
      <c r="AR780" s="1190"/>
      <c r="AS780" s="1190"/>
      <c r="AT780" s="1190"/>
      <c r="AU780" s="1190"/>
      <c r="AV780" s="1190"/>
      <c r="AW780" s="1190"/>
      <c r="AX780" s="1190"/>
      <c r="AY780" s="1190"/>
      <c r="AZ780" s="1190"/>
      <c r="BA780" s="1190"/>
      <c r="BB780" s="1190"/>
      <c r="BC780" s="1190"/>
      <c r="BD780" s="1190"/>
      <c r="BE780" s="1190"/>
      <c r="BF780" s="1190"/>
      <c r="BG780" s="1190"/>
      <c r="BH780" s="1190"/>
      <c r="BI780" s="1190"/>
      <c r="BJ780" s="1190"/>
      <c r="BK780" s="1190"/>
      <c r="BL780" s="1190"/>
      <c r="BM780" s="1190"/>
      <c r="BQ780" s="195"/>
      <c r="BR780" s="195"/>
      <c r="BT780" s="1005"/>
    </row>
    <row r="781" ht="15.75" customHeight="1">
      <c r="A781" s="195"/>
      <c r="B781" s="978"/>
      <c r="C781" s="2321"/>
      <c r="D781" s="1729"/>
      <c r="E781" s="1190"/>
      <c r="F781" s="1190"/>
      <c r="G781" s="1190"/>
      <c r="H781" s="1190"/>
      <c r="I781" s="1190"/>
      <c r="J781" s="1190"/>
      <c r="K781" s="1190"/>
      <c r="L781" s="1190"/>
      <c r="M781" s="1190"/>
      <c r="N781" s="1190"/>
      <c r="O781" s="1190"/>
      <c r="P781" s="1190"/>
      <c r="Q781" s="1190"/>
      <c r="R781" s="1190"/>
      <c r="S781" s="1189"/>
      <c r="T781" s="1190"/>
      <c r="U781" s="1190"/>
      <c r="V781" s="1190"/>
      <c r="W781" s="1190"/>
      <c r="X781" s="1190"/>
      <c r="Y781" s="1190"/>
      <c r="Z781" s="1190"/>
      <c r="AA781" s="1190"/>
      <c r="AB781" s="1190"/>
      <c r="AC781" s="1190"/>
      <c r="AD781" s="1190"/>
      <c r="AE781" s="1190"/>
      <c r="AF781" s="1190"/>
      <c r="AG781" s="1748"/>
      <c r="AH781" s="1190"/>
      <c r="AI781" s="1748"/>
      <c r="AJ781" s="1190"/>
      <c r="AK781" s="1190"/>
      <c r="AL781" s="1190"/>
      <c r="AM781" s="1190"/>
      <c r="AN781" s="1190"/>
      <c r="AO781" s="1190"/>
      <c r="AP781" s="1190"/>
      <c r="AQ781" s="1190"/>
      <c r="AR781" s="1190"/>
      <c r="AS781" s="1190"/>
      <c r="AT781" s="1190"/>
      <c r="AU781" s="1190"/>
      <c r="AV781" s="1190"/>
      <c r="AW781" s="1190"/>
      <c r="AX781" s="1190"/>
      <c r="AY781" s="1190"/>
      <c r="AZ781" s="1190"/>
      <c r="BA781" s="1190"/>
      <c r="BB781" s="1190"/>
      <c r="BC781" s="1190"/>
      <c r="BD781" s="1190"/>
      <c r="BE781" s="1190"/>
      <c r="BF781" s="1190"/>
      <c r="BG781" s="1190"/>
      <c r="BH781" s="1190"/>
      <c r="BI781" s="1190"/>
      <c r="BJ781" s="1190"/>
      <c r="BK781" s="1190"/>
      <c r="BL781" s="1190"/>
      <c r="BM781" s="1190"/>
      <c r="BQ781" s="195"/>
      <c r="BR781" s="195"/>
      <c r="BT781" s="1005"/>
    </row>
    <row r="782" ht="15.75" customHeight="1">
      <c r="A782" s="195"/>
      <c r="B782" s="978"/>
      <c r="C782" s="2321"/>
      <c r="D782" s="1729"/>
      <c r="E782" s="1190"/>
      <c r="F782" s="1190"/>
      <c r="G782" s="1190"/>
      <c r="H782" s="1190"/>
      <c r="I782" s="1190"/>
      <c r="J782" s="1190"/>
      <c r="K782" s="1190"/>
      <c r="L782" s="1190"/>
      <c r="M782" s="1190"/>
      <c r="N782" s="1190"/>
      <c r="O782" s="1190"/>
      <c r="P782" s="1190"/>
      <c r="Q782" s="1190"/>
      <c r="R782" s="1190"/>
      <c r="S782" s="1189"/>
      <c r="T782" s="1190"/>
      <c r="U782" s="1190"/>
      <c r="V782" s="1190"/>
      <c r="W782" s="1190"/>
      <c r="X782" s="1190"/>
      <c r="Y782" s="1190"/>
      <c r="Z782" s="1190"/>
      <c r="AA782" s="1190"/>
      <c r="AB782" s="1190"/>
      <c r="AC782" s="1190"/>
      <c r="AD782" s="1190"/>
      <c r="AE782" s="1190"/>
      <c r="AF782" s="1190"/>
      <c r="AG782" s="1748"/>
      <c r="AH782" s="1190"/>
      <c r="AI782" s="1748"/>
      <c r="AJ782" s="1190"/>
      <c r="AK782" s="1190"/>
      <c r="AL782" s="1190"/>
      <c r="AM782" s="1190"/>
      <c r="AN782" s="1190"/>
      <c r="AO782" s="1190"/>
      <c r="AP782" s="1190"/>
      <c r="AQ782" s="1190"/>
      <c r="AR782" s="1190"/>
      <c r="AS782" s="1190"/>
      <c r="AT782" s="1190"/>
      <c r="AU782" s="1190"/>
      <c r="AV782" s="1190"/>
      <c r="AW782" s="1190"/>
      <c r="AX782" s="1190"/>
      <c r="AY782" s="1190"/>
      <c r="AZ782" s="1190"/>
      <c r="BA782" s="1190"/>
      <c r="BB782" s="1190"/>
      <c r="BC782" s="1190"/>
      <c r="BD782" s="1190"/>
      <c r="BE782" s="1190"/>
      <c r="BF782" s="1190"/>
      <c r="BG782" s="1190"/>
      <c r="BH782" s="1190"/>
      <c r="BI782" s="1190"/>
      <c r="BJ782" s="1190"/>
      <c r="BK782" s="1190"/>
      <c r="BL782" s="1190"/>
      <c r="BM782" s="1190"/>
      <c r="BQ782" s="195"/>
      <c r="BR782" s="195"/>
      <c r="BT782" s="1005"/>
    </row>
    <row r="783" ht="15.75" customHeight="1">
      <c r="A783" s="195"/>
      <c r="B783" s="978"/>
      <c r="C783" s="2321"/>
      <c r="D783" s="1729"/>
      <c r="E783" s="1190"/>
      <c r="F783" s="1190"/>
      <c r="G783" s="1190"/>
      <c r="H783" s="1190"/>
      <c r="I783" s="1190"/>
      <c r="J783" s="1190"/>
      <c r="K783" s="1190"/>
      <c r="L783" s="1190"/>
      <c r="M783" s="1190"/>
      <c r="N783" s="1190"/>
      <c r="O783" s="1190"/>
      <c r="P783" s="1190"/>
      <c r="Q783" s="1190"/>
      <c r="R783" s="1190"/>
      <c r="S783" s="1189"/>
      <c r="T783" s="1190"/>
      <c r="U783" s="1190"/>
      <c r="V783" s="1190"/>
      <c r="W783" s="1190"/>
      <c r="X783" s="1190"/>
      <c r="Y783" s="1190"/>
      <c r="Z783" s="1190"/>
      <c r="AA783" s="1190"/>
      <c r="AB783" s="1190"/>
      <c r="AC783" s="1190"/>
      <c r="AD783" s="1190"/>
      <c r="AE783" s="1190"/>
      <c r="AF783" s="1190"/>
      <c r="AG783" s="1748"/>
      <c r="AH783" s="1190"/>
      <c r="AI783" s="1748"/>
      <c r="AJ783" s="1190"/>
      <c r="AK783" s="1190"/>
      <c r="AL783" s="1190"/>
      <c r="AM783" s="1190"/>
      <c r="AN783" s="1190"/>
      <c r="AO783" s="1190"/>
      <c r="AP783" s="1190"/>
      <c r="AQ783" s="1190"/>
      <c r="AR783" s="1190"/>
      <c r="AS783" s="1190"/>
      <c r="AT783" s="1190"/>
      <c r="AU783" s="1190"/>
      <c r="AV783" s="1190"/>
      <c r="AW783" s="1190"/>
      <c r="AX783" s="1190"/>
      <c r="AY783" s="1190"/>
      <c r="AZ783" s="1190"/>
      <c r="BA783" s="1190"/>
      <c r="BB783" s="1190"/>
      <c r="BC783" s="1190"/>
      <c r="BD783" s="1190"/>
      <c r="BE783" s="1190"/>
      <c r="BF783" s="1190"/>
      <c r="BG783" s="1190"/>
      <c r="BH783" s="1190"/>
      <c r="BI783" s="1190"/>
      <c r="BJ783" s="1190"/>
      <c r="BK783" s="1190"/>
      <c r="BL783" s="1190"/>
      <c r="BM783" s="1190"/>
      <c r="BQ783" s="195"/>
      <c r="BR783" s="195"/>
      <c r="BT783" s="1005"/>
    </row>
    <row r="784" ht="15.75" customHeight="1">
      <c r="A784" s="195"/>
      <c r="B784" s="978"/>
      <c r="C784" s="2321"/>
      <c r="D784" s="1729"/>
      <c r="E784" s="1190"/>
      <c r="F784" s="1190"/>
      <c r="G784" s="1190"/>
      <c r="H784" s="1190"/>
      <c r="I784" s="1190"/>
      <c r="J784" s="1190"/>
      <c r="K784" s="1190"/>
      <c r="L784" s="1190"/>
      <c r="M784" s="1190"/>
      <c r="N784" s="1190"/>
      <c r="O784" s="1190"/>
      <c r="P784" s="1190"/>
      <c r="Q784" s="1190"/>
      <c r="R784" s="1190"/>
      <c r="S784" s="1189"/>
      <c r="T784" s="1190"/>
      <c r="U784" s="1190"/>
      <c r="V784" s="1190"/>
      <c r="W784" s="1190"/>
      <c r="X784" s="1190"/>
      <c r="Y784" s="1190"/>
      <c r="Z784" s="1190"/>
      <c r="AA784" s="1190"/>
      <c r="AB784" s="1190"/>
      <c r="AC784" s="1190"/>
      <c r="AD784" s="1190"/>
      <c r="AE784" s="1190"/>
      <c r="AF784" s="1190"/>
      <c r="AG784" s="1748"/>
      <c r="AH784" s="1190"/>
      <c r="AI784" s="1748"/>
      <c r="AJ784" s="1190"/>
      <c r="AK784" s="1190"/>
      <c r="AL784" s="1190"/>
      <c r="AM784" s="1190"/>
      <c r="AN784" s="1190"/>
      <c r="AO784" s="1190"/>
      <c r="AP784" s="1190"/>
      <c r="AQ784" s="1190"/>
      <c r="AR784" s="1190"/>
      <c r="AS784" s="1190"/>
      <c r="AT784" s="1190"/>
      <c r="AU784" s="1190"/>
      <c r="AV784" s="1190"/>
      <c r="AW784" s="1190"/>
      <c r="AX784" s="1190"/>
      <c r="AY784" s="1190"/>
      <c r="AZ784" s="1190"/>
      <c r="BA784" s="1190"/>
      <c r="BB784" s="1190"/>
      <c r="BC784" s="1190"/>
      <c r="BD784" s="1190"/>
      <c r="BE784" s="1190"/>
      <c r="BF784" s="1190"/>
      <c r="BG784" s="1190"/>
      <c r="BH784" s="1190"/>
      <c r="BI784" s="1190"/>
      <c r="BJ784" s="1190"/>
      <c r="BK784" s="1190"/>
      <c r="BL784" s="1190"/>
      <c r="BM784" s="1190"/>
      <c r="BQ784" s="195"/>
      <c r="BR784" s="195"/>
      <c r="BT784" s="1005"/>
    </row>
    <row r="785" ht="15.75" customHeight="1">
      <c r="A785" s="195"/>
      <c r="B785" s="978"/>
      <c r="C785" s="2321"/>
      <c r="D785" s="1729"/>
      <c r="E785" s="1190"/>
      <c r="F785" s="1190"/>
      <c r="G785" s="1190"/>
      <c r="H785" s="1190"/>
      <c r="I785" s="1190"/>
      <c r="J785" s="1190"/>
      <c r="K785" s="1190"/>
      <c r="L785" s="1190"/>
      <c r="M785" s="1190"/>
      <c r="N785" s="1190"/>
      <c r="O785" s="1190"/>
      <c r="P785" s="1190"/>
      <c r="Q785" s="1190"/>
      <c r="R785" s="1190"/>
      <c r="S785" s="1189"/>
      <c r="T785" s="1190"/>
      <c r="U785" s="1190"/>
      <c r="V785" s="1190"/>
      <c r="W785" s="1190"/>
      <c r="X785" s="1190"/>
      <c r="Y785" s="1190"/>
      <c r="Z785" s="1190"/>
      <c r="AA785" s="1190"/>
      <c r="AB785" s="1190"/>
      <c r="AC785" s="1190"/>
      <c r="AD785" s="1190"/>
      <c r="AE785" s="1190"/>
      <c r="AF785" s="1190"/>
      <c r="AG785" s="1748"/>
      <c r="AH785" s="1190"/>
      <c r="AI785" s="1748"/>
      <c r="AJ785" s="1190"/>
      <c r="AK785" s="1190"/>
      <c r="AL785" s="1190"/>
      <c r="AM785" s="1190"/>
      <c r="AN785" s="1190"/>
      <c r="AO785" s="1190"/>
      <c r="AP785" s="1190"/>
      <c r="AQ785" s="1190"/>
      <c r="AR785" s="1190"/>
      <c r="AS785" s="1190"/>
      <c r="AT785" s="1190"/>
      <c r="AU785" s="1190"/>
      <c r="AV785" s="1190"/>
      <c r="AW785" s="1190"/>
      <c r="AX785" s="1190"/>
      <c r="AY785" s="1190"/>
      <c r="AZ785" s="1190"/>
      <c r="BA785" s="1190"/>
      <c r="BB785" s="1190"/>
      <c r="BC785" s="1190"/>
      <c r="BD785" s="1190"/>
      <c r="BE785" s="1190"/>
      <c r="BF785" s="1190"/>
      <c r="BG785" s="1190"/>
      <c r="BH785" s="1190"/>
      <c r="BI785" s="1190"/>
      <c r="BJ785" s="1190"/>
      <c r="BK785" s="1190"/>
      <c r="BL785" s="1190"/>
      <c r="BM785" s="1190"/>
      <c r="BQ785" s="195"/>
      <c r="BR785" s="195"/>
      <c r="BT785" s="1005"/>
    </row>
    <row r="786" ht="15.75" customHeight="1">
      <c r="A786" s="195"/>
      <c r="B786" s="978"/>
      <c r="C786" s="2321"/>
      <c r="D786" s="1729"/>
      <c r="E786" s="1190"/>
      <c r="F786" s="1190"/>
      <c r="G786" s="1190"/>
      <c r="H786" s="1190"/>
      <c r="I786" s="1190"/>
      <c r="J786" s="1190"/>
      <c r="K786" s="1190"/>
      <c r="L786" s="1190"/>
      <c r="M786" s="1190"/>
      <c r="N786" s="1190"/>
      <c r="O786" s="1190"/>
      <c r="P786" s="1190"/>
      <c r="Q786" s="1190"/>
      <c r="R786" s="1190"/>
      <c r="S786" s="1189"/>
      <c r="T786" s="1190"/>
      <c r="U786" s="1190"/>
      <c r="V786" s="1190"/>
      <c r="W786" s="1190"/>
      <c r="X786" s="1190"/>
      <c r="Y786" s="1190"/>
      <c r="Z786" s="1190"/>
      <c r="AA786" s="1190"/>
      <c r="AB786" s="1190"/>
      <c r="AC786" s="1190"/>
      <c r="AD786" s="1190"/>
      <c r="AE786" s="1190"/>
      <c r="AF786" s="1190"/>
      <c r="AG786" s="1748"/>
      <c r="AH786" s="1190"/>
      <c r="AI786" s="1748"/>
      <c r="AJ786" s="1190"/>
      <c r="AK786" s="1190"/>
      <c r="AL786" s="1190"/>
      <c r="AM786" s="1190"/>
      <c r="AN786" s="1190"/>
      <c r="AO786" s="1190"/>
      <c r="AP786" s="1190"/>
      <c r="AQ786" s="1190"/>
      <c r="AR786" s="1190"/>
      <c r="AS786" s="1190"/>
      <c r="AT786" s="1190"/>
      <c r="AU786" s="1190"/>
      <c r="AV786" s="1190"/>
      <c r="AW786" s="1190"/>
      <c r="AX786" s="1190"/>
      <c r="AY786" s="1190"/>
      <c r="AZ786" s="1190"/>
      <c r="BA786" s="1190"/>
      <c r="BB786" s="1190"/>
      <c r="BC786" s="1190"/>
      <c r="BD786" s="1190"/>
      <c r="BE786" s="1190"/>
      <c r="BF786" s="1190"/>
      <c r="BG786" s="1190"/>
      <c r="BH786" s="1190"/>
      <c r="BI786" s="1190"/>
      <c r="BJ786" s="1190"/>
      <c r="BK786" s="1190"/>
      <c r="BL786" s="1190"/>
      <c r="BM786" s="1190"/>
      <c r="BQ786" s="195"/>
      <c r="BR786" s="195"/>
      <c r="BT786" s="1005"/>
    </row>
    <row r="787" ht="15.75" customHeight="1">
      <c r="A787" s="195"/>
      <c r="B787" s="978"/>
      <c r="C787" s="2321"/>
      <c r="D787" s="1729"/>
      <c r="E787" s="1190"/>
      <c r="F787" s="1190"/>
      <c r="G787" s="1190"/>
      <c r="H787" s="1190"/>
      <c r="I787" s="1190"/>
      <c r="J787" s="1190"/>
      <c r="K787" s="1190"/>
      <c r="L787" s="1190"/>
      <c r="M787" s="1190"/>
      <c r="N787" s="1190"/>
      <c r="O787" s="1190"/>
      <c r="P787" s="1190"/>
      <c r="Q787" s="1190"/>
      <c r="R787" s="1190"/>
      <c r="S787" s="1189"/>
      <c r="T787" s="1190"/>
      <c r="U787" s="1190"/>
      <c r="V787" s="1190"/>
      <c r="W787" s="1190"/>
      <c r="X787" s="1190"/>
      <c r="Y787" s="1190"/>
      <c r="Z787" s="1190"/>
      <c r="AA787" s="1190"/>
      <c r="AB787" s="1190"/>
      <c r="AC787" s="1190"/>
      <c r="AD787" s="1190"/>
      <c r="AE787" s="1190"/>
      <c r="AF787" s="1190"/>
      <c r="AG787" s="1748"/>
      <c r="AH787" s="1190"/>
      <c r="AI787" s="1748"/>
      <c r="AJ787" s="1190"/>
      <c r="AK787" s="1190"/>
      <c r="AL787" s="1190"/>
      <c r="AM787" s="1190"/>
      <c r="AN787" s="1190"/>
      <c r="AO787" s="1190"/>
      <c r="AP787" s="1190"/>
      <c r="AQ787" s="1190"/>
      <c r="AR787" s="1190"/>
      <c r="AS787" s="1190"/>
      <c r="AT787" s="1190"/>
      <c r="AU787" s="1190"/>
      <c r="AV787" s="1190"/>
      <c r="AW787" s="1190"/>
      <c r="AX787" s="1190"/>
      <c r="AY787" s="1190"/>
      <c r="AZ787" s="1190"/>
      <c r="BA787" s="1190"/>
      <c r="BB787" s="1190"/>
      <c r="BC787" s="1190"/>
      <c r="BD787" s="1190"/>
      <c r="BE787" s="1190"/>
      <c r="BF787" s="1190"/>
      <c r="BG787" s="1190"/>
      <c r="BH787" s="1190"/>
      <c r="BI787" s="1190"/>
      <c r="BJ787" s="1190"/>
      <c r="BK787" s="1190"/>
      <c r="BL787" s="1190"/>
      <c r="BM787" s="1190"/>
      <c r="BQ787" s="195"/>
      <c r="BR787" s="195"/>
      <c r="BT787" s="1005"/>
    </row>
    <row r="788" ht="15.75" customHeight="1">
      <c r="A788" s="195"/>
      <c r="B788" s="978"/>
      <c r="C788" s="2321"/>
      <c r="D788" s="1729"/>
      <c r="E788" s="1190"/>
      <c r="F788" s="1190"/>
      <c r="G788" s="1190"/>
      <c r="H788" s="1190"/>
      <c r="I788" s="1190"/>
      <c r="J788" s="1190"/>
      <c r="K788" s="1190"/>
      <c r="L788" s="1190"/>
      <c r="M788" s="1190"/>
      <c r="N788" s="1190"/>
      <c r="O788" s="1190"/>
      <c r="P788" s="1190"/>
      <c r="Q788" s="1190"/>
      <c r="R788" s="1190"/>
      <c r="S788" s="1189"/>
      <c r="T788" s="1190"/>
      <c r="U788" s="1190"/>
      <c r="V788" s="1190"/>
      <c r="W788" s="1190"/>
      <c r="X788" s="1190"/>
      <c r="Y788" s="1190"/>
      <c r="Z788" s="1190"/>
      <c r="AA788" s="1190"/>
      <c r="AB788" s="1190"/>
      <c r="AC788" s="1190"/>
      <c r="AD788" s="1190"/>
      <c r="AE788" s="1190"/>
      <c r="AF788" s="1190"/>
      <c r="AG788" s="1748"/>
      <c r="AH788" s="1190"/>
      <c r="AI788" s="1748"/>
      <c r="AJ788" s="1190"/>
      <c r="AK788" s="1190"/>
      <c r="AL788" s="1190"/>
      <c r="AM788" s="1190"/>
      <c r="AN788" s="1190"/>
      <c r="AO788" s="1190"/>
      <c r="AP788" s="1190"/>
      <c r="AQ788" s="1190"/>
      <c r="AR788" s="1190"/>
      <c r="AS788" s="1190"/>
      <c r="AT788" s="1190"/>
      <c r="AU788" s="1190"/>
      <c r="AV788" s="1190"/>
      <c r="AW788" s="1190"/>
      <c r="AX788" s="1190"/>
      <c r="AY788" s="1190"/>
      <c r="AZ788" s="1190"/>
      <c r="BA788" s="1190"/>
      <c r="BB788" s="1190"/>
      <c r="BC788" s="1190"/>
      <c r="BD788" s="1190"/>
      <c r="BE788" s="1190"/>
      <c r="BF788" s="1190"/>
      <c r="BG788" s="1190"/>
      <c r="BH788" s="1190"/>
      <c r="BI788" s="1190"/>
      <c r="BJ788" s="1190"/>
      <c r="BK788" s="1190"/>
      <c r="BL788" s="1190"/>
      <c r="BM788" s="1190"/>
      <c r="BQ788" s="195"/>
      <c r="BR788" s="195"/>
      <c r="BT788" s="1005"/>
    </row>
    <row r="789" ht="15.75" customHeight="1">
      <c r="A789" s="195"/>
      <c r="B789" s="978"/>
      <c r="C789" s="2321"/>
      <c r="D789" s="1729"/>
      <c r="E789" s="1190"/>
      <c r="F789" s="1190"/>
      <c r="G789" s="1190"/>
      <c r="H789" s="1190"/>
      <c r="I789" s="1190"/>
      <c r="J789" s="1190"/>
      <c r="K789" s="1190"/>
      <c r="L789" s="1190"/>
      <c r="M789" s="1190"/>
      <c r="N789" s="1190"/>
      <c r="O789" s="1190"/>
      <c r="P789" s="1190"/>
      <c r="Q789" s="1190"/>
      <c r="R789" s="1190"/>
      <c r="S789" s="1189"/>
      <c r="T789" s="1190"/>
      <c r="U789" s="1190"/>
      <c r="V789" s="1190"/>
      <c r="W789" s="1190"/>
      <c r="X789" s="1190"/>
      <c r="Y789" s="1190"/>
      <c r="Z789" s="1190"/>
      <c r="AA789" s="1190"/>
      <c r="AB789" s="1190"/>
      <c r="AC789" s="1190"/>
      <c r="AD789" s="1190"/>
      <c r="AE789" s="1190"/>
      <c r="AF789" s="1190"/>
      <c r="AG789" s="1748"/>
      <c r="AH789" s="1190"/>
      <c r="AI789" s="1748"/>
      <c r="AJ789" s="1190"/>
      <c r="AK789" s="1190"/>
      <c r="AL789" s="1190"/>
      <c r="AM789" s="1190"/>
      <c r="AN789" s="1190"/>
      <c r="AO789" s="1190"/>
      <c r="AP789" s="1190"/>
      <c r="AQ789" s="1190"/>
      <c r="AR789" s="1190"/>
      <c r="AS789" s="1190"/>
      <c r="AT789" s="1190"/>
      <c r="AU789" s="1190"/>
      <c r="AV789" s="1190"/>
      <c r="AW789" s="1190"/>
      <c r="AX789" s="1190"/>
      <c r="AY789" s="1190"/>
      <c r="AZ789" s="1190"/>
      <c r="BA789" s="1190"/>
      <c r="BB789" s="1190"/>
      <c r="BC789" s="1190"/>
      <c r="BD789" s="1190"/>
      <c r="BE789" s="1190"/>
      <c r="BF789" s="1190"/>
      <c r="BG789" s="1190"/>
      <c r="BH789" s="1190"/>
      <c r="BI789" s="1190"/>
      <c r="BJ789" s="1190"/>
      <c r="BK789" s="1190"/>
      <c r="BL789" s="1190"/>
      <c r="BM789" s="1190"/>
      <c r="BQ789" s="195"/>
      <c r="BR789" s="195"/>
      <c r="BT789" s="1005"/>
    </row>
    <row r="790" ht="15.75" customHeight="1">
      <c r="A790" s="195"/>
      <c r="B790" s="978"/>
      <c r="C790" s="2321"/>
      <c r="D790" s="1729"/>
      <c r="E790" s="1190"/>
      <c r="F790" s="1190"/>
      <c r="G790" s="1190"/>
      <c r="H790" s="1190"/>
      <c r="I790" s="1190"/>
      <c r="J790" s="1190"/>
      <c r="K790" s="1190"/>
      <c r="L790" s="1190"/>
      <c r="M790" s="1190"/>
      <c r="N790" s="1190"/>
      <c r="O790" s="1190"/>
      <c r="P790" s="1190"/>
      <c r="Q790" s="1190"/>
      <c r="R790" s="1190"/>
      <c r="S790" s="1189"/>
      <c r="T790" s="1190"/>
      <c r="U790" s="1190"/>
      <c r="V790" s="1190"/>
      <c r="W790" s="1190"/>
      <c r="X790" s="1190"/>
      <c r="Y790" s="1190"/>
      <c r="Z790" s="1190"/>
      <c r="AA790" s="1190"/>
      <c r="AB790" s="1190"/>
      <c r="AC790" s="1190"/>
      <c r="AD790" s="1190"/>
      <c r="AE790" s="1190"/>
      <c r="AF790" s="1190"/>
      <c r="AG790" s="1748"/>
      <c r="AH790" s="1190"/>
      <c r="AI790" s="1748"/>
      <c r="AJ790" s="1190"/>
      <c r="AK790" s="1190"/>
      <c r="AL790" s="1190"/>
      <c r="AM790" s="1190"/>
      <c r="AN790" s="1190"/>
      <c r="AO790" s="1190"/>
      <c r="AP790" s="1190"/>
      <c r="AQ790" s="1190"/>
      <c r="AR790" s="1190"/>
      <c r="AS790" s="1190"/>
      <c r="AT790" s="1190"/>
      <c r="AU790" s="1190"/>
      <c r="AV790" s="1190"/>
      <c r="AW790" s="1190"/>
      <c r="AX790" s="1190"/>
      <c r="AY790" s="1190"/>
      <c r="AZ790" s="1190"/>
      <c r="BA790" s="1190"/>
      <c r="BB790" s="1190"/>
      <c r="BC790" s="1190"/>
      <c r="BD790" s="1190"/>
      <c r="BE790" s="1190"/>
      <c r="BF790" s="1190"/>
      <c r="BG790" s="1190"/>
      <c r="BH790" s="1190"/>
      <c r="BI790" s="1190"/>
      <c r="BJ790" s="1190"/>
      <c r="BK790" s="1190"/>
      <c r="BL790" s="1190"/>
      <c r="BM790" s="1190"/>
      <c r="BQ790" s="195"/>
      <c r="BR790" s="195"/>
      <c r="BT790" s="1005"/>
    </row>
    <row r="791" ht="15.75" customHeight="1">
      <c r="A791" s="195"/>
      <c r="B791" s="978"/>
      <c r="C791" s="2321"/>
      <c r="D791" s="1729"/>
      <c r="E791" s="1190"/>
      <c r="F791" s="1190"/>
      <c r="G791" s="1190"/>
      <c r="H791" s="1190"/>
      <c r="I791" s="1190"/>
      <c r="J791" s="1190"/>
      <c r="K791" s="1190"/>
      <c r="L791" s="1190"/>
      <c r="M791" s="1190"/>
      <c r="N791" s="1190"/>
      <c r="O791" s="1190"/>
      <c r="P791" s="1190"/>
      <c r="Q791" s="1190"/>
      <c r="R791" s="1190"/>
      <c r="S791" s="1189"/>
      <c r="T791" s="1190"/>
      <c r="U791" s="1190"/>
      <c r="V791" s="1190"/>
      <c r="W791" s="1190"/>
      <c r="X791" s="1190"/>
      <c r="Y791" s="1190"/>
      <c r="Z791" s="1190"/>
      <c r="AA791" s="1190"/>
      <c r="AB791" s="1190"/>
      <c r="AC791" s="1190"/>
      <c r="AD791" s="1190"/>
      <c r="AE791" s="1190"/>
      <c r="AF791" s="1190"/>
      <c r="AG791" s="1748"/>
      <c r="AH791" s="1190"/>
      <c r="AI791" s="1748"/>
      <c r="AJ791" s="1190"/>
      <c r="AK791" s="1190"/>
      <c r="AL791" s="1190"/>
      <c r="AM791" s="1190"/>
      <c r="AN791" s="1190"/>
      <c r="AO791" s="1190"/>
      <c r="AP791" s="1190"/>
      <c r="AQ791" s="1190"/>
      <c r="AR791" s="1190"/>
      <c r="AS791" s="1190"/>
      <c r="AT791" s="1190"/>
      <c r="AU791" s="1190"/>
      <c r="AV791" s="1190"/>
      <c r="AW791" s="1190"/>
      <c r="AX791" s="1190"/>
      <c r="AY791" s="1190"/>
      <c r="AZ791" s="1190"/>
      <c r="BA791" s="1190"/>
      <c r="BB791" s="1190"/>
      <c r="BC791" s="1190"/>
      <c r="BD791" s="1190"/>
      <c r="BE791" s="1190"/>
      <c r="BF791" s="1190"/>
      <c r="BG791" s="1190"/>
      <c r="BH791" s="1190"/>
      <c r="BI791" s="1190"/>
      <c r="BJ791" s="1190"/>
      <c r="BK791" s="1190"/>
      <c r="BL791" s="1190"/>
      <c r="BM791" s="1190"/>
      <c r="BQ791" s="195"/>
      <c r="BR791" s="195"/>
      <c r="BT791" s="1005"/>
    </row>
    <row r="792" ht="15.75" customHeight="1">
      <c r="A792" s="195"/>
      <c r="B792" s="978"/>
      <c r="C792" s="2321"/>
      <c r="D792" s="1729"/>
      <c r="E792" s="1190"/>
      <c r="F792" s="1190"/>
      <c r="G792" s="1190"/>
      <c r="H792" s="1190"/>
      <c r="I792" s="1190"/>
      <c r="J792" s="1190"/>
      <c r="K792" s="1190"/>
      <c r="L792" s="1190"/>
      <c r="M792" s="1190"/>
      <c r="N792" s="1190"/>
      <c r="O792" s="1190"/>
      <c r="P792" s="1190"/>
      <c r="Q792" s="1190"/>
      <c r="R792" s="1190"/>
      <c r="S792" s="1189"/>
      <c r="T792" s="1190"/>
      <c r="U792" s="1190"/>
      <c r="V792" s="1190"/>
      <c r="W792" s="1190"/>
      <c r="X792" s="1190"/>
      <c r="Y792" s="1190"/>
      <c r="Z792" s="1190"/>
      <c r="AA792" s="1190"/>
      <c r="AB792" s="1190"/>
      <c r="AC792" s="1190"/>
      <c r="AD792" s="1190"/>
      <c r="AE792" s="1190"/>
      <c r="AF792" s="1190"/>
      <c r="AG792" s="1748"/>
      <c r="AH792" s="1190"/>
      <c r="AI792" s="1748"/>
      <c r="AJ792" s="1190"/>
      <c r="AK792" s="1190"/>
      <c r="AL792" s="1190"/>
      <c r="AM792" s="1190"/>
      <c r="AN792" s="1190"/>
      <c r="AO792" s="1190"/>
      <c r="AP792" s="1190"/>
      <c r="AQ792" s="1190"/>
      <c r="AR792" s="1190"/>
      <c r="AS792" s="1190"/>
      <c r="AT792" s="1190"/>
      <c r="AU792" s="1190"/>
      <c r="AV792" s="1190"/>
      <c r="AW792" s="1190"/>
      <c r="AX792" s="1190"/>
      <c r="AY792" s="1190"/>
      <c r="AZ792" s="1190"/>
      <c r="BA792" s="1190"/>
      <c r="BB792" s="1190"/>
      <c r="BC792" s="1190"/>
      <c r="BD792" s="1190"/>
      <c r="BE792" s="1190"/>
      <c r="BF792" s="1190"/>
      <c r="BG792" s="1190"/>
      <c r="BH792" s="1190"/>
      <c r="BI792" s="1190"/>
      <c r="BJ792" s="1190"/>
      <c r="BK792" s="1190"/>
      <c r="BL792" s="1190"/>
      <c r="BM792" s="1190"/>
      <c r="BQ792" s="195"/>
      <c r="BR792" s="195"/>
      <c r="BT792" s="1005"/>
    </row>
    <row r="793" ht="15.75" customHeight="1">
      <c r="A793" s="195"/>
      <c r="B793" s="978"/>
      <c r="C793" s="2321"/>
      <c r="D793" s="1729"/>
      <c r="E793" s="1190"/>
      <c r="F793" s="1190"/>
      <c r="G793" s="1190"/>
      <c r="H793" s="1190"/>
      <c r="I793" s="1190"/>
      <c r="J793" s="1190"/>
      <c r="K793" s="1190"/>
      <c r="L793" s="1190"/>
      <c r="M793" s="1190"/>
      <c r="N793" s="1190"/>
      <c r="O793" s="1190"/>
      <c r="P793" s="1190"/>
      <c r="Q793" s="1190"/>
      <c r="R793" s="1190"/>
      <c r="S793" s="1189"/>
      <c r="T793" s="1190"/>
      <c r="U793" s="1190"/>
      <c r="V793" s="1190"/>
      <c r="W793" s="1190"/>
      <c r="X793" s="1190"/>
      <c r="Y793" s="1190"/>
      <c r="Z793" s="1190"/>
      <c r="AA793" s="1190"/>
      <c r="AB793" s="1190"/>
      <c r="AC793" s="1190"/>
      <c r="AD793" s="1190"/>
      <c r="AE793" s="1190"/>
      <c r="AF793" s="1190"/>
      <c r="AG793" s="1748"/>
      <c r="AH793" s="1190"/>
      <c r="AI793" s="1748"/>
      <c r="AJ793" s="1190"/>
      <c r="AK793" s="1190"/>
      <c r="AL793" s="1190"/>
      <c r="AM793" s="1190"/>
      <c r="AN793" s="1190"/>
      <c r="AO793" s="1190"/>
      <c r="AP793" s="1190"/>
      <c r="AQ793" s="1190"/>
      <c r="AR793" s="1190"/>
      <c r="AS793" s="1190"/>
      <c r="AT793" s="1190"/>
      <c r="AU793" s="1190"/>
      <c r="AV793" s="1190"/>
      <c r="AW793" s="1190"/>
      <c r="AX793" s="1190"/>
      <c r="AY793" s="1190"/>
      <c r="AZ793" s="1190"/>
      <c r="BA793" s="1190"/>
      <c r="BB793" s="1190"/>
      <c r="BC793" s="1190"/>
      <c r="BD793" s="1190"/>
      <c r="BE793" s="1190"/>
      <c r="BF793" s="1190"/>
      <c r="BG793" s="1190"/>
      <c r="BH793" s="1190"/>
      <c r="BI793" s="1190"/>
      <c r="BJ793" s="1190"/>
      <c r="BK793" s="1190"/>
      <c r="BL793" s="1190"/>
      <c r="BM793" s="1190"/>
      <c r="BQ793" s="195"/>
      <c r="BR793" s="195"/>
      <c r="BT793" s="1005"/>
    </row>
    <row r="794" ht="15.75" customHeight="1">
      <c r="A794" s="195"/>
      <c r="B794" s="978"/>
      <c r="C794" s="2321"/>
      <c r="D794" s="1729"/>
      <c r="E794" s="1190"/>
      <c r="F794" s="1190"/>
      <c r="G794" s="1190"/>
      <c r="H794" s="1190"/>
      <c r="I794" s="1190"/>
      <c r="J794" s="1190"/>
      <c r="K794" s="1190"/>
      <c r="L794" s="1190"/>
      <c r="M794" s="1190"/>
      <c r="N794" s="1190"/>
      <c r="O794" s="1190"/>
      <c r="P794" s="1190"/>
      <c r="Q794" s="1190"/>
      <c r="R794" s="1190"/>
      <c r="S794" s="1189"/>
      <c r="T794" s="1190"/>
      <c r="U794" s="1190"/>
      <c r="V794" s="1190"/>
      <c r="W794" s="1190"/>
      <c r="X794" s="1190"/>
      <c r="Y794" s="1190"/>
      <c r="Z794" s="1190"/>
      <c r="AA794" s="1190"/>
      <c r="AB794" s="1190"/>
      <c r="AC794" s="1190"/>
      <c r="AD794" s="1190"/>
      <c r="AE794" s="1190"/>
      <c r="AF794" s="1190"/>
      <c r="AG794" s="1748"/>
      <c r="AH794" s="1190"/>
      <c r="AI794" s="1748"/>
      <c r="AJ794" s="1190"/>
      <c r="AK794" s="1190"/>
      <c r="AL794" s="1190"/>
      <c r="AM794" s="1190"/>
      <c r="AN794" s="1190"/>
      <c r="AO794" s="1190"/>
      <c r="AP794" s="1190"/>
      <c r="AQ794" s="1190"/>
      <c r="AR794" s="1190"/>
      <c r="AS794" s="1190"/>
      <c r="AT794" s="1190"/>
      <c r="AU794" s="1190"/>
      <c r="AV794" s="1190"/>
      <c r="AW794" s="1190"/>
      <c r="AX794" s="1190"/>
      <c r="AY794" s="1190"/>
      <c r="AZ794" s="1190"/>
      <c r="BA794" s="1190"/>
      <c r="BB794" s="1190"/>
      <c r="BC794" s="1190"/>
      <c r="BD794" s="1190"/>
      <c r="BE794" s="1190"/>
      <c r="BF794" s="1190"/>
      <c r="BG794" s="1190"/>
      <c r="BH794" s="1190"/>
      <c r="BI794" s="1190"/>
      <c r="BJ794" s="1190"/>
      <c r="BK794" s="1190"/>
      <c r="BL794" s="1190"/>
      <c r="BM794" s="1190"/>
      <c r="BQ794" s="195"/>
      <c r="BR794" s="195"/>
      <c r="BT794" s="1005"/>
    </row>
    <row r="795" ht="15.75" customHeight="1">
      <c r="A795" s="195"/>
      <c r="B795" s="978"/>
      <c r="C795" s="2321"/>
      <c r="D795" s="1729"/>
      <c r="E795" s="1190"/>
      <c r="F795" s="1190"/>
      <c r="G795" s="1190"/>
      <c r="H795" s="1190"/>
      <c r="I795" s="1190"/>
      <c r="J795" s="1190"/>
      <c r="K795" s="1190"/>
      <c r="L795" s="1190"/>
      <c r="M795" s="1190"/>
      <c r="N795" s="1190"/>
      <c r="O795" s="1190"/>
      <c r="P795" s="1190"/>
      <c r="Q795" s="1190"/>
      <c r="R795" s="1190"/>
      <c r="S795" s="1189"/>
      <c r="T795" s="1190"/>
      <c r="U795" s="1190"/>
      <c r="V795" s="1190"/>
      <c r="W795" s="1190"/>
      <c r="X795" s="1190"/>
      <c r="Y795" s="1190"/>
      <c r="Z795" s="1190"/>
      <c r="AA795" s="1190"/>
      <c r="AB795" s="1190"/>
      <c r="AC795" s="1190"/>
      <c r="AD795" s="1190"/>
      <c r="AE795" s="1190"/>
      <c r="AF795" s="1190"/>
      <c r="AG795" s="1748"/>
      <c r="AH795" s="1190"/>
      <c r="AI795" s="1748"/>
      <c r="AJ795" s="1190"/>
      <c r="AK795" s="1190"/>
      <c r="AL795" s="1190"/>
      <c r="AM795" s="1190"/>
      <c r="AN795" s="1190"/>
      <c r="AO795" s="1190"/>
      <c r="AP795" s="1190"/>
      <c r="AQ795" s="1190"/>
      <c r="AR795" s="1190"/>
      <c r="AS795" s="1190"/>
      <c r="AT795" s="1190"/>
      <c r="AU795" s="1190"/>
      <c r="AV795" s="1190"/>
      <c r="AW795" s="1190"/>
      <c r="AX795" s="1190"/>
      <c r="AY795" s="1190"/>
      <c r="AZ795" s="1190"/>
      <c r="BA795" s="1190"/>
      <c r="BB795" s="1190"/>
      <c r="BC795" s="1190"/>
      <c r="BD795" s="1190"/>
      <c r="BE795" s="1190"/>
      <c r="BF795" s="1190"/>
      <c r="BG795" s="1190"/>
      <c r="BH795" s="1190"/>
      <c r="BI795" s="1190"/>
      <c r="BJ795" s="1190"/>
      <c r="BK795" s="1190"/>
      <c r="BL795" s="1190"/>
      <c r="BM795" s="1190"/>
      <c r="BQ795" s="195"/>
      <c r="BR795" s="195"/>
      <c r="BT795" s="1005"/>
    </row>
    <row r="796" ht="15.75" customHeight="1">
      <c r="A796" s="195"/>
      <c r="B796" s="978"/>
      <c r="C796" s="2321"/>
      <c r="D796" s="1729"/>
      <c r="E796" s="1190"/>
      <c r="F796" s="1190"/>
      <c r="G796" s="1190"/>
      <c r="H796" s="1190"/>
      <c r="I796" s="1190"/>
      <c r="J796" s="1190"/>
      <c r="K796" s="1190"/>
      <c r="L796" s="1190"/>
      <c r="M796" s="1190"/>
      <c r="N796" s="1190"/>
      <c r="O796" s="1190"/>
      <c r="P796" s="1190"/>
      <c r="Q796" s="1190"/>
      <c r="R796" s="1190"/>
      <c r="S796" s="1189"/>
      <c r="T796" s="1190"/>
      <c r="U796" s="1190"/>
      <c r="V796" s="1190"/>
      <c r="W796" s="1190"/>
      <c r="X796" s="1190"/>
      <c r="Y796" s="1190"/>
      <c r="Z796" s="1190"/>
      <c r="AA796" s="1190"/>
      <c r="AB796" s="1190"/>
      <c r="AC796" s="1190"/>
      <c r="AD796" s="1190"/>
      <c r="AE796" s="1190"/>
      <c r="AF796" s="1190"/>
      <c r="AG796" s="1748"/>
      <c r="AH796" s="1190"/>
      <c r="AI796" s="1748"/>
      <c r="AJ796" s="1190"/>
      <c r="AK796" s="1190"/>
      <c r="AL796" s="1190"/>
      <c r="AM796" s="1190"/>
      <c r="AN796" s="1190"/>
      <c r="AO796" s="1190"/>
      <c r="AP796" s="1190"/>
      <c r="AQ796" s="1190"/>
      <c r="AR796" s="1190"/>
      <c r="AS796" s="1190"/>
      <c r="AT796" s="1190"/>
      <c r="AU796" s="1190"/>
      <c r="AV796" s="1190"/>
      <c r="AW796" s="1190"/>
      <c r="AX796" s="1190"/>
      <c r="AY796" s="1190"/>
      <c r="AZ796" s="1190"/>
      <c r="BA796" s="1190"/>
      <c r="BB796" s="1190"/>
      <c r="BC796" s="1190"/>
      <c r="BD796" s="1190"/>
      <c r="BE796" s="1190"/>
      <c r="BF796" s="1190"/>
      <c r="BG796" s="1190"/>
      <c r="BH796" s="1190"/>
      <c r="BI796" s="1190"/>
      <c r="BJ796" s="1190"/>
      <c r="BK796" s="1190"/>
      <c r="BL796" s="1190"/>
      <c r="BM796" s="1190"/>
      <c r="BQ796" s="195"/>
      <c r="BR796" s="195"/>
      <c r="BT796" s="1005"/>
    </row>
    <row r="797" ht="15.75" customHeight="1">
      <c r="A797" s="195"/>
      <c r="B797" s="978"/>
      <c r="C797" s="2321"/>
      <c r="D797" s="1729"/>
      <c r="E797" s="1190"/>
      <c r="F797" s="1190"/>
      <c r="G797" s="1190"/>
      <c r="H797" s="1190"/>
      <c r="I797" s="1190"/>
      <c r="J797" s="1190"/>
      <c r="K797" s="1190"/>
      <c r="L797" s="1190"/>
      <c r="M797" s="1190"/>
      <c r="N797" s="1190"/>
      <c r="O797" s="1190"/>
      <c r="P797" s="1190"/>
      <c r="Q797" s="1190"/>
      <c r="R797" s="1190"/>
      <c r="S797" s="1189"/>
      <c r="T797" s="1190"/>
      <c r="U797" s="1190"/>
      <c r="V797" s="1190"/>
      <c r="W797" s="1190"/>
      <c r="X797" s="1190"/>
      <c r="Y797" s="1190"/>
      <c r="Z797" s="1190"/>
      <c r="AA797" s="1190"/>
      <c r="AB797" s="1190"/>
      <c r="AC797" s="1190"/>
      <c r="AD797" s="1190"/>
      <c r="AE797" s="1190"/>
      <c r="AF797" s="1190"/>
      <c r="AG797" s="1748"/>
      <c r="AH797" s="1190"/>
      <c r="AI797" s="1748"/>
      <c r="AJ797" s="1190"/>
      <c r="AK797" s="1190"/>
      <c r="AL797" s="1190"/>
      <c r="AM797" s="1190"/>
      <c r="AN797" s="1190"/>
      <c r="AO797" s="1190"/>
      <c r="AP797" s="1190"/>
      <c r="AQ797" s="1190"/>
      <c r="AR797" s="1190"/>
      <c r="AS797" s="1190"/>
      <c r="AT797" s="1190"/>
      <c r="AU797" s="1190"/>
      <c r="AV797" s="1190"/>
      <c r="AW797" s="1190"/>
      <c r="AX797" s="1190"/>
      <c r="AY797" s="1190"/>
      <c r="AZ797" s="1190"/>
      <c r="BA797" s="1190"/>
      <c r="BB797" s="1190"/>
      <c r="BC797" s="1190"/>
      <c r="BD797" s="1190"/>
      <c r="BE797" s="1190"/>
      <c r="BF797" s="1190"/>
      <c r="BG797" s="1190"/>
      <c r="BH797" s="1190"/>
      <c r="BI797" s="1190"/>
      <c r="BJ797" s="1190"/>
      <c r="BK797" s="1190"/>
      <c r="BL797" s="1190"/>
      <c r="BM797" s="1190"/>
      <c r="BQ797" s="195"/>
      <c r="BR797" s="195"/>
      <c r="BT797" s="1005"/>
    </row>
    <row r="798" ht="15.75" customHeight="1">
      <c r="A798" s="195"/>
      <c r="B798" s="978"/>
      <c r="C798" s="2321"/>
      <c r="D798" s="1729"/>
      <c r="E798" s="1190"/>
      <c r="F798" s="1190"/>
      <c r="G798" s="1190"/>
      <c r="H798" s="1190"/>
      <c r="I798" s="1190"/>
      <c r="J798" s="1190"/>
      <c r="K798" s="1190"/>
      <c r="L798" s="1190"/>
      <c r="M798" s="1190"/>
      <c r="N798" s="1190"/>
      <c r="O798" s="1190"/>
      <c r="P798" s="1190"/>
      <c r="Q798" s="1190"/>
      <c r="R798" s="1190"/>
      <c r="S798" s="1189"/>
      <c r="T798" s="1190"/>
      <c r="U798" s="1190"/>
      <c r="V798" s="1190"/>
      <c r="W798" s="1190"/>
      <c r="X798" s="1190"/>
      <c r="Y798" s="1190"/>
      <c r="Z798" s="1190"/>
      <c r="AA798" s="1190"/>
      <c r="AB798" s="1190"/>
      <c r="AC798" s="1190"/>
      <c r="AD798" s="1190"/>
      <c r="AE798" s="1190"/>
      <c r="AF798" s="1190"/>
      <c r="AG798" s="1748"/>
      <c r="AH798" s="1190"/>
      <c r="AI798" s="1748"/>
      <c r="AJ798" s="1190"/>
      <c r="AK798" s="1190"/>
      <c r="AL798" s="1190"/>
      <c r="AM798" s="1190"/>
      <c r="AN798" s="1190"/>
      <c r="AO798" s="1190"/>
      <c r="AP798" s="1190"/>
      <c r="AQ798" s="1190"/>
      <c r="AR798" s="1190"/>
      <c r="AS798" s="1190"/>
      <c r="AT798" s="1190"/>
      <c r="AU798" s="1190"/>
      <c r="AV798" s="1190"/>
      <c r="AW798" s="1190"/>
      <c r="AX798" s="1190"/>
      <c r="AY798" s="1190"/>
      <c r="AZ798" s="1190"/>
      <c r="BA798" s="1190"/>
      <c r="BB798" s="1190"/>
      <c r="BC798" s="1190"/>
      <c r="BD798" s="1190"/>
      <c r="BE798" s="1190"/>
      <c r="BF798" s="1190"/>
      <c r="BG798" s="1190"/>
      <c r="BH798" s="1190"/>
      <c r="BI798" s="1190"/>
      <c r="BJ798" s="1190"/>
      <c r="BK798" s="1190"/>
      <c r="BL798" s="1190"/>
      <c r="BM798" s="1190"/>
      <c r="BQ798" s="195"/>
      <c r="BR798" s="195"/>
      <c r="BT798" s="1005"/>
    </row>
    <row r="799" ht="15.75" customHeight="1">
      <c r="A799" s="195"/>
      <c r="B799" s="978"/>
      <c r="C799" s="2321"/>
      <c r="D799" s="1729"/>
      <c r="E799" s="1190"/>
      <c r="F799" s="1190"/>
      <c r="G799" s="1190"/>
      <c r="H799" s="1190"/>
      <c r="I799" s="1190"/>
      <c r="J799" s="1190"/>
      <c r="K799" s="1190"/>
      <c r="L799" s="1190"/>
      <c r="M799" s="1190"/>
      <c r="N799" s="1190"/>
      <c r="O799" s="1190"/>
      <c r="P799" s="1190"/>
      <c r="Q799" s="1190"/>
      <c r="R799" s="1190"/>
      <c r="S799" s="1189"/>
      <c r="T799" s="1190"/>
      <c r="U799" s="1190"/>
      <c r="V799" s="1190"/>
      <c r="W799" s="1190"/>
      <c r="X799" s="1190"/>
      <c r="Y799" s="1190"/>
      <c r="Z799" s="1190"/>
      <c r="AA799" s="1190"/>
      <c r="AB799" s="1190"/>
      <c r="AC799" s="1190"/>
      <c r="AD799" s="1190"/>
      <c r="AE799" s="1190"/>
      <c r="AF799" s="1190"/>
      <c r="AG799" s="1748"/>
      <c r="AH799" s="1190"/>
      <c r="AI799" s="1748"/>
      <c r="AJ799" s="1190"/>
      <c r="AK799" s="1190"/>
      <c r="AL799" s="1190"/>
      <c r="AM799" s="1190"/>
      <c r="AN799" s="1190"/>
      <c r="AO799" s="1190"/>
      <c r="AP799" s="1190"/>
      <c r="AQ799" s="1190"/>
      <c r="AR799" s="1190"/>
      <c r="AS799" s="1190"/>
      <c r="AT799" s="1190"/>
      <c r="AU799" s="1190"/>
      <c r="AV799" s="1190"/>
      <c r="AW799" s="1190"/>
      <c r="AX799" s="1190"/>
      <c r="AY799" s="1190"/>
      <c r="AZ799" s="1190"/>
      <c r="BA799" s="1190"/>
      <c r="BB799" s="1190"/>
      <c r="BC799" s="1190"/>
      <c r="BD799" s="1190"/>
      <c r="BE799" s="1190"/>
      <c r="BF799" s="1190"/>
      <c r="BG799" s="1190"/>
      <c r="BH799" s="1190"/>
      <c r="BI799" s="1190"/>
      <c r="BJ799" s="1190"/>
      <c r="BK799" s="1190"/>
      <c r="BL799" s="1190"/>
      <c r="BM799" s="1190"/>
      <c r="BQ799" s="195"/>
      <c r="BR799" s="195"/>
      <c r="BT799" s="1005"/>
    </row>
    <row r="800" ht="15.75" customHeight="1">
      <c r="A800" s="195"/>
      <c r="B800" s="978"/>
      <c r="C800" s="2321"/>
      <c r="D800" s="1729"/>
      <c r="E800" s="1190"/>
      <c r="F800" s="1190"/>
      <c r="G800" s="1190"/>
      <c r="H800" s="1190"/>
      <c r="I800" s="1190"/>
      <c r="J800" s="1190"/>
      <c r="K800" s="1190"/>
      <c r="L800" s="1190"/>
      <c r="M800" s="1190"/>
      <c r="N800" s="1190"/>
      <c r="O800" s="1190"/>
      <c r="P800" s="1190"/>
      <c r="Q800" s="1190"/>
      <c r="R800" s="1190"/>
      <c r="S800" s="1189"/>
      <c r="T800" s="1190"/>
      <c r="U800" s="1190"/>
      <c r="V800" s="1190"/>
      <c r="W800" s="1190"/>
      <c r="X800" s="1190"/>
      <c r="Y800" s="1190"/>
      <c r="Z800" s="1190"/>
      <c r="AA800" s="1190"/>
      <c r="AB800" s="1190"/>
      <c r="AC800" s="1190"/>
      <c r="AD800" s="1190"/>
      <c r="AE800" s="1190"/>
      <c r="AF800" s="1190"/>
      <c r="AG800" s="1748"/>
      <c r="AH800" s="1190"/>
      <c r="AI800" s="1748"/>
      <c r="AJ800" s="1190"/>
      <c r="AK800" s="1190"/>
      <c r="AL800" s="1190"/>
      <c r="AM800" s="1190"/>
      <c r="AN800" s="1190"/>
      <c r="AO800" s="1190"/>
      <c r="AP800" s="1190"/>
      <c r="AQ800" s="1190"/>
      <c r="AR800" s="1190"/>
      <c r="AS800" s="1190"/>
      <c r="AT800" s="1190"/>
      <c r="AU800" s="1190"/>
      <c r="AV800" s="1190"/>
      <c r="AW800" s="1190"/>
      <c r="AX800" s="1190"/>
      <c r="AY800" s="1190"/>
      <c r="AZ800" s="1190"/>
      <c r="BA800" s="1190"/>
      <c r="BB800" s="1190"/>
      <c r="BC800" s="1190"/>
      <c r="BD800" s="1190"/>
      <c r="BE800" s="1190"/>
      <c r="BF800" s="1190"/>
      <c r="BG800" s="1190"/>
      <c r="BH800" s="1190"/>
      <c r="BI800" s="1190"/>
      <c r="BJ800" s="1190"/>
      <c r="BK800" s="1190"/>
      <c r="BL800" s="1190"/>
      <c r="BM800" s="1190"/>
      <c r="BQ800" s="195"/>
      <c r="BR800" s="195"/>
      <c r="BT800" s="1005"/>
    </row>
    <row r="801" ht="15.75" customHeight="1">
      <c r="A801" s="195"/>
      <c r="B801" s="978"/>
      <c r="C801" s="2321"/>
      <c r="D801" s="1729"/>
      <c r="E801" s="1190"/>
      <c r="F801" s="1190"/>
      <c r="G801" s="1190"/>
      <c r="H801" s="1190"/>
      <c r="I801" s="1190"/>
      <c r="J801" s="1190"/>
      <c r="K801" s="1190"/>
      <c r="L801" s="1190"/>
      <c r="M801" s="1190"/>
      <c r="N801" s="1190"/>
      <c r="O801" s="1190"/>
      <c r="P801" s="1190"/>
      <c r="Q801" s="1190"/>
      <c r="R801" s="1190"/>
      <c r="S801" s="1189"/>
      <c r="T801" s="1190"/>
      <c r="U801" s="1190"/>
      <c r="V801" s="1190"/>
      <c r="W801" s="1190"/>
      <c r="X801" s="1190"/>
      <c r="Y801" s="1190"/>
      <c r="Z801" s="1190"/>
      <c r="AA801" s="1190"/>
      <c r="AB801" s="1190"/>
      <c r="AC801" s="1190"/>
      <c r="AD801" s="1190"/>
      <c r="AE801" s="1190"/>
      <c r="AF801" s="1190"/>
      <c r="AG801" s="1748"/>
      <c r="AH801" s="1190"/>
      <c r="AI801" s="1748"/>
      <c r="AJ801" s="1190"/>
      <c r="AK801" s="1190"/>
      <c r="AL801" s="1190"/>
      <c r="AM801" s="1190"/>
      <c r="AN801" s="1190"/>
      <c r="AO801" s="1190"/>
      <c r="AP801" s="1190"/>
      <c r="AQ801" s="1190"/>
      <c r="AR801" s="1190"/>
      <c r="AS801" s="1190"/>
      <c r="AT801" s="1190"/>
      <c r="AU801" s="1190"/>
      <c r="AV801" s="1190"/>
      <c r="AW801" s="1190"/>
      <c r="AX801" s="1190"/>
      <c r="AY801" s="1190"/>
      <c r="AZ801" s="1190"/>
      <c r="BA801" s="1190"/>
      <c r="BB801" s="1190"/>
      <c r="BC801" s="1190"/>
      <c r="BD801" s="1190"/>
      <c r="BE801" s="1190"/>
      <c r="BF801" s="1190"/>
      <c r="BG801" s="1190"/>
      <c r="BH801" s="1190"/>
      <c r="BI801" s="1190"/>
      <c r="BJ801" s="1190"/>
      <c r="BK801" s="1190"/>
      <c r="BL801" s="1190"/>
      <c r="BM801" s="1190"/>
      <c r="BQ801" s="195"/>
      <c r="BR801" s="195"/>
      <c r="BT801" s="1005"/>
    </row>
    <row r="802" ht="15.75" customHeight="1">
      <c r="A802" s="195"/>
      <c r="B802" s="978"/>
      <c r="C802" s="2321"/>
      <c r="D802" s="1729"/>
      <c r="E802" s="1190"/>
      <c r="F802" s="1190"/>
      <c r="G802" s="1190"/>
      <c r="H802" s="1190"/>
      <c r="I802" s="1190"/>
      <c r="J802" s="1190"/>
      <c r="K802" s="1190"/>
      <c r="L802" s="1190"/>
      <c r="M802" s="1190"/>
      <c r="N802" s="1190"/>
      <c r="O802" s="1190"/>
      <c r="P802" s="1190"/>
      <c r="Q802" s="1190"/>
      <c r="R802" s="1190"/>
      <c r="S802" s="1189"/>
      <c r="T802" s="1190"/>
      <c r="U802" s="1190"/>
      <c r="V802" s="1190"/>
      <c r="W802" s="1190"/>
      <c r="X802" s="1190"/>
      <c r="Y802" s="1190"/>
      <c r="Z802" s="1190"/>
      <c r="AA802" s="1190"/>
      <c r="AB802" s="1190"/>
      <c r="AC802" s="1190"/>
      <c r="AD802" s="1190"/>
      <c r="AE802" s="1190"/>
      <c r="AF802" s="1190"/>
      <c r="AG802" s="1748"/>
      <c r="AH802" s="1190"/>
      <c r="AI802" s="1748"/>
      <c r="AJ802" s="1190"/>
      <c r="AK802" s="1190"/>
      <c r="AL802" s="1190"/>
      <c r="AM802" s="1190"/>
      <c r="AN802" s="1190"/>
      <c r="AO802" s="1190"/>
      <c r="AP802" s="1190"/>
      <c r="AQ802" s="1190"/>
      <c r="AR802" s="1190"/>
      <c r="AS802" s="1190"/>
      <c r="AT802" s="1190"/>
      <c r="AU802" s="1190"/>
      <c r="AV802" s="1190"/>
      <c r="AW802" s="1190"/>
      <c r="AX802" s="1190"/>
      <c r="AY802" s="1190"/>
      <c r="AZ802" s="1190"/>
      <c r="BA802" s="1190"/>
      <c r="BB802" s="1190"/>
      <c r="BC802" s="1190"/>
      <c r="BD802" s="1190"/>
      <c r="BE802" s="1190"/>
      <c r="BF802" s="1190"/>
      <c r="BG802" s="1190"/>
      <c r="BH802" s="1190"/>
      <c r="BI802" s="1190"/>
      <c r="BJ802" s="1190"/>
      <c r="BK802" s="1190"/>
      <c r="BL802" s="1190"/>
      <c r="BM802" s="1190"/>
      <c r="BQ802" s="195"/>
      <c r="BR802" s="195"/>
      <c r="BT802" s="1005"/>
    </row>
    <row r="803" ht="15.75" customHeight="1">
      <c r="A803" s="195"/>
      <c r="B803" s="978"/>
      <c r="C803" s="2321"/>
      <c r="D803" s="1729"/>
      <c r="E803" s="1190"/>
      <c r="F803" s="1190"/>
      <c r="G803" s="1190"/>
      <c r="H803" s="1190"/>
      <c r="I803" s="1190"/>
      <c r="J803" s="1190"/>
      <c r="K803" s="1190"/>
      <c r="L803" s="1190"/>
      <c r="M803" s="1190"/>
      <c r="N803" s="1190"/>
      <c r="O803" s="1190"/>
      <c r="P803" s="1190"/>
      <c r="Q803" s="1190"/>
      <c r="R803" s="1190"/>
      <c r="S803" s="1189"/>
      <c r="T803" s="1190"/>
      <c r="U803" s="1190"/>
      <c r="V803" s="1190"/>
      <c r="W803" s="1190"/>
      <c r="X803" s="1190"/>
      <c r="Y803" s="1190"/>
      <c r="Z803" s="1190"/>
      <c r="AA803" s="1190"/>
      <c r="AB803" s="1190"/>
      <c r="AC803" s="1190"/>
      <c r="AD803" s="1190"/>
      <c r="AE803" s="1190"/>
      <c r="AF803" s="1190"/>
      <c r="AG803" s="1748"/>
      <c r="AH803" s="1190"/>
      <c r="AI803" s="1748"/>
      <c r="AJ803" s="1190"/>
      <c r="AK803" s="1190"/>
      <c r="AL803" s="1190"/>
      <c r="AM803" s="1190"/>
      <c r="AN803" s="1190"/>
      <c r="AO803" s="1190"/>
      <c r="AP803" s="1190"/>
      <c r="AQ803" s="1190"/>
      <c r="AR803" s="1190"/>
      <c r="AS803" s="1190"/>
      <c r="AT803" s="1190"/>
      <c r="AU803" s="1190"/>
      <c r="AV803" s="1190"/>
      <c r="AW803" s="1190"/>
      <c r="AX803" s="1190"/>
      <c r="AY803" s="1190"/>
      <c r="AZ803" s="1190"/>
      <c r="BA803" s="1190"/>
      <c r="BB803" s="1190"/>
      <c r="BC803" s="1190"/>
      <c r="BD803" s="1190"/>
      <c r="BE803" s="1190"/>
      <c r="BF803" s="1190"/>
      <c r="BG803" s="1190"/>
      <c r="BH803" s="1190"/>
      <c r="BI803" s="1190"/>
      <c r="BJ803" s="1190"/>
      <c r="BK803" s="1190"/>
      <c r="BL803" s="1190"/>
      <c r="BM803" s="1190"/>
      <c r="BQ803" s="195"/>
      <c r="BR803" s="195"/>
      <c r="BT803" s="1005"/>
    </row>
    <row r="804" ht="15.75" customHeight="1">
      <c r="A804" s="195"/>
      <c r="B804" s="978"/>
      <c r="C804" s="2321"/>
      <c r="D804" s="1729"/>
      <c r="E804" s="1190"/>
      <c r="F804" s="1190"/>
      <c r="G804" s="1190"/>
      <c r="H804" s="1190"/>
      <c r="I804" s="1190"/>
      <c r="J804" s="1190"/>
      <c r="K804" s="1190"/>
      <c r="L804" s="1190"/>
      <c r="M804" s="1190"/>
      <c r="N804" s="1190"/>
      <c r="O804" s="1190"/>
      <c r="P804" s="1190"/>
      <c r="Q804" s="1190"/>
      <c r="R804" s="1190"/>
      <c r="S804" s="1189"/>
      <c r="T804" s="1190"/>
      <c r="U804" s="1190"/>
      <c r="V804" s="1190"/>
      <c r="W804" s="1190"/>
      <c r="X804" s="1190"/>
      <c r="Y804" s="1190"/>
      <c r="Z804" s="1190"/>
      <c r="AA804" s="1190"/>
      <c r="AB804" s="1190"/>
      <c r="AC804" s="1190"/>
      <c r="AD804" s="1190"/>
      <c r="AE804" s="1190"/>
      <c r="AF804" s="1190"/>
      <c r="AG804" s="1748"/>
      <c r="AH804" s="1190"/>
      <c r="AI804" s="1748"/>
      <c r="AJ804" s="1190"/>
      <c r="AK804" s="1190"/>
      <c r="AL804" s="1190"/>
      <c r="AM804" s="1190"/>
      <c r="AN804" s="1190"/>
      <c r="AO804" s="1190"/>
      <c r="AP804" s="1190"/>
      <c r="AQ804" s="1190"/>
      <c r="AR804" s="1190"/>
      <c r="AS804" s="1190"/>
      <c r="AT804" s="1190"/>
      <c r="AU804" s="1190"/>
      <c r="AV804" s="1190"/>
      <c r="AW804" s="1190"/>
      <c r="AX804" s="1190"/>
      <c r="AY804" s="1190"/>
      <c r="AZ804" s="1190"/>
      <c r="BA804" s="1190"/>
      <c r="BB804" s="1190"/>
      <c r="BC804" s="1190"/>
      <c r="BD804" s="1190"/>
      <c r="BE804" s="1190"/>
      <c r="BF804" s="1190"/>
      <c r="BG804" s="1190"/>
      <c r="BH804" s="1190"/>
      <c r="BI804" s="1190"/>
      <c r="BJ804" s="1190"/>
      <c r="BK804" s="1190"/>
      <c r="BL804" s="1190"/>
      <c r="BM804" s="1190"/>
      <c r="BQ804" s="195"/>
      <c r="BR804" s="195"/>
      <c r="BT804" s="1005"/>
    </row>
    <row r="805" ht="15.75" customHeight="1">
      <c r="A805" s="195"/>
      <c r="B805" s="978"/>
      <c r="C805" s="2321"/>
      <c r="D805" s="1729"/>
      <c r="E805" s="1190"/>
      <c r="F805" s="1190"/>
      <c r="G805" s="1190"/>
      <c r="H805" s="1190"/>
      <c r="I805" s="1190"/>
      <c r="J805" s="1190"/>
      <c r="K805" s="1190"/>
      <c r="L805" s="1190"/>
      <c r="M805" s="1190"/>
      <c r="N805" s="1190"/>
      <c r="O805" s="1190"/>
      <c r="P805" s="1190"/>
      <c r="Q805" s="1190"/>
      <c r="R805" s="1190"/>
      <c r="S805" s="1189"/>
      <c r="T805" s="1190"/>
      <c r="U805" s="1190"/>
      <c r="V805" s="1190"/>
      <c r="W805" s="1190"/>
      <c r="X805" s="1190"/>
      <c r="Y805" s="1190"/>
      <c r="Z805" s="1190"/>
      <c r="AA805" s="1190"/>
      <c r="AB805" s="1190"/>
      <c r="AC805" s="1190"/>
      <c r="AD805" s="1190"/>
      <c r="AE805" s="1190"/>
      <c r="AF805" s="1190"/>
      <c r="AG805" s="1748"/>
      <c r="AH805" s="1190"/>
      <c r="AI805" s="1748"/>
      <c r="AJ805" s="1190"/>
      <c r="AK805" s="1190"/>
      <c r="AL805" s="1190"/>
      <c r="AM805" s="1190"/>
      <c r="AN805" s="1190"/>
      <c r="AO805" s="1190"/>
      <c r="AP805" s="1190"/>
      <c r="AQ805" s="1190"/>
      <c r="AR805" s="1190"/>
      <c r="AS805" s="1190"/>
      <c r="AT805" s="1190"/>
      <c r="AU805" s="1190"/>
      <c r="AV805" s="1190"/>
      <c r="AW805" s="1190"/>
      <c r="AX805" s="1190"/>
      <c r="AY805" s="1190"/>
      <c r="AZ805" s="1190"/>
      <c r="BA805" s="1190"/>
      <c r="BB805" s="1190"/>
      <c r="BC805" s="1190"/>
      <c r="BD805" s="1190"/>
      <c r="BE805" s="1190"/>
      <c r="BF805" s="1190"/>
      <c r="BG805" s="1190"/>
      <c r="BH805" s="1190"/>
      <c r="BI805" s="1190"/>
      <c r="BJ805" s="1190"/>
      <c r="BK805" s="1190"/>
      <c r="BL805" s="1190"/>
      <c r="BM805" s="1190"/>
      <c r="BQ805" s="195"/>
      <c r="BR805" s="195"/>
      <c r="BT805" s="1005"/>
    </row>
    <row r="806" ht="15.75" customHeight="1">
      <c r="A806" s="195"/>
      <c r="B806" s="978"/>
      <c r="C806" s="2321"/>
      <c r="D806" s="1729"/>
      <c r="E806" s="1190"/>
      <c r="F806" s="1190"/>
      <c r="G806" s="1190"/>
      <c r="H806" s="1190"/>
      <c r="I806" s="1190"/>
      <c r="J806" s="1190"/>
      <c r="K806" s="1190"/>
      <c r="L806" s="1190"/>
      <c r="M806" s="1190"/>
      <c r="N806" s="1190"/>
      <c r="O806" s="1190"/>
      <c r="P806" s="1190"/>
      <c r="Q806" s="1190"/>
      <c r="R806" s="1190"/>
      <c r="S806" s="1189"/>
      <c r="T806" s="1190"/>
      <c r="U806" s="1190"/>
      <c r="V806" s="1190"/>
      <c r="W806" s="1190"/>
      <c r="X806" s="1190"/>
      <c r="Y806" s="1190"/>
      <c r="Z806" s="1190"/>
      <c r="AA806" s="1190"/>
      <c r="AB806" s="1190"/>
      <c r="AC806" s="1190"/>
      <c r="AD806" s="1190"/>
      <c r="AE806" s="1190"/>
      <c r="AF806" s="1190"/>
      <c r="AG806" s="1748"/>
      <c r="AH806" s="1190"/>
      <c r="AI806" s="1748"/>
      <c r="AJ806" s="1190"/>
      <c r="AK806" s="1190"/>
      <c r="AL806" s="1190"/>
      <c r="AM806" s="1190"/>
      <c r="AN806" s="1190"/>
      <c r="AO806" s="1190"/>
      <c r="AP806" s="1190"/>
      <c r="AQ806" s="1190"/>
      <c r="AR806" s="1190"/>
      <c r="AS806" s="1190"/>
      <c r="AT806" s="1190"/>
      <c r="AU806" s="1190"/>
      <c r="AV806" s="1190"/>
      <c r="AW806" s="1190"/>
      <c r="AX806" s="1190"/>
      <c r="AY806" s="1190"/>
      <c r="AZ806" s="1190"/>
      <c r="BA806" s="1190"/>
      <c r="BB806" s="1190"/>
      <c r="BC806" s="1190"/>
      <c r="BD806" s="1190"/>
      <c r="BE806" s="1190"/>
      <c r="BF806" s="1190"/>
      <c r="BG806" s="1190"/>
      <c r="BH806" s="1190"/>
      <c r="BI806" s="1190"/>
      <c r="BJ806" s="1190"/>
      <c r="BK806" s="1190"/>
      <c r="BL806" s="1190"/>
      <c r="BM806" s="1190"/>
      <c r="BQ806" s="195"/>
      <c r="BR806" s="195"/>
      <c r="BT806" s="1005"/>
    </row>
    <row r="807" ht="15.75" customHeight="1">
      <c r="A807" s="195"/>
      <c r="B807" s="978"/>
      <c r="C807" s="2321"/>
      <c r="D807" s="1729"/>
      <c r="E807" s="1190"/>
      <c r="F807" s="1190"/>
      <c r="G807" s="1190"/>
      <c r="H807" s="1190"/>
      <c r="I807" s="1190"/>
      <c r="J807" s="1190"/>
      <c r="K807" s="1190"/>
      <c r="L807" s="1190"/>
      <c r="M807" s="1190"/>
      <c r="N807" s="1190"/>
      <c r="O807" s="1190"/>
      <c r="P807" s="1190"/>
      <c r="Q807" s="1190"/>
      <c r="R807" s="1190"/>
      <c r="S807" s="1189"/>
      <c r="T807" s="1190"/>
      <c r="U807" s="1190"/>
      <c r="V807" s="1190"/>
      <c r="W807" s="1190"/>
      <c r="X807" s="1190"/>
      <c r="Y807" s="1190"/>
      <c r="Z807" s="1190"/>
      <c r="AA807" s="1190"/>
      <c r="AB807" s="1190"/>
      <c r="AC807" s="1190"/>
      <c r="AD807" s="1190"/>
      <c r="AE807" s="1190"/>
      <c r="AF807" s="1190"/>
      <c r="AG807" s="1748"/>
      <c r="AH807" s="1190"/>
      <c r="AI807" s="1748"/>
      <c r="AJ807" s="1190"/>
      <c r="AK807" s="1190"/>
      <c r="AL807" s="1190"/>
      <c r="AM807" s="1190"/>
      <c r="AN807" s="1190"/>
      <c r="AO807" s="1190"/>
      <c r="AP807" s="1190"/>
      <c r="AQ807" s="1190"/>
      <c r="AR807" s="1190"/>
      <c r="AS807" s="1190"/>
      <c r="AT807" s="1190"/>
      <c r="AU807" s="1190"/>
      <c r="AV807" s="1190"/>
      <c r="AW807" s="1190"/>
      <c r="AX807" s="1190"/>
      <c r="AY807" s="1190"/>
      <c r="AZ807" s="1190"/>
      <c r="BA807" s="1190"/>
      <c r="BB807" s="1190"/>
      <c r="BC807" s="1190"/>
      <c r="BD807" s="1190"/>
      <c r="BE807" s="1190"/>
      <c r="BF807" s="1190"/>
      <c r="BG807" s="1190"/>
      <c r="BH807" s="1190"/>
      <c r="BI807" s="1190"/>
      <c r="BJ807" s="1190"/>
      <c r="BK807" s="1190"/>
      <c r="BL807" s="1190"/>
      <c r="BM807" s="1190"/>
      <c r="BQ807" s="195"/>
      <c r="BR807" s="195"/>
      <c r="BT807" s="1005"/>
    </row>
    <row r="808" ht="15.75" customHeight="1">
      <c r="A808" s="195"/>
      <c r="B808" s="978"/>
      <c r="C808" s="2321"/>
      <c r="D808" s="1729"/>
      <c r="E808" s="1190"/>
      <c r="F808" s="1190"/>
      <c r="G808" s="1190"/>
      <c r="H808" s="1190"/>
      <c r="I808" s="1190"/>
      <c r="J808" s="1190"/>
      <c r="K808" s="1190"/>
      <c r="L808" s="1190"/>
      <c r="M808" s="1190"/>
      <c r="N808" s="1190"/>
      <c r="O808" s="1190"/>
      <c r="P808" s="1190"/>
      <c r="Q808" s="1190"/>
      <c r="R808" s="1190"/>
      <c r="S808" s="1189"/>
      <c r="T808" s="1190"/>
      <c r="U808" s="1190"/>
      <c r="V808" s="1190"/>
      <c r="W808" s="1190"/>
      <c r="X808" s="1190"/>
      <c r="Y808" s="1190"/>
      <c r="Z808" s="1190"/>
      <c r="AA808" s="1190"/>
      <c r="AB808" s="1190"/>
      <c r="AC808" s="1190"/>
      <c r="AD808" s="1190"/>
      <c r="AE808" s="1190"/>
      <c r="AF808" s="1190"/>
      <c r="AG808" s="1748"/>
      <c r="AH808" s="1190"/>
      <c r="AI808" s="1748"/>
      <c r="AJ808" s="1190"/>
      <c r="AK808" s="1190"/>
      <c r="AL808" s="1190"/>
      <c r="AM808" s="1190"/>
      <c r="AN808" s="1190"/>
      <c r="AO808" s="1190"/>
      <c r="AP808" s="1190"/>
      <c r="AQ808" s="1190"/>
      <c r="AR808" s="1190"/>
      <c r="AS808" s="1190"/>
      <c r="AT808" s="1190"/>
      <c r="AU808" s="1190"/>
      <c r="AV808" s="1190"/>
      <c r="AW808" s="1190"/>
      <c r="AX808" s="1190"/>
      <c r="AY808" s="1190"/>
      <c r="AZ808" s="1190"/>
      <c r="BA808" s="1190"/>
      <c r="BB808" s="1190"/>
      <c r="BC808" s="1190"/>
      <c r="BD808" s="1190"/>
      <c r="BE808" s="1190"/>
      <c r="BF808" s="1190"/>
      <c r="BG808" s="1190"/>
      <c r="BH808" s="1190"/>
      <c r="BI808" s="1190"/>
      <c r="BJ808" s="1190"/>
      <c r="BK808" s="1190"/>
      <c r="BL808" s="1190"/>
      <c r="BM808" s="1190"/>
      <c r="BQ808" s="195"/>
      <c r="BR808" s="195"/>
      <c r="BT808" s="1005"/>
    </row>
    <row r="809" ht="15.75" customHeight="1">
      <c r="A809" s="195"/>
      <c r="B809" s="978"/>
      <c r="C809" s="2321"/>
      <c r="D809" s="1729"/>
      <c r="E809" s="1190"/>
      <c r="F809" s="1190"/>
      <c r="G809" s="1190"/>
      <c r="H809" s="1190"/>
      <c r="I809" s="1190"/>
      <c r="J809" s="1190"/>
      <c r="K809" s="1190"/>
      <c r="L809" s="1190"/>
      <c r="M809" s="1190"/>
      <c r="N809" s="1190"/>
      <c r="O809" s="1190"/>
      <c r="P809" s="1190"/>
      <c r="Q809" s="1190"/>
      <c r="R809" s="1190"/>
      <c r="S809" s="1189"/>
      <c r="T809" s="1190"/>
      <c r="U809" s="1190"/>
      <c r="V809" s="1190"/>
      <c r="W809" s="1190"/>
      <c r="X809" s="1190"/>
      <c r="Y809" s="1190"/>
      <c r="Z809" s="1190"/>
      <c r="AA809" s="1190"/>
      <c r="AB809" s="1190"/>
      <c r="AC809" s="1190"/>
      <c r="AD809" s="1190"/>
      <c r="AE809" s="1190"/>
      <c r="AF809" s="1190"/>
      <c r="AG809" s="1748"/>
      <c r="AH809" s="1190"/>
      <c r="AI809" s="1748"/>
      <c r="AJ809" s="1190"/>
      <c r="AK809" s="1190"/>
      <c r="AL809" s="1190"/>
      <c r="AM809" s="1190"/>
      <c r="AN809" s="1190"/>
      <c r="AO809" s="1190"/>
      <c r="AP809" s="1190"/>
      <c r="AQ809" s="1190"/>
      <c r="AR809" s="1190"/>
      <c r="AS809" s="1190"/>
      <c r="AT809" s="1190"/>
      <c r="AU809" s="1190"/>
      <c r="AV809" s="1190"/>
      <c r="AW809" s="1190"/>
      <c r="AX809" s="1190"/>
      <c r="AY809" s="1190"/>
      <c r="AZ809" s="1190"/>
      <c r="BA809" s="1190"/>
      <c r="BB809" s="1190"/>
      <c r="BC809" s="1190"/>
      <c r="BD809" s="1190"/>
      <c r="BE809" s="1190"/>
      <c r="BF809" s="1190"/>
      <c r="BG809" s="1190"/>
      <c r="BH809" s="1190"/>
      <c r="BI809" s="1190"/>
      <c r="BJ809" s="1190"/>
      <c r="BK809" s="1190"/>
      <c r="BL809" s="1190"/>
      <c r="BM809" s="1190"/>
      <c r="BQ809" s="195"/>
      <c r="BR809" s="195"/>
      <c r="BT809" s="1005"/>
    </row>
    <row r="810" ht="15.75" customHeight="1">
      <c r="A810" s="195"/>
      <c r="B810" s="978"/>
      <c r="C810" s="2321"/>
      <c r="D810" s="1729"/>
      <c r="E810" s="1190"/>
      <c r="F810" s="1190"/>
      <c r="G810" s="1190"/>
      <c r="H810" s="1190"/>
      <c r="I810" s="1190"/>
      <c r="J810" s="1190"/>
      <c r="K810" s="1190"/>
      <c r="L810" s="1190"/>
      <c r="M810" s="1190"/>
      <c r="N810" s="1190"/>
      <c r="O810" s="1190"/>
      <c r="P810" s="1190"/>
      <c r="Q810" s="1190"/>
      <c r="R810" s="1190"/>
      <c r="S810" s="1189"/>
      <c r="T810" s="1190"/>
      <c r="U810" s="1190"/>
      <c r="V810" s="1190"/>
      <c r="W810" s="1190"/>
      <c r="X810" s="1190"/>
      <c r="Y810" s="1190"/>
      <c r="Z810" s="1190"/>
      <c r="AA810" s="1190"/>
      <c r="AB810" s="1190"/>
      <c r="AC810" s="1190"/>
      <c r="AD810" s="1190"/>
      <c r="AE810" s="1190"/>
      <c r="AF810" s="1190"/>
      <c r="AG810" s="1748"/>
      <c r="AH810" s="1190"/>
      <c r="AI810" s="1748"/>
      <c r="AJ810" s="1190"/>
      <c r="AK810" s="1190"/>
      <c r="AL810" s="1190"/>
      <c r="AM810" s="1190"/>
      <c r="AN810" s="1190"/>
      <c r="AO810" s="1190"/>
      <c r="AP810" s="1190"/>
      <c r="AQ810" s="1190"/>
      <c r="AR810" s="1190"/>
      <c r="AS810" s="1190"/>
      <c r="AT810" s="1190"/>
      <c r="AU810" s="1190"/>
      <c r="AV810" s="1190"/>
      <c r="AW810" s="1190"/>
      <c r="AX810" s="1190"/>
      <c r="AY810" s="1190"/>
      <c r="AZ810" s="1190"/>
      <c r="BA810" s="1190"/>
      <c r="BB810" s="1190"/>
      <c r="BC810" s="1190"/>
      <c r="BD810" s="1190"/>
      <c r="BE810" s="1190"/>
      <c r="BF810" s="1190"/>
      <c r="BG810" s="1190"/>
      <c r="BH810" s="1190"/>
      <c r="BI810" s="1190"/>
      <c r="BJ810" s="1190"/>
      <c r="BK810" s="1190"/>
      <c r="BL810" s="1190"/>
      <c r="BM810" s="1190"/>
      <c r="BQ810" s="195"/>
      <c r="BR810" s="195"/>
      <c r="BT810" s="1005"/>
    </row>
    <row r="811" ht="15.75" customHeight="1">
      <c r="A811" s="195"/>
      <c r="B811" s="978"/>
      <c r="C811" s="2321"/>
      <c r="D811" s="1729"/>
      <c r="E811" s="1190"/>
      <c r="F811" s="1190"/>
      <c r="G811" s="1190"/>
      <c r="H811" s="1190"/>
      <c r="I811" s="1190"/>
      <c r="J811" s="1190"/>
      <c r="K811" s="1190"/>
      <c r="L811" s="1190"/>
      <c r="M811" s="1190"/>
      <c r="N811" s="1190"/>
      <c r="O811" s="1190"/>
      <c r="P811" s="1190"/>
      <c r="Q811" s="1190"/>
      <c r="R811" s="1190"/>
      <c r="S811" s="1189"/>
      <c r="T811" s="1190"/>
      <c r="U811" s="1190"/>
      <c r="V811" s="1190"/>
      <c r="W811" s="1190"/>
      <c r="X811" s="1190"/>
      <c r="Y811" s="1190"/>
      <c r="Z811" s="1190"/>
      <c r="AA811" s="1190"/>
      <c r="AB811" s="1190"/>
      <c r="AC811" s="1190"/>
      <c r="AD811" s="1190"/>
      <c r="AE811" s="1190"/>
      <c r="AF811" s="1190"/>
      <c r="AG811" s="1748"/>
      <c r="AH811" s="1190"/>
      <c r="AI811" s="1748"/>
      <c r="AJ811" s="1190"/>
      <c r="AK811" s="1190"/>
      <c r="AL811" s="1190"/>
      <c r="AM811" s="1190"/>
      <c r="AN811" s="1190"/>
      <c r="AO811" s="1190"/>
      <c r="AP811" s="1190"/>
      <c r="AQ811" s="1190"/>
      <c r="AR811" s="1190"/>
      <c r="AS811" s="1190"/>
      <c r="AT811" s="1190"/>
      <c r="AU811" s="1190"/>
      <c r="AV811" s="1190"/>
      <c r="AW811" s="1190"/>
      <c r="AX811" s="1190"/>
      <c r="AY811" s="1190"/>
      <c r="AZ811" s="1190"/>
      <c r="BA811" s="1190"/>
      <c r="BB811" s="1190"/>
      <c r="BC811" s="1190"/>
      <c r="BD811" s="1190"/>
      <c r="BE811" s="1190"/>
      <c r="BF811" s="1190"/>
      <c r="BG811" s="1190"/>
      <c r="BH811" s="1190"/>
      <c r="BI811" s="1190"/>
      <c r="BJ811" s="1190"/>
      <c r="BK811" s="1190"/>
      <c r="BL811" s="1190"/>
      <c r="BM811" s="1190"/>
      <c r="BQ811" s="195"/>
      <c r="BR811" s="195"/>
      <c r="BT811" s="1005"/>
    </row>
    <row r="812" ht="15.75" customHeight="1">
      <c r="A812" s="195"/>
      <c r="B812" s="978"/>
      <c r="C812" s="2321"/>
      <c r="D812" s="1729"/>
      <c r="E812" s="1190"/>
      <c r="F812" s="1190"/>
      <c r="G812" s="1190"/>
      <c r="H812" s="1190"/>
      <c r="I812" s="1190"/>
      <c r="J812" s="1190"/>
      <c r="K812" s="1190"/>
      <c r="L812" s="1190"/>
      <c r="M812" s="1190"/>
      <c r="N812" s="1190"/>
      <c r="O812" s="1190"/>
      <c r="P812" s="1190"/>
      <c r="Q812" s="1190"/>
      <c r="R812" s="1190"/>
      <c r="S812" s="1189"/>
      <c r="T812" s="1190"/>
      <c r="U812" s="1190"/>
      <c r="V812" s="1190"/>
      <c r="W812" s="1190"/>
      <c r="X812" s="1190"/>
      <c r="Y812" s="1190"/>
      <c r="Z812" s="1190"/>
      <c r="AA812" s="1190"/>
      <c r="AB812" s="1190"/>
      <c r="AC812" s="1190"/>
      <c r="AD812" s="1190"/>
      <c r="AE812" s="1190"/>
      <c r="AF812" s="1190"/>
      <c r="AG812" s="1748"/>
      <c r="AH812" s="1190"/>
      <c r="AI812" s="1748"/>
      <c r="AJ812" s="1190"/>
      <c r="AK812" s="1190"/>
      <c r="AL812" s="1190"/>
      <c r="AM812" s="1190"/>
      <c r="AN812" s="1190"/>
      <c r="AO812" s="1190"/>
      <c r="AP812" s="1190"/>
      <c r="AQ812" s="1190"/>
      <c r="AR812" s="1190"/>
      <c r="AS812" s="1190"/>
      <c r="AT812" s="1190"/>
      <c r="AU812" s="1190"/>
      <c r="AV812" s="1190"/>
      <c r="AW812" s="1190"/>
      <c r="AX812" s="1190"/>
      <c r="AY812" s="1190"/>
      <c r="AZ812" s="1190"/>
      <c r="BA812" s="1190"/>
      <c r="BB812" s="1190"/>
      <c r="BC812" s="1190"/>
      <c r="BD812" s="1190"/>
      <c r="BE812" s="1190"/>
      <c r="BF812" s="1190"/>
      <c r="BG812" s="1190"/>
      <c r="BH812" s="1190"/>
      <c r="BI812" s="1190"/>
      <c r="BJ812" s="1190"/>
      <c r="BK812" s="1190"/>
      <c r="BL812" s="1190"/>
      <c r="BM812" s="1190"/>
      <c r="BQ812" s="195"/>
      <c r="BR812" s="195"/>
      <c r="BT812" s="1005"/>
    </row>
    <row r="813" ht="15.75" customHeight="1">
      <c r="A813" s="195"/>
      <c r="B813" s="978"/>
      <c r="C813" s="2321"/>
      <c r="D813" s="1729"/>
      <c r="E813" s="1190"/>
      <c r="F813" s="1190"/>
      <c r="G813" s="1190"/>
      <c r="H813" s="1190"/>
      <c r="I813" s="1190"/>
      <c r="J813" s="1190"/>
      <c r="K813" s="1190"/>
      <c r="L813" s="1190"/>
      <c r="M813" s="1190"/>
      <c r="N813" s="1190"/>
      <c r="O813" s="1190"/>
      <c r="P813" s="1190"/>
      <c r="Q813" s="1190"/>
      <c r="R813" s="1190"/>
      <c r="S813" s="1189"/>
      <c r="T813" s="1190"/>
      <c r="U813" s="1190"/>
      <c r="V813" s="1190"/>
      <c r="W813" s="1190"/>
      <c r="X813" s="1190"/>
      <c r="Y813" s="1190"/>
      <c r="Z813" s="1190"/>
      <c r="AA813" s="1190"/>
      <c r="AB813" s="1190"/>
      <c r="AC813" s="1190"/>
      <c r="AD813" s="1190"/>
      <c r="AE813" s="1190"/>
      <c r="AF813" s="1190"/>
      <c r="AG813" s="1748"/>
      <c r="AH813" s="1190"/>
      <c r="AI813" s="1748"/>
      <c r="AJ813" s="1190"/>
      <c r="AK813" s="1190"/>
      <c r="AL813" s="1190"/>
      <c r="AM813" s="1190"/>
      <c r="AN813" s="1190"/>
      <c r="AO813" s="1190"/>
      <c r="AP813" s="1190"/>
      <c r="AQ813" s="1190"/>
      <c r="AR813" s="1190"/>
      <c r="AS813" s="1190"/>
      <c r="AT813" s="1190"/>
      <c r="AU813" s="1190"/>
      <c r="AV813" s="1190"/>
      <c r="AW813" s="1190"/>
      <c r="AX813" s="1190"/>
      <c r="AY813" s="1190"/>
      <c r="AZ813" s="1190"/>
      <c r="BA813" s="1190"/>
      <c r="BB813" s="1190"/>
      <c r="BC813" s="1190"/>
      <c r="BD813" s="1190"/>
      <c r="BE813" s="1190"/>
      <c r="BF813" s="1190"/>
      <c r="BG813" s="1190"/>
      <c r="BH813" s="1190"/>
      <c r="BI813" s="1190"/>
      <c r="BJ813" s="1190"/>
      <c r="BK813" s="1190"/>
      <c r="BL813" s="1190"/>
      <c r="BM813" s="1190"/>
      <c r="BQ813" s="195"/>
      <c r="BR813" s="195"/>
      <c r="BT813" s="1005"/>
    </row>
    <row r="814" ht="15.75" customHeight="1">
      <c r="A814" s="195"/>
      <c r="B814" s="978"/>
      <c r="C814" s="2321"/>
      <c r="D814" s="1729"/>
      <c r="E814" s="1190"/>
      <c r="F814" s="1190"/>
      <c r="G814" s="1190"/>
      <c r="H814" s="1190"/>
      <c r="I814" s="1190"/>
      <c r="J814" s="1190"/>
      <c r="K814" s="1190"/>
      <c r="L814" s="1190"/>
      <c r="M814" s="1190"/>
      <c r="N814" s="1190"/>
      <c r="O814" s="1190"/>
      <c r="P814" s="1190"/>
      <c r="Q814" s="1190"/>
      <c r="R814" s="1190"/>
      <c r="S814" s="1189"/>
      <c r="T814" s="1190"/>
      <c r="U814" s="1190"/>
      <c r="V814" s="1190"/>
      <c r="W814" s="1190"/>
      <c r="X814" s="1190"/>
      <c r="Y814" s="1190"/>
      <c r="Z814" s="1190"/>
      <c r="AA814" s="1190"/>
      <c r="AB814" s="1190"/>
      <c r="AC814" s="1190"/>
      <c r="AD814" s="1190"/>
      <c r="AE814" s="1190"/>
      <c r="AF814" s="1190"/>
      <c r="AG814" s="1748"/>
      <c r="AH814" s="1190"/>
      <c r="AI814" s="1748"/>
      <c r="AJ814" s="1190"/>
      <c r="AK814" s="1190"/>
      <c r="AL814" s="1190"/>
      <c r="AM814" s="1190"/>
      <c r="AN814" s="1190"/>
      <c r="AO814" s="1190"/>
      <c r="AP814" s="1190"/>
      <c r="AQ814" s="1190"/>
      <c r="AR814" s="1190"/>
      <c r="AS814" s="1190"/>
      <c r="AT814" s="1190"/>
      <c r="AU814" s="1190"/>
      <c r="AV814" s="1190"/>
      <c r="AW814" s="1190"/>
      <c r="AX814" s="1190"/>
      <c r="AY814" s="1190"/>
      <c r="AZ814" s="1190"/>
      <c r="BA814" s="1190"/>
      <c r="BB814" s="1190"/>
      <c r="BC814" s="1190"/>
      <c r="BD814" s="1190"/>
      <c r="BE814" s="1190"/>
      <c r="BF814" s="1190"/>
      <c r="BG814" s="1190"/>
      <c r="BH814" s="1190"/>
      <c r="BI814" s="1190"/>
      <c r="BJ814" s="1190"/>
      <c r="BK814" s="1190"/>
      <c r="BL814" s="1190"/>
      <c r="BM814" s="1190"/>
      <c r="BQ814" s="195"/>
      <c r="BR814" s="195"/>
      <c r="BT814" s="1005"/>
    </row>
    <row r="815" ht="15.75" customHeight="1">
      <c r="A815" s="195"/>
      <c r="B815" s="978"/>
      <c r="C815" s="2321"/>
      <c r="D815" s="1729"/>
      <c r="E815" s="1190"/>
      <c r="F815" s="1190"/>
      <c r="G815" s="1190"/>
      <c r="H815" s="1190"/>
      <c r="I815" s="1190"/>
      <c r="J815" s="1190"/>
      <c r="K815" s="1190"/>
      <c r="L815" s="1190"/>
      <c r="M815" s="1190"/>
      <c r="N815" s="1190"/>
      <c r="O815" s="1190"/>
      <c r="P815" s="1190"/>
      <c r="Q815" s="1190"/>
      <c r="R815" s="1190"/>
      <c r="S815" s="1189"/>
      <c r="T815" s="1190"/>
      <c r="U815" s="1190"/>
      <c r="V815" s="1190"/>
      <c r="W815" s="1190"/>
      <c r="X815" s="1190"/>
      <c r="Y815" s="1190"/>
      <c r="Z815" s="1190"/>
      <c r="AA815" s="1190"/>
      <c r="AB815" s="1190"/>
      <c r="AC815" s="1190"/>
      <c r="AD815" s="1190"/>
      <c r="AE815" s="1190"/>
      <c r="AF815" s="1190"/>
      <c r="AG815" s="1748"/>
      <c r="AH815" s="1190"/>
      <c r="AI815" s="1748"/>
      <c r="AJ815" s="1190"/>
      <c r="AK815" s="1190"/>
      <c r="AL815" s="1190"/>
      <c r="AM815" s="1190"/>
      <c r="AN815" s="1190"/>
      <c r="AO815" s="1190"/>
      <c r="AP815" s="1190"/>
      <c r="AQ815" s="1190"/>
      <c r="AR815" s="1190"/>
      <c r="AS815" s="1190"/>
      <c r="AT815" s="1190"/>
      <c r="AU815" s="1190"/>
      <c r="AV815" s="1190"/>
      <c r="AW815" s="1190"/>
      <c r="AX815" s="1190"/>
      <c r="AY815" s="1190"/>
      <c r="AZ815" s="1190"/>
      <c r="BA815" s="1190"/>
      <c r="BB815" s="1190"/>
      <c r="BC815" s="1190"/>
      <c r="BD815" s="1190"/>
      <c r="BE815" s="1190"/>
      <c r="BF815" s="1190"/>
      <c r="BG815" s="1190"/>
      <c r="BH815" s="1190"/>
      <c r="BI815" s="1190"/>
      <c r="BJ815" s="1190"/>
      <c r="BK815" s="1190"/>
      <c r="BL815" s="1190"/>
      <c r="BM815" s="1190"/>
      <c r="BQ815" s="195"/>
      <c r="BR815" s="195"/>
      <c r="BT815" s="1005"/>
    </row>
    <row r="816" ht="15.75" customHeight="1">
      <c r="A816" s="195"/>
      <c r="B816" s="978"/>
      <c r="C816" s="2321"/>
      <c r="D816" s="1729"/>
      <c r="E816" s="1190"/>
      <c r="F816" s="1190"/>
      <c r="G816" s="1190"/>
      <c r="H816" s="1190"/>
      <c r="I816" s="1190"/>
      <c r="J816" s="1190"/>
      <c r="K816" s="1190"/>
      <c r="L816" s="1190"/>
      <c r="M816" s="1190"/>
      <c r="N816" s="1190"/>
      <c r="O816" s="1190"/>
      <c r="P816" s="1190"/>
      <c r="Q816" s="1190"/>
      <c r="R816" s="1190"/>
      <c r="S816" s="1189"/>
      <c r="T816" s="1190"/>
      <c r="U816" s="1190"/>
      <c r="V816" s="1190"/>
      <c r="W816" s="1190"/>
      <c r="X816" s="1190"/>
      <c r="Y816" s="1190"/>
      <c r="Z816" s="1190"/>
      <c r="AA816" s="1190"/>
      <c r="AB816" s="1190"/>
      <c r="AC816" s="1190"/>
      <c r="AD816" s="1190"/>
      <c r="AE816" s="1190"/>
      <c r="AF816" s="1190"/>
      <c r="AG816" s="1748"/>
      <c r="AH816" s="1190"/>
      <c r="AI816" s="1748"/>
      <c r="AJ816" s="1190"/>
      <c r="AK816" s="1190"/>
      <c r="AL816" s="1190"/>
      <c r="AM816" s="1190"/>
      <c r="AN816" s="1190"/>
      <c r="AO816" s="1190"/>
      <c r="AP816" s="1190"/>
      <c r="AQ816" s="1190"/>
      <c r="AR816" s="1190"/>
      <c r="AS816" s="1190"/>
      <c r="AT816" s="1190"/>
      <c r="AU816" s="1190"/>
      <c r="AV816" s="1190"/>
      <c r="AW816" s="1190"/>
      <c r="AX816" s="1190"/>
      <c r="AY816" s="1190"/>
      <c r="AZ816" s="1190"/>
      <c r="BA816" s="1190"/>
      <c r="BB816" s="1190"/>
      <c r="BC816" s="1190"/>
      <c r="BD816" s="1190"/>
      <c r="BE816" s="1190"/>
      <c r="BF816" s="1190"/>
      <c r="BG816" s="1190"/>
      <c r="BH816" s="1190"/>
      <c r="BI816" s="1190"/>
      <c r="BJ816" s="1190"/>
      <c r="BK816" s="1190"/>
      <c r="BL816" s="1190"/>
      <c r="BM816" s="1190"/>
      <c r="BQ816" s="195"/>
      <c r="BR816" s="195"/>
      <c r="BT816" s="1005"/>
    </row>
    <row r="817" ht="15.75" customHeight="1">
      <c r="A817" s="195"/>
      <c r="B817" s="978"/>
      <c r="C817" s="2321"/>
      <c r="D817" s="1729"/>
      <c r="E817" s="1190"/>
      <c r="F817" s="1190"/>
      <c r="G817" s="1190"/>
      <c r="H817" s="1190"/>
      <c r="I817" s="1190"/>
      <c r="J817" s="1190"/>
      <c r="K817" s="1190"/>
      <c r="L817" s="1190"/>
      <c r="M817" s="1190"/>
      <c r="N817" s="1190"/>
      <c r="O817" s="1190"/>
      <c r="P817" s="1190"/>
      <c r="Q817" s="1190"/>
      <c r="R817" s="1190"/>
      <c r="S817" s="1189"/>
      <c r="T817" s="1190"/>
      <c r="U817" s="1190"/>
      <c r="V817" s="1190"/>
      <c r="W817" s="1190"/>
      <c r="X817" s="1190"/>
      <c r="Y817" s="1190"/>
      <c r="Z817" s="1190"/>
      <c r="AA817" s="1190"/>
      <c r="AB817" s="1190"/>
      <c r="AC817" s="1190"/>
      <c r="AD817" s="1190"/>
      <c r="AE817" s="1190"/>
      <c r="AF817" s="1190"/>
      <c r="AG817" s="1748"/>
      <c r="AH817" s="1190"/>
      <c r="AI817" s="1748"/>
      <c r="AJ817" s="1190"/>
      <c r="AK817" s="1190"/>
      <c r="AL817" s="1190"/>
      <c r="AM817" s="1190"/>
      <c r="AN817" s="1190"/>
      <c r="AO817" s="1190"/>
      <c r="AP817" s="1190"/>
      <c r="AQ817" s="1190"/>
      <c r="AR817" s="1190"/>
      <c r="AS817" s="1190"/>
      <c r="AT817" s="1190"/>
      <c r="AU817" s="1190"/>
      <c r="AV817" s="1190"/>
      <c r="AW817" s="1190"/>
      <c r="AX817" s="1190"/>
      <c r="AY817" s="1190"/>
      <c r="AZ817" s="1190"/>
      <c r="BA817" s="1190"/>
      <c r="BB817" s="1190"/>
      <c r="BC817" s="1190"/>
      <c r="BD817" s="1190"/>
      <c r="BE817" s="1190"/>
      <c r="BF817" s="1190"/>
      <c r="BG817" s="1190"/>
      <c r="BH817" s="1190"/>
      <c r="BI817" s="1190"/>
      <c r="BJ817" s="1190"/>
      <c r="BK817" s="1190"/>
      <c r="BL817" s="1190"/>
      <c r="BM817" s="1190"/>
      <c r="BQ817" s="195"/>
      <c r="BR817" s="195"/>
      <c r="BT817" s="1005"/>
    </row>
    <row r="818" ht="15.75" customHeight="1">
      <c r="A818" s="195"/>
      <c r="B818" s="978"/>
      <c r="C818" s="2321"/>
      <c r="D818" s="1729"/>
      <c r="E818" s="1190"/>
      <c r="F818" s="1190"/>
      <c r="G818" s="1190"/>
      <c r="H818" s="1190"/>
      <c r="I818" s="1190"/>
      <c r="J818" s="1190"/>
      <c r="K818" s="1190"/>
      <c r="L818" s="1190"/>
      <c r="M818" s="1190"/>
      <c r="N818" s="1190"/>
      <c r="O818" s="1190"/>
      <c r="P818" s="1190"/>
      <c r="Q818" s="1190"/>
      <c r="R818" s="1190"/>
      <c r="S818" s="1189"/>
      <c r="T818" s="1190"/>
      <c r="U818" s="1190"/>
      <c r="V818" s="1190"/>
      <c r="W818" s="1190"/>
      <c r="X818" s="1190"/>
      <c r="Y818" s="1190"/>
      <c r="Z818" s="1190"/>
      <c r="AA818" s="1190"/>
      <c r="AB818" s="1190"/>
      <c r="AC818" s="1190"/>
      <c r="AD818" s="1190"/>
      <c r="AE818" s="1190"/>
      <c r="AF818" s="1190"/>
      <c r="AG818" s="1748"/>
      <c r="AH818" s="1190"/>
      <c r="AI818" s="1748"/>
      <c r="AJ818" s="1190"/>
      <c r="AK818" s="1190"/>
      <c r="AL818" s="1190"/>
      <c r="AM818" s="1190"/>
      <c r="AN818" s="1190"/>
      <c r="AO818" s="1190"/>
      <c r="AP818" s="1190"/>
      <c r="AQ818" s="1190"/>
      <c r="AR818" s="1190"/>
      <c r="AS818" s="1190"/>
      <c r="AT818" s="1190"/>
      <c r="AU818" s="1190"/>
      <c r="AV818" s="1190"/>
      <c r="AW818" s="1190"/>
      <c r="AX818" s="1190"/>
      <c r="AY818" s="1190"/>
      <c r="AZ818" s="1190"/>
      <c r="BA818" s="1190"/>
      <c r="BB818" s="1190"/>
      <c r="BC818" s="1190"/>
      <c r="BD818" s="1190"/>
      <c r="BE818" s="1190"/>
      <c r="BF818" s="1190"/>
      <c r="BG818" s="1190"/>
      <c r="BH818" s="1190"/>
      <c r="BI818" s="1190"/>
      <c r="BJ818" s="1190"/>
      <c r="BK818" s="1190"/>
      <c r="BL818" s="1190"/>
      <c r="BM818" s="1190"/>
      <c r="BQ818" s="195"/>
      <c r="BR818" s="195"/>
      <c r="BT818" s="1005"/>
    </row>
    <row r="819" ht="15.75" customHeight="1">
      <c r="A819" s="195"/>
      <c r="B819" s="978"/>
      <c r="C819" s="2321"/>
      <c r="D819" s="1729"/>
      <c r="E819" s="1190"/>
      <c r="F819" s="1190"/>
      <c r="G819" s="1190"/>
      <c r="H819" s="1190"/>
      <c r="I819" s="1190"/>
      <c r="J819" s="1190"/>
      <c r="K819" s="1190"/>
      <c r="L819" s="1190"/>
      <c r="M819" s="1190"/>
      <c r="N819" s="1190"/>
      <c r="O819" s="1190"/>
      <c r="P819" s="1190"/>
      <c r="Q819" s="1190"/>
      <c r="R819" s="1190"/>
      <c r="S819" s="1189"/>
      <c r="T819" s="1190"/>
      <c r="U819" s="1190"/>
      <c r="V819" s="1190"/>
      <c r="W819" s="1190"/>
      <c r="X819" s="1190"/>
      <c r="Y819" s="1190"/>
      <c r="Z819" s="1190"/>
      <c r="AA819" s="1190"/>
      <c r="AB819" s="1190"/>
      <c r="AC819" s="1190"/>
      <c r="AD819" s="1190"/>
      <c r="AE819" s="1190"/>
      <c r="AF819" s="1190"/>
      <c r="AG819" s="1748"/>
      <c r="AH819" s="1190"/>
      <c r="AI819" s="1748"/>
      <c r="AJ819" s="1190"/>
      <c r="AK819" s="1190"/>
      <c r="AL819" s="1190"/>
      <c r="AM819" s="1190"/>
      <c r="AN819" s="1190"/>
      <c r="AO819" s="1190"/>
      <c r="AP819" s="1190"/>
      <c r="AQ819" s="1190"/>
      <c r="AR819" s="1190"/>
      <c r="AS819" s="1190"/>
      <c r="AT819" s="1190"/>
      <c r="AU819" s="1190"/>
      <c r="AV819" s="1190"/>
      <c r="AW819" s="1190"/>
      <c r="AX819" s="1190"/>
      <c r="AY819" s="1190"/>
      <c r="AZ819" s="1190"/>
      <c r="BA819" s="1190"/>
      <c r="BB819" s="1190"/>
      <c r="BC819" s="1190"/>
      <c r="BD819" s="1190"/>
      <c r="BE819" s="1190"/>
      <c r="BF819" s="1190"/>
      <c r="BG819" s="1190"/>
      <c r="BH819" s="1190"/>
      <c r="BI819" s="1190"/>
      <c r="BJ819" s="1190"/>
      <c r="BK819" s="1190"/>
      <c r="BL819" s="1190"/>
      <c r="BM819" s="1190"/>
      <c r="BQ819" s="195"/>
      <c r="BR819" s="195"/>
      <c r="BT819" s="1005"/>
    </row>
    <row r="820" ht="15.75" customHeight="1">
      <c r="A820" s="195"/>
      <c r="B820" s="978"/>
      <c r="C820" s="2321"/>
      <c r="D820" s="1729"/>
      <c r="E820" s="1190"/>
      <c r="F820" s="1190"/>
      <c r="G820" s="1190"/>
      <c r="H820" s="1190"/>
      <c r="I820" s="1190"/>
      <c r="J820" s="1190"/>
      <c r="K820" s="1190"/>
      <c r="L820" s="1190"/>
      <c r="M820" s="1190"/>
      <c r="N820" s="1190"/>
      <c r="O820" s="1190"/>
      <c r="P820" s="1190"/>
      <c r="Q820" s="1190"/>
      <c r="R820" s="1190"/>
      <c r="S820" s="1189"/>
      <c r="T820" s="1190"/>
      <c r="U820" s="1190"/>
      <c r="V820" s="1190"/>
      <c r="W820" s="1190"/>
      <c r="X820" s="1190"/>
      <c r="Y820" s="1190"/>
      <c r="Z820" s="1190"/>
      <c r="AA820" s="1190"/>
      <c r="AB820" s="1190"/>
      <c r="AC820" s="1190"/>
      <c r="AD820" s="1190"/>
      <c r="AE820" s="1190"/>
      <c r="AF820" s="1190"/>
      <c r="AG820" s="1748"/>
      <c r="AH820" s="1190"/>
      <c r="AI820" s="1748"/>
      <c r="AJ820" s="1190"/>
      <c r="AK820" s="1190"/>
      <c r="AL820" s="1190"/>
      <c r="AM820" s="1190"/>
      <c r="AN820" s="1190"/>
      <c r="AO820" s="1190"/>
      <c r="AP820" s="1190"/>
      <c r="AQ820" s="1190"/>
      <c r="AR820" s="1190"/>
      <c r="AS820" s="1190"/>
      <c r="AT820" s="1190"/>
      <c r="AU820" s="1190"/>
      <c r="AV820" s="1190"/>
      <c r="AW820" s="1190"/>
      <c r="AX820" s="1190"/>
      <c r="AY820" s="1190"/>
      <c r="AZ820" s="1190"/>
      <c r="BA820" s="1190"/>
      <c r="BB820" s="1190"/>
      <c r="BC820" s="1190"/>
      <c r="BD820" s="1190"/>
      <c r="BE820" s="1190"/>
      <c r="BF820" s="1190"/>
      <c r="BG820" s="1190"/>
      <c r="BH820" s="1190"/>
      <c r="BI820" s="1190"/>
      <c r="BJ820" s="1190"/>
      <c r="BK820" s="1190"/>
      <c r="BL820" s="1190"/>
      <c r="BM820" s="1190"/>
      <c r="BQ820" s="195"/>
      <c r="BR820" s="195"/>
      <c r="BT820" s="1005"/>
    </row>
    <row r="821" ht="15.75" customHeight="1">
      <c r="A821" s="195"/>
      <c r="B821" s="978"/>
      <c r="C821" s="2321"/>
      <c r="D821" s="1729"/>
      <c r="E821" s="1190"/>
      <c r="F821" s="1190"/>
      <c r="G821" s="1190"/>
      <c r="H821" s="1190"/>
      <c r="I821" s="1190"/>
      <c r="J821" s="1190"/>
      <c r="K821" s="1190"/>
      <c r="L821" s="1190"/>
      <c r="M821" s="1190"/>
      <c r="N821" s="1190"/>
      <c r="O821" s="1190"/>
      <c r="P821" s="1190"/>
      <c r="Q821" s="1190"/>
      <c r="R821" s="1190"/>
      <c r="S821" s="1189"/>
      <c r="T821" s="1190"/>
      <c r="U821" s="1190"/>
      <c r="V821" s="1190"/>
      <c r="W821" s="1190"/>
      <c r="X821" s="1190"/>
      <c r="Y821" s="1190"/>
      <c r="Z821" s="1190"/>
      <c r="AA821" s="1190"/>
      <c r="AB821" s="1190"/>
      <c r="AC821" s="1190"/>
      <c r="AD821" s="1190"/>
      <c r="AE821" s="1190"/>
      <c r="AF821" s="1190"/>
      <c r="AG821" s="1748"/>
      <c r="AH821" s="1190"/>
      <c r="AI821" s="1748"/>
      <c r="AJ821" s="1190"/>
      <c r="AK821" s="1190"/>
      <c r="AL821" s="1190"/>
      <c r="AM821" s="1190"/>
      <c r="AN821" s="1190"/>
      <c r="AO821" s="1190"/>
      <c r="AP821" s="1190"/>
      <c r="AQ821" s="1190"/>
      <c r="AR821" s="1190"/>
      <c r="AS821" s="1190"/>
      <c r="AT821" s="1190"/>
      <c r="AU821" s="1190"/>
      <c r="AV821" s="1190"/>
      <c r="AW821" s="1190"/>
      <c r="AX821" s="1190"/>
      <c r="AY821" s="1190"/>
      <c r="AZ821" s="1190"/>
      <c r="BA821" s="1190"/>
      <c r="BB821" s="1190"/>
      <c r="BC821" s="1190"/>
      <c r="BD821" s="1190"/>
      <c r="BE821" s="1190"/>
      <c r="BF821" s="1190"/>
      <c r="BG821" s="1190"/>
      <c r="BH821" s="1190"/>
      <c r="BI821" s="1190"/>
      <c r="BJ821" s="1190"/>
      <c r="BK821" s="1190"/>
      <c r="BL821" s="1190"/>
      <c r="BM821" s="1190"/>
      <c r="BQ821" s="195"/>
      <c r="BR821" s="195"/>
      <c r="BT821" s="1005"/>
    </row>
    <row r="822" ht="15.75" customHeight="1">
      <c r="A822" s="195"/>
      <c r="B822" s="978"/>
      <c r="C822" s="2321"/>
      <c r="D822" s="1729"/>
      <c r="E822" s="1190"/>
      <c r="F822" s="1190"/>
      <c r="G822" s="1190"/>
      <c r="H822" s="1190"/>
      <c r="I822" s="1190"/>
      <c r="J822" s="1190"/>
      <c r="K822" s="1190"/>
      <c r="L822" s="1190"/>
      <c r="M822" s="1190"/>
      <c r="N822" s="1190"/>
      <c r="O822" s="1190"/>
      <c r="P822" s="1190"/>
      <c r="Q822" s="1190"/>
      <c r="R822" s="1190"/>
      <c r="S822" s="1189"/>
      <c r="T822" s="1190"/>
      <c r="U822" s="1190"/>
      <c r="V822" s="1190"/>
      <c r="W822" s="1190"/>
      <c r="X822" s="1190"/>
      <c r="Y822" s="1190"/>
      <c r="Z822" s="1190"/>
      <c r="AA822" s="1190"/>
      <c r="AB822" s="1190"/>
      <c r="AC822" s="1190"/>
      <c r="AD822" s="1190"/>
      <c r="AE822" s="1190"/>
      <c r="AF822" s="1190"/>
      <c r="AG822" s="1748"/>
      <c r="AH822" s="1190"/>
      <c r="AI822" s="1748"/>
      <c r="AJ822" s="1190"/>
      <c r="AK822" s="1190"/>
      <c r="AL822" s="1190"/>
      <c r="AM822" s="1190"/>
      <c r="AN822" s="1190"/>
      <c r="AO822" s="1190"/>
      <c r="AP822" s="1190"/>
      <c r="AQ822" s="1190"/>
      <c r="AR822" s="1190"/>
      <c r="AS822" s="1190"/>
      <c r="AT822" s="1190"/>
      <c r="AU822" s="1190"/>
      <c r="AV822" s="1190"/>
      <c r="AW822" s="1190"/>
      <c r="AX822" s="1190"/>
      <c r="AY822" s="1190"/>
      <c r="AZ822" s="1190"/>
      <c r="BA822" s="1190"/>
      <c r="BB822" s="1190"/>
      <c r="BC822" s="1190"/>
      <c r="BD822" s="1190"/>
      <c r="BE822" s="1190"/>
      <c r="BF822" s="1190"/>
      <c r="BG822" s="1190"/>
      <c r="BH822" s="1190"/>
      <c r="BI822" s="1190"/>
      <c r="BJ822" s="1190"/>
      <c r="BK822" s="1190"/>
      <c r="BL822" s="1190"/>
      <c r="BM822" s="1190"/>
      <c r="BQ822" s="195"/>
      <c r="BR822" s="195"/>
      <c r="BT822" s="1005"/>
    </row>
    <row r="823" ht="15.75" customHeight="1">
      <c r="A823" s="195"/>
      <c r="B823" s="978"/>
      <c r="C823" s="2321"/>
      <c r="D823" s="1729"/>
      <c r="E823" s="1190"/>
      <c r="F823" s="1190"/>
      <c r="G823" s="1190"/>
      <c r="H823" s="1190"/>
      <c r="I823" s="1190"/>
      <c r="J823" s="1190"/>
      <c r="K823" s="1190"/>
      <c r="L823" s="1190"/>
      <c r="M823" s="1190"/>
      <c r="N823" s="1190"/>
      <c r="O823" s="1190"/>
      <c r="P823" s="1190"/>
      <c r="Q823" s="1190"/>
      <c r="R823" s="1190"/>
      <c r="S823" s="1189"/>
      <c r="T823" s="1190"/>
      <c r="U823" s="1190"/>
      <c r="V823" s="1190"/>
      <c r="W823" s="1190"/>
      <c r="X823" s="1190"/>
      <c r="Y823" s="1190"/>
      <c r="Z823" s="1190"/>
      <c r="AA823" s="1190"/>
      <c r="AB823" s="1190"/>
      <c r="AC823" s="1190"/>
      <c r="AD823" s="1190"/>
      <c r="AE823" s="1190"/>
      <c r="AF823" s="1190"/>
      <c r="AG823" s="1748"/>
      <c r="AH823" s="1190"/>
      <c r="AI823" s="1748"/>
      <c r="AJ823" s="1190"/>
      <c r="AK823" s="1190"/>
      <c r="AL823" s="1190"/>
      <c r="AM823" s="1190"/>
      <c r="AN823" s="1190"/>
      <c r="AO823" s="1190"/>
      <c r="AP823" s="1190"/>
      <c r="AQ823" s="1190"/>
      <c r="AR823" s="1190"/>
      <c r="AS823" s="1190"/>
      <c r="AT823" s="1190"/>
      <c r="AU823" s="1190"/>
      <c r="AV823" s="1190"/>
      <c r="AW823" s="1190"/>
      <c r="AX823" s="1190"/>
      <c r="AY823" s="1190"/>
      <c r="AZ823" s="1190"/>
      <c r="BA823" s="1190"/>
      <c r="BB823" s="1190"/>
      <c r="BC823" s="1190"/>
      <c r="BD823" s="1190"/>
      <c r="BE823" s="1190"/>
      <c r="BF823" s="1190"/>
      <c r="BG823" s="1190"/>
      <c r="BH823" s="1190"/>
      <c r="BI823" s="1190"/>
      <c r="BJ823" s="1190"/>
      <c r="BK823" s="1190"/>
      <c r="BL823" s="1190"/>
      <c r="BM823" s="1190"/>
      <c r="BQ823" s="195"/>
      <c r="BR823" s="195"/>
      <c r="BT823" s="1005"/>
    </row>
    <row r="824" ht="15.75" customHeight="1">
      <c r="A824" s="195"/>
      <c r="B824" s="978"/>
      <c r="C824" s="2321"/>
      <c r="D824" s="1729"/>
      <c r="E824" s="1190"/>
      <c r="F824" s="1190"/>
      <c r="G824" s="1190"/>
      <c r="H824" s="1190"/>
      <c r="I824" s="1190"/>
      <c r="J824" s="1190"/>
      <c r="K824" s="1190"/>
      <c r="L824" s="1190"/>
      <c r="M824" s="1190"/>
      <c r="N824" s="1190"/>
      <c r="O824" s="1190"/>
      <c r="P824" s="1190"/>
      <c r="Q824" s="1190"/>
      <c r="R824" s="1190"/>
      <c r="S824" s="1189"/>
      <c r="T824" s="1190"/>
      <c r="U824" s="1190"/>
      <c r="V824" s="1190"/>
      <c r="W824" s="1190"/>
      <c r="X824" s="1190"/>
      <c r="Y824" s="1190"/>
      <c r="Z824" s="1190"/>
      <c r="AA824" s="1190"/>
      <c r="AB824" s="1190"/>
      <c r="AC824" s="1190"/>
      <c r="AD824" s="1190"/>
      <c r="AE824" s="1190"/>
      <c r="AF824" s="1190"/>
      <c r="AG824" s="1748"/>
      <c r="AH824" s="1190"/>
      <c r="AI824" s="1748"/>
      <c r="AJ824" s="1190"/>
      <c r="AK824" s="1190"/>
      <c r="AL824" s="1190"/>
      <c r="AM824" s="1190"/>
      <c r="AN824" s="1190"/>
      <c r="AO824" s="1190"/>
      <c r="AP824" s="1190"/>
      <c r="AQ824" s="1190"/>
      <c r="AR824" s="1190"/>
      <c r="AS824" s="1190"/>
      <c r="AT824" s="1190"/>
      <c r="AU824" s="1190"/>
      <c r="AV824" s="1190"/>
      <c r="AW824" s="1190"/>
      <c r="AX824" s="1190"/>
      <c r="AY824" s="1190"/>
      <c r="AZ824" s="1190"/>
      <c r="BA824" s="1190"/>
      <c r="BB824" s="1190"/>
      <c r="BC824" s="1190"/>
      <c r="BD824" s="1190"/>
      <c r="BE824" s="1190"/>
      <c r="BF824" s="1190"/>
      <c r="BG824" s="1190"/>
      <c r="BH824" s="1190"/>
      <c r="BI824" s="1190"/>
      <c r="BJ824" s="1190"/>
      <c r="BK824" s="1190"/>
      <c r="BL824" s="1190"/>
      <c r="BM824" s="1190"/>
      <c r="BQ824" s="195"/>
      <c r="BR824" s="195"/>
      <c r="BT824" s="1005"/>
    </row>
    <row r="825" ht="15.75" customHeight="1">
      <c r="A825" s="195"/>
      <c r="B825" s="978"/>
      <c r="C825" s="2321"/>
      <c r="D825" s="1729"/>
      <c r="E825" s="1190"/>
      <c r="F825" s="1190"/>
      <c r="G825" s="1190"/>
      <c r="H825" s="1190"/>
      <c r="I825" s="1190"/>
      <c r="J825" s="1190"/>
      <c r="K825" s="1190"/>
      <c r="L825" s="1190"/>
      <c r="M825" s="1190"/>
      <c r="N825" s="1190"/>
      <c r="O825" s="1190"/>
      <c r="P825" s="1190"/>
      <c r="Q825" s="1190"/>
      <c r="R825" s="1190"/>
      <c r="S825" s="1189"/>
      <c r="T825" s="1190"/>
      <c r="U825" s="1190"/>
      <c r="V825" s="1190"/>
      <c r="W825" s="1190"/>
      <c r="X825" s="1190"/>
      <c r="Y825" s="1190"/>
      <c r="Z825" s="1190"/>
      <c r="AA825" s="1190"/>
      <c r="AB825" s="1190"/>
      <c r="AC825" s="1190"/>
      <c r="AD825" s="1190"/>
      <c r="AE825" s="1190"/>
      <c r="AF825" s="1190"/>
      <c r="AG825" s="1748"/>
      <c r="AH825" s="1190"/>
      <c r="AI825" s="1748"/>
      <c r="AJ825" s="1190"/>
      <c r="AK825" s="1190"/>
      <c r="AL825" s="1190"/>
      <c r="AM825" s="1190"/>
      <c r="AN825" s="1190"/>
      <c r="AO825" s="1190"/>
      <c r="AP825" s="1190"/>
      <c r="AQ825" s="1190"/>
      <c r="AR825" s="1190"/>
      <c r="AS825" s="1190"/>
      <c r="AT825" s="1190"/>
      <c r="AU825" s="1190"/>
      <c r="AV825" s="1190"/>
      <c r="AW825" s="1190"/>
      <c r="AX825" s="1190"/>
      <c r="AY825" s="1190"/>
      <c r="AZ825" s="1190"/>
      <c r="BA825" s="1190"/>
      <c r="BB825" s="1190"/>
      <c r="BC825" s="1190"/>
      <c r="BD825" s="1190"/>
      <c r="BE825" s="1190"/>
      <c r="BF825" s="1190"/>
      <c r="BG825" s="1190"/>
      <c r="BH825" s="1190"/>
      <c r="BI825" s="1190"/>
      <c r="BJ825" s="1190"/>
      <c r="BK825" s="1190"/>
      <c r="BL825" s="1190"/>
      <c r="BM825" s="1190"/>
      <c r="BQ825" s="195"/>
      <c r="BR825" s="195"/>
      <c r="BT825" s="1005"/>
    </row>
    <row r="826" ht="15.75" customHeight="1">
      <c r="A826" s="195"/>
      <c r="B826" s="978"/>
      <c r="C826" s="2321"/>
      <c r="D826" s="1729"/>
      <c r="E826" s="1190"/>
      <c r="F826" s="1190"/>
      <c r="G826" s="1190"/>
      <c r="H826" s="1190"/>
      <c r="I826" s="1190"/>
      <c r="J826" s="1190"/>
      <c r="K826" s="1190"/>
      <c r="L826" s="1190"/>
      <c r="M826" s="1190"/>
      <c r="N826" s="1190"/>
      <c r="O826" s="1190"/>
      <c r="P826" s="1190"/>
      <c r="Q826" s="1190"/>
      <c r="R826" s="1190"/>
      <c r="S826" s="1189"/>
      <c r="T826" s="1190"/>
      <c r="U826" s="1190"/>
      <c r="V826" s="1190"/>
      <c r="W826" s="1190"/>
      <c r="X826" s="1190"/>
      <c r="Y826" s="1190"/>
      <c r="Z826" s="1190"/>
      <c r="AA826" s="1190"/>
      <c r="AB826" s="1190"/>
      <c r="AC826" s="1190"/>
      <c r="AD826" s="1190"/>
      <c r="AE826" s="1190"/>
      <c r="AF826" s="1190"/>
      <c r="AG826" s="1748"/>
      <c r="AH826" s="1190"/>
      <c r="AI826" s="1748"/>
      <c r="AJ826" s="1190"/>
      <c r="AK826" s="1190"/>
      <c r="AL826" s="1190"/>
      <c r="AM826" s="1190"/>
      <c r="AN826" s="1190"/>
      <c r="AO826" s="1190"/>
      <c r="AP826" s="1190"/>
      <c r="AQ826" s="1190"/>
      <c r="AR826" s="1190"/>
      <c r="AS826" s="1190"/>
      <c r="AT826" s="1190"/>
      <c r="AU826" s="1190"/>
      <c r="AV826" s="1190"/>
      <c r="AW826" s="1190"/>
      <c r="AX826" s="1190"/>
      <c r="AY826" s="1190"/>
      <c r="AZ826" s="1190"/>
      <c r="BA826" s="1190"/>
      <c r="BB826" s="1190"/>
      <c r="BC826" s="1190"/>
      <c r="BD826" s="1190"/>
      <c r="BE826" s="1190"/>
      <c r="BF826" s="1190"/>
      <c r="BG826" s="1190"/>
      <c r="BH826" s="1190"/>
      <c r="BI826" s="1190"/>
      <c r="BJ826" s="1190"/>
      <c r="BK826" s="1190"/>
      <c r="BL826" s="1190"/>
      <c r="BM826" s="1190"/>
      <c r="BQ826" s="195"/>
      <c r="BR826" s="195"/>
      <c r="BT826" s="1005"/>
    </row>
    <row r="827" ht="15.75" customHeight="1">
      <c r="A827" s="195"/>
      <c r="B827" s="978"/>
      <c r="C827" s="2321"/>
      <c r="D827" s="1729"/>
      <c r="E827" s="1190"/>
      <c r="F827" s="1190"/>
      <c r="G827" s="1190"/>
      <c r="H827" s="1190"/>
      <c r="I827" s="1190"/>
      <c r="J827" s="1190"/>
      <c r="K827" s="1190"/>
      <c r="L827" s="1190"/>
      <c r="M827" s="1190"/>
      <c r="N827" s="1190"/>
      <c r="O827" s="1190"/>
      <c r="P827" s="1190"/>
      <c r="Q827" s="1190"/>
      <c r="R827" s="1190"/>
      <c r="S827" s="1189"/>
      <c r="T827" s="1190"/>
      <c r="U827" s="1190"/>
      <c r="V827" s="1190"/>
      <c r="W827" s="1190"/>
      <c r="X827" s="1190"/>
      <c r="Y827" s="1190"/>
      <c r="Z827" s="1190"/>
      <c r="AA827" s="1190"/>
      <c r="AB827" s="1190"/>
      <c r="AC827" s="1190"/>
      <c r="AD827" s="1190"/>
      <c r="AE827" s="1190"/>
      <c r="AF827" s="1190"/>
      <c r="AG827" s="1748"/>
      <c r="AH827" s="1190"/>
      <c r="AI827" s="1748"/>
      <c r="AJ827" s="1190"/>
      <c r="AK827" s="1190"/>
      <c r="AL827" s="1190"/>
      <c r="AM827" s="1190"/>
      <c r="AN827" s="1190"/>
      <c r="AO827" s="1190"/>
      <c r="AP827" s="1190"/>
      <c r="AQ827" s="1190"/>
      <c r="AR827" s="1190"/>
      <c r="AS827" s="1190"/>
      <c r="AT827" s="1190"/>
      <c r="AU827" s="1190"/>
      <c r="AV827" s="1190"/>
      <c r="AW827" s="1190"/>
      <c r="AX827" s="1190"/>
      <c r="AY827" s="1190"/>
      <c r="AZ827" s="1190"/>
      <c r="BA827" s="1190"/>
      <c r="BB827" s="1190"/>
      <c r="BC827" s="1190"/>
      <c r="BD827" s="1190"/>
      <c r="BE827" s="1190"/>
      <c r="BF827" s="1190"/>
      <c r="BG827" s="1190"/>
      <c r="BH827" s="1190"/>
      <c r="BI827" s="1190"/>
      <c r="BJ827" s="1190"/>
      <c r="BK827" s="1190"/>
      <c r="BL827" s="1190"/>
      <c r="BM827" s="1190"/>
      <c r="BQ827" s="195"/>
      <c r="BR827" s="195"/>
      <c r="BT827" s="1005"/>
    </row>
    <row r="828" ht="15.75" customHeight="1">
      <c r="A828" s="195"/>
      <c r="B828" s="978"/>
      <c r="C828" s="2321"/>
      <c r="D828" s="1729"/>
      <c r="E828" s="1190"/>
      <c r="F828" s="1190"/>
      <c r="G828" s="1190"/>
      <c r="H828" s="1190"/>
      <c r="I828" s="1190"/>
      <c r="J828" s="1190"/>
      <c r="K828" s="1190"/>
      <c r="L828" s="1190"/>
      <c r="M828" s="1190"/>
      <c r="N828" s="1190"/>
      <c r="O828" s="1190"/>
      <c r="P828" s="1190"/>
      <c r="Q828" s="1190"/>
      <c r="R828" s="1190"/>
      <c r="S828" s="1189"/>
      <c r="T828" s="1190"/>
      <c r="U828" s="1190"/>
      <c r="V828" s="1190"/>
      <c r="W828" s="1190"/>
      <c r="X828" s="1190"/>
      <c r="Y828" s="1190"/>
      <c r="Z828" s="1190"/>
      <c r="AA828" s="1190"/>
      <c r="AB828" s="1190"/>
      <c r="AC828" s="1190"/>
      <c r="AD828" s="1190"/>
      <c r="AE828" s="1190"/>
      <c r="AF828" s="1190"/>
      <c r="AG828" s="1748"/>
      <c r="AH828" s="1190"/>
      <c r="AI828" s="1748"/>
      <c r="AJ828" s="1190"/>
      <c r="AK828" s="1190"/>
      <c r="AL828" s="1190"/>
      <c r="AM828" s="1190"/>
      <c r="AN828" s="1190"/>
      <c r="AO828" s="1190"/>
      <c r="AP828" s="1190"/>
      <c r="AQ828" s="1190"/>
      <c r="AR828" s="1190"/>
      <c r="AS828" s="1190"/>
      <c r="AT828" s="1190"/>
      <c r="AU828" s="1190"/>
      <c r="AV828" s="1190"/>
      <c r="AW828" s="1190"/>
      <c r="AX828" s="1190"/>
      <c r="AY828" s="1190"/>
      <c r="AZ828" s="1190"/>
      <c r="BA828" s="1190"/>
      <c r="BB828" s="1190"/>
      <c r="BC828" s="1190"/>
      <c r="BD828" s="1190"/>
      <c r="BE828" s="1190"/>
      <c r="BF828" s="1190"/>
      <c r="BG828" s="1190"/>
      <c r="BH828" s="1190"/>
      <c r="BI828" s="1190"/>
      <c r="BJ828" s="1190"/>
      <c r="BK828" s="1190"/>
      <c r="BL828" s="1190"/>
      <c r="BM828" s="1190"/>
      <c r="BQ828" s="195"/>
      <c r="BR828" s="195"/>
      <c r="BT828" s="1005"/>
    </row>
    <row r="829" ht="15.75" customHeight="1">
      <c r="A829" s="195"/>
      <c r="B829" s="978"/>
      <c r="C829" s="2321"/>
      <c r="D829" s="1729"/>
      <c r="E829" s="1190"/>
      <c r="F829" s="1190"/>
      <c r="G829" s="1190"/>
      <c r="H829" s="1190"/>
      <c r="I829" s="1190"/>
      <c r="J829" s="1190"/>
      <c r="K829" s="1190"/>
      <c r="L829" s="1190"/>
      <c r="M829" s="1190"/>
      <c r="N829" s="1190"/>
      <c r="O829" s="1190"/>
      <c r="P829" s="1190"/>
      <c r="Q829" s="1190"/>
      <c r="R829" s="1190"/>
      <c r="S829" s="1189"/>
      <c r="T829" s="1190"/>
      <c r="U829" s="1190"/>
      <c r="V829" s="1190"/>
      <c r="W829" s="1190"/>
      <c r="X829" s="1190"/>
      <c r="Y829" s="1190"/>
      <c r="Z829" s="1190"/>
      <c r="AA829" s="1190"/>
      <c r="AB829" s="1190"/>
      <c r="AC829" s="1190"/>
      <c r="AD829" s="1190"/>
      <c r="AE829" s="1190"/>
      <c r="AF829" s="1190"/>
      <c r="AG829" s="1748"/>
      <c r="AH829" s="1190"/>
      <c r="AI829" s="1748"/>
      <c r="AJ829" s="1190"/>
      <c r="AK829" s="1190"/>
      <c r="AL829" s="1190"/>
      <c r="AM829" s="1190"/>
      <c r="AN829" s="1190"/>
      <c r="AO829" s="1190"/>
      <c r="AP829" s="1190"/>
      <c r="AQ829" s="1190"/>
      <c r="AR829" s="1190"/>
      <c r="AS829" s="1190"/>
      <c r="AT829" s="1190"/>
      <c r="AU829" s="1190"/>
      <c r="AV829" s="1190"/>
      <c r="AW829" s="1190"/>
      <c r="AX829" s="1190"/>
      <c r="AY829" s="1190"/>
      <c r="AZ829" s="1190"/>
      <c r="BA829" s="1190"/>
      <c r="BB829" s="1190"/>
      <c r="BC829" s="1190"/>
      <c r="BD829" s="1190"/>
      <c r="BE829" s="1190"/>
      <c r="BF829" s="1190"/>
      <c r="BG829" s="1190"/>
      <c r="BH829" s="1190"/>
      <c r="BI829" s="1190"/>
      <c r="BJ829" s="1190"/>
      <c r="BK829" s="1190"/>
      <c r="BL829" s="1190"/>
      <c r="BM829" s="1190"/>
      <c r="BQ829" s="195"/>
      <c r="BR829" s="195"/>
      <c r="BT829" s="1005"/>
    </row>
    <row r="830" ht="15.75" customHeight="1">
      <c r="A830" s="195"/>
      <c r="B830" s="978"/>
      <c r="C830" s="2321"/>
      <c r="D830" s="1729"/>
      <c r="E830" s="1190"/>
      <c r="F830" s="1190"/>
      <c r="G830" s="1190"/>
      <c r="H830" s="1190"/>
      <c r="I830" s="1190"/>
      <c r="J830" s="1190"/>
      <c r="K830" s="1190"/>
      <c r="L830" s="1190"/>
      <c r="M830" s="1190"/>
      <c r="N830" s="1190"/>
      <c r="O830" s="1190"/>
      <c r="P830" s="1190"/>
      <c r="Q830" s="1190"/>
      <c r="R830" s="1190"/>
      <c r="S830" s="1189"/>
      <c r="T830" s="1190"/>
      <c r="U830" s="1190"/>
      <c r="V830" s="1190"/>
      <c r="W830" s="1190"/>
      <c r="X830" s="1190"/>
      <c r="Y830" s="1190"/>
      <c r="Z830" s="1190"/>
      <c r="AA830" s="1190"/>
      <c r="AB830" s="1190"/>
      <c r="AC830" s="1190"/>
      <c r="AD830" s="1190"/>
      <c r="AE830" s="1190"/>
      <c r="AF830" s="1190"/>
      <c r="AG830" s="1748"/>
      <c r="AH830" s="1190"/>
      <c r="AI830" s="1748"/>
      <c r="AJ830" s="1190"/>
      <c r="AK830" s="1190"/>
      <c r="AL830" s="1190"/>
      <c r="AM830" s="1190"/>
      <c r="AN830" s="1190"/>
      <c r="AO830" s="1190"/>
      <c r="AP830" s="1190"/>
      <c r="AQ830" s="1190"/>
      <c r="AR830" s="1190"/>
      <c r="AS830" s="1190"/>
      <c r="AT830" s="1190"/>
      <c r="AU830" s="1190"/>
      <c r="AV830" s="1190"/>
      <c r="AW830" s="1190"/>
      <c r="AX830" s="1190"/>
      <c r="AY830" s="1190"/>
      <c r="AZ830" s="1190"/>
      <c r="BA830" s="1190"/>
      <c r="BB830" s="1190"/>
      <c r="BC830" s="1190"/>
      <c r="BD830" s="1190"/>
      <c r="BE830" s="1190"/>
      <c r="BF830" s="1190"/>
      <c r="BG830" s="1190"/>
      <c r="BH830" s="1190"/>
      <c r="BI830" s="1190"/>
      <c r="BJ830" s="1190"/>
      <c r="BK830" s="1190"/>
      <c r="BL830" s="1190"/>
      <c r="BM830" s="1190"/>
      <c r="BQ830" s="195"/>
      <c r="BR830" s="195"/>
      <c r="BT830" s="1005"/>
    </row>
    <row r="831" ht="15.75" customHeight="1">
      <c r="A831" s="195"/>
      <c r="B831" s="978"/>
      <c r="C831" s="2321"/>
      <c r="D831" s="1729"/>
      <c r="E831" s="1190"/>
      <c r="F831" s="1190"/>
      <c r="G831" s="1190"/>
      <c r="H831" s="1190"/>
      <c r="I831" s="1190"/>
      <c r="J831" s="1190"/>
      <c r="K831" s="1190"/>
      <c r="L831" s="1190"/>
      <c r="M831" s="1190"/>
      <c r="N831" s="1190"/>
      <c r="O831" s="1190"/>
      <c r="P831" s="1190"/>
      <c r="Q831" s="1190"/>
      <c r="R831" s="1190"/>
      <c r="S831" s="1189"/>
      <c r="T831" s="1190"/>
      <c r="U831" s="1190"/>
      <c r="V831" s="1190"/>
      <c r="W831" s="1190"/>
      <c r="X831" s="1190"/>
      <c r="Y831" s="1190"/>
      <c r="Z831" s="1190"/>
      <c r="AA831" s="1190"/>
      <c r="AB831" s="1190"/>
      <c r="AC831" s="1190"/>
      <c r="AD831" s="1190"/>
      <c r="AE831" s="1190"/>
      <c r="AF831" s="1190"/>
      <c r="AG831" s="1748"/>
      <c r="AH831" s="1190"/>
      <c r="AI831" s="1748"/>
      <c r="AJ831" s="1190"/>
      <c r="AK831" s="1190"/>
      <c r="AL831" s="1190"/>
      <c r="AM831" s="1190"/>
      <c r="AN831" s="1190"/>
      <c r="AO831" s="1190"/>
      <c r="AP831" s="1190"/>
      <c r="AQ831" s="1190"/>
      <c r="AR831" s="1190"/>
      <c r="AS831" s="1190"/>
      <c r="AT831" s="1190"/>
      <c r="AU831" s="1190"/>
      <c r="AV831" s="1190"/>
      <c r="AW831" s="1190"/>
      <c r="AX831" s="1190"/>
      <c r="AY831" s="1190"/>
      <c r="AZ831" s="1190"/>
      <c r="BA831" s="1190"/>
      <c r="BB831" s="1190"/>
      <c r="BC831" s="1190"/>
      <c r="BD831" s="1190"/>
      <c r="BE831" s="1190"/>
      <c r="BF831" s="1190"/>
      <c r="BG831" s="1190"/>
      <c r="BH831" s="1190"/>
      <c r="BI831" s="1190"/>
      <c r="BJ831" s="1190"/>
      <c r="BK831" s="1190"/>
      <c r="BL831" s="1190"/>
      <c r="BM831" s="1190"/>
      <c r="BQ831" s="195"/>
      <c r="BR831" s="195"/>
      <c r="BT831" s="1005"/>
    </row>
    <row r="832" ht="15.75" customHeight="1">
      <c r="A832" s="195"/>
      <c r="B832" s="978"/>
      <c r="C832" s="2321"/>
      <c r="D832" s="1729"/>
      <c r="E832" s="1190"/>
      <c r="F832" s="1190"/>
      <c r="G832" s="1190"/>
      <c r="H832" s="1190"/>
      <c r="I832" s="1190"/>
      <c r="J832" s="1190"/>
      <c r="K832" s="1190"/>
      <c r="L832" s="1190"/>
      <c r="M832" s="1190"/>
      <c r="N832" s="1190"/>
      <c r="O832" s="1190"/>
      <c r="P832" s="1190"/>
      <c r="Q832" s="1190"/>
      <c r="R832" s="1190"/>
      <c r="S832" s="1189"/>
      <c r="T832" s="1190"/>
      <c r="U832" s="1190"/>
      <c r="V832" s="1190"/>
      <c r="W832" s="1190"/>
      <c r="X832" s="1190"/>
      <c r="Y832" s="1190"/>
      <c r="Z832" s="1190"/>
      <c r="AA832" s="1190"/>
      <c r="AB832" s="1190"/>
      <c r="AC832" s="1190"/>
      <c r="AD832" s="1190"/>
      <c r="AE832" s="1190"/>
      <c r="AF832" s="1190"/>
      <c r="AG832" s="1748"/>
      <c r="AH832" s="1190"/>
      <c r="AI832" s="1748"/>
      <c r="AJ832" s="1190"/>
      <c r="AK832" s="1190"/>
      <c r="AL832" s="1190"/>
      <c r="AM832" s="1190"/>
      <c r="AN832" s="1190"/>
      <c r="AO832" s="1190"/>
      <c r="AP832" s="1190"/>
      <c r="AQ832" s="1190"/>
      <c r="AR832" s="1190"/>
      <c r="AS832" s="1190"/>
      <c r="AT832" s="1190"/>
      <c r="AU832" s="1190"/>
      <c r="AV832" s="1190"/>
      <c r="AW832" s="1190"/>
      <c r="AX832" s="1190"/>
      <c r="AY832" s="1190"/>
      <c r="AZ832" s="1190"/>
      <c r="BA832" s="1190"/>
      <c r="BB832" s="1190"/>
      <c r="BC832" s="1190"/>
      <c r="BD832" s="1190"/>
      <c r="BE832" s="1190"/>
      <c r="BF832" s="1190"/>
      <c r="BG832" s="1190"/>
      <c r="BH832" s="1190"/>
      <c r="BI832" s="1190"/>
      <c r="BJ832" s="1190"/>
      <c r="BK832" s="1190"/>
      <c r="BL832" s="1190"/>
      <c r="BM832" s="1190"/>
      <c r="BQ832" s="195"/>
      <c r="BR832" s="195"/>
      <c r="BT832" s="1005"/>
    </row>
    <row r="833" ht="15.75" customHeight="1">
      <c r="A833" s="195"/>
      <c r="B833" s="978"/>
      <c r="C833" s="2321"/>
      <c r="D833" s="1729"/>
      <c r="E833" s="1190"/>
      <c r="F833" s="1190"/>
      <c r="G833" s="1190"/>
      <c r="H833" s="1190"/>
      <c r="I833" s="1190"/>
      <c r="J833" s="1190"/>
      <c r="K833" s="1190"/>
      <c r="L833" s="1190"/>
      <c r="M833" s="1190"/>
      <c r="N833" s="1190"/>
      <c r="O833" s="1190"/>
      <c r="P833" s="1190"/>
      <c r="Q833" s="1190"/>
      <c r="R833" s="1190"/>
      <c r="S833" s="1189"/>
      <c r="T833" s="1190"/>
      <c r="U833" s="1190"/>
      <c r="V833" s="1190"/>
      <c r="W833" s="1190"/>
      <c r="X833" s="1190"/>
      <c r="Y833" s="1190"/>
      <c r="Z833" s="1190"/>
      <c r="AA833" s="1190"/>
      <c r="AB833" s="1190"/>
      <c r="AC833" s="1190"/>
      <c r="AD833" s="1190"/>
      <c r="AE833" s="1190"/>
      <c r="AF833" s="1190"/>
      <c r="AG833" s="1748"/>
      <c r="AH833" s="1190"/>
      <c r="AI833" s="1748"/>
      <c r="AJ833" s="1190"/>
      <c r="AK833" s="1190"/>
      <c r="AL833" s="1190"/>
      <c r="AM833" s="1190"/>
      <c r="AN833" s="1190"/>
      <c r="AO833" s="1190"/>
      <c r="AP833" s="1190"/>
      <c r="AQ833" s="1190"/>
      <c r="AR833" s="1190"/>
      <c r="AS833" s="1190"/>
      <c r="AT833" s="1190"/>
      <c r="AU833" s="1190"/>
      <c r="AV833" s="1190"/>
      <c r="AW833" s="1190"/>
      <c r="AX833" s="1190"/>
      <c r="AY833" s="1190"/>
      <c r="AZ833" s="1190"/>
      <c r="BA833" s="1190"/>
      <c r="BB833" s="1190"/>
      <c r="BC833" s="1190"/>
      <c r="BD833" s="1190"/>
      <c r="BE833" s="1190"/>
      <c r="BF833" s="1190"/>
      <c r="BG833" s="1190"/>
      <c r="BH833" s="1190"/>
      <c r="BI833" s="1190"/>
      <c r="BJ833" s="1190"/>
      <c r="BK833" s="1190"/>
      <c r="BL833" s="1190"/>
      <c r="BM833" s="1190"/>
      <c r="BQ833" s="195"/>
      <c r="BR833" s="195"/>
      <c r="BT833" s="1005"/>
    </row>
    <row r="834" ht="15.75" customHeight="1">
      <c r="A834" s="195"/>
      <c r="B834" s="978"/>
      <c r="C834" s="2321"/>
      <c r="D834" s="1729"/>
      <c r="E834" s="1190"/>
      <c r="F834" s="1190"/>
      <c r="G834" s="1190"/>
      <c r="H834" s="1190"/>
      <c r="I834" s="1190"/>
      <c r="J834" s="1190"/>
      <c r="K834" s="1190"/>
      <c r="L834" s="1190"/>
      <c r="M834" s="1190"/>
      <c r="N834" s="1190"/>
      <c r="O834" s="1190"/>
      <c r="P834" s="1190"/>
      <c r="Q834" s="1190"/>
      <c r="R834" s="1190"/>
      <c r="S834" s="1189"/>
      <c r="T834" s="1190"/>
      <c r="U834" s="1190"/>
      <c r="V834" s="1190"/>
      <c r="W834" s="1190"/>
      <c r="X834" s="1190"/>
      <c r="Y834" s="1190"/>
      <c r="Z834" s="1190"/>
      <c r="AA834" s="1190"/>
      <c r="AB834" s="1190"/>
      <c r="AC834" s="1190"/>
      <c r="AD834" s="1190"/>
      <c r="AE834" s="1190"/>
      <c r="AF834" s="1190"/>
      <c r="AG834" s="1748"/>
      <c r="AH834" s="1190"/>
      <c r="AI834" s="1748"/>
      <c r="AJ834" s="1190"/>
      <c r="AK834" s="1190"/>
      <c r="AL834" s="1190"/>
      <c r="AM834" s="1190"/>
      <c r="AN834" s="1190"/>
      <c r="AO834" s="1190"/>
      <c r="AP834" s="1190"/>
      <c r="AQ834" s="1190"/>
      <c r="AR834" s="1190"/>
      <c r="AS834" s="1190"/>
      <c r="AT834" s="1190"/>
      <c r="AU834" s="1190"/>
      <c r="AV834" s="1190"/>
      <c r="AW834" s="1190"/>
      <c r="AX834" s="1190"/>
      <c r="AY834" s="1190"/>
      <c r="AZ834" s="1190"/>
      <c r="BA834" s="1190"/>
      <c r="BB834" s="1190"/>
      <c r="BC834" s="1190"/>
      <c r="BD834" s="1190"/>
      <c r="BE834" s="1190"/>
      <c r="BF834" s="1190"/>
      <c r="BG834" s="1190"/>
      <c r="BH834" s="1190"/>
      <c r="BI834" s="1190"/>
      <c r="BJ834" s="1190"/>
      <c r="BK834" s="1190"/>
      <c r="BL834" s="1190"/>
      <c r="BM834" s="1190"/>
      <c r="BQ834" s="195"/>
      <c r="BR834" s="195"/>
      <c r="BT834" s="1005"/>
    </row>
    <row r="835" ht="15.75" customHeight="1">
      <c r="A835" s="195"/>
      <c r="B835" s="978"/>
      <c r="C835" s="2321"/>
      <c r="D835" s="1729"/>
      <c r="E835" s="1190"/>
      <c r="F835" s="1190"/>
      <c r="G835" s="1190"/>
      <c r="H835" s="1190"/>
      <c r="I835" s="1190"/>
      <c r="J835" s="1190"/>
      <c r="K835" s="1190"/>
      <c r="L835" s="1190"/>
      <c r="M835" s="1190"/>
      <c r="N835" s="1190"/>
      <c r="O835" s="1190"/>
      <c r="P835" s="1190"/>
      <c r="Q835" s="1190"/>
      <c r="R835" s="1190"/>
      <c r="S835" s="1189"/>
      <c r="T835" s="1190"/>
      <c r="U835" s="1190"/>
      <c r="V835" s="1190"/>
      <c r="W835" s="1190"/>
      <c r="X835" s="1190"/>
      <c r="Y835" s="1190"/>
      <c r="Z835" s="1190"/>
      <c r="AA835" s="1190"/>
      <c r="AB835" s="1190"/>
      <c r="AC835" s="1190"/>
      <c r="AD835" s="1190"/>
      <c r="AE835" s="1190"/>
      <c r="AF835" s="1190"/>
      <c r="AG835" s="1748"/>
      <c r="AH835" s="1190"/>
      <c r="AI835" s="1748"/>
      <c r="AJ835" s="1190"/>
      <c r="AK835" s="1190"/>
      <c r="AL835" s="1190"/>
      <c r="AM835" s="1190"/>
      <c r="AN835" s="1190"/>
      <c r="AO835" s="1190"/>
      <c r="AP835" s="1190"/>
      <c r="AQ835" s="1190"/>
      <c r="AR835" s="1190"/>
      <c r="AS835" s="1190"/>
      <c r="AT835" s="1190"/>
      <c r="AU835" s="1190"/>
      <c r="AV835" s="1190"/>
      <c r="AW835" s="1190"/>
      <c r="AX835" s="1190"/>
      <c r="AY835" s="1190"/>
      <c r="AZ835" s="1190"/>
      <c r="BA835" s="1190"/>
      <c r="BB835" s="1190"/>
      <c r="BC835" s="1190"/>
      <c r="BD835" s="1190"/>
      <c r="BE835" s="1190"/>
      <c r="BF835" s="1190"/>
      <c r="BG835" s="1190"/>
      <c r="BH835" s="1190"/>
      <c r="BI835" s="1190"/>
      <c r="BJ835" s="1190"/>
      <c r="BK835" s="1190"/>
      <c r="BL835" s="1190"/>
      <c r="BM835" s="1190"/>
      <c r="BQ835" s="195"/>
      <c r="BR835" s="195"/>
      <c r="BT835" s="1005"/>
    </row>
    <row r="836" ht="15.75" customHeight="1">
      <c r="A836" s="195"/>
      <c r="B836" s="978"/>
      <c r="C836" s="2321"/>
      <c r="D836" s="1729"/>
      <c r="E836" s="1190"/>
      <c r="F836" s="1190"/>
      <c r="G836" s="1190"/>
      <c r="H836" s="1190"/>
      <c r="I836" s="1190"/>
      <c r="J836" s="1190"/>
      <c r="K836" s="1190"/>
      <c r="L836" s="1190"/>
      <c r="M836" s="1190"/>
      <c r="N836" s="1190"/>
      <c r="O836" s="1190"/>
      <c r="P836" s="1190"/>
      <c r="Q836" s="1190"/>
      <c r="R836" s="1190"/>
      <c r="S836" s="1189"/>
      <c r="T836" s="1190"/>
      <c r="U836" s="1190"/>
      <c r="V836" s="1190"/>
      <c r="W836" s="1190"/>
      <c r="X836" s="1190"/>
      <c r="Y836" s="1190"/>
      <c r="Z836" s="1190"/>
      <c r="AA836" s="1190"/>
      <c r="AB836" s="1190"/>
      <c r="AC836" s="1190"/>
      <c r="AD836" s="1190"/>
      <c r="AE836" s="1190"/>
      <c r="AF836" s="1190"/>
      <c r="AG836" s="1748"/>
      <c r="AH836" s="1190"/>
      <c r="AI836" s="1748"/>
      <c r="AJ836" s="1190"/>
      <c r="AK836" s="1190"/>
      <c r="AL836" s="1190"/>
      <c r="AM836" s="1190"/>
      <c r="AN836" s="1190"/>
      <c r="AO836" s="1190"/>
      <c r="AP836" s="1190"/>
      <c r="AQ836" s="1190"/>
      <c r="AR836" s="1190"/>
      <c r="AS836" s="1190"/>
      <c r="AT836" s="1190"/>
      <c r="AU836" s="1190"/>
      <c r="AV836" s="1190"/>
      <c r="AW836" s="1190"/>
      <c r="AX836" s="1190"/>
      <c r="AY836" s="1190"/>
      <c r="AZ836" s="1190"/>
      <c r="BA836" s="1190"/>
      <c r="BB836" s="1190"/>
      <c r="BC836" s="1190"/>
      <c r="BD836" s="1190"/>
      <c r="BE836" s="1190"/>
      <c r="BF836" s="1190"/>
      <c r="BG836" s="1190"/>
      <c r="BH836" s="1190"/>
      <c r="BI836" s="1190"/>
      <c r="BJ836" s="1190"/>
      <c r="BK836" s="1190"/>
      <c r="BL836" s="1190"/>
      <c r="BM836" s="1190"/>
      <c r="BQ836" s="195"/>
      <c r="BR836" s="195"/>
      <c r="BT836" s="1005"/>
    </row>
    <row r="837" ht="15.75" customHeight="1">
      <c r="A837" s="195"/>
      <c r="B837" s="978"/>
      <c r="C837" s="2321"/>
      <c r="D837" s="1729"/>
      <c r="E837" s="1190"/>
      <c r="F837" s="1190"/>
      <c r="G837" s="1190"/>
      <c r="H837" s="1190"/>
      <c r="I837" s="1190"/>
      <c r="J837" s="1190"/>
      <c r="K837" s="1190"/>
      <c r="L837" s="1190"/>
      <c r="M837" s="1190"/>
      <c r="N837" s="1190"/>
      <c r="O837" s="1190"/>
      <c r="P837" s="1190"/>
      <c r="Q837" s="1190"/>
      <c r="R837" s="1190"/>
      <c r="S837" s="1189"/>
      <c r="T837" s="1190"/>
      <c r="U837" s="1190"/>
      <c r="V837" s="1190"/>
      <c r="W837" s="1190"/>
      <c r="X837" s="1190"/>
      <c r="Y837" s="1190"/>
      <c r="Z837" s="1190"/>
      <c r="AA837" s="1190"/>
      <c r="AB837" s="1190"/>
      <c r="AC837" s="1190"/>
      <c r="AD837" s="1190"/>
      <c r="AE837" s="1190"/>
      <c r="AF837" s="1190"/>
      <c r="AG837" s="1748"/>
      <c r="AH837" s="1190"/>
      <c r="AI837" s="1748"/>
      <c r="AJ837" s="1190"/>
      <c r="AK837" s="1190"/>
      <c r="AL837" s="1190"/>
      <c r="AM837" s="1190"/>
      <c r="AN837" s="1190"/>
      <c r="AO837" s="1190"/>
      <c r="AP837" s="1190"/>
      <c r="AQ837" s="1190"/>
      <c r="AR837" s="1190"/>
      <c r="AS837" s="1190"/>
      <c r="AT837" s="1190"/>
      <c r="AU837" s="1190"/>
      <c r="AV837" s="1190"/>
      <c r="AW837" s="1190"/>
      <c r="AX837" s="1190"/>
      <c r="AY837" s="1190"/>
      <c r="AZ837" s="1190"/>
      <c r="BA837" s="1190"/>
      <c r="BB837" s="1190"/>
      <c r="BC837" s="1190"/>
      <c r="BD837" s="1190"/>
      <c r="BE837" s="1190"/>
      <c r="BF837" s="1190"/>
      <c r="BG837" s="1190"/>
      <c r="BH837" s="1190"/>
      <c r="BI837" s="1190"/>
      <c r="BJ837" s="1190"/>
      <c r="BK837" s="1190"/>
      <c r="BL837" s="1190"/>
      <c r="BM837" s="1190"/>
      <c r="BQ837" s="195"/>
      <c r="BR837" s="195"/>
      <c r="BT837" s="1005"/>
    </row>
    <row r="838" ht="15.75" customHeight="1">
      <c r="A838" s="195"/>
      <c r="B838" s="978"/>
      <c r="C838" s="2321"/>
      <c r="D838" s="1729"/>
      <c r="E838" s="1190"/>
      <c r="F838" s="1190"/>
      <c r="G838" s="1190"/>
      <c r="H838" s="1190"/>
      <c r="I838" s="1190"/>
      <c r="J838" s="1190"/>
      <c r="K838" s="1190"/>
      <c r="L838" s="1190"/>
      <c r="M838" s="1190"/>
      <c r="N838" s="1190"/>
      <c r="O838" s="1190"/>
      <c r="P838" s="1190"/>
      <c r="Q838" s="1190"/>
      <c r="R838" s="1190"/>
      <c r="S838" s="1189"/>
      <c r="T838" s="1190"/>
      <c r="U838" s="1190"/>
      <c r="V838" s="1190"/>
      <c r="W838" s="1190"/>
      <c r="X838" s="1190"/>
      <c r="Y838" s="1190"/>
      <c r="Z838" s="1190"/>
      <c r="AA838" s="1190"/>
      <c r="AB838" s="1190"/>
      <c r="AC838" s="1190"/>
      <c r="AD838" s="1190"/>
      <c r="AE838" s="1190"/>
      <c r="AF838" s="1190"/>
      <c r="AG838" s="1748"/>
      <c r="AH838" s="1190"/>
      <c r="AI838" s="1748"/>
      <c r="AJ838" s="1190"/>
      <c r="AK838" s="1190"/>
      <c r="AL838" s="1190"/>
      <c r="AM838" s="1190"/>
      <c r="AN838" s="1190"/>
      <c r="AO838" s="1190"/>
      <c r="AP838" s="1190"/>
      <c r="AQ838" s="1190"/>
      <c r="AR838" s="1190"/>
      <c r="AS838" s="1190"/>
      <c r="AT838" s="1190"/>
      <c r="AU838" s="1190"/>
      <c r="AV838" s="1190"/>
      <c r="AW838" s="1190"/>
      <c r="AX838" s="1190"/>
      <c r="AY838" s="1190"/>
      <c r="AZ838" s="1190"/>
      <c r="BA838" s="1190"/>
      <c r="BB838" s="1190"/>
      <c r="BC838" s="1190"/>
      <c r="BD838" s="1190"/>
      <c r="BE838" s="1190"/>
      <c r="BF838" s="1190"/>
      <c r="BG838" s="1190"/>
      <c r="BH838" s="1190"/>
      <c r="BI838" s="1190"/>
      <c r="BJ838" s="1190"/>
      <c r="BK838" s="1190"/>
      <c r="BL838" s="1190"/>
      <c r="BM838" s="1190"/>
      <c r="BQ838" s="195"/>
      <c r="BR838" s="195"/>
      <c r="BT838" s="1005"/>
    </row>
    <row r="839" ht="15.75" customHeight="1">
      <c r="A839" s="195"/>
      <c r="B839" s="978"/>
      <c r="C839" s="2321"/>
      <c r="D839" s="1729"/>
      <c r="E839" s="1190"/>
      <c r="F839" s="1190"/>
      <c r="G839" s="1190"/>
      <c r="H839" s="1190"/>
      <c r="I839" s="1190"/>
      <c r="J839" s="1190"/>
      <c r="K839" s="1190"/>
      <c r="L839" s="1190"/>
      <c r="M839" s="1190"/>
      <c r="N839" s="1190"/>
      <c r="O839" s="1190"/>
      <c r="P839" s="1190"/>
      <c r="Q839" s="1190"/>
      <c r="R839" s="1190"/>
      <c r="S839" s="1189"/>
      <c r="T839" s="1190"/>
      <c r="U839" s="1190"/>
      <c r="V839" s="1190"/>
      <c r="W839" s="1190"/>
      <c r="X839" s="1190"/>
      <c r="Y839" s="1190"/>
      <c r="Z839" s="1190"/>
      <c r="AA839" s="1190"/>
      <c r="AB839" s="1190"/>
      <c r="AC839" s="1190"/>
      <c r="AD839" s="1190"/>
      <c r="AE839" s="1190"/>
      <c r="AF839" s="1190"/>
      <c r="AG839" s="1748"/>
      <c r="AH839" s="1190"/>
      <c r="AI839" s="1748"/>
      <c r="AJ839" s="1190"/>
      <c r="AK839" s="1190"/>
      <c r="AL839" s="1190"/>
      <c r="AM839" s="1190"/>
      <c r="AN839" s="1190"/>
      <c r="AO839" s="1190"/>
      <c r="AP839" s="1190"/>
      <c r="AQ839" s="1190"/>
      <c r="AR839" s="1190"/>
      <c r="AS839" s="1190"/>
      <c r="AT839" s="1190"/>
      <c r="AU839" s="1190"/>
      <c r="AV839" s="1190"/>
      <c r="AW839" s="1190"/>
      <c r="AX839" s="1190"/>
      <c r="AY839" s="1190"/>
      <c r="AZ839" s="1190"/>
      <c r="BA839" s="1190"/>
      <c r="BB839" s="1190"/>
      <c r="BC839" s="1190"/>
      <c r="BD839" s="1190"/>
      <c r="BE839" s="1190"/>
      <c r="BF839" s="1190"/>
      <c r="BG839" s="1190"/>
      <c r="BH839" s="1190"/>
      <c r="BI839" s="1190"/>
      <c r="BJ839" s="1190"/>
      <c r="BK839" s="1190"/>
      <c r="BL839" s="1190"/>
      <c r="BM839" s="1190"/>
      <c r="BQ839" s="195"/>
      <c r="BR839" s="195"/>
      <c r="BT839" s="1005"/>
    </row>
    <row r="840" ht="15.75" customHeight="1">
      <c r="A840" s="195"/>
      <c r="B840" s="978"/>
      <c r="C840" s="2321"/>
      <c r="D840" s="1729"/>
      <c r="E840" s="1190"/>
      <c r="F840" s="1190"/>
      <c r="G840" s="1190"/>
      <c r="H840" s="1190"/>
      <c r="I840" s="1190"/>
      <c r="J840" s="1190"/>
      <c r="K840" s="1190"/>
      <c r="L840" s="1190"/>
      <c r="M840" s="1190"/>
      <c r="N840" s="1190"/>
      <c r="O840" s="1190"/>
      <c r="P840" s="1190"/>
      <c r="Q840" s="1190"/>
      <c r="R840" s="1190"/>
      <c r="S840" s="1189"/>
      <c r="T840" s="1190"/>
      <c r="U840" s="1190"/>
      <c r="V840" s="1190"/>
      <c r="W840" s="1190"/>
      <c r="X840" s="1190"/>
      <c r="Y840" s="1190"/>
      <c r="Z840" s="1190"/>
      <c r="AA840" s="1190"/>
      <c r="AB840" s="1190"/>
      <c r="AC840" s="1190"/>
      <c r="AD840" s="1190"/>
      <c r="AE840" s="1190"/>
      <c r="AF840" s="1190"/>
      <c r="AG840" s="1748"/>
      <c r="AH840" s="1190"/>
      <c r="AI840" s="1748"/>
      <c r="AJ840" s="1190"/>
      <c r="AK840" s="1190"/>
      <c r="AL840" s="1190"/>
      <c r="AM840" s="1190"/>
      <c r="AN840" s="1190"/>
      <c r="AO840" s="1190"/>
      <c r="AP840" s="1190"/>
      <c r="AQ840" s="1190"/>
      <c r="AR840" s="1190"/>
      <c r="AS840" s="1190"/>
      <c r="AT840" s="1190"/>
      <c r="AU840" s="1190"/>
      <c r="AV840" s="1190"/>
      <c r="AW840" s="1190"/>
      <c r="AX840" s="1190"/>
      <c r="AY840" s="1190"/>
      <c r="AZ840" s="1190"/>
      <c r="BA840" s="1190"/>
      <c r="BB840" s="1190"/>
      <c r="BC840" s="1190"/>
      <c r="BD840" s="1190"/>
      <c r="BE840" s="1190"/>
      <c r="BF840" s="1190"/>
      <c r="BG840" s="1190"/>
      <c r="BH840" s="1190"/>
      <c r="BI840" s="1190"/>
      <c r="BJ840" s="1190"/>
      <c r="BK840" s="1190"/>
      <c r="BL840" s="1190"/>
      <c r="BM840" s="1190"/>
      <c r="BQ840" s="195"/>
      <c r="BR840" s="195"/>
      <c r="BT840" s="1005"/>
    </row>
    <row r="841" ht="15.75" customHeight="1">
      <c r="A841" s="195"/>
      <c r="B841" s="978"/>
      <c r="C841" s="2321"/>
      <c r="D841" s="1729"/>
      <c r="E841" s="1190"/>
      <c r="F841" s="1190"/>
      <c r="G841" s="1190"/>
      <c r="H841" s="1190"/>
      <c r="I841" s="1190"/>
      <c r="J841" s="1190"/>
      <c r="K841" s="1190"/>
      <c r="L841" s="1190"/>
      <c r="M841" s="1190"/>
      <c r="N841" s="1190"/>
      <c r="O841" s="1190"/>
      <c r="P841" s="1190"/>
      <c r="Q841" s="1190"/>
      <c r="R841" s="1190"/>
      <c r="S841" s="1189"/>
      <c r="T841" s="1190"/>
      <c r="U841" s="1190"/>
      <c r="V841" s="1190"/>
      <c r="W841" s="1190"/>
      <c r="X841" s="1190"/>
      <c r="Y841" s="1190"/>
      <c r="Z841" s="1190"/>
      <c r="AA841" s="1190"/>
      <c r="AB841" s="1190"/>
      <c r="AC841" s="1190"/>
      <c r="AD841" s="1190"/>
      <c r="AE841" s="1190"/>
      <c r="AF841" s="1190"/>
      <c r="AG841" s="1748"/>
      <c r="AH841" s="1190"/>
      <c r="AI841" s="1748"/>
      <c r="AJ841" s="1190"/>
      <c r="AK841" s="1190"/>
      <c r="AL841" s="1190"/>
      <c r="AM841" s="1190"/>
      <c r="AN841" s="1190"/>
      <c r="AO841" s="1190"/>
      <c r="AP841" s="1190"/>
      <c r="AQ841" s="1190"/>
      <c r="AR841" s="1190"/>
      <c r="AS841" s="1190"/>
      <c r="AT841" s="1190"/>
      <c r="AU841" s="1190"/>
      <c r="AV841" s="1190"/>
      <c r="AW841" s="1190"/>
      <c r="AX841" s="1190"/>
      <c r="AY841" s="1190"/>
      <c r="AZ841" s="1190"/>
      <c r="BA841" s="1190"/>
      <c r="BB841" s="1190"/>
      <c r="BC841" s="1190"/>
      <c r="BD841" s="1190"/>
      <c r="BE841" s="1190"/>
      <c r="BF841" s="1190"/>
      <c r="BG841" s="1190"/>
      <c r="BH841" s="1190"/>
      <c r="BI841" s="1190"/>
      <c r="BJ841" s="1190"/>
      <c r="BK841" s="1190"/>
      <c r="BL841" s="1190"/>
      <c r="BM841" s="1190"/>
      <c r="BQ841" s="195"/>
      <c r="BR841" s="195"/>
      <c r="BT841" s="1005"/>
    </row>
    <row r="842" ht="15.75" customHeight="1">
      <c r="A842" s="195"/>
      <c r="B842" s="978"/>
      <c r="C842" s="2321"/>
      <c r="D842" s="1729"/>
      <c r="E842" s="1190"/>
      <c r="F842" s="1190"/>
      <c r="G842" s="1190"/>
      <c r="H842" s="1190"/>
      <c r="I842" s="1190"/>
      <c r="J842" s="1190"/>
      <c r="K842" s="1190"/>
      <c r="L842" s="1190"/>
      <c r="M842" s="1190"/>
      <c r="N842" s="1190"/>
      <c r="O842" s="1190"/>
      <c r="P842" s="1190"/>
      <c r="Q842" s="1190"/>
      <c r="R842" s="1190"/>
      <c r="S842" s="1189"/>
      <c r="T842" s="1190"/>
      <c r="U842" s="1190"/>
      <c r="V842" s="1190"/>
      <c r="W842" s="1190"/>
      <c r="X842" s="1190"/>
      <c r="Y842" s="1190"/>
      <c r="Z842" s="1190"/>
      <c r="AA842" s="1190"/>
      <c r="AB842" s="1190"/>
      <c r="AC842" s="1190"/>
      <c r="AD842" s="1190"/>
      <c r="AE842" s="1190"/>
      <c r="AF842" s="1190"/>
      <c r="AG842" s="1748"/>
      <c r="AH842" s="1190"/>
      <c r="AI842" s="1748"/>
      <c r="AJ842" s="1190"/>
      <c r="AK842" s="1190"/>
      <c r="AL842" s="1190"/>
      <c r="AM842" s="1190"/>
      <c r="AN842" s="1190"/>
      <c r="AO842" s="1190"/>
      <c r="AP842" s="1190"/>
      <c r="AQ842" s="1190"/>
      <c r="AR842" s="1190"/>
      <c r="AS842" s="1190"/>
      <c r="AT842" s="1190"/>
      <c r="AU842" s="1190"/>
      <c r="AV842" s="1190"/>
      <c r="AW842" s="1190"/>
      <c r="AX842" s="1190"/>
      <c r="AY842" s="1190"/>
      <c r="AZ842" s="1190"/>
      <c r="BA842" s="1190"/>
      <c r="BB842" s="1190"/>
      <c r="BC842" s="1190"/>
      <c r="BD842" s="1190"/>
      <c r="BE842" s="1190"/>
      <c r="BF842" s="1190"/>
      <c r="BG842" s="1190"/>
      <c r="BH842" s="1190"/>
      <c r="BI842" s="1190"/>
      <c r="BJ842" s="1190"/>
      <c r="BK842" s="1190"/>
      <c r="BL842" s="1190"/>
      <c r="BM842" s="1190"/>
      <c r="BQ842" s="195"/>
      <c r="BR842" s="195"/>
      <c r="BT842" s="1005"/>
    </row>
    <row r="843" ht="15.75" customHeight="1">
      <c r="A843" s="195"/>
      <c r="B843" s="978"/>
      <c r="C843" s="2321"/>
      <c r="D843" s="1729"/>
      <c r="E843" s="1190"/>
      <c r="F843" s="1190"/>
      <c r="G843" s="1190"/>
      <c r="H843" s="1190"/>
      <c r="I843" s="1190"/>
      <c r="J843" s="1190"/>
      <c r="K843" s="1190"/>
      <c r="L843" s="1190"/>
      <c r="M843" s="1190"/>
      <c r="N843" s="1190"/>
      <c r="O843" s="1190"/>
      <c r="P843" s="1190"/>
      <c r="Q843" s="1190"/>
      <c r="R843" s="1190"/>
      <c r="S843" s="1189"/>
      <c r="T843" s="1190"/>
      <c r="U843" s="1190"/>
      <c r="V843" s="1190"/>
      <c r="W843" s="1190"/>
      <c r="X843" s="1190"/>
      <c r="Y843" s="1190"/>
      <c r="Z843" s="1190"/>
      <c r="AA843" s="1190"/>
      <c r="AB843" s="1190"/>
      <c r="AC843" s="1190"/>
      <c r="AD843" s="1190"/>
      <c r="AE843" s="1190"/>
      <c r="AF843" s="1190"/>
      <c r="AG843" s="1748"/>
      <c r="AH843" s="1190"/>
      <c r="AI843" s="1748"/>
      <c r="AJ843" s="1190"/>
      <c r="AK843" s="1190"/>
      <c r="AL843" s="1190"/>
      <c r="AM843" s="1190"/>
      <c r="AN843" s="1190"/>
      <c r="AO843" s="1190"/>
      <c r="AP843" s="1190"/>
      <c r="AQ843" s="1190"/>
      <c r="AR843" s="1190"/>
      <c r="AS843" s="1190"/>
      <c r="AT843" s="1190"/>
      <c r="AU843" s="1190"/>
      <c r="AV843" s="1190"/>
      <c r="AW843" s="1190"/>
      <c r="AX843" s="1190"/>
      <c r="AY843" s="1190"/>
      <c r="AZ843" s="1190"/>
      <c r="BA843" s="1190"/>
      <c r="BB843" s="1190"/>
      <c r="BC843" s="1190"/>
      <c r="BD843" s="1190"/>
      <c r="BE843" s="1190"/>
      <c r="BF843" s="1190"/>
      <c r="BG843" s="1190"/>
      <c r="BH843" s="1190"/>
      <c r="BI843" s="1190"/>
      <c r="BJ843" s="1190"/>
      <c r="BK843" s="1190"/>
      <c r="BL843" s="1190"/>
      <c r="BM843" s="1190"/>
      <c r="BQ843" s="195"/>
      <c r="BR843" s="195"/>
      <c r="BT843" s="1005"/>
    </row>
    <row r="844" ht="15.75" customHeight="1">
      <c r="A844" s="195"/>
      <c r="B844" s="978"/>
      <c r="C844" s="2321"/>
      <c r="D844" s="1729"/>
      <c r="E844" s="1190"/>
      <c r="F844" s="1190"/>
      <c r="G844" s="1190"/>
      <c r="H844" s="1190"/>
      <c r="I844" s="1190"/>
      <c r="J844" s="1190"/>
      <c r="K844" s="1190"/>
      <c r="L844" s="1190"/>
      <c r="M844" s="1190"/>
      <c r="N844" s="1190"/>
      <c r="O844" s="1190"/>
      <c r="P844" s="1190"/>
      <c r="Q844" s="1190"/>
      <c r="R844" s="1190"/>
      <c r="S844" s="1189"/>
      <c r="T844" s="1190"/>
      <c r="U844" s="1190"/>
      <c r="V844" s="1190"/>
      <c r="W844" s="1190"/>
      <c r="X844" s="1190"/>
      <c r="Y844" s="1190"/>
      <c r="Z844" s="1190"/>
      <c r="AA844" s="1190"/>
      <c r="AB844" s="1190"/>
      <c r="AC844" s="1190"/>
      <c r="AD844" s="1190"/>
      <c r="AE844" s="1190"/>
      <c r="AF844" s="1190"/>
      <c r="AG844" s="1748"/>
      <c r="AH844" s="1190"/>
      <c r="AI844" s="1748"/>
      <c r="AJ844" s="1190"/>
      <c r="AK844" s="1190"/>
      <c r="AL844" s="1190"/>
      <c r="AM844" s="1190"/>
      <c r="AN844" s="1190"/>
      <c r="AO844" s="1190"/>
      <c r="AP844" s="1190"/>
      <c r="AQ844" s="1190"/>
      <c r="AR844" s="1190"/>
      <c r="AS844" s="1190"/>
      <c r="AT844" s="1190"/>
      <c r="AU844" s="1190"/>
      <c r="AV844" s="1190"/>
      <c r="AW844" s="1190"/>
      <c r="AX844" s="1190"/>
      <c r="AY844" s="1190"/>
      <c r="AZ844" s="1190"/>
      <c r="BA844" s="1190"/>
      <c r="BB844" s="1190"/>
      <c r="BC844" s="1190"/>
      <c r="BD844" s="1190"/>
      <c r="BE844" s="1190"/>
      <c r="BF844" s="1190"/>
      <c r="BG844" s="1190"/>
      <c r="BH844" s="1190"/>
      <c r="BI844" s="1190"/>
      <c r="BJ844" s="1190"/>
      <c r="BK844" s="1190"/>
      <c r="BL844" s="1190"/>
      <c r="BM844" s="1190"/>
      <c r="BQ844" s="195"/>
      <c r="BR844" s="195"/>
      <c r="BT844" s="1005"/>
    </row>
    <row r="845" ht="15.75" customHeight="1">
      <c r="A845" s="195"/>
      <c r="B845" s="978"/>
      <c r="C845" s="2321"/>
      <c r="D845" s="1729"/>
      <c r="E845" s="1190"/>
      <c r="F845" s="1190"/>
      <c r="G845" s="1190"/>
      <c r="H845" s="1190"/>
      <c r="I845" s="1190"/>
      <c r="J845" s="1190"/>
      <c r="K845" s="1190"/>
      <c r="L845" s="1190"/>
      <c r="M845" s="1190"/>
      <c r="N845" s="1190"/>
      <c r="O845" s="1190"/>
      <c r="P845" s="1190"/>
      <c r="Q845" s="1190"/>
      <c r="R845" s="1190"/>
      <c r="S845" s="1189"/>
      <c r="T845" s="1190"/>
      <c r="U845" s="1190"/>
      <c r="V845" s="1190"/>
      <c r="W845" s="1190"/>
      <c r="X845" s="1190"/>
      <c r="Y845" s="1190"/>
      <c r="Z845" s="1190"/>
      <c r="AA845" s="1190"/>
      <c r="AB845" s="1190"/>
      <c r="AC845" s="1190"/>
      <c r="AD845" s="1190"/>
      <c r="AE845" s="1190"/>
      <c r="AF845" s="1190"/>
      <c r="AG845" s="1748"/>
      <c r="AH845" s="1190"/>
      <c r="AI845" s="1748"/>
      <c r="AJ845" s="1190"/>
      <c r="AK845" s="1190"/>
      <c r="AL845" s="1190"/>
      <c r="AM845" s="1190"/>
      <c r="AN845" s="1190"/>
      <c r="AO845" s="1190"/>
      <c r="AP845" s="1190"/>
      <c r="AQ845" s="1190"/>
      <c r="AR845" s="1190"/>
      <c r="AS845" s="1190"/>
      <c r="AT845" s="1190"/>
      <c r="AU845" s="1190"/>
      <c r="AV845" s="1190"/>
      <c r="AW845" s="1190"/>
      <c r="AX845" s="1190"/>
      <c r="AY845" s="1190"/>
      <c r="AZ845" s="1190"/>
      <c r="BA845" s="1190"/>
      <c r="BB845" s="1190"/>
      <c r="BC845" s="1190"/>
      <c r="BD845" s="1190"/>
      <c r="BE845" s="1190"/>
      <c r="BF845" s="1190"/>
      <c r="BG845" s="1190"/>
      <c r="BH845" s="1190"/>
      <c r="BI845" s="1190"/>
      <c r="BJ845" s="1190"/>
      <c r="BK845" s="1190"/>
      <c r="BL845" s="1190"/>
      <c r="BM845" s="1190"/>
      <c r="BQ845" s="195"/>
      <c r="BR845" s="195"/>
      <c r="BT845" s="1005"/>
    </row>
    <row r="846" ht="15.75" customHeight="1">
      <c r="A846" s="195"/>
      <c r="B846" s="978"/>
      <c r="C846" s="2321"/>
      <c r="D846" s="1729"/>
      <c r="E846" s="1190"/>
      <c r="F846" s="1190"/>
      <c r="G846" s="1190"/>
      <c r="H846" s="1190"/>
      <c r="I846" s="1190"/>
      <c r="J846" s="1190"/>
      <c r="K846" s="1190"/>
      <c r="L846" s="1190"/>
      <c r="M846" s="1190"/>
      <c r="N846" s="1190"/>
      <c r="O846" s="1190"/>
      <c r="P846" s="1190"/>
      <c r="Q846" s="1190"/>
      <c r="R846" s="1190"/>
      <c r="S846" s="1189"/>
      <c r="T846" s="1190"/>
      <c r="U846" s="1190"/>
      <c r="V846" s="1190"/>
      <c r="W846" s="1190"/>
      <c r="X846" s="1190"/>
      <c r="Y846" s="1190"/>
      <c r="Z846" s="1190"/>
      <c r="AA846" s="1190"/>
      <c r="AB846" s="1190"/>
      <c r="AC846" s="1190"/>
      <c r="AD846" s="1190"/>
      <c r="AE846" s="1190"/>
      <c r="AF846" s="1190"/>
      <c r="AG846" s="1748"/>
      <c r="AH846" s="1190"/>
      <c r="AI846" s="1748"/>
      <c r="AJ846" s="1190"/>
      <c r="AK846" s="1190"/>
      <c r="AL846" s="1190"/>
      <c r="AM846" s="1190"/>
      <c r="AN846" s="1190"/>
      <c r="AO846" s="1190"/>
      <c r="AP846" s="1190"/>
      <c r="AQ846" s="1190"/>
      <c r="AR846" s="1190"/>
      <c r="AS846" s="1190"/>
      <c r="AT846" s="1190"/>
      <c r="AU846" s="1190"/>
      <c r="AV846" s="1190"/>
      <c r="AW846" s="1190"/>
      <c r="AX846" s="1190"/>
      <c r="AY846" s="1190"/>
      <c r="AZ846" s="1190"/>
      <c r="BA846" s="1190"/>
      <c r="BB846" s="1190"/>
      <c r="BC846" s="1190"/>
      <c r="BD846" s="1190"/>
      <c r="BE846" s="1190"/>
      <c r="BF846" s="1190"/>
      <c r="BG846" s="1190"/>
      <c r="BH846" s="1190"/>
      <c r="BI846" s="1190"/>
      <c r="BJ846" s="1190"/>
      <c r="BK846" s="1190"/>
      <c r="BL846" s="1190"/>
      <c r="BM846" s="1190"/>
      <c r="BQ846" s="195"/>
      <c r="BR846" s="195"/>
      <c r="BT846" s="1005"/>
    </row>
    <row r="847" ht="15.75" customHeight="1">
      <c r="A847" s="195"/>
      <c r="B847" s="978"/>
      <c r="C847" s="2321"/>
      <c r="D847" s="1729"/>
      <c r="E847" s="1190"/>
      <c r="F847" s="1190"/>
      <c r="G847" s="1190"/>
      <c r="H847" s="1190"/>
      <c r="I847" s="1190"/>
      <c r="J847" s="1190"/>
      <c r="K847" s="1190"/>
      <c r="L847" s="1190"/>
      <c r="M847" s="1190"/>
      <c r="N847" s="1190"/>
      <c r="O847" s="1190"/>
      <c r="P847" s="1190"/>
      <c r="Q847" s="1190"/>
      <c r="R847" s="1190"/>
      <c r="S847" s="1189"/>
      <c r="T847" s="1190"/>
      <c r="U847" s="1190"/>
      <c r="V847" s="1190"/>
      <c r="W847" s="1190"/>
      <c r="X847" s="1190"/>
      <c r="Y847" s="1190"/>
      <c r="Z847" s="1190"/>
      <c r="AA847" s="1190"/>
      <c r="AB847" s="1190"/>
      <c r="AC847" s="1190"/>
      <c r="AD847" s="1190"/>
      <c r="AE847" s="1190"/>
      <c r="AF847" s="1190"/>
      <c r="AG847" s="1748"/>
      <c r="AH847" s="1190"/>
      <c r="AI847" s="1748"/>
      <c r="AJ847" s="1190"/>
      <c r="AK847" s="1190"/>
      <c r="AL847" s="1190"/>
      <c r="AM847" s="1190"/>
      <c r="AN847" s="1190"/>
      <c r="AO847" s="1190"/>
      <c r="AP847" s="1190"/>
      <c r="AQ847" s="1190"/>
      <c r="AR847" s="1190"/>
      <c r="AS847" s="1190"/>
      <c r="AT847" s="1190"/>
      <c r="AU847" s="1190"/>
      <c r="AV847" s="1190"/>
      <c r="AW847" s="1190"/>
      <c r="AX847" s="1190"/>
      <c r="AY847" s="1190"/>
      <c r="AZ847" s="1190"/>
      <c r="BA847" s="1190"/>
      <c r="BB847" s="1190"/>
      <c r="BC847" s="1190"/>
      <c r="BD847" s="1190"/>
      <c r="BE847" s="1190"/>
      <c r="BF847" s="1190"/>
      <c r="BG847" s="1190"/>
      <c r="BH847" s="1190"/>
      <c r="BI847" s="1190"/>
      <c r="BJ847" s="1190"/>
      <c r="BK847" s="1190"/>
      <c r="BL847" s="1190"/>
      <c r="BM847" s="1190"/>
      <c r="BQ847" s="195"/>
      <c r="BR847" s="195"/>
      <c r="BT847" s="1005"/>
    </row>
    <row r="848" ht="15.75" customHeight="1">
      <c r="A848" s="195"/>
      <c r="B848" s="978"/>
      <c r="C848" s="2321"/>
      <c r="D848" s="1729"/>
      <c r="E848" s="1190"/>
      <c r="F848" s="1190"/>
      <c r="G848" s="1190"/>
      <c r="H848" s="1190"/>
      <c r="I848" s="1190"/>
      <c r="J848" s="1190"/>
      <c r="K848" s="1190"/>
      <c r="L848" s="1190"/>
      <c r="M848" s="1190"/>
      <c r="N848" s="1190"/>
      <c r="O848" s="1190"/>
      <c r="P848" s="1190"/>
      <c r="Q848" s="1190"/>
      <c r="R848" s="1190"/>
      <c r="S848" s="1189"/>
      <c r="T848" s="1190"/>
      <c r="U848" s="1190"/>
      <c r="V848" s="1190"/>
      <c r="W848" s="1190"/>
      <c r="X848" s="1190"/>
      <c r="Y848" s="1190"/>
      <c r="Z848" s="1190"/>
      <c r="AA848" s="1190"/>
      <c r="AB848" s="1190"/>
      <c r="AC848" s="1190"/>
      <c r="AD848" s="1190"/>
      <c r="AE848" s="1190"/>
      <c r="AF848" s="1190"/>
      <c r="AG848" s="1748"/>
      <c r="AH848" s="1190"/>
      <c r="AI848" s="1748"/>
      <c r="AJ848" s="1190"/>
      <c r="AK848" s="1190"/>
      <c r="AL848" s="1190"/>
      <c r="AM848" s="1190"/>
      <c r="AN848" s="1190"/>
      <c r="AO848" s="1190"/>
      <c r="AP848" s="1190"/>
      <c r="AQ848" s="1190"/>
      <c r="AR848" s="1190"/>
      <c r="AS848" s="1190"/>
      <c r="AT848" s="1190"/>
      <c r="AU848" s="1190"/>
      <c r="AV848" s="1190"/>
      <c r="AW848" s="1190"/>
      <c r="AX848" s="1190"/>
      <c r="AY848" s="1190"/>
      <c r="AZ848" s="1190"/>
      <c r="BA848" s="1190"/>
      <c r="BB848" s="1190"/>
      <c r="BC848" s="1190"/>
      <c r="BD848" s="1190"/>
      <c r="BE848" s="1190"/>
      <c r="BF848" s="1190"/>
      <c r="BG848" s="1190"/>
      <c r="BH848" s="1190"/>
      <c r="BI848" s="1190"/>
      <c r="BJ848" s="1190"/>
      <c r="BK848" s="1190"/>
      <c r="BL848" s="1190"/>
      <c r="BM848" s="1190"/>
      <c r="BQ848" s="195"/>
      <c r="BR848" s="195"/>
      <c r="BT848" s="1005"/>
    </row>
    <row r="849" ht="15.75" customHeight="1">
      <c r="A849" s="195"/>
      <c r="B849" s="978"/>
      <c r="C849" s="2321"/>
      <c r="D849" s="1729"/>
      <c r="E849" s="1190"/>
      <c r="F849" s="1190"/>
      <c r="G849" s="1190"/>
      <c r="H849" s="1190"/>
      <c r="I849" s="1190"/>
      <c r="J849" s="1190"/>
      <c r="K849" s="1190"/>
      <c r="L849" s="1190"/>
      <c r="M849" s="1190"/>
      <c r="N849" s="1190"/>
      <c r="O849" s="1190"/>
      <c r="P849" s="1190"/>
      <c r="Q849" s="1190"/>
      <c r="R849" s="1190"/>
      <c r="S849" s="1189"/>
      <c r="T849" s="1190"/>
      <c r="U849" s="1190"/>
      <c r="V849" s="1190"/>
      <c r="W849" s="1190"/>
      <c r="X849" s="1190"/>
      <c r="Y849" s="1190"/>
      <c r="Z849" s="1190"/>
      <c r="AA849" s="1190"/>
      <c r="AB849" s="1190"/>
      <c r="AC849" s="1190"/>
      <c r="AD849" s="1190"/>
      <c r="AE849" s="1190"/>
      <c r="AF849" s="1190"/>
      <c r="AG849" s="1748"/>
      <c r="AH849" s="1190"/>
      <c r="AI849" s="1748"/>
      <c r="AJ849" s="1190"/>
      <c r="AK849" s="1190"/>
      <c r="AL849" s="1190"/>
      <c r="AM849" s="1190"/>
      <c r="AN849" s="1190"/>
      <c r="AO849" s="1190"/>
      <c r="AP849" s="1190"/>
      <c r="AQ849" s="1190"/>
      <c r="AR849" s="1190"/>
      <c r="AS849" s="1190"/>
      <c r="AT849" s="1190"/>
      <c r="AU849" s="1190"/>
      <c r="AV849" s="1190"/>
      <c r="AW849" s="1190"/>
      <c r="AX849" s="1190"/>
      <c r="AY849" s="1190"/>
      <c r="AZ849" s="1190"/>
      <c r="BA849" s="1190"/>
      <c r="BB849" s="1190"/>
      <c r="BC849" s="1190"/>
      <c r="BD849" s="1190"/>
      <c r="BE849" s="1190"/>
      <c r="BF849" s="1190"/>
      <c r="BG849" s="1190"/>
      <c r="BH849" s="1190"/>
      <c r="BI849" s="1190"/>
      <c r="BJ849" s="1190"/>
      <c r="BK849" s="1190"/>
      <c r="BL849" s="1190"/>
      <c r="BM849" s="1190"/>
      <c r="BQ849" s="195"/>
      <c r="BR849" s="195"/>
      <c r="BT849" s="1005"/>
    </row>
    <row r="850" ht="15.75" customHeight="1">
      <c r="A850" s="195"/>
      <c r="B850" s="978"/>
      <c r="C850" s="2321"/>
      <c r="D850" s="1729"/>
      <c r="E850" s="1190"/>
      <c r="F850" s="1190"/>
      <c r="G850" s="1190"/>
      <c r="H850" s="1190"/>
      <c r="I850" s="1190"/>
      <c r="J850" s="1190"/>
      <c r="K850" s="1190"/>
      <c r="L850" s="1190"/>
      <c r="M850" s="1190"/>
      <c r="N850" s="1190"/>
      <c r="O850" s="1190"/>
      <c r="P850" s="1190"/>
      <c r="Q850" s="1190"/>
      <c r="R850" s="1190"/>
      <c r="S850" s="1189"/>
      <c r="T850" s="1190"/>
      <c r="U850" s="1190"/>
      <c r="V850" s="1190"/>
      <c r="W850" s="1190"/>
      <c r="X850" s="1190"/>
      <c r="Y850" s="1190"/>
      <c r="Z850" s="1190"/>
      <c r="AA850" s="1190"/>
      <c r="AB850" s="1190"/>
      <c r="AC850" s="1190"/>
      <c r="AD850" s="1190"/>
      <c r="AE850" s="1190"/>
      <c r="AF850" s="1190"/>
      <c r="AG850" s="1748"/>
      <c r="AH850" s="1190"/>
      <c r="AI850" s="1748"/>
      <c r="AJ850" s="1190"/>
      <c r="AK850" s="1190"/>
      <c r="AL850" s="1190"/>
      <c r="AM850" s="1190"/>
      <c r="AN850" s="1190"/>
      <c r="AO850" s="1190"/>
      <c r="AP850" s="1190"/>
      <c r="AQ850" s="1190"/>
      <c r="AR850" s="1190"/>
      <c r="AS850" s="1190"/>
      <c r="AT850" s="1190"/>
      <c r="AU850" s="1190"/>
      <c r="AV850" s="1190"/>
      <c r="AW850" s="1190"/>
      <c r="AX850" s="1190"/>
      <c r="AY850" s="1190"/>
      <c r="AZ850" s="1190"/>
      <c r="BA850" s="1190"/>
      <c r="BB850" s="1190"/>
      <c r="BC850" s="1190"/>
      <c r="BD850" s="1190"/>
      <c r="BE850" s="1190"/>
      <c r="BF850" s="1190"/>
      <c r="BG850" s="1190"/>
      <c r="BH850" s="1190"/>
      <c r="BI850" s="1190"/>
      <c r="BJ850" s="1190"/>
      <c r="BK850" s="1190"/>
      <c r="BL850" s="1190"/>
      <c r="BM850" s="1190"/>
      <c r="BQ850" s="195"/>
      <c r="BR850" s="195"/>
      <c r="BT850" s="1005"/>
    </row>
    <row r="851" ht="15.75" customHeight="1">
      <c r="A851" s="195"/>
      <c r="B851" s="978"/>
      <c r="C851" s="2321"/>
      <c r="D851" s="1729"/>
      <c r="E851" s="1190"/>
      <c r="F851" s="1190"/>
      <c r="G851" s="1190"/>
      <c r="H851" s="1190"/>
      <c r="I851" s="1190"/>
      <c r="J851" s="1190"/>
      <c r="K851" s="1190"/>
      <c r="L851" s="1190"/>
      <c r="M851" s="1190"/>
      <c r="N851" s="1190"/>
      <c r="O851" s="1190"/>
      <c r="P851" s="1190"/>
      <c r="Q851" s="1190"/>
      <c r="R851" s="1190"/>
      <c r="S851" s="1189"/>
      <c r="T851" s="1190"/>
      <c r="U851" s="1190"/>
      <c r="V851" s="1190"/>
      <c r="W851" s="1190"/>
      <c r="X851" s="1190"/>
      <c r="Y851" s="1190"/>
      <c r="Z851" s="1190"/>
      <c r="AA851" s="1190"/>
      <c r="AB851" s="1190"/>
      <c r="AC851" s="1190"/>
      <c r="AD851" s="1190"/>
      <c r="AE851" s="1190"/>
      <c r="AF851" s="1190"/>
      <c r="AG851" s="1748"/>
      <c r="AH851" s="1190"/>
      <c r="AI851" s="1748"/>
      <c r="AJ851" s="1190"/>
      <c r="AK851" s="1190"/>
      <c r="AL851" s="1190"/>
      <c r="AM851" s="1190"/>
      <c r="AN851" s="1190"/>
      <c r="AO851" s="1190"/>
      <c r="AP851" s="1190"/>
      <c r="AQ851" s="1190"/>
      <c r="AR851" s="1190"/>
      <c r="AS851" s="1190"/>
      <c r="AT851" s="1190"/>
      <c r="AU851" s="1190"/>
      <c r="AV851" s="1190"/>
      <c r="AW851" s="1190"/>
      <c r="AX851" s="1190"/>
      <c r="AY851" s="1190"/>
      <c r="AZ851" s="1190"/>
      <c r="BA851" s="1190"/>
      <c r="BB851" s="1190"/>
      <c r="BC851" s="1190"/>
      <c r="BD851" s="1190"/>
      <c r="BE851" s="1190"/>
      <c r="BF851" s="1190"/>
      <c r="BG851" s="1190"/>
      <c r="BH851" s="1190"/>
      <c r="BI851" s="1190"/>
      <c r="BJ851" s="1190"/>
      <c r="BK851" s="1190"/>
      <c r="BL851" s="1190"/>
      <c r="BM851" s="1190"/>
      <c r="BQ851" s="195"/>
      <c r="BR851" s="195"/>
      <c r="BT851" s="1005"/>
    </row>
    <row r="852" ht="15.75" customHeight="1">
      <c r="A852" s="195"/>
      <c r="B852" s="978"/>
      <c r="C852" s="2321"/>
      <c r="D852" s="1729"/>
      <c r="E852" s="1190"/>
      <c r="F852" s="1190"/>
      <c r="G852" s="1190"/>
      <c r="H852" s="1190"/>
      <c r="I852" s="1190"/>
      <c r="J852" s="1190"/>
      <c r="K852" s="1190"/>
      <c r="L852" s="1190"/>
      <c r="M852" s="1190"/>
      <c r="N852" s="1190"/>
      <c r="O852" s="1190"/>
      <c r="P852" s="1190"/>
      <c r="Q852" s="1190"/>
      <c r="R852" s="1190"/>
      <c r="S852" s="1189"/>
      <c r="T852" s="1190"/>
      <c r="U852" s="1190"/>
      <c r="V852" s="1190"/>
      <c r="W852" s="1190"/>
      <c r="X852" s="1190"/>
      <c r="Y852" s="1190"/>
      <c r="Z852" s="1190"/>
      <c r="AA852" s="1190"/>
      <c r="AB852" s="1190"/>
      <c r="AC852" s="1190"/>
      <c r="AD852" s="1190"/>
      <c r="AE852" s="1190"/>
      <c r="AF852" s="1190"/>
      <c r="AG852" s="1748"/>
      <c r="AH852" s="1190"/>
      <c r="AI852" s="1748"/>
      <c r="AJ852" s="1190"/>
      <c r="AK852" s="1190"/>
      <c r="AL852" s="1190"/>
      <c r="AM852" s="1190"/>
      <c r="AN852" s="1190"/>
      <c r="AO852" s="1190"/>
      <c r="AP852" s="1190"/>
      <c r="AQ852" s="1190"/>
      <c r="AR852" s="1190"/>
      <c r="AS852" s="1190"/>
      <c r="AT852" s="1190"/>
      <c r="AU852" s="1190"/>
      <c r="AV852" s="1190"/>
      <c r="AW852" s="1190"/>
      <c r="AX852" s="1190"/>
      <c r="AY852" s="1190"/>
      <c r="AZ852" s="1190"/>
      <c r="BA852" s="1190"/>
      <c r="BB852" s="1190"/>
      <c r="BC852" s="1190"/>
      <c r="BD852" s="1190"/>
      <c r="BE852" s="1190"/>
      <c r="BF852" s="1190"/>
      <c r="BG852" s="1190"/>
      <c r="BH852" s="1190"/>
      <c r="BI852" s="1190"/>
      <c r="BJ852" s="1190"/>
      <c r="BK852" s="1190"/>
      <c r="BL852" s="1190"/>
      <c r="BM852" s="1190"/>
      <c r="BQ852" s="195"/>
      <c r="BR852" s="195"/>
      <c r="BT852" s="1005"/>
    </row>
    <row r="853" ht="15.75" customHeight="1">
      <c r="A853" s="195"/>
      <c r="B853" s="978"/>
      <c r="C853" s="2321"/>
      <c r="D853" s="1729"/>
      <c r="E853" s="1190"/>
      <c r="F853" s="1190"/>
      <c r="G853" s="1190"/>
      <c r="H853" s="1190"/>
      <c r="I853" s="1190"/>
      <c r="J853" s="1190"/>
      <c r="K853" s="1190"/>
      <c r="L853" s="1190"/>
      <c r="M853" s="1190"/>
      <c r="N853" s="1190"/>
      <c r="O853" s="1190"/>
      <c r="P853" s="1190"/>
      <c r="Q853" s="1190"/>
      <c r="R853" s="1190"/>
      <c r="S853" s="1189"/>
      <c r="T853" s="1190"/>
      <c r="U853" s="1190"/>
      <c r="V853" s="1190"/>
      <c r="W853" s="1190"/>
      <c r="X853" s="1190"/>
      <c r="Y853" s="1190"/>
      <c r="Z853" s="1190"/>
      <c r="AA853" s="1190"/>
      <c r="AB853" s="1190"/>
      <c r="AC853" s="1190"/>
      <c r="AD853" s="1190"/>
      <c r="AE853" s="1190"/>
      <c r="AF853" s="1190"/>
      <c r="AG853" s="1748"/>
      <c r="AH853" s="1190"/>
      <c r="AI853" s="1748"/>
      <c r="AJ853" s="1190"/>
      <c r="AK853" s="1190"/>
      <c r="AL853" s="1190"/>
      <c r="AM853" s="1190"/>
      <c r="AN853" s="1190"/>
      <c r="AO853" s="1190"/>
      <c r="AP853" s="1190"/>
      <c r="AQ853" s="1190"/>
      <c r="AR853" s="1190"/>
      <c r="AS853" s="1190"/>
      <c r="AT853" s="1190"/>
      <c r="AU853" s="1190"/>
      <c r="AV853" s="1190"/>
      <c r="AW853" s="1190"/>
      <c r="AX853" s="1190"/>
      <c r="AY853" s="1190"/>
      <c r="AZ853" s="1190"/>
      <c r="BA853" s="1190"/>
      <c r="BB853" s="1190"/>
      <c r="BC853" s="1190"/>
      <c r="BD853" s="1190"/>
      <c r="BE853" s="1190"/>
      <c r="BF853" s="1190"/>
      <c r="BG853" s="1190"/>
      <c r="BH853" s="1190"/>
      <c r="BI853" s="1190"/>
      <c r="BJ853" s="1190"/>
      <c r="BK853" s="1190"/>
      <c r="BL853" s="1190"/>
      <c r="BM853" s="1190"/>
      <c r="BQ853" s="195"/>
      <c r="BR853" s="195"/>
      <c r="BT853" s="1005"/>
    </row>
    <row r="854" ht="15.75" customHeight="1">
      <c r="A854" s="195"/>
      <c r="B854" s="978"/>
      <c r="C854" s="2321"/>
      <c r="D854" s="1729"/>
      <c r="E854" s="1190"/>
      <c r="F854" s="1190"/>
      <c r="G854" s="1190"/>
      <c r="H854" s="1190"/>
      <c r="I854" s="1190"/>
      <c r="J854" s="1190"/>
      <c r="K854" s="1190"/>
      <c r="L854" s="1190"/>
      <c r="M854" s="1190"/>
      <c r="N854" s="1190"/>
      <c r="O854" s="1190"/>
      <c r="P854" s="1190"/>
      <c r="Q854" s="1190"/>
      <c r="R854" s="1190"/>
      <c r="S854" s="1189"/>
      <c r="T854" s="1190"/>
      <c r="U854" s="1190"/>
      <c r="V854" s="1190"/>
      <c r="W854" s="1190"/>
      <c r="X854" s="1190"/>
      <c r="Y854" s="1190"/>
      <c r="Z854" s="1190"/>
      <c r="AA854" s="1190"/>
      <c r="AB854" s="1190"/>
      <c r="AC854" s="1190"/>
      <c r="AD854" s="1190"/>
      <c r="AE854" s="1190"/>
      <c r="AF854" s="1190"/>
      <c r="AG854" s="1748"/>
      <c r="AH854" s="1190"/>
      <c r="AI854" s="1748"/>
      <c r="AJ854" s="1190"/>
      <c r="AK854" s="1190"/>
      <c r="AL854" s="1190"/>
      <c r="AM854" s="1190"/>
      <c r="AN854" s="1190"/>
      <c r="AO854" s="1190"/>
      <c r="AP854" s="1190"/>
      <c r="AQ854" s="1190"/>
      <c r="AR854" s="1190"/>
      <c r="AS854" s="1190"/>
      <c r="AT854" s="1190"/>
      <c r="AU854" s="1190"/>
      <c r="AV854" s="1190"/>
      <c r="AW854" s="1190"/>
      <c r="AX854" s="1190"/>
      <c r="AY854" s="1190"/>
      <c r="AZ854" s="1190"/>
      <c r="BA854" s="1190"/>
      <c r="BB854" s="1190"/>
      <c r="BC854" s="1190"/>
      <c r="BD854" s="1190"/>
      <c r="BE854" s="1190"/>
      <c r="BF854" s="1190"/>
      <c r="BG854" s="1190"/>
      <c r="BH854" s="1190"/>
      <c r="BI854" s="1190"/>
      <c r="BJ854" s="1190"/>
      <c r="BK854" s="1190"/>
      <c r="BL854" s="1190"/>
      <c r="BM854" s="1190"/>
      <c r="BQ854" s="195"/>
      <c r="BR854" s="195"/>
      <c r="BT854" s="1005"/>
    </row>
    <row r="855" ht="15.75" customHeight="1">
      <c r="A855" s="195"/>
      <c r="B855" s="978"/>
      <c r="C855" s="2321"/>
      <c r="D855" s="1729"/>
      <c r="E855" s="1190"/>
      <c r="F855" s="1190"/>
      <c r="G855" s="1190"/>
      <c r="H855" s="1190"/>
      <c r="I855" s="1190"/>
      <c r="J855" s="1190"/>
      <c r="K855" s="1190"/>
      <c r="L855" s="1190"/>
      <c r="M855" s="1190"/>
      <c r="N855" s="1190"/>
      <c r="O855" s="1190"/>
      <c r="P855" s="1190"/>
      <c r="Q855" s="1190"/>
      <c r="R855" s="1190"/>
      <c r="S855" s="1189"/>
      <c r="T855" s="1190"/>
      <c r="U855" s="1190"/>
      <c r="V855" s="1190"/>
      <c r="W855" s="1190"/>
      <c r="X855" s="1190"/>
      <c r="Y855" s="1190"/>
      <c r="Z855" s="1190"/>
      <c r="AA855" s="1190"/>
      <c r="AB855" s="1190"/>
      <c r="AC855" s="1190"/>
      <c r="AD855" s="1190"/>
      <c r="AE855" s="1190"/>
      <c r="AF855" s="1190"/>
      <c r="AG855" s="1748"/>
      <c r="AH855" s="1190"/>
      <c r="AI855" s="1748"/>
      <c r="AJ855" s="1190"/>
      <c r="AK855" s="1190"/>
      <c r="AL855" s="1190"/>
      <c r="AM855" s="1190"/>
      <c r="AN855" s="1190"/>
      <c r="AO855" s="1190"/>
      <c r="AP855" s="1190"/>
      <c r="AQ855" s="1190"/>
      <c r="AR855" s="1190"/>
      <c r="AS855" s="1190"/>
      <c r="AT855" s="1190"/>
      <c r="AU855" s="1190"/>
      <c r="AV855" s="1190"/>
      <c r="AW855" s="1190"/>
      <c r="AX855" s="1190"/>
      <c r="AY855" s="1190"/>
      <c r="AZ855" s="1190"/>
      <c r="BA855" s="1190"/>
      <c r="BB855" s="1190"/>
      <c r="BC855" s="1190"/>
      <c r="BD855" s="1190"/>
      <c r="BE855" s="1190"/>
      <c r="BF855" s="1190"/>
      <c r="BG855" s="1190"/>
      <c r="BH855" s="1190"/>
      <c r="BI855" s="1190"/>
      <c r="BJ855" s="1190"/>
      <c r="BK855" s="1190"/>
      <c r="BL855" s="1190"/>
      <c r="BM855" s="1190"/>
      <c r="BQ855" s="195"/>
      <c r="BR855" s="195"/>
      <c r="BT855" s="1005"/>
    </row>
    <row r="856" ht="15.75" customHeight="1">
      <c r="A856" s="195"/>
      <c r="B856" s="978"/>
      <c r="C856" s="2321"/>
      <c r="D856" s="1729"/>
      <c r="E856" s="1190"/>
      <c r="F856" s="1190"/>
      <c r="G856" s="1190"/>
      <c r="H856" s="1190"/>
      <c r="I856" s="1190"/>
      <c r="J856" s="1190"/>
      <c r="K856" s="1190"/>
      <c r="L856" s="1190"/>
      <c r="M856" s="1190"/>
      <c r="N856" s="1190"/>
      <c r="O856" s="1190"/>
      <c r="P856" s="1190"/>
      <c r="Q856" s="1190"/>
      <c r="R856" s="1190"/>
      <c r="S856" s="1189"/>
      <c r="T856" s="1190"/>
      <c r="U856" s="1190"/>
      <c r="V856" s="1190"/>
      <c r="W856" s="1190"/>
      <c r="X856" s="1190"/>
      <c r="Y856" s="1190"/>
      <c r="Z856" s="1190"/>
      <c r="AA856" s="1190"/>
      <c r="AB856" s="1190"/>
      <c r="AC856" s="1190"/>
      <c r="AD856" s="1190"/>
      <c r="AE856" s="1190"/>
      <c r="AF856" s="1190"/>
      <c r="AG856" s="1748"/>
      <c r="AH856" s="1190"/>
      <c r="AI856" s="1748"/>
      <c r="AJ856" s="1190"/>
      <c r="AK856" s="1190"/>
      <c r="AL856" s="1190"/>
      <c r="AM856" s="1190"/>
      <c r="AN856" s="1190"/>
      <c r="AO856" s="1190"/>
      <c r="AP856" s="1190"/>
      <c r="AQ856" s="1190"/>
      <c r="AR856" s="1190"/>
      <c r="AS856" s="1190"/>
      <c r="AT856" s="1190"/>
      <c r="AU856" s="1190"/>
      <c r="AV856" s="1190"/>
      <c r="AW856" s="1190"/>
      <c r="AX856" s="1190"/>
      <c r="AY856" s="1190"/>
      <c r="AZ856" s="1190"/>
      <c r="BA856" s="1190"/>
      <c r="BB856" s="1190"/>
      <c r="BC856" s="1190"/>
      <c r="BD856" s="1190"/>
      <c r="BE856" s="1190"/>
      <c r="BF856" s="1190"/>
      <c r="BG856" s="1190"/>
      <c r="BH856" s="1190"/>
      <c r="BI856" s="1190"/>
      <c r="BJ856" s="1190"/>
      <c r="BK856" s="1190"/>
      <c r="BL856" s="1190"/>
      <c r="BM856" s="1190"/>
      <c r="BQ856" s="195"/>
      <c r="BR856" s="195"/>
      <c r="BT856" s="1005"/>
    </row>
    <row r="857" ht="15.75" customHeight="1">
      <c r="A857" s="195"/>
      <c r="B857" s="978"/>
      <c r="C857" s="2321"/>
      <c r="D857" s="1729"/>
      <c r="E857" s="1190"/>
      <c r="F857" s="1190"/>
      <c r="G857" s="1190"/>
      <c r="H857" s="1190"/>
      <c r="I857" s="1190"/>
      <c r="J857" s="1190"/>
      <c r="K857" s="1190"/>
      <c r="L857" s="1190"/>
      <c r="M857" s="1190"/>
      <c r="N857" s="1190"/>
      <c r="O857" s="1190"/>
      <c r="P857" s="1190"/>
      <c r="Q857" s="1190"/>
      <c r="R857" s="1190"/>
      <c r="S857" s="1189"/>
      <c r="T857" s="1190"/>
      <c r="U857" s="1190"/>
      <c r="V857" s="1190"/>
      <c r="W857" s="1190"/>
      <c r="X857" s="1190"/>
      <c r="Y857" s="1190"/>
      <c r="Z857" s="1190"/>
      <c r="AA857" s="1190"/>
      <c r="AB857" s="1190"/>
      <c r="AC857" s="1190"/>
      <c r="AD857" s="1190"/>
      <c r="AE857" s="1190"/>
      <c r="AF857" s="1190"/>
      <c r="AG857" s="1748"/>
      <c r="AH857" s="1190"/>
      <c r="AI857" s="1748"/>
      <c r="AJ857" s="1190"/>
      <c r="AK857" s="1190"/>
      <c r="AL857" s="1190"/>
      <c r="AM857" s="1190"/>
      <c r="AN857" s="1190"/>
      <c r="AO857" s="1190"/>
      <c r="AP857" s="1190"/>
      <c r="AQ857" s="1190"/>
      <c r="AR857" s="1190"/>
      <c r="AS857" s="1190"/>
      <c r="AT857" s="1190"/>
      <c r="AU857" s="1190"/>
      <c r="AV857" s="1190"/>
      <c r="AW857" s="1190"/>
      <c r="AX857" s="1190"/>
      <c r="AY857" s="1190"/>
      <c r="AZ857" s="1190"/>
      <c r="BA857" s="1190"/>
      <c r="BB857" s="1190"/>
      <c r="BC857" s="1190"/>
      <c r="BD857" s="1190"/>
      <c r="BE857" s="1190"/>
      <c r="BF857" s="1190"/>
      <c r="BG857" s="1190"/>
      <c r="BH857" s="1190"/>
      <c r="BI857" s="1190"/>
      <c r="BJ857" s="1190"/>
      <c r="BK857" s="1190"/>
      <c r="BL857" s="1190"/>
      <c r="BM857" s="1190"/>
      <c r="BQ857" s="195"/>
      <c r="BR857" s="195"/>
      <c r="BT857" s="1005"/>
    </row>
    <row r="858" ht="15.75" customHeight="1">
      <c r="A858" s="195"/>
      <c r="B858" s="978"/>
      <c r="C858" s="2321"/>
      <c r="D858" s="1729"/>
      <c r="E858" s="1190"/>
      <c r="F858" s="1190"/>
      <c r="G858" s="1190"/>
      <c r="H858" s="1190"/>
      <c r="I858" s="1190"/>
      <c r="J858" s="1190"/>
      <c r="K858" s="1190"/>
      <c r="L858" s="1190"/>
      <c r="M858" s="1190"/>
      <c r="N858" s="1190"/>
      <c r="O858" s="1190"/>
      <c r="P858" s="1190"/>
      <c r="Q858" s="1190"/>
      <c r="R858" s="1190"/>
      <c r="S858" s="1189"/>
      <c r="T858" s="1190"/>
      <c r="U858" s="1190"/>
      <c r="V858" s="1190"/>
      <c r="W858" s="1190"/>
      <c r="X858" s="1190"/>
      <c r="Y858" s="1190"/>
      <c r="Z858" s="1190"/>
      <c r="AA858" s="1190"/>
      <c r="AB858" s="1190"/>
      <c r="AC858" s="1190"/>
      <c r="AD858" s="1190"/>
      <c r="AE858" s="1190"/>
      <c r="AF858" s="1190"/>
      <c r="AG858" s="1748"/>
      <c r="AH858" s="1190"/>
      <c r="AI858" s="1748"/>
      <c r="AJ858" s="1190"/>
      <c r="AK858" s="1190"/>
      <c r="AL858" s="1190"/>
      <c r="AM858" s="1190"/>
      <c r="AN858" s="1190"/>
      <c r="AO858" s="1190"/>
      <c r="AP858" s="1190"/>
      <c r="AQ858" s="1190"/>
      <c r="AR858" s="1190"/>
      <c r="AS858" s="1190"/>
      <c r="AT858" s="1190"/>
      <c r="AU858" s="1190"/>
      <c r="AV858" s="1190"/>
      <c r="AW858" s="1190"/>
      <c r="AX858" s="1190"/>
      <c r="AY858" s="1190"/>
      <c r="AZ858" s="1190"/>
      <c r="BA858" s="1190"/>
      <c r="BB858" s="1190"/>
      <c r="BC858" s="1190"/>
      <c r="BD858" s="1190"/>
      <c r="BE858" s="1190"/>
      <c r="BF858" s="1190"/>
      <c r="BG858" s="1190"/>
      <c r="BH858" s="1190"/>
      <c r="BI858" s="1190"/>
      <c r="BJ858" s="1190"/>
      <c r="BK858" s="1190"/>
      <c r="BL858" s="1190"/>
      <c r="BM858" s="1190"/>
      <c r="BQ858" s="195"/>
      <c r="BR858" s="195"/>
      <c r="BT858" s="1005"/>
    </row>
    <row r="859" ht="15.75" customHeight="1">
      <c r="A859" s="195"/>
      <c r="B859" s="978"/>
      <c r="C859" s="2321"/>
      <c r="D859" s="1729"/>
      <c r="E859" s="1190"/>
      <c r="F859" s="1190"/>
      <c r="G859" s="1190"/>
      <c r="H859" s="1190"/>
      <c r="I859" s="1190"/>
      <c r="J859" s="1190"/>
      <c r="K859" s="1190"/>
      <c r="L859" s="1190"/>
      <c r="M859" s="1190"/>
      <c r="N859" s="1190"/>
      <c r="O859" s="1190"/>
      <c r="P859" s="1190"/>
      <c r="Q859" s="1190"/>
      <c r="R859" s="1190"/>
      <c r="S859" s="1189"/>
      <c r="T859" s="1190"/>
      <c r="U859" s="1190"/>
      <c r="V859" s="1190"/>
      <c r="W859" s="1190"/>
      <c r="X859" s="1190"/>
      <c r="Y859" s="1190"/>
      <c r="Z859" s="1190"/>
      <c r="AA859" s="1190"/>
      <c r="AB859" s="1190"/>
      <c r="AC859" s="1190"/>
      <c r="AD859" s="1190"/>
      <c r="AE859" s="1190"/>
      <c r="AF859" s="1190"/>
      <c r="AG859" s="1748"/>
      <c r="AH859" s="1190"/>
      <c r="AI859" s="1748"/>
      <c r="AJ859" s="1190"/>
      <c r="AK859" s="1190"/>
      <c r="AL859" s="1190"/>
      <c r="AM859" s="1190"/>
      <c r="AN859" s="1190"/>
      <c r="AO859" s="1190"/>
      <c r="AP859" s="1190"/>
      <c r="AQ859" s="1190"/>
      <c r="AR859" s="1190"/>
      <c r="AS859" s="1190"/>
      <c r="AT859" s="1190"/>
      <c r="AU859" s="1190"/>
      <c r="AV859" s="1190"/>
      <c r="AW859" s="1190"/>
      <c r="AX859" s="1190"/>
      <c r="AY859" s="1190"/>
      <c r="AZ859" s="1190"/>
      <c r="BA859" s="1190"/>
      <c r="BB859" s="1190"/>
      <c r="BC859" s="1190"/>
      <c r="BD859" s="1190"/>
      <c r="BE859" s="1190"/>
      <c r="BF859" s="1190"/>
      <c r="BG859" s="1190"/>
      <c r="BH859" s="1190"/>
      <c r="BI859" s="1190"/>
      <c r="BJ859" s="1190"/>
      <c r="BK859" s="1190"/>
      <c r="BL859" s="1190"/>
      <c r="BM859" s="1190"/>
      <c r="BQ859" s="195"/>
      <c r="BR859" s="195"/>
      <c r="BT859" s="1005"/>
    </row>
    <row r="860" ht="15.75" customHeight="1">
      <c r="A860" s="195"/>
      <c r="B860" s="978"/>
      <c r="C860" s="2321"/>
      <c r="D860" s="1729"/>
      <c r="E860" s="1190"/>
      <c r="F860" s="1190"/>
      <c r="G860" s="1190"/>
      <c r="H860" s="1190"/>
      <c r="I860" s="1190"/>
      <c r="J860" s="1190"/>
      <c r="K860" s="1190"/>
      <c r="L860" s="1190"/>
      <c r="M860" s="1190"/>
      <c r="N860" s="1190"/>
      <c r="O860" s="1190"/>
      <c r="P860" s="1190"/>
      <c r="Q860" s="1190"/>
      <c r="R860" s="1190"/>
      <c r="S860" s="1189"/>
      <c r="T860" s="1190"/>
      <c r="U860" s="1190"/>
      <c r="V860" s="1190"/>
      <c r="W860" s="1190"/>
      <c r="X860" s="1190"/>
      <c r="Y860" s="1190"/>
      <c r="Z860" s="1190"/>
      <c r="AA860" s="1190"/>
      <c r="AB860" s="1190"/>
      <c r="AC860" s="1190"/>
      <c r="AD860" s="1190"/>
      <c r="AE860" s="1190"/>
      <c r="AF860" s="1190"/>
      <c r="AG860" s="1748"/>
      <c r="AH860" s="1190"/>
      <c r="AI860" s="1748"/>
      <c r="AJ860" s="1190"/>
      <c r="AK860" s="1190"/>
      <c r="AL860" s="1190"/>
      <c r="AM860" s="1190"/>
      <c r="AN860" s="1190"/>
      <c r="AO860" s="1190"/>
      <c r="AP860" s="1190"/>
      <c r="AQ860" s="1190"/>
      <c r="AR860" s="1190"/>
      <c r="AS860" s="1190"/>
      <c r="AT860" s="1190"/>
      <c r="AU860" s="1190"/>
      <c r="AV860" s="1190"/>
      <c r="AW860" s="1190"/>
      <c r="AX860" s="1190"/>
      <c r="AY860" s="1190"/>
      <c r="AZ860" s="1190"/>
      <c r="BA860" s="1190"/>
      <c r="BB860" s="1190"/>
      <c r="BC860" s="1190"/>
      <c r="BD860" s="1190"/>
      <c r="BE860" s="1190"/>
      <c r="BF860" s="1190"/>
      <c r="BG860" s="1190"/>
      <c r="BH860" s="1190"/>
      <c r="BI860" s="1190"/>
      <c r="BJ860" s="1190"/>
      <c r="BK860" s="1190"/>
      <c r="BL860" s="1190"/>
      <c r="BM860" s="1190"/>
      <c r="BQ860" s="195"/>
      <c r="BR860" s="195"/>
      <c r="BT860" s="1005"/>
    </row>
    <row r="861" ht="15.75" customHeight="1">
      <c r="A861" s="195"/>
      <c r="B861" s="978"/>
      <c r="C861" s="2321"/>
      <c r="D861" s="1729"/>
      <c r="E861" s="1190"/>
      <c r="F861" s="1190"/>
      <c r="G861" s="1190"/>
      <c r="H861" s="1190"/>
      <c r="I861" s="1190"/>
      <c r="J861" s="1190"/>
      <c r="K861" s="1190"/>
      <c r="L861" s="1190"/>
      <c r="M861" s="1190"/>
      <c r="N861" s="1190"/>
      <c r="O861" s="1190"/>
      <c r="P861" s="1190"/>
      <c r="Q861" s="1190"/>
      <c r="R861" s="1190"/>
      <c r="S861" s="1189"/>
      <c r="T861" s="1190"/>
      <c r="U861" s="1190"/>
      <c r="V861" s="1190"/>
      <c r="W861" s="1190"/>
      <c r="X861" s="1190"/>
      <c r="Y861" s="1190"/>
      <c r="Z861" s="1190"/>
      <c r="AA861" s="1190"/>
      <c r="AB861" s="1190"/>
      <c r="AC861" s="1190"/>
      <c r="AD861" s="1190"/>
      <c r="AE861" s="1190"/>
      <c r="AF861" s="1190"/>
      <c r="AG861" s="1748"/>
      <c r="AH861" s="1190"/>
      <c r="AI861" s="1748"/>
      <c r="AJ861" s="1190"/>
      <c r="AK861" s="1190"/>
      <c r="AL861" s="1190"/>
      <c r="AM861" s="1190"/>
      <c r="AN861" s="1190"/>
      <c r="AO861" s="1190"/>
      <c r="AP861" s="1190"/>
      <c r="AQ861" s="1190"/>
      <c r="AR861" s="1190"/>
      <c r="AS861" s="1190"/>
      <c r="AT861" s="1190"/>
      <c r="AU861" s="1190"/>
      <c r="AV861" s="1190"/>
      <c r="AW861" s="1190"/>
      <c r="AX861" s="1190"/>
      <c r="AY861" s="1190"/>
      <c r="AZ861" s="1190"/>
      <c r="BA861" s="1190"/>
      <c r="BB861" s="1190"/>
      <c r="BC861" s="1190"/>
      <c r="BD861" s="1190"/>
      <c r="BE861" s="1190"/>
      <c r="BF861" s="1190"/>
      <c r="BG861" s="1190"/>
      <c r="BH861" s="1190"/>
      <c r="BI861" s="1190"/>
      <c r="BJ861" s="1190"/>
      <c r="BK861" s="1190"/>
      <c r="BL861" s="1190"/>
      <c r="BM861" s="1190"/>
      <c r="BQ861" s="195"/>
      <c r="BR861" s="195"/>
      <c r="BT861" s="1005"/>
    </row>
    <row r="862" ht="15.75" customHeight="1">
      <c r="A862" s="195"/>
      <c r="B862" s="978"/>
      <c r="C862" s="2321"/>
      <c r="D862" s="1729"/>
      <c r="E862" s="1190"/>
      <c r="F862" s="1190"/>
      <c r="G862" s="1190"/>
      <c r="H862" s="1190"/>
      <c r="I862" s="1190"/>
      <c r="J862" s="1190"/>
      <c r="K862" s="1190"/>
      <c r="L862" s="1190"/>
      <c r="M862" s="1190"/>
      <c r="N862" s="1190"/>
      <c r="O862" s="1190"/>
      <c r="P862" s="1190"/>
      <c r="Q862" s="1190"/>
      <c r="R862" s="1190"/>
      <c r="S862" s="1189"/>
      <c r="T862" s="1190"/>
      <c r="U862" s="1190"/>
      <c r="V862" s="1190"/>
      <c r="W862" s="1190"/>
      <c r="X862" s="1190"/>
      <c r="Y862" s="1190"/>
      <c r="Z862" s="1190"/>
      <c r="AA862" s="1190"/>
      <c r="AB862" s="1190"/>
      <c r="AC862" s="1190"/>
      <c r="AD862" s="1190"/>
      <c r="AE862" s="1190"/>
      <c r="AF862" s="1190"/>
      <c r="AG862" s="1748"/>
      <c r="AH862" s="1190"/>
      <c r="AI862" s="1748"/>
      <c r="AJ862" s="1190"/>
      <c r="AK862" s="1190"/>
      <c r="AL862" s="1190"/>
      <c r="AM862" s="1190"/>
      <c r="AN862" s="1190"/>
      <c r="AO862" s="1190"/>
      <c r="AP862" s="1190"/>
      <c r="AQ862" s="1190"/>
      <c r="AR862" s="1190"/>
      <c r="AS862" s="1190"/>
      <c r="AT862" s="1190"/>
      <c r="AU862" s="1190"/>
      <c r="AV862" s="1190"/>
      <c r="AW862" s="1190"/>
      <c r="AX862" s="1190"/>
      <c r="AY862" s="1190"/>
      <c r="AZ862" s="1190"/>
      <c r="BA862" s="1190"/>
      <c r="BB862" s="1190"/>
      <c r="BC862" s="1190"/>
      <c r="BD862" s="1190"/>
      <c r="BE862" s="1190"/>
      <c r="BF862" s="1190"/>
      <c r="BG862" s="1190"/>
      <c r="BH862" s="1190"/>
      <c r="BI862" s="1190"/>
      <c r="BJ862" s="1190"/>
      <c r="BK862" s="1190"/>
      <c r="BL862" s="1190"/>
      <c r="BM862" s="1190"/>
      <c r="BQ862" s="195"/>
      <c r="BR862" s="195"/>
      <c r="BT862" s="1005"/>
    </row>
    <row r="863" ht="15.75" customHeight="1">
      <c r="A863" s="195"/>
      <c r="B863" s="978"/>
      <c r="C863" s="2321"/>
      <c r="D863" s="1729"/>
      <c r="E863" s="1190"/>
      <c r="F863" s="1190"/>
      <c r="G863" s="1190"/>
      <c r="H863" s="1190"/>
      <c r="I863" s="1190"/>
      <c r="J863" s="1190"/>
      <c r="K863" s="1190"/>
      <c r="L863" s="1190"/>
      <c r="M863" s="1190"/>
      <c r="N863" s="1190"/>
      <c r="O863" s="1190"/>
      <c r="P863" s="1190"/>
      <c r="Q863" s="1190"/>
      <c r="R863" s="1190"/>
      <c r="S863" s="1189"/>
      <c r="T863" s="1190"/>
      <c r="U863" s="1190"/>
      <c r="V863" s="1190"/>
      <c r="W863" s="1190"/>
      <c r="X863" s="1190"/>
      <c r="Y863" s="1190"/>
      <c r="Z863" s="1190"/>
      <c r="AA863" s="1190"/>
      <c r="AB863" s="1190"/>
      <c r="AC863" s="1190"/>
      <c r="AD863" s="1190"/>
      <c r="AE863" s="1190"/>
      <c r="AF863" s="1190"/>
      <c r="AG863" s="1748"/>
      <c r="AH863" s="1190"/>
      <c r="AI863" s="1748"/>
      <c r="AJ863" s="1190"/>
      <c r="AK863" s="1190"/>
      <c r="AL863" s="1190"/>
      <c r="AM863" s="1190"/>
      <c r="AN863" s="1190"/>
      <c r="AO863" s="1190"/>
      <c r="AP863" s="1190"/>
      <c r="AQ863" s="1190"/>
      <c r="AR863" s="1190"/>
      <c r="AS863" s="1190"/>
      <c r="AT863" s="1190"/>
      <c r="AU863" s="1190"/>
      <c r="AV863" s="1190"/>
      <c r="AW863" s="1190"/>
      <c r="AX863" s="1190"/>
      <c r="AY863" s="1190"/>
      <c r="AZ863" s="1190"/>
      <c r="BA863" s="1190"/>
      <c r="BB863" s="1190"/>
      <c r="BC863" s="1190"/>
      <c r="BD863" s="1190"/>
      <c r="BE863" s="1190"/>
      <c r="BF863" s="1190"/>
      <c r="BG863" s="1190"/>
      <c r="BH863" s="1190"/>
      <c r="BI863" s="1190"/>
      <c r="BJ863" s="1190"/>
      <c r="BK863" s="1190"/>
      <c r="BL863" s="1190"/>
      <c r="BM863" s="1190"/>
      <c r="BQ863" s="195"/>
      <c r="BR863" s="195"/>
      <c r="BT863" s="1005"/>
    </row>
    <row r="864" ht="15.75" customHeight="1">
      <c r="A864" s="195"/>
      <c r="B864" s="978"/>
      <c r="C864" s="2321"/>
      <c r="D864" s="1729"/>
      <c r="E864" s="1190"/>
      <c r="F864" s="1190"/>
      <c r="G864" s="1190"/>
      <c r="H864" s="1190"/>
      <c r="I864" s="1190"/>
      <c r="J864" s="1190"/>
      <c r="K864" s="1190"/>
      <c r="L864" s="1190"/>
      <c r="M864" s="1190"/>
      <c r="N864" s="1190"/>
      <c r="O864" s="1190"/>
      <c r="P864" s="1190"/>
      <c r="Q864" s="1190"/>
      <c r="R864" s="1190"/>
      <c r="S864" s="1189"/>
      <c r="T864" s="1190"/>
      <c r="U864" s="1190"/>
      <c r="V864" s="1190"/>
      <c r="W864" s="1190"/>
      <c r="X864" s="1190"/>
      <c r="Y864" s="1190"/>
      <c r="Z864" s="1190"/>
      <c r="AA864" s="1190"/>
      <c r="AB864" s="1190"/>
      <c r="AC864" s="1190"/>
      <c r="AD864" s="1190"/>
      <c r="AE864" s="1190"/>
      <c r="AF864" s="1190"/>
      <c r="AG864" s="1748"/>
      <c r="AH864" s="1190"/>
      <c r="AI864" s="1748"/>
      <c r="AJ864" s="1190"/>
      <c r="AK864" s="1190"/>
      <c r="AL864" s="1190"/>
      <c r="AM864" s="1190"/>
      <c r="AN864" s="1190"/>
      <c r="AO864" s="1190"/>
      <c r="AP864" s="1190"/>
      <c r="AQ864" s="1190"/>
      <c r="AR864" s="1190"/>
      <c r="AS864" s="1190"/>
      <c r="AT864" s="1190"/>
      <c r="AU864" s="1190"/>
      <c r="AV864" s="1190"/>
      <c r="AW864" s="1190"/>
      <c r="AX864" s="1190"/>
      <c r="AY864" s="1190"/>
      <c r="AZ864" s="1190"/>
      <c r="BA864" s="1190"/>
      <c r="BB864" s="1190"/>
      <c r="BC864" s="1190"/>
      <c r="BD864" s="1190"/>
      <c r="BE864" s="1190"/>
      <c r="BF864" s="1190"/>
      <c r="BG864" s="1190"/>
      <c r="BH864" s="1190"/>
      <c r="BI864" s="1190"/>
      <c r="BJ864" s="1190"/>
      <c r="BK864" s="1190"/>
      <c r="BL864" s="1190"/>
      <c r="BM864" s="1190"/>
      <c r="BQ864" s="195"/>
      <c r="BR864" s="195"/>
      <c r="BT864" s="1005"/>
    </row>
    <row r="865" ht="15.75" customHeight="1">
      <c r="A865" s="195"/>
      <c r="B865" s="978"/>
      <c r="C865" s="2321"/>
      <c r="D865" s="1729"/>
      <c r="E865" s="1190"/>
      <c r="F865" s="1190"/>
      <c r="G865" s="1190"/>
      <c r="H865" s="1190"/>
      <c r="I865" s="1190"/>
      <c r="J865" s="1190"/>
      <c r="K865" s="1190"/>
      <c r="L865" s="1190"/>
      <c r="M865" s="1190"/>
      <c r="N865" s="1190"/>
      <c r="O865" s="1190"/>
      <c r="P865" s="1190"/>
      <c r="Q865" s="1190"/>
      <c r="R865" s="1190"/>
      <c r="S865" s="1189"/>
      <c r="T865" s="1190"/>
      <c r="U865" s="1190"/>
      <c r="V865" s="1190"/>
      <c r="W865" s="1190"/>
      <c r="X865" s="1190"/>
      <c r="Y865" s="1190"/>
      <c r="Z865" s="1190"/>
      <c r="AA865" s="1190"/>
      <c r="AB865" s="1190"/>
      <c r="AC865" s="1190"/>
      <c r="AD865" s="1190"/>
      <c r="AE865" s="1190"/>
      <c r="AF865" s="1190"/>
      <c r="AG865" s="1748"/>
      <c r="AH865" s="1190"/>
      <c r="AI865" s="1748"/>
      <c r="AJ865" s="1190"/>
      <c r="AK865" s="1190"/>
      <c r="AL865" s="1190"/>
      <c r="AM865" s="1190"/>
      <c r="AN865" s="1190"/>
      <c r="AO865" s="1190"/>
      <c r="AP865" s="1190"/>
      <c r="AQ865" s="1190"/>
      <c r="AR865" s="1190"/>
      <c r="AS865" s="1190"/>
      <c r="AT865" s="1190"/>
      <c r="AU865" s="1190"/>
      <c r="AV865" s="1190"/>
      <c r="AW865" s="1190"/>
      <c r="AX865" s="1190"/>
      <c r="AY865" s="1190"/>
      <c r="AZ865" s="1190"/>
      <c r="BA865" s="1190"/>
      <c r="BB865" s="1190"/>
      <c r="BC865" s="1190"/>
      <c r="BD865" s="1190"/>
      <c r="BE865" s="1190"/>
      <c r="BF865" s="1190"/>
      <c r="BG865" s="1190"/>
      <c r="BH865" s="1190"/>
      <c r="BI865" s="1190"/>
      <c r="BJ865" s="1190"/>
      <c r="BK865" s="1190"/>
      <c r="BL865" s="1190"/>
      <c r="BM865" s="1190"/>
      <c r="BQ865" s="195"/>
      <c r="BR865" s="195"/>
      <c r="BT865" s="1005"/>
    </row>
    <row r="866" ht="15.75" customHeight="1">
      <c r="A866" s="195"/>
      <c r="B866" s="978"/>
      <c r="C866" s="2321"/>
      <c r="D866" s="1729"/>
      <c r="E866" s="1190"/>
      <c r="F866" s="1190"/>
      <c r="G866" s="1190"/>
      <c r="H866" s="1190"/>
      <c r="I866" s="1190"/>
      <c r="J866" s="1190"/>
      <c r="K866" s="1190"/>
      <c r="L866" s="1190"/>
      <c r="M866" s="1190"/>
      <c r="N866" s="1190"/>
      <c r="O866" s="1190"/>
      <c r="P866" s="1190"/>
      <c r="Q866" s="1190"/>
      <c r="R866" s="1190"/>
      <c r="S866" s="1189"/>
      <c r="T866" s="1190"/>
      <c r="U866" s="1190"/>
      <c r="V866" s="1190"/>
      <c r="W866" s="1190"/>
      <c r="X866" s="1190"/>
      <c r="Y866" s="1190"/>
      <c r="Z866" s="1190"/>
      <c r="AA866" s="1190"/>
      <c r="AB866" s="1190"/>
      <c r="AC866" s="1190"/>
      <c r="AD866" s="1190"/>
      <c r="AE866" s="1190"/>
      <c r="AF866" s="1190"/>
      <c r="AG866" s="1748"/>
      <c r="AH866" s="1190"/>
      <c r="AI866" s="1748"/>
      <c r="AJ866" s="1190"/>
      <c r="AK866" s="1190"/>
      <c r="AL866" s="1190"/>
      <c r="AM866" s="1190"/>
      <c r="AN866" s="1190"/>
      <c r="AO866" s="1190"/>
      <c r="AP866" s="1190"/>
      <c r="AQ866" s="1190"/>
      <c r="AR866" s="1190"/>
      <c r="AS866" s="1190"/>
      <c r="AT866" s="1190"/>
      <c r="AU866" s="1190"/>
      <c r="AV866" s="1190"/>
      <c r="AW866" s="1190"/>
      <c r="AX866" s="1190"/>
      <c r="AY866" s="1190"/>
      <c r="AZ866" s="1190"/>
      <c r="BA866" s="1190"/>
      <c r="BB866" s="1190"/>
      <c r="BC866" s="1190"/>
      <c r="BD866" s="1190"/>
      <c r="BE866" s="1190"/>
      <c r="BF866" s="1190"/>
      <c r="BG866" s="1190"/>
      <c r="BH866" s="1190"/>
      <c r="BI866" s="1190"/>
      <c r="BJ866" s="1190"/>
      <c r="BK866" s="1190"/>
      <c r="BL866" s="1190"/>
      <c r="BM866" s="1190"/>
      <c r="BQ866" s="195"/>
      <c r="BR866" s="195"/>
      <c r="BT866" s="1005"/>
    </row>
    <row r="867" ht="15.75" customHeight="1">
      <c r="A867" s="195"/>
      <c r="B867" s="978"/>
      <c r="C867" s="2321"/>
      <c r="D867" s="1729"/>
      <c r="E867" s="1190"/>
      <c r="F867" s="1190"/>
      <c r="G867" s="1190"/>
      <c r="H867" s="1190"/>
      <c r="I867" s="1190"/>
      <c r="J867" s="1190"/>
      <c r="K867" s="1190"/>
      <c r="L867" s="1190"/>
      <c r="M867" s="1190"/>
      <c r="N867" s="1190"/>
      <c r="O867" s="1190"/>
      <c r="P867" s="1190"/>
      <c r="Q867" s="1190"/>
      <c r="R867" s="1190"/>
      <c r="S867" s="1189"/>
      <c r="T867" s="1190"/>
      <c r="U867" s="1190"/>
      <c r="V867" s="1190"/>
      <c r="W867" s="1190"/>
      <c r="X867" s="1190"/>
      <c r="Y867" s="1190"/>
      <c r="Z867" s="1190"/>
      <c r="AA867" s="1190"/>
      <c r="AB867" s="1190"/>
      <c r="AC867" s="1190"/>
      <c r="AD867" s="1190"/>
      <c r="AE867" s="1190"/>
      <c r="AF867" s="1190"/>
      <c r="AG867" s="1748"/>
      <c r="AH867" s="1190"/>
      <c r="AI867" s="1748"/>
      <c r="AJ867" s="1190"/>
      <c r="AK867" s="1190"/>
      <c r="AL867" s="1190"/>
      <c r="AM867" s="1190"/>
      <c r="AN867" s="1190"/>
      <c r="AO867" s="1190"/>
      <c r="AP867" s="1190"/>
      <c r="AQ867" s="1190"/>
      <c r="AR867" s="1190"/>
      <c r="AS867" s="1190"/>
      <c r="AT867" s="1190"/>
      <c r="AU867" s="1190"/>
      <c r="AV867" s="1190"/>
      <c r="AW867" s="1190"/>
      <c r="AX867" s="1190"/>
      <c r="AY867" s="1190"/>
      <c r="AZ867" s="1190"/>
      <c r="BA867" s="1190"/>
      <c r="BB867" s="1190"/>
      <c r="BC867" s="1190"/>
      <c r="BD867" s="1190"/>
      <c r="BE867" s="1190"/>
      <c r="BF867" s="1190"/>
      <c r="BG867" s="1190"/>
      <c r="BH867" s="1190"/>
      <c r="BI867" s="1190"/>
      <c r="BJ867" s="1190"/>
      <c r="BK867" s="1190"/>
      <c r="BL867" s="1190"/>
      <c r="BM867" s="1190"/>
      <c r="BQ867" s="195"/>
      <c r="BR867" s="195"/>
      <c r="BT867" s="1005"/>
    </row>
    <row r="868" ht="15.75" customHeight="1">
      <c r="A868" s="195"/>
      <c r="B868" s="978"/>
      <c r="C868" s="2321"/>
      <c r="D868" s="1729"/>
      <c r="E868" s="1190"/>
      <c r="F868" s="1190"/>
      <c r="G868" s="1190"/>
      <c r="H868" s="1190"/>
      <c r="I868" s="1190"/>
      <c r="J868" s="1190"/>
      <c r="K868" s="1190"/>
      <c r="L868" s="1190"/>
      <c r="M868" s="1190"/>
      <c r="N868" s="1190"/>
      <c r="O868" s="1190"/>
      <c r="P868" s="1190"/>
      <c r="Q868" s="1190"/>
      <c r="R868" s="1190"/>
      <c r="S868" s="1189"/>
      <c r="T868" s="1190"/>
      <c r="U868" s="1190"/>
      <c r="V868" s="1190"/>
      <c r="W868" s="1190"/>
      <c r="X868" s="1190"/>
      <c r="Y868" s="1190"/>
      <c r="Z868" s="1190"/>
      <c r="AA868" s="1190"/>
      <c r="AB868" s="1190"/>
      <c r="AC868" s="1190"/>
      <c r="AD868" s="1190"/>
      <c r="AE868" s="1190"/>
      <c r="AF868" s="1190"/>
      <c r="AG868" s="1748"/>
      <c r="AH868" s="1190"/>
      <c r="AI868" s="1748"/>
      <c r="AJ868" s="1190"/>
      <c r="AK868" s="1190"/>
      <c r="AL868" s="1190"/>
      <c r="AM868" s="1190"/>
      <c r="AN868" s="1190"/>
      <c r="AO868" s="1190"/>
      <c r="AP868" s="1190"/>
      <c r="AQ868" s="1190"/>
      <c r="AR868" s="1190"/>
      <c r="AS868" s="1190"/>
      <c r="AT868" s="1190"/>
      <c r="AU868" s="1190"/>
      <c r="AV868" s="1190"/>
      <c r="AW868" s="1190"/>
      <c r="AX868" s="1190"/>
      <c r="AY868" s="1190"/>
      <c r="AZ868" s="1190"/>
      <c r="BA868" s="1190"/>
      <c r="BB868" s="1190"/>
      <c r="BC868" s="1190"/>
      <c r="BD868" s="1190"/>
      <c r="BE868" s="1190"/>
      <c r="BF868" s="1190"/>
      <c r="BG868" s="1190"/>
      <c r="BH868" s="1190"/>
      <c r="BI868" s="1190"/>
      <c r="BJ868" s="1190"/>
      <c r="BK868" s="1190"/>
      <c r="BL868" s="1190"/>
      <c r="BM868" s="1190"/>
      <c r="BQ868" s="195"/>
      <c r="BR868" s="195"/>
      <c r="BT868" s="1005"/>
    </row>
    <row r="869" ht="15.75" customHeight="1">
      <c r="A869" s="195"/>
      <c r="B869" s="978"/>
      <c r="C869" s="2321"/>
      <c r="D869" s="1729"/>
      <c r="E869" s="1190"/>
      <c r="F869" s="1190"/>
      <c r="G869" s="1190"/>
      <c r="H869" s="1190"/>
      <c r="I869" s="1190"/>
      <c r="J869" s="1190"/>
      <c r="K869" s="1190"/>
      <c r="L869" s="1190"/>
      <c r="M869" s="1190"/>
      <c r="N869" s="1190"/>
      <c r="O869" s="1190"/>
      <c r="P869" s="1190"/>
      <c r="Q869" s="1190"/>
      <c r="R869" s="1190"/>
      <c r="S869" s="1189"/>
      <c r="T869" s="1190"/>
      <c r="U869" s="1190"/>
      <c r="V869" s="1190"/>
      <c r="W869" s="1190"/>
      <c r="X869" s="1190"/>
      <c r="Y869" s="1190"/>
      <c r="Z869" s="1190"/>
      <c r="AA869" s="1190"/>
      <c r="AB869" s="1190"/>
      <c r="AC869" s="1190"/>
      <c r="AD869" s="1190"/>
      <c r="AE869" s="1190"/>
      <c r="AF869" s="1190"/>
      <c r="AG869" s="1748"/>
      <c r="AH869" s="1190"/>
      <c r="AI869" s="1748"/>
      <c r="AJ869" s="1190"/>
      <c r="AK869" s="1190"/>
      <c r="AL869" s="1190"/>
      <c r="AM869" s="1190"/>
      <c r="AN869" s="1190"/>
      <c r="AO869" s="1190"/>
      <c r="AP869" s="1190"/>
      <c r="AQ869" s="1190"/>
      <c r="AR869" s="1190"/>
      <c r="AS869" s="1190"/>
      <c r="AT869" s="1190"/>
      <c r="AU869" s="1190"/>
      <c r="AV869" s="1190"/>
      <c r="AW869" s="1190"/>
      <c r="AX869" s="1190"/>
      <c r="AY869" s="1190"/>
      <c r="AZ869" s="1190"/>
      <c r="BA869" s="1190"/>
      <c r="BB869" s="1190"/>
      <c r="BC869" s="1190"/>
      <c r="BD869" s="1190"/>
      <c r="BE869" s="1190"/>
      <c r="BF869" s="1190"/>
      <c r="BG869" s="1190"/>
      <c r="BH869" s="1190"/>
      <c r="BI869" s="1190"/>
      <c r="BJ869" s="1190"/>
      <c r="BK869" s="1190"/>
      <c r="BL869" s="1190"/>
      <c r="BM869" s="1190"/>
      <c r="BQ869" s="195"/>
      <c r="BR869" s="195"/>
      <c r="BT869" s="1005"/>
    </row>
    <row r="870" ht="15.75" customHeight="1">
      <c r="A870" s="195"/>
      <c r="B870" s="978"/>
      <c r="C870" s="2321"/>
      <c r="D870" s="1729"/>
      <c r="E870" s="1190"/>
      <c r="F870" s="1190"/>
      <c r="G870" s="1190"/>
      <c r="H870" s="1190"/>
      <c r="I870" s="1190"/>
      <c r="J870" s="1190"/>
      <c r="K870" s="1190"/>
      <c r="L870" s="1190"/>
      <c r="M870" s="1190"/>
      <c r="N870" s="1190"/>
      <c r="O870" s="1190"/>
      <c r="P870" s="1190"/>
      <c r="Q870" s="1190"/>
      <c r="R870" s="1190"/>
      <c r="S870" s="1189"/>
      <c r="T870" s="1190"/>
      <c r="U870" s="1190"/>
      <c r="V870" s="1190"/>
      <c r="W870" s="1190"/>
      <c r="X870" s="1190"/>
      <c r="Y870" s="1190"/>
      <c r="Z870" s="1190"/>
      <c r="AA870" s="1190"/>
      <c r="AB870" s="1190"/>
      <c r="AC870" s="1190"/>
      <c r="AD870" s="1190"/>
      <c r="AE870" s="1190"/>
      <c r="AF870" s="1190"/>
      <c r="AG870" s="1748"/>
      <c r="AH870" s="1190"/>
      <c r="AI870" s="1748"/>
      <c r="AJ870" s="1190"/>
      <c r="AK870" s="1190"/>
      <c r="AL870" s="1190"/>
      <c r="AM870" s="1190"/>
      <c r="AN870" s="1190"/>
      <c r="AO870" s="1190"/>
      <c r="AP870" s="1190"/>
      <c r="AQ870" s="1190"/>
      <c r="AR870" s="1190"/>
      <c r="AS870" s="1190"/>
      <c r="AT870" s="1190"/>
      <c r="AU870" s="1190"/>
      <c r="AV870" s="1190"/>
      <c r="AW870" s="1190"/>
      <c r="AX870" s="1190"/>
      <c r="AY870" s="1190"/>
      <c r="AZ870" s="1190"/>
      <c r="BA870" s="1190"/>
      <c r="BB870" s="1190"/>
      <c r="BC870" s="1190"/>
      <c r="BD870" s="1190"/>
      <c r="BE870" s="1190"/>
      <c r="BF870" s="1190"/>
      <c r="BG870" s="1190"/>
      <c r="BH870" s="1190"/>
      <c r="BI870" s="1190"/>
      <c r="BJ870" s="1190"/>
      <c r="BK870" s="1190"/>
      <c r="BL870" s="1190"/>
      <c r="BM870" s="1190"/>
      <c r="BQ870" s="195"/>
      <c r="BR870" s="195"/>
      <c r="BT870" s="1005"/>
    </row>
    <row r="871" ht="15.75" customHeight="1">
      <c r="A871" s="195"/>
      <c r="B871" s="978"/>
      <c r="C871" s="2321"/>
      <c r="D871" s="1729"/>
      <c r="E871" s="1190"/>
      <c r="F871" s="1190"/>
      <c r="G871" s="1190"/>
      <c r="H871" s="1190"/>
      <c r="I871" s="1190"/>
      <c r="J871" s="1190"/>
      <c r="K871" s="1190"/>
      <c r="L871" s="1190"/>
      <c r="M871" s="1190"/>
      <c r="N871" s="1190"/>
      <c r="O871" s="1190"/>
      <c r="P871" s="1190"/>
      <c r="Q871" s="1190"/>
      <c r="R871" s="1190"/>
      <c r="S871" s="1189"/>
      <c r="T871" s="1190"/>
      <c r="U871" s="1190"/>
      <c r="V871" s="1190"/>
      <c r="W871" s="1190"/>
      <c r="X871" s="1190"/>
      <c r="Y871" s="1190"/>
      <c r="Z871" s="1190"/>
      <c r="AA871" s="1190"/>
      <c r="AB871" s="1190"/>
      <c r="AC871" s="1190"/>
      <c r="AD871" s="1190"/>
      <c r="AE871" s="1190"/>
      <c r="AF871" s="1190"/>
      <c r="AG871" s="1748"/>
      <c r="AH871" s="1190"/>
      <c r="AI871" s="1748"/>
      <c r="AJ871" s="1190"/>
      <c r="AK871" s="1190"/>
      <c r="AL871" s="1190"/>
      <c r="AM871" s="1190"/>
      <c r="AN871" s="1190"/>
      <c r="AO871" s="1190"/>
      <c r="AP871" s="1190"/>
      <c r="AQ871" s="1190"/>
      <c r="AR871" s="1190"/>
      <c r="AS871" s="1190"/>
      <c r="AT871" s="1190"/>
      <c r="AU871" s="1190"/>
      <c r="AV871" s="1190"/>
      <c r="AW871" s="1190"/>
      <c r="AX871" s="1190"/>
      <c r="AY871" s="1190"/>
      <c r="AZ871" s="1190"/>
      <c r="BA871" s="1190"/>
      <c r="BB871" s="1190"/>
      <c r="BC871" s="1190"/>
      <c r="BD871" s="1190"/>
      <c r="BE871" s="1190"/>
      <c r="BF871" s="1190"/>
      <c r="BG871" s="1190"/>
      <c r="BH871" s="1190"/>
      <c r="BI871" s="1190"/>
      <c r="BJ871" s="1190"/>
      <c r="BK871" s="1190"/>
      <c r="BL871" s="1190"/>
      <c r="BM871" s="1190"/>
      <c r="BQ871" s="195"/>
      <c r="BR871" s="195"/>
      <c r="BT871" s="1005"/>
    </row>
    <row r="872" ht="15.75" customHeight="1">
      <c r="A872" s="195"/>
      <c r="B872" s="978"/>
      <c r="C872" s="2321"/>
      <c r="D872" s="1729"/>
      <c r="E872" s="1190"/>
      <c r="F872" s="1190"/>
      <c r="G872" s="1190"/>
      <c r="H872" s="1190"/>
      <c r="I872" s="1190"/>
      <c r="J872" s="1190"/>
      <c r="K872" s="1190"/>
      <c r="L872" s="1190"/>
      <c r="M872" s="1190"/>
      <c r="N872" s="1190"/>
      <c r="O872" s="1190"/>
      <c r="P872" s="1190"/>
      <c r="Q872" s="1190"/>
      <c r="R872" s="1190"/>
      <c r="S872" s="1189"/>
      <c r="T872" s="1190"/>
      <c r="U872" s="1190"/>
      <c r="V872" s="1190"/>
      <c r="W872" s="1190"/>
      <c r="X872" s="1190"/>
      <c r="Y872" s="1190"/>
      <c r="Z872" s="1190"/>
      <c r="AA872" s="1190"/>
      <c r="AB872" s="1190"/>
      <c r="AC872" s="1190"/>
      <c r="AD872" s="1190"/>
      <c r="AE872" s="1190"/>
      <c r="AF872" s="1190"/>
      <c r="AG872" s="1748"/>
      <c r="AH872" s="1190"/>
      <c r="AI872" s="1748"/>
      <c r="AJ872" s="1190"/>
      <c r="AK872" s="1190"/>
      <c r="AL872" s="1190"/>
      <c r="AM872" s="1190"/>
      <c r="AN872" s="1190"/>
      <c r="AO872" s="1190"/>
      <c r="AP872" s="1190"/>
      <c r="AQ872" s="1190"/>
      <c r="AR872" s="1190"/>
      <c r="AS872" s="1190"/>
      <c r="AT872" s="1190"/>
      <c r="AU872" s="1190"/>
      <c r="AV872" s="1190"/>
      <c r="AW872" s="1190"/>
      <c r="AX872" s="1190"/>
      <c r="AY872" s="1190"/>
      <c r="AZ872" s="1190"/>
      <c r="BA872" s="1190"/>
      <c r="BB872" s="1190"/>
      <c r="BC872" s="1190"/>
      <c r="BD872" s="1190"/>
      <c r="BE872" s="1190"/>
      <c r="BF872" s="1190"/>
      <c r="BG872" s="1190"/>
      <c r="BH872" s="1190"/>
      <c r="BI872" s="1190"/>
      <c r="BJ872" s="1190"/>
      <c r="BK872" s="1190"/>
      <c r="BL872" s="1190"/>
      <c r="BM872" s="1190"/>
      <c r="BQ872" s="195"/>
      <c r="BR872" s="195"/>
      <c r="BT872" s="1005"/>
    </row>
    <row r="873" ht="15.75" customHeight="1">
      <c r="A873" s="195"/>
      <c r="B873" s="978"/>
      <c r="C873" s="2321"/>
      <c r="D873" s="1729"/>
      <c r="E873" s="1190"/>
      <c r="F873" s="1190"/>
      <c r="G873" s="1190"/>
      <c r="H873" s="1190"/>
      <c r="I873" s="1190"/>
      <c r="J873" s="1190"/>
      <c r="K873" s="1190"/>
      <c r="L873" s="1190"/>
      <c r="M873" s="1190"/>
      <c r="N873" s="1190"/>
      <c r="O873" s="1190"/>
      <c r="P873" s="1190"/>
      <c r="Q873" s="1190"/>
      <c r="R873" s="1190"/>
      <c r="S873" s="1189"/>
      <c r="T873" s="1190"/>
      <c r="U873" s="1190"/>
      <c r="V873" s="1190"/>
      <c r="W873" s="1190"/>
      <c r="X873" s="1190"/>
      <c r="Y873" s="1190"/>
      <c r="Z873" s="1190"/>
      <c r="AA873" s="1190"/>
      <c r="AB873" s="1190"/>
      <c r="AC873" s="1190"/>
      <c r="AD873" s="1190"/>
      <c r="AE873" s="1190"/>
      <c r="AF873" s="1190"/>
      <c r="AG873" s="1748"/>
      <c r="AH873" s="1190"/>
      <c r="AI873" s="1748"/>
      <c r="AJ873" s="1190"/>
      <c r="AK873" s="1190"/>
      <c r="AL873" s="1190"/>
      <c r="AM873" s="1190"/>
      <c r="AN873" s="1190"/>
      <c r="AO873" s="1190"/>
      <c r="AP873" s="1190"/>
      <c r="AQ873" s="1190"/>
      <c r="AR873" s="1190"/>
      <c r="AS873" s="1190"/>
      <c r="AT873" s="1190"/>
      <c r="AU873" s="1190"/>
      <c r="AV873" s="1190"/>
      <c r="AW873" s="1190"/>
      <c r="AX873" s="1190"/>
      <c r="AY873" s="1190"/>
      <c r="AZ873" s="1190"/>
      <c r="BA873" s="1190"/>
      <c r="BB873" s="1190"/>
      <c r="BC873" s="1190"/>
      <c r="BD873" s="1190"/>
      <c r="BE873" s="1190"/>
      <c r="BF873" s="1190"/>
      <c r="BG873" s="1190"/>
      <c r="BH873" s="1190"/>
      <c r="BI873" s="1190"/>
      <c r="BJ873" s="1190"/>
      <c r="BK873" s="1190"/>
      <c r="BL873" s="1190"/>
      <c r="BM873" s="1190"/>
      <c r="BQ873" s="195"/>
      <c r="BR873" s="195"/>
      <c r="BT873" s="1005"/>
    </row>
    <row r="874" ht="15.75" customHeight="1">
      <c r="A874" s="195"/>
      <c r="B874" s="978"/>
      <c r="C874" s="2321"/>
      <c r="D874" s="1729"/>
      <c r="E874" s="1190"/>
      <c r="F874" s="1190"/>
      <c r="G874" s="1190"/>
      <c r="H874" s="1190"/>
      <c r="I874" s="1190"/>
      <c r="J874" s="1190"/>
      <c r="K874" s="1190"/>
      <c r="L874" s="1190"/>
      <c r="M874" s="1190"/>
      <c r="N874" s="1190"/>
      <c r="O874" s="1190"/>
      <c r="P874" s="1190"/>
      <c r="Q874" s="1190"/>
      <c r="R874" s="1190"/>
      <c r="S874" s="1189"/>
      <c r="T874" s="1190"/>
      <c r="U874" s="1190"/>
      <c r="V874" s="1190"/>
      <c r="W874" s="1190"/>
      <c r="X874" s="1190"/>
      <c r="Y874" s="1190"/>
      <c r="Z874" s="1190"/>
      <c r="AA874" s="1190"/>
      <c r="AB874" s="1190"/>
      <c r="AC874" s="1190"/>
      <c r="AD874" s="1190"/>
      <c r="AE874" s="1190"/>
      <c r="AF874" s="1190"/>
      <c r="AG874" s="1748"/>
      <c r="AH874" s="1190"/>
      <c r="AI874" s="1748"/>
      <c r="AJ874" s="1190"/>
      <c r="AK874" s="1190"/>
      <c r="AL874" s="1190"/>
      <c r="AM874" s="1190"/>
      <c r="AN874" s="1190"/>
      <c r="AO874" s="1190"/>
      <c r="AP874" s="1190"/>
      <c r="AQ874" s="1190"/>
      <c r="AR874" s="1190"/>
      <c r="AS874" s="1190"/>
      <c r="AT874" s="1190"/>
      <c r="AU874" s="1190"/>
      <c r="AV874" s="1190"/>
      <c r="AW874" s="1190"/>
      <c r="AX874" s="1190"/>
      <c r="AY874" s="1190"/>
      <c r="AZ874" s="1190"/>
      <c r="BA874" s="1190"/>
      <c r="BB874" s="1190"/>
      <c r="BC874" s="1190"/>
      <c r="BD874" s="1190"/>
      <c r="BE874" s="1190"/>
      <c r="BF874" s="1190"/>
      <c r="BG874" s="1190"/>
      <c r="BH874" s="1190"/>
      <c r="BI874" s="1190"/>
      <c r="BJ874" s="1190"/>
      <c r="BK874" s="1190"/>
      <c r="BL874" s="1190"/>
      <c r="BM874" s="1190"/>
      <c r="BQ874" s="195"/>
      <c r="BR874" s="195"/>
      <c r="BT874" s="1005"/>
    </row>
    <row r="875" ht="15.75" customHeight="1">
      <c r="A875" s="195"/>
      <c r="B875" s="978"/>
      <c r="C875" s="2321"/>
      <c r="D875" s="1729"/>
      <c r="E875" s="1190"/>
      <c r="F875" s="1190"/>
      <c r="G875" s="1190"/>
      <c r="H875" s="1190"/>
      <c r="I875" s="1190"/>
      <c r="J875" s="1190"/>
      <c r="K875" s="1190"/>
      <c r="L875" s="1190"/>
      <c r="M875" s="1190"/>
      <c r="N875" s="1190"/>
      <c r="O875" s="1190"/>
      <c r="P875" s="1190"/>
      <c r="Q875" s="1190"/>
      <c r="R875" s="1190"/>
      <c r="S875" s="1189"/>
      <c r="T875" s="1190"/>
      <c r="U875" s="1190"/>
      <c r="V875" s="1190"/>
      <c r="W875" s="1190"/>
      <c r="X875" s="1190"/>
      <c r="Y875" s="1190"/>
      <c r="Z875" s="1190"/>
      <c r="AA875" s="1190"/>
      <c r="AB875" s="1190"/>
      <c r="AC875" s="1190"/>
      <c r="AD875" s="1190"/>
      <c r="AE875" s="1190"/>
      <c r="AF875" s="1190"/>
      <c r="AG875" s="1748"/>
      <c r="AH875" s="1190"/>
      <c r="AI875" s="1748"/>
      <c r="AJ875" s="1190"/>
      <c r="AK875" s="1190"/>
      <c r="AL875" s="1190"/>
      <c r="AM875" s="1190"/>
      <c r="AN875" s="1190"/>
      <c r="AO875" s="1190"/>
      <c r="AP875" s="1190"/>
      <c r="AQ875" s="1190"/>
      <c r="AR875" s="1190"/>
      <c r="AS875" s="1190"/>
      <c r="AT875" s="1190"/>
      <c r="AU875" s="1190"/>
      <c r="AV875" s="1190"/>
      <c r="AW875" s="1190"/>
      <c r="AX875" s="1190"/>
      <c r="AY875" s="1190"/>
      <c r="AZ875" s="1190"/>
      <c r="BA875" s="1190"/>
      <c r="BB875" s="1190"/>
      <c r="BC875" s="1190"/>
      <c r="BD875" s="1190"/>
      <c r="BE875" s="1190"/>
      <c r="BF875" s="1190"/>
      <c r="BG875" s="1190"/>
      <c r="BH875" s="1190"/>
      <c r="BI875" s="1190"/>
      <c r="BJ875" s="1190"/>
      <c r="BK875" s="1190"/>
      <c r="BL875" s="1190"/>
      <c r="BM875" s="1190"/>
      <c r="BQ875" s="195"/>
      <c r="BR875" s="195"/>
      <c r="BT875" s="1005"/>
    </row>
    <row r="876" ht="15.75" customHeight="1">
      <c r="A876" s="195"/>
      <c r="B876" s="978"/>
      <c r="C876" s="2321"/>
      <c r="D876" s="1729"/>
      <c r="E876" s="1190"/>
      <c r="F876" s="1190"/>
      <c r="G876" s="1190"/>
      <c r="H876" s="1190"/>
      <c r="I876" s="1190"/>
      <c r="J876" s="1190"/>
      <c r="K876" s="1190"/>
      <c r="L876" s="1190"/>
      <c r="M876" s="1190"/>
      <c r="N876" s="1190"/>
      <c r="O876" s="1190"/>
      <c r="P876" s="1190"/>
      <c r="Q876" s="1190"/>
      <c r="R876" s="1190"/>
      <c r="S876" s="1189"/>
      <c r="T876" s="1190"/>
      <c r="U876" s="1190"/>
      <c r="V876" s="1190"/>
      <c r="W876" s="1190"/>
      <c r="X876" s="1190"/>
      <c r="Y876" s="1190"/>
      <c r="Z876" s="1190"/>
      <c r="AA876" s="1190"/>
      <c r="AB876" s="1190"/>
      <c r="AC876" s="1190"/>
      <c r="AD876" s="1190"/>
      <c r="AE876" s="1190"/>
      <c r="AF876" s="1190"/>
      <c r="AG876" s="1748"/>
      <c r="AH876" s="1190"/>
      <c r="AI876" s="1748"/>
      <c r="AJ876" s="1190"/>
      <c r="AK876" s="1190"/>
      <c r="AL876" s="1190"/>
      <c r="AM876" s="1190"/>
      <c r="AN876" s="1190"/>
      <c r="AO876" s="1190"/>
      <c r="AP876" s="1190"/>
      <c r="AQ876" s="1190"/>
      <c r="AR876" s="1190"/>
      <c r="AS876" s="1190"/>
      <c r="AT876" s="1190"/>
      <c r="AU876" s="1190"/>
      <c r="AV876" s="1190"/>
      <c r="AW876" s="1190"/>
      <c r="AX876" s="1190"/>
      <c r="AY876" s="1190"/>
      <c r="AZ876" s="1190"/>
      <c r="BA876" s="1190"/>
      <c r="BB876" s="1190"/>
      <c r="BC876" s="1190"/>
      <c r="BD876" s="1190"/>
      <c r="BE876" s="1190"/>
      <c r="BF876" s="1190"/>
      <c r="BG876" s="1190"/>
      <c r="BH876" s="1190"/>
      <c r="BI876" s="1190"/>
      <c r="BJ876" s="1190"/>
      <c r="BK876" s="1190"/>
      <c r="BL876" s="1190"/>
      <c r="BM876" s="1190"/>
      <c r="BQ876" s="195"/>
      <c r="BR876" s="195"/>
      <c r="BT876" s="1005"/>
    </row>
    <row r="877" ht="15.75" customHeight="1">
      <c r="A877" s="195"/>
      <c r="B877" s="978"/>
      <c r="C877" s="2321"/>
      <c r="D877" s="1729"/>
      <c r="E877" s="1190"/>
      <c r="F877" s="1190"/>
      <c r="G877" s="1190"/>
      <c r="H877" s="1190"/>
      <c r="I877" s="1190"/>
      <c r="J877" s="1190"/>
      <c r="K877" s="1190"/>
      <c r="L877" s="1190"/>
      <c r="M877" s="1190"/>
      <c r="N877" s="1190"/>
      <c r="O877" s="1190"/>
      <c r="P877" s="1190"/>
      <c r="Q877" s="1190"/>
      <c r="R877" s="1190"/>
      <c r="S877" s="1189"/>
      <c r="T877" s="1190"/>
      <c r="U877" s="1190"/>
      <c r="V877" s="1190"/>
      <c r="W877" s="1190"/>
      <c r="X877" s="1190"/>
      <c r="Y877" s="1190"/>
      <c r="Z877" s="1190"/>
      <c r="AA877" s="1190"/>
      <c r="AB877" s="1190"/>
      <c r="AC877" s="1190"/>
      <c r="AD877" s="1190"/>
      <c r="AE877" s="1190"/>
      <c r="AF877" s="1190"/>
      <c r="AG877" s="1748"/>
      <c r="AH877" s="1190"/>
      <c r="AI877" s="1748"/>
      <c r="AJ877" s="1190"/>
      <c r="AK877" s="1190"/>
      <c r="AL877" s="1190"/>
      <c r="AM877" s="1190"/>
      <c r="AN877" s="1190"/>
      <c r="AO877" s="1190"/>
      <c r="AP877" s="1190"/>
      <c r="AQ877" s="1190"/>
      <c r="AR877" s="1190"/>
      <c r="AS877" s="1190"/>
      <c r="AT877" s="1190"/>
      <c r="AU877" s="1190"/>
      <c r="AV877" s="1190"/>
      <c r="AW877" s="1190"/>
      <c r="AX877" s="1190"/>
      <c r="AY877" s="1190"/>
      <c r="AZ877" s="1190"/>
      <c r="BA877" s="1190"/>
      <c r="BB877" s="1190"/>
      <c r="BC877" s="1190"/>
      <c r="BD877" s="1190"/>
      <c r="BE877" s="1190"/>
      <c r="BF877" s="1190"/>
      <c r="BG877" s="1190"/>
      <c r="BH877" s="1190"/>
      <c r="BI877" s="1190"/>
      <c r="BJ877" s="1190"/>
      <c r="BK877" s="1190"/>
      <c r="BL877" s="1190"/>
      <c r="BM877" s="1190"/>
      <c r="BQ877" s="195"/>
      <c r="BR877" s="195"/>
      <c r="BT877" s="1005"/>
    </row>
    <row r="878" ht="15.75" customHeight="1">
      <c r="A878" s="195"/>
      <c r="B878" s="978"/>
      <c r="C878" s="2321"/>
      <c r="D878" s="1729"/>
      <c r="E878" s="1190"/>
      <c r="F878" s="1190"/>
      <c r="G878" s="1190"/>
      <c r="H878" s="1190"/>
      <c r="I878" s="1190"/>
      <c r="J878" s="1190"/>
      <c r="K878" s="1190"/>
      <c r="L878" s="1190"/>
      <c r="M878" s="1190"/>
      <c r="N878" s="1190"/>
      <c r="O878" s="1190"/>
      <c r="P878" s="1190"/>
      <c r="Q878" s="1190"/>
      <c r="R878" s="1190"/>
      <c r="S878" s="1189"/>
      <c r="T878" s="1190"/>
      <c r="U878" s="1190"/>
      <c r="V878" s="1190"/>
      <c r="W878" s="1190"/>
      <c r="X878" s="1190"/>
      <c r="Y878" s="1190"/>
      <c r="Z878" s="1190"/>
      <c r="AA878" s="1190"/>
      <c r="AB878" s="1190"/>
      <c r="AC878" s="1190"/>
      <c r="AD878" s="1190"/>
      <c r="AE878" s="1190"/>
      <c r="AF878" s="1190"/>
      <c r="AG878" s="1748"/>
      <c r="AH878" s="1190"/>
      <c r="AI878" s="1748"/>
      <c r="AJ878" s="1190"/>
      <c r="AK878" s="1190"/>
      <c r="AL878" s="1190"/>
      <c r="AM878" s="1190"/>
      <c r="AN878" s="1190"/>
      <c r="AO878" s="1190"/>
      <c r="AP878" s="1190"/>
      <c r="AQ878" s="1190"/>
      <c r="AR878" s="1190"/>
      <c r="AS878" s="1190"/>
      <c r="AT878" s="1190"/>
      <c r="AU878" s="1190"/>
      <c r="AV878" s="1190"/>
      <c r="AW878" s="1190"/>
      <c r="AX878" s="1190"/>
      <c r="AY878" s="1190"/>
      <c r="AZ878" s="1190"/>
      <c r="BA878" s="1190"/>
      <c r="BB878" s="1190"/>
      <c r="BC878" s="1190"/>
      <c r="BD878" s="1190"/>
      <c r="BE878" s="1190"/>
      <c r="BF878" s="1190"/>
      <c r="BG878" s="1190"/>
      <c r="BH878" s="1190"/>
      <c r="BI878" s="1190"/>
      <c r="BJ878" s="1190"/>
      <c r="BK878" s="1190"/>
      <c r="BL878" s="1190"/>
      <c r="BM878" s="1190"/>
      <c r="BQ878" s="195"/>
      <c r="BR878" s="195"/>
      <c r="BT878" s="1005"/>
    </row>
    <row r="879" ht="15.75" customHeight="1">
      <c r="A879" s="195"/>
      <c r="B879" s="978"/>
      <c r="C879" s="2321"/>
      <c r="D879" s="1729"/>
      <c r="E879" s="1190"/>
      <c r="F879" s="1190"/>
      <c r="G879" s="1190"/>
      <c r="H879" s="1190"/>
      <c r="I879" s="1190"/>
      <c r="J879" s="1190"/>
      <c r="K879" s="1190"/>
      <c r="L879" s="1190"/>
      <c r="M879" s="1190"/>
      <c r="N879" s="1190"/>
      <c r="O879" s="1190"/>
      <c r="P879" s="1190"/>
      <c r="Q879" s="1190"/>
      <c r="R879" s="1190"/>
      <c r="S879" s="1189"/>
      <c r="T879" s="1190"/>
      <c r="U879" s="1190"/>
      <c r="V879" s="1190"/>
      <c r="W879" s="1190"/>
      <c r="X879" s="1190"/>
      <c r="Y879" s="1190"/>
      <c r="Z879" s="1190"/>
      <c r="AA879" s="1190"/>
      <c r="AB879" s="1190"/>
      <c r="AC879" s="1190"/>
      <c r="AD879" s="1190"/>
      <c r="AE879" s="1190"/>
      <c r="AF879" s="1190"/>
      <c r="AG879" s="1748"/>
      <c r="AH879" s="1190"/>
      <c r="AI879" s="1748"/>
      <c r="AJ879" s="1190"/>
      <c r="AK879" s="1190"/>
      <c r="AL879" s="1190"/>
      <c r="AM879" s="1190"/>
      <c r="AN879" s="1190"/>
      <c r="AO879" s="1190"/>
      <c r="AP879" s="1190"/>
      <c r="AQ879" s="1190"/>
      <c r="AR879" s="1190"/>
      <c r="AS879" s="1190"/>
      <c r="AT879" s="1190"/>
      <c r="AU879" s="1190"/>
      <c r="AV879" s="1190"/>
      <c r="AW879" s="1190"/>
      <c r="AX879" s="1190"/>
      <c r="AY879" s="1190"/>
      <c r="AZ879" s="1190"/>
      <c r="BA879" s="1190"/>
      <c r="BB879" s="1190"/>
      <c r="BC879" s="1190"/>
      <c r="BD879" s="1190"/>
      <c r="BE879" s="1190"/>
      <c r="BF879" s="1190"/>
      <c r="BG879" s="1190"/>
      <c r="BH879" s="1190"/>
      <c r="BI879" s="1190"/>
      <c r="BJ879" s="1190"/>
      <c r="BK879" s="1190"/>
      <c r="BL879" s="1190"/>
      <c r="BM879" s="1190"/>
      <c r="BQ879" s="195"/>
      <c r="BR879" s="195"/>
      <c r="BT879" s="1005"/>
    </row>
    <row r="880" ht="15.75" customHeight="1">
      <c r="A880" s="195"/>
      <c r="B880" s="978"/>
      <c r="C880" s="2321"/>
      <c r="D880" s="1729"/>
      <c r="E880" s="1190"/>
      <c r="F880" s="1190"/>
      <c r="G880" s="1190"/>
      <c r="H880" s="1190"/>
      <c r="I880" s="1190"/>
      <c r="J880" s="1190"/>
      <c r="K880" s="1190"/>
      <c r="L880" s="1190"/>
      <c r="M880" s="1190"/>
      <c r="N880" s="1190"/>
      <c r="O880" s="1190"/>
      <c r="P880" s="1190"/>
      <c r="Q880" s="1190"/>
      <c r="R880" s="1190"/>
      <c r="S880" s="1189"/>
      <c r="T880" s="1190"/>
      <c r="U880" s="1190"/>
      <c r="V880" s="1190"/>
      <c r="W880" s="1190"/>
      <c r="X880" s="1190"/>
      <c r="Y880" s="1190"/>
      <c r="Z880" s="1190"/>
      <c r="AA880" s="1190"/>
      <c r="AB880" s="1190"/>
      <c r="AC880" s="1190"/>
      <c r="AD880" s="1190"/>
      <c r="AE880" s="1190"/>
      <c r="AF880" s="1190"/>
      <c r="AG880" s="1748"/>
      <c r="AH880" s="1190"/>
      <c r="AI880" s="1748"/>
      <c r="AJ880" s="1190"/>
      <c r="AK880" s="1190"/>
      <c r="AL880" s="1190"/>
      <c r="AM880" s="1190"/>
      <c r="AN880" s="1190"/>
      <c r="AO880" s="1190"/>
      <c r="AP880" s="1190"/>
      <c r="AQ880" s="1190"/>
      <c r="AR880" s="1190"/>
      <c r="AS880" s="1190"/>
      <c r="AT880" s="1190"/>
      <c r="AU880" s="1190"/>
      <c r="AV880" s="1190"/>
      <c r="AW880" s="1190"/>
      <c r="AX880" s="1190"/>
      <c r="AY880" s="1190"/>
      <c r="AZ880" s="1190"/>
      <c r="BA880" s="1190"/>
      <c r="BB880" s="1190"/>
      <c r="BC880" s="1190"/>
      <c r="BD880" s="1190"/>
      <c r="BE880" s="1190"/>
      <c r="BF880" s="1190"/>
      <c r="BG880" s="1190"/>
      <c r="BH880" s="1190"/>
      <c r="BI880" s="1190"/>
      <c r="BJ880" s="1190"/>
      <c r="BK880" s="1190"/>
      <c r="BL880" s="1190"/>
      <c r="BM880" s="1190"/>
      <c r="BQ880" s="195"/>
      <c r="BR880" s="195"/>
      <c r="BT880" s="1005"/>
    </row>
    <row r="881" ht="15.75" customHeight="1">
      <c r="A881" s="195"/>
      <c r="B881" s="978"/>
      <c r="C881" s="2321"/>
      <c r="D881" s="1729"/>
      <c r="E881" s="1190"/>
      <c r="F881" s="1190"/>
      <c r="G881" s="1190"/>
      <c r="H881" s="1190"/>
      <c r="I881" s="1190"/>
      <c r="J881" s="1190"/>
      <c r="K881" s="1190"/>
      <c r="L881" s="1190"/>
      <c r="M881" s="1190"/>
      <c r="N881" s="1190"/>
      <c r="O881" s="1190"/>
      <c r="P881" s="1190"/>
      <c r="Q881" s="1190"/>
      <c r="R881" s="1190"/>
      <c r="S881" s="1189"/>
      <c r="T881" s="1190"/>
      <c r="U881" s="1190"/>
      <c r="V881" s="1190"/>
      <c r="W881" s="1190"/>
      <c r="X881" s="1190"/>
      <c r="Y881" s="1190"/>
      <c r="Z881" s="1190"/>
      <c r="AA881" s="1190"/>
      <c r="AB881" s="1190"/>
      <c r="AC881" s="1190"/>
      <c r="AD881" s="1190"/>
      <c r="AE881" s="1190"/>
      <c r="AF881" s="1190"/>
      <c r="AG881" s="1748"/>
      <c r="AH881" s="1190"/>
      <c r="AI881" s="1748"/>
      <c r="AJ881" s="1190"/>
      <c r="AK881" s="1190"/>
      <c r="AL881" s="1190"/>
      <c r="AM881" s="1190"/>
      <c r="AN881" s="1190"/>
      <c r="AO881" s="1190"/>
      <c r="AP881" s="1190"/>
      <c r="AQ881" s="1190"/>
      <c r="AR881" s="1190"/>
      <c r="AS881" s="1190"/>
      <c r="AT881" s="1190"/>
      <c r="AU881" s="1190"/>
      <c r="AV881" s="1190"/>
      <c r="AW881" s="1190"/>
      <c r="AX881" s="1190"/>
      <c r="AY881" s="1190"/>
      <c r="AZ881" s="1190"/>
      <c r="BA881" s="1190"/>
      <c r="BB881" s="1190"/>
      <c r="BC881" s="1190"/>
      <c r="BD881" s="1190"/>
      <c r="BE881" s="1190"/>
      <c r="BF881" s="1190"/>
      <c r="BG881" s="1190"/>
      <c r="BH881" s="1190"/>
      <c r="BI881" s="1190"/>
      <c r="BJ881" s="1190"/>
      <c r="BK881" s="1190"/>
      <c r="BL881" s="1190"/>
      <c r="BM881" s="1190"/>
      <c r="BQ881" s="195"/>
      <c r="BR881" s="195"/>
      <c r="BT881" s="1005"/>
    </row>
    <row r="882" ht="15.75" customHeight="1">
      <c r="A882" s="195"/>
      <c r="B882" s="978"/>
      <c r="C882" s="2321"/>
      <c r="D882" s="1729"/>
      <c r="E882" s="1190"/>
      <c r="F882" s="1190"/>
      <c r="G882" s="1190"/>
      <c r="H882" s="1190"/>
      <c r="I882" s="1190"/>
      <c r="J882" s="1190"/>
      <c r="K882" s="1190"/>
      <c r="L882" s="1190"/>
      <c r="M882" s="1190"/>
      <c r="N882" s="1190"/>
      <c r="O882" s="1190"/>
      <c r="P882" s="1190"/>
      <c r="Q882" s="1190"/>
      <c r="R882" s="1190"/>
      <c r="S882" s="1189"/>
      <c r="T882" s="1190"/>
      <c r="U882" s="1190"/>
      <c r="V882" s="1190"/>
      <c r="W882" s="1190"/>
      <c r="X882" s="1190"/>
      <c r="Y882" s="1190"/>
      <c r="Z882" s="1190"/>
      <c r="AA882" s="1190"/>
      <c r="AB882" s="1190"/>
      <c r="AC882" s="1190"/>
      <c r="AD882" s="1190"/>
      <c r="AE882" s="1190"/>
      <c r="AF882" s="1190"/>
      <c r="AG882" s="1748"/>
      <c r="AH882" s="1190"/>
      <c r="AI882" s="1748"/>
      <c r="AJ882" s="1190"/>
      <c r="AK882" s="1190"/>
      <c r="AL882" s="1190"/>
      <c r="AM882" s="1190"/>
      <c r="AN882" s="1190"/>
      <c r="AO882" s="1190"/>
      <c r="AP882" s="1190"/>
      <c r="AQ882" s="1190"/>
      <c r="AR882" s="1190"/>
      <c r="AS882" s="1190"/>
      <c r="AT882" s="1190"/>
      <c r="AU882" s="1190"/>
      <c r="AV882" s="1190"/>
      <c r="AW882" s="1190"/>
      <c r="AX882" s="1190"/>
      <c r="AY882" s="1190"/>
      <c r="AZ882" s="1190"/>
      <c r="BA882" s="1190"/>
      <c r="BB882" s="1190"/>
      <c r="BC882" s="1190"/>
      <c r="BD882" s="1190"/>
      <c r="BE882" s="1190"/>
      <c r="BF882" s="1190"/>
      <c r="BG882" s="1190"/>
      <c r="BH882" s="1190"/>
      <c r="BI882" s="1190"/>
      <c r="BJ882" s="1190"/>
      <c r="BK882" s="1190"/>
      <c r="BL882" s="1190"/>
      <c r="BM882" s="1190"/>
      <c r="BQ882" s="195"/>
      <c r="BR882" s="195"/>
      <c r="BT882" s="1005"/>
    </row>
    <row r="883" ht="15.75" customHeight="1">
      <c r="A883" s="195"/>
      <c r="B883" s="978"/>
      <c r="C883" s="2321"/>
      <c r="D883" s="1729"/>
      <c r="E883" s="1190"/>
      <c r="F883" s="1190"/>
      <c r="G883" s="1190"/>
      <c r="H883" s="1190"/>
      <c r="I883" s="1190"/>
      <c r="J883" s="1190"/>
      <c r="K883" s="1190"/>
      <c r="L883" s="1190"/>
      <c r="M883" s="1190"/>
      <c r="N883" s="1190"/>
      <c r="O883" s="1190"/>
      <c r="P883" s="1190"/>
      <c r="Q883" s="1190"/>
      <c r="R883" s="1190"/>
      <c r="S883" s="1189"/>
      <c r="T883" s="1190"/>
      <c r="U883" s="1190"/>
      <c r="V883" s="1190"/>
      <c r="W883" s="1190"/>
      <c r="X883" s="1190"/>
      <c r="Y883" s="1190"/>
      <c r="Z883" s="1190"/>
      <c r="AA883" s="1190"/>
      <c r="AB883" s="1190"/>
      <c r="AC883" s="1190"/>
      <c r="AD883" s="1190"/>
      <c r="AE883" s="1190"/>
      <c r="AF883" s="1190"/>
      <c r="AG883" s="1748"/>
      <c r="AH883" s="1190"/>
      <c r="AI883" s="1748"/>
      <c r="AJ883" s="1190"/>
      <c r="AK883" s="1190"/>
      <c r="AL883" s="1190"/>
      <c r="AM883" s="1190"/>
      <c r="AN883" s="1190"/>
      <c r="AO883" s="1190"/>
      <c r="AP883" s="1190"/>
      <c r="AQ883" s="1190"/>
      <c r="AR883" s="1190"/>
      <c r="AS883" s="1190"/>
      <c r="AT883" s="1190"/>
      <c r="AU883" s="1190"/>
      <c r="AV883" s="1190"/>
      <c r="AW883" s="1190"/>
      <c r="AX883" s="1190"/>
      <c r="AY883" s="1190"/>
      <c r="AZ883" s="1190"/>
      <c r="BA883" s="1190"/>
      <c r="BB883" s="1190"/>
      <c r="BC883" s="1190"/>
      <c r="BD883" s="1190"/>
      <c r="BE883" s="1190"/>
      <c r="BF883" s="1190"/>
      <c r="BG883" s="1190"/>
      <c r="BH883" s="1190"/>
      <c r="BI883" s="1190"/>
      <c r="BJ883" s="1190"/>
      <c r="BK883" s="1190"/>
      <c r="BL883" s="1190"/>
      <c r="BM883" s="1190"/>
      <c r="BQ883" s="195"/>
      <c r="BR883" s="195"/>
      <c r="BT883" s="1005"/>
    </row>
    <row r="884" ht="15.75" customHeight="1">
      <c r="A884" s="195"/>
      <c r="B884" s="978"/>
      <c r="C884" s="2321"/>
      <c r="D884" s="1729"/>
      <c r="E884" s="1190"/>
      <c r="F884" s="1190"/>
      <c r="G884" s="1190"/>
      <c r="H884" s="1190"/>
      <c r="I884" s="1190"/>
      <c r="J884" s="1190"/>
      <c r="K884" s="1190"/>
      <c r="L884" s="1190"/>
      <c r="M884" s="1190"/>
      <c r="N884" s="1190"/>
      <c r="O884" s="1190"/>
      <c r="P884" s="1190"/>
      <c r="Q884" s="1190"/>
      <c r="R884" s="1190"/>
      <c r="S884" s="1189"/>
      <c r="T884" s="1190"/>
      <c r="U884" s="1190"/>
      <c r="V884" s="1190"/>
      <c r="W884" s="1190"/>
      <c r="X884" s="1190"/>
      <c r="Y884" s="1190"/>
      <c r="Z884" s="1190"/>
      <c r="AA884" s="1190"/>
      <c r="AB884" s="1190"/>
      <c r="AC884" s="1190"/>
      <c r="AD884" s="1190"/>
      <c r="AE884" s="1190"/>
      <c r="AF884" s="1190"/>
      <c r="AG884" s="1748"/>
      <c r="AH884" s="1190"/>
      <c r="AI884" s="1748"/>
      <c r="AJ884" s="1190"/>
      <c r="AK884" s="1190"/>
      <c r="AL884" s="1190"/>
      <c r="AM884" s="1190"/>
      <c r="AN884" s="1190"/>
      <c r="AO884" s="1190"/>
      <c r="AP884" s="1190"/>
      <c r="AQ884" s="1190"/>
      <c r="AR884" s="1190"/>
      <c r="AS884" s="1190"/>
      <c r="AT884" s="1190"/>
      <c r="AU884" s="1190"/>
      <c r="AV884" s="1190"/>
      <c r="AW884" s="1190"/>
      <c r="AX884" s="1190"/>
      <c r="AY884" s="1190"/>
      <c r="AZ884" s="1190"/>
      <c r="BA884" s="1190"/>
      <c r="BB884" s="1190"/>
      <c r="BC884" s="1190"/>
      <c r="BD884" s="1190"/>
      <c r="BE884" s="1190"/>
      <c r="BF884" s="1190"/>
      <c r="BG884" s="1190"/>
      <c r="BH884" s="1190"/>
      <c r="BI884" s="1190"/>
      <c r="BJ884" s="1190"/>
      <c r="BK884" s="1190"/>
      <c r="BL884" s="1190"/>
      <c r="BM884" s="1190"/>
      <c r="BQ884" s="195"/>
      <c r="BR884" s="195"/>
      <c r="BT884" s="1005"/>
    </row>
    <row r="885" ht="15.75" customHeight="1">
      <c r="A885" s="195"/>
      <c r="B885" s="978"/>
      <c r="C885" s="2321"/>
      <c r="D885" s="1729"/>
      <c r="E885" s="1190"/>
      <c r="F885" s="1190"/>
      <c r="G885" s="1190"/>
      <c r="H885" s="1190"/>
      <c r="I885" s="1190"/>
      <c r="J885" s="1190"/>
      <c r="K885" s="1190"/>
      <c r="L885" s="1190"/>
      <c r="M885" s="1190"/>
      <c r="N885" s="1190"/>
      <c r="O885" s="1190"/>
      <c r="P885" s="1190"/>
      <c r="Q885" s="1190"/>
      <c r="R885" s="1190"/>
      <c r="S885" s="1189"/>
      <c r="T885" s="1190"/>
      <c r="U885" s="1190"/>
      <c r="V885" s="1190"/>
      <c r="W885" s="1190"/>
      <c r="X885" s="1190"/>
      <c r="Y885" s="1190"/>
      <c r="Z885" s="1190"/>
      <c r="AA885" s="1190"/>
      <c r="AB885" s="1190"/>
      <c r="AC885" s="1190"/>
      <c r="AD885" s="1190"/>
      <c r="AE885" s="1190"/>
      <c r="AF885" s="1190"/>
      <c r="AG885" s="1748"/>
      <c r="AH885" s="1190"/>
      <c r="AI885" s="1748"/>
      <c r="AJ885" s="1190"/>
      <c r="AK885" s="1190"/>
      <c r="AL885" s="1190"/>
      <c r="AM885" s="1190"/>
      <c r="AN885" s="1190"/>
      <c r="AO885" s="1190"/>
      <c r="AP885" s="1190"/>
      <c r="AQ885" s="1190"/>
      <c r="AR885" s="1190"/>
      <c r="AS885" s="1190"/>
      <c r="AT885" s="1190"/>
      <c r="AU885" s="1190"/>
      <c r="AV885" s="1190"/>
      <c r="AW885" s="1190"/>
      <c r="AX885" s="1190"/>
      <c r="AY885" s="1190"/>
      <c r="AZ885" s="1190"/>
      <c r="BA885" s="1190"/>
      <c r="BB885" s="1190"/>
      <c r="BC885" s="1190"/>
      <c r="BD885" s="1190"/>
      <c r="BE885" s="1190"/>
      <c r="BF885" s="1190"/>
      <c r="BG885" s="1190"/>
      <c r="BH885" s="1190"/>
      <c r="BI885" s="1190"/>
      <c r="BJ885" s="1190"/>
      <c r="BK885" s="1190"/>
      <c r="BL885" s="1190"/>
      <c r="BM885" s="1190"/>
      <c r="BQ885" s="195"/>
      <c r="BR885" s="195"/>
      <c r="BT885" s="1005"/>
    </row>
    <row r="886" ht="15.75" customHeight="1">
      <c r="A886" s="195"/>
      <c r="B886" s="978"/>
      <c r="C886" s="2321"/>
      <c r="D886" s="1729"/>
      <c r="E886" s="1190"/>
      <c r="F886" s="1190"/>
      <c r="G886" s="1190"/>
      <c r="H886" s="1190"/>
      <c r="I886" s="1190"/>
      <c r="J886" s="1190"/>
      <c r="K886" s="1190"/>
      <c r="L886" s="1190"/>
      <c r="M886" s="1190"/>
      <c r="N886" s="1190"/>
      <c r="O886" s="1190"/>
      <c r="P886" s="1190"/>
      <c r="Q886" s="1190"/>
      <c r="R886" s="1190"/>
      <c r="S886" s="1189"/>
      <c r="T886" s="1190"/>
      <c r="U886" s="1190"/>
      <c r="V886" s="1190"/>
      <c r="W886" s="1190"/>
      <c r="X886" s="1190"/>
      <c r="Y886" s="1190"/>
      <c r="Z886" s="1190"/>
      <c r="AA886" s="1190"/>
      <c r="AB886" s="1190"/>
      <c r="AC886" s="1190"/>
      <c r="AD886" s="1190"/>
      <c r="AE886" s="1190"/>
      <c r="AF886" s="1190"/>
      <c r="AG886" s="1748"/>
      <c r="AH886" s="1190"/>
      <c r="AI886" s="1748"/>
      <c r="AJ886" s="1190"/>
      <c r="AK886" s="1190"/>
      <c r="AL886" s="1190"/>
      <c r="AM886" s="1190"/>
      <c r="AN886" s="1190"/>
      <c r="AO886" s="1190"/>
      <c r="AP886" s="1190"/>
      <c r="AQ886" s="1190"/>
      <c r="AR886" s="1190"/>
      <c r="AS886" s="1190"/>
      <c r="AT886" s="1190"/>
      <c r="AU886" s="1190"/>
      <c r="AV886" s="1190"/>
      <c r="AW886" s="1190"/>
      <c r="AX886" s="1190"/>
      <c r="AY886" s="1190"/>
      <c r="AZ886" s="1190"/>
      <c r="BA886" s="1190"/>
      <c r="BB886" s="1190"/>
      <c r="BC886" s="1190"/>
      <c r="BD886" s="1190"/>
      <c r="BE886" s="1190"/>
      <c r="BF886" s="1190"/>
      <c r="BG886" s="1190"/>
      <c r="BH886" s="1190"/>
      <c r="BI886" s="1190"/>
      <c r="BJ886" s="1190"/>
      <c r="BK886" s="1190"/>
      <c r="BL886" s="1190"/>
      <c r="BM886" s="1190"/>
      <c r="BQ886" s="195"/>
      <c r="BR886" s="195"/>
      <c r="BT886" s="1005"/>
    </row>
    <row r="887" ht="15.75" customHeight="1">
      <c r="A887" s="195"/>
      <c r="B887" s="978"/>
      <c r="C887" s="2321"/>
      <c r="D887" s="1729"/>
      <c r="E887" s="1190"/>
      <c r="F887" s="1190"/>
      <c r="G887" s="1190"/>
      <c r="H887" s="1190"/>
      <c r="I887" s="1190"/>
      <c r="J887" s="1190"/>
      <c r="K887" s="1190"/>
      <c r="L887" s="1190"/>
      <c r="M887" s="1190"/>
      <c r="N887" s="1190"/>
      <c r="O887" s="1190"/>
      <c r="P887" s="1190"/>
      <c r="Q887" s="1190"/>
      <c r="R887" s="1190"/>
      <c r="S887" s="1189"/>
      <c r="T887" s="1190"/>
      <c r="U887" s="1190"/>
      <c r="V887" s="1190"/>
      <c r="W887" s="1190"/>
      <c r="X887" s="1190"/>
      <c r="Y887" s="1190"/>
      <c r="Z887" s="1190"/>
      <c r="AA887" s="1190"/>
      <c r="AB887" s="1190"/>
      <c r="AC887" s="1190"/>
      <c r="AD887" s="1190"/>
      <c r="AE887" s="1190"/>
      <c r="AF887" s="1190"/>
      <c r="AG887" s="1748"/>
      <c r="AH887" s="1190"/>
      <c r="AI887" s="1748"/>
      <c r="AJ887" s="1190"/>
      <c r="AK887" s="1190"/>
      <c r="AL887" s="1190"/>
      <c r="AM887" s="1190"/>
      <c r="AN887" s="1190"/>
      <c r="AO887" s="1190"/>
      <c r="AP887" s="1190"/>
      <c r="AQ887" s="1190"/>
      <c r="AR887" s="1190"/>
      <c r="AS887" s="1190"/>
      <c r="AT887" s="1190"/>
      <c r="AU887" s="1190"/>
      <c r="AV887" s="1190"/>
      <c r="AW887" s="1190"/>
      <c r="AX887" s="1190"/>
      <c r="AY887" s="1190"/>
      <c r="AZ887" s="1190"/>
      <c r="BA887" s="1190"/>
      <c r="BB887" s="1190"/>
      <c r="BC887" s="1190"/>
      <c r="BD887" s="1190"/>
      <c r="BE887" s="1190"/>
      <c r="BF887" s="1190"/>
      <c r="BG887" s="1190"/>
      <c r="BH887" s="1190"/>
      <c r="BI887" s="1190"/>
      <c r="BJ887" s="1190"/>
      <c r="BK887" s="1190"/>
      <c r="BL887" s="1190"/>
      <c r="BM887" s="1190"/>
      <c r="BQ887" s="195"/>
      <c r="BR887" s="195"/>
      <c r="BT887" s="1005"/>
    </row>
    <row r="888" ht="15.75" customHeight="1">
      <c r="A888" s="195"/>
      <c r="B888" s="978"/>
      <c r="C888" s="2321"/>
      <c r="D888" s="1729"/>
      <c r="E888" s="1190"/>
      <c r="F888" s="1190"/>
      <c r="G888" s="1190"/>
      <c r="H888" s="1190"/>
      <c r="I888" s="1190"/>
      <c r="J888" s="1190"/>
      <c r="K888" s="1190"/>
      <c r="L888" s="1190"/>
      <c r="M888" s="1190"/>
      <c r="N888" s="1190"/>
      <c r="O888" s="1190"/>
      <c r="P888" s="1190"/>
      <c r="Q888" s="1190"/>
      <c r="R888" s="1190"/>
      <c r="S888" s="1189"/>
      <c r="T888" s="1190"/>
      <c r="U888" s="1190"/>
      <c r="V888" s="1190"/>
      <c r="W888" s="1190"/>
      <c r="X888" s="1190"/>
      <c r="Y888" s="1190"/>
      <c r="Z888" s="1190"/>
      <c r="AA888" s="1190"/>
      <c r="AB888" s="1190"/>
      <c r="AC888" s="1190"/>
      <c r="AD888" s="1190"/>
      <c r="AE888" s="1190"/>
      <c r="AF888" s="1190"/>
      <c r="AG888" s="1748"/>
      <c r="AH888" s="1190"/>
      <c r="AI888" s="1748"/>
      <c r="AJ888" s="1190"/>
      <c r="AK888" s="1190"/>
      <c r="AL888" s="1190"/>
      <c r="AM888" s="1190"/>
      <c r="AN888" s="1190"/>
      <c r="AO888" s="1190"/>
      <c r="AP888" s="1190"/>
      <c r="AQ888" s="1190"/>
      <c r="AR888" s="1190"/>
      <c r="AS888" s="1190"/>
      <c r="AT888" s="1190"/>
      <c r="AU888" s="1190"/>
      <c r="AV888" s="1190"/>
      <c r="AW888" s="1190"/>
      <c r="AX888" s="1190"/>
      <c r="AY888" s="1190"/>
      <c r="AZ888" s="1190"/>
      <c r="BA888" s="1190"/>
      <c r="BB888" s="1190"/>
      <c r="BC888" s="1190"/>
      <c r="BD888" s="1190"/>
      <c r="BE888" s="1190"/>
      <c r="BF888" s="1190"/>
      <c r="BG888" s="1190"/>
      <c r="BH888" s="1190"/>
      <c r="BI888" s="1190"/>
      <c r="BJ888" s="1190"/>
      <c r="BK888" s="1190"/>
      <c r="BL888" s="1190"/>
      <c r="BM888" s="1190"/>
      <c r="BQ888" s="195"/>
      <c r="BR888" s="195"/>
      <c r="BT888" s="1005"/>
    </row>
    <row r="889" ht="15.75" customHeight="1">
      <c r="A889" s="195"/>
      <c r="B889" s="978"/>
      <c r="C889" s="2321"/>
      <c r="D889" s="1729"/>
      <c r="E889" s="1190"/>
      <c r="F889" s="1190"/>
      <c r="G889" s="1190"/>
      <c r="H889" s="1190"/>
      <c r="I889" s="1190"/>
      <c r="J889" s="1190"/>
      <c r="K889" s="1190"/>
      <c r="L889" s="1190"/>
      <c r="M889" s="1190"/>
      <c r="N889" s="1190"/>
      <c r="O889" s="1190"/>
      <c r="P889" s="1190"/>
      <c r="Q889" s="1190"/>
      <c r="R889" s="1190"/>
      <c r="S889" s="1189"/>
      <c r="T889" s="1190"/>
      <c r="U889" s="1190"/>
      <c r="V889" s="1190"/>
      <c r="W889" s="1190"/>
      <c r="X889" s="1190"/>
      <c r="Y889" s="1190"/>
      <c r="Z889" s="1190"/>
      <c r="AA889" s="1190"/>
      <c r="AB889" s="1190"/>
      <c r="AC889" s="1190"/>
      <c r="AD889" s="1190"/>
      <c r="AE889" s="1190"/>
      <c r="AF889" s="1190"/>
      <c r="AG889" s="1748"/>
      <c r="AH889" s="1190"/>
      <c r="AI889" s="1748"/>
      <c r="AJ889" s="1190"/>
      <c r="AK889" s="1190"/>
      <c r="AL889" s="1190"/>
      <c r="AM889" s="1190"/>
      <c r="AN889" s="1190"/>
      <c r="AO889" s="1190"/>
      <c r="AP889" s="1190"/>
      <c r="AQ889" s="1190"/>
      <c r="AR889" s="1190"/>
      <c r="AS889" s="1190"/>
      <c r="AT889" s="1190"/>
      <c r="AU889" s="1190"/>
      <c r="AV889" s="1190"/>
      <c r="AW889" s="1190"/>
      <c r="AX889" s="1190"/>
      <c r="AY889" s="1190"/>
      <c r="AZ889" s="1190"/>
      <c r="BA889" s="1190"/>
      <c r="BB889" s="1190"/>
      <c r="BC889" s="1190"/>
      <c r="BD889" s="1190"/>
      <c r="BE889" s="1190"/>
      <c r="BF889" s="1190"/>
      <c r="BG889" s="1190"/>
      <c r="BH889" s="1190"/>
      <c r="BI889" s="1190"/>
      <c r="BJ889" s="1190"/>
      <c r="BK889" s="1190"/>
      <c r="BL889" s="1190"/>
      <c r="BM889" s="1190"/>
      <c r="BQ889" s="195"/>
      <c r="BR889" s="195"/>
      <c r="BT889" s="1005"/>
    </row>
    <row r="890" ht="15.75" customHeight="1">
      <c r="A890" s="195"/>
      <c r="B890" s="978"/>
      <c r="C890" s="2321"/>
      <c r="D890" s="1729"/>
      <c r="E890" s="1190"/>
      <c r="F890" s="1190"/>
      <c r="G890" s="1190"/>
      <c r="H890" s="1190"/>
      <c r="I890" s="1190"/>
      <c r="J890" s="1190"/>
      <c r="K890" s="1190"/>
      <c r="L890" s="1190"/>
      <c r="M890" s="1190"/>
      <c r="N890" s="1190"/>
      <c r="O890" s="1190"/>
      <c r="P890" s="1190"/>
      <c r="Q890" s="1190"/>
      <c r="R890" s="1190"/>
      <c r="S890" s="1189"/>
      <c r="T890" s="1190"/>
      <c r="U890" s="1190"/>
      <c r="V890" s="1190"/>
      <c r="W890" s="1190"/>
      <c r="X890" s="1190"/>
      <c r="Y890" s="1190"/>
      <c r="Z890" s="1190"/>
      <c r="AA890" s="1190"/>
      <c r="AB890" s="1190"/>
      <c r="AC890" s="1190"/>
      <c r="AD890" s="1190"/>
      <c r="AE890" s="1190"/>
      <c r="AF890" s="1190"/>
      <c r="AG890" s="1748"/>
      <c r="AH890" s="1190"/>
      <c r="AI890" s="1748"/>
      <c r="AJ890" s="1190"/>
      <c r="AK890" s="1190"/>
      <c r="AL890" s="1190"/>
      <c r="AM890" s="1190"/>
      <c r="AN890" s="1190"/>
      <c r="AO890" s="1190"/>
      <c r="AP890" s="1190"/>
      <c r="AQ890" s="1190"/>
      <c r="AR890" s="1190"/>
      <c r="AS890" s="1190"/>
      <c r="AT890" s="1190"/>
      <c r="AU890" s="1190"/>
      <c r="AV890" s="1190"/>
      <c r="AW890" s="1190"/>
      <c r="AX890" s="1190"/>
      <c r="AY890" s="1190"/>
      <c r="AZ890" s="1190"/>
      <c r="BA890" s="1190"/>
      <c r="BB890" s="1190"/>
      <c r="BC890" s="1190"/>
      <c r="BD890" s="1190"/>
      <c r="BE890" s="1190"/>
      <c r="BF890" s="1190"/>
      <c r="BG890" s="1190"/>
      <c r="BH890" s="1190"/>
      <c r="BI890" s="1190"/>
      <c r="BJ890" s="1190"/>
      <c r="BK890" s="1190"/>
      <c r="BL890" s="1190"/>
      <c r="BM890" s="1190"/>
      <c r="BQ890" s="195"/>
      <c r="BR890" s="195"/>
      <c r="BT890" s="1005"/>
    </row>
    <row r="891" ht="15.75" customHeight="1">
      <c r="A891" s="195"/>
      <c r="B891" s="978"/>
      <c r="C891" s="2321"/>
      <c r="D891" s="1729"/>
      <c r="E891" s="1190"/>
      <c r="F891" s="1190"/>
      <c r="G891" s="1190"/>
      <c r="H891" s="1190"/>
      <c r="I891" s="1190"/>
      <c r="J891" s="1190"/>
      <c r="K891" s="1190"/>
      <c r="L891" s="1190"/>
      <c r="M891" s="1190"/>
      <c r="N891" s="1190"/>
      <c r="O891" s="1190"/>
      <c r="P891" s="1190"/>
      <c r="Q891" s="1190"/>
      <c r="R891" s="1190"/>
      <c r="S891" s="1189"/>
      <c r="T891" s="1190"/>
      <c r="U891" s="1190"/>
      <c r="V891" s="1190"/>
      <c r="W891" s="1190"/>
      <c r="X891" s="1190"/>
      <c r="Y891" s="1190"/>
      <c r="Z891" s="1190"/>
      <c r="AA891" s="1190"/>
      <c r="AB891" s="1190"/>
      <c r="AC891" s="1190"/>
      <c r="AD891" s="1190"/>
      <c r="AE891" s="1190"/>
      <c r="AF891" s="1190"/>
      <c r="AG891" s="1748"/>
      <c r="AH891" s="1190"/>
      <c r="AI891" s="1748"/>
      <c r="AJ891" s="1190"/>
      <c r="AK891" s="1190"/>
      <c r="AL891" s="1190"/>
      <c r="AM891" s="1190"/>
      <c r="AN891" s="1190"/>
      <c r="AO891" s="1190"/>
      <c r="AP891" s="1190"/>
      <c r="AQ891" s="1190"/>
      <c r="AR891" s="1190"/>
      <c r="AS891" s="1190"/>
      <c r="AT891" s="1190"/>
      <c r="AU891" s="1190"/>
      <c r="AV891" s="1190"/>
      <c r="AW891" s="1190"/>
      <c r="AX891" s="1190"/>
      <c r="AY891" s="1190"/>
      <c r="AZ891" s="1190"/>
      <c r="BA891" s="1190"/>
      <c r="BB891" s="1190"/>
      <c r="BC891" s="1190"/>
      <c r="BD891" s="1190"/>
      <c r="BE891" s="1190"/>
      <c r="BF891" s="1190"/>
      <c r="BG891" s="1190"/>
      <c r="BH891" s="1190"/>
      <c r="BI891" s="1190"/>
      <c r="BJ891" s="1190"/>
      <c r="BK891" s="1190"/>
      <c r="BL891" s="1190"/>
      <c r="BM891" s="1190"/>
      <c r="BQ891" s="195"/>
      <c r="BR891" s="195"/>
      <c r="BT891" s="1005"/>
    </row>
    <row r="892" ht="15.75" customHeight="1">
      <c r="A892" s="195"/>
      <c r="B892" s="978"/>
      <c r="C892" s="2321"/>
      <c r="D892" s="1729"/>
      <c r="E892" s="1190"/>
      <c r="F892" s="1190"/>
      <c r="G892" s="1190"/>
      <c r="H892" s="1190"/>
      <c r="I892" s="1190"/>
      <c r="J892" s="1190"/>
      <c r="K892" s="1190"/>
      <c r="L892" s="1190"/>
      <c r="M892" s="1190"/>
      <c r="N892" s="1190"/>
      <c r="O892" s="1190"/>
      <c r="P892" s="1190"/>
      <c r="Q892" s="1190"/>
      <c r="R892" s="1190"/>
      <c r="S892" s="1189"/>
      <c r="T892" s="1190"/>
      <c r="U892" s="1190"/>
      <c r="V892" s="1190"/>
      <c r="W892" s="1190"/>
      <c r="X892" s="1190"/>
      <c r="Y892" s="1190"/>
      <c r="Z892" s="1190"/>
      <c r="AA892" s="1190"/>
      <c r="AB892" s="1190"/>
      <c r="AC892" s="1190"/>
      <c r="AD892" s="1190"/>
      <c r="AE892" s="1190"/>
      <c r="AF892" s="1190"/>
      <c r="AG892" s="1748"/>
      <c r="AH892" s="1190"/>
      <c r="AI892" s="1748"/>
      <c r="AJ892" s="1190"/>
      <c r="AK892" s="1190"/>
      <c r="AL892" s="1190"/>
      <c r="AM892" s="1190"/>
      <c r="AN892" s="1190"/>
      <c r="AO892" s="1190"/>
      <c r="AP892" s="1190"/>
      <c r="AQ892" s="1190"/>
      <c r="AR892" s="1190"/>
      <c r="AS892" s="1190"/>
      <c r="AT892" s="1190"/>
      <c r="AU892" s="1190"/>
      <c r="AV892" s="1190"/>
      <c r="AW892" s="1190"/>
      <c r="AX892" s="1190"/>
      <c r="AY892" s="1190"/>
      <c r="AZ892" s="1190"/>
      <c r="BA892" s="1190"/>
      <c r="BB892" s="1190"/>
      <c r="BC892" s="1190"/>
      <c r="BD892" s="1190"/>
      <c r="BE892" s="1190"/>
      <c r="BF892" s="1190"/>
      <c r="BG892" s="1190"/>
      <c r="BH892" s="1190"/>
      <c r="BI892" s="1190"/>
      <c r="BJ892" s="1190"/>
      <c r="BK892" s="1190"/>
      <c r="BL892" s="1190"/>
      <c r="BM892" s="1190"/>
      <c r="BQ892" s="195"/>
      <c r="BR892" s="195"/>
      <c r="BT892" s="1005"/>
    </row>
    <row r="893" ht="15.75" customHeight="1">
      <c r="A893" s="195"/>
      <c r="B893" s="978"/>
      <c r="C893" s="2321"/>
      <c r="D893" s="1729"/>
      <c r="E893" s="1190"/>
      <c r="F893" s="1190"/>
      <c r="G893" s="1190"/>
      <c r="H893" s="1190"/>
      <c r="I893" s="1190"/>
      <c r="J893" s="1190"/>
      <c r="K893" s="1190"/>
      <c r="L893" s="1190"/>
      <c r="M893" s="1190"/>
      <c r="N893" s="1190"/>
      <c r="O893" s="1190"/>
      <c r="P893" s="1190"/>
      <c r="Q893" s="1190"/>
      <c r="R893" s="1190"/>
      <c r="S893" s="1189"/>
      <c r="T893" s="1190"/>
      <c r="U893" s="1190"/>
      <c r="V893" s="1190"/>
      <c r="W893" s="1190"/>
      <c r="X893" s="1190"/>
      <c r="Y893" s="1190"/>
      <c r="Z893" s="1190"/>
      <c r="AA893" s="1190"/>
      <c r="AB893" s="1190"/>
      <c r="AC893" s="1190"/>
      <c r="AD893" s="1190"/>
      <c r="AE893" s="1190"/>
      <c r="AF893" s="1190"/>
      <c r="AG893" s="1748"/>
      <c r="AH893" s="1190"/>
      <c r="AI893" s="1748"/>
      <c r="AJ893" s="1190"/>
      <c r="AK893" s="1190"/>
      <c r="AL893" s="1190"/>
      <c r="AM893" s="1190"/>
      <c r="AN893" s="1190"/>
      <c r="AO893" s="1190"/>
      <c r="AP893" s="1190"/>
      <c r="AQ893" s="1190"/>
      <c r="AR893" s="1190"/>
      <c r="AS893" s="1190"/>
      <c r="AT893" s="1190"/>
      <c r="AU893" s="1190"/>
      <c r="AV893" s="1190"/>
      <c r="AW893" s="1190"/>
      <c r="AX893" s="1190"/>
      <c r="AY893" s="1190"/>
      <c r="AZ893" s="1190"/>
      <c r="BA893" s="1190"/>
      <c r="BB893" s="1190"/>
      <c r="BC893" s="1190"/>
      <c r="BD893" s="1190"/>
      <c r="BE893" s="1190"/>
      <c r="BF893" s="1190"/>
      <c r="BG893" s="1190"/>
      <c r="BH893" s="1190"/>
      <c r="BI893" s="1190"/>
      <c r="BJ893" s="1190"/>
      <c r="BK893" s="1190"/>
      <c r="BL893" s="1190"/>
      <c r="BM893" s="1190"/>
      <c r="BQ893" s="195"/>
      <c r="BR893" s="195"/>
      <c r="BT893" s="1005"/>
    </row>
    <row r="894" ht="15.75" customHeight="1">
      <c r="A894" s="195"/>
      <c r="B894" s="978"/>
      <c r="C894" s="2321"/>
      <c r="D894" s="1729"/>
      <c r="E894" s="1190"/>
      <c r="F894" s="1190"/>
      <c r="G894" s="1190"/>
      <c r="H894" s="1190"/>
      <c r="I894" s="1190"/>
      <c r="J894" s="1190"/>
      <c r="K894" s="1190"/>
      <c r="L894" s="1190"/>
      <c r="M894" s="1190"/>
      <c r="N894" s="1190"/>
      <c r="O894" s="1190"/>
      <c r="P894" s="1190"/>
      <c r="Q894" s="1190"/>
      <c r="R894" s="1190"/>
      <c r="S894" s="1189"/>
      <c r="T894" s="1190"/>
      <c r="U894" s="1190"/>
      <c r="V894" s="1190"/>
      <c r="W894" s="1190"/>
      <c r="X894" s="1190"/>
      <c r="Y894" s="1190"/>
      <c r="Z894" s="1190"/>
      <c r="AA894" s="1190"/>
      <c r="AB894" s="1190"/>
      <c r="AC894" s="1190"/>
      <c r="AD894" s="1190"/>
      <c r="AE894" s="1190"/>
      <c r="AF894" s="1190"/>
      <c r="AG894" s="1748"/>
      <c r="AH894" s="1190"/>
      <c r="AI894" s="1748"/>
      <c r="AJ894" s="1190"/>
      <c r="AK894" s="1190"/>
      <c r="AL894" s="1190"/>
      <c r="AM894" s="1190"/>
      <c r="AN894" s="1190"/>
      <c r="AO894" s="1190"/>
      <c r="AP894" s="1190"/>
      <c r="AQ894" s="1190"/>
      <c r="AR894" s="1190"/>
      <c r="AS894" s="1190"/>
      <c r="AT894" s="1190"/>
      <c r="AU894" s="1190"/>
      <c r="AV894" s="1190"/>
      <c r="AW894" s="1190"/>
      <c r="AX894" s="1190"/>
      <c r="AY894" s="1190"/>
      <c r="AZ894" s="1190"/>
      <c r="BA894" s="1190"/>
      <c r="BB894" s="1190"/>
      <c r="BC894" s="1190"/>
      <c r="BD894" s="1190"/>
      <c r="BE894" s="1190"/>
      <c r="BF894" s="1190"/>
      <c r="BG894" s="1190"/>
      <c r="BH894" s="1190"/>
      <c r="BI894" s="1190"/>
      <c r="BJ894" s="1190"/>
      <c r="BK894" s="1190"/>
      <c r="BL894" s="1190"/>
      <c r="BM894" s="1190"/>
      <c r="BQ894" s="195"/>
      <c r="BR894" s="195"/>
      <c r="BT894" s="1005"/>
    </row>
    <row r="895" ht="15.75" customHeight="1">
      <c r="A895" s="195"/>
      <c r="B895" s="978"/>
      <c r="C895" s="2321"/>
      <c r="D895" s="1729"/>
      <c r="E895" s="1190"/>
      <c r="F895" s="1190"/>
      <c r="G895" s="1190"/>
      <c r="H895" s="1190"/>
      <c r="I895" s="1190"/>
      <c r="J895" s="1190"/>
      <c r="K895" s="1190"/>
      <c r="L895" s="1190"/>
      <c r="M895" s="1190"/>
      <c r="N895" s="1190"/>
      <c r="O895" s="1190"/>
      <c r="P895" s="1190"/>
      <c r="Q895" s="1190"/>
      <c r="R895" s="1190"/>
      <c r="S895" s="1189"/>
      <c r="T895" s="1190"/>
      <c r="U895" s="1190"/>
      <c r="V895" s="1190"/>
      <c r="W895" s="1190"/>
      <c r="X895" s="1190"/>
      <c r="Y895" s="1190"/>
      <c r="Z895" s="1190"/>
      <c r="AA895" s="1190"/>
      <c r="AB895" s="1190"/>
      <c r="AC895" s="1190"/>
      <c r="AD895" s="1190"/>
      <c r="AE895" s="1190"/>
      <c r="AF895" s="1190"/>
      <c r="AG895" s="1748"/>
      <c r="AH895" s="1190"/>
      <c r="AI895" s="1748"/>
      <c r="AJ895" s="1190"/>
      <c r="AK895" s="1190"/>
      <c r="AL895" s="1190"/>
      <c r="AM895" s="1190"/>
      <c r="AN895" s="1190"/>
      <c r="AO895" s="1190"/>
      <c r="AP895" s="1190"/>
      <c r="AQ895" s="1190"/>
      <c r="AR895" s="1190"/>
      <c r="AS895" s="1190"/>
      <c r="AT895" s="1190"/>
      <c r="AU895" s="1190"/>
      <c r="AV895" s="1190"/>
      <c r="AW895" s="1190"/>
      <c r="AX895" s="1190"/>
      <c r="AY895" s="1190"/>
      <c r="AZ895" s="1190"/>
      <c r="BA895" s="1190"/>
      <c r="BB895" s="1190"/>
      <c r="BC895" s="1190"/>
      <c r="BD895" s="1190"/>
      <c r="BE895" s="1190"/>
      <c r="BF895" s="1190"/>
      <c r="BG895" s="1190"/>
      <c r="BH895" s="1190"/>
      <c r="BI895" s="1190"/>
      <c r="BJ895" s="1190"/>
      <c r="BK895" s="1190"/>
      <c r="BL895" s="1190"/>
      <c r="BM895" s="1190"/>
      <c r="BQ895" s="195"/>
      <c r="BR895" s="195"/>
      <c r="BT895" s="1005"/>
    </row>
    <row r="896" ht="15.75" customHeight="1">
      <c r="A896" s="195"/>
      <c r="B896" s="978"/>
      <c r="C896" s="2321"/>
      <c r="D896" s="1729"/>
      <c r="E896" s="1190"/>
      <c r="F896" s="1190"/>
      <c r="G896" s="1190"/>
      <c r="H896" s="1190"/>
      <c r="I896" s="1190"/>
      <c r="J896" s="1190"/>
      <c r="K896" s="1190"/>
      <c r="L896" s="1190"/>
      <c r="M896" s="1190"/>
      <c r="N896" s="1190"/>
      <c r="O896" s="1190"/>
      <c r="P896" s="1190"/>
      <c r="Q896" s="1190"/>
      <c r="R896" s="1190"/>
      <c r="S896" s="1189"/>
      <c r="T896" s="1190"/>
      <c r="U896" s="1190"/>
      <c r="V896" s="1190"/>
      <c r="W896" s="1190"/>
      <c r="X896" s="1190"/>
      <c r="Y896" s="1190"/>
      <c r="Z896" s="1190"/>
      <c r="AA896" s="1190"/>
      <c r="AB896" s="1190"/>
      <c r="AC896" s="1190"/>
      <c r="AD896" s="1190"/>
      <c r="AE896" s="1190"/>
      <c r="AF896" s="1190"/>
      <c r="AG896" s="1748"/>
      <c r="AH896" s="1190"/>
      <c r="AI896" s="1748"/>
      <c r="AJ896" s="1190"/>
      <c r="AK896" s="1190"/>
      <c r="AL896" s="1190"/>
      <c r="AM896" s="1190"/>
      <c r="AN896" s="1190"/>
      <c r="AO896" s="1190"/>
      <c r="AP896" s="1190"/>
      <c r="AQ896" s="1190"/>
      <c r="AR896" s="1190"/>
      <c r="AS896" s="1190"/>
      <c r="AT896" s="1190"/>
      <c r="AU896" s="1190"/>
      <c r="AV896" s="1190"/>
      <c r="AW896" s="1190"/>
      <c r="AX896" s="1190"/>
      <c r="AY896" s="1190"/>
      <c r="AZ896" s="1190"/>
      <c r="BA896" s="1190"/>
      <c r="BB896" s="1190"/>
      <c r="BC896" s="1190"/>
      <c r="BD896" s="1190"/>
      <c r="BE896" s="1190"/>
      <c r="BF896" s="1190"/>
      <c r="BG896" s="1190"/>
      <c r="BH896" s="1190"/>
      <c r="BI896" s="1190"/>
      <c r="BJ896" s="1190"/>
      <c r="BK896" s="1190"/>
      <c r="BL896" s="1190"/>
      <c r="BM896" s="1190"/>
      <c r="BQ896" s="195"/>
      <c r="BR896" s="195"/>
      <c r="BT896" s="1005"/>
    </row>
    <row r="897" ht="15.75" customHeight="1">
      <c r="A897" s="195"/>
      <c r="B897" s="978"/>
      <c r="C897" s="2321"/>
      <c r="D897" s="1729"/>
      <c r="E897" s="1190"/>
      <c r="F897" s="1190"/>
      <c r="G897" s="1190"/>
      <c r="H897" s="1190"/>
      <c r="I897" s="1190"/>
      <c r="J897" s="1190"/>
      <c r="K897" s="1190"/>
      <c r="L897" s="1190"/>
      <c r="M897" s="1190"/>
      <c r="N897" s="1190"/>
      <c r="O897" s="1190"/>
      <c r="P897" s="1190"/>
      <c r="Q897" s="1190"/>
      <c r="R897" s="1190"/>
      <c r="S897" s="1189"/>
      <c r="T897" s="1190"/>
      <c r="U897" s="1190"/>
      <c r="V897" s="1190"/>
      <c r="W897" s="1190"/>
      <c r="X897" s="1190"/>
      <c r="Y897" s="1190"/>
      <c r="Z897" s="1190"/>
      <c r="AA897" s="1190"/>
      <c r="AB897" s="1190"/>
      <c r="AC897" s="1190"/>
      <c r="AD897" s="1190"/>
      <c r="AE897" s="1190"/>
      <c r="AF897" s="1190"/>
      <c r="AG897" s="1748"/>
      <c r="AH897" s="1190"/>
      <c r="AI897" s="1748"/>
      <c r="AJ897" s="1190"/>
      <c r="AK897" s="1190"/>
      <c r="AL897" s="1190"/>
      <c r="AM897" s="1190"/>
      <c r="AN897" s="1190"/>
      <c r="AO897" s="1190"/>
      <c r="AP897" s="1190"/>
      <c r="AQ897" s="1190"/>
      <c r="AR897" s="1190"/>
      <c r="AS897" s="1190"/>
      <c r="AT897" s="1190"/>
      <c r="AU897" s="1190"/>
      <c r="AV897" s="1190"/>
      <c r="AW897" s="1190"/>
      <c r="AX897" s="1190"/>
      <c r="AY897" s="1190"/>
      <c r="AZ897" s="1190"/>
      <c r="BA897" s="1190"/>
      <c r="BB897" s="1190"/>
      <c r="BC897" s="1190"/>
      <c r="BD897" s="1190"/>
      <c r="BE897" s="1190"/>
      <c r="BF897" s="1190"/>
      <c r="BG897" s="1190"/>
      <c r="BH897" s="1190"/>
      <c r="BI897" s="1190"/>
      <c r="BJ897" s="1190"/>
      <c r="BK897" s="1190"/>
      <c r="BL897" s="1190"/>
      <c r="BM897" s="1190"/>
      <c r="BQ897" s="195"/>
      <c r="BR897" s="195"/>
      <c r="BT897" s="1005"/>
    </row>
    <row r="898" ht="15.75" customHeight="1">
      <c r="A898" s="195"/>
      <c r="B898" s="978"/>
      <c r="C898" s="2321"/>
      <c r="D898" s="1729"/>
      <c r="E898" s="1190"/>
      <c r="F898" s="1190"/>
      <c r="G898" s="1190"/>
      <c r="H898" s="1190"/>
      <c r="I898" s="1190"/>
      <c r="J898" s="1190"/>
      <c r="K898" s="1190"/>
      <c r="L898" s="1190"/>
      <c r="M898" s="1190"/>
      <c r="N898" s="1190"/>
      <c r="O898" s="1190"/>
      <c r="P898" s="1190"/>
      <c r="Q898" s="1190"/>
      <c r="R898" s="1190"/>
      <c r="S898" s="1189"/>
      <c r="T898" s="1190"/>
      <c r="U898" s="1190"/>
      <c r="V898" s="1190"/>
      <c r="W898" s="1190"/>
      <c r="X898" s="1190"/>
      <c r="Y898" s="1190"/>
      <c r="Z898" s="1190"/>
      <c r="AA898" s="1190"/>
      <c r="AB898" s="1190"/>
      <c r="AC898" s="1190"/>
      <c r="AD898" s="1190"/>
      <c r="AE898" s="1190"/>
      <c r="AF898" s="1190"/>
      <c r="AG898" s="1748"/>
      <c r="AH898" s="1190"/>
      <c r="AI898" s="1748"/>
      <c r="AJ898" s="1190"/>
      <c r="AK898" s="1190"/>
      <c r="AL898" s="1190"/>
      <c r="AM898" s="1190"/>
      <c r="AN898" s="1190"/>
      <c r="AO898" s="1190"/>
      <c r="AP898" s="1190"/>
      <c r="AQ898" s="1190"/>
      <c r="AR898" s="1190"/>
      <c r="AS898" s="1190"/>
      <c r="AT898" s="1190"/>
      <c r="AU898" s="1190"/>
      <c r="AV898" s="1190"/>
      <c r="AW898" s="1190"/>
      <c r="AX898" s="1190"/>
      <c r="AY898" s="1190"/>
      <c r="AZ898" s="1190"/>
      <c r="BA898" s="1190"/>
      <c r="BB898" s="1190"/>
      <c r="BC898" s="1190"/>
      <c r="BD898" s="1190"/>
      <c r="BE898" s="1190"/>
      <c r="BF898" s="1190"/>
      <c r="BG898" s="1190"/>
      <c r="BH898" s="1190"/>
      <c r="BI898" s="1190"/>
      <c r="BJ898" s="1190"/>
      <c r="BK898" s="1190"/>
      <c r="BL898" s="1190"/>
      <c r="BM898" s="1190"/>
      <c r="BQ898" s="195"/>
      <c r="BR898" s="195"/>
      <c r="BT898" s="1005"/>
    </row>
    <row r="899" ht="15.75" customHeight="1">
      <c r="A899" s="195"/>
      <c r="B899" s="978"/>
      <c r="C899" s="2321"/>
      <c r="D899" s="1729"/>
      <c r="E899" s="1190"/>
      <c r="F899" s="1190"/>
      <c r="G899" s="1190"/>
      <c r="H899" s="1190"/>
      <c r="I899" s="1190"/>
      <c r="J899" s="1190"/>
      <c r="K899" s="1190"/>
      <c r="L899" s="1190"/>
      <c r="M899" s="1190"/>
      <c r="N899" s="1190"/>
      <c r="O899" s="1190"/>
      <c r="P899" s="1190"/>
      <c r="Q899" s="1190"/>
      <c r="R899" s="1190"/>
      <c r="S899" s="1189"/>
      <c r="T899" s="1190"/>
      <c r="U899" s="1190"/>
      <c r="V899" s="1190"/>
      <c r="W899" s="1190"/>
      <c r="X899" s="1190"/>
      <c r="Y899" s="1190"/>
      <c r="Z899" s="1190"/>
      <c r="AA899" s="1190"/>
      <c r="AB899" s="1190"/>
      <c r="AC899" s="1190"/>
      <c r="AD899" s="1190"/>
      <c r="AE899" s="1190"/>
      <c r="AF899" s="1190"/>
      <c r="AG899" s="1748"/>
      <c r="AH899" s="1190"/>
      <c r="AI899" s="1748"/>
      <c r="AJ899" s="1190"/>
      <c r="AK899" s="1190"/>
      <c r="AL899" s="1190"/>
      <c r="AM899" s="1190"/>
      <c r="AN899" s="1190"/>
      <c r="AO899" s="1190"/>
      <c r="AP899" s="1190"/>
      <c r="AQ899" s="1190"/>
      <c r="AR899" s="1190"/>
      <c r="AS899" s="1190"/>
      <c r="AT899" s="1190"/>
      <c r="AU899" s="1190"/>
      <c r="AV899" s="1190"/>
      <c r="AW899" s="1190"/>
      <c r="AX899" s="1190"/>
      <c r="AY899" s="1190"/>
      <c r="AZ899" s="1190"/>
      <c r="BA899" s="1190"/>
      <c r="BB899" s="1190"/>
      <c r="BC899" s="1190"/>
      <c r="BD899" s="1190"/>
      <c r="BE899" s="1190"/>
      <c r="BF899" s="1190"/>
      <c r="BG899" s="1190"/>
      <c r="BH899" s="1190"/>
      <c r="BI899" s="1190"/>
      <c r="BJ899" s="1190"/>
      <c r="BK899" s="1190"/>
      <c r="BL899" s="1190"/>
      <c r="BM899" s="1190"/>
      <c r="BQ899" s="195"/>
      <c r="BR899" s="195"/>
      <c r="BT899" s="1005"/>
    </row>
    <row r="900" ht="15.75" customHeight="1">
      <c r="A900" s="195"/>
      <c r="B900" s="978"/>
      <c r="C900" s="2321"/>
      <c r="D900" s="1729"/>
      <c r="E900" s="1190"/>
      <c r="F900" s="1190"/>
      <c r="G900" s="1190"/>
      <c r="H900" s="1190"/>
      <c r="I900" s="1190"/>
      <c r="J900" s="1190"/>
      <c r="K900" s="1190"/>
      <c r="L900" s="1190"/>
      <c r="M900" s="1190"/>
      <c r="N900" s="1190"/>
      <c r="O900" s="1190"/>
      <c r="P900" s="1190"/>
      <c r="Q900" s="1190"/>
      <c r="R900" s="1190"/>
      <c r="S900" s="1189"/>
      <c r="T900" s="1190"/>
      <c r="U900" s="1190"/>
      <c r="V900" s="1190"/>
      <c r="W900" s="1190"/>
      <c r="X900" s="1190"/>
      <c r="Y900" s="1190"/>
      <c r="Z900" s="1190"/>
      <c r="AA900" s="1190"/>
      <c r="AB900" s="1190"/>
      <c r="AC900" s="1190"/>
      <c r="AD900" s="1190"/>
      <c r="AE900" s="1190"/>
      <c r="AF900" s="1190"/>
      <c r="AG900" s="1748"/>
      <c r="AH900" s="1190"/>
      <c r="AI900" s="1748"/>
      <c r="AJ900" s="1190"/>
      <c r="AK900" s="1190"/>
      <c r="AL900" s="1190"/>
      <c r="AM900" s="1190"/>
      <c r="AN900" s="1190"/>
      <c r="AO900" s="1190"/>
      <c r="AP900" s="1190"/>
      <c r="AQ900" s="1190"/>
      <c r="AR900" s="1190"/>
      <c r="AS900" s="1190"/>
      <c r="AT900" s="1190"/>
      <c r="AU900" s="1190"/>
      <c r="AV900" s="1190"/>
      <c r="AW900" s="1190"/>
      <c r="AX900" s="1190"/>
      <c r="AY900" s="1190"/>
      <c r="AZ900" s="1190"/>
      <c r="BA900" s="1190"/>
      <c r="BB900" s="1190"/>
      <c r="BC900" s="1190"/>
      <c r="BD900" s="1190"/>
      <c r="BE900" s="1190"/>
      <c r="BF900" s="1190"/>
      <c r="BG900" s="1190"/>
      <c r="BH900" s="1190"/>
      <c r="BI900" s="1190"/>
      <c r="BJ900" s="1190"/>
      <c r="BK900" s="1190"/>
      <c r="BL900" s="1190"/>
      <c r="BM900" s="1190"/>
      <c r="BQ900" s="195"/>
      <c r="BR900" s="195"/>
      <c r="BT900" s="1005"/>
    </row>
    <row r="901" ht="15.75" customHeight="1">
      <c r="A901" s="195"/>
      <c r="B901" s="978"/>
      <c r="C901" s="2321"/>
      <c r="D901" s="1729"/>
      <c r="E901" s="1190"/>
      <c r="F901" s="1190"/>
      <c r="G901" s="1190"/>
      <c r="H901" s="1190"/>
      <c r="I901" s="1190"/>
      <c r="J901" s="1190"/>
      <c r="K901" s="1190"/>
      <c r="L901" s="1190"/>
      <c r="M901" s="1190"/>
      <c r="N901" s="1190"/>
      <c r="O901" s="1190"/>
      <c r="P901" s="1190"/>
      <c r="Q901" s="1190"/>
      <c r="R901" s="1190"/>
      <c r="S901" s="1189"/>
      <c r="T901" s="1190"/>
      <c r="U901" s="1190"/>
      <c r="V901" s="1190"/>
      <c r="W901" s="1190"/>
      <c r="X901" s="1190"/>
      <c r="Y901" s="1190"/>
      <c r="Z901" s="1190"/>
      <c r="AA901" s="1190"/>
      <c r="AB901" s="1190"/>
      <c r="AC901" s="1190"/>
      <c r="AD901" s="1190"/>
      <c r="AE901" s="1190"/>
      <c r="AF901" s="1190"/>
      <c r="AG901" s="1748"/>
      <c r="AH901" s="1190"/>
      <c r="AI901" s="1748"/>
      <c r="AJ901" s="1190"/>
      <c r="AK901" s="1190"/>
      <c r="AL901" s="1190"/>
      <c r="AM901" s="1190"/>
      <c r="AN901" s="1190"/>
      <c r="AO901" s="1190"/>
      <c r="AP901" s="1190"/>
      <c r="AQ901" s="1190"/>
      <c r="AR901" s="1190"/>
      <c r="AS901" s="1190"/>
      <c r="AT901" s="1190"/>
      <c r="AU901" s="1190"/>
      <c r="AV901" s="1190"/>
      <c r="AW901" s="1190"/>
      <c r="AX901" s="1190"/>
      <c r="AY901" s="1190"/>
      <c r="AZ901" s="1190"/>
      <c r="BA901" s="1190"/>
      <c r="BB901" s="1190"/>
      <c r="BC901" s="1190"/>
      <c r="BD901" s="1190"/>
      <c r="BE901" s="1190"/>
      <c r="BF901" s="1190"/>
      <c r="BG901" s="1190"/>
      <c r="BH901" s="1190"/>
      <c r="BI901" s="1190"/>
      <c r="BJ901" s="1190"/>
      <c r="BK901" s="1190"/>
      <c r="BL901" s="1190"/>
      <c r="BM901" s="1190"/>
      <c r="BQ901" s="195"/>
      <c r="BR901" s="195"/>
      <c r="BT901" s="1005"/>
    </row>
    <row r="902" ht="15.75" customHeight="1">
      <c r="A902" s="195"/>
      <c r="B902" s="978"/>
      <c r="C902" s="2321"/>
      <c r="D902" s="1729"/>
      <c r="E902" s="1190"/>
      <c r="F902" s="1190"/>
      <c r="G902" s="1190"/>
      <c r="H902" s="1190"/>
      <c r="I902" s="1190"/>
      <c r="J902" s="1190"/>
      <c r="K902" s="1190"/>
      <c r="L902" s="1190"/>
      <c r="M902" s="1190"/>
      <c r="N902" s="1190"/>
      <c r="O902" s="1190"/>
      <c r="P902" s="1190"/>
      <c r="Q902" s="1190"/>
      <c r="R902" s="1190"/>
      <c r="S902" s="1189"/>
      <c r="T902" s="1190"/>
      <c r="U902" s="1190"/>
      <c r="V902" s="1190"/>
      <c r="W902" s="1190"/>
      <c r="X902" s="1190"/>
      <c r="Y902" s="1190"/>
      <c r="Z902" s="1190"/>
      <c r="AA902" s="1190"/>
      <c r="AB902" s="1190"/>
      <c r="AC902" s="1190"/>
      <c r="AD902" s="1190"/>
      <c r="AE902" s="1190"/>
      <c r="AF902" s="1190"/>
      <c r="AG902" s="1748"/>
      <c r="AH902" s="1190"/>
      <c r="AI902" s="1748"/>
      <c r="AJ902" s="1190"/>
      <c r="AK902" s="1190"/>
      <c r="AL902" s="1190"/>
      <c r="AM902" s="1190"/>
      <c r="AN902" s="1190"/>
      <c r="AO902" s="1190"/>
      <c r="AP902" s="1190"/>
      <c r="AQ902" s="1190"/>
      <c r="AR902" s="1190"/>
      <c r="AS902" s="1190"/>
      <c r="AT902" s="1190"/>
      <c r="AU902" s="1190"/>
      <c r="AV902" s="1190"/>
      <c r="AW902" s="1190"/>
      <c r="AX902" s="1190"/>
      <c r="AY902" s="1190"/>
      <c r="AZ902" s="1190"/>
      <c r="BA902" s="1190"/>
      <c r="BB902" s="1190"/>
      <c r="BC902" s="1190"/>
      <c r="BD902" s="1190"/>
      <c r="BE902" s="1190"/>
      <c r="BF902" s="1190"/>
      <c r="BG902" s="1190"/>
      <c r="BH902" s="1190"/>
      <c r="BI902" s="1190"/>
      <c r="BJ902" s="1190"/>
      <c r="BK902" s="1190"/>
      <c r="BL902" s="1190"/>
      <c r="BM902" s="1190"/>
      <c r="BQ902" s="195"/>
      <c r="BR902" s="195"/>
      <c r="BT902" s="1005"/>
    </row>
    <row r="903" ht="15.75" customHeight="1">
      <c r="A903" s="195"/>
      <c r="B903" s="978"/>
      <c r="C903" s="2321"/>
      <c r="D903" s="1729"/>
      <c r="E903" s="1190"/>
      <c r="F903" s="1190"/>
      <c r="G903" s="1190"/>
      <c r="H903" s="1190"/>
      <c r="I903" s="1190"/>
      <c r="J903" s="1190"/>
      <c r="K903" s="1190"/>
      <c r="L903" s="1190"/>
      <c r="M903" s="1190"/>
      <c r="N903" s="1190"/>
      <c r="O903" s="1190"/>
      <c r="P903" s="1190"/>
      <c r="Q903" s="1190"/>
      <c r="R903" s="1190"/>
      <c r="S903" s="1189"/>
      <c r="T903" s="1190"/>
      <c r="U903" s="1190"/>
      <c r="V903" s="1190"/>
      <c r="W903" s="1190"/>
      <c r="X903" s="1190"/>
      <c r="Y903" s="1190"/>
      <c r="Z903" s="1190"/>
      <c r="AA903" s="1190"/>
      <c r="AB903" s="1190"/>
      <c r="AC903" s="1190"/>
      <c r="AD903" s="1190"/>
      <c r="AE903" s="1190"/>
      <c r="AF903" s="1190"/>
      <c r="AG903" s="1748"/>
      <c r="AH903" s="1190"/>
      <c r="AI903" s="1748"/>
      <c r="AJ903" s="1190"/>
      <c r="AK903" s="1190"/>
      <c r="AL903" s="1190"/>
      <c r="AM903" s="1190"/>
      <c r="AN903" s="1190"/>
      <c r="AO903" s="1190"/>
      <c r="AP903" s="1190"/>
      <c r="AQ903" s="1190"/>
      <c r="AR903" s="1190"/>
      <c r="AS903" s="1190"/>
      <c r="AT903" s="1190"/>
      <c r="AU903" s="1190"/>
      <c r="AV903" s="1190"/>
      <c r="AW903" s="1190"/>
      <c r="AX903" s="1190"/>
      <c r="AY903" s="1190"/>
      <c r="AZ903" s="1190"/>
      <c r="BA903" s="1190"/>
      <c r="BB903" s="1190"/>
      <c r="BC903" s="1190"/>
      <c r="BD903" s="1190"/>
      <c r="BE903" s="1190"/>
      <c r="BF903" s="1190"/>
      <c r="BG903" s="1190"/>
      <c r="BH903" s="1190"/>
      <c r="BI903" s="1190"/>
      <c r="BJ903" s="1190"/>
      <c r="BK903" s="1190"/>
      <c r="BL903" s="1190"/>
      <c r="BM903" s="1190"/>
      <c r="BQ903" s="195"/>
      <c r="BR903" s="195"/>
      <c r="BT903" s="1005"/>
    </row>
    <row r="904" ht="15.75" customHeight="1">
      <c r="A904" s="195"/>
      <c r="B904" s="978"/>
      <c r="C904" s="2321"/>
      <c r="D904" s="1729"/>
      <c r="E904" s="1190"/>
      <c r="F904" s="1190"/>
      <c r="G904" s="1190"/>
      <c r="H904" s="1190"/>
      <c r="I904" s="1190"/>
      <c r="J904" s="1190"/>
      <c r="K904" s="1190"/>
      <c r="L904" s="1190"/>
      <c r="M904" s="1190"/>
      <c r="N904" s="1190"/>
      <c r="O904" s="1190"/>
      <c r="P904" s="1190"/>
      <c r="Q904" s="1190"/>
      <c r="R904" s="1190"/>
      <c r="S904" s="1189"/>
      <c r="T904" s="1190"/>
      <c r="U904" s="1190"/>
      <c r="V904" s="1190"/>
      <c r="W904" s="1190"/>
      <c r="X904" s="1190"/>
      <c r="Y904" s="1190"/>
      <c r="Z904" s="1190"/>
      <c r="AA904" s="1190"/>
      <c r="AB904" s="1190"/>
      <c r="AC904" s="1190"/>
      <c r="AD904" s="1190"/>
      <c r="AE904" s="1190"/>
      <c r="AF904" s="1190"/>
      <c r="AG904" s="1748"/>
      <c r="AH904" s="1190"/>
      <c r="AI904" s="1748"/>
      <c r="AJ904" s="1190"/>
      <c r="AK904" s="1190"/>
      <c r="AL904" s="1190"/>
      <c r="AM904" s="1190"/>
      <c r="AN904" s="1190"/>
      <c r="AO904" s="1190"/>
      <c r="AP904" s="1190"/>
      <c r="AQ904" s="1190"/>
      <c r="AR904" s="1190"/>
      <c r="AS904" s="1190"/>
      <c r="AT904" s="1190"/>
      <c r="AU904" s="1190"/>
      <c r="AV904" s="1190"/>
      <c r="AW904" s="1190"/>
      <c r="AX904" s="1190"/>
      <c r="AY904" s="1190"/>
      <c r="AZ904" s="1190"/>
      <c r="BA904" s="1190"/>
      <c r="BB904" s="1190"/>
      <c r="BC904" s="1190"/>
      <c r="BD904" s="1190"/>
      <c r="BE904" s="1190"/>
      <c r="BF904" s="1190"/>
      <c r="BG904" s="1190"/>
      <c r="BH904" s="1190"/>
      <c r="BI904" s="1190"/>
      <c r="BJ904" s="1190"/>
      <c r="BK904" s="1190"/>
      <c r="BL904" s="1190"/>
      <c r="BM904" s="1190"/>
      <c r="BQ904" s="195"/>
      <c r="BR904" s="195"/>
      <c r="BT904" s="1005"/>
    </row>
    <row r="905" ht="15.75" customHeight="1">
      <c r="A905" s="195"/>
      <c r="B905" s="978"/>
      <c r="C905" s="2321"/>
      <c r="D905" s="1729"/>
      <c r="E905" s="1190"/>
      <c r="F905" s="1190"/>
      <c r="G905" s="1190"/>
      <c r="H905" s="1190"/>
      <c r="I905" s="1190"/>
      <c r="J905" s="1190"/>
      <c r="K905" s="1190"/>
      <c r="L905" s="1190"/>
      <c r="M905" s="1190"/>
      <c r="N905" s="1190"/>
      <c r="O905" s="1190"/>
      <c r="P905" s="1190"/>
      <c r="Q905" s="1190"/>
      <c r="R905" s="1190"/>
      <c r="S905" s="1189"/>
      <c r="T905" s="1190"/>
      <c r="U905" s="1190"/>
      <c r="V905" s="1190"/>
      <c r="W905" s="1190"/>
      <c r="X905" s="1190"/>
      <c r="Y905" s="1190"/>
      <c r="Z905" s="1190"/>
      <c r="AA905" s="1190"/>
      <c r="AB905" s="1190"/>
      <c r="AC905" s="1190"/>
      <c r="AD905" s="1190"/>
      <c r="AE905" s="1190"/>
      <c r="AF905" s="1190"/>
      <c r="AG905" s="1748"/>
      <c r="AH905" s="1190"/>
      <c r="AI905" s="1748"/>
      <c r="AJ905" s="1190"/>
      <c r="AK905" s="1190"/>
      <c r="AL905" s="1190"/>
      <c r="AM905" s="1190"/>
      <c r="AN905" s="1190"/>
      <c r="AO905" s="1190"/>
      <c r="AP905" s="1190"/>
      <c r="AQ905" s="1190"/>
      <c r="AR905" s="1190"/>
      <c r="AS905" s="1190"/>
      <c r="AT905" s="1190"/>
      <c r="AU905" s="1190"/>
      <c r="AV905" s="1190"/>
      <c r="AW905" s="1190"/>
      <c r="AX905" s="1190"/>
      <c r="AY905" s="1190"/>
      <c r="AZ905" s="1190"/>
      <c r="BA905" s="1190"/>
      <c r="BB905" s="1190"/>
      <c r="BC905" s="1190"/>
      <c r="BD905" s="1190"/>
      <c r="BE905" s="1190"/>
      <c r="BF905" s="1190"/>
      <c r="BG905" s="1190"/>
      <c r="BH905" s="1190"/>
      <c r="BI905" s="1190"/>
      <c r="BJ905" s="1190"/>
      <c r="BK905" s="1190"/>
      <c r="BL905" s="1190"/>
      <c r="BM905" s="1190"/>
      <c r="BQ905" s="195"/>
      <c r="BR905" s="195"/>
      <c r="BT905" s="1005"/>
    </row>
    <row r="906" ht="15.75" customHeight="1">
      <c r="A906" s="195"/>
      <c r="B906" s="978"/>
      <c r="C906" s="2321"/>
      <c r="D906" s="1729"/>
      <c r="E906" s="1190"/>
      <c r="F906" s="1190"/>
      <c r="G906" s="1190"/>
      <c r="H906" s="1190"/>
      <c r="I906" s="1190"/>
      <c r="J906" s="1190"/>
      <c r="K906" s="1190"/>
      <c r="L906" s="1190"/>
      <c r="M906" s="1190"/>
      <c r="N906" s="1190"/>
      <c r="O906" s="1190"/>
      <c r="P906" s="1190"/>
      <c r="Q906" s="1190"/>
      <c r="R906" s="1190"/>
      <c r="S906" s="1189"/>
      <c r="T906" s="1190"/>
      <c r="U906" s="1190"/>
      <c r="V906" s="1190"/>
      <c r="W906" s="1190"/>
      <c r="X906" s="1190"/>
      <c r="Y906" s="1190"/>
      <c r="Z906" s="1190"/>
      <c r="AA906" s="1190"/>
      <c r="AB906" s="1190"/>
      <c r="AC906" s="1190"/>
      <c r="AD906" s="1190"/>
      <c r="AE906" s="1190"/>
      <c r="AF906" s="1190"/>
      <c r="AG906" s="1748"/>
      <c r="AH906" s="1190"/>
      <c r="AI906" s="1748"/>
      <c r="AJ906" s="1190"/>
      <c r="AK906" s="1190"/>
      <c r="AL906" s="1190"/>
      <c r="AM906" s="1190"/>
      <c r="AN906" s="1190"/>
      <c r="AO906" s="1190"/>
      <c r="AP906" s="1190"/>
      <c r="AQ906" s="1190"/>
      <c r="AR906" s="1190"/>
      <c r="AS906" s="1190"/>
      <c r="AT906" s="1190"/>
      <c r="AU906" s="1190"/>
      <c r="AV906" s="1190"/>
      <c r="AW906" s="1190"/>
      <c r="AX906" s="1190"/>
      <c r="AY906" s="1190"/>
      <c r="AZ906" s="1190"/>
      <c r="BA906" s="1190"/>
      <c r="BB906" s="1190"/>
      <c r="BC906" s="1190"/>
      <c r="BD906" s="1190"/>
      <c r="BE906" s="1190"/>
      <c r="BF906" s="1190"/>
      <c r="BG906" s="1190"/>
      <c r="BH906" s="1190"/>
      <c r="BI906" s="1190"/>
      <c r="BJ906" s="1190"/>
      <c r="BK906" s="1190"/>
      <c r="BL906" s="1190"/>
      <c r="BM906" s="1190"/>
      <c r="BQ906" s="195"/>
      <c r="BR906" s="195"/>
      <c r="BT906" s="1005"/>
    </row>
    <row r="907" ht="15.75" customHeight="1">
      <c r="A907" s="195"/>
      <c r="B907" s="978"/>
      <c r="C907" s="2321"/>
      <c r="D907" s="1729"/>
      <c r="E907" s="1190"/>
      <c r="F907" s="1190"/>
      <c r="G907" s="1190"/>
      <c r="H907" s="1190"/>
      <c r="I907" s="1190"/>
      <c r="J907" s="1190"/>
      <c r="K907" s="1190"/>
      <c r="L907" s="1190"/>
      <c r="M907" s="1190"/>
      <c r="N907" s="1190"/>
      <c r="O907" s="1190"/>
      <c r="P907" s="1190"/>
      <c r="Q907" s="1190"/>
      <c r="R907" s="1190"/>
      <c r="S907" s="1189"/>
      <c r="T907" s="1190"/>
      <c r="U907" s="1190"/>
      <c r="V907" s="1190"/>
      <c r="W907" s="1190"/>
      <c r="X907" s="1190"/>
      <c r="Y907" s="1190"/>
      <c r="Z907" s="1190"/>
      <c r="AA907" s="1190"/>
      <c r="AB907" s="1190"/>
      <c r="AC907" s="1190"/>
      <c r="AD907" s="1190"/>
      <c r="AE907" s="1190"/>
      <c r="AF907" s="1190"/>
      <c r="AG907" s="1748"/>
      <c r="AH907" s="1190"/>
      <c r="AI907" s="1748"/>
      <c r="AJ907" s="1190"/>
      <c r="AK907" s="1190"/>
      <c r="AL907" s="1190"/>
      <c r="AM907" s="1190"/>
      <c r="AN907" s="1190"/>
      <c r="AO907" s="1190"/>
      <c r="AP907" s="1190"/>
      <c r="AQ907" s="1190"/>
      <c r="AR907" s="1190"/>
      <c r="AS907" s="1190"/>
      <c r="AT907" s="1190"/>
      <c r="AU907" s="1190"/>
      <c r="AV907" s="1190"/>
      <c r="AW907" s="1190"/>
      <c r="AX907" s="1190"/>
      <c r="AY907" s="1190"/>
      <c r="AZ907" s="1190"/>
      <c r="BA907" s="1190"/>
      <c r="BB907" s="1190"/>
      <c r="BC907" s="1190"/>
      <c r="BD907" s="1190"/>
      <c r="BE907" s="1190"/>
      <c r="BF907" s="1190"/>
      <c r="BG907" s="1190"/>
      <c r="BH907" s="1190"/>
      <c r="BI907" s="1190"/>
      <c r="BJ907" s="1190"/>
      <c r="BK907" s="1190"/>
      <c r="BL907" s="1190"/>
      <c r="BM907" s="1190"/>
      <c r="BQ907" s="195"/>
      <c r="BR907" s="195"/>
      <c r="BT907" s="1005"/>
    </row>
    <row r="908" ht="15.75" customHeight="1">
      <c r="A908" s="195"/>
      <c r="B908" s="978"/>
      <c r="C908" s="2321"/>
      <c r="D908" s="1729"/>
      <c r="E908" s="1190"/>
      <c r="F908" s="1190"/>
      <c r="G908" s="1190"/>
      <c r="H908" s="1190"/>
      <c r="I908" s="1190"/>
      <c r="J908" s="1190"/>
      <c r="K908" s="1190"/>
      <c r="L908" s="1190"/>
      <c r="M908" s="1190"/>
      <c r="N908" s="1190"/>
      <c r="O908" s="1190"/>
      <c r="P908" s="1190"/>
      <c r="Q908" s="1190"/>
      <c r="R908" s="1190"/>
      <c r="S908" s="1189"/>
      <c r="T908" s="1190"/>
      <c r="U908" s="1190"/>
      <c r="V908" s="1190"/>
      <c r="W908" s="1190"/>
      <c r="X908" s="1190"/>
      <c r="Y908" s="1190"/>
      <c r="Z908" s="1190"/>
      <c r="AA908" s="1190"/>
      <c r="AB908" s="1190"/>
      <c r="AC908" s="1190"/>
      <c r="AD908" s="1190"/>
      <c r="AE908" s="1190"/>
      <c r="AF908" s="1190"/>
      <c r="AG908" s="1748"/>
      <c r="AH908" s="1190"/>
      <c r="AI908" s="1748"/>
      <c r="AJ908" s="1190"/>
      <c r="AK908" s="1190"/>
      <c r="AL908" s="1190"/>
      <c r="AM908" s="1190"/>
      <c r="AN908" s="1190"/>
      <c r="AO908" s="1190"/>
      <c r="AP908" s="1190"/>
      <c r="AQ908" s="1190"/>
      <c r="AR908" s="1190"/>
      <c r="AS908" s="1190"/>
      <c r="AT908" s="1190"/>
      <c r="AU908" s="1190"/>
      <c r="AV908" s="1190"/>
      <c r="AW908" s="1190"/>
      <c r="AX908" s="1190"/>
      <c r="AY908" s="1190"/>
      <c r="AZ908" s="1190"/>
      <c r="BA908" s="1190"/>
      <c r="BB908" s="1190"/>
      <c r="BC908" s="1190"/>
      <c r="BD908" s="1190"/>
      <c r="BE908" s="1190"/>
      <c r="BF908" s="1190"/>
      <c r="BG908" s="1190"/>
      <c r="BH908" s="1190"/>
      <c r="BI908" s="1190"/>
      <c r="BJ908" s="1190"/>
      <c r="BK908" s="1190"/>
      <c r="BL908" s="1190"/>
      <c r="BM908" s="1190"/>
      <c r="BQ908" s="195"/>
      <c r="BR908" s="195"/>
      <c r="BT908" s="1005"/>
    </row>
    <row r="909" ht="15.75" customHeight="1">
      <c r="A909" s="195"/>
      <c r="B909" s="978"/>
      <c r="C909" s="2321"/>
      <c r="D909" s="1729"/>
      <c r="E909" s="1190"/>
      <c r="F909" s="1190"/>
      <c r="G909" s="1190"/>
      <c r="H909" s="1190"/>
      <c r="I909" s="1190"/>
      <c r="J909" s="1190"/>
      <c r="K909" s="1190"/>
      <c r="L909" s="1190"/>
      <c r="M909" s="1190"/>
      <c r="N909" s="1190"/>
      <c r="O909" s="1190"/>
      <c r="P909" s="1190"/>
      <c r="Q909" s="1190"/>
      <c r="R909" s="1190"/>
      <c r="S909" s="1189"/>
      <c r="T909" s="1190"/>
      <c r="U909" s="1190"/>
      <c r="V909" s="1190"/>
      <c r="W909" s="1190"/>
      <c r="X909" s="1190"/>
      <c r="Y909" s="1190"/>
      <c r="Z909" s="1190"/>
      <c r="AA909" s="1190"/>
      <c r="AB909" s="1190"/>
      <c r="AC909" s="1190"/>
      <c r="AD909" s="1190"/>
      <c r="AE909" s="1190"/>
      <c r="AF909" s="1190"/>
      <c r="AG909" s="1748"/>
      <c r="AH909" s="1190"/>
      <c r="AI909" s="1748"/>
      <c r="AJ909" s="1190"/>
      <c r="AK909" s="1190"/>
      <c r="AL909" s="1190"/>
      <c r="AM909" s="1190"/>
      <c r="AN909" s="1190"/>
      <c r="AO909" s="1190"/>
      <c r="AP909" s="1190"/>
      <c r="AQ909" s="1190"/>
      <c r="AR909" s="1190"/>
      <c r="AS909" s="1190"/>
      <c r="AT909" s="1190"/>
      <c r="AU909" s="1190"/>
      <c r="AV909" s="1190"/>
      <c r="AW909" s="1190"/>
      <c r="AX909" s="1190"/>
      <c r="AY909" s="1190"/>
      <c r="AZ909" s="1190"/>
      <c r="BA909" s="1190"/>
      <c r="BB909" s="1190"/>
      <c r="BC909" s="1190"/>
      <c r="BD909" s="1190"/>
      <c r="BE909" s="1190"/>
      <c r="BF909" s="1190"/>
      <c r="BG909" s="1190"/>
      <c r="BH909" s="1190"/>
      <c r="BI909" s="1190"/>
      <c r="BJ909" s="1190"/>
      <c r="BK909" s="1190"/>
      <c r="BL909" s="1190"/>
      <c r="BM909" s="1190"/>
      <c r="BQ909" s="195"/>
      <c r="BR909" s="195"/>
      <c r="BT909" s="1005"/>
    </row>
    <row r="910" ht="15.75" customHeight="1">
      <c r="A910" s="195"/>
      <c r="B910" s="978"/>
      <c r="C910" s="2321"/>
      <c r="D910" s="1729"/>
      <c r="E910" s="1190"/>
      <c r="F910" s="1190"/>
      <c r="G910" s="1190"/>
      <c r="H910" s="1190"/>
      <c r="I910" s="1190"/>
      <c r="J910" s="1190"/>
      <c r="K910" s="1190"/>
      <c r="L910" s="1190"/>
      <c r="M910" s="1190"/>
      <c r="N910" s="1190"/>
      <c r="O910" s="1190"/>
      <c r="P910" s="1190"/>
      <c r="Q910" s="1190"/>
      <c r="R910" s="1190"/>
      <c r="S910" s="1189"/>
      <c r="T910" s="1190"/>
      <c r="U910" s="1190"/>
      <c r="V910" s="1190"/>
      <c r="W910" s="1190"/>
      <c r="X910" s="1190"/>
      <c r="Y910" s="1190"/>
      <c r="Z910" s="1190"/>
      <c r="AA910" s="1190"/>
      <c r="AB910" s="1190"/>
      <c r="AC910" s="1190"/>
      <c r="AD910" s="1190"/>
      <c r="AE910" s="1190"/>
      <c r="AF910" s="1190"/>
      <c r="AG910" s="1748"/>
      <c r="AH910" s="1190"/>
      <c r="AI910" s="1748"/>
      <c r="AJ910" s="1190"/>
      <c r="AK910" s="1190"/>
      <c r="AL910" s="1190"/>
      <c r="AM910" s="1190"/>
      <c r="AN910" s="1190"/>
      <c r="AO910" s="1190"/>
      <c r="AP910" s="1190"/>
      <c r="AQ910" s="1190"/>
      <c r="AR910" s="1190"/>
      <c r="AS910" s="1190"/>
      <c r="AT910" s="1190"/>
      <c r="AU910" s="1190"/>
      <c r="AV910" s="1190"/>
      <c r="AW910" s="1190"/>
      <c r="AX910" s="1190"/>
      <c r="AY910" s="1190"/>
      <c r="AZ910" s="1190"/>
      <c r="BA910" s="1190"/>
      <c r="BB910" s="1190"/>
      <c r="BC910" s="1190"/>
      <c r="BD910" s="1190"/>
      <c r="BE910" s="1190"/>
      <c r="BF910" s="1190"/>
      <c r="BG910" s="1190"/>
      <c r="BH910" s="1190"/>
      <c r="BI910" s="1190"/>
      <c r="BJ910" s="1190"/>
      <c r="BK910" s="1190"/>
      <c r="BL910" s="1190"/>
      <c r="BM910" s="1190"/>
      <c r="BQ910" s="195"/>
      <c r="BR910" s="195"/>
      <c r="BT910" s="1005"/>
    </row>
    <row r="911" ht="15.75" customHeight="1">
      <c r="A911" s="195"/>
      <c r="B911" s="978"/>
      <c r="C911" s="2321"/>
      <c r="D911" s="1729"/>
      <c r="E911" s="1190"/>
      <c r="F911" s="1190"/>
      <c r="G911" s="1190"/>
      <c r="H911" s="1190"/>
      <c r="I911" s="1190"/>
      <c r="J911" s="1190"/>
      <c r="K911" s="1190"/>
      <c r="L911" s="1190"/>
      <c r="M911" s="1190"/>
      <c r="N911" s="1190"/>
      <c r="O911" s="1190"/>
      <c r="P911" s="1190"/>
      <c r="Q911" s="1190"/>
      <c r="R911" s="1190"/>
      <c r="S911" s="1189"/>
      <c r="T911" s="1190"/>
      <c r="U911" s="1190"/>
      <c r="V911" s="1190"/>
      <c r="W911" s="1190"/>
      <c r="X911" s="1190"/>
      <c r="Y911" s="1190"/>
      <c r="Z911" s="1190"/>
      <c r="AA911" s="1190"/>
      <c r="AB911" s="1190"/>
      <c r="AC911" s="1190"/>
      <c r="AD911" s="1190"/>
      <c r="AE911" s="1190"/>
      <c r="AF911" s="1190"/>
      <c r="AG911" s="1748"/>
      <c r="AH911" s="1190"/>
      <c r="AI911" s="1748"/>
      <c r="AJ911" s="1190"/>
      <c r="AK911" s="1190"/>
      <c r="AL911" s="1190"/>
      <c r="AM911" s="1190"/>
      <c r="AN911" s="1190"/>
      <c r="AO911" s="1190"/>
      <c r="AP911" s="1190"/>
      <c r="AQ911" s="1190"/>
      <c r="AR911" s="1190"/>
      <c r="AS911" s="1190"/>
      <c r="AT911" s="1190"/>
      <c r="AU911" s="1190"/>
      <c r="AV911" s="1190"/>
      <c r="AW911" s="1190"/>
      <c r="AX911" s="1190"/>
      <c r="AY911" s="1190"/>
      <c r="AZ911" s="1190"/>
      <c r="BA911" s="1190"/>
      <c r="BB911" s="1190"/>
      <c r="BC911" s="1190"/>
      <c r="BD911" s="1190"/>
      <c r="BE911" s="1190"/>
      <c r="BF911" s="1190"/>
      <c r="BG911" s="1190"/>
      <c r="BH911" s="1190"/>
      <c r="BI911" s="1190"/>
      <c r="BJ911" s="1190"/>
      <c r="BK911" s="1190"/>
      <c r="BL911" s="1190"/>
      <c r="BM911" s="1190"/>
      <c r="BQ911" s="195"/>
      <c r="BR911" s="195"/>
      <c r="BT911" s="1005"/>
    </row>
    <row r="912" ht="15.75" customHeight="1">
      <c r="A912" s="195"/>
      <c r="B912" s="978"/>
      <c r="C912" s="2321"/>
      <c r="D912" s="1729"/>
      <c r="E912" s="1190"/>
      <c r="F912" s="1190"/>
      <c r="G912" s="1190"/>
      <c r="H912" s="1190"/>
      <c r="I912" s="1190"/>
      <c r="J912" s="1190"/>
      <c r="K912" s="1190"/>
      <c r="L912" s="1190"/>
      <c r="M912" s="1190"/>
      <c r="N912" s="1190"/>
      <c r="O912" s="1190"/>
      <c r="P912" s="1190"/>
      <c r="Q912" s="1190"/>
      <c r="R912" s="1190"/>
      <c r="S912" s="1189"/>
      <c r="T912" s="1190"/>
      <c r="U912" s="1190"/>
      <c r="V912" s="1190"/>
      <c r="W912" s="1190"/>
      <c r="X912" s="1190"/>
      <c r="Y912" s="1190"/>
      <c r="Z912" s="1190"/>
      <c r="AA912" s="1190"/>
      <c r="AB912" s="1190"/>
      <c r="AC912" s="1190"/>
      <c r="AD912" s="1190"/>
      <c r="AE912" s="1190"/>
      <c r="AF912" s="1190"/>
      <c r="AG912" s="1748"/>
      <c r="AH912" s="1190"/>
      <c r="AI912" s="1748"/>
      <c r="AJ912" s="1190"/>
      <c r="AK912" s="1190"/>
      <c r="AL912" s="1190"/>
      <c r="AM912" s="1190"/>
      <c r="AN912" s="1190"/>
      <c r="AO912" s="1190"/>
      <c r="AP912" s="1190"/>
      <c r="AQ912" s="1190"/>
      <c r="AR912" s="1190"/>
      <c r="AS912" s="1190"/>
      <c r="AT912" s="1190"/>
      <c r="AU912" s="1190"/>
      <c r="AV912" s="1190"/>
      <c r="AW912" s="1190"/>
      <c r="AX912" s="1190"/>
      <c r="AY912" s="1190"/>
      <c r="AZ912" s="1190"/>
      <c r="BA912" s="1190"/>
      <c r="BB912" s="1190"/>
      <c r="BC912" s="1190"/>
      <c r="BD912" s="1190"/>
      <c r="BE912" s="1190"/>
      <c r="BF912" s="1190"/>
      <c r="BG912" s="1190"/>
      <c r="BH912" s="1190"/>
      <c r="BI912" s="1190"/>
      <c r="BJ912" s="1190"/>
      <c r="BK912" s="1190"/>
      <c r="BL912" s="1190"/>
      <c r="BM912" s="1190"/>
      <c r="BQ912" s="195"/>
      <c r="BR912" s="195"/>
      <c r="BT912" s="1005"/>
    </row>
    <row r="913" ht="15.75" customHeight="1">
      <c r="A913" s="195"/>
      <c r="B913" s="978"/>
      <c r="C913" s="2321"/>
      <c r="D913" s="1729"/>
      <c r="E913" s="1190"/>
      <c r="F913" s="1190"/>
      <c r="G913" s="1190"/>
      <c r="H913" s="1190"/>
      <c r="I913" s="1190"/>
      <c r="J913" s="1190"/>
      <c r="K913" s="1190"/>
      <c r="L913" s="1190"/>
      <c r="M913" s="1190"/>
      <c r="N913" s="1190"/>
      <c r="O913" s="1190"/>
      <c r="P913" s="1190"/>
      <c r="Q913" s="1190"/>
      <c r="R913" s="1190"/>
      <c r="S913" s="1189"/>
      <c r="T913" s="1190"/>
      <c r="U913" s="1190"/>
      <c r="V913" s="1190"/>
      <c r="W913" s="1190"/>
      <c r="X913" s="1190"/>
      <c r="Y913" s="1190"/>
      <c r="Z913" s="1190"/>
      <c r="AA913" s="1190"/>
      <c r="AB913" s="1190"/>
      <c r="AC913" s="1190"/>
      <c r="AD913" s="1190"/>
      <c r="AE913" s="1190"/>
      <c r="AF913" s="1190"/>
      <c r="AG913" s="1748"/>
      <c r="AH913" s="1190"/>
      <c r="AI913" s="1748"/>
      <c r="AJ913" s="1190"/>
      <c r="AK913" s="1190"/>
      <c r="AL913" s="1190"/>
      <c r="AM913" s="1190"/>
      <c r="AN913" s="1190"/>
      <c r="AO913" s="1190"/>
      <c r="AP913" s="1190"/>
      <c r="AQ913" s="1190"/>
      <c r="AR913" s="1190"/>
      <c r="AS913" s="1190"/>
      <c r="AT913" s="1190"/>
      <c r="AU913" s="1190"/>
      <c r="AV913" s="1190"/>
      <c r="AW913" s="1190"/>
      <c r="AX913" s="1190"/>
      <c r="AY913" s="1190"/>
      <c r="AZ913" s="1190"/>
      <c r="BA913" s="1190"/>
      <c r="BB913" s="1190"/>
      <c r="BC913" s="1190"/>
      <c r="BD913" s="1190"/>
      <c r="BE913" s="1190"/>
      <c r="BF913" s="1190"/>
      <c r="BG913" s="1190"/>
      <c r="BH913" s="1190"/>
      <c r="BI913" s="1190"/>
      <c r="BJ913" s="1190"/>
      <c r="BK913" s="1190"/>
      <c r="BL913" s="1190"/>
      <c r="BM913" s="1190"/>
      <c r="BQ913" s="195"/>
      <c r="BR913" s="195"/>
      <c r="BT913" s="1005"/>
    </row>
    <row r="914" ht="15.75" customHeight="1">
      <c r="A914" s="195"/>
      <c r="B914" s="978"/>
      <c r="C914" s="2321"/>
      <c r="D914" s="1729"/>
      <c r="E914" s="1190"/>
      <c r="F914" s="1190"/>
      <c r="G914" s="1190"/>
      <c r="H914" s="1190"/>
      <c r="I914" s="1190"/>
      <c r="J914" s="1190"/>
      <c r="K914" s="1190"/>
      <c r="L914" s="1190"/>
      <c r="M914" s="1190"/>
      <c r="N914" s="1190"/>
      <c r="O914" s="1190"/>
      <c r="P914" s="1190"/>
      <c r="Q914" s="1190"/>
      <c r="R914" s="1190"/>
      <c r="S914" s="1189"/>
      <c r="T914" s="1190"/>
      <c r="U914" s="1190"/>
      <c r="V914" s="1190"/>
      <c r="W914" s="1190"/>
      <c r="X914" s="1190"/>
      <c r="Y914" s="1190"/>
      <c r="Z914" s="1190"/>
      <c r="AA914" s="1190"/>
      <c r="AB914" s="1190"/>
      <c r="AC914" s="1190"/>
      <c r="AD914" s="1190"/>
      <c r="AE914" s="1190"/>
      <c r="AF914" s="1190"/>
      <c r="AG914" s="1748"/>
      <c r="AH914" s="1190"/>
      <c r="AI914" s="1748"/>
      <c r="AJ914" s="1190"/>
      <c r="AK914" s="1190"/>
      <c r="AL914" s="1190"/>
      <c r="AM914" s="1190"/>
      <c r="AN914" s="1190"/>
      <c r="AO914" s="1190"/>
      <c r="AP914" s="1190"/>
      <c r="AQ914" s="1190"/>
      <c r="AR914" s="1190"/>
      <c r="AS914" s="1190"/>
      <c r="AT914" s="1190"/>
      <c r="AU914" s="1190"/>
      <c r="AV914" s="1190"/>
      <c r="AW914" s="1190"/>
      <c r="AX914" s="1190"/>
      <c r="AY914" s="1190"/>
      <c r="AZ914" s="1190"/>
      <c r="BA914" s="1190"/>
      <c r="BB914" s="1190"/>
      <c r="BC914" s="1190"/>
      <c r="BD914" s="1190"/>
      <c r="BE914" s="1190"/>
      <c r="BF914" s="1190"/>
      <c r="BG914" s="1190"/>
      <c r="BH914" s="1190"/>
      <c r="BI914" s="1190"/>
      <c r="BJ914" s="1190"/>
      <c r="BK914" s="1190"/>
      <c r="BL914" s="1190"/>
      <c r="BM914" s="1190"/>
      <c r="BQ914" s="195"/>
      <c r="BR914" s="195"/>
      <c r="BT914" s="1005"/>
    </row>
    <row r="915" ht="15.75" customHeight="1">
      <c r="A915" s="195"/>
      <c r="B915" s="978"/>
      <c r="C915" s="2321"/>
      <c r="D915" s="1729"/>
      <c r="E915" s="1190"/>
      <c r="F915" s="1190"/>
      <c r="G915" s="1190"/>
      <c r="H915" s="1190"/>
      <c r="I915" s="1190"/>
      <c r="J915" s="1190"/>
      <c r="K915" s="1190"/>
      <c r="L915" s="1190"/>
      <c r="M915" s="1190"/>
      <c r="N915" s="1190"/>
      <c r="O915" s="1190"/>
      <c r="P915" s="1190"/>
      <c r="Q915" s="1190"/>
      <c r="R915" s="1190"/>
      <c r="S915" s="1189"/>
      <c r="T915" s="1190"/>
      <c r="U915" s="1190"/>
      <c r="V915" s="1190"/>
      <c r="W915" s="1190"/>
      <c r="X915" s="1190"/>
      <c r="Y915" s="1190"/>
      <c r="Z915" s="1190"/>
      <c r="AA915" s="1190"/>
      <c r="AB915" s="1190"/>
      <c r="AC915" s="1190"/>
      <c r="AD915" s="1190"/>
      <c r="AE915" s="1190"/>
      <c r="AF915" s="1190"/>
      <c r="AG915" s="1748"/>
      <c r="AH915" s="1190"/>
      <c r="AI915" s="1748"/>
      <c r="AJ915" s="1190"/>
      <c r="AK915" s="1190"/>
      <c r="AL915" s="1190"/>
      <c r="AM915" s="1190"/>
      <c r="AN915" s="1190"/>
      <c r="AO915" s="1190"/>
      <c r="AP915" s="1190"/>
      <c r="AQ915" s="1190"/>
      <c r="AR915" s="1190"/>
      <c r="AS915" s="1190"/>
      <c r="AT915" s="1190"/>
      <c r="AU915" s="1190"/>
      <c r="AV915" s="1190"/>
      <c r="AW915" s="1190"/>
      <c r="AX915" s="1190"/>
      <c r="AY915" s="1190"/>
      <c r="AZ915" s="1190"/>
      <c r="BA915" s="1190"/>
      <c r="BB915" s="1190"/>
      <c r="BC915" s="1190"/>
      <c r="BD915" s="1190"/>
      <c r="BE915" s="1190"/>
      <c r="BF915" s="1190"/>
      <c r="BG915" s="1190"/>
      <c r="BH915" s="1190"/>
      <c r="BI915" s="1190"/>
      <c r="BJ915" s="1190"/>
      <c r="BK915" s="1190"/>
      <c r="BL915" s="1190"/>
      <c r="BM915" s="1190"/>
      <c r="BQ915" s="195"/>
      <c r="BR915" s="195"/>
      <c r="BT915" s="1005"/>
    </row>
    <row r="916" ht="15.75" customHeight="1">
      <c r="A916" s="195"/>
      <c r="B916" s="978"/>
      <c r="C916" s="2321"/>
      <c r="D916" s="1729"/>
      <c r="E916" s="1190"/>
      <c r="F916" s="1190"/>
      <c r="G916" s="1190"/>
      <c r="H916" s="1190"/>
      <c r="I916" s="1190"/>
      <c r="J916" s="1190"/>
      <c r="K916" s="1190"/>
      <c r="L916" s="1190"/>
      <c r="M916" s="1190"/>
      <c r="N916" s="1190"/>
      <c r="O916" s="1190"/>
      <c r="P916" s="1190"/>
      <c r="Q916" s="1190"/>
      <c r="R916" s="1190"/>
      <c r="S916" s="1189"/>
      <c r="T916" s="1190"/>
      <c r="U916" s="1190"/>
      <c r="V916" s="1190"/>
      <c r="W916" s="1190"/>
      <c r="X916" s="1190"/>
      <c r="Y916" s="1190"/>
      <c r="Z916" s="1190"/>
      <c r="AA916" s="1190"/>
      <c r="AB916" s="1190"/>
      <c r="AC916" s="1190"/>
      <c r="AD916" s="1190"/>
      <c r="AE916" s="1190"/>
      <c r="AF916" s="1190"/>
      <c r="AG916" s="1748"/>
      <c r="AH916" s="1190"/>
      <c r="AI916" s="1748"/>
      <c r="AJ916" s="1190"/>
      <c r="AK916" s="1190"/>
      <c r="AL916" s="1190"/>
      <c r="AM916" s="1190"/>
      <c r="AN916" s="1190"/>
      <c r="AO916" s="1190"/>
      <c r="AP916" s="1190"/>
      <c r="AQ916" s="1190"/>
      <c r="AR916" s="1190"/>
      <c r="AS916" s="1190"/>
      <c r="AT916" s="1190"/>
      <c r="AU916" s="1190"/>
      <c r="AV916" s="1190"/>
      <c r="AW916" s="1190"/>
      <c r="AX916" s="1190"/>
      <c r="AY916" s="1190"/>
      <c r="AZ916" s="1190"/>
      <c r="BA916" s="1190"/>
      <c r="BB916" s="1190"/>
      <c r="BC916" s="1190"/>
      <c r="BD916" s="1190"/>
      <c r="BE916" s="1190"/>
      <c r="BF916" s="1190"/>
      <c r="BG916" s="1190"/>
      <c r="BH916" s="1190"/>
      <c r="BI916" s="1190"/>
      <c r="BJ916" s="1190"/>
      <c r="BK916" s="1190"/>
      <c r="BL916" s="1190"/>
      <c r="BM916" s="1190"/>
      <c r="BQ916" s="195"/>
      <c r="BR916" s="195"/>
      <c r="BT916" s="1005"/>
    </row>
    <row r="917" ht="15.75" customHeight="1">
      <c r="A917" s="195"/>
      <c r="B917" s="978"/>
      <c r="C917" s="2321"/>
      <c r="D917" s="1729"/>
      <c r="E917" s="1190"/>
      <c r="F917" s="1190"/>
      <c r="G917" s="1190"/>
      <c r="H917" s="1190"/>
      <c r="I917" s="1190"/>
      <c r="J917" s="1190"/>
      <c r="K917" s="1190"/>
      <c r="L917" s="1190"/>
      <c r="M917" s="1190"/>
      <c r="N917" s="1190"/>
      <c r="O917" s="1190"/>
      <c r="P917" s="1190"/>
      <c r="Q917" s="1190"/>
      <c r="R917" s="1190"/>
      <c r="S917" s="1189"/>
      <c r="T917" s="1190"/>
      <c r="U917" s="1190"/>
      <c r="V917" s="1190"/>
      <c r="W917" s="1190"/>
      <c r="X917" s="1190"/>
      <c r="Y917" s="1190"/>
      <c r="Z917" s="1190"/>
      <c r="AA917" s="1190"/>
      <c r="AB917" s="1190"/>
      <c r="AC917" s="1190"/>
      <c r="AD917" s="1190"/>
      <c r="AE917" s="1190"/>
      <c r="AF917" s="1190"/>
      <c r="AG917" s="1748"/>
      <c r="AH917" s="1190"/>
      <c r="AI917" s="1748"/>
      <c r="AJ917" s="1190"/>
      <c r="AK917" s="1190"/>
      <c r="AL917" s="1190"/>
      <c r="AM917" s="1190"/>
      <c r="AN917" s="1190"/>
      <c r="AO917" s="1190"/>
      <c r="AP917" s="1190"/>
      <c r="AQ917" s="1190"/>
      <c r="AR917" s="1190"/>
      <c r="AS917" s="1190"/>
      <c r="AT917" s="1190"/>
      <c r="AU917" s="1190"/>
      <c r="AV917" s="1190"/>
      <c r="AW917" s="1190"/>
      <c r="AX917" s="1190"/>
      <c r="AY917" s="1190"/>
      <c r="AZ917" s="1190"/>
      <c r="BA917" s="1190"/>
      <c r="BB917" s="1190"/>
      <c r="BC917" s="1190"/>
      <c r="BD917" s="1190"/>
      <c r="BE917" s="1190"/>
      <c r="BF917" s="1190"/>
      <c r="BG917" s="1190"/>
      <c r="BH917" s="1190"/>
      <c r="BI917" s="1190"/>
      <c r="BJ917" s="1190"/>
      <c r="BK917" s="1190"/>
      <c r="BL917" s="1190"/>
      <c r="BM917" s="1190"/>
      <c r="BQ917" s="195"/>
      <c r="BR917" s="195"/>
      <c r="BT917" s="1005"/>
    </row>
    <row r="918" ht="15.75" customHeight="1">
      <c r="A918" s="195"/>
      <c r="B918" s="978"/>
      <c r="C918" s="2321"/>
      <c r="D918" s="1729"/>
      <c r="E918" s="1190"/>
      <c r="F918" s="1190"/>
      <c r="G918" s="1190"/>
      <c r="H918" s="1190"/>
      <c r="I918" s="1190"/>
      <c r="J918" s="1190"/>
      <c r="K918" s="1190"/>
      <c r="L918" s="1190"/>
      <c r="M918" s="1190"/>
      <c r="N918" s="1190"/>
      <c r="O918" s="1190"/>
      <c r="P918" s="1190"/>
      <c r="Q918" s="1190"/>
      <c r="R918" s="1190"/>
      <c r="S918" s="1189"/>
      <c r="T918" s="1190"/>
      <c r="U918" s="1190"/>
      <c r="V918" s="1190"/>
      <c r="W918" s="1190"/>
      <c r="X918" s="1190"/>
      <c r="Y918" s="1190"/>
      <c r="Z918" s="1190"/>
      <c r="AA918" s="1190"/>
      <c r="AB918" s="1190"/>
      <c r="AC918" s="1190"/>
      <c r="AD918" s="1190"/>
      <c r="AE918" s="1190"/>
      <c r="AF918" s="1190"/>
      <c r="AG918" s="1748"/>
      <c r="AH918" s="1190"/>
      <c r="AI918" s="1748"/>
      <c r="AJ918" s="1190"/>
      <c r="AK918" s="1190"/>
      <c r="AL918" s="1190"/>
      <c r="AM918" s="1190"/>
      <c r="AN918" s="1190"/>
      <c r="AO918" s="1190"/>
      <c r="AP918" s="1190"/>
      <c r="AQ918" s="1190"/>
      <c r="AR918" s="1190"/>
      <c r="AS918" s="1190"/>
      <c r="AT918" s="1190"/>
      <c r="AU918" s="1190"/>
      <c r="AV918" s="1190"/>
      <c r="AW918" s="1190"/>
      <c r="AX918" s="1190"/>
      <c r="AY918" s="1190"/>
      <c r="AZ918" s="1190"/>
      <c r="BA918" s="1190"/>
      <c r="BB918" s="1190"/>
      <c r="BC918" s="1190"/>
      <c r="BD918" s="1190"/>
      <c r="BE918" s="1190"/>
      <c r="BF918" s="1190"/>
      <c r="BG918" s="1190"/>
      <c r="BH918" s="1190"/>
      <c r="BI918" s="1190"/>
      <c r="BJ918" s="1190"/>
      <c r="BK918" s="1190"/>
      <c r="BL918" s="1190"/>
      <c r="BM918" s="1190"/>
      <c r="BQ918" s="195"/>
      <c r="BR918" s="195"/>
      <c r="BT918" s="1005"/>
    </row>
    <row r="919" ht="15.75" customHeight="1">
      <c r="A919" s="195"/>
      <c r="B919" s="978"/>
      <c r="C919" s="2321"/>
      <c r="D919" s="1729"/>
      <c r="E919" s="1190"/>
      <c r="F919" s="1190"/>
      <c r="G919" s="1190"/>
      <c r="H919" s="1190"/>
      <c r="I919" s="1190"/>
      <c r="J919" s="1190"/>
      <c r="K919" s="1190"/>
      <c r="L919" s="1190"/>
      <c r="M919" s="1190"/>
      <c r="N919" s="1190"/>
      <c r="O919" s="1190"/>
      <c r="P919" s="1190"/>
      <c r="Q919" s="1190"/>
      <c r="R919" s="1190"/>
      <c r="S919" s="1189"/>
      <c r="T919" s="1190"/>
      <c r="U919" s="1190"/>
      <c r="V919" s="1190"/>
      <c r="W919" s="1190"/>
      <c r="X919" s="1190"/>
      <c r="Y919" s="1190"/>
      <c r="Z919" s="1190"/>
      <c r="AA919" s="1190"/>
      <c r="AB919" s="1190"/>
      <c r="AC919" s="1190"/>
      <c r="AD919" s="1190"/>
      <c r="AE919" s="1190"/>
      <c r="AF919" s="1190"/>
      <c r="AG919" s="1748"/>
      <c r="AH919" s="1190"/>
      <c r="AI919" s="1748"/>
      <c r="AJ919" s="1190"/>
      <c r="AK919" s="1190"/>
      <c r="AL919" s="1190"/>
      <c r="AM919" s="1190"/>
      <c r="AN919" s="1190"/>
      <c r="AO919" s="1190"/>
      <c r="AP919" s="1190"/>
      <c r="AQ919" s="1190"/>
      <c r="AR919" s="1190"/>
      <c r="AS919" s="1190"/>
      <c r="AT919" s="1190"/>
      <c r="AU919" s="1190"/>
      <c r="AV919" s="1190"/>
      <c r="AW919" s="1190"/>
      <c r="AX919" s="1190"/>
      <c r="AY919" s="1190"/>
      <c r="AZ919" s="1190"/>
      <c r="BA919" s="1190"/>
      <c r="BB919" s="1190"/>
      <c r="BC919" s="1190"/>
      <c r="BD919" s="1190"/>
      <c r="BE919" s="1190"/>
      <c r="BF919" s="1190"/>
      <c r="BG919" s="1190"/>
      <c r="BH919" s="1190"/>
      <c r="BI919" s="1190"/>
      <c r="BJ919" s="1190"/>
      <c r="BK919" s="1190"/>
      <c r="BL919" s="1190"/>
      <c r="BM919" s="1190"/>
      <c r="BQ919" s="195"/>
      <c r="BR919" s="195"/>
      <c r="BT919" s="1005"/>
    </row>
    <row r="920" ht="15.75" customHeight="1">
      <c r="A920" s="195"/>
      <c r="B920" s="978"/>
      <c r="C920" s="2321"/>
      <c r="D920" s="1729"/>
      <c r="E920" s="1190"/>
      <c r="F920" s="1190"/>
      <c r="G920" s="1190"/>
      <c r="H920" s="1190"/>
      <c r="I920" s="1190"/>
      <c r="J920" s="1190"/>
      <c r="K920" s="1190"/>
      <c r="L920" s="1190"/>
      <c r="M920" s="1190"/>
      <c r="N920" s="1190"/>
      <c r="O920" s="1190"/>
      <c r="P920" s="1190"/>
      <c r="Q920" s="1190"/>
      <c r="R920" s="1190"/>
      <c r="S920" s="1189"/>
      <c r="T920" s="1190"/>
      <c r="U920" s="1190"/>
      <c r="V920" s="1190"/>
      <c r="W920" s="1190"/>
      <c r="X920" s="1190"/>
      <c r="Y920" s="1190"/>
      <c r="Z920" s="1190"/>
      <c r="AA920" s="1190"/>
      <c r="AB920" s="1190"/>
      <c r="AC920" s="1190"/>
      <c r="AD920" s="1190"/>
      <c r="AE920" s="1190"/>
      <c r="AF920" s="1190"/>
      <c r="AG920" s="1748"/>
      <c r="AH920" s="1190"/>
      <c r="AI920" s="1748"/>
      <c r="AJ920" s="1190"/>
      <c r="AK920" s="1190"/>
      <c r="AL920" s="1190"/>
      <c r="AM920" s="1190"/>
      <c r="AN920" s="1190"/>
      <c r="AO920" s="1190"/>
      <c r="AP920" s="1190"/>
      <c r="AQ920" s="1190"/>
      <c r="AR920" s="1190"/>
      <c r="AS920" s="1190"/>
      <c r="AT920" s="1190"/>
      <c r="AU920" s="1190"/>
      <c r="AV920" s="1190"/>
      <c r="AW920" s="1190"/>
      <c r="AX920" s="1190"/>
      <c r="AY920" s="1190"/>
      <c r="AZ920" s="1190"/>
      <c r="BA920" s="1190"/>
      <c r="BB920" s="1190"/>
      <c r="BC920" s="1190"/>
      <c r="BD920" s="1190"/>
      <c r="BE920" s="1190"/>
      <c r="BF920" s="1190"/>
      <c r="BG920" s="1190"/>
      <c r="BH920" s="1190"/>
      <c r="BI920" s="1190"/>
      <c r="BJ920" s="1190"/>
      <c r="BK920" s="1190"/>
      <c r="BL920" s="1190"/>
      <c r="BM920" s="1190"/>
      <c r="BQ920" s="195"/>
      <c r="BR920" s="195"/>
      <c r="BT920" s="1005"/>
    </row>
    <row r="921" ht="15.75" customHeight="1">
      <c r="A921" s="195"/>
      <c r="B921" s="978"/>
      <c r="C921" s="2321"/>
      <c r="D921" s="1729"/>
      <c r="E921" s="1190"/>
      <c r="F921" s="1190"/>
      <c r="G921" s="1190"/>
      <c r="H921" s="1190"/>
      <c r="I921" s="1190"/>
      <c r="J921" s="1190"/>
      <c r="K921" s="1190"/>
      <c r="L921" s="1190"/>
      <c r="M921" s="1190"/>
      <c r="N921" s="1190"/>
      <c r="O921" s="1190"/>
      <c r="P921" s="1190"/>
      <c r="Q921" s="1190"/>
      <c r="R921" s="1190"/>
      <c r="S921" s="1189"/>
      <c r="T921" s="1190"/>
      <c r="U921" s="1190"/>
      <c r="V921" s="1190"/>
      <c r="W921" s="1190"/>
      <c r="X921" s="1190"/>
      <c r="Y921" s="1190"/>
      <c r="Z921" s="1190"/>
      <c r="AA921" s="1190"/>
      <c r="AB921" s="1190"/>
      <c r="AC921" s="1190"/>
      <c r="AD921" s="1190"/>
      <c r="AE921" s="1190"/>
      <c r="AF921" s="1190"/>
      <c r="AG921" s="1748"/>
      <c r="AH921" s="1190"/>
      <c r="AI921" s="1748"/>
      <c r="AJ921" s="1190"/>
      <c r="AK921" s="1190"/>
      <c r="AL921" s="1190"/>
      <c r="AM921" s="1190"/>
      <c r="AN921" s="1190"/>
      <c r="AO921" s="1190"/>
      <c r="AP921" s="1190"/>
      <c r="AQ921" s="1190"/>
      <c r="AR921" s="1190"/>
      <c r="AS921" s="1190"/>
      <c r="AT921" s="1190"/>
      <c r="AU921" s="1190"/>
      <c r="AV921" s="1190"/>
      <c r="AW921" s="1190"/>
      <c r="AX921" s="1190"/>
      <c r="AY921" s="1190"/>
      <c r="AZ921" s="1190"/>
      <c r="BA921" s="1190"/>
      <c r="BB921" s="1190"/>
      <c r="BC921" s="1190"/>
      <c r="BD921" s="1190"/>
      <c r="BE921" s="1190"/>
      <c r="BF921" s="1190"/>
      <c r="BG921" s="1190"/>
      <c r="BH921" s="1190"/>
      <c r="BI921" s="1190"/>
      <c r="BJ921" s="1190"/>
      <c r="BK921" s="1190"/>
      <c r="BL921" s="1190"/>
      <c r="BM921" s="1190"/>
      <c r="BQ921" s="195"/>
      <c r="BR921" s="195"/>
      <c r="BT921" s="1005"/>
    </row>
    <row r="922" ht="15.75" customHeight="1">
      <c r="A922" s="195"/>
      <c r="B922" s="978"/>
      <c r="C922" s="2321"/>
      <c r="D922" s="1729"/>
      <c r="E922" s="1190"/>
      <c r="F922" s="1190"/>
      <c r="G922" s="1190"/>
      <c r="H922" s="1190"/>
      <c r="I922" s="1190"/>
      <c r="J922" s="1190"/>
      <c r="K922" s="1190"/>
      <c r="L922" s="1190"/>
      <c r="M922" s="1190"/>
      <c r="N922" s="1190"/>
      <c r="O922" s="1190"/>
      <c r="P922" s="1190"/>
      <c r="Q922" s="1190"/>
      <c r="R922" s="1190"/>
      <c r="S922" s="1189"/>
      <c r="T922" s="1190"/>
      <c r="U922" s="1190"/>
      <c r="V922" s="1190"/>
      <c r="W922" s="1190"/>
      <c r="X922" s="1190"/>
      <c r="Y922" s="1190"/>
      <c r="Z922" s="1190"/>
      <c r="AA922" s="1190"/>
      <c r="AB922" s="1190"/>
      <c r="AC922" s="1190"/>
      <c r="AD922" s="1190"/>
      <c r="AE922" s="1190"/>
      <c r="AF922" s="1190"/>
      <c r="AG922" s="1748"/>
      <c r="AH922" s="1190"/>
      <c r="AI922" s="1748"/>
      <c r="AJ922" s="1190"/>
      <c r="AK922" s="1190"/>
      <c r="AL922" s="1190"/>
      <c r="AM922" s="1190"/>
      <c r="AN922" s="1190"/>
      <c r="AO922" s="1190"/>
      <c r="AP922" s="1190"/>
      <c r="AQ922" s="1190"/>
      <c r="AR922" s="1190"/>
      <c r="AS922" s="1190"/>
      <c r="AT922" s="1190"/>
      <c r="AU922" s="1190"/>
      <c r="AV922" s="1190"/>
      <c r="AW922" s="1190"/>
      <c r="AX922" s="1190"/>
      <c r="AY922" s="1190"/>
      <c r="AZ922" s="1190"/>
      <c r="BA922" s="1190"/>
      <c r="BB922" s="1190"/>
      <c r="BC922" s="1190"/>
      <c r="BD922" s="1190"/>
      <c r="BE922" s="1190"/>
      <c r="BF922" s="1190"/>
      <c r="BG922" s="1190"/>
      <c r="BH922" s="1190"/>
      <c r="BI922" s="1190"/>
      <c r="BJ922" s="1190"/>
      <c r="BK922" s="1190"/>
      <c r="BL922" s="1190"/>
      <c r="BM922" s="1190"/>
      <c r="BQ922" s="195"/>
      <c r="BR922" s="195"/>
      <c r="BT922" s="1005"/>
    </row>
    <row r="923" ht="15.75" customHeight="1">
      <c r="A923" s="195"/>
      <c r="B923" s="978"/>
      <c r="C923" s="2321"/>
      <c r="D923" s="1729"/>
      <c r="E923" s="1190"/>
      <c r="F923" s="1190"/>
      <c r="G923" s="1190"/>
      <c r="H923" s="1190"/>
      <c r="I923" s="1190"/>
      <c r="J923" s="1190"/>
      <c r="K923" s="1190"/>
      <c r="L923" s="1190"/>
      <c r="M923" s="1190"/>
      <c r="N923" s="1190"/>
      <c r="O923" s="1190"/>
      <c r="P923" s="1190"/>
      <c r="Q923" s="1190"/>
      <c r="R923" s="1190"/>
      <c r="S923" s="1189"/>
      <c r="T923" s="1190"/>
      <c r="U923" s="1190"/>
      <c r="V923" s="1190"/>
      <c r="W923" s="1190"/>
      <c r="X923" s="1190"/>
      <c r="Y923" s="1190"/>
      <c r="Z923" s="1190"/>
      <c r="AA923" s="1190"/>
      <c r="AB923" s="1190"/>
      <c r="AC923" s="1190"/>
      <c r="AD923" s="1190"/>
      <c r="AE923" s="1190"/>
      <c r="AF923" s="1190"/>
      <c r="AG923" s="1748"/>
      <c r="AH923" s="1190"/>
      <c r="AI923" s="1748"/>
      <c r="AJ923" s="1190"/>
      <c r="AK923" s="1190"/>
      <c r="AL923" s="1190"/>
      <c r="AM923" s="1190"/>
      <c r="AN923" s="1190"/>
      <c r="AO923" s="1190"/>
      <c r="AP923" s="1190"/>
      <c r="AQ923" s="1190"/>
      <c r="AR923" s="1190"/>
      <c r="AS923" s="1190"/>
      <c r="AT923" s="1190"/>
      <c r="AU923" s="1190"/>
      <c r="AV923" s="1190"/>
      <c r="AW923" s="1190"/>
      <c r="AX923" s="1190"/>
      <c r="AY923" s="1190"/>
      <c r="AZ923" s="1190"/>
      <c r="BA923" s="1190"/>
      <c r="BB923" s="1190"/>
      <c r="BC923" s="1190"/>
      <c r="BD923" s="1190"/>
      <c r="BE923" s="1190"/>
      <c r="BF923" s="1190"/>
      <c r="BG923" s="1190"/>
      <c r="BH923" s="1190"/>
      <c r="BI923" s="1190"/>
      <c r="BJ923" s="1190"/>
      <c r="BK923" s="1190"/>
      <c r="BL923" s="1190"/>
      <c r="BM923" s="1190"/>
      <c r="BQ923" s="195"/>
      <c r="BR923" s="195"/>
      <c r="BT923" s="1005"/>
    </row>
    <row r="924" ht="15.75" customHeight="1">
      <c r="A924" s="195"/>
      <c r="B924" s="978"/>
      <c r="C924" s="2321"/>
      <c r="D924" s="1729"/>
      <c r="E924" s="1190"/>
      <c r="F924" s="1190"/>
      <c r="G924" s="1190"/>
      <c r="H924" s="1190"/>
      <c r="I924" s="1190"/>
      <c r="J924" s="1190"/>
      <c r="K924" s="1190"/>
      <c r="L924" s="1190"/>
      <c r="M924" s="1190"/>
      <c r="N924" s="1190"/>
      <c r="O924" s="1190"/>
      <c r="P924" s="1190"/>
      <c r="Q924" s="1190"/>
      <c r="R924" s="1190"/>
      <c r="S924" s="1189"/>
      <c r="T924" s="1190"/>
      <c r="U924" s="1190"/>
      <c r="V924" s="1190"/>
      <c r="W924" s="1190"/>
      <c r="X924" s="1190"/>
      <c r="Y924" s="1190"/>
      <c r="Z924" s="1190"/>
      <c r="AA924" s="1190"/>
      <c r="AB924" s="1190"/>
      <c r="AC924" s="1190"/>
      <c r="AD924" s="1190"/>
      <c r="AE924" s="1190"/>
      <c r="AF924" s="1190"/>
      <c r="AG924" s="1748"/>
      <c r="AH924" s="1190"/>
      <c r="AI924" s="1748"/>
      <c r="AJ924" s="1190"/>
      <c r="AK924" s="1190"/>
      <c r="AL924" s="1190"/>
      <c r="AM924" s="1190"/>
      <c r="AN924" s="1190"/>
      <c r="AO924" s="1190"/>
      <c r="AP924" s="1190"/>
      <c r="AQ924" s="1190"/>
      <c r="AR924" s="1190"/>
      <c r="AS924" s="1190"/>
      <c r="AT924" s="1190"/>
      <c r="AU924" s="1190"/>
      <c r="AV924" s="1190"/>
      <c r="AW924" s="1190"/>
      <c r="AX924" s="1190"/>
      <c r="AY924" s="1190"/>
      <c r="AZ924" s="1190"/>
      <c r="BA924" s="1190"/>
      <c r="BB924" s="1190"/>
      <c r="BC924" s="1190"/>
      <c r="BD924" s="1190"/>
      <c r="BE924" s="1190"/>
      <c r="BF924" s="1190"/>
      <c r="BG924" s="1190"/>
      <c r="BH924" s="1190"/>
      <c r="BI924" s="1190"/>
      <c r="BJ924" s="1190"/>
      <c r="BK924" s="1190"/>
      <c r="BL924" s="1190"/>
      <c r="BM924" s="1190"/>
      <c r="BQ924" s="195"/>
      <c r="BR924" s="195"/>
      <c r="BT924" s="1005"/>
    </row>
    <row r="925" ht="15.75" customHeight="1">
      <c r="A925" s="195"/>
      <c r="B925" s="978"/>
      <c r="C925" s="2321"/>
      <c r="D925" s="1729"/>
      <c r="E925" s="1190"/>
      <c r="F925" s="1190"/>
      <c r="G925" s="1190"/>
      <c r="H925" s="1190"/>
      <c r="I925" s="1190"/>
      <c r="J925" s="1190"/>
      <c r="K925" s="1190"/>
      <c r="L925" s="1190"/>
      <c r="M925" s="1190"/>
      <c r="N925" s="1190"/>
      <c r="O925" s="1190"/>
      <c r="P925" s="1190"/>
      <c r="Q925" s="1190"/>
      <c r="R925" s="1190"/>
      <c r="S925" s="1189"/>
      <c r="T925" s="1190"/>
      <c r="U925" s="1190"/>
      <c r="V925" s="1190"/>
      <c r="W925" s="1190"/>
      <c r="X925" s="1190"/>
      <c r="Y925" s="1190"/>
      <c r="Z925" s="1190"/>
      <c r="AA925" s="1190"/>
      <c r="AB925" s="1190"/>
      <c r="AC925" s="1190"/>
      <c r="AD925" s="1190"/>
      <c r="AE925" s="1190"/>
      <c r="AF925" s="1190"/>
      <c r="AG925" s="1748"/>
      <c r="AH925" s="1190"/>
      <c r="AI925" s="1748"/>
      <c r="AJ925" s="1190"/>
      <c r="AK925" s="1190"/>
      <c r="AL925" s="1190"/>
      <c r="AM925" s="1190"/>
      <c r="AN925" s="1190"/>
      <c r="AO925" s="1190"/>
      <c r="AP925" s="1190"/>
      <c r="AQ925" s="1190"/>
      <c r="AR925" s="1190"/>
      <c r="AS925" s="1190"/>
      <c r="AT925" s="1190"/>
      <c r="AU925" s="1190"/>
      <c r="AV925" s="1190"/>
      <c r="AW925" s="1190"/>
      <c r="AX925" s="1190"/>
      <c r="AY925" s="1190"/>
      <c r="AZ925" s="1190"/>
      <c r="BA925" s="1190"/>
      <c r="BB925" s="1190"/>
      <c r="BC925" s="1190"/>
      <c r="BD925" s="1190"/>
      <c r="BE925" s="1190"/>
      <c r="BF925" s="1190"/>
      <c r="BG925" s="1190"/>
      <c r="BH925" s="1190"/>
      <c r="BI925" s="1190"/>
      <c r="BJ925" s="1190"/>
      <c r="BK925" s="1190"/>
      <c r="BL925" s="1190"/>
      <c r="BM925" s="1190"/>
      <c r="BQ925" s="195"/>
      <c r="BR925" s="195"/>
      <c r="BT925" s="1005"/>
    </row>
    <row r="926" ht="15.75" customHeight="1">
      <c r="A926" s="195"/>
      <c r="B926" s="978"/>
      <c r="C926" s="2321"/>
      <c r="D926" s="1729"/>
      <c r="E926" s="1190"/>
      <c r="F926" s="1190"/>
      <c r="G926" s="1190"/>
      <c r="H926" s="1190"/>
      <c r="I926" s="1190"/>
      <c r="J926" s="1190"/>
      <c r="K926" s="1190"/>
      <c r="L926" s="1190"/>
      <c r="M926" s="1190"/>
      <c r="N926" s="1190"/>
      <c r="O926" s="1190"/>
      <c r="P926" s="1190"/>
      <c r="Q926" s="1190"/>
      <c r="R926" s="1190"/>
      <c r="S926" s="1189"/>
      <c r="T926" s="1190"/>
      <c r="U926" s="1190"/>
      <c r="V926" s="1190"/>
      <c r="W926" s="1190"/>
      <c r="X926" s="1190"/>
      <c r="Y926" s="1190"/>
      <c r="Z926" s="1190"/>
      <c r="AA926" s="1190"/>
      <c r="AB926" s="1190"/>
      <c r="AC926" s="1190"/>
      <c r="AD926" s="1190"/>
      <c r="AE926" s="1190"/>
      <c r="AF926" s="1190"/>
      <c r="AG926" s="1748"/>
      <c r="AH926" s="1190"/>
      <c r="AI926" s="1748"/>
      <c r="AJ926" s="1190"/>
      <c r="AK926" s="1190"/>
      <c r="AL926" s="1190"/>
      <c r="AM926" s="1190"/>
      <c r="AN926" s="1190"/>
      <c r="AO926" s="1190"/>
      <c r="AP926" s="1190"/>
      <c r="AQ926" s="1190"/>
      <c r="AR926" s="1190"/>
      <c r="AS926" s="1190"/>
      <c r="AT926" s="1190"/>
      <c r="AU926" s="1190"/>
      <c r="AV926" s="1190"/>
      <c r="AW926" s="1190"/>
      <c r="AX926" s="1190"/>
      <c r="AY926" s="1190"/>
      <c r="AZ926" s="1190"/>
      <c r="BA926" s="1190"/>
      <c r="BB926" s="1190"/>
      <c r="BC926" s="1190"/>
      <c r="BD926" s="1190"/>
      <c r="BE926" s="1190"/>
      <c r="BF926" s="1190"/>
      <c r="BG926" s="1190"/>
      <c r="BH926" s="1190"/>
      <c r="BI926" s="1190"/>
      <c r="BJ926" s="1190"/>
      <c r="BK926" s="1190"/>
      <c r="BL926" s="1190"/>
      <c r="BM926" s="1190"/>
      <c r="BQ926" s="195"/>
      <c r="BR926" s="195"/>
      <c r="BT926" s="1005"/>
    </row>
    <row r="927" ht="15.75" customHeight="1">
      <c r="A927" s="195"/>
      <c r="B927" s="978"/>
      <c r="C927" s="2321"/>
      <c r="D927" s="1729"/>
      <c r="E927" s="1190"/>
      <c r="F927" s="1190"/>
      <c r="G927" s="1190"/>
      <c r="H927" s="1190"/>
      <c r="I927" s="1190"/>
      <c r="J927" s="1190"/>
      <c r="K927" s="1190"/>
      <c r="L927" s="1190"/>
      <c r="M927" s="1190"/>
      <c r="N927" s="1190"/>
      <c r="O927" s="1190"/>
      <c r="P927" s="1190"/>
      <c r="Q927" s="1190"/>
      <c r="R927" s="1190"/>
      <c r="S927" s="1189"/>
      <c r="T927" s="1190"/>
      <c r="U927" s="1190"/>
      <c r="V927" s="1190"/>
      <c r="W927" s="1190"/>
      <c r="X927" s="1190"/>
      <c r="Y927" s="1190"/>
      <c r="Z927" s="1190"/>
      <c r="AA927" s="1190"/>
      <c r="AB927" s="1190"/>
      <c r="AC927" s="1190"/>
      <c r="AD927" s="1190"/>
      <c r="AE927" s="1190"/>
      <c r="AF927" s="1190"/>
      <c r="AG927" s="1748"/>
      <c r="AH927" s="1190"/>
      <c r="AI927" s="1748"/>
      <c r="AJ927" s="1190"/>
      <c r="AK927" s="1190"/>
      <c r="AL927" s="1190"/>
      <c r="AM927" s="1190"/>
      <c r="AN927" s="1190"/>
      <c r="AO927" s="1190"/>
      <c r="AP927" s="1190"/>
      <c r="AQ927" s="1190"/>
      <c r="AR927" s="1190"/>
      <c r="AS927" s="1190"/>
      <c r="AT927" s="1190"/>
      <c r="AU927" s="1190"/>
      <c r="AV927" s="1190"/>
      <c r="AW927" s="1190"/>
      <c r="AX927" s="1190"/>
      <c r="AY927" s="1190"/>
      <c r="AZ927" s="1190"/>
      <c r="BA927" s="1190"/>
      <c r="BB927" s="1190"/>
      <c r="BC927" s="1190"/>
      <c r="BD927" s="1190"/>
      <c r="BE927" s="1190"/>
      <c r="BF927" s="1190"/>
      <c r="BG927" s="1190"/>
      <c r="BH927" s="1190"/>
      <c r="BI927" s="1190"/>
      <c r="BJ927" s="1190"/>
      <c r="BK927" s="1190"/>
      <c r="BL927" s="1190"/>
      <c r="BM927" s="1190"/>
      <c r="BQ927" s="195"/>
      <c r="BR927" s="195"/>
      <c r="BT927" s="1005"/>
    </row>
    <row r="928" ht="15.75" customHeight="1">
      <c r="A928" s="195"/>
      <c r="B928" s="978"/>
      <c r="C928" s="2321"/>
      <c r="D928" s="1729"/>
      <c r="E928" s="1190"/>
      <c r="F928" s="1190"/>
      <c r="G928" s="1190"/>
      <c r="H928" s="1190"/>
      <c r="I928" s="1190"/>
      <c r="J928" s="1190"/>
      <c r="K928" s="1190"/>
      <c r="L928" s="1190"/>
      <c r="M928" s="1190"/>
      <c r="N928" s="1190"/>
      <c r="O928" s="1190"/>
      <c r="P928" s="1190"/>
      <c r="Q928" s="1190"/>
      <c r="R928" s="1190"/>
      <c r="S928" s="1189"/>
      <c r="T928" s="1190"/>
      <c r="U928" s="1190"/>
      <c r="V928" s="1190"/>
      <c r="W928" s="1190"/>
      <c r="X928" s="1190"/>
      <c r="Y928" s="1190"/>
      <c r="Z928" s="1190"/>
      <c r="AA928" s="1190"/>
      <c r="AB928" s="1190"/>
      <c r="AC928" s="1190"/>
      <c r="AD928" s="1190"/>
      <c r="AE928" s="1190"/>
      <c r="AF928" s="1190"/>
      <c r="AG928" s="1748"/>
      <c r="AH928" s="1190"/>
      <c r="AI928" s="1748"/>
      <c r="AJ928" s="1190"/>
      <c r="AK928" s="1190"/>
      <c r="AL928" s="1190"/>
      <c r="AM928" s="1190"/>
      <c r="AN928" s="1190"/>
      <c r="AO928" s="1190"/>
      <c r="AP928" s="1190"/>
      <c r="AQ928" s="1190"/>
      <c r="AR928" s="1190"/>
      <c r="AS928" s="1190"/>
      <c r="AT928" s="1190"/>
      <c r="AU928" s="1190"/>
      <c r="AV928" s="1190"/>
      <c r="AW928" s="1190"/>
      <c r="AX928" s="1190"/>
      <c r="AY928" s="1190"/>
      <c r="AZ928" s="1190"/>
      <c r="BA928" s="1190"/>
      <c r="BB928" s="1190"/>
      <c r="BC928" s="1190"/>
      <c r="BD928" s="1190"/>
      <c r="BE928" s="1190"/>
      <c r="BF928" s="1190"/>
      <c r="BG928" s="1190"/>
      <c r="BH928" s="1190"/>
      <c r="BI928" s="1190"/>
      <c r="BJ928" s="1190"/>
      <c r="BK928" s="1190"/>
      <c r="BL928" s="1190"/>
      <c r="BM928" s="1190"/>
      <c r="BQ928" s="195"/>
      <c r="BR928" s="195"/>
      <c r="BT928" s="1005"/>
    </row>
    <row r="929" ht="15.75" customHeight="1">
      <c r="A929" s="195"/>
      <c r="B929" s="978"/>
      <c r="C929" s="2321"/>
      <c r="D929" s="1729"/>
      <c r="E929" s="1190"/>
      <c r="F929" s="1190"/>
      <c r="G929" s="1190"/>
      <c r="H929" s="1190"/>
      <c r="I929" s="1190"/>
      <c r="J929" s="1190"/>
      <c r="K929" s="1190"/>
      <c r="L929" s="1190"/>
      <c r="M929" s="1190"/>
      <c r="N929" s="1190"/>
      <c r="O929" s="1190"/>
      <c r="P929" s="1190"/>
      <c r="Q929" s="1190"/>
      <c r="R929" s="1190"/>
      <c r="S929" s="1189"/>
      <c r="T929" s="1190"/>
      <c r="U929" s="1190"/>
      <c r="V929" s="1190"/>
      <c r="W929" s="1190"/>
      <c r="X929" s="1190"/>
      <c r="Y929" s="1190"/>
      <c r="Z929" s="1190"/>
      <c r="AA929" s="1190"/>
      <c r="AB929" s="1190"/>
      <c r="AC929" s="1190"/>
      <c r="AD929" s="1190"/>
      <c r="AE929" s="1190"/>
      <c r="AF929" s="1190"/>
      <c r="AG929" s="1748"/>
      <c r="AH929" s="1190"/>
      <c r="AI929" s="1748"/>
      <c r="AJ929" s="1190"/>
      <c r="AK929" s="1190"/>
      <c r="AL929" s="1190"/>
      <c r="AM929" s="1190"/>
      <c r="AN929" s="1190"/>
      <c r="AO929" s="1190"/>
      <c r="AP929" s="1190"/>
      <c r="AQ929" s="1190"/>
      <c r="AR929" s="1190"/>
      <c r="AS929" s="1190"/>
      <c r="AT929" s="1190"/>
      <c r="AU929" s="1190"/>
      <c r="AV929" s="1190"/>
      <c r="AW929" s="1190"/>
      <c r="AX929" s="1190"/>
      <c r="AY929" s="1190"/>
      <c r="AZ929" s="1190"/>
      <c r="BA929" s="1190"/>
      <c r="BB929" s="1190"/>
      <c r="BC929" s="1190"/>
      <c r="BD929" s="1190"/>
      <c r="BE929" s="1190"/>
      <c r="BF929" s="1190"/>
      <c r="BG929" s="1190"/>
      <c r="BH929" s="1190"/>
      <c r="BI929" s="1190"/>
      <c r="BJ929" s="1190"/>
      <c r="BK929" s="1190"/>
      <c r="BL929" s="1190"/>
      <c r="BM929" s="1190"/>
      <c r="BQ929" s="195"/>
      <c r="BR929" s="195"/>
      <c r="BT929" s="1005"/>
    </row>
    <row r="930" ht="15.75" customHeight="1">
      <c r="A930" s="195"/>
      <c r="B930" s="978"/>
      <c r="C930" s="2321"/>
      <c r="D930" s="1729"/>
      <c r="E930" s="1190"/>
      <c r="F930" s="1190"/>
      <c r="G930" s="1190"/>
      <c r="H930" s="1190"/>
      <c r="I930" s="1190"/>
      <c r="J930" s="1190"/>
      <c r="K930" s="1190"/>
      <c r="L930" s="1190"/>
      <c r="M930" s="1190"/>
      <c r="N930" s="1190"/>
      <c r="O930" s="1190"/>
      <c r="P930" s="1190"/>
      <c r="Q930" s="1190"/>
      <c r="R930" s="1190"/>
      <c r="S930" s="1189"/>
      <c r="T930" s="1190"/>
      <c r="U930" s="1190"/>
      <c r="V930" s="1190"/>
      <c r="W930" s="1190"/>
      <c r="X930" s="1190"/>
      <c r="Y930" s="1190"/>
      <c r="Z930" s="1190"/>
      <c r="AA930" s="1190"/>
      <c r="AB930" s="1190"/>
      <c r="AC930" s="1190"/>
      <c r="AD930" s="1190"/>
      <c r="AE930" s="1190"/>
      <c r="AF930" s="1190"/>
      <c r="AG930" s="1748"/>
      <c r="AH930" s="1190"/>
      <c r="AI930" s="1748"/>
      <c r="AJ930" s="1190"/>
      <c r="AK930" s="1190"/>
      <c r="AL930" s="1190"/>
      <c r="AM930" s="1190"/>
      <c r="AN930" s="1190"/>
      <c r="AO930" s="1190"/>
      <c r="AP930" s="1190"/>
      <c r="AQ930" s="1190"/>
      <c r="AR930" s="1190"/>
      <c r="AS930" s="1190"/>
      <c r="AT930" s="1190"/>
      <c r="AU930" s="1190"/>
      <c r="AV930" s="1190"/>
      <c r="AW930" s="1190"/>
      <c r="AX930" s="1190"/>
      <c r="AY930" s="1190"/>
      <c r="AZ930" s="1190"/>
      <c r="BA930" s="1190"/>
      <c r="BB930" s="1190"/>
      <c r="BC930" s="1190"/>
      <c r="BD930" s="1190"/>
      <c r="BE930" s="1190"/>
      <c r="BF930" s="1190"/>
      <c r="BG930" s="1190"/>
      <c r="BH930" s="1190"/>
      <c r="BI930" s="1190"/>
      <c r="BJ930" s="1190"/>
      <c r="BK930" s="1190"/>
      <c r="BL930" s="1190"/>
      <c r="BM930" s="1190"/>
      <c r="BQ930" s="195"/>
      <c r="BR930" s="195"/>
      <c r="BT930" s="1005"/>
    </row>
    <row r="931" ht="15.75" customHeight="1">
      <c r="A931" s="195"/>
      <c r="B931" s="978"/>
      <c r="C931" s="2321"/>
      <c r="D931" s="1729"/>
      <c r="E931" s="1190"/>
      <c r="F931" s="1190"/>
      <c r="G931" s="1190"/>
      <c r="H931" s="1190"/>
      <c r="I931" s="1190"/>
      <c r="J931" s="1190"/>
      <c r="K931" s="1190"/>
      <c r="L931" s="1190"/>
      <c r="M931" s="1190"/>
      <c r="N931" s="1190"/>
      <c r="O931" s="1190"/>
      <c r="P931" s="1190"/>
      <c r="Q931" s="1190"/>
      <c r="R931" s="1190"/>
      <c r="S931" s="1189"/>
      <c r="T931" s="1190"/>
      <c r="U931" s="1190"/>
      <c r="V931" s="1190"/>
      <c r="W931" s="1190"/>
      <c r="X931" s="1190"/>
      <c r="Y931" s="1190"/>
      <c r="Z931" s="1190"/>
      <c r="AA931" s="1190"/>
      <c r="AB931" s="1190"/>
      <c r="AC931" s="1190"/>
      <c r="AD931" s="1190"/>
      <c r="AE931" s="1190"/>
      <c r="AF931" s="1190"/>
      <c r="AG931" s="1748"/>
      <c r="AH931" s="1190"/>
      <c r="AI931" s="1748"/>
      <c r="AJ931" s="1190"/>
      <c r="AK931" s="1190"/>
      <c r="AL931" s="1190"/>
      <c r="AM931" s="1190"/>
      <c r="AN931" s="1190"/>
      <c r="AO931" s="1190"/>
      <c r="AP931" s="1190"/>
      <c r="AQ931" s="1190"/>
      <c r="AR931" s="1190"/>
      <c r="AS931" s="1190"/>
      <c r="AT931" s="1190"/>
      <c r="AU931" s="1190"/>
      <c r="AV931" s="1190"/>
      <c r="AW931" s="1190"/>
      <c r="AX931" s="1190"/>
      <c r="AY931" s="1190"/>
      <c r="AZ931" s="1190"/>
      <c r="BA931" s="1190"/>
      <c r="BB931" s="1190"/>
      <c r="BC931" s="1190"/>
      <c r="BD931" s="1190"/>
      <c r="BE931" s="1190"/>
      <c r="BF931" s="1190"/>
      <c r="BG931" s="1190"/>
      <c r="BH931" s="1190"/>
      <c r="BI931" s="1190"/>
      <c r="BJ931" s="1190"/>
      <c r="BK931" s="1190"/>
      <c r="BL931" s="1190"/>
      <c r="BM931" s="1190"/>
      <c r="BQ931" s="195"/>
      <c r="BR931" s="195"/>
      <c r="BT931" s="1005"/>
    </row>
    <row r="932" ht="15.75" customHeight="1">
      <c r="A932" s="195"/>
      <c r="B932" s="978"/>
      <c r="C932" s="2321"/>
      <c r="D932" s="1729"/>
      <c r="E932" s="1190"/>
      <c r="F932" s="1190"/>
      <c r="G932" s="1190"/>
      <c r="H932" s="1190"/>
      <c r="I932" s="1190"/>
      <c r="J932" s="1190"/>
      <c r="K932" s="1190"/>
      <c r="L932" s="1190"/>
      <c r="M932" s="1190"/>
      <c r="N932" s="1190"/>
      <c r="O932" s="1190"/>
      <c r="P932" s="1190"/>
      <c r="Q932" s="1190"/>
      <c r="R932" s="1190"/>
      <c r="S932" s="1189"/>
      <c r="T932" s="1190"/>
      <c r="U932" s="1190"/>
      <c r="V932" s="1190"/>
      <c r="W932" s="1190"/>
      <c r="X932" s="1190"/>
      <c r="Y932" s="1190"/>
      <c r="Z932" s="1190"/>
      <c r="AA932" s="1190"/>
      <c r="AB932" s="1190"/>
      <c r="AC932" s="1190"/>
      <c r="AD932" s="1190"/>
      <c r="AE932" s="1190"/>
      <c r="AF932" s="1190"/>
      <c r="AG932" s="1748"/>
      <c r="AH932" s="1190"/>
      <c r="AI932" s="1748"/>
      <c r="AJ932" s="1190"/>
      <c r="AK932" s="1190"/>
      <c r="AL932" s="1190"/>
      <c r="AM932" s="1190"/>
      <c r="AN932" s="1190"/>
      <c r="AO932" s="1190"/>
      <c r="AP932" s="1190"/>
      <c r="AQ932" s="1190"/>
      <c r="AR932" s="1190"/>
      <c r="AS932" s="1190"/>
      <c r="AT932" s="1190"/>
      <c r="AU932" s="1190"/>
      <c r="AV932" s="1190"/>
      <c r="AW932" s="1190"/>
      <c r="AX932" s="1190"/>
      <c r="AY932" s="1190"/>
      <c r="AZ932" s="1190"/>
      <c r="BA932" s="1190"/>
      <c r="BB932" s="1190"/>
      <c r="BC932" s="1190"/>
      <c r="BD932" s="1190"/>
      <c r="BE932" s="1190"/>
      <c r="BF932" s="1190"/>
      <c r="BG932" s="1190"/>
      <c r="BH932" s="1190"/>
      <c r="BI932" s="1190"/>
      <c r="BJ932" s="1190"/>
      <c r="BK932" s="1190"/>
      <c r="BL932" s="1190"/>
      <c r="BM932" s="1190"/>
      <c r="BQ932" s="195"/>
      <c r="BR932" s="195"/>
      <c r="BT932" s="1005"/>
    </row>
    <row r="933" ht="15.75" customHeight="1">
      <c r="A933" s="195"/>
      <c r="B933" s="978"/>
      <c r="C933" s="2321"/>
      <c r="D933" s="1729"/>
      <c r="E933" s="1190"/>
      <c r="F933" s="1190"/>
      <c r="G933" s="1190"/>
      <c r="H933" s="1190"/>
      <c r="I933" s="1190"/>
      <c r="J933" s="1190"/>
      <c r="K933" s="1190"/>
      <c r="L933" s="1190"/>
      <c r="M933" s="1190"/>
      <c r="N933" s="1190"/>
      <c r="O933" s="1190"/>
      <c r="P933" s="1190"/>
      <c r="Q933" s="1190"/>
      <c r="R933" s="1190"/>
      <c r="S933" s="1189"/>
      <c r="T933" s="1190"/>
      <c r="U933" s="1190"/>
      <c r="V933" s="1190"/>
      <c r="W933" s="1190"/>
      <c r="X933" s="1190"/>
      <c r="Y933" s="1190"/>
      <c r="Z933" s="1190"/>
      <c r="AA933" s="1190"/>
      <c r="AB933" s="1190"/>
      <c r="AC933" s="1190"/>
      <c r="AD933" s="1190"/>
      <c r="AE933" s="1190"/>
      <c r="AF933" s="1190"/>
      <c r="AG933" s="1748"/>
      <c r="AH933" s="1190"/>
      <c r="AI933" s="1748"/>
      <c r="AJ933" s="1190"/>
      <c r="AK933" s="1190"/>
      <c r="AL933" s="1190"/>
      <c r="AM933" s="1190"/>
      <c r="AN933" s="1190"/>
      <c r="AO933" s="1190"/>
      <c r="AP933" s="1190"/>
      <c r="AQ933" s="1190"/>
      <c r="AR933" s="1190"/>
      <c r="AS933" s="1190"/>
      <c r="AT933" s="1190"/>
      <c r="AU933" s="1190"/>
      <c r="AV933" s="1190"/>
      <c r="AW933" s="1190"/>
      <c r="AX933" s="1190"/>
      <c r="AY933" s="1190"/>
      <c r="AZ933" s="1190"/>
      <c r="BA933" s="1190"/>
      <c r="BB933" s="1190"/>
      <c r="BC933" s="1190"/>
      <c r="BD933" s="1190"/>
      <c r="BE933" s="1190"/>
      <c r="BF933" s="1190"/>
      <c r="BG933" s="1190"/>
      <c r="BH933" s="1190"/>
      <c r="BI933" s="1190"/>
      <c r="BJ933" s="1190"/>
      <c r="BK933" s="1190"/>
      <c r="BL933" s="1190"/>
      <c r="BM933" s="1190"/>
      <c r="BQ933" s="195"/>
      <c r="BR933" s="195"/>
      <c r="BT933" s="1005"/>
    </row>
    <row r="934" ht="15.75" customHeight="1">
      <c r="A934" s="195"/>
      <c r="B934" s="978"/>
      <c r="C934" s="2321"/>
      <c r="D934" s="1729"/>
      <c r="E934" s="1190"/>
      <c r="F934" s="1190"/>
      <c r="G934" s="1190"/>
      <c r="H934" s="1190"/>
      <c r="I934" s="1190"/>
      <c r="J934" s="1190"/>
      <c r="K934" s="1190"/>
      <c r="L934" s="1190"/>
      <c r="M934" s="1190"/>
      <c r="N934" s="1190"/>
      <c r="O934" s="1190"/>
      <c r="P934" s="1190"/>
      <c r="Q934" s="1190"/>
      <c r="R934" s="1190"/>
      <c r="S934" s="1189"/>
      <c r="T934" s="1190"/>
      <c r="U934" s="1190"/>
      <c r="V934" s="1190"/>
      <c r="W934" s="1190"/>
      <c r="X934" s="1190"/>
      <c r="Y934" s="1190"/>
      <c r="Z934" s="1190"/>
      <c r="AA934" s="1190"/>
      <c r="AB934" s="1190"/>
      <c r="AC934" s="1190"/>
      <c r="AD934" s="1190"/>
      <c r="AE934" s="1190"/>
      <c r="AF934" s="1190"/>
      <c r="AG934" s="1748"/>
      <c r="AH934" s="1190"/>
      <c r="AI934" s="1748"/>
      <c r="AJ934" s="1190"/>
      <c r="AK934" s="1190"/>
      <c r="AL934" s="1190"/>
      <c r="AM934" s="1190"/>
      <c r="AN934" s="1190"/>
      <c r="AO934" s="1190"/>
      <c r="AP934" s="1190"/>
      <c r="AQ934" s="1190"/>
      <c r="AR934" s="1190"/>
      <c r="AS934" s="1190"/>
      <c r="AT934" s="1190"/>
      <c r="AU934" s="1190"/>
      <c r="AV934" s="1190"/>
      <c r="AW934" s="1190"/>
      <c r="AX934" s="1190"/>
      <c r="AY934" s="1190"/>
      <c r="AZ934" s="1190"/>
      <c r="BA934" s="1190"/>
      <c r="BB934" s="1190"/>
      <c r="BC934" s="1190"/>
      <c r="BD934" s="1190"/>
      <c r="BE934" s="1190"/>
      <c r="BF934" s="1190"/>
      <c r="BG934" s="1190"/>
      <c r="BH934" s="1190"/>
      <c r="BI934" s="1190"/>
      <c r="BJ934" s="1190"/>
      <c r="BK934" s="1190"/>
      <c r="BL934" s="1190"/>
      <c r="BM934" s="1190"/>
      <c r="BQ934" s="195"/>
      <c r="BR934" s="195"/>
      <c r="BT934" s="1005"/>
    </row>
    <row r="935" ht="15.75" customHeight="1">
      <c r="A935" s="195"/>
      <c r="B935" s="978"/>
      <c r="C935" s="2321"/>
      <c r="D935" s="1729"/>
      <c r="E935" s="1190"/>
      <c r="F935" s="1190"/>
      <c r="G935" s="1190"/>
      <c r="H935" s="1190"/>
      <c r="I935" s="1190"/>
      <c r="J935" s="1190"/>
      <c r="K935" s="1190"/>
      <c r="L935" s="1190"/>
      <c r="M935" s="1190"/>
      <c r="N935" s="1190"/>
      <c r="O935" s="1190"/>
      <c r="P935" s="1190"/>
      <c r="Q935" s="1190"/>
      <c r="R935" s="1190"/>
      <c r="S935" s="1189"/>
      <c r="T935" s="1190"/>
      <c r="U935" s="1190"/>
      <c r="V935" s="1190"/>
      <c r="W935" s="1190"/>
      <c r="X935" s="1190"/>
      <c r="Y935" s="1190"/>
      <c r="Z935" s="1190"/>
      <c r="AA935" s="1190"/>
      <c r="AB935" s="1190"/>
      <c r="AC935" s="1190"/>
      <c r="AD935" s="1190"/>
      <c r="AE935" s="1190"/>
      <c r="AF935" s="1190"/>
      <c r="AG935" s="1748"/>
      <c r="AH935" s="1190"/>
      <c r="AI935" s="1748"/>
      <c r="AJ935" s="1190"/>
      <c r="AK935" s="1190"/>
      <c r="AL935" s="1190"/>
      <c r="AM935" s="1190"/>
      <c r="AN935" s="1190"/>
      <c r="AO935" s="1190"/>
      <c r="AP935" s="1190"/>
      <c r="AQ935" s="1190"/>
      <c r="AR935" s="1190"/>
      <c r="AS935" s="1190"/>
      <c r="AT935" s="1190"/>
      <c r="AU935" s="1190"/>
      <c r="AV935" s="1190"/>
      <c r="AW935" s="1190"/>
      <c r="AX935" s="1190"/>
      <c r="AY935" s="1190"/>
      <c r="AZ935" s="1190"/>
      <c r="BA935" s="1190"/>
      <c r="BB935" s="1190"/>
      <c r="BC935" s="1190"/>
      <c r="BD935" s="1190"/>
      <c r="BE935" s="1190"/>
      <c r="BF935" s="1190"/>
      <c r="BG935" s="1190"/>
      <c r="BH935" s="1190"/>
      <c r="BI935" s="1190"/>
      <c r="BJ935" s="1190"/>
      <c r="BK935" s="1190"/>
      <c r="BL935" s="1190"/>
      <c r="BM935" s="1190"/>
      <c r="BQ935" s="195"/>
      <c r="BR935" s="195"/>
      <c r="BT935" s="1005"/>
    </row>
    <row r="936" ht="15.75" customHeight="1">
      <c r="A936" s="195"/>
      <c r="B936" s="978"/>
      <c r="C936" s="2321"/>
      <c r="D936" s="1729"/>
      <c r="E936" s="1190"/>
      <c r="F936" s="1190"/>
      <c r="G936" s="1190"/>
      <c r="H936" s="1190"/>
      <c r="I936" s="1190"/>
      <c r="J936" s="1190"/>
      <c r="K936" s="1190"/>
      <c r="L936" s="1190"/>
      <c r="M936" s="1190"/>
      <c r="N936" s="1190"/>
      <c r="O936" s="1190"/>
      <c r="P936" s="1190"/>
      <c r="Q936" s="1190"/>
      <c r="R936" s="1190"/>
      <c r="S936" s="1189"/>
      <c r="T936" s="1190"/>
      <c r="U936" s="1190"/>
      <c r="V936" s="1190"/>
      <c r="W936" s="1190"/>
      <c r="X936" s="1190"/>
      <c r="Y936" s="1190"/>
      <c r="Z936" s="1190"/>
      <c r="AA936" s="1190"/>
      <c r="AB936" s="1190"/>
      <c r="AC936" s="1190"/>
      <c r="AD936" s="1190"/>
      <c r="AE936" s="1190"/>
      <c r="AF936" s="1190"/>
      <c r="AG936" s="1748"/>
      <c r="AH936" s="1190"/>
      <c r="AI936" s="1748"/>
      <c r="AJ936" s="1190"/>
      <c r="AK936" s="1190"/>
      <c r="AL936" s="1190"/>
      <c r="AM936" s="1190"/>
      <c r="AN936" s="1190"/>
      <c r="AO936" s="1190"/>
      <c r="AP936" s="1190"/>
      <c r="AQ936" s="1190"/>
      <c r="AR936" s="1190"/>
      <c r="AS936" s="1190"/>
      <c r="AT936" s="1190"/>
      <c r="AU936" s="1190"/>
      <c r="AV936" s="1190"/>
      <c r="AW936" s="1190"/>
      <c r="AX936" s="1190"/>
      <c r="AY936" s="1190"/>
      <c r="AZ936" s="1190"/>
      <c r="BA936" s="1190"/>
      <c r="BB936" s="1190"/>
      <c r="BC936" s="1190"/>
      <c r="BD936" s="1190"/>
      <c r="BE936" s="1190"/>
      <c r="BF936" s="1190"/>
      <c r="BG936" s="1190"/>
      <c r="BH936" s="1190"/>
      <c r="BI936" s="1190"/>
      <c r="BJ936" s="1190"/>
      <c r="BK936" s="1190"/>
      <c r="BL936" s="1190"/>
      <c r="BM936" s="1190"/>
      <c r="BQ936" s="195"/>
      <c r="BR936" s="195"/>
      <c r="BT936" s="1005"/>
    </row>
    <row r="937" ht="15.75" customHeight="1">
      <c r="A937" s="195"/>
      <c r="B937" s="978"/>
      <c r="C937" s="2321"/>
      <c r="D937" s="1729"/>
      <c r="E937" s="1190"/>
      <c r="F937" s="1190"/>
      <c r="G937" s="1190"/>
      <c r="H937" s="1190"/>
      <c r="I937" s="1190"/>
      <c r="J937" s="1190"/>
      <c r="K937" s="1190"/>
      <c r="L937" s="1190"/>
      <c r="M937" s="1190"/>
      <c r="N937" s="1190"/>
      <c r="O937" s="1190"/>
      <c r="P937" s="1190"/>
      <c r="Q937" s="1190"/>
      <c r="R937" s="1190"/>
      <c r="S937" s="1189"/>
      <c r="T937" s="1190"/>
      <c r="U937" s="1190"/>
      <c r="V937" s="1190"/>
      <c r="W937" s="1190"/>
      <c r="X937" s="1190"/>
      <c r="Y937" s="1190"/>
      <c r="Z937" s="1190"/>
      <c r="AA937" s="1190"/>
      <c r="AB937" s="1190"/>
      <c r="AC937" s="1190"/>
      <c r="AD937" s="1190"/>
      <c r="AE937" s="1190"/>
      <c r="AF937" s="1190"/>
      <c r="AG937" s="1748"/>
      <c r="AH937" s="1190"/>
      <c r="AI937" s="1748"/>
      <c r="AJ937" s="1190"/>
      <c r="AK937" s="1190"/>
      <c r="AL937" s="1190"/>
      <c r="AM937" s="1190"/>
      <c r="AN937" s="1190"/>
      <c r="AO937" s="1190"/>
      <c r="AP937" s="1190"/>
      <c r="AQ937" s="1190"/>
      <c r="AR937" s="1190"/>
      <c r="AS937" s="1190"/>
      <c r="AT937" s="1190"/>
      <c r="AU937" s="1190"/>
      <c r="AV937" s="1190"/>
      <c r="AW937" s="1190"/>
      <c r="AX937" s="1190"/>
      <c r="AY937" s="1190"/>
      <c r="AZ937" s="1190"/>
      <c r="BA937" s="1190"/>
      <c r="BB937" s="1190"/>
      <c r="BC937" s="1190"/>
      <c r="BD937" s="1190"/>
      <c r="BE937" s="1190"/>
      <c r="BF937" s="1190"/>
      <c r="BG937" s="1190"/>
      <c r="BH937" s="1190"/>
      <c r="BI937" s="1190"/>
      <c r="BJ937" s="1190"/>
      <c r="BK937" s="1190"/>
      <c r="BL937" s="1190"/>
      <c r="BM937" s="1190"/>
      <c r="BQ937" s="195"/>
      <c r="BR937" s="195"/>
      <c r="BT937" s="1005"/>
    </row>
    <row r="938" ht="15.75" customHeight="1">
      <c r="A938" s="195"/>
      <c r="B938" s="978"/>
      <c r="C938" s="2321"/>
      <c r="D938" s="1729"/>
      <c r="E938" s="1190"/>
      <c r="F938" s="1190"/>
      <c r="G938" s="1190"/>
      <c r="H938" s="1190"/>
      <c r="I938" s="1190"/>
      <c r="J938" s="1190"/>
      <c r="K938" s="1190"/>
      <c r="L938" s="1190"/>
      <c r="M938" s="1190"/>
      <c r="N938" s="1190"/>
      <c r="O938" s="1190"/>
      <c r="P938" s="1190"/>
      <c r="Q938" s="1190"/>
      <c r="R938" s="1190"/>
      <c r="S938" s="1189"/>
      <c r="T938" s="1190"/>
      <c r="U938" s="1190"/>
      <c r="V938" s="1190"/>
      <c r="W938" s="1190"/>
      <c r="X938" s="1190"/>
      <c r="Y938" s="1190"/>
      <c r="Z938" s="1190"/>
      <c r="AA938" s="1190"/>
      <c r="AB938" s="1190"/>
      <c r="AC938" s="1190"/>
      <c r="AD938" s="1190"/>
      <c r="AE938" s="1190"/>
      <c r="AF938" s="1190"/>
      <c r="AG938" s="1748"/>
      <c r="AH938" s="1190"/>
      <c r="AI938" s="1748"/>
      <c r="AJ938" s="1190"/>
      <c r="AK938" s="1190"/>
      <c r="AL938" s="1190"/>
      <c r="AM938" s="1190"/>
      <c r="AN938" s="1190"/>
      <c r="AO938" s="1190"/>
      <c r="AP938" s="1190"/>
      <c r="AQ938" s="1190"/>
      <c r="AR938" s="1190"/>
      <c r="AS938" s="1190"/>
      <c r="AT938" s="1190"/>
      <c r="AU938" s="1190"/>
      <c r="AV938" s="1190"/>
      <c r="AW938" s="1190"/>
      <c r="AX938" s="1190"/>
      <c r="AY938" s="1190"/>
      <c r="AZ938" s="1190"/>
      <c r="BA938" s="1190"/>
      <c r="BB938" s="1190"/>
      <c r="BC938" s="1190"/>
      <c r="BD938" s="1190"/>
      <c r="BE938" s="1190"/>
      <c r="BF938" s="1190"/>
      <c r="BG938" s="1190"/>
      <c r="BH938" s="1190"/>
      <c r="BI938" s="1190"/>
      <c r="BJ938" s="1190"/>
      <c r="BK938" s="1190"/>
      <c r="BL938" s="1190"/>
      <c r="BM938" s="1190"/>
      <c r="BQ938" s="195"/>
      <c r="BR938" s="195"/>
      <c r="BT938" s="1005"/>
    </row>
    <row r="939" ht="15.75" customHeight="1">
      <c r="A939" s="195"/>
      <c r="B939" s="978"/>
      <c r="C939" s="2321"/>
      <c r="D939" s="1729"/>
      <c r="E939" s="1190"/>
      <c r="F939" s="1190"/>
      <c r="G939" s="1190"/>
      <c r="H939" s="1190"/>
      <c r="I939" s="1190"/>
      <c r="J939" s="1190"/>
      <c r="K939" s="1190"/>
      <c r="L939" s="1190"/>
      <c r="M939" s="1190"/>
      <c r="N939" s="1190"/>
      <c r="O939" s="1190"/>
      <c r="P939" s="1190"/>
      <c r="Q939" s="1190"/>
      <c r="R939" s="1190"/>
      <c r="S939" s="1189"/>
      <c r="T939" s="1190"/>
      <c r="U939" s="1190"/>
      <c r="V939" s="1190"/>
      <c r="W939" s="1190"/>
      <c r="X939" s="1190"/>
      <c r="Y939" s="1190"/>
      <c r="Z939" s="1190"/>
      <c r="AA939" s="1190"/>
      <c r="AB939" s="1190"/>
      <c r="AC939" s="1190"/>
      <c r="AD939" s="1190"/>
      <c r="AE939" s="1190"/>
      <c r="AF939" s="1190"/>
      <c r="AG939" s="1748"/>
      <c r="AH939" s="1190"/>
      <c r="AI939" s="1748"/>
      <c r="AJ939" s="1190"/>
      <c r="AK939" s="1190"/>
      <c r="AL939" s="1190"/>
      <c r="AM939" s="1190"/>
      <c r="AN939" s="1190"/>
      <c r="AO939" s="1190"/>
      <c r="AP939" s="1190"/>
      <c r="AQ939" s="1190"/>
      <c r="AR939" s="1190"/>
      <c r="AS939" s="1190"/>
      <c r="AT939" s="1190"/>
      <c r="AU939" s="1190"/>
      <c r="AV939" s="1190"/>
      <c r="AW939" s="1190"/>
      <c r="AX939" s="1190"/>
      <c r="AY939" s="1190"/>
      <c r="AZ939" s="1190"/>
      <c r="BA939" s="1190"/>
      <c r="BB939" s="1190"/>
      <c r="BC939" s="1190"/>
      <c r="BD939" s="1190"/>
      <c r="BE939" s="1190"/>
      <c r="BF939" s="1190"/>
      <c r="BG939" s="1190"/>
      <c r="BH939" s="1190"/>
      <c r="BI939" s="1190"/>
      <c r="BJ939" s="1190"/>
      <c r="BK939" s="1190"/>
      <c r="BL939" s="1190"/>
      <c r="BM939" s="1190"/>
      <c r="BQ939" s="195"/>
      <c r="BR939" s="195"/>
      <c r="BT939" s="1005"/>
    </row>
    <row r="940" ht="15.75" customHeight="1">
      <c r="A940" s="195"/>
      <c r="B940" s="978"/>
      <c r="C940" s="2321"/>
      <c r="D940" s="1729"/>
      <c r="E940" s="1190"/>
      <c r="F940" s="1190"/>
      <c r="G940" s="1190"/>
      <c r="H940" s="1190"/>
      <c r="I940" s="1190"/>
      <c r="J940" s="1190"/>
      <c r="K940" s="1190"/>
      <c r="L940" s="1190"/>
      <c r="M940" s="1190"/>
      <c r="N940" s="1190"/>
      <c r="O940" s="1190"/>
      <c r="P940" s="1190"/>
      <c r="Q940" s="1190"/>
      <c r="R940" s="1190"/>
      <c r="S940" s="1189"/>
      <c r="T940" s="1190"/>
      <c r="U940" s="1190"/>
      <c r="V940" s="1190"/>
      <c r="W940" s="1190"/>
      <c r="X940" s="1190"/>
      <c r="Y940" s="1190"/>
      <c r="Z940" s="1190"/>
      <c r="AA940" s="1190"/>
      <c r="AB940" s="1190"/>
      <c r="AC940" s="1190"/>
      <c r="AD940" s="1190"/>
      <c r="AE940" s="1190"/>
      <c r="AF940" s="1190"/>
      <c r="AG940" s="1748"/>
      <c r="AH940" s="1190"/>
      <c r="AI940" s="1748"/>
      <c r="AJ940" s="1190"/>
      <c r="AK940" s="1190"/>
      <c r="AL940" s="1190"/>
      <c r="AM940" s="1190"/>
      <c r="AN940" s="1190"/>
      <c r="AO940" s="1190"/>
      <c r="AP940" s="1190"/>
      <c r="AQ940" s="1190"/>
      <c r="AR940" s="1190"/>
      <c r="AS940" s="1190"/>
      <c r="AT940" s="1190"/>
      <c r="AU940" s="1190"/>
      <c r="AV940" s="1190"/>
      <c r="AW940" s="1190"/>
      <c r="AX940" s="1190"/>
      <c r="AY940" s="1190"/>
      <c r="AZ940" s="1190"/>
      <c r="BA940" s="1190"/>
      <c r="BB940" s="1190"/>
      <c r="BC940" s="1190"/>
      <c r="BD940" s="1190"/>
      <c r="BE940" s="1190"/>
      <c r="BF940" s="1190"/>
      <c r="BG940" s="1190"/>
      <c r="BH940" s="1190"/>
      <c r="BI940" s="1190"/>
      <c r="BJ940" s="1190"/>
      <c r="BK940" s="1190"/>
      <c r="BL940" s="1190"/>
      <c r="BM940" s="1190"/>
      <c r="BQ940" s="195"/>
      <c r="BR940" s="195"/>
      <c r="BT940" s="1005"/>
    </row>
    <row r="941" ht="15.75" customHeight="1">
      <c r="A941" s="195"/>
      <c r="B941" s="978"/>
      <c r="C941" s="2321"/>
      <c r="D941" s="1729"/>
      <c r="E941" s="1190"/>
      <c r="F941" s="1190"/>
      <c r="G941" s="1190"/>
      <c r="H941" s="1190"/>
      <c r="I941" s="1190"/>
      <c r="J941" s="1190"/>
      <c r="K941" s="1190"/>
      <c r="L941" s="1190"/>
      <c r="M941" s="1190"/>
      <c r="N941" s="1190"/>
      <c r="O941" s="1190"/>
      <c r="P941" s="1190"/>
      <c r="Q941" s="1190"/>
      <c r="R941" s="1190"/>
      <c r="S941" s="1189"/>
      <c r="T941" s="1190"/>
      <c r="U941" s="1190"/>
      <c r="V941" s="1190"/>
      <c r="W941" s="1190"/>
      <c r="X941" s="1190"/>
      <c r="Y941" s="1190"/>
      <c r="Z941" s="1190"/>
      <c r="AA941" s="1190"/>
      <c r="AB941" s="1190"/>
      <c r="AC941" s="1190"/>
      <c r="AD941" s="1190"/>
      <c r="AE941" s="1190"/>
      <c r="AF941" s="1190"/>
      <c r="AG941" s="1748"/>
      <c r="AH941" s="1190"/>
      <c r="AI941" s="1748"/>
      <c r="AJ941" s="1190"/>
      <c r="AK941" s="1190"/>
      <c r="AL941" s="1190"/>
      <c r="AM941" s="1190"/>
      <c r="AN941" s="1190"/>
      <c r="AO941" s="1190"/>
      <c r="AP941" s="1190"/>
      <c r="AQ941" s="1190"/>
      <c r="AR941" s="1190"/>
      <c r="AS941" s="1190"/>
      <c r="AT941" s="1190"/>
      <c r="AU941" s="1190"/>
      <c r="AV941" s="1190"/>
      <c r="AW941" s="1190"/>
      <c r="AX941" s="1190"/>
      <c r="AY941" s="1190"/>
      <c r="AZ941" s="1190"/>
      <c r="BA941" s="1190"/>
      <c r="BB941" s="1190"/>
      <c r="BC941" s="1190"/>
      <c r="BD941" s="1190"/>
      <c r="BE941" s="1190"/>
      <c r="BF941" s="1190"/>
      <c r="BG941" s="1190"/>
      <c r="BH941" s="1190"/>
      <c r="BI941" s="1190"/>
      <c r="BJ941" s="1190"/>
      <c r="BK941" s="1190"/>
      <c r="BL941" s="1190"/>
      <c r="BM941" s="1190"/>
      <c r="BQ941" s="195"/>
      <c r="BR941" s="195"/>
      <c r="BT941" s="1005"/>
    </row>
    <row r="942" ht="15.75" customHeight="1">
      <c r="A942" s="195"/>
      <c r="B942" s="978"/>
      <c r="C942" s="2321"/>
      <c r="D942" s="1729"/>
      <c r="E942" s="1190"/>
      <c r="F942" s="1190"/>
      <c r="G942" s="1190"/>
      <c r="H942" s="1190"/>
      <c r="I942" s="1190"/>
      <c r="J942" s="1190"/>
      <c r="K942" s="1190"/>
      <c r="L942" s="1190"/>
      <c r="M942" s="1190"/>
      <c r="N942" s="1190"/>
      <c r="O942" s="1190"/>
      <c r="P942" s="1190"/>
      <c r="Q942" s="1190"/>
      <c r="R942" s="1190"/>
      <c r="S942" s="1189"/>
      <c r="T942" s="1190"/>
      <c r="U942" s="1190"/>
      <c r="V942" s="1190"/>
      <c r="W942" s="1190"/>
      <c r="X942" s="1190"/>
      <c r="Y942" s="1190"/>
      <c r="Z942" s="1190"/>
      <c r="AA942" s="1190"/>
      <c r="AB942" s="1190"/>
      <c r="AC942" s="1190"/>
      <c r="AD942" s="1190"/>
      <c r="AE942" s="1190"/>
      <c r="AF942" s="1190"/>
      <c r="AG942" s="1748"/>
      <c r="AH942" s="1190"/>
      <c r="AI942" s="1748"/>
      <c r="AJ942" s="1190"/>
      <c r="AK942" s="1190"/>
      <c r="AL942" s="1190"/>
      <c r="AM942" s="1190"/>
      <c r="AN942" s="1190"/>
      <c r="AO942" s="1190"/>
      <c r="AP942" s="1190"/>
      <c r="AQ942" s="1190"/>
      <c r="AR942" s="1190"/>
      <c r="AS942" s="1190"/>
      <c r="AT942" s="1190"/>
      <c r="AU942" s="1190"/>
      <c r="AV942" s="1190"/>
      <c r="AW942" s="1190"/>
      <c r="AX942" s="1190"/>
      <c r="AY942" s="1190"/>
      <c r="AZ942" s="1190"/>
      <c r="BA942" s="1190"/>
      <c r="BB942" s="1190"/>
      <c r="BC942" s="1190"/>
      <c r="BD942" s="1190"/>
      <c r="BE942" s="1190"/>
      <c r="BF942" s="1190"/>
      <c r="BG942" s="1190"/>
      <c r="BH942" s="1190"/>
      <c r="BI942" s="1190"/>
      <c r="BJ942" s="1190"/>
      <c r="BK942" s="1190"/>
      <c r="BL942" s="1190"/>
      <c r="BM942" s="1190"/>
      <c r="BQ942" s="195"/>
      <c r="BR942" s="195"/>
      <c r="BT942" s="1005"/>
    </row>
    <row r="943" ht="15.75" customHeight="1">
      <c r="A943" s="195"/>
      <c r="B943" s="978"/>
      <c r="C943" s="2321"/>
      <c r="D943" s="1729"/>
      <c r="E943" s="1190"/>
      <c r="F943" s="1190"/>
      <c r="G943" s="1190"/>
      <c r="H943" s="1190"/>
      <c r="I943" s="1190"/>
      <c r="J943" s="1190"/>
      <c r="K943" s="1190"/>
      <c r="L943" s="1190"/>
      <c r="M943" s="1190"/>
      <c r="N943" s="1190"/>
      <c r="O943" s="1190"/>
      <c r="P943" s="1190"/>
      <c r="Q943" s="1190"/>
      <c r="R943" s="1190"/>
      <c r="S943" s="1189"/>
      <c r="T943" s="1190"/>
      <c r="U943" s="1190"/>
      <c r="V943" s="1190"/>
      <c r="W943" s="1190"/>
      <c r="X943" s="1190"/>
      <c r="Y943" s="1190"/>
      <c r="Z943" s="1190"/>
      <c r="AA943" s="1190"/>
      <c r="AB943" s="1190"/>
      <c r="AC943" s="1190"/>
      <c r="AD943" s="1190"/>
      <c r="AE943" s="1190"/>
      <c r="AF943" s="1190"/>
      <c r="AG943" s="1748"/>
      <c r="AH943" s="1190"/>
      <c r="AI943" s="1748"/>
      <c r="AJ943" s="1190"/>
      <c r="AK943" s="1190"/>
      <c r="AL943" s="1190"/>
      <c r="AM943" s="1190"/>
      <c r="AN943" s="1190"/>
      <c r="AO943" s="1190"/>
      <c r="AP943" s="1190"/>
      <c r="AQ943" s="1190"/>
      <c r="AR943" s="1190"/>
      <c r="AS943" s="1190"/>
      <c r="AT943" s="1190"/>
      <c r="AU943" s="1190"/>
      <c r="AV943" s="1190"/>
      <c r="AW943" s="1190"/>
      <c r="AX943" s="1190"/>
      <c r="AY943" s="1190"/>
      <c r="AZ943" s="1190"/>
      <c r="BA943" s="1190"/>
      <c r="BB943" s="1190"/>
      <c r="BC943" s="1190"/>
      <c r="BD943" s="1190"/>
      <c r="BE943" s="1190"/>
      <c r="BF943" s="1190"/>
      <c r="BG943" s="1190"/>
      <c r="BH943" s="1190"/>
      <c r="BI943" s="1190"/>
      <c r="BJ943" s="1190"/>
      <c r="BK943" s="1190"/>
      <c r="BL943" s="1190"/>
      <c r="BM943" s="1190"/>
      <c r="BQ943" s="195"/>
      <c r="BR943" s="195"/>
      <c r="BT943" s="1005"/>
    </row>
    <row r="944" ht="15.75" customHeight="1">
      <c r="A944" s="195"/>
      <c r="B944" s="978"/>
      <c r="C944" s="2321"/>
      <c r="D944" s="1729"/>
      <c r="E944" s="1190"/>
      <c r="F944" s="1190"/>
      <c r="G944" s="1190"/>
      <c r="H944" s="1190"/>
      <c r="I944" s="1190"/>
      <c r="J944" s="1190"/>
      <c r="K944" s="1190"/>
      <c r="L944" s="1190"/>
      <c r="M944" s="1190"/>
      <c r="N944" s="1190"/>
      <c r="O944" s="1190"/>
      <c r="P944" s="1190"/>
      <c r="Q944" s="1190"/>
      <c r="R944" s="1190"/>
      <c r="S944" s="1189"/>
      <c r="T944" s="1190"/>
      <c r="U944" s="1190"/>
      <c r="V944" s="1190"/>
      <c r="W944" s="1190"/>
      <c r="X944" s="1190"/>
      <c r="Y944" s="1190"/>
      <c r="Z944" s="1190"/>
      <c r="AA944" s="1190"/>
      <c r="AB944" s="1190"/>
      <c r="AC944" s="1190"/>
      <c r="AD944" s="1190"/>
      <c r="AE944" s="1190"/>
      <c r="AF944" s="1190"/>
      <c r="AG944" s="1748"/>
      <c r="AH944" s="1190"/>
      <c r="AI944" s="1748"/>
      <c r="AJ944" s="1190"/>
      <c r="AK944" s="1190"/>
      <c r="AL944" s="1190"/>
      <c r="AM944" s="1190"/>
      <c r="AN944" s="1190"/>
      <c r="AO944" s="1190"/>
      <c r="AP944" s="1190"/>
      <c r="AQ944" s="1190"/>
      <c r="AR944" s="1190"/>
      <c r="AS944" s="1190"/>
      <c r="AT944" s="1190"/>
      <c r="AU944" s="1190"/>
      <c r="AV944" s="1190"/>
      <c r="AW944" s="1190"/>
      <c r="AX944" s="1190"/>
      <c r="AY944" s="1190"/>
      <c r="AZ944" s="1190"/>
      <c r="BA944" s="1190"/>
      <c r="BB944" s="1190"/>
      <c r="BC944" s="1190"/>
      <c r="BD944" s="1190"/>
      <c r="BE944" s="1190"/>
      <c r="BF944" s="1190"/>
      <c r="BG944" s="1190"/>
      <c r="BH944" s="1190"/>
      <c r="BI944" s="1190"/>
      <c r="BJ944" s="1190"/>
      <c r="BK944" s="1190"/>
      <c r="BL944" s="1190"/>
      <c r="BM944" s="1190"/>
      <c r="BQ944" s="195"/>
      <c r="BR944" s="195"/>
      <c r="BT944" s="1005"/>
    </row>
    <row r="945" ht="15.75" customHeight="1">
      <c r="A945" s="195"/>
      <c r="B945" s="978"/>
      <c r="C945" s="2321"/>
      <c r="D945" s="1729"/>
      <c r="E945" s="1190"/>
      <c r="F945" s="1190"/>
      <c r="G945" s="1190"/>
      <c r="H945" s="1190"/>
      <c r="I945" s="1190"/>
      <c r="J945" s="1190"/>
      <c r="K945" s="1190"/>
      <c r="L945" s="1190"/>
      <c r="M945" s="1190"/>
      <c r="N945" s="1190"/>
      <c r="O945" s="1190"/>
      <c r="P945" s="1190"/>
      <c r="Q945" s="1190"/>
      <c r="R945" s="1190"/>
      <c r="S945" s="1189"/>
      <c r="T945" s="1190"/>
      <c r="U945" s="1190"/>
      <c r="V945" s="1190"/>
      <c r="W945" s="1190"/>
      <c r="X945" s="1190"/>
      <c r="Y945" s="1190"/>
      <c r="Z945" s="1190"/>
      <c r="AA945" s="1190"/>
      <c r="AB945" s="1190"/>
      <c r="AC945" s="1190"/>
      <c r="AD945" s="1190"/>
      <c r="AE945" s="1190"/>
      <c r="AF945" s="1190"/>
      <c r="AG945" s="1748"/>
      <c r="AH945" s="1190"/>
      <c r="AI945" s="1748"/>
      <c r="AJ945" s="1190"/>
      <c r="AK945" s="1190"/>
      <c r="AL945" s="1190"/>
      <c r="AM945" s="1190"/>
      <c r="AN945" s="1190"/>
      <c r="AO945" s="1190"/>
      <c r="AP945" s="1190"/>
      <c r="AQ945" s="1190"/>
      <c r="AR945" s="1190"/>
      <c r="AS945" s="1190"/>
      <c r="AT945" s="1190"/>
      <c r="AU945" s="1190"/>
      <c r="AV945" s="1190"/>
      <c r="AW945" s="1190"/>
      <c r="AX945" s="1190"/>
      <c r="AY945" s="1190"/>
      <c r="AZ945" s="1190"/>
      <c r="BA945" s="1190"/>
      <c r="BB945" s="1190"/>
      <c r="BC945" s="1190"/>
      <c r="BD945" s="1190"/>
      <c r="BE945" s="1190"/>
      <c r="BF945" s="1190"/>
      <c r="BG945" s="1190"/>
      <c r="BH945" s="1190"/>
      <c r="BI945" s="1190"/>
      <c r="BJ945" s="1190"/>
      <c r="BK945" s="1190"/>
      <c r="BL945" s="1190"/>
      <c r="BM945" s="1190"/>
      <c r="BQ945" s="195"/>
      <c r="BR945" s="195"/>
      <c r="BT945" s="1005"/>
    </row>
    <row r="946" ht="15.75" customHeight="1">
      <c r="A946" s="195"/>
      <c r="B946" s="978"/>
      <c r="C946" s="2321"/>
      <c r="D946" s="1729"/>
      <c r="E946" s="1190"/>
      <c r="F946" s="1190"/>
      <c r="G946" s="1190"/>
      <c r="H946" s="1190"/>
      <c r="I946" s="1190"/>
      <c r="J946" s="1190"/>
      <c r="K946" s="1190"/>
      <c r="L946" s="1190"/>
      <c r="M946" s="1190"/>
      <c r="N946" s="1190"/>
      <c r="O946" s="1190"/>
      <c r="P946" s="1190"/>
      <c r="Q946" s="1190"/>
      <c r="R946" s="1190"/>
      <c r="S946" s="1189"/>
      <c r="T946" s="1190"/>
      <c r="U946" s="1190"/>
      <c r="V946" s="1190"/>
      <c r="W946" s="1190"/>
      <c r="X946" s="1190"/>
      <c r="Y946" s="1190"/>
      <c r="Z946" s="1190"/>
      <c r="AA946" s="1190"/>
      <c r="AB946" s="1190"/>
      <c r="AC946" s="1190"/>
      <c r="AD946" s="1190"/>
      <c r="AE946" s="1190"/>
      <c r="AF946" s="1190"/>
      <c r="AG946" s="1748"/>
      <c r="AH946" s="1190"/>
      <c r="AI946" s="1748"/>
      <c r="AJ946" s="1190"/>
      <c r="AK946" s="1190"/>
      <c r="AL946" s="1190"/>
      <c r="AM946" s="1190"/>
      <c r="AN946" s="1190"/>
      <c r="AO946" s="1190"/>
      <c r="AP946" s="1190"/>
      <c r="AQ946" s="1190"/>
      <c r="AR946" s="1190"/>
      <c r="AS946" s="1190"/>
      <c r="AT946" s="1190"/>
      <c r="AU946" s="1190"/>
      <c r="AV946" s="1190"/>
      <c r="AW946" s="1190"/>
      <c r="AX946" s="1190"/>
      <c r="AY946" s="1190"/>
      <c r="AZ946" s="1190"/>
      <c r="BA946" s="1190"/>
      <c r="BB946" s="1190"/>
      <c r="BC946" s="1190"/>
      <c r="BD946" s="1190"/>
      <c r="BE946" s="1190"/>
      <c r="BF946" s="1190"/>
      <c r="BG946" s="1190"/>
      <c r="BH946" s="1190"/>
      <c r="BI946" s="1190"/>
      <c r="BJ946" s="1190"/>
      <c r="BK946" s="1190"/>
      <c r="BL946" s="1190"/>
      <c r="BM946" s="1190"/>
      <c r="BQ946" s="195"/>
      <c r="BR946" s="195"/>
      <c r="BT946" s="1005"/>
    </row>
    <row r="947" ht="15.75" customHeight="1">
      <c r="A947" s="195"/>
      <c r="B947" s="978"/>
      <c r="C947" s="2321"/>
      <c r="D947" s="1729"/>
      <c r="E947" s="1190"/>
      <c r="F947" s="1190"/>
      <c r="G947" s="1190"/>
      <c r="H947" s="1190"/>
      <c r="I947" s="1190"/>
      <c r="J947" s="1190"/>
      <c r="K947" s="1190"/>
      <c r="L947" s="1190"/>
      <c r="M947" s="1190"/>
      <c r="N947" s="1190"/>
      <c r="O947" s="1190"/>
      <c r="P947" s="1190"/>
      <c r="Q947" s="1190"/>
      <c r="R947" s="1190"/>
      <c r="S947" s="1189"/>
      <c r="T947" s="1190"/>
      <c r="U947" s="1190"/>
      <c r="V947" s="1190"/>
      <c r="W947" s="1190"/>
      <c r="X947" s="1190"/>
      <c r="Y947" s="1190"/>
      <c r="Z947" s="1190"/>
      <c r="AA947" s="1190"/>
      <c r="AB947" s="1190"/>
      <c r="AC947" s="1190"/>
      <c r="AD947" s="1190"/>
      <c r="AE947" s="1190"/>
      <c r="AF947" s="1190"/>
      <c r="AG947" s="1748"/>
      <c r="AH947" s="1190"/>
      <c r="AI947" s="1748"/>
      <c r="AJ947" s="1190"/>
      <c r="AK947" s="1190"/>
      <c r="AL947" s="1190"/>
      <c r="AM947" s="1190"/>
      <c r="AN947" s="1190"/>
      <c r="AO947" s="1190"/>
      <c r="AP947" s="1190"/>
      <c r="AQ947" s="1190"/>
      <c r="AR947" s="1190"/>
      <c r="AS947" s="1190"/>
      <c r="AT947" s="1190"/>
      <c r="AU947" s="1190"/>
      <c r="AV947" s="1190"/>
      <c r="AW947" s="1190"/>
      <c r="AX947" s="1190"/>
      <c r="AY947" s="1190"/>
      <c r="AZ947" s="1190"/>
      <c r="BA947" s="1190"/>
      <c r="BB947" s="1190"/>
      <c r="BC947" s="1190"/>
      <c r="BD947" s="1190"/>
      <c r="BE947" s="1190"/>
      <c r="BF947" s="1190"/>
      <c r="BG947" s="1190"/>
      <c r="BH947" s="1190"/>
      <c r="BI947" s="1190"/>
      <c r="BJ947" s="1190"/>
      <c r="BK947" s="1190"/>
      <c r="BL947" s="1190"/>
      <c r="BM947" s="1190"/>
      <c r="BQ947" s="195"/>
      <c r="BR947" s="195"/>
      <c r="BT947" s="1005"/>
    </row>
    <row r="948" ht="15.75" customHeight="1">
      <c r="A948" s="195"/>
      <c r="B948" s="978"/>
      <c r="C948" s="2321"/>
      <c r="D948" s="1729"/>
      <c r="E948" s="1190"/>
      <c r="F948" s="1190"/>
      <c r="G948" s="1190"/>
      <c r="H948" s="1190"/>
      <c r="I948" s="1190"/>
      <c r="J948" s="1190"/>
      <c r="K948" s="1190"/>
      <c r="L948" s="1190"/>
      <c r="M948" s="1190"/>
      <c r="N948" s="1190"/>
      <c r="O948" s="1190"/>
      <c r="P948" s="1190"/>
      <c r="Q948" s="1190"/>
      <c r="R948" s="1190"/>
      <c r="S948" s="1189"/>
      <c r="T948" s="1190"/>
      <c r="U948" s="1190"/>
      <c r="V948" s="1190"/>
      <c r="W948" s="1190"/>
      <c r="X948" s="1190"/>
      <c r="Y948" s="1190"/>
      <c r="Z948" s="1190"/>
      <c r="AA948" s="1190"/>
      <c r="AB948" s="1190"/>
      <c r="AC948" s="1190"/>
      <c r="AD948" s="1190"/>
      <c r="AE948" s="1190"/>
      <c r="AF948" s="1190"/>
      <c r="AG948" s="1748"/>
      <c r="AH948" s="1190"/>
      <c r="AI948" s="1748"/>
      <c r="AJ948" s="1190"/>
      <c r="AK948" s="1190"/>
      <c r="AL948" s="1190"/>
      <c r="AM948" s="1190"/>
      <c r="AN948" s="1190"/>
      <c r="AO948" s="1190"/>
      <c r="AP948" s="1190"/>
      <c r="AQ948" s="1190"/>
      <c r="AR948" s="1190"/>
      <c r="AS948" s="1190"/>
      <c r="AT948" s="1190"/>
      <c r="AU948" s="1190"/>
      <c r="AV948" s="1190"/>
      <c r="AW948" s="1190"/>
      <c r="AX948" s="1190"/>
      <c r="AY948" s="1190"/>
      <c r="AZ948" s="1190"/>
      <c r="BA948" s="1190"/>
      <c r="BB948" s="1190"/>
      <c r="BC948" s="1190"/>
      <c r="BD948" s="1190"/>
      <c r="BE948" s="1190"/>
      <c r="BF948" s="1190"/>
      <c r="BG948" s="1190"/>
      <c r="BH948" s="1190"/>
      <c r="BI948" s="1190"/>
      <c r="BJ948" s="1190"/>
      <c r="BK948" s="1190"/>
      <c r="BL948" s="1190"/>
      <c r="BM948" s="1190"/>
      <c r="BQ948" s="195"/>
      <c r="BR948" s="195"/>
      <c r="BT948" s="1005"/>
    </row>
    <row r="949" ht="15.75" customHeight="1">
      <c r="A949" s="195"/>
      <c r="B949" s="978"/>
      <c r="C949" s="2321"/>
      <c r="D949" s="1729"/>
      <c r="E949" s="1190"/>
      <c r="F949" s="1190"/>
      <c r="G949" s="1190"/>
      <c r="H949" s="1190"/>
      <c r="I949" s="1190"/>
      <c r="J949" s="1190"/>
      <c r="K949" s="1190"/>
      <c r="L949" s="1190"/>
      <c r="M949" s="1190"/>
      <c r="N949" s="1190"/>
      <c r="O949" s="1190"/>
      <c r="P949" s="1190"/>
      <c r="Q949" s="1190"/>
      <c r="R949" s="1190"/>
      <c r="S949" s="1189"/>
      <c r="T949" s="1190"/>
      <c r="U949" s="1190"/>
      <c r="V949" s="1190"/>
      <c r="W949" s="1190"/>
      <c r="X949" s="1190"/>
      <c r="Y949" s="1190"/>
      <c r="Z949" s="1190"/>
      <c r="AA949" s="1190"/>
      <c r="AB949" s="1190"/>
      <c r="AC949" s="1190"/>
      <c r="AD949" s="1190"/>
      <c r="AE949" s="1190"/>
      <c r="AF949" s="1190"/>
      <c r="AG949" s="1748"/>
      <c r="AH949" s="1190"/>
      <c r="AI949" s="1748"/>
      <c r="AJ949" s="1190"/>
      <c r="AK949" s="1190"/>
      <c r="AL949" s="1190"/>
      <c r="AM949" s="1190"/>
      <c r="AN949" s="1190"/>
      <c r="AO949" s="1190"/>
      <c r="AP949" s="1190"/>
      <c r="AQ949" s="1190"/>
      <c r="AR949" s="1190"/>
      <c r="AS949" s="1190"/>
      <c r="AT949" s="1190"/>
      <c r="AU949" s="1190"/>
      <c r="AV949" s="1190"/>
      <c r="AW949" s="1190"/>
      <c r="AX949" s="1190"/>
      <c r="AY949" s="1190"/>
      <c r="AZ949" s="1190"/>
      <c r="BA949" s="1190"/>
      <c r="BB949" s="1190"/>
      <c r="BC949" s="1190"/>
      <c r="BD949" s="1190"/>
      <c r="BE949" s="1190"/>
      <c r="BF949" s="1190"/>
      <c r="BG949" s="1190"/>
      <c r="BH949" s="1190"/>
      <c r="BI949" s="1190"/>
      <c r="BJ949" s="1190"/>
      <c r="BK949" s="1190"/>
      <c r="BL949" s="1190"/>
      <c r="BM949" s="1190"/>
      <c r="BQ949" s="195"/>
      <c r="BR949" s="195"/>
      <c r="BT949" s="1005"/>
    </row>
    <row r="950" ht="15.75" customHeight="1">
      <c r="A950" s="195"/>
      <c r="B950" s="978"/>
      <c r="C950" s="2321"/>
      <c r="D950" s="1729"/>
      <c r="E950" s="1190"/>
      <c r="F950" s="1190"/>
      <c r="G950" s="1190"/>
      <c r="H950" s="1190"/>
      <c r="I950" s="1190"/>
      <c r="J950" s="1190"/>
      <c r="K950" s="1190"/>
      <c r="L950" s="1190"/>
      <c r="M950" s="1190"/>
      <c r="N950" s="1190"/>
      <c r="O950" s="1190"/>
      <c r="P950" s="1190"/>
      <c r="Q950" s="1190"/>
      <c r="R950" s="1190"/>
      <c r="S950" s="1189"/>
      <c r="T950" s="1190"/>
      <c r="U950" s="1190"/>
      <c r="V950" s="1190"/>
      <c r="W950" s="1190"/>
      <c r="X950" s="1190"/>
      <c r="Y950" s="1190"/>
      <c r="Z950" s="1190"/>
      <c r="AA950" s="1190"/>
      <c r="AB950" s="1190"/>
      <c r="AC950" s="1190"/>
      <c r="AD950" s="1190"/>
      <c r="AE950" s="1190"/>
      <c r="AF950" s="1190"/>
      <c r="AG950" s="1748"/>
      <c r="AH950" s="1190"/>
      <c r="AI950" s="1748"/>
      <c r="AJ950" s="1190"/>
      <c r="AK950" s="1190"/>
      <c r="AL950" s="1190"/>
      <c r="AM950" s="1190"/>
      <c r="AN950" s="1190"/>
      <c r="AO950" s="1190"/>
      <c r="AP950" s="1190"/>
      <c r="AQ950" s="1190"/>
      <c r="AR950" s="1190"/>
      <c r="AS950" s="1190"/>
      <c r="AT950" s="1190"/>
      <c r="AU950" s="1190"/>
      <c r="AV950" s="1190"/>
      <c r="AW950" s="1190"/>
      <c r="AX950" s="1190"/>
      <c r="AY950" s="1190"/>
      <c r="AZ950" s="1190"/>
      <c r="BA950" s="1190"/>
      <c r="BB950" s="1190"/>
      <c r="BC950" s="1190"/>
      <c r="BD950" s="1190"/>
      <c r="BE950" s="1190"/>
      <c r="BF950" s="1190"/>
      <c r="BG950" s="1190"/>
      <c r="BH950" s="1190"/>
      <c r="BI950" s="1190"/>
      <c r="BJ950" s="1190"/>
      <c r="BK950" s="1190"/>
      <c r="BL950" s="1190"/>
      <c r="BM950" s="1190"/>
      <c r="BQ950" s="195"/>
      <c r="BR950" s="195"/>
      <c r="BT950" s="1005"/>
    </row>
    <row r="951" ht="15.75" customHeight="1">
      <c r="A951" s="195"/>
      <c r="B951" s="978"/>
      <c r="C951" s="2321"/>
      <c r="D951" s="1729"/>
      <c r="E951" s="1190"/>
      <c r="F951" s="1190"/>
      <c r="G951" s="1190"/>
      <c r="H951" s="1190"/>
      <c r="I951" s="1190"/>
      <c r="J951" s="1190"/>
      <c r="K951" s="1190"/>
      <c r="L951" s="1190"/>
      <c r="M951" s="1190"/>
      <c r="N951" s="1190"/>
      <c r="O951" s="1190"/>
      <c r="P951" s="1190"/>
      <c r="Q951" s="1190"/>
      <c r="R951" s="1190"/>
      <c r="S951" s="1189"/>
      <c r="T951" s="1190"/>
      <c r="U951" s="1190"/>
      <c r="V951" s="1190"/>
      <c r="W951" s="1190"/>
      <c r="X951" s="1190"/>
      <c r="Y951" s="1190"/>
      <c r="Z951" s="1190"/>
      <c r="AA951" s="1190"/>
      <c r="AB951" s="1190"/>
      <c r="AC951" s="1190"/>
      <c r="AD951" s="1190"/>
      <c r="AE951" s="1190"/>
      <c r="AF951" s="1190"/>
      <c r="AG951" s="1748"/>
      <c r="AH951" s="1190"/>
      <c r="AI951" s="1748"/>
      <c r="AJ951" s="1190"/>
      <c r="AK951" s="1190"/>
      <c r="AL951" s="1190"/>
      <c r="AM951" s="1190"/>
      <c r="AN951" s="1190"/>
      <c r="AO951" s="1190"/>
      <c r="AP951" s="1190"/>
      <c r="AQ951" s="1190"/>
      <c r="AR951" s="1190"/>
      <c r="AS951" s="1190"/>
      <c r="AT951" s="1190"/>
      <c r="AU951" s="1190"/>
      <c r="AV951" s="1190"/>
      <c r="AW951" s="1190"/>
      <c r="AX951" s="1190"/>
      <c r="AY951" s="1190"/>
      <c r="AZ951" s="1190"/>
      <c r="BA951" s="1190"/>
      <c r="BB951" s="1190"/>
      <c r="BC951" s="1190"/>
      <c r="BD951" s="1190"/>
      <c r="BE951" s="1190"/>
      <c r="BF951" s="1190"/>
      <c r="BG951" s="1190"/>
      <c r="BH951" s="1190"/>
      <c r="BI951" s="1190"/>
      <c r="BJ951" s="1190"/>
      <c r="BK951" s="1190"/>
      <c r="BL951" s="1190"/>
      <c r="BM951" s="1190"/>
      <c r="BQ951" s="195"/>
      <c r="BR951" s="195"/>
      <c r="BT951" s="1005"/>
    </row>
    <row r="952" ht="15.75" customHeight="1">
      <c r="A952" s="195"/>
      <c r="B952" s="978"/>
      <c r="C952" s="2321"/>
      <c r="D952" s="1729"/>
      <c r="E952" s="1190"/>
      <c r="F952" s="1190"/>
      <c r="G952" s="1190"/>
      <c r="H952" s="1190"/>
      <c r="I952" s="1190"/>
      <c r="J952" s="1190"/>
      <c r="K952" s="1190"/>
      <c r="L952" s="1190"/>
      <c r="M952" s="1190"/>
      <c r="N952" s="1190"/>
      <c r="O952" s="1190"/>
      <c r="P952" s="1190"/>
      <c r="Q952" s="1190"/>
      <c r="R952" s="1190"/>
      <c r="S952" s="1189"/>
      <c r="T952" s="1190"/>
      <c r="U952" s="1190"/>
      <c r="V952" s="1190"/>
      <c r="W952" s="1190"/>
      <c r="X952" s="1190"/>
      <c r="Y952" s="1190"/>
      <c r="Z952" s="1190"/>
      <c r="AA952" s="1190"/>
      <c r="AB952" s="1190"/>
      <c r="AC952" s="1190"/>
      <c r="AD952" s="1190"/>
      <c r="AE952" s="1190"/>
      <c r="AF952" s="1190"/>
      <c r="AG952" s="1748"/>
      <c r="AH952" s="1190"/>
      <c r="AI952" s="1748"/>
      <c r="AJ952" s="1190"/>
      <c r="AK952" s="1190"/>
      <c r="AL952" s="1190"/>
      <c r="AM952" s="1190"/>
      <c r="AN952" s="1190"/>
      <c r="AO952" s="1190"/>
      <c r="AP952" s="1190"/>
      <c r="AQ952" s="1190"/>
      <c r="AR952" s="1190"/>
      <c r="AS952" s="1190"/>
      <c r="AT952" s="1190"/>
      <c r="AU952" s="1190"/>
      <c r="AV952" s="1190"/>
      <c r="AW952" s="1190"/>
      <c r="AX952" s="1190"/>
      <c r="AY952" s="1190"/>
      <c r="AZ952" s="1190"/>
      <c r="BA952" s="1190"/>
      <c r="BB952" s="1190"/>
      <c r="BC952" s="1190"/>
      <c r="BD952" s="1190"/>
      <c r="BE952" s="1190"/>
      <c r="BF952" s="1190"/>
      <c r="BG952" s="1190"/>
      <c r="BH952" s="1190"/>
      <c r="BI952" s="1190"/>
      <c r="BJ952" s="1190"/>
      <c r="BK952" s="1190"/>
      <c r="BL952" s="1190"/>
      <c r="BM952" s="1190"/>
      <c r="BQ952" s="195"/>
      <c r="BR952" s="195"/>
      <c r="BT952" s="1005"/>
    </row>
    <row r="953" ht="15.75" customHeight="1">
      <c r="A953" s="195"/>
      <c r="B953" s="978"/>
      <c r="C953" s="2321"/>
      <c r="D953" s="1729"/>
      <c r="E953" s="1190"/>
      <c r="F953" s="1190"/>
      <c r="G953" s="1190"/>
      <c r="H953" s="1190"/>
      <c r="I953" s="1190"/>
      <c r="J953" s="1190"/>
      <c r="K953" s="1190"/>
      <c r="L953" s="1190"/>
      <c r="M953" s="1190"/>
      <c r="N953" s="1190"/>
      <c r="O953" s="1190"/>
      <c r="P953" s="1190"/>
      <c r="Q953" s="1190"/>
      <c r="R953" s="1190"/>
      <c r="S953" s="1189"/>
      <c r="T953" s="1190"/>
      <c r="U953" s="1190"/>
      <c r="V953" s="1190"/>
      <c r="W953" s="1190"/>
      <c r="X953" s="1190"/>
      <c r="Y953" s="1190"/>
      <c r="Z953" s="1190"/>
      <c r="AA953" s="1190"/>
      <c r="AB953" s="1190"/>
      <c r="AC953" s="1190"/>
      <c r="AD953" s="1190"/>
      <c r="AE953" s="1190"/>
      <c r="AF953" s="1190"/>
      <c r="AG953" s="1748"/>
      <c r="AH953" s="1190"/>
      <c r="AI953" s="1748"/>
      <c r="AJ953" s="1190"/>
      <c r="AK953" s="1190"/>
      <c r="AL953" s="1190"/>
      <c r="AM953" s="1190"/>
      <c r="AN953" s="1190"/>
      <c r="AO953" s="1190"/>
      <c r="AP953" s="1190"/>
      <c r="AQ953" s="1190"/>
      <c r="AR953" s="1190"/>
      <c r="AS953" s="1190"/>
      <c r="AT953" s="1190"/>
      <c r="AU953" s="1190"/>
      <c r="AV953" s="1190"/>
      <c r="AW953" s="1190"/>
      <c r="AX953" s="1190"/>
      <c r="AY953" s="1190"/>
      <c r="AZ953" s="1190"/>
      <c r="BA953" s="1190"/>
      <c r="BB953" s="1190"/>
      <c r="BC953" s="1190"/>
      <c r="BD953" s="1190"/>
      <c r="BE953" s="1190"/>
      <c r="BF953" s="1190"/>
      <c r="BG953" s="1190"/>
      <c r="BH953" s="1190"/>
      <c r="BI953" s="1190"/>
      <c r="BJ953" s="1190"/>
      <c r="BK953" s="1190"/>
      <c r="BL953" s="1190"/>
      <c r="BM953" s="1190"/>
      <c r="BQ953" s="195"/>
      <c r="BR953" s="195"/>
      <c r="BT953" s="1005"/>
    </row>
    <row r="954" ht="15.75" customHeight="1">
      <c r="A954" s="195"/>
      <c r="B954" s="978"/>
      <c r="C954" s="2321"/>
      <c r="D954" s="1729"/>
      <c r="E954" s="1190"/>
      <c r="F954" s="1190"/>
      <c r="G954" s="1190"/>
      <c r="H954" s="1190"/>
      <c r="I954" s="1190"/>
      <c r="J954" s="1190"/>
      <c r="K954" s="1190"/>
      <c r="L954" s="1190"/>
      <c r="M954" s="1190"/>
      <c r="N954" s="1190"/>
      <c r="O954" s="1190"/>
      <c r="P954" s="1190"/>
      <c r="Q954" s="1190"/>
      <c r="R954" s="1190"/>
      <c r="S954" s="1189"/>
      <c r="T954" s="1190"/>
      <c r="U954" s="1190"/>
      <c r="V954" s="1190"/>
      <c r="W954" s="1190"/>
      <c r="X954" s="1190"/>
      <c r="Y954" s="1190"/>
      <c r="Z954" s="1190"/>
      <c r="AA954" s="1190"/>
      <c r="AB954" s="1190"/>
      <c r="AC954" s="1190"/>
      <c r="AD954" s="1190"/>
      <c r="AE954" s="1190"/>
      <c r="AF954" s="1190"/>
      <c r="AG954" s="1748"/>
      <c r="AH954" s="1190"/>
      <c r="AI954" s="1748"/>
      <c r="AJ954" s="1190"/>
      <c r="AK954" s="1190"/>
      <c r="AL954" s="1190"/>
      <c r="AM954" s="1190"/>
      <c r="AN954" s="1190"/>
      <c r="AO954" s="1190"/>
      <c r="AP954" s="1190"/>
      <c r="AQ954" s="1190"/>
      <c r="AR954" s="1190"/>
      <c r="AS954" s="1190"/>
      <c r="AT954" s="1190"/>
      <c r="AU954" s="1190"/>
      <c r="AV954" s="1190"/>
      <c r="AW954" s="1190"/>
      <c r="AX954" s="1190"/>
      <c r="AY954" s="1190"/>
      <c r="AZ954" s="1190"/>
      <c r="BA954" s="1190"/>
      <c r="BB954" s="1190"/>
      <c r="BC954" s="1190"/>
      <c r="BD954" s="1190"/>
      <c r="BE954" s="1190"/>
      <c r="BF954" s="1190"/>
      <c r="BG954" s="1190"/>
      <c r="BH954" s="1190"/>
      <c r="BI954" s="1190"/>
      <c r="BJ954" s="1190"/>
      <c r="BK954" s="1190"/>
      <c r="BL954" s="1190"/>
      <c r="BM954" s="1190"/>
      <c r="BQ954" s="195"/>
      <c r="BR954" s="195"/>
      <c r="BT954" s="1005"/>
    </row>
    <row r="955" ht="15.75" customHeight="1">
      <c r="A955" s="195"/>
      <c r="B955" s="978"/>
      <c r="C955" s="2321"/>
      <c r="D955" s="1729"/>
      <c r="E955" s="1190"/>
      <c r="F955" s="1190"/>
      <c r="G955" s="1190"/>
      <c r="H955" s="1190"/>
      <c r="I955" s="1190"/>
      <c r="J955" s="1190"/>
      <c r="K955" s="1190"/>
      <c r="L955" s="1190"/>
      <c r="M955" s="1190"/>
      <c r="N955" s="1190"/>
      <c r="O955" s="1190"/>
      <c r="P955" s="1190"/>
      <c r="Q955" s="1190"/>
      <c r="R955" s="1190"/>
      <c r="S955" s="1189"/>
      <c r="T955" s="1190"/>
      <c r="U955" s="1190"/>
      <c r="V955" s="1190"/>
      <c r="W955" s="1190"/>
      <c r="X955" s="1190"/>
      <c r="Y955" s="1190"/>
      <c r="Z955" s="1190"/>
      <c r="AA955" s="1190"/>
      <c r="AB955" s="1190"/>
      <c r="AC955" s="1190"/>
      <c r="AD955" s="1190"/>
      <c r="AE955" s="1190"/>
      <c r="AF955" s="1190"/>
      <c r="AG955" s="1748"/>
      <c r="AH955" s="1190"/>
      <c r="AI955" s="1748"/>
      <c r="AJ955" s="1190"/>
      <c r="AK955" s="1190"/>
      <c r="AL955" s="1190"/>
      <c r="AM955" s="1190"/>
      <c r="AN955" s="1190"/>
      <c r="AO955" s="1190"/>
      <c r="AP955" s="1190"/>
      <c r="AQ955" s="1190"/>
      <c r="AR955" s="1190"/>
      <c r="AS955" s="1190"/>
      <c r="AT955" s="1190"/>
      <c r="AU955" s="1190"/>
      <c r="AV955" s="1190"/>
      <c r="AW955" s="1190"/>
      <c r="AX955" s="1190"/>
      <c r="AY955" s="1190"/>
      <c r="AZ955" s="1190"/>
      <c r="BA955" s="1190"/>
      <c r="BB955" s="1190"/>
      <c r="BC955" s="1190"/>
      <c r="BD955" s="1190"/>
      <c r="BE955" s="1190"/>
      <c r="BF955" s="1190"/>
      <c r="BG955" s="1190"/>
      <c r="BH955" s="1190"/>
      <c r="BI955" s="1190"/>
      <c r="BJ955" s="1190"/>
      <c r="BK955" s="1190"/>
      <c r="BL955" s="1190"/>
      <c r="BM955" s="1190"/>
      <c r="BQ955" s="195"/>
      <c r="BR955" s="195"/>
      <c r="BT955" s="1005"/>
    </row>
    <row r="956" ht="15.75" customHeight="1">
      <c r="A956" s="195"/>
      <c r="B956" s="978"/>
      <c r="C956" s="2321"/>
      <c r="D956" s="1729"/>
      <c r="E956" s="1190"/>
      <c r="F956" s="1190"/>
      <c r="G956" s="1190"/>
      <c r="H956" s="1190"/>
      <c r="I956" s="1190"/>
      <c r="J956" s="1190"/>
      <c r="K956" s="1190"/>
      <c r="L956" s="1190"/>
      <c r="M956" s="1190"/>
      <c r="N956" s="1190"/>
      <c r="O956" s="1190"/>
      <c r="P956" s="1190"/>
      <c r="Q956" s="1190"/>
      <c r="R956" s="1190"/>
      <c r="S956" s="1189"/>
      <c r="T956" s="1190"/>
      <c r="U956" s="1190"/>
      <c r="V956" s="1190"/>
      <c r="W956" s="1190"/>
      <c r="X956" s="1190"/>
      <c r="Y956" s="1190"/>
      <c r="Z956" s="1190"/>
      <c r="AA956" s="1190"/>
      <c r="AB956" s="1190"/>
      <c r="AC956" s="1190"/>
      <c r="AD956" s="1190"/>
      <c r="AE956" s="1190"/>
      <c r="AF956" s="1190"/>
      <c r="AG956" s="1748"/>
      <c r="AH956" s="1190"/>
      <c r="AI956" s="1748"/>
      <c r="AJ956" s="1190"/>
      <c r="AK956" s="1190"/>
      <c r="AL956" s="1190"/>
      <c r="AM956" s="1190"/>
      <c r="AN956" s="1190"/>
      <c r="AO956" s="1190"/>
      <c r="AP956" s="1190"/>
      <c r="AQ956" s="1190"/>
      <c r="AR956" s="1190"/>
      <c r="AS956" s="1190"/>
      <c r="AT956" s="1190"/>
      <c r="AU956" s="1190"/>
      <c r="AV956" s="1190"/>
      <c r="AW956" s="1190"/>
      <c r="AX956" s="1190"/>
      <c r="AY956" s="1190"/>
      <c r="AZ956" s="1190"/>
      <c r="BA956" s="1190"/>
      <c r="BB956" s="1190"/>
      <c r="BC956" s="1190"/>
      <c r="BD956" s="1190"/>
      <c r="BE956" s="1190"/>
      <c r="BF956" s="1190"/>
      <c r="BG956" s="1190"/>
      <c r="BH956" s="1190"/>
      <c r="BI956" s="1190"/>
      <c r="BJ956" s="1190"/>
      <c r="BK956" s="1190"/>
      <c r="BL956" s="1190"/>
      <c r="BM956" s="1190"/>
      <c r="BQ956" s="195"/>
      <c r="BR956" s="195"/>
      <c r="BT956" s="1005"/>
    </row>
    <row r="957" ht="15.75" customHeight="1">
      <c r="A957" s="195"/>
      <c r="B957" s="978"/>
      <c r="C957" s="2321"/>
      <c r="D957" s="1729"/>
      <c r="E957" s="1190"/>
      <c r="F957" s="1190"/>
      <c r="G957" s="1190"/>
      <c r="H957" s="1190"/>
      <c r="I957" s="1190"/>
      <c r="J957" s="1190"/>
      <c r="K957" s="1190"/>
      <c r="L957" s="1190"/>
      <c r="M957" s="1190"/>
      <c r="N957" s="1190"/>
      <c r="O957" s="1190"/>
      <c r="P957" s="1190"/>
      <c r="Q957" s="1190"/>
      <c r="R957" s="1190"/>
      <c r="S957" s="1189"/>
      <c r="T957" s="1190"/>
      <c r="U957" s="1190"/>
      <c r="V957" s="1190"/>
      <c r="W957" s="1190"/>
      <c r="X957" s="1190"/>
      <c r="Y957" s="1190"/>
      <c r="Z957" s="1190"/>
      <c r="AA957" s="1190"/>
      <c r="AB957" s="1190"/>
      <c r="AC957" s="1190"/>
      <c r="AD957" s="1190"/>
      <c r="AE957" s="1190"/>
      <c r="AF957" s="1190"/>
      <c r="AG957" s="1748"/>
      <c r="AH957" s="1190"/>
      <c r="AI957" s="1748"/>
      <c r="AJ957" s="1190"/>
      <c r="AK957" s="1190"/>
      <c r="AL957" s="1190"/>
      <c r="AM957" s="1190"/>
      <c r="AN957" s="1190"/>
      <c r="AO957" s="1190"/>
      <c r="AP957" s="1190"/>
      <c r="AQ957" s="1190"/>
      <c r="AR957" s="1190"/>
      <c r="AS957" s="1190"/>
      <c r="AT957" s="1190"/>
      <c r="AU957" s="1190"/>
      <c r="AV957" s="1190"/>
      <c r="AW957" s="1190"/>
      <c r="AX957" s="1190"/>
      <c r="AY957" s="1190"/>
      <c r="AZ957" s="1190"/>
      <c r="BA957" s="1190"/>
      <c r="BB957" s="1190"/>
      <c r="BC957" s="1190"/>
      <c r="BD957" s="1190"/>
      <c r="BE957" s="1190"/>
      <c r="BF957" s="1190"/>
      <c r="BG957" s="1190"/>
      <c r="BH957" s="1190"/>
      <c r="BI957" s="1190"/>
      <c r="BJ957" s="1190"/>
      <c r="BK957" s="1190"/>
      <c r="BL957" s="1190"/>
      <c r="BM957" s="1190"/>
      <c r="BQ957" s="195"/>
      <c r="BR957" s="195"/>
      <c r="BT957" s="1005"/>
    </row>
    <row r="958" ht="15.75" customHeight="1">
      <c r="A958" s="195"/>
      <c r="B958" s="978"/>
      <c r="C958" s="2321"/>
      <c r="D958" s="1729"/>
      <c r="E958" s="1190"/>
      <c r="F958" s="1190"/>
      <c r="G958" s="1190"/>
      <c r="H958" s="1190"/>
      <c r="I958" s="1190"/>
      <c r="J958" s="1190"/>
      <c r="K958" s="1190"/>
      <c r="L958" s="1190"/>
      <c r="M958" s="1190"/>
      <c r="N958" s="1190"/>
      <c r="O958" s="1190"/>
      <c r="P958" s="1190"/>
      <c r="Q958" s="1190"/>
      <c r="R958" s="1190"/>
      <c r="S958" s="1189"/>
      <c r="T958" s="1190"/>
      <c r="U958" s="1190"/>
      <c r="V958" s="1190"/>
      <c r="W958" s="1190"/>
      <c r="X958" s="1190"/>
      <c r="Y958" s="1190"/>
      <c r="Z958" s="1190"/>
      <c r="AA958" s="1190"/>
      <c r="AB958" s="1190"/>
      <c r="AC958" s="1190"/>
      <c r="AD958" s="1190"/>
      <c r="AE958" s="1190"/>
      <c r="AF958" s="1190"/>
      <c r="AG958" s="1748"/>
      <c r="AH958" s="1190"/>
      <c r="AI958" s="1748"/>
      <c r="AJ958" s="1190"/>
      <c r="AK958" s="1190"/>
      <c r="AL958" s="1190"/>
      <c r="AM958" s="1190"/>
      <c r="AN958" s="1190"/>
      <c r="AO958" s="1190"/>
      <c r="AP958" s="1190"/>
      <c r="AQ958" s="1190"/>
      <c r="AR958" s="1190"/>
      <c r="AS958" s="1190"/>
      <c r="AT958" s="1190"/>
      <c r="AU958" s="1190"/>
      <c r="AV958" s="1190"/>
      <c r="AW958" s="1190"/>
      <c r="AX958" s="1190"/>
      <c r="AY958" s="1190"/>
      <c r="AZ958" s="1190"/>
      <c r="BA958" s="1190"/>
      <c r="BB958" s="1190"/>
      <c r="BC958" s="1190"/>
      <c r="BD958" s="1190"/>
      <c r="BE958" s="1190"/>
      <c r="BF958" s="1190"/>
      <c r="BG958" s="1190"/>
      <c r="BH958" s="1190"/>
      <c r="BI958" s="1190"/>
      <c r="BJ958" s="1190"/>
      <c r="BK958" s="1190"/>
      <c r="BL958" s="1190"/>
      <c r="BM958" s="1190"/>
      <c r="BQ958" s="195"/>
      <c r="BR958" s="195"/>
      <c r="BT958" s="1005"/>
    </row>
    <row r="959" ht="15.75" customHeight="1">
      <c r="A959" s="195"/>
      <c r="B959" s="978"/>
      <c r="C959" s="2321"/>
      <c r="D959" s="1729"/>
      <c r="E959" s="1190"/>
      <c r="F959" s="1190"/>
      <c r="G959" s="1190"/>
      <c r="H959" s="1190"/>
      <c r="I959" s="1190"/>
      <c r="J959" s="1190"/>
      <c r="K959" s="1190"/>
      <c r="L959" s="1190"/>
      <c r="M959" s="1190"/>
      <c r="N959" s="1190"/>
      <c r="O959" s="1190"/>
      <c r="P959" s="1190"/>
      <c r="Q959" s="1190"/>
      <c r="R959" s="1190"/>
      <c r="S959" s="1189"/>
      <c r="T959" s="1190"/>
      <c r="U959" s="1190"/>
      <c r="V959" s="1190"/>
      <c r="W959" s="1190"/>
      <c r="X959" s="1190"/>
      <c r="Y959" s="1190"/>
      <c r="Z959" s="1190"/>
      <c r="AA959" s="1190"/>
      <c r="AB959" s="1190"/>
      <c r="AC959" s="1190"/>
      <c r="AD959" s="1190"/>
      <c r="AE959" s="1190"/>
      <c r="AF959" s="1190"/>
      <c r="AG959" s="1748"/>
      <c r="AH959" s="1190"/>
      <c r="AI959" s="1748"/>
      <c r="AJ959" s="1190"/>
      <c r="AK959" s="1190"/>
      <c r="AL959" s="1190"/>
      <c r="AM959" s="1190"/>
      <c r="AN959" s="1190"/>
      <c r="AO959" s="1190"/>
      <c r="AP959" s="1190"/>
      <c r="AQ959" s="1190"/>
      <c r="AR959" s="1190"/>
      <c r="AS959" s="1190"/>
      <c r="AT959" s="1190"/>
      <c r="AU959" s="1190"/>
      <c r="AV959" s="1190"/>
      <c r="AW959" s="1190"/>
      <c r="AX959" s="1190"/>
      <c r="AY959" s="1190"/>
      <c r="AZ959" s="1190"/>
      <c r="BA959" s="1190"/>
      <c r="BB959" s="1190"/>
      <c r="BC959" s="1190"/>
      <c r="BD959" s="1190"/>
      <c r="BE959" s="1190"/>
      <c r="BF959" s="1190"/>
      <c r="BG959" s="1190"/>
      <c r="BH959" s="1190"/>
      <c r="BI959" s="1190"/>
      <c r="BJ959" s="1190"/>
      <c r="BK959" s="1190"/>
      <c r="BL959" s="1190"/>
      <c r="BM959" s="1190"/>
      <c r="BQ959" s="195"/>
      <c r="BR959" s="195"/>
      <c r="BT959" s="1005"/>
    </row>
    <row r="960" ht="15.75" customHeight="1">
      <c r="A960" s="195"/>
      <c r="B960" s="978"/>
      <c r="C960" s="2321"/>
      <c r="D960" s="1729"/>
      <c r="E960" s="1190"/>
      <c r="F960" s="1190"/>
      <c r="G960" s="1190"/>
      <c r="H960" s="1190"/>
      <c r="I960" s="1190"/>
      <c r="J960" s="1190"/>
      <c r="K960" s="1190"/>
      <c r="L960" s="1190"/>
      <c r="M960" s="1190"/>
      <c r="N960" s="1190"/>
      <c r="O960" s="1190"/>
      <c r="P960" s="1190"/>
      <c r="Q960" s="1190"/>
      <c r="R960" s="1190"/>
      <c r="S960" s="1189"/>
      <c r="T960" s="1190"/>
      <c r="U960" s="1190"/>
      <c r="V960" s="1190"/>
      <c r="W960" s="1190"/>
      <c r="X960" s="1190"/>
      <c r="Y960" s="1190"/>
      <c r="Z960" s="1190"/>
      <c r="AA960" s="1190"/>
      <c r="AB960" s="1190"/>
      <c r="AC960" s="1190"/>
      <c r="AD960" s="1190"/>
      <c r="AE960" s="1190"/>
      <c r="AF960" s="1190"/>
      <c r="AG960" s="1748"/>
      <c r="AH960" s="1190"/>
      <c r="AI960" s="1748"/>
      <c r="AJ960" s="1190"/>
      <c r="AK960" s="1190"/>
      <c r="AL960" s="1190"/>
      <c r="AM960" s="1190"/>
      <c r="AN960" s="1190"/>
      <c r="AO960" s="1190"/>
      <c r="AP960" s="1190"/>
      <c r="AQ960" s="1190"/>
      <c r="AR960" s="1190"/>
      <c r="AS960" s="1190"/>
      <c r="AT960" s="1190"/>
      <c r="AU960" s="1190"/>
      <c r="AV960" s="1190"/>
      <c r="AW960" s="1190"/>
      <c r="AX960" s="1190"/>
      <c r="AY960" s="1190"/>
      <c r="AZ960" s="1190"/>
      <c r="BA960" s="1190"/>
      <c r="BB960" s="1190"/>
      <c r="BC960" s="1190"/>
      <c r="BD960" s="1190"/>
      <c r="BE960" s="1190"/>
      <c r="BF960" s="1190"/>
      <c r="BG960" s="1190"/>
      <c r="BH960" s="1190"/>
      <c r="BI960" s="1190"/>
      <c r="BJ960" s="1190"/>
      <c r="BK960" s="1190"/>
      <c r="BL960" s="1190"/>
      <c r="BM960" s="1190"/>
      <c r="BQ960" s="195"/>
      <c r="BR960" s="195"/>
      <c r="BT960" s="1005"/>
    </row>
    <row r="961" ht="15.75" customHeight="1">
      <c r="A961" s="195"/>
      <c r="B961" s="978"/>
      <c r="C961" s="2321"/>
      <c r="D961" s="1729"/>
      <c r="E961" s="1190"/>
      <c r="F961" s="1190"/>
      <c r="G961" s="1190"/>
      <c r="H961" s="1190"/>
      <c r="I961" s="1190"/>
      <c r="J961" s="1190"/>
      <c r="K961" s="1190"/>
      <c r="L961" s="1190"/>
      <c r="M961" s="1190"/>
      <c r="N961" s="1190"/>
      <c r="O961" s="1190"/>
      <c r="P961" s="1190"/>
      <c r="Q961" s="1190"/>
      <c r="R961" s="1190"/>
      <c r="S961" s="1189"/>
      <c r="T961" s="1190"/>
      <c r="U961" s="1190"/>
      <c r="V961" s="1190"/>
      <c r="W961" s="1190"/>
      <c r="X961" s="1190"/>
      <c r="Y961" s="1190"/>
      <c r="Z961" s="1190"/>
      <c r="AA961" s="1190"/>
      <c r="AB961" s="1190"/>
      <c r="AC961" s="1190"/>
      <c r="AD961" s="1190"/>
      <c r="AE961" s="1190"/>
      <c r="AF961" s="1190"/>
      <c r="AG961" s="1748"/>
      <c r="AH961" s="1190"/>
      <c r="AI961" s="1748"/>
      <c r="AJ961" s="1190"/>
      <c r="AK961" s="1190"/>
      <c r="AL961" s="1190"/>
      <c r="AM961" s="1190"/>
      <c r="AN961" s="1190"/>
      <c r="AO961" s="1190"/>
      <c r="AP961" s="1190"/>
      <c r="AQ961" s="1190"/>
      <c r="AR961" s="1190"/>
      <c r="AS961" s="1190"/>
      <c r="AT961" s="1190"/>
      <c r="AU961" s="1190"/>
      <c r="AV961" s="1190"/>
      <c r="AW961" s="1190"/>
      <c r="AX961" s="1190"/>
      <c r="AY961" s="1190"/>
      <c r="AZ961" s="1190"/>
      <c r="BA961" s="1190"/>
      <c r="BB961" s="1190"/>
      <c r="BC961" s="1190"/>
      <c r="BD961" s="1190"/>
      <c r="BE961" s="1190"/>
      <c r="BF961" s="1190"/>
      <c r="BG961" s="1190"/>
      <c r="BH961" s="1190"/>
      <c r="BI961" s="1190"/>
      <c r="BJ961" s="1190"/>
      <c r="BK961" s="1190"/>
      <c r="BL961" s="1190"/>
      <c r="BM961" s="1190"/>
      <c r="BQ961" s="195"/>
      <c r="BR961" s="195"/>
      <c r="BT961" s="1005"/>
    </row>
    <row r="962" ht="15.75" customHeight="1">
      <c r="A962" s="195"/>
      <c r="B962" s="978"/>
      <c r="C962" s="2321"/>
      <c r="D962" s="1729"/>
      <c r="E962" s="1190"/>
      <c r="F962" s="1190"/>
      <c r="G962" s="1190"/>
      <c r="H962" s="1190"/>
      <c r="I962" s="1190"/>
      <c r="J962" s="1190"/>
      <c r="K962" s="1190"/>
      <c r="L962" s="1190"/>
      <c r="M962" s="1190"/>
      <c r="N962" s="1190"/>
      <c r="O962" s="1190"/>
      <c r="P962" s="1190"/>
      <c r="Q962" s="1190"/>
      <c r="R962" s="1190"/>
      <c r="S962" s="1189"/>
      <c r="T962" s="1190"/>
      <c r="U962" s="1190"/>
      <c r="V962" s="1190"/>
      <c r="W962" s="1190"/>
      <c r="X962" s="1190"/>
      <c r="Y962" s="1190"/>
      <c r="Z962" s="1190"/>
      <c r="AA962" s="1190"/>
      <c r="AB962" s="1190"/>
      <c r="AC962" s="1190"/>
      <c r="AD962" s="1190"/>
      <c r="AE962" s="1190"/>
      <c r="AF962" s="1190"/>
      <c r="AG962" s="1748"/>
      <c r="AH962" s="1190"/>
      <c r="AI962" s="1748"/>
      <c r="AJ962" s="1190"/>
      <c r="AK962" s="1190"/>
      <c r="AL962" s="1190"/>
      <c r="AM962" s="1190"/>
      <c r="AN962" s="1190"/>
      <c r="AO962" s="1190"/>
      <c r="AP962" s="1190"/>
      <c r="AQ962" s="1190"/>
      <c r="AR962" s="1190"/>
      <c r="AS962" s="1190"/>
      <c r="AT962" s="1190"/>
      <c r="AU962" s="1190"/>
      <c r="AV962" s="1190"/>
      <c r="AW962" s="1190"/>
      <c r="AX962" s="1190"/>
      <c r="AY962" s="1190"/>
      <c r="AZ962" s="1190"/>
      <c r="BA962" s="1190"/>
      <c r="BB962" s="1190"/>
      <c r="BC962" s="1190"/>
      <c r="BD962" s="1190"/>
      <c r="BE962" s="1190"/>
      <c r="BF962" s="1190"/>
      <c r="BG962" s="1190"/>
      <c r="BH962" s="1190"/>
      <c r="BI962" s="1190"/>
      <c r="BJ962" s="1190"/>
      <c r="BK962" s="1190"/>
      <c r="BL962" s="1190"/>
      <c r="BM962" s="1190"/>
      <c r="BQ962" s="195"/>
      <c r="BR962" s="195"/>
      <c r="BT962" s="1005"/>
    </row>
    <row r="963" ht="15.75" customHeight="1">
      <c r="A963" s="195"/>
      <c r="B963" s="978"/>
      <c r="C963" s="2321"/>
      <c r="D963" s="1729"/>
      <c r="E963" s="1190"/>
      <c r="F963" s="1190"/>
      <c r="G963" s="1190"/>
      <c r="H963" s="1190"/>
      <c r="I963" s="1190"/>
      <c r="J963" s="1190"/>
      <c r="K963" s="1190"/>
      <c r="L963" s="1190"/>
      <c r="M963" s="1190"/>
      <c r="N963" s="1190"/>
      <c r="O963" s="1190"/>
      <c r="P963" s="1190"/>
      <c r="Q963" s="1190"/>
      <c r="R963" s="1190"/>
      <c r="S963" s="1189"/>
      <c r="T963" s="1190"/>
      <c r="U963" s="1190"/>
      <c r="V963" s="1190"/>
      <c r="W963" s="1190"/>
      <c r="X963" s="1190"/>
      <c r="Y963" s="1190"/>
      <c r="Z963" s="1190"/>
      <c r="AA963" s="1190"/>
      <c r="AB963" s="1190"/>
      <c r="AC963" s="1190"/>
      <c r="AD963" s="1190"/>
      <c r="AE963" s="1190"/>
      <c r="AF963" s="1190"/>
      <c r="AG963" s="1748"/>
      <c r="AH963" s="1190"/>
      <c r="AI963" s="1748"/>
      <c r="AJ963" s="1190"/>
      <c r="AK963" s="1190"/>
      <c r="AL963" s="1190"/>
      <c r="AM963" s="1190"/>
      <c r="AN963" s="1190"/>
      <c r="AO963" s="1190"/>
      <c r="AP963" s="1190"/>
      <c r="AQ963" s="1190"/>
      <c r="AR963" s="1190"/>
      <c r="AS963" s="1190"/>
      <c r="AT963" s="1190"/>
      <c r="AU963" s="1190"/>
      <c r="AV963" s="1190"/>
      <c r="AW963" s="1190"/>
      <c r="AX963" s="1190"/>
      <c r="AY963" s="1190"/>
      <c r="AZ963" s="1190"/>
      <c r="BA963" s="1190"/>
      <c r="BB963" s="1190"/>
      <c r="BC963" s="1190"/>
      <c r="BD963" s="1190"/>
      <c r="BE963" s="1190"/>
      <c r="BF963" s="1190"/>
      <c r="BG963" s="1190"/>
      <c r="BH963" s="1190"/>
      <c r="BI963" s="1190"/>
      <c r="BJ963" s="1190"/>
      <c r="BK963" s="1190"/>
      <c r="BL963" s="1190"/>
      <c r="BM963" s="1190"/>
      <c r="BQ963" s="195"/>
      <c r="BR963" s="195"/>
      <c r="BT963" s="1005"/>
    </row>
    <row r="964" ht="15.75" customHeight="1">
      <c r="A964" s="195"/>
      <c r="B964" s="978"/>
      <c r="C964" s="2321"/>
      <c r="D964" s="1729"/>
      <c r="E964" s="1190"/>
      <c r="F964" s="1190"/>
      <c r="G964" s="1190"/>
      <c r="H964" s="1190"/>
      <c r="I964" s="1190"/>
      <c r="J964" s="1190"/>
      <c r="K964" s="1190"/>
      <c r="L964" s="1190"/>
      <c r="M964" s="1190"/>
      <c r="N964" s="1190"/>
      <c r="O964" s="1190"/>
      <c r="P964" s="1190"/>
      <c r="Q964" s="1190"/>
      <c r="R964" s="1190"/>
      <c r="S964" s="1189"/>
      <c r="T964" s="1190"/>
      <c r="U964" s="1190"/>
      <c r="V964" s="1190"/>
      <c r="W964" s="1190"/>
      <c r="X964" s="1190"/>
      <c r="Y964" s="1190"/>
      <c r="Z964" s="1190"/>
      <c r="AA964" s="1190"/>
      <c r="AB964" s="1190"/>
      <c r="AC964" s="1190"/>
      <c r="AD964" s="1190"/>
      <c r="AE964" s="1190"/>
      <c r="AF964" s="1190"/>
      <c r="AG964" s="1748"/>
      <c r="AH964" s="1190"/>
      <c r="AI964" s="1748"/>
      <c r="AJ964" s="1190"/>
      <c r="AK964" s="1190"/>
      <c r="AL964" s="1190"/>
      <c r="AM964" s="1190"/>
      <c r="AN964" s="1190"/>
      <c r="AO964" s="1190"/>
      <c r="AP964" s="1190"/>
      <c r="AQ964" s="1190"/>
      <c r="AR964" s="1190"/>
      <c r="AS964" s="1190"/>
      <c r="AT964" s="1190"/>
      <c r="AU964" s="1190"/>
      <c r="AV964" s="1190"/>
      <c r="AW964" s="1190"/>
      <c r="AX964" s="1190"/>
      <c r="AY964" s="1190"/>
      <c r="AZ964" s="1190"/>
      <c r="BA964" s="1190"/>
      <c r="BB964" s="1190"/>
      <c r="BC964" s="1190"/>
      <c r="BD964" s="1190"/>
      <c r="BE964" s="1190"/>
      <c r="BF964" s="1190"/>
      <c r="BG964" s="1190"/>
      <c r="BH964" s="1190"/>
      <c r="BI964" s="1190"/>
      <c r="BJ964" s="1190"/>
      <c r="BK964" s="1190"/>
      <c r="BL964" s="1190"/>
      <c r="BM964" s="1190"/>
      <c r="BQ964" s="195"/>
      <c r="BR964" s="195"/>
      <c r="BT964" s="1005"/>
    </row>
    <row r="965" ht="15.75" customHeight="1">
      <c r="A965" s="195"/>
      <c r="B965" s="978"/>
      <c r="C965" s="2321"/>
      <c r="D965" s="1729"/>
      <c r="E965" s="1190"/>
      <c r="F965" s="1190"/>
      <c r="G965" s="1190"/>
      <c r="H965" s="1190"/>
      <c r="I965" s="1190"/>
      <c r="J965" s="1190"/>
      <c r="K965" s="1190"/>
      <c r="L965" s="1190"/>
      <c r="M965" s="1190"/>
      <c r="N965" s="1190"/>
      <c r="O965" s="1190"/>
      <c r="P965" s="1190"/>
      <c r="Q965" s="1190"/>
      <c r="R965" s="1190"/>
      <c r="S965" s="1189"/>
      <c r="T965" s="1190"/>
      <c r="U965" s="1190"/>
      <c r="V965" s="1190"/>
      <c r="W965" s="1190"/>
      <c r="X965" s="1190"/>
      <c r="Y965" s="1190"/>
      <c r="Z965" s="1190"/>
      <c r="AA965" s="1190"/>
      <c r="AB965" s="1190"/>
      <c r="AC965" s="1190"/>
      <c r="AD965" s="1190"/>
      <c r="AE965" s="1190"/>
      <c r="AF965" s="1190"/>
      <c r="AG965" s="1748"/>
      <c r="AH965" s="1190"/>
      <c r="AI965" s="1748"/>
      <c r="AJ965" s="1190"/>
      <c r="AK965" s="1190"/>
      <c r="AL965" s="1190"/>
      <c r="AM965" s="1190"/>
      <c r="AN965" s="1190"/>
      <c r="AO965" s="1190"/>
      <c r="AP965" s="1190"/>
      <c r="AQ965" s="1190"/>
      <c r="AR965" s="1190"/>
      <c r="AS965" s="1190"/>
      <c r="AT965" s="1190"/>
      <c r="AU965" s="1190"/>
      <c r="AV965" s="1190"/>
      <c r="AW965" s="1190"/>
      <c r="AX965" s="1190"/>
      <c r="AY965" s="1190"/>
      <c r="AZ965" s="1190"/>
      <c r="BA965" s="1190"/>
      <c r="BB965" s="1190"/>
      <c r="BC965" s="1190"/>
      <c r="BD965" s="1190"/>
      <c r="BE965" s="1190"/>
      <c r="BF965" s="1190"/>
      <c r="BG965" s="1190"/>
      <c r="BH965" s="1190"/>
      <c r="BI965" s="1190"/>
      <c r="BJ965" s="1190"/>
      <c r="BK965" s="1190"/>
      <c r="BL965" s="1190"/>
      <c r="BM965" s="1190"/>
      <c r="BQ965" s="195"/>
      <c r="BR965" s="195"/>
      <c r="BT965" s="1005"/>
    </row>
    <row r="966" ht="15.75" customHeight="1">
      <c r="A966" s="195"/>
      <c r="B966" s="978"/>
      <c r="C966" s="2321"/>
      <c r="D966" s="1729"/>
      <c r="E966" s="1190"/>
      <c r="F966" s="1190"/>
      <c r="G966" s="1190"/>
      <c r="H966" s="1190"/>
      <c r="I966" s="1190"/>
      <c r="J966" s="1190"/>
      <c r="K966" s="1190"/>
      <c r="L966" s="1190"/>
      <c r="M966" s="1190"/>
      <c r="N966" s="1190"/>
      <c r="O966" s="1190"/>
      <c r="P966" s="1190"/>
      <c r="Q966" s="1190"/>
      <c r="R966" s="1190"/>
      <c r="S966" s="1189"/>
      <c r="T966" s="1190"/>
      <c r="U966" s="1190"/>
      <c r="V966" s="1190"/>
      <c r="W966" s="1190"/>
      <c r="X966" s="1190"/>
      <c r="Y966" s="1190"/>
      <c r="Z966" s="1190"/>
      <c r="AA966" s="1190"/>
      <c r="AB966" s="1190"/>
      <c r="AC966" s="1190"/>
      <c r="AD966" s="1190"/>
      <c r="AE966" s="1190"/>
      <c r="AF966" s="1190"/>
      <c r="AG966" s="1748"/>
      <c r="AH966" s="1190"/>
      <c r="AI966" s="1748"/>
      <c r="AJ966" s="1190"/>
      <c r="AK966" s="1190"/>
      <c r="AL966" s="1190"/>
      <c r="AM966" s="1190"/>
      <c r="AN966" s="1190"/>
      <c r="AO966" s="1190"/>
      <c r="AP966" s="1190"/>
      <c r="AQ966" s="1190"/>
      <c r="AR966" s="1190"/>
      <c r="AS966" s="1190"/>
      <c r="AT966" s="1190"/>
      <c r="AU966" s="1190"/>
      <c r="AV966" s="1190"/>
      <c r="AW966" s="1190"/>
      <c r="AX966" s="1190"/>
      <c r="AY966" s="1190"/>
      <c r="AZ966" s="1190"/>
      <c r="BA966" s="1190"/>
      <c r="BB966" s="1190"/>
      <c r="BC966" s="1190"/>
      <c r="BD966" s="1190"/>
      <c r="BE966" s="1190"/>
      <c r="BF966" s="1190"/>
      <c r="BG966" s="1190"/>
      <c r="BH966" s="1190"/>
      <c r="BI966" s="1190"/>
      <c r="BJ966" s="1190"/>
      <c r="BK966" s="1190"/>
      <c r="BL966" s="1190"/>
      <c r="BM966" s="1190"/>
      <c r="BQ966" s="195"/>
      <c r="BR966" s="195"/>
      <c r="BT966" s="1005"/>
    </row>
    <row r="967" ht="15.75" customHeight="1">
      <c r="A967" s="195"/>
      <c r="B967" s="978"/>
      <c r="C967" s="2321"/>
      <c r="D967" s="1729"/>
      <c r="E967" s="1190"/>
      <c r="F967" s="1190"/>
      <c r="G967" s="1190"/>
      <c r="H967" s="1190"/>
      <c r="I967" s="1190"/>
      <c r="J967" s="1190"/>
      <c r="K967" s="1190"/>
      <c r="L967" s="1190"/>
      <c r="M967" s="1190"/>
      <c r="N967" s="1190"/>
      <c r="O967" s="1190"/>
      <c r="P967" s="1190"/>
      <c r="Q967" s="1190"/>
      <c r="R967" s="1190"/>
      <c r="S967" s="1189"/>
      <c r="T967" s="1190"/>
      <c r="U967" s="1190"/>
      <c r="V967" s="1190"/>
      <c r="W967" s="1190"/>
      <c r="X967" s="1190"/>
      <c r="Y967" s="1190"/>
      <c r="Z967" s="1190"/>
      <c r="AA967" s="1190"/>
      <c r="AB967" s="1190"/>
      <c r="AC967" s="1190"/>
      <c r="AD967" s="1190"/>
      <c r="AE967" s="1190"/>
      <c r="AF967" s="1190"/>
      <c r="AG967" s="1748"/>
      <c r="AH967" s="1190"/>
      <c r="AI967" s="1748"/>
      <c r="AJ967" s="1190"/>
      <c r="AK967" s="1190"/>
      <c r="AL967" s="1190"/>
      <c r="AM967" s="1190"/>
      <c r="AN967" s="1190"/>
      <c r="AO967" s="1190"/>
      <c r="AP967" s="1190"/>
      <c r="AQ967" s="1190"/>
      <c r="AR967" s="1190"/>
      <c r="AS967" s="1190"/>
      <c r="AT967" s="1190"/>
      <c r="AU967" s="1190"/>
      <c r="AV967" s="1190"/>
      <c r="AW967" s="1190"/>
      <c r="AX967" s="1190"/>
      <c r="AY967" s="1190"/>
      <c r="AZ967" s="1190"/>
      <c r="BA967" s="1190"/>
      <c r="BB967" s="1190"/>
      <c r="BC967" s="1190"/>
      <c r="BD967" s="1190"/>
      <c r="BE967" s="1190"/>
      <c r="BF967" s="1190"/>
      <c r="BG967" s="1190"/>
      <c r="BH967" s="1190"/>
      <c r="BI967" s="1190"/>
      <c r="BJ967" s="1190"/>
      <c r="BK967" s="1190"/>
      <c r="BL967" s="1190"/>
      <c r="BM967" s="1190"/>
      <c r="BQ967" s="195"/>
      <c r="BR967" s="195"/>
      <c r="BT967" s="1005"/>
    </row>
    <row r="968" ht="15.75" customHeight="1">
      <c r="A968" s="195"/>
      <c r="B968" s="978"/>
      <c r="C968" s="2321"/>
      <c r="D968" s="1729"/>
      <c r="E968" s="1190"/>
      <c r="F968" s="1190"/>
      <c r="G968" s="1190"/>
      <c r="H968" s="1190"/>
      <c r="I968" s="1190"/>
      <c r="J968" s="1190"/>
      <c r="K968" s="1190"/>
      <c r="L968" s="1190"/>
      <c r="M968" s="1190"/>
      <c r="N968" s="1190"/>
      <c r="O968" s="1190"/>
      <c r="P968" s="1190"/>
      <c r="Q968" s="1190"/>
      <c r="R968" s="1190"/>
      <c r="S968" s="1189"/>
      <c r="T968" s="1190"/>
      <c r="U968" s="1190"/>
      <c r="V968" s="1190"/>
      <c r="W968" s="1190"/>
      <c r="X968" s="1190"/>
      <c r="Y968" s="1190"/>
      <c r="Z968" s="1190"/>
      <c r="AA968" s="1190"/>
      <c r="AB968" s="1190"/>
      <c r="AC968" s="1190"/>
      <c r="AD968" s="1190"/>
      <c r="AE968" s="1190"/>
      <c r="AF968" s="1190"/>
      <c r="AG968" s="1748"/>
      <c r="AH968" s="1190"/>
      <c r="AI968" s="1748"/>
      <c r="AJ968" s="1190"/>
      <c r="AK968" s="1190"/>
      <c r="AL968" s="1190"/>
      <c r="AM968" s="1190"/>
      <c r="AN968" s="1190"/>
      <c r="AO968" s="1190"/>
      <c r="AP968" s="1190"/>
      <c r="AQ968" s="1190"/>
      <c r="AR968" s="1190"/>
      <c r="AS968" s="1190"/>
      <c r="AT968" s="1190"/>
      <c r="AU968" s="1190"/>
      <c r="AV968" s="1190"/>
      <c r="AW968" s="1190"/>
      <c r="AX968" s="1190"/>
      <c r="AY968" s="1190"/>
      <c r="AZ968" s="1190"/>
      <c r="BA968" s="1190"/>
      <c r="BB968" s="1190"/>
      <c r="BC968" s="1190"/>
      <c r="BD968" s="1190"/>
      <c r="BE968" s="1190"/>
      <c r="BF968" s="1190"/>
      <c r="BG968" s="1190"/>
      <c r="BH968" s="1190"/>
      <c r="BI968" s="1190"/>
      <c r="BJ968" s="1190"/>
      <c r="BK968" s="1190"/>
      <c r="BL968" s="1190"/>
      <c r="BM968" s="1190"/>
      <c r="BQ968" s="195"/>
      <c r="BR968" s="195"/>
      <c r="BT968" s="1005"/>
    </row>
    <row r="969" ht="15.75" customHeight="1">
      <c r="A969" s="195"/>
      <c r="B969" s="978"/>
      <c r="C969" s="2321"/>
      <c r="D969" s="1729"/>
      <c r="E969" s="1190"/>
      <c r="F969" s="1190"/>
      <c r="G969" s="1190"/>
      <c r="H969" s="1190"/>
      <c r="I969" s="1190"/>
      <c r="J969" s="1190"/>
      <c r="K969" s="1190"/>
      <c r="L969" s="1190"/>
      <c r="M969" s="1190"/>
      <c r="N969" s="1190"/>
      <c r="O969" s="1190"/>
      <c r="P969" s="1190"/>
      <c r="Q969" s="1190"/>
      <c r="R969" s="1190"/>
      <c r="S969" s="1189"/>
      <c r="T969" s="1190"/>
      <c r="U969" s="1190"/>
      <c r="V969" s="1190"/>
      <c r="W969" s="1190"/>
      <c r="X969" s="1190"/>
      <c r="Y969" s="1190"/>
      <c r="Z969" s="1190"/>
      <c r="AA969" s="1190"/>
      <c r="AB969" s="1190"/>
      <c r="AC969" s="1190"/>
      <c r="AD969" s="1190"/>
      <c r="AE969" s="1190"/>
      <c r="AF969" s="1190"/>
      <c r="AG969" s="1748"/>
      <c r="AH969" s="1190"/>
      <c r="AI969" s="1748"/>
      <c r="AJ969" s="1190"/>
      <c r="AK969" s="1190"/>
      <c r="AL969" s="1190"/>
      <c r="AM969" s="1190"/>
      <c r="AN969" s="1190"/>
      <c r="AO969" s="1190"/>
      <c r="AP969" s="1190"/>
      <c r="AQ969" s="1190"/>
      <c r="AR969" s="1190"/>
      <c r="AS969" s="1190"/>
      <c r="AT969" s="1190"/>
      <c r="AU969" s="1190"/>
      <c r="AV969" s="1190"/>
      <c r="AW969" s="1190"/>
      <c r="AX969" s="1190"/>
      <c r="AY969" s="1190"/>
      <c r="AZ969" s="1190"/>
      <c r="BA969" s="1190"/>
      <c r="BB969" s="1190"/>
      <c r="BC969" s="1190"/>
      <c r="BD969" s="1190"/>
      <c r="BE969" s="1190"/>
      <c r="BF969" s="1190"/>
      <c r="BG969" s="1190"/>
      <c r="BH969" s="1190"/>
      <c r="BI969" s="1190"/>
      <c r="BJ969" s="1190"/>
      <c r="BK969" s="1190"/>
      <c r="BL969" s="1190"/>
      <c r="BM969" s="1190"/>
      <c r="BQ969" s="195"/>
      <c r="BR969" s="195"/>
      <c r="BT969" s="1005"/>
    </row>
    <row r="970" ht="15.75" customHeight="1">
      <c r="A970" s="195"/>
      <c r="B970" s="978"/>
      <c r="C970" s="2321"/>
      <c r="D970" s="1729"/>
      <c r="E970" s="1190"/>
      <c r="F970" s="1190"/>
      <c r="G970" s="1190"/>
      <c r="H970" s="1190"/>
      <c r="I970" s="1190"/>
      <c r="J970" s="1190"/>
      <c r="K970" s="1190"/>
      <c r="L970" s="1190"/>
      <c r="M970" s="1190"/>
      <c r="N970" s="1190"/>
      <c r="O970" s="1190"/>
      <c r="P970" s="1190"/>
      <c r="Q970" s="1190"/>
      <c r="R970" s="1190"/>
      <c r="S970" s="1189"/>
      <c r="T970" s="1190"/>
      <c r="U970" s="1190"/>
      <c r="V970" s="1190"/>
      <c r="W970" s="1190"/>
      <c r="X970" s="1190"/>
      <c r="Y970" s="1190"/>
      <c r="Z970" s="1190"/>
      <c r="AA970" s="1190"/>
      <c r="AB970" s="1190"/>
      <c r="AC970" s="1190"/>
      <c r="AD970" s="1190"/>
      <c r="AE970" s="1190"/>
      <c r="AF970" s="1190"/>
      <c r="AG970" s="1748"/>
      <c r="AH970" s="1190"/>
      <c r="AI970" s="1748"/>
      <c r="AJ970" s="1190"/>
      <c r="AK970" s="1190"/>
      <c r="AL970" s="1190"/>
      <c r="AM970" s="1190"/>
      <c r="AN970" s="1190"/>
      <c r="AO970" s="1190"/>
      <c r="AP970" s="1190"/>
      <c r="AQ970" s="1190"/>
      <c r="AR970" s="1190"/>
      <c r="AS970" s="1190"/>
      <c r="AT970" s="1190"/>
      <c r="AU970" s="1190"/>
      <c r="AV970" s="1190"/>
      <c r="AW970" s="1190"/>
      <c r="AX970" s="1190"/>
      <c r="AY970" s="1190"/>
      <c r="AZ970" s="1190"/>
      <c r="BA970" s="1190"/>
      <c r="BB970" s="1190"/>
      <c r="BC970" s="1190"/>
      <c r="BD970" s="1190"/>
      <c r="BE970" s="1190"/>
      <c r="BF970" s="1190"/>
      <c r="BG970" s="1190"/>
      <c r="BH970" s="1190"/>
      <c r="BI970" s="1190"/>
      <c r="BJ970" s="1190"/>
      <c r="BK970" s="1190"/>
      <c r="BL970" s="1190"/>
      <c r="BM970" s="1190"/>
      <c r="BQ970" s="195"/>
      <c r="BR970" s="195"/>
      <c r="BT970" s="1005"/>
    </row>
    <row r="971" ht="15.75" customHeight="1">
      <c r="A971" s="195"/>
      <c r="B971" s="978"/>
      <c r="C971" s="2321"/>
      <c r="D971" s="1729"/>
      <c r="E971" s="1190"/>
      <c r="F971" s="1190"/>
      <c r="G971" s="1190"/>
      <c r="H971" s="1190"/>
      <c r="I971" s="1190"/>
      <c r="J971" s="1190"/>
      <c r="K971" s="1190"/>
      <c r="L971" s="1190"/>
      <c r="M971" s="1190"/>
      <c r="N971" s="1190"/>
      <c r="O971" s="1190"/>
      <c r="P971" s="1190"/>
      <c r="Q971" s="1190"/>
      <c r="R971" s="1190"/>
      <c r="S971" s="1189"/>
      <c r="T971" s="1190"/>
      <c r="U971" s="1190"/>
      <c r="V971" s="1190"/>
      <c r="W971" s="1190"/>
      <c r="X971" s="1190"/>
      <c r="Y971" s="1190"/>
      <c r="Z971" s="1190"/>
      <c r="AA971" s="1190"/>
      <c r="AB971" s="1190"/>
      <c r="AC971" s="1190"/>
      <c r="AD971" s="1190"/>
      <c r="AE971" s="1190"/>
      <c r="AF971" s="1190"/>
      <c r="AG971" s="1748"/>
      <c r="AH971" s="1190"/>
      <c r="AI971" s="1748"/>
      <c r="AJ971" s="1190"/>
      <c r="AK971" s="1190"/>
      <c r="AL971" s="1190"/>
      <c r="AM971" s="1190"/>
      <c r="AN971" s="1190"/>
      <c r="AO971" s="1190"/>
      <c r="AP971" s="1190"/>
      <c r="AQ971" s="1190"/>
      <c r="AR971" s="1190"/>
      <c r="AS971" s="1190"/>
      <c r="AT971" s="1190"/>
      <c r="AU971" s="1190"/>
      <c r="AV971" s="1190"/>
      <c r="AW971" s="1190"/>
      <c r="AX971" s="1190"/>
      <c r="AY971" s="1190"/>
      <c r="AZ971" s="1190"/>
      <c r="BA971" s="1190"/>
      <c r="BB971" s="1190"/>
      <c r="BC971" s="1190"/>
      <c r="BD971" s="1190"/>
      <c r="BE971" s="1190"/>
      <c r="BF971" s="1190"/>
      <c r="BG971" s="1190"/>
      <c r="BH971" s="1190"/>
      <c r="BI971" s="1190"/>
      <c r="BJ971" s="1190"/>
      <c r="BK971" s="1190"/>
      <c r="BL971" s="1190"/>
      <c r="BM971" s="1190"/>
      <c r="BQ971" s="195"/>
      <c r="BR971" s="195"/>
      <c r="BT971" s="1005"/>
    </row>
    <row r="972" ht="15.75" customHeight="1">
      <c r="A972" s="195"/>
      <c r="B972" s="978"/>
      <c r="C972" s="2321"/>
      <c r="D972" s="1729"/>
      <c r="E972" s="1190"/>
      <c r="F972" s="1190"/>
      <c r="G972" s="1190"/>
      <c r="H972" s="1190"/>
      <c r="I972" s="1190"/>
      <c r="J972" s="1190"/>
      <c r="K972" s="1190"/>
      <c r="L972" s="1190"/>
      <c r="M972" s="1190"/>
      <c r="N972" s="1190"/>
      <c r="O972" s="1190"/>
      <c r="P972" s="1190"/>
      <c r="Q972" s="1190"/>
      <c r="R972" s="1190"/>
      <c r="S972" s="1189"/>
      <c r="T972" s="1190"/>
      <c r="U972" s="1190"/>
      <c r="V972" s="1190"/>
      <c r="W972" s="1190"/>
      <c r="X972" s="1190"/>
      <c r="Y972" s="1190"/>
      <c r="Z972" s="1190"/>
      <c r="AA972" s="1190"/>
      <c r="AB972" s="1190"/>
      <c r="AC972" s="1190"/>
      <c r="AD972" s="1190"/>
      <c r="AE972" s="1190"/>
      <c r="AF972" s="1190"/>
      <c r="AG972" s="1748"/>
      <c r="AH972" s="1190"/>
      <c r="AI972" s="1748"/>
      <c r="AJ972" s="1190"/>
      <c r="AK972" s="1190"/>
      <c r="AL972" s="1190"/>
      <c r="AM972" s="1190"/>
      <c r="AN972" s="1190"/>
      <c r="AO972" s="1190"/>
      <c r="AP972" s="1190"/>
      <c r="AQ972" s="1190"/>
      <c r="AR972" s="1190"/>
      <c r="AS972" s="1190"/>
      <c r="AT972" s="1190"/>
      <c r="AU972" s="1190"/>
      <c r="AV972" s="1190"/>
      <c r="AW972" s="1190"/>
      <c r="AX972" s="1190"/>
      <c r="AY972" s="1190"/>
      <c r="AZ972" s="1190"/>
      <c r="BA972" s="1190"/>
      <c r="BB972" s="1190"/>
      <c r="BC972" s="1190"/>
      <c r="BD972" s="1190"/>
      <c r="BE972" s="1190"/>
      <c r="BF972" s="1190"/>
      <c r="BG972" s="1190"/>
      <c r="BH972" s="1190"/>
      <c r="BI972" s="1190"/>
      <c r="BJ972" s="1190"/>
      <c r="BK972" s="1190"/>
      <c r="BL972" s="1190"/>
      <c r="BM972" s="1190"/>
      <c r="BQ972" s="195"/>
      <c r="BR972" s="195"/>
      <c r="BT972" s="1005"/>
    </row>
    <row r="973" ht="15.75" customHeight="1">
      <c r="A973" s="195"/>
      <c r="B973" s="978"/>
      <c r="C973" s="2321"/>
      <c r="D973" s="1729"/>
      <c r="E973" s="1190"/>
      <c r="F973" s="1190"/>
      <c r="G973" s="1190"/>
      <c r="H973" s="1190"/>
      <c r="I973" s="1190"/>
      <c r="J973" s="1190"/>
      <c r="K973" s="1190"/>
      <c r="L973" s="1190"/>
      <c r="M973" s="1190"/>
      <c r="N973" s="1190"/>
      <c r="O973" s="1190"/>
      <c r="P973" s="1190"/>
      <c r="Q973" s="1190"/>
      <c r="R973" s="1190"/>
      <c r="S973" s="1189"/>
      <c r="T973" s="1190"/>
      <c r="U973" s="1190"/>
      <c r="V973" s="1190"/>
      <c r="W973" s="1190"/>
      <c r="X973" s="1190"/>
      <c r="Y973" s="1190"/>
      <c r="Z973" s="1190"/>
      <c r="AA973" s="1190"/>
      <c r="AB973" s="1190"/>
      <c r="AC973" s="1190"/>
      <c r="AD973" s="1190"/>
      <c r="AE973" s="1190"/>
      <c r="AF973" s="1190"/>
      <c r="AG973" s="1748"/>
      <c r="AH973" s="1190"/>
      <c r="AI973" s="1748"/>
      <c r="AJ973" s="1190"/>
      <c r="AK973" s="1190"/>
      <c r="AL973" s="1190"/>
      <c r="AM973" s="1190"/>
      <c r="AN973" s="1190"/>
      <c r="AO973" s="1190"/>
      <c r="AP973" s="1190"/>
      <c r="AQ973" s="1190"/>
      <c r="AR973" s="1190"/>
      <c r="AS973" s="1190"/>
      <c r="AT973" s="1190"/>
      <c r="AU973" s="1190"/>
      <c r="AV973" s="1190"/>
      <c r="AW973" s="1190"/>
      <c r="AX973" s="1190"/>
      <c r="AY973" s="1190"/>
      <c r="AZ973" s="1190"/>
      <c r="BA973" s="1190"/>
      <c r="BB973" s="1190"/>
      <c r="BC973" s="1190"/>
      <c r="BD973" s="1190"/>
      <c r="BE973" s="1190"/>
      <c r="BF973" s="1190"/>
      <c r="BG973" s="1190"/>
      <c r="BH973" s="1190"/>
      <c r="BI973" s="1190"/>
      <c r="BJ973" s="1190"/>
      <c r="BK973" s="1190"/>
      <c r="BL973" s="1190"/>
      <c r="BM973" s="1190"/>
      <c r="BQ973" s="195"/>
      <c r="BR973" s="195"/>
      <c r="BT973" s="1005"/>
    </row>
    <row r="974" ht="15.75" customHeight="1">
      <c r="A974" s="195"/>
      <c r="B974" s="978"/>
      <c r="C974" s="2321"/>
      <c r="D974" s="1729"/>
      <c r="E974" s="1190"/>
      <c r="F974" s="1190"/>
      <c r="G974" s="1190"/>
      <c r="H974" s="1190"/>
      <c r="I974" s="1190"/>
      <c r="J974" s="1190"/>
      <c r="K974" s="1190"/>
      <c r="L974" s="1190"/>
      <c r="M974" s="1190"/>
      <c r="N974" s="1190"/>
      <c r="O974" s="1190"/>
      <c r="P974" s="1190"/>
      <c r="Q974" s="1190"/>
      <c r="R974" s="1190"/>
      <c r="S974" s="1189"/>
      <c r="T974" s="1190"/>
      <c r="U974" s="1190"/>
      <c r="V974" s="1190"/>
      <c r="W974" s="1190"/>
      <c r="X974" s="1190"/>
      <c r="Y974" s="1190"/>
      <c r="Z974" s="1190"/>
      <c r="AA974" s="1190"/>
      <c r="AB974" s="1190"/>
      <c r="AC974" s="1190"/>
      <c r="AD974" s="1190"/>
      <c r="AE974" s="1190"/>
      <c r="AF974" s="1190"/>
      <c r="AG974" s="1748"/>
      <c r="AH974" s="1190"/>
      <c r="AI974" s="1748"/>
      <c r="AJ974" s="1190"/>
      <c r="AK974" s="1190"/>
      <c r="AL974" s="1190"/>
      <c r="AM974" s="1190"/>
      <c r="AN974" s="1190"/>
      <c r="AO974" s="1190"/>
      <c r="AP974" s="1190"/>
      <c r="AQ974" s="1190"/>
      <c r="AR974" s="1190"/>
      <c r="AS974" s="1190"/>
      <c r="AT974" s="1190"/>
      <c r="AU974" s="1190"/>
      <c r="AV974" s="1190"/>
      <c r="AW974" s="1190"/>
      <c r="AX974" s="1190"/>
      <c r="AY974" s="1190"/>
      <c r="AZ974" s="1190"/>
      <c r="BA974" s="1190"/>
      <c r="BB974" s="1190"/>
      <c r="BC974" s="1190"/>
      <c r="BD974" s="1190"/>
      <c r="BE974" s="1190"/>
      <c r="BF974" s="1190"/>
      <c r="BG974" s="1190"/>
      <c r="BH974" s="1190"/>
      <c r="BI974" s="1190"/>
      <c r="BJ974" s="1190"/>
      <c r="BK974" s="1190"/>
      <c r="BL974" s="1190"/>
      <c r="BM974" s="1190"/>
      <c r="BQ974" s="195"/>
      <c r="BR974" s="195"/>
      <c r="BT974" s="1005"/>
    </row>
    <row r="975" ht="15.75" customHeight="1">
      <c r="A975" s="195"/>
      <c r="B975" s="978"/>
      <c r="C975" s="2321"/>
      <c r="D975" s="1729"/>
      <c r="E975" s="1190"/>
      <c r="F975" s="1190"/>
      <c r="G975" s="1190"/>
      <c r="H975" s="1190"/>
      <c r="I975" s="1190"/>
      <c r="J975" s="1190"/>
      <c r="K975" s="1190"/>
      <c r="L975" s="1190"/>
      <c r="M975" s="1190"/>
      <c r="N975" s="1190"/>
      <c r="O975" s="1190"/>
      <c r="P975" s="1190"/>
      <c r="Q975" s="1190"/>
      <c r="R975" s="1190"/>
      <c r="S975" s="1189"/>
      <c r="T975" s="1190"/>
      <c r="U975" s="1190"/>
      <c r="V975" s="1190"/>
      <c r="W975" s="1190"/>
      <c r="X975" s="1190"/>
      <c r="Y975" s="1190"/>
      <c r="Z975" s="1190"/>
      <c r="AA975" s="1190"/>
      <c r="AB975" s="1190"/>
      <c r="AC975" s="1190"/>
      <c r="AD975" s="1190"/>
      <c r="AE975" s="1190"/>
      <c r="AF975" s="1190"/>
      <c r="AG975" s="1748"/>
      <c r="AH975" s="1190"/>
      <c r="AI975" s="1748"/>
      <c r="AJ975" s="1190"/>
      <c r="AK975" s="1190"/>
      <c r="AL975" s="1190"/>
      <c r="AM975" s="1190"/>
      <c r="AN975" s="1190"/>
      <c r="AO975" s="1190"/>
      <c r="AP975" s="1190"/>
      <c r="AQ975" s="1190"/>
      <c r="AR975" s="1190"/>
      <c r="AS975" s="1190"/>
      <c r="AT975" s="1190"/>
      <c r="AU975" s="1190"/>
      <c r="AV975" s="1190"/>
      <c r="AW975" s="1190"/>
      <c r="AX975" s="1190"/>
      <c r="AY975" s="1190"/>
      <c r="AZ975" s="1190"/>
      <c r="BA975" s="1190"/>
      <c r="BB975" s="1190"/>
      <c r="BC975" s="1190"/>
      <c r="BD975" s="1190"/>
      <c r="BE975" s="1190"/>
      <c r="BF975" s="1190"/>
      <c r="BG975" s="1190"/>
      <c r="BH975" s="1190"/>
      <c r="BI975" s="1190"/>
      <c r="BJ975" s="1190"/>
      <c r="BK975" s="1190"/>
      <c r="BL975" s="1190"/>
      <c r="BM975" s="1190"/>
      <c r="BQ975" s="195"/>
      <c r="BR975" s="195"/>
      <c r="BT975" s="1005"/>
    </row>
    <row r="976" ht="15.75" customHeight="1">
      <c r="A976" s="195"/>
      <c r="B976" s="978"/>
      <c r="C976" s="2321"/>
      <c r="D976" s="1729"/>
      <c r="E976" s="1190"/>
      <c r="F976" s="1190"/>
      <c r="G976" s="1190"/>
      <c r="H976" s="1190"/>
      <c r="I976" s="1190"/>
      <c r="J976" s="1190"/>
      <c r="K976" s="1190"/>
      <c r="L976" s="1190"/>
      <c r="M976" s="1190"/>
      <c r="N976" s="1190"/>
      <c r="O976" s="1190"/>
      <c r="P976" s="1190"/>
      <c r="Q976" s="1190"/>
      <c r="R976" s="1190"/>
      <c r="S976" s="1189"/>
      <c r="T976" s="1190"/>
      <c r="U976" s="1190"/>
      <c r="V976" s="1190"/>
      <c r="W976" s="1190"/>
      <c r="X976" s="1190"/>
      <c r="Y976" s="1190"/>
      <c r="Z976" s="1190"/>
      <c r="AA976" s="1190"/>
      <c r="AB976" s="1190"/>
      <c r="AC976" s="1190"/>
      <c r="AD976" s="1190"/>
      <c r="AE976" s="1190"/>
      <c r="AF976" s="1190"/>
      <c r="AG976" s="1748"/>
      <c r="AH976" s="1190"/>
      <c r="AI976" s="1748"/>
      <c r="AJ976" s="1190"/>
      <c r="AK976" s="1190"/>
      <c r="AL976" s="1190"/>
      <c r="AM976" s="1190"/>
      <c r="AN976" s="1190"/>
      <c r="AO976" s="1190"/>
      <c r="AP976" s="1190"/>
      <c r="AQ976" s="1190"/>
      <c r="AR976" s="1190"/>
      <c r="AS976" s="1190"/>
      <c r="AT976" s="1190"/>
      <c r="AU976" s="1190"/>
      <c r="AV976" s="1190"/>
      <c r="AW976" s="1190"/>
      <c r="AX976" s="1190"/>
      <c r="AY976" s="1190"/>
      <c r="AZ976" s="1190"/>
      <c r="BA976" s="1190"/>
      <c r="BB976" s="1190"/>
      <c r="BC976" s="1190"/>
      <c r="BD976" s="1190"/>
      <c r="BE976" s="1190"/>
      <c r="BF976" s="1190"/>
      <c r="BG976" s="1190"/>
      <c r="BH976" s="1190"/>
      <c r="BI976" s="1190"/>
      <c r="BJ976" s="1190"/>
      <c r="BK976" s="1190"/>
      <c r="BL976" s="1190"/>
      <c r="BM976" s="1190"/>
      <c r="BQ976" s="195"/>
      <c r="BR976" s="195"/>
      <c r="BT976" s="1005"/>
    </row>
    <row r="977" ht="15.75" customHeight="1">
      <c r="A977" s="195"/>
      <c r="B977" s="978"/>
      <c r="C977" s="2321"/>
      <c r="D977" s="1729"/>
      <c r="E977" s="1190"/>
      <c r="F977" s="1190"/>
      <c r="G977" s="1190"/>
      <c r="H977" s="1190"/>
      <c r="I977" s="1190"/>
      <c r="J977" s="1190"/>
      <c r="K977" s="1190"/>
      <c r="L977" s="1190"/>
      <c r="M977" s="1190"/>
      <c r="N977" s="1190"/>
      <c r="O977" s="1190"/>
      <c r="P977" s="1190"/>
      <c r="Q977" s="1190"/>
      <c r="R977" s="1190"/>
      <c r="S977" s="1189"/>
      <c r="T977" s="1190"/>
      <c r="U977" s="1190"/>
      <c r="V977" s="1190"/>
      <c r="W977" s="1190"/>
      <c r="X977" s="1190"/>
      <c r="Y977" s="1190"/>
      <c r="Z977" s="1190"/>
      <c r="AA977" s="1190"/>
      <c r="AB977" s="1190"/>
      <c r="AC977" s="1190"/>
      <c r="AD977" s="1190"/>
      <c r="AE977" s="1190"/>
      <c r="AF977" s="1190"/>
      <c r="AG977" s="1748"/>
      <c r="AH977" s="1190"/>
      <c r="AI977" s="1748"/>
      <c r="AJ977" s="1190"/>
      <c r="AK977" s="1190"/>
      <c r="AL977" s="1190"/>
      <c r="AM977" s="1190"/>
      <c r="AN977" s="1190"/>
      <c r="AO977" s="1190"/>
      <c r="AP977" s="1190"/>
      <c r="AQ977" s="1190"/>
      <c r="AR977" s="1190"/>
      <c r="AS977" s="1190"/>
      <c r="AT977" s="1190"/>
      <c r="AU977" s="1190"/>
      <c r="AV977" s="1190"/>
      <c r="AW977" s="1190"/>
      <c r="AX977" s="1190"/>
      <c r="AY977" s="1190"/>
      <c r="AZ977" s="1190"/>
      <c r="BA977" s="1190"/>
      <c r="BB977" s="1190"/>
      <c r="BC977" s="1190"/>
      <c r="BD977" s="1190"/>
      <c r="BE977" s="1190"/>
      <c r="BF977" s="1190"/>
      <c r="BG977" s="1190"/>
      <c r="BH977" s="1190"/>
      <c r="BI977" s="1190"/>
      <c r="BJ977" s="1190"/>
      <c r="BK977" s="1190"/>
      <c r="BL977" s="1190"/>
      <c r="BM977" s="1190"/>
      <c r="BQ977" s="195"/>
      <c r="BR977" s="195"/>
      <c r="BT977" s="1005"/>
    </row>
    <row r="978" ht="15.75" customHeight="1">
      <c r="A978" s="195"/>
      <c r="B978" s="978"/>
      <c r="C978" s="2321"/>
      <c r="D978" s="1729"/>
      <c r="E978" s="1190"/>
      <c r="F978" s="1190"/>
      <c r="G978" s="1190"/>
      <c r="H978" s="1190"/>
      <c r="I978" s="1190"/>
      <c r="J978" s="1190"/>
      <c r="K978" s="1190"/>
      <c r="L978" s="1190"/>
      <c r="M978" s="1190"/>
      <c r="N978" s="1190"/>
      <c r="O978" s="1190"/>
      <c r="P978" s="1190"/>
      <c r="Q978" s="1190"/>
      <c r="R978" s="1190"/>
      <c r="S978" s="1189"/>
      <c r="T978" s="1190"/>
      <c r="U978" s="1190"/>
      <c r="V978" s="1190"/>
      <c r="W978" s="1190"/>
      <c r="X978" s="1190"/>
      <c r="Y978" s="1190"/>
      <c r="Z978" s="1190"/>
      <c r="AA978" s="1190"/>
      <c r="AB978" s="1190"/>
      <c r="AC978" s="1190"/>
      <c r="AD978" s="1190"/>
      <c r="AE978" s="1190"/>
      <c r="AF978" s="1190"/>
      <c r="AG978" s="1748"/>
      <c r="AH978" s="1190"/>
      <c r="AI978" s="1748"/>
      <c r="AJ978" s="1190"/>
      <c r="AK978" s="1190"/>
      <c r="AL978" s="1190"/>
      <c r="AM978" s="1190"/>
      <c r="AN978" s="1190"/>
      <c r="AO978" s="1190"/>
      <c r="AP978" s="1190"/>
      <c r="AQ978" s="1190"/>
      <c r="AR978" s="1190"/>
      <c r="AS978" s="1190"/>
      <c r="AT978" s="1190"/>
      <c r="AU978" s="1190"/>
      <c r="AV978" s="1190"/>
      <c r="AW978" s="1190"/>
      <c r="AX978" s="1190"/>
      <c r="AY978" s="1190"/>
      <c r="AZ978" s="1190"/>
      <c r="BA978" s="1190"/>
      <c r="BB978" s="1190"/>
      <c r="BC978" s="1190"/>
      <c r="BD978" s="1190"/>
      <c r="BE978" s="1190"/>
      <c r="BF978" s="1190"/>
      <c r="BG978" s="1190"/>
      <c r="BH978" s="1190"/>
      <c r="BI978" s="1190"/>
      <c r="BJ978" s="1190"/>
      <c r="BK978" s="1190"/>
      <c r="BL978" s="1190"/>
      <c r="BM978" s="1190"/>
      <c r="BQ978" s="195"/>
      <c r="BR978" s="195"/>
      <c r="BT978" s="1005"/>
    </row>
    <row r="979" ht="15.75" customHeight="1">
      <c r="A979" s="195"/>
      <c r="B979" s="978"/>
      <c r="C979" s="2321"/>
      <c r="D979" s="1729"/>
      <c r="E979" s="1190"/>
      <c r="F979" s="1190"/>
      <c r="G979" s="1190"/>
      <c r="H979" s="1190"/>
      <c r="I979" s="1190"/>
      <c r="J979" s="1190"/>
      <c r="K979" s="1190"/>
      <c r="L979" s="1190"/>
      <c r="M979" s="1190"/>
      <c r="N979" s="1190"/>
      <c r="O979" s="1190"/>
      <c r="P979" s="1190"/>
      <c r="Q979" s="1190"/>
      <c r="R979" s="1190"/>
      <c r="S979" s="1189"/>
      <c r="T979" s="1190"/>
      <c r="U979" s="1190"/>
      <c r="V979" s="1190"/>
      <c r="W979" s="1190"/>
      <c r="X979" s="1190"/>
      <c r="Y979" s="1190"/>
      <c r="Z979" s="1190"/>
      <c r="AA979" s="1190"/>
      <c r="AB979" s="1190"/>
      <c r="AC979" s="1190"/>
      <c r="AD979" s="1190"/>
      <c r="AE979" s="1190"/>
      <c r="AF979" s="1190"/>
      <c r="AG979" s="1748"/>
      <c r="AH979" s="1190"/>
      <c r="AI979" s="1748"/>
      <c r="AJ979" s="1190"/>
      <c r="AK979" s="1190"/>
      <c r="AL979" s="1190"/>
      <c r="AM979" s="1190"/>
      <c r="AN979" s="1190"/>
      <c r="AO979" s="1190"/>
      <c r="AP979" s="1190"/>
      <c r="AQ979" s="1190"/>
      <c r="AR979" s="1190"/>
      <c r="AS979" s="1190"/>
      <c r="AT979" s="1190"/>
      <c r="AU979" s="1190"/>
      <c r="AV979" s="1190"/>
      <c r="AW979" s="1190"/>
      <c r="AX979" s="1190"/>
      <c r="AY979" s="1190"/>
      <c r="AZ979" s="1190"/>
      <c r="BA979" s="1190"/>
      <c r="BB979" s="1190"/>
      <c r="BC979" s="1190"/>
      <c r="BD979" s="1190"/>
      <c r="BE979" s="1190"/>
      <c r="BF979" s="1190"/>
      <c r="BG979" s="1190"/>
      <c r="BH979" s="1190"/>
      <c r="BI979" s="1190"/>
      <c r="BJ979" s="1190"/>
      <c r="BK979" s="1190"/>
      <c r="BL979" s="1190"/>
      <c r="BM979" s="1190"/>
      <c r="BQ979" s="195"/>
      <c r="BR979" s="195"/>
      <c r="BT979" s="1005"/>
    </row>
    <row r="980" ht="15.75" customHeight="1">
      <c r="A980" s="195"/>
      <c r="B980" s="978"/>
      <c r="C980" s="2321"/>
      <c r="D980" s="1729"/>
      <c r="E980" s="1190"/>
      <c r="F980" s="1190"/>
      <c r="G980" s="1190"/>
      <c r="H980" s="1190"/>
      <c r="I980" s="1190"/>
      <c r="J980" s="1190"/>
      <c r="K980" s="1190"/>
      <c r="L980" s="1190"/>
      <c r="M980" s="1190"/>
      <c r="N980" s="1190"/>
      <c r="O980" s="1190"/>
      <c r="P980" s="1190"/>
      <c r="Q980" s="1190"/>
      <c r="R980" s="1190"/>
      <c r="S980" s="1189"/>
      <c r="T980" s="1190"/>
      <c r="U980" s="1190"/>
      <c r="V980" s="1190"/>
      <c r="W980" s="1190"/>
      <c r="X980" s="1190"/>
      <c r="Y980" s="1190"/>
      <c r="Z980" s="1190"/>
      <c r="AA980" s="1190"/>
      <c r="AB980" s="1190"/>
      <c r="AC980" s="1190"/>
      <c r="AD980" s="1190"/>
      <c r="AE980" s="1190"/>
      <c r="AF980" s="1190"/>
      <c r="AG980" s="1748"/>
      <c r="AH980" s="1190"/>
      <c r="AI980" s="1748"/>
      <c r="AJ980" s="1190"/>
      <c r="AK980" s="1190"/>
      <c r="AL980" s="1190"/>
      <c r="AM980" s="1190"/>
      <c r="AN980" s="1190"/>
      <c r="AO980" s="1190"/>
      <c r="AP980" s="1190"/>
      <c r="AQ980" s="1190"/>
      <c r="AR980" s="1190"/>
      <c r="AS980" s="1190"/>
      <c r="AT980" s="1190"/>
      <c r="AU980" s="1190"/>
      <c r="AV980" s="1190"/>
      <c r="AW980" s="1190"/>
      <c r="AX980" s="1190"/>
      <c r="AY980" s="1190"/>
      <c r="AZ980" s="1190"/>
      <c r="BA980" s="1190"/>
      <c r="BB980" s="1190"/>
      <c r="BC980" s="1190"/>
      <c r="BD980" s="1190"/>
      <c r="BE980" s="1190"/>
      <c r="BF980" s="1190"/>
      <c r="BG980" s="1190"/>
      <c r="BH980" s="1190"/>
      <c r="BI980" s="1190"/>
      <c r="BJ980" s="1190"/>
      <c r="BK980" s="1190"/>
      <c r="BL980" s="1190"/>
      <c r="BM980" s="1190"/>
      <c r="BQ980" s="195"/>
      <c r="BR980" s="195"/>
      <c r="BT980" s="1005"/>
    </row>
    <row r="981" ht="15.75" customHeight="1">
      <c r="A981" s="195"/>
      <c r="B981" s="978"/>
      <c r="C981" s="2321"/>
      <c r="D981" s="1729"/>
      <c r="E981" s="1190"/>
      <c r="F981" s="1190"/>
      <c r="G981" s="1190"/>
      <c r="H981" s="1190"/>
      <c r="I981" s="1190"/>
      <c r="J981" s="1190"/>
      <c r="K981" s="1190"/>
      <c r="L981" s="1190"/>
      <c r="M981" s="1190"/>
      <c r="N981" s="1190"/>
      <c r="O981" s="1190"/>
      <c r="P981" s="1190"/>
      <c r="Q981" s="1190"/>
      <c r="R981" s="1190"/>
      <c r="S981" s="1189"/>
      <c r="T981" s="1190"/>
      <c r="U981" s="1190"/>
      <c r="V981" s="1190"/>
      <c r="W981" s="1190"/>
      <c r="X981" s="1190"/>
      <c r="Y981" s="1190"/>
      <c r="Z981" s="1190"/>
      <c r="AA981" s="1190"/>
      <c r="AB981" s="1190"/>
      <c r="AC981" s="1190"/>
      <c r="AD981" s="1190"/>
      <c r="AE981" s="1190"/>
      <c r="AF981" s="1190"/>
      <c r="AG981" s="1748"/>
      <c r="AH981" s="1190"/>
      <c r="AI981" s="1748"/>
      <c r="AJ981" s="1190"/>
      <c r="AK981" s="1190"/>
      <c r="AL981" s="1190"/>
      <c r="AM981" s="1190"/>
      <c r="AN981" s="1190"/>
      <c r="AO981" s="1190"/>
      <c r="AP981" s="1190"/>
      <c r="AQ981" s="1190"/>
      <c r="AR981" s="1190"/>
      <c r="AS981" s="1190"/>
      <c r="AT981" s="1190"/>
      <c r="AU981" s="1190"/>
      <c r="AV981" s="1190"/>
      <c r="AW981" s="1190"/>
      <c r="AX981" s="1190"/>
      <c r="AY981" s="1190"/>
      <c r="AZ981" s="1190"/>
      <c r="BA981" s="1190"/>
      <c r="BB981" s="1190"/>
      <c r="BC981" s="1190"/>
      <c r="BD981" s="1190"/>
      <c r="BE981" s="1190"/>
      <c r="BF981" s="1190"/>
      <c r="BG981" s="1190"/>
      <c r="BH981" s="1190"/>
      <c r="BI981" s="1190"/>
      <c r="BJ981" s="1190"/>
      <c r="BK981" s="1190"/>
      <c r="BL981" s="1190"/>
      <c r="BM981" s="1190"/>
      <c r="BQ981" s="195"/>
      <c r="BR981" s="195"/>
      <c r="BT981" s="1005"/>
    </row>
    <row r="982" ht="15.75" customHeight="1">
      <c r="A982" s="195"/>
      <c r="B982" s="978"/>
      <c r="C982" s="2321"/>
      <c r="D982" s="1729"/>
      <c r="E982" s="1190"/>
      <c r="F982" s="1190"/>
      <c r="G982" s="1190"/>
      <c r="H982" s="1190"/>
      <c r="I982" s="1190"/>
      <c r="J982" s="1190"/>
      <c r="K982" s="1190"/>
      <c r="L982" s="1190"/>
      <c r="M982" s="1190"/>
      <c r="N982" s="1190"/>
      <c r="O982" s="1190"/>
      <c r="P982" s="1190"/>
      <c r="Q982" s="1190"/>
      <c r="R982" s="1190"/>
      <c r="S982" s="1189"/>
      <c r="T982" s="1190"/>
      <c r="U982" s="1190"/>
      <c r="V982" s="1190"/>
      <c r="W982" s="1190"/>
      <c r="X982" s="1190"/>
      <c r="Y982" s="1190"/>
      <c r="Z982" s="1190"/>
      <c r="AA982" s="1190"/>
      <c r="AB982" s="1190"/>
      <c r="AC982" s="1190"/>
      <c r="AD982" s="1190"/>
      <c r="AE982" s="1190"/>
      <c r="AF982" s="1190"/>
      <c r="AG982" s="1748"/>
      <c r="AH982" s="1190"/>
      <c r="AI982" s="1748"/>
      <c r="AJ982" s="1190"/>
      <c r="AK982" s="1190"/>
      <c r="AL982" s="1190"/>
      <c r="AM982" s="1190"/>
      <c r="AN982" s="1190"/>
      <c r="AO982" s="1190"/>
      <c r="AP982" s="1190"/>
      <c r="AQ982" s="1190"/>
      <c r="AR982" s="1190"/>
      <c r="AS982" s="1190"/>
      <c r="AT982" s="1190"/>
      <c r="AU982" s="1190"/>
      <c r="AV982" s="1190"/>
      <c r="AW982" s="1190"/>
      <c r="AX982" s="1190"/>
      <c r="AY982" s="1190"/>
      <c r="AZ982" s="1190"/>
      <c r="BA982" s="1190"/>
      <c r="BB982" s="1190"/>
      <c r="BC982" s="1190"/>
      <c r="BD982" s="1190"/>
      <c r="BE982" s="1190"/>
      <c r="BF982" s="1190"/>
      <c r="BG982" s="1190"/>
      <c r="BH982" s="1190"/>
      <c r="BI982" s="1190"/>
      <c r="BJ982" s="1190"/>
      <c r="BK982" s="1190"/>
      <c r="BL982" s="1190"/>
      <c r="BM982" s="1190"/>
      <c r="BQ982" s="195"/>
      <c r="BR982" s="195"/>
      <c r="BT982" s="1005"/>
    </row>
    <row r="983" ht="15.75" customHeight="1">
      <c r="A983" s="195"/>
      <c r="B983" s="978"/>
      <c r="C983" s="2321"/>
      <c r="D983" s="1729"/>
      <c r="E983" s="1190"/>
      <c r="F983" s="1190"/>
      <c r="G983" s="1190"/>
      <c r="H983" s="1190"/>
      <c r="I983" s="1190"/>
      <c r="J983" s="1190"/>
      <c r="K983" s="1190"/>
      <c r="L983" s="1190"/>
      <c r="M983" s="1190"/>
      <c r="N983" s="1190"/>
      <c r="O983" s="1190"/>
      <c r="P983" s="1190"/>
      <c r="Q983" s="1190"/>
      <c r="R983" s="1190"/>
      <c r="S983" s="1189"/>
      <c r="T983" s="1190"/>
      <c r="U983" s="1190"/>
      <c r="V983" s="1190"/>
      <c r="W983" s="1190"/>
      <c r="X983" s="1190"/>
      <c r="Y983" s="1190"/>
      <c r="Z983" s="1190"/>
      <c r="AA983" s="1190"/>
      <c r="AB983" s="1190"/>
      <c r="AC983" s="1190"/>
      <c r="AD983" s="1190"/>
      <c r="AE983" s="1190"/>
      <c r="AF983" s="1190"/>
      <c r="AG983" s="1748"/>
      <c r="AH983" s="1190"/>
      <c r="AI983" s="1748"/>
      <c r="AJ983" s="1190"/>
      <c r="AK983" s="1190"/>
      <c r="AL983" s="1190"/>
      <c r="AM983" s="1190"/>
      <c r="AN983" s="1190"/>
      <c r="AO983" s="1190"/>
      <c r="AP983" s="1190"/>
      <c r="AQ983" s="1190"/>
      <c r="AR983" s="1190"/>
      <c r="AS983" s="1190"/>
      <c r="AT983" s="1190"/>
      <c r="AU983" s="1190"/>
      <c r="AV983" s="1190"/>
      <c r="AW983" s="1190"/>
      <c r="AX983" s="1190"/>
      <c r="AY983" s="1190"/>
      <c r="AZ983" s="1190"/>
      <c r="BA983" s="1190"/>
      <c r="BB983" s="1190"/>
      <c r="BC983" s="1190"/>
      <c r="BD983" s="1190"/>
      <c r="BE983" s="1190"/>
      <c r="BF983" s="1190"/>
      <c r="BG983" s="1190"/>
      <c r="BH983" s="1190"/>
      <c r="BI983" s="1190"/>
      <c r="BJ983" s="1190"/>
      <c r="BK983" s="1190"/>
      <c r="BL983" s="1190"/>
      <c r="BM983" s="1190"/>
      <c r="BQ983" s="195"/>
      <c r="BR983" s="195"/>
      <c r="BT983" s="1005"/>
    </row>
    <row r="984" ht="15.75" customHeight="1">
      <c r="A984" s="195"/>
      <c r="B984" s="978"/>
      <c r="C984" s="2321"/>
      <c r="D984" s="1729"/>
      <c r="E984" s="1190"/>
      <c r="F984" s="1190"/>
      <c r="G984" s="1190"/>
      <c r="H984" s="1190"/>
      <c r="I984" s="1190"/>
      <c r="J984" s="1190"/>
      <c r="K984" s="1190"/>
      <c r="L984" s="1190"/>
      <c r="M984" s="1190"/>
      <c r="N984" s="1190"/>
      <c r="O984" s="1190"/>
      <c r="P984" s="1190"/>
      <c r="Q984" s="1190"/>
      <c r="R984" s="1190"/>
      <c r="S984" s="1189"/>
      <c r="T984" s="1190"/>
      <c r="U984" s="1190"/>
      <c r="V984" s="1190"/>
      <c r="W984" s="1190"/>
      <c r="X984" s="1190"/>
      <c r="Y984" s="1190"/>
      <c r="Z984" s="1190"/>
      <c r="AA984" s="1190"/>
      <c r="AB984" s="1190"/>
      <c r="AC984" s="1190"/>
      <c r="AD984" s="1190"/>
      <c r="AE984" s="1190"/>
      <c r="AF984" s="1190"/>
      <c r="AG984" s="1748"/>
      <c r="AH984" s="1190"/>
      <c r="AI984" s="1748"/>
      <c r="AJ984" s="1190"/>
      <c r="AK984" s="1190"/>
      <c r="AL984" s="1190"/>
      <c r="AM984" s="1190"/>
      <c r="AN984" s="1190"/>
      <c r="AO984" s="1190"/>
      <c r="AP984" s="1190"/>
      <c r="AQ984" s="1190"/>
      <c r="AR984" s="1190"/>
      <c r="AS984" s="1190"/>
      <c r="AT984" s="1190"/>
      <c r="AU984" s="1190"/>
      <c r="AV984" s="1190"/>
      <c r="AW984" s="1190"/>
      <c r="AX984" s="1190"/>
      <c r="AY984" s="1190"/>
      <c r="AZ984" s="1190"/>
      <c r="BA984" s="1190"/>
      <c r="BB984" s="1190"/>
      <c r="BC984" s="1190"/>
      <c r="BD984" s="1190"/>
      <c r="BE984" s="1190"/>
      <c r="BF984" s="1190"/>
      <c r="BG984" s="1190"/>
      <c r="BH984" s="1190"/>
      <c r="BI984" s="1190"/>
      <c r="BJ984" s="1190"/>
      <c r="BK984" s="1190"/>
      <c r="BL984" s="1190"/>
      <c r="BM984" s="1190"/>
      <c r="BQ984" s="195"/>
      <c r="BR984" s="195"/>
      <c r="BT984" s="1005"/>
    </row>
    <row r="985" ht="15.75" customHeight="1">
      <c r="A985" s="195"/>
      <c r="B985" s="978"/>
      <c r="C985" s="2321"/>
      <c r="D985" s="1729"/>
      <c r="E985" s="1190"/>
      <c r="F985" s="1190"/>
      <c r="G985" s="1190"/>
      <c r="H985" s="1190"/>
      <c r="I985" s="1190"/>
      <c r="J985" s="1190"/>
      <c r="K985" s="1190"/>
      <c r="L985" s="1190"/>
      <c r="M985" s="1190"/>
      <c r="N985" s="1190"/>
      <c r="O985" s="1190"/>
      <c r="P985" s="1190"/>
      <c r="Q985" s="1190"/>
      <c r="R985" s="1190"/>
      <c r="S985" s="1189"/>
      <c r="T985" s="1190"/>
      <c r="U985" s="1190"/>
      <c r="V985" s="1190"/>
      <c r="W985" s="1190"/>
      <c r="X985" s="1190"/>
      <c r="Y985" s="1190"/>
      <c r="Z985" s="1190"/>
      <c r="AA985" s="1190"/>
      <c r="AB985" s="1190"/>
      <c r="AC985" s="1190"/>
      <c r="AD985" s="1190"/>
      <c r="AE985" s="1190"/>
      <c r="AF985" s="1190"/>
      <c r="AG985" s="1748"/>
      <c r="AH985" s="1190"/>
      <c r="AI985" s="1748"/>
      <c r="AJ985" s="1190"/>
      <c r="AK985" s="1190"/>
      <c r="AL985" s="1190"/>
      <c r="AM985" s="1190"/>
      <c r="AN985" s="1190"/>
      <c r="AO985" s="1190"/>
      <c r="AP985" s="1190"/>
      <c r="AQ985" s="1190"/>
      <c r="AR985" s="1190"/>
      <c r="AS985" s="1190"/>
      <c r="AT985" s="1190"/>
      <c r="AU985" s="1190"/>
      <c r="AV985" s="1190"/>
      <c r="AW985" s="1190"/>
      <c r="AX985" s="1190"/>
      <c r="AY985" s="1190"/>
      <c r="AZ985" s="1190"/>
      <c r="BA985" s="1190"/>
      <c r="BB985" s="1190"/>
      <c r="BC985" s="1190"/>
      <c r="BD985" s="1190"/>
      <c r="BE985" s="1190"/>
      <c r="BF985" s="1190"/>
      <c r="BG985" s="1190"/>
      <c r="BH985" s="1190"/>
      <c r="BI985" s="1190"/>
      <c r="BJ985" s="1190"/>
      <c r="BK985" s="1190"/>
      <c r="BL985" s="1190"/>
      <c r="BM985" s="1190"/>
      <c r="BQ985" s="195"/>
      <c r="BR985" s="195"/>
      <c r="BT985" s="1005"/>
    </row>
  </sheetData>
  <mergeCells count="4501">
    <mergeCell ref="BN186:BO186"/>
    <mergeCell ref="BP186:BQ186"/>
    <mergeCell ref="AZ186:BA186"/>
    <mergeCell ref="BB186:BC186"/>
    <mergeCell ref="BD186:BE186"/>
    <mergeCell ref="BF186:BG186"/>
    <mergeCell ref="BH186:BI186"/>
    <mergeCell ref="BJ186:BK186"/>
    <mergeCell ref="BL186:BM186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AJ185:AK185"/>
    <mergeCell ref="AL185:AM185"/>
    <mergeCell ref="AN185:AO185"/>
    <mergeCell ref="AP185:AQ185"/>
    <mergeCell ref="AR185:AS185"/>
    <mergeCell ref="AT185:AU185"/>
    <mergeCell ref="BJ185:BK185"/>
    <mergeCell ref="BL185:BM185"/>
    <mergeCell ref="BN185:BO185"/>
    <mergeCell ref="BP185:BQ185"/>
    <mergeCell ref="F185:G185"/>
    <mergeCell ref="H185:I185"/>
    <mergeCell ref="J185:K185"/>
    <mergeCell ref="L185:M185"/>
    <mergeCell ref="N185:O185"/>
    <mergeCell ref="P185:Q185"/>
    <mergeCell ref="R185:S185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V186:W186"/>
    <mergeCell ref="X186:Y186"/>
    <mergeCell ref="Z186:AA186"/>
    <mergeCell ref="AB186:AC186"/>
    <mergeCell ref="AD186:AE186"/>
    <mergeCell ref="AF186:AG186"/>
    <mergeCell ref="AV185:AW185"/>
    <mergeCell ref="AX185:AY185"/>
    <mergeCell ref="AZ185:BA185"/>
    <mergeCell ref="BB185:BC185"/>
    <mergeCell ref="BD185:BE185"/>
    <mergeCell ref="BF185:BG185"/>
    <mergeCell ref="BH185:BI185"/>
    <mergeCell ref="AV182:AW182"/>
    <mergeCell ref="AX182:AY182"/>
    <mergeCell ref="AH182:AI182"/>
    <mergeCell ref="AJ182:AK182"/>
    <mergeCell ref="AL182:AM182"/>
    <mergeCell ref="AN182:AO182"/>
    <mergeCell ref="AP182:AQ182"/>
    <mergeCell ref="AR182:AS182"/>
    <mergeCell ref="AT182:AU182"/>
    <mergeCell ref="BN182:BO182"/>
    <mergeCell ref="BP182:BQ182"/>
    <mergeCell ref="AZ182:BA182"/>
    <mergeCell ref="BB182:BC182"/>
    <mergeCell ref="BD182:BE182"/>
    <mergeCell ref="BF182:BG182"/>
    <mergeCell ref="BH182:BI182"/>
    <mergeCell ref="BJ182:BK182"/>
    <mergeCell ref="BL182:BM182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AJ181:AK181"/>
    <mergeCell ref="AL181:AM181"/>
    <mergeCell ref="AN181:AO181"/>
    <mergeCell ref="AP181:AQ181"/>
    <mergeCell ref="AR181:AS181"/>
    <mergeCell ref="AT181:AU181"/>
    <mergeCell ref="BJ181:BK181"/>
    <mergeCell ref="BL181:BM181"/>
    <mergeCell ref="BN181:BO181"/>
    <mergeCell ref="BP181:BQ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V181:AW181"/>
    <mergeCell ref="AX181:AY181"/>
    <mergeCell ref="AZ181:BA181"/>
    <mergeCell ref="BB181:BC181"/>
    <mergeCell ref="BD181:BE181"/>
    <mergeCell ref="BF181:BG181"/>
    <mergeCell ref="BH181:BI181"/>
    <mergeCell ref="F182:G182"/>
    <mergeCell ref="H182:I182"/>
    <mergeCell ref="J182:K182"/>
    <mergeCell ref="L182:M182"/>
    <mergeCell ref="N182:O182"/>
    <mergeCell ref="P182:Q182"/>
    <mergeCell ref="R182:S182"/>
    <mergeCell ref="BN184:BO184"/>
    <mergeCell ref="BP184:BQ184"/>
    <mergeCell ref="AZ184:BA184"/>
    <mergeCell ref="BB184:BC184"/>
    <mergeCell ref="BD184:BE184"/>
    <mergeCell ref="BF184:BG184"/>
    <mergeCell ref="BH184:BI184"/>
    <mergeCell ref="BJ184:BK184"/>
    <mergeCell ref="BL184:BM184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AJ183:AK183"/>
    <mergeCell ref="AL183:AM183"/>
    <mergeCell ref="AN183:AO183"/>
    <mergeCell ref="AP183:AQ183"/>
    <mergeCell ref="AR183:AS183"/>
    <mergeCell ref="AT183:AU183"/>
    <mergeCell ref="BJ183:BK183"/>
    <mergeCell ref="BL183:BM183"/>
    <mergeCell ref="BN183:BO183"/>
    <mergeCell ref="BP183:BQ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V183:AW183"/>
    <mergeCell ref="AX183:AY183"/>
    <mergeCell ref="AZ183:BA183"/>
    <mergeCell ref="BB183:BC183"/>
    <mergeCell ref="BD183:BE183"/>
    <mergeCell ref="BF183:BG183"/>
    <mergeCell ref="BH183:BI183"/>
    <mergeCell ref="F184:G184"/>
    <mergeCell ref="H184:I184"/>
    <mergeCell ref="J184:K184"/>
    <mergeCell ref="L184:M184"/>
    <mergeCell ref="N184:O184"/>
    <mergeCell ref="P184:Q184"/>
    <mergeCell ref="R184:S184"/>
    <mergeCell ref="AV186:AW186"/>
    <mergeCell ref="AX186:AY186"/>
    <mergeCell ref="AH186:AI186"/>
    <mergeCell ref="AJ186:AK186"/>
    <mergeCell ref="AL186:AM186"/>
    <mergeCell ref="AN186:AO186"/>
    <mergeCell ref="AP186:AQ186"/>
    <mergeCell ref="AR186:AS186"/>
    <mergeCell ref="AT186:AU186"/>
    <mergeCell ref="F187:G187"/>
    <mergeCell ref="H187:I187"/>
    <mergeCell ref="J187:K187"/>
    <mergeCell ref="L187:M187"/>
    <mergeCell ref="N187:O187"/>
    <mergeCell ref="P187:Q187"/>
    <mergeCell ref="R187:S187"/>
    <mergeCell ref="A190:B190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AJ187:AK187"/>
    <mergeCell ref="AL187:AM187"/>
    <mergeCell ref="AN187:AO187"/>
    <mergeCell ref="AP187:AQ187"/>
    <mergeCell ref="AR187:AS187"/>
    <mergeCell ref="AT187:AU187"/>
    <mergeCell ref="BJ187:BK187"/>
    <mergeCell ref="BL187:BM187"/>
    <mergeCell ref="BN187:BO187"/>
    <mergeCell ref="BP187:BQ187"/>
    <mergeCell ref="BJ188:BK188"/>
    <mergeCell ref="BP188:BQ188"/>
    <mergeCell ref="AV187:AW187"/>
    <mergeCell ref="AX187:AY187"/>
    <mergeCell ref="AZ187:BA187"/>
    <mergeCell ref="BB187:BC187"/>
    <mergeCell ref="BD187:BE187"/>
    <mergeCell ref="BF187:BG187"/>
    <mergeCell ref="BH187:BI187"/>
    <mergeCell ref="AV184:AW184"/>
    <mergeCell ref="AX184:AY184"/>
    <mergeCell ref="AH184:AI184"/>
    <mergeCell ref="AJ184:AK184"/>
    <mergeCell ref="AL184:AM184"/>
    <mergeCell ref="AN184:AO184"/>
    <mergeCell ref="AP184:AQ184"/>
    <mergeCell ref="AR184:AS184"/>
    <mergeCell ref="AT184:AU184"/>
    <mergeCell ref="P224:Q224"/>
    <mergeCell ref="R224:S224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BF224:BG224"/>
    <mergeCell ref="BH224:BI224"/>
    <mergeCell ref="BJ224:BK224"/>
    <mergeCell ref="BL224:BM224"/>
    <mergeCell ref="BN224:BO224"/>
    <mergeCell ref="BP224:BQ224"/>
    <mergeCell ref="AR224:AS224"/>
    <mergeCell ref="AT224:AU224"/>
    <mergeCell ref="AV224:AW224"/>
    <mergeCell ref="AX224:AY224"/>
    <mergeCell ref="AZ224:BA224"/>
    <mergeCell ref="BB224:BC224"/>
    <mergeCell ref="BD224:BE224"/>
    <mergeCell ref="A223:B223"/>
    <mergeCell ref="C223:D223"/>
    <mergeCell ref="F224:G224"/>
    <mergeCell ref="H224:I224"/>
    <mergeCell ref="J224:K224"/>
    <mergeCell ref="L224:M224"/>
    <mergeCell ref="N224:O224"/>
    <mergeCell ref="BN165:BO165"/>
    <mergeCell ref="BP165:BQ165"/>
    <mergeCell ref="AZ165:BA165"/>
    <mergeCell ref="BB165:BC165"/>
    <mergeCell ref="BD165:BE165"/>
    <mergeCell ref="BF165:BG165"/>
    <mergeCell ref="BH165:BI165"/>
    <mergeCell ref="BJ165:BK165"/>
    <mergeCell ref="BL165:BM165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AJ164:AK164"/>
    <mergeCell ref="AL164:AM164"/>
    <mergeCell ref="AN164:AO164"/>
    <mergeCell ref="AP164:AQ164"/>
    <mergeCell ref="AR164:AS164"/>
    <mergeCell ref="AT164:AU164"/>
    <mergeCell ref="BJ164:BK164"/>
    <mergeCell ref="BL164:BM164"/>
    <mergeCell ref="BN164:BO164"/>
    <mergeCell ref="BP164:BQ164"/>
    <mergeCell ref="F164:G164"/>
    <mergeCell ref="H164:I164"/>
    <mergeCell ref="J164:K164"/>
    <mergeCell ref="L164:M164"/>
    <mergeCell ref="N164:O164"/>
    <mergeCell ref="P164:Q164"/>
    <mergeCell ref="R164:S164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Z165:AA165"/>
    <mergeCell ref="AB165:AC165"/>
    <mergeCell ref="AD165:AE165"/>
    <mergeCell ref="AF165:AG165"/>
    <mergeCell ref="AV164:AW164"/>
    <mergeCell ref="AX164:AY164"/>
    <mergeCell ref="AZ164:BA164"/>
    <mergeCell ref="BB164:BC164"/>
    <mergeCell ref="BD164:BE164"/>
    <mergeCell ref="BF164:BG164"/>
    <mergeCell ref="BH164:BI164"/>
    <mergeCell ref="AV161:AW161"/>
    <mergeCell ref="AX161:AY161"/>
    <mergeCell ref="AH161:AI161"/>
    <mergeCell ref="AJ161:AK161"/>
    <mergeCell ref="AL161:AM161"/>
    <mergeCell ref="AN161:AO161"/>
    <mergeCell ref="AP161:AQ161"/>
    <mergeCell ref="AR161:AS161"/>
    <mergeCell ref="AT161:AU161"/>
    <mergeCell ref="BN161:BO161"/>
    <mergeCell ref="BP161:BQ161"/>
    <mergeCell ref="AZ161:BA161"/>
    <mergeCell ref="BB161:BC161"/>
    <mergeCell ref="BD161:BE161"/>
    <mergeCell ref="BF161:BG161"/>
    <mergeCell ref="BH161:BI161"/>
    <mergeCell ref="BJ161:BK161"/>
    <mergeCell ref="BL161:BM161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AJ160:AK160"/>
    <mergeCell ref="AL160:AM160"/>
    <mergeCell ref="AN160:AO160"/>
    <mergeCell ref="AP160:AQ160"/>
    <mergeCell ref="AR160:AS160"/>
    <mergeCell ref="AT160:AU160"/>
    <mergeCell ref="BJ160:BK160"/>
    <mergeCell ref="BL160:BM160"/>
    <mergeCell ref="BN160:BO160"/>
    <mergeCell ref="BP160:BQ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V160:AW160"/>
    <mergeCell ref="AX160:AY160"/>
    <mergeCell ref="AZ160:BA160"/>
    <mergeCell ref="BB160:BC160"/>
    <mergeCell ref="BD160:BE160"/>
    <mergeCell ref="BF160:BG160"/>
    <mergeCell ref="BH160:BI160"/>
    <mergeCell ref="F161:G161"/>
    <mergeCell ref="H161:I161"/>
    <mergeCell ref="J161:K161"/>
    <mergeCell ref="L161:M161"/>
    <mergeCell ref="N161:O161"/>
    <mergeCell ref="P161:Q161"/>
    <mergeCell ref="R161:S161"/>
    <mergeCell ref="AV163:AW163"/>
    <mergeCell ref="AX163:AY163"/>
    <mergeCell ref="AH163:AI163"/>
    <mergeCell ref="AJ163:AK163"/>
    <mergeCell ref="AL163:AM163"/>
    <mergeCell ref="AN163:AO163"/>
    <mergeCell ref="AP163:AQ163"/>
    <mergeCell ref="AR163:AS163"/>
    <mergeCell ref="AT163:AU163"/>
    <mergeCell ref="BN163:BO163"/>
    <mergeCell ref="BP163:BQ163"/>
    <mergeCell ref="AZ163:BA163"/>
    <mergeCell ref="BB163:BC163"/>
    <mergeCell ref="BD163:BE163"/>
    <mergeCell ref="BF163:BG163"/>
    <mergeCell ref="BH163:BI163"/>
    <mergeCell ref="BJ163:BK163"/>
    <mergeCell ref="BL163:BM163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AJ162:AK162"/>
    <mergeCell ref="AL162:AM162"/>
    <mergeCell ref="AN162:AO162"/>
    <mergeCell ref="AP162:AQ162"/>
    <mergeCell ref="AR162:AS162"/>
    <mergeCell ref="AT162:AU162"/>
    <mergeCell ref="BJ162:BK162"/>
    <mergeCell ref="BL162:BM162"/>
    <mergeCell ref="BN162:BO162"/>
    <mergeCell ref="BP162:BQ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V162:AW162"/>
    <mergeCell ref="AX162:AY162"/>
    <mergeCell ref="AZ162:BA162"/>
    <mergeCell ref="BB162:BC162"/>
    <mergeCell ref="BD162:BE162"/>
    <mergeCell ref="BF162:BG162"/>
    <mergeCell ref="BH162:BI162"/>
    <mergeCell ref="F163:G163"/>
    <mergeCell ref="H163:I163"/>
    <mergeCell ref="J163:K163"/>
    <mergeCell ref="L163:M163"/>
    <mergeCell ref="N163:O163"/>
    <mergeCell ref="P163:Q163"/>
    <mergeCell ref="R163:S163"/>
    <mergeCell ref="AV165:AW165"/>
    <mergeCell ref="AX165:AY165"/>
    <mergeCell ref="AH165:AI165"/>
    <mergeCell ref="AJ165:AK165"/>
    <mergeCell ref="AL165:AM165"/>
    <mergeCell ref="AN165:AO165"/>
    <mergeCell ref="AP165:AQ165"/>
    <mergeCell ref="AR165:AS165"/>
    <mergeCell ref="AT165:AU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AJ166:AK166"/>
    <mergeCell ref="AL166:AM166"/>
    <mergeCell ref="AN166:AO166"/>
    <mergeCell ref="AP166:AQ166"/>
    <mergeCell ref="AR166:AS166"/>
    <mergeCell ref="AT166:AU166"/>
    <mergeCell ref="BJ166:BK166"/>
    <mergeCell ref="BL166:BM166"/>
    <mergeCell ref="BN166:BO166"/>
    <mergeCell ref="BP166:BQ166"/>
    <mergeCell ref="AV166:AW166"/>
    <mergeCell ref="AX166:AY166"/>
    <mergeCell ref="AZ166:BA166"/>
    <mergeCell ref="BB166:BC166"/>
    <mergeCell ref="BD166:BE166"/>
    <mergeCell ref="BF166:BG166"/>
    <mergeCell ref="BH166:BI166"/>
    <mergeCell ref="F166:G166"/>
    <mergeCell ref="H166:I166"/>
    <mergeCell ref="J166:K166"/>
    <mergeCell ref="L166:M166"/>
    <mergeCell ref="N166:O166"/>
    <mergeCell ref="P166:Q166"/>
    <mergeCell ref="R166:S166"/>
    <mergeCell ref="BN172:BO172"/>
    <mergeCell ref="BP172:BQ172"/>
    <mergeCell ref="AZ172:BA172"/>
    <mergeCell ref="BB172:BC172"/>
    <mergeCell ref="BD172:BE172"/>
    <mergeCell ref="BF172:BG172"/>
    <mergeCell ref="BH172:BI172"/>
    <mergeCell ref="BJ172:BK172"/>
    <mergeCell ref="BL172:BM172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AJ171:AK171"/>
    <mergeCell ref="AL171:AM171"/>
    <mergeCell ref="AN171:AO171"/>
    <mergeCell ref="AP171:AQ171"/>
    <mergeCell ref="AR171:AS171"/>
    <mergeCell ref="AT171:AU171"/>
    <mergeCell ref="BJ171:BK171"/>
    <mergeCell ref="BL171:BM171"/>
    <mergeCell ref="BN171:BO171"/>
    <mergeCell ref="BP171:BQ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Z172:AA172"/>
    <mergeCell ref="AB172:AC172"/>
    <mergeCell ref="AD172:AE172"/>
    <mergeCell ref="AF172:AG172"/>
    <mergeCell ref="AV171:AW171"/>
    <mergeCell ref="AX171:AY171"/>
    <mergeCell ref="AZ171:BA171"/>
    <mergeCell ref="BB171:BC171"/>
    <mergeCell ref="BD171:BE171"/>
    <mergeCell ref="BF171:BG171"/>
    <mergeCell ref="BH171:BI171"/>
    <mergeCell ref="AV168:AW168"/>
    <mergeCell ref="AX168:AY168"/>
    <mergeCell ref="AH168:AI168"/>
    <mergeCell ref="AJ168:AK168"/>
    <mergeCell ref="AL168:AM168"/>
    <mergeCell ref="AN168:AO168"/>
    <mergeCell ref="AP168:AQ168"/>
    <mergeCell ref="AR168:AS168"/>
    <mergeCell ref="AT168:AU168"/>
    <mergeCell ref="BN168:BO168"/>
    <mergeCell ref="BP168:BQ168"/>
    <mergeCell ref="AZ168:BA168"/>
    <mergeCell ref="BB168:BC168"/>
    <mergeCell ref="BD168:BE168"/>
    <mergeCell ref="BF168:BG168"/>
    <mergeCell ref="BH168:BI168"/>
    <mergeCell ref="BJ168:BK168"/>
    <mergeCell ref="BL168:BM168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AJ167:AK167"/>
    <mergeCell ref="AL167:AM167"/>
    <mergeCell ref="AN167:AO167"/>
    <mergeCell ref="AP167:AQ167"/>
    <mergeCell ref="AR167:AS167"/>
    <mergeCell ref="AT167:AU167"/>
    <mergeCell ref="BJ167:BK167"/>
    <mergeCell ref="BL167:BM167"/>
    <mergeCell ref="BN167:BO167"/>
    <mergeCell ref="BP167:BQ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V167:AW167"/>
    <mergeCell ref="AX167:AY167"/>
    <mergeCell ref="AZ167:BA167"/>
    <mergeCell ref="BB167:BC167"/>
    <mergeCell ref="BD167:BE167"/>
    <mergeCell ref="BF167:BG167"/>
    <mergeCell ref="BH167:BI167"/>
    <mergeCell ref="F168:G168"/>
    <mergeCell ref="H168:I168"/>
    <mergeCell ref="J168:K168"/>
    <mergeCell ref="L168:M168"/>
    <mergeCell ref="N168:O168"/>
    <mergeCell ref="P168:Q168"/>
    <mergeCell ref="R168:S168"/>
    <mergeCell ref="AV170:AW170"/>
    <mergeCell ref="AX170:AY170"/>
    <mergeCell ref="AH170:AI170"/>
    <mergeCell ref="AJ170:AK170"/>
    <mergeCell ref="AL170:AM170"/>
    <mergeCell ref="AN170:AO170"/>
    <mergeCell ref="AP170:AQ170"/>
    <mergeCell ref="AR170:AS170"/>
    <mergeCell ref="AT170:AU170"/>
    <mergeCell ref="BN170:BO170"/>
    <mergeCell ref="BP170:BQ170"/>
    <mergeCell ref="AZ170:BA170"/>
    <mergeCell ref="BB170:BC170"/>
    <mergeCell ref="BD170:BE170"/>
    <mergeCell ref="BF170:BG170"/>
    <mergeCell ref="BH170:BI170"/>
    <mergeCell ref="BJ170:BK170"/>
    <mergeCell ref="BL170:BM170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AJ169:AK169"/>
    <mergeCell ref="AL169:AM169"/>
    <mergeCell ref="AN169:AO169"/>
    <mergeCell ref="AP169:AQ169"/>
    <mergeCell ref="AR169:AS169"/>
    <mergeCell ref="AT169:AU169"/>
    <mergeCell ref="BJ169:BK169"/>
    <mergeCell ref="BL169:BM169"/>
    <mergeCell ref="BN169:BO169"/>
    <mergeCell ref="BP169:BQ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V169:AW169"/>
    <mergeCell ref="AX169:AY169"/>
    <mergeCell ref="AZ169:BA169"/>
    <mergeCell ref="BB169:BC169"/>
    <mergeCell ref="BD169:BE169"/>
    <mergeCell ref="BF169:BG169"/>
    <mergeCell ref="BH169:BI169"/>
    <mergeCell ref="F170:G170"/>
    <mergeCell ref="H170:I170"/>
    <mergeCell ref="J170:K170"/>
    <mergeCell ref="L170:M170"/>
    <mergeCell ref="N170:O170"/>
    <mergeCell ref="P170:Q170"/>
    <mergeCell ref="R170:S170"/>
    <mergeCell ref="AV172:AW172"/>
    <mergeCell ref="AX172:AY172"/>
    <mergeCell ref="AH172:AI172"/>
    <mergeCell ref="AJ172:AK172"/>
    <mergeCell ref="AL172:AM172"/>
    <mergeCell ref="AN172:AO172"/>
    <mergeCell ref="AP172:AQ172"/>
    <mergeCell ref="AR172:AS172"/>
    <mergeCell ref="AT172:AU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AJ173:AK173"/>
    <mergeCell ref="AL173:AM173"/>
    <mergeCell ref="AN173:AO173"/>
    <mergeCell ref="AP173:AQ173"/>
    <mergeCell ref="AR173:AS173"/>
    <mergeCell ref="AT173:AU173"/>
    <mergeCell ref="BJ173:BK173"/>
    <mergeCell ref="BL173:BM173"/>
    <mergeCell ref="BN173:BO173"/>
    <mergeCell ref="BP173:BQ173"/>
    <mergeCell ref="AV173:AW173"/>
    <mergeCell ref="AX173:AY173"/>
    <mergeCell ref="AZ173:BA173"/>
    <mergeCell ref="BB173:BC173"/>
    <mergeCell ref="BD173:BE173"/>
    <mergeCell ref="BF173:BG173"/>
    <mergeCell ref="BH173:BI173"/>
    <mergeCell ref="F173:G173"/>
    <mergeCell ref="H173:I173"/>
    <mergeCell ref="J173:K173"/>
    <mergeCell ref="L173:M173"/>
    <mergeCell ref="N173:O173"/>
    <mergeCell ref="P173:Q173"/>
    <mergeCell ref="R173:S173"/>
    <mergeCell ref="BN179:BO179"/>
    <mergeCell ref="BP179:BQ179"/>
    <mergeCell ref="AZ179:BA179"/>
    <mergeCell ref="BB179:BC179"/>
    <mergeCell ref="BD179:BE179"/>
    <mergeCell ref="BF179:BG179"/>
    <mergeCell ref="BH179:BI179"/>
    <mergeCell ref="BJ179:BK179"/>
    <mergeCell ref="BL179:BM179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AJ178:AK178"/>
    <mergeCell ref="AL178:AM178"/>
    <mergeCell ref="AN178:AO178"/>
    <mergeCell ref="AP178:AQ178"/>
    <mergeCell ref="AR178:AS178"/>
    <mergeCell ref="AT178:AU178"/>
    <mergeCell ref="BJ178:BK178"/>
    <mergeCell ref="BL178:BM178"/>
    <mergeCell ref="BN178:BO178"/>
    <mergeCell ref="BP178:BQ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Z179:AA179"/>
    <mergeCell ref="AB179:AC179"/>
    <mergeCell ref="AD179:AE179"/>
    <mergeCell ref="AF179:AG179"/>
    <mergeCell ref="AV178:AW178"/>
    <mergeCell ref="AX178:AY178"/>
    <mergeCell ref="AZ178:BA178"/>
    <mergeCell ref="BB178:BC178"/>
    <mergeCell ref="BD178:BE178"/>
    <mergeCell ref="BF178:BG178"/>
    <mergeCell ref="BH178:BI178"/>
    <mergeCell ref="AV175:AW175"/>
    <mergeCell ref="AX175:AY175"/>
    <mergeCell ref="AH175:AI175"/>
    <mergeCell ref="AJ175:AK175"/>
    <mergeCell ref="AL175:AM175"/>
    <mergeCell ref="AN175:AO175"/>
    <mergeCell ref="AP175:AQ175"/>
    <mergeCell ref="AR175:AS175"/>
    <mergeCell ref="AT175:AU175"/>
    <mergeCell ref="BN175:BO175"/>
    <mergeCell ref="BP175:BQ175"/>
    <mergeCell ref="AZ175:BA175"/>
    <mergeCell ref="BB175:BC175"/>
    <mergeCell ref="BD175:BE175"/>
    <mergeCell ref="BF175:BG175"/>
    <mergeCell ref="BH175:BI175"/>
    <mergeCell ref="BJ175:BK175"/>
    <mergeCell ref="BL175:BM175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AJ174:AK174"/>
    <mergeCell ref="AL174:AM174"/>
    <mergeCell ref="AN174:AO174"/>
    <mergeCell ref="AP174:AQ174"/>
    <mergeCell ref="AR174:AS174"/>
    <mergeCell ref="AT174:AU174"/>
    <mergeCell ref="BJ174:BK174"/>
    <mergeCell ref="BL174:BM174"/>
    <mergeCell ref="BN174:BO174"/>
    <mergeCell ref="BP174:BQ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V174:AW174"/>
    <mergeCell ref="AX174:AY174"/>
    <mergeCell ref="AZ174:BA174"/>
    <mergeCell ref="BB174:BC174"/>
    <mergeCell ref="BD174:BE174"/>
    <mergeCell ref="BF174:BG174"/>
    <mergeCell ref="BH174:BI174"/>
    <mergeCell ref="F175:G175"/>
    <mergeCell ref="H175:I175"/>
    <mergeCell ref="J175:K175"/>
    <mergeCell ref="L175:M175"/>
    <mergeCell ref="N175:O175"/>
    <mergeCell ref="P175:Q175"/>
    <mergeCell ref="R175:S175"/>
    <mergeCell ref="AV177:AW177"/>
    <mergeCell ref="AX177:AY177"/>
    <mergeCell ref="AH177:AI177"/>
    <mergeCell ref="AJ177:AK177"/>
    <mergeCell ref="AL177:AM177"/>
    <mergeCell ref="AN177:AO177"/>
    <mergeCell ref="AP177:AQ177"/>
    <mergeCell ref="AR177:AS177"/>
    <mergeCell ref="AT177:AU177"/>
    <mergeCell ref="BN177:BO177"/>
    <mergeCell ref="BP177:BQ177"/>
    <mergeCell ref="AZ177:BA177"/>
    <mergeCell ref="BB177:BC177"/>
    <mergeCell ref="BD177:BE177"/>
    <mergeCell ref="BF177:BG177"/>
    <mergeCell ref="BH177:BI177"/>
    <mergeCell ref="BJ177:BK177"/>
    <mergeCell ref="BL177:BM177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AJ176:AK176"/>
    <mergeCell ref="AL176:AM176"/>
    <mergeCell ref="AN176:AO176"/>
    <mergeCell ref="AP176:AQ176"/>
    <mergeCell ref="AR176:AS176"/>
    <mergeCell ref="AT176:AU176"/>
    <mergeCell ref="BJ176:BK176"/>
    <mergeCell ref="BL176:BM176"/>
    <mergeCell ref="BN176:BO176"/>
    <mergeCell ref="BP176:BQ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V176:AW176"/>
    <mergeCell ref="AX176:AY176"/>
    <mergeCell ref="AZ176:BA176"/>
    <mergeCell ref="BB176:BC176"/>
    <mergeCell ref="BD176:BE176"/>
    <mergeCell ref="BF176:BG176"/>
    <mergeCell ref="BH176:BI176"/>
    <mergeCell ref="F177:G177"/>
    <mergeCell ref="H177:I177"/>
    <mergeCell ref="J177:K177"/>
    <mergeCell ref="L177:M177"/>
    <mergeCell ref="N177:O177"/>
    <mergeCell ref="P177:Q177"/>
    <mergeCell ref="R177:S177"/>
    <mergeCell ref="AV179:AW179"/>
    <mergeCell ref="AX179:AY179"/>
    <mergeCell ref="AH179:AI179"/>
    <mergeCell ref="AJ179:AK179"/>
    <mergeCell ref="AL179:AM179"/>
    <mergeCell ref="AN179:AO179"/>
    <mergeCell ref="AP179:AQ179"/>
    <mergeCell ref="AR179:AS179"/>
    <mergeCell ref="AT179:AU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AJ180:AK180"/>
    <mergeCell ref="AL180:AM180"/>
    <mergeCell ref="AN180:AO180"/>
    <mergeCell ref="AP180:AQ180"/>
    <mergeCell ref="AR180:AS180"/>
    <mergeCell ref="AT180:AU180"/>
    <mergeCell ref="BJ180:BK180"/>
    <mergeCell ref="BL180:BM180"/>
    <mergeCell ref="BN180:BO180"/>
    <mergeCell ref="BP180:BQ180"/>
    <mergeCell ref="AV180:AW180"/>
    <mergeCell ref="AX180:AY180"/>
    <mergeCell ref="AZ180:BA180"/>
    <mergeCell ref="BB180:BC180"/>
    <mergeCell ref="BD180:BE180"/>
    <mergeCell ref="BF180:BG180"/>
    <mergeCell ref="BH180:BI180"/>
    <mergeCell ref="F180:G180"/>
    <mergeCell ref="H180:I180"/>
    <mergeCell ref="J180:K180"/>
    <mergeCell ref="L180:M180"/>
    <mergeCell ref="N180:O180"/>
    <mergeCell ref="P180:Q180"/>
    <mergeCell ref="R180:S180"/>
    <mergeCell ref="BN251:BO251"/>
    <mergeCell ref="BP251:BQ251"/>
    <mergeCell ref="AZ251:BA251"/>
    <mergeCell ref="BB251:BC251"/>
    <mergeCell ref="BD251:BE251"/>
    <mergeCell ref="BF251:BG251"/>
    <mergeCell ref="BH251:BI251"/>
    <mergeCell ref="BJ251:BK251"/>
    <mergeCell ref="BL251:BM251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AJ250:AK250"/>
    <mergeCell ref="AL250:AM250"/>
    <mergeCell ref="AN250:AO250"/>
    <mergeCell ref="AP250:AQ250"/>
    <mergeCell ref="AR250:AS250"/>
    <mergeCell ref="AT250:AU250"/>
    <mergeCell ref="BJ250:BK250"/>
    <mergeCell ref="BL250:BM250"/>
    <mergeCell ref="BN250:BO250"/>
    <mergeCell ref="BP250:BQ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V250:AW250"/>
    <mergeCell ref="AX250:AY250"/>
    <mergeCell ref="AZ250:BA250"/>
    <mergeCell ref="BB250:BC250"/>
    <mergeCell ref="BD250:BE250"/>
    <mergeCell ref="BF250:BG250"/>
    <mergeCell ref="BH250:BI250"/>
    <mergeCell ref="AV35:AW35"/>
    <mergeCell ref="AX35:AY35"/>
    <mergeCell ref="AH35:AI35"/>
    <mergeCell ref="AJ35:AK35"/>
    <mergeCell ref="AL35:AM35"/>
    <mergeCell ref="AN35:AO35"/>
    <mergeCell ref="AP35:AQ35"/>
    <mergeCell ref="AR35:AS35"/>
    <mergeCell ref="AT35:AU35"/>
    <mergeCell ref="BN35:BO35"/>
    <mergeCell ref="BP35:BQ35"/>
    <mergeCell ref="AZ35:BA35"/>
    <mergeCell ref="BB35:BC35"/>
    <mergeCell ref="BD35:BE35"/>
    <mergeCell ref="BF35:BG35"/>
    <mergeCell ref="BH35:BI35"/>
    <mergeCell ref="BJ35:BK35"/>
    <mergeCell ref="BL35:BM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Z36:BA36"/>
    <mergeCell ref="BB36:BC36"/>
    <mergeCell ref="AL36:AM36"/>
    <mergeCell ref="AN36:AO36"/>
    <mergeCell ref="AP36:AQ36"/>
    <mergeCell ref="AR36:AS36"/>
    <mergeCell ref="AT36:AU36"/>
    <mergeCell ref="AV36:AW36"/>
    <mergeCell ref="AX36:AY36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2:B2"/>
    <mergeCell ref="A33:B33"/>
    <mergeCell ref="C33:D33"/>
    <mergeCell ref="F34:G34"/>
    <mergeCell ref="H34:I34"/>
    <mergeCell ref="J34:K34"/>
    <mergeCell ref="L34:M34"/>
    <mergeCell ref="AP34:AQ34"/>
    <mergeCell ref="AR34:AS34"/>
    <mergeCell ref="AT34:AU34"/>
    <mergeCell ref="AV34:AW34"/>
    <mergeCell ref="AX34:AY34"/>
    <mergeCell ref="AZ34:BA34"/>
    <mergeCell ref="BB34:BC34"/>
    <mergeCell ref="BR34:BS34"/>
    <mergeCell ref="BR35:BS35"/>
    <mergeCell ref="F36:G36"/>
    <mergeCell ref="H36:I36"/>
    <mergeCell ref="J36:K36"/>
    <mergeCell ref="L36:M36"/>
    <mergeCell ref="N36:O36"/>
    <mergeCell ref="P36:Q36"/>
    <mergeCell ref="R36:S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D34:BE34"/>
    <mergeCell ref="BF34:BG34"/>
    <mergeCell ref="BH34:BI34"/>
    <mergeCell ref="BJ34:BK34"/>
    <mergeCell ref="BL34:BM34"/>
    <mergeCell ref="BN34:BO34"/>
    <mergeCell ref="BP34:BQ34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BJ37:BK37"/>
    <mergeCell ref="BL37:BM37"/>
    <mergeCell ref="BN37:BO37"/>
    <mergeCell ref="BP37:BQ37"/>
    <mergeCell ref="BR37:BS37"/>
    <mergeCell ref="AV37:AW37"/>
    <mergeCell ref="AX37:AY37"/>
    <mergeCell ref="AZ37:BA37"/>
    <mergeCell ref="BB37:BC37"/>
    <mergeCell ref="BD37:BE37"/>
    <mergeCell ref="BF37:BG37"/>
    <mergeCell ref="BH37:BI37"/>
    <mergeCell ref="F37:G37"/>
    <mergeCell ref="H37:I37"/>
    <mergeCell ref="J37:K37"/>
    <mergeCell ref="L37:M37"/>
    <mergeCell ref="N37:O37"/>
    <mergeCell ref="P37:Q37"/>
    <mergeCell ref="R37:S37"/>
    <mergeCell ref="AV39:AW39"/>
    <mergeCell ref="AX39:AY39"/>
    <mergeCell ref="AH39:AI39"/>
    <mergeCell ref="AJ39:AK39"/>
    <mergeCell ref="AL39:AM39"/>
    <mergeCell ref="AN39:AO39"/>
    <mergeCell ref="AP39:AQ39"/>
    <mergeCell ref="AR39:AS39"/>
    <mergeCell ref="AT39:AU39"/>
    <mergeCell ref="BN43:BO43"/>
    <mergeCell ref="BP43:BQ43"/>
    <mergeCell ref="AZ43:BA43"/>
    <mergeCell ref="BB43:BC43"/>
    <mergeCell ref="BD43:BE43"/>
    <mergeCell ref="BF43:BG43"/>
    <mergeCell ref="BH43:BI43"/>
    <mergeCell ref="BJ43:BK43"/>
    <mergeCell ref="BL43:BM43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BJ42:BK42"/>
    <mergeCell ref="BL42:BM42"/>
    <mergeCell ref="BN42:BO42"/>
    <mergeCell ref="BP42:BQ42"/>
    <mergeCell ref="BR42:BS42"/>
    <mergeCell ref="BR43:BS43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V42:AW42"/>
    <mergeCell ref="AX42:AY42"/>
    <mergeCell ref="AZ42:BA42"/>
    <mergeCell ref="BB42:BC42"/>
    <mergeCell ref="BD42:BE42"/>
    <mergeCell ref="BF42:BG42"/>
    <mergeCell ref="BH42:BI42"/>
    <mergeCell ref="F43:G43"/>
    <mergeCell ref="H43:I43"/>
    <mergeCell ref="J43:K43"/>
    <mergeCell ref="L43:M43"/>
    <mergeCell ref="N43:O43"/>
    <mergeCell ref="P43:Q43"/>
    <mergeCell ref="R43:S43"/>
    <mergeCell ref="BN45:BO45"/>
    <mergeCell ref="BP45:BQ45"/>
    <mergeCell ref="AZ45:BA45"/>
    <mergeCell ref="BB45:BC45"/>
    <mergeCell ref="BD45:BE45"/>
    <mergeCell ref="BF45:BG45"/>
    <mergeCell ref="BH45:BI45"/>
    <mergeCell ref="BJ45:BK45"/>
    <mergeCell ref="BL45:BM45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BJ44:BK44"/>
    <mergeCell ref="BL44:BM44"/>
    <mergeCell ref="BN44:BO44"/>
    <mergeCell ref="BP44:BQ44"/>
    <mergeCell ref="BR44:BS44"/>
    <mergeCell ref="BR45:BS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V44:AW44"/>
    <mergeCell ref="AX44:AY44"/>
    <mergeCell ref="AZ44:BA44"/>
    <mergeCell ref="BB44:BC44"/>
    <mergeCell ref="BD44:BE44"/>
    <mergeCell ref="BF44:BG44"/>
    <mergeCell ref="BH44:BI44"/>
    <mergeCell ref="BN39:BO39"/>
    <mergeCell ref="BP39:BQ39"/>
    <mergeCell ref="AZ39:BA39"/>
    <mergeCell ref="BB39:BC39"/>
    <mergeCell ref="BD39:BE39"/>
    <mergeCell ref="BF39:BG39"/>
    <mergeCell ref="BH39:BI39"/>
    <mergeCell ref="BJ39:BK39"/>
    <mergeCell ref="BL39:BM39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BJ38:BK38"/>
    <mergeCell ref="BL38:BM38"/>
    <mergeCell ref="BN38:BO38"/>
    <mergeCell ref="BP38:BQ38"/>
    <mergeCell ref="BR38:BS38"/>
    <mergeCell ref="BR39:BS39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V38:AW38"/>
    <mergeCell ref="AX38:AY38"/>
    <mergeCell ref="AZ38:BA38"/>
    <mergeCell ref="BB38:BC38"/>
    <mergeCell ref="BD38:BE38"/>
    <mergeCell ref="BF38:BG38"/>
    <mergeCell ref="BH38:BI38"/>
    <mergeCell ref="F39:G39"/>
    <mergeCell ref="H39:I39"/>
    <mergeCell ref="J39:K39"/>
    <mergeCell ref="L39:M39"/>
    <mergeCell ref="N39:O39"/>
    <mergeCell ref="P39:Q39"/>
    <mergeCell ref="R39:S39"/>
    <mergeCell ref="AV41:AW41"/>
    <mergeCell ref="AX41:AY41"/>
    <mergeCell ref="AH41:AI41"/>
    <mergeCell ref="AJ41:AK41"/>
    <mergeCell ref="AL41:AM41"/>
    <mergeCell ref="AN41:AO41"/>
    <mergeCell ref="AP41:AQ41"/>
    <mergeCell ref="AR41:AS41"/>
    <mergeCell ref="AT41:AU41"/>
    <mergeCell ref="BN41:BO41"/>
    <mergeCell ref="BP41:BQ41"/>
    <mergeCell ref="AZ41:BA41"/>
    <mergeCell ref="BB41:BC41"/>
    <mergeCell ref="BD41:BE41"/>
    <mergeCell ref="BF41:BG41"/>
    <mergeCell ref="BH41:BI41"/>
    <mergeCell ref="BJ41:BK41"/>
    <mergeCell ref="BL41:BM41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BJ40:BK40"/>
    <mergeCell ref="BL40:BM40"/>
    <mergeCell ref="BN40:BO40"/>
    <mergeCell ref="BP40:BQ40"/>
    <mergeCell ref="BR40:BS40"/>
    <mergeCell ref="BR41:BS41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V40:AW40"/>
    <mergeCell ref="AX40:AY40"/>
    <mergeCell ref="AZ40:BA40"/>
    <mergeCell ref="BB40:BC40"/>
    <mergeCell ref="BD40:BE40"/>
    <mergeCell ref="BF40:BG40"/>
    <mergeCell ref="BH40:BI40"/>
    <mergeCell ref="F41:G41"/>
    <mergeCell ref="H41:I41"/>
    <mergeCell ref="J41:K41"/>
    <mergeCell ref="L41:M41"/>
    <mergeCell ref="N41:O41"/>
    <mergeCell ref="P41:Q41"/>
    <mergeCell ref="R41:S41"/>
    <mergeCell ref="AV43:AW43"/>
    <mergeCell ref="AX43:AY43"/>
    <mergeCell ref="AH43:AI43"/>
    <mergeCell ref="AJ43:AK43"/>
    <mergeCell ref="AL43:AM43"/>
    <mergeCell ref="AN43:AO43"/>
    <mergeCell ref="AP43:AQ43"/>
    <mergeCell ref="AR43:AS43"/>
    <mergeCell ref="AT43:AU43"/>
    <mergeCell ref="AV45:AW45"/>
    <mergeCell ref="AX45:AY45"/>
    <mergeCell ref="AH45:AI45"/>
    <mergeCell ref="AJ45:AK45"/>
    <mergeCell ref="AL45:AM45"/>
    <mergeCell ref="AN45:AO45"/>
    <mergeCell ref="AP45:AQ45"/>
    <mergeCell ref="AR45:AS45"/>
    <mergeCell ref="AT45:AU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BJ46:BK46"/>
    <mergeCell ref="BL46:BM46"/>
    <mergeCell ref="BN46:BO46"/>
    <mergeCell ref="BP46:BQ46"/>
    <mergeCell ref="BR46:BS46"/>
    <mergeCell ref="AV46:AW46"/>
    <mergeCell ref="AX46:AY46"/>
    <mergeCell ref="AZ46:BA46"/>
    <mergeCell ref="BB46:BC46"/>
    <mergeCell ref="BD46:BE46"/>
    <mergeCell ref="BF46:BG46"/>
    <mergeCell ref="BH46:BI46"/>
    <mergeCell ref="F46:G46"/>
    <mergeCell ref="H46:I46"/>
    <mergeCell ref="J46:K46"/>
    <mergeCell ref="L46:M46"/>
    <mergeCell ref="N46:O46"/>
    <mergeCell ref="P46:Q46"/>
    <mergeCell ref="R46:S46"/>
    <mergeCell ref="BN52:BO52"/>
    <mergeCell ref="BP52:BQ52"/>
    <mergeCell ref="AZ52:BA52"/>
    <mergeCell ref="BB52:BC52"/>
    <mergeCell ref="BD52:BE52"/>
    <mergeCell ref="BF52:BG52"/>
    <mergeCell ref="BH52:BI52"/>
    <mergeCell ref="BJ52:BK52"/>
    <mergeCell ref="BL52:BM52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BJ51:BK51"/>
    <mergeCell ref="BL51:BM51"/>
    <mergeCell ref="BN51:BO51"/>
    <mergeCell ref="BP51:BQ51"/>
    <mergeCell ref="BR51:BS51"/>
    <mergeCell ref="BR52:BS52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V51:AW51"/>
    <mergeCell ref="AX51:AY51"/>
    <mergeCell ref="AZ51:BA51"/>
    <mergeCell ref="BB51:BC51"/>
    <mergeCell ref="BD51:BE51"/>
    <mergeCell ref="BF51:BG51"/>
    <mergeCell ref="BH51:BI51"/>
    <mergeCell ref="AV48:AW48"/>
    <mergeCell ref="AX48:AY48"/>
    <mergeCell ref="AH48:AI48"/>
    <mergeCell ref="AJ48:AK48"/>
    <mergeCell ref="AL48:AM48"/>
    <mergeCell ref="AN48:AO48"/>
    <mergeCell ref="AP48:AQ48"/>
    <mergeCell ref="AR48:AS48"/>
    <mergeCell ref="AT48:AU48"/>
    <mergeCell ref="BN48:BO48"/>
    <mergeCell ref="BP48:BQ48"/>
    <mergeCell ref="AZ48:BA48"/>
    <mergeCell ref="BB48:BC48"/>
    <mergeCell ref="BD48:BE48"/>
    <mergeCell ref="BF48:BG48"/>
    <mergeCell ref="BH48:BI48"/>
    <mergeCell ref="BJ48:BK48"/>
    <mergeCell ref="BL48:BM48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BJ47:BK47"/>
    <mergeCell ref="BL47:BM47"/>
    <mergeCell ref="BN47:BO47"/>
    <mergeCell ref="BP47:BQ47"/>
    <mergeCell ref="BR47:BS47"/>
    <mergeCell ref="BR48:BS48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V47:AW47"/>
    <mergeCell ref="AX47:AY47"/>
    <mergeCell ref="AZ47:BA47"/>
    <mergeCell ref="BB47:BC47"/>
    <mergeCell ref="BD47:BE47"/>
    <mergeCell ref="BF47:BG47"/>
    <mergeCell ref="BH47:BI47"/>
    <mergeCell ref="F48:G48"/>
    <mergeCell ref="H48:I48"/>
    <mergeCell ref="J48:K48"/>
    <mergeCell ref="L48:M48"/>
    <mergeCell ref="N48:O48"/>
    <mergeCell ref="P48:Q48"/>
    <mergeCell ref="R48:S48"/>
    <mergeCell ref="AV50:AW50"/>
    <mergeCell ref="AX50:AY50"/>
    <mergeCell ref="AH50:AI50"/>
    <mergeCell ref="AJ50:AK50"/>
    <mergeCell ref="AL50:AM50"/>
    <mergeCell ref="AN50:AO50"/>
    <mergeCell ref="AP50:AQ50"/>
    <mergeCell ref="AR50:AS50"/>
    <mergeCell ref="AT50:AU50"/>
    <mergeCell ref="BN50:BO50"/>
    <mergeCell ref="BP50:BQ50"/>
    <mergeCell ref="AZ50:BA50"/>
    <mergeCell ref="BB50:BC50"/>
    <mergeCell ref="BD50:BE50"/>
    <mergeCell ref="BF50:BG50"/>
    <mergeCell ref="BH50:BI50"/>
    <mergeCell ref="BJ50:BK50"/>
    <mergeCell ref="BL50:BM50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BJ49:BK49"/>
    <mergeCell ref="BL49:BM49"/>
    <mergeCell ref="BN49:BO49"/>
    <mergeCell ref="BP49:BQ49"/>
    <mergeCell ref="BR49:BS49"/>
    <mergeCell ref="BR50:BS50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V49:AW49"/>
    <mergeCell ref="AX49:AY49"/>
    <mergeCell ref="AZ49:BA49"/>
    <mergeCell ref="BB49:BC49"/>
    <mergeCell ref="BD49:BE49"/>
    <mergeCell ref="BF49:BG49"/>
    <mergeCell ref="BH49:BI49"/>
    <mergeCell ref="F50:G50"/>
    <mergeCell ref="H50:I50"/>
    <mergeCell ref="J50:K50"/>
    <mergeCell ref="L50:M50"/>
    <mergeCell ref="N50:O50"/>
    <mergeCell ref="P50:Q50"/>
    <mergeCell ref="R50:S50"/>
    <mergeCell ref="AV52:AW52"/>
    <mergeCell ref="AX52:AY52"/>
    <mergeCell ref="AH52:AI52"/>
    <mergeCell ref="AJ52:AK52"/>
    <mergeCell ref="AL52:AM52"/>
    <mergeCell ref="AN52:AO52"/>
    <mergeCell ref="AP52:AQ52"/>
    <mergeCell ref="AR52:AS52"/>
    <mergeCell ref="AT52:AU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BJ53:BK53"/>
    <mergeCell ref="BL53:BM53"/>
    <mergeCell ref="BN53:BO53"/>
    <mergeCell ref="BP53:BQ53"/>
    <mergeCell ref="BR53:BS53"/>
    <mergeCell ref="AV53:AW53"/>
    <mergeCell ref="AX53:AY53"/>
    <mergeCell ref="AZ53:BA53"/>
    <mergeCell ref="BB53:BC53"/>
    <mergeCell ref="BD53:BE53"/>
    <mergeCell ref="BF53:BG53"/>
    <mergeCell ref="BH53:BI53"/>
    <mergeCell ref="F53:G53"/>
    <mergeCell ref="H53:I53"/>
    <mergeCell ref="J53:K53"/>
    <mergeCell ref="L53:M53"/>
    <mergeCell ref="N53:O53"/>
    <mergeCell ref="P53:Q53"/>
    <mergeCell ref="R53:S53"/>
    <mergeCell ref="BN59:BO59"/>
    <mergeCell ref="BP59:BQ59"/>
    <mergeCell ref="AZ59:BA59"/>
    <mergeCell ref="BB59:BC59"/>
    <mergeCell ref="BD59:BE59"/>
    <mergeCell ref="BF59:BG59"/>
    <mergeCell ref="BH59:BI59"/>
    <mergeCell ref="BJ59:BK59"/>
    <mergeCell ref="BL59:BM59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BJ58:BK58"/>
    <mergeCell ref="BL58:BM58"/>
    <mergeCell ref="BN58:BO58"/>
    <mergeCell ref="BP58:BQ58"/>
    <mergeCell ref="BR58:BS58"/>
    <mergeCell ref="BR59:BS59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V58:AW58"/>
    <mergeCell ref="AX58:AY58"/>
    <mergeCell ref="AZ58:BA58"/>
    <mergeCell ref="BB58:BC58"/>
    <mergeCell ref="BD58:BE58"/>
    <mergeCell ref="BF58:BG58"/>
    <mergeCell ref="BH58:BI58"/>
    <mergeCell ref="BN116:BO116"/>
    <mergeCell ref="BP116:BQ116"/>
    <mergeCell ref="AZ116:BA116"/>
    <mergeCell ref="BB116:BC116"/>
    <mergeCell ref="BD116:BE116"/>
    <mergeCell ref="BF116:BG116"/>
    <mergeCell ref="BH116:BI116"/>
    <mergeCell ref="BJ116:BK116"/>
    <mergeCell ref="BL116:BM116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AJ115:AK115"/>
    <mergeCell ref="AL115:AM115"/>
    <mergeCell ref="AN115:AO115"/>
    <mergeCell ref="AP115:AQ115"/>
    <mergeCell ref="AR115:AS115"/>
    <mergeCell ref="AT115:AU115"/>
    <mergeCell ref="BJ115:BK115"/>
    <mergeCell ref="BL115:BM115"/>
    <mergeCell ref="BN115:BO115"/>
    <mergeCell ref="BP115:BQ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G116"/>
    <mergeCell ref="AV115:AW115"/>
    <mergeCell ref="AX115:AY115"/>
    <mergeCell ref="AZ115:BA115"/>
    <mergeCell ref="BB115:BC115"/>
    <mergeCell ref="BD115:BE115"/>
    <mergeCell ref="BF115:BG115"/>
    <mergeCell ref="BH115:BI115"/>
    <mergeCell ref="AV112:AW112"/>
    <mergeCell ref="AX112:AY112"/>
    <mergeCell ref="AH112:AI112"/>
    <mergeCell ref="AJ112:AK112"/>
    <mergeCell ref="AL112:AM112"/>
    <mergeCell ref="AN112:AO112"/>
    <mergeCell ref="AP112:AQ112"/>
    <mergeCell ref="AR112:AS112"/>
    <mergeCell ref="AT112:AU112"/>
    <mergeCell ref="BN112:BO112"/>
    <mergeCell ref="BP112:BQ112"/>
    <mergeCell ref="AZ112:BA112"/>
    <mergeCell ref="BB112:BC112"/>
    <mergeCell ref="BD112:BE112"/>
    <mergeCell ref="BF112:BG112"/>
    <mergeCell ref="BH112:BI112"/>
    <mergeCell ref="BJ112:BK112"/>
    <mergeCell ref="BL112:BM112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AJ111:AK111"/>
    <mergeCell ref="AL111:AM111"/>
    <mergeCell ref="AN111:AO111"/>
    <mergeCell ref="AP111:AQ111"/>
    <mergeCell ref="AR111:AS111"/>
    <mergeCell ref="AT111:AU111"/>
    <mergeCell ref="BJ111:BK111"/>
    <mergeCell ref="BL111:BM111"/>
    <mergeCell ref="BN111:BO111"/>
    <mergeCell ref="BP111:BQ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V111:AW111"/>
    <mergeCell ref="AX111:AY111"/>
    <mergeCell ref="AZ111:BA111"/>
    <mergeCell ref="BB111:BC111"/>
    <mergeCell ref="BD111:BE111"/>
    <mergeCell ref="BF111:BG111"/>
    <mergeCell ref="BH111:BI111"/>
    <mergeCell ref="F112:G112"/>
    <mergeCell ref="H112:I112"/>
    <mergeCell ref="J112:K112"/>
    <mergeCell ref="L112:M112"/>
    <mergeCell ref="N112:O112"/>
    <mergeCell ref="P112:Q112"/>
    <mergeCell ref="R112:S112"/>
    <mergeCell ref="AV114:AW114"/>
    <mergeCell ref="AX114:AY114"/>
    <mergeCell ref="AH114:AI114"/>
    <mergeCell ref="AJ114:AK114"/>
    <mergeCell ref="AL114:AM114"/>
    <mergeCell ref="AN114:AO114"/>
    <mergeCell ref="AP114:AQ114"/>
    <mergeCell ref="AR114:AS114"/>
    <mergeCell ref="AT114:AU114"/>
    <mergeCell ref="BN114:BO114"/>
    <mergeCell ref="BP114:BQ114"/>
    <mergeCell ref="AZ114:BA114"/>
    <mergeCell ref="BB114:BC114"/>
    <mergeCell ref="BD114:BE114"/>
    <mergeCell ref="BF114:BG114"/>
    <mergeCell ref="BH114:BI114"/>
    <mergeCell ref="BJ114:BK114"/>
    <mergeCell ref="BL114:BM114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AL113:AM113"/>
    <mergeCell ref="AN113:AO113"/>
    <mergeCell ref="AP113:AQ113"/>
    <mergeCell ref="AR113:AS113"/>
    <mergeCell ref="AT113:AU113"/>
    <mergeCell ref="BJ113:BK113"/>
    <mergeCell ref="BL113:BM113"/>
    <mergeCell ref="BN113:BO113"/>
    <mergeCell ref="BP113:BQ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V113:AW113"/>
    <mergeCell ref="AX113:AY113"/>
    <mergeCell ref="AZ113:BA113"/>
    <mergeCell ref="BB113:BC113"/>
    <mergeCell ref="BD113:BE113"/>
    <mergeCell ref="BF113:BG113"/>
    <mergeCell ref="BH113:BI113"/>
    <mergeCell ref="F114:G114"/>
    <mergeCell ref="H114:I114"/>
    <mergeCell ref="J114:K114"/>
    <mergeCell ref="L114:M114"/>
    <mergeCell ref="N114:O114"/>
    <mergeCell ref="P114:Q114"/>
    <mergeCell ref="R114:S114"/>
    <mergeCell ref="AV116:AW116"/>
    <mergeCell ref="AX116:AY116"/>
    <mergeCell ref="AH116:AI116"/>
    <mergeCell ref="AJ116:AK116"/>
    <mergeCell ref="AL116:AM116"/>
    <mergeCell ref="AN116:AO116"/>
    <mergeCell ref="AP116:AQ116"/>
    <mergeCell ref="AR116:AS116"/>
    <mergeCell ref="AT116:AU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AJ117:AK117"/>
    <mergeCell ref="AL117:AM117"/>
    <mergeCell ref="AN117:AO117"/>
    <mergeCell ref="AP117:AQ117"/>
    <mergeCell ref="AR117:AS117"/>
    <mergeCell ref="AT117:AU117"/>
    <mergeCell ref="BJ117:BK117"/>
    <mergeCell ref="BL117:BM117"/>
    <mergeCell ref="BN117:BO117"/>
    <mergeCell ref="BP117:BQ117"/>
    <mergeCell ref="AV117:AW117"/>
    <mergeCell ref="AX117:AY117"/>
    <mergeCell ref="AZ117:BA117"/>
    <mergeCell ref="BB117:BC117"/>
    <mergeCell ref="BD117:BE117"/>
    <mergeCell ref="BF117:BG117"/>
    <mergeCell ref="BH117:BI117"/>
    <mergeCell ref="F117:G117"/>
    <mergeCell ref="H117:I117"/>
    <mergeCell ref="J117:K117"/>
    <mergeCell ref="L117:M117"/>
    <mergeCell ref="N117:O117"/>
    <mergeCell ref="P117:Q117"/>
    <mergeCell ref="R117:S117"/>
    <mergeCell ref="AT95:AU95"/>
    <mergeCell ref="AV95:AW95"/>
    <mergeCell ref="AF95:AG95"/>
    <mergeCell ref="AH95:AI95"/>
    <mergeCell ref="AJ95:AK95"/>
    <mergeCell ref="AL95:AM95"/>
    <mergeCell ref="AN95:AO95"/>
    <mergeCell ref="AP95:AQ95"/>
    <mergeCell ref="AR95:AS95"/>
    <mergeCell ref="BL95:BM95"/>
    <mergeCell ref="BN95:BO95"/>
    <mergeCell ref="AX95:AY95"/>
    <mergeCell ref="AZ95:BA95"/>
    <mergeCell ref="BB95:BC95"/>
    <mergeCell ref="BD95:BE95"/>
    <mergeCell ref="BF95:BG95"/>
    <mergeCell ref="BH95:BI95"/>
    <mergeCell ref="BJ95:BK95"/>
    <mergeCell ref="AV57:AW57"/>
    <mergeCell ref="AX57:AY57"/>
    <mergeCell ref="AH57:AI57"/>
    <mergeCell ref="AJ57:AK57"/>
    <mergeCell ref="AL57:AM57"/>
    <mergeCell ref="AN57:AO57"/>
    <mergeCell ref="AP57:AQ57"/>
    <mergeCell ref="AR57:AS57"/>
    <mergeCell ref="AT57:AU57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M94"/>
    <mergeCell ref="AN94:AO94"/>
    <mergeCell ref="AP94:AQ94"/>
    <mergeCell ref="AR94:AS94"/>
    <mergeCell ref="BH94:BI94"/>
    <mergeCell ref="BJ94:BK94"/>
    <mergeCell ref="BL94:BM94"/>
    <mergeCell ref="BN94:BO94"/>
    <mergeCell ref="BP94:BQ94"/>
    <mergeCell ref="BS94:BT94"/>
    <mergeCell ref="BP95:BQ95"/>
    <mergeCell ref="P95:Q95"/>
    <mergeCell ref="R95:S95"/>
    <mergeCell ref="V95:W95"/>
    <mergeCell ref="X95:Y95"/>
    <mergeCell ref="Z95:AA95"/>
    <mergeCell ref="AB95:AC95"/>
    <mergeCell ref="AD95:AE95"/>
    <mergeCell ref="AT94:AU94"/>
    <mergeCell ref="AV94:AW94"/>
    <mergeCell ref="AX94:AY94"/>
    <mergeCell ref="AZ94:BA94"/>
    <mergeCell ref="BB94:BC94"/>
    <mergeCell ref="BD94:BE94"/>
    <mergeCell ref="BF94:BG94"/>
    <mergeCell ref="AV55:AW55"/>
    <mergeCell ref="AX55:AY55"/>
    <mergeCell ref="AH55:AI55"/>
    <mergeCell ref="AJ55:AK55"/>
    <mergeCell ref="AL55:AM55"/>
    <mergeCell ref="AN55:AO55"/>
    <mergeCell ref="AP55:AQ55"/>
    <mergeCell ref="AR55:AS55"/>
    <mergeCell ref="AT55:AU55"/>
    <mergeCell ref="BN55:BO55"/>
    <mergeCell ref="BP55:BQ55"/>
    <mergeCell ref="AZ55:BA55"/>
    <mergeCell ref="BB55:BC55"/>
    <mergeCell ref="BD55:BE55"/>
    <mergeCell ref="BF55:BG55"/>
    <mergeCell ref="BH55:BI55"/>
    <mergeCell ref="BJ55:BK55"/>
    <mergeCell ref="BL55:BM55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BJ54:BK54"/>
    <mergeCell ref="BL54:BM54"/>
    <mergeCell ref="BN54:BO54"/>
    <mergeCell ref="BP54:BQ54"/>
    <mergeCell ref="BR54:BS54"/>
    <mergeCell ref="BR55:BS55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V54:AW54"/>
    <mergeCell ref="AX54:AY54"/>
    <mergeCell ref="AZ54:BA54"/>
    <mergeCell ref="BB54:BC54"/>
    <mergeCell ref="BD54:BE54"/>
    <mergeCell ref="BF54:BG54"/>
    <mergeCell ref="BH54:BI54"/>
    <mergeCell ref="F55:G55"/>
    <mergeCell ref="H55:I55"/>
    <mergeCell ref="J55:K55"/>
    <mergeCell ref="L55:M55"/>
    <mergeCell ref="N55:O55"/>
    <mergeCell ref="P55:Q55"/>
    <mergeCell ref="R55:S55"/>
    <mergeCell ref="BN57:BO57"/>
    <mergeCell ref="BP57:BQ57"/>
    <mergeCell ref="AZ57:BA57"/>
    <mergeCell ref="BB57:BC57"/>
    <mergeCell ref="BD57:BE57"/>
    <mergeCell ref="BF57:BG57"/>
    <mergeCell ref="BH57:BI57"/>
    <mergeCell ref="BJ57:BK57"/>
    <mergeCell ref="BL57:BM57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BJ56:BK56"/>
    <mergeCell ref="BL56:BM56"/>
    <mergeCell ref="BN56:BO56"/>
    <mergeCell ref="BP56:BQ56"/>
    <mergeCell ref="BR56:BS56"/>
    <mergeCell ref="BR57:BS57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V56:AW56"/>
    <mergeCell ref="AX56:AY56"/>
    <mergeCell ref="AZ56:BA56"/>
    <mergeCell ref="BB56:BC56"/>
    <mergeCell ref="BD56:BE56"/>
    <mergeCell ref="BF56:BG56"/>
    <mergeCell ref="BH56:BI56"/>
    <mergeCell ref="F57:G57"/>
    <mergeCell ref="H57:I57"/>
    <mergeCell ref="J57:K57"/>
    <mergeCell ref="L57:M57"/>
    <mergeCell ref="N57:O57"/>
    <mergeCell ref="P57:Q57"/>
    <mergeCell ref="R57:S57"/>
    <mergeCell ref="AV59:AW59"/>
    <mergeCell ref="AX59:AY59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63:B63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BJ60:BK60"/>
    <mergeCell ref="BL60:BM60"/>
    <mergeCell ref="BN60:BO60"/>
    <mergeCell ref="BP60:BQ60"/>
    <mergeCell ref="BR60:BS60"/>
    <mergeCell ref="BL61:BM61"/>
    <mergeCell ref="BP61:BQ61"/>
    <mergeCell ref="AV60:AW60"/>
    <mergeCell ref="AX60:AY60"/>
    <mergeCell ref="AZ60:BA60"/>
    <mergeCell ref="BB60:BC60"/>
    <mergeCell ref="BD60:BE60"/>
    <mergeCell ref="BF60:BG60"/>
    <mergeCell ref="BH60:BI60"/>
    <mergeCell ref="A93:B93"/>
    <mergeCell ref="C93:D93"/>
    <mergeCell ref="G93:U93"/>
    <mergeCell ref="F94:G94"/>
    <mergeCell ref="H94:I94"/>
    <mergeCell ref="J94:K94"/>
    <mergeCell ref="L94:M94"/>
    <mergeCell ref="N94:O94"/>
    <mergeCell ref="P94:Q94"/>
    <mergeCell ref="H95:I95"/>
    <mergeCell ref="J95:K95"/>
    <mergeCell ref="L95:M95"/>
    <mergeCell ref="N95:O95"/>
    <mergeCell ref="T95:U95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M96"/>
    <mergeCell ref="AN96:AO96"/>
    <mergeCell ref="AP96:AQ96"/>
    <mergeCell ref="AR96:AS96"/>
    <mergeCell ref="BH96:BI96"/>
    <mergeCell ref="BJ96:BK96"/>
    <mergeCell ref="BL96:BM96"/>
    <mergeCell ref="BN96:BO96"/>
    <mergeCell ref="BP96:BQ96"/>
    <mergeCell ref="AT96:AU96"/>
    <mergeCell ref="AV96:AW96"/>
    <mergeCell ref="AX96:AY96"/>
    <mergeCell ref="AZ96:BA96"/>
    <mergeCell ref="BB96:BC96"/>
    <mergeCell ref="BD96:BE96"/>
    <mergeCell ref="BF96:BG96"/>
    <mergeCell ref="F95:G95"/>
    <mergeCell ref="F96:G96"/>
    <mergeCell ref="H96:I96"/>
    <mergeCell ref="J96:K96"/>
    <mergeCell ref="L96:M96"/>
    <mergeCell ref="N96:O96"/>
    <mergeCell ref="P96:Q96"/>
    <mergeCell ref="BN102:BO102"/>
    <mergeCell ref="BP102:BQ102"/>
    <mergeCell ref="AZ102:BA102"/>
    <mergeCell ref="BB102:BC102"/>
    <mergeCell ref="BD102:BE102"/>
    <mergeCell ref="BF102:BG102"/>
    <mergeCell ref="BH102:BI102"/>
    <mergeCell ref="BJ102:BK102"/>
    <mergeCell ref="BL102:BM102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M101"/>
    <mergeCell ref="AN101:AO101"/>
    <mergeCell ref="AP101:AQ101"/>
    <mergeCell ref="AR101:AS101"/>
    <mergeCell ref="AT101:AU101"/>
    <mergeCell ref="BJ101:BK101"/>
    <mergeCell ref="BL101:BM101"/>
    <mergeCell ref="BN101:BO101"/>
    <mergeCell ref="BP101:BQ101"/>
    <mergeCell ref="F101:G101"/>
    <mergeCell ref="H101:I101"/>
    <mergeCell ref="J101:K101"/>
    <mergeCell ref="L101:M101"/>
    <mergeCell ref="N101:O101"/>
    <mergeCell ref="P101:Q101"/>
    <mergeCell ref="R101:S101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AB102:AC102"/>
    <mergeCell ref="AD102:AE102"/>
    <mergeCell ref="AF102:AG102"/>
    <mergeCell ref="AV101:AW101"/>
    <mergeCell ref="AX101:AY101"/>
    <mergeCell ref="AZ101:BA101"/>
    <mergeCell ref="BB101:BC101"/>
    <mergeCell ref="BD101:BE101"/>
    <mergeCell ref="BF101:BG101"/>
    <mergeCell ref="BH101:BI101"/>
    <mergeCell ref="AV98:AW98"/>
    <mergeCell ref="AX98:AY98"/>
    <mergeCell ref="AH98:AI98"/>
    <mergeCell ref="AJ98:AK98"/>
    <mergeCell ref="AL98:AM98"/>
    <mergeCell ref="AN98:AO98"/>
    <mergeCell ref="AP98:AQ98"/>
    <mergeCell ref="AR98:AS98"/>
    <mergeCell ref="AT98:AU98"/>
    <mergeCell ref="BN98:BO98"/>
    <mergeCell ref="BP98:BQ98"/>
    <mergeCell ref="AZ98:BA98"/>
    <mergeCell ref="BB98:BC98"/>
    <mergeCell ref="BD98:BE98"/>
    <mergeCell ref="BF98:BG98"/>
    <mergeCell ref="BH98:BI98"/>
    <mergeCell ref="BJ98:BK98"/>
    <mergeCell ref="BL98:BM98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AT97:AU97"/>
    <mergeCell ref="BJ97:BK97"/>
    <mergeCell ref="BL97:BM97"/>
    <mergeCell ref="BN97:BO97"/>
    <mergeCell ref="BP97:BQ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V97:AW97"/>
    <mergeCell ref="AX97:AY97"/>
    <mergeCell ref="AZ97:BA97"/>
    <mergeCell ref="BB97:BC97"/>
    <mergeCell ref="BD97:BE97"/>
    <mergeCell ref="BF97:BG97"/>
    <mergeCell ref="BH97:BI97"/>
    <mergeCell ref="F98:G98"/>
    <mergeCell ref="H98:I98"/>
    <mergeCell ref="J98:K98"/>
    <mergeCell ref="L98:M98"/>
    <mergeCell ref="N98:O98"/>
    <mergeCell ref="P98:Q98"/>
    <mergeCell ref="R98:S98"/>
    <mergeCell ref="AV100:AW100"/>
    <mergeCell ref="AX100:AY100"/>
    <mergeCell ref="AH100:AI100"/>
    <mergeCell ref="AJ100:AK100"/>
    <mergeCell ref="AL100:AM100"/>
    <mergeCell ref="AN100:AO100"/>
    <mergeCell ref="AP100:AQ100"/>
    <mergeCell ref="AR100:AS100"/>
    <mergeCell ref="AT100:AU100"/>
    <mergeCell ref="BN100:BO100"/>
    <mergeCell ref="BP100:BQ100"/>
    <mergeCell ref="AZ100:BA100"/>
    <mergeCell ref="BB100:BC100"/>
    <mergeCell ref="BD100:BE100"/>
    <mergeCell ref="BF100:BG100"/>
    <mergeCell ref="BH100:BI100"/>
    <mergeCell ref="BJ100:BK100"/>
    <mergeCell ref="BL100:BM100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M99"/>
    <mergeCell ref="AN99:AO99"/>
    <mergeCell ref="AP99:AQ99"/>
    <mergeCell ref="AR99:AS99"/>
    <mergeCell ref="AT99:AU99"/>
    <mergeCell ref="BJ99:BK99"/>
    <mergeCell ref="BL99:BM99"/>
    <mergeCell ref="BN99:BO99"/>
    <mergeCell ref="BP99:BQ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V99:AW99"/>
    <mergeCell ref="AX99:AY99"/>
    <mergeCell ref="AZ99:BA99"/>
    <mergeCell ref="BB99:BC99"/>
    <mergeCell ref="BD99:BE99"/>
    <mergeCell ref="BF99:BG99"/>
    <mergeCell ref="BH99:BI99"/>
    <mergeCell ref="F100:G100"/>
    <mergeCell ref="H100:I100"/>
    <mergeCell ref="J100:K100"/>
    <mergeCell ref="L100:M100"/>
    <mergeCell ref="N100:O100"/>
    <mergeCell ref="P100:Q100"/>
    <mergeCell ref="R100:S100"/>
    <mergeCell ref="AV102:AW102"/>
    <mergeCell ref="AX102:AY102"/>
    <mergeCell ref="AH102:AI102"/>
    <mergeCell ref="AJ102:AK102"/>
    <mergeCell ref="AL102:AM102"/>
    <mergeCell ref="AN102:AO102"/>
    <mergeCell ref="AP102:AQ102"/>
    <mergeCell ref="AR102:AS102"/>
    <mergeCell ref="AT102:AU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AL103:AM103"/>
    <mergeCell ref="AN103:AO103"/>
    <mergeCell ref="AP103:AQ103"/>
    <mergeCell ref="AR103:AS103"/>
    <mergeCell ref="AT103:AU103"/>
    <mergeCell ref="BJ103:BK103"/>
    <mergeCell ref="BL103:BM103"/>
    <mergeCell ref="BN103:BO103"/>
    <mergeCell ref="BP103:BQ103"/>
    <mergeCell ref="AV103:AW103"/>
    <mergeCell ref="AX103:AY103"/>
    <mergeCell ref="AZ103:BA103"/>
    <mergeCell ref="BB103:BC103"/>
    <mergeCell ref="BD103:BE103"/>
    <mergeCell ref="BF103:BG103"/>
    <mergeCell ref="BH103:BI103"/>
    <mergeCell ref="F103:G103"/>
    <mergeCell ref="H103:I103"/>
    <mergeCell ref="J103:K103"/>
    <mergeCell ref="L103:M103"/>
    <mergeCell ref="N103:O103"/>
    <mergeCell ref="P103:Q103"/>
    <mergeCell ref="R103:S103"/>
    <mergeCell ref="BN109:BO109"/>
    <mergeCell ref="BP109:BQ109"/>
    <mergeCell ref="AZ109:BA109"/>
    <mergeCell ref="BB109:BC109"/>
    <mergeCell ref="BD109:BE109"/>
    <mergeCell ref="BF109:BG109"/>
    <mergeCell ref="BH109:BI109"/>
    <mergeCell ref="BJ109:BK109"/>
    <mergeCell ref="BL109:BM109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L108:AM108"/>
    <mergeCell ref="AN108:AO108"/>
    <mergeCell ref="AP108:AQ108"/>
    <mergeCell ref="AR108:AS108"/>
    <mergeCell ref="AT108:AU108"/>
    <mergeCell ref="BJ108:BK108"/>
    <mergeCell ref="BL108:BM108"/>
    <mergeCell ref="BN108:BO108"/>
    <mergeCell ref="BP108:BQ108"/>
    <mergeCell ref="F108:G108"/>
    <mergeCell ref="H108:I108"/>
    <mergeCell ref="J108:K108"/>
    <mergeCell ref="L108:M108"/>
    <mergeCell ref="N108:O108"/>
    <mergeCell ref="P108:Q108"/>
    <mergeCell ref="R108:S108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G109"/>
    <mergeCell ref="AV108:AW108"/>
    <mergeCell ref="AX108:AY108"/>
    <mergeCell ref="AZ108:BA108"/>
    <mergeCell ref="BB108:BC108"/>
    <mergeCell ref="BD108:BE108"/>
    <mergeCell ref="BF108:BG108"/>
    <mergeCell ref="BH108:BI108"/>
    <mergeCell ref="AV105:AW105"/>
    <mergeCell ref="AX105:AY105"/>
    <mergeCell ref="AH105:AI105"/>
    <mergeCell ref="AJ105:AK105"/>
    <mergeCell ref="AL105:AM105"/>
    <mergeCell ref="AN105:AO105"/>
    <mergeCell ref="AP105:AQ105"/>
    <mergeCell ref="AR105:AS105"/>
    <mergeCell ref="AT105:AU105"/>
    <mergeCell ref="BN105:BO105"/>
    <mergeCell ref="BP105:BQ105"/>
    <mergeCell ref="AZ105:BA105"/>
    <mergeCell ref="BB105:BC105"/>
    <mergeCell ref="BD105:BE105"/>
    <mergeCell ref="BF105:BG105"/>
    <mergeCell ref="BH105:BI105"/>
    <mergeCell ref="BJ105:BK105"/>
    <mergeCell ref="BL105:BM105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AJ104:AK104"/>
    <mergeCell ref="AL104:AM104"/>
    <mergeCell ref="AN104:AO104"/>
    <mergeCell ref="AP104:AQ104"/>
    <mergeCell ref="AR104:AS104"/>
    <mergeCell ref="AT104:AU104"/>
    <mergeCell ref="BJ104:BK104"/>
    <mergeCell ref="BL104:BM104"/>
    <mergeCell ref="BN104:BO104"/>
    <mergeCell ref="BP104:BQ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V104:AW104"/>
    <mergeCell ref="AX104:AY104"/>
    <mergeCell ref="AZ104:BA104"/>
    <mergeCell ref="BB104:BC104"/>
    <mergeCell ref="BD104:BE104"/>
    <mergeCell ref="BF104:BG104"/>
    <mergeCell ref="BH104:BI104"/>
    <mergeCell ref="F105:G105"/>
    <mergeCell ref="H105:I105"/>
    <mergeCell ref="J105:K105"/>
    <mergeCell ref="L105:M105"/>
    <mergeCell ref="N105:O105"/>
    <mergeCell ref="P105:Q105"/>
    <mergeCell ref="R105:S105"/>
    <mergeCell ref="AV107:AW107"/>
    <mergeCell ref="AX107:AY107"/>
    <mergeCell ref="AH107:AI107"/>
    <mergeCell ref="AJ107:AK107"/>
    <mergeCell ref="AL107:AM107"/>
    <mergeCell ref="AN107:AO107"/>
    <mergeCell ref="AP107:AQ107"/>
    <mergeCell ref="AR107:AS107"/>
    <mergeCell ref="AT107:AU107"/>
    <mergeCell ref="BN107:BO107"/>
    <mergeCell ref="BP107:BQ107"/>
    <mergeCell ref="AZ107:BA107"/>
    <mergeCell ref="BB107:BC107"/>
    <mergeCell ref="BD107:BE107"/>
    <mergeCell ref="BF107:BG107"/>
    <mergeCell ref="BH107:BI107"/>
    <mergeCell ref="BJ107:BK107"/>
    <mergeCell ref="BL107:BM107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M106"/>
    <mergeCell ref="AN106:AO106"/>
    <mergeCell ref="AP106:AQ106"/>
    <mergeCell ref="AR106:AS106"/>
    <mergeCell ref="AT106:AU106"/>
    <mergeCell ref="BJ106:BK106"/>
    <mergeCell ref="BL106:BM106"/>
    <mergeCell ref="BN106:BO106"/>
    <mergeCell ref="BP106:BQ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V106:AW106"/>
    <mergeCell ref="AX106:AY106"/>
    <mergeCell ref="AZ106:BA106"/>
    <mergeCell ref="BB106:BC106"/>
    <mergeCell ref="BD106:BE106"/>
    <mergeCell ref="BF106:BG106"/>
    <mergeCell ref="BH106:BI106"/>
    <mergeCell ref="F107:G107"/>
    <mergeCell ref="H107:I107"/>
    <mergeCell ref="J107:K107"/>
    <mergeCell ref="L107:M107"/>
    <mergeCell ref="N107:O107"/>
    <mergeCell ref="P107:Q107"/>
    <mergeCell ref="R107:S107"/>
    <mergeCell ref="AV109:AW109"/>
    <mergeCell ref="AX109:AY109"/>
    <mergeCell ref="AH109:AI109"/>
    <mergeCell ref="AJ109:AK109"/>
    <mergeCell ref="AL109:AM109"/>
    <mergeCell ref="AN109:AO109"/>
    <mergeCell ref="AP109:AQ109"/>
    <mergeCell ref="AR109:AS109"/>
    <mergeCell ref="AT109:AU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L110:AM110"/>
    <mergeCell ref="AN110:AO110"/>
    <mergeCell ref="AP110:AQ110"/>
    <mergeCell ref="AR110:AS110"/>
    <mergeCell ref="AT110:AU110"/>
    <mergeCell ref="BJ110:BK110"/>
    <mergeCell ref="BL110:BM110"/>
    <mergeCell ref="BN110:BO110"/>
    <mergeCell ref="BP110:BQ110"/>
    <mergeCell ref="AV110:AW110"/>
    <mergeCell ref="AX110:AY110"/>
    <mergeCell ref="AZ110:BA110"/>
    <mergeCell ref="BB110:BC110"/>
    <mergeCell ref="BD110:BE110"/>
    <mergeCell ref="BF110:BG110"/>
    <mergeCell ref="BH110:BI110"/>
    <mergeCell ref="F110:G110"/>
    <mergeCell ref="H110:I110"/>
    <mergeCell ref="J110:K110"/>
    <mergeCell ref="L110:M110"/>
    <mergeCell ref="N110:O110"/>
    <mergeCell ref="P110:Q110"/>
    <mergeCell ref="R110:S110"/>
    <mergeCell ref="AV119:AW119"/>
    <mergeCell ref="AX119:AY119"/>
    <mergeCell ref="AH119:AI119"/>
    <mergeCell ref="AJ119:AK119"/>
    <mergeCell ref="AL119:AM119"/>
    <mergeCell ref="AN119:AO119"/>
    <mergeCell ref="AP119:AQ119"/>
    <mergeCell ref="AR119:AS119"/>
    <mergeCell ref="AT119:AU119"/>
    <mergeCell ref="BN119:BO119"/>
    <mergeCell ref="BP119:BQ119"/>
    <mergeCell ref="AZ119:BA119"/>
    <mergeCell ref="BB119:BC119"/>
    <mergeCell ref="BD119:BE119"/>
    <mergeCell ref="BF119:BG119"/>
    <mergeCell ref="BH119:BI119"/>
    <mergeCell ref="BJ119:BK119"/>
    <mergeCell ref="BL119:BM119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AJ118:AK118"/>
    <mergeCell ref="AL118:AM118"/>
    <mergeCell ref="AN118:AO118"/>
    <mergeCell ref="AP118:AQ118"/>
    <mergeCell ref="AR118:AS118"/>
    <mergeCell ref="AT118:AU118"/>
    <mergeCell ref="BJ118:BK118"/>
    <mergeCell ref="BL118:BM118"/>
    <mergeCell ref="BN118:BO118"/>
    <mergeCell ref="BP118:BQ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V118:AW118"/>
    <mergeCell ref="AX118:AY118"/>
    <mergeCell ref="AZ118:BA118"/>
    <mergeCell ref="BB118:BC118"/>
    <mergeCell ref="BD118:BE118"/>
    <mergeCell ref="BF118:BG118"/>
    <mergeCell ref="BH118:BI118"/>
    <mergeCell ref="F119:G119"/>
    <mergeCell ref="H119:I119"/>
    <mergeCell ref="J119:K119"/>
    <mergeCell ref="L119:M119"/>
    <mergeCell ref="N119:O119"/>
    <mergeCell ref="P119:Q119"/>
    <mergeCell ref="R119:S119"/>
    <mergeCell ref="BN121:BO121"/>
    <mergeCell ref="BP121:BQ121"/>
    <mergeCell ref="AZ121:BA121"/>
    <mergeCell ref="BB121:BC121"/>
    <mergeCell ref="BD121:BE121"/>
    <mergeCell ref="BF121:BG121"/>
    <mergeCell ref="BH121:BI121"/>
    <mergeCell ref="BJ121:BK121"/>
    <mergeCell ref="BL121:BM121"/>
    <mergeCell ref="F122:G122"/>
    <mergeCell ref="H122:I122"/>
    <mergeCell ref="J122:K122"/>
    <mergeCell ref="L122:M122"/>
    <mergeCell ref="N122:O122"/>
    <mergeCell ref="P122:Q122"/>
    <mergeCell ref="R122:S122"/>
    <mergeCell ref="A125:B125"/>
    <mergeCell ref="T122:U122"/>
    <mergeCell ref="V122:W122"/>
    <mergeCell ref="X122:Y122"/>
    <mergeCell ref="Z122:AA122"/>
    <mergeCell ref="AB122:AC122"/>
    <mergeCell ref="AD122:AE122"/>
    <mergeCell ref="AF122:AG122"/>
    <mergeCell ref="AV122:AW122"/>
    <mergeCell ref="AX122:AY122"/>
    <mergeCell ref="AZ122:BA122"/>
    <mergeCell ref="BB122:BC122"/>
    <mergeCell ref="BD122:BE122"/>
    <mergeCell ref="BP122:BQ122"/>
    <mergeCell ref="AH122:AI122"/>
    <mergeCell ref="AJ122:AK122"/>
    <mergeCell ref="AL122:AM122"/>
    <mergeCell ref="AN122:AO122"/>
    <mergeCell ref="AP122:AQ122"/>
    <mergeCell ref="AR122:AS122"/>
    <mergeCell ref="AT122:AU122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AJ120:AK120"/>
    <mergeCell ref="AL120:AM120"/>
    <mergeCell ref="AN120:AO120"/>
    <mergeCell ref="AP120:AQ120"/>
    <mergeCell ref="AR120:AS120"/>
    <mergeCell ref="AT120:AU120"/>
    <mergeCell ref="BJ120:BK120"/>
    <mergeCell ref="BL120:BM120"/>
    <mergeCell ref="BN120:BO120"/>
    <mergeCell ref="BP120:BQ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V120:AW120"/>
    <mergeCell ref="AX120:AY120"/>
    <mergeCell ref="AZ120:BA120"/>
    <mergeCell ref="BB120:BC120"/>
    <mergeCell ref="BD120:BE120"/>
    <mergeCell ref="BF120:BG120"/>
    <mergeCell ref="BH120:BI120"/>
    <mergeCell ref="F121:G121"/>
    <mergeCell ref="H121:I121"/>
    <mergeCell ref="J121:K121"/>
    <mergeCell ref="L121:M121"/>
    <mergeCell ref="N121:O121"/>
    <mergeCell ref="P121:Q121"/>
    <mergeCell ref="R121:S121"/>
    <mergeCell ref="AV121:AW121"/>
    <mergeCell ref="AX121:AY121"/>
    <mergeCell ref="AH121:AI121"/>
    <mergeCell ref="AJ121:AK121"/>
    <mergeCell ref="AL121:AM121"/>
    <mergeCell ref="AN121:AO121"/>
    <mergeCell ref="AP121:AQ121"/>
    <mergeCell ref="AR121:AS121"/>
    <mergeCell ref="AT121:AU121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L159:AM159"/>
    <mergeCell ref="AN159:AO159"/>
    <mergeCell ref="AP159:AQ159"/>
    <mergeCell ref="BF159:BG159"/>
    <mergeCell ref="BH159:BI159"/>
    <mergeCell ref="BJ159:BK159"/>
    <mergeCell ref="BL159:BM159"/>
    <mergeCell ref="BN159:BO159"/>
    <mergeCell ref="BP159:BQ159"/>
    <mergeCell ref="AR159:AS159"/>
    <mergeCell ref="AT159:AU159"/>
    <mergeCell ref="AV159:AW159"/>
    <mergeCell ref="AX159:AY159"/>
    <mergeCell ref="AZ159:BA159"/>
    <mergeCell ref="BB159:BC159"/>
    <mergeCell ref="BD159:BE159"/>
    <mergeCell ref="A158:B158"/>
    <mergeCell ref="C158:D158"/>
    <mergeCell ref="F159:G159"/>
    <mergeCell ref="H159:I159"/>
    <mergeCell ref="J159:K159"/>
    <mergeCell ref="L159:M159"/>
    <mergeCell ref="N159:O159"/>
    <mergeCell ref="BN230:BO230"/>
    <mergeCell ref="BP230:BQ230"/>
    <mergeCell ref="AZ230:BA230"/>
    <mergeCell ref="BB230:BC230"/>
    <mergeCell ref="BD230:BE230"/>
    <mergeCell ref="BF230:BG230"/>
    <mergeCell ref="BH230:BI230"/>
    <mergeCell ref="BJ230:BK230"/>
    <mergeCell ref="BL230:BM230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O229"/>
    <mergeCell ref="AP229:AQ229"/>
    <mergeCell ref="AR229:AS229"/>
    <mergeCell ref="AT229:AU229"/>
    <mergeCell ref="BJ229:BK229"/>
    <mergeCell ref="BL229:BM229"/>
    <mergeCell ref="BN229:BO229"/>
    <mergeCell ref="BP229:BQ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0"/>
    <mergeCell ref="AB230:AC230"/>
    <mergeCell ref="AD230:AE230"/>
    <mergeCell ref="AF230:AG230"/>
    <mergeCell ref="AV229:AW229"/>
    <mergeCell ref="AX229:AY229"/>
    <mergeCell ref="AZ229:BA229"/>
    <mergeCell ref="BB229:BC229"/>
    <mergeCell ref="BD229:BE229"/>
    <mergeCell ref="BF229:BG229"/>
    <mergeCell ref="BH229:BI229"/>
    <mergeCell ref="AV226:AW226"/>
    <mergeCell ref="AX226:AY226"/>
    <mergeCell ref="AH226:AI226"/>
    <mergeCell ref="AJ226:AK226"/>
    <mergeCell ref="AL226:AM226"/>
    <mergeCell ref="AN226:AO226"/>
    <mergeCell ref="AP226:AQ226"/>
    <mergeCell ref="AR226:AS226"/>
    <mergeCell ref="AT226:AU226"/>
    <mergeCell ref="BN226:BO226"/>
    <mergeCell ref="BP226:BQ226"/>
    <mergeCell ref="AZ226:BA226"/>
    <mergeCell ref="BB226:BC226"/>
    <mergeCell ref="BD226:BE226"/>
    <mergeCell ref="BF226:BG226"/>
    <mergeCell ref="BH226:BI226"/>
    <mergeCell ref="BJ226:BK226"/>
    <mergeCell ref="BL226:BM226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AJ225:AK225"/>
    <mergeCell ref="AL225:AM225"/>
    <mergeCell ref="AN225:AO225"/>
    <mergeCell ref="AP225:AQ225"/>
    <mergeCell ref="AR225:AS225"/>
    <mergeCell ref="AT225:AU225"/>
    <mergeCell ref="BJ225:BK225"/>
    <mergeCell ref="BL225:BM225"/>
    <mergeCell ref="BN225:BO225"/>
    <mergeCell ref="BP225:BQ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V225:AW225"/>
    <mergeCell ref="AX225:AY225"/>
    <mergeCell ref="AZ225:BA225"/>
    <mergeCell ref="BB225:BC225"/>
    <mergeCell ref="BD225:BE225"/>
    <mergeCell ref="BF225:BG225"/>
    <mergeCell ref="BH225:BI225"/>
    <mergeCell ref="F226:G226"/>
    <mergeCell ref="H226:I226"/>
    <mergeCell ref="J226:K226"/>
    <mergeCell ref="L226:M226"/>
    <mergeCell ref="N226:O226"/>
    <mergeCell ref="P226:Q226"/>
    <mergeCell ref="R226:S226"/>
    <mergeCell ref="AV228:AW228"/>
    <mergeCell ref="AX228:AY228"/>
    <mergeCell ref="AH228:AI228"/>
    <mergeCell ref="AJ228:AK228"/>
    <mergeCell ref="AL228:AM228"/>
    <mergeCell ref="AN228:AO228"/>
    <mergeCell ref="AP228:AQ228"/>
    <mergeCell ref="AR228:AS228"/>
    <mergeCell ref="AT228:AU228"/>
    <mergeCell ref="BN228:BO228"/>
    <mergeCell ref="BP228:BQ228"/>
    <mergeCell ref="AZ228:BA228"/>
    <mergeCell ref="BB228:BC228"/>
    <mergeCell ref="BD228:BE228"/>
    <mergeCell ref="BF228:BG228"/>
    <mergeCell ref="BH228:BI228"/>
    <mergeCell ref="BJ228:BK228"/>
    <mergeCell ref="BL228:BM228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L227:AM227"/>
    <mergeCell ref="AN227:AO227"/>
    <mergeCell ref="AP227:AQ227"/>
    <mergeCell ref="AR227:AS227"/>
    <mergeCell ref="AT227:AU227"/>
    <mergeCell ref="BJ227:BK227"/>
    <mergeCell ref="BL227:BM227"/>
    <mergeCell ref="BN227:BO227"/>
    <mergeCell ref="BP227:BQ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V227:AW227"/>
    <mergeCell ref="AX227:AY227"/>
    <mergeCell ref="AZ227:BA227"/>
    <mergeCell ref="BB227:BC227"/>
    <mergeCell ref="BD227:BE227"/>
    <mergeCell ref="BF227:BG227"/>
    <mergeCell ref="BH227:BI227"/>
    <mergeCell ref="F228:G228"/>
    <mergeCell ref="H228:I228"/>
    <mergeCell ref="J228:K228"/>
    <mergeCell ref="L228:M228"/>
    <mergeCell ref="N228:O228"/>
    <mergeCell ref="P228:Q228"/>
    <mergeCell ref="R228:S228"/>
    <mergeCell ref="AV230:AW230"/>
    <mergeCell ref="AX230:AY230"/>
    <mergeCell ref="AH230:AI230"/>
    <mergeCell ref="AJ230:AK230"/>
    <mergeCell ref="AL230:AM230"/>
    <mergeCell ref="AN230:AO230"/>
    <mergeCell ref="AP230:AQ230"/>
    <mergeCell ref="AR230:AS230"/>
    <mergeCell ref="AT230:AU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L231:AM231"/>
    <mergeCell ref="AN231:AO231"/>
    <mergeCell ref="AP231:AQ231"/>
    <mergeCell ref="AR231:AS231"/>
    <mergeCell ref="AT231:AU231"/>
    <mergeCell ref="BJ231:BK231"/>
    <mergeCell ref="BL231:BM231"/>
    <mergeCell ref="BN231:BO231"/>
    <mergeCell ref="BP231:BQ231"/>
    <mergeCell ref="AV231:AW231"/>
    <mergeCell ref="AX231:AY231"/>
    <mergeCell ref="AZ231:BA231"/>
    <mergeCell ref="BB231:BC231"/>
    <mergeCell ref="BD231:BE231"/>
    <mergeCell ref="BF231:BG231"/>
    <mergeCell ref="BH231:BI231"/>
    <mergeCell ref="F231:G231"/>
    <mergeCell ref="H231:I231"/>
    <mergeCell ref="J231:K231"/>
    <mergeCell ref="L231:M231"/>
    <mergeCell ref="N231:O231"/>
    <mergeCell ref="P231:Q231"/>
    <mergeCell ref="R231:S231"/>
    <mergeCell ref="BN237:BO237"/>
    <mergeCell ref="BP237:BQ237"/>
    <mergeCell ref="AZ237:BA237"/>
    <mergeCell ref="BB237:BC237"/>
    <mergeCell ref="BD237:BE237"/>
    <mergeCell ref="BF237:BG237"/>
    <mergeCell ref="BH237:BI237"/>
    <mergeCell ref="BJ237:BK237"/>
    <mergeCell ref="BL237:BM237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AJ236:AK236"/>
    <mergeCell ref="AL236:AM236"/>
    <mergeCell ref="AN236:AO236"/>
    <mergeCell ref="AP236:AQ236"/>
    <mergeCell ref="AR236:AS236"/>
    <mergeCell ref="AT236:AU236"/>
    <mergeCell ref="BJ236:BK236"/>
    <mergeCell ref="BL236:BM236"/>
    <mergeCell ref="BN236:BO236"/>
    <mergeCell ref="BP236:BQ236"/>
    <mergeCell ref="F236:G236"/>
    <mergeCell ref="H236:I236"/>
    <mergeCell ref="J236:K236"/>
    <mergeCell ref="L236:M236"/>
    <mergeCell ref="N236:O236"/>
    <mergeCell ref="P236:Q236"/>
    <mergeCell ref="R236:S236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AB237:AC237"/>
    <mergeCell ref="AD237:AE237"/>
    <mergeCell ref="AF237:AG237"/>
    <mergeCell ref="AV236:AW236"/>
    <mergeCell ref="AX236:AY236"/>
    <mergeCell ref="AZ236:BA236"/>
    <mergeCell ref="BB236:BC236"/>
    <mergeCell ref="BD236:BE236"/>
    <mergeCell ref="BF236:BG236"/>
    <mergeCell ref="BH236:BI236"/>
    <mergeCell ref="AV233:AW233"/>
    <mergeCell ref="AX233:AY233"/>
    <mergeCell ref="AH233:AI233"/>
    <mergeCell ref="AJ233:AK233"/>
    <mergeCell ref="AL233:AM233"/>
    <mergeCell ref="AN233:AO233"/>
    <mergeCell ref="AP233:AQ233"/>
    <mergeCell ref="AR233:AS233"/>
    <mergeCell ref="AT233:AU233"/>
    <mergeCell ref="BN233:BO233"/>
    <mergeCell ref="BP233:BQ233"/>
    <mergeCell ref="AZ233:BA233"/>
    <mergeCell ref="BB233:BC233"/>
    <mergeCell ref="BD233:BE233"/>
    <mergeCell ref="BF233:BG233"/>
    <mergeCell ref="BH233:BI233"/>
    <mergeCell ref="BJ233:BK233"/>
    <mergeCell ref="BL233:BM233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AJ232:AK232"/>
    <mergeCell ref="AL232:AM232"/>
    <mergeCell ref="AN232:AO232"/>
    <mergeCell ref="AP232:AQ232"/>
    <mergeCell ref="AR232:AS232"/>
    <mergeCell ref="AT232:AU232"/>
    <mergeCell ref="BJ232:BK232"/>
    <mergeCell ref="BL232:BM232"/>
    <mergeCell ref="BN232:BO232"/>
    <mergeCell ref="BP232:BQ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V232:AW232"/>
    <mergeCell ref="AX232:AY232"/>
    <mergeCell ref="AZ232:BA232"/>
    <mergeCell ref="BB232:BC232"/>
    <mergeCell ref="BD232:BE232"/>
    <mergeCell ref="BF232:BG232"/>
    <mergeCell ref="BH232:BI232"/>
    <mergeCell ref="F233:G233"/>
    <mergeCell ref="H233:I233"/>
    <mergeCell ref="J233:K233"/>
    <mergeCell ref="L233:M233"/>
    <mergeCell ref="N233:O233"/>
    <mergeCell ref="P233:Q233"/>
    <mergeCell ref="R233:S233"/>
    <mergeCell ref="AV235:AW235"/>
    <mergeCell ref="AX235:AY235"/>
    <mergeCell ref="AH235:AI235"/>
    <mergeCell ref="AJ235:AK235"/>
    <mergeCell ref="AL235:AM235"/>
    <mergeCell ref="AN235:AO235"/>
    <mergeCell ref="AP235:AQ235"/>
    <mergeCell ref="AR235:AS235"/>
    <mergeCell ref="AT235:AU235"/>
    <mergeCell ref="BN235:BO235"/>
    <mergeCell ref="BP235:BQ235"/>
    <mergeCell ref="AZ235:BA235"/>
    <mergeCell ref="BB235:BC235"/>
    <mergeCell ref="BD235:BE235"/>
    <mergeCell ref="BF235:BG235"/>
    <mergeCell ref="BH235:BI235"/>
    <mergeCell ref="BJ235:BK235"/>
    <mergeCell ref="BL235:BM235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AJ234:AK234"/>
    <mergeCell ref="AL234:AM234"/>
    <mergeCell ref="AN234:AO234"/>
    <mergeCell ref="AP234:AQ234"/>
    <mergeCell ref="AR234:AS234"/>
    <mergeCell ref="AT234:AU234"/>
    <mergeCell ref="BJ234:BK234"/>
    <mergeCell ref="BL234:BM234"/>
    <mergeCell ref="BN234:BO234"/>
    <mergeCell ref="BP234:BQ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V234:AW234"/>
    <mergeCell ref="AX234:AY234"/>
    <mergeCell ref="AZ234:BA234"/>
    <mergeCell ref="BB234:BC234"/>
    <mergeCell ref="BD234:BE234"/>
    <mergeCell ref="BF234:BG234"/>
    <mergeCell ref="BH234:BI234"/>
    <mergeCell ref="F235:G235"/>
    <mergeCell ref="H235:I235"/>
    <mergeCell ref="J235:K235"/>
    <mergeCell ref="L235:M235"/>
    <mergeCell ref="N235:O235"/>
    <mergeCell ref="P235:Q235"/>
    <mergeCell ref="R235:S235"/>
    <mergeCell ref="AV237:AW237"/>
    <mergeCell ref="AX237:AY237"/>
    <mergeCell ref="AH237:AI237"/>
    <mergeCell ref="AJ237:AK237"/>
    <mergeCell ref="AL237:AM237"/>
    <mergeCell ref="AN237:AO237"/>
    <mergeCell ref="AP237:AQ237"/>
    <mergeCell ref="AR237:AS237"/>
    <mergeCell ref="AT237:AU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AJ238:AK238"/>
    <mergeCell ref="AL238:AM238"/>
    <mergeCell ref="AN238:AO238"/>
    <mergeCell ref="AP238:AQ238"/>
    <mergeCell ref="AR238:AS238"/>
    <mergeCell ref="AT238:AU238"/>
    <mergeCell ref="BJ238:BK238"/>
    <mergeCell ref="BL238:BM238"/>
    <mergeCell ref="BN238:BO238"/>
    <mergeCell ref="BP238:BQ238"/>
    <mergeCell ref="AV238:AW238"/>
    <mergeCell ref="AX238:AY238"/>
    <mergeCell ref="AZ238:BA238"/>
    <mergeCell ref="BB238:BC238"/>
    <mergeCell ref="BD238:BE238"/>
    <mergeCell ref="BF238:BG238"/>
    <mergeCell ref="BH238:BI238"/>
    <mergeCell ref="F238:G238"/>
    <mergeCell ref="H238:I238"/>
    <mergeCell ref="J238:K238"/>
    <mergeCell ref="L238:M238"/>
    <mergeCell ref="N238:O238"/>
    <mergeCell ref="P238:Q238"/>
    <mergeCell ref="R238:S238"/>
    <mergeCell ref="BN244:BO244"/>
    <mergeCell ref="BP244:BQ244"/>
    <mergeCell ref="AZ244:BA244"/>
    <mergeCell ref="BB244:BC244"/>
    <mergeCell ref="BD244:BE244"/>
    <mergeCell ref="BF244:BG244"/>
    <mergeCell ref="BH244:BI244"/>
    <mergeCell ref="BJ244:BK244"/>
    <mergeCell ref="BL244:BM244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AJ243:AK243"/>
    <mergeCell ref="AL243:AM243"/>
    <mergeCell ref="AN243:AO243"/>
    <mergeCell ref="AP243:AQ243"/>
    <mergeCell ref="AR243:AS243"/>
    <mergeCell ref="AT243:AU243"/>
    <mergeCell ref="BJ243:BK243"/>
    <mergeCell ref="BL243:BM243"/>
    <mergeCell ref="BN243:BO243"/>
    <mergeCell ref="BP243:BQ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Z244:AA244"/>
    <mergeCell ref="AB244:AC244"/>
    <mergeCell ref="AD244:AE244"/>
    <mergeCell ref="AF244:AG244"/>
    <mergeCell ref="AV243:AW243"/>
    <mergeCell ref="AX243:AY243"/>
    <mergeCell ref="AZ243:BA243"/>
    <mergeCell ref="BB243:BC243"/>
    <mergeCell ref="BD243:BE243"/>
    <mergeCell ref="BF243:BG243"/>
    <mergeCell ref="BH243:BI243"/>
    <mergeCell ref="AV240:AW240"/>
    <mergeCell ref="AX240:AY240"/>
    <mergeCell ref="AH240:AI240"/>
    <mergeCell ref="AJ240:AK240"/>
    <mergeCell ref="AL240:AM240"/>
    <mergeCell ref="AN240:AO240"/>
    <mergeCell ref="AP240:AQ240"/>
    <mergeCell ref="AR240:AS240"/>
    <mergeCell ref="AT240:AU240"/>
    <mergeCell ref="BN240:BO240"/>
    <mergeCell ref="BP240:BQ240"/>
    <mergeCell ref="AZ240:BA240"/>
    <mergeCell ref="BB240:BC240"/>
    <mergeCell ref="BD240:BE240"/>
    <mergeCell ref="BF240:BG240"/>
    <mergeCell ref="BH240:BI240"/>
    <mergeCell ref="BJ240:BK240"/>
    <mergeCell ref="BL240:BM240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AJ239:AK239"/>
    <mergeCell ref="AL239:AM239"/>
    <mergeCell ref="AN239:AO239"/>
    <mergeCell ref="AP239:AQ239"/>
    <mergeCell ref="AR239:AS239"/>
    <mergeCell ref="AT239:AU239"/>
    <mergeCell ref="BJ239:BK239"/>
    <mergeCell ref="BL239:BM239"/>
    <mergeCell ref="BN239:BO239"/>
    <mergeCell ref="BP239:BQ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V239:AW239"/>
    <mergeCell ref="AX239:AY239"/>
    <mergeCell ref="AZ239:BA239"/>
    <mergeCell ref="BB239:BC239"/>
    <mergeCell ref="BD239:BE239"/>
    <mergeCell ref="BF239:BG239"/>
    <mergeCell ref="BH239:BI239"/>
    <mergeCell ref="F240:G240"/>
    <mergeCell ref="H240:I240"/>
    <mergeCell ref="J240:K240"/>
    <mergeCell ref="L240:M240"/>
    <mergeCell ref="N240:O240"/>
    <mergeCell ref="P240:Q240"/>
    <mergeCell ref="R240:S240"/>
    <mergeCell ref="AV242:AW242"/>
    <mergeCell ref="AX242:AY242"/>
    <mergeCell ref="AH242:AI242"/>
    <mergeCell ref="AJ242:AK242"/>
    <mergeCell ref="AL242:AM242"/>
    <mergeCell ref="AN242:AO242"/>
    <mergeCell ref="AP242:AQ242"/>
    <mergeCell ref="AR242:AS242"/>
    <mergeCell ref="AT242:AU242"/>
    <mergeCell ref="BN242:BO242"/>
    <mergeCell ref="BP242:BQ242"/>
    <mergeCell ref="AZ242:BA242"/>
    <mergeCell ref="BB242:BC242"/>
    <mergeCell ref="BD242:BE242"/>
    <mergeCell ref="BF242:BG242"/>
    <mergeCell ref="BH242:BI242"/>
    <mergeCell ref="BJ242:BK242"/>
    <mergeCell ref="BL242:BM242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AJ241:AK241"/>
    <mergeCell ref="AL241:AM241"/>
    <mergeCell ref="AN241:AO241"/>
    <mergeCell ref="AP241:AQ241"/>
    <mergeCell ref="AR241:AS241"/>
    <mergeCell ref="AT241:AU241"/>
    <mergeCell ref="BJ241:BK241"/>
    <mergeCell ref="BL241:BM241"/>
    <mergeCell ref="BN241:BO241"/>
    <mergeCell ref="BP241:BQ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V241:AW241"/>
    <mergeCell ref="AX241:AY241"/>
    <mergeCell ref="AZ241:BA241"/>
    <mergeCell ref="BB241:BC241"/>
    <mergeCell ref="BD241:BE241"/>
    <mergeCell ref="BF241:BG241"/>
    <mergeCell ref="BH241:BI241"/>
    <mergeCell ref="F242:G242"/>
    <mergeCell ref="H242:I242"/>
    <mergeCell ref="J242:K242"/>
    <mergeCell ref="L242:M242"/>
    <mergeCell ref="N242:O242"/>
    <mergeCell ref="P242:Q242"/>
    <mergeCell ref="R242:S242"/>
    <mergeCell ref="AV244:AW244"/>
    <mergeCell ref="AX244:AY244"/>
    <mergeCell ref="AH244:AI244"/>
    <mergeCell ref="AJ244:AK244"/>
    <mergeCell ref="AL244:AM244"/>
    <mergeCell ref="AN244:AO244"/>
    <mergeCell ref="AP244:AQ244"/>
    <mergeCell ref="AR244:AS244"/>
    <mergeCell ref="AT244:AU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AJ245:AK245"/>
    <mergeCell ref="AL245:AM245"/>
    <mergeCell ref="AN245:AO245"/>
    <mergeCell ref="AP245:AQ245"/>
    <mergeCell ref="AR245:AS245"/>
    <mergeCell ref="AT245:AU245"/>
    <mergeCell ref="BJ245:BK245"/>
    <mergeCell ref="BL245:BM245"/>
    <mergeCell ref="BN245:BO245"/>
    <mergeCell ref="BP245:BQ245"/>
    <mergeCell ref="AV245:AW245"/>
    <mergeCell ref="AX245:AY245"/>
    <mergeCell ref="AZ245:BA245"/>
    <mergeCell ref="BB245:BC245"/>
    <mergeCell ref="BD245:BE245"/>
    <mergeCell ref="BF245:BG245"/>
    <mergeCell ref="BH245:BI245"/>
    <mergeCell ref="F245:G245"/>
    <mergeCell ref="H245:I245"/>
    <mergeCell ref="J245:K245"/>
    <mergeCell ref="L245:M245"/>
    <mergeCell ref="N245:O245"/>
    <mergeCell ref="P245:Q245"/>
    <mergeCell ref="R245:S245"/>
    <mergeCell ref="BN249:BO249"/>
    <mergeCell ref="BP249:BQ249"/>
    <mergeCell ref="BN281:BO281"/>
    <mergeCell ref="AZ283:BA283"/>
    <mergeCell ref="BB283:BC283"/>
    <mergeCell ref="BD283:BE283"/>
    <mergeCell ref="BF283:BG283"/>
    <mergeCell ref="BH283:BI283"/>
    <mergeCell ref="BJ283:BK283"/>
    <mergeCell ref="BL283:BM283"/>
    <mergeCell ref="BN283:BO283"/>
    <mergeCell ref="AZ249:BA249"/>
    <mergeCell ref="BB249:BC249"/>
    <mergeCell ref="BD249:BE249"/>
    <mergeCell ref="BF249:BG249"/>
    <mergeCell ref="BH249:BI249"/>
    <mergeCell ref="BJ249:BK249"/>
    <mergeCell ref="BL249:BM249"/>
    <mergeCell ref="AV249:AW249"/>
    <mergeCell ref="AX249:AY249"/>
    <mergeCell ref="AH249:AI249"/>
    <mergeCell ref="AJ249:AK249"/>
    <mergeCell ref="AL249:AM249"/>
    <mergeCell ref="AN249:AO249"/>
    <mergeCell ref="AP249:AQ249"/>
    <mergeCell ref="AR249:AS249"/>
    <mergeCell ref="AT249:AU249"/>
    <mergeCell ref="P283:Q283"/>
    <mergeCell ref="R283:S283"/>
    <mergeCell ref="T283:U283"/>
    <mergeCell ref="V283:W283"/>
    <mergeCell ref="X283:Y283"/>
    <mergeCell ref="Z283:AA283"/>
    <mergeCell ref="AB283:AC283"/>
    <mergeCell ref="AR283:AS283"/>
    <mergeCell ref="AT283:AU283"/>
    <mergeCell ref="AV283:AW283"/>
    <mergeCell ref="AX283:AY283"/>
    <mergeCell ref="A282:B282"/>
    <mergeCell ref="C282:D282"/>
    <mergeCell ref="F283:G283"/>
    <mergeCell ref="H283:I283"/>
    <mergeCell ref="J283:K283"/>
    <mergeCell ref="L283:M283"/>
    <mergeCell ref="N283:O283"/>
    <mergeCell ref="AL284:AM284"/>
    <mergeCell ref="AN284:AO284"/>
    <mergeCell ref="AP284:AQ284"/>
    <mergeCell ref="AR284:AS284"/>
    <mergeCell ref="AT284:AU284"/>
    <mergeCell ref="AV284:AW284"/>
    <mergeCell ref="AX284:AY284"/>
    <mergeCell ref="AD283:AE283"/>
    <mergeCell ref="AF283:AG283"/>
    <mergeCell ref="AH283:AI283"/>
    <mergeCell ref="AJ283:AK283"/>
    <mergeCell ref="AL283:AM283"/>
    <mergeCell ref="AN283:AO283"/>
    <mergeCell ref="AP283:AQ283"/>
    <mergeCell ref="T284:U284"/>
    <mergeCell ref="V284:W284"/>
    <mergeCell ref="X284:Y284"/>
    <mergeCell ref="Z284:AA284"/>
    <mergeCell ref="AB284:AC284"/>
    <mergeCell ref="AD284:AE284"/>
    <mergeCell ref="AF284:AG284"/>
    <mergeCell ref="BJ284:BK284"/>
    <mergeCell ref="BL284:BM284"/>
    <mergeCell ref="BN284:BO284"/>
    <mergeCell ref="BS284:BT284"/>
    <mergeCell ref="AH284:AI284"/>
    <mergeCell ref="AJ284:AK284"/>
    <mergeCell ref="AZ284:BA284"/>
    <mergeCell ref="BB284:BC284"/>
    <mergeCell ref="BD284:BE284"/>
    <mergeCell ref="BF284:BG284"/>
    <mergeCell ref="BH284:B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BJ285:BK285"/>
    <mergeCell ref="BL285:BM285"/>
    <mergeCell ref="BN285:BO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5:AI285"/>
    <mergeCell ref="AJ285:AK285"/>
    <mergeCell ref="AL285:AM285"/>
    <mergeCell ref="AN285:AO285"/>
    <mergeCell ref="AP285:AQ285"/>
    <mergeCell ref="AR285:AS285"/>
    <mergeCell ref="AT285:AU285"/>
    <mergeCell ref="BD286:BE286"/>
    <mergeCell ref="BF286:BG286"/>
    <mergeCell ref="BH286:BI286"/>
    <mergeCell ref="BJ286:BK286"/>
    <mergeCell ref="BL286:BM286"/>
    <mergeCell ref="BN286:BO286"/>
    <mergeCell ref="AV285:AW285"/>
    <mergeCell ref="AX285:AY285"/>
    <mergeCell ref="AZ285:BA285"/>
    <mergeCell ref="BB285:BC285"/>
    <mergeCell ref="BD285:BE285"/>
    <mergeCell ref="BF285:BG285"/>
    <mergeCell ref="BH285:BI285"/>
    <mergeCell ref="AV247:AW247"/>
    <mergeCell ref="AX247:AY247"/>
    <mergeCell ref="AH247:AI247"/>
    <mergeCell ref="AJ247:AK247"/>
    <mergeCell ref="AL247:AM247"/>
    <mergeCell ref="AN247:AO247"/>
    <mergeCell ref="AP247:AQ247"/>
    <mergeCell ref="AR247:AS247"/>
    <mergeCell ref="AT247:AU247"/>
    <mergeCell ref="BN247:BO247"/>
    <mergeCell ref="BP247:BQ247"/>
    <mergeCell ref="AZ247:BA247"/>
    <mergeCell ref="BB247:BC247"/>
    <mergeCell ref="BD247:BE247"/>
    <mergeCell ref="BF247:BG247"/>
    <mergeCell ref="BH247:BI247"/>
    <mergeCell ref="BJ247:BK247"/>
    <mergeCell ref="BL247:BM247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AJ246:AK246"/>
    <mergeCell ref="AL246:AM246"/>
    <mergeCell ref="AN246:AO246"/>
    <mergeCell ref="AP246:AQ246"/>
    <mergeCell ref="AR246:AS246"/>
    <mergeCell ref="AT246:AU246"/>
    <mergeCell ref="BJ246:BK246"/>
    <mergeCell ref="BL246:BM246"/>
    <mergeCell ref="BN246:BO246"/>
    <mergeCell ref="BP246:BQ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V246:AW246"/>
    <mergeCell ref="AX246:AY246"/>
    <mergeCell ref="AZ246:BA246"/>
    <mergeCell ref="BB246:BC246"/>
    <mergeCell ref="BD246:BE246"/>
    <mergeCell ref="BF246:BG246"/>
    <mergeCell ref="BH246:BI246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AJ248:AK248"/>
    <mergeCell ref="AL248:AM248"/>
    <mergeCell ref="AN248:AO248"/>
    <mergeCell ref="AP248:AQ248"/>
    <mergeCell ref="AR248:AS248"/>
    <mergeCell ref="AT248:AU248"/>
    <mergeCell ref="BJ248:BK248"/>
    <mergeCell ref="BL248:BM248"/>
    <mergeCell ref="BN248:BO248"/>
    <mergeCell ref="BP248:BQ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V248:AW248"/>
    <mergeCell ref="AX248:AY248"/>
    <mergeCell ref="AZ248:BA248"/>
    <mergeCell ref="BB248:BC248"/>
    <mergeCell ref="BD248:BE248"/>
    <mergeCell ref="BF248:BG248"/>
    <mergeCell ref="BH248:BI248"/>
    <mergeCell ref="F249:G249"/>
    <mergeCell ref="H249:I249"/>
    <mergeCell ref="J249:K249"/>
    <mergeCell ref="L249:M249"/>
    <mergeCell ref="N249:O249"/>
    <mergeCell ref="P249:Q249"/>
    <mergeCell ref="R249:S249"/>
    <mergeCell ref="AV251:AW251"/>
    <mergeCell ref="AX251:AY251"/>
    <mergeCell ref="AH251:AI251"/>
    <mergeCell ref="AJ251:AK251"/>
    <mergeCell ref="AL251:AM251"/>
    <mergeCell ref="AN251:AO251"/>
    <mergeCell ref="AP251:AQ251"/>
    <mergeCell ref="AR251:AS251"/>
    <mergeCell ref="AT251:AU251"/>
    <mergeCell ref="F252:G252"/>
    <mergeCell ref="H252:I252"/>
    <mergeCell ref="J252:K252"/>
    <mergeCell ref="L252:M252"/>
    <mergeCell ref="N252:O252"/>
    <mergeCell ref="P252:Q252"/>
    <mergeCell ref="R252:S252"/>
    <mergeCell ref="C255:D255"/>
    <mergeCell ref="T252:U252"/>
    <mergeCell ref="V252:W252"/>
    <mergeCell ref="X252:Y252"/>
    <mergeCell ref="Z252:AA252"/>
    <mergeCell ref="AB252:AC252"/>
    <mergeCell ref="AD252:AE252"/>
    <mergeCell ref="AF252:AG252"/>
    <mergeCell ref="AC253:AD253"/>
    <mergeCell ref="AH252:AI252"/>
    <mergeCell ref="AJ252:AK252"/>
    <mergeCell ref="AL252:AM252"/>
    <mergeCell ref="AN252:AO252"/>
    <mergeCell ref="AP252:AQ252"/>
    <mergeCell ref="AR252:AS252"/>
    <mergeCell ref="AT252:AU252"/>
    <mergeCell ref="BJ252:BK252"/>
    <mergeCell ref="BL252:BM252"/>
    <mergeCell ref="BN252:BO252"/>
    <mergeCell ref="BP252:BQ252"/>
    <mergeCell ref="BP253:BQ253"/>
    <mergeCell ref="AV252:AW252"/>
    <mergeCell ref="AX252:AY252"/>
    <mergeCell ref="AZ252:BA252"/>
    <mergeCell ref="BB252:BC252"/>
    <mergeCell ref="BD252:BE252"/>
    <mergeCell ref="BF252:BG252"/>
    <mergeCell ref="BH252:BI252"/>
    <mergeCell ref="AZ286:BA286"/>
    <mergeCell ref="BB286:BC286"/>
    <mergeCell ref="AL286:AM286"/>
    <mergeCell ref="AN286:AO286"/>
    <mergeCell ref="AP286:AQ286"/>
    <mergeCell ref="AR286:AS286"/>
    <mergeCell ref="AT286:AU286"/>
    <mergeCell ref="AV286:AW286"/>
    <mergeCell ref="AX286:AY286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BJ287:BK287"/>
    <mergeCell ref="BL287:BM287"/>
    <mergeCell ref="BN287:BO287"/>
    <mergeCell ref="AV287:AW287"/>
    <mergeCell ref="AX287:AY287"/>
    <mergeCell ref="AZ287:BA287"/>
    <mergeCell ref="BB287:BC287"/>
    <mergeCell ref="BD287:BE287"/>
    <mergeCell ref="BF287:BG287"/>
    <mergeCell ref="BH287:BI287"/>
    <mergeCell ref="F287:G287"/>
    <mergeCell ref="H287:I287"/>
    <mergeCell ref="J287:K287"/>
    <mergeCell ref="L287:M287"/>
    <mergeCell ref="N287:O287"/>
    <mergeCell ref="P287:Q287"/>
    <mergeCell ref="R287:S287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Z294:BA294"/>
    <mergeCell ref="BB294:BC294"/>
    <mergeCell ref="AL294:AM294"/>
    <mergeCell ref="AN294:AO294"/>
    <mergeCell ref="AP294:AQ294"/>
    <mergeCell ref="AR294:AS294"/>
    <mergeCell ref="AT294:AU294"/>
    <mergeCell ref="AV294:AW294"/>
    <mergeCell ref="AX294:AY294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AJ292:AK292"/>
    <mergeCell ref="AL292:AM292"/>
    <mergeCell ref="AN292:AO292"/>
    <mergeCell ref="AP292:AQ292"/>
    <mergeCell ref="AR292:AS292"/>
    <mergeCell ref="AT292:AU292"/>
    <mergeCell ref="BJ292:BK292"/>
    <mergeCell ref="BL292:BM292"/>
    <mergeCell ref="BN292:BO292"/>
    <mergeCell ref="F292:G292"/>
    <mergeCell ref="H292:I292"/>
    <mergeCell ref="J292:K292"/>
    <mergeCell ref="L292:M292"/>
    <mergeCell ref="N292:O292"/>
    <mergeCell ref="P292:Q292"/>
    <mergeCell ref="R292:S292"/>
    <mergeCell ref="AV292:AW292"/>
    <mergeCell ref="AX292:AY292"/>
    <mergeCell ref="AZ292:BA292"/>
    <mergeCell ref="BB292:BC292"/>
    <mergeCell ref="BD292:BE292"/>
    <mergeCell ref="BF292:BG292"/>
    <mergeCell ref="BH292:BI292"/>
    <mergeCell ref="F294:G294"/>
    <mergeCell ref="H294:I294"/>
    <mergeCell ref="J294:K294"/>
    <mergeCell ref="L294:M294"/>
    <mergeCell ref="N294:O294"/>
    <mergeCell ref="P294:Q294"/>
    <mergeCell ref="R294:S294"/>
    <mergeCell ref="BD293:BE293"/>
    <mergeCell ref="BD294:BE294"/>
    <mergeCell ref="BF294:BG294"/>
    <mergeCell ref="BH294:BI294"/>
    <mergeCell ref="BJ294:BK294"/>
    <mergeCell ref="BL294:BM294"/>
    <mergeCell ref="BN294:BO294"/>
    <mergeCell ref="AZ293:BA293"/>
    <mergeCell ref="BB293:BC293"/>
    <mergeCell ref="BF293:BG293"/>
    <mergeCell ref="BH293:BI293"/>
    <mergeCell ref="BJ293:BK293"/>
    <mergeCell ref="BL293:BM293"/>
    <mergeCell ref="BN293:BO293"/>
    <mergeCell ref="AV289:AW289"/>
    <mergeCell ref="AX289:AY289"/>
    <mergeCell ref="AH289:AI289"/>
    <mergeCell ref="AJ289:AK289"/>
    <mergeCell ref="AL289:AM289"/>
    <mergeCell ref="AN289:AO289"/>
    <mergeCell ref="AP289:AQ289"/>
    <mergeCell ref="AR289:AS289"/>
    <mergeCell ref="AT289:AU289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Z290:BA290"/>
    <mergeCell ref="BB290:BC290"/>
    <mergeCell ref="AL290:AM290"/>
    <mergeCell ref="AN290:AO290"/>
    <mergeCell ref="AP290:AQ290"/>
    <mergeCell ref="AR290:AS290"/>
    <mergeCell ref="AT290:AU290"/>
    <mergeCell ref="AV290:AW290"/>
    <mergeCell ref="AX290:AY290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AJ288:AK288"/>
    <mergeCell ref="AL288:AM288"/>
    <mergeCell ref="AN288:AO288"/>
    <mergeCell ref="AP288:AQ288"/>
    <mergeCell ref="AR288:AS288"/>
    <mergeCell ref="AT288:AU288"/>
    <mergeCell ref="BJ288:BK288"/>
    <mergeCell ref="BL288:BM288"/>
    <mergeCell ref="BN288:BO288"/>
    <mergeCell ref="F288:G288"/>
    <mergeCell ref="H288:I288"/>
    <mergeCell ref="J288:K288"/>
    <mergeCell ref="L288:M288"/>
    <mergeCell ref="N288:O288"/>
    <mergeCell ref="P288:Q288"/>
    <mergeCell ref="R288:S288"/>
    <mergeCell ref="AV288:AW288"/>
    <mergeCell ref="AX288:AY288"/>
    <mergeCell ref="AZ288:BA288"/>
    <mergeCell ref="BB288:BC288"/>
    <mergeCell ref="BD288:BE288"/>
    <mergeCell ref="BF288:BG288"/>
    <mergeCell ref="BH288:BI288"/>
    <mergeCell ref="F290:G290"/>
    <mergeCell ref="H290:I290"/>
    <mergeCell ref="J290:K290"/>
    <mergeCell ref="L290:M290"/>
    <mergeCell ref="N290:O290"/>
    <mergeCell ref="P290:Q290"/>
    <mergeCell ref="R290:S290"/>
    <mergeCell ref="BD289:BE289"/>
    <mergeCell ref="BD290:BE290"/>
    <mergeCell ref="BF290:BG290"/>
    <mergeCell ref="BH290:BI290"/>
    <mergeCell ref="BJ290:BK290"/>
    <mergeCell ref="BL290:BM290"/>
    <mergeCell ref="BN290:BO290"/>
    <mergeCell ref="AZ289:BA289"/>
    <mergeCell ref="BB289:BC289"/>
    <mergeCell ref="BF289:BG289"/>
    <mergeCell ref="BH289:BI289"/>
    <mergeCell ref="BJ289:BK289"/>
    <mergeCell ref="BL289:BM289"/>
    <mergeCell ref="BN289:BO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AJ291:AK291"/>
    <mergeCell ref="AL291:AM291"/>
    <mergeCell ref="AN291:AO291"/>
    <mergeCell ref="AP291:AQ291"/>
    <mergeCell ref="AR291:AS291"/>
    <mergeCell ref="AT291:AU291"/>
    <mergeCell ref="BJ291:BK291"/>
    <mergeCell ref="BL291:BM291"/>
    <mergeCell ref="BN291:BO291"/>
    <mergeCell ref="AV291:AW291"/>
    <mergeCell ref="AX291:AY291"/>
    <mergeCell ref="AZ291:BA291"/>
    <mergeCell ref="BB291:BC291"/>
    <mergeCell ref="BD291:BE291"/>
    <mergeCell ref="BF291:BG291"/>
    <mergeCell ref="BH291:BI291"/>
    <mergeCell ref="F291:G291"/>
    <mergeCell ref="H291:I291"/>
    <mergeCell ref="J291:K291"/>
    <mergeCell ref="L291:M291"/>
    <mergeCell ref="N291:O291"/>
    <mergeCell ref="P291:Q291"/>
    <mergeCell ref="R291:S291"/>
    <mergeCell ref="AV293:AW293"/>
    <mergeCell ref="AX293:AY293"/>
    <mergeCell ref="AH293:AI293"/>
    <mergeCell ref="AJ293:AK293"/>
    <mergeCell ref="AL293:AM293"/>
    <mergeCell ref="AN293:AO293"/>
    <mergeCell ref="AP293:AQ293"/>
    <mergeCell ref="AR293:AS293"/>
    <mergeCell ref="AT293:AU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AJ295:AK295"/>
    <mergeCell ref="AL295:AM295"/>
    <mergeCell ref="AN295:AO295"/>
    <mergeCell ref="AP295:AQ295"/>
    <mergeCell ref="AR295:AS295"/>
    <mergeCell ref="AT295:AU295"/>
    <mergeCell ref="BJ295:BK295"/>
    <mergeCell ref="BL295:BM295"/>
    <mergeCell ref="BN295:BO295"/>
    <mergeCell ref="AV295:AW295"/>
    <mergeCell ref="AX295:AY295"/>
    <mergeCell ref="AZ295:BA295"/>
    <mergeCell ref="BB295:BC295"/>
    <mergeCell ref="BD295:BE295"/>
    <mergeCell ref="BF295:BG295"/>
    <mergeCell ref="BH295:BI295"/>
    <mergeCell ref="F295:G295"/>
    <mergeCell ref="H295:I295"/>
    <mergeCell ref="J295:K295"/>
    <mergeCell ref="L295:M295"/>
    <mergeCell ref="N295:O295"/>
    <mergeCell ref="P295:Q295"/>
    <mergeCell ref="R295:S295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Z302:BA302"/>
    <mergeCell ref="BB302:BC302"/>
    <mergeCell ref="AL302:AM302"/>
    <mergeCell ref="AN302:AO302"/>
    <mergeCell ref="AP302:AQ302"/>
    <mergeCell ref="AR302:AS302"/>
    <mergeCell ref="AT302:AU302"/>
    <mergeCell ref="AV302:AW302"/>
    <mergeCell ref="AX302:AY302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AJ300:AK300"/>
    <mergeCell ref="AL300:AM300"/>
    <mergeCell ref="AN300:AO300"/>
    <mergeCell ref="AP300:AQ300"/>
    <mergeCell ref="AR300:AS300"/>
    <mergeCell ref="AT300:AU300"/>
    <mergeCell ref="BJ300:BK300"/>
    <mergeCell ref="BL300:BM300"/>
    <mergeCell ref="BN300:BO300"/>
    <mergeCell ref="F300:G300"/>
    <mergeCell ref="H300:I300"/>
    <mergeCell ref="J300:K300"/>
    <mergeCell ref="L300:M300"/>
    <mergeCell ref="N300:O300"/>
    <mergeCell ref="P300:Q300"/>
    <mergeCell ref="R300:S300"/>
    <mergeCell ref="AV300:AW300"/>
    <mergeCell ref="AX300:AY300"/>
    <mergeCell ref="AZ300:BA300"/>
    <mergeCell ref="BB300:BC300"/>
    <mergeCell ref="BD300:BE300"/>
    <mergeCell ref="BF300:BG300"/>
    <mergeCell ref="BH300:BI300"/>
    <mergeCell ref="F302:G302"/>
    <mergeCell ref="H302:I302"/>
    <mergeCell ref="J302:K302"/>
    <mergeCell ref="L302:M302"/>
    <mergeCell ref="N302:O302"/>
    <mergeCell ref="P302:Q302"/>
    <mergeCell ref="R302:S302"/>
    <mergeCell ref="BD301:BE301"/>
    <mergeCell ref="BD302:BE302"/>
    <mergeCell ref="BF302:BG302"/>
    <mergeCell ref="BH302:BI302"/>
    <mergeCell ref="BJ302:BK302"/>
    <mergeCell ref="BL302:BM302"/>
    <mergeCell ref="BN302:BO302"/>
    <mergeCell ref="AZ301:BA301"/>
    <mergeCell ref="BB301:BC301"/>
    <mergeCell ref="BF301:BG301"/>
    <mergeCell ref="BH301:BI301"/>
    <mergeCell ref="BJ301:BK301"/>
    <mergeCell ref="BL301:BM301"/>
    <mergeCell ref="BN301:BO301"/>
    <mergeCell ref="AV305:AW305"/>
    <mergeCell ref="AX305:AY305"/>
    <mergeCell ref="AH305:AI305"/>
    <mergeCell ref="AJ305:AK305"/>
    <mergeCell ref="AL305:AM305"/>
    <mergeCell ref="AN305:AO305"/>
    <mergeCell ref="AP305:AQ305"/>
    <mergeCell ref="AR305:AS305"/>
    <mergeCell ref="AT305:AU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Z306:BA306"/>
    <mergeCell ref="BB306:BC306"/>
    <mergeCell ref="AL306:AM306"/>
    <mergeCell ref="AN306:AO306"/>
    <mergeCell ref="AP306:AQ306"/>
    <mergeCell ref="AR306:AS306"/>
    <mergeCell ref="AT306:AU306"/>
    <mergeCell ref="AV306:AW306"/>
    <mergeCell ref="AX306:AY306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AJ304:AK304"/>
    <mergeCell ref="AL304:AM304"/>
    <mergeCell ref="AN304:AO304"/>
    <mergeCell ref="AP304:AQ304"/>
    <mergeCell ref="AR304:AS304"/>
    <mergeCell ref="AT304:AU304"/>
    <mergeCell ref="BJ304:BK304"/>
    <mergeCell ref="BL304:BM304"/>
    <mergeCell ref="BN304:BO304"/>
    <mergeCell ref="F304:G304"/>
    <mergeCell ref="H304:I304"/>
    <mergeCell ref="J304:K304"/>
    <mergeCell ref="L304:M304"/>
    <mergeCell ref="N304:O304"/>
    <mergeCell ref="P304:Q304"/>
    <mergeCell ref="R304:S304"/>
    <mergeCell ref="AV304:AW304"/>
    <mergeCell ref="AX304:AY304"/>
    <mergeCell ref="AZ304:BA304"/>
    <mergeCell ref="BB304:BC304"/>
    <mergeCell ref="BD304:BE304"/>
    <mergeCell ref="BF304:BG304"/>
    <mergeCell ref="BH304:BI304"/>
    <mergeCell ref="F306:G306"/>
    <mergeCell ref="H306:I306"/>
    <mergeCell ref="J306:K306"/>
    <mergeCell ref="L306:M306"/>
    <mergeCell ref="N306:O306"/>
    <mergeCell ref="P306:Q306"/>
    <mergeCell ref="R306:S306"/>
    <mergeCell ref="BD305:BE305"/>
    <mergeCell ref="BD306:BE306"/>
    <mergeCell ref="BF306:BG306"/>
    <mergeCell ref="BH306:BI306"/>
    <mergeCell ref="BJ306:BK306"/>
    <mergeCell ref="BL306:BM306"/>
    <mergeCell ref="BN306:BO306"/>
    <mergeCell ref="AZ305:BA305"/>
    <mergeCell ref="BB305:BC305"/>
    <mergeCell ref="BF305:BG305"/>
    <mergeCell ref="BH305:BI305"/>
    <mergeCell ref="BJ305:BK305"/>
    <mergeCell ref="BL305:BM305"/>
    <mergeCell ref="BN305:BO305"/>
    <mergeCell ref="BJ312:BK312"/>
    <mergeCell ref="BJ313:BK313"/>
    <mergeCell ref="BJ314:BK314"/>
    <mergeCell ref="BJ315:BK315"/>
    <mergeCell ref="BJ316:BK316"/>
    <mergeCell ref="BJ317:BK317"/>
    <mergeCell ref="BJ318:BK318"/>
    <mergeCell ref="BJ319:BK319"/>
    <mergeCell ref="BJ307:BK307"/>
    <mergeCell ref="BL307:BM307"/>
    <mergeCell ref="BN307:BO307"/>
    <mergeCell ref="BJ308:BK308"/>
    <mergeCell ref="BJ309:BK309"/>
    <mergeCell ref="BJ310:BK310"/>
    <mergeCell ref="BJ311:BK311"/>
    <mergeCell ref="W320:X320"/>
    <mergeCell ref="W321:X321"/>
    <mergeCell ref="W322:X322"/>
    <mergeCell ref="W323:X323"/>
    <mergeCell ref="W324:X324"/>
    <mergeCell ref="W313:X313"/>
    <mergeCell ref="W314:X314"/>
    <mergeCell ref="W315:X315"/>
    <mergeCell ref="W316:X316"/>
    <mergeCell ref="W317:X317"/>
    <mergeCell ref="W318:X318"/>
    <mergeCell ref="W319:X319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AJ307:AK307"/>
    <mergeCell ref="AL307:AM307"/>
    <mergeCell ref="AN307:AO307"/>
    <mergeCell ref="AP307:AQ307"/>
    <mergeCell ref="AR307:AS307"/>
    <mergeCell ref="AT307:AU307"/>
    <mergeCell ref="AV307:AW307"/>
    <mergeCell ref="AX307:AY307"/>
    <mergeCell ref="AZ307:BA307"/>
    <mergeCell ref="BB307:BC307"/>
    <mergeCell ref="BD307:BE307"/>
    <mergeCell ref="BF307:BG307"/>
    <mergeCell ref="BH307:BI307"/>
    <mergeCell ref="F307:G307"/>
    <mergeCell ref="H307:I307"/>
    <mergeCell ref="J307:K307"/>
    <mergeCell ref="L307:M307"/>
    <mergeCell ref="N307:O307"/>
    <mergeCell ref="P307:Q307"/>
    <mergeCell ref="R307:S307"/>
    <mergeCell ref="O308:P308"/>
    <mergeCell ref="W308:X308"/>
    <mergeCell ref="O309:P309"/>
    <mergeCell ref="W309:X309"/>
    <mergeCell ref="W310:X310"/>
    <mergeCell ref="W311:X311"/>
    <mergeCell ref="W312:X312"/>
    <mergeCell ref="AV297:AW297"/>
    <mergeCell ref="AX297:AY297"/>
    <mergeCell ref="AH297:AI297"/>
    <mergeCell ref="AJ297:AK297"/>
    <mergeCell ref="AL297:AM297"/>
    <mergeCell ref="AN297:AO297"/>
    <mergeCell ref="AP297:AQ297"/>
    <mergeCell ref="AR297:AS297"/>
    <mergeCell ref="AT297:AU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Z298:BA298"/>
    <mergeCell ref="BB298:BC298"/>
    <mergeCell ref="AL298:AM298"/>
    <mergeCell ref="AN298:AO298"/>
    <mergeCell ref="AP298:AQ298"/>
    <mergeCell ref="AR298:AS298"/>
    <mergeCell ref="AT298:AU298"/>
    <mergeCell ref="AV298:AW298"/>
    <mergeCell ref="AX298:AY298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BJ296:BK296"/>
    <mergeCell ref="BL296:BM296"/>
    <mergeCell ref="BN296:BO296"/>
    <mergeCell ref="F296:G296"/>
    <mergeCell ref="H296:I296"/>
    <mergeCell ref="J296:K296"/>
    <mergeCell ref="L296:M296"/>
    <mergeCell ref="N296:O296"/>
    <mergeCell ref="P296:Q296"/>
    <mergeCell ref="R296:S296"/>
    <mergeCell ref="AV296:AW296"/>
    <mergeCell ref="AX296:AY296"/>
    <mergeCell ref="AZ296:BA296"/>
    <mergeCell ref="BB296:BC296"/>
    <mergeCell ref="BD296:BE296"/>
    <mergeCell ref="BF296:BG296"/>
    <mergeCell ref="BH296:BI296"/>
    <mergeCell ref="F298:G298"/>
    <mergeCell ref="H298:I298"/>
    <mergeCell ref="J298:K298"/>
    <mergeCell ref="L298:M298"/>
    <mergeCell ref="N298:O298"/>
    <mergeCell ref="P298:Q298"/>
    <mergeCell ref="R298:S298"/>
    <mergeCell ref="BD297:BE297"/>
    <mergeCell ref="BD298:BE298"/>
    <mergeCell ref="BF298:BG298"/>
    <mergeCell ref="BH298:BI298"/>
    <mergeCell ref="BJ298:BK298"/>
    <mergeCell ref="BL298:BM298"/>
    <mergeCell ref="BN298:BO298"/>
    <mergeCell ref="AZ297:BA297"/>
    <mergeCell ref="BB297:BC297"/>
    <mergeCell ref="BF297:BG297"/>
    <mergeCell ref="BH297:BI297"/>
    <mergeCell ref="BJ297:BK297"/>
    <mergeCell ref="BL297:BM297"/>
    <mergeCell ref="BN297:BO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AJ299:AK299"/>
    <mergeCell ref="AL299:AM299"/>
    <mergeCell ref="AN299:AO299"/>
    <mergeCell ref="AP299:AQ299"/>
    <mergeCell ref="AR299:AS299"/>
    <mergeCell ref="AT299:AU299"/>
    <mergeCell ref="BJ299:BK299"/>
    <mergeCell ref="BL299:BM299"/>
    <mergeCell ref="BN299:BO299"/>
    <mergeCell ref="AV299:AW299"/>
    <mergeCell ref="AX299:AY299"/>
    <mergeCell ref="AZ299:BA299"/>
    <mergeCell ref="BB299:BC299"/>
    <mergeCell ref="BD299:BE299"/>
    <mergeCell ref="BF299:BG299"/>
    <mergeCell ref="BH299:BI299"/>
    <mergeCell ref="F299:G299"/>
    <mergeCell ref="H299:I299"/>
    <mergeCell ref="J299:K299"/>
    <mergeCell ref="L299:M299"/>
    <mergeCell ref="N299:O299"/>
    <mergeCell ref="P299:Q299"/>
    <mergeCell ref="R299:S299"/>
    <mergeCell ref="AV301:AW301"/>
    <mergeCell ref="AX301:AY301"/>
    <mergeCell ref="AH301:AI301"/>
    <mergeCell ref="AJ301:AK301"/>
    <mergeCell ref="AL301:AM301"/>
    <mergeCell ref="AN301:AO301"/>
    <mergeCell ref="AP301:AQ301"/>
    <mergeCell ref="AR301:AS301"/>
    <mergeCell ref="AT301:AU301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L303:AM303"/>
    <mergeCell ref="AN303:AO303"/>
    <mergeCell ref="AP303:AQ303"/>
    <mergeCell ref="AR303:AS303"/>
    <mergeCell ref="AT303:AU303"/>
    <mergeCell ref="BJ303:BK303"/>
    <mergeCell ref="BL303:BM303"/>
    <mergeCell ref="BN303:BO303"/>
    <mergeCell ref="AV303:AW303"/>
    <mergeCell ref="AX303:AY303"/>
    <mergeCell ref="AZ303:BA303"/>
    <mergeCell ref="BB303:BC303"/>
    <mergeCell ref="BD303:BE303"/>
    <mergeCell ref="BF303:BG303"/>
    <mergeCell ref="BH303:BI303"/>
    <mergeCell ref="F303:G303"/>
    <mergeCell ref="H303:I303"/>
    <mergeCell ref="J303:K303"/>
    <mergeCell ref="L303:M303"/>
    <mergeCell ref="N303:O303"/>
    <mergeCell ref="P303:Q303"/>
    <mergeCell ref="R303:S303"/>
  </mergeCells>
  <dataValidations>
    <dataValidation type="list" allowBlank="1" showErrorMessage="1" sqref="A3:A30 A65:A91 A127:A154 A192:A219 A257:A280">
      <formula1>"Да,Нет"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1.22" defaultRowHeight="15.0"/>
  <cols>
    <col customWidth="1" min="1" max="1" width="4.22"/>
    <col customWidth="1" min="2" max="2" width="3.78"/>
    <col customWidth="1" min="3" max="3" width="4.22"/>
    <col customWidth="1" min="4" max="4" width="7.56"/>
    <col customWidth="1" min="5" max="5" width="35.11"/>
    <col customWidth="1" min="6" max="65" width="3.11"/>
    <col customWidth="1" min="66" max="66" width="3.89"/>
    <col customWidth="1" min="67" max="67" width="2.78"/>
    <col customWidth="1" min="68" max="68" width="6.11"/>
    <col customWidth="1" min="69" max="69" width="7.33"/>
    <col customWidth="1" min="70" max="70" width="8.11"/>
    <col customWidth="1" min="71" max="71" width="9.22"/>
    <col customWidth="1" min="72" max="72" width="10.11"/>
    <col customWidth="1" min="73" max="73" width="7.67"/>
  </cols>
  <sheetData>
    <row r="1" ht="15.75" customHeight="1">
      <c r="A1" s="1002"/>
      <c r="B1" s="1004"/>
      <c r="C1" s="1005"/>
      <c r="D1" s="1005"/>
      <c r="E1" s="977"/>
      <c r="G1" s="677"/>
      <c r="H1" s="1007"/>
      <c r="I1" s="677"/>
      <c r="J1" s="1007"/>
      <c r="K1" s="677"/>
      <c r="L1" s="1007"/>
      <c r="M1" s="677"/>
      <c r="N1" s="1007"/>
      <c r="O1" s="13"/>
      <c r="P1" s="1007"/>
      <c r="Q1" s="677"/>
      <c r="V1" s="1012"/>
      <c r="X1" s="1012"/>
      <c r="Z1" s="63"/>
      <c r="AB1" s="63"/>
      <c r="AH1" s="1014"/>
      <c r="AJ1" s="1014"/>
      <c r="BB1" s="1190"/>
      <c r="BD1" s="1190"/>
      <c r="BF1" s="1190"/>
      <c r="BH1" s="1190"/>
      <c r="BJ1" s="1190"/>
      <c r="BN1" s="206"/>
      <c r="BO1" s="206"/>
      <c r="BP1" s="206"/>
      <c r="BQ1" s="195"/>
      <c r="BR1" s="195"/>
      <c r="BS1" s="195"/>
      <c r="BT1" s="195"/>
      <c r="BU1" s="195"/>
    </row>
    <row r="2" ht="15.75" customHeight="1">
      <c r="A2" s="1937" t="s">
        <v>1279</v>
      </c>
      <c r="B2" s="1548"/>
      <c r="C2" s="1938"/>
      <c r="D2" s="1938">
        <v>46250.0</v>
      </c>
      <c r="E2" s="1939" t="s">
        <v>3096</v>
      </c>
      <c r="F2" s="1023"/>
      <c r="G2" s="1025"/>
      <c r="H2" s="1027"/>
      <c r="I2" s="1029"/>
      <c r="J2" s="1034"/>
      <c r="K2" s="1034"/>
      <c r="L2" s="1034"/>
      <c r="M2" s="1034"/>
      <c r="N2" s="1034"/>
      <c r="O2" s="1034"/>
      <c r="P2" s="1034"/>
      <c r="Q2" s="1940"/>
      <c r="R2" s="1479"/>
      <c r="S2" s="1479"/>
      <c r="T2" s="1479"/>
      <c r="U2" s="1479"/>
      <c r="V2" s="1479"/>
      <c r="W2" s="1479"/>
      <c r="X2" s="1479"/>
      <c r="Y2" s="1479"/>
      <c r="Z2" s="1479"/>
      <c r="AA2" s="1479"/>
      <c r="AB2" s="1479"/>
      <c r="AC2" s="1479"/>
      <c r="AD2" s="1479"/>
      <c r="AE2" s="1479"/>
      <c r="AF2" s="1479"/>
      <c r="AG2" s="1479"/>
      <c r="AH2" s="1479"/>
      <c r="AI2" s="1479"/>
      <c r="AJ2" s="1479"/>
      <c r="AK2" s="1479"/>
      <c r="AL2" s="1479"/>
      <c r="AM2" s="1479"/>
      <c r="AN2" s="1479"/>
      <c r="AO2" s="1479"/>
      <c r="AP2" s="1479"/>
      <c r="AQ2" s="1479"/>
      <c r="AR2" s="1479"/>
      <c r="AS2" s="1479"/>
      <c r="AT2" s="1479"/>
      <c r="AU2" s="1479"/>
      <c r="AV2" s="1479"/>
      <c r="AW2" s="1479"/>
      <c r="AX2" s="1479"/>
      <c r="AY2" s="1479"/>
      <c r="AZ2" s="1479"/>
      <c r="BA2" s="1479"/>
      <c r="BB2" s="1479"/>
      <c r="BC2" s="1479"/>
      <c r="BD2" s="1479"/>
      <c r="BE2" s="1479"/>
      <c r="BF2" s="1479"/>
      <c r="BG2" s="1479"/>
      <c r="BH2" s="1479"/>
      <c r="BI2" s="1479"/>
      <c r="BJ2" s="1479"/>
      <c r="BK2" s="1479"/>
      <c r="BL2" s="1479"/>
      <c r="BM2" s="1479"/>
      <c r="BN2" s="1479"/>
      <c r="BO2" s="1479"/>
      <c r="BP2" s="1479"/>
      <c r="BQ2" s="1942"/>
      <c r="BR2" s="1942"/>
      <c r="BS2" s="1942"/>
      <c r="BT2" s="1943"/>
      <c r="BU2" s="1943"/>
    </row>
    <row r="3" ht="15.75" customHeight="1">
      <c r="A3" s="1693" t="s">
        <v>3069</v>
      </c>
      <c r="B3" s="1944" t="s">
        <v>1283</v>
      </c>
      <c r="C3" s="1945" t="s">
        <v>19</v>
      </c>
      <c r="D3" s="1945" t="s">
        <v>473</v>
      </c>
      <c r="E3" s="1073" t="s">
        <v>471</v>
      </c>
      <c r="F3" s="1075" t="s">
        <v>1357</v>
      </c>
      <c r="G3" s="1409" t="s">
        <v>3071</v>
      </c>
      <c r="H3" s="1075" t="s">
        <v>1287</v>
      </c>
      <c r="I3" s="1409" t="s">
        <v>1288</v>
      </c>
      <c r="J3" s="1075" t="s">
        <v>1358</v>
      </c>
      <c r="K3" s="1409" t="s">
        <v>3072</v>
      </c>
      <c r="L3" s="1075" t="s">
        <v>1359</v>
      </c>
      <c r="M3" s="1409" t="s">
        <v>3073</v>
      </c>
      <c r="N3" s="1075" t="s">
        <v>1360</v>
      </c>
      <c r="O3" s="1409" t="s">
        <v>3074</v>
      </c>
      <c r="P3" s="1075" t="s">
        <v>1361</v>
      </c>
      <c r="Q3" s="1409" t="s">
        <v>3075</v>
      </c>
      <c r="R3" s="1485" t="s">
        <v>1362</v>
      </c>
      <c r="S3" s="1560" t="s">
        <v>1298</v>
      </c>
      <c r="T3" s="1427" t="s">
        <v>1299</v>
      </c>
      <c r="U3" s="1560" t="s">
        <v>1300</v>
      </c>
      <c r="V3" s="1487" t="s">
        <v>1301</v>
      </c>
      <c r="W3" s="1560" t="s">
        <v>1302</v>
      </c>
      <c r="X3" s="1427" t="s">
        <v>1363</v>
      </c>
      <c r="Y3" s="1560" t="s">
        <v>1304</v>
      </c>
      <c r="Z3" s="1487" t="s">
        <v>1305</v>
      </c>
      <c r="AA3" s="1560" t="s">
        <v>1306</v>
      </c>
      <c r="AB3" s="1487" t="s">
        <v>1307</v>
      </c>
      <c r="AC3" s="1560" t="s">
        <v>1308</v>
      </c>
      <c r="AD3" s="1487" t="s">
        <v>1309</v>
      </c>
      <c r="AE3" s="1560" t="s">
        <v>1310</v>
      </c>
      <c r="AF3" s="1427" t="s">
        <v>1311</v>
      </c>
      <c r="AG3" s="1560" t="s">
        <v>1312</v>
      </c>
      <c r="AH3" s="1487" t="s">
        <v>1313</v>
      </c>
      <c r="AI3" s="1560" t="s">
        <v>1314</v>
      </c>
      <c r="AJ3" s="1487" t="s">
        <v>1315</v>
      </c>
      <c r="AK3" s="1560" t="s">
        <v>1316</v>
      </c>
      <c r="AL3" s="1487" t="s">
        <v>1317</v>
      </c>
      <c r="AM3" s="1560" t="s">
        <v>1318</v>
      </c>
      <c r="AN3" s="1487" t="s">
        <v>1319</v>
      </c>
      <c r="AO3" s="1560" t="s">
        <v>1320</v>
      </c>
      <c r="AP3" s="1487" t="s">
        <v>1321</v>
      </c>
      <c r="AQ3" s="1486" t="s">
        <v>1322</v>
      </c>
      <c r="AR3" s="1427" t="s">
        <v>1323</v>
      </c>
      <c r="AS3" s="1486" t="s">
        <v>1324</v>
      </c>
      <c r="AT3" s="1485" t="s">
        <v>1325</v>
      </c>
      <c r="AU3" s="1486" t="s">
        <v>1326</v>
      </c>
      <c r="AV3" s="1485" t="s">
        <v>1327</v>
      </c>
      <c r="AW3" s="1486" t="s">
        <v>1328</v>
      </c>
      <c r="AX3" s="1485" t="s">
        <v>3076</v>
      </c>
      <c r="AY3" s="1486" t="s">
        <v>3077</v>
      </c>
      <c r="AZ3" s="1485" t="s">
        <v>3078</v>
      </c>
      <c r="BA3" s="1486" t="s">
        <v>3079</v>
      </c>
      <c r="BB3" s="1485" t="s">
        <v>3080</v>
      </c>
      <c r="BC3" s="1486" t="s">
        <v>3081</v>
      </c>
      <c r="BD3" s="1485" t="s">
        <v>3082</v>
      </c>
      <c r="BE3" s="1486" t="s">
        <v>3083</v>
      </c>
      <c r="BF3" s="1485" t="s">
        <v>3084</v>
      </c>
      <c r="BG3" s="1486" t="s">
        <v>3085</v>
      </c>
      <c r="BH3" s="1485" t="s">
        <v>3086</v>
      </c>
      <c r="BI3" s="1486" t="s">
        <v>3087</v>
      </c>
      <c r="BJ3" s="1485" t="s">
        <v>3088</v>
      </c>
      <c r="BK3" s="1486" t="s">
        <v>3089</v>
      </c>
      <c r="BL3" s="1946" t="s">
        <v>1425</v>
      </c>
      <c r="BM3" s="1947" t="s">
        <v>3045</v>
      </c>
      <c r="BN3" s="1814" t="s">
        <v>3090</v>
      </c>
      <c r="BO3" s="1815" t="s">
        <v>3091</v>
      </c>
      <c r="BP3" s="1072" t="s">
        <v>1331</v>
      </c>
      <c r="BQ3" s="1168" t="s">
        <v>3092</v>
      </c>
      <c r="BR3" s="1075" t="s">
        <v>3093</v>
      </c>
      <c r="BS3" s="1075" t="s">
        <v>3094</v>
      </c>
      <c r="BT3" s="547"/>
      <c r="BU3" s="547"/>
    </row>
    <row r="4" ht="18.0" customHeight="1">
      <c r="A4" s="1565" t="s">
        <v>145</v>
      </c>
      <c r="B4" s="1259">
        <v>2762.0</v>
      </c>
      <c r="C4" s="1948">
        <v>174.0</v>
      </c>
      <c r="D4" s="1133" t="s">
        <v>3095</v>
      </c>
      <c r="E4" s="1118" t="str">
        <f>'Матрица 4 недели'!D146</f>
        <v>Запеканка творожная с курагой</v>
      </c>
      <c r="F4" s="1120">
        <v>3.0</v>
      </c>
      <c r="G4" s="1121">
        <v>3.0</v>
      </c>
      <c r="H4" s="1120">
        <v>2.0</v>
      </c>
      <c r="I4" s="1121">
        <v>2.0</v>
      </c>
      <c r="J4" s="1120">
        <v>6.0</v>
      </c>
      <c r="K4" s="1121">
        <v>6.0</v>
      </c>
      <c r="L4" s="1137">
        <v>4.0</v>
      </c>
      <c r="M4" s="1121">
        <v>4.0</v>
      </c>
      <c r="N4" s="1137">
        <v>10.0</v>
      </c>
      <c r="O4" s="1121">
        <v>10.0</v>
      </c>
      <c r="P4" s="1126">
        <v>2.0</v>
      </c>
      <c r="Q4" s="1121">
        <v>2.0</v>
      </c>
      <c r="R4" s="1120">
        <v>2.0</v>
      </c>
      <c r="S4" s="1121">
        <v>2.0</v>
      </c>
      <c r="T4" s="1126">
        <v>2.0</v>
      </c>
      <c r="U4" s="1121">
        <v>2.0</v>
      </c>
      <c r="V4" s="1126">
        <v>5.0</v>
      </c>
      <c r="W4" s="1121">
        <v>5.0</v>
      </c>
      <c r="X4" s="1126">
        <v>2.0</v>
      </c>
      <c r="Y4" s="1121">
        <v>2.0</v>
      </c>
      <c r="Z4" s="1126"/>
      <c r="AA4" s="1121"/>
      <c r="AB4" s="1120">
        <v>3.0</v>
      </c>
      <c r="AC4" s="1121">
        <v>3.0</v>
      </c>
      <c r="AD4" s="1126">
        <v>3.0</v>
      </c>
      <c r="AE4" s="1121">
        <v>3.0</v>
      </c>
      <c r="AF4" s="1126">
        <v>7.0</v>
      </c>
      <c r="AG4" s="1121">
        <v>7.0</v>
      </c>
      <c r="AH4" s="1126">
        <v>4.0</v>
      </c>
      <c r="AI4" s="1121">
        <v>4.0</v>
      </c>
      <c r="AJ4" s="1126">
        <v>3.0</v>
      </c>
      <c r="AK4" s="1121">
        <v>3.0</v>
      </c>
      <c r="AL4" s="1120">
        <v>3.0</v>
      </c>
      <c r="AM4" s="1121">
        <v>3.0</v>
      </c>
      <c r="AN4" s="1126">
        <v>10.0</v>
      </c>
      <c r="AO4" s="1121">
        <v>10.0</v>
      </c>
      <c r="AP4" s="1126">
        <v>4.0</v>
      </c>
      <c r="AQ4" s="1121">
        <v>4.0</v>
      </c>
      <c r="AR4" s="1126">
        <v>10.0</v>
      </c>
      <c r="AS4" s="1121">
        <v>10.0</v>
      </c>
      <c r="AT4" s="1126">
        <v>3.0</v>
      </c>
      <c r="AU4" s="1121">
        <v>3.0</v>
      </c>
      <c r="AV4" s="1126">
        <v>4.0</v>
      </c>
      <c r="AW4" s="1121">
        <v>4.0</v>
      </c>
      <c r="AX4" s="1126">
        <v>6.0</v>
      </c>
      <c r="AY4" s="1121">
        <v>6.0</v>
      </c>
      <c r="AZ4" s="1126">
        <v>3.0</v>
      </c>
      <c r="BA4" s="1121">
        <v>3.0</v>
      </c>
      <c r="BB4" s="1126">
        <v>4.0</v>
      </c>
      <c r="BC4" s="1121">
        <v>4.0</v>
      </c>
      <c r="BD4" s="1126">
        <v>3.0</v>
      </c>
      <c r="BE4" s="1121">
        <v>3.0</v>
      </c>
      <c r="BF4" s="1126">
        <v>3.0</v>
      </c>
      <c r="BG4" s="1121">
        <v>3.0</v>
      </c>
      <c r="BH4" s="1126">
        <v>6.0</v>
      </c>
      <c r="BI4" s="1121">
        <v>6.0</v>
      </c>
      <c r="BJ4" s="1126">
        <v>4.0</v>
      </c>
      <c r="BK4" s="1121">
        <v>4.0</v>
      </c>
      <c r="BL4" s="1120"/>
      <c r="BM4" s="1121"/>
      <c r="BN4" s="900"/>
      <c r="BO4" s="1170"/>
      <c r="BP4" s="900">
        <f t="shared" ref="BP4:BP32" si="1">(F4+H4+J4+L4+N4+P4+R4+T4+V4+X4+Z4+AB4+AD4+AF4+AH4+AJ4+AL4+AN4+BL4+AP4+AR4+AT4+AV4+AX4+AZ4+BB4+BD4+BF4+BH4+BJ4)+1</f>
        <v>122</v>
      </c>
      <c r="BQ4" s="1571">
        <f t="shared" ref="BQ4:BQ32" si="2">G4+I4+K4+M4+O4+Q4+S4+U4+W4+Y4+AA4+AE4+AC4+AG4+AI4+AK4+AM4+AS4+BM4+AO4+AQ4+AU4+AW4+AY4+BA4+BC4+BE4+BG4+BI4+BK4</f>
        <v>121</v>
      </c>
      <c r="BR4" s="1949"/>
      <c r="BS4" s="1106">
        <f t="shared" ref="BS4:BS32" si="3">C4*BP4</f>
        <v>21228</v>
      </c>
      <c r="BT4" s="23"/>
      <c r="BU4" s="23"/>
    </row>
    <row r="5" ht="18.0" customHeight="1">
      <c r="A5" s="1565" t="s">
        <v>145</v>
      </c>
      <c r="B5" s="1259">
        <v>1076.0</v>
      </c>
      <c r="C5" s="1948">
        <v>95.0</v>
      </c>
      <c r="D5" s="1133" t="s">
        <v>3095</v>
      </c>
      <c r="E5" s="1118" t="str">
        <f>'Матрица 4 недели'!D147</f>
        <v>Омлет с ветчиной</v>
      </c>
      <c r="F5" s="1120">
        <v>2.0</v>
      </c>
      <c r="G5" s="1121">
        <v>2.0</v>
      </c>
      <c r="H5" s="1120">
        <v>2.0</v>
      </c>
      <c r="I5" s="1121">
        <v>2.0</v>
      </c>
      <c r="J5" s="1120">
        <v>6.0</v>
      </c>
      <c r="K5" s="1121">
        <v>6.0</v>
      </c>
      <c r="L5" s="1137">
        <v>4.0</v>
      </c>
      <c r="M5" s="1121">
        <v>4.0</v>
      </c>
      <c r="N5" s="1137">
        <v>4.0</v>
      </c>
      <c r="O5" s="1121">
        <v>4.0</v>
      </c>
      <c r="P5" s="1126">
        <v>2.0</v>
      </c>
      <c r="Q5" s="1121">
        <v>2.0</v>
      </c>
      <c r="R5" s="1120">
        <v>3.0</v>
      </c>
      <c r="S5" s="1121">
        <v>3.0</v>
      </c>
      <c r="T5" s="1126">
        <v>6.0</v>
      </c>
      <c r="U5" s="1121">
        <v>6.0</v>
      </c>
      <c r="V5" s="1126">
        <v>3.0</v>
      </c>
      <c r="W5" s="1121">
        <v>3.0</v>
      </c>
      <c r="X5" s="1126">
        <v>2.0</v>
      </c>
      <c r="Y5" s="1121">
        <v>2.0</v>
      </c>
      <c r="Z5" s="1126"/>
      <c r="AA5" s="1121"/>
      <c r="AB5" s="1120">
        <v>4.0</v>
      </c>
      <c r="AC5" s="1121">
        <v>4.0</v>
      </c>
      <c r="AD5" s="1126">
        <v>3.0</v>
      </c>
      <c r="AE5" s="1121">
        <v>3.0</v>
      </c>
      <c r="AF5" s="1126">
        <v>5.0</v>
      </c>
      <c r="AG5" s="1121">
        <v>5.0</v>
      </c>
      <c r="AH5" s="1126">
        <v>6.0</v>
      </c>
      <c r="AI5" s="1121">
        <v>6.0</v>
      </c>
      <c r="AJ5" s="1126">
        <v>5.0</v>
      </c>
      <c r="AK5" s="1121">
        <v>5.0</v>
      </c>
      <c r="AL5" s="1120">
        <v>3.0</v>
      </c>
      <c r="AM5" s="1121">
        <v>3.0</v>
      </c>
      <c r="AN5" s="1126">
        <v>10.0</v>
      </c>
      <c r="AO5" s="1121">
        <v>10.0</v>
      </c>
      <c r="AP5" s="1126">
        <v>4.0</v>
      </c>
      <c r="AQ5" s="1138">
        <v>4.0</v>
      </c>
      <c r="AR5" s="1126">
        <v>8.0</v>
      </c>
      <c r="AS5" s="1138">
        <v>8.0</v>
      </c>
      <c r="AT5" s="1126">
        <v>1.0</v>
      </c>
      <c r="AU5" s="1138">
        <v>1.0</v>
      </c>
      <c r="AV5" s="1126">
        <v>4.0</v>
      </c>
      <c r="AW5" s="1138">
        <v>4.0</v>
      </c>
      <c r="AX5" s="1126">
        <v>6.0</v>
      </c>
      <c r="AY5" s="1138">
        <v>6.0</v>
      </c>
      <c r="AZ5" s="1126">
        <v>1.0</v>
      </c>
      <c r="BA5" s="1138">
        <v>1.0</v>
      </c>
      <c r="BB5" s="1126">
        <v>2.0</v>
      </c>
      <c r="BC5" s="1138">
        <v>2.0</v>
      </c>
      <c r="BD5" s="1126">
        <v>3.0</v>
      </c>
      <c r="BE5" s="1138">
        <v>3.0</v>
      </c>
      <c r="BF5" s="1126">
        <v>5.0</v>
      </c>
      <c r="BG5" s="1138">
        <v>5.0</v>
      </c>
      <c r="BH5" s="1126">
        <v>6.0</v>
      </c>
      <c r="BI5" s="1138">
        <v>6.0</v>
      </c>
      <c r="BJ5" s="1126">
        <v>5.0</v>
      </c>
      <c r="BK5" s="1138">
        <v>5.0</v>
      </c>
      <c r="BL5" s="1120"/>
      <c r="BM5" s="1132"/>
      <c r="BN5" s="1087"/>
      <c r="BO5" s="1737"/>
      <c r="BP5" s="900">
        <f t="shared" si="1"/>
        <v>116</v>
      </c>
      <c r="BQ5" s="1571">
        <f t="shared" si="2"/>
        <v>115</v>
      </c>
      <c r="BR5" s="1949">
        <f t="shared" ref="BR5:BR19" si="4">C5*BQ5</f>
        <v>10925</v>
      </c>
      <c r="BS5" s="1106">
        <f t="shared" si="3"/>
        <v>11020</v>
      </c>
      <c r="BT5" s="23"/>
      <c r="BU5" s="23"/>
    </row>
    <row r="6" ht="18.0" customHeight="1">
      <c r="A6" s="1565" t="s">
        <v>145</v>
      </c>
      <c r="B6" s="1259">
        <v>138.0</v>
      </c>
      <c r="C6" s="1948">
        <v>83.0</v>
      </c>
      <c r="D6" s="1133" t="s">
        <v>3095</v>
      </c>
      <c r="E6" s="1118" t="str">
        <f>'Матрица 4 недели'!D148</f>
        <v>Каша рисовая (на молоке)</v>
      </c>
      <c r="F6" s="1120">
        <v>4.0</v>
      </c>
      <c r="G6" s="1121">
        <v>4.0</v>
      </c>
      <c r="H6" s="1120">
        <v>2.0</v>
      </c>
      <c r="I6" s="1121">
        <v>2.0</v>
      </c>
      <c r="J6" s="1120">
        <v>4.0</v>
      </c>
      <c r="K6" s="1121">
        <v>4.0</v>
      </c>
      <c r="L6" s="1137">
        <v>3.0</v>
      </c>
      <c r="M6" s="1121">
        <v>3.0</v>
      </c>
      <c r="N6" s="1137">
        <v>3.0</v>
      </c>
      <c r="O6" s="1121">
        <v>3.0</v>
      </c>
      <c r="P6" s="1126">
        <v>6.0</v>
      </c>
      <c r="Q6" s="1121">
        <v>6.0</v>
      </c>
      <c r="R6" s="1120">
        <v>0.0</v>
      </c>
      <c r="S6" s="1121">
        <v>0.0</v>
      </c>
      <c r="T6" s="1126">
        <v>3.0</v>
      </c>
      <c r="U6" s="1121">
        <v>3.0</v>
      </c>
      <c r="V6" s="1126">
        <v>2.0</v>
      </c>
      <c r="W6" s="1121">
        <v>2.0</v>
      </c>
      <c r="X6" s="1126">
        <v>3.0</v>
      </c>
      <c r="Y6" s="1121">
        <v>3.0</v>
      </c>
      <c r="Z6" s="1126"/>
      <c r="AA6" s="1121"/>
      <c r="AB6" s="1120">
        <v>0.0</v>
      </c>
      <c r="AC6" s="1121">
        <v>0.0</v>
      </c>
      <c r="AD6" s="1126">
        <v>2.0</v>
      </c>
      <c r="AE6" s="1121">
        <v>2.0</v>
      </c>
      <c r="AF6" s="1126">
        <v>3.0</v>
      </c>
      <c r="AG6" s="1121">
        <v>3.0</v>
      </c>
      <c r="AH6" s="1126">
        <v>4.0</v>
      </c>
      <c r="AI6" s="1121">
        <v>4.0</v>
      </c>
      <c r="AJ6" s="1126">
        <v>2.0</v>
      </c>
      <c r="AK6" s="1121">
        <v>2.0</v>
      </c>
      <c r="AL6" s="1120">
        <v>2.0</v>
      </c>
      <c r="AM6" s="1121">
        <v>2.0</v>
      </c>
      <c r="AN6" s="1126">
        <v>10.0</v>
      </c>
      <c r="AO6" s="1121">
        <v>10.0</v>
      </c>
      <c r="AP6" s="1126">
        <v>2.0</v>
      </c>
      <c r="AQ6" s="1121">
        <v>2.0</v>
      </c>
      <c r="AR6" s="1126">
        <v>3.0</v>
      </c>
      <c r="AS6" s="1121">
        <v>3.0</v>
      </c>
      <c r="AT6" s="1126">
        <v>0.0</v>
      </c>
      <c r="AU6" s="1121">
        <v>0.0</v>
      </c>
      <c r="AV6" s="1126">
        <v>2.0</v>
      </c>
      <c r="AW6" s="1121">
        <v>2.0</v>
      </c>
      <c r="AX6" s="1126">
        <v>2.0</v>
      </c>
      <c r="AY6" s="1121">
        <v>2.0</v>
      </c>
      <c r="AZ6" s="1126">
        <v>3.0</v>
      </c>
      <c r="BA6" s="1121">
        <v>3.0</v>
      </c>
      <c r="BB6" s="1126">
        <v>2.0</v>
      </c>
      <c r="BC6" s="1121">
        <v>2.0</v>
      </c>
      <c r="BD6" s="1126">
        <v>1.0</v>
      </c>
      <c r="BE6" s="1121">
        <v>1.0</v>
      </c>
      <c r="BF6" s="1126">
        <v>1.0</v>
      </c>
      <c r="BG6" s="1121">
        <v>1.0</v>
      </c>
      <c r="BH6" s="1126">
        <v>2.0</v>
      </c>
      <c r="BI6" s="1121">
        <v>2.0</v>
      </c>
      <c r="BJ6" s="1126">
        <v>1.0</v>
      </c>
      <c r="BK6" s="1121">
        <v>1.0</v>
      </c>
      <c r="BL6" s="1120"/>
      <c r="BM6" s="1121"/>
      <c r="BN6" s="900"/>
      <c r="BO6" s="1170"/>
      <c r="BP6" s="900">
        <f t="shared" si="1"/>
        <v>73</v>
      </c>
      <c r="BQ6" s="1571">
        <f t="shared" si="2"/>
        <v>72</v>
      </c>
      <c r="BR6" s="1949">
        <f t="shared" si="4"/>
        <v>5976</v>
      </c>
      <c r="BS6" s="1106">
        <f t="shared" si="3"/>
        <v>6059</v>
      </c>
      <c r="BT6" s="23"/>
      <c r="BU6" s="23"/>
    </row>
    <row r="7" ht="18.0" customHeight="1">
      <c r="A7" s="1565" t="s">
        <v>145</v>
      </c>
      <c r="B7" s="1259">
        <v>3147.0</v>
      </c>
      <c r="C7" s="1948">
        <v>98.0</v>
      </c>
      <c r="D7" s="1133" t="s">
        <v>70</v>
      </c>
      <c r="E7" s="1118" t="str">
        <f>'Матрица 4 недели'!G146</f>
        <v>Салат ''Столичный'' (филе кур)</v>
      </c>
      <c r="F7" s="1126">
        <v>4.0</v>
      </c>
      <c r="G7" s="1121">
        <v>4.0</v>
      </c>
      <c r="H7" s="1120">
        <v>2.0</v>
      </c>
      <c r="I7" s="1121">
        <v>2.0</v>
      </c>
      <c r="J7" s="1120">
        <v>2.0</v>
      </c>
      <c r="K7" s="1121">
        <v>2.0</v>
      </c>
      <c r="L7" s="1126">
        <v>4.0</v>
      </c>
      <c r="M7" s="1121">
        <v>4.0</v>
      </c>
      <c r="N7" s="1120">
        <v>6.0</v>
      </c>
      <c r="O7" s="1121">
        <v>6.0</v>
      </c>
      <c r="P7" s="1126">
        <v>3.0</v>
      </c>
      <c r="Q7" s="1121">
        <v>3.0</v>
      </c>
      <c r="R7" s="1126">
        <v>0.0</v>
      </c>
      <c r="S7" s="1121">
        <v>0.0</v>
      </c>
      <c r="T7" s="1120">
        <v>2.0</v>
      </c>
      <c r="U7" s="1121">
        <v>2.0</v>
      </c>
      <c r="V7" s="1120">
        <v>3.0</v>
      </c>
      <c r="W7" s="1121">
        <v>3.0</v>
      </c>
      <c r="X7" s="1120">
        <v>2.0</v>
      </c>
      <c r="Y7" s="1121">
        <v>2.0</v>
      </c>
      <c r="Z7" s="1120"/>
      <c r="AA7" s="1121"/>
      <c r="AB7" s="1126">
        <v>2.0</v>
      </c>
      <c r="AC7" s="1121">
        <v>2.0</v>
      </c>
      <c r="AD7" s="1120">
        <v>3.0</v>
      </c>
      <c r="AE7" s="1121">
        <v>3.0</v>
      </c>
      <c r="AF7" s="1126">
        <v>2.0</v>
      </c>
      <c r="AG7" s="1121">
        <v>2.0</v>
      </c>
      <c r="AH7" s="1126">
        <v>2.0</v>
      </c>
      <c r="AI7" s="1121">
        <v>2.0</v>
      </c>
      <c r="AJ7" s="1120">
        <v>2.0</v>
      </c>
      <c r="AK7" s="1127">
        <v>2.0</v>
      </c>
      <c r="AL7" s="1120">
        <v>2.0</v>
      </c>
      <c r="AM7" s="1127">
        <v>2.0</v>
      </c>
      <c r="AN7" s="1126">
        <v>10.0</v>
      </c>
      <c r="AO7" s="1121">
        <v>10.0</v>
      </c>
      <c r="AP7" s="1126">
        <v>2.0</v>
      </c>
      <c r="AQ7" s="1121">
        <v>2.0</v>
      </c>
      <c r="AR7" s="1126">
        <v>4.0</v>
      </c>
      <c r="AS7" s="1121">
        <v>4.0</v>
      </c>
      <c r="AT7" s="1126">
        <v>2.0</v>
      </c>
      <c r="AU7" s="1127">
        <v>2.0</v>
      </c>
      <c r="AV7" s="1126">
        <v>2.0</v>
      </c>
      <c r="AW7" s="1127">
        <v>2.0</v>
      </c>
      <c r="AX7" s="1126">
        <v>3.0</v>
      </c>
      <c r="AY7" s="1127">
        <v>3.0</v>
      </c>
      <c r="AZ7" s="1126">
        <v>2.0</v>
      </c>
      <c r="BA7" s="1127">
        <v>2.0</v>
      </c>
      <c r="BB7" s="1126">
        <v>2.0</v>
      </c>
      <c r="BC7" s="1127">
        <v>2.0</v>
      </c>
      <c r="BD7" s="1126">
        <v>2.0</v>
      </c>
      <c r="BE7" s="1127">
        <v>2.0</v>
      </c>
      <c r="BF7" s="1126">
        <v>4.0</v>
      </c>
      <c r="BG7" s="1127">
        <v>4.0</v>
      </c>
      <c r="BH7" s="1126">
        <v>2.0</v>
      </c>
      <c r="BI7" s="1127">
        <v>2.0</v>
      </c>
      <c r="BJ7" s="1126">
        <v>2.0</v>
      </c>
      <c r="BK7" s="1127">
        <v>2.0</v>
      </c>
      <c r="BL7" s="1134">
        <v>50.0</v>
      </c>
      <c r="BM7" s="1121">
        <v>50.0</v>
      </c>
      <c r="BN7" s="900"/>
      <c r="BO7" s="1170"/>
      <c r="BP7" s="900">
        <f t="shared" si="1"/>
        <v>129</v>
      </c>
      <c r="BQ7" s="1571">
        <f t="shared" si="2"/>
        <v>128</v>
      </c>
      <c r="BR7" s="1949">
        <f t="shared" si="4"/>
        <v>12544</v>
      </c>
      <c r="BS7" s="1106">
        <f t="shared" si="3"/>
        <v>12642</v>
      </c>
      <c r="BT7" s="23"/>
      <c r="BU7" s="23"/>
    </row>
    <row r="8" ht="18.0" customHeight="1">
      <c r="A8" s="1565" t="s">
        <v>145</v>
      </c>
      <c r="B8" s="1259">
        <v>3165.0</v>
      </c>
      <c r="C8" s="1948">
        <v>98.0</v>
      </c>
      <c r="D8" s="1133" t="s">
        <v>70</v>
      </c>
      <c r="E8" s="1118" t="str">
        <f>'Матрица 4 недели'!G147</f>
        <v>Салат ''Красное море'' (крабовые палочки)</v>
      </c>
      <c r="F8" s="1120">
        <v>5.0</v>
      </c>
      <c r="G8" s="1121">
        <v>6.0</v>
      </c>
      <c r="H8" s="1120">
        <v>4.0</v>
      </c>
      <c r="I8" s="1121">
        <v>4.0</v>
      </c>
      <c r="J8" s="1126">
        <v>4.0</v>
      </c>
      <c r="K8" s="1121">
        <v>4.0</v>
      </c>
      <c r="L8" s="1126">
        <v>2.0</v>
      </c>
      <c r="M8" s="1121">
        <v>2.0</v>
      </c>
      <c r="N8" s="1126">
        <v>7.0</v>
      </c>
      <c r="O8" s="1121">
        <v>8.0</v>
      </c>
      <c r="P8" s="1126">
        <v>5.0</v>
      </c>
      <c r="Q8" s="1121">
        <v>6.0</v>
      </c>
      <c r="R8" s="1126">
        <v>4.0</v>
      </c>
      <c r="S8" s="1121">
        <v>4.0</v>
      </c>
      <c r="T8" s="1126">
        <v>2.0</v>
      </c>
      <c r="U8" s="1121">
        <v>2.0</v>
      </c>
      <c r="V8" s="1126">
        <v>2.0</v>
      </c>
      <c r="W8" s="1121">
        <v>2.0</v>
      </c>
      <c r="X8" s="1126">
        <v>2.0</v>
      </c>
      <c r="Y8" s="1121">
        <v>2.0</v>
      </c>
      <c r="Z8" s="1126"/>
      <c r="AA8" s="1121"/>
      <c r="AB8" s="1126">
        <v>2.0</v>
      </c>
      <c r="AC8" s="1121">
        <v>2.0</v>
      </c>
      <c r="AD8" s="1126">
        <v>3.0</v>
      </c>
      <c r="AE8" s="1121">
        <v>3.0</v>
      </c>
      <c r="AF8" s="1126">
        <v>6.0</v>
      </c>
      <c r="AG8" s="1121">
        <v>6.0</v>
      </c>
      <c r="AH8" s="1126">
        <v>2.0</v>
      </c>
      <c r="AI8" s="1121">
        <v>2.0</v>
      </c>
      <c r="AJ8" s="1126">
        <v>4.0</v>
      </c>
      <c r="AK8" s="1121">
        <v>4.0</v>
      </c>
      <c r="AL8" s="1126">
        <v>4.0</v>
      </c>
      <c r="AM8" s="1121">
        <v>4.0</v>
      </c>
      <c r="AN8" s="1126">
        <v>10.0</v>
      </c>
      <c r="AO8" s="1121">
        <v>10.0</v>
      </c>
      <c r="AP8" s="1126">
        <v>3.0</v>
      </c>
      <c r="AQ8" s="1121">
        <v>3.0</v>
      </c>
      <c r="AR8" s="1126">
        <v>9.0</v>
      </c>
      <c r="AS8" s="1121">
        <v>9.0</v>
      </c>
      <c r="AT8" s="1126">
        <v>6.0</v>
      </c>
      <c r="AU8" s="1121">
        <v>7.0</v>
      </c>
      <c r="AV8" s="1126">
        <v>5.0</v>
      </c>
      <c r="AW8" s="1121">
        <v>5.0</v>
      </c>
      <c r="AX8" s="1126">
        <v>8.0</v>
      </c>
      <c r="AY8" s="1121">
        <v>8.0</v>
      </c>
      <c r="AZ8" s="1126">
        <v>2.0</v>
      </c>
      <c r="BA8" s="1121">
        <v>2.0</v>
      </c>
      <c r="BB8" s="1126">
        <v>2.0</v>
      </c>
      <c r="BC8" s="1121">
        <v>2.0</v>
      </c>
      <c r="BD8" s="1126">
        <v>3.0</v>
      </c>
      <c r="BE8" s="1121">
        <v>3.0</v>
      </c>
      <c r="BF8" s="1126">
        <v>3.0</v>
      </c>
      <c r="BG8" s="1121">
        <v>3.0</v>
      </c>
      <c r="BH8" s="1126">
        <v>2.0</v>
      </c>
      <c r="BI8" s="1127">
        <v>2.0</v>
      </c>
      <c r="BJ8" s="1126">
        <v>5.0</v>
      </c>
      <c r="BK8" s="1127">
        <v>5.0</v>
      </c>
      <c r="BL8" s="1134">
        <v>50.0</v>
      </c>
      <c r="BM8" s="1135">
        <v>50.0</v>
      </c>
      <c r="BN8" s="1087"/>
      <c r="BO8" s="1737"/>
      <c r="BP8" s="900">
        <f t="shared" si="1"/>
        <v>167</v>
      </c>
      <c r="BQ8" s="1571">
        <f t="shared" si="2"/>
        <v>170</v>
      </c>
      <c r="BR8" s="1949">
        <f t="shared" si="4"/>
        <v>16660</v>
      </c>
      <c r="BS8" s="1106">
        <f t="shared" si="3"/>
        <v>16366</v>
      </c>
      <c r="BT8" s="23"/>
      <c r="BU8" s="23"/>
    </row>
    <row r="9" ht="18.0" customHeight="1">
      <c r="A9" s="1565" t="s">
        <v>145</v>
      </c>
      <c r="B9" s="1259">
        <v>2686.0</v>
      </c>
      <c r="C9" s="1948">
        <v>98.0</v>
      </c>
      <c r="D9" s="1133" t="s">
        <v>70</v>
      </c>
      <c r="E9" s="1118" t="str">
        <f>'Матрица 4 недели'!G148</f>
        <v>Салат ''Коул Слоу'' 120 гр</v>
      </c>
      <c r="F9" s="1126">
        <v>6.0</v>
      </c>
      <c r="G9" s="1121">
        <v>6.0</v>
      </c>
      <c r="H9" s="1120">
        <v>1.0</v>
      </c>
      <c r="I9" s="1121">
        <v>1.0</v>
      </c>
      <c r="J9" s="1120">
        <v>3.0</v>
      </c>
      <c r="K9" s="1121">
        <v>3.0</v>
      </c>
      <c r="L9" s="1126">
        <v>4.0</v>
      </c>
      <c r="M9" s="1121">
        <v>4.0</v>
      </c>
      <c r="N9" s="1120">
        <v>6.0</v>
      </c>
      <c r="O9" s="1121">
        <v>6.0</v>
      </c>
      <c r="P9" s="1126">
        <v>7.0</v>
      </c>
      <c r="Q9" s="1121">
        <v>7.0</v>
      </c>
      <c r="R9" s="1126">
        <v>1.0</v>
      </c>
      <c r="S9" s="1121">
        <v>1.0</v>
      </c>
      <c r="T9" s="1120">
        <v>2.0</v>
      </c>
      <c r="U9" s="1121">
        <v>2.0</v>
      </c>
      <c r="V9" s="1120">
        <v>2.0</v>
      </c>
      <c r="W9" s="1121">
        <v>2.0</v>
      </c>
      <c r="X9" s="1120">
        <v>2.0</v>
      </c>
      <c r="Y9" s="1121">
        <v>2.0</v>
      </c>
      <c r="Z9" s="1120"/>
      <c r="AA9" s="1121"/>
      <c r="AB9" s="1126">
        <v>2.0</v>
      </c>
      <c r="AC9" s="1121">
        <v>2.0</v>
      </c>
      <c r="AD9" s="1126">
        <v>2.0</v>
      </c>
      <c r="AE9" s="1121">
        <v>2.0</v>
      </c>
      <c r="AF9" s="1126">
        <v>2.0</v>
      </c>
      <c r="AG9" s="1121">
        <v>2.0</v>
      </c>
      <c r="AH9" s="1126">
        <v>3.0</v>
      </c>
      <c r="AI9" s="1121">
        <v>3.0</v>
      </c>
      <c r="AJ9" s="1120">
        <v>2.0</v>
      </c>
      <c r="AK9" s="1127">
        <v>2.0</v>
      </c>
      <c r="AL9" s="1120">
        <v>2.0</v>
      </c>
      <c r="AM9" s="1127">
        <v>2.0</v>
      </c>
      <c r="AN9" s="1126">
        <v>10.0</v>
      </c>
      <c r="AO9" s="1121">
        <v>10.0</v>
      </c>
      <c r="AP9" s="1126">
        <v>1.0</v>
      </c>
      <c r="AQ9" s="1121">
        <v>1.0</v>
      </c>
      <c r="AR9" s="1126">
        <v>8.0</v>
      </c>
      <c r="AS9" s="1121">
        <v>8.0</v>
      </c>
      <c r="AT9" s="1126">
        <v>3.0</v>
      </c>
      <c r="AU9" s="1121">
        <v>3.0</v>
      </c>
      <c r="AV9" s="1126">
        <v>2.0</v>
      </c>
      <c r="AW9" s="1121">
        <v>2.0</v>
      </c>
      <c r="AX9" s="1126">
        <v>4.0</v>
      </c>
      <c r="AY9" s="1121">
        <v>4.0</v>
      </c>
      <c r="AZ9" s="1126">
        <v>2.0</v>
      </c>
      <c r="BA9" s="1121">
        <v>2.0</v>
      </c>
      <c r="BB9" s="1126">
        <v>2.0</v>
      </c>
      <c r="BC9" s="1121">
        <v>2.0</v>
      </c>
      <c r="BD9" s="1126">
        <v>0.0</v>
      </c>
      <c r="BE9" s="1121">
        <v>0.0</v>
      </c>
      <c r="BF9" s="1126">
        <v>4.0</v>
      </c>
      <c r="BG9" s="1121">
        <v>4.0</v>
      </c>
      <c r="BH9" s="1126">
        <v>2.0</v>
      </c>
      <c r="BI9" s="1138">
        <v>2.0</v>
      </c>
      <c r="BJ9" s="1126">
        <v>5.0</v>
      </c>
      <c r="BK9" s="1121">
        <v>5.0</v>
      </c>
      <c r="BL9" s="1139">
        <v>30.0</v>
      </c>
      <c r="BM9" s="1138">
        <v>30.0</v>
      </c>
      <c r="BN9" s="1087">
        <v>5.0</v>
      </c>
      <c r="BO9" s="1737">
        <v>5.0</v>
      </c>
      <c r="BP9" s="900">
        <f t="shared" si="1"/>
        <v>121</v>
      </c>
      <c r="BQ9" s="1571">
        <f t="shared" si="2"/>
        <v>120</v>
      </c>
      <c r="BR9" s="1949">
        <f t="shared" si="4"/>
        <v>11760</v>
      </c>
      <c r="BS9" s="1106">
        <f t="shared" si="3"/>
        <v>11858</v>
      </c>
      <c r="BT9" s="23"/>
      <c r="BU9" s="23"/>
    </row>
    <row r="10" ht="16.5" customHeight="1">
      <c r="A10" s="1565" t="s">
        <v>145</v>
      </c>
      <c r="B10" s="1259">
        <v>3306.0</v>
      </c>
      <c r="C10" s="1952">
        <v>237.0</v>
      </c>
      <c r="D10" s="1629" t="s">
        <v>70</v>
      </c>
      <c r="E10" s="1118" t="str">
        <f>'Матрица 4 недели'!G149</f>
        <v>Боул с курицей, бобами эдамаме и овощами</v>
      </c>
      <c r="F10" s="1137">
        <v>5.0</v>
      </c>
      <c r="G10" s="1138">
        <v>5.0</v>
      </c>
      <c r="H10" s="1126">
        <v>2.0</v>
      </c>
      <c r="I10" s="1138">
        <v>2.0</v>
      </c>
      <c r="J10" s="1126">
        <v>2.0</v>
      </c>
      <c r="K10" s="1138">
        <v>2.0</v>
      </c>
      <c r="L10" s="1126">
        <v>2.0</v>
      </c>
      <c r="M10" s="1138">
        <v>2.0</v>
      </c>
      <c r="N10" s="1126">
        <v>2.0</v>
      </c>
      <c r="O10" s="1138">
        <v>2.0</v>
      </c>
      <c r="P10" s="1126">
        <v>3.0</v>
      </c>
      <c r="Q10" s="1121">
        <v>3.0</v>
      </c>
      <c r="R10" s="1126">
        <v>0.0</v>
      </c>
      <c r="S10" s="1121">
        <v>0.0</v>
      </c>
      <c r="T10" s="1126">
        <v>2.0</v>
      </c>
      <c r="U10" s="1121">
        <v>2.0</v>
      </c>
      <c r="V10" s="1126">
        <v>2.0</v>
      </c>
      <c r="W10" s="1121">
        <v>2.0</v>
      </c>
      <c r="X10" s="1126">
        <v>2.0</v>
      </c>
      <c r="Y10" s="1121">
        <v>2.0</v>
      </c>
      <c r="Z10" s="1126"/>
      <c r="AA10" s="1121"/>
      <c r="AB10" s="1126">
        <v>2.0</v>
      </c>
      <c r="AC10" s="1121">
        <v>2.0</v>
      </c>
      <c r="AD10" s="1126">
        <v>0.0</v>
      </c>
      <c r="AE10" s="1121">
        <v>0.0</v>
      </c>
      <c r="AF10" s="1126">
        <v>2.0</v>
      </c>
      <c r="AG10" s="1121">
        <v>2.0</v>
      </c>
      <c r="AH10" s="1126">
        <v>4.0</v>
      </c>
      <c r="AI10" s="1121">
        <v>4.0</v>
      </c>
      <c r="AJ10" s="1126">
        <v>2.0</v>
      </c>
      <c r="AK10" s="1121">
        <v>2.0</v>
      </c>
      <c r="AL10" s="1126">
        <v>3.0</v>
      </c>
      <c r="AM10" s="1121">
        <v>3.0</v>
      </c>
      <c r="AN10" s="1126">
        <v>6.0</v>
      </c>
      <c r="AO10" s="1138">
        <v>6.0</v>
      </c>
      <c r="AP10" s="1126">
        <v>3.0</v>
      </c>
      <c r="AQ10" s="1138">
        <v>3.0</v>
      </c>
      <c r="AR10" s="1126">
        <v>4.0</v>
      </c>
      <c r="AS10" s="1138">
        <v>4.0</v>
      </c>
      <c r="AT10" s="1126">
        <v>3.0</v>
      </c>
      <c r="AU10" s="1138">
        <v>3.0</v>
      </c>
      <c r="AV10" s="1126">
        <v>2.0</v>
      </c>
      <c r="AW10" s="1138">
        <v>2.0</v>
      </c>
      <c r="AX10" s="1126">
        <v>3.0</v>
      </c>
      <c r="AY10" s="1138">
        <v>3.0</v>
      </c>
      <c r="AZ10" s="1126">
        <v>3.0</v>
      </c>
      <c r="BA10" s="1138">
        <v>3.0</v>
      </c>
      <c r="BB10" s="1126">
        <v>5.0</v>
      </c>
      <c r="BC10" s="1138">
        <v>5.0</v>
      </c>
      <c r="BD10" s="1126">
        <v>2.0</v>
      </c>
      <c r="BE10" s="1138">
        <v>2.0</v>
      </c>
      <c r="BF10" s="1126">
        <v>3.0</v>
      </c>
      <c r="BG10" s="1138">
        <v>3.0</v>
      </c>
      <c r="BH10" s="1126">
        <v>5.0</v>
      </c>
      <c r="BI10" s="1138">
        <v>5.0</v>
      </c>
      <c r="BJ10" s="1126">
        <v>5.0</v>
      </c>
      <c r="BK10" s="1138">
        <v>5.0</v>
      </c>
      <c r="BL10" s="1134"/>
      <c r="BM10" s="1121"/>
      <c r="BN10" s="900"/>
      <c r="BO10" s="1170"/>
      <c r="BP10" s="900">
        <f t="shared" si="1"/>
        <v>80</v>
      </c>
      <c r="BQ10" s="1571">
        <f t="shared" si="2"/>
        <v>79</v>
      </c>
      <c r="BR10" s="1949">
        <f t="shared" si="4"/>
        <v>18723</v>
      </c>
      <c r="BS10" s="1106">
        <f t="shared" si="3"/>
        <v>18960</v>
      </c>
      <c r="BT10" s="23"/>
      <c r="BU10" s="23"/>
    </row>
    <row r="11" ht="16.5" customHeight="1">
      <c r="A11" s="1565"/>
      <c r="B11" s="1259">
        <v>793.0</v>
      </c>
      <c r="C11" s="1948">
        <v>106.0</v>
      </c>
      <c r="D11" s="1133" t="s">
        <v>74</v>
      </c>
      <c r="E11" s="1118" t="str">
        <f>'Матрица 4 недели'!J146</f>
        <v>Борщ с курицей</v>
      </c>
      <c r="F11" s="1120"/>
      <c r="G11" s="1121"/>
      <c r="H11" s="1120"/>
      <c r="I11" s="1121"/>
      <c r="J11" s="1126"/>
      <c r="K11" s="1121"/>
      <c r="L11" s="1126"/>
      <c r="M11" s="1121"/>
      <c r="N11" s="1120"/>
      <c r="O11" s="1121"/>
      <c r="P11" s="1120"/>
      <c r="Q11" s="1121"/>
      <c r="R11" s="1126"/>
      <c r="S11" s="1121"/>
      <c r="T11" s="1126"/>
      <c r="U11" s="1121"/>
      <c r="V11" s="1126"/>
      <c r="W11" s="1121"/>
      <c r="X11" s="1126"/>
      <c r="Y11" s="1121"/>
      <c r="Z11" s="1120"/>
      <c r="AA11" s="1121"/>
      <c r="AB11" s="1120"/>
      <c r="AC11" s="1121"/>
      <c r="AD11" s="1120"/>
      <c r="AE11" s="1121"/>
      <c r="AF11" s="1126"/>
      <c r="AG11" s="1121"/>
      <c r="AH11" s="1126"/>
      <c r="AI11" s="1121"/>
      <c r="AJ11" s="1120"/>
      <c r="AK11" s="1121"/>
      <c r="AL11" s="1126"/>
      <c r="AM11" s="1121"/>
      <c r="AN11" s="1126"/>
      <c r="AO11" s="1121"/>
      <c r="AP11" s="1120"/>
      <c r="AQ11" s="1121"/>
      <c r="AR11" s="1126"/>
      <c r="AS11" s="1121"/>
      <c r="AT11" s="1126"/>
      <c r="AU11" s="1121"/>
      <c r="AV11" s="1126"/>
      <c r="AW11" s="1121"/>
      <c r="AX11" s="1126"/>
      <c r="AY11" s="1121"/>
      <c r="AZ11" s="1126"/>
      <c r="BA11" s="1121"/>
      <c r="BB11" s="1126"/>
      <c r="BC11" s="1121"/>
      <c r="BD11" s="1126"/>
      <c r="BE11" s="1121"/>
      <c r="BF11" s="1126"/>
      <c r="BG11" s="1121"/>
      <c r="BH11" s="1126"/>
      <c r="BI11" s="1121"/>
      <c r="BJ11" s="1126"/>
      <c r="BK11" s="1121"/>
      <c r="BL11" s="1134">
        <v>120.0</v>
      </c>
      <c r="BM11" s="1121">
        <v>120.0</v>
      </c>
      <c r="BN11" s="1087">
        <v>15.0</v>
      </c>
      <c r="BO11" s="1737"/>
      <c r="BP11" s="900">
        <f t="shared" si="1"/>
        <v>121</v>
      </c>
      <c r="BQ11" s="1571">
        <f t="shared" si="2"/>
        <v>120</v>
      </c>
      <c r="BR11" s="1949">
        <f t="shared" si="4"/>
        <v>12720</v>
      </c>
      <c r="BS11" s="1106">
        <f t="shared" si="3"/>
        <v>12826</v>
      </c>
      <c r="BT11" s="23"/>
      <c r="BU11" s="23"/>
    </row>
    <row r="12" ht="18.0" customHeight="1">
      <c r="A12" s="1565"/>
      <c r="B12" s="1259"/>
      <c r="C12" s="1948"/>
      <c r="D12" s="1153"/>
      <c r="E12" s="1953" t="str">
        <f>'Матрица 4 недели'!J147</f>
        <v/>
      </c>
      <c r="F12" s="1137"/>
      <c r="G12" s="1138"/>
      <c r="H12" s="1126"/>
      <c r="I12" s="1140"/>
      <c r="J12" s="1126"/>
      <c r="K12" s="1138"/>
      <c r="L12" s="1141"/>
      <c r="M12" s="1138"/>
      <c r="N12" s="1126"/>
      <c r="O12" s="1138"/>
      <c r="P12" s="1126"/>
      <c r="Q12" s="1142"/>
      <c r="R12" s="1126"/>
      <c r="S12" s="1121"/>
      <c r="T12" s="1137"/>
      <c r="U12" s="1121"/>
      <c r="V12" s="1143"/>
      <c r="W12" s="1121"/>
      <c r="X12" s="1137"/>
      <c r="Y12" s="1121"/>
      <c r="Z12" s="1120"/>
      <c r="AA12" s="1121"/>
      <c r="AB12" s="1120"/>
      <c r="AC12" s="1121"/>
      <c r="AD12" s="1120"/>
      <c r="AE12" s="1121"/>
      <c r="AF12" s="1137"/>
      <c r="AG12" s="1121"/>
      <c r="AH12" s="1120"/>
      <c r="AI12" s="1121"/>
      <c r="AJ12" s="1120"/>
      <c r="AK12" s="1121"/>
      <c r="AL12" s="1137"/>
      <c r="AM12" s="1121"/>
      <c r="AN12" s="1137"/>
      <c r="AO12" s="1138"/>
      <c r="AP12" s="1126"/>
      <c r="AQ12" s="1138"/>
      <c r="AR12" s="1126"/>
      <c r="AS12" s="1138"/>
      <c r="AT12" s="1126"/>
      <c r="AU12" s="1138"/>
      <c r="AV12" s="1126"/>
      <c r="AW12" s="1138"/>
      <c r="AX12" s="1126"/>
      <c r="AY12" s="1138"/>
      <c r="AZ12" s="1126"/>
      <c r="BA12" s="1138"/>
      <c r="BB12" s="1126"/>
      <c r="BC12" s="1138"/>
      <c r="BD12" s="1126"/>
      <c r="BE12" s="1138"/>
      <c r="BF12" s="1126"/>
      <c r="BG12" s="1138"/>
      <c r="BH12" s="1126"/>
      <c r="BI12" s="1138"/>
      <c r="BJ12" s="1126"/>
      <c r="BK12" s="1138"/>
      <c r="BL12" s="1139"/>
      <c r="BM12" s="1138"/>
      <c r="BN12" s="900"/>
      <c r="BO12" s="1170"/>
      <c r="BP12" s="900">
        <f t="shared" si="1"/>
        <v>1</v>
      </c>
      <c r="BQ12" s="1589">
        <f t="shared" si="2"/>
        <v>0</v>
      </c>
      <c r="BR12" s="1949">
        <f t="shared" si="4"/>
        <v>0</v>
      </c>
      <c r="BS12" s="1106">
        <f t="shared" si="3"/>
        <v>0</v>
      </c>
      <c r="BT12" s="23"/>
      <c r="BU12" s="23"/>
    </row>
    <row r="13" ht="18.0" customHeight="1">
      <c r="A13" s="1565" t="s">
        <v>145</v>
      </c>
      <c r="B13" s="1259">
        <v>4175.0</v>
      </c>
      <c r="C13" s="1948">
        <v>198.0</v>
      </c>
      <c r="D13" s="1133" t="s">
        <v>77</v>
      </c>
      <c r="E13" s="1118" t="str">
        <f>'Матрица 4 недели'!M146</f>
        <v>Минтай в маринаде с картофельным пюре</v>
      </c>
      <c r="F13" s="1137"/>
      <c r="G13" s="1138"/>
      <c r="H13" s="1126">
        <v>1.0</v>
      </c>
      <c r="I13" s="1140">
        <v>1.0</v>
      </c>
      <c r="J13" s="1126">
        <v>1.0</v>
      </c>
      <c r="K13" s="1138">
        <v>1.0</v>
      </c>
      <c r="L13" s="1126"/>
      <c r="M13" s="1138"/>
      <c r="N13" s="1126">
        <v>2.0</v>
      </c>
      <c r="O13" s="1138">
        <v>2.0</v>
      </c>
      <c r="P13" s="1126">
        <v>2.0</v>
      </c>
      <c r="Q13" s="1142">
        <v>2.0</v>
      </c>
      <c r="R13" s="1126">
        <v>1.0</v>
      </c>
      <c r="S13" s="1121">
        <v>1.0</v>
      </c>
      <c r="T13" s="1126">
        <v>1.0</v>
      </c>
      <c r="U13" s="1121">
        <v>1.0</v>
      </c>
      <c r="V13" s="1126">
        <v>1.0</v>
      </c>
      <c r="W13" s="1121">
        <v>1.0</v>
      </c>
      <c r="X13" s="1126"/>
      <c r="Y13" s="1121"/>
      <c r="Z13" s="1120"/>
      <c r="AA13" s="1121"/>
      <c r="AB13" s="1126"/>
      <c r="AC13" s="1121"/>
      <c r="AD13" s="1126">
        <v>1.0</v>
      </c>
      <c r="AE13" s="1121">
        <v>1.0</v>
      </c>
      <c r="AF13" s="1126"/>
      <c r="AG13" s="1121"/>
      <c r="AH13" s="1126"/>
      <c r="AI13" s="1121"/>
      <c r="AJ13" s="1126"/>
      <c r="AK13" s="1121"/>
      <c r="AL13" s="1126"/>
      <c r="AM13" s="1121"/>
      <c r="AN13" s="1126"/>
      <c r="AO13" s="1138"/>
      <c r="AP13" s="1126"/>
      <c r="AQ13" s="1138"/>
      <c r="AR13" s="1126"/>
      <c r="AS13" s="1138"/>
      <c r="AT13" s="1126"/>
      <c r="AU13" s="1138"/>
      <c r="AV13" s="1126"/>
      <c r="AW13" s="1138"/>
      <c r="AX13" s="1126"/>
      <c r="AY13" s="1138"/>
      <c r="AZ13" s="1126"/>
      <c r="BA13" s="1138"/>
      <c r="BB13" s="1126"/>
      <c r="BC13" s="1138"/>
      <c r="BD13" s="1126"/>
      <c r="BE13" s="1138"/>
      <c r="BF13" s="1126"/>
      <c r="BG13" s="1138"/>
      <c r="BH13" s="1126"/>
      <c r="BI13" s="1138"/>
      <c r="BJ13" s="1126"/>
      <c r="BK13" s="1138"/>
      <c r="BL13" s="1134">
        <v>70.0</v>
      </c>
      <c r="BM13" s="1138">
        <v>70.0</v>
      </c>
      <c r="BN13" s="1087">
        <v>10.0</v>
      </c>
      <c r="BO13" s="1737">
        <v>10.0</v>
      </c>
      <c r="BP13" s="900">
        <f t="shared" si="1"/>
        <v>81</v>
      </c>
      <c r="BQ13" s="1589">
        <f t="shared" si="2"/>
        <v>80</v>
      </c>
      <c r="BR13" s="1949">
        <f t="shared" si="4"/>
        <v>15840</v>
      </c>
      <c r="BS13" s="1106">
        <f t="shared" si="3"/>
        <v>16038</v>
      </c>
      <c r="BT13" s="23"/>
      <c r="BU13" s="23"/>
    </row>
    <row r="14" ht="18.0" customHeight="1">
      <c r="A14" s="1565" t="s">
        <v>145</v>
      </c>
      <c r="B14" s="1259">
        <v>980.0</v>
      </c>
      <c r="C14" s="1948">
        <v>219.0</v>
      </c>
      <c r="D14" s="1133" t="s">
        <v>77</v>
      </c>
      <c r="E14" s="1118" t="str">
        <f>'Матрица 4 недели'!M147</f>
        <v>Филе с грибами и картофельным пюре</v>
      </c>
      <c r="F14" s="1137">
        <v>8.0</v>
      </c>
      <c r="G14" s="1138">
        <v>8.0</v>
      </c>
      <c r="H14" s="1126">
        <v>5.0</v>
      </c>
      <c r="I14" s="1140">
        <v>5.0</v>
      </c>
      <c r="J14" s="1126">
        <v>5.0</v>
      </c>
      <c r="K14" s="1138">
        <v>5.0</v>
      </c>
      <c r="L14" s="1141">
        <v>6.0</v>
      </c>
      <c r="M14" s="1138">
        <v>6.0</v>
      </c>
      <c r="N14" s="1126">
        <v>9.0</v>
      </c>
      <c r="O14" s="1138">
        <v>9.0</v>
      </c>
      <c r="P14" s="1126">
        <v>8.0</v>
      </c>
      <c r="Q14" s="1142">
        <v>8.0</v>
      </c>
      <c r="R14" s="1126">
        <v>3.0</v>
      </c>
      <c r="S14" s="1121">
        <v>3.0</v>
      </c>
      <c r="T14" s="1126">
        <v>7.0</v>
      </c>
      <c r="U14" s="1121">
        <v>7.0</v>
      </c>
      <c r="V14" s="1141">
        <v>8.0</v>
      </c>
      <c r="W14" s="1121">
        <v>8.0</v>
      </c>
      <c r="X14" s="1126">
        <v>9.0</v>
      </c>
      <c r="Y14" s="1121">
        <v>9.0</v>
      </c>
      <c r="Z14" s="1120"/>
      <c r="AA14" s="1121"/>
      <c r="AB14" s="1126">
        <v>2.0</v>
      </c>
      <c r="AC14" s="1121">
        <v>2.0</v>
      </c>
      <c r="AD14" s="1126">
        <v>7.0</v>
      </c>
      <c r="AE14" s="1121">
        <v>7.0</v>
      </c>
      <c r="AF14" s="1126">
        <v>10.0</v>
      </c>
      <c r="AG14" s="1121">
        <v>10.0</v>
      </c>
      <c r="AH14" s="1126">
        <v>5.0</v>
      </c>
      <c r="AI14" s="1121">
        <v>5.0</v>
      </c>
      <c r="AJ14" s="1126">
        <v>5.0</v>
      </c>
      <c r="AK14" s="1121">
        <v>5.0</v>
      </c>
      <c r="AL14" s="1126">
        <v>5.0</v>
      </c>
      <c r="AM14" s="1121">
        <v>5.0</v>
      </c>
      <c r="AN14" s="1126">
        <v>10.0</v>
      </c>
      <c r="AO14" s="1138">
        <v>10.0</v>
      </c>
      <c r="AP14" s="1126">
        <v>2.0</v>
      </c>
      <c r="AQ14" s="1138">
        <v>2.0</v>
      </c>
      <c r="AR14" s="1126">
        <v>7.0</v>
      </c>
      <c r="AS14" s="1138">
        <v>7.0</v>
      </c>
      <c r="AT14" s="1126">
        <v>9.0</v>
      </c>
      <c r="AU14" s="1138">
        <v>9.0</v>
      </c>
      <c r="AV14" s="1126">
        <v>2.0</v>
      </c>
      <c r="AW14" s="1138">
        <v>2.0</v>
      </c>
      <c r="AX14" s="1126">
        <v>6.0</v>
      </c>
      <c r="AY14" s="1138">
        <v>6.0</v>
      </c>
      <c r="AZ14" s="1126">
        <v>6.0</v>
      </c>
      <c r="BA14" s="1138">
        <v>6.0</v>
      </c>
      <c r="BB14" s="1126">
        <v>3.0</v>
      </c>
      <c r="BC14" s="1138">
        <v>3.0</v>
      </c>
      <c r="BD14" s="1126">
        <v>4.0</v>
      </c>
      <c r="BE14" s="1138">
        <v>4.0</v>
      </c>
      <c r="BF14" s="1126">
        <v>5.0</v>
      </c>
      <c r="BG14" s="1138">
        <v>5.0</v>
      </c>
      <c r="BH14" s="1126">
        <v>4.0</v>
      </c>
      <c r="BI14" s="1138">
        <v>4.0</v>
      </c>
      <c r="BJ14" s="1126">
        <v>6.0</v>
      </c>
      <c r="BK14" s="1138">
        <v>6.0</v>
      </c>
      <c r="BL14" s="1139"/>
      <c r="BM14" s="1138"/>
      <c r="BN14" s="1087">
        <v>10.0</v>
      </c>
      <c r="BO14" s="1737">
        <v>10.0</v>
      </c>
      <c r="BP14" s="900">
        <f t="shared" si="1"/>
        <v>167</v>
      </c>
      <c r="BQ14" s="1589">
        <f t="shared" si="2"/>
        <v>166</v>
      </c>
      <c r="BR14" s="1949">
        <f t="shared" si="4"/>
        <v>36354</v>
      </c>
      <c r="BS14" s="1106">
        <f t="shared" si="3"/>
        <v>36573</v>
      </c>
      <c r="BT14" s="23"/>
      <c r="BU14" s="23"/>
    </row>
    <row r="15" ht="18.0" customHeight="1">
      <c r="A15" s="1565" t="s">
        <v>145</v>
      </c>
      <c r="B15" s="1164">
        <v>3737.0</v>
      </c>
      <c r="C15" s="1153">
        <v>217.0</v>
      </c>
      <c r="D15" s="1148" t="s">
        <v>77</v>
      </c>
      <c r="E15" s="1118" t="str">
        <f>'Матрица 4 недели'!M148</f>
        <v>Чкмерули из курицы со спагетти</v>
      </c>
      <c r="F15" s="1120">
        <v>9.0</v>
      </c>
      <c r="G15" s="1121">
        <v>9.0</v>
      </c>
      <c r="H15" s="1120">
        <v>6.0</v>
      </c>
      <c r="I15" s="1142">
        <v>6.0</v>
      </c>
      <c r="J15" s="1120">
        <v>4.0</v>
      </c>
      <c r="K15" s="1121">
        <v>4.0</v>
      </c>
      <c r="L15" s="1120">
        <v>6.0</v>
      </c>
      <c r="M15" s="1121">
        <v>6.0</v>
      </c>
      <c r="N15" s="1126">
        <v>16.0</v>
      </c>
      <c r="O15" s="1121">
        <v>16.0</v>
      </c>
      <c r="P15" s="1120">
        <v>9.0</v>
      </c>
      <c r="Q15" s="1142">
        <v>9.0</v>
      </c>
      <c r="R15" s="1120">
        <v>4.0</v>
      </c>
      <c r="S15" s="1121">
        <v>4.0</v>
      </c>
      <c r="T15" s="1120">
        <v>2.0</v>
      </c>
      <c r="U15" s="1121">
        <v>2.0</v>
      </c>
      <c r="V15" s="1120">
        <v>6.0</v>
      </c>
      <c r="W15" s="1121">
        <v>6.0</v>
      </c>
      <c r="X15" s="1120">
        <v>3.0</v>
      </c>
      <c r="Y15" s="1121">
        <v>3.0</v>
      </c>
      <c r="Z15" s="1120"/>
      <c r="AA15" s="1121"/>
      <c r="AB15" s="1120">
        <v>3.0</v>
      </c>
      <c r="AC15" s="1121">
        <v>3.0</v>
      </c>
      <c r="AD15" s="1120">
        <v>1.0</v>
      </c>
      <c r="AE15" s="1121">
        <v>1.0</v>
      </c>
      <c r="AF15" s="1120">
        <v>2.0</v>
      </c>
      <c r="AG15" s="1121">
        <v>2.0</v>
      </c>
      <c r="AH15" s="1120">
        <v>2.0</v>
      </c>
      <c r="AI15" s="1121">
        <v>2.0</v>
      </c>
      <c r="AJ15" s="1120">
        <v>4.0</v>
      </c>
      <c r="AK15" s="1121">
        <v>4.0</v>
      </c>
      <c r="AL15" s="1120">
        <v>2.0</v>
      </c>
      <c r="AM15" s="1121">
        <v>2.0</v>
      </c>
      <c r="AN15" s="1120">
        <v>10.0</v>
      </c>
      <c r="AO15" s="1121">
        <v>10.0</v>
      </c>
      <c r="AP15" s="1126">
        <v>4.0</v>
      </c>
      <c r="AQ15" s="1138">
        <v>4.0</v>
      </c>
      <c r="AR15" s="1120">
        <v>4.0</v>
      </c>
      <c r="AS15" s="1138">
        <v>4.0</v>
      </c>
      <c r="AT15" s="1126">
        <v>2.0</v>
      </c>
      <c r="AU15" s="1138">
        <v>2.0</v>
      </c>
      <c r="AV15" s="1126">
        <v>2.0</v>
      </c>
      <c r="AW15" s="1138">
        <v>2.0</v>
      </c>
      <c r="AX15" s="1126">
        <v>5.0</v>
      </c>
      <c r="AY15" s="1138">
        <v>5.0</v>
      </c>
      <c r="AZ15" s="1126">
        <v>4.0</v>
      </c>
      <c r="BA15" s="1138">
        <v>4.0</v>
      </c>
      <c r="BB15" s="1126">
        <v>3.0</v>
      </c>
      <c r="BC15" s="1138">
        <v>3.0</v>
      </c>
      <c r="BD15" s="1126">
        <v>2.0</v>
      </c>
      <c r="BE15" s="1138">
        <v>2.0</v>
      </c>
      <c r="BF15" s="1126">
        <v>5.0</v>
      </c>
      <c r="BG15" s="1138">
        <v>5.0</v>
      </c>
      <c r="BH15" s="1126">
        <v>3.0</v>
      </c>
      <c r="BI15" s="1138">
        <v>3.0</v>
      </c>
      <c r="BJ15" s="1126">
        <v>4.0</v>
      </c>
      <c r="BK15" s="1138">
        <v>4.0</v>
      </c>
      <c r="BL15" s="1139">
        <v>30.0</v>
      </c>
      <c r="BM15" s="1138">
        <v>30.0</v>
      </c>
      <c r="BN15" s="1087">
        <v>10.0</v>
      </c>
      <c r="BO15" s="1737">
        <v>10.0</v>
      </c>
      <c r="BP15" s="900">
        <f t="shared" si="1"/>
        <v>158</v>
      </c>
      <c r="BQ15" s="1589">
        <f t="shared" si="2"/>
        <v>157</v>
      </c>
      <c r="BR15" s="1949">
        <f t="shared" si="4"/>
        <v>34069</v>
      </c>
      <c r="BS15" s="1106">
        <f t="shared" si="3"/>
        <v>34286</v>
      </c>
      <c r="BT15" s="23"/>
      <c r="BU15" s="23"/>
    </row>
    <row r="16" ht="18.0" customHeight="1">
      <c r="A16" s="1565" t="s">
        <v>145</v>
      </c>
      <c r="B16" s="1164">
        <v>1009.0</v>
      </c>
      <c r="C16" s="1153">
        <v>198.0</v>
      </c>
      <c r="D16" s="1148" t="s">
        <v>77</v>
      </c>
      <c r="E16" s="1118" t="str">
        <f>'Матрица 4 недели'!M149</f>
        <v>Свинина по-баварски с картофелем </v>
      </c>
      <c r="F16" s="1137">
        <v>1.0</v>
      </c>
      <c r="G16" s="1138">
        <v>1.0</v>
      </c>
      <c r="H16" s="1126">
        <v>1.0</v>
      </c>
      <c r="I16" s="1140">
        <v>1.0</v>
      </c>
      <c r="J16" s="1126">
        <v>5.0</v>
      </c>
      <c r="K16" s="1138">
        <v>5.0</v>
      </c>
      <c r="L16" s="1126">
        <v>3.0</v>
      </c>
      <c r="M16" s="1138">
        <v>3.0</v>
      </c>
      <c r="N16" s="1126">
        <v>8.0</v>
      </c>
      <c r="O16" s="1138">
        <v>8.0</v>
      </c>
      <c r="P16" s="1126">
        <v>4.0</v>
      </c>
      <c r="Q16" s="1142">
        <v>4.0</v>
      </c>
      <c r="R16" s="1126">
        <v>1.0</v>
      </c>
      <c r="S16" s="1121">
        <v>1.0</v>
      </c>
      <c r="T16" s="1126">
        <v>2.0</v>
      </c>
      <c r="U16" s="1121">
        <v>2.0</v>
      </c>
      <c r="V16" s="1126">
        <v>2.0</v>
      </c>
      <c r="W16" s="1121">
        <v>2.0</v>
      </c>
      <c r="X16" s="1126">
        <v>2.0</v>
      </c>
      <c r="Y16" s="1121">
        <v>2.0</v>
      </c>
      <c r="Z16" s="1120"/>
      <c r="AA16" s="1121"/>
      <c r="AB16" s="1126">
        <v>3.0</v>
      </c>
      <c r="AC16" s="1121">
        <v>3.0</v>
      </c>
      <c r="AD16" s="1126">
        <v>3.0</v>
      </c>
      <c r="AE16" s="1121">
        <v>3.0</v>
      </c>
      <c r="AF16" s="1126">
        <v>1.0</v>
      </c>
      <c r="AG16" s="1121">
        <v>1.0</v>
      </c>
      <c r="AH16" s="1126">
        <v>2.0</v>
      </c>
      <c r="AI16" s="1121">
        <v>2.0</v>
      </c>
      <c r="AJ16" s="1126">
        <v>3.0</v>
      </c>
      <c r="AK16" s="1121">
        <v>3.0</v>
      </c>
      <c r="AL16" s="1126">
        <v>3.0</v>
      </c>
      <c r="AM16" s="1121">
        <v>3.0</v>
      </c>
      <c r="AN16" s="1126">
        <v>10.0</v>
      </c>
      <c r="AO16" s="1138">
        <v>10.0</v>
      </c>
      <c r="AP16" s="1126">
        <v>0.0</v>
      </c>
      <c r="AQ16" s="1138">
        <v>0.0</v>
      </c>
      <c r="AR16" s="1126">
        <v>3.0</v>
      </c>
      <c r="AS16" s="1138">
        <v>3.0</v>
      </c>
      <c r="AT16" s="1126">
        <v>2.0</v>
      </c>
      <c r="AU16" s="1138">
        <v>2.0</v>
      </c>
      <c r="AV16" s="1126">
        <v>3.0</v>
      </c>
      <c r="AW16" s="1138">
        <v>3.0</v>
      </c>
      <c r="AX16" s="1126">
        <v>2.0</v>
      </c>
      <c r="AY16" s="1138">
        <v>2.0</v>
      </c>
      <c r="AZ16" s="1126">
        <v>1.0</v>
      </c>
      <c r="BA16" s="1138">
        <v>1.0</v>
      </c>
      <c r="BB16" s="1126">
        <v>2.0</v>
      </c>
      <c r="BC16" s="1138">
        <v>2.0</v>
      </c>
      <c r="BD16" s="1126">
        <v>1.0</v>
      </c>
      <c r="BE16" s="1138">
        <v>1.0</v>
      </c>
      <c r="BF16" s="1126">
        <v>0.0</v>
      </c>
      <c r="BG16" s="1138">
        <v>0.0</v>
      </c>
      <c r="BH16" s="1126">
        <v>0.0</v>
      </c>
      <c r="BI16" s="1138">
        <v>0.0</v>
      </c>
      <c r="BJ16" s="1126">
        <v>4.0</v>
      </c>
      <c r="BK16" s="1138">
        <v>4.0</v>
      </c>
      <c r="BL16" s="1139">
        <v>30.0</v>
      </c>
      <c r="BM16" s="1138">
        <v>30.0</v>
      </c>
      <c r="BN16" s="1087"/>
      <c r="BO16" s="1737"/>
      <c r="BP16" s="900">
        <f t="shared" si="1"/>
        <v>103</v>
      </c>
      <c r="BQ16" s="1589">
        <f t="shared" si="2"/>
        <v>102</v>
      </c>
      <c r="BR16" s="1949">
        <f t="shared" si="4"/>
        <v>20196</v>
      </c>
      <c r="BS16" s="1106">
        <f t="shared" si="3"/>
        <v>20394</v>
      </c>
      <c r="BT16" s="23"/>
      <c r="BU16" s="23"/>
    </row>
    <row r="17" ht="18.0" customHeight="1">
      <c r="A17" s="1565" t="s">
        <v>145</v>
      </c>
      <c r="B17" s="1164">
        <v>3663.0</v>
      </c>
      <c r="C17" s="1153">
        <v>229.0</v>
      </c>
      <c r="D17" s="1148" t="s">
        <v>77</v>
      </c>
      <c r="E17" s="1118" t="str">
        <f>'Матрица 4 недели'!M150</f>
        <v>Горбуша запеченная с рисом светофор</v>
      </c>
      <c r="F17" s="1137">
        <v>2.0</v>
      </c>
      <c r="G17" s="1138">
        <v>2.0</v>
      </c>
      <c r="H17" s="1126">
        <v>2.0</v>
      </c>
      <c r="I17" s="1140">
        <v>2.0</v>
      </c>
      <c r="J17" s="1126">
        <v>3.0</v>
      </c>
      <c r="K17" s="1138">
        <v>3.0</v>
      </c>
      <c r="L17" s="1126">
        <v>5.0</v>
      </c>
      <c r="M17" s="1138">
        <v>5.0</v>
      </c>
      <c r="N17" s="1126">
        <v>6.0</v>
      </c>
      <c r="O17" s="1138">
        <v>6.0</v>
      </c>
      <c r="P17" s="1126">
        <v>3.0</v>
      </c>
      <c r="Q17" s="1142">
        <v>3.0</v>
      </c>
      <c r="R17" s="1126">
        <v>0.0</v>
      </c>
      <c r="S17" s="1121">
        <v>0.0</v>
      </c>
      <c r="T17" s="1126">
        <v>3.0</v>
      </c>
      <c r="U17" s="1121">
        <v>3.0</v>
      </c>
      <c r="V17" s="1126">
        <v>3.0</v>
      </c>
      <c r="W17" s="1121">
        <v>3.0</v>
      </c>
      <c r="X17" s="1126">
        <v>3.0</v>
      </c>
      <c r="Y17" s="1121">
        <v>3.0</v>
      </c>
      <c r="Z17" s="1120"/>
      <c r="AA17" s="1121"/>
      <c r="AB17" s="1126">
        <v>2.0</v>
      </c>
      <c r="AC17" s="1121">
        <v>2.0</v>
      </c>
      <c r="AD17" s="1126">
        <v>2.0</v>
      </c>
      <c r="AE17" s="1121">
        <v>2.0</v>
      </c>
      <c r="AF17" s="1126">
        <v>5.0</v>
      </c>
      <c r="AG17" s="1121">
        <v>5.0</v>
      </c>
      <c r="AH17" s="1126">
        <v>2.0</v>
      </c>
      <c r="AI17" s="1121">
        <v>2.0</v>
      </c>
      <c r="AJ17" s="1126">
        <v>3.0</v>
      </c>
      <c r="AK17" s="1121">
        <v>3.0</v>
      </c>
      <c r="AL17" s="1126">
        <v>2.0</v>
      </c>
      <c r="AM17" s="1121">
        <v>2.0</v>
      </c>
      <c r="AN17" s="1126">
        <v>10.0</v>
      </c>
      <c r="AO17" s="1138">
        <v>10.0</v>
      </c>
      <c r="AP17" s="1126">
        <v>3.0</v>
      </c>
      <c r="AQ17" s="1138">
        <v>3.0</v>
      </c>
      <c r="AR17" s="1126">
        <v>6.0</v>
      </c>
      <c r="AS17" s="1138">
        <v>6.0</v>
      </c>
      <c r="AT17" s="1126">
        <v>4.0</v>
      </c>
      <c r="AU17" s="1138">
        <v>4.0</v>
      </c>
      <c r="AV17" s="1126">
        <v>2.0</v>
      </c>
      <c r="AW17" s="1138">
        <v>2.0</v>
      </c>
      <c r="AX17" s="1126">
        <v>3.0</v>
      </c>
      <c r="AY17" s="1138">
        <v>3.0</v>
      </c>
      <c r="AZ17" s="1126">
        <v>3.0</v>
      </c>
      <c r="BA17" s="1138">
        <v>3.0</v>
      </c>
      <c r="BB17" s="1126">
        <v>2.0</v>
      </c>
      <c r="BC17" s="1138">
        <v>2.0</v>
      </c>
      <c r="BD17" s="1126">
        <v>2.0</v>
      </c>
      <c r="BE17" s="1138">
        <v>2.0</v>
      </c>
      <c r="BF17" s="1126">
        <v>4.0</v>
      </c>
      <c r="BG17" s="1138">
        <v>4.0</v>
      </c>
      <c r="BH17" s="1126">
        <v>4.0</v>
      </c>
      <c r="BI17" s="1138">
        <v>4.0</v>
      </c>
      <c r="BJ17" s="1126">
        <v>6.0</v>
      </c>
      <c r="BK17" s="1138">
        <v>6.0</v>
      </c>
      <c r="BL17" s="1139"/>
      <c r="BM17" s="1138"/>
      <c r="BN17" s="1087"/>
      <c r="BO17" s="1737"/>
      <c r="BP17" s="900">
        <f t="shared" si="1"/>
        <v>96</v>
      </c>
      <c r="BQ17" s="1589">
        <f t="shared" si="2"/>
        <v>95</v>
      </c>
      <c r="BR17" s="1949">
        <f t="shared" si="4"/>
        <v>21755</v>
      </c>
      <c r="BS17" s="1106">
        <f t="shared" si="3"/>
        <v>21984</v>
      </c>
      <c r="BT17" s="23"/>
      <c r="BU17" s="23"/>
    </row>
    <row r="18" ht="18.0" customHeight="1">
      <c r="A18" s="1565"/>
      <c r="B18" s="1164"/>
      <c r="C18" s="1153"/>
      <c r="D18" s="1156"/>
      <c r="E18" s="1953" t="str">
        <f>'Матрица 4 недели'!M151</f>
        <v/>
      </c>
      <c r="F18" s="1137"/>
      <c r="G18" s="1138"/>
      <c r="H18" s="1126"/>
      <c r="I18" s="1138"/>
      <c r="J18" s="1126"/>
      <c r="K18" s="1138"/>
      <c r="L18" s="1126"/>
      <c r="M18" s="1138"/>
      <c r="N18" s="1126"/>
      <c r="O18" s="1138"/>
      <c r="P18" s="1126"/>
      <c r="Q18" s="1121"/>
      <c r="R18" s="1126"/>
      <c r="S18" s="1121"/>
      <c r="T18" s="1126"/>
      <c r="U18" s="1121"/>
      <c r="V18" s="1126"/>
      <c r="W18" s="1121"/>
      <c r="X18" s="1126"/>
      <c r="Y18" s="1121"/>
      <c r="Z18" s="1120"/>
      <c r="AA18" s="1121"/>
      <c r="AB18" s="1126"/>
      <c r="AC18" s="1121"/>
      <c r="AD18" s="1126"/>
      <c r="AE18" s="1121"/>
      <c r="AF18" s="1126"/>
      <c r="AG18" s="1121"/>
      <c r="AH18" s="1126"/>
      <c r="AI18" s="1121"/>
      <c r="AJ18" s="1126"/>
      <c r="AK18" s="1121"/>
      <c r="AL18" s="1126"/>
      <c r="AM18" s="1121"/>
      <c r="AN18" s="1126"/>
      <c r="AO18" s="1138"/>
      <c r="AP18" s="1126"/>
      <c r="AQ18" s="1138"/>
      <c r="AR18" s="1126"/>
      <c r="AS18" s="1138"/>
      <c r="AT18" s="1126"/>
      <c r="AU18" s="1138"/>
      <c r="AV18" s="1126"/>
      <c r="AW18" s="1138"/>
      <c r="AX18" s="1126"/>
      <c r="AY18" s="1138"/>
      <c r="AZ18" s="1126"/>
      <c r="BA18" s="1138"/>
      <c r="BB18" s="1126"/>
      <c r="BC18" s="1138"/>
      <c r="BD18" s="1126"/>
      <c r="BE18" s="1138"/>
      <c r="BF18" s="1126"/>
      <c r="BG18" s="1138"/>
      <c r="BH18" s="1126"/>
      <c r="BI18" s="1138"/>
      <c r="BJ18" s="1126"/>
      <c r="BK18" s="1138"/>
      <c r="BL18" s="1139"/>
      <c r="BM18" s="1138"/>
      <c r="BN18" s="900"/>
      <c r="BO18" s="1170"/>
      <c r="BP18" s="900">
        <f t="shared" si="1"/>
        <v>1</v>
      </c>
      <c r="BQ18" s="1571">
        <f t="shared" si="2"/>
        <v>0</v>
      </c>
      <c r="BR18" s="1949">
        <f t="shared" si="4"/>
        <v>0</v>
      </c>
      <c r="BS18" s="1106">
        <f t="shared" si="3"/>
        <v>0</v>
      </c>
      <c r="BT18" s="23"/>
      <c r="BU18" s="23"/>
    </row>
    <row r="19" ht="18.0" customHeight="1">
      <c r="A19" s="1565" t="s">
        <v>145</v>
      </c>
      <c r="B19" s="1164">
        <v>4224.0</v>
      </c>
      <c r="C19" s="1957">
        <v>281.0</v>
      </c>
      <c r="D19" s="1958" t="s">
        <v>77</v>
      </c>
      <c r="E19" s="1118" t="str">
        <f>'Матрица 4 недели'!M152</f>
        <v>Курица Пармиджано с овощным соте</v>
      </c>
      <c r="F19" s="1151">
        <v>6.0</v>
      </c>
      <c r="G19" s="1173">
        <v>6.0</v>
      </c>
      <c r="H19" s="1151">
        <v>1.0</v>
      </c>
      <c r="I19" s="1173">
        <v>1.0</v>
      </c>
      <c r="J19" s="1151">
        <v>3.0</v>
      </c>
      <c r="K19" s="1173">
        <v>3.0</v>
      </c>
      <c r="L19" s="1151">
        <v>3.0</v>
      </c>
      <c r="M19" s="1173">
        <v>3.0</v>
      </c>
      <c r="N19" s="1151">
        <v>5.0</v>
      </c>
      <c r="O19" s="1173">
        <v>5.0</v>
      </c>
      <c r="P19" s="1151">
        <v>4.0</v>
      </c>
      <c r="Q19" s="1173">
        <v>4.0</v>
      </c>
      <c r="R19" s="1151">
        <v>2.0</v>
      </c>
      <c r="S19" s="1173">
        <v>2.0</v>
      </c>
      <c r="T19" s="1151">
        <v>2.0</v>
      </c>
      <c r="U19" s="1173">
        <v>2.0</v>
      </c>
      <c r="V19" s="1151">
        <v>4.0</v>
      </c>
      <c r="W19" s="1173">
        <v>4.0</v>
      </c>
      <c r="X19" s="1151">
        <v>2.0</v>
      </c>
      <c r="Y19" s="1173">
        <v>2.0</v>
      </c>
      <c r="Z19" s="1151"/>
      <c r="AA19" s="1173"/>
      <c r="AB19" s="1151">
        <v>3.0</v>
      </c>
      <c r="AC19" s="1173">
        <v>3.0</v>
      </c>
      <c r="AD19" s="1151">
        <v>5.0</v>
      </c>
      <c r="AE19" s="1173">
        <v>5.0</v>
      </c>
      <c r="AF19" s="1151">
        <v>2.0</v>
      </c>
      <c r="AG19" s="1173">
        <v>2.0</v>
      </c>
      <c r="AH19" s="1151">
        <v>2.0</v>
      </c>
      <c r="AI19" s="1173">
        <v>2.0</v>
      </c>
      <c r="AJ19" s="1151">
        <v>3.0</v>
      </c>
      <c r="AK19" s="1173">
        <v>3.0</v>
      </c>
      <c r="AL19" s="1151">
        <v>2.0</v>
      </c>
      <c r="AM19" s="1173">
        <v>2.0</v>
      </c>
      <c r="AN19" s="1151">
        <v>8.0</v>
      </c>
      <c r="AO19" s="1173">
        <v>8.0</v>
      </c>
      <c r="AP19" s="1151">
        <v>3.0</v>
      </c>
      <c r="AQ19" s="1173">
        <v>3.0</v>
      </c>
      <c r="AR19" s="1151">
        <v>3.0</v>
      </c>
      <c r="AS19" s="1173">
        <v>3.0</v>
      </c>
      <c r="AT19" s="1151">
        <v>5.0</v>
      </c>
      <c r="AU19" s="1173">
        <v>5.0</v>
      </c>
      <c r="AV19" s="1151">
        <v>3.0</v>
      </c>
      <c r="AW19" s="1138">
        <v>3.0</v>
      </c>
      <c r="AX19" s="1126">
        <v>3.0</v>
      </c>
      <c r="AY19" s="1138">
        <v>3.0</v>
      </c>
      <c r="AZ19" s="1126">
        <v>4.0</v>
      </c>
      <c r="BA19" s="1138">
        <v>4.0</v>
      </c>
      <c r="BB19" s="1126">
        <v>2.0</v>
      </c>
      <c r="BC19" s="1138">
        <v>2.0</v>
      </c>
      <c r="BD19" s="1126">
        <v>2.0</v>
      </c>
      <c r="BE19" s="1138">
        <v>2.0</v>
      </c>
      <c r="BF19" s="1126">
        <v>2.0</v>
      </c>
      <c r="BG19" s="1138">
        <v>2.0</v>
      </c>
      <c r="BH19" s="1126">
        <v>4.0</v>
      </c>
      <c r="BI19" s="1138">
        <v>4.0</v>
      </c>
      <c r="BJ19" s="1126">
        <v>2.0</v>
      </c>
      <c r="BK19" s="1138">
        <v>2.0</v>
      </c>
      <c r="BL19" s="1152"/>
      <c r="BM19" s="1138"/>
      <c r="BN19" s="900"/>
      <c r="BO19" s="1170"/>
      <c r="BP19" s="900">
        <f t="shared" si="1"/>
        <v>91</v>
      </c>
      <c r="BQ19" s="1571">
        <f t="shared" si="2"/>
        <v>90</v>
      </c>
      <c r="BR19" s="1949">
        <f t="shared" si="4"/>
        <v>25290</v>
      </c>
      <c r="BS19" s="1106">
        <f t="shared" si="3"/>
        <v>25571</v>
      </c>
      <c r="BT19" s="23"/>
      <c r="BU19" s="23"/>
    </row>
    <row r="20" ht="18.0" customHeight="1">
      <c r="A20" s="1565" t="s">
        <v>145</v>
      </c>
      <c r="B20" s="988">
        <v>3518.0</v>
      </c>
      <c r="C20" s="1153">
        <v>85.0</v>
      </c>
      <c r="D20" s="1133" t="s">
        <v>78</v>
      </c>
      <c r="E20" s="1155" t="str">
        <f>'Матрица 4 недели'!P146</f>
        <v>Слойка ''Нежная'' с сыром 100 г</v>
      </c>
      <c r="F20" s="1141"/>
      <c r="G20" s="1305"/>
      <c r="H20" s="1141"/>
      <c r="I20" s="1305"/>
      <c r="J20" s="1141"/>
      <c r="K20" s="1305"/>
      <c r="L20" s="1141"/>
      <c r="M20" s="1305"/>
      <c r="N20" s="1141"/>
      <c r="O20" s="1305"/>
      <c r="P20" s="1141"/>
      <c r="Q20" s="1305"/>
      <c r="R20" s="1141"/>
      <c r="S20" s="1959"/>
      <c r="T20" s="1141"/>
      <c r="U20" s="1307"/>
      <c r="V20" s="1143"/>
      <c r="W20" s="1307"/>
      <c r="X20" s="1143"/>
      <c r="Y20" s="1138"/>
      <c r="Z20" s="1120"/>
      <c r="AA20" s="1138"/>
      <c r="AB20" s="1120"/>
      <c r="AC20" s="1138"/>
      <c r="AD20" s="1120"/>
      <c r="AE20" s="1138"/>
      <c r="AF20" s="1120"/>
      <c r="AG20" s="1138"/>
      <c r="AH20" s="1120"/>
      <c r="AI20" s="1138"/>
      <c r="AJ20" s="1120"/>
      <c r="AK20" s="1138"/>
      <c r="AL20" s="1120"/>
      <c r="AM20" s="1138"/>
      <c r="AN20" s="1120"/>
      <c r="AO20" s="1138"/>
      <c r="AP20" s="1126"/>
      <c r="AQ20" s="1138"/>
      <c r="AR20" s="1126"/>
      <c r="AS20" s="1138"/>
      <c r="AT20" s="1120"/>
      <c r="AU20" s="1138"/>
      <c r="AV20" s="1126"/>
      <c r="AW20" s="1138"/>
      <c r="AX20" s="1126"/>
      <c r="AY20" s="1138"/>
      <c r="AZ20" s="1126"/>
      <c r="BA20" s="1138"/>
      <c r="BB20" s="1126"/>
      <c r="BC20" s="1138"/>
      <c r="BD20" s="1126"/>
      <c r="BE20" s="1138"/>
      <c r="BF20" s="1126"/>
      <c r="BG20" s="1138"/>
      <c r="BH20" s="1126"/>
      <c r="BI20" s="1138"/>
      <c r="BJ20" s="1126"/>
      <c r="BK20" s="1138"/>
      <c r="BL20" s="1152">
        <v>10.0</v>
      </c>
      <c r="BM20" s="1138">
        <v>15.0</v>
      </c>
      <c r="BN20" s="900"/>
      <c r="BO20" s="1170"/>
      <c r="BP20" s="900">
        <f t="shared" si="1"/>
        <v>11</v>
      </c>
      <c r="BQ20" s="1571">
        <f t="shared" si="2"/>
        <v>15</v>
      </c>
      <c r="BR20" s="1949">
        <v>10.0</v>
      </c>
      <c r="BS20" s="1106">
        <f t="shared" si="3"/>
        <v>935</v>
      </c>
      <c r="BT20" s="23"/>
      <c r="BU20" s="23"/>
    </row>
    <row r="21" ht="18.0" customHeight="1">
      <c r="A21" s="1565" t="s">
        <v>145</v>
      </c>
      <c r="B21" s="988">
        <v>2782.0</v>
      </c>
      <c r="C21" s="1156">
        <v>170.0</v>
      </c>
      <c r="D21" s="1148" t="s">
        <v>79</v>
      </c>
      <c r="E21" s="1155" t="str">
        <f>'Матрица 4 недели'!S146</f>
        <v>Сэндвич с пепперони и сыром</v>
      </c>
      <c r="F21" s="1126">
        <v>11.0</v>
      </c>
      <c r="G21" s="1138">
        <v>11.0</v>
      </c>
      <c r="H21" s="1126">
        <v>4.0</v>
      </c>
      <c r="I21" s="1138">
        <v>4.0</v>
      </c>
      <c r="J21" s="1126">
        <v>2.0</v>
      </c>
      <c r="K21" s="1138">
        <v>2.0</v>
      </c>
      <c r="L21" s="1126">
        <v>2.0</v>
      </c>
      <c r="M21" s="1138">
        <v>2.0</v>
      </c>
      <c r="N21" s="1126">
        <v>7.0</v>
      </c>
      <c r="O21" s="1138">
        <v>7.0</v>
      </c>
      <c r="P21" s="1126">
        <v>7.0</v>
      </c>
      <c r="Q21" s="1138">
        <v>7.0</v>
      </c>
      <c r="R21" s="1120">
        <v>4.0</v>
      </c>
      <c r="S21" s="1138">
        <v>4.0</v>
      </c>
      <c r="T21" s="1137">
        <v>3.0</v>
      </c>
      <c r="U21" s="1138">
        <v>3.0</v>
      </c>
      <c r="V21" s="1126">
        <v>2.0</v>
      </c>
      <c r="W21" s="1138">
        <v>2.0</v>
      </c>
      <c r="X21" s="1126">
        <v>3.0</v>
      </c>
      <c r="Y21" s="1138">
        <v>3.0</v>
      </c>
      <c r="Z21" s="1126"/>
      <c r="AA21" s="1138"/>
      <c r="AB21" s="1120">
        <v>3.0</v>
      </c>
      <c r="AC21" s="1138">
        <v>3.0</v>
      </c>
      <c r="AD21" s="1137">
        <v>3.0</v>
      </c>
      <c r="AE21" s="1138">
        <v>3.0</v>
      </c>
      <c r="AF21" s="1137">
        <v>4.0</v>
      </c>
      <c r="AG21" s="1138">
        <v>4.0</v>
      </c>
      <c r="AH21" s="1137">
        <v>3.0</v>
      </c>
      <c r="AI21" s="1138">
        <v>3.0</v>
      </c>
      <c r="AJ21" s="1137">
        <v>3.0</v>
      </c>
      <c r="AK21" s="1138">
        <v>3.0</v>
      </c>
      <c r="AL21" s="1120">
        <v>3.0</v>
      </c>
      <c r="AM21" s="1138">
        <v>3.0</v>
      </c>
      <c r="AN21" s="1137">
        <v>15.0</v>
      </c>
      <c r="AO21" s="1138">
        <v>15.0</v>
      </c>
      <c r="AP21" s="1126">
        <v>3.0</v>
      </c>
      <c r="AQ21" s="1138">
        <v>3.0</v>
      </c>
      <c r="AR21" s="1126">
        <v>7.0</v>
      </c>
      <c r="AS21" s="1138">
        <v>7.0</v>
      </c>
      <c r="AT21" s="1126">
        <v>3.0</v>
      </c>
      <c r="AU21" s="1138">
        <v>3.0</v>
      </c>
      <c r="AV21" s="1126">
        <v>4.0</v>
      </c>
      <c r="AW21" s="1138">
        <v>4.0</v>
      </c>
      <c r="AX21" s="1126">
        <v>5.0</v>
      </c>
      <c r="AY21" s="1138">
        <v>5.0</v>
      </c>
      <c r="AZ21" s="1126">
        <v>1.0</v>
      </c>
      <c r="BA21" s="1138">
        <v>1.0</v>
      </c>
      <c r="BB21" s="1126">
        <v>10.0</v>
      </c>
      <c r="BC21" s="1138">
        <v>10.0</v>
      </c>
      <c r="BD21" s="1126">
        <v>1.0</v>
      </c>
      <c r="BE21" s="1138">
        <v>1.0</v>
      </c>
      <c r="BF21" s="1126">
        <v>6.0</v>
      </c>
      <c r="BG21" s="1138">
        <v>6.0</v>
      </c>
      <c r="BH21" s="1126">
        <v>3.0</v>
      </c>
      <c r="BI21" s="1138">
        <v>3.0</v>
      </c>
      <c r="BJ21" s="1126">
        <v>2.0</v>
      </c>
      <c r="BK21" s="1138">
        <v>2.0</v>
      </c>
      <c r="BL21" s="1139"/>
      <c r="BM21" s="1138"/>
      <c r="BN21" s="900"/>
      <c r="BO21" s="1170"/>
      <c r="BP21" s="900">
        <f t="shared" si="1"/>
        <v>125</v>
      </c>
      <c r="BQ21" s="1571">
        <f t="shared" si="2"/>
        <v>124</v>
      </c>
      <c r="BR21" s="1949">
        <v>124.0</v>
      </c>
      <c r="BS21" s="1106">
        <f t="shared" si="3"/>
        <v>21250</v>
      </c>
      <c r="BT21" s="23"/>
      <c r="BU21" s="23"/>
    </row>
    <row r="22" ht="18.0" customHeight="1">
      <c r="A22" s="1565" t="s">
        <v>145</v>
      </c>
      <c r="B22" s="1164">
        <v>33.0</v>
      </c>
      <c r="C22" s="1153">
        <v>155.0</v>
      </c>
      <c r="D22" s="1148" t="s">
        <v>79</v>
      </c>
      <c r="E22" s="1155" t="str">
        <f>'Матрица 4 недели'!S147</f>
        <v>Сэндвич с копчёной курицей и сыром</v>
      </c>
      <c r="F22" s="1126">
        <v>9.0</v>
      </c>
      <c r="G22" s="1121">
        <v>9.0</v>
      </c>
      <c r="H22" s="1126">
        <v>3.0</v>
      </c>
      <c r="I22" s="1121">
        <v>3.0</v>
      </c>
      <c r="J22" s="1126">
        <v>2.0</v>
      </c>
      <c r="K22" s="1121">
        <v>2.0</v>
      </c>
      <c r="L22" s="1126">
        <v>4.0</v>
      </c>
      <c r="M22" s="1121">
        <v>4.0</v>
      </c>
      <c r="N22" s="1126">
        <v>4.0</v>
      </c>
      <c r="O22" s="1121">
        <v>4.0</v>
      </c>
      <c r="P22" s="1126">
        <v>7.0</v>
      </c>
      <c r="Q22" s="1121">
        <v>7.0</v>
      </c>
      <c r="R22" s="1126">
        <v>2.0</v>
      </c>
      <c r="S22" s="1121">
        <v>2.0</v>
      </c>
      <c r="T22" s="1126">
        <v>3.0</v>
      </c>
      <c r="U22" s="1121">
        <v>3.0</v>
      </c>
      <c r="V22" s="1126">
        <v>3.0</v>
      </c>
      <c r="W22" s="1121">
        <v>3.0</v>
      </c>
      <c r="X22" s="1126">
        <v>6.0</v>
      </c>
      <c r="Y22" s="1121">
        <v>6.0</v>
      </c>
      <c r="Z22" s="1126"/>
      <c r="AA22" s="1121"/>
      <c r="AB22" s="1126">
        <v>4.0</v>
      </c>
      <c r="AC22" s="1121">
        <v>4.0</v>
      </c>
      <c r="AD22" s="1126">
        <v>3.0</v>
      </c>
      <c r="AE22" s="1121">
        <v>3.0</v>
      </c>
      <c r="AF22" s="1126">
        <v>7.0</v>
      </c>
      <c r="AG22" s="1121">
        <v>7.0</v>
      </c>
      <c r="AH22" s="1126">
        <v>4.0</v>
      </c>
      <c r="AI22" s="1121">
        <v>4.0</v>
      </c>
      <c r="AJ22" s="1126">
        <v>3.0</v>
      </c>
      <c r="AK22" s="1121">
        <v>3.0</v>
      </c>
      <c r="AL22" s="1126">
        <v>5.0</v>
      </c>
      <c r="AM22" s="1121">
        <v>5.0</v>
      </c>
      <c r="AN22" s="1126">
        <v>15.0</v>
      </c>
      <c r="AO22" s="1138">
        <v>15.0</v>
      </c>
      <c r="AP22" s="1126">
        <v>5.0</v>
      </c>
      <c r="AQ22" s="1138">
        <v>5.0</v>
      </c>
      <c r="AR22" s="1126">
        <v>7.0</v>
      </c>
      <c r="AS22" s="1138">
        <v>7.0</v>
      </c>
      <c r="AT22" s="1126">
        <v>5.0</v>
      </c>
      <c r="AU22" s="1138">
        <v>5.0</v>
      </c>
      <c r="AV22" s="1126">
        <v>1.0</v>
      </c>
      <c r="AW22" s="1138">
        <v>1.0</v>
      </c>
      <c r="AX22" s="1126">
        <v>2.0</v>
      </c>
      <c r="AY22" s="1138">
        <v>2.0</v>
      </c>
      <c r="AZ22" s="1126">
        <v>2.0</v>
      </c>
      <c r="BA22" s="1138">
        <v>2.0</v>
      </c>
      <c r="BB22" s="1126">
        <v>5.0</v>
      </c>
      <c r="BC22" s="1138">
        <v>5.0</v>
      </c>
      <c r="BD22" s="1126">
        <v>2.0</v>
      </c>
      <c r="BE22" s="1138">
        <v>2.0</v>
      </c>
      <c r="BF22" s="1126">
        <v>5.0</v>
      </c>
      <c r="BG22" s="1138">
        <v>5.0</v>
      </c>
      <c r="BH22" s="1126">
        <v>3.0</v>
      </c>
      <c r="BI22" s="1138">
        <v>3.0</v>
      </c>
      <c r="BJ22" s="1126">
        <v>3.0</v>
      </c>
      <c r="BK22" s="1138">
        <v>3.0</v>
      </c>
      <c r="BL22" s="1139"/>
      <c r="BM22" s="1138"/>
      <c r="BN22" s="900"/>
      <c r="BO22" s="1170"/>
      <c r="BP22" s="900">
        <f t="shared" si="1"/>
        <v>125</v>
      </c>
      <c r="BQ22" s="1571">
        <f t="shared" si="2"/>
        <v>124</v>
      </c>
      <c r="BR22" s="1949">
        <v>124.0</v>
      </c>
      <c r="BS22" s="1106">
        <f t="shared" si="3"/>
        <v>19375</v>
      </c>
      <c r="BT22" s="23"/>
      <c r="BU22" s="23"/>
    </row>
    <row r="23" ht="18.0" customHeight="1">
      <c r="A23" s="1565" t="s">
        <v>145</v>
      </c>
      <c r="B23" s="1164">
        <v>3999.0</v>
      </c>
      <c r="C23" s="1153">
        <v>98.0</v>
      </c>
      <c r="D23" s="1148" t="s">
        <v>80</v>
      </c>
      <c r="E23" s="1157" t="str">
        <f>'Матрица 4 недели'!V146</f>
        <v>Морс ягодный 0,5 л</v>
      </c>
      <c r="F23" s="1137">
        <v>12.0</v>
      </c>
      <c r="G23" s="1121">
        <v>11.0</v>
      </c>
      <c r="H23" s="1126">
        <v>5.0</v>
      </c>
      <c r="I23" s="1121">
        <v>4.0</v>
      </c>
      <c r="J23" s="1126">
        <v>6.0</v>
      </c>
      <c r="K23" s="1160">
        <v>5.0</v>
      </c>
      <c r="L23" s="1161">
        <v>8.0</v>
      </c>
      <c r="M23" s="1160">
        <v>7.0</v>
      </c>
      <c r="N23" s="1126">
        <v>5.0</v>
      </c>
      <c r="O23" s="1121">
        <v>5.0</v>
      </c>
      <c r="P23" s="1126">
        <v>8.0</v>
      </c>
      <c r="Q23" s="1121">
        <v>6.0</v>
      </c>
      <c r="R23" s="1126">
        <v>0.0</v>
      </c>
      <c r="S23" s="1121">
        <v>0.0</v>
      </c>
      <c r="T23" s="1126">
        <v>0.0</v>
      </c>
      <c r="U23" s="1138">
        <v>0.0</v>
      </c>
      <c r="V23" s="1126">
        <v>0.0</v>
      </c>
      <c r="W23" s="1138">
        <v>0.0</v>
      </c>
      <c r="X23" s="1126">
        <v>5.0</v>
      </c>
      <c r="Y23" s="1138">
        <v>5.0</v>
      </c>
      <c r="Z23" s="1137"/>
      <c r="AA23" s="1138"/>
      <c r="AB23" s="1126">
        <v>0.0</v>
      </c>
      <c r="AC23" s="1138">
        <v>0.0</v>
      </c>
      <c r="AD23" s="1137">
        <v>0.0</v>
      </c>
      <c r="AE23" s="1138">
        <v>0.0</v>
      </c>
      <c r="AF23" s="1126">
        <v>6.0</v>
      </c>
      <c r="AG23" s="1138">
        <v>5.0</v>
      </c>
      <c r="AH23" s="1126">
        <v>5.0</v>
      </c>
      <c r="AI23" s="1138">
        <v>5.0</v>
      </c>
      <c r="AJ23" s="1126">
        <v>0.0</v>
      </c>
      <c r="AK23" s="1138">
        <v>0.0</v>
      </c>
      <c r="AL23" s="1126">
        <v>0.0</v>
      </c>
      <c r="AM23" s="1138">
        <v>0.0</v>
      </c>
      <c r="AN23" s="1126">
        <v>15.0</v>
      </c>
      <c r="AO23" s="1305">
        <v>13.0</v>
      </c>
      <c r="AP23" s="1141">
        <v>0.0</v>
      </c>
      <c r="AQ23" s="1138">
        <v>0.0</v>
      </c>
      <c r="AR23" s="1120">
        <v>25.0</v>
      </c>
      <c r="AS23" s="1305">
        <v>22.0</v>
      </c>
      <c r="AT23" s="1141">
        <v>7.0</v>
      </c>
      <c r="AU23" s="1305">
        <v>6.0</v>
      </c>
      <c r="AV23" s="1126">
        <v>7.0</v>
      </c>
      <c r="AW23" s="1305">
        <v>6.0</v>
      </c>
      <c r="AX23" s="1141">
        <v>7.0</v>
      </c>
      <c r="AY23" s="1305">
        <v>6.0</v>
      </c>
      <c r="AZ23" s="1141">
        <v>0.0</v>
      </c>
      <c r="BA23" s="1305">
        <v>0.0</v>
      </c>
      <c r="BB23" s="1141">
        <v>6.0</v>
      </c>
      <c r="BC23" s="1305">
        <v>5.0</v>
      </c>
      <c r="BD23" s="1141">
        <v>8.0</v>
      </c>
      <c r="BE23" s="1305">
        <v>6.0</v>
      </c>
      <c r="BF23" s="1141">
        <v>16.0</v>
      </c>
      <c r="BG23" s="1305">
        <v>14.0</v>
      </c>
      <c r="BH23" s="1141">
        <v>8.0</v>
      </c>
      <c r="BI23" s="1305">
        <v>7.0</v>
      </c>
      <c r="BJ23" s="1141">
        <v>9.0</v>
      </c>
      <c r="BK23" s="1305">
        <v>8.0</v>
      </c>
      <c r="BL23" s="1139"/>
      <c r="BM23" s="1138"/>
      <c r="BN23" s="900"/>
      <c r="BO23" s="1170"/>
      <c r="BP23" s="900">
        <f t="shared" si="1"/>
        <v>169</v>
      </c>
      <c r="BQ23" s="1571">
        <f t="shared" si="2"/>
        <v>146</v>
      </c>
      <c r="BR23" s="1949">
        <f t="shared" ref="BR23:BR32" si="5">C23*BQ23</f>
        <v>14308</v>
      </c>
      <c r="BS23" s="1106">
        <f t="shared" si="3"/>
        <v>16562</v>
      </c>
      <c r="BT23" s="23"/>
      <c r="BU23" s="23"/>
    </row>
    <row r="24" ht="18.0" customHeight="1">
      <c r="A24" s="1565" t="s">
        <v>145</v>
      </c>
      <c r="B24" s="1164">
        <v>2929.0</v>
      </c>
      <c r="C24" s="1153">
        <v>143.0</v>
      </c>
      <c r="D24" s="1148" t="s">
        <v>80</v>
      </c>
      <c r="E24" s="1758" t="str">
        <f>'Матрица 4 недели'!V147</f>
        <v>Ролл сэндвич с курицей</v>
      </c>
      <c r="F24" s="1137">
        <v>18.0</v>
      </c>
      <c r="G24" s="1121">
        <v>16.0</v>
      </c>
      <c r="H24" s="1126">
        <v>5.0</v>
      </c>
      <c r="I24" s="1121">
        <v>3.0</v>
      </c>
      <c r="J24" s="1126">
        <v>5.0</v>
      </c>
      <c r="K24" s="1121">
        <v>3.0</v>
      </c>
      <c r="L24" s="1126"/>
      <c r="M24" s="1127"/>
      <c r="N24" s="1126">
        <v>6.0</v>
      </c>
      <c r="O24" s="1127">
        <v>4.0</v>
      </c>
      <c r="P24" s="1126">
        <v>2.0</v>
      </c>
      <c r="Q24" s="1121">
        <v>2.0</v>
      </c>
      <c r="R24" s="1126"/>
      <c r="S24" s="1291"/>
      <c r="T24" s="1126"/>
      <c r="U24" s="1138"/>
      <c r="V24" s="1137">
        <v>2.0</v>
      </c>
      <c r="W24" s="1138">
        <v>2.0</v>
      </c>
      <c r="X24" s="1137"/>
      <c r="Y24" s="1138"/>
      <c r="Z24" s="1137"/>
      <c r="AA24" s="1138"/>
      <c r="AB24" s="1137">
        <v>3.0</v>
      </c>
      <c r="AC24" s="1138">
        <v>2.0</v>
      </c>
      <c r="AD24" s="1120"/>
      <c r="AE24" s="1138"/>
      <c r="AF24" s="1120">
        <v>2.0</v>
      </c>
      <c r="AG24" s="1138">
        <v>2.0</v>
      </c>
      <c r="AH24" s="1137">
        <v>2.0</v>
      </c>
      <c r="AI24" s="1138">
        <v>2.0</v>
      </c>
      <c r="AJ24" s="1137">
        <v>2.0</v>
      </c>
      <c r="AK24" s="1138">
        <v>2.0</v>
      </c>
      <c r="AL24" s="1137"/>
      <c r="AM24" s="1138"/>
      <c r="AN24" s="1137"/>
      <c r="AO24" s="1138"/>
      <c r="AP24" s="1137"/>
      <c r="AQ24" s="1131"/>
      <c r="AR24" s="1137"/>
      <c r="AS24" s="1138"/>
      <c r="AT24" s="1126"/>
      <c r="AU24" s="1138"/>
      <c r="AV24" s="1126">
        <v>6.0</v>
      </c>
      <c r="AW24" s="1138">
        <v>6.0</v>
      </c>
      <c r="AX24" s="1126"/>
      <c r="AY24" s="1138"/>
      <c r="AZ24" s="1126"/>
      <c r="BA24" s="1138"/>
      <c r="BB24" s="1126"/>
      <c r="BC24" s="1138"/>
      <c r="BD24" s="1126"/>
      <c r="BE24" s="1138"/>
      <c r="BF24" s="1126">
        <v>2.0</v>
      </c>
      <c r="BG24" s="1138">
        <v>2.0</v>
      </c>
      <c r="BH24" s="1126">
        <v>1.0</v>
      </c>
      <c r="BI24" s="1138">
        <v>1.0</v>
      </c>
      <c r="BJ24" s="1126">
        <v>2.0</v>
      </c>
      <c r="BK24" s="1138">
        <v>2.0</v>
      </c>
      <c r="BL24" s="1139"/>
      <c r="BM24" s="1138"/>
      <c r="BN24" s="900"/>
      <c r="BO24" s="1170"/>
      <c r="BP24" s="900">
        <f t="shared" si="1"/>
        <v>59</v>
      </c>
      <c r="BQ24" s="1571">
        <f t="shared" si="2"/>
        <v>49</v>
      </c>
      <c r="BR24" s="1949">
        <f t="shared" si="5"/>
        <v>7007</v>
      </c>
      <c r="BS24" s="1106">
        <f t="shared" si="3"/>
        <v>8437</v>
      </c>
      <c r="BT24" s="23"/>
      <c r="BU24" s="23"/>
    </row>
    <row r="25" ht="18.0" customHeight="1">
      <c r="A25" s="1565" t="s">
        <v>145</v>
      </c>
      <c r="B25" s="1164">
        <v>2079.0</v>
      </c>
      <c r="C25" s="1153">
        <v>105.0</v>
      </c>
      <c r="D25" s="1148" t="s">
        <v>78</v>
      </c>
      <c r="E25" s="1758" t="str">
        <f>'Матрица 4 недели'!P147</f>
        <v>Вафельная трубочка с вареной сгущенкой</v>
      </c>
      <c r="F25" s="1137">
        <v>36.0</v>
      </c>
      <c r="G25" s="1121">
        <v>36.0</v>
      </c>
      <c r="H25" s="1126">
        <v>4.0</v>
      </c>
      <c r="I25" s="1121">
        <v>4.0</v>
      </c>
      <c r="J25" s="1126">
        <v>3.0</v>
      </c>
      <c r="K25" s="1160">
        <v>3.0</v>
      </c>
      <c r="L25" s="1161">
        <v>8.0</v>
      </c>
      <c r="M25" s="1162">
        <v>8.0</v>
      </c>
      <c r="N25" s="1126">
        <v>8.0</v>
      </c>
      <c r="O25" s="1121">
        <v>8.0</v>
      </c>
      <c r="P25" s="1126">
        <v>6.0</v>
      </c>
      <c r="Q25" s="1121">
        <v>6.0</v>
      </c>
      <c r="R25" s="1126">
        <v>7.0</v>
      </c>
      <c r="S25" s="1121">
        <v>7.0</v>
      </c>
      <c r="T25" s="1126">
        <v>7.0</v>
      </c>
      <c r="U25" s="1121">
        <v>7.0</v>
      </c>
      <c r="V25" s="1137">
        <v>16.0</v>
      </c>
      <c r="W25" s="1121">
        <v>16.0</v>
      </c>
      <c r="X25" s="1137">
        <v>10.0</v>
      </c>
      <c r="Y25" s="1121">
        <v>10.0</v>
      </c>
      <c r="Z25" s="1126"/>
      <c r="AA25" s="1121"/>
      <c r="AB25" s="1137">
        <v>9.0</v>
      </c>
      <c r="AC25" s="1121">
        <v>9.0</v>
      </c>
      <c r="AD25" s="1137">
        <v>17.0</v>
      </c>
      <c r="AE25" s="1121">
        <v>17.0</v>
      </c>
      <c r="AF25" s="1120">
        <v>21.0</v>
      </c>
      <c r="AG25" s="1121">
        <v>21.0</v>
      </c>
      <c r="AH25" s="1137">
        <v>8.0</v>
      </c>
      <c r="AI25" s="1121">
        <v>8.0</v>
      </c>
      <c r="AJ25" s="1120">
        <v>9.0</v>
      </c>
      <c r="AK25" s="1121">
        <v>9.0</v>
      </c>
      <c r="AL25" s="1126">
        <v>4.0</v>
      </c>
      <c r="AM25" s="1121">
        <v>4.0</v>
      </c>
      <c r="AN25" s="1120">
        <v>5.0</v>
      </c>
      <c r="AO25" s="1138">
        <v>5.0</v>
      </c>
      <c r="AP25" s="1126">
        <v>18.0</v>
      </c>
      <c r="AQ25" s="1138">
        <v>18.0</v>
      </c>
      <c r="AR25" s="1120">
        <v>4.0</v>
      </c>
      <c r="AS25" s="1121">
        <v>4.0</v>
      </c>
      <c r="AT25" s="1126">
        <v>8.0</v>
      </c>
      <c r="AU25" s="1121">
        <v>8.0</v>
      </c>
      <c r="AV25" s="1126">
        <v>7.0</v>
      </c>
      <c r="AW25" s="1121">
        <v>7.0</v>
      </c>
      <c r="AX25" s="1126">
        <v>9.0</v>
      </c>
      <c r="AY25" s="1121">
        <v>9.0</v>
      </c>
      <c r="AZ25" s="1141">
        <v>13.0</v>
      </c>
      <c r="BA25" s="1305">
        <v>13.0</v>
      </c>
      <c r="BB25" s="1141">
        <v>7.0</v>
      </c>
      <c r="BC25" s="1305">
        <v>7.0</v>
      </c>
      <c r="BD25" s="1141">
        <v>4.0</v>
      </c>
      <c r="BE25" s="1305">
        <v>4.0</v>
      </c>
      <c r="BF25" s="1141">
        <v>8.0</v>
      </c>
      <c r="BG25" s="1305">
        <v>8.0</v>
      </c>
      <c r="BH25" s="1126">
        <v>7.0</v>
      </c>
      <c r="BI25" s="1131">
        <v>7.0</v>
      </c>
      <c r="BJ25" s="1126">
        <v>9.0</v>
      </c>
      <c r="BK25" s="1305">
        <v>7.0</v>
      </c>
      <c r="BL25" s="1960"/>
      <c r="BM25" s="1173"/>
      <c r="BN25" s="900"/>
      <c r="BO25" s="1170"/>
      <c r="BP25" s="900">
        <f t="shared" si="1"/>
        <v>273</v>
      </c>
      <c r="BQ25" s="1571">
        <f t="shared" si="2"/>
        <v>270</v>
      </c>
      <c r="BR25" s="1949">
        <f t="shared" si="5"/>
        <v>28350</v>
      </c>
      <c r="BS25" s="1106">
        <f t="shared" si="3"/>
        <v>28665</v>
      </c>
      <c r="BT25" s="23"/>
      <c r="BU25" s="23"/>
    </row>
    <row r="26" ht="18.0" customHeight="1">
      <c r="A26" s="1565" t="s">
        <v>145</v>
      </c>
      <c r="B26" s="1164">
        <v>822.0</v>
      </c>
      <c r="C26" s="1153">
        <v>5.0</v>
      </c>
      <c r="D26" s="1133" t="s">
        <v>74</v>
      </c>
      <c r="E26" s="733" t="str">
        <f>'Матрица 4 недели'!J148</f>
        <v>Хлеб пшеничный</v>
      </c>
      <c r="F26" s="1137">
        <v>3.0</v>
      </c>
      <c r="G26" s="1121">
        <v>3.0</v>
      </c>
      <c r="H26" s="1126">
        <v>2.0</v>
      </c>
      <c r="I26" s="1121">
        <v>2.0</v>
      </c>
      <c r="J26" s="1126">
        <v>2.0</v>
      </c>
      <c r="K26" s="1160">
        <v>2.0</v>
      </c>
      <c r="L26" s="1161">
        <v>2.0</v>
      </c>
      <c r="M26" s="1162">
        <v>2.0</v>
      </c>
      <c r="N26" s="1126">
        <v>3.0</v>
      </c>
      <c r="O26" s="1121">
        <v>3.0</v>
      </c>
      <c r="P26" s="1126">
        <v>2.0</v>
      </c>
      <c r="Q26" s="1121">
        <v>2.0</v>
      </c>
      <c r="R26" s="1120">
        <v>2.0</v>
      </c>
      <c r="S26" s="1121">
        <v>2.0</v>
      </c>
      <c r="T26" s="1126">
        <v>2.0</v>
      </c>
      <c r="U26" s="1121">
        <v>2.0</v>
      </c>
      <c r="V26" s="1137">
        <v>2.0</v>
      </c>
      <c r="W26" s="1121">
        <v>2.0</v>
      </c>
      <c r="X26" s="1137">
        <v>2.0</v>
      </c>
      <c r="Y26" s="1121">
        <v>2.0</v>
      </c>
      <c r="Z26" s="1137"/>
      <c r="AA26" s="1121"/>
      <c r="AB26" s="1137">
        <v>2.0</v>
      </c>
      <c r="AC26" s="1121">
        <v>2.0</v>
      </c>
      <c r="AD26" s="1137">
        <v>2.0</v>
      </c>
      <c r="AE26" s="1121">
        <v>2.0</v>
      </c>
      <c r="AF26" s="1120">
        <v>2.0</v>
      </c>
      <c r="AG26" s="1121">
        <v>2.0</v>
      </c>
      <c r="AH26" s="1137">
        <v>2.0</v>
      </c>
      <c r="AI26" s="1121">
        <v>2.0</v>
      </c>
      <c r="AJ26" s="1120">
        <v>2.0</v>
      </c>
      <c r="AK26" s="1121">
        <v>2.0</v>
      </c>
      <c r="AL26" s="1120">
        <v>2.0</v>
      </c>
      <c r="AM26" s="1121">
        <v>2.0</v>
      </c>
      <c r="AN26" s="1120">
        <v>5.0</v>
      </c>
      <c r="AO26" s="1307">
        <v>5.0</v>
      </c>
      <c r="AP26" s="1302">
        <v>2.0</v>
      </c>
      <c r="AQ26" s="1138">
        <v>2.0</v>
      </c>
      <c r="AR26" s="1120"/>
      <c r="AS26" s="1138"/>
      <c r="AT26" s="1126">
        <v>2.0</v>
      </c>
      <c r="AU26" s="1138">
        <v>2.0</v>
      </c>
      <c r="AV26" s="1126">
        <v>2.0</v>
      </c>
      <c r="AW26" s="1138">
        <v>2.0</v>
      </c>
      <c r="AX26" s="1126">
        <v>2.0</v>
      </c>
      <c r="AY26" s="1138">
        <v>2.0</v>
      </c>
      <c r="AZ26" s="1126">
        <v>15.0</v>
      </c>
      <c r="BA26" s="1138">
        <v>15.0</v>
      </c>
      <c r="BB26" s="1126">
        <v>3.0</v>
      </c>
      <c r="BC26" s="1138">
        <v>3.0</v>
      </c>
      <c r="BD26" s="1126">
        <v>2.0</v>
      </c>
      <c r="BE26" s="1138">
        <v>2.0</v>
      </c>
      <c r="BF26" s="1126">
        <v>3.0</v>
      </c>
      <c r="BG26" s="1138">
        <v>3.0</v>
      </c>
      <c r="BH26" s="1126">
        <v>2.0</v>
      </c>
      <c r="BI26" s="1138">
        <v>2.0</v>
      </c>
      <c r="BJ26" s="1126">
        <v>2.0</v>
      </c>
      <c r="BK26" s="1138">
        <v>2.0</v>
      </c>
      <c r="BL26" s="1134">
        <v>125.0</v>
      </c>
      <c r="BM26" s="1121">
        <v>125.0</v>
      </c>
      <c r="BN26" s="900"/>
      <c r="BO26" s="1170"/>
      <c r="BP26" s="900">
        <f t="shared" si="1"/>
        <v>200</v>
      </c>
      <c r="BQ26" s="1571">
        <f t="shared" si="2"/>
        <v>199</v>
      </c>
      <c r="BR26" s="1949">
        <f t="shared" si="5"/>
        <v>995</v>
      </c>
      <c r="BS26" s="1106">
        <f t="shared" si="3"/>
        <v>1000</v>
      </c>
      <c r="BT26" s="23"/>
      <c r="BU26" s="23"/>
    </row>
    <row r="27" ht="18.0" customHeight="1">
      <c r="A27" s="1565"/>
      <c r="B27" s="1164">
        <v>4312.0</v>
      </c>
      <c r="C27" s="1153">
        <v>148.0</v>
      </c>
      <c r="D27" s="1133" t="s">
        <v>80</v>
      </c>
      <c r="E27" s="733" t="str">
        <f>'Матрица 4 недели'!V148</f>
        <v>Фруктовый набор (арбуз/дыня)</v>
      </c>
      <c r="F27" s="1126"/>
      <c r="G27" s="1138">
        <v>2.0</v>
      </c>
      <c r="H27" s="1126"/>
      <c r="I27" s="1138"/>
      <c r="J27" s="1126"/>
      <c r="K27" s="1138">
        <v>2.0</v>
      </c>
      <c r="L27" s="1319"/>
      <c r="M27" s="1138"/>
      <c r="N27" s="1126"/>
      <c r="O27" s="1138">
        <v>2.0</v>
      </c>
      <c r="P27" s="1126"/>
      <c r="Q27" s="1138">
        <v>2.0</v>
      </c>
      <c r="R27" s="1120"/>
      <c r="S27" s="1138"/>
      <c r="T27" s="1137"/>
      <c r="U27" s="1138">
        <v>2.0</v>
      </c>
      <c r="V27" s="1137"/>
      <c r="W27" s="1138">
        <v>2.0</v>
      </c>
      <c r="X27" s="1126"/>
      <c r="Y27" s="1138">
        <v>2.0</v>
      </c>
      <c r="Z27" s="1126"/>
      <c r="AA27" s="1138"/>
      <c r="AB27" s="1120"/>
      <c r="AC27" s="1138"/>
      <c r="AD27" s="1137"/>
      <c r="AE27" s="1138"/>
      <c r="AF27" s="1137"/>
      <c r="AG27" s="1138">
        <v>2.0</v>
      </c>
      <c r="AH27" s="1137"/>
      <c r="AI27" s="1138">
        <v>2.0</v>
      </c>
      <c r="AJ27" s="1137"/>
      <c r="AK27" s="1121"/>
      <c r="AL27" s="1120"/>
      <c r="AM27" s="1121"/>
      <c r="AN27" s="1120"/>
      <c r="AO27" s="1121">
        <v>2.0</v>
      </c>
      <c r="AP27" s="1137"/>
      <c r="AQ27" s="1138"/>
      <c r="AR27" s="1137"/>
      <c r="AS27" s="1121">
        <v>2.0</v>
      </c>
      <c r="AT27" s="1126"/>
      <c r="AU27" s="1121"/>
      <c r="AV27" s="1126"/>
      <c r="AW27" s="1138"/>
      <c r="AX27" s="1126"/>
      <c r="AY27" s="1138">
        <v>2.0</v>
      </c>
      <c r="AZ27" s="1126"/>
      <c r="BA27" s="1138"/>
      <c r="BB27" s="1126"/>
      <c r="BC27" s="1138"/>
      <c r="BD27" s="1126"/>
      <c r="BE27" s="1138">
        <v>1.0</v>
      </c>
      <c r="BF27" s="1126"/>
      <c r="BG27" s="1138">
        <v>2.0</v>
      </c>
      <c r="BH27" s="1126"/>
      <c r="BI27" s="1138">
        <v>2.0</v>
      </c>
      <c r="BJ27" s="1126"/>
      <c r="BK27" s="1138">
        <v>2.0</v>
      </c>
      <c r="BL27" s="1139"/>
      <c r="BM27" s="1138"/>
      <c r="BN27" s="900"/>
      <c r="BO27" s="1170"/>
      <c r="BP27" s="900">
        <f t="shared" si="1"/>
        <v>1</v>
      </c>
      <c r="BQ27" s="1571">
        <f t="shared" si="2"/>
        <v>31</v>
      </c>
      <c r="BR27" s="1949">
        <f t="shared" si="5"/>
        <v>4588</v>
      </c>
      <c r="BS27" s="1106">
        <f t="shared" si="3"/>
        <v>148</v>
      </c>
      <c r="BT27" s="23"/>
      <c r="BU27" s="23"/>
    </row>
    <row r="28" ht="18.0" customHeight="1">
      <c r="A28" s="1708"/>
      <c r="B28" s="1164"/>
      <c r="C28" s="1153"/>
      <c r="D28" s="1153"/>
      <c r="E28" s="1172"/>
      <c r="F28" s="1137"/>
      <c r="G28" s="1121"/>
      <c r="H28" s="1126"/>
      <c r="I28" s="1121"/>
      <c r="J28" s="1126"/>
      <c r="K28" s="1121"/>
      <c r="L28" s="1126"/>
      <c r="M28" s="1121"/>
      <c r="N28" s="1126"/>
      <c r="O28" s="1121"/>
      <c r="P28" s="1126"/>
      <c r="Q28" s="1121"/>
      <c r="R28" s="1137"/>
      <c r="S28" s="1121"/>
      <c r="T28" s="1126"/>
      <c r="U28" s="1138"/>
      <c r="V28" s="1137"/>
      <c r="W28" s="1138"/>
      <c r="X28" s="1137"/>
      <c r="Y28" s="1138"/>
      <c r="Z28" s="1137"/>
      <c r="AA28" s="1138"/>
      <c r="AB28" s="1137"/>
      <c r="AC28" s="1138"/>
      <c r="AD28" s="1137"/>
      <c r="AE28" s="1138"/>
      <c r="AF28" s="1126"/>
      <c r="AG28" s="1138"/>
      <c r="AH28" s="1120"/>
      <c r="AI28" s="1138"/>
      <c r="AJ28" s="1126"/>
      <c r="AK28" s="1138"/>
      <c r="AL28" s="1120"/>
      <c r="AM28" s="1138"/>
      <c r="AN28" s="1120"/>
      <c r="AO28" s="1121"/>
      <c r="AP28" s="1126"/>
      <c r="AQ28" s="1138"/>
      <c r="AR28" s="1120"/>
      <c r="AS28" s="1121"/>
      <c r="AT28" s="1126"/>
      <c r="AU28" s="1121"/>
      <c r="AV28" s="1126"/>
      <c r="AW28" s="1121"/>
      <c r="AX28" s="1126"/>
      <c r="AY28" s="1121"/>
      <c r="AZ28" s="1126"/>
      <c r="BA28" s="1121"/>
      <c r="BB28" s="1126"/>
      <c r="BC28" s="1121"/>
      <c r="BD28" s="1126"/>
      <c r="BE28" s="1121"/>
      <c r="BF28" s="1126"/>
      <c r="BG28" s="1121"/>
      <c r="BH28" s="1126"/>
      <c r="BI28" s="1121"/>
      <c r="BJ28" s="1126"/>
      <c r="BK28" s="1121"/>
      <c r="BL28" s="1169"/>
      <c r="BM28" s="1170"/>
      <c r="BN28" s="900"/>
      <c r="BO28" s="1170"/>
      <c r="BP28" s="900">
        <f t="shared" si="1"/>
        <v>1</v>
      </c>
      <c r="BQ28" s="1571">
        <f t="shared" si="2"/>
        <v>0</v>
      </c>
      <c r="BR28" s="1949">
        <f t="shared" si="5"/>
        <v>0</v>
      </c>
      <c r="BS28" s="1106">
        <f t="shared" si="3"/>
        <v>0</v>
      </c>
      <c r="BT28" s="23"/>
      <c r="BU28" s="23"/>
    </row>
    <row r="29" ht="18.0" customHeight="1">
      <c r="A29" s="1565"/>
      <c r="B29" s="1164"/>
      <c r="C29" s="1153"/>
      <c r="D29" s="1153"/>
      <c r="E29" s="721"/>
      <c r="F29" s="1126"/>
      <c r="G29" s="1138"/>
      <c r="H29" s="1126"/>
      <c r="I29" s="1170"/>
      <c r="J29" s="1126"/>
      <c r="K29" s="1170"/>
      <c r="L29" s="1126"/>
      <c r="M29" s="1138"/>
      <c r="N29" s="1126"/>
      <c r="O29" s="1138"/>
      <c r="P29" s="1126"/>
      <c r="Q29" s="1138"/>
      <c r="R29" s="1120"/>
      <c r="S29" s="1138"/>
      <c r="T29" s="1137"/>
      <c r="U29" s="1138"/>
      <c r="V29" s="1137"/>
      <c r="W29" s="1138"/>
      <c r="X29" s="1137"/>
      <c r="Y29" s="1138"/>
      <c r="Z29" s="1137"/>
      <c r="AA29" s="1138"/>
      <c r="AB29" s="1120"/>
      <c r="AC29" s="1138"/>
      <c r="AD29" s="1137"/>
      <c r="AE29" s="1138"/>
      <c r="AF29" s="1137"/>
      <c r="AG29" s="1121"/>
      <c r="AH29" s="1120"/>
      <c r="AI29" s="1121"/>
      <c r="AJ29" s="1120"/>
      <c r="AK29" s="1121"/>
      <c r="AL29" s="1137"/>
      <c r="AM29" s="1121"/>
      <c r="AN29" s="1137"/>
      <c r="AO29" s="1138"/>
      <c r="AP29" s="1126"/>
      <c r="AQ29" s="1138"/>
      <c r="AR29" s="1126"/>
      <c r="AS29" s="1138"/>
      <c r="AT29" s="1126"/>
      <c r="AU29" s="1138"/>
      <c r="AV29" s="1126"/>
      <c r="AW29" s="1138"/>
      <c r="AX29" s="1126"/>
      <c r="AY29" s="1138"/>
      <c r="AZ29" s="1126"/>
      <c r="BA29" s="1138"/>
      <c r="BB29" s="1126"/>
      <c r="BC29" s="1138"/>
      <c r="BD29" s="1126"/>
      <c r="BE29" s="1138"/>
      <c r="BF29" s="1126"/>
      <c r="BG29" s="1138"/>
      <c r="BH29" s="1126"/>
      <c r="BI29" s="1138"/>
      <c r="BJ29" s="1126"/>
      <c r="BK29" s="1138"/>
      <c r="BL29" s="1139"/>
      <c r="BM29" s="1138"/>
      <c r="BN29" s="900"/>
      <c r="BO29" s="1170"/>
      <c r="BP29" s="900">
        <f t="shared" si="1"/>
        <v>1</v>
      </c>
      <c r="BQ29" s="1571">
        <f t="shared" si="2"/>
        <v>0</v>
      </c>
      <c r="BR29" s="1949">
        <f t="shared" si="5"/>
        <v>0</v>
      </c>
      <c r="BS29" s="1106">
        <f t="shared" si="3"/>
        <v>0</v>
      </c>
      <c r="BT29" s="23"/>
      <c r="BU29" s="23"/>
    </row>
    <row r="30" ht="18.0" customHeight="1">
      <c r="A30" s="1708"/>
      <c r="B30" s="988"/>
      <c r="C30" s="1694"/>
      <c r="D30" s="1693"/>
      <c r="E30" s="721"/>
      <c r="F30" s="1141"/>
      <c r="G30" s="1305"/>
      <c r="H30" s="1141"/>
      <c r="I30" s="1305"/>
      <c r="J30" s="1141"/>
      <c r="K30" s="1305"/>
      <c r="L30" s="1141"/>
      <c r="M30" s="1305"/>
      <c r="N30" s="1141"/>
      <c r="O30" s="1305"/>
      <c r="P30" s="1141"/>
      <c r="Q30" s="1305"/>
      <c r="R30" s="1141"/>
      <c r="S30" s="1959"/>
      <c r="T30" s="1141"/>
      <c r="U30" s="1307"/>
      <c r="V30" s="1143"/>
      <c r="W30" s="1307"/>
      <c r="X30" s="1143"/>
      <c r="Y30" s="1138"/>
      <c r="Z30" s="1120"/>
      <c r="AA30" s="1138"/>
      <c r="AB30" s="1120"/>
      <c r="AC30" s="1138"/>
      <c r="AD30" s="1120"/>
      <c r="AE30" s="1138"/>
      <c r="AF30" s="1120"/>
      <c r="AG30" s="1138"/>
      <c r="AH30" s="1120"/>
      <c r="AI30" s="1138"/>
      <c r="AJ30" s="1120"/>
      <c r="AK30" s="1138"/>
      <c r="AL30" s="1120"/>
      <c r="AM30" s="1138"/>
      <c r="AN30" s="1120"/>
      <c r="AO30" s="1138"/>
      <c r="AP30" s="1126"/>
      <c r="AQ30" s="1138"/>
      <c r="AR30" s="1126"/>
      <c r="AS30" s="1138"/>
      <c r="AT30" s="1120"/>
      <c r="AU30" s="1138"/>
      <c r="AV30" s="1126"/>
      <c r="AW30" s="1138"/>
      <c r="AX30" s="1126"/>
      <c r="AY30" s="1138"/>
      <c r="AZ30" s="1126"/>
      <c r="BA30" s="1138"/>
      <c r="BB30" s="1126"/>
      <c r="BC30" s="1138"/>
      <c r="BD30" s="1126"/>
      <c r="BE30" s="1138"/>
      <c r="BF30" s="1126"/>
      <c r="BG30" s="1138"/>
      <c r="BH30" s="1126"/>
      <c r="BI30" s="1138"/>
      <c r="BJ30" s="1126"/>
      <c r="BK30" s="1138"/>
      <c r="BL30" s="1134"/>
      <c r="BM30" s="1170"/>
      <c r="BN30" s="900"/>
      <c r="BO30" s="1170"/>
      <c r="BP30" s="900">
        <f t="shared" si="1"/>
        <v>1</v>
      </c>
      <c r="BQ30" s="1571">
        <f t="shared" si="2"/>
        <v>0</v>
      </c>
      <c r="BR30" s="1949">
        <f t="shared" si="5"/>
        <v>0</v>
      </c>
      <c r="BS30" s="1106">
        <f t="shared" si="3"/>
        <v>0</v>
      </c>
      <c r="BT30" s="23"/>
      <c r="BU30" s="23"/>
    </row>
    <row r="31" ht="18.0" customHeight="1">
      <c r="A31" s="1565"/>
      <c r="B31" s="988"/>
      <c r="C31" s="1694"/>
      <c r="D31" s="1693"/>
      <c r="E31" s="721"/>
      <c r="F31" s="1141"/>
      <c r="G31" s="1303"/>
      <c r="H31" s="1141"/>
      <c r="I31" s="1303"/>
      <c r="J31" s="1141"/>
      <c r="K31" s="1303"/>
      <c r="L31" s="1141"/>
      <c r="M31" s="1303"/>
      <c r="N31" s="1141"/>
      <c r="O31" s="1303"/>
      <c r="P31" s="1141"/>
      <c r="Q31" s="1303"/>
      <c r="R31" s="1141"/>
      <c r="S31" s="1959"/>
      <c r="T31" s="1141"/>
      <c r="U31" s="1307"/>
      <c r="V31" s="1143"/>
      <c r="W31" s="1307"/>
      <c r="X31" s="1143"/>
      <c r="Y31" s="1138"/>
      <c r="Z31" s="1120"/>
      <c r="AA31" s="1138"/>
      <c r="AB31" s="1120"/>
      <c r="AC31" s="1138"/>
      <c r="AD31" s="1120"/>
      <c r="AE31" s="1138"/>
      <c r="AF31" s="1120"/>
      <c r="AG31" s="1138"/>
      <c r="AH31" s="1120"/>
      <c r="AI31" s="1138"/>
      <c r="AJ31" s="1120"/>
      <c r="AK31" s="1138"/>
      <c r="AL31" s="1120"/>
      <c r="AM31" s="1138"/>
      <c r="AN31" s="1120"/>
      <c r="AO31" s="1138"/>
      <c r="AP31" s="1126"/>
      <c r="AQ31" s="1138"/>
      <c r="AR31" s="1126"/>
      <c r="AS31" s="1138"/>
      <c r="AT31" s="1120"/>
      <c r="AU31" s="1138"/>
      <c r="AV31" s="1126"/>
      <c r="AW31" s="1138"/>
      <c r="AX31" s="1126"/>
      <c r="AY31" s="1138"/>
      <c r="AZ31" s="1126"/>
      <c r="BA31" s="1138"/>
      <c r="BB31" s="1126"/>
      <c r="BC31" s="1138"/>
      <c r="BD31" s="1126"/>
      <c r="BE31" s="1138"/>
      <c r="BF31" s="1126"/>
      <c r="BG31" s="1138"/>
      <c r="BH31" s="1126"/>
      <c r="BI31" s="1138"/>
      <c r="BJ31" s="1126"/>
      <c r="BK31" s="1138"/>
      <c r="BL31" s="1134"/>
      <c r="BM31" s="1170"/>
      <c r="BN31" s="900"/>
      <c r="BO31" s="1170"/>
      <c r="BP31" s="900">
        <f t="shared" si="1"/>
        <v>1</v>
      </c>
      <c r="BQ31" s="1571">
        <f t="shared" si="2"/>
        <v>0</v>
      </c>
      <c r="BR31" s="1949">
        <f t="shared" si="5"/>
        <v>0</v>
      </c>
      <c r="BS31" s="1106">
        <f t="shared" si="3"/>
        <v>0</v>
      </c>
      <c r="BT31" s="23"/>
      <c r="BU31" s="23"/>
    </row>
    <row r="32" ht="18.0" customHeight="1">
      <c r="A32" s="1565"/>
      <c r="B32" s="1164"/>
      <c r="C32" s="1153"/>
      <c r="D32" s="1153"/>
      <c r="E32" s="721"/>
      <c r="F32" s="1126"/>
      <c r="G32" s="1138"/>
      <c r="H32" s="1126"/>
      <c r="I32" s="1138"/>
      <c r="J32" s="1126"/>
      <c r="K32" s="1131"/>
      <c r="L32" s="1126"/>
      <c r="M32" s="1138"/>
      <c r="N32" s="1126"/>
      <c r="O32" s="1138"/>
      <c r="P32" s="1137"/>
      <c r="Q32" s="1138"/>
      <c r="R32" s="1126"/>
      <c r="S32" s="1121"/>
      <c r="T32" s="1137"/>
      <c r="U32" s="1121"/>
      <c r="V32" s="1137"/>
      <c r="W32" s="1121"/>
      <c r="X32" s="1137"/>
      <c r="Y32" s="1121"/>
      <c r="Z32" s="1175"/>
      <c r="AA32" s="1121"/>
      <c r="AB32" s="1120"/>
      <c r="AC32" s="1127"/>
      <c r="AD32" s="1176"/>
      <c r="AE32" s="1121"/>
      <c r="AF32" s="1137"/>
      <c r="AG32" s="1127"/>
      <c r="AH32" s="1137"/>
      <c r="AI32" s="1127"/>
      <c r="AJ32" s="1137"/>
      <c r="AK32" s="1127"/>
      <c r="AL32" s="1137"/>
      <c r="AM32" s="1127"/>
      <c r="AN32" s="1137"/>
      <c r="AO32" s="1127"/>
      <c r="AP32" s="1126"/>
      <c r="AQ32" s="1127"/>
      <c r="AR32" s="1126"/>
      <c r="AS32" s="1127"/>
      <c r="AT32" s="1126"/>
      <c r="AU32" s="1127"/>
      <c r="AV32" s="1126"/>
      <c r="AW32" s="1127"/>
      <c r="AX32" s="1126"/>
      <c r="AY32" s="1127"/>
      <c r="AZ32" s="1126"/>
      <c r="BA32" s="1127"/>
      <c r="BB32" s="1126"/>
      <c r="BC32" s="1127"/>
      <c r="BD32" s="1126"/>
      <c r="BE32" s="1127"/>
      <c r="BF32" s="1126"/>
      <c r="BG32" s="1127"/>
      <c r="BH32" s="1126"/>
      <c r="BI32" s="1127"/>
      <c r="BJ32" s="1126"/>
      <c r="BK32" s="1127"/>
      <c r="BL32" s="1137"/>
      <c r="BM32" s="1121"/>
      <c r="BN32" s="900"/>
      <c r="BO32" s="1170"/>
      <c r="BP32" s="900">
        <f t="shared" si="1"/>
        <v>1</v>
      </c>
      <c r="BQ32" s="1571">
        <f t="shared" si="2"/>
        <v>0</v>
      </c>
      <c r="BR32" s="1949">
        <f t="shared" si="5"/>
        <v>0</v>
      </c>
      <c r="BS32" s="1106">
        <f t="shared" si="3"/>
        <v>0</v>
      </c>
      <c r="BT32" s="1610" t="s">
        <v>3104</v>
      </c>
      <c r="BU32" s="23"/>
    </row>
    <row r="33" ht="15.75" customHeight="1">
      <c r="A33" s="1177"/>
      <c r="B33" s="1965"/>
      <c r="C33" s="1416"/>
      <c r="D33" s="1416"/>
      <c r="E33" s="1417"/>
      <c r="F33" s="1180"/>
      <c r="G33" s="1182"/>
      <c r="H33" s="1180"/>
      <c r="I33" s="1182"/>
      <c r="J33" s="1180"/>
      <c r="K33" s="1182"/>
      <c r="L33" s="1180"/>
      <c r="M33" s="1182"/>
      <c r="N33" s="1180"/>
      <c r="O33" s="1182"/>
      <c r="P33" s="1180"/>
      <c r="Q33" s="1182"/>
      <c r="R33" s="1180"/>
      <c r="S33" s="1182"/>
      <c r="T33" s="1180"/>
      <c r="U33" s="1182"/>
      <c r="V33" s="1182"/>
      <c r="W33" s="1182"/>
      <c r="X33" s="1182"/>
      <c r="Y33" s="1182"/>
      <c r="Z33" s="1180"/>
      <c r="AA33" s="1182"/>
      <c r="AB33" s="1183"/>
      <c r="AC33" s="1182"/>
      <c r="AD33" s="1183"/>
      <c r="AE33" s="1181"/>
      <c r="AF33" s="1180"/>
      <c r="AG33" s="1181"/>
      <c r="AH33" s="1180"/>
      <c r="AI33" s="1181"/>
      <c r="AJ33" s="1180"/>
      <c r="AK33" s="1181"/>
      <c r="AL33" s="1184"/>
      <c r="AM33" s="1181"/>
      <c r="AN33" s="1181"/>
      <c r="AO33" s="1181"/>
      <c r="AP33" s="1181"/>
      <c r="AQ33" s="1181"/>
      <c r="AR33" s="1181"/>
      <c r="AS33" s="1181"/>
      <c r="AT33" s="1181"/>
      <c r="AU33" s="1181"/>
      <c r="AV33" s="1181"/>
      <c r="AW33" s="1181"/>
      <c r="AX33" s="1181"/>
      <c r="AY33" s="1181"/>
      <c r="AZ33" s="1181"/>
      <c r="BA33" s="1181"/>
      <c r="BB33" s="1181"/>
      <c r="BC33" s="1181"/>
      <c r="BD33" s="1181"/>
      <c r="BE33" s="1181"/>
      <c r="BF33" s="1181"/>
      <c r="BG33" s="1181"/>
      <c r="BH33" s="1181"/>
      <c r="BI33" s="1181"/>
      <c r="BJ33" s="1181"/>
      <c r="BK33" s="1181"/>
      <c r="BL33" s="1182" t="s">
        <v>3123</v>
      </c>
      <c r="BN33" s="11"/>
      <c r="BO33" s="11"/>
      <c r="BP33" s="1073">
        <f t="shared" ref="BP33:BS33" si="6">SUM(BP4:BP32)</f>
        <v>2595</v>
      </c>
      <c r="BQ33" s="1714">
        <f t="shared" si="6"/>
        <v>2573</v>
      </c>
      <c r="BR33" s="1800">
        <f t="shared" si="6"/>
        <v>298318</v>
      </c>
      <c r="BS33" s="1800">
        <f t="shared" si="6"/>
        <v>362177</v>
      </c>
      <c r="BT33" s="1678">
        <f>BR33-BS33</f>
        <v>-63859</v>
      </c>
      <c r="BU33" s="11"/>
    </row>
    <row r="34" ht="15.75" customHeight="1">
      <c r="A34" s="1177"/>
      <c r="B34" s="1965"/>
      <c r="C34" s="1416"/>
      <c r="D34" s="1416"/>
      <c r="E34" s="1573"/>
      <c r="F34" s="1672"/>
      <c r="G34" s="1672"/>
      <c r="H34" s="1672"/>
      <c r="I34" s="1672"/>
      <c r="J34" s="1672"/>
      <c r="K34" s="1672"/>
      <c r="L34" s="1681"/>
      <c r="M34" s="1672"/>
      <c r="N34" s="1672"/>
      <c r="O34" s="1672"/>
      <c r="P34" s="1681"/>
      <c r="Q34" s="1672"/>
      <c r="R34" s="1672"/>
      <c r="S34" s="1672"/>
      <c r="T34" s="1672"/>
      <c r="U34" s="1672"/>
      <c r="V34" s="1681"/>
      <c r="W34" s="1672"/>
      <c r="X34" s="1672"/>
      <c r="Y34" s="1672"/>
      <c r="Z34" s="1672"/>
      <c r="AA34" s="1672"/>
      <c r="AB34" s="1672"/>
      <c r="AC34" s="1672"/>
      <c r="AH34" s="701"/>
      <c r="AJ34" s="701"/>
      <c r="BB34" s="1190"/>
      <c r="BD34" s="1190"/>
      <c r="BF34" s="1190"/>
      <c r="BH34" s="1190"/>
      <c r="BJ34" s="1190"/>
      <c r="BN34" s="206"/>
      <c r="BO34" s="206"/>
      <c r="BP34" s="206"/>
      <c r="BQ34" s="195"/>
      <c r="BR34" s="195"/>
      <c r="BS34" s="195"/>
      <c r="BT34" s="195"/>
      <c r="BU34" s="195"/>
    </row>
    <row r="35" ht="15.75" customHeight="1">
      <c r="A35" s="1177"/>
      <c r="B35" s="1965"/>
      <c r="C35" s="1416"/>
      <c r="D35" s="1416"/>
      <c r="E35" s="1573"/>
      <c r="F35" s="1187"/>
      <c r="G35" s="1188"/>
      <c r="H35" s="1187"/>
      <c r="I35" s="1188"/>
      <c r="J35" s="1187"/>
      <c r="K35" s="1188"/>
      <c r="L35" s="1187"/>
      <c r="M35" s="1188"/>
      <c r="N35" s="1187"/>
      <c r="O35" s="1187"/>
      <c r="P35" s="1187"/>
      <c r="Q35" s="1187"/>
      <c r="R35" s="1187"/>
      <c r="S35" s="1187"/>
      <c r="T35" s="1187"/>
      <c r="U35" s="1187"/>
      <c r="V35" s="757"/>
      <c r="W35" s="1187"/>
      <c r="X35" s="757"/>
      <c r="Y35" s="1187"/>
      <c r="Z35" s="1187"/>
      <c r="AA35" s="1187"/>
      <c r="AB35" s="1187"/>
      <c r="AC35" s="1187"/>
      <c r="AD35" s="1187"/>
      <c r="AE35" s="1187"/>
      <c r="AF35" s="1187"/>
      <c r="AG35" s="1187"/>
      <c r="AH35" s="757"/>
      <c r="AI35" s="1187"/>
      <c r="AJ35" s="757"/>
      <c r="AK35" s="1187"/>
      <c r="AL35" s="1187"/>
      <c r="AM35" s="1187"/>
      <c r="AN35" s="1187"/>
      <c r="AO35" s="1187"/>
      <c r="AP35" s="1187"/>
      <c r="AQ35" s="1187"/>
      <c r="AR35" s="1187"/>
      <c r="AS35" s="1187"/>
      <c r="AT35" s="1187"/>
      <c r="AU35" s="1187"/>
      <c r="AV35" s="1187"/>
      <c r="AW35" s="1187"/>
      <c r="AX35" s="1187"/>
      <c r="AY35" s="1187"/>
      <c r="AZ35" s="1187"/>
      <c r="BA35" s="1187"/>
      <c r="BB35" s="1187"/>
      <c r="BC35" s="1187"/>
      <c r="BD35" s="1187"/>
      <c r="BE35" s="1187"/>
      <c r="BF35" s="1187"/>
      <c r="BG35" s="1187"/>
      <c r="BH35" s="1187"/>
      <c r="BI35" s="1187"/>
      <c r="BJ35" s="1187"/>
      <c r="BK35" s="1187"/>
      <c r="BL35" s="620"/>
      <c r="BM35" s="541"/>
      <c r="BN35" s="748"/>
      <c r="BO35" s="748"/>
      <c r="BP35" s="748"/>
      <c r="BQ35" s="11"/>
      <c r="BR35" s="11"/>
      <c r="BS35" s="11"/>
      <c r="BT35" s="11"/>
      <c r="BU35" s="11"/>
    </row>
    <row r="36" ht="15.75" customHeight="1">
      <c r="A36" s="1969" t="s">
        <v>1354</v>
      </c>
      <c r="C36" s="1970">
        <v>46250.0</v>
      </c>
      <c r="E36" s="908" t="s">
        <v>3106</v>
      </c>
      <c r="F36" s="1198"/>
      <c r="G36" s="1198"/>
      <c r="H36" s="13"/>
      <c r="I36" s="13"/>
      <c r="J36" s="13" t="s">
        <v>1356</v>
      </c>
      <c r="K36" s="13"/>
      <c r="L36" s="11"/>
      <c r="M36" s="11"/>
      <c r="N36" s="13"/>
      <c r="O36" s="13"/>
      <c r="P36" s="13"/>
      <c r="Q36" s="13"/>
      <c r="R36" s="1190"/>
      <c r="S36" s="1190"/>
      <c r="T36" s="1190"/>
      <c r="U36" s="1190"/>
      <c r="V36" s="1189"/>
      <c r="W36" s="1190"/>
      <c r="X36" s="1189"/>
      <c r="Y36" s="1190"/>
      <c r="Z36" s="1190"/>
      <c r="AA36" s="1190"/>
      <c r="AB36" s="1190"/>
      <c r="AC36" s="1190"/>
      <c r="AD36" s="1190"/>
      <c r="AE36" s="1190"/>
      <c r="AF36" s="1190"/>
      <c r="AG36" s="1190"/>
      <c r="AH36" s="1189"/>
      <c r="AI36" s="1190"/>
      <c r="AJ36" s="1189"/>
      <c r="AK36" s="1190"/>
      <c r="AL36" s="1190"/>
      <c r="AM36" s="1190"/>
      <c r="AN36" s="1190"/>
      <c r="AO36" s="1190"/>
      <c r="AP36" s="1190"/>
      <c r="AQ36" s="1190"/>
      <c r="AR36" s="1190"/>
      <c r="AS36" s="1190"/>
      <c r="AT36" s="1190"/>
      <c r="AU36" s="1190"/>
      <c r="AV36" s="1190"/>
      <c r="AW36" s="1190"/>
      <c r="AX36" s="1190"/>
      <c r="AY36" s="1190"/>
      <c r="AZ36" s="1190"/>
      <c r="BA36" s="1190"/>
      <c r="BB36" s="1190"/>
      <c r="BC36" s="1190"/>
      <c r="BD36" s="1190"/>
      <c r="BE36" s="1190"/>
      <c r="BF36" s="1190"/>
      <c r="BG36" s="1190"/>
      <c r="BH36" s="1190"/>
      <c r="BI36" s="1190"/>
      <c r="BJ36" s="1190"/>
      <c r="BK36" s="1190"/>
      <c r="BL36" s="1190"/>
      <c r="BM36" s="1190"/>
      <c r="BN36" s="1355"/>
      <c r="BO36" s="1355"/>
      <c r="BP36" s="1355"/>
      <c r="BQ36" s="1355"/>
      <c r="BR36" s="1355"/>
      <c r="BS36" s="1355"/>
      <c r="BT36" s="1355"/>
      <c r="BU36" s="1355"/>
    </row>
    <row r="37" ht="15.75" customHeight="1">
      <c r="A37" s="1944" t="s">
        <v>3069</v>
      </c>
      <c r="B37" s="1971" t="s">
        <v>1283</v>
      </c>
      <c r="C37" s="908" t="s">
        <v>3106</v>
      </c>
      <c r="D37" s="1972" t="s">
        <v>473</v>
      </c>
      <c r="E37" s="1073" t="s">
        <v>471</v>
      </c>
      <c r="F37" s="1201" t="s">
        <v>1357</v>
      </c>
      <c r="G37" s="69"/>
      <c r="H37" s="1201" t="s">
        <v>1287</v>
      </c>
      <c r="I37" s="69"/>
      <c r="J37" s="1202" t="s">
        <v>1358</v>
      </c>
      <c r="K37" s="69"/>
      <c r="L37" s="1201" t="s">
        <v>1359</v>
      </c>
      <c r="M37" s="69"/>
      <c r="N37" s="1201" t="s">
        <v>1360</v>
      </c>
      <c r="O37" s="69"/>
      <c r="P37" s="1201" t="s">
        <v>1361</v>
      </c>
      <c r="Q37" s="69"/>
      <c r="R37" s="1201" t="s">
        <v>1362</v>
      </c>
      <c r="S37" s="69"/>
      <c r="T37" s="1201" t="s">
        <v>1299</v>
      </c>
      <c r="U37" s="69"/>
      <c r="V37" s="1203" t="s">
        <v>1301</v>
      </c>
      <c r="W37" s="69"/>
      <c r="X37" s="1203" t="s">
        <v>1363</v>
      </c>
      <c r="Y37" s="69"/>
      <c r="Z37" s="1203" t="s">
        <v>1305</v>
      </c>
      <c r="AA37" s="69"/>
      <c r="AB37" s="1203" t="s">
        <v>1307</v>
      </c>
      <c r="AC37" s="69"/>
      <c r="AD37" s="1203" t="s">
        <v>1309</v>
      </c>
      <c r="AE37" s="69"/>
      <c r="AF37" s="1203" t="s">
        <v>1311</v>
      </c>
      <c r="AG37" s="69"/>
      <c r="AH37" s="1203" t="s">
        <v>1313</v>
      </c>
      <c r="AI37" s="69"/>
      <c r="AJ37" s="1203" t="s">
        <v>1315</v>
      </c>
      <c r="AK37" s="69"/>
      <c r="AL37" s="1203" t="s">
        <v>1317</v>
      </c>
      <c r="AM37" s="69"/>
      <c r="AN37" s="1203" t="s">
        <v>1319</v>
      </c>
      <c r="AO37" s="69"/>
      <c r="AP37" s="1203" t="s">
        <v>1321</v>
      </c>
      <c r="AQ37" s="69"/>
      <c r="AR37" s="1203" t="s">
        <v>1323</v>
      </c>
      <c r="AS37" s="69"/>
      <c r="AT37" s="1203" t="s">
        <v>1325</v>
      </c>
      <c r="AU37" s="69"/>
      <c r="AV37" s="1203" t="s">
        <v>1327</v>
      </c>
      <c r="AW37" s="69"/>
      <c r="AX37" s="1203" t="s">
        <v>3076</v>
      </c>
      <c r="AY37" s="69"/>
      <c r="AZ37" s="1203" t="s">
        <v>3078</v>
      </c>
      <c r="BA37" s="69"/>
      <c r="BB37" s="1201" t="s">
        <v>3080</v>
      </c>
      <c r="BC37" s="69"/>
      <c r="BD37" s="1201" t="s">
        <v>3082</v>
      </c>
      <c r="BE37" s="69"/>
      <c r="BF37" s="1201" t="s">
        <v>3084</v>
      </c>
      <c r="BG37" s="69"/>
      <c r="BH37" s="1201" t="s">
        <v>3086</v>
      </c>
      <c r="BI37" s="69"/>
      <c r="BJ37" s="1201" t="s">
        <v>3088</v>
      </c>
      <c r="BK37" s="69"/>
      <c r="BL37" s="1204" t="s">
        <v>297</v>
      </c>
      <c r="BM37" s="69"/>
      <c r="BN37" s="1072" t="s">
        <v>5</v>
      </c>
      <c r="BO37" s="69"/>
      <c r="BQ37" s="11"/>
      <c r="BR37" s="11"/>
      <c r="BS37" s="11"/>
      <c r="BT37" s="11"/>
      <c r="BU37" s="11"/>
    </row>
    <row r="38" ht="22.5" customHeight="1">
      <c r="A38" s="1109" t="str">
        <f t="shared" ref="A38:A64" si="7">A4</f>
        <v>Да</v>
      </c>
      <c r="B38" s="1831">
        <v>2762.0</v>
      </c>
      <c r="C38" s="1736">
        <v>174.0</v>
      </c>
      <c r="D38" s="1863"/>
      <c r="E38" s="1973" t="str">
        <f t="shared" ref="E38:E61" si="8">E4</f>
        <v>Запеканка творожная с курагой</v>
      </c>
      <c r="F38" s="1974">
        <f t="shared" ref="F38:F61" si="9">G4</f>
        <v>3</v>
      </c>
      <c r="G38" s="69"/>
      <c r="H38" s="1974">
        <f t="shared" ref="H38:H61" si="10">I4</f>
        <v>2</v>
      </c>
      <c r="I38" s="69"/>
      <c r="J38" s="1974">
        <f t="shared" ref="J38:J61" si="11">K4</f>
        <v>6</v>
      </c>
      <c r="K38" s="69"/>
      <c r="L38" s="1974">
        <f t="shared" ref="L38:L61" si="12">M4</f>
        <v>4</v>
      </c>
      <c r="M38" s="69"/>
      <c r="N38" s="1974">
        <f t="shared" ref="N38:N61" si="13">O4</f>
        <v>10</v>
      </c>
      <c r="O38" s="69"/>
      <c r="P38" s="1974">
        <f t="shared" ref="P38:P61" si="14">Q4</f>
        <v>2</v>
      </c>
      <c r="Q38" s="69"/>
      <c r="R38" s="1974">
        <f t="shared" ref="R38:R61" si="15">S4</f>
        <v>2</v>
      </c>
      <c r="S38" s="69"/>
      <c r="T38" s="1974">
        <f t="shared" ref="T38:T61" si="16">U4</f>
        <v>2</v>
      </c>
      <c r="U38" s="69"/>
      <c r="V38" s="1974">
        <f t="shared" ref="V38:V61" si="17">W4</f>
        <v>5</v>
      </c>
      <c r="W38" s="69"/>
      <c r="X38" s="1974">
        <f t="shared" ref="X38:X61" si="18">Y4</f>
        <v>2</v>
      </c>
      <c r="Y38" s="69"/>
      <c r="Z38" s="1974" t="str">
        <f t="shared" ref="Z38:Z61" si="19">AA4</f>
        <v/>
      </c>
      <c r="AA38" s="69"/>
      <c r="AB38" s="1974">
        <f t="shared" ref="AB38:AB61" si="20">AC4</f>
        <v>3</v>
      </c>
      <c r="AC38" s="69"/>
      <c r="AD38" s="1974">
        <f t="shared" ref="AD38:AD61" si="21">AE4</f>
        <v>3</v>
      </c>
      <c r="AE38" s="69"/>
      <c r="AF38" s="1974">
        <f t="shared" ref="AF38:AF61" si="22">AG4</f>
        <v>7</v>
      </c>
      <c r="AG38" s="69"/>
      <c r="AH38" s="1974">
        <f t="shared" ref="AH38:AH61" si="23">AI4</f>
        <v>4</v>
      </c>
      <c r="AI38" s="69"/>
      <c r="AJ38" s="1974">
        <f t="shared" ref="AJ38:AJ61" si="24">AK4</f>
        <v>3</v>
      </c>
      <c r="AK38" s="69"/>
      <c r="AL38" s="1974">
        <f t="shared" ref="AL38:AL61" si="25">AM4</f>
        <v>3</v>
      </c>
      <c r="AM38" s="69"/>
      <c r="AN38" s="1974">
        <f t="shared" ref="AN38:AN61" si="26">AO4</f>
        <v>10</v>
      </c>
      <c r="AO38" s="69"/>
      <c r="AP38" s="1974">
        <f t="shared" ref="AP38:AP61" si="27">AQ4</f>
        <v>4</v>
      </c>
      <c r="AQ38" s="69"/>
      <c r="AR38" s="1974">
        <f t="shared" ref="AR38:AR61" si="28">AS4</f>
        <v>10</v>
      </c>
      <c r="AS38" s="69"/>
      <c r="AT38" s="1974">
        <f t="shared" ref="AT38:AT61" si="29">AU4</f>
        <v>3</v>
      </c>
      <c r="AU38" s="69"/>
      <c r="AV38" s="1974">
        <f t="shared" ref="AV38:AV61" si="30">AW4</f>
        <v>4</v>
      </c>
      <c r="AW38" s="69"/>
      <c r="AX38" s="1975">
        <f t="shared" ref="AX38:AX61" si="31">AY4</f>
        <v>6</v>
      </c>
      <c r="AY38" s="69"/>
      <c r="AZ38" s="1975">
        <f t="shared" ref="AZ38:AZ61" si="32">BA4</f>
        <v>3</v>
      </c>
      <c r="BA38" s="69"/>
      <c r="BB38" s="1976">
        <f t="shared" ref="BB38:BB61" si="33">BC4</f>
        <v>4</v>
      </c>
      <c r="BC38" s="69"/>
      <c r="BD38" s="1976">
        <f t="shared" ref="BD38:BD61" si="34">BE4</f>
        <v>3</v>
      </c>
      <c r="BE38" s="69"/>
      <c r="BF38" s="1976">
        <f t="shared" ref="BF38:BF61" si="35">BG4</f>
        <v>3</v>
      </c>
      <c r="BG38" s="69"/>
      <c r="BH38" s="1976">
        <f t="shared" ref="BH38:BH61" si="36">BI4</f>
        <v>6</v>
      </c>
      <c r="BI38" s="69"/>
      <c r="BJ38" s="1976">
        <f t="shared" ref="BJ38:BJ61" si="37">BK4</f>
        <v>4</v>
      </c>
      <c r="BK38" s="69"/>
      <c r="BL38" s="1974" t="str">
        <f t="shared" ref="BL38:BL61" si="38">BM4</f>
        <v/>
      </c>
      <c r="BM38" s="69"/>
      <c r="BN38" s="1977">
        <f t="shared" ref="BN38:BN64" si="39">SUM(F38:BM38)</f>
        <v>121</v>
      </c>
      <c r="BO38" s="69"/>
      <c r="BQ38" s="70"/>
      <c r="BR38" s="70"/>
      <c r="BS38" s="70"/>
      <c r="BT38" s="70"/>
      <c r="BU38" s="70"/>
    </row>
    <row r="39" ht="22.5" customHeight="1">
      <c r="A39" s="1109" t="str">
        <f t="shared" si="7"/>
        <v>Да</v>
      </c>
      <c r="B39" s="1831">
        <v>1076.0</v>
      </c>
      <c r="C39" s="1736">
        <v>95.0</v>
      </c>
      <c r="D39" s="1863"/>
      <c r="E39" s="1973" t="str">
        <f t="shared" si="8"/>
        <v>Омлет с ветчиной</v>
      </c>
      <c r="F39" s="1974">
        <f t="shared" si="9"/>
        <v>2</v>
      </c>
      <c r="G39" s="69"/>
      <c r="H39" s="1974">
        <f t="shared" si="10"/>
        <v>2</v>
      </c>
      <c r="I39" s="69"/>
      <c r="J39" s="1974">
        <f t="shared" si="11"/>
        <v>6</v>
      </c>
      <c r="K39" s="69"/>
      <c r="L39" s="1974">
        <f t="shared" si="12"/>
        <v>4</v>
      </c>
      <c r="M39" s="69"/>
      <c r="N39" s="1974">
        <f t="shared" si="13"/>
        <v>4</v>
      </c>
      <c r="O39" s="69"/>
      <c r="P39" s="1974">
        <f t="shared" si="14"/>
        <v>2</v>
      </c>
      <c r="Q39" s="69"/>
      <c r="R39" s="1974">
        <f t="shared" si="15"/>
        <v>3</v>
      </c>
      <c r="S39" s="69"/>
      <c r="T39" s="1974">
        <f t="shared" si="16"/>
        <v>6</v>
      </c>
      <c r="U39" s="69"/>
      <c r="V39" s="1974">
        <f t="shared" si="17"/>
        <v>3</v>
      </c>
      <c r="W39" s="69"/>
      <c r="X39" s="1974">
        <f t="shared" si="18"/>
        <v>2</v>
      </c>
      <c r="Y39" s="69"/>
      <c r="Z39" s="1974" t="str">
        <f t="shared" si="19"/>
        <v/>
      </c>
      <c r="AA39" s="69"/>
      <c r="AB39" s="1974">
        <f t="shared" si="20"/>
        <v>4</v>
      </c>
      <c r="AC39" s="69"/>
      <c r="AD39" s="1974">
        <f t="shared" si="21"/>
        <v>3</v>
      </c>
      <c r="AE39" s="69"/>
      <c r="AF39" s="1974">
        <f t="shared" si="22"/>
        <v>5</v>
      </c>
      <c r="AG39" s="69"/>
      <c r="AH39" s="1974">
        <f t="shared" si="23"/>
        <v>6</v>
      </c>
      <c r="AI39" s="69"/>
      <c r="AJ39" s="1974">
        <f t="shared" si="24"/>
        <v>5</v>
      </c>
      <c r="AK39" s="69"/>
      <c r="AL39" s="1974">
        <f t="shared" si="25"/>
        <v>3</v>
      </c>
      <c r="AM39" s="69"/>
      <c r="AN39" s="1974">
        <f t="shared" si="26"/>
        <v>10</v>
      </c>
      <c r="AO39" s="69"/>
      <c r="AP39" s="1974">
        <f t="shared" si="27"/>
        <v>4</v>
      </c>
      <c r="AQ39" s="69"/>
      <c r="AR39" s="1974">
        <f t="shared" si="28"/>
        <v>8</v>
      </c>
      <c r="AS39" s="69"/>
      <c r="AT39" s="1974">
        <f t="shared" si="29"/>
        <v>1</v>
      </c>
      <c r="AU39" s="69"/>
      <c r="AV39" s="1974">
        <f t="shared" si="30"/>
        <v>4</v>
      </c>
      <c r="AW39" s="69"/>
      <c r="AX39" s="1975">
        <f t="shared" si="31"/>
        <v>6</v>
      </c>
      <c r="AY39" s="69"/>
      <c r="AZ39" s="1975">
        <f t="shared" si="32"/>
        <v>1</v>
      </c>
      <c r="BA39" s="69"/>
      <c r="BB39" s="1976">
        <f t="shared" si="33"/>
        <v>2</v>
      </c>
      <c r="BC39" s="69"/>
      <c r="BD39" s="1976">
        <f t="shared" si="34"/>
        <v>3</v>
      </c>
      <c r="BE39" s="69"/>
      <c r="BF39" s="1976">
        <f t="shared" si="35"/>
        <v>5</v>
      </c>
      <c r="BG39" s="69"/>
      <c r="BH39" s="1976">
        <f t="shared" si="36"/>
        <v>6</v>
      </c>
      <c r="BI39" s="69"/>
      <c r="BJ39" s="1976">
        <f t="shared" si="37"/>
        <v>5</v>
      </c>
      <c r="BK39" s="69"/>
      <c r="BL39" s="1974" t="str">
        <f t="shared" si="38"/>
        <v/>
      </c>
      <c r="BM39" s="69"/>
      <c r="BN39" s="1977">
        <f t="shared" si="39"/>
        <v>115</v>
      </c>
      <c r="BO39" s="69"/>
      <c r="BQ39" s="547"/>
      <c r="BR39" s="547"/>
      <c r="BS39" s="547"/>
      <c r="BT39" s="547"/>
      <c r="BU39" s="547"/>
    </row>
    <row r="40" ht="22.5" customHeight="1">
      <c r="A40" s="1109" t="str">
        <f t="shared" si="7"/>
        <v>Да</v>
      </c>
      <c r="B40" s="1831">
        <v>138.0</v>
      </c>
      <c r="C40" s="1736">
        <v>83.0</v>
      </c>
      <c r="D40" s="1863"/>
      <c r="E40" s="1973" t="str">
        <f t="shared" si="8"/>
        <v>Каша рисовая (на молоке)</v>
      </c>
      <c r="F40" s="1974">
        <f t="shared" si="9"/>
        <v>4</v>
      </c>
      <c r="G40" s="69"/>
      <c r="H40" s="1974">
        <f t="shared" si="10"/>
        <v>2</v>
      </c>
      <c r="I40" s="69"/>
      <c r="J40" s="1974">
        <f t="shared" si="11"/>
        <v>4</v>
      </c>
      <c r="K40" s="69"/>
      <c r="L40" s="1974">
        <f t="shared" si="12"/>
        <v>3</v>
      </c>
      <c r="M40" s="69"/>
      <c r="N40" s="1974">
        <f t="shared" si="13"/>
        <v>3</v>
      </c>
      <c r="O40" s="69"/>
      <c r="P40" s="1974">
        <f t="shared" si="14"/>
        <v>6</v>
      </c>
      <c r="Q40" s="69"/>
      <c r="R40" s="1974">
        <f t="shared" si="15"/>
        <v>0</v>
      </c>
      <c r="S40" s="69"/>
      <c r="T40" s="1974">
        <f t="shared" si="16"/>
        <v>3</v>
      </c>
      <c r="U40" s="69"/>
      <c r="V40" s="1974">
        <f t="shared" si="17"/>
        <v>2</v>
      </c>
      <c r="W40" s="69"/>
      <c r="X40" s="1974">
        <f t="shared" si="18"/>
        <v>3</v>
      </c>
      <c r="Y40" s="69"/>
      <c r="Z40" s="1974" t="str">
        <f t="shared" si="19"/>
        <v/>
      </c>
      <c r="AA40" s="69"/>
      <c r="AB40" s="1974">
        <f t="shared" si="20"/>
        <v>0</v>
      </c>
      <c r="AC40" s="69"/>
      <c r="AD40" s="1974">
        <f t="shared" si="21"/>
        <v>2</v>
      </c>
      <c r="AE40" s="69"/>
      <c r="AF40" s="1974">
        <f t="shared" si="22"/>
        <v>3</v>
      </c>
      <c r="AG40" s="69"/>
      <c r="AH40" s="1974">
        <f t="shared" si="23"/>
        <v>4</v>
      </c>
      <c r="AI40" s="69"/>
      <c r="AJ40" s="1974">
        <f t="shared" si="24"/>
        <v>2</v>
      </c>
      <c r="AK40" s="69"/>
      <c r="AL40" s="1974">
        <f t="shared" si="25"/>
        <v>2</v>
      </c>
      <c r="AM40" s="69"/>
      <c r="AN40" s="1974">
        <f t="shared" si="26"/>
        <v>10</v>
      </c>
      <c r="AO40" s="69"/>
      <c r="AP40" s="1974">
        <f t="shared" si="27"/>
        <v>2</v>
      </c>
      <c r="AQ40" s="69"/>
      <c r="AR40" s="1974">
        <f t="shared" si="28"/>
        <v>3</v>
      </c>
      <c r="AS40" s="69"/>
      <c r="AT40" s="1974">
        <f t="shared" si="29"/>
        <v>0</v>
      </c>
      <c r="AU40" s="69"/>
      <c r="AV40" s="1974">
        <f t="shared" si="30"/>
        <v>2</v>
      </c>
      <c r="AW40" s="69"/>
      <c r="AX40" s="1975">
        <f t="shared" si="31"/>
        <v>2</v>
      </c>
      <c r="AY40" s="69"/>
      <c r="AZ40" s="1975">
        <f t="shared" si="32"/>
        <v>3</v>
      </c>
      <c r="BA40" s="69"/>
      <c r="BB40" s="1976">
        <f t="shared" si="33"/>
        <v>2</v>
      </c>
      <c r="BC40" s="69"/>
      <c r="BD40" s="1976">
        <f t="shared" si="34"/>
        <v>1</v>
      </c>
      <c r="BE40" s="69"/>
      <c r="BF40" s="1976">
        <f t="shared" si="35"/>
        <v>1</v>
      </c>
      <c r="BG40" s="69"/>
      <c r="BH40" s="1976">
        <f t="shared" si="36"/>
        <v>2</v>
      </c>
      <c r="BI40" s="69"/>
      <c r="BJ40" s="1976">
        <f t="shared" si="37"/>
        <v>1</v>
      </c>
      <c r="BK40" s="69"/>
      <c r="BL40" s="1974" t="str">
        <f t="shared" si="38"/>
        <v/>
      </c>
      <c r="BM40" s="69"/>
      <c r="BN40" s="1977">
        <f t="shared" si="39"/>
        <v>72</v>
      </c>
      <c r="BO40" s="69"/>
      <c r="BQ40" s="70"/>
      <c r="BR40" s="70"/>
      <c r="BS40" s="70"/>
      <c r="BT40" s="70"/>
      <c r="BU40" s="70"/>
    </row>
    <row r="41" ht="22.5" customHeight="1">
      <c r="A41" s="1109" t="str">
        <f t="shared" si="7"/>
        <v>Да</v>
      </c>
      <c r="B41" s="1831">
        <v>3147.0</v>
      </c>
      <c r="C41" s="1736">
        <v>98.0</v>
      </c>
      <c r="D41" s="1863"/>
      <c r="E41" s="1973" t="str">
        <f t="shared" si="8"/>
        <v>Салат ''Столичный'' (филе кур)</v>
      </c>
      <c r="F41" s="1974">
        <f t="shared" si="9"/>
        <v>4</v>
      </c>
      <c r="G41" s="69"/>
      <c r="H41" s="1974">
        <f t="shared" si="10"/>
        <v>2</v>
      </c>
      <c r="I41" s="69"/>
      <c r="J41" s="1974">
        <f t="shared" si="11"/>
        <v>2</v>
      </c>
      <c r="K41" s="69"/>
      <c r="L41" s="1974">
        <f t="shared" si="12"/>
        <v>4</v>
      </c>
      <c r="M41" s="69"/>
      <c r="N41" s="1974">
        <f t="shared" si="13"/>
        <v>6</v>
      </c>
      <c r="O41" s="69"/>
      <c r="P41" s="1974">
        <f t="shared" si="14"/>
        <v>3</v>
      </c>
      <c r="Q41" s="69"/>
      <c r="R41" s="1974">
        <f t="shared" si="15"/>
        <v>0</v>
      </c>
      <c r="S41" s="69"/>
      <c r="T41" s="1974">
        <f t="shared" si="16"/>
        <v>2</v>
      </c>
      <c r="U41" s="69"/>
      <c r="V41" s="1974">
        <f t="shared" si="17"/>
        <v>3</v>
      </c>
      <c r="W41" s="69"/>
      <c r="X41" s="1974">
        <f t="shared" si="18"/>
        <v>2</v>
      </c>
      <c r="Y41" s="69"/>
      <c r="Z41" s="1974" t="str">
        <f t="shared" si="19"/>
        <v/>
      </c>
      <c r="AA41" s="69"/>
      <c r="AB41" s="1974">
        <f t="shared" si="20"/>
        <v>2</v>
      </c>
      <c r="AC41" s="69"/>
      <c r="AD41" s="1974">
        <f t="shared" si="21"/>
        <v>3</v>
      </c>
      <c r="AE41" s="69"/>
      <c r="AF41" s="1974">
        <f t="shared" si="22"/>
        <v>2</v>
      </c>
      <c r="AG41" s="69"/>
      <c r="AH41" s="1974">
        <f t="shared" si="23"/>
        <v>2</v>
      </c>
      <c r="AI41" s="69"/>
      <c r="AJ41" s="1974">
        <f t="shared" si="24"/>
        <v>2</v>
      </c>
      <c r="AK41" s="69"/>
      <c r="AL41" s="1974">
        <f t="shared" si="25"/>
        <v>2</v>
      </c>
      <c r="AM41" s="69"/>
      <c r="AN41" s="1974">
        <f t="shared" si="26"/>
        <v>10</v>
      </c>
      <c r="AO41" s="69"/>
      <c r="AP41" s="1974">
        <f t="shared" si="27"/>
        <v>2</v>
      </c>
      <c r="AQ41" s="69"/>
      <c r="AR41" s="1974">
        <f t="shared" si="28"/>
        <v>4</v>
      </c>
      <c r="AS41" s="69"/>
      <c r="AT41" s="1974">
        <f t="shared" si="29"/>
        <v>2</v>
      </c>
      <c r="AU41" s="69"/>
      <c r="AV41" s="1974">
        <f t="shared" si="30"/>
        <v>2</v>
      </c>
      <c r="AW41" s="69"/>
      <c r="AX41" s="1975">
        <f t="shared" si="31"/>
        <v>3</v>
      </c>
      <c r="AY41" s="69"/>
      <c r="AZ41" s="1975">
        <f t="shared" si="32"/>
        <v>2</v>
      </c>
      <c r="BA41" s="69"/>
      <c r="BB41" s="1976">
        <f t="shared" si="33"/>
        <v>2</v>
      </c>
      <c r="BC41" s="69"/>
      <c r="BD41" s="1976">
        <f t="shared" si="34"/>
        <v>2</v>
      </c>
      <c r="BE41" s="69"/>
      <c r="BF41" s="1976">
        <f t="shared" si="35"/>
        <v>4</v>
      </c>
      <c r="BG41" s="69"/>
      <c r="BH41" s="1976">
        <f t="shared" si="36"/>
        <v>2</v>
      </c>
      <c r="BI41" s="69"/>
      <c r="BJ41" s="1976">
        <f t="shared" si="37"/>
        <v>2</v>
      </c>
      <c r="BK41" s="69"/>
      <c r="BL41" s="1974">
        <f t="shared" si="38"/>
        <v>50</v>
      </c>
      <c r="BM41" s="69"/>
      <c r="BN41" s="1977">
        <f t="shared" si="39"/>
        <v>128</v>
      </c>
      <c r="BO41" s="69"/>
      <c r="BQ41" s="70"/>
      <c r="BR41" s="70"/>
      <c r="BS41" s="70"/>
      <c r="BT41" s="70"/>
      <c r="BU41" s="70"/>
    </row>
    <row r="42" ht="22.5" customHeight="1">
      <c r="A42" s="1109" t="str">
        <f t="shared" si="7"/>
        <v>Да</v>
      </c>
      <c r="B42" s="1831">
        <v>3165.0</v>
      </c>
      <c r="C42" s="1736">
        <v>98.0</v>
      </c>
      <c r="D42" s="1863"/>
      <c r="E42" s="1973" t="str">
        <f t="shared" si="8"/>
        <v>Салат ''Красное море'' (крабовые палочки)</v>
      </c>
      <c r="F42" s="1974">
        <f t="shared" si="9"/>
        <v>6</v>
      </c>
      <c r="G42" s="69"/>
      <c r="H42" s="1974">
        <f t="shared" si="10"/>
        <v>4</v>
      </c>
      <c r="I42" s="69"/>
      <c r="J42" s="1974">
        <f t="shared" si="11"/>
        <v>4</v>
      </c>
      <c r="K42" s="69"/>
      <c r="L42" s="1974">
        <f t="shared" si="12"/>
        <v>2</v>
      </c>
      <c r="M42" s="69"/>
      <c r="N42" s="1974">
        <f t="shared" si="13"/>
        <v>8</v>
      </c>
      <c r="O42" s="69"/>
      <c r="P42" s="1974">
        <f t="shared" si="14"/>
        <v>6</v>
      </c>
      <c r="Q42" s="69"/>
      <c r="R42" s="1974">
        <f t="shared" si="15"/>
        <v>4</v>
      </c>
      <c r="S42" s="69"/>
      <c r="T42" s="1974">
        <f t="shared" si="16"/>
        <v>2</v>
      </c>
      <c r="U42" s="69"/>
      <c r="V42" s="1974">
        <f t="shared" si="17"/>
        <v>2</v>
      </c>
      <c r="W42" s="69"/>
      <c r="X42" s="1974">
        <f t="shared" si="18"/>
        <v>2</v>
      </c>
      <c r="Y42" s="69"/>
      <c r="Z42" s="1974" t="str">
        <f t="shared" si="19"/>
        <v/>
      </c>
      <c r="AA42" s="69"/>
      <c r="AB42" s="1974">
        <f t="shared" si="20"/>
        <v>2</v>
      </c>
      <c r="AC42" s="69"/>
      <c r="AD42" s="1974">
        <f t="shared" si="21"/>
        <v>3</v>
      </c>
      <c r="AE42" s="69"/>
      <c r="AF42" s="1974">
        <f t="shared" si="22"/>
        <v>6</v>
      </c>
      <c r="AG42" s="69"/>
      <c r="AH42" s="1974">
        <f t="shared" si="23"/>
        <v>2</v>
      </c>
      <c r="AI42" s="69"/>
      <c r="AJ42" s="1974">
        <f t="shared" si="24"/>
        <v>4</v>
      </c>
      <c r="AK42" s="69"/>
      <c r="AL42" s="1974">
        <f t="shared" si="25"/>
        <v>4</v>
      </c>
      <c r="AM42" s="69"/>
      <c r="AN42" s="1974">
        <f t="shared" si="26"/>
        <v>10</v>
      </c>
      <c r="AO42" s="69"/>
      <c r="AP42" s="1974">
        <f t="shared" si="27"/>
        <v>3</v>
      </c>
      <c r="AQ42" s="69"/>
      <c r="AR42" s="1974">
        <f t="shared" si="28"/>
        <v>9</v>
      </c>
      <c r="AS42" s="69"/>
      <c r="AT42" s="1974">
        <f t="shared" si="29"/>
        <v>7</v>
      </c>
      <c r="AU42" s="69"/>
      <c r="AV42" s="1974">
        <f t="shared" si="30"/>
        <v>5</v>
      </c>
      <c r="AW42" s="69"/>
      <c r="AX42" s="1975">
        <f t="shared" si="31"/>
        <v>8</v>
      </c>
      <c r="AY42" s="69"/>
      <c r="AZ42" s="1975">
        <f t="shared" si="32"/>
        <v>2</v>
      </c>
      <c r="BA42" s="69"/>
      <c r="BB42" s="1976">
        <f t="shared" si="33"/>
        <v>2</v>
      </c>
      <c r="BC42" s="69"/>
      <c r="BD42" s="1976">
        <f t="shared" si="34"/>
        <v>3</v>
      </c>
      <c r="BE42" s="69"/>
      <c r="BF42" s="1976">
        <f t="shared" si="35"/>
        <v>3</v>
      </c>
      <c r="BG42" s="69"/>
      <c r="BH42" s="1976">
        <f t="shared" si="36"/>
        <v>2</v>
      </c>
      <c r="BI42" s="69"/>
      <c r="BJ42" s="1976">
        <f t="shared" si="37"/>
        <v>5</v>
      </c>
      <c r="BK42" s="69"/>
      <c r="BL42" s="1974">
        <f t="shared" si="38"/>
        <v>50</v>
      </c>
      <c r="BM42" s="69"/>
      <c r="BN42" s="1977">
        <f t="shared" si="39"/>
        <v>170</v>
      </c>
      <c r="BO42" s="69"/>
      <c r="BQ42" s="547"/>
      <c r="BR42" s="547"/>
      <c r="BS42" s="547"/>
      <c r="BT42" s="547"/>
      <c r="BU42" s="547"/>
    </row>
    <row r="43" ht="22.5" customHeight="1">
      <c r="A43" s="1109" t="str">
        <f t="shared" si="7"/>
        <v>Да</v>
      </c>
      <c r="B43" s="1831">
        <v>2686.0</v>
      </c>
      <c r="C43" s="1736">
        <v>98.0</v>
      </c>
      <c r="D43" s="1863"/>
      <c r="E43" s="1973" t="str">
        <f t="shared" si="8"/>
        <v>Салат ''Коул Слоу'' 120 гр</v>
      </c>
      <c r="F43" s="1974">
        <f t="shared" si="9"/>
        <v>6</v>
      </c>
      <c r="G43" s="69"/>
      <c r="H43" s="1974">
        <f t="shared" si="10"/>
        <v>1</v>
      </c>
      <c r="I43" s="69"/>
      <c r="J43" s="1974">
        <f t="shared" si="11"/>
        <v>3</v>
      </c>
      <c r="K43" s="69"/>
      <c r="L43" s="1974">
        <f t="shared" si="12"/>
        <v>4</v>
      </c>
      <c r="M43" s="69"/>
      <c r="N43" s="1974">
        <f t="shared" si="13"/>
        <v>6</v>
      </c>
      <c r="O43" s="69"/>
      <c r="P43" s="1974">
        <f t="shared" si="14"/>
        <v>7</v>
      </c>
      <c r="Q43" s="69"/>
      <c r="R43" s="1974">
        <f t="shared" si="15"/>
        <v>1</v>
      </c>
      <c r="S43" s="69"/>
      <c r="T43" s="1974">
        <f t="shared" si="16"/>
        <v>2</v>
      </c>
      <c r="U43" s="69"/>
      <c r="V43" s="1974">
        <f t="shared" si="17"/>
        <v>2</v>
      </c>
      <c r="W43" s="69"/>
      <c r="X43" s="1974">
        <f t="shared" si="18"/>
        <v>2</v>
      </c>
      <c r="Y43" s="69"/>
      <c r="Z43" s="1974" t="str">
        <f t="shared" si="19"/>
        <v/>
      </c>
      <c r="AA43" s="69"/>
      <c r="AB43" s="1974">
        <f t="shared" si="20"/>
        <v>2</v>
      </c>
      <c r="AC43" s="69"/>
      <c r="AD43" s="1974">
        <f t="shared" si="21"/>
        <v>2</v>
      </c>
      <c r="AE43" s="69"/>
      <c r="AF43" s="1974">
        <f t="shared" si="22"/>
        <v>2</v>
      </c>
      <c r="AG43" s="69"/>
      <c r="AH43" s="1974">
        <f t="shared" si="23"/>
        <v>3</v>
      </c>
      <c r="AI43" s="69"/>
      <c r="AJ43" s="1974">
        <f t="shared" si="24"/>
        <v>2</v>
      </c>
      <c r="AK43" s="69"/>
      <c r="AL43" s="1974">
        <f t="shared" si="25"/>
        <v>2</v>
      </c>
      <c r="AM43" s="69"/>
      <c r="AN43" s="1974">
        <f t="shared" si="26"/>
        <v>10</v>
      </c>
      <c r="AO43" s="69"/>
      <c r="AP43" s="1974">
        <f t="shared" si="27"/>
        <v>1</v>
      </c>
      <c r="AQ43" s="69"/>
      <c r="AR43" s="1974">
        <f t="shared" si="28"/>
        <v>8</v>
      </c>
      <c r="AS43" s="69"/>
      <c r="AT43" s="1974">
        <f t="shared" si="29"/>
        <v>3</v>
      </c>
      <c r="AU43" s="69"/>
      <c r="AV43" s="1974">
        <f t="shared" si="30"/>
        <v>2</v>
      </c>
      <c r="AW43" s="69"/>
      <c r="AX43" s="1975">
        <f t="shared" si="31"/>
        <v>4</v>
      </c>
      <c r="AY43" s="69"/>
      <c r="AZ43" s="1975">
        <f t="shared" si="32"/>
        <v>2</v>
      </c>
      <c r="BA43" s="69"/>
      <c r="BB43" s="1976">
        <f t="shared" si="33"/>
        <v>2</v>
      </c>
      <c r="BC43" s="69"/>
      <c r="BD43" s="1976">
        <f t="shared" si="34"/>
        <v>0</v>
      </c>
      <c r="BE43" s="69"/>
      <c r="BF43" s="1976">
        <f t="shared" si="35"/>
        <v>4</v>
      </c>
      <c r="BG43" s="69"/>
      <c r="BH43" s="1976">
        <f t="shared" si="36"/>
        <v>2</v>
      </c>
      <c r="BI43" s="69"/>
      <c r="BJ43" s="1976">
        <f t="shared" si="37"/>
        <v>5</v>
      </c>
      <c r="BK43" s="69"/>
      <c r="BL43" s="1974">
        <f t="shared" si="38"/>
        <v>30</v>
      </c>
      <c r="BM43" s="69"/>
      <c r="BN43" s="1977">
        <f t="shared" si="39"/>
        <v>120</v>
      </c>
      <c r="BO43" s="69"/>
      <c r="BQ43" s="70"/>
      <c r="BR43" s="70"/>
      <c r="BS43" s="70"/>
      <c r="BT43" s="70"/>
      <c r="BU43" s="70"/>
    </row>
    <row r="44" ht="22.5" customHeight="1">
      <c r="A44" s="1109" t="str">
        <f t="shared" si="7"/>
        <v>Да</v>
      </c>
      <c r="B44" s="1831">
        <v>3306.0</v>
      </c>
      <c r="C44" s="1736">
        <v>237.0</v>
      </c>
      <c r="D44" s="1863"/>
      <c r="E44" s="1973" t="str">
        <f t="shared" si="8"/>
        <v>Боул с курицей, бобами эдамаме и овощами</v>
      </c>
      <c r="F44" s="1974">
        <f t="shared" si="9"/>
        <v>5</v>
      </c>
      <c r="G44" s="69"/>
      <c r="H44" s="1974">
        <f t="shared" si="10"/>
        <v>2</v>
      </c>
      <c r="I44" s="69"/>
      <c r="J44" s="1974">
        <f t="shared" si="11"/>
        <v>2</v>
      </c>
      <c r="K44" s="69"/>
      <c r="L44" s="1974">
        <f t="shared" si="12"/>
        <v>2</v>
      </c>
      <c r="M44" s="69"/>
      <c r="N44" s="1974">
        <f t="shared" si="13"/>
        <v>2</v>
      </c>
      <c r="O44" s="69"/>
      <c r="P44" s="1974">
        <f t="shared" si="14"/>
        <v>3</v>
      </c>
      <c r="Q44" s="69"/>
      <c r="R44" s="1974">
        <f t="shared" si="15"/>
        <v>0</v>
      </c>
      <c r="S44" s="69"/>
      <c r="T44" s="1974">
        <f t="shared" si="16"/>
        <v>2</v>
      </c>
      <c r="U44" s="69"/>
      <c r="V44" s="1974">
        <f t="shared" si="17"/>
        <v>2</v>
      </c>
      <c r="W44" s="69"/>
      <c r="X44" s="1974">
        <f t="shared" si="18"/>
        <v>2</v>
      </c>
      <c r="Y44" s="69"/>
      <c r="Z44" s="1974" t="str">
        <f t="shared" si="19"/>
        <v/>
      </c>
      <c r="AA44" s="69"/>
      <c r="AB44" s="1974">
        <f t="shared" si="20"/>
        <v>2</v>
      </c>
      <c r="AC44" s="69"/>
      <c r="AD44" s="1974">
        <f t="shared" si="21"/>
        <v>0</v>
      </c>
      <c r="AE44" s="69"/>
      <c r="AF44" s="1974">
        <f t="shared" si="22"/>
        <v>2</v>
      </c>
      <c r="AG44" s="69"/>
      <c r="AH44" s="1974">
        <f t="shared" si="23"/>
        <v>4</v>
      </c>
      <c r="AI44" s="69"/>
      <c r="AJ44" s="1974">
        <f t="shared" si="24"/>
        <v>2</v>
      </c>
      <c r="AK44" s="69"/>
      <c r="AL44" s="1974">
        <f t="shared" si="25"/>
        <v>3</v>
      </c>
      <c r="AM44" s="69"/>
      <c r="AN44" s="1974">
        <f t="shared" si="26"/>
        <v>6</v>
      </c>
      <c r="AO44" s="69"/>
      <c r="AP44" s="1974">
        <f t="shared" si="27"/>
        <v>3</v>
      </c>
      <c r="AQ44" s="69"/>
      <c r="AR44" s="1974">
        <f t="shared" si="28"/>
        <v>4</v>
      </c>
      <c r="AS44" s="69"/>
      <c r="AT44" s="1974">
        <f t="shared" si="29"/>
        <v>3</v>
      </c>
      <c r="AU44" s="69"/>
      <c r="AV44" s="1974">
        <f t="shared" si="30"/>
        <v>2</v>
      </c>
      <c r="AW44" s="69"/>
      <c r="AX44" s="1975">
        <f t="shared" si="31"/>
        <v>3</v>
      </c>
      <c r="AY44" s="69"/>
      <c r="AZ44" s="1975">
        <f t="shared" si="32"/>
        <v>3</v>
      </c>
      <c r="BA44" s="69"/>
      <c r="BB44" s="1976">
        <f t="shared" si="33"/>
        <v>5</v>
      </c>
      <c r="BC44" s="69"/>
      <c r="BD44" s="1976">
        <f t="shared" si="34"/>
        <v>2</v>
      </c>
      <c r="BE44" s="69"/>
      <c r="BF44" s="1976">
        <f t="shared" si="35"/>
        <v>3</v>
      </c>
      <c r="BG44" s="69"/>
      <c r="BH44" s="1976">
        <f t="shared" si="36"/>
        <v>5</v>
      </c>
      <c r="BI44" s="69"/>
      <c r="BJ44" s="1976">
        <f t="shared" si="37"/>
        <v>5</v>
      </c>
      <c r="BK44" s="69"/>
      <c r="BL44" s="1974" t="str">
        <f t="shared" si="38"/>
        <v/>
      </c>
      <c r="BM44" s="69"/>
      <c r="BN44" s="1977">
        <f t="shared" si="39"/>
        <v>79</v>
      </c>
      <c r="BO44" s="69"/>
      <c r="BQ44" s="547"/>
      <c r="BR44" s="547"/>
      <c r="BS44" s="547"/>
      <c r="BT44" s="547"/>
      <c r="BU44" s="547"/>
    </row>
    <row r="45" ht="22.5" customHeight="1">
      <c r="A45" s="1109" t="str">
        <f t="shared" si="7"/>
        <v/>
      </c>
      <c r="B45" s="1831">
        <v>793.0</v>
      </c>
      <c r="C45" s="1736">
        <v>106.0</v>
      </c>
      <c r="D45" s="1863"/>
      <c r="E45" s="1973" t="str">
        <f t="shared" si="8"/>
        <v>Борщ с курицей</v>
      </c>
      <c r="F45" s="1974" t="str">
        <f t="shared" si="9"/>
        <v/>
      </c>
      <c r="G45" s="69"/>
      <c r="H45" s="1974" t="str">
        <f t="shared" si="10"/>
        <v/>
      </c>
      <c r="I45" s="69"/>
      <c r="J45" s="1974" t="str">
        <f t="shared" si="11"/>
        <v/>
      </c>
      <c r="K45" s="69"/>
      <c r="L45" s="1974" t="str">
        <f t="shared" si="12"/>
        <v/>
      </c>
      <c r="M45" s="69"/>
      <c r="N45" s="1974" t="str">
        <f t="shared" si="13"/>
        <v/>
      </c>
      <c r="O45" s="69"/>
      <c r="P45" s="1974" t="str">
        <f t="shared" si="14"/>
        <v/>
      </c>
      <c r="Q45" s="69"/>
      <c r="R45" s="1974" t="str">
        <f t="shared" si="15"/>
        <v/>
      </c>
      <c r="S45" s="69"/>
      <c r="T45" s="1974" t="str">
        <f t="shared" si="16"/>
        <v/>
      </c>
      <c r="U45" s="69"/>
      <c r="V45" s="1974" t="str">
        <f t="shared" si="17"/>
        <v/>
      </c>
      <c r="W45" s="69"/>
      <c r="X45" s="1974" t="str">
        <f t="shared" si="18"/>
        <v/>
      </c>
      <c r="Y45" s="69"/>
      <c r="Z45" s="1974" t="str">
        <f t="shared" si="19"/>
        <v/>
      </c>
      <c r="AA45" s="69"/>
      <c r="AB45" s="1974" t="str">
        <f t="shared" si="20"/>
        <v/>
      </c>
      <c r="AC45" s="69"/>
      <c r="AD45" s="1974" t="str">
        <f t="shared" si="21"/>
        <v/>
      </c>
      <c r="AE45" s="69"/>
      <c r="AF45" s="1974" t="str">
        <f t="shared" si="22"/>
        <v/>
      </c>
      <c r="AG45" s="69"/>
      <c r="AH45" s="1974" t="str">
        <f t="shared" si="23"/>
        <v/>
      </c>
      <c r="AI45" s="69"/>
      <c r="AJ45" s="1974" t="str">
        <f t="shared" si="24"/>
        <v/>
      </c>
      <c r="AK45" s="69"/>
      <c r="AL45" s="1974" t="str">
        <f t="shared" si="25"/>
        <v/>
      </c>
      <c r="AM45" s="69"/>
      <c r="AN45" s="1974" t="str">
        <f t="shared" si="26"/>
        <v/>
      </c>
      <c r="AO45" s="69"/>
      <c r="AP45" s="1974" t="str">
        <f t="shared" si="27"/>
        <v/>
      </c>
      <c r="AQ45" s="69"/>
      <c r="AR45" s="1974" t="str">
        <f t="shared" si="28"/>
        <v/>
      </c>
      <c r="AS45" s="69"/>
      <c r="AT45" s="1974" t="str">
        <f t="shared" si="29"/>
        <v/>
      </c>
      <c r="AU45" s="69"/>
      <c r="AV45" s="1974" t="str">
        <f t="shared" si="30"/>
        <v/>
      </c>
      <c r="AW45" s="69"/>
      <c r="AX45" s="1975" t="str">
        <f t="shared" si="31"/>
        <v/>
      </c>
      <c r="AY45" s="69"/>
      <c r="AZ45" s="1975" t="str">
        <f t="shared" si="32"/>
        <v/>
      </c>
      <c r="BA45" s="69"/>
      <c r="BB45" s="1976" t="str">
        <f t="shared" si="33"/>
        <v/>
      </c>
      <c r="BC45" s="69"/>
      <c r="BD45" s="1976" t="str">
        <f t="shared" si="34"/>
        <v/>
      </c>
      <c r="BE45" s="69"/>
      <c r="BF45" s="1976" t="str">
        <f t="shared" si="35"/>
        <v/>
      </c>
      <c r="BG45" s="69"/>
      <c r="BH45" s="1976" t="str">
        <f t="shared" si="36"/>
        <v/>
      </c>
      <c r="BI45" s="69"/>
      <c r="BJ45" s="1976" t="str">
        <f t="shared" si="37"/>
        <v/>
      </c>
      <c r="BK45" s="69"/>
      <c r="BL45" s="1974">
        <f t="shared" si="38"/>
        <v>120</v>
      </c>
      <c r="BM45" s="69"/>
      <c r="BN45" s="1977">
        <f t="shared" si="39"/>
        <v>120</v>
      </c>
      <c r="BO45" s="69"/>
      <c r="BQ45" s="70"/>
      <c r="BR45" s="70"/>
      <c r="BS45" s="70"/>
      <c r="BT45" s="70"/>
      <c r="BU45" s="70"/>
    </row>
    <row r="46" ht="22.5" customHeight="1">
      <c r="A46" s="1109" t="str">
        <f t="shared" si="7"/>
        <v/>
      </c>
      <c r="B46" s="1831"/>
      <c r="C46" s="1736"/>
      <c r="D46" s="1863"/>
      <c r="E46" s="1973" t="str">
        <f t="shared" si="8"/>
        <v/>
      </c>
      <c r="F46" s="1974" t="str">
        <f t="shared" si="9"/>
        <v/>
      </c>
      <c r="G46" s="69"/>
      <c r="H46" s="2006" t="str">
        <f t="shared" si="10"/>
        <v/>
      </c>
      <c r="I46" s="69"/>
      <c r="J46" s="1974" t="str">
        <f t="shared" si="11"/>
        <v/>
      </c>
      <c r="K46" s="69"/>
      <c r="L46" s="1974" t="str">
        <f t="shared" si="12"/>
        <v/>
      </c>
      <c r="M46" s="69"/>
      <c r="N46" s="1974" t="str">
        <f t="shared" si="13"/>
        <v/>
      </c>
      <c r="O46" s="69"/>
      <c r="P46" s="2006" t="str">
        <f t="shared" si="14"/>
        <v/>
      </c>
      <c r="Q46" s="69"/>
      <c r="R46" s="1974" t="str">
        <f t="shared" si="15"/>
        <v/>
      </c>
      <c r="S46" s="69"/>
      <c r="T46" s="1974" t="str">
        <f t="shared" si="16"/>
        <v/>
      </c>
      <c r="U46" s="69"/>
      <c r="V46" s="1974" t="str">
        <f t="shared" si="17"/>
        <v/>
      </c>
      <c r="W46" s="69"/>
      <c r="X46" s="1974" t="str">
        <f t="shared" si="18"/>
        <v/>
      </c>
      <c r="Y46" s="69"/>
      <c r="Z46" s="1974" t="str">
        <f t="shared" si="19"/>
        <v/>
      </c>
      <c r="AA46" s="69"/>
      <c r="AB46" s="1974" t="str">
        <f t="shared" si="20"/>
        <v/>
      </c>
      <c r="AC46" s="69"/>
      <c r="AD46" s="1974" t="str">
        <f t="shared" si="21"/>
        <v/>
      </c>
      <c r="AE46" s="69"/>
      <c r="AF46" s="1974" t="str">
        <f t="shared" si="22"/>
        <v/>
      </c>
      <c r="AG46" s="69"/>
      <c r="AH46" s="1974" t="str">
        <f t="shared" si="23"/>
        <v/>
      </c>
      <c r="AI46" s="69"/>
      <c r="AJ46" s="1974" t="str">
        <f t="shared" si="24"/>
        <v/>
      </c>
      <c r="AK46" s="69"/>
      <c r="AL46" s="1974" t="str">
        <f t="shared" si="25"/>
        <v/>
      </c>
      <c r="AM46" s="69"/>
      <c r="AN46" s="1974" t="str">
        <f t="shared" si="26"/>
        <v/>
      </c>
      <c r="AO46" s="69"/>
      <c r="AP46" s="1974" t="str">
        <f t="shared" si="27"/>
        <v/>
      </c>
      <c r="AQ46" s="69"/>
      <c r="AR46" s="1974" t="str">
        <f t="shared" si="28"/>
        <v/>
      </c>
      <c r="AS46" s="69"/>
      <c r="AT46" s="1974" t="str">
        <f t="shared" si="29"/>
        <v/>
      </c>
      <c r="AU46" s="69"/>
      <c r="AV46" s="1974" t="str">
        <f t="shared" si="30"/>
        <v/>
      </c>
      <c r="AW46" s="69"/>
      <c r="AX46" s="1975" t="str">
        <f t="shared" si="31"/>
        <v/>
      </c>
      <c r="AY46" s="69"/>
      <c r="AZ46" s="1975" t="str">
        <f t="shared" si="32"/>
        <v/>
      </c>
      <c r="BA46" s="69"/>
      <c r="BB46" s="1976" t="str">
        <f t="shared" si="33"/>
        <v/>
      </c>
      <c r="BC46" s="69"/>
      <c r="BD46" s="1976" t="str">
        <f t="shared" si="34"/>
        <v/>
      </c>
      <c r="BE46" s="69"/>
      <c r="BF46" s="1976" t="str">
        <f t="shared" si="35"/>
        <v/>
      </c>
      <c r="BG46" s="69"/>
      <c r="BH46" s="1976" t="str">
        <f t="shared" si="36"/>
        <v/>
      </c>
      <c r="BI46" s="69"/>
      <c r="BJ46" s="1976" t="str">
        <f t="shared" si="37"/>
        <v/>
      </c>
      <c r="BK46" s="69"/>
      <c r="BL46" s="1974" t="str">
        <f t="shared" si="38"/>
        <v/>
      </c>
      <c r="BM46" s="69"/>
      <c r="BN46" s="1977">
        <f t="shared" si="39"/>
        <v>0</v>
      </c>
      <c r="BO46" s="69"/>
      <c r="BQ46" s="70"/>
      <c r="BR46" s="70"/>
      <c r="BS46" s="70"/>
      <c r="BT46" s="70"/>
      <c r="BU46" s="70"/>
    </row>
    <row r="47" ht="22.5" customHeight="1">
      <c r="A47" s="1109" t="str">
        <f t="shared" si="7"/>
        <v>Да</v>
      </c>
      <c r="B47" s="1831">
        <v>4175.0</v>
      </c>
      <c r="C47" s="1736">
        <v>198.0</v>
      </c>
      <c r="D47" s="1863"/>
      <c r="E47" s="1973" t="str">
        <f t="shared" si="8"/>
        <v>Минтай в маринаде с картофельным пюре</v>
      </c>
      <c r="F47" s="1974" t="str">
        <f t="shared" si="9"/>
        <v/>
      </c>
      <c r="G47" s="69"/>
      <c r="H47" s="2006">
        <f t="shared" si="10"/>
        <v>1</v>
      </c>
      <c r="I47" s="69"/>
      <c r="J47" s="1974">
        <f t="shared" si="11"/>
        <v>1</v>
      </c>
      <c r="K47" s="69"/>
      <c r="L47" s="1974" t="str">
        <f t="shared" si="12"/>
        <v/>
      </c>
      <c r="M47" s="69"/>
      <c r="N47" s="1974">
        <f t="shared" si="13"/>
        <v>2</v>
      </c>
      <c r="O47" s="69"/>
      <c r="P47" s="2006">
        <f t="shared" si="14"/>
        <v>2</v>
      </c>
      <c r="Q47" s="69"/>
      <c r="R47" s="1974">
        <f t="shared" si="15"/>
        <v>1</v>
      </c>
      <c r="S47" s="69"/>
      <c r="T47" s="1974">
        <f t="shared" si="16"/>
        <v>1</v>
      </c>
      <c r="U47" s="69"/>
      <c r="V47" s="1974">
        <f t="shared" si="17"/>
        <v>1</v>
      </c>
      <c r="W47" s="69"/>
      <c r="X47" s="1974" t="str">
        <f t="shared" si="18"/>
        <v/>
      </c>
      <c r="Y47" s="69"/>
      <c r="Z47" s="1974" t="str">
        <f t="shared" si="19"/>
        <v/>
      </c>
      <c r="AA47" s="69"/>
      <c r="AB47" s="1974" t="str">
        <f t="shared" si="20"/>
        <v/>
      </c>
      <c r="AC47" s="69"/>
      <c r="AD47" s="1974">
        <f t="shared" si="21"/>
        <v>1</v>
      </c>
      <c r="AE47" s="69"/>
      <c r="AF47" s="1974" t="str">
        <f t="shared" si="22"/>
        <v/>
      </c>
      <c r="AG47" s="69"/>
      <c r="AH47" s="1974" t="str">
        <f t="shared" si="23"/>
        <v/>
      </c>
      <c r="AI47" s="69"/>
      <c r="AJ47" s="1974" t="str">
        <f t="shared" si="24"/>
        <v/>
      </c>
      <c r="AK47" s="69"/>
      <c r="AL47" s="1974" t="str">
        <f t="shared" si="25"/>
        <v/>
      </c>
      <c r="AM47" s="69"/>
      <c r="AN47" s="1974" t="str">
        <f t="shared" si="26"/>
        <v/>
      </c>
      <c r="AO47" s="69"/>
      <c r="AP47" s="1974" t="str">
        <f t="shared" si="27"/>
        <v/>
      </c>
      <c r="AQ47" s="69"/>
      <c r="AR47" s="1974" t="str">
        <f t="shared" si="28"/>
        <v/>
      </c>
      <c r="AS47" s="69"/>
      <c r="AT47" s="1974" t="str">
        <f t="shared" si="29"/>
        <v/>
      </c>
      <c r="AU47" s="69"/>
      <c r="AV47" s="1974" t="str">
        <f t="shared" si="30"/>
        <v/>
      </c>
      <c r="AW47" s="69"/>
      <c r="AX47" s="1975" t="str">
        <f t="shared" si="31"/>
        <v/>
      </c>
      <c r="AY47" s="69"/>
      <c r="AZ47" s="1975" t="str">
        <f t="shared" si="32"/>
        <v/>
      </c>
      <c r="BA47" s="69"/>
      <c r="BB47" s="1976" t="str">
        <f t="shared" si="33"/>
        <v/>
      </c>
      <c r="BC47" s="69"/>
      <c r="BD47" s="1976" t="str">
        <f t="shared" si="34"/>
        <v/>
      </c>
      <c r="BE47" s="69"/>
      <c r="BF47" s="1976" t="str">
        <f t="shared" si="35"/>
        <v/>
      </c>
      <c r="BG47" s="69"/>
      <c r="BH47" s="1976" t="str">
        <f t="shared" si="36"/>
        <v/>
      </c>
      <c r="BI47" s="69"/>
      <c r="BJ47" s="1976" t="str">
        <f t="shared" si="37"/>
        <v/>
      </c>
      <c r="BK47" s="69"/>
      <c r="BL47" s="1974">
        <f t="shared" si="38"/>
        <v>70</v>
      </c>
      <c r="BM47" s="69"/>
      <c r="BN47" s="1977">
        <f t="shared" si="39"/>
        <v>80</v>
      </c>
      <c r="BO47" s="69"/>
      <c r="BQ47" s="70"/>
      <c r="BR47" s="70"/>
      <c r="BS47" s="70"/>
      <c r="BT47" s="70"/>
      <c r="BU47" s="70"/>
    </row>
    <row r="48" ht="22.5" customHeight="1">
      <c r="A48" s="1109" t="str">
        <f t="shared" si="7"/>
        <v>Да</v>
      </c>
      <c r="B48" s="1831">
        <v>980.0</v>
      </c>
      <c r="C48" s="1736">
        <v>219.0</v>
      </c>
      <c r="D48" s="1863"/>
      <c r="E48" s="1973" t="str">
        <f t="shared" si="8"/>
        <v>Филе с грибами и картофельным пюре</v>
      </c>
      <c r="F48" s="1974">
        <f t="shared" si="9"/>
        <v>8</v>
      </c>
      <c r="G48" s="69"/>
      <c r="H48" s="2006">
        <f t="shared" si="10"/>
        <v>5</v>
      </c>
      <c r="I48" s="69"/>
      <c r="J48" s="1974">
        <f t="shared" si="11"/>
        <v>5</v>
      </c>
      <c r="K48" s="69"/>
      <c r="L48" s="1974">
        <f t="shared" si="12"/>
        <v>6</v>
      </c>
      <c r="M48" s="69"/>
      <c r="N48" s="1974">
        <f t="shared" si="13"/>
        <v>9</v>
      </c>
      <c r="O48" s="69"/>
      <c r="P48" s="2006">
        <f t="shared" si="14"/>
        <v>8</v>
      </c>
      <c r="Q48" s="69"/>
      <c r="R48" s="1974">
        <f t="shared" si="15"/>
        <v>3</v>
      </c>
      <c r="S48" s="69"/>
      <c r="T48" s="1974">
        <f t="shared" si="16"/>
        <v>7</v>
      </c>
      <c r="U48" s="69"/>
      <c r="V48" s="1974">
        <f t="shared" si="17"/>
        <v>8</v>
      </c>
      <c r="W48" s="69"/>
      <c r="X48" s="1974">
        <f t="shared" si="18"/>
        <v>9</v>
      </c>
      <c r="Y48" s="69"/>
      <c r="Z48" s="1974" t="str">
        <f t="shared" si="19"/>
        <v/>
      </c>
      <c r="AA48" s="69"/>
      <c r="AB48" s="1974">
        <f t="shared" si="20"/>
        <v>2</v>
      </c>
      <c r="AC48" s="69"/>
      <c r="AD48" s="1974">
        <f t="shared" si="21"/>
        <v>7</v>
      </c>
      <c r="AE48" s="69"/>
      <c r="AF48" s="1974">
        <f t="shared" si="22"/>
        <v>10</v>
      </c>
      <c r="AG48" s="69"/>
      <c r="AH48" s="1974">
        <f t="shared" si="23"/>
        <v>5</v>
      </c>
      <c r="AI48" s="69"/>
      <c r="AJ48" s="1974">
        <f t="shared" si="24"/>
        <v>5</v>
      </c>
      <c r="AK48" s="69"/>
      <c r="AL48" s="1974">
        <f t="shared" si="25"/>
        <v>5</v>
      </c>
      <c r="AM48" s="69"/>
      <c r="AN48" s="1974">
        <f t="shared" si="26"/>
        <v>10</v>
      </c>
      <c r="AO48" s="69"/>
      <c r="AP48" s="1974">
        <f t="shared" si="27"/>
        <v>2</v>
      </c>
      <c r="AQ48" s="69"/>
      <c r="AR48" s="1974">
        <f t="shared" si="28"/>
        <v>7</v>
      </c>
      <c r="AS48" s="69"/>
      <c r="AT48" s="1974">
        <f t="shared" si="29"/>
        <v>9</v>
      </c>
      <c r="AU48" s="69"/>
      <c r="AV48" s="1974">
        <f t="shared" si="30"/>
        <v>2</v>
      </c>
      <c r="AW48" s="69"/>
      <c r="AX48" s="1975">
        <f t="shared" si="31"/>
        <v>6</v>
      </c>
      <c r="AY48" s="69"/>
      <c r="AZ48" s="1975">
        <f t="shared" si="32"/>
        <v>6</v>
      </c>
      <c r="BA48" s="69"/>
      <c r="BB48" s="1976">
        <f t="shared" si="33"/>
        <v>3</v>
      </c>
      <c r="BC48" s="69"/>
      <c r="BD48" s="1976">
        <f t="shared" si="34"/>
        <v>4</v>
      </c>
      <c r="BE48" s="69"/>
      <c r="BF48" s="1976">
        <f t="shared" si="35"/>
        <v>5</v>
      </c>
      <c r="BG48" s="69"/>
      <c r="BH48" s="1976">
        <f t="shared" si="36"/>
        <v>4</v>
      </c>
      <c r="BI48" s="69"/>
      <c r="BJ48" s="1976">
        <f t="shared" si="37"/>
        <v>6</v>
      </c>
      <c r="BK48" s="69"/>
      <c r="BL48" s="1974" t="str">
        <f t="shared" si="38"/>
        <v/>
      </c>
      <c r="BM48" s="69"/>
      <c r="BN48" s="1977">
        <f t="shared" si="39"/>
        <v>166</v>
      </c>
      <c r="BO48" s="69"/>
      <c r="BQ48" s="547"/>
      <c r="BR48" s="547"/>
      <c r="BS48" s="547"/>
      <c r="BT48" s="547"/>
      <c r="BU48" s="547"/>
    </row>
    <row r="49" ht="22.5" customHeight="1">
      <c r="A49" s="1109" t="str">
        <f t="shared" si="7"/>
        <v>Да</v>
      </c>
      <c r="B49" s="1831">
        <v>3737.0</v>
      </c>
      <c r="C49" s="1736">
        <v>217.0</v>
      </c>
      <c r="D49" s="1863"/>
      <c r="E49" s="1973" t="str">
        <f t="shared" si="8"/>
        <v>Чкмерули из курицы со спагетти</v>
      </c>
      <c r="F49" s="1974">
        <f t="shared" si="9"/>
        <v>9</v>
      </c>
      <c r="G49" s="69"/>
      <c r="H49" s="2006">
        <f t="shared" si="10"/>
        <v>6</v>
      </c>
      <c r="I49" s="69"/>
      <c r="J49" s="1974">
        <f t="shared" si="11"/>
        <v>4</v>
      </c>
      <c r="K49" s="69"/>
      <c r="L49" s="1974">
        <f t="shared" si="12"/>
        <v>6</v>
      </c>
      <c r="M49" s="69"/>
      <c r="N49" s="1974">
        <f t="shared" si="13"/>
        <v>16</v>
      </c>
      <c r="O49" s="69"/>
      <c r="P49" s="2006">
        <f t="shared" si="14"/>
        <v>9</v>
      </c>
      <c r="Q49" s="69"/>
      <c r="R49" s="1974">
        <f t="shared" si="15"/>
        <v>4</v>
      </c>
      <c r="S49" s="69"/>
      <c r="T49" s="1974">
        <f t="shared" si="16"/>
        <v>2</v>
      </c>
      <c r="U49" s="69"/>
      <c r="V49" s="1974">
        <f t="shared" si="17"/>
        <v>6</v>
      </c>
      <c r="W49" s="69"/>
      <c r="X49" s="1974">
        <f t="shared" si="18"/>
        <v>3</v>
      </c>
      <c r="Y49" s="69"/>
      <c r="Z49" s="1974" t="str">
        <f t="shared" si="19"/>
        <v/>
      </c>
      <c r="AA49" s="69"/>
      <c r="AB49" s="1974">
        <f t="shared" si="20"/>
        <v>3</v>
      </c>
      <c r="AC49" s="69"/>
      <c r="AD49" s="1974">
        <f t="shared" si="21"/>
        <v>1</v>
      </c>
      <c r="AE49" s="69"/>
      <c r="AF49" s="1974">
        <f t="shared" si="22"/>
        <v>2</v>
      </c>
      <c r="AG49" s="69"/>
      <c r="AH49" s="1974">
        <f t="shared" si="23"/>
        <v>2</v>
      </c>
      <c r="AI49" s="69"/>
      <c r="AJ49" s="1974">
        <f t="shared" si="24"/>
        <v>4</v>
      </c>
      <c r="AK49" s="69"/>
      <c r="AL49" s="1974">
        <f t="shared" si="25"/>
        <v>2</v>
      </c>
      <c r="AM49" s="69"/>
      <c r="AN49" s="1974">
        <f t="shared" si="26"/>
        <v>10</v>
      </c>
      <c r="AO49" s="69"/>
      <c r="AP49" s="1974">
        <f t="shared" si="27"/>
        <v>4</v>
      </c>
      <c r="AQ49" s="69"/>
      <c r="AR49" s="1974">
        <f t="shared" si="28"/>
        <v>4</v>
      </c>
      <c r="AS49" s="69"/>
      <c r="AT49" s="1974">
        <f t="shared" si="29"/>
        <v>2</v>
      </c>
      <c r="AU49" s="69"/>
      <c r="AV49" s="1974">
        <f t="shared" si="30"/>
        <v>2</v>
      </c>
      <c r="AW49" s="69"/>
      <c r="AX49" s="1975">
        <f t="shared" si="31"/>
        <v>5</v>
      </c>
      <c r="AY49" s="69"/>
      <c r="AZ49" s="1975">
        <f t="shared" si="32"/>
        <v>4</v>
      </c>
      <c r="BA49" s="69"/>
      <c r="BB49" s="1976">
        <f t="shared" si="33"/>
        <v>3</v>
      </c>
      <c r="BC49" s="69"/>
      <c r="BD49" s="1976">
        <f t="shared" si="34"/>
        <v>2</v>
      </c>
      <c r="BE49" s="69"/>
      <c r="BF49" s="1976">
        <f t="shared" si="35"/>
        <v>5</v>
      </c>
      <c r="BG49" s="69"/>
      <c r="BH49" s="1976">
        <f t="shared" si="36"/>
        <v>3</v>
      </c>
      <c r="BI49" s="69"/>
      <c r="BJ49" s="1976">
        <f t="shared" si="37"/>
        <v>4</v>
      </c>
      <c r="BK49" s="69"/>
      <c r="BL49" s="1974">
        <f t="shared" si="38"/>
        <v>30</v>
      </c>
      <c r="BM49" s="69"/>
      <c r="BN49" s="1977">
        <f t="shared" si="39"/>
        <v>157</v>
      </c>
      <c r="BO49" s="69"/>
      <c r="BQ49" s="547"/>
      <c r="BR49" s="547"/>
      <c r="BS49" s="547"/>
      <c r="BT49" s="547"/>
      <c r="BU49" s="547"/>
    </row>
    <row r="50" ht="22.5" customHeight="1">
      <c r="A50" s="1109" t="str">
        <f t="shared" si="7"/>
        <v>Да</v>
      </c>
      <c r="B50" s="1831">
        <v>1009.0</v>
      </c>
      <c r="C50" s="1736">
        <v>198.0</v>
      </c>
      <c r="D50" s="1863"/>
      <c r="E50" s="1973" t="str">
        <f t="shared" si="8"/>
        <v>Свинина по-баварски с картофелем </v>
      </c>
      <c r="F50" s="1974">
        <f t="shared" si="9"/>
        <v>1</v>
      </c>
      <c r="G50" s="69"/>
      <c r="H50" s="2006">
        <f t="shared" si="10"/>
        <v>1</v>
      </c>
      <c r="I50" s="69"/>
      <c r="J50" s="1974">
        <f t="shared" si="11"/>
        <v>5</v>
      </c>
      <c r="K50" s="69"/>
      <c r="L50" s="1974">
        <f t="shared" si="12"/>
        <v>3</v>
      </c>
      <c r="M50" s="69"/>
      <c r="N50" s="1974">
        <f t="shared" si="13"/>
        <v>8</v>
      </c>
      <c r="O50" s="69"/>
      <c r="P50" s="2006">
        <f t="shared" si="14"/>
        <v>4</v>
      </c>
      <c r="Q50" s="69"/>
      <c r="R50" s="1974">
        <f t="shared" si="15"/>
        <v>1</v>
      </c>
      <c r="S50" s="69"/>
      <c r="T50" s="1974">
        <f t="shared" si="16"/>
        <v>2</v>
      </c>
      <c r="U50" s="69"/>
      <c r="V50" s="1974">
        <f t="shared" si="17"/>
        <v>2</v>
      </c>
      <c r="W50" s="69"/>
      <c r="X50" s="1974">
        <f t="shared" si="18"/>
        <v>2</v>
      </c>
      <c r="Y50" s="69"/>
      <c r="Z50" s="1974" t="str">
        <f t="shared" si="19"/>
        <v/>
      </c>
      <c r="AA50" s="69"/>
      <c r="AB50" s="1974">
        <f t="shared" si="20"/>
        <v>3</v>
      </c>
      <c r="AC50" s="69"/>
      <c r="AD50" s="1974">
        <f t="shared" si="21"/>
        <v>3</v>
      </c>
      <c r="AE50" s="69"/>
      <c r="AF50" s="1974">
        <f t="shared" si="22"/>
        <v>1</v>
      </c>
      <c r="AG50" s="69"/>
      <c r="AH50" s="1974">
        <f t="shared" si="23"/>
        <v>2</v>
      </c>
      <c r="AI50" s="69"/>
      <c r="AJ50" s="1974">
        <f t="shared" si="24"/>
        <v>3</v>
      </c>
      <c r="AK50" s="69"/>
      <c r="AL50" s="1974">
        <f t="shared" si="25"/>
        <v>3</v>
      </c>
      <c r="AM50" s="69"/>
      <c r="AN50" s="1974">
        <f t="shared" si="26"/>
        <v>10</v>
      </c>
      <c r="AO50" s="69"/>
      <c r="AP50" s="1974">
        <f t="shared" si="27"/>
        <v>0</v>
      </c>
      <c r="AQ50" s="69"/>
      <c r="AR50" s="1974">
        <f t="shared" si="28"/>
        <v>3</v>
      </c>
      <c r="AS50" s="69"/>
      <c r="AT50" s="1974">
        <f t="shared" si="29"/>
        <v>2</v>
      </c>
      <c r="AU50" s="69"/>
      <c r="AV50" s="1974">
        <f t="shared" si="30"/>
        <v>3</v>
      </c>
      <c r="AW50" s="69"/>
      <c r="AX50" s="1975">
        <f t="shared" si="31"/>
        <v>2</v>
      </c>
      <c r="AY50" s="69"/>
      <c r="AZ50" s="1975">
        <f t="shared" si="32"/>
        <v>1</v>
      </c>
      <c r="BA50" s="69"/>
      <c r="BB50" s="1976">
        <f t="shared" si="33"/>
        <v>2</v>
      </c>
      <c r="BC50" s="69"/>
      <c r="BD50" s="1976">
        <f t="shared" si="34"/>
        <v>1</v>
      </c>
      <c r="BE50" s="69"/>
      <c r="BF50" s="1976">
        <f t="shared" si="35"/>
        <v>0</v>
      </c>
      <c r="BG50" s="69"/>
      <c r="BH50" s="1976">
        <f t="shared" si="36"/>
        <v>0</v>
      </c>
      <c r="BI50" s="69"/>
      <c r="BJ50" s="1976">
        <f t="shared" si="37"/>
        <v>4</v>
      </c>
      <c r="BK50" s="69"/>
      <c r="BL50" s="1974">
        <f t="shared" si="38"/>
        <v>30</v>
      </c>
      <c r="BM50" s="69"/>
      <c r="BN50" s="1977">
        <f t="shared" si="39"/>
        <v>102</v>
      </c>
      <c r="BO50" s="69"/>
      <c r="BQ50" s="70"/>
      <c r="BR50" s="70"/>
      <c r="BS50" s="70"/>
      <c r="BT50" s="70"/>
      <c r="BU50" s="70"/>
    </row>
    <row r="51" ht="22.5" customHeight="1">
      <c r="A51" s="1109" t="str">
        <f t="shared" si="7"/>
        <v>Да</v>
      </c>
      <c r="B51" s="1831">
        <v>3663.0</v>
      </c>
      <c r="C51" s="1736">
        <v>229.0</v>
      </c>
      <c r="D51" s="1863"/>
      <c r="E51" s="1973" t="str">
        <f t="shared" si="8"/>
        <v>Горбуша запеченная с рисом светофор</v>
      </c>
      <c r="F51" s="1974">
        <f t="shared" si="9"/>
        <v>2</v>
      </c>
      <c r="G51" s="69"/>
      <c r="H51" s="2006">
        <f t="shared" si="10"/>
        <v>2</v>
      </c>
      <c r="I51" s="69"/>
      <c r="J51" s="1974">
        <f t="shared" si="11"/>
        <v>3</v>
      </c>
      <c r="K51" s="69"/>
      <c r="L51" s="1974">
        <f t="shared" si="12"/>
        <v>5</v>
      </c>
      <c r="M51" s="69"/>
      <c r="N51" s="1974">
        <f t="shared" si="13"/>
        <v>6</v>
      </c>
      <c r="O51" s="69"/>
      <c r="P51" s="2006">
        <f t="shared" si="14"/>
        <v>3</v>
      </c>
      <c r="Q51" s="69"/>
      <c r="R51" s="1974">
        <f t="shared" si="15"/>
        <v>0</v>
      </c>
      <c r="S51" s="69"/>
      <c r="T51" s="1974">
        <f t="shared" si="16"/>
        <v>3</v>
      </c>
      <c r="U51" s="69"/>
      <c r="V51" s="1974">
        <f t="shared" si="17"/>
        <v>3</v>
      </c>
      <c r="W51" s="69"/>
      <c r="X51" s="1974">
        <f t="shared" si="18"/>
        <v>3</v>
      </c>
      <c r="Y51" s="69"/>
      <c r="Z51" s="1974" t="str">
        <f t="shared" si="19"/>
        <v/>
      </c>
      <c r="AA51" s="69"/>
      <c r="AB51" s="1974">
        <f t="shared" si="20"/>
        <v>2</v>
      </c>
      <c r="AC51" s="69"/>
      <c r="AD51" s="1974">
        <f t="shared" si="21"/>
        <v>2</v>
      </c>
      <c r="AE51" s="69"/>
      <c r="AF51" s="1974">
        <f t="shared" si="22"/>
        <v>5</v>
      </c>
      <c r="AG51" s="69"/>
      <c r="AH51" s="1974">
        <f t="shared" si="23"/>
        <v>2</v>
      </c>
      <c r="AI51" s="69"/>
      <c r="AJ51" s="1974">
        <f t="shared" si="24"/>
        <v>3</v>
      </c>
      <c r="AK51" s="69"/>
      <c r="AL51" s="1974">
        <f t="shared" si="25"/>
        <v>2</v>
      </c>
      <c r="AM51" s="69"/>
      <c r="AN51" s="1974">
        <f t="shared" si="26"/>
        <v>10</v>
      </c>
      <c r="AO51" s="69"/>
      <c r="AP51" s="1974">
        <f t="shared" si="27"/>
        <v>3</v>
      </c>
      <c r="AQ51" s="69"/>
      <c r="AR51" s="1974">
        <f t="shared" si="28"/>
        <v>6</v>
      </c>
      <c r="AS51" s="69"/>
      <c r="AT51" s="1974">
        <f t="shared" si="29"/>
        <v>4</v>
      </c>
      <c r="AU51" s="69"/>
      <c r="AV51" s="1974">
        <f t="shared" si="30"/>
        <v>2</v>
      </c>
      <c r="AW51" s="69"/>
      <c r="AX51" s="1975">
        <f t="shared" si="31"/>
        <v>3</v>
      </c>
      <c r="AY51" s="69"/>
      <c r="AZ51" s="1975">
        <f t="shared" si="32"/>
        <v>3</v>
      </c>
      <c r="BA51" s="69"/>
      <c r="BB51" s="1976">
        <f t="shared" si="33"/>
        <v>2</v>
      </c>
      <c r="BC51" s="69"/>
      <c r="BD51" s="1976">
        <f t="shared" si="34"/>
        <v>2</v>
      </c>
      <c r="BE51" s="69"/>
      <c r="BF51" s="1976">
        <f t="shared" si="35"/>
        <v>4</v>
      </c>
      <c r="BG51" s="69"/>
      <c r="BH51" s="1976">
        <f t="shared" si="36"/>
        <v>4</v>
      </c>
      <c r="BI51" s="69"/>
      <c r="BJ51" s="1976">
        <f t="shared" si="37"/>
        <v>6</v>
      </c>
      <c r="BK51" s="69"/>
      <c r="BL51" s="1974" t="str">
        <f t="shared" si="38"/>
        <v/>
      </c>
      <c r="BM51" s="69"/>
      <c r="BN51" s="1977">
        <f t="shared" si="39"/>
        <v>95</v>
      </c>
      <c r="BO51" s="69"/>
      <c r="BQ51" s="70"/>
      <c r="BR51" s="70"/>
      <c r="BS51" s="70"/>
      <c r="BT51" s="70"/>
      <c r="BU51" s="70"/>
    </row>
    <row r="52" ht="22.5" customHeight="1">
      <c r="A52" s="1109" t="str">
        <f t="shared" si="7"/>
        <v/>
      </c>
      <c r="B52" s="1831"/>
      <c r="C52" s="1736"/>
      <c r="D52" s="1863"/>
      <c r="E52" s="1973" t="str">
        <f t="shared" si="8"/>
        <v/>
      </c>
      <c r="F52" s="1974" t="str">
        <f t="shared" si="9"/>
        <v/>
      </c>
      <c r="G52" s="69"/>
      <c r="H52" s="1974" t="str">
        <f t="shared" si="10"/>
        <v/>
      </c>
      <c r="I52" s="69"/>
      <c r="J52" s="1974" t="str">
        <f t="shared" si="11"/>
        <v/>
      </c>
      <c r="K52" s="69"/>
      <c r="L52" s="1974" t="str">
        <f t="shared" si="12"/>
        <v/>
      </c>
      <c r="M52" s="69"/>
      <c r="N52" s="1974" t="str">
        <f t="shared" si="13"/>
        <v/>
      </c>
      <c r="O52" s="69"/>
      <c r="P52" s="1974" t="str">
        <f t="shared" si="14"/>
        <v/>
      </c>
      <c r="Q52" s="69"/>
      <c r="R52" s="1974" t="str">
        <f t="shared" si="15"/>
        <v/>
      </c>
      <c r="S52" s="69"/>
      <c r="T52" s="1974" t="str">
        <f t="shared" si="16"/>
        <v/>
      </c>
      <c r="U52" s="69"/>
      <c r="V52" s="1974" t="str">
        <f t="shared" si="17"/>
        <v/>
      </c>
      <c r="W52" s="69"/>
      <c r="X52" s="1974" t="str">
        <f t="shared" si="18"/>
        <v/>
      </c>
      <c r="Y52" s="69"/>
      <c r="Z52" s="1974" t="str">
        <f t="shared" si="19"/>
        <v/>
      </c>
      <c r="AA52" s="69"/>
      <c r="AB52" s="1974" t="str">
        <f t="shared" si="20"/>
        <v/>
      </c>
      <c r="AC52" s="69"/>
      <c r="AD52" s="1974" t="str">
        <f t="shared" si="21"/>
        <v/>
      </c>
      <c r="AE52" s="69"/>
      <c r="AF52" s="1974" t="str">
        <f t="shared" si="22"/>
        <v/>
      </c>
      <c r="AG52" s="69"/>
      <c r="AH52" s="1974" t="str">
        <f t="shared" si="23"/>
        <v/>
      </c>
      <c r="AI52" s="69"/>
      <c r="AJ52" s="1974" t="str">
        <f t="shared" si="24"/>
        <v/>
      </c>
      <c r="AK52" s="69"/>
      <c r="AL52" s="1974" t="str">
        <f t="shared" si="25"/>
        <v/>
      </c>
      <c r="AM52" s="69"/>
      <c r="AN52" s="1974" t="str">
        <f t="shared" si="26"/>
        <v/>
      </c>
      <c r="AO52" s="69"/>
      <c r="AP52" s="1974" t="str">
        <f t="shared" si="27"/>
        <v/>
      </c>
      <c r="AQ52" s="69"/>
      <c r="AR52" s="1974" t="str">
        <f t="shared" si="28"/>
        <v/>
      </c>
      <c r="AS52" s="69"/>
      <c r="AT52" s="1974" t="str">
        <f t="shared" si="29"/>
        <v/>
      </c>
      <c r="AU52" s="69"/>
      <c r="AV52" s="1974" t="str">
        <f t="shared" si="30"/>
        <v/>
      </c>
      <c r="AW52" s="69"/>
      <c r="AX52" s="1975" t="str">
        <f t="shared" si="31"/>
        <v/>
      </c>
      <c r="AY52" s="69"/>
      <c r="AZ52" s="1975" t="str">
        <f t="shared" si="32"/>
        <v/>
      </c>
      <c r="BA52" s="69"/>
      <c r="BB52" s="1976" t="str">
        <f t="shared" si="33"/>
        <v/>
      </c>
      <c r="BC52" s="69"/>
      <c r="BD52" s="1976" t="str">
        <f t="shared" si="34"/>
        <v/>
      </c>
      <c r="BE52" s="69"/>
      <c r="BF52" s="1976" t="str">
        <f t="shared" si="35"/>
        <v/>
      </c>
      <c r="BG52" s="69"/>
      <c r="BH52" s="1976" t="str">
        <f t="shared" si="36"/>
        <v/>
      </c>
      <c r="BI52" s="69"/>
      <c r="BJ52" s="1976" t="str">
        <f t="shared" si="37"/>
        <v/>
      </c>
      <c r="BK52" s="69"/>
      <c r="BL52" s="1974" t="str">
        <f t="shared" si="38"/>
        <v/>
      </c>
      <c r="BM52" s="69"/>
      <c r="BN52" s="1977">
        <f t="shared" si="39"/>
        <v>0</v>
      </c>
      <c r="BO52" s="69"/>
      <c r="BQ52" s="547"/>
      <c r="BR52" s="547"/>
      <c r="BS52" s="547"/>
      <c r="BT52" s="547"/>
      <c r="BU52" s="547"/>
    </row>
    <row r="53" ht="22.5" customHeight="1">
      <c r="A53" s="1109" t="str">
        <f t="shared" si="7"/>
        <v>Да</v>
      </c>
      <c r="B53" s="1831">
        <v>4224.0</v>
      </c>
      <c r="C53" s="1736">
        <v>281.0</v>
      </c>
      <c r="D53" s="1863"/>
      <c r="E53" s="1973" t="str">
        <f t="shared" si="8"/>
        <v>Курица Пармиджано с овощным соте</v>
      </c>
      <c r="F53" s="1974">
        <f t="shared" si="9"/>
        <v>6</v>
      </c>
      <c r="G53" s="69"/>
      <c r="H53" s="1974">
        <f t="shared" si="10"/>
        <v>1</v>
      </c>
      <c r="I53" s="69"/>
      <c r="J53" s="1974">
        <f t="shared" si="11"/>
        <v>3</v>
      </c>
      <c r="K53" s="69"/>
      <c r="L53" s="1974">
        <f t="shared" si="12"/>
        <v>3</v>
      </c>
      <c r="M53" s="69"/>
      <c r="N53" s="1974">
        <f t="shared" si="13"/>
        <v>5</v>
      </c>
      <c r="O53" s="69"/>
      <c r="P53" s="1974">
        <f t="shared" si="14"/>
        <v>4</v>
      </c>
      <c r="Q53" s="69"/>
      <c r="R53" s="1974">
        <f t="shared" si="15"/>
        <v>2</v>
      </c>
      <c r="S53" s="69"/>
      <c r="T53" s="1974">
        <f t="shared" si="16"/>
        <v>2</v>
      </c>
      <c r="U53" s="69"/>
      <c r="V53" s="1974">
        <f t="shared" si="17"/>
        <v>4</v>
      </c>
      <c r="W53" s="69"/>
      <c r="X53" s="1974">
        <f t="shared" si="18"/>
        <v>2</v>
      </c>
      <c r="Y53" s="69"/>
      <c r="Z53" s="1974" t="str">
        <f t="shared" si="19"/>
        <v/>
      </c>
      <c r="AA53" s="69"/>
      <c r="AB53" s="1974">
        <f t="shared" si="20"/>
        <v>3</v>
      </c>
      <c r="AC53" s="69"/>
      <c r="AD53" s="1974">
        <f t="shared" si="21"/>
        <v>5</v>
      </c>
      <c r="AE53" s="69"/>
      <c r="AF53" s="1974">
        <f t="shared" si="22"/>
        <v>2</v>
      </c>
      <c r="AG53" s="69"/>
      <c r="AH53" s="1974">
        <f t="shared" si="23"/>
        <v>2</v>
      </c>
      <c r="AI53" s="69"/>
      <c r="AJ53" s="1974">
        <f t="shared" si="24"/>
        <v>3</v>
      </c>
      <c r="AK53" s="69"/>
      <c r="AL53" s="1974">
        <f t="shared" si="25"/>
        <v>2</v>
      </c>
      <c r="AM53" s="69"/>
      <c r="AN53" s="1974">
        <f t="shared" si="26"/>
        <v>8</v>
      </c>
      <c r="AO53" s="69"/>
      <c r="AP53" s="1974">
        <f t="shared" si="27"/>
        <v>3</v>
      </c>
      <c r="AQ53" s="69"/>
      <c r="AR53" s="1974">
        <f t="shared" si="28"/>
        <v>3</v>
      </c>
      <c r="AS53" s="69"/>
      <c r="AT53" s="1974">
        <f t="shared" si="29"/>
        <v>5</v>
      </c>
      <c r="AU53" s="69"/>
      <c r="AV53" s="1974">
        <f t="shared" si="30"/>
        <v>3</v>
      </c>
      <c r="AW53" s="69"/>
      <c r="AX53" s="1975">
        <f t="shared" si="31"/>
        <v>3</v>
      </c>
      <c r="AY53" s="69"/>
      <c r="AZ53" s="1975">
        <f t="shared" si="32"/>
        <v>4</v>
      </c>
      <c r="BA53" s="69"/>
      <c r="BB53" s="1976">
        <f t="shared" si="33"/>
        <v>2</v>
      </c>
      <c r="BC53" s="69"/>
      <c r="BD53" s="1976">
        <f t="shared" si="34"/>
        <v>2</v>
      </c>
      <c r="BE53" s="69"/>
      <c r="BF53" s="1976">
        <f t="shared" si="35"/>
        <v>2</v>
      </c>
      <c r="BG53" s="69"/>
      <c r="BH53" s="1976">
        <f t="shared" si="36"/>
        <v>4</v>
      </c>
      <c r="BI53" s="69"/>
      <c r="BJ53" s="1976">
        <f t="shared" si="37"/>
        <v>2</v>
      </c>
      <c r="BK53" s="69"/>
      <c r="BL53" s="1974" t="str">
        <f t="shared" si="38"/>
        <v/>
      </c>
      <c r="BM53" s="69"/>
      <c r="BN53" s="1977">
        <f t="shared" si="39"/>
        <v>90</v>
      </c>
      <c r="BO53" s="69"/>
      <c r="BQ53" s="547"/>
      <c r="BR53" s="547"/>
      <c r="BS53" s="547"/>
      <c r="BT53" s="547"/>
      <c r="BU53" s="547"/>
    </row>
    <row r="54" ht="22.5" customHeight="1">
      <c r="A54" s="1109" t="str">
        <f t="shared" si="7"/>
        <v>Да</v>
      </c>
      <c r="B54" s="1831">
        <v>3518.0</v>
      </c>
      <c r="C54" s="1736">
        <v>85.0</v>
      </c>
      <c r="D54" s="1863"/>
      <c r="E54" s="1973" t="str">
        <f t="shared" si="8"/>
        <v>Слойка ''Нежная'' с сыром 100 г</v>
      </c>
      <c r="F54" s="1974" t="str">
        <f t="shared" si="9"/>
        <v/>
      </c>
      <c r="G54" s="69"/>
      <c r="H54" s="1974" t="str">
        <f t="shared" si="10"/>
        <v/>
      </c>
      <c r="I54" s="69"/>
      <c r="J54" s="1974" t="str">
        <f t="shared" si="11"/>
        <v/>
      </c>
      <c r="K54" s="69"/>
      <c r="L54" s="1974" t="str">
        <f t="shared" si="12"/>
        <v/>
      </c>
      <c r="M54" s="69"/>
      <c r="N54" s="1974" t="str">
        <f t="shared" si="13"/>
        <v/>
      </c>
      <c r="O54" s="69"/>
      <c r="P54" s="1974" t="str">
        <f t="shared" si="14"/>
        <v/>
      </c>
      <c r="Q54" s="69"/>
      <c r="R54" s="1974" t="str">
        <f t="shared" si="15"/>
        <v/>
      </c>
      <c r="S54" s="69"/>
      <c r="T54" s="1974" t="str">
        <f t="shared" si="16"/>
        <v/>
      </c>
      <c r="U54" s="69"/>
      <c r="V54" s="1974" t="str">
        <f t="shared" si="17"/>
        <v/>
      </c>
      <c r="W54" s="69"/>
      <c r="X54" s="1974" t="str">
        <f t="shared" si="18"/>
        <v/>
      </c>
      <c r="Y54" s="69"/>
      <c r="Z54" s="1974" t="str">
        <f t="shared" si="19"/>
        <v/>
      </c>
      <c r="AA54" s="69"/>
      <c r="AB54" s="1974" t="str">
        <f t="shared" si="20"/>
        <v/>
      </c>
      <c r="AC54" s="69"/>
      <c r="AD54" s="1974" t="str">
        <f t="shared" si="21"/>
        <v/>
      </c>
      <c r="AE54" s="69"/>
      <c r="AF54" s="1974" t="str">
        <f t="shared" si="22"/>
        <v/>
      </c>
      <c r="AG54" s="69"/>
      <c r="AH54" s="1974" t="str">
        <f t="shared" si="23"/>
        <v/>
      </c>
      <c r="AI54" s="69"/>
      <c r="AJ54" s="1974" t="str">
        <f t="shared" si="24"/>
        <v/>
      </c>
      <c r="AK54" s="69"/>
      <c r="AL54" s="1974" t="str">
        <f t="shared" si="25"/>
        <v/>
      </c>
      <c r="AM54" s="69"/>
      <c r="AN54" s="1974" t="str">
        <f t="shared" si="26"/>
        <v/>
      </c>
      <c r="AO54" s="69"/>
      <c r="AP54" s="1974" t="str">
        <f t="shared" si="27"/>
        <v/>
      </c>
      <c r="AQ54" s="69"/>
      <c r="AR54" s="1974" t="str">
        <f t="shared" si="28"/>
        <v/>
      </c>
      <c r="AS54" s="69"/>
      <c r="AT54" s="1974" t="str">
        <f t="shared" si="29"/>
        <v/>
      </c>
      <c r="AU54" s="69"/>
      <c r="AV54" s="1974" t="str">
        <f t="shared" si="30"/>
        <v/>
      </c>
      <c r="AW54" s="69"/>
      <c r="AX54" s="1975" t="str">
        <f t="shared" si="31"/>
        <v/>
      </c>
      <c r="AY54" s="69"/>
      <c r="AZ54" s="1975" t="str">
        <f t="shared" si="32"/>
        <v/>
      </c>
      <c r="BA54" s="69"/>
      <c r="BB54" s="1976" t="str">
        <f t="shared" si="33"/>
        <v/>
      </c>
      <c r="BC54" s="69"/>
      <c r="BD54" s="1976" t="str">
        <f t="shared" si="34"/>
        <v/>
      </c>
      <c r="BE54" s="69"/>
      <c r="BF54" s="1976" t="str">
        <f t="shared" si="35"/>
        <v/>
      </c>
      <c r="BG54" s="69"/>
      <c r="BH54" s="1976" t="str">
        <f t="shared" si="36"/>
        <v/>
      </c>
      <c r="BI54" s="69"/>
      <c r="BJ54" s="1976" t="str">
        <f t="shared" si="37"/>
        <v/>
      </c>
      <c r="BK54" s="69"/>
      <c r="BL54" s="1974">
        <f t="shared" si="38"/>
        <v>15</v>
      </c>
      <c r="BM54" s="69"/>
      <c r="BN54" s="1977">
        <f t="shared" si="39"/>
        <v>15</v>
      </c>
      <c r="BO54" s="69"/>
      <c r="BQ54" s="547"/>
      <c r="BR54" s="547"/>
      <c r="BS54" s="547"/>
      <c r="BT54" s="547"/>
      <c r="BU54" s="547"/>
    </row>
    <row r="55" ht="22.5" customHeight="1">
      <c r="A55" s="1109" t="str">
        <f t="shared" si="7"/>
        <v>Да</v>
      </c>
      <c r="B55" s="1831">
        <v>2782.0</v>
      </c>
      <c r="C55" s="1736">
        <v>170.0</v>
      </c>
      <c r="D55" s="1863"/>
      <c r="E55" s="1973" t="str">
        <f t="shared" si="8"/>
        <v>Сэндвич с пепперони и сыром</v>
      </c>
      <c r="F55" s="1974">
        <f t="shared" si="9"/>
        <v>11</v>
      </c>
      <c r="G55" s="69"/>
      <c r="H55" s="1974">
        <f t="shared" si="10"/>
        <v>4</v>
      </c>
      <c r="I55" s="69"/>
      <c r="J55" s="1974">
        <f t="shared" si="11"/>
        <v>2</v>
      </c>
      <c r="K55" s="69"/>
      <c r="L55" s="1974">
        <f t="shared" si="12"/>
        <v>2</v>
      </c>
      <c r="M55" s="69"/>
      <c r="N55" s="1974">
        <f t="shared" si="13"/>
        <v>7</v>
      </c>
      <c r="O55" s="69"/>
      <c r="P55" s="1974">
        <f t="shared" si="14"/>
        <v>7</v>
      </c>
      <c r="Q55" s="69"/>
      <c r="R55" s="1974">
        <f t="shared" si="15"/>
        <v>4</v>
      </c>
      <c r="S55" s="69"/>
      <c r="T55" s="1974">
        <f t="shared" si="16"/>
        <v>3</v>
      </c>
      <c r="U55" s="69"/>
      <c r="V55" s="1974">
        <f t="shared" si="17"/>
        <v>2</v>
      </c>
      <c r="W55" s="69"/>
      <c r="X55" s="1974">
        <f t="shared" si="18"/>
        <v>3</v>
      </c>
      <c r="Y55" s="69"/>
      <c r="Z55" s="1974" t="str">
        <f t="shared" si="19"/>
        <v/>
      </c>
      <c r="AA55" s="69"/>
      <c r="AB55" s="1974">
        <f t="shared" si="20"/>
        <v>3</v>
      </c>
      <c r="AC55" s="69"/>
      <c r="AD55" s="1974">
        <f t="shared" si="21"/>
        <v>3</v>
      </c>
      <c r="AE55" s="69"/>
      <c r="AF55" s="1974">
        <f t="shared" si="22"/>
        <v>4</v>
      </c>
      <c r="AG55" s="69"/>
      <c r="AH55" s="1974">
        <f t="shared" si="23"/>
        <v>3</v>
      </c>
      <c r="AI55" s="69"/>
      <c r="AJ55" s="1974">
        <f t="shared" si="24"/>
        <v>3</v>
      </c>
      <c r="AK55" s="69"/>
      <c r="AL55" s="1974">
        <f t="shared" si="25"/>
        <v>3</v>
      </c>
      <c r="AM55" s="69"/>
      <c r="AN55" s="1974">
        <f t="shared" si="26"/>
        <v>15</v>
      </c>
      <c r="AO55" s="69"/>
      <c r="AP55" s="1974">
        <f t="shared" si="27"/>
        <v>3</v>
      </c>
      <c r="AQ55" s="69"/>
      <c r="AR55" s="1974">
        <f t="shared" si="28"/>
        <v>7</v>
      </c>
      <c r="AS55" s="69"/>
      <c r="AT55" s="1974">
        <f t="shared" si="29"/>
        <v>3</v>
      </c>
      <c r="AU55" s="69"/>
      <c r="AV55" s="1974">
        <f t="shared" si="30"/>
        <v>4</v>
      </c>
      <c r="AW55" s="69"/>
      <c r="AX55" s="1975">
        <f t="shared" si="31"/>
        <v>5</v>
      </c>
      <c r="AY55" s="69"/>
      <c r="AZ55" s="1975">
        <f t="shared" si="32"/>
        <v>1</v>
      </c>
      <c r="BA55" s="69"/>
      <c r="BB55" s="1976">
        <f t="shared" si="33"/>
        <v>10</v>
      </c>
      <c r="BC55" s="69"/>
      <c r="BD55" s="1976">
        <f t="shared" si="34"/>
        <v>1</v>
      </c>
      <c r="BE55" s="69"/>
      <c r="BF55" s="1976">
        <f t="shared" si="35"/>
        <v>6</v>
      </c>
      <c r="BG55" s="69"/>
      <c r="BH55" s="1976">
        <f t="shared" si="36"/>
        <v>3</v>
      </c>
      <c r="BI55" s="69"/>
      <c r="BJ55" s="1976">
        <f t="shared" si="37"/>
        <v>2</v>
      </c>
      <c r="BK55" s="69"/>
      <c r="BL55" s="1974" t="str">
        <f t="shared" si="38"/>
        <v/>
      </c>
      <c r="BM55" s="69"/>
      <c r="BN55" s="1977">
        <f t="shared" si="39"/>
        <v>124</v>
      </c>
      <c r="BO55" s="69"/>
      <c r="BQ55" s="547"/>
      <c r="BR55" s="547"/>
      <c r="BS55" s="547"/>
      <c r="BT55" s="547"/>
      <c r="BU55" s="547"/>
    </row>
    <row r="56" ht="22.5" customHeight="1">
      <c r="A56" s="1109" t="str">
        <f t="shared" si="7"/>
        <v>Да</v>
      </c>
      <c r="B56" s="1831">
        <v>33.0</v>
      </c>
      <c r="C56" s="1736">
        <v>155.0</v>
      </c>
      <c r="D56" s="1863"/>
      <c r="E56" s="1973" t="str">
        <f t="shared" si="8"/>
        <v>Сэндвич с копчёной курицей и сыром</v>
      </c>
      <c r="F56" s="1974">
        <f t="shared" si="9"/>
        <v>9</v>
      </c>
      <c r="G56" s="69"/>
      <c r="H56" s="1974">
        <f t="shared" si="10"/>
        <v>3</v>
      </c>
      <c r="I56" s="69"/>
      <c r="J56" s="1974">
        <f t="shared" si="11"/>
        <v>2</v>
      </c>
      <c r="K56" s="69"/>
      <c r="L56" s="1974">
        <f t="shared" si="12"/>
        <v>4</v>
      </c>
      <c r="M56" s="69"/>
      <c r="N56" s="1974">
        <f t="shared" si="13"/>
        <v>4</v>
      </c>
      <c r="O56" s="69"/>
      <c r="P56" s="1974">
        <f t="shared" si="14"/>
        <v>7</v>
      </c>
      <c r="Q56" s="69"/>
      <c r="R56" s="1974">
        <f t="shared" si="15"/>
        <v>2</v>
      </c>
      <c r="S56" s="69"/>
      <c r="T56" s="1974">
        <f t="shared" si="16"/>
        <v>3</v>
      </c>
      <c r="U56" s="69"/>
      <c r="V56" s="1974">
        <f t="shared" si="17"/>
        <v>3</v>
      </c>
      <c r="W56" s="69"/>
      <c r="X56" s="1974">
        <f t="shared" si="18"/>
        <v>6</v>
      </c>
      <c r="Y56" s="69"/>
      <c r="Z56" s="1974" t="str">
        <f t="shared" si="19"/>
        <v/>
      </c>
      <c r="AA56" s="69"/>
      <c r="AB56" s="1974">
        <f t="shared" si="20"/>
        <v>4</v>
      </c>
      <c r="AC56" s="69"/>
      <c r="AD56" s="1974">
        <f t="shared" si="21"/>
        <v>3</v>
      </c>
      <c r="AE56" s="69"/>
      <c r="AF56" s="1974">
        <f t="shared" si="22"/>
        <v>7</v>
      </c>
      <c r="AG56" s="69"/>
      <c r="AH56" s="1974">
        <f t="shared" si="23"/>
        <v>4</v>
      </c>
      <c r="AI56" s="69"/>
      <c r="AJ56" s="1974">
        <f t="shared" si="24"/>
        <v>3</v>
      </c>
      <c r="AK56" s="69"/>
      <c r="AL56" s="1974">
        <f t="shared" si="25"/>
        <v>5</v>
      </c>
      <c r="AM56" s="69"/>
      <c r="AN56" s="1974">
        <f t="shared" si="26"/>
        <v>15</v>
      </c>
      <c r="AO56" s="69"/>
      <c r="AP56" s="1974">
        <f t="shared" si="27"/>
        <v>5</v>
      </c>
      <c r="AQ56" s="69"/>
      <c r="AR56" s="1974">
        <f t="shared" si="28"/>
        <v>7</v>
      </c>
      <c r="AS56" s="69"/>
      <c r="AT56" s="1974">
        <f t="shared" si="29"/>
        <v>5</v>
      </c>
      <c r="AU56" s="69"/>
      <c r="AV56" s="1974">
        <f t="shared" si="30"/>
        <v>1</v>
      </c>
      <c r="AW56" s="69"/>
      <c r="AX56" s="1975">
        <f t="shared" si="31"/>
        <v>2</v>
      </c>
      <c r="AY56" s="69"/>
      <c r="AZ56" s="1975">
        <f t="shared" si="32"/>
        <v>2</v>
      </c>
      <c r="BA56" s="69"/>
      <c r="BB56" s="1976">
        <f t="shared" si="33"/>
        <v>5</v>
      </c>
      <c r="BC56" s="69"/>
      <c r="BD56" s="1976">
        <f t="shared" si="34"/>
        <v>2</v>
      </c>
      <c r="BE56" s="69"/>
      <c r="BF56" s="1976">
        <f t="shared" si="35"/>
        <v>5</v>
      </c>
      <c r="BG56" s="69"/>
      <c r="BH56" s="1976">
        <f t="shared" si="36"/>
        <v>3</v>
      </c>
      <c r="BI56" s="69"/>
      <c r="BJ56" s="1976">
        <f t="shared" si="37"/>
        <v>3</v>
      </c>
      <c r="BK56" s="69"/>
      <c r="BL56" s="1974" t="str">
        <f t="shared" si="38"/>
        <v/>
      </c>
      <c r="BM56" s="69"/>
      <c r="BN56" s="1977">
        <f t="shared" si="39"/>
        <v>124</v>
      </c>
      <c r="BO56" s="69"/>
      <c r="BQ56" s="547"/>
      <c r="BR56" s="547"/>
      <c r="BS56" s="547"/>
      <c r="BT56" s="547"/>
      <c r="BU56" s="547"/>
    </row>
    <row r="57" ht="22.5" customHeight="1">
      <c r="A57" s="1109" t="str">
        <f t="shared" si="7"/>
        <v>Да</v>
      </c>
      <c r="B57" s="1831">
        <v>3999.0</v>
      </c>
      <c r="C57" s="1736">
        <v>98.0</v>
      </c>
      <c r="D57" s="1863"/>
      <c r="E57" s="1973" t="str">
        <f t="shared" si="8"/>
        <v>Морс ягодный 0,5 л</v>
      </c>
      <c r="F57" s="1974">
        <f t="shared" si="9"/>
        <v>11</v>
      </c>
      <c r="G57" s="69"/>
      <c r="H57" s="1974">
        <f t="shared" si="10"/>
        <v>4</v>
      </c>
      <c r="I57" s="69"/>
      <c r="J57" s="1974">
        <f t="shared" si="11"/>
        <v>5</v>
      </c>
      <c r="K57" s="69"/>
      <c r="L57" s="1974">
        <f t="shared" si="12"/>
        <v>7</v>
      </c>
      <c r="M57" s="69"/>
      <c r="N57" s="1974">
        <f t="shared" si="13"/>
        <v>5</v>
      </c>
      <c r="O57" s="69"/>
      <c r="P57" s="1974">
        <f t="shared" si="14"/>
        <v>6</v>
      </c>
      <c r="Q57" s="69"/>
      <c r="R57" s="1974">
        <f t="shared" si="15"/>
        <v>0</v>
      </c>
      <c r="S57" s="69"/>
      <c r="T57" s="1974">
        <f t="shared" si="16"/>
        <v>0</v>
      </c>
      <c r="U57" s="69"/>
      <c r="V57" s="1974">
        <f t="shared" si="17"/>
        <v>0</v>
      </c>
      <c r="W57" s="69"/>
      <c r="X57" s="1974">
        <f t="shared" si="18"/>
        <v>5</v>
      </c>
      <c r="Y57" s="69"/>
      <c r="Z57" s="1974" t="str">
        <f t="shared" si="19"/>
        <v/>
      </c>
      <c r="AA57" s="69"/>
      <c r="AB57" s="1974">
        <f t="shared" si="20"/>
        <v>0</v>
      </c>
      <c r="AC57" s="69"/>
      <c r="AD57" s="1974">
        <f t="shared" si="21"/>
        <v>0</v>
      </c>
      <c r="AE57" s="69"/>
      <c r="AF57" s="1974">
        <f t="shared" si="22"/>
        <v>5</v>
      </c>
      <c r="AG57" s="69"/>
      <c r="AH57" s="1974">
        <f t="shared" si="23"/>
        <v>5</v>
      </c>
      <c r="AI57" s="69"/>
      <c r="AJ57" s="1974">
        <f t="shared" si="24"/>
        <v>0</v>
      </c>
      <c r="AK57" s="69"/>
      <c r="AL57" s="1974">
        <f t="shared" si="25"/>
        <v>0</v>
      </c>
      <c r="AM57" s="69"/>
      <c r="AN57" s="1974">
        <f t="shared" si="26"/>
        <v>13</v>
      </c>
      <c r="AO57" s="69"/>
      <c r="AP57" s="1974">
        <f t="shared" si="27"/>
        <v>0</v>
      </c>
      <c r="AQ57" s="69"/>
      <c r="AR57" s="1974">
        <f t="shared" si="28"/>
        <v>22</v>
      </c>
      <c r="AS57" s="69"/>
      <c r="AT57" s="1974">
        <f t="shared" si="29"/>
        <v>6</v>
      </c>
      <c r="AU57" s="69"/>
      <c r="AV57" s="1974">
        <f t="shared" si="30"/>
        <v>6</v>
      </c>
      <c r="AW57" s="69"/>
      <c r="AX57" s="1975">
        <f t="shared" si="31"/>
        <v>6</v>
      </c>
      <c r="AY57" s="69"/>
      <c r="AZ57" s="1975">
        <f t="shared" si="32"/>
        <v>0</v>
      </c>
      <c r="BA57" s="69"/>
      <c r="BB57" s="1976">
        <f t="shared" si="33"/>
        <v>5</v>
      </c>
      <c r="BC57" s="69"/>
      <c r="BD57" s="1976">
        <f t="shared" si="34"/>
        <v>6</v>
      </c>
      <c r="BE57" s="69"/>
      <c r="BF57" s="1976">
        <f t="shared" si="35"/>
        <v>14</v>
      </c>
      <c r="BG57" s="69"/>
      <c r="BH57" s="1976">
        <f t="shared" si="36"/>
        <v>7</v>
      </c>
      <c r="BI57" s="69"/>
      <c r="BJ57" s="1976">
        <f t="shared" si="37"/>
        <v>8</v>
      </c>
      <c r="BK57" s="69"/>
      <c r="BL57" s="1974" t="str">
        <f t="shared" si="38"/>
        <v/>
      </c>
      <c r="BM57" s="69"/>
      <c r="BN57" s="1977">
        <f t="shared" si="39"/>
        <v>146</v>
      </c>
      <c r="BO57" s="69"/>
      <c r="BQ57" s="547"/>
      <c r="BR57" s="547"/>
      <c r="BS57" s="547"/>
      <c r="BT57" s="547"/>
      <c r="BU57" s="547"/>
    </row>
    <row r="58" ht="22.5" customHeight="1">
      <c r="A58" s="1109" t="str">
        <f t="shared" si="7"/>
        <v>Да</v>
      </c>
      <c r="B58" s="1831">
        <v>2929.0</v>
      </c>
      <c r="C58" s="1736">
        <v>143.0</v>
      </c>
      <c r="D58" s="1863"/>
      <c r="E58" s="1973" t="str">
        <f t="shared" si="8"/>
        <v>Ролл сэндвич с курицей</v>
      </c>
      <c r="F58" s="1974">
        <f t="shared" si="9"/>
        <v>16</v>
      </c>
      <c r="G58" s="69"/>
      <c r="H58" s="1974">
        <f t="shared" si="10"/>
        <v>3</v>
      </c>
      <c r="I58" s="69"/>
      <c r="J58" s="1974">
        <f t="shared" si="11"/>
        <v>3</v>
      </c>
      <c r="K58" s="69"/>
      <c r="L58" s="1974" t="str">
        <f t="shared" si="12"/>
        <v/>
      </c>
      <c r="M58" s="69"/>
      <c r="N58" s="1974">
        <f t="shared" si="13"/>
        <v>4</v>
      </c>
      <c r="O58" s="69"/>
      <c r="P58" s="1974">
        <f t="shared" si="14"/>
        <v>2</v>
      </c>
      <c r="Q58" s="69"/>
      <c r="R58" s="1974" t="str">
        <f t="shared" si="15"/>
        <v/>
      </c>
      <c r="S58" s="69"/>
      <c r="T58" s="1974" t="str">
        <f t="shared" si="16"/>
        <v/>
      </c>
      <c r="U58" s="69"/>
      <c r="V58" s="1974">
        <f t="shared" si="17"/>
        <v>2</v>
      </c>
      <c r="W58" s="69"/>
      <c r="X58" s="1974" t="str">
        <f t="shared" si="18"/>
        <v/>
      </c>
      <c r="Y58" s="69"/>
      <c r="Z58" s="1974" t="str">
        <f t="shared" si="19"/>
        <v/>
      </c>
      <c r="AA58" s="69"/>
      <c r="AB58" s="1974">
        <f t="shared" si="20"/>
        <v>2</v>
      </c>
      <c r="AC58" s="69"/>
      <c r="AD58" s="1974" t="str">
        <f t="shared" si="21"/>
        <v/>
      </c>
      <c r="AE58" s="69"/>
      <c r="AF58" s="1974">
        <f t="shared" si="22"/>
        <v>2</v>
      </c>
      <c r="AG58" s="69"/>
      <c r="AH58" s="1974">
        <f t="shared" si="23"/>
        <v>2</v>
      </c>
      <c r="AI58" s="69"/>
      <c r="AJ58" s="1974">
        <f t="shared" si="24"/>
        <v>2</v>
      </c>
      <c r="AK58" s="69"/>
      <c r="AL58" s="1974" t="str">
        <f t="shared" si="25"/>
        <v/>
      </c>
      <c r="AM58" s="69"/>
      <c r="AN58" s="1974" t="str">
        <f t="shared" si="26"/>
        <v/>
      </c>
      <c r="AO58" s="69"/>
      <c r="AP58" s="1974" t="str">
        <f t="shared" si="27"/>
        <v/>
      </c>
      <c r="AQ58" s="69"/>
      <c r="AR58" s="1974" t="str">
        <f t="shared" si="28"/>
        <v/>
      </c>
      <c r="AS58" s="69"/>
      <c r="AT58" s="1974" t="str">
        <f t="shared" si="29"/>
        <v/>
      </c>
      <c r="AU58" s="69"/>
      <c r="AV58" s="1974">
        <f t="shared" si="30"/>
        <v>6</v>
      </c>
      <c r="AW58" s="69"/>
      <c r="AX58" s="1975" t="str">
        <f t="shared" si="31"/>
        <v/>
      </c>
      <c r="AY58" s="69"/>
      <c r="AZ58" s="1975" t="str">
        <f t="shared" si="32"/>
        <v/>
      </c>
      <c r="BA58" s="69"/>
      <c r="BB58" s="1976" t="str">
        <f t="shared" si="33"/>
        <v/>
      </c>
      <c r="BC58" s="69"/>
      <c r="BD58" s="1976" t="str">
        <f t="shared" si="34"/>
        <v/>
      </c>
      <c r="BE58" s="69"/>
      <c r="BF58" s="1976">
        <f t="shared" si="35"/>
        <v>2</v>
      </c>
      <c r="BG58" s="69"/>
      <c r="BH58" s="1976">
        <f t="shared" si="36"/>
        <v>1</v>
      </c>
      <c r="BI58" s="69"/>
      <c r="BJ58" s="1976">
        <f t="shared" si="37"/>
        <v>2</v>
      </c>
      <c r="BK58" s="69"/>
      <c r="BL58" s="1974" t="str">
        <f t="shared" si="38"/>
        <v/>
      </c>
      <c r="BM58" s="69"/>
      <c r="BN58" s="1977">
        <f t="shared" si="39"/>
        <v>49</v>
      </c>
      <c r="BO58" s="69"/>
      <c r="BQ58" s="547"/>
      <c r="BR58" s="547"/>
      <c r="BS58" s="547"/>
      <c r="BT58" s="547"/>
      <c r="BU58" s="547"/>
    </row>
    <row r="59" ht="22.5" customHeight="1">
      <c r="A59" s="1109" t="str">
        <f t="shared" si="7"/>
        <v>Да</v>
      </c>
      <c r="B59" s="1831">
        <v>2079.0</v>
      </c>
      <c r="C59" s="1736">
        <v>105.0</v>
      </c>
      <c r="D59" s="1863"/>
      <c r="E59" s="1973" t="str">
        <f t="shared" si="8"/>
        <v>Вафельная трубочка с вареной сгущенкой</v>
      </c>
      <c r="F59" s="1974">
        <f t="shared" si="9"/>
        <v>36</v>
      </c>
      <c r="G59" s="69"/>
      <c r="H59" s="1974">
        <f t="shared" si="10"/>
        <v>4</v>
      </c>
      <c r="I59" s="69"/>
      <c r="J59" s="1974">
        <f t="shared" si="11"/>
        <v>3</v>
      </c>
      <c r="K59" s="69"/>
      <c r="L59" s="1974">
        <f t="shared" si="12"/>
        <v>8</v>
      </c>
      <c r="M59" s="69"/>
      <c r="N59" s="1974">
        <f t="shared" si="13"/>
        <v>8</v>
      </c>
      <c r="O59" s="69"/>
      <c r="P59" s="1974">
        <f t="shared" si="14"/>
        <v>6</v>
      </c>
      <c r="Q59" s="69"/>
      <c r="R59" s="1974">
        <f t="shared" si="15"/>
        <v>7</v>
      </c>
      <c r="S59" s="69"/>
      <c r="T59" s="1974">
        <f t="shared" si="16"/>
        <v>7</v>
      </c>
      <c r="U59" s="69"/>
      <c r="V59" s="1974">
        <f t="shared" si="17"/>
        <v>16</v>
      </c>
      <c r="W59" s="69"/>
      <c r="X59" s="1974">
        <f t="shared" si="18"/>
        <v>10</v>
      </c>
      <c r="Y59" s="69"/>
      <c r="Z59" s="1974" t="str">
        <f t="shared" si="19"/>
        <v/>
      </c>
      <c r="AA59" s="69"/>
      <c r="AB59" s="1974">
        <f t="shared" si="20"/>
        <v>9</v>
      </c>
      <c r="AC59" s="69"/>
      <c r="AD59" s="1974">
        <f t="shared" si="21"/>
        <v>17</v>
      </c>
      <c r="AE59" s="69"/>
      <c r="AF59" s="1974">
        <f t="shared" si="22"/>
        <v>21</v>
      </c>
      <c r="AG59" s="69"/>
      <c r="AH59" s="1974">
        <f t="shared" si="23"/>
        <v>8</v>
      </c>
      <c r="AI59" s="69"/>
      <c r="AJ59" s="1974">
        <f t="shared" si="24"/>
        <v>9</v>
      </c>
      <c r="AK59" s="69"/>
      <c r="AL59" s="1974">
        <f t="shared" si="25"/>
        <v>4</v>
      </c>
      <c r="AM59" s="69"/>
      <c r="AN59" s="1974">
        <f t="shared" si="26"/>
        <v>5</v>
      </c>
      <c r="AO59" s="69"/>
      <c r="AP59" s="1974">
        <f t="shared" si="27"/>
        <v>18</v>
      </c>
      <c r="AQ59" s="69"/>
      <c r="AR59" s="1974">
        <f t="shared" si="28"/>
        <v>4</v>
      </c>
      <c r="AS59" s="69"/>
      <c r="AT59" s="1974">
        <f t="shared" si="29"/>
        <v>8</v>
      </c>
      <c r="AU59" s="69"/>
      <c r="AV59" s="1974">
        <f t="shared" si="30"/>
        <v>7</v>
      </c>
      <c r="AW59" s="69"/>
      <c r="AX59" s="1975">
        <f t="shared" si="31"/>
        <v>9</v>
      </c>
      <c r="AY59" s="69"/>
      <c r="AZ59" s="1975">
        <f t="shared" si="32"/>
        <v>13</v>
      </c>
      <c r="BA59" s="69"/>
      <c r="BB59" s="1976">
        <f t="shared" si="33"/>
        <v>7</v>
      </c>
      <c r="BC59" s="69"/>
      <c r="BD59" s="1976">
        <f t="shared" si="34"/>
        <v>4</v>
      </c>
      <c r="BE59" s="69"/>
      <c r="BF59" s="1976">
        <f t="shared" si="35"/>
        <v>8</v>
      </c>
      <c r="BG59" s="69"/>
      <c r="BH59" s="1976">
        <f t="shared" si="36"/>
        <v>7</v>
      </c>
      <c r="BI59" s="69"/>
      <c r="BJ59" s="1976">
        <f t="shared" si="37"/>
        <v>7</v>
      </c>
      <c r="BK59" s="69"/>
      <c r="BL59" s="1974" t="str">
        <f t="shared" si="38"/>
        <v/>
      </c>
      <c r="BM59" s="69"/>
      <c r="BN59" s="1977">
        <f t="shared" si="39"/>
        <v>270</v>
      </c>
      <c r="BO59" s="69"/>
      <c r="BQ59" s="547"/>
      <c r="BR59" s="547"/>
      <c r="BS59" s="547"/>
      <c r="BT59" s="547"/>
      <c r="BU59" s="547"/>
    </row>
    <row r="60" ht="22.5" customHeight="1">
      <c r="A60" s="1109" t="str">
        <f t="shared" si="7"/>
        <v>Да</v>
      </c>
      <c r="B60" s="1831">
        <v>822.0</v>
      </c>
      <c r="C60" s="1736">
        <v>5.0</v>
      </c>
      <c r="D60" s="1863"/>
      <c r="E60" s="1973" t="str">
        <f t="shared" si="8"/>
        <v>Хлеб пшеничный</v>
      </c>
      <c r="F60" s="1974">
        <f t="shared" si="9"/>
        <v>3</v>
      </c>
      <c r="G60" s="69"/>
      <c r="H60" s="1974">
        <f t="shared" si="10"/>
        <v>2</v>
      </c>
      <c r="I60" s="69"/>
      <c r="J60" s="1974">
        <f t="shared" si="11"/>
        <v>2</v>
      </c>
      <c r="K60" s="69"/>
      <c r="L60" s="1974">
        <f t="shared" si="12"/>
        <v>2</v>
      </c>
      <c r="M60" s="69"/>
      <c r="N60" s="1974">
        <f t="shared" si="13"/>
        <v>3</v>
      </c>
      <c r="O60" s="69"/>
      <c r="P60" s="1974">
        <f t="shared" si="14"/>
        <v>2</v>
      </c>
      <c r="Q60" s="69"/>
      <c r="R60" s="1974">
        <f t="shared" si="15"/>
        <v>2</v>
      </c>
      <c r="S60" s="69"/>
      <c r="T60" s="1974">
        <f t="shared" si="16"/>
        <v>2</v>
      </c>
      <c r="U60" s="69"/>
      <c r="V60" s="1974">
        <f t="shared" si="17"/>
        <v>2</v>
      </c>
      <c r="W60" s="69"/>
      <c r="X60" s="1974">
        <f t="shared" si="18"/>
        <v>2</v>
      </c>
      <c r="Y60" s="69"/>
      <c r="Z60" s="1974" t="str">
        <f t="shared" si="19"/>
        <v/>
      </c>
      <c r="AA60" s="69"/>
      <c r="AB60" s="1974">
        <f t="shared" si="20"/>
        <v>2</v>
      </c>
      <c r="AC60" s="69"/>
      <c r="AD60" s="1974">
        <f t="shared" si="21"/>
        <v>2</v>
      </c>
      <c r="AE60" s="69"/>
      <c r="AF60" s="1974">
        <f t="shared" si="22"/>
        <v>2</v>
      </c>
      <c r="AG60" s="69"/>
      <c r="AH60" s="1974">
        <f t="shared" si="23"/>
        <v>2</v>
      </c>
      <c r="AI60" s="69"/>
      <c r="AJ60" s="1974">
        <f t="shared" si="24"/>
        <v>2</v>
      </c>
      <c r="AK60" s="69"/>
      <c r="AL60" s="1974">
        <f t="shared" si="25"/>
        <v>2</v>
      </c>
      <c r="AM60" s="69"/>
      <c r="AN60" s="1974">
        <f t="shared" si="26"/>
        <v>5</v>
      </c>
      <c r="AO60" s="69"/>
      <c r="AP60" s="1974">
        <f t="shared" si="27"/>
        <v>2</v>
      </c>
      <c r="AQ60" s="69"/>
      <c r="AR60" s="1974" t="str">
        <f t="shared" si="28"/>
        <v/>
      </c>
      <c r="AS60" s="69"/>
      <c r="AT60" s="1974">
        <f t="shared" si="29"/>
        <v>2</v>
      </c>
      <c r="AU60" s="69"/>
      <c r="AV60" s="1974">
        <f t="shared" si="30"/>
        <v>2</v>
      </c>
      <c r="AW60" s="69"/>
      <c r="AX60" s="1975">
        <f t="shared" si="31"/>
        <v>2</v>
      </c>
      <c r="AY60" s="69"/>
      <c r="AZ60" s="1975">
        <f t="shared" si="32"/>
        <v>15</v>
      </c>
      <c r="BA60" s="69"/>
      <c r="BB60" s="1976">
        <f t="shared" si="33"/>
        <v>3</v>
      </c>
      <c r="BC60" s="69"/>
      <c r="BD60" s="1976">
        <f t="shared" si="34"/>
        <v>2</v>
      </c>
      <c r="BE60" s="69"/>
      <c r="BF60" s="1976">
        <f t="shared" si="35"/>
        <v>3</v>
      </c>
      <c r="BG60" s="69"/>
      <c r="BH60" s="1976">
        <f t="shared" si="36"/>
        <v>2</v>
      </c>
      <c r="BI60" s="69"/>
      <c r="BJ60" s="1976">
        <f t="shared" si="37"/>
        <v>2</v>
      </c>
      <c r="BK60" s="69"/>
      <c r="BL60" s="1974">
        <f t="shared" si="38"/>
        <v>125</v>
      </c>
      <c r="BM60" s="69"/>
      <c r="BN60" s="1977">
        <f t="shared" si="39"/>
        <v>199</v>
      </c>
      <c r="BO60" s="69"/>
      <c r="BQ60" s="547"/>
      <c r="BR60" s="547"/>
      <c r="BS60" s="547"/>
      <c r="BT60" s="547"/>
      <c r="BU60" s="547"/>
    </row>
    <row r="61" ht="21.75" customHeight="1">
      <c r="A61" s="1109" t="str">
        <f t="shared" si="7"/>
        <v/>
      </c>
      <c r="B61" s="1719">
        <v>4312.0</v>
      </c>
      <c r="C61" s="1736">
        <v>148.0</v>
      </c>
      <c r="D61" s="1863"/>
      <c r="E61" s="1973" t="str">
        <f t="shared" si="8"/>
        <v>Фруктовый набор (арбуз/дыня)</v>
      </c>
      <c r="F61" s="1974">
        <f t="shared" si="9"/>
        <v>2</v>
      </c>
      <c r="G61" s="69"/>
      <c r="H61" s="1974" t="str">
        <f t="shared" si="10"/>
        <v/>
      </c>
      <c r="I61" s="69"/>
      <c r="J61" s="1974">
        <f t="shared" si="11"/>
        <v>2</v>
      </c>
      <c r="K61" s="69"/>
      <c r="L61" s="1974" t="str">
        <f t="shared" si="12"/>
        <v/>
      </c>
      <c r="M61" s="69"/>
      <c r="N61" s="1974">
        <f t="shared" si="13"/>
        <v>2</v>
      </c>
      <c r="O61" s="69"/>
      <c r="P61" s="1974">
        <f t="shared" si="14"/>
        <v>2</v>
      </c>
      <c r="Q61" s="69"/>
      <c r="R61" s="1974" t="str">
        <f t="shared" si="15"/>
        <v/>
      </c>
      <c r="S61" s="69"/>
      <c r="T61" s="1974">
        <f t="shared" si="16"/>
        <v>2</v>
      </c>
      <c r="U61" s="69"/>
      <c r="V61" s="1974">
        <f t="shared" si="17"/>
        <v>2</v>
      </c>
      <c r="W61" s="69"/>
      <c r="X61" s="1974">
        <f t="shared" si="18"/>
        <v>2</v>
      </c>
      <c r="Y61" s="69"/>
      <c r="Z61" s="1974" t="str">
        <f t="shared" si="19"/>
        <v/>
      </c>
      <c r="AA61" s="69"/>
      <c r="AB61" s="1974" t="str">
        <f t="shared" si="20"/>
        <v/>
      </c>
      <c r="AC61" s="69"/>
      <c r="AD61" s="1974" t="str">
        <f t="shared" si="21"/>
        <v/>
      </c>
      <c r="AE61" s="69"/>
      <c r="AF61" s="1974">
        <f t="shared" si="22"/>
        <v>2</v>
      </c>
      <c r="AG61" s="69"/>
      <c r="AH61" s="1974">
        <f t="shared" si="23"/>
        <v>2</v>
      </c>
      <c r="AI61" s="69"/>
      <c r="AJ61" s="1974" t="str">
        <f t="shared" si="24"/>
        <v/>
      </c>
      <c r="AK61" s="69"/>
      <c r="AL61" s="1974" t="str">
        <f t="shared" si="25"/>
        <v/>
      </c>
      <c r="AM61" s="69"/>
      <c r="AN61" s="1974">
        <f t="shared" si="26"/>
        <v>2</v>
      </c>
      <c r="AO61" s="69"/>
      <c r="AP61" s="1974" t="str">
        <f t="shared" si="27"/>
        <v/>
      </c>
      <c r="AQ61" s="69"/>
      <c r="AR61" s="1974">
        <f t="shared" si="28"/>
        <v>2</v>
      </c>
      <c r="AS61" s="69"/>
      <c r="AT61" s="1974" t="str">
        <f t="shared" si="29"/>
        <v/>
      </c>
      <c r="AU61" s="69"/>
      <c r="AV61" s="1974" t="str">
        <f t="shared" si="30"/>
        <v/>
      </c>
      <c r="AW61" s="69"/>
      <c r="AX61" s="1974">
        <f t="shared" si="31"/>
        <v>2</v>
      </c>
      <c r="AY61" s="69"/>
      <c r="AZ61" s="1974" t="str">
        <f t="shared" si="32"/>
        <v/>
      </c>
      <c r="BA61" s="69"/>
      <c r="BB61" s="1974" t="str">
        <f t="shared" si="33"/>
        <v/>
      </c>
      <c r="BC61" s="69"/>
      <c r="BD61" s="1974">
        <f t="shared" si="34"/>
        <v>1</v>
      </c>
      <c r="BE61" s="69"/>
      <c r="BF61" s="1974">
        <f t="shared" si="35"/>
        <v>2</v>
      </c>
      <c r="BG61" s="69"/>
      <c r="BH61" s="1974">
        <f t="shared" si="36"/>
        <v>2</v>
      </c>
      <c r="BI61" s="69"/>
      <c r="BJ61" s="1974">
        <f t="shared" si="37"/>
        <v>2</v>
      </c>
      <c r="BK61" s="69"/>
      <c r="BL61" s="1974" t="str">
        <f t="shared" si="38"/>
        <v/>
      </c>
      <c r="BM61" s="69"/>
      <c r="BN61" s="1977">
        <f t="shared" si="39"/>
        <v>31</v>
      </c>
      <c r="BO61" s="69"/>
      <c r="BQ61" s="547"/>
      <c r="BR61" s="547"/>
      <c r="BS61" s="547"/>
      <c r="BT61" s="547"/>
      <c r="BU61" s="547"/>
    </row>
    <row r="62" ht="21.75" customHeight="1">
      <c r="A62" s="1109" t="str">
        <f t="shared" si="7"/>
        <v/>
      </c>
      <c r="B62" s="1719"/>
      <c r="C62" s="2039"/>
      <c r="D62" s="1863"/>
      <c r="E62" s="1973"/>
      <c r="F62" s="1974"/>
      <c r="G62" s="69"/>
      <c r="H62" s="1974"/>
      <c r="I62" s="69"/>
      <c r="J62" s="1974"/>
      <c r="K62" s="69"/>
      <c r="L62" s="1974"/>
      <c r="M62" s="69"/>
      <c r="N62" s="1974"/>
      <c r="O62" s="69"/>
      <c r="P62" s="1974"/>
      <c r="Q62" s="69"/>
      <c r="R62" s="1974"/>
      <c r="S62" s="69"/>
      <c r="T62" s="1974"/>
      <c r="U62" s="69"/>
      <c r="V62" s="1974"/>
      <c r="W62" s="69"/>
      <c r="X62" s="1974"/>
      <c r="Y62" s="69"/>
      <c r="Z62" s="1974"/>
      <c r="AA62" s="69"/>
      <c r="AB62" s="1974"/>
      <c r="AC62" s="69"/>
      <c r="AD62" s="1974"/>
      <c r="AE62" s="69"/>
      <c r="AF62" s="1974"/>
      <c r="AG62" s="69"/>
      <c r="AH62" s="1974"/>
      <c r="AI62" s="69"/>
      <c r="AJ62" s="1974"/>
      <c r="AK62" s="69"/>
      <c r="AL62" s="1974"/>
      <c r="AM62" s="69"/>
      <c r="AN62" s="1974"/>
      <c r="AO62" s="69"/>
      <c r="AP62" s="1974"/>
      <c r="AQ62" s="69"/>
      <c r="AR62" s="1974"/>
      <c r="AS62" s="69"/>
      <c r="AT62" s="1974"/>
      <c r="AU62" s="69"/>
      <c r="AV62" s="1974"/>
      <c r="AW62" s="69"/>
      <c r="AX62" s="1974"/>
      <c r="AY62" s="69"/>
      <c r="AZ62" s="1974"/>
      <c r="BA62" s="69"/>
      <c r="BB62" s="1974"/>
      <c r="BC62" s="69"/>
      <c r="BD62" s="1974"/>
      <c r="BE62" s="69"/>
      <c r="BF62" s="1974"/>
      <c r="BG62" s="69"/>
      <c r="BH62" s="1974"/>
      <c r="BI62" s="69"/>
      <c r="BJ62" s="1976"/>
      <c r="BK62" s="69"/>
      <c r="BL62" s="1974"/>
      <c r="BM62" s="69"/>
      <c r="BN62" s="1977">
        <f t="shared" si="39"/>
        <v>0</v>
      </c>
      <c r="BO62" s="69"/>
      <c r="BQ62" s="11"/>
      <c r="BR62" s="11"/>
      <c r="BS62" s="11"/>
      <c r="BT62" s="11"/>
      <c r="BU62" s="11"/>
    </row>
    <row r="63" ht="21.75" customHeight="1">
      <c r="A63" s="1109" t="str">
        <f t="shared" si="7"/>
        <v/>
      </c>
      <c r="B63" s="1719"/>
      <c r="C63" s="2039"/>
      <c r="D63" s="1863"/>
      <c r="E63" s="1973"/>
      <c r="F63" s="1974">
        <f>SUM(F38:G61)</f>
        <v>144</v>
      </c>
      <c r="G63" s="69"/>
      <c r="H63" s="1974">
        <f>SUM(H38:I61)</f>
        <v>51</v>
      </c>
      <c r="I63" s="69"/>
      <c r="J63" s="1974">
        <f>SUM(J38:K61)</f>
        <v>67</v>
      </c>
      <c r="K63" s="69"/>
      <c r="L63" s="1974">
        <f>SUM(L38:M61)</f>
        <v>69</v>
      </c>
      <c r="M63" s="69"/>
      <c r="N63" s="1974">
        <f>SUM(N38:O61)</f>
        <v>118</v>
      </c>
      <c r="O63" s="69"/>
      <c r="P63" s="1974">
        <f>SUM(P38:Q61)</f>
        <v>91</v>
      </c>
      <c r="Q63" s="69"/>
      <c r="R63" s="1974">
        <f>SUM(R38:S61)</f>
        <v>36</v>
      </c>
      <c r="S63" s="69"/>
      <c r="T63" s="1974">
        <f>SUM(T38:U61)</f>
        <v>53</v>
      </c>
      <c r="U63" s="69"/>
      <c r="V63" s="1974">
        <f>SUM(V38:W61)</f>
        <v>70</v>
      </c>
      <c r="W63" s="69"/>
      <c r="X63" s="1974">
        <f>SUM(X38:Y61)</f>
        <v>62</v>
      </c>
      <c r="Y63" s="69"/>
      <c r="Z63" s="1974">
        <f>SUM(Z38:AA61)</f>
        <v>0</v>
      </c>
      <c r="AA63" s="69"/>
      <c r="AB63" s="1974">
        <f>SUM(AB38:AC61)</f>
        <v>48</v>
      </c>
      <c r="AC63" s="69"/>
      <c r="AD63" s="1974">
        <f>SUM(AD38:AE61)</f>
        <v>60</v>
      </c>
      <c r="AE63" s="69"/>
      <c r="AF63" s="1974">
        <f>SUM(AF38:AG61)</f>
        <v>90</v>
      </c>
      <c r="AG63" s="69"/>
      <c r="AH63" s="1974">
        <f>SUM(AH38:AI61)</f>
        <v>64</v>
      </c>
      <c r="AI63" s="69"/>
      <c r="AJ63" s="1974">
        <f>SUM(AJ38:AK61)</f>
        <v>57</v>
      </c>
      <c r="AK63" s="69"/>
      <c r="AL63" s="1974">
        <f>SUM(AL38:AM61)</f>
        <v>47</v>
      </c>
      <c r="AM63" s="69"/>
      <c r="AN63" s="1974">
        <f>SUM(AN38:AO61)</f>
        <v>169</v>
      </c>
      <c r="AO63" s="69"/>
      <c r="AP63" s="1974">
        <f>SUM(AP38:AQ61)</f>
        <v>59</v>
      </c>
      <c r="AQ63" s="69"/>
      <c r="AR63" s="1974">
        <f>SUM(AR38:AS61)</f>
        <v>111</v>
      </c>
      <c r="AS63" s="69"/>
      <c r="AT63" s="1974">
        <f>SUM(AT38:AU61)</f>
        <v>65</v>
      </c>
      <c r="AU63" s="69"/>
      <c r="AV63" s="1974">
        <f>SUM(AV38:AW61)</f>
        <v>59</v>
      </c>
      <c r="AW63" s="69"/>
      <c r="AX63" s="1974">
        <f>SUM(AX38:AY61)</f>
        <v>77</v>
      </c>
      <c r="AY63" s="69"/>
      <c r="AZ63" s="1974">
        <f>SUM(AZ38:BA61)</f>
        <v>65</v>
      </c>
      <c r="BA63" s="69"/>
      <c r="BB63" s="1974">
        <f>SUM(BB38:BC61)</f>
        <v>61</v>
      </c>
      <c r="BC63" s="69"/>
      <c r="BD63" s="1974">
        <f>SUM(BD38:BE61)</f>
        <v>41</v>
      </c>
      <c r="BE63" s="69"/>
      <c r="BF63" s="1974">
        <f>SUM(BF38:BG61)</f>
        <v>79</v>
      </c>
      <c r="BG63" s="69"/>
      <c r="BH63" s="1974">
        <f>SUM(BH38:BI61)</f>
        <v>65</v>
      </c>
      <c r="BI63" s="69"/>
      <c r="BJ63" s="1974">
        <f>SUM(BJ38:BK61)</f>
        <v>75</v>
      </c>
      <c r="BK63" s="69"/>
      <c r="BL63" s="1974">
        <f>SUM(BL38:BM61)</f>
        <v>520</v>
      </c>
      <c r="BM63" s="69"/>
      <c r="BN63" s="1977">
        <f t="shared" si="39"/>
        <v>2573</v>
      </c>
      <c r="BO63" s="69"/>
      <c r="BQ63" s="2040"/>
      <c r="BR63" s="2040"/>
      <c r="BS63" s="2040"/>
      <c r="BT63" s="11"/>
      <c r="BU63" s="11"/>
    </row>
    <row r="64" ht="21.75" customHeight="1">
      <c r="A64" s="1109" t="str">
        <f t="shared" si="7"/>
        <v/>
      </c>
      <c r="B64" s="1259"/>
      <c r="C64" s="2039"/>
      <c r="D64" s="1863"/>
      <c r="E64" s="1973"/>
      <c r="F64" s="1974"/>
      <c r="G64" s="69"/>
      <c r="H64" s="1974"/>
      <c r="I64" s="69"/>
      <c r="J64" s="1974"/>
      <c r="K64" s="69"/>
      <c r="L64" s="1974"/>
      <c r="M64" s="69"/>
      <c r="N64" s="1974"/>
      <c r="O64" s="69"/>
      <c r="P64" s="1974"/>
      <c r="Q64" s="69"/>
      <c r="R64" s="1974"/>
      <c r="S64" s="69"/>
      <c r="T64" s="1974"/>
      <c r="U64" s="69"/>
      <c r="V64" s="1974"/>
      <c r="W64" s="69"/>
      <c r="X64" s="1974"/>
      <c r="Y64" s="69"/>
      <c r="Z64" s="1974"/>
      <c r="AA64" s="69"/>
      <c r="AB64" s="1974"/>
      <c r="AC64" s="69"/>
      <c r="AD64" s="1974"/>
      <c r="AE64" s="69"/>
      <c r="AF64" s="1974"/>
      <c r="AG64" s="69"/>
      <c r="AH64" s="1974"/>
      <c r="AI64" s="69"/>
      <c r="AJ64" s="1974"/>
      <c r="AK64" s="69"/>
      <c r="AL64" s="1974"/>
      <c r="AM64" s="69"/>
      <c r="AN64" s="1974"/>
      <c r="AO64" s="69"/>
      <c r="AP64" s="1974"/>
      <c r="AQ64" s="69"/>
      <c r="AR64" s="1974"/>
      <c r="AS64" s="69"/>
      <c r="AT64" s="1974"/>
      <c r="AU64" s="69"/>
      <c r="AV64" s="1974"/>
      <c r="AW64" s="69"/>
      <c r="AX64" s="1975" t="str">
        <f>AY30</f>
        <v/>
      </c>
      <c r="AY64" s="69"/>
      <c r="AZ64" s="1975" t="str">
        <f>BA30</f>
        <v/>
      </c>
      <c r="BA64" s="69"/>
      <c r="BB64" s="1976" t="str">
        <f>BC30</f>
        <v/>
      </c>
      <c r="BC64" s="69"/>
      <c r="BD64" s="1976" t="str">
        <f>BE30</f>
        <v/>
      </c>
      <c r="BE64" s="69"/>
      <c r="BF64" s="1976" t="str">
        <f>BG30</f>
        <v/>
      </c>
      <c r="BG64" s="69"/>
      <c r="BH64" s="1976" t="str">
        <f>BI30</f>
        <v/>
      </c>
      <c r="BI64" s="69"/>
      <c r="BJ64" s="1976" t="str">
        <f>BK30</f>
        <v/>
      </c>
      <c r="BK64" s="69"/>
      <c r="BL64" s="1974" t="str">
        <f>BM30</f>
        <v/>
      </c>
      <c r="BM64" s="69"/>
      <c r="BN64" s="1977">
        <f t="shared" si="39"/>
        <v>0</v>
      </c>
      <c r="BO64" s="69"/>
      <c r="BQ64" s="195"/>
      <c r="BR64" s="195"/>
      <c r="BS64" s="195"/>
      <c r="BT64" s="195"/>
      <c r="BU64" s="195"/>
    </row>
    <row r="65" ht="15.75" customHeight="1">
      <c r="A65" s="1004"/>
      <c r="B65" s="2041"/>
      <c r="C65" s="2042"/>
      <c r="D65" s="2042"/>
      <c r="E65" s="2043"/>
      <c r="F65" s="13"/>
      <c r="H65" s="13"/>
      <c r="I65" s="677"/>
      <c r="J65" s="13"/>
      <c r="K65" s="677"/>
      <c r="L65" s="13"/>
      <c r="M65" s="677"/>
      <c r="N65" s="13"/>
      <c r="O65" s="13"/>
      <c r="P65" s="13"/>
      <c r="Q65" s="677"/>
      <c r="T65" s="801" t="str">
        <f>U32</f>
        <v/>
      </c>
      <c r="V65" s="1189"/>
      <c r="X65" s="1189"/>
      <c r="Z65" s="1190"/>
      <c r="AB65" s="1190"/>
      <c r="AH65" s="701"/>
      <c r="AJ65" s="701"/>
      <c r="BB65" s="1190"/>
      <c r="BD65" s="1190"/>
      <c r="BF65" s="1190"/>
      <c r="BH65" s="1190"/>
      <c r="BJ65" s="1190"/>
      <c r="BL65" s="2044"/>
      <c r="BM65" s="1474"/>
      <c r="BN65" s="1324">
        <f>SUM(BN38:BO64)</f>
        <v>5146</v>
      </c>
      <c r="BO65" s="69"/>
      <c r="BQ65" s="195"/>
      <c r="BR65" s="195"/>
      <c r="BS65" s="195"/>
      <c r="BT65" s="195"/>
      <c r="BU65" s="195"/>
    </row>
    <row r="66" ht="15.75" customHeight="1">
      <c r="A66" s="1004"/>
      <c r="B66" s="2041"/>
      <c r="C66" s="2042"/>
      <c r="D66" s="2042"/>
      <c r="E66" s="977"/>
      <c r="F66" s="13"/>
      <c r="G66" s="13"/>
      <c r="H66" s="13"/>
      <c r="I66" s="677"/>
      <c r="J66" s="13"/>
      <c r="K66" s="677"/>
      <c r="L66" s="13"/>
      <c r="M66" s="677"/>
      <c r="N66" s="1007"/>
      <c r="O66" s="13"/>
      <c r="P66" s="1007"/>
      <c r="Q66" s="11"/>
      <c r="T66" s="63"/>
      <c r="V66" s="1190"/>
      <c r="X66" s="1190"/>
      <c r="Z66" s="1190"/>
      <c r="AA66" s="1190"/>
      <c r="AB66" s="1190"/>
      <c r="BB66" s="1190"/>
      <c r="BD66" s="1190"/>
      <c r="BF66" s="1190"/>
      <c r="BH66" s="1190"/>
      <c r="BJ66" s="1190"/>
      <c r="BL66" s="1187"/>
      <c r="BN66" s="11"/>
      <c r="BO66" s="11"/>
      <c r="BP66" s="11"/>
      <c r="BQ66" s="195"/>
      <c r="BR66" s="195"/>
      <c r="BS66" s="195"/>
      <c r="BT66" s="195"/>
      <c r="BU66" s="195"/>
    </row>
    <row r="67" ht="15.75" customHeight="1">
      <c r="A67" s="2045" t="s">
        <v>1279</v>
      </c>
      <c r="B67" s="1930"/>
      <c r="C67" s="2046"/>
      <c r="D67" s="2046">
        <v>46251.0</v>
      </c>
      <c r="E67" s="2047" t="s">
        <v>3118</v>
      </c>
      <c r="F67" s="2048"/>
      <c r="G67" s="1479"/>
      <c r="H67" s="1226"/>
      <c r="I67" s="1227"/>
      <c r="J67" s="1025"/>
      <c r="K67" s="2049"/>
      <c r="L67" s="2050"/>
      <c r="M67" s="1548"/>
      <c r="N67" s="2051"/>
      <c r="O67" s="1732"/>
      <c r="P67" s="2052"/>
      <c r="Q67" s="530"/>
      <c r="R67" s="1596"/>
      <c r="S67" s="1596"/>
      <c r="T67" s="2053"/>
      <c r="V67" s="1596"/>
      <c r="W67" s="1596"/>
      <c r="X67" s="2053"/>
      <c r="Z67" s="1596"/>
      <c r="AA67" s="1596"/>
      <c r="AB67" s="1596"/>
      <c r="AC67" s="1596"/>
      <c r="AD67" s="1596"/>
      <c r="AE67" s="1596"/>
      <c r="AF67" s="2053"/>
      <c r="AH67" s="1596"/>
      <c r="AI67" s="1596"/>
      <c r="AJ67" s="1596"/>
      <c r="AK67" s="1596"/>
      <c r="AL67" s="2053"/>
      <c r="AN67" s="1596"/>
      <c r="AO67" s="1596"/>
      <c r="AP67" s="1596"/>
      <c r="AQ67" s="1596"/>
      <c r="AR67" s="2053"/>
      <c r="AT67" s="1596"/>
      <c r="AU67" s="1596"/>
      <c r="AV67" s="2054"/>
      <c r="AW67" s="530"/>
      <c r="AX67" s="2055"/>
      <c r="AY67" s="2055"/>
      <c r="AZ67" s="2055"/>
      <c r="BA67" s="2055"/>
      <c r="BB67" s="2055"/>
      <c r="BC67" s="2055"/>
      <c r="BD67" s="2055"/>
      <c r="BE67" s="2055"/>
      <c r="BF67" s="2055"/>
      <c r="BG67" s="2055"/>
      <c r="BH67" s="2055"/>
      <c r="BI67" s="2055"/>
      <c r="BJ67" s="2055"/>
      <c r="BK67" s="2055"/>
      <c r="BL67" s="1596"/>
      <c r="BM67" s="1596"/>
      <c r="BN67" s="1599"/>
      <c r="BO67" s="1599"/>
      <c r="BP67" s="1599"/>
      <c r="BQ67" s="2056"/>
      <c r="BR67" s="2056"/>
      <c r="BS67" s="2056"/>
      <c r="BT67" s="2057"/>
      <c r="BU67" s="2057"/>
    </row>
    <row r="68" ht="15.75" customHeight="1">
      <c r="A68" s="1565"/>
      <c r="B68" s="2058" t="s">
        <v>1283</v>
      </c>
      <c r="C68" s="2059" t="s">
        <v>19</v>
      </c>
      <c r="D68" s="2060" t="s">
        <v>473</v>
      </c>
      <c r="E68" s="1480" t="s">
        <v>471</v>
      </c>
      <c r="F68" s="1075" t="s">
        <v>1357</v>
      </c>
      <c r="G68" s="1409" t="s">
        <v>3071</v>
      </c>
      <c r="H68" s="1075" t="s">
        <v>1287</v>
      </c>
      <c r="I68" s="1409" t="s">
        <v>1288</v>
      </c>
      <c r="J68" s="1075" t="s">
        <v>1358</v>
      </c>
      <c r="K68" s="1409" t="s">
        <v>3072</v>
      </c>
      <c r="L68" s="1075" t="s">
        <v>1359</v>
      </c>
      <c r="M68" s="1409" t="s">
        <v>3073</v>
      </c>
      <c r="N68" s="1075" t="s">
        <v>1360</v>
      </c>
      <c r="O68" s="1409" t="s">
        <v>3074</v>
      </c>
      <c r="P68" s="1075" t="s">
        <v>1361</v>
      </c>
      <c r="Q68" s="1409" t="s">
        <v>3075</v>
      </c>
      <c r="R68" s="1485" t="s">
        <v>1362</v>
      </c>
      <c r="S68" s="1560" t="s">
        <v>1298</v>
      </c>
      <c r="T68" s="1427" t="s">
        <v>1299</v>
      </c>
      <c r="U68" s="1560" t="s">
        <v>1300</v>
      </c>
      <c r="V68" s="1487" t="s">
        <v>1301</v>
      </c>
      <c r="W68" s="1560" t="s">
        <v>1302</v>
      </c>
      <c r="X68" s="1427" t="s">
        <v>1363</v>
      </c>
      <c r="Y68" s="1560" t="s">
        <v>1304</v>
      </c>
      <c r="Z68" s="1487" t="s">
        <v>1305</v>
      </c>
      <c r="AA68" s="1560" t="s">
        <v>1306</v>
      </c>
      <c r="AB68" s="1487" t="s">
        <v>1307</v>
      </c>
      <c r="AC68" s="1560" t="s">
        <v>1308</v>
      </c>
      <c r="AD68" s="1487" t="s">
        <v>1309</v>
      </c>
      <c r="AE68" s="1560" t="s">
        <v>1310</v>
      </c>
      <c r="AF68" s="1427" t="s">
        <v>1311</v>
      </c>
      <c r="AG68" s="1560" t="s">
        <v>1312</v>
      </c>
      <c r="AH68" s="1487" t="s">
        <v>1313</v>
      </c>
      <c r="AI68" s="1560" t="s">
        <v>1314</v>
      </c>
      <c r="AJ68" s="1487" t="s">
        <v>1315</v>
      </c>
      <c r="AK68" s="1560" t="s">
        <v>1316</v>
      </c>
      <c r="AL68" s="1487" t="s">
        <v>1317</v>
      </c>
      <c r="AM68" s="1560" t="s">
        <v>1318</v>
      </c>
      <c r="AN68" s="1487" t="s">
        <v>1319</v>
      </c>
      <c r="AO68" s="1560" t="s">
        <v>1320</v>
      </c>
      <c r="AP68" s="1487" t="s">
        <v>1321</v>
      </c>
      <c r="AQ68" s="1486" t="s">
        <v>1322</v>
      </c>
      <c r="AR68" s="1427" t="s">
        <v>1323</v>
      </c>
      <c r="AS68" s="1486" t="s">
        <v>1324</v>
      </c>
      <c r="AT68" s="1485" t="s">
        <v>1325</v>
      </c>
      <c r="AU68" s="1486" t="s">
        <v>1326</v>
      </c>
      <c r="AV68" s="1485" t="s">
        <v>1327</v>
      </c>
      <c r="AW68" s="1486" t="s">
        <v>1328</v>
      </c>
      <c r="AX68" s="1485" t="s">
        <v>3076</v>
      </c>
      <c r="AY68" s="1486" t="s">
        <v>3077</v>
      </c>
      <c r="AZ68" s="1485" t="s">
        <v>3078</v>
      </c>
      <c r="BA68" s="1486" t="s">
        <v>3079</v>
      </c>
      <c r="BB68" s="1485" t="s">
        <v>3080</v>
      </c>
      <c r="BC68" s="1486" t="s">
        <v>3081</v>
      </c>
      <c r="BD68" s="1485" t="s">
        <v>3082</v>
      </c>
      <c r="BE68" s="1486" t="s">
        <v>3083</v>
      </c>
      <c r="BF68" s="1485" t="s">
        <v>3084</v>
      </c>
      <c r="BG68" s="1486" t="s">
        <v>3085</v>
      </c>
      <c r="BH68" s="1485" t="s">
        <v>3086</v>
      </c>
      <c r="BI68" s="1486" t="s">
        <v>3087</v>
      </c>
      <c r="BJ68" s="1485" t="s">
        <v>3088</v>
      </c>
      <c r="BK68" s="1486" t="s">
        <v>3089</v>
      </c>
      <c r="BL68" s="1946" t="s">
        <v>1425</v>
      </c>
      <c r="BM68" s="1947" t="s">
        <v>3045</v>
      </c>
      <c r="BN68" s="1814" t="s">
        <v>3090</v>
      </c>
      <c r="BO68" s="1815" t="s">
        <v>3091</v>
      </c>
      <c r="BP68" s="1072" t="s">
        <v>1331</v>
      </c>
      <c r="BQ68" s="1168" t="s">
        <v>3092</v>
      </c>
      <c r="BR68" s="1075"/>
      <c r="BS68" s="1075" t="s">
        <v>3094</v>
      </c>
      <c r="BT68" s="547"/>
      <c r="BU68" s="547"/>
    </row>
    <row r="69" ht="19.5" customHeight="1">
      <c r="A69" s="1565" t="s">
        <v>145</v>
      </c>
      <c r="B69" s="1259">
        <v>1287.0</v>
      </c>
      <c r="C69" s="1948">
        <v>85.0</v>
      </c>
      <c r="D69" s="2061" t="s">
        <v>3095</v>
      </c>
      <c r="E69" s="1262" t="str">
        <f>'Матрица 4 недели'!D155</f>
        <v>Блины со сметаной</v>
      </c>
      <c r="F69" s="1760">
        <v>6.0</v>
      </c>
      <c r="G69" s="1135">
        <v>6.0</v>
      </c>
      <c r="H69" s="1760">
        <v>3.0</v>
      </c>
      <c r="I69" s="1135">
        <v>3.0</v>
      </c>
      <c r="J69" s="1760">
        <v>4.0</v>
      </c>
      <c r="K69" s="1135">
        <v>4.0</v>
      </c>
      <c r="L69" s="1760">
        <v>4.0</v>
      </c>
      <c r="M69" s="1135">
        <v>4.0</v>
      </c>
      <c r="N69" s="1760">
        <v>8.0</v>
      </c>
      <c r="O69" s="1135">
        <v>8.0</v>
      </c>
      <c r="P69" s="1760">
        <v>5.0</v>
      </c>
      <c r="Q69" s="1135">
        <v>5.0</v>
      </c>
      <c r="R69" s="1760">
        <v>3.0</v>
      </c>
      <c r="S69" s="1135">
        <v>3.0</v>
      </c>
      <c r="T69" s="1760">
        <v>2.0</v>
      </c>
      <c r="U69" s="1135">
        <v>2.0</v>
      </c>
      <c r="V69" s="1760">
        <v>7.0</v>
      </c>
      <c r="W69" s="1135">
        <v>7.0</v>
      </c>
      <c r="X69" s="1760">
        <v>3.0</v>
      </c>
      <c r="Y69" s="1135">
        <v>3.0</v>
      </c>
      <c r="Z69" s="1760"/>
      <c r="AA69" s="1135"/>
      <c r="AB69" s="1760">
        <v>4.0</v>
      </c>
      <c r="AC69" s="1135">
        <v>4.0</v>
      </c>
      <c r="AD69" s="1760">
        <v>5.0</v>
      </c>
      <c r="AE69" s="1135">
        <v>5.0</v>
      </c>
      <c r="AF69" s="1760">
        <v>11.0</v>
      </c>
      <c r="AG69" s="1135">
        <v>11.0</v>
      </c>
      <c r="AH69" s="1760">
        <v>4.0</v>
      </c>
      <c r="AI69" s="1135">
        <v>4.0</v>
      </c>
      <c r="AJ69" s="1760">
        <v>4.0</v>
      </c>
      <c r="AK69" s="1135">
        <v>4.0</v>
      </c>
      <c r="AL69" s="1151">
        <v>3.0</v>
      </c>
      <c r="AM69" s="1135">
        <v>3.0</v>
      </c>
      <c r="AN69" s="1760">
        <v>6.0</v>
      </c>
      <c r="AO69" s="1173">
        <v>6.0</v>
      </c>
      <c r="AP69" s="1151">
        <v>5.0</v>
      </c>
      <c r="AQ69" s="1135">
        <v>5.0</v>
      </c>
      <c r="AR69" s="1151">
        <v>4.0</v>
      </c>
      <c r="AS69" s="1135">
        <v>4.0</v>
      </c>
      <c r="AT69" s="1151">
        <v>6.0</v>
      </c>
      <c r="AU69" s="1135">
        <v>6.0</v>
      </c>
      <c r="AV69" s="1151">
        <v>5.0</v>
      </c>
      <c r="AW69" s="1135">
        <v>5.0</v>
      </c>
      <c r="AX69" s="1151">
        <v>5.0</v>
      </c>
      <c r="AY69" s="1135">
        <v>5.0</v>
      </c>
      <c r="AZ69" s="1126">
        <v>4.0</v>
      </c>
      <c r="BA69" s="1135">
        <v>4.0</v>
      </c>
      <c r="BB69" s="1151">
        <v>3.0</v>
      </c>
      <c r="BC69" s="1135">
        <v>3.0</v>
      </c>
      <c r="BD69" s="1151">
        <v>4.0</v>
      </c>
      <c r="BE69" s="1135">
        <v>4.0</v>
      </c>
      <c r="BF69" s="1151">
        <v>6.0</v>
      </c>
      <c r="BG69" s="1135">
        <v>6.0</v>
      </c>
      <c r="BH69" s="1151">
        <v>3.0</v>
      </c>
      <c r="BI69" s="1135">
        <v>3.0</v>
      </c>
      <c r="BJ69" s="1151">
        <v>0.0</v>
      </c>
      <c r="BK69" s="1135">
        <v>0.0</v>
      </c>
      <c r="BL69" s="1134"/>
      <c r="BM69" s="1135"/>
      <c r="BN69" s="77"/>
      <c r="BO69" s="2062"/>
      <c r="BP69" s="80">
        <f t="shared" ref="BP69:BP92" si="40">(F69+H69+J69+L69+N69+P69+R69+T69+V69+X69+Z69+AB69+AD568+AD69+AF69+AH69+AJ69+AL69+AN69+BL69+AP69+AR69+AT69+AV69+AX69+AZ69+BB69+BD69+BF69+BH69)+1+BJ69</f>
        <v>128</v>
      </c>
      <c r="BQ69" s="2063">
        <f t="shared" ref="BQ69:BQ92" si="41">G69+I69+K69+M69+O69+Q69+S69+U69+W69+Y69+AA69+AE69+AG69+AI69+AK69+AM69+AC69+AS69+BM69+AO69+AQ69+AU69+AW69+AY69+BA69+BC69+BE69+BG69+BI69+BK69</f>
        <v>127</v>
      </c>
      <c r="BR69" s="2064">
        <f t="shared" ref="BR69:BR70" si="42">C69*BQ69</f>
        <v>10795</v>
      </c>
      <c r="BS69" s="2065">
        <f t="shared" ref="BS69:BS92" si="43">BP69*C69</f>
        <v>10880</v>
      </c>
      <c r="BT69" s="2066"/>
      <c r="BU69" s="2066"/>
    </row>
    <row r="70" ht="19.5" customHeight="1">
      <c r="A70" s="1565" t="s">
        <v>145</v>
      </c>
      <c r="B70" s="1247">
        <v>3426.0</v>
      </c>
      <c r="C70" s="2067">
        <v>160.0</v>
      </c>
      <c r="D70" s="1271" t="s">
        <v>3095</v>
      </c>
      <c r="E70" s="1274" t="str">
        <f>'Матрица 4 недели'!D156</f>
        <v>Ленивые хачапури</v>
      </c>
      <c r="F70" s="1760">
        <v>3.0</v>
      </c>
      <c r="G70" s="1173">
        <v>3.0</v>
      </c>
      <c r="H70" s="1760">
        <v>1.0</v>
      </c>
      <c r="I70" s="1173">
        <v>1.0</v>
      </c>
      <c r="J70" s="1760">
        <v>3.0</v>
      </c>
      <c r="K70" s="1173">
        <v>3.0</v>
      </c>
      <c r="L70" s="1760">
        <v>2.0</v>
      </c>
      <c r="M70" s="1173">
        <v>2.0</v>
      </c>
      <c r="N70" s="1760">
        <v>7.0</v>
      </c>
      <c r="O70" s="1173">
        <v>7.0</v>
      </c>
      <c r="P70" s="1760">
        <v>2.0</v>
      </c>
      <c r="Q70" s="1173">
        <v>2.0</v>
      </c>
      <c r="R70" s="1760">
        <v>0.0</v>
      </c>
      <c r="S70" s="1173">
        <v>0.0</v>
      </c>
      <c r="T70" s="1760">
        <v>2.0</v>
      </c>
      <c r="U70" s="1173">
        <v>2.0</v>
      </c>
      <c r="V70" s="1760">
        <v>2.0</v>
      </c>
      <c r="W70" s="1173">
        <v>2.0</v>
      </c>
      <c r="X70" s="1760">
        <v>2.0</v>
      </c>
      <c r="Y70" s="1173">
        <v>2.0</v>
      </c>
      <c r="Z70" s="1760"/>
      <c r="AA70" s="1173"/>
      <c r="AB70" s="1760">
        <v>2.0</v>
      </c>
      <c r="AC70" s="1173">
        <v>2.0</v>
      </c>
      <c r="AD70" s="1760">
        <v>0.0</v>
      </c>
      <c r="AE70" s="1173">
        <v>0.0</v>
      </c>
      <c r="AF70" s="1760">
        <v>4.0</v>
      </c>
      <c r="AG70" s="1173">
        <v>4.0</v>
      </c>
      <c r="AH70" s="1760">
        <v>3.0</v>
      </c>
      <c r="AI70" s="1173">
        <v>3.0</v>
      </c>
      <c r="AJ70" s="1760">
        <v>2.0</v>
      </c>
      <c r="AK70" s="1173">
        <v>2.0</v>
      </c>
      <c r="AL70" s="1151">
        <v>1.0</v>
      </c>
      <c r="AM70" s="1173">
        <v>1.0</v>
      </c>
      <c r="AN70" s="1760">
        <v>6.0</v>
      </c>
      <c r="AO70" s="1173">
        <v>6.0</v>
      </c>
      <c r="AP70" s="1760">
        <v>0.0</v>
      </c>
      <c r="AQ70" s="1173">
        <v>0.0</v>
      </c>
      <c r="AR70" s="1151">
        <v>12.0</v>
      </c>
      <c r="AS70" s="1173">
        <v>12.0</v>
      </c>
      <c r="AT70" s="1151">
        <v>0.0</v>
      </c>
      <c r="AU70" s="1173">
        <v>0.0</v>
      </c>
      <c r="AV70" s="1151">
        <v>2.0</v>
      </c>
      <c r="AW70" s="1173">
        <v>2.0</v>
      </c>
      <c r="AX70" s="1151">
        <v>7.0</v>
      </c>
      <c r="AY70" s="1173">
        <v>7.0</v>
      </c>
      <c r="AZ70" s="1126">
        <v>0.0</v>
      </c>
      <c r="BA70" s="1173">
        <v>0.0</v>
      </c>
      <c r="BB70" s="1151">
        <v>2.0</v>
      </c>
      <c r="BC70" s="1173">
        <v>2.0</v>
      </c>
      <c r="BD70" s="1151">
        <v>2.0</v>
      </c>
      <c r="BE70" s="1173">
        <v>2.0</v>
      </c>
      <c r="BF70" s="1151">
        <v>3.0</v>
      </c>
      <c r="BG70" s="1173">
        <v>3.0</v>
      </c>
      <c r="BH70" s="1151">
        <v>4.0</v>
      </c>
      <c r="BI70" s="1173">
        <v>4.0</v>
      </c>
      <c r="BJ70" s="1151">
        <v>3.0</v>
      </c>
      <c r="BK70" s="1173">
        <v>3.0</v>
      </c>
      <c r="BL70" s="1134"/>
      <c r="BM70" s="1173"/>
      <c r="BN70" s="77"/>
      <c r="BO70" s="2062"/>
      <c r="BP70" s="80">
        <f t="shared" si="40"/>
        <v>78</v>
      </c>
      <c r="BQ70" s="2063">
        <f t="shared" si="41"/>
        <v>77</v>
      </c>
      <c r="BR70" s="2064">
        <f t="shared" si="42"/>
        <v>12320</v>
      </c>
      <c r="BS70" s="2065">
        <f t="shared" si="43"/>
        <v>12480</v>
      </c>
      <c r="BT70" s="2066"/>
      <c r="BU70" s="2066"/>
    </row>
    <row r="71" ht="19.5" customHeight="1">
      <c r="A71" s="1565" t="s">
        <v>145</v>
      </c>
      <c r="B71" s="1247">
        <v>4098.0</v>
      </c>
      <c r="C71" s="2067">
        <v>164.0</v>
      </c>
      <c r="D71" s="1271" t="s">
        <v>3095</v>
      </c>
      <c r="E71" s="1282" t="str">
        <f>'Матрица 4 недели'!D157</f>
        <v>Шоколадный пирог с ягодами</v>
      </c>
      <c r="F71" s="1760">
        <v>2.0</v>
      </c>
      <c r="G71" s="1135">
        <v>2.0</v>
      </c>
      <c r="H71" s="1760">
        <v>3.0</v>
      </c>
      <c r="I71" s="1135">
        <v>3.0</v>
      </c>
      <c r="J71" s="1760">
        <v>3.0</v>
      </c>
      <c r="K71" s="1135">
        <v>3.0</v>
      </c>
      <c r="L71" s="1760">
        <v>8.0</v>
      </c>
      <c r="M71" s="1135">
        <v>8.0</v>
      </c>
      <c r="N71" s="1760">
        <v>7.0</v>
      </c>
      <c r="O71" s="1135">
        <v>7.0</v>
      </c>
      <c r="P71" s="1760">
        <v>5.0</v>
      </c>
      <c r="Q71" s="1135">
        <v>5.0</v>
      </c>
      <c r="R71" s="1760">
        <v>2.0</v>
      </c>
      <c r="S71" s="1135">
        <v>2.0</v>
      </c>
      <c r="T71" s="1760">
        <v>4.0</v>
      </c>
      <c r="U71" s="1135">
        <v>4.0</v>
      </c>
      <c r="V71" s="1760">
        <v>2.0</v>
      </c>
      <c r="W71" s="1135">
        <v>2.0</v>
      </c>
      <c r="X71" s="1760">
        <v>3.0</v>
      </c>
      <c r="Y71" s="1135">
        <v>3.0</v>
      </c>
      <c r="Z71" s="1760"/>
      <c r="AA71" s="1135"/>
      <c r="AB71" s="1760">
        <v>6.0</v>
      </c>
      <c r="AC71" s="1135">
        <v>6.0</v>
      </c>
      <c r="AD71" s="1760">
        <v>5.0</v>
      </c>
      <c r="AE71" s="1135">
        <v>5.0</v>
      </c>
      <c r="AF71" s="1760">
        <v>5.0</v>
      </c>
      <c r="AG71" s="1135">
        <v>5.0</v>
      </c>
      <c r="AH71" s="1760">
        <v>4.0</v>
      </c>
      <c r="AI71" s="1135">
        <v>4.0</v>
      </c>
      <c r="AJ71" s="1760">
        <v>6.0</v>
      </c>
      <c r="AK71" s="1135">
        <v>6.0</v>
      </c>
      <c r="AL71" s="1151">
        <v>2.0</v>
      </c>
      <c r="AM71" s="1135">
        <v>2.0</v>
      </c>
      <c r="AN71" s="1760">
        <v>6.0</v>
      </c>
      <c r="AO71" s="1173">
        <v>6.0</v>
      </c>
      <c r="AP71" s="1151">
        <v>3.0</v>
      </c>
      <c r="AQ71" s="1135">
        <v>3.0</v>
      </c>
      <c r="AR71" s="1151">
        <v>8.0</v>
      </c>
      <c r="AS71" s="1135">
        <v>8.0</v>
      </c>
      <c r="AT71" s="1151">
        <v>2.0</v>
      </c>
      <c r="AU71" s="1135">
        <v>2.0</v>
      </c>
      <c r="AV71" s="1151">
        <v>4.0</v>
      </c>
      <c r="AW71" s="1135">
        <v>4.0</v>
      </c>
      <c r="AX71" s="1151">
        <v>10.0</v>
      </c>
      <c r="AY71" s="1135">
        <v>10.0</v>
      </c>
      <c r="AZ71" s="1126">
        <v>3.0</v>
      </c>
      <c r="BA71" s="1135">
        <v>3.0</v>
      </c>
      <c r="BB71" s="1151">
        <v>3.0</v>
      </c>
      <c r="BC71" s="1135">
        <v>3.0</v>
      </c>
      <c r="BD71" s="1151">
        <v>3.0</v>
      </c>
      <c r="BE71" s="1135">
        <v>3.0</v>
      </c>
      <c r="BF71" s="1151">
        <v>3.0</v>
      </c>
      <c r="BG71" s="1135">
        <v>3.0</v>
      </c>
      <c r="BH71" s="1151">
        <v>6.0</v>
      </c>
      <c r="BI71" s="1135">
        <v>6.0</v>
      </c>
      <c r="BJ71" s="1151">
        <v>5.0</v>
      </c>
      <c r="BK71" s="1135">
        <v>5.0</v>
      </c>
      <c r="BL71" s="1134"/>
      <c r="BM71" s="1173"/>
      <c r="BN71" s="80"/>
      <c r="BO71" s="1579"/>
      <c r="BP71" s="80">
        <f t="shared" si="40"/>
        <v>124</v>
      </c>
      <c r="BQ71" s="2063">
        <f t="shared" si="41"/>
        <v>123</v>
      </c>
      <c r="BR71" s="2064">
        <v>123.0</v>
      </c>
      <c r="BS71" s="2065">
        <f t="shared" si="43"/>
        <v>20336</v>
      </c>
      <c r="BT71" s="2066"/>
      <c r="BU71" s="2066"/>
    </row>
    <row r="72" ht="19.5" customHeight="1">
      <c r="A72" s="1565" t="s">
        <v>145</v>
      </c>
      <c r="B72" s="1247">
        <v>3379.0</v>
      </c>
      <c r="C72" s="2067">
        <v>98.0</v>
      </c>
      <c r="D72" s="1271" t="s">
        <v>70</v>
      </c>
      <c r="E72" s="1282" t="str">
        <f>'Матрица 4 недели'!G155</f>
        <v>Салат ''Зайка'' 120 г</v>
      </c>
      <c r="F72" s="1151">
        <v>10.0</v>
      </c>
      <c r="G72" s="1135">
        <v>10.0</v>
      </c>
      <c r="H72" s="1760">
        <v>3.0</v>
      </c>
      <c r="I72" s="1135">
        <v>3.0</v>
      </c>
      <c r="J72" s="1760">
        <v>2.0</v>
      </c>
      <c r="K72" s="1173">
        <v>2.0</v>
      </c>
      <c r="L72" s="1151">
        <v>3.0</v>
      </c>
      <c r="M72" s="1173">
        <v>3.0</v>
      </c>
      <c r="N72" s="1760">
        <v>13.0</v>
      </c>
      <c r="O72" s="1173">
        <v>13.0</v>
      </c>
      <c r="P72" s="1760">
        <v>9.0</v>
      </c>
      <c r="Q72" s="1173">
        <v>9.0</v>
      </c>
      <c r="R72" s="1760">
        <v>6.0</v>
      </c>
      <c r="S72" s="1173">
        <v>6.0</v>
      </c>
      <c r="T72" s="1760">
        <v>5.0</v>
      </c>
      <c r="U72" s="1173">
        <v>5.0</v>
      </c>
      <c r="V72" s="1760">
        <v>5.0</v>
      </c>
      <c r="W72" s="1173">
        <v>5.0</v>
      </c>
      <c r="X72" s="1760">
        <v>3.0</v>
      </c>
      <c r="Y72" s="1173">
        <v>3.0</v>
      </c>
      <c r="Z72" s="1760"/>
      <c r="AA72" s="1173"/>
      <c r="AB72" s="1760">
        <v>4.0</v>
      </c>
      <c r="AC72" s="1173">
        <v>4.0</v>
      </c>
      <c r="AD72" s="1760">
        <v>4.0</v>
      </c>
      <c r="AE72" s="1173">
        <v>4.0</v>
      </c>
      <c r="AF72" s="1151">
        <v>7.0</v>
      </c>
      <c r="AG72" s="1173">
        <v>7.0</v>
      </c>
      <c r="AH72" s="1151">
        <v>7.0</v>
      </c>
      <c r="AI72" s="1173">
        <v>7.0</v>
      </c>
      <c r="AJ72" s="1760">
        <v>6.0</v>
      </c>
      <c r="AK72" s="1173">
        <v>6.0</v>
      </c>
      <c r="AL72" s="1151">
        <v>4.0</v>
      </c>
      <c r="AM72" s="1173">
        <v>4.0</v>
      </c>
      <c r="AN72" s="1760">
        <v>6.0</v>
      </c>
      <c r="AO72" s="1173">
        <v>6.0</v>
      </c>
      <c r="AP72" s="1760">
        <v>3.0</v>
      </c>
      <c r="AQ72" s="1173">
        <v>3.0</v>
      </c>
      <c r="AR72" s="1151">
        <v>11.0</v>
      </c>
      <c r="AS72" s="1135">
        <v>11.0</v>
      </c>
      <c r="AT72" s="1151">
        <v>5.0</v>
      </c>
      <c r="AU72" s="1135">
        <v>5.0</v>
      </c>
      <c r="AV72" s="1151">
        <v>4.0</v>
      </c>
      <c r="AW72" s="1135">
        <v>4.0</v>
      </c>
      <c r="AX72" s="1151">
        <v>7.0</v>
      </c>
      <c r="AY72" s="1135">
        <v>7.0</v>
      </c>
      <c r="AZ72" s="1126">
        <v>6.0</v>
      </c>
      <c r="BA72" s="1135">
        <v>6.0</v>
      </c>
      <c r="BB72" s="1151">
        <v>2.0</v>
      </c>
      <c r="BC72" s="1135">
        <v>2.0</v>
      </c>
      <c r="BD72" s="1151">
        <v>4.0</v>
      </c>
      <c r="BE72" s="1135">
        <v>4.0</v>
      </c>
      <c r="BF72" s="1151">
        <v>6.0</v>
      </c>
      <c r="BG72" s="1135">
        <v>6.0</v>
      </c>
      <c r="BH72" s="1151">
        <v>6.0</v>
      </c>
      <c r="BI72" s="1135">
        <v>6.0</v>
      </c>
      <c r="BJ72" s="1151">
        <v>7.0</v>
      </c>
      <c r="BK72" s="1173">
        <v>7.0</v>
      </c>
      <c r="BL72" s="1134">
        <v>44.0</v>
      </c>
      <c r="BM72" s="1173">
        <v>44.0</v>
      </c>
      <c r="BN72" s="80"/>
      <c r="BO72" s="1579"/>
      <c r="BP72" s="80">
        <f t="shared" si="40"/>
        <v>203</v>
      </c>
      <c r="BQ72" s="2063">
        <f t="shared" si="41"/>
        <v>202</v>
      </c>
      <c r="BR72" s="2064">
        <f>C72*BQ72</f>
        <v>19796</v>
      </c>
      <c r="BS72" s="2065">
        <f t="shared" si="43"/>
        <v>19894</v>
      </c>
      <c r="BT72" s="2066"/>
      <c r="BU72" s="2066"/>
    </row>
    <row r="73" ht="19.5" customHeight="1">
      <c r="A73" s="1565" t="s">
        <v>145</v>
      </c>
      <c r="B73" s="1283">
        <v>2175.0</v>
      </c>
      <c r="C73" s="2067">
        <v>98.0</v>
      </c>
      <c r="D73" s="1271" t="s">
        <v>70</v>
      </c>
      <c r="E73" s="1282" t="str">
        <f>'Матрица 4 недели'!G156</f>
        <v>Салат ''Баварский'' (колбаса в/к)</v>
      </c>
      <c r="F73" s="1760">
        <v>7.0</v>
      </c>
      <c r="G73" s="1135">
        <v>7.0</v>
      </c>
      <c r="H73" s="1760">
        <v>1.0</v>
      </c>
      <c r="I73" s="1135">
        <v>1.0</v>
      </c>
      <c r="J73" s="1760">
        <v>2.0</v>
      </c>
      <c r="K73" s="1135">
        <v>2.0</v>
      </c>
      <c r="L73" s="1760">
        <v>2.0</v>
      </c>
      <c r="M73" s="1135">
        <v>2.0</v>
      </c>
      <c r="N73" s="1760">
        <v>5.0</v>
      </c>
      <c r="O73" s="1135">
        <v>6.0</v>
      </c>
      <c r="P73" s="1760">
        <v>10.0</v>
      </c>
      <c r="Q73" s="1135">
        <v>11.0</v>
      </c>
      <c r="R73" s="1760">
        <v>2.0</v>
      </c>
      <c r="S73" s="1135">
        <v>2.0</v>
      </c>
      <c r="T73" s="1760">
        <v>3.0</v>
      </c>
      <c r="U73" s="1135">
        <v>3.0</v>
      </c>
      <c r="V73" s="1760">
        <v>2.0</v>
      </c>
      <c r="W73" s="1135">
        <v>3.0</v>
      </c>
      <c r="X73" s="1760">
        <v>0.0</v>
      </c>
      <c r="Y73" s="1135">
        <v>0.0</v>
      </c>
      <c r="Z73" s="1760"/>
      <c r="AA73" s="1135"/>
      <c r="AB73" s="1760">
        <v>0.0</v>
      </c>
      <c r="AC73" s="1135">
        <v>0.0</v>
      </c>
      <c r="AD73" s="1760">
        <v>3.0</v>
      </c>
      <c r="AE73" s="1135">
        <v>3.0</v>
      </c>
      <c r="AF73" s="1760">
        <v>1.0</v>
      </c>
      <c r="AG73" s="1135">
        <v>1.0</v>
      </c>
      <c r="AH73" s="1760">
        <v>2.0</v>
      </c>
      <c r="AI73" s="1135">
        <v>4.0</v>
      </c>
      <c r="AJ73" s="1760">
        <v>2.0</v>
      </c>
      <c r="AK73" s="1135">
        <v>2.0</v>
      </c>
      <c r="AL73" s="1151">
        <v>1.0</v>
      </c>
      <c r="AM73" s="1135">
        <v>1.0</v>
      </c>
      <c r="AN73" s="1760">
        <v>6.0</v>
      </c>
      <c r="AO73" s="1173">
        <v>6.0</v>
      </c>
      <c r="AP73" s="1151">
        <v>2.0</v>
      </c>
      <c r="AQ73" s="1135">
        <v>2.0</v>
      </c>
      <c r="AR73" s="1151">
        <v>6.0</v>
      </c>
      <c r="AS73" s="1135">
        <v>7.0</v>
      </c>
      <c r="AT73" s="1151">
        <v>4.0</v>
      </c>
      <c r="AU73" s="1135">
        <v>4.0</v>
      </c>
      <c r="AV73" s="1151">
        <v>4.0</v>
      </c>
      <c r="AW73" s="1135">
        <v>4.0</v>
      </c>
      <c r="AX73" s="1151">
        <v>5.0</v>
      </c>
      <c r="AY73" s="1135">
        <v>5.0</v>
      </c>
      <c r="AZ73" s="1126">
        <v>1.0</v>
      </c>
      <c r="BA73" s="1135">
        <v>1.0</v>
      </c>
      <c r="BB73" s="1151">
        <v>2.0</v>
      </c>
      <c r="BC73" s="1135">
        <v>2.0</v>
      </c>
      <c r="BD73" s="1151">
        <v>0.0</v>
      </c>
      <c r="BE73" s="1135">
        <v>0.0</v>
      </c>
      <c r="BF73" s="1151">
        <v>2.0</v>
      </c>
      <c r="BG73" s="1135">
        <v>2.0</v>
      </c>
      <c r="BH73" s="1151">
        <v>1.0</v>
      </c>
      <c r="BI73" s="1135">
        <v>1.0</v>
      </c>
      <c r="BJ73" s="1151">
        <v>3.0</v>
      </c>
      <c r="BK73" s="1135">
        <v>3.0</v>
      </c>
      <c r="BL73" s="1134">
        <v>43.0</v>
      </c>
      <c r="BM73" s="1135">
        <v>43.0</v>
      </c>
      <c r="BN73" s="80"/>
      <c r="BO73" s="1579"/>
      <c r="BP73" s="80">
        <f t="shared" si="40"/>
        <v>123</v>
      </c>
      <c r="BQ73" s="2063">
        <f t="shared" si="41"/>
        <v>128</v>
      </c>
      <c r="BR73" s="2064">
        <v>122.0</v>
      </c>
      <c r="BS73" s="2065">
        <f t="shared" si="43"/>
        <v>12054</v>
      </c>
      <c r="BT73" s="2066"/>
      <c r="BU73" s="2066"/>
    </row>
    <row r="74" ht="19.5" customHeight="1">
      <c r="A74" s="1565" t="s">
        <v>145</v>
      </c>
      <c r="B74" s="1247">
        <v>3814.0</v>
      </c>
      <c r="C74" s="2067">
        <v>98.0</v>
      </c>
      <c r="D74" s="1271" t="s">
        <v>70</v>
      </c>
      <c r="E74" s="1282" t="str">
        <f>'Матрица 4 недели'!G157</f>
        <v>Салат Фаворит (филе кур., грибы)</v>
      </c>
      <c r="F74" s="1762">
        <v>5.0</v>
      </c>
      <c r="G74" s="1764">
        <v>5.0</v>
      </c>
      <c r="H74" s="1762">
        <v>2.0</v>
      </c>
      <c r="I74" s="1764">
        <v>2.0</v>
      </c>
      <c r="J74" s="1762">
        <v>2.0</v>
      </c>
      <c r="K74" s="1764">
        <v>2.0</v>
      </c>
      <c r="L74" s="1765">
        <v>3.0</v>
      </c>
      <c r="M74" s="1764">
        <v>3.0</v>
      </c>
      <c r="N74" s="1762">
        <v>5.0</v>
      </c>
      <c r="O74" s="1764">
        <v>5.0</v>
      </c>
      <c r="P74" s="1765">
        <v>5.0</v>
      </c>
      <c r="Q74" s="1766">
        <v>5.0</v>
      </c>
      <c r="R74" s="1760">
        <v>3.0</v>
      </c>
      <c r="S74" s="1766">
        <v>3.0</v>
      </c>
      <c r="T74" s="1151">
        <v>3.0</v>
      </c>
      <c r="U74" s="1766">
        <v>3.0</v>
      </c>
      <c r="V74" s="1767">
        <v>1.0</v>
      </c>
      <c r="W74" s="1768">
        <v>1.0</v>
      </c>
      <c r="X74" s="1769">
        <v>4.0</v>
      </c>
      <c r="Y74" s="1770">
        <v>4.0</v>
      </c>
      <c r="Z74" s="1760"/>
      <c r="AA74" s="1766"/>
      <c r="AB74" s="1769">
        <v>2.0</v>
      </c>
      <c r="AC74" s="1770">
        <v>2.0</v>
      </c>
      <c r="AD74" s="1771">
        <v>1.0</v>
      </c>
      <c r="AE74" s="1770">
        <v>1.0</v>
      </c>
      <c r="AF74" s="1771">
        <v>2.0</v>
      </c>
      <c r="AG74" s="1770">
        <v>2.0</v>
      </c>
      <c r="AH74" s="1760">
        <v>5.0</v>
      </c>
      <c r="AI74" s="1772">
        <v>5.0</v>
      </c>
      <c r="AJ74" s="1771">
        <v>3.0</v>
      </c>
      <c r="AK74" s="1770">
        <v>3.0</v>
      </c>
      <c r="AL74" s="1151">
        <v>4.0</v>
      </c>
      <c r="AM74" s="1173">
        <v>4.0</v>
      </c>
      <c r="AN74" s="1760">
        <v>6.0</v>
      </c>
      <c r="AO74" s="1173">
        <v>6.0</v>
      </c>
      <c r="AP74" s="1151">
        <v>2.0</v>
      </c>
      <c r="AQ74" s="1173">
        <v>2.0</v>
      </c>
      <c r="AR74" s="1151">
        <v>10.0</v>
      </c>
      <c r="AS74" s="1173">
        <v>10.0</v>
      </c>
      <c r="AT74" s="1151">
        <v>5.0</v>
      </c>
      <c r="AU74" s="1173">
        <v>5.0</v>
      </c>
      <c r="AV74" s="1151">
        <v>4.0</v>
      </c>
      <c r="AW74" s="1173">
        <v>4.0</v>
      </c>
      <c r="AX74" s="1151">
        <v>6.0</v>
      </c>
      <c r="AY74" s="1173">
        <v>6.0</v>
      </c>
      <c r="AZ74" s="1126">
        <v>3.0</v>
      </c>
      <c r="BA74" s="1173">
        <v>3.0</v>
      </c>
      <c r="BB74" s="1151">
        <v>2.0</v>
      </c>
      <c r="BC74" s="1173">
        <v>2.0</v>
      </c>
      <c r="BD74" s="1151">
        <v>2.0</v>
      </c>
      <c r="BE74" s="1173">
        <v>2.0</v>
      </c>
      <c r="BF74" s="1151">
        <v>2.0</v>
      </c>
      <c r="BG74" s="1173">
        <v>2.0</v>
      </c>
      <c r="BH74" s="1151">
        <v>3.0</v>
      </c>
      <c r="BI74" s="1173">
        <v>3.0</v>
      </c>
      <c r="BJ74" s="1151">
        <v>5.0</v>
      </c>
      <c r="BK74" s="1173">
        <v>5.0</v>
      </c>
      <c r="BL74" s="1134">
        <v>43.0</v>
      </c>
      <c r="BM74" s="1173">
        <v>43.0</v>
      </c>
      <c r="BN74" s="80"/>
      <c r="BO74" s="1579"/>
      <c r="BP74" s="2069">
        <f t="shared" si="40"/>
        <v>144</v>
      </c>
      <c r="BQ74" s="2070">
        <f t="shared" si="41"/>
        <v>143</v>
      </c>
      <c r="BR74" s="2064">
        <v>143.0</v>
      </c>
      <c r="BS74" s="2065">
        <f t="shared" si="43"/>
        <v>14112</v>
      </c>
      <c r="BT74" s="2066"/>
      <c r="BU74" s="2066"/>
    </row>
    <row r="75" ht="19.5" customHeight="1">
      <c r="A75" s="1565" t="s">
        <v>145</v>
      </c>
      <c r="B75" s="1247">
        <v>4273.0</v>
      </c>
      <c r="C75" s="2067">
        <v>187.0</v>
      </c>
      <c r="D75" s="1271" t="s">
        <v>70</v>
      </c>
      <c r="E75" s="1282" t="str">
        <f>'Матрица 4 недели'!G158</f>
        <v>Салат "Шопский" с печёным перцем </v>
      </c>
      <c r="F75" s="1151">
        <v>2.0</v>
      </c>
      <c r="G75" s="1135">
        <v>2.0</v>
      </c>
      <c r="H75" s="1760">
        <v>2.0</v>
      </c>
      <c r="I75" s="1135">
        <v>2.0</v>
      </c>
      <c r="J75" s="1760">
        <v>4.0</v>
      </c>
      <c r="K75" s="1173">
        <v>4.0</v>
      </c>
      <c r="L75" s="1151">
        <v>2.0</v>
      </c>
      <c r="M75" s="1173">
        <v>2.0</v>
      </c>
      <c r="N75" s="1760">
        <v>3.0</v>
      </c>
      <c r="O75" s="1173">
        <v>3.0</v>
      </c>
      <c r="P75" s="1760">
        <v>0.0</v>
      </c>
      <c r="Q75" s="1173">
        <v>0.0</v>
      </c>
      <c r="R75" s="1760">
        <v>0.0</v>
      </c>
      <c r="S75" s="1173">
        <v>0.0</v>
      </c>
      <c r="T75" s="1760">
        <v>2.0</v>
      </c>
      <c r="U75" s="1173">
        <v>2.0</v>
      </c>
      <c r="V75" s="1760">
        <v>2.0</v>
      </c>
      <c r="W75" s="1173">
        <v>2.0</v>
      </c>
      <c r="X75" s="1760">
        <v>1.0</v>
      </c>
      <c r="Y75" s="1173">
        <v>1.0</v>
      </c>
      <c r="Z75" s="1760"/>
      <c r="AA75" s="1173"/>
      <c r="AB75" s="1760">
        <v>1.0</v>
      </c>
      <c r="AC75" s="1173">
        <v>1.0</v>
      </c>
      <c r="AD75" s="1760">
        <v>2.0</v>
      </c>
      <c r="AE75" s="1173">
        <v>2.0</v>
      </c>
      <c r="AF75" s="1151">
        <v>2.0</v>
      </c>
      <c r="AG75" s="1173">
        <v>2.0</v>
      </c>
      <c r="AH75" s="1151">
        <v>3.0</v>
      </c>
      <c r="AI75" s="1173">
        <v>3.0</v>
      </c>
      <c r="AJ75" s="1760">
        <v>2.0</v>
      </c>
      <c r="AK75" s="1173">
        <v>2.0</v>
      </c>
      <c r="AL75" s="1151">
        <v>0.0</v>
      </c>
      <c r="AM75" s="1173">
        <v>0.0</v>
      </c>
      <c r="AN75" s="1760">
        <v>3.0</v>
      </c>
      <c r="AO75" s="1173">
        <v>3.0</v>
      </c>
      <c r="AP75" s="1760">
        <v>0.0</v>
      </c>
      <c r="AQ75" s="1173">
        <v>0.0</v>
      </c>
      <c r="AR75" s="1151">
        <v>2.0</v>
      </c>
      <c r="AS75" s="1135">
        <v>2.0</v>
      </c>
      <c r="AT75" s="1151">
        <v>2.0</v>
      </c>
      <c r="AU75" s="1135">
        <v>2.0</v>
      </c>
      <c r="AV75" s="1151">
        <v>2.0</v>
      </c>
      <c r="AW75" s="1135">
        <v>2.0</v>
      </c>
      <c r="AX75" s="1151">
        <v>3.0</v>
      </c>
      <c r="AY75" s="1135">
        <v>3.0</v>
      </c>
      <c r="AZ75" s="1126">
        <v>2.0</v>
      </c>
      <c r="BA75" s="1135">
        <v>2.0</v>
      </c>
      <c r="BB75" s="1151">
        <v>3.0</v>
      </c>
      <c r="BC75" s="1135">
        <v>3.0</v>
      </c>
      <c r="BD75" s="1151">
        <v>2.0</v>
      </c>
      <c r="BE75" s="1135">
        <v>2.0</v>
      </c>
      <c r="BF75" s="1151">
        <v>2.0</v>
      </c>
      <c r="BG75" s="1135">
        <v>2.0</v>
      </c>
      <c r="BH75" s="1151">
        <v>3.0</v>
      </c>
      <c r="BI75" s="1135">
        <v>3.0</v>
      </c>
      <c r="BJ75" s="1151">
        <v>3.0</v>
      </c>
      <c r="BK75" s="1173">
        <v>3.0</v>
      </c>
      <c r="BL75" s="1134"/>
      <c r="BM75" s="1173"/>
      <c r="BN75" s="77"/>
      <c r="BO75" s="2062"/>
      <c r="BP75" s="80">
        <f t="shared" si="40"/>
        <v>56</v>
      </c>
      <c r="BQ75" s="2063">
        <f t="shared" si="41"/>
        <v>55</v>
      </c>
      <c r="BR75" s="2064">
        <f t="shared" ref="BR75:BR78" si="44">C75*BQ75</f>
        <v>10285</v>
      </c>
      <c r="BS75" s="2065">
        <f t="shared" si="43"/>
        <v>10472</v>
      </c>
      <c r="BT75" s="2066"/>
      <c r="BU75" s="2066"/>
    </row>
    <row r="76" ht="19.5" customHeight="1">
      <c r="A76" s="1565"/>
      <c r="B76" s="1247">
        <v>386.0</v>
      </c>
      <c r="C76" s="2067">
        <v>88.0</v>
      </c>
      <c r="D76" s="1271" t="s">
        <v>74</v>
      </c>
      <c r="E76" s="1282" t="str">
        <f>'Матрица 4 недели'!J155</f>
        <v>Суп ''Харчо'' с курицей</v>
      </c>
      <c r="F76" s="1151"/>
      <c r="G76" s="1173"/>
      <c r="H76" s="1151"/>
      <c r="I76" s="1173"/>
      <c r="J76" s="1151"/>
      <c r="K76" s="1173"/>
      <c r="L76" s="1151"/>
      <c r="M76" s="1173"/>
      <c r="N76" s="1151"/>
      <c r="O76" s="1173"/>
      <c r="P76" s="1769"/>
      <c r="Q76" s="1173"/>
      <c r="R76" s="1151"/>
      <c r="S76" s="1135"/>
      <c r="T76" s="1769"/>
      <c r="U76" s="1135"/>
      <c r="V76" s="1769"/>
      <c r="W76" s="1135"/>
      <c r="X76" s="1769"/>
      <c r="Y76" s="1135"/>
      <c r="Z76" s="1769"/>
      <c r="AA76" s="1135"/>
      <c r="AB76" s="1760"/>
      <c r="AC76" s="1135"/>
      <c r="AD76" s="1760"/>
      <c r="AE76" s="1135"/>
      <c r="AF76" s="1769"/>
      <c r="AG76" s="1135"/>
      <c r="AH76" s="1769"/>
      <c r="AI76" s="1135"/>
      <c r="AJ76" s="1769"/>
      <c r="AK76" s="1173"/>
      <c r="AL76" s="1151"/>
      <c r="AM76" s="1173"/>
      <c r="AN76" s="1760"/>
      <c r="AO76" s="1173"/>
      <c r="AP76" s="1151"/>
      <c r="AQ76" s="1173"/>
      <c r="AR76" s="1151"/>
      <c r="AS76" s="1173"/>
      <c r="AT76" s="1151"/>
      <c r="AU76" s="1173"/>
      <c r="AV76" s="1151"/>
      <c r="AW76" s="1173"/>
      <c r="AX76" s="1151"/>
      <c r="AY76" s="1173"/>
      <c r="AZ76" s="1126"/>
      <c r="BA76" s="1173"/>
      <c r="BB76" s="1151"/>
      <c r="BC76" s="1173"/>
      <c r="BD76" s="1151"/>
      <c r="BE76" s="1173"/>
      <c r="BF76" s="1151"/>
      <c r="BG76" s="1173"/>
      <c r="BH76" s="1151"/>
      <c r="BI76" s="1173"/>
      <c r="BJ76" s="1151"/>
      <c r="BK76" s="1173"/>
      <c r="BL76" s="1134">
        <v>110.0</v>
      </c>
      <c r="BM76" s="1173">
        <v>110.0</v>
      </c>
      <c r="BN76" s="80"/>
      <c r="BO76" s="1579"/>
      <c r="BP76" s="80">
        <f t="shared" si="40"/>
        <v>111</v>
      </c>
      <c r="BQ76" s="2063">
        <f t="shared" si="41"/>
        <v>110</v>
      </c>
      <c r="BR76" s="2064">
        <f t="shared" si="44"/>
        <v>9680</v>
      </c>
      <c r="BS76" s="2065">
        <f t="shared" si="43"/>
        <v>9768</v>
      </c>
      <c r="BT76" s="2066"/>
      <c r="BU76" s="2066"/>
    </row>
    <row r="77" ht="19.5" customHeight="1">
      <c r="A77" s="1565" t="s">
        <v>145</v>
      </c>
      <c r="B77" s="1247">
        <v>60.0</v>
      </c>
      <c r="C77" s="2067">
        <v>141.0</v>
      </c>
      <c r="D77" s="1271" t="s">
        <v>74</v>
      </c>
      <c r="E77" s="1282" t="str">
        <f>'Матрица 4 недели'!J156</f>
        <v>Грибной крем суп</v>
      </c>
      <c r="F77" s="1151">
        <v>1.0</v>
      </c>
      <c r="G77" s="1173">
        <v>1.0</v>
      </c>
      <c r="H77" s="1151">
        <v>2.0</v>
      </c>
      <c r="I77" s="1173">
        <v>2.0</v>
      </c>
      <c r="J77" s="1151">
        <v>2.0</v>
      </c>
      <c r="K77" s="1173">
        <v>2.0</v>
      </c>
      <c r="L77" s="1151">
        <v>2.0</v>
      </c>
      <c r="M77" s="1173">
        <v>2.0</v>
      </c>
      <c r="N77" s="1151">
        <v>4.0</v>
      </c>
      <c r="O77" s="1173">
        <v>4.0</v>
      </c>
      <c r="P77" s="1769">
        <v>2.0</v>
      </c>
      <c r="Q77" s="1173">
        <v>2.0</v>
      </c>
      <c r="R77" s="1151">
        <v>0.0</v>
      </c>
      <c r="S77" s="1135">
        <v>0.0</v>
      </c>
      <c r="T77" s="1769">
        <v>2.0</v>
      </c>
      <c r="U77" s="1135">
        <v>2.0</v>
      </c>
      <c r="V77" s="1769">
        <v>2.0</v>
      </c>
      <c r="W77" s="1135">
        <v>2.0</v>
      </c>
      <c r="X77" s="1769">
        <v>2.0</v>
      </c>
      <c r="Y77" s="1135">
        <v>2.0</v>
      </c>
      <c r="Z77" s="1769"/>
      <c r="AA77" s="1135"/>
      <c r="AB77" s="1760">
        <v>1.0</v>
      </c>
      <c r="AC77" s="1135">
        <v>1.0</v>
      </c>
      <c r="AD77" s="1760">
        <v>2.0</v>
      </c>
      <c r="AE77" s="1135">
        <v>2.0</v>
      </c>
      <c r="AF77" s="1769">
        <v>3.0</v>
      </c>
      <c r="AG77" s="1135">
        <v>3.0</v>
      </c>
      <c r="AH77" s="1769">
        <v>1.0</v>
      </c>
      <c r="AI77" s="1135">
        <v>1.0</v>
      </c>
      <c r="AJ77" s="1769">
        <v>1.0</v>
      </c>
      <c r="AK77" s="1173">
        <v>1.0</v>
      </c>
      <c r="AL77" s="1151">
        <v>0.0</v>
      </c>
      <c r="AM77" s="1173">
        <v>0.0</v>
      </c>
      <c r="AN77" s="1760">
        <v>3.0</v>
      </c>
      <c r="AO77" s="1173">
        <v>3.0</v>
      </c>
      <c r="AP77" s="1151">
        <v>1.0</v>
      </c>
      <c r="AQ77" s="1173">
        <v>1.0</v>
      </c>
      <c r="AR77" s="1151">
        <v>2.0</v>
      </c>
      <c r="AS77" s="1173">
        <v>2.0</v>
      </c>
      <c r="AT77" s="1151">
        <v>1.0</v>
      </c>
      <c r="AU77" s="1173">
        <v>1.0</v>
      </c>
      <c r="AV77" s="1151">
        <v>0.0</v>
      </c>
      <c r="AW77" s="1173">
        <v>0.0</v>
      </c>
      <c r="AX77" s="1151">
        <v>1.0</v>
      </c>
      <c r="AY77" s="1173">
        <v>1.0</v>
      </c>
      <c r="AZ77" s="1126">
        <v>1.0</v>
      </c>
      <c r="BA77" s="1173">
        <v>1.0</v>
      </c>
      <c r="BB77" s="1151">
        <v>1.0</v>
      </c>
      <c r="BC77" s="1173">
        <v>1.0</v>
      </c>
      <c r="BD77" s="1151">
        <v>2.0</v>
      </c>
      <c r="BE77" s="1173">
        <v>2.0</v>
      </c>
      <c r="BF77" s="1151">
        <v>1.0</v>
      </c>
      <c r="BG77" s="1173">
        <v>1.0</v>
      </c>
      <c r="BH77" s="1151">
        <v>2.0</v>
      </c>
      <c r="BI77" s="1173">
        <v>2.0</v>
      </c>
      <c r="BJ77" s="1151">
        <v>3.0</v>
      </c>
      <c r="BK77" s="1173">
        <v>3.0</v>
      </c>
      <c r="BL77" s="1139"/>
      <c r="BM77" s="1173"/>
      <c r="BN77" s="80"/>
      <c r="BO77" s="1579"/>
      <c r="BP77" s="80">
        <f t="shared" si="40"/>
        <v>46</v>
      </c>
      <c r="BQ77" s="2063">
        <f t="shared" si="41"/>
        <v>45</v>
      </c>
      <c r="BR77" s="2064">
        <f t="shared" si="44"/>
        <v>6345</v>
      </c>
      <c r="BS77" s="2065">
        <f t="shared" si="43"/>
        <v>6486</v>
      </c>
      <c r="BT77" s="2066"/>
      <c r="BU77" s="2066"/>
    </row>
    <row r="78" ht="19.5" customHeight="1">
      <c r="A78" s="1565" t="s">
        <v>145</v>
      </c>
      <c r="B78" s="1247">
        <v>1939.0</v>
      </c>
      <c r="C78" s="2067">
        <v>229.0</v>
      </c>
      <c r="D78" s="1271" t="s">
        <v>77</v>
      </c>
      <c r="E78" s="1282" t="str">
        <f>'Матрица 4 недели'!M155</f>
        <v>Котлета из щуки с пюре картофельным</v>
      </c>
      <c r="F78" s="1151">
        <v>8.0</v>
      </c>
      <c r="G78" s="1173">
        <v>8.0</v>
      </c>
      <c r="H78" s="1151">
        <v>5.0</v>
      </c>
      <c r="I78" s="1173">
        <v>5.0</v>
      </c>
      <c r="J78" s="1151">
        <v>3.0</v>
      </c>
      <c r="K78" s="1173">
        <v>3.0</v>
      </c>
      <c r="L78" s="1151">
        <v>3.0</v>
      </c>
      <c r="M78" s="1173">
        <v>3.0</v>
      </c>
      <c r="N78" s="1151">
        <v>1.0</v>
      </c>
      <c r="O78" s="1173">
        <v>1.0</v>
      </c>
      <c r="P78" s="1151">
        <v>2.0</v>
      </c>
      <c r="Q78" s="1766">
        <v>2.0</v>
      </c>
      <c r="R78" s="1151">
        <v>2.0</v>
      </c>
      <c r="S78" s="1135">
        <v>2.0</v>
      </c>
      <c r="T78" s="1769">
        <v>0.0</v>
      </c>
      <c r="U78" s="1135">
        <v>0.0</v>
      </c>
      <c r="V78" s="1769">
        <v>3.0</v>
      </c>
      <c r="W78" s="1135">
        <v>3.0</v>
      </c>
      <c r="X78" s="1769">
        <v>3.0</v>
      </c>
      <c r="Y78" s="1135">
        <v>3.0</v>
      </c>
      <c r="Z78" s="1760"/>
      <c r="AA78" s="1135"/>
      <c r="AB78" s="1760">
        <v>2.0</v>
      </c>
      <c r="AC78" s="1135">
        <v>2.0</v>
      </c>
      <c r="AD78" s="1760">
        <v>2.0</v>
      </c>
      <c r="AE78" s="1135">
        <v>2.0</v>
      </c>
      <c r="AF78" s="1151">
        <v>5.0</v>
      </c>
      <c r="AG78" s="1135">
        <v>5.0</v>
      </c>
      <c r="AH78" s="1760">
        <v>5.0</v>
      </c>
      <c r="AI78" s="1135">
        <v>5.0</v>
      </c>
      <c r="AJ78" s="1760">
        <v>5.0</v>
      </c>
      <c r="AK78" s="1135">
        <v>5.0</v>
      </c>
      <c r="AL78" s="1151">
        <v>3.0</v>
      </c>
      <c r="AM78" s="1135">
        <v>3.0</v>
      </c>
      <c r="AN78" s="1769">
        <v>4.0</v>
      </c>
      <c r="AO78" s="1173">
        <v>4.0</v>
      </c>
      <c r="AP78" s="1151">
        <v>2.0</v>
      </c>
      <c r="AQ78" s="1173">
        <v>2.0</v>
      </c>
      <c r="AR78" s="1151">
        <v>7.0</v>
      </c>
      <c r="AS78" s="1173">
        <v>7.0</v>
      </c>
      <c r="AT78" s="1151">
        <v>3.0</v>
      </c>
      <c r="AU78" s="1173">
        <v>3.0</v>
      </c>
      <c r="AV78" s="1151">
        <v>0.0</v>
      </c>
      <c r="AW78" s="1173">
        <v>0.0</v>
      </c>
      <c r="AX78" s="1151">
        <v>3.0</v>
      </c>
      <c r="AY78" s="1173">
        <v>3.0</v>
      </c>
      <c r="AZ78" s="1126">
        <v>3.0</v>
      </c>
      <c r="BA78" s="1173">
        <v>3.0</v>
      </c>
      <c r="BB78" s="1151">
        <v>2.0</v>
      </c>
      <c r="BC78" s="1173">
        <v>2.0</v>
      </c>
      <c r="BD78" s="1151">
        <v>2.0</v>
      </c>
      <c r="BE78" s="1173">
        <v>2.0</v>
      </c>
      <c r="BF78" s="1151">
        <v>3.0</v>
      </c>
      <c r="BG78" s="1173">
        <v>3.0</v>
      </c>
      <c r="BH78" s="1151">
        <v>3.0</v>
      </c>
      <c r="BI78" s="1173">
        <v>3.0</v>
      </c>
      <c r="BJ78" s="1151">
        <v>4.0</v>
      </c>
      <c r="BK78" s="1173">
        <v>4.0</v>
      </c>
      <c r="BL78" s="1139"/>
      <c r="BM78" s="1135"/>
      <c r="BN78" s="77"/>
      <c r="BO78" s="2062"/>
      <c r="BP78" s="80">
        <f t="shared" si="40"/>
        <v>89</v>
      </c>
      <c r="BQ78" s="2070">
        <f t="shared" si="41"/>
        <v>88</v>
      </c>
      <c r="BR78" s="2064">
        <f t="shared" si="44"/>
        <v>20152</v>
      </c>
      <c r="BS78" s="2065">
        <f t="shared" si="43"/>
        <v>20381</v>
      </c>
      <c r="BT78" s="2066"/>
      <c r="BU78" s="2066"/>
    </row>
    <row r="79" ht="19.5" customHeight="1">
      <c r="A79" s="1565" t="s">
        <v>145</v>
      </c>
      <c r="B79" s="1247">
        <v>1982.0</v>
      </c>
      <c r="C79" s="2067">
        <v>214.0</v>
      </c>
      <c r="D79" s="1271" t="s">
        <v>77</v>
      </c>
      <c r="E79" s="1282" t="str">
        <f>'Матрица 4 недели'!M156</f>
        <v>Вок с курицей и рисом</v>
      </c>
      <c r="F79" s="1762">
        <v>5.0</v>
      </c>
      <c r="G79" s="1764">
        <v>5.0</v>
      </c>
      <c r="H79" s="1762">
        <v>6.0</v>
      </c>
      <c r="I79" s="1764">
        <v>6.0</v>
      </c>
      <c r="J79" s="1762">
        <v>3.0</v>
      </c>
      <c r="K79" s="1764">
        <v>3.0</v>
      </c>
      <c r="L79" s="1765">
        <v>6.0</v>
      </c>
      <c r="M79" s="1764">
        <v>6.0</v>
      </c>
      <c r="N79" s="1762">
        <v>9.0</v>
      </c>
      <c r="O79" s="1764">
        <v>9.0</v>
      </c>
      <c r="P79" s="1762">
        <v>5.0</v>
      </c>
      <c r="Q79" s="1766">
        <v>5.0</v>
      </c>
      <c r="R79" s="1765">
        <v>4.0</v>
      </c>
      <c r="S79" s="1766">
        <v>4.0</v>
      </c>
      <c r="T79" s="1762">
        <v>9.0</v>
      </c>
      <c r="U79" s="1766">
        <v>9.0</v>
      </c>
      <c r="V79" s="1767">
        <v>8.0</v>
      </c>
      <c r="W79" s="1768">
        <v>8.0</v>
      </c>
      <c r="X79" s="1771">
        <v>2.0</v>
      </c>
      <c r="Y79" s="1770">
        <v>2.0</v>
      </c>
      <c r="Z79" s="1781"/>
      <c r="AA79" s="1766"/>
      <c r="AB79" s="1781">
        <v>4.0</v>
      </c>
      <c r="AC79" s="1782">
        <v>4.0</v>
      </c>
      <c r="AD79" s="1771">
        <v>2.0</v>
      </c>
      <c r="AE79" s="1770">
        <v>2.0</v>
      </c>
      <c r="AF79" s="1783">
        <v>4.0</v>
      </c>
      <c r="AG79" s="1770">
        <v>4.0</v>
      </c>
      <c r="AH79" s="1760">
        <v>8.0</v>
      </c>
      <c r="AI79" s="1770">
        <v>8.0</v>
      </c>
      <c r="AJ79" s="1771">
        <v>3.0</v>
      </c>
      <c r="AK79" s="1770">
        <v>3.0</v>
      </c>
      <c r="AL79" s="1151">
        <v>5.0</v>
      </c>
      <c r="AM79" s="1782">
        <v>5.0</v>
      </c>
      <c r="AN79" s="1771">
        <v>4.0</v>
      </c>
      <c r="AO79" s="1173">
        <v>4.0</v>
      </c>
      <c r="AP79" s="1760">
        <v>4.0</v>
      </c>
      <c r="AQ79" s="1173">
        <v>4.0</v>
      </c>
      <c r="AR79" s="1151">
        <v>1.0</v>
      </c>
      <c r="AS79" s="1135">
        <v>1.0</v>
      </c>
      <c r="AT79" s="1151">
        <v>8.0</v>
      </c>
      <c r="AU79" s="1135">
        <v>8.0</v>
      </c>
      <c r="AV79" s="1151">
        <v>5.0</v>
      </c>
      <c r="AW79" s="1135">
        <v>5.0</v>
      </c>
      <c r="AX79" s="1151">
        <v>5.0</v>
      </c>
      <c r="AY79" s="1135">
        <v>5.0</v>
      </c>
      <c r="AZ79" s="1126">
        <v>4.0</v>
      </c>
      <c r="BA79" s="1135">
        <v>4.0</v>
      </c>
      <c r="BB79" s="1151">
        <v>2.0</v>
      </c>
      <c r="BC79" s="1135">
        <v>2.0</v>
      </c>
      <c r="BD79" s="1151">
        <v>2.0</v>
      </c>
      <c r="BE79" s="1135">
        <v>2.0</v>
      </c>
      <c r="BF79" s="1151">
        <v>7.0</v>
      </c>
      <c r="BG79" s="1135">
        <v>7.0</v>
      </c>
      <c r="BH79" s="1151">
        <v>5.0</v>
      </c>
      <c r="BI79" s="1135">
        <v>5.0</v>
      </c>
      <c r="BJ79" s="1151">
        <v>2.0</v>
      </c>
      <c r="BK79" s="1135">
        <v>2.0</v>
      </c>
      <c r="BL79" s="1134"/>
      <c r="BM79" s="1135"/>
      <c r="BN79" s="77"/>
      <c r="BO79" s="2062"/>
      <c r="BP79" s="2069">
        <f t="shared" si="40"/>
        <v>133</v>
      </c>
      <c r="BQ79" s="2070">
        <f t="shared" si="41"/>
        <v>132</v>
      </c>
      <c r="BR79" s="2064">
        <v>132.0</v>
      </c>
      <c r="BS79" s="2065">
        <f t="shared" si="43"/>
        <v>28462</v>
      </c>
      <c r="BT79" s="2066"/>
      <c r="BU79" s="2066"/>
    </row>
    <row r="80" ht="19.5" customHeight="1">
      <c r="A80" s="1565" t="s">
        <v>145</v>
      </c>
      <c r="B80" s="1247">
        <v>1267.0</v>
      </c>
      <c r="C80" s="2067">
        <v>198.0</v>
      </c>
      <c r="D80" s="1271" t="s">
        <v>77</v>
      </c>
      <c r="E80" s="1282" t="str">
        <f>'Матрица 4 недели'!M157</f>
        <v>Печень куриная с овощами с гречкой</v>
      </c>
      <c r="F80" s="1151">
        <v>2.0</v>
      </c>
      <c r="G80" s="1135">
        <v>2.0</v>
      </c>
      <c r="H80" s="1151">
        <v>3.0</v>
      </c>
      <c r="I80" s="1135">
        <v>3.0</v>
      </c>
      <c r="J80" s="1151">
        <v>3.0</v>
      </c>
      <c r="K80" s="1135">
        <v>3.0</v>
      </c>
      <c r="L80" s="1151">
        <v>3.0</v>
      </c>
      <c r="M80" s="1135">
        <v>3.0</v>
      </c>
      <c r="N80" s="1151">
        <v>13.0</v>
      </c>
      <c r="O80" s="1135">
        <v>13.0</v>
      </c>
      <c r="P80" s="1151">
        <v>7.0</v>
      </c>
      <c r="Q80" s="1135">
        <v>7.0</v>
      </c>
      <c r="R80" s="1151">
        <v>6.0</v>
      </c>
      <c r="S80" s="1135">
        <v>6.0</v>
      </c>
      <c r="T80" s="1151">
        <v>4.0</v>
      </c>
      <c r="U80" s="1173">
        <v>4.0</v>
      </c>
      <c r="V80" s="1769">
        <v>3.0</v>
      </c>
      <c r="W80" s="1173">
        <v>3.0</v>
      </c>
      <c r="X80" s="1769">
        <v>2.0</v>
      </c>
      <c r="Y80" s="1173">
        <v>2.0</v>
      </c>
      <c r="Z80" s="1769"/>
      <c r="AA80" s="1173"/>
      <c r="AB80" s="1769">
        <v>2.0</v>
      </c>
      <c r="AC80" s="1173">
        <v>2.0</v>
      </c>
      <c r="AD80" s="1769">
        <v>5.0</v>
      </c>
      <c r="AE80" s="1173">
        <v>5.0</v>
      </c>
      <c r="AF80" s="1769">
        <v>2.0</v>
      </c>
      <c r="AG80" s="1173">
        <v>2.0</v>
      </c>
      <c r="AH80" s="1760">
        <v>0.0</v>
      </c>
      <c r="AI80" s="1173">
        <v>0.0</v>
      </c>
      <c r="AJ80" s="1769">
        <v>3.0</v>
      </c>
      <c r="AK80" s="1173">
        <v>3.0</v>
      </c>
      <c r="AL80" s="1151">
        <v>0.0</v>
      </c>
      <c r="AM80" s="1173">
        <v>0.0</v>
      </c>
      <c r="AN80" s="1760">
        <v>4.0</v>
      </c>
      <c r="AO80" s="1173">
        <v>4.0</v>
      </c>
      <c r="AP80" s="1760">
        <v>4.0</v>
      </c>
      <c r="AQ80" s="1173">
        <v>4.0</v>
      </c>
      <c r="AR80" s="1151">
        <v>3.0</v>
      </c>
      <c r="AS80" s="1173">
        <v>3.0</v>
      </c>
      <c r="AT80" s="1151">
        <v>2.0</v>
      </c>
      <c r="AU80" s="1173">
        <v>2.0</v>
      </c>
      <c r="AV80" s="1151">
        <v>3.0</v>
      </c>
      <c r="AW80" s="1173">
        <v>3.0</v>
      </c>
      <c r="AX80" s="1151">
        <v>4.0</v>
      </c>
      <c r="AY80" s="1173">
        <v>4.0</v>
      </c>
      <c r="AZ80" s="1126">
        <v>2.0</v>
      </c>
      <c r="BA80" s="1173">
        <v>2.0</v>
      </c>
      <c r="BB80" s="1151">
        <v>2.0</v>
      </c>
      <c r="BC80" s="1173">
        <v>2.0</v>
      </c>
      <c r="BD80" s="1151">
        <v>1.0</v>
      </c>
      <c r="BE80" s="1173">
        <v>1.0</v>
      </c>
      <c r="BF80" s="1151">
        <v>2.0</v>
      </c>
      <c r="BG80" s="1173">
        <v>2.0</v>
      </c>
      <c r="BH80" s="1151">
        <v>4.0</v>
      </c>
      <c r="BI80" s="1173">
        <v>4.0</v>
      </c>
      <c r="BJ80" s="1151">
        <v>6.0</v>
      </c>
      <c r="BK80" s="1173">
        <v>6.0</v>
      </c>
      <c r="BL80" s="1139">
        <v>80.0</v>
      </c>
      <c r="BM80" s="1173">
        <v>76.0</v>
      </c>
      <c r="BN80" s="80"/>
      <c r="BO80" s="1579"/>
      <c r="BP80" s="80">
        <f t="shared" si="40"/>
        <v>176</v>
      </c>
      <c r="BQ80" s="2063">
        <f t="shared" si="41"/>
        <v>171</v>
      </c>
      <c r="BR80" s="2064">
        <f t="shared" ref="BR80:BR83" si="45">C80*BQ80</f>
        <v>33858</v>
      </c>
      <c r="BS80" s="2065">
        <f t="shared" si="43"/>
        <v>34848</v>
      </c>
      <c r="BT80" s="2066"/>
      <c r="BU80" s="2066"/>
    </row>
    <row r="81" ht="21.0" customHeight="1">
      <c r="A81" s="1565"/>
      <c r="B81" s="1247">
        <v>2976.0</v>
      </c>
      <c r="C81" s="2067">
        <v>195.0</v>
      </c>
      <c r="D81" s="1271" t="s">
        <v>77</v>
      </c>
      <c r="E81" s="2074" t="str">
        <f>'Матрица 4 недели'!M158</f>
        <v>Курочка в томатном соусе с рисом</v>
      </c>
      <c r="F81" s="1151"/>
      <c r="G81" s="1135"/>
      <c r="H81" s="1760"/>
      <c r="I81" s="1135"/>
      <c r="J81" s="1760"/>
      <c r="K81" s="1173"/>
      <c r="L81" s="1151"/>
      <c r="M81" s="1173"/>
      <c r="N81" s="1151"/>
      <c r="O81" s="1173"/>
      <c r="P81" s="1760"/>
      <c r="Q81" s="1173"/>
      <c r="R81" s="1760"/>
      <c r="S81" s="1173"/>
      <c r="T81" s="1151"/>
      <c r="U81" s="1173"/>
      <c r="V81" s="1151"/>
      <c r="W81" s="1173"/>
      <c r="X81" s="1760"/>
      <c r="Y81" s="1173"/>
      <c r="Z81" s="1760"/>
      <c r="AA81" s="1173"/>
      <c r="AB81" s="1760"/>
      <c r="AC81" s="1173"/>
      <c r="AD81" s="1760"/>
      <c r="AE81" s="1173"/>
      <c r="AF81" s="1151"/>
      <c r="AG81" s="1173"/>
      <c r="AH81" s="1151"/>
      <c r="AI81" s="1173"/>
      <c r="AJ81" s="1760"/>
      <c r="AK81" s="1173"/>
      <c r="AL81" s="1151"/>
      <c r="AM81" s="1173"/>
      <c r="AN81" s="1760"/>
      <c r="AO81" s="1173"/>
      <c r="AP81" s="1151"/>
      <c r="AQ81" s="1173"/>
      <c r="AR81" s="1151"/>
      <c r="AS81" s="1173"/>
      <c r="AT81" s="1151"/>
      <c r="AU81" s="1173"/>
      <c r="AV81" s="1151"/>
      <c r="AW81" s="1173"/>
      <c r="AX81" s="1151"/>
      <c r="AY81" s="1173"/>
      <c r="AZ81" s="1126"/>
      <c r="BA81" s="1173"/>
      <c r="BB81" s="1151"/>
      <c r="BC81" s="1173"/>
      <c r="BD81" s="1151"/>
      <c r="BE81" s="1173"/>
      <c r="BF81" s="1151"/>
      <c r="BG81" s="1173"/>
      <c r="BH81" s="1151"/>
      <c r="BI81" s="1173"/>
      <c r="BJ81" s="1151"/>
      <c r="BK81" s="1173"/>
      <c r="BL81" s="1152">
        <v>25.0</v>
      </c>
      <c r="BM81" s="1173">
        <v>25.0</v>
      </c>
      <c r="BN81" s="77"/>
      <c r="BO81" s="2062"/>
      <c r="BP81" s="80">
        <f t="shared" si="40"/>
        <v>26</v>
      </c>
      <c r="BQ81" s="2063">
        <f t="shared" si="41"/>
        <v>25</v>
      </c>
      <c r="BR81" s="2064">
        <f t="shared" si="45"/>
        <v>4875</v>
      </c>
      <c r="BS81" s="2065">
        <f t="shared" si="43"/>
        <v>5070</v>
      </c>
      <c r="BT81" s="2066"/>
      <c r="BU81" s="2066"/>
    </row>
    <row r="82" ht="19.5" customHeight="1">
      <c r="A82" s="1565" t="s">
        <v>145</v>
      </c>
      <c r="B82" s="1247">
        <v>967.0</v>
      </c>
      <c r="C82" s="2067">
        <v>198.0</v>
      </c>
      <c r="D82" s="1271" t="s">
        <v>77</v>
      </c>
      <c r="E82" s="1282" t="str">
        <f>'Матрица 4 недели'!M159</f>
        <v>Курочка в томатном соусе со спагетти</v>
      </c>
      <c r="F82" s="1151">
        <v>4.0</v>
      </c>
      <c r="G82" s="1135">
        <v>4.0</v>
      </c>
      <c r="H82" s="1760">
        <v>2.0</v>
      </c>
      <c r="I82" s="1135">
        <v>2.0</v>
      </c>
      <c r="J82" s="1760">
        <v>3.0</v>
      </c>
      <c r="K82" s="1173">
        <v>3.0</v>
      </c>
      <c r="L82" s="1151">
        <v>3.0</v>
      </c>
      <c r="M82" s="1173">
        <v>3.0</v>
      </c>
      <c r="N82" s="1151">
        <v>6.0</v>
      </c>
      <c r="O82" s="1173">
        <v>6.0</v>
      </c>
      <c r="P82" s="1760">
        <v>4.0</v>
      </c>
      <c r="Q82" s="1173">
        <v>4.0</v>
      </c>
      <c r="R82" s="1760">
        <v>2.0</v>
      </c>
      <c r="S82" s="1173">
        <v>2.0</v>
      </c>
      <c r="T82" s="1151">
        <v>3.0</v>
      </c>
      <c r="U82" s="1173">
        <v>3.0</v>
      </c>
      <c r="V82" s="1151">
        <v>3.0</v>
      </c>
      <c r="W82" s="1173">
        <v>3.0</v>
      </c>
      <c r="X82" s="1760">
        <v>2.0</v>
      </c>
      <c r="Y82" s="1173">
        <v>2.0</v>
      </c>
      <c r="Z82" s="1760"/>
      <c r="AA82" s="1173"/>
      <c r="AB82" s="1760">
        <v>2.0</v>
      </c>
      <c r="AC82" s="1173">
        <v>2.0</v>
      </c>
      <c r="AD82" s="1760">
        <v>1.0</v>
      </c>
      <c r="AE82" s="1173">
        <v>1.0</v>
      </c>
      <c r="AF82" s="1151">
        <v>1.0</v>
      </c>
      <c r="AG82" s="1173">
        <v>1.0</v>
      </c>
      <c r="AH82" s="1151">
        <v>3.0</v>
      </c>
      <c r="AI82" s="1173">
        <v>3.0</v>
      </c>
      <c r="AJ82" s="1760">
        <v>3.0</v>
      </c>
      <c r="AK82" s="1173">
        <v>3.0</v>
      </c>
      <c r="AL82" s="1151">
        <v>2.0</v>
      </c>
      <c r="AM82" s="1173">
        <v>2.0</v>
      </c>
      <c r="AN82" s="1760">
        <v>4.0</v>
      </c>
      <c r="AO82" s="1173">
        <v>4.0</v>
      </c>
      <c r="AP82" s="1151">
        <v>2.0</v>
      </c>
      <c r="AQ82" s="1173">
        <v>2.0</v>
      </c>
      <c r="AR82" s="1151">
        <v>3.0</v>
      </c>
      <c r="AS82" s="1173">
        <v>3.0</v>
      </c>
      <c r="AT82" s="1151">
        <v>4.0</v>
      </c>
      <c r="AU82" s="1173">
        <v>4.0</v>
      </c>
      <c r="AV82" s="1151">
        <v>2.0</v>
      </c>
      <c r="AW82" s="1173">
        <v>2.0</v>
      </c>
      <c r="AX82" s="1151">
        <v>4.0</v>
      </c>
      <c r="AY82" s="1173">
        <v>4.0</v>
      </c>
      <c r="AZ82" s="1126">
        <v>3.0</v>
      </c>
      <c r="BA82" s="1173">
        <v>3.0</v>
      </c>
      <c r="BB82" s="1151">
        <v>2.0</v>
      </c>
      <c r="BC82" s="1173">
        <v>2.0</v>
      </c>
      <c r="BD82" s="1151">
        <v>1.0</v>
      </c>
      <c r="BE82" s="1173">
        <v>1.0</v>
      </c>
      <c r="BF82" s="1151">
        <v>3.0</v>
      </c>
      <c r="BG82" s="1173">
        <v>3.0</v>
      </c>
      <c r="BH82" s="1151">
        <v>2.0</v>
      </c>
      <c r="BI82" s="1173">
        <v>2.0</v>
      </c>
      <c r="BJ82" s="1151">
        <v>2.0</v>
      </c>
      <c r="BK82" s="1173">
        <v>2.0</v>
      </c>
      <c r="BL82" s="1139"/>
      <c r="BM82" s="1173"/>
      <c r="BN82" s="77"/>
      <c r="BO82" s="2062"/>
      <c r="BP82" s="80">
        <f t="shared" si="40"/>
        <v>77</v>
      </c>
      <c r="BQ82" s="2063">
        <f t="shared" si="41"/>
        <v>76</v>
      </c>
      <c r="BR82" s="2064">
        <f t="shared" si="45"/>
        <v>15048</v>
      </c>
      <c r="BS82" s="2065">
        <f t="shared" si="43"/>
        <v>15246</v>
      </c>
      <c r="BT82" s="2066"/>
      <c r="BU82" s="2066"/>
    </row>
    <row r="83" ht="19.5" customHeight="1">
      <c r="A83" s="1565" t="s">
        <v>145</v>
      </c>
      <c r="B83" s="1247">
        <v>1046.0</v>
      </c>
      <c r="C83" s="2067">
        <v>203.0</v>
      </c>
      <c r="D83" s="1271" t="s">
        <v>77</v>
      </c>
      <c r="E83" s="1274" t="str">
        <f>'Матрица 4 недели'!M160</f>
        <v>Чахохбили с макаронами</v>
      </c>
      <c r="F83" s="1622">
        <v>5.0</v>
      </c>
      <c r="G83" s="1624">
        <v>5.0</v>
      </c>
      <c r="H83" s="1622">
        <v>2.0</v>
      </c>
      <c r="I83" s="1624">
        <v>2.0</v>
      </c>
      <c r="J83" s="1788">
        <v>1.0</v>
      </c>
      <c r="K83" s="1624">
        <v>1.0</v>
      </c>
      <c r="L83" s="1637">
        <v>3.0</v>
      </c>
      <c r="M83" s="1624">
        <v>3.0</v>
      </c>
      <c r="N83" s="1788">
        <v>4.0</v>
      </c>
      <c r="O83" s="1624">
        <v>4.0</v>
      </c>
      <c r="P83" s="1638">
        <v>2.0</v>
      </c>
      <c r="Q83" s="1624">
        <v>2.0</v>
      </c>
      <c r="R83" s="1622">
        <v>2.0</v>
      </c>
      <c r="S83" s="1790">
        <v>2.0</v>
      </c>
      <c r="T83" s="1622">
        <v>0.0</v>
      </c>
      <c r="U83" s="1621">
        <v>0.0</v>
      </c>
      <c r="V83" s="1622">
        <v>2.0</v>
      </c>
      <c r="W83" s="1621">
        <v>2.0</v>
      </c>
      <c r="X83" s="1622">
        <v>3.0</v>
      </c>
      <c r="Y83" s="1621">
        <v>3.0</v>
      </c>
      <c r="Z83" s="1791"/>
      <c r="AA83" s="1621"/>
      <c r="AB83" s="1791">
        <v>3.0</v>
      </c>
      <c r="AC83" s="1792">
        <v>3.0</v>
      </c>
      <c r="AD83" s="1791">
        <v>2.0</v>
      </c>
      <c r="AE83" s="1621">
        <v>2.0</v>
      </c>
      <c r="AF83" s="1788">
        <v>2.0</v>
      </c>
      <c r="AG83" s="1621">
        <v>2.0</v>
      </c>
      <c r="AH83" s="1620">
        <v>4.0</v>
      </c>
      <c r="AI83" s="1621">
        <v>4.0</v>
      </c>
      <c r="AJ83" s="1620">
        <v>0.0</v>
      </c>
      <c r="AK83" s="1621">
        <v>0.0</v>
      </c>
      <c r="AL83" s="1622">
        <v>3.0</v>
      </c>
      <c r="AM83" s="1621">
        <v>3.0</v>
      </c>
      <c r="AN83" s="1622">
        <v>4.0</v>
      </c>
      <c r="AO83" s="1621">
        <v>4.0</v>
      </c>
      <c r="AP83" s="1622">
        <v>0.0</v>
      </c>
      <c r="AQ83" s="1621">
        <v>0.0</v>
      </c>
      <c r="AR83" s="1622">
        <v>4.0</v>
      </c>
      <c r="AS83" s="1138">
        <v>4.0</v>
      </c>
      <c r="AT83" s="1126">
        <v>2.0</v>
      </c>
      <c r="AU83" s="1138">
        <v>2.0</v>
      </c>
      <c r="AV83" s="1126">
        <v>1.0</v>
      </c>
      <c r="AW83" s="1138">
        <v>1.0</v>
      </c>
      <c r="AX83" s="1126">
        <v>1.0</v>
      </c>
      <c r="AY83" s="1138">
        <v>1.0</v>
      </c>
      <c r="AZ83" s="1126">
        <v>1.0</v>
      </c>
      <c r="BA83" s="1138">
        <v>1.0</v>
      </c>
      <c r="BB83" s="1126">
        <v>2.0</v>
      </c>
      <c r="BC83" s="1138">
        <v>2.0</v>
      </c>
      <c r="BD83" s="1126">
        <v>0.0</v>
      </c>
      <c r="BE83" s="1138">
        <v>0.0</v>
      </c>
      <c r="BF83" s="1126">
        <v>2.0</v>
      </c>
      <c r="BG83" s="1138">
        <v>2.0</v>
      </c>
      <c r="BH83" s="1622">
        <v>2.0</v>
      </c>
      <c r="BI83" s="1621">
        <v>2.0</v>
      </c>
      <c r="BJ83" s="1622">
        <v>4.0</v>
      </c>
      <c r="BK83" s="1621">
        <v>4.0</v>
      </c>
      <c r="BL83" s="1134"/>
      <c r="BM83" s="1173"/>
      <c r="BN83" s="80"/>
      <c r="BO83" s="1579"/>
      <c r="BP83" s="2069">
        <f t="shared" si="40"/>
        <v>62</v>
      </c>
      <c r="BQ83" s="2063">
        <f t="shared" si="41"/>
        <v>61</v>
      </c>
      <c r="BR83" s="2064">
        <f t="shared" si="45"/>
        <v>12383</v>
      </c>
      <c r="BS83" s="2065">
        <f t="shared" si="43"/>
        <v>12586</v>
      </c>
      <c r="BT83" s="2066"/>
      <c r="BU83" s="2066"/>
    </row>
    <row r="84" ht="19.5" customHeight="1">
      <c r="A84" s="1565" t="s">
        <v>145</v>
      </c>
      <c r="B84" s="1247"/>
      <c r="C84" s="2067"/>
      <c r="D84" s="1271" t="s">
        <v>77</v>
      </c>
      <c r="E84" s="1274" t="str">
        <f>'Матрица 4 недели'!M161</f>
        <v>Мясные гнёзда с овощами и картофелем </v>
      </c>
      <c r="F84" s="1769">
        <v>5.0</v>
      </c>
      <c r="G84" s="1173">
        <v>5.0</v>
      </c>
      <c r="H84" s="1151">
        <v>4.0</v>
      </c>
      <c r="I84" s="1173">
        <v>4.0</v>
      </c>
      <c r="J84" s="1151">
        <v>3.0</v>
      </c>
      <c r="K84" s="1173">
        <v>3.0</v>
      </c>
      <c r="L84" s="1151">
        <v>4.0</v>
      </c>
      <c r="M84" s="1173">
        <v>4.0</v>
      </c>
      <c r="N84" s="1151">
        <v>5.0</v>
      </c>
      <c r="O84" s="1173">
        <v>5.0</v>
      </c>
      <c r="P84" s="1151">
        <v>13.0</v>
      </c>
      <c r="Q84" s="1135">
        <v>13.0</v>
      </c>
      <c r="R84" s="1151">
        <v>4.0</v>
      </c>
      <c r="S84" s="1135">
        <v>4.0</v>
      </c>
      <c r="T84" s="1769">
        <v>2.0</v>
      </c>
      <c r="U84" s="1135">
        <v>2.0</v>
      </c>
      <c r="V84" s="1769">
        <v>2.0</v>
      </c>
      <c r="W84" s="1135">
        <v>2.0</v>
      </c>
      <c r="X84" s="1769">
        <v>3.0</v>
      </c>
      <c r="Y84" s="1135">
        <v>3.0</v>
      </c>
      <c r="Z84" s="1151"/>
      <c r="AA84" s="1135"/>
      <c r="AB84" s="1760">
        <v>3.0</v>
      </c>
      <c r="AC84" s="1135">
        <v>3.0</v>
      </c>
      <c r="AD84" s="1760">
        <v>5.0</v>
      </c>
      <c r="AE84" s="1135">
        <v>5.0</v>
      </c>
      <c r="AF84" s="1769">
        <v>2.0</v>
      </c>
      <c r="AG84" s="1135">
        <v>2.0</v>
      </c>
      <c r="AH84" s="1769">
        <v>6.0</v>
      </c>
      <c r="AI84" s="1135">
        <v>6.0</v>
      </c>
      <c r="AJ84" s="1769">
        <v>2.0</v>
      </c>
      <c r="AK84" s="1135">
        <v>2.0</v>
      </c>
      <c r="AL84" s="1151">
        <v>4.0</v>
      </c>
      <c r="AM84" s="1135">
        <v>4.0</v>
      </c>
      <c r="AN84" s="1769">
        <v>4.0</v>
      </c>
      <c r="AO84" s="1173">
        <v>4.0</v>
      </c>
      <c r="AP84" s="1151">
        <v>2.0</v>
      </c>
      <c r="AQ84" s="1173">
        <v>2.0</v>
      </c>
      <c r="AR84" s="1151">
        <v>6.0</v>
      </c>
      <c r="AS84" s="1173">
        <v>6.0</v>
      </c>
      <c r="AT84" s="1151">
        <v>6.0</v>
      </c>
      <c r="AU84" s="1173">
        <v>6.0</v>
      </c>
      <c r="AV84" s="1151">
        <v>3.0</v>
      </c>
      <c r="AW84" s="1173">
        <v>3.0</v>
      </c>
      <c r="AX84" s="1151">
        <v>4.0</v>
      </c>
      <c r="AY84" s="1173">
        <v>4.0</v>
      </c>
      <c r="AZ84" s="1126">
        <v>3.0</v>
      </c>
      <c r="BA84" s="1173">
        <v>3.0</v>
      </c>
      <c r="BB84" s="1151">
        <v>2.0</v>
      </c>
      <c r="BC84" s="1173">
        <v>2.0</v>
      </c>
      <c r="BD84" s="1151">
        <v>2.0</v>
      </c>
      <c r="BE84" s="1173">
        <v>2.0</v>
      </c>
      <c r="BF84" s="1151">
        <v>4.0</v>
      </c>
      <c r="BG84" s="1173">
        <v>4.0</v>
      </c>
      <c r="BH84" s="1151">
        <v>0.0</v>
      </c>
      <c r="BI84" s="1173">
        <v>0.0</v>
      </c>
      <c r="BJ84" s="1151">
        <v>6.0</v>
      </c>
      <c r="BK84" s="1173">
        <v>6.0</v>
      </c>
      <c r="BL84" s="1139">
        <v>25.0</v>
      </c>
      <c r="BM84" s="1135">
        <v>25.0</v>
      </c>
      <c r="BN84" s="80"/>
      <c r="BO84" s="1579"/>
      <c r="BP84" s="80">
        <f t="shared" si="40"/>
        <v>135</v>
      </c>
      <c r="BQ84" s="2063">
        <f t="shared" si="41"/>
        <v>134</v>
      </c>
      <c r="BR84" s="2064">
        <v>134.0</v>
      </c>
      <c r="BS84" s="2065">
        <f t="shared" si="43"/>
        <v>0</v>
      </c>
      <c r="BT84" s="2066"/>
      <c r="BU84" s="2066"/>
    </row>
    <row r="85" ht="19.5" customHeight="1">
      <c r="A85" s="1565"/>
      <c r="B85" s="1247">
        <v>3455.0</v>
      </c>
      <c r="C85" s="2067">
        <v>85.0</v>
      </c>
      <c r="D85" s="1271" t="s">
        <v>78</v>
      </c>
      <c r="E85" s="1145" t="str">
        <f>'Матрица 4 недели'!P155</f>
        <v>Слойка с ветчиной и сыром 100г</v>
      </c>
      <c r="F85" s="1151"/>
      <c r="G85" s="2081"/>
      <c r="H85" s="1960"/>
      <c r="I85" s="2082"/>
      <c r="J85" s="1960"/>
      <c r="K85" s="2082"/>
      <c r="L85" s="1802"/>
      <c r="M85" s="2082"/>
      <c r="N85" s="1960"/>
      <c r="O85" s="2082"/>
      <c r="P85" s="1960"/>
      <c r="Q85" s="2082"/>
      <c r="R85" s="1960"/>
      <c r="S85" s="2083"/>
      <c r="T85" s="1960"/>
      <c r="U85" s="2083"/>
      <c r="V85" s="1960"/>
      <c r="W85" s="2083"/>
      <c r="X85" s="1960"/>
      <c r="Y85" s="2083"/>
      <c r="Z85" s="1960"/>
      <c r="AA85" s="2083"/>
      <c r="AB85" s="1760"/>
      <c r="AC85" s="1135"/>
      <c r="AD85" s="1760"/>
      <c r="AE85" s="1135"/>
      <c r="AF85" s="1760"/>
      <c r="AG85" s="1135"/>
      <c r="AH85" s="1760"/>
      <c r="AI85" s="1135"/>
      <c r="AJ85" s="1760"/>
      <c r="AK85" s="1135"/>
      <c r="AL85" s="1151"/>
      <c r="AM85" s="1135"/>
      <c r="AN85" s="1760"/>
      <c r="AO85" s="1173"/>
      <c r="AP85" s="1151"/>
      <c r="AQ85" s="1135"/>
      <c r="AR85" s="1151"/>
      <c r="AS85" s="1135"/>
      <c r="AT85" s="1151"/>
      <c r="AU85" s="1135"/>
      <c r="AV85" s="1151"/>
      <c r="AW85" s="1135"/>
      <c r="AX85" s="1151"/>
      <c r="AY85" s="1135"/>
      <c r="AZ85" s="1126"/>
      <c r="BA85" s="1135"/>
      <c r="BB85" s="1151"/>
      <c r="BC85" s="1135"/>
      <c r="BD85" s="1151"/>
      <c r="BE85" s="1135"/>
      <c r="BF85" s="1151"/>
      <c r="BG85" s="1135"/>
      <c r="BH85" s="1151"/>
      <c r="BI85" s="1135"/>
      <c r="BJ85" s="1151"/>
      <c r="BK85" s="1135"/>
      <c r="BL85" s="1134">
        <v>13.0</v>
      </c>
      <c r="BM85" s="1135">
        <v>14.0</v>
      </c>
      <c r="BN85" s="80"/>
      <c r="BO85" s="1579"/>
      <c r="BP85" s="80">
        <f t="shared" si="40"/>
        <v>14</v>
      </c>
      <c r="BQ85" s="2063">
        <f t="shared" si="41"/>
        <v>14</v>
      </c>
      <c r="BR85" s="2064">
        <f t="shared" ref="BR85:BR91" si="46">C85*BQ85</f>
        <v>1190</v>
      </c>
      <c r="BS85" s="2065">
        <f t="shared" si="43"/>
        <v>1190</v>
      </c>
      <c r="BT85" s="2066"/>
      <c r="BU85" s="2066"/>
    </row>
    <row r="86" ht="19.5" customHeight="1">
      <c r="A86" s="1565"/>
      <c r="B86" s="1247">
        <v>3435.0</v>
      </c>
      <c r="C86" s="2067">
        <v>51.0</v>
      </c>
      <c r="D86" s="1271" t="s">
        <v>78</v>
      </c>
      <c r="E86" s="1145" t="str">
        <f>'Матрица 4 недели'!P156</f>
        <v>Булочка с повидлом 80 г</v>
      </c>
      <c r="F86" s="2084"/>
      <c r="G86" s="2085"/>
      <c r="H86" s="2084"/>
      <c r="I86" s="2085"/>
      <c r="J86" s="2084"/>
      <c r="K86" s="2086"/>
      <c r="L86" s="2084"/>
      <c r="M86" s="2086"/>
      <c r="N86" s="2084"/>
      <c r="O86" s="2086"/>
      <c r="P86" s="2084"/>
      <c r="Q86" s="2086"/>
      <c r="R86" s="2084"/>
      <c r="S86" s="2086"/>
      <c r="T86" s="2087"/>
      <c r="U86" s="2086"/>
      <c r="V86" s="2087"/>
      <c r="W86" s="2086"/>
      <c r="X86" s="2087"/>
      <c r="Y86" s="2086"/>
      <c r="Z86" s="2087"/>
      <c r="AA86" s="2086"/>
      <c r="AB86" s="2087"/>
      <c r="AC86" s="2086"/>
      <c r="AD86" s="2087"/>
      <c r="AE86" s="2086"/>
      <c r="AF86" s="2087"/>
      <c r="AG86" s="2086"/>
      <c r="AH86" s="2087"/>
      <c r="AI86" s="2086"/>
      <c r="AJ86" s="2087"/>
      <c r="AK86" s="2086"/>
      <c r="AL86" s="2087"/>
      <c r="AM86" s="2086"/>
      <c r="AN86" s="2087"/>
      <c r="AO86" s="2086"/>
      <c r="AP86" s="2087"/>
      <c r="AQ86" s="2086"/>
      <c r="AR86" s="2084"/>
      <c r="AS86" s="2086"/>
      <c r="AT86" s="2087"/>
      <c r="AU86" s="2086"/>
      <c r="AV86" s="2087"/>
      <c r="AW86" s="2086"/>
      <c r="AX86" s="2087"/>
      <c r="AY86" s="2086"/>
      <c r="AZ86" s="1126"/>
      <c r="BA86" s="2086"/>
      <c r="BB86" s="2087"/>
      <c r="BC86" s="2086"/>
      <c r="BD86" s="2087"/>
      <c r="BE86" s="2086"/>
      <c r="BF86" s="2087"/>
      <c r="BG86" s="2086"/>
      <c r="BH86" s="2087"/>
      <c r="BI86" s="2086"/>
      <c r="BJ86" s="2087"/>
      <c r="BK86" s="2086"/>
      <c r="BL86" s="1139">
        <v>10.0</v>
      </c>
      <c r="BM86" s="1173">
        <v>9.0</v>
      </c>
      <c r="BN86" s="80"/>
      <c r="BO86" s="1579"/>
      <c r="BP86" s="80">
        <f t="shared" si="40"/>
        <v>11</v>
      </c>
      <c r="BQ86" s="2063">
        <f t="shared" si="41"/>
        <v>9</v>
      </c>
      <c r="BR86" s="2064">
        <f t="shared" si="46"/>
        <v>459</v>
      </c>
      <c r="BS86" s="2065">
        <f t="shared" si="43"/>
        <v>561</v>
      </c>
      <c r="BT86" s="2066"/>
      <c r="BU86" s="2066"/>
    </row>
    <row r="87" ht="19.5" customHeight="1">
      <c r="A87" s="1565"/>
      <c r="B87" s="1247"/>
      <c r="C87" s="2067"/>
      <c r="D87" s="2067"/>
      <c r="E87" s="2088" t="str">
        <f>'Матрица 4 недели'!P157</f>
        <v/>
      </c>
      <c r="F87" s="1769"/>
      <c r="G87" s="1173"/>
      <c r="H87" s="1151"/>
      <c r="I87" s="1173"/>
      <c r="J87" s="1151"/>
      <c r="K87" s="1173"/>
      <c r="L87" s="1151"/>
      <c r="M87" s="1173"/>
      <c r="N87" s="1151"/>
      <c r="O87" s="1173"/>
      <c r="P87" s="1151"/>
      <c r="Q87" s="1135"/>
      <c r="R87" s="1151"/>
      <c r="S87" s="1135"/>
      <c r="T87" s="1769"/>
      <c r="U87" s="1135"/>
      <c r="V87" s="1769"/>
      <c r="W87" s="1135"/>
      <c r="X87" s="1769"/>
      <c r="Y87" s="1135"/>
      <c r="Z87" s="1151"/>
      <c r="AA87" s="1135"/>
      <c r="AB87" s="1760"/>
      <c r="AC87" s="1135"/>
      <c r="AD87" s="1760"/>
      <c r="AE87" s="1135"/>
      <c r="AF87" s="1769"/>
      <c r="AG87" s="1135"/>
      <c r="AH87" s="1769"/>
      <c r="AI87" s="1135"/>
      <c r="AJ87" s="1769"/>
      <c r="AK87" s="1135"/>
      <c r="AL87" s="1151"/>
      <c r="AM87" s="1135"/>
      <c r="AN87" s="1769"/>
      <c r="AO87" s="1173"/>
      <c r="AP87" s="1151"/>
      <c r="AQ87" s="1173"/>
      <c r="AR87" s="1151"/>
      <c r="AS87" s="1173"/>
      <c r="AT87" s="1151"/>
      <c r="AU87" s="1173"/>
      <c r="AV87" s="1151"/>
      <c r="AW87" s="1173"/>
      <c r="AX87" s="1151"/>
      <c r="AY87" s="1173"/>
      <c r="AZ87" s="1126"/>
      <c r="BA87" s="1173"/>
      <c r="BB87" s="1151"/>
      <c r="BC87" s="1173"/>
      <c r="BD87" s="1151"/>
      <c r="BE87" s="1173"/>
      <c r="BF87" s="1151"/>
      <c r="BG87" s="1173"/>
      <c r="BH87" s="1151"/>
      <c r="BI87" s="1173"/>
      <c r="BJ87" s="1151"/>
      <c r="BK87" s="1173"/>
      <c r="BL87" s="1139"/>
      <c r="BM87" s="1173"/>
      <c r="BN87" s="80"/>
      <c r="BO87" s="1579"/>
      <c r="BP87" s="80">
        <f t="shared" si="40"/>
        <v>1</v>
      </c>
      <c r="BQ87" s="2063">
        <f t="shared" si="41"/>
        <v>0</v>
      </c>
      <c r="BR87" s="2064">
        <f t="shared" si="46"/>
        <v>0</v>
      </c>
      <c r="BS87" s="2065">
        <f t="shared" si="43"/>
        <v>0</v>
      </c>
      <c r="BT87" s="2066"/>
      <c r="BU87" s="2066"/>
    </row>
    <row r="88" ht="19.5" customHeight="1">
      <c r="A88" s="1565" t="s">
        <v>145</v>
      </c>
      <c r="B88" s="1164">
        <v>4050.0</v>
      </c>
      <c r="C88" s="1153">
        <v>178.0</v>
      </c>
      <c r="D88" s="1133" t="s">
        <v>79</v>
      </c>
      <c r="E88" s="1145" t="str">
        <f>'Матрица 4 недели'!S155</f>
        <v>Клаб-сэндвич с курицей и беконом</v>
      </c>
      <c r="F88" s="1151">
        <v>9.0</v>
      </c>
      <c r="G88" s="1135">
        <v>9.0</v>
      </c>
      <c r="H88" s="1151">
        <v>3.0</v>
      </c>
      <c r="I88" s="1135">
        <v>3.0</v>
      </c>
      <c r="J88" s="1151">
        <v>3.0</v>
      </c>
      <c r="K88" s="1135">
        <v>3.0</v>
      </c>
      <c r="L88" s="1151">
        <v>4.0</v>
      </c>
      <c r="M88" s="1135">
        <v>4.0</v>
      </c>
      <c r="N88" s="1151">
        <v>5.0</v>
      </c>
      <c r="O88" s="1135">
        <v>5.0</v>
      </c>
      <c r="P88" s="1151">
        <v>4.0</v>
      </c>
      <c r="Q88" s="1135">
        <v>4.0</v>
      </c>
      <c r="R88" s="1760">
        <v>3.0</v>
      </c>
      <c r="S88" s="1135">
        <v>3.0</v>
      </c>
      <c r="T88" s="1151">
        <v>3.0</v>
      </c>
      <c r="U88" s="1772">
        <v>3.0</v>
      </c>
      <c r="V88" s="1151">
        <v>5.0</v>
      </c>
      <c r="W88" s="1135">
        <v>5.0</v>
      </c>
      <c r="X88" s="1769">
        <v>4.0</v>
      </c>
      <c r="Y88" s="1135">
        <v>4.0</v>
      </c>
      <c r="Z88" s="1760"/>
      <c r="AA88" s="1135"/>
      <c r="AB88" s="1769">
        <v>2.0</v>
      </c>
      <c r="AC88" s="1173">
        <v>2.0</v>
      </c>
      <c r="AD88" s="1760">
        <v>2.0</v>
      </c>
      <c r="AE88" s="1173">
        <v>2.0</v>
      </c>
      <c r="AF88" s="1769">
        <v>6.0</v>
      </c>
      <c r="AG88" s="1173">
        <v>6.0</v>
      </c>
      <c r="AH88" s="1760">
        <v>5.0</v>
      </c>
      <c r="AI88" s="1173">
        <v>5.0</v>
      </c>
      <c r="AJ88" s="1760">
        <v>3.0</v>
      </c>
      <c r="AK88" s="1173">
        <v>3.0</v>
      </c>
      <c r="AL88" s="1802">
        <v>5.0</v>
      </c>
      <c r="AM88" s="1135">
        <v>5.0</v>
      </c>
      <c r="AN88" s="1769">
        <v>8.0</v>
      </c>
      <c r="AO88" s="1173">
        <v>8.0</v>
      </c>
      <c r="AP88" s="1769">
        <v>4.0</v>
      </c>
      <c r="AQ88" s="1173">
        <v>4.0</v>
      </c>
      <c r="AR88" s="1802">
        <v>4.0</v>
      </c>
      <c r="AS88" s="1803">
        <v>4.0</v>
      </c>
      <c r="AT88" s="1802">
        <v>4.0</v>
      </c>
      <c r="AU88" s="1803">
        <v>4.0</v>
      </c>
      <c r="AV88" s="1802">
        <v>2.0</v>
      </c>
      <c r="AW88" s="1803">
        <v>2.0</v>
      </c>
      <c r="AX88" s="1802">
        <v>2.0</v>
      </c>
      <c r="AY88" s="1803">
        <v>2.0</v>
      </c>
      <c r="AZ88" s="1141">
        <v>4.0</v>
      </c>
      <c r="BA88" s="1803">
        <v>4.0</v>
      </c>
      <c r="BB88" s="1802">
        <v>4.0</v>
      </c>
      <c r="BC88" s="1803">
        <v>4.0</v>
      </c>
      <c r="BD88" s="1802">
        <v>3.0</v>
      </c>
      <c r="BE88" s="1803">
        <v>3.0</v>
      </c>
      <c r="BF88" s="1802">
        <v>4.0</v>
      </c>
      <c r="BG88" s="1803">
        <v>4.0</v>
      </c>
      <c r="BH88" s="1802">
        <v>2.0</v>
      </c>
      <c r="BI88" s="1803">
        <v>2.0</v>
      </c>
      <c r="BJ88" s="1802">
        <v>3.0</v>
      </c>
      <c r="BK88" s="1803">
        <v>3.0</v>
      </c>
      <c r="BL88" s="1513"/>
      <c r="BM88" s="1173"/>
      <c r="BN88" s="80"/>
      <c r="BO88" s="1579"/>
      <c r="BP88" s="80">
        <f t="shared" si="40"/>
        <v>111</v>
      </c>
      <c r="BQ88" s="2063">
        <f t="shared" si="41"/>
        <v>110</v>
      </c>
      <c r="BR88" s="2064">
        <f t="shared" si="46"/>
        <v>19580</v>
      </c>
      <c r="BS88" s="2065">
        <f t="shared" si="43"/>
        <v>19758</v>
      </c>
      <c r="BT88" s="2066"/>
      <c r="BU88" s="2066"/>
    </row>
    <row r="89" ht="19.5" customHeight="1">
      <c r="A89" s="1565" t="s">
        <v>145</v>
      </c>
      <c r="B89" s="1164">
        <v>5.0</v>
      </c>
      <c r="C89" s="1153">
        <v>155.0</v>
      </c>
      <c r="D89" s="1133" t="s">
        <v>79</v>
      </c>
      <c r="E89" s="1145" t="str">
        <f>'Матрица 4 недели'!S156</f>
        <v>Сэндвич с ветчиной и сыром</v>
      </c>
      <c r="F89" s="1151">
        <v>11.0</v>
      </c>
      <c r="G89" s="1173">
        <v>11.0</v>
      </c>
      <c r="H89" s="1151">
        <v>3.0</v>
      </c>
      <c r="I89" s="1173">
        <v>3.0</v>
      </c>
      <c r="J89" s="1151">
        <v>3.0</v>
      </c>
      <c r="K89" s="1173">
        <v>3.0</v>
      </c>
      <c r="L89" s="1151">
        <v>4.0</v>
      </c>
      <c r="M89" s="1173">
        <v>4.0</v>
      </c>
      <c r="N89" s="1151">
        <v>2.0</v>
      </c>
      <c r="O89" s="1173">
        <v>2.0</v>
      </c>
      <c r="P89" s="1151">
        <v>5.0</v>
      </c>
      <c r="Q89" s="1173">
        <v>5.0</v>
      </c>
      <c r="R89" s="1760">
        <v>3.0</v>
      </c>
      <c r="S89" s="1135">
        <v>3.0</v>
      </c>
      <c r="T89" s="1769">
        <v>4.0</v>
      </c>
      <c r="U89" s="1135">
        <v>4.0</v>
      </c>
      <c r="V89" s="1769">
        <v>4.0</v>
      </c>
      <c r="W89" s="1135">
        <v>4.0</v>
      </c>
      <c r="X89" s="1769">
        <v>6.0</v>
      </c>
      <c r="Y89" s="1135">
        <v>6.0</v>
      </c>
      <c r="Z89" s="1769"/>
      <c r="AA89" s="1173"/>
      <c r="AB89" s="1760">
        <v>6.0</v>
      </c>
      <c r="AC89" s="1173">
        <v>6.0</v>
      </c>
      <c r="AD89" s="1760">
        <v>4.0</v>
      </c>
      <c r="AE89" s="1173">
        <v>4.0</v>
      </c>
      <c r="AF89" s="1760">
        <v>9.0</v>
      </c>
      <c r="AG89" s="1173">
        <v>9.0</v>
      </c>
      <c r="AH89" s="1760">
        <v>6.0</v>
      </c>
      <c r="AI89" s="1173">
        <v>6.0</v>
      </c>
      <c r="AJ89" s="1760">
        <v>3.0</v>
      </c>
      <c r="AK89" s="1173">
        <v>3.0</v>
      </c>
      <c r="AL89" s="1151">
        <v>2.0</v>
      </c>
      <c r="AM89" s="1173">
        <v>2.0</v>
      </c>
      <c r="AN89" s="1760">
        <v>8.0</v>
      </c>
      <c r="AO89" s="1135">
        <v>8.0</v>
      </c>
      <c r="AP89" s="1760">
        <v>4.0</v>
      </c>
      <c r="AQ89" s="1173">
        <v>4.0</v>
      </c>
      <c r="AR89" s="1760">
        <v>8.0</v>
      </c>
      <c r="AS89" s="1173">
        <v>8.0</v>
      </c>
      <c r="AT89" s="1151">
        <v>5.0</v>
      </c>
      <c r="AU89" s="1173">
        <v>5.0</v>
      </c>
      <c r="AV89" s="1151">
        <v>3.0</v>
      </c>
      <c r="AW89" s="1809">
        <v>3.0</v>
      </c>
      <c r="AX89" s="1151">
        <v>7.0</v>
      </c>
      <c r="AY89" s="1809">
        <v>7.0</v>
      </c>
      <c r="AZ89" s="1126">
        <v>5.0</v>
      </c>
      <c r="BA89" s="1809">
        <v>5.0</v>
      </c>
      <c r="BB89" s="1151">
        <v>5.0</v>
      </c>
      <c r="BC89" s="1809">
        <v>5.0</v>
      </c>
      <c r="BD89" s="1151">
        <v>2.0</v>
      </c>
      <c r="BE89" s="1809">
        <v>2.0</v>
      </c>
      <c r="BF89" s="1151">
        <v>5.0</v>
      </c>
      <c r="BG89" s="1809">
        <v>5.0</v>
      </c>
      <c r="BH89" s="1151">
        <v>3.0</v>
      </c>
      <c r="BI89" s="1809">
        <v>3.0</v>
      </c>
      <c r="BJ89" s="1151">
        <v>3.0</v>
      </c>
      <c r="BK89" s="1809">
        <v>3.0</v>
      </c>
      <c r="BL89" s="1139"/>
      <c r="BM89" s="2089"/>
      <c r="BN89" s="80"/>
      <c r="BO89" s="1579"/>
      <c r="BP89" s="80">
        <f t="shared" si="40"/>
        <v>134</v>
      </c>
      <c r="BQ89" s="2063">
        <f t="shared" si="41"/>
        <v>133</v>
      </c>
      <c r="BR89" s="2064">
        <f t="shared" si="46"/>
        <v>20615</v>
      </c>
      <c r="BS89" s="2065">
        <f t="shared" si="43"/>
        <v>20770</v>
      </c>
      <c r="BT89" s="2066"/>
      <c r="BU89" s="2066"/>
    </row>
    <row r="90" ht="19.5" customHeight="1">
      <c r="A90" s="1565" t="s">
        <v>145</v>
      </c>
      <c r="B90" s="1164">
        <v>3996.0</v>
      </c>
      <c r="C90" s="1153">
        <v>98.0</v>
      </c>
      <c r="D90" s="1133" t="s">
        <v>80</v>
      </c>
      <c r="E90" s="1145" t="str">
        <f>'Матрица 4 недели'!V156</f>
        <v>Морс вишневый 0,5 л</v>
      </c>
      <c r="F90" s="1151">
        <v>13.0</v>
      </c>
      <c r="G90" s="1173">
        <v>10.0</v>
      </c>
      <c r="H90" s="1151">
        <v>3.0</v>
      </c>
      <c r="I90" s="1173">
        <v>0.0</v>
      </c>
      <c r="J90" s="1151">
        <v>7.0</v>
      </c>
      <c r="K90" s="1173">
        <v>6.0</v>
      </c>
      <c r="L90" s="1151">
        <v>6.0</v>
      </c>
      <c r="M90" s="1173">
        <v>5.0</v>
      </c>
      <c r="N90" s="1151">
        <v>5.0</v>
      </c>
      <c r="O90" s="1173">
        <v>5.0</v>
      </c>
      <c r="P90" s="1151">
        <v>9.0</v>
      </c>
      <c r="Q90" s="1173">
        <v>8.0</v>
      </c>
      <c r="R90" s="1760">
        <v>0.0</v>
      </c>
      <c r="S90" s="1173">
        <v>0.0</v>
      </c>
      <c r="T90" s="1769">
        <v>0.0</v>
      </c>
      <c r="U90" s="1173">
        <v>0.0</v>
      </c>
      <c r="V90" s="1769">
        <v>0.0</v>
      </c>
      <c r="W90" s="1173">
        <v>0.0</v>
      </c>
      <c r="X90" s="1769">
        <v>5.0</v>
      </c>
      <c r="Y90" s="1173">
        <v>5.0</v>
      </c>
      <c r="Z90" s="1769"/>
      <c r="AA90" s="1173"/>
      <c r="AB90" s="1760">
        <v>0.0</v>
      </c>
      <c r="AC90" s="1173">
        <v>0.0</v>
      </c>
      <c r="AD90" s="1769">
        <v>0.0</v>
      </c>
      <c r="AE90" s="1173">
        <v>0.0</v>
      </c>
      <c r="AF90" s="1769">
        <v>6.0</v>
      </c>
      <c r="AG90" s="1135">
        <v>5.0</v>
      </c>
      <c r="AH90" s="1760">
        <v>5.0</v>
      </c>
      <c r="AI90" s="1135">
        <v>5.0</v>
      </c>
      <c r="AJ90" s="1760">
        <v>0.0</v>
      </c>
      <c r="AK90" s="1135">
        <v>0.0</v>
      </c>
      <c r="AL90" s="1151">
        <v>0.0</v>
      </c>
      <c r="AM90" s="1135">
        <v>0.0</v>
      </c>
      <c r="AN90" s="1769">
        <v>10.0</v>
      </c>
      <c r="AO90" s="1173">
        <v>8.0</v>
      </c>
      <c r="AP90" s="1151">
        <v>0.0</v>
      </c>
      <c r="AQ90" s="1173">
        <v>0.0</v>
      </c>
      <c r="AR90" s="1151">
        <v>25.0</v>
      </c>
      <c r="AS90" s="1173">
        <v>23.0</v>
      </c>
      <c r="AT90" s="1151">
        <v>6.0</v>
      </c>
      <c r="AU90" s="1173">
        <v>5.0</v>
      </c>
      <c r="AV90" s="1151">
        <v>8.0</v>
      </c>
      <c r="AW90" s="1173">
        <v>6.0</v>
      </c>
      <c r="AX90" s="1151">
        <v>10.0</v>
      </c>
      <c r="AY90" s="1173">
        <v>8.0</v>
      </c>
      <c r="AZ90" s="1126">
        <v>0.0</v>
      </c>
      <c r="BA90" s="1173">
        <v>0.0</v>
      </c>
      <c r="BB90" s="1151">
        <v>10.0</v>
      </c>
      <c r="BC90" s="1173">
        <v>10.0</v>
      </c>
      <c r="BD90" s="1151">
        <v>10.0</v>
      </c>
      <c r="BE90" s="1173">
        <v>10.0</v>
      </c>
      <c r="BF90" s="1151">
        <v>17.0</v>
      </c>
      <c r="BG90" s="1173">
        <v>17.0</v>
      </c>
      <c r="BH90" s="1151">
        <v>7.0</v>
      </c>
      <c r="BI90" s="1173">
        <v>7.0</v>
      </c>
      <c r="BJ90" s="1151">
        <v>9.0</v>
      </c>
      <c r="BK90" s="1173">
        <v>9.0</v>
      </c>
      <c r="BL90" s="1139"/>
      <c r="BM90" s="1173"/>
      <c r="BN90" s="80"/>
      <c r="BO90" s="1579"/>
      <c r="BP90" s="80">
        <f t="shared" si="40"/>
        <v>172</v>
      </c>
      <c r="BQ90" s="2063">
        <f t="shared" si="41"/>
        <v>152</v>
      </c>
      <c r="BR90" s="2064">
        <f t="shared" si="46"/>
        <v>14896</v>
      </c>
      <c r="BS90" s="2065">
        <f t="shared" si="43"/>
        <v>16856</v>
      </c>
      <c r="BT90" s="2066"/>
      <c r="BU90" s="2066"/>
    </row>
    <row r="91" ht="19.5" customHeight="1">
      <c r="A91" s="1565"/>
      <c r="B91" s="1164"/>
      <c r="C91" s="1153"/>
      <c r="D91" s="1153"/>
      <c r="E91" s="2091"/>
      <c r="F91" s="1137"/>
      <c r="G91" s="1121"/>
      <c r="H91" s="1126"/>
      <c r="I91" s="1121"/>
      <c r="J91" s="1126"/>
      <c r="K91" s="1121"/>
      <c r="L91" s="1126"/>
      <c r="M91" s="1121"/>
      <c r="N91" s="1126"/>
      <c r="O91" s="1121"/>
      <c r="P91" s="1126"/>
      <c r="Q91" s="1121"/>
      <c r="R91" s="1137"/>
      <c r="S91" s="1121"/>
      <c r="T91" s="1126"/>
      <c r="U91" s="1138"/>
      <c r="V91" s="1137"/>
      <c r="W91" s="1138"/>
      <c r="X91" s="1137"/>
      <c r="Y91" s="1138"/>
      <c r="Z91" s="1137"/>
      <c r="AA91" s="1138"/>
      <c r="AB91" s="1137"/>
      <c r="AC91" s="1138"/>
      <c r="AD91" s="1137"/>
      <c r="AE91" s="1138"/>
      <c r="AF91" s="1126"/>
      <c r="AG91" s="1138"/>
      <c r="AH91" s="1120"/>
      <c r="AI91" s="1138"/>
      <c r="AJ91" s="1126"/>
      <c r="AK91" s="1138"/>
      <c r="AL91" s="1126"/>
      <c r="AM91" s="1138"/>
      <c r="AN91" s="1120"/>
      <c r="AO91" s="1121"/>
      <c r="AP91" s="1126"/>
      <c r="AQ91" s="1138"/>
      <c r="AR91" s="1120"/>
      <c r="AS91" s="1121"/>
      <c r="AT91" s="1126"/>
      <c r="AU91" s="1121"/>
      <c r="AV91" s="1126"/>
      <c r="AW91" s="1121"/>
      <c r="AX91" s="1126"/>
      <c r="AY91" s="1121"/>
      <c r="AZ91" s="1126"/>
      <c r="BA91" s="2092"/>
      <c r="BB91" s="1802"/>
      <c r="BC91" s="2092"/>
      <c r="BD91" s="1802"/>
      <c r="BE91" s="2092"/>
      <c r="BF91" s="1802"/>
      <c r="BG91" s="2092"/>
      <c r="BH91" s="1802"/>
      <c r="BI91" s="2092"/>
      <c r="BJ91" s="1802"/>
      <c r="BK91" s="2092"/>
      <c r="BL91" s="1513"/>
      <c r="BM91" s="1173"/>
      <c r="BN91" s="77"/>
      <c r="BO91" s="2062"/>
      <c r="BP91" s="80">
        <f t="shared" si="40"/>
        <v>1</v>
      </c>
      <c r="BQ91" s="2063">
        <f t="shared" si="41"/>
        <v>0</v>
      </c>
      <c r="BR91" s="2064">
        <f t="shared" si="46"/>
        <v>0</v>
      </c>
      <c r="BS91" s="2065">
        <f t="shared" si="43"/>
        <v>0</v>
      </c>
      <c r="BT91" s="2066"/>
      <c r="BU91" s="2066"/>
    </row>
    <row r="92" ht="19.5" customHeight="1">
      <c r="A92" s="1565" t="s">
        <v>145</v>
      </c>
      <c r="B92" s="1164">
        <v>822.0</v>
      </c>
      <c r="C92" s="1153">
        <v>5.0</v>
      </c>
      <c r="D92" s="1133" t="s">
        <v>74</v>
      </c>
      <c r="E92" s="1145" t="str">
        <f>'Матрица 4 недели'!J148</f>
        <v>Хлеб пшеничный</v>
      </c>
      <c r="F92" s="1769">
        <v>13.0</v>
      </c>
      <c r="G92" s="1135">
        <v>5.0</v>
      </c>
      <c r="H92" s="1151">
        <v>3.0</v>
      </c>
      <c r="I92" s="1135">
        <v>2.0</v>
      </c>
      <c r="J92" s="1151">
        <v>3.0</v>
      </c>
      <c r="K92" s="1135">
        <v>2.0</v>
      </c>
      <c r="L92" s="1151">
        <v>3.0</v>
      </c>
      <c r="M92" s="1135">
        <v>3.0</v>
      </c>
      <c r="N92" s="1151">
        <v>4.0</v>
      </c>
      <c r="O92" s="1135">
        <v>3.0</v>
      </c>
      <c r="P92" s="1151">
        <v>5.0</v>
      </c>
      <c r="Q92" s="1135">
        <v>4.0</v>
      </c>
      <c r="R92" s="1760">
        <v>4.0</v>
      </c>
      <c r="S92" s="1772">
        <v>3.0</v>
      </c>
      <c r="T92" s="1151">
        <v>3.0</v>
      </c>
      <c r="U92" s="1173">
        <v>3.0</v>
      </c>
      <c r="V92" s="1769">
        <v>5.0</v>
      </c>
      <c r="W92" s="1173">
        <v>5.0</v>
      </c>
      <c r="X92" s="1769">
        <v>3.0</v>
      </c>
      <c r="Y92" s="1173">
        <v>3.0</v>
      </c>
      <c r="Z92" s="1769"/>
      <c r="AA92" s="1173"/>
      <c r="AB92" s="1769">
        <v>3.0</v>
      </c>
      <c r="AC92" s="1173">
        <v>3.0</v>
      </c>
      <c r="AD92" s="1760">
        <v>3.0</v>
      </c>
      <c r="AE92" s="1173">
        <v>3.0</v>
      </c>
      <c r="AF92" s="1760">
        <v>3.0</v>
      </c>
      <c r="AG92" s="1173">
        <v>3.0</v>
      </c>
      <c r="AH92" s="1769">
        <v>3.0</v>
      </c>
      <c r="AI92" s="1173">
        <v>3.0</v>
      </c>
      <c r="AJ92" s="2094">
        <v>3.0</v>
      </c>
      <c r="AK92" s="1173">
        <v>3.0</v>
      </c>
      <c r="AL92" s="1151">
        <v>3.0</v>
      </c>
      <c r="AM92" s="1173">
        <v>3.0</v>
      </c>
      <c r="AN92" s="1769"/>
      <c r="AO92" s="1173"/>
      <c r="AP92" s="1151">
        <v>3.0</v>
      </c>
      <c r="AQ92" s="1173">
        <v>3.0</v>
      </c>
      <c r="AR92" s="1151"/>
      <c r="AS92" s="1173"/>
      <c r="AT92" s="1151">
        <v>3.0</v>
      </c>
      <c r="AU92" s="1173">
        <v>3.0</v>
      </c>
      <c r="AV92" s="1151">
        <v>3.0</v>
      </c>
      <c r="AW92" s="1173">
        <v>3.0</v>
      </c>
      <c r="AX92" s="1151">
        <v>3.0</v>
      </c>
      <c r="AY92" s="1173">
        <v>3.0</v>
      </c>
      <c r="AZ92" s="1151">
        <v>20.0</v>
      </c>
      <c r="BA92" s="1173">
        <v>12.0</v>
      </c>
      <c r="BB92" s="1151">
        <v>3.0</v>
      </c>
      <c r="BC92" s="1173">
        <v>3.0</v>
      </c>
      <c r="BD92" s="1151"/>
      <c r="BE92" s="1173"/>
      <c r="BF92" s="1151">
        <v>3.0</v>
      </c>
      <c r="BG92" s="1173">
        <v>3.0</v>
      </c>
      <c r="BH92" s="1151">
        <v>6.0</v>
      </c>
      <c r="BI92" s="1173">
        <v>6.0</v>
      </c>
      <c r="BJ92" s="1151">
        <v>3.0</v>
      </c>
      <c r="BK92" s="1173">
        <v>3.0</v>
      </c>
      <c r="BL92" s="1139"/>
      <c r="BM92" s="1173"/>
      <c r="BN92" s="80"/>
      <c r="BO92" s="1579"/>
      <c r="BP92" s="80">
        <f t="shared" si="40"/>
        <v>112</v>
      </c>
      <c r="BQ92" s="2063">
        <f t="shared" si="41"/>
        <v>90</v>
      </c>
      <c r="BR92" s="2064"/>
      <c r="BS92" s="2065">
        <f t="shared" si="43"/>
        <v>560</v>
      </c>
      <c r="BT92" s="1610" t="s">
        <v>3104</v>
      </c>
      <c r="BU92" s="2066"/>
    </row>
    <row r="93" ht="15.75" customHeight="1">
      <c r="A93" s="1565"/>
      <c r="B93" s="1965"/>
      <c r="C93" s="1416"/>
      <c r="D93" s="1416"/>
      <c r="E93" s="2097"/>
      <c r="F93" s="1317"/>
      <c r="G93" s="1318"/>
      <c r="H93" s="1317"/>
      <c r="I93" s="1318"/>
      <c r="J93" s="1317"/>
      <c r="K93" s="1318"/>
      <c r="L93" s="1319"/>
      <c r="M93" s="1318"/>
      <c r="N93" s="1317"/>
      <c r="O93" s="1318"/>
      <c r="P93" s="1317"/>
      <c r="Q93" s="1318"/>
      <c r="R93" s="1317"/>
      <c r="S93" s="1318"/>
      <c r="T93" s="1317"/>
      <c r="U93" s="1318"/>
      <c r="V93" s="1317"/>
      <c r="W93" s="1318"/>
      <c r="X93" s="1317"/>
      <c r="Y93" s="1318"/>
      <c r="Z93" s="1317"/>
      <c r="AA93" s="1318"/>
      <c r="AB93" s="1317"/>
      <c r="AC93" s="1318"/>
      <c r="AD93" s="1317"/>
      <c r="AE93" s="1318"/>
      <c r="AF93" s="1317"/>
      <c r="AG93" s="1318"/>
      <c r="AH93" s="1317"/>
      <c r="AI93" s="1318"/>
      <c r="AJ93" s="1317"/>
      <c r="AK93" s="1318"/>
      <c r="AL93" s="1317"/>
      <c r="AM93" s="1318"/>
      <c r="AN93" s="1317"/>
      <c r="AO93" s="1318"/>
      <c r="AP93" s="1317"/>
      <c r="AQ93" s="1318"/>
      <c r="AR93" s="1317"/>
      <c r="AS93" s="1317"/>
      <c r="AT93" s="1317"/>
      <c r="AU93" s="1317"/>
      <c r="AV93" s="1317"/>
      <c r="AW93" s="1317"/>
      <c r="AX93" s="1317"/>
      <c r="AY93" s="1317"/>
      <c r="AZ93" s="1317"/>
      <c r="BA93" s="1317"/>
      <c r="BB93" s="1317"/>
      <c r="BC93" s="1317"/>
      <c r="BD93" s="1317"/>
      <c r="BE93" s="1317"/>
      <c r="BF93" s="1317"/>
      <c r="BG93" s="1317"/>
      <c r="BH93" s="1317"/>
      <c r="BI93" s="1317"/>
      <c r="BJ93" s="1317"/>
      <c r="BK93" s="1317"/>
      <c r="BL93" s="1187"/>
      <c r="BM93" s="1187"/>
      <c r="BN93" s="547" t="s">
        <v>1365</v>
      </c>
      <c r="BO93" s="11"/>
      <c r="BP93" s="1073">
        <f t="shared" ref="BP93:BS93" si="47">SUM(BP69:BP92)</f>
        <v>2267</v>
      </c>
      <c r="BQ93" s="1714">
        <f t="shared" si="47"/>
        <v>2205</v>
      </c>
      <c r="BR93" s="1800">
        <f t="shared" si="47"/>
        <v>212931</v>
      </c>
      <c r="BS93" s="1800">
        <f t="shared" si="47"/>
        <v>292770</v>
      </c>
      <c r="BT93" s="1678">
        <f>BR93-BS93</f>
        <v>-79839</v>
      </c>
      <c r="BU93" s="11"/>
    </row>
    <row r="94" ht="15.75" customHeight="1">
      <c r="A94" s="2099"/>
      <c r="B94" s="1965"/>
      <c r="C94" s="1416"/>
      <c r="D94" s="1416"/>
      <c r="E94" s="2100"/>
      <c r="F94" s="1672"/>
      <c r="G94" s="1681"/>
      <c r="H94" s="1672"/>
      <c r="I94" s="1672"/>
      <c r="J94" s="1672"/>
      <c r="K94" s="1681"/>
      <c r="L94" s="1672"/>
      <c r="M94" s="1681"/>
      <c r="N94" s="1672"/>
      <c r="O94" s="1672"/>
      <c r="P94" s="1681"/>
      <c r="Q94" s="1672"/>
      <c r="R94" s="1672"/>
      <c r="S94" s="1672"/>
      <c r="T94" s="1672"/>
      <c r="U94" s="1681"/>
      <c r="V94" s="1672"/>
      <c r="W94" s="1672"/>
      <c r="X94" s="1681"/>
      <c r="Y94" s="1672"/>
      <c r="Z94" s="1672"/>
      <c r="AA94" s="1672"/>
      <c r="AB94" s="1681"/>
      <c r="AC94" s="1318"/>
      <c r="AD94" s="1317"/>
      <c r="AE94" s="1318"/>
      <c r="AF94" s="1317"/>
      <c r="AG94" s="1318"/>
      <c r="AH94" s="1317"/>
      <c r="AI94" s="1318"/>
      <c r="AJ94" s="1317"/>
      <c r="AK94" s="1318"/>
      <c r="AL94" s="1317"/>
      <c r="AM94" s="1318"/>
      <c r="AN94" s="1317"/>
      <c r="AO94" s="1318"/>
      <c r="AP94" s="1317"/>
      <c r="AQ94" s="1318"/>
      <c r="AR94" s="1317"/>
      <c r="AS94" s="1317"/>
      <c r="AT94" s="1317"/>
      <c r="AU94" s="1317"/>
      <c r="AV94" s="1317"/>
      <c r="AW94" s="1317"/>
      <c r="AX94" s="1317"/>
      <c r="AY94" s="1317"/>
      <c r="AZ94" s="1317"/>
      <c r="BA94" s="1317"/>
      <c r="BB94" s="1317"/>
      <c r="BC94" s="1317"/>
      <c r="BD94" s="1317"/>
      <c r="BE94" s="1317"/>
      <c r="BF94" s="1317"/>
      <c r="BG94" s="1317"/>
      <c r="BH94" s="1317"/>
      <c r="BI94" s="1317"/>
      <c r="BJ94" s="1317"/>
      <c r="BK94" s="1317"/>
      <c r="BN94" s="206"/>
      <c r="BO94" s="206"/>
      <c r="BP94" s="206"/>
      <c r="BQ94" s="195"/>
      <c r="BR94" s="195"/>
      <c r="BS94" s="195"/>
      <c r="BT94" s="195"/>
      <c r="BU94" s="195"/>
    </row>
    <row r="95" ht="15.75" customHeight="1">
      <c r="A95" s="1796"/>
      <c r="B95" s="1965"/>
      <c r="C95" s="1416"/>
      <c r="D95" s="1416"/>
      <c r="E95" s="2100"/>
      <c r="F95" s="1317"/>
      <c r="G95" s="1318"/>
      <c r="H95" s="1317"/>
      <c r="I95" s="1318"/>
      <c r="J95" s="1317"/>
      <c r="K95" s="1318"/>
      <c r="L95" s="1317"/>
      <c r="M95" s="1318"/>
      <c r="N95" s="1317"/>
      <c r="O95" s="1318"/>
      <c r="P95" s="1317"/>
      <c r="Q95" s="1318"/>
      <c r="R95" s="1317"/>
      <c r="S95" s="1318"/>
      <c r="T95" s="1317"/>
      <c r="U95" s="1318"/>
      <c r="V95" s="1317"/>
      <c r="W95" s="1318"/>
      <c r="X95" s="1317"/>
      <c r="Y95" s="1318"/>
      <c r="Z95" s="1317"/>
      <c r="AA95" s="1318"/>
      <c r="AB95" s="1317"/>
      <c r="AC95" s="1318"/>
      <c r="AD95" s="1317"/>
      <c r="AE95" s="1318"/>
      <c r="AF95" s="1317"/>
      <c r="AG95" s="1318"/>
      <c r="AH95" s="1317"/>
      <c r="AI95" s="1318"/>
      <c r="AJ95" s="1317"/>
      <c r="AK95" s="1318"/>
      <c r="AL95" s="1317"/>
      <c r="AM95" s="1318"/>
      <c r="AN95" s="1317"/>
      <c r="AO95" s="1318"/>
      <c r="AP95" s="1317"/>
      <c r="AQ95" s="1318"/>
      <c r="AR95" s="1317"/>
      <c r="AS95" s="1317"/>
      <c r="AT95" s="1317"/>
      <c r="AU95" s="1317"/>
      <c r="AV95" s="1317"/>
      <c r="AW95" s="1317"/>
      <c r="AX95" s="1317"/>
      <c r="AY95" s="1317"/>
      <c r="AZ95" s="1317"/>
      <c r="BA95" s="1317"/>
      <c r="BB95" s="1317"/>
      <c r="BC95" s="1317"/>
      <c r="BD95" s="1317"/>
      <c r="BE95" s="1317"/>
      <c r="BF95" s="1317"/>
      <c r="BG95" s="1317"/>
      <c r="BH95" s="1317"/>
      <c r="BI95" s="1317"/>
      <c r="BJ95" s="1317"/>
      <c r="BK95" s="1317"/>
      <c r="BL95" s="1187"/>
      <c r="BM95" s="1187"/>
      <c r="BN95" s="11"/>
      <c r="BO95" s="11"/>
      <c r="BP95" s="11"/>
      <c r="BQ95" s="11"/>
      <c r="BR95" s="11"/>
      <c r="BS95" s="11"/>
      <c r="BT95" s="11"/>
      <c r="BU95" s="11"/>
    </row>
    <row r="96" ht="15.75" customHeight="1">
      <c r="A96" s="2099"/>
      <c r="B96" s="2102"/>
      <c r="C96" s="1970">
        <v>46251.0</v>
      </c>
      <c r="E96" s="908" t="s">
        <v>3106</v>
      </c>
      <c r="F96" s="1198"/>
      <c r="G96" s="1199"/>
      <c r="H96" s="13"/>
      <c r="I96" s="677"/>
      <c r="J96" s="13" t="s">
        <v>1356</v>
      </c>
      <c r="K96" s="677"/>
      <c r="L96" s="11"/>
      <c r="M96" s="23"/>
      <c r="N96" s="13"/>
      <c r="O96" s="13"/>
      <c r="P96" s="13"/>
      <c r="Q96" s="677"/>
      <c r="V96" s="1189"/>
      <c r="X96" s="1189"/>
      <c r="Z96" s="1190"/>
      <c r="AB96" s="1190"/>
      <c r="AH96" s="701"/>
      <c r="AJ96" s="701"/>
      <c r="BB96" s="1190"/>
      <c r="BD96" s="1190"/>
      <c r="BF96" s="1190"/>
      <c r="BH96" s="1190"/>
      <c r="BJ96" s="1190"/>
      <c r="BN96" s="206"/>
      <c r="BO96" s="206"/>
      <c r="BP96" s="206"/>
      <c r="BQ96" s="195"/>
      <c r="BR96" s="195"/>
      <c r="BS96" s="195"/>
      <c r="BT96" s="195"/>
      <c r="BU96" s="195"/>
    </row>
    <row r="97" ht="19.5" customHeight="1">
      <c r="A97" s="2103" t="s">
        <v>3069</v>
      </c>
      <c r="B97" s="1971" t="s">
        <v>1283</v>
      </c>
      <c r="C97" s="1972" t="s">
        <v>19</v>
      </c>
      <c r="D97" s="1972" t="s">
        <v>473</v>
      </c>
      <c r="E97" s="1073" t="s">
        <v>471</v>
      </c>
      <c r="F97" s="1321" t="s">
        <v>1357</v>
      </c>
      <c r="G97" s="69"/>
      <c r="H97" s="1321" t="s">
        <v>1287</v>
      </c>
      <c r="I97" s="69"/>
      <c r="J97" s="1322" t="s">
        <v>1358</v>
      </c>
      <c r="K97" s="69"/>
      <c r="L97" s="1321" t="s">
        <v>1359</v>
      </c>
      <c r="M97" s="69"/>
      <c r="N97" s="1321" t="s">
        <v>1360</v>
      </c>
      <c r="O97" s="69"/>
      <c r="P97" s="1321" t="s">
        <v>1361</v>
      </c>
      <c r="Q97" s="69"/>
      <c r="R97" s="1321" t="s">
        <v>1362</v>
      </c>
      <c r="S97" s="69"/>
      <c r="T97" s="1321" t="s">
        <v>1299</v>
      </c>
      <c r="U97" s="69"/>
      <c r="V97" s="1323" t="s">
        <v>1301</v>
      </c>
      <c r="W97" s="69"/>
      <c r="X97" s="1323" t="s">
        <v>1363</v>
      </c>
      <c r="Y97" s="69"/>
      <c r="Z97" s="1323" t="s">
        <v>1305</v>
      </c>
      <c r="AA97" s="69"/>
      <c r="AB97" s="1323" t="s">
        <v>1307</v>
      </c>
      <c r="AC97" s="69"/>
      <c r="AD97" s="1323" t="s">
        <v>1309</v>
      </c>
      <c r="AE97" s="69"/>
      <c r="AF97" s="1323" t="s">
        <v>1311</v>
      </c>
      <c r="AG97" s="69"/>
      <c r="AH97" s="1323" t="s">
        <v>1313</v>
      </c>
      <c r="AI97" s="69"/>
      <c r="AJ97" s="1323" t="s">
        <v>1315</v>
      </c>
      <c r="AK97" s="69"/>
      <c r="AL97" s="1323" t="s">
        <v>1317</v>
      </c>
      <c r="AM97" s="69"/>
      <c r="AN97" s="1323" t="s">
        <v>1319</v>
      </c>
      <c r="AO97" s="69"/>
      <c r="AP97" s="1323" t="s">
        <v>1321</v>
      </c>
      <c r="AQ97" s="69"/>
      <c r="AR97" s="1323" t="s">
        <v>1323</v>
      </c>
      <c r="AS97" s="69"/>
      <c r="AT97" s="1323" t="s">
        <v>1325</v>
      </c>
      <c r="AU97" s="69"/>
      <c r="AV97" s="1323" t="s">
        <v>1327</v>
      </c>
      <c r="AW97" s="69"/>
      <c r="AX97" s="1323" t="s">
        <v>3076</v>
      </c>
      <c r="AY97" s="69"/>
      <c r="AZ97" s="1323" t="s">
        <v>3078</v>
      </c>
      <c r="BA97" s="69"/>
      <c r="BB97" s="1201" t="s">
        <v>3080</v>
      </c>
      <c r="BC97" s="69"/>
      <c r="BD97" s="1201" t="s">
        <v>3082</v>
      </c>
      <c r="BE97" s="69"/>
      <c r="BF97" s="1201" t="s">
        <v>3084</v>
      </c>
      <c r="BG97" s="69"/>
      <c r="BH97" s="1201" t="s">
        <v>3086</v>
      </c>
      <c r="BI97" s="69"/>
      <c r="BJ97" s="1201" t="s">
        <v>3088</v>
      </c>
      <c r="BK97" s="69"/>
      <c r="BL97" s="1323" t="s">
        <v>297</v>
      </c>
      <c r="BM97" s="69"/>
      <c r="BN97" s="1072" t="s">
        <v>5</v>
      </c>
      <c r="BO97" s="69"/>
      <c r="BQ97" s="11"/>
      <c r="BR97" s="11"/>
      <c r="BS97" s="11"/>
      <c r="BT97" s="11"/>
      <c r="BU97" s="11"/>
    </row>
    <row r="98" ht="19.5" customHeight="1">
      <c r="A98" s="1109" t="str">
        <f t="shared" ref="A98:A118" si="48">A69</f>
        <v>Да</v>
      </c>
      <c r="B98" s="1719">
        <v>1287.0</v>
      </c>
      <c r="C98" s="1948">
        <v>85.0</v>
      </c>
      <c r="D98" s="1136"/>
      <c r="E98" s="784" t="str">
        <f t="shared" ref="E98:E118" si="49">E69</f>
        <v>Блины со сметаной</v>
      </c>
      <c r="F98" s="1705">
        <f t="shared" ref="F98:F118" si="50">G69</f>
        <v>6</v>
      </c>
      <c r="G98" s="69"/>
      <c r="H98" s="1705">
        <f t="shared" ref="H98:H118" si="51">I69</f>
        <v>3</v>
      </c>
      <c r="I98" s="69"/>
      <c r="J98" s="1705">
        <f t="shared" ref="J98:J118" si="52">K69</f>
        <v>4</v>
      </c>
      <c r="K98" s="69"/>
      <c r="L98" s="1705">
        <f t="shared" ref="L98:L118" si="53">M69</f>
        <v>4</v>
      </c>
      <c r="M98" s="69"/>
      <c r="N98" s="1705">
        <f t="shared" ref="N98:N118" si="54">O69</f>
        <v>8</v>
      </c>
      <c r="O98" s="69"/>
      <c r="P98" s="1709">
        <f t="shared" ref="P98:P118" si="55">Q69</f>
        <v>5</v>
      </c>
      <c r="Q98" s="69"/>
      <c r="R98" s="1705">
        <f t="shared" ref="R98:R118" si="56">S69</f>
        <v>3</v>
      </c>
      <c r="S98" s="69"/>
      <c r="T98" s="1705">
        <f t="shared" ref="T98:T118" si="57">U69</f>
        <v>2</v>
      </c>
      <c r="U98" s="69"/>
      <c r="V98" s="1705">
        <f t="shared" ref="V98:V118" si="58">W69</f>
        <v>7</v>
      </c>
      <c r="W98" s="69"/>
      <c r="X98" s="1709">
        <f t="shared" ref="X98:X118" si="59">Y69</f>
        <v>3</v>
      </c>
      <c r="Y98" s="69"/>
      <c r="Z98" s="1705" t="str">
        <f t="shared" ref="Z98:Z118" si="60">AA69</f>
        <v/>
      </c>
      <c r="AA98" s="69"/>
      <c r="AB98" s="1705">
        <f t="shared" ref="AB98:AB118" si="61">AC69</f>
        <v>4</v>
      </c>
      <c r="AC98" s="69"/>
      <c r="AD98" s="1705">
        <f t="shared" ref="AD98:AD118" si="62">AE69</f>
        <v>5</v>
      </c>
      <c r="AE98" s="69"/>
      <c r="AF98" s="1705">
        <f t="shared" ref="AF98:AF118" si="63">AG69</f>
        <v>11</v>
      </c>
      <c r="AG98" s="69"/>
      <c r="AH98" s="1705">
        <f t="shared" ref="AH98:AH118" si="64">AI69</f>
        <v>4</v>
      </c>
      <c r="AI98" s="69"/>
      <c r="AJ98" s="1705">
        <f t="shared" ref="AJ98:AJ118" si="65">AK69</f>
        <v>4</v>
      </c>
      <c r="AK98" s="69"/>
      <c r="AL98" s="1705">
        <f t="shared" ref="AL98:AL118" si="66">AM69</f>
        <v>3</v>
      </c>
      <c r="AM98" s="69"/>
      <c r="AN98" s="1705">
        <f t="shared" ref="AN98:AN118" si="67">AO69</f>
        <v>6</v>
      </c>
      <c r="AO98" s="69"/>
      <c r="AP98" s="1705">
        <f t="shared" ref="AP98:AP118" si="68">AQ69</f>
        <v>5</v>
      </c>
      <c r="AQ98" s="69"/>
      <c r="AR98" s="1705">
        <f t="shared" ref="AR98:AR118" si="69">AS69</f>
        <v>4</v>
      </c>
      <c r="AS98" s="69"/>
      <c r="AT98" s="1705">
        <f t="shared" ref="AT98:AT118" si="70">AU69</f>
        <v>6</v>
      </c>
      <c r="AU98" s="69"/>
      <c r="AV98" s="1705">
        <f t="shared" ref="AV98:AV118" si="71">AW69</f>
        <v>5</v>
      </c>
      <c r="AW98" s="69"/>
      <c r="AX98" s="2110">
        <f t="shared" ref="AX98:AX118" si="72">AY69</f>
        <v>5</v>
      </c>
      <c r="AY98" s="69"/>
      <c r="AZ98" s="2110">
        <f t="shared" ref="AZ98:AZ118" si="73">BA69</f>
        <v>4</v>
      </c>
      <c r="BA98" s="69"/>
      <c r="BB98" s="1709">
        <f t="shared" ref="BB98:BB118" si="74">BC69</f>
        <v>3</v>
      </c>
      <c r="BC98" s="69"/>
      <c r="BD98" s="1709">
        <f t="shared" ref="BD98:BD118" si="75">BE69</f>
        <v>4</v>
      </c>
      <c r="BE98" s="69"/>
      <c r="BF98" s="1709">
        <f t="shared" ref="BF98:BF118" si="76">BG69</f>
        <v>6</v>
      </c>
      <c r="BG98" s="69"/>
      <c r="BH98" s="1709">
        <f t="shared" ref="BH98:BH118" si="77">BI69</f>
        <v>3</v>
      </c>
      <c r="BI98" s="69"/>
      <c r="BJ98" s="1709">
        <f t="shared" ref="BJ98:BJ118" si="78">BK69</f>
        <v>0</v>
      </c>
      <c r="BK98" s="69"/>
      <c r="BL98" s="1705" t="str">
        <f t="shared" ref="BL98:BL118" si="79">BM69</f>
        <v/>
      </c>
      <c r="BM98" s="69"/>
      <c r="BN98" s="1705">
        <f t="shared" ref="BN98:BN121" si="80">SUM(F98:BM98)</f>
        <v>127</v>
      </c>
      <c r="BO98" s="69"/>
      <c r="BQ98" s="23"/>
      <c r="BR98" s="23"/>
      <c r="BS98" s="23"/>
      <c r="BT98" s="23"/>
      <c r="BU98" s="23"/>
    </row>
    <row r="99" ht="19.5" customHeight="1">
      <c r="A99" s="1109" t="str">
        <f t="shared" si="48"/>
        <v>Да</v>
      </c>
      <c r="B99" s="1719">
        <v>3426.0</v>
      </c>
      <c r="C99" s="1948">
        <v>160.0</v>
      </c>
      <c r="D99" s="1136"/>
      <c r="E99" s="784" t="str">
        <f t="shared" si="49"/>
        <v>Ленивые хачапури</v>
      </c>
      <c r="F99" s="1705">
        <f t="shared" si="50"/>
        <v>3</v>
      </c>
      <c r="G99" s="69"/>
      <c r="H99" s="1705">
        <f t="shared" si="51"/>
        <v>1</v>
      </c>
      <c r="I99" s="69"/>
      <c r="J99" s="1705">
        <f t="shared" si="52"/>
        <v>3</v>
      </c>
      <c r="K99" s="69"/>
      <c r="L99" s="1705">
        <f t="shared" si="53"/>
        <v>2</v>
      </c>
      <c r="M99" s="69"/>
      <c r="N99" s="1705">
        <f t="shared" si="54"/>
        <v>7</v>
      </c>
      <c r="O99" s="69"/>
      <c r="P99" s="1709">
        <f t="shared" si="55"/>
        <v>2</v>
      </c>
      <c r="Q99" s="69"/>
      <c r="R99" s="1705">
        <f t="shared" si="56"/>
        <v>0</v>
      </c>
      <c r="S99" s="69"/>
      <c r="T99" s="1705">
        <f t="shared" si="57"/>
        <v>2</v>
      </c>
      <c r="U99" s="69"/>
      <c r="V99" s="1705">
        <f t="shared" si="58"/>
        <v>2</v>
      </c>
      <c r="W99" s="69"/>
      <c r="X99" s="1709">
        <f t="shared" si="59"/>
        <v>2</v>
      </c>
      <c r="Y99" s="69"/>
      <c r="Z99" s="1705" t="str">
        <f t="shared" si="60"/>
        <v/>
      </c>
      <c r="AA99" s="69"/>
      <c r="AB99" s="1705">
        <f t="shared" si="61"/>
        <v>2</v>
      </c>
      <c r="AC99" s="69"/>
      <c r="AD99" s="1705">
        <f t="shared" si="62"/>
        <v>0</v>
      </c>
      <c r="AE99" s="69"/>
      <c r="AF99" s="1705">
        <f t="shared" si="63"/>
        <v>4</v>
      </c>
      <c r="AG99" s="69"/>
      <c r="AH99" s="1705">
        <f t="shared" si="64"/>
        <v>3</v>
      </c>
      <c r="AI99" s="69"/>
      <c r="AJ99" s="1705">
        <f t="shared" si="65"/>
        <v>2</v>
      </c>
      <c r="AK99" s="69"/>
      <c r="AL99" s="1705">
        <f t="shared" si="66"/>
        <v>1</v>
      </c>
      <c r="AM99" s="69"/>
      <c r="AN99" s="1705">
        <f t="shared" si="67"/>
        <v>6</v>
      </c>
      <c r="AO99" s="69"/>
      <c r="AP99" s="1705">
        <f t="shared" si="68"/>
        <v>0</v>
      </c>
      <c r="AQ99" s="69"/>
      <c r="AR99" s="1705">
        <f t="shared" si="69"/>
        <v>12</v>
      </c>
      <c r="AS99" s="69"/>
      <c r="AT99" s="1705">
        <f t="shared" si="70"/>
        <v>0</v>
      </c>
      <c r="AU99" s="69"/>
      <c r="AV99" s="1705">
        <f t="shared" si="71"/>
        <v>2</v>
      </c>
      <c r="AW99" s="69"/>
      <c r="AX99" s="2110">
        <f t="shared" si="72"/>
        <v>7</v>
      </c>
      <c r="AY99" s="69"/>
      <c r="AZ99" s="2110">
        <f t="shared" si="73"/>
        <v>0</v>
      </c>
      <c r="BA99" s="69"/>
      <c r="BB99" s="1709">
        <f t="shared" si="74"/>
        <v>2</v>
      </c>
      <c r="BC99" s="69"/>
      <c r="BD99" s="1709">
        <f t="shared" si="75"/>
        <v>2</v>
      </c>
      <c r="BE99" s="69"/>
      <c r="BF99" s="1709">
        <f t="shared" si="76"/>
        <v>3</v>
      </c>
      <c r="BG99" s="69"/>
      <c r="BH99" s="1709">
        <f t="shared" si="77"/>
        <v>4</v>
      </c>
      <c r="BI99" s="69"/>
      <c r="BJ99" s="1709">
        <f t="shared" si="78"/>
        <v>3</v>
      </c>
      <c r="BK99" s="69"/>
      <c r="BL99" s="1705" t="str">
        <f t="shared" si="79"/>
        <v/>
      </c>
      <c r="BM99" s="69"/>
      <c r="BN99" s="1705">
        <f t="shared" si="80"/>
        <v>77</v>
      </c>
      <c r="BO99" s="69"/>
      <c r="BQ99" s="23"/>
      <c r="BR99" s="23"/>
      <c r="BS99" s="23"/>
      <c r="BT99" s="23"/>
      <c r="BU99" s="23"/>
    </row>
    <row r="100" ht="19.5" customHeight="1">
      <c r="A100" s="1109" t="str">
        <f t="shared" si="48"/>
        <v>Да</v>
      </c>
      <c r="B100" s="1719">
        <v>4098.0</v>
      </c>
      <c r="C100" s="1948">
        <v>164.0</v>
      </c>
      <c r="D100" s="1136"/>
      <c r="E100" s="784" t="str">
        <f t="shared" si="49"/>
        <v>Шоколадный пирог с ягодами</v>
      </c>
      <c r="F100" s="1705">
        <f t="shared" si="50"/>
        <v>2</v>
      </c>
      <c r="G100" s="69"/>
      <c r="H100" s="1705">
        <f t="shared" si="51"/>
        <v>3</v>
      </c>
      <c r="I100" s="69"/>
      <c r="J100" s="1705">
        <f t="shared" si="52"/>
        <v>3</v>
      </c>
      <c r="K100" s="69"/>
      <c r="L100" s="1705">
        <f t="shared" si="53"/>
        <v>8</v>
      </c>
      <c r="M100" s="69"/>
      <c r="N100" s="1705">
        <f t="shared" si="54"/>
        <v>7</v>
      </c>
      <c r="O100" s="69"/>
      <c r="P100" s="1709">
        <f t="shared" si="55"/>
        <v>5</v>
      </c>
      <c r="Q100" s="69"/>
      <c r="R100" s="1705">
        <f t="shared" si="56"/>
        <v>2</v>
      </c>
      <c r="S100" s="69"/>
      <c r="T100" s="1705">
        <f t="shared" si="57"/>
        <v>4</v>
      </c>
      <c r="U100" s="69"/>
      <c r="V100" s="1705">
        <f t="shared" si="58"/>
        <v>2</v>
      </c>
      <c r="W100" s="69"/>
      <c r="X100" s="1709">
        <f t="shared" si="59"/>
        <v>3</v>
      </c>
      <c r="Y100" s="69"/>
      <c r="Z100" s="1705" t="str">
        <f t="shared" si="60"/>
        <v/>
      </c>
      <c r="AA100" s="69"/>
      <c r="AB100" s="1705">
        <f t="shared" si="61"/>
        <v>6</v>
      </c>
      <c r="AC100" s="69"/>
      <c r="AD100" s="1705">
        <f t="shared" si="62"/>
        <v>5</v>
      </c>
      <c r="AE100" s="69"/>
      <c r="AF100" s="1705">
        <f t="shared" si="63"/>
        <v>5</v>
      </c>
      <c r="AG100" s="69"/>
      <c r="AH100" s="1705">
        <f t="shared" si="64"/>
        <v>4</v>
      </c>
      <c r="AI100" s="69"/>
      <c r="AJ100" s="1705">
        <f t="shared" si="65"/>
        <v>6</v>
      </c>
      <c r="AK100" s="69"/>
      <c r="AL100" s="1705">
        <f t="shared" si="66"/>
        <v>2</v>
      </c>
      <c r="AM100" s="69"/>
      <c r="AN100" s="1705">
        <f t="shared" si="67"/>
        <v>6</v>
      </c>
      <c r="AO100" s="69"/>
      <c r="AP100" s="1705">
        <f t="shared" si="68"/>
        <v>3</v>
      </c>
      <c r="AQ100" s="69"/>
      <c r="AR100" s="1705">
        <f t="shared" si="69"/>
        <v>8</v>
      </c>
      <c r="AS100" s="69"/>
      <c r="AT100" s="1705">
        <f t="shared" si="70"/>
        <v>2</v>
      </c>
      <c r="AU100" s="69"/>
      <c r="AV100" s="1705">
        <f t="shared" si="71"/>
        <v>4</v>
      </c>
      <c r="AW100" s="69"/>
      <c r="AX100" s="2110">
        <f t="shared" si="72"/>
        <v>10</v>
      </c>
      <c r="AY100" s="69"/>
      <c r="AZ100" s="2110">
        <f t="shared" si="73"/>
        <v>3</v>
      </c>
      <c r="BA100" s="69"/>
      <c r="BB100" s="1709">
        <f t="shared" si="74"/>
        <v>3</v>
      </c>
      <c r="BC100" s="69"/>
      <c r="BD100" s="1709">
        <f t="shared" si="75"/>
        <v>3</v>
      </c>
      <c r="BE100" s="69"/>
      <c r="BF100" s="1709">
        <f t="shared" si="76"/>
        <v>3</v>
      </c>
      <c r="BG100" s="69"/>
      <c r="BH100" s="1709">
        <f t="shared" si="77"/>
        <v>6</v>
      </c>
      <c r="BI100" s="69"/>
      <c r="BJ100" s="1709">
        <f t="shared" si="78"/>
        <v>5</v>
      </c>
      <c r="BK100" s="69"/>
      <c r="BL100" s="1705" t="str">
        <f t="shared" si="79"/>
        <v/>
      </c>
      <c r="BM100" s="69"/>
      <c r="BN100" s="1705">
        <f t="shared" si="80"/>
        <v>123</v>
      </c>
      <c r="BO100" s="69"/>
      <c r="BQ100" s="23"/>
      <c r="BR100" s="23"/>
      <c r="BS100" s="23"/>
      <c r="BT100" s="23"/>
      <c r="BU100" s="23"/>
    </row>
    <row r="101" ht="19.5" customHeight="1">
      <c r="A101" s="1109" t="str">
        <f t="shared" si="48"/>
        <v>Да</v>
      </c>
      <c r="B101" s="1719">
        <v>3379.0</v>
      </c>
      <c r="C101" s="1948">
        <v>98.0</v>
      </c>
      <c r="D101" s="1136"/>
      <c r="E101" s="784" t="str">
        <f t="shared" si="49"/>
        <v>Салат ''Зайка'' 120 г</v>
      </c>
      <c r="F101" s="1705">
        <f t="shared" si="50"/>
        <v>10</v>
      </c>
      <c r="G101" s="69"/>
      <c r="H101" s="1705">
        <f t="shared" si="51"/>
        <v>3</v>
      </c>
      <c r="I101" s="69"/>
      <c r="J101" s="1705">
        <f t="shared" si="52"/>
        <v>2</v>
      </c>
      <c r="K101" s="69"/>
      <c r="L101" s="1705">
        <f t="shared" si="53"/>
        <v>3</v>
      </c>
      <c r="M101" s="69"/>
      <c r="N101" s="1705">
        <f t="shared" si="54"/>
        <v>13</v>
      </c>
      <c r="O101" s="69"/>
      <c r="P101" s="1709">
        <f t="shared" si="55"/>
        <v>9</v>
      </c>
      <c r="Q101" s="69"/>
      <c r="R101" s="1705">
        <f t="shared" si="56"/>
        <v>6</v>
      </c>
      <c r="S101" s="69"/>
      <c r="T101" s="1705">
        <f t="shared" si="57"/>
        <v>5</v>
      </c>
      <c r="U101" s="69"/>
      <c r="V101" s="1705">
        <f t="shared" si="58"/>
        <v>5</v>
      </c>
      <c r="W101" s="69"/>
      <c r="X101" s="1709">
        <f t="shared" si="59"/>
        <v>3</v>
      </c>
      <c r="Y101" s="69"/>
      <c r="Z101" s="1705" t="str">
        <f t="shared" si="60"/>
        <v/>
      </c>
      <c r="AA101" s="69"/>
      <c r="AB101" s="1705">
        <f t="shared" si="61"/>
        <v>4</v>
      </c>
      <c r="AC101" s="69"/>
      <c r="AD101" s="1705">
        <f t="shared" si="62"/>
        <v>4</v>
      </c>
      <c r="AE101" s="69"/>
      <c r="AF101" s="1705">
        <f t="shared" si="63"/>
        <v>7</v>
      </c>
      <c r="AG101" s="69"/>
      <c r="AH101" s="1705">
        <f t="shared" si="64"/>
        <v>7</v>
      </c>
      <c r="AI101" s="69"/>
      <c r="AJ101" s="1705">
        <f t="shared" si="65"/>
        <v>6</v>
      </c>
      <c r="AK101" s="69"/>
      <c r="AL101" s="1705">
        <f t="shared" si="66"/>
        <v>4</v>
      </c>
      <c r="AM101" s="69"/>
      <c r="AN101" s="1705">
        <f t="shared" si="67"/>
        <v>6</v>
      </c>
      <c r="AO101" s="69"/>
      <c r="AP101" s="1705">
        <f t="shared" si="68"/>
        <v>3</v>
      </c>
      <c r="AQ101" s="69"/>
      <c r="AR101" s="1705">
        <f t="shared" si="69"/>
        <v>11</v>
      </c>
      <c r="AS101" s="69"/>
      <c r="AT101" s="1705">
        <f t="shared" si="70"/>
        <v>5</v>
      </c>
      <c r="AU101" s="69"/>
      <c r="AV101" s="1705">
        <f t="shared" si="71"/>
        <v>4</v>
      </c>
      <c r="AW101" s="69"/>
      <c r="AX101" s="2110">
        <f t="shared" si="72"/>
        <v>7</v>
      </c>
      <c r="AY101" s="69"/>
      <c r="AZ101" s="2110">
        <f t="shared" si="73"/>
        <v>6</v>
      </c>
      <c r="BA101" s="69"/>
      <c r="BB101" s="1709">
        <f t="shared" si="74"/>
        <v>2</v>
      </c>
      <c r="BC101" s="69"/>
      <c r="BD101" s="1709">
        <f t="shared" si="75"/>
        <v>4</v>
      </c>
      <c r="BE101" s="69"/>
      <c r="BF101" s="1709">
        <f t="shared" si="76"/>
        <v>6</v>
      </c>
      <c r="BG101" s="69"/>
      <c r="BH101" s="1709">
        <f t="shared" si="77"/>
        <v>6</v>
      </c>
      <c r="BI101" s="69"/>
      <c r="BJ101" s="1709">
        <f t="shared" si="78"/>
        <v>7</v>
      </c>
      <c r="BK101" s="69"/>
      <c r="BL101" s="1705">
        <f t="shared" si="79"/>
        <v>44</v>
      </c>
      <c r="BM101" s="69"/>
      <c r="BN101" s="1705">
        <f t="shared" si="80"/>
        <v>202</v>
      </c>
      <c r="BO101" s="69"/>
      <c r="BQ101" s="23"/>
      <c r="BR101" s="23"/>
      <c r="BS101" s="23"/>
      <c r="BT101" s="23"/>
      <c r="BU101" s="23"/>
    </row>
    <row r="102" ht="19.5" customHeight="1">
      <c r="A102" s="1109" t="str">
        <f t="shared" si="48"/>
        <v>Да</v>
      </c>
      <c r="B102" s="1719">
        <v>2175.0</v>
      </c>
      <c r="C102" s="1948">
        <v>98.0</v>
      </c>
      <c r="D102" s="1136"/>
      <c r="E102" s="784" t="str">
        <f t="shared" si="49"/>
        <v>Салат ''Баварский'' (колбаса в/к)</v>
      </c>
      <c r="F102" s="1705">
        <f t="shared" si="50"/>
        <v>7</v>
      </c>
      <c r="G102" s="69"/>
      <c r="H102" s="1705">
        <f t="shared" si="51"/>
        <v>1</v>
      </c>
      <c r="I102" s="69"/>
      <c r="J102" s="1705">
        <f t="shared" si="52"/>
        <v>2</v>
      </c>
      <c r="K102" s="69"/>
      <c r="L102" s="1705">
        <f t="shared" si="53"/>
        <v>2</v>
      </c>
      <c r="M102" s="69"/>
      <c r="N102" s="1705">
        <f t="shared" si="54"/>
        <v>6</v>
      </c>
      <c r="O102" s="69"/>
      <c r="P102" s="1709">
        <f t="shared" si="55"/>
        <v>11</v>
      </c>
      <c r="Q102" s="69"/>
      <c r="R102" s="1705">
        <f t="shared" si="56"/>
        <v>2</v>
      </c>
      <c r="S102" s="69"/>
      <c r="T102" s="1705">
        <f t="shared" si="57"/>
        <v>3</v>
      </c>
      <c r="U102" s="69"/>
      <c r="V102" s="1705">
        <f t="shared" si="58"/>
        <v>3</v>
      </c>
      <c r="W102" s="69"/>
      <c r="X102" s="1709">
        <f t="shared" si="59"/>
        <v>0</v>
      </c>
      <c r="Y102" s="69"/>
      <c r="Z102" s="1705" t="str">
        <f t="shared" si="60"/>
        <v/>
      </c>
      <c r="AA102" s="69"/>
      <c r="AB102" s="1705">
        <f t="shared" si="61"/>
        <v>0</v>
      </c>
      <c r="AC102" s="69"/>
      <c r="AD102" s="1705">
        <f t="shared" si="62"/>
        <v>3</v>
      </c>
      <c r="AE102" s="69"/>
      <c r="AF102" s="1705">
        <f t="shared" si="63"/>
        <v>1</v>
      </c>
      <c r="AG102" s="69"/>
      <c r="AH102" s="1705">
        <f t="shared" si="64"/>
        <v>4</v>
      </c>
      <c r="AI102" s="69"/>
      <c r="AJ102" s="1705">
        <f t="shared" si="65"/>
        <v>2</v>
      </c>
      <c r="AK102" s="69"/>
      <c r="AL102" s="1705">
        <f t="shared" si="66"/>
        <v>1</v>
      </c>
      <c r="AM102" s="69"/>
      <c r="AN102" s="1705">
        <f t="shared" si="67"/>
        <v>6</v>
      </c>
      <c r="AO102" s="69"/>
      <c r="AP102" s="1705">
        <f t="shared" si="68"/>
        <v>2</v>
      </c>
      <c r="AQ102" s="69"/>
      <c r="AR102" s="1705">
        <f t="shared" si="69"/>
        <v>7</v>
      </c>
      <c r="AS102" s="69"/>
      <c r="AT102" s="1705">
        <f t="shared" si="70"/>
        <v>4</v>
      </c>
      <c r="AU102" s="69"/>
      <c r="AV102" s="1705">
        <f t="shared" si="71"/>
        <v>4</v>
      </c>
      <c r="AW102" s="69"/>
      <c r="AX102" s="2110">
        <f t="shared" si="72"/>
        <v>5</v>
      </c>
      <c r="AY102" s="69"/>
      <c r="AZ102" s="2110">
        <f t="shared" si="73"/>
        <v>1</v>
      </c>
      <c r="BA102" s="69"/>
      <c r="BB102" s="1709">
        <f t="shared" si="74"/>
        <v>2</v>
      </c>
      <c r="BC102" s="69"/>
      <c r="BD102" s="1709">
        <f t="shared" si="75"/>
        <v>0</v>
      </c>
      <c r="BE102" s="69"/>
      <c r="BF102" s="1709">
        <f t="shared" si="76"/>
        <v>2</v>
      </c>
      <c r="BG102" s="69"/>
      <c r="BH102" s="1709">
        <f t="shared" si="77"/>
        <v>1</v>
      </c>
      <c r="BI102" s="69"/>
      <c r="BJ102" s="1709">
        <f t="shared" si="78"/>
        <v>3</v>
      </c>
      <c r="BK102" s="69"/>
      <c r="BL102" s="1705">
        <f t="shared" si="79"/>
        <v>43</v>
      </c>
      <c r="BM102" s="69"/>
      <c r="BN102" s="1705">
        <f t="shared" si="80"/>
        <v>128</v>
      </c>
      <c r="BO102" s="69"/>
      <c r="BQ102" s="23"/>
      <c r="BR102" s="23"/>
      <c r="BS102" s="23"/>
      <c r="BT102" s="23"/>
      <c r="BU102" s="23"/>
    </row>
    <row r="103" ht="19.5" customHeight="1">
      <c r="A103" s="1109" t="str">
        <f t="shared" si="48"/>
        <v>Да</v>
      </c>
      <c r="B103" s="1719">
        <v>3814.0</v>
      </c>
      <c r="C103" s="1948">
        <v>98.0</v>
      </c>
      <c r="D103" s="1136"/>
      <c r="E103" s="784" t="str">
        <f t="shared" si="49"/>
        <v>Салат Фаворит (филе кур., грибы)</v>
      </c>
      <c r="F103" s="1713">
        <f t="shared" si="50"/>
        <v>5</v>
      </c>
      <c r="G103" s="69"/>
      <c r="H103" s="1713">
        <f t="shared" si="51"/>
        <v>2</v>
      </c>
      <c r="I103" s="69"/>
      <c r="J103" s="1713">
        <f t="shared" si="52"/>
        <v>2</v>
      </c>
      <c r="K103" s="69"/>
      <c r="L103" s="1713">
        <f t="shared" si="53"/>
        <v>3</v>
      </c>
      <c r="M103" s="69"/>
      <c r="N103" s="1713">
        <f t="shared" si="54"/>
        <v>5</v>
      </c>
      <c r="O103" s="69"/>
      <c r="P103" s="2138">
        <f t="shared" si="55"/>
        <v>5</v>
      </c>
      <c r="Q103" s="69"/>
      <c r="R103" s="1713">
        <f t="shared" si="56"/>
        <v>3</v>
      </c>
      <c r="S103" s="69"/>
      <c r="T103" s="1713">
        <f t="shared" si="57"/>
        <v>3</v>
      </c>
      <c r="U103" s="69"/>
      <c r="V103" s="1713">
        <f t="shared" si="58"/>
        <v>1</v>
      </c>
      <c r="W103" s="69"/>
      <c r="X103" s="2138">
        <f t="shared" si="59"/>
        <v>4</v>
      </c>
      <c r="Y103" s="69"/>
      <c r="Z103" s="1713" t="str">
        <f t="shared" si="60"/>
        <v/>
      </c>
      <c r="AA103" s="69"/>
      <c r="AB103" s="1713">
        <f t="shared" si="61"/>
        <v>2</v>
      </c>
      <c r="AC103" s="69"/>
      <c r="AD103" s="1713">
        <f t="shared" si="62"/>
        <v>1</v>
      </c>
      <c r="AE103" s="69"/>
      <c r="AF103" s="1713">
        <f t="shared" si="63"/>
        <v>2</v>
      </c>
      <c r="AG103" s="69"/>
      <c r="AH103" s="1705">
        <f t="shared" si="64"/>
        <v>5</v>
      </c>
      <c r="AI103" s="69"/>
      <c r="AJ103" s="1713">
        <f t="shared" si="65"/>
        <v>3</v>
      </c>
      <c r="AK103" s="69"/>
      <c r="AL103" s="1705">
        <f t="shared" si="66"/>
        <v>4</v>
      </c>
      <c r="AM103" s="69"/>
      <c r="AN103" s="1705">
        <f t="shared" si="67"/>
        <v>6</v>
      </c>
      <c r="AO103" s="69"/>
      <c r="AP103" s="1705">
        <f t="shared" si="68"/>
        <v>2</v>
      </c>
      <c r="AQ103" s="69"/>
      <c r="AR103" s="1705">
        <f t="shared" si="69"/>
        <v>10</v>
      </c>
      <c r="AS103" s="69"/>
      <c r="AT103" s="1705">
        <f t="shared" si="70"/>
        <v>5</v>
      </c>
      <c r="AU103" s="69"/>
      <c r="AV103" s="1705">
        <f t="shared" si="71"/>
        <v>4</v>
      </c>
      <c r="AW103" s="69"/>
      <c r="AX103" s="2110">
        <f t="shared" si="72"/>
        <v>6</v>
      </c>
      <c r="AY103" s="69"/>
      <c r="AZ103" s="2110">
        <f t="shared" si="73"/>
        <v>3</v>
      </c>
      <c r="BA103" s="69"/>
      <c r="BB103" s="1709">
        <f t="shared" si="74"/>
        <v>2</v>
      </c>
      <c r="BC103" s="69"/>
      <c r="BD103" s="1709">
        <f t="shared" si="75"/>
        <v>2</v>
      </c>
      <c r="BE103" s="69"/>
      <c r="BF103" s="1709">
        <f t="shared" si="76"/>
        <v>2</v>
      </c>
      <c r="BG103" s="69"/>
      <c r="BH103" s="1709">
        <f t="shared" si="77"/>
        <v>3</v>
      </c>
      <c r="BI103" s="69"/>
      <c r="BJ103" s="1709">
        <f t="shared" si="78"/>
        <v>5</v>
      </c>
      <c r="BK103" s="69"/>
      <c r="BL103" s="1705">
        <f t="shared" si="79"/>
        <v>43</v>
      </c>
      <c r="BM103" s="69"/>
      <c r="BN103" s="1713">
        <f t="shared" si="80"/>
        <v>143</v>
      </c>
      <c r="BO103" s="69"/>
      <c r="BQ103" s="23"/>
      <c r="BR103" s="23"/>
      <c r="BS103" s="23"/>
      <c r="BT103" s="23"/>
      <c r="BU103" s="23"/>
    </row>
    <row r="104" ht="19.5" customHeight="1">
      <c r="A104" s="1109" t="str">
        <f t="shared" si="48"/>
        <v>Да</v>
      </c>
      <c r="B104" s="1719">
        <v>4273.0</v>
      </c>
      <c r="C104" s="1948">
        <v>187.0</v>
      </c>
      <c r="D104" s="1136"/>
      <c r="E104" s="784" t="str">
        <f t="shared" si="49"/>
        <v>Салат "Шопский" с печёным перцем </v>
      </c>
      <c r="F104" s="1705">
        <f t="shared" si="50"/>
        <v>2</v>
      </c>
      <c r="G104" s="69"/>
      <c r="H104" s="1705">
        <f t="shared" si="51"/>
        <v>2</v>
      </c>
      <c r="I104" s="69"/>
      <c r="J104" s="1705">
        <f t="shared" si="52"/>
        <v>4</v>
      </c>
      <c r="K104" s="69"/>
      <c r="L104" s="1705">
        <f t="shared" si="53"/>
        <v>2</v>
      </c>
      <c r="M104" s="69"/>
      <c r="N104" s="1705">
        <f t="shared" si="54"/>
        <v>3</v>
      </c>
      <c r="O104" s="69"/>
      <c r="P104" s="1709">
        <f t="shared" si="55"/>
        <v>0</v>
      </c>
      <c r="Q104" s="69"/>
      <c r="R104" s="1705">
        <f t="shared" si="56"/>
        <v>0</v>
      </c>
      <c r="S104" s="69"/>
      <c r="T104" s="1705">
        <f t="shared" si="57"/>
        <v>2</v>
      </c>
      <c r="U104" s="69"/>
      <c r="V104" s="1705">
        <f t="shared" si="58"/>
        <v>2</v>
      </c>
      <c r="W104" s="69"/>
      <c r="X104" s="1709">
        <f t="shared" si="59"/>
        <v>1</v>
      </c>
      <c r="Y104" s="69"/>
      <c r="Z104" s="1705" t="str">
        <f t="shared" si="60"/>
        <v/>
      </c>
      <c r="AA104" s="69"/>
      <c r="AB104" s="1705">
        <f t="shared" si="61"/>
        <v>1</v>
      </c>
      <c r="AC104" s="69"/>
      <c r="AD104" s="1705">
        <f t="shared" si="62"/>
        <v>2</v>
      </c>
      <c r="AE104" s="69"/>
      <c r="AF104" s="1705">
        <f t="shared" si="63"/>
        <v>2</v>
      </c>
      <c r="AG104" s="69"/>
      <c r="AH104" s="1705">
        <f t="shared" si="64"/>
        <v>3</v>
      </c>
      <c r="AI104" s="69"/>
      <c r="AJ104" s="1705">
        <f t="shared" si="65"/>
        <v>2</v>
      </c>
      <c r="AK104" s="69"/>
      <c r="AL104" s="1705">
        <f t="shared" si="66"/>
        <v>0</v>
      </c>
      <c r="AM104" s="69"/>
      <c r="AN104" s="1705">
        <f t="shared" si="67"/>
        <v>3</v>
      </c>
      <c r="AO104" s="69"/>
      <c r="AP104" s="1705">
        <f t="shared" si="68"/>
        <v>0</v>
      </c>
      <c r="AQ104" s="69"/>
      <c r="AR104" s="1705">
        <f t="shared" si="69"/>
        <v>2</v>
      </c>
      <c r="AS104" s="69"/>
      <c r="AT104" s="1705">
        <f t="shared" si="70"/>
        <v>2</v>
      </c>
      <c r="AU104" s="69"/>
      <c r="AV104" s="1705">
        <f t="shared" si="71"/>
        <v>2</v>
      </c>
      <c r="AW104" s="69"/>
      <c r="AX104" s="2110">
        <f t="shared" si="72"/>
        <v>3</v>
      </c>
      <c r="AY104" s="69"/>
      <c r="AZ104" s="2110">
        <f t="shared" si="73"/>
        <v>2</v>
      </c>
      <c r="BA104" s="69"/>
      <c r="BB104" s="1709">
        <f t="shared" si="74"/>
        <v>3</v>
      </c>
      <c r="BC104" s="69"/>
      <c r="BD104" s="1709">
        <f t="shared" si="75"/>
        <v>2</v>
      </c>
      <c r="BE104" s="69"/>
      <c r="BF104" s="1709">
        <f t="shared" si="76"/>
        <v>2</v>
      </c>
      <c r="BG104" s="69"/>
      <c r="BH104" s="1709">
        <f t="shared" si="77"/>
        <v>3</v>
      </c>
      <c r="BI104" s="69"/>
      <c r="BJ104" s="1709">
        <f t="shared" si="78"/>
        <v>3</v>
      </c>
      <c r="BK104" s="69"/>
      <c r="BL104" s="1705" t="str">
        <f t="shared" si="79"/>
        <v/>
      </c>
      <c r="BM104" s="69"/>
      <c r="BN104" s="1705">
        <f t="shared" si="80"/>
        <v>55</v>
      </c>
      <c r="BO104" s="69"/>
      <c r="BQ104" s="23"/>
      <c r="BR104" s="23"/>
      <c r="BS104" s="23"/>
      <c r="BT104" s="23"/>
      <c r="BU104" s="23"/>
    </row>
    <row r="105" ht="19.5" customHeight="1">
      <c r="A105" s="1109" t="str">
        <f t="shared" si="48"/>
        <v/>
      </c>
      <c r="B105" s="1719">
        <v>386.0</v>
      </c>
      <c r="C105" s="1948">
        <v>88.0</v>
      </c>
      <c r="D105" s="1136"/>
      <c r="E105" s="784" t="str">
        <f t="shared" si="49"/>
        <v>Суп ''Харчо'' с курицей</v>
      </c>
      <c r="F105" s="1705" t="str">
        <f t="shared" si="50"/>
        <v/>
      </c>
      <c r="G105" s="69"/>
      <c r="H105" s="1705" t="str">
        <f t="shared" si="51"/>
        <v/>
      </c>
      <c r="I105" s="69"/>
      <c r="J105" s="1705" t="str">
        <f t="shared" si="52"/>
        <v/>
      </c>
      <c r="K105" s="69"/>
      <c r="L105" s="1705" t="str">
        <f t="shared" si="53"/>
        <v/>
      </c>
      <c r="M105" s="69"/>
      <c r="N105" s="1705" t="str">
        <f t="shared" si="54"/>
        <v/>
      </c>
      <c r="O105" s="69"/>
      <c r="P105" s="1709" t="str">
        <f t="shared" si="55"/>
        <v/>
      </c>
      <c r="Q105" s="69"/>
      <c r="R105" s="1705" t="str">
        <f t="shared" si="56"/>
        <v/>
      </c>
      <c r="S105" s="69"/>
      <c r="T105" s="1705" t="str">
        <f t="shared" si="57"/>
        <v/>
      </c>
      <c r="U105" s="69"/>
      <c r="V105" s="1705" t="str">
        <f t="shared" si="58"/>
        <v/>
      </c>
      <c r="W105" s="69"/>
      <c r="X105" s="1709" t="str">
        <f t="shared" si="59"/>
        <v/>
      </c>
      <c r="Y105" s="69"/>
      <c r="Z105" s="1705" t="str">
        <f t="shared" si="60"/>
        <v/>
      </c>
      <c r="AA105" s="69"/>
      <c r="AB105" s="1705" t="str">
        <f t="shared" si="61"/>
        <v/>
      </c>
      <c r="AC105" s="69"/>
      <c r="AD105" s="1705" t="str">
        <f t="shared" si="62"/>
        <v/>
      </c>
      <c r="AE105" s="69"/>
      <c r="AF105" s="1705" t="str">
        <f t="shared" si="63"/>
        <v/>
      </c>
      <c r="AG105" s="69"/>
      <c r="AH105" s="1705" t="str">
        <f t="shared" si="64"/>
        <v/>
      </c>
      <c r="AI105" s="69"/>
      <c r="AJ105" s="1705" t="str">
        <f t="shared" si="65"/>
        <v/>
      </c>
      <c r="AK105" s="69"/>
      <c r="AL105" s="1705" t="str">
        <f t="shared" si="66"/>
        <v/>
      </c>
      <c r="AM105" s="69"/>
      <c r="AN105" s="1705" t="str">
        <f t="shared" si="67"/>
        <v/>
      </c>
      <c r="AO105" s="69"/>
      <c r="AP105" s="1705" t="str">
        <f t="shared" si="68"/>
        <v/>
      </c>
      <c r="AQ105" s="69"/>
      <c r="AR105" s="1705" t="str">
        <f t="shared" si="69"/>
        <v/>
      </c>
      <c r="AS105" s="69"/>
      <c r="AT105" s="1705" t="str">
        <f t="shared" si="70"/>
        <v/>
      </c>
      <c r="AU105" s="69"/>
      <c r="AV105" s="1705" t="str">
        <f t="shared" si="71"/>
        <v/>
      </c>
      <c r="AW105" s="69"/>
      <c r="AX105" s="2110" t="str">
        <f t="shared" si="72"/>
        <v/>
      </c>
      <c r="AY105" s="69"/>
      <c r="AZ105" s="2110" t="str">
        <f t="shared" si="73"/>
        <v/>
      </c>
      <c r="BA105" s="69"/>
      <c r="BB105" s="1709" t="str">
        <f t="shared" si="74"/>
        <v/>
      </c>
      <c r="BC105" s="69"/>
      <c r="BD105" s="1709" t="str">
        <f t="shared" si="75"/>
        <v/>
      </c>
      <c r="BE105" s="69"/>
      <c r="BF105" s="1709" t="str">
        <f t="shared" si="76"/>
        <v/>
      </c>
      <c r="BG105" s="69"/>
      <c r="BH105" s="1709" t="str">
        <f t="shared" si="77"/>
        <v/>
      </c>
      <c r="BI105" s="69"/>
      <c r="BJ105" s="1709" t="str">
        <f t="shared" si="78"/>
        <v/>
      </c>
      <c r="BK105" s="69"/>
      <c r="BL105" s="1705">
        <f t="shared" si="79"/>
        <v>110</v>
      </c>
      <c r="BM105" s="69"/>
      <c r="BN105" s="1705">
        <f t="shared" si="80"/>
        <v>110</v>
      </c>
      <c r="BO105" s="69"/>
      <c r="BQ105" s="23"/>
      <c r="BR105" s="23"/>
      <c r="BS105" s="23"/>
      <c r="BT105" s="23"/>
      <c r="BU105" s="23"/>
    </row>
    <row r="106" ht="19.5" customHeight="1">
      <c r="A106" s="1109" t="str">
        <f t="shared" si="48"/>
        <v>Да</v>
      </c>
      <c r="B106" s="1719">
        <v>60.0</v>
      </c>
      <c r="C106" s="1948">
        <v>141.0</v>
      </c>
      <c r="D106" s="1136"/>
      <c r="E106" s="784" t="str">
        <f t="shared" si="49"/>
        <v>Грибной крем суп</v>
      </c>
      <c r="F106" s="1705">
        <f t="shared" si="50"/>
        <v>1</v>
      </c>
      <c r="G106" s="69"/>
      <c r="H106" s="1705">
        <f t="shared" si="51"/>
        <v>2</v>
      </c>
      <c r="I106" s="69"/>
      <c r="J106" s="1705">
        <f t="shared" si="52"/>
        <v>2</v>
      </c>
      <c r="K106" s="69"/>
      <c r="L106" s="1705">
        <f t="shared" si="53"/>
        <v>2</v>
      </c>
      <c r="M106" s="69"/>
      <c r="N106" s="1705">
        <f t="shared" si="54"/>
        <v>4</v>
      </c>
      <c r="O106" s="69"/>
      <c r="P106" s="1709">
        <f t="shared" si="55"/>
        <v>2</v>
      </c>
      <c r="Q106" s="69"/>
      <c r="R106" s="1705">
        <f t="shared" si="56"/>
        <v>0</v>
      </c>
      <c r="S106" s="69"/>
      <c r="T106" s="1705">
        <f t="shared" si="57"/>
        <v>2</v>
      </c>
      <c r="U106" s="69"/>
      <c r="V106" s="1705">
        <f t="shared" si="58"/>
        <v>2</v>
      </c>
      <c r="W106" s="69"/>
      <c r="X106" s="1709">
        <f t="shared" si="59"/>
        <v>2</v>
      </c>
      <c r="Y106" s="69"/>
      <c r="Z106" s="1705" t="str">
        <f t="shared" si="60"/>
        <v/>
      </c>
      <c r="AA106" s="69"/>
      <c r="AB106" s="1705">
        <f t="shared" si="61"/>
        <v>1</v>
      </c>
      <c r="AC106" s="69"/>
      <c r="AD106" s="1705">
        <f t="shared" si="62"/>
        <v>2</v>
      </c>
      <c r="AE106" s="69"/>
      <c r="AF106" s="1705">
        <f t="shared" si="63"/>
        <v>3</v>
      </c>
      <c r="AG106" s="69"/>
      <c r="AH106" s="1705">
        <f t="shared" si="64"/>
        <v>1</v>
      </c>
      <c r="AI106" s="69"/>
      <c r="AJ106" s="1705">
        <f t="shared" si="65"/>
        <v>1</v>
      </c>
      <c r="AK106" s="69"/>
      <c r="AL106" s="1705">
        <f t="shared" si="66"/>
        <v>0</v>
      </c>
      <c r="AM106" s="69"/>
      <c r="AN106" s="1705">
        <f t="shared" si="67"/>
        <v>3</v>
      </c>
      <c r="AO106" s="69"/>
      <c r="AP106" s="1705">
        <f t="shared" si="68"/>
        <v>1</v>
      </c>
      <c r="AQ106" s="69"/>
      <c r="AR106" s="1705">
        <f t="shared" si="69"/>
        <v>2</v>
      </c>
      <c r="AS106" s="69"/>
      <c r="AT106" s="1705">
        <f t="shared" si="70"/>
        <v>1</v>
      </c>
      <c r="AU106" s="69"/>
      <c r="AV106" s="1705">
        <f t="shared" si="71"/>
        <v>0</v>
      </c>
      <c r="AW106" s="69"/>
      <c r="AX106" s="2110">
        <f t="shared" si="72"/>
        <v>1</v>
      </c>
      <c r="AY106" s="69"/>
      <c r="AZ106" s="2110">
        <f t="shared" si="73"/>
        <v>1</v>
      </c>
      <c r="BA106" s="69"/>
      <c r="BB106" s="1709">
        <f t="shared" si="74"/>
        <v>1</v>
      </c>
      <c r="BC106" s="69"/>
      <c r="BD106" s="1709">
        <f t="shared" si="75"/>
        <v>2</v>
      </c>
      <c r="BE106" s="69"/>
      <c r="BF106" s="1709">
        <f t="shared" si="76"/>
        <v>1</v>
      </c>
      <c r="BG106" s="69"/>
      <c r="BH106" s="1709">
        <f t="shared" si="77"/>
        <v>2</v>
      </c>
      <c r="BI106" s="69"/>
      <c r="BJ106" s="1709">
        <f t="shared" si="78"/>
        <v>3</v>
      </c>
      <c r="BK106" s="69"/>
      <c r="BL106" s="1705" t="str">
        <f t="shared" si="79"/>
        <v/>
      </c>
      <c r="BM106" s="69"/>
      <c r="BN106" s="1705">
        <f t="shared" si="80"/>
        <v>45</v>
      </c>
      <c r="BO106" s="69"/>
      <c r="BQ106" s="23"/>
      <c r="BR106" s="23"/>
      <c r="BS106" s="23"/>
      <c r="BT106" s="23"/>
      <c r="BU106" s="23"/>
    </row>
    <row r="107" ht="19.5" customHeight="1">
      <c r="A107" s="1109" t="str">
        <f t="shared" si="48"/>
        <v>Да</v>
      </c>
      <c r="B107" s="1719">
        <v>1939.0</v>
      </c>
      <c r="C107" s="1948">
        <v>229.0</v>
      </c>
      <c r="D107" s="1136"/>
      <c r="E107" s="784" t="str">
        <f t="shared" si="49"/>
        <v>Котлета из щуки с пюре картофельным</v>
      </c>
      <c r="F107" s="1705">
        <f t="shared" si="50"/>
        <v>8</v>
      </c>
      <c r="G107" s="69"/>
      <c r="H107" s="1705">
        <f t="shared" si="51"/>
        <v>5</v>
      </c>
      <c r="I107" s="69"/>
      <c r="J107" s="1705">
        <f t="shared" si="52"/>
        <v>3</v>
      </c>
      <c r="K107" s="69"/>
      <c r="L107" s="1705">
        <f t="shared" si="53"/>
        <v>3</v>
      </c>
      <c r="M107" s="69"/>
      <c r="N107" s="1705">
        <f t="shared" si="54"/>
        <v>1</v>
      </c>
      <c r="O107" s="69"/>
      <c r="P107" s="2138">
        <f t="shared" si="55"/>
        <v>2</v>
      </c>
      <c r="Q107" s="69"/>
      <c r="R107" s="1705">
        <f t="shared" si="56"/>
        <v>2</v>
      </c>
      <c r="S107" s="69"/>
      <c r="T107" s="1705">
        <f t="shared" si="57"/>
        <v>0</v>
      </c>
      <c r="U107" s="69"/>
      <c r="V107" s="1705">
        <f t="shared" si="58"/>
        <v>3</v>
      </c>
      <c r="W107" s="69"/>
      <c r="X107" s="1709">
        <f t="shared" si="59"/>
        <v>3</v>
      </c>
      <c r="Y107" s="69"/>
      <c r="Z107" s="1705" t="str">
        <f t="shared" si="60"/>
        <v/>
      </c>
      <c r="AA107" s="69"/>
      <c r="AB107" s="1705">
        <f t="shared" si="61"/>
        <v>2</v>
      </c>
      <c r="AC107" s="69"/>
      <c r="AD107" s="1705">
        <f t="shared" si="62"/>
        <v>2</v>
      </c>
      <c r="AE107" s="69"/>
      <c r="AF107" s="1705">
        <f t="shared" si="63"/>
        <v>5</v>
      </c>
      <c r="AG107" s="69"/>
      <c r="AH107" s="1705">
        <f t="shared" si="64"/>
        <v>5</v>
      </c>
      <c r="AI107" s="69"/>
      <c r="AJ107" s="1705">
        <f t="shared" si="65"/>
        <v>5</v>
      </c>
      <c r="AK107" s="69"/>
      <c r="AL107" s="1705">
        <f t="shared" si="66"/>
        <v>3</v>
      </c>
      <c r="AM107" s="69"/>
      <c r="AN107" s="1705">
        <f t="shared" si="67"/>
        <v>4</v>
      </c>
      <c r="AO107" s="69"/>
      <c r="AP107" s="1705">
        <f t="shared" si="68"/>
        <v>2</v>
      </c>
      <c r="AQ107" s="69"/>
      <c r="AR107" s="1705">
        <f t="shared" si="69"/>
        <v>7</v>
      </c>
      <c r="AS107" s="69"/>
      <c r="AT107" s="1705">
        <f t="shared" si="70"/>
        <v>3</v>
      </c>
      <c r="AU107" s="69"/>
      <c r="AV107" s="1705">
        <f t="shared" si="71"/>
        <v>0</v>
      </c>
      <c r="AW107" s="69"/>
      <c r="AX107" s="2110">
        <f t="shared" si="72"/>
        <v>3</v>
      </c>
      <c r="AY107" s="69"/>
      <c r="AZ107" s="2110">
        <f t="shared" si="73"/>
        <v>3</v>
      </c>
      <c r="BA107" s="69"/>
      <c r="BB107" s="1709">
        <f t="shared" si="74"/>
        <v>2</v>
      </c>
      <c r="BC107" s="69"/>
      <c r="BD107" s="1709">
        <f t="shared" si="75"/>
        <v>2</v>
      </c>
      <c r="BE107" s="69"/>
      <c r="BF107" s="1709">
        <f t="shared" si="76"/>
        <v>3</v>
      </c>
      <c r="BG107" s="69"/>
      <c r="BH107" s="1709">
        <f t="shared" si="77"/>
        <v>3</v>
      </c>
      <c r="BI107" s="69"/>
      <c r="BJ107" s="1709">
        <f t="shared" si="78"/>
        <v>4</v>
      </c>
      <c r="BK107" s="69"/>
      <c r="BL107" s="1705" t="str">
        <f t="shared" si="79"/>
        <v/>
      </c>
      <c r="BM107" s="69"/>
      <c r="BN107" s="1705">
        <f t="shared" si="80"/>
        <v>88</v>
      </c>
      <c r="BO107" s="69"/>
      <c r="BQ107" s="23"/>
      <c r="BR107" s="23"/>
      <c r="BS107" s="23"/>
      <c r="BT107" s="23"/>
      <c r="BU107" s="23"/>
    </row>
    <row r="108" ht="19.5" customHeight="1">
      <c r="A108" s="1109" t="str">
        <f t="shared" si="48"/>
        <v>Да</v>
      </c>
      <c r="B108" s="1719">
        <v>1982.0</v>
      </c>
      <c r="C108" s="1948">
        <v>214.0</v>
      </c>
      <c r="D108" s="1136"/>
      <c r="E108" s="784" t="str">
        <f t="shared" si="49"/>
        <v>Вок с курицей и рисом</v>
      </c>
      <c r="F108" s="1713">
        <f t="shared" si="50"/>
        <v>5</v>
      </c>
      <c r="G108" s="69"/>
      <c r="H108" s="1713">
        <f t="shared" si="51"/>
        <v>6</v>
      </c>
      <c r="I108" s="69"/>
      <c r="J108" s="1713">
        <f t="shared" si="52"/>
        <v>3</v>
      </c>
      <c r="K108" s="69"/>
      <c r="L108" s="1713">
        <f t="shared" si="53"/>
        <v>6</v>
      </c>
      <c r="M108" s="69"/>
      <c r="N108" s="1713">
        <f t="shared" si="54"/>
        <v>9</v>
      </c>
      <c r="O108" s="69"/>
      <c r="P108" s="2138">
        <f t="shared" si="55"/>
        <v>5</v>
      </c>
      <c r="Q108" s="69"/>
      <c r="R108" s="1713">
        <f t="shared" si="56"/>
        <v>4</v>
      </c>
      <c r="S108" s="69"/>
      <c r="T108" s="1713">
        <f t="shared" si="57"/>
        <v>9</v>
      </c>
      <c r="U108" s="69"/>
      <c r="V108" s="1713">
        <f t="shared" si="58"/>
        <v>8</v>
      </c>
      <c r="W108" s="69"/>
      <c r="X108" s="2138">
        <f t="shared" si="59"/>
        <v>2</v>
      </c>
      <c r="Y108" s="69"/>
      <c r="Z108" s="1713" t="str">
        <f t="shared" si="60"/>
        <v/>
      </c>
      <c r="AA108" s="69"/>
      <c r="AB108" s="1713">
        <f t="shared" si="61"/>
        <v>4</v>
      </c>
      <c r="AC108" s="69"/>
      <c r="AD108" s="1713">
        <f t="shared" si="62"/>
        <v>2</v>
      </c>
      <c r="AE108" s="69"/>
      <c r="AF108" s="1713">
        <f t="shared" si="63"/>
        <v>4</v>
      </c>
      <c r="AG108" s="69"/>
      <c r="AH108" s="1713">
        <f t="shared" si="64"/>
        <v>8</v>
      </c>
      <c r="AI108" s="69"/>
      <c r="AJ108" s="1713">
        <f t="shared" si="65"/>
        <v>3</v>
      </c>
      <c r="AK108" s="69"/>
      <c r="AL108" s="1713">
        <f t="shared" si="66"/>
        <v>5</v>
      </c>
      <c r="AM108" s="69"/>
      <c r="AN108" s="1705">
        <f t="shared" si="67"/>
        <v>4</v>
      </c>
      <c r="AO108" s="69"/>
      <c r="AP108" s="1705">
        <f t="shared" si="68"/>
        <v>4</v>
      </c>
      <c r="AQ108" s="69"/>
      <c r="AR108" s="1705">
        <f t="shared" si="69"/>
        <v>1</v>
      </c>
      <c r="AS108" s="69"/>
      <c r="AT108" s="1705">
        <f t="shared" si="70"/>
        <v>8</v>
      </c>
      <c r="AU108" s="69"/>
      <c r="AV108" s="1705">
        <f t="shared" si="71"/>
        <v>5</v>
      </c>
      <c r="AW108" s="69"/>
      <c r="AX108" s="2110">
        <f t="shared" si="72"/>
        <v>5</v>
      </c>
      <c r="AY108" s="69"/>
      <c r="AZ108" s="2110">
        <f t="shared" si="73"/>
        <v>4</v>
      </c>
      <c r="BA108" s="69"/>
      <c r="BB108" s="1709">
        <f t="shared" si="74"/>
        <v>2</v>
      </c>
      <c r="BC108" s="69"/>
      <c r="BD108" s="1709">
        <f t="shared" si="75"/>
        <v>2</v>
      </c>
      <c r="BE108" s="69"/>
      <c r="BF108" s="1709">
        <f t="shared" si="76"/>
        <v>7</v>
      </c>
      <c r="BG108" s="69"/>
      <c r="BH108" s="1709">
        <f t="shared" si="77"/>
        <v>5</v>
      </c>
      <c r="BI108" s="69"/>
      <c r="BJ108" s="1709">
        <f t="shared" si="78"/>
        <v>2</v>
      </c>
      <c r="BK108" s="69"/>
      <c r="BL108" s="1705" t="str">
        <f t="shared" si="79"/>
        <v/>
      </c>
      <c r="BM108" s="69"/>
      <c r="BN108" s="1713">
        <f t="shared" si="80"/>
        <v>132</v>
      </c>
      <c r="BO108" s="69"/>
      <c r="BQ108" s="23"/>
      <c r="BR108" s="23"/>
      <c r="BS108" s="23"/>
      <c r="BT108" s="23"/>
      <c r="BU108" s="23"/>
    </row>
    <row r="109" ht="19.5" customHeight="1">
      <c r="A109" s="1109" t="str">
        <f t="shared" si="48"/>
        <v>Да</v>
      </c>
      <c r="B109" s="1719">
        <v>1267.0</v>
      </c>
      <c r="C109" s="1948">
        <v>198.0</v>
      </c>
      <c r="D109" s="1136"/>
      <c r="E109" s="784" t="str">
        <f t="shared" si="49"/>
        <v>Печень куриная с овощами с гречкой</v>
      </c>
      <c r="F109" s="1705">
        <f t="shared" si="50"/>
        <v>2</v>
      </c>
      <c r="G109" s="69"/>
      <c r="H109" s="1705">
        <f t="shared" si="51"/>
        <v>3</v>
      </c>
      <c r="I109" s="69"/>
      <c r="J109" s="1705">
        <f t="shared" si="52"/>
        <v>3</v>
      </c>
      <c r="K109" s="69"/>
      <c r="L109" s="1705">
        <f t="shared" si="53"/>
        <v>3</v>
      </c>
      <c r="M109" s="69"/>
      <c r="N109" s="1705">
        <f t="shared" si="54"/>
        <v>13</v>
      </c>
      <c r="O109" s="69"/>
      <c r="P109" s="1709">
        <f t="shared" si="55"/>
        <v>7</v>
      </c>
      <c r="Q109" s="69"/>
      <c r="R109" s="1705">
        <f t="shared" si="56"/>
        <v>6</v>
      </c>
      <c r="S109" s="69"/>
      <c r="T109" s="1705">
        <f t="shared" si="57"/>
        <v>4</v>
      </c>
      <c r="U109" s="69"/>
      <c r="V109" s="1705">
        <f t="shared" si="58"/>
        <v>3</v>
      </c>
      <c r="W109" s="69"/>
      <c r="X109" s="1709">
        <f t="shared" si="59"/>
        <v>2</v>
      </c>
      <c r="Y109" s="69"/>
      <c r="Z109" s="1705" t="str">
        <f t="shared" si="60"/>
        <v/>
      </c>
      <c r="AA109" s="69"/>
      <c r="AB109" s="1705">
        <f t="shared" si="61"/>
        <v>2</v>
      </c>
      <c r="AC109" s="69"/>
      <c r="AD109" s="1705">
        <f t="shared" si="62"/>
        <v>5</v>
      </c>
      <c r="AE109" s="69"/>
      <c r="AF109" s="1705">
        <f t="shared" si="63"/>
        <v>2</v>
      </c>
      <c r="AG109" s="69"/>
      <c r="AH109" s="1705">
        <f t="shared" si="64"/>
        <v>0</v>
      </c>
      <c r="AI109" s="69"/>
      <c r="AJ109" s="1705">
        <f t="shared" si="65"/>
        <v>3</v>
      </c>
      <c r="AK109" s="69"/>
      <c r="AL109" s="1705">
        <f t="shared" si="66"/>
        <v>0</v>
      </c>
      <c r="AM109" s="69"/>
      <c r="AN109" s="1705">
        <f t="shared" si="67"/>
        <v>4</v>
      </c>
      <c r="AO109" s="69"/>
      <c r="AP109" s="1705">
        <f t="shared" si="68"/>
        <v>4</v>
      </c>
      <c r="AQ109" s="69"/>
      <c r="AR109" s="1705">
        <f t="shared" si="69"/>
        <v>3</v>
      </c>
      <c r="AS109" s="69"/>
      <c r="AT109" s="1705">
        <f t="shared" si="70"/>
        <v>2</v>
      </c>
      <c r="AU109" s="69"/>
      <c r="AV109" s="1705">
        <f t="shared" si="71"/>
        <v>3</v>
      </c>
      <c r="AW109" s="69"/>
      <c r="AX109" s="2110">
        <f t="shared" si="72"/>
        <v>4</v>
      </c>
      <c r="AY109" s="69"/>
      <c r="AZ109" s="2110">
        <f t="shared" si="73"/>
        <v>2</v>
      </c>
      <c r="BA109" s="69"/>
      <c r="BB109" s="1709">
        <f t="shared" si="74"/>
        <v>2</v>
      </c>
      <c r="BC109" s="69"/>
      <c r="BD109" s="1709">
        <f t="shared" si="75"/>
        <v>1</v>
      </c>
      <c r="BE109" s="69"/>
      <c r="BF109" s="1709">
        <f t="shared" si="76"/>
        <v>2</v>
      </c>
      <c r="BG109" s="69"/>
      <c r="BH109" s="1709">
        <f t="shared" si="77"/>
        <v>4</v>
      </c>
      <c r="BI109" s="69"/>
      <c r="BJ109" s="1709">
        <f t="shared" si="78"/>
        <v>6</v>
      </c>
      <c r="BK109" s="69"/>
      <c r="BL109" s="1705">
        <f t="shared" si="79"/>
        <v>76</v>
      </c>
      <c r="BM109" s="69"/>
      <c r="BN109" s="1705">
        <f t="shared" si="80"/>
        <v>171</v>
      </c>
      <c r="BO109" s="69"/>
      <c r="BQ109" s="23"/>
      <c r="BR109" s="23"/>
      <c r="BS109" s="23"/>
      <c r="BT109" s="23"/>
      <c r="BU109" s="23"/>
    </row>
    <row r="110" ht="19.5" customHeight="1">
      <c r="A110" s="1109" t="str">
        <f t="shared" si="48"/>
        <v/>
      </c>
      <c r="B110" s="1719">
        <v>2976.0</v>
      </c>
      <c r="C110" s="1948">
        <v>195.0</v>
      </c>
      <c r="D110" s="1136"/>
      <c r="E110" s="784" t="str">
        <f t="shared" si="49"/>
        <v>Курочка в томатном соусе с рисом</v>
      </c>
      <c r="F110" s="1705" t="str">
        <f t="shared" si="50"/>
        <v/>
      </c>
      <c r="G110" s="69"/>
      <c r="H110" s="1705" t="str">
        <f t="shared" si="51"/>
        <v/>
      </c>
      <c r="I110" s="69"/>
      <c r="J110" s="1705" t="str">
        <f t="shared" si="52"/>
        <v/>
      </c>
      <c r="K110" s="69"/>
      <c r="L110" s="1705" t="str">
        <f t="shared" si="53"/>
        <v/>
      </c>
      <c r="M110" s="69"/>
      <c r="N110" s="1705" t="str">
        <f t="shared" si="54"/>
        <v/>
      </c>
      <c r="O110" s="69"/>
      <c r="P110" s="1709" t="str">
        <f t="shared" si="55"/>
        <v/>
      </c>
      <c r="Q110" s="69"/>
      <c r="R110" s="1705" t="str">
        <f t="shared" si="56"/>
        <v/>
      </c>
      <c r="S110" s="69"/>
      <c r="T110" s="1705" t="str">
        <f t="shared" si="57"/>
        <v/>
      </c>
      <c r="U110" s="69"/>
      <c r="V110" s="1705" t="str">
        <f t="shared" si="58"/>
        <v/>
      </c>
      <c r="W110" s="69"/>
      <c r="X110" s="1709" t="str">
        <f t="shared" si="59"/>
        <v/>
      </c>
      <c r="Y110" s="69"/>
      <c r="Z110" s="1705" t="str">
        <f t="shared" si="60"/>
        <v/>
      </c>
      <c r="AA110" s="69"/>
      <c r="AB110" s="1705" t="str">
        <f t="shared" si="61"/>
        <v/>
      </c>
      <c r="AC110" s="69"/>
      <c r="AD110" s="1705" t="str">
        <f t="shared" si="62"/>
        <v/>
      </c>
      <c r="AE110" s="69"/>
      <c r="AF110" s="1705" t="str">
        <f t="shared" si="63"/>
        <v/>
      </c>
      <c r="AG110" s="69"/>
      <c r="AH110" s="1705" t="str">
        <f t="shared" si="64"/>
        <v/>
      </c>
      <c r="AI110" s="69"/>
      <c r="AJ110" s="1705" t="str">
        <f t="shared" si="65"/>
        <v/>
      </c>
      <c r="AK110" s="69"/>
      <c r="AL110" s="1705" t="str">
        <f t="shared" si="66"/>
        <v/>
      </c>
      <c r="AM110" s="69"/>
      <c r="AN110" s="1705" t="str">
        <f t="shared" si="67"/>
        <v/>
      </c>
      <c r="AO110" s="69"/>
      <c r="AP110" s="1705" t="str">
        <f t="shared" si="68"/>
        <v/>
      </c>
      <c r="AQ110" s="69"/>
      <c r="AR110" s="1705" t="str">
        <f t="shared" si="69"/>
        <v/>
      </c>
      <c r="AS110" s="69"/>
      <c r="AT110" s="1705" t="str">
        <f t="shared" si="70"/>
        <v/>
      </c>
      <c r="AU110" s="69"/>
      <c r="AV110" s="1705" t="str">
        <f t="shared" si="71"/>
        <v/>
      </c>
      <c r="AW110" s="69"/>
      <c r="AX110" s="2110" t="str">
        <f t="shared" si="72"/>
        <v/>
      </c>
      <c r="AY110" s="69"/>
      <c r="AZ110" s="2110" t="str">
        <f t="shared" si="73"/>
        <v/>
      </c>
      <c r="BA110" s="69"/>
      <c r="BB110" s="1709" t="str">
        <f t="shared" si="74"/>
        <v/>
      </c>
      <c r="BC110" s="69"/>
      <c r="BD110" s="1709" t="str">
        <f t="shared" si="75"/>
        <v/>
      </c>
      <c r="BE110" s="69"/>
      <c r="BF110" s="1709" t="str">
        <f t="shared" si="76"/>
        <v/>
      </c>
      <c r="BG110" s="69"/>
      <c r="BH110" s="1709" t="str">
        <f t="shared" si="77"/>
        <v/>
      </c>
      <c r="BI110" s="69"/>
      <c r="BJ110" s="1709" t="str">
        <f t="shared" si="78"/>
        <v/>
      </c>
      <c r="BK110" s="69"/>
      <c r="BL110" s="1705">
        <f t="shared" si="79"/>
        <v>25</v>
      </c>
      <c r="BM110" s="69"/>
      <c r="BN110" s="1705">
        <f t="shared" si="80"/>
        <v>25</v>
      </c>
      <c r="BO110" s="69"/>
      <c r="BQ110" s="23"/>
      <c r="BR110" s="23"/>
      <c r="BS110" s="23"/>
      <c r="BT110" s="23"/>
      <c r="BU110" s="23"/>
    </row>
    <row r="111" ht="19.5" customHeight="1">
      <c r="A111" s="1109" t="str">
        <f t="shared" si="48"/>
        <v>Да</v>
      </c>
      <c r="B111" s="1719">
        <v>967.0</v>
      </c>
      <c r="C111" s="1948">
        <v>198.0</v>
      </c>
      <c r="D111" s="1136"/>
      <c r="E111" s="784" t="str">
        <f t="shared" si="49"/>
        <v>Курочка в томатном соусе со спагетти</v>
      </c>
      <c r="F111" s="1705">
        <f t="shared" si="50"/>
        <v>4</v>
      </c>
      <c r="G111" s="69"/>
      <c r="H111" s="1705">
        <f t="shared" si="51"/>
        <v>2</v>
      </c>
      <c r="I111" s="69"/>
      <c r="J111" s="1705">
        <f t="shared" si="52"/>
        <v>3</v>
      </c>
      <c r="K111" s="69"/>
      <c r="L111" s="1705">
        <f t="shared" si="53"/>
        <v>3</v>
      </c>
      <c r="M111" s="69"/>
      <c r="N111" s="1705">
        <f t="shared" si="54"/>
        <v>6</v>
      </c>
      <c r="O111" s="69"/>
      <c r="P111" s="1709">
        <f t="shared" si="55"/>
        <v>4</v>
      </c>
      <c r="Q111" s="69"/>
      <c r="R111" s="1705">
        <f t="shared" si="56"/>
        <v>2</v>
      </c>
      <c r="S111" s="69"/>
      <c r="T111" s="1705">
        <f t="shared" si="57"/>
        <v>3</v>
      </c>
      <c r="U111" s="69"/>
      <c r="V111" s="1705">
        <f t="shared" si="58"/>
        <v>3</v>
      </c>
      <c r="W111" s="69"/>
      <c r="X111" s="1709">
        <f t="shared" si="59"/>
        <v>2</v>
      </c>
      <c r="Y111" s="69"/>
      <c r="Z111" s="1705" t="str">
        <f t="shared" si="60"/>
        <v/>
      </c>
      <c r="AA111" s="69"/>
      <c r="AB111" s="1705">
        <f t="shared" si="61"/>
        <v>2</v>
      </c>
      <c r="AC111" s="69"/>
      <c r="AD111" s="1705">
        <f t="shared" si="62"/>
        <v>1</v>
      </c>
      <c r="AE111" s="69"/>
      <c r="AF111" s="1705">
        <f t="shared" si="63"/>
        <v>1</v>
      </c>
      <c r="AG111" s="69"/>
      <c r="AH111" s="1705">
        <f t="shared" si="64"/>
        <v>3</v>
      </c>
      <c r="AI111" s="69"/>
      <c r="AJ111" s="1705">
        <f t="shared" si="65"/>
        <v>3</v>
      </c>
      <c r="AK111" s="69"/>
      <c r="AL111" s="1705">
        <f t="shared" si="66"/>
        <v>2</v>
      </c>
      <c r="AM111" s="69"/>
      <c r="AN111" s="1705">
        <f t="shared" si="67"/>
        <v>4</v>
      </c>
      <c r="AO111" s="69"/>
      <c r="AP111" s="1705">
        <f t="shared" si="68"/>
        <v>2</v>
      </c>
      <c r="AQ111" s="69"/>
      <c r="AR111" s="1705">
        <f t="shared" si="69"/>
        <v>3</v>
      </c>
      <c r="AS111" s="69"/>
      <c r="AT111" s="1705">
        <f t="shared" si="70"/>
        <v>4</v>
      </c>
      <c r="AU111" s="69"/>
      <c r="AV111" s="1705">
        <f t="shared" si="71"/>
        <v>2</v>
      </c>
      <c r="AW111" s="69"/>
      <c r="AX111" s="2110">
        <f t="shared" si="72"/>
        <v>4</v>
      </c>
      <c r="AY111" s="69"/>
      <c r="AZ111" s="2110">
        <f t="shared" si="73"/>
        <v>3</v>
      </c>
      <c r="BA111" s="69"/>
      <c r="BB111" s="1709">
        <f t="shared" si="74"/>
        <v>2</v>
      </c>
      <c r="BC111" s="69"/>
      <c r="BD111" s="1709">
        <f t="shared" si="75"/>
        <v>1</v>
      </c>
      <c r="BE111" s="69"/>
      <c r="BF111" s="1709">
        <f t="shared" si="76"/>
        <v>3</v>
      </c>
      <c r="BG111" s="69"/>
      <c r="BH111" s="1709">
        <f t="shared" si="77"/>
        <v>2</v>
      </c>
      <c r="BI111" s="69"/>
      <c r="BJ111" s="1709">
        <f t="shared" si="78"/>
        <v>2</v>
      </c>
      <c r="BK111" s="69"/>
      <c r="BL111" s="1705" t="str">
        <f t="shared" si="79"/>
        <v/>
      </c>
      <c r="BM111" s="69"/>
      <c r="BN111" s="1705">
        <f t="shared" si="80"/>
        <v>76</v>
      </c>
      <c r="BO111" s="69"/>
      <c r="BQ111" s="23"/>
      <c r="BR111" s="23"/>
      <c r="BS111" s="23"/>
      <c r="BT111" s="23"/>
      <c r="BU111" s="23"/>
    </row>
    <row r="112" ht="19.5" customHeight="1">
      <c r="A112" s="1109" t="str">
        <f t="shared" si="48"/>
        <v>Да</v>
      </c>
      <c r="B112" s="1719">
        <v>1046.0</v>
      </c>
      <c r="C112" s="1948">
        <v>203.0</v>
      </c>
      <c r="D112" s="1136"/>
      <c r="E112" s="784" t="str">
        <f t="shared" si="49"/>
        <v>Чахохбили с макаронами</v>
      </c>
      <c r="F112" s="1705">
        <f t="shared" si="50"/>
        <v>5</v>
      </c>
      <c r="G112" s="69"/>
      <c r="H112" s="1705">
        <f t="shared" si="51"/>
        <v>2</v>
      </c>
      <c r="I112" s="69"/>
      <c r="J112" s="1705">
        <f t="shared" si="52"/>
        <v>1</v>
      </c>
      <c r="K112" s="69"/>
      <c r="L112" s="1705">
        <f t="shared" si="53"/>
        <v>3</v>
      </c>
      <c r="M112" s="69"/>
      <c r="N112" s="1705">
        <f t="shared" si="54"/>
        <v>4</v>
      </c>
      <c r="O112" s="69"/>
      <c r="P112" s="1709">
        <f t="shared" si="55"/>
        <v>2</v>
      </c>
      <c r="Q112" s="69"/>
      <c r="R112" s="1705">
        <f t="shared" si="56"/>
        <v>2</v>
      </c>
      <c r="S112" s="69"/>
      <c r="T112" s="1705">
        <f t="shared" si="57"/>
        <v>0</v>
      </c>
      <c r="U112" s="69"/>
      <c r="V112" s="1705">
        <f t="shared" si="58"/>
        <v>2</v>
      </c>
      <c r="W112" s="69"/>
      <c r="X112" s="1709">
        <f t="shared" si="59"/>
        <v>3</v>
      </c>
      <c r="Y112" s="69"/>
      <c r="Z112" s="1705" t="str">
        <f t="shared" si="60"/>
        <v/>
      </c>
      <c r="AA112" s="69"/>
      <c r="AB112" s="1705">
        <f t="shared" si="61"/>
        <v>3</v>
      </c>
      <c r="AC112" s="69"/>
      <c r="AD112" s="1705">
        <f t="shared" si="62"/>
        <v>2</v>
      </c>
      <c r="AE112" s="69"/>
      <c r="AF112" s="1705">
        <f t="shared" si="63"/>
        <v>2</v>
      </c>
      <c r="AG112" s="69"/>
      <c r="AH112" s="1705">
        <f t="shared" si="64"/>
        <v>4</v>
      </c>
      <c r="AI112" s="69"/>
      <c r="AJ112" s="1705">
        <f t="shared" si="65"/>
        <v>0</v>
      </c>
      <c r="AK112" s="69"/>
      <c r="AL112" s="1705">
        <f t="shared" si="66"/>
        <v>3</v>
      </c>
      <c r="AM112" s="69"/>
      <c r="AN112" s="1705">
        <f t="shared" si="67"/>
        <v>4</v>
      </c>
      <c r="AO112" s="69"/>
      <c r="AP112" s="1705">
        <f t="shared" si="68"/>
        <v>0</v>
      </c>
      <c r="AQ112" s="69"/>
      <c r="AR112" s="1705">
        <f t="shared" si="69"/>
        <v>4</v>
      </c>
      <c r="AS112" s="69"/>
      <c r="AT112" s="1705">
        <f t="shared" si="70"/>
        <v>2</v>
      </c>
      <c r="AU112" s="69"/>
      <c r="AV112" s="1705">
        <f t="shared" si="71"/>
        <v>1</v>
      </c>
      <c r="AW112" s="69"/>
      <c r="AX112" s="2110">
        <f t="shared" si="72"/>
        <v>1</v>
      </c>
      <c r="AY112" s="69"/>
      <c r="AZ112" s="2110">
        <f t="shared" si="73"/>
        <v>1</v>
      </c>
      <c r="BA112" s="69"/>
      <c r="BB112" s="1709">
        <f t="shared" si="74"/>
        <v>2</v>
      </c>
      <c r="BC112" s="69"/>
      <c r="BD112" s="1709">
        <f t="shared" si="75"/>
        <v>0</v>
      </c>
      <c r="BE112" s="69"/>
      <c r="BF112" s="1709">
        <f t="shared" si="76"/>
        <v>2</v>
      </c>
      <c r="BG112" s="69"/>
      <c r="BH112" s="1709">
        <f t="shared" si="77"/>
        <v>2</v>
      </c>
      <c r="BI112" s="69"/>
      <c r="BJ112" s="1709">
        <f t="shared" si="78"/>
        <v>4</v>
      </c>
      <c r="BK112" s="69"/>
      <c r="BL112" s="1705" t="str">
        <f t="shared" si="79"/>
        <v/>
      </c>
      <c r="BM112" s="69"/>
      <c r="BN112" s="1705">
        <f t="shared" si="80"/>
        <v>61</v>
      </c>
      <c r="BO112" s="69"/>
      <c r="BQ112" s="11"/>
      <c r="BR112" s="11"/>
      <c r="BS112" s="11"/>
      <c r="BT112" s="11"/>
      <c r="BU112" s="11"/>
    </row>
    <row r="113" ht="19.5" customHeight="1">
      <c r="A113" s="1109" t="str">
        <f t="shared" si="48"/>
        <v>Да</v>
      </c>
      <c r="B113" s="1719"/>
      <c r="C113" s="1948"/>
      <c r="D113" s="1136"/>
      <c r="E113" s="784" t="str">
        <f t="shared" si="49"/>
        <v>Мясные гнёзда с овощами и картофелем </v>
      </c>
      <c r="F113" s="1705">
        <f t="shared" si="50"/>
        <v>5</v>
      </c>
      <c r="G113" s="69"/>
      <c r="H113" s="1705">
        <f t="shared" si="51"/>
        <v>4</v>
      </c>
      <c r="I113" s="69"/>
      <c r="J113" s="1705">
        <f t="shared" si="52"/>
        <v>3</v>
      </c>
      <c r="K113" s="69"/>
      <c r="L113" s="1705">
        <f t="shared" si="53"/>
        <v>4</v>
      </c>
      <c r="M113" s="69"/>
      <c r="N113" s="1705">
        <f t="shared" si="54"/>
        <v>5</v>
      </c>
      <c r="O113" s="69"/>
      <c r="P113" s="1709">
        <f t="shared" si="55"/>
        <v>13</v>
      </c>
      <c r="Q113" s="69"/>
      <c r="R113" s="1705">
        <f t="shared" si="56"/>
        <v>4</v>
      </c>
      <c r="S113" s="69"/>
      <c r="T113" s="1705">
        <f t="shared" si="57"/>
        <v>2</v>
      </c>
      <c r="U113" s="69"/>
      <c r="V113" s="1705">
        <f t="shared" si="58"/>
        <v>2</v>
      </c>
      <c r="W113" s="69"/>
      <c r="X113" s="1709">
        <f t="shared" si="59"/>
        <v>3</v>
      </c>
      <c r="Y113" s="69"/>
      <c r="Z113" s="1705" t="str">
        <f t="shared" si="60"/>
        <v/>
      </c>
      <c r="AA113" s="69"/>
      <c r="AB113" s="1705">
        <f t="shared" si="61"/>
        <v>3</v>
      </c>
      <c r="AC113" s="69"/>
      <c r="AD113" s="1705">
        <f t="shared" si="62"/>
        <v>5</v>
      </c>
      <c r="AE113" s="69"/>
      <c r="AF113" s="1705">
        <f t="shared" si="63"/>
        <v>2</v>
      </c>
      <c r="AG113" s="69"/>
      <c r="AH113" s="1705">
        <f t="shared" si="64"/>
        <v>6</v>
      </c>
      <c r="AI113" s="69"/>
      <c r="AJ113" s="1705">
        <f t="shared" si="65"/>
        <v>2</v>
      </c>
      <c r="AK113" s="69"/>
      <c r="AL113" s="1705">
        <f t="shared" si="66"/>
        <v>4</v>
      </c>
      <c r="AM113" s="69"/>
      <c r="AN113" s="1705">
        <f t="shared" si="67"/>
        <v>4</v>
      </c>
      <c r="AO113" s="69"/>
      <c r="AP113" s="1705">
        <f t="shared" si="68"/>
        <v>2</v>
      </c>
      <c r="AQ113" s="69"/>
      <c r="AR113" s="1705">
        <f t="shared" si="69"/>
        <v>6</v>
      </c>
      <c r="AS113" s="69"/>
      <c r="AT113" s="1705">
        <f t="shared" si="70"/>
        <v>6</v>
      </c>
      <c r="AU113" s="69"/>
      <c r="AV113" s="1705">
        <f t="shared" si="71"/>
        <v>3</v>
      </c>
      <c r="AW113" s="69"/>
      <c r="AX113" s="2110">
        <f t="shared" si="72"/>
        <v>4</v>
      </c>
      <c r="AY113" s="69"/>
      <c r="AZ113" s="2110">
        <f t="shared" si="73"/>
        <v>3</v>
      </c>
      <c r="BA113" s="69"/>
      <c r="BB113" s="1709">
        <f t="shared" si="74"/>
        <v>2</v>
      </c>
      <c r="BC113" s="69"/>
      <c r="BD113" s="1709">
        <f t="shared" si="75"/>
        <v>2</v>
      </c>
      <c r="BE113" s="69"/>
      <c r="BF113" s="1709">
        <f t="shared" si="76"/>
        <v>4</v>
      </c>
      <c r="BG113" s="69"/>
      <c r="BH113" s="1709">
        <f t="shared" si="77"/>
        <v>0</v>
      </c>
      <c r="BI113" s="69"/>
      <c r="BJ113" s="1709">
        <f t="shared" si="78"/>
        <v>6</v>
      </c>
      <c r="BK113" s="69"/>
      <c r="BL113" s="1705">
        <f t="shared" si="79"/>
        <v>25</v>
      </c>
      <c r="BM113" s="69"/>
      <c r="BN113" s="1705">
        <f t="shared" si="80"/>
        <v>134</v>
      </c>
      <c r="BO113" s="69"/>
      <c r="BQ113" s="11"/>
      <c r="BR113" s="11"/>
      <c r="BS113" s="11"/>
      <c r="BT113" s="11"/>
      <c r="BU113" s="11"/>
    </row>
    <row r="114" ht="19.5" customHeight="1">
      <c r="A114" s="1109" t="str">
        <f t="shared" si="48"/>
        <v/>
      </c>
      <c r="B114" s="1719">
        <v>3455.0</v>
      </c>
      <c r="C114" s="1948">
        <v>85.0</v>
      </c>
      <c r="D114" s="1136"/>
      <c r="E114" s="784" t="str">
        <f t="shared" si="49"/>
        <v>Слойка с ветчиной и сыром 100г</v>
      </c>
      <c r="F114" s="1705" t="str">
        <f t="shared" si="50"/>
        <v/>
      </c>
      <c r="G114" s="69"/>
      <c r="H114" s="1705" t="str">
        <f t="shared" si="51"/>
        <v/>
      </c>
      <c r="I114" s="69"/>
      <c r="J114" s="1705" t="str">
        <f t="shared" si="52"/>
        <v/>
      </c>
      <c r="K114" s="69"/>
      <c r="L114" s="1705" t="str">
        <f t="shared" si="53"/>
        <v/>
      </c>
      <c r="M114" s="69"/>
      <c r="N114" s="1705" t="str">
        <f t="shared" si="54"/>
        <v/>
      </c>
      <c r="O114" s="69"/>
      <c r="P114" s="1709" t="str">
        <f t="shared" si="55"/>
        <v/>
      </c>
      <c r="Q114" s="69"/>
      <c r="R114" s="1705" t="str">
        <f t="shared" si="56"/>
        <v/>
      </c>
      <c r="S114" s="69"/>
      <c r="T114" s="1705" t="str">
        <f t="shared" si="57"/>
        <v/>
      </c>
      <c r="U114" s="69"/>
      <c r="V114" s="1705" t="str">
        <f t="shared" si="58"/>
        <v/>
      </c>
      <c r="W114" s="69"/>
      <c r="X114" s="1709" t="str">
        <f t="shared" si="59"/>
        <v/>
      </c>
      <c r="Y114" s="69"/>
      <c r="Z114" s="1705" t="str">
        <f t="shared" si="60"/>
        <v/>
      </c>
      <c r="AA114" s="69"/>
      <c r="AB114" s="1705" t="str">
        <f t="shared" si="61"/>
        <v/>
      </c>
      <c r="AC114" s="69"/>
      <c r="AD114" s="1705" t="str">
        <f t="shared" si="62"/>
        <v/>
      </c>
      <c r="AE114" s="69"/>
      <c r="AF114" s="1705" t="str">
        <f t="shared" si="63"/>
        <v/>
      </c>
      <c r="AG114" s="69"/>
      <c r="AH114" s="1705" t="str">
        <f t="shared" si="64"/>
        <v/>
      </c>
      <c r="AI114" s="69"/>
      <c r="AJ114" s="1705" t="str">
        <f t="shared" si="65"/>
        <v/>
      </c>
      <c r="AK114" s="69"/>
      <c r="AL114" s="1705" t="str">
        <f t="shared" si="66"/>
        <v/>
      </c>
      <c r="AM114" s="69"/>
      <c r="AN114" s="1705" t="str">
        <f t="shared" si="67"/>
        <v/>
      </c>
      <c r="AO114" s="69"/>
      <c r="AP114" s="1705" t="str">
        <f t="shared" si="68"/>
        <v/>
      </c>
      <c r="AQ114" s="69"/>
      <c r="AR114" s="1705" t="str">
        <f t="shared" si="69"/>
        <v/>
      </c>
      <c r="AS114" s="69"/>
      <c r="AT114" s="1705" t="str">
        <f t="shared" si="70"/>
        <v/>
      </c>
      <c r="AU114" s="69"/>
      <c r="AV114" s="1705" t="str">
        <f t="shared" si="71"/>
        <v/>
      </c>
      <c r="AW114" s="69"/>
      <c r="AX114" s="2110" t="str">
        <f t="shared" si="72"/>
        <v/>
      </c>
      <c r="AY114" s="69"/>
      <c r="AZ114" s="2110" t="str">
        <f t="shared" si="73"/>
        <v/>
      </c>
      <c r="BA114" s="69"/>
      <c r="BB114" s="1709" t="str">
        <f t="shared" si="74"/>
        <v/>
      </c>
      <c r="BC114" s="69"/>
      <c r="BD114" s="1709" t="str">
        <f t="shared" si="75"/>
        <v/>
      </c>
      <c r="BE114" s="69"/>
      <c r="BF114" s="1709" t="str">
        <f t="shared" si="76"/>
        <v/>
      </c>
      <c r="BG114" s="69"/>
      <c r="BH114" s="1709" t="str">
        <f t="shared" si="77"/>
        <v/>
      </c>
      <c r="BI114" s="69"/>
      <c r="BJ114" s="1709" t="str">
        <f t="shared" si="78"/>
        <v/>
      </c>
      <c r="BK114" s="69"/>
      <c r="BL114" s="1705">
        <f t="shared" si="79"/>
        <v>14</v>
      </c>
      <c r="BM114" s="69"/>
      <c r="BN114" s="1705">
        <f t="shared" si="80"/>
        <v>14</v>
      </c>
      <c r="BO114" s="69"/>
      <c r="BQ114" s="11"/>
      <c r="BR114" s="11"/>
      <c r="BS114" s="11"/>
      <c r="BT114" s="11"/>
      <c r="BU114" s="11"/>
    </row>
    <row r="115" ht="19.5" customHeight="1">
      <c r="A115" s="1109" t="str">
        <f t="shared" si="48"/>
        <v/>
      </c>
      <c r="B115" s="1719">
        <v>3435.0</v>
      </c>
      <c r="C115" s="1948">
        <v>51.0</v>
      </c>
      <c r="D115" s="1136"/>
      <c r="E115" s="784" t="str">
        <f t="shared" si="49"/>
        <v>Булочка с повидлом 80 г</v>
      </c>
      <c r="F115" s="1705" t="str">
        <f t="shared" si="50"/>
        <v/>
      </c>
      <c r="G115" s="69"/>
      <c r="H115" s="1705" t="str">
        <f t="shared" si="51"/>
        <v/>
      </c>
      <c r="I115" s="69"/>
      <c r="J115" s="1705" t="str">
        <f t="shared" si="52"/>
        <v/>
      </c>
      <c r="K115" s="69"/>
      <c r="L115" s="1705" t="str">
        <f t="shared" si="53"/>
        <v/>
      </c>
      <c r="M115" s="69"/>
      <c r="N115" s="1705" t="str">
        <f t="shared" si="54"/>
        <v/>
      </c>
      <c r="O115" s="69"/>
      <c r="P115" s="1709" t="str">
        <f t="shared" si="55"/>
        <v/>
      </c>
      <c r="Q115" s="69"/>
      <c r="R115" s="1705" t="str">
        <f t="shared" si="56"/>
        <v/>
      </c>
      <c r="S115" s="69"/>
      <c r="T115" s="1705" t="str">
        <f t="shared" si="57"/>
        <v/>
      </c>
      <c r="U115" s="69"/>
      <c r="V115" s="1705" t="str">
        <f t="shared" si="58"/>
        <v/>
      </c>
      <c r="W115" s="69"/>
      <c r="X115" s="1709" t="str">
        <f t="shared" si="59"/>
        <v/>
      </c>
      <c r="Y115" s="69"/>
      <c r="Z115" s="1705" t="str">
        <f t="shared" si="60"/>
        <v/>
      </c>
      <c r="AA115" s="69"/>
      <c r="AB115" s="1705" t="str">
        <f t="shared" si="61"/>
        <v/>
      </c>
      <c r="AC115" s="69"/>
      <c r="AD115" s="1705" t="str">
        <f t="shared" si="62"/>
        <v/>
      </c>
      <c r="AE115" s="69"/>
      <c r="AF115" s="1705" t="str">
        <f t="shared" si="63"/>
        <v/>
      </c>
      <c r="AG115" s="69"/>
      <c r="AH115" s="1705" t="str">
        <f t="shared" si="64"/>
        <v/>
      </c>
      <c r="AI115" s="69"/>
      <c r="AJ115" s="1705" t="str">
        <f t="shared" si="65"/>
        <v/>
      </c>
      <c r="AK115" s="69"/>
      <c r="AL115" s="1705" t="str">
        <f t="shared" si="66"/>
        <v/>
      </c>
      <c r="AM115" s="69"/>
      <c r="AN115" s="1705" t="str">
        <f t="shared" si="67"/>
        <v/>
      </c>
      <c r="AO115" s="69"/>
      <c r="AP115" s="1705" t="str">
        <f t="shared" si="68"/>
        <v/>
      </c>
      <c r="AQ115" s="69"/>
      <c r="AR115" s="1705" t="str">
        <f t="shared" si="69"/>
        <v/>
      </c>
      <c r="AS115" s="69"/>
      <c r="AT115" s="1705" t="str">
        <f t="shared" si="70"/>
        <v/>
      </c>
      <c r="AU115" s="69"/>
      <c r="AV115" s="1705" t="str">
        <f t="shared" si="71"/>
        <v/>
      </c>
      <c r="AW115" s="69"/>
      <c r="AX115" s="2110" t="str">
        <f t="shared" si="72"/>
        <v/>
      </c>
      <c r="AY115" s="69"/>
      <c r="AZ115" s="2110" t="str">
        <f t="shared" si="73"/>
        <v/>
      </c>
      <c r="BA115" s="69"/>
      <c r="BB115" s="1709" t="str">
        <f t="shared" si="74"/>
        <v/>
      </c>
      <c r="BC115" s="69"/>
      <c r="BD115" s="1709" t="str">
        <f t="shared" si="75"/>
        <v/>
      </c>
      <c r="BE115" s="69"/>
      <c r="BF115" s="1709" t="str">
        <f t="shared" si="76"/>
        <v/>
      </c>
      <c r="BG115" s="69"/>
      <c r="BH115" s="1709" t="str">
        <f t="shared" si="77"/>
        <v/>
      </c>
      <c r="BI115" s="69"/>
      <c r="BJ115" s="1709" t="str">
        <f t="shared" si="78"/>
        <v/>
      </c>
      <c r="BK115" s="69"/>
      <c r="BL115" s="1705">
        <f t="shared" si="79"/>
        <v>9</v>
      </c>
      <c r="BM115" s="69"/>
      <c r="BN115" s="1705">
        <f t="shared" si="80"/>
        <v>9</v>
      </c>
      <c r="BO115" s="69"/>
      <c r="BQ115" s="11"/>
      <c r="BR115" s="11"/>
      <c r="BS115" s="11"/>
      <c r="BT115" s="11"/>
      <c r="BU115" s="11"/>
    </row>
    <row r="116" ht="19.5" customHeight="1">
      <c r="A116" s="1109" t="str">
        <f t="shared" si="48"/>
        <v/>
      </c>
      <c r="B116" s="1719"/>
      <c r="C116" s="1948"/>
      <c r="D116" s="1136"/>
      <c r="E116" s="784" t="str">
        <f t="shared" si="49"/>
        <v/>
      </c>
      <c r="F116" s="1705" t="str">
        <f t="shared" si="50"/>
        <v/>
      </c>
      <c r="G116" s="69"/>
      <c r="H116" s="1705" t="str">
        <f t="shared" si="51"/>
        <v/>
      </c>
      <c r="I116" s="69"/>
      <c r="J116" s="1705" t="str">
        <f t="shared" si="52"/>
        <v/>
      </c>
      <c r="K116" s="69"/>
      <c r="L116" s="1705" t="str">
        <f t="shared" si="53"/>
        <v/>
      </c>
      <c r="M116" s="69"/>
      <c r="N116" s="1705" t="str">
        <f t="shared" si="54"/>
        <v/>
      </c>
      <c r="O116" s="69"/>
      <c r="P116" s="1709" t="str">
        <f t="shared" si="55"/>
        <v/>
      </c>
      <c r="Q116" s="69"/>
      <c r="R116" s="1705" t="str">
        <f t="shared" si="56"/>
        <v/>
      </c>
      <c r="S116" s="69"/>
      <c r="T116" s="1705" t="str">
        <f t="shared" si="57"/>
        <v/>
      </c>
      <c r="U116" s="69"/>
      <c r="V116" s="1705" t="str">
        <f t="shared" si="58"/>
        <v/>
      </c>
      <c r="W116" s="69"/>
      <c r="X116" s="1709" t="str">
        <f t="shared" si="59"/>
        <v/>
      </c>
      <c r="Y116" s="69"/>
      <c r="Z116" s="1705" t="str">
        <f t="shared" si="60"/>
        <v/>
      </c>
      <c r="AA116" s="69"/>
      <c r="AB116" s="1705" t="str">
        <f t="shared" si="61"/>
        <v/>
      </c>
      <c r="AC116" s="69"/>
      <c r="AD116" s="1705" t="str">
        <f t="shared" si="62"/>
        <v/>
      </c>
      <c r="AE116" s="69"/>
      <c r="AF116" s="1705" t="str">
        <f t="shared" si="63"/>
        <v/>
      </c>
      <c r="AG116" s="69"/>
      <c r="AH116" s="1705" t="str">
        <f t="shared" si="64"/>
        <v/>
      </c>
      <c r="AI116" s="69"/>
      <c r="AJ116" s="1705" t="str">
        <f t="shared" si="65"/>
        <v/>
      </c>
      <c r="AK116" s="69"/>
      <c r="AL116" s="1705" t="str">
        <f t="shared" si="66"/>
        <v/>
      </c>
      <c r="AM116" s="69"/>
      <c r="AN116" s="1705" t="str">
        <f t="shared" si="67"/>
        <v/>
      </c>
      <c r="AO116" s="69"/>
      <c r="AP116" s="1705" t="str">
        <f t="shared" si="68"/>
        <v/>
      </c>
      <c r="AQ116" s="69"/>
      <c r="AR116" s="1705" t="str">
        <f t="shared" si="69"/>
        <v/>
      </c>
      <c r="AS116" s="69"/>
      <c r="AT116" s="1705" t="str">
        <f t="shared" si="70"/>
        <v/>
      </c>
      <c r="AU116" s="69"/>
      <c r="AV116" s="1705" t="str">
        <f t="shared" si="71"/>
        <v/>
      </c>
      <c r="AW116" s="69"/>
      <c r="AX116" s="2110" t="str">
        <f t="shared" si="72"/>
        <v/>
      </c>
      <c r="AY116" s="69"/>
      <c r="AZ116" s="2110" t="str">
        <f t="shared" si="73"/>
        <v/>
      </c>
      <c r="BA116" s="69"/>
      <c r="BB116" s="1709" t="str">
        <f t="shared" si="74"/>
        <v/>
      </c>
      <c r="BC116" s="69"/>
      <c r="BD116" s="1709" t="str">
        <f t="shared" si="75"/>
        <v/>
      </c>
      <c r="BE116" s="69"/>
      <c r="BF116" s="1709" t="str">
        <f t="shared" si="76"/>
        <v/>
      </c>
      <c r="BG116" s="69"/>
      <c r="BH116" s="1709" t="str">
        <f t="shared" si="77"/>
        <v/>
      </c>
      <c r="BI116" s="69"/>
      <c r="BJ116" s="1709" t="str">
        <f t="shared" si="78"/>
        <v/>
      </c>
      <c r="BK116" s="69"/>
      <c r="BL116" s="1705" t="str">
        <f t="shared" si="79"/>
        <v/>
      </c>
      <c r="BM116" s="69"/>
      <c r="BN116" s="1705">
        <f t="shared" si="80"/>
        <v>0</v>
      </c>
      <c r="BO116" s="69"/>
      <c r="BQ116" s="11"/>
      <c r="BR116" s="11"/>
      <c r="BS116" s="11"/>
      <c r="BT116" s="11"/>
      <c r="BU116" s="11"/>
    </row>
    <row r="117" ht="19.5" customHeight="1">
      <c r="A117" s="1109" t="str">
        <f t="shared" si="48"/>
        <v>Да</v>
      </c>
      <c r="B117" s="1719">
        <v>4050.0</v>
      </c>
      <c r="C117" s="1948">
        <v>178.0</v>
      </c>
      <c r="D117" s="1136"/>
      <c r="E117" s="591" t="str">
        <f t="shared" si="49"/>
        <v>Клаб-сэндвич с курицей и беконом</v>
      </c>
      <c r="F117" s="1705">
        <f t="shared" si="50"/>
        <v>9</v>
      </c>
      <c r="G117" s="69"/>
      <c r="H117" s="1705">
        <f t="shared" si="51"/>
        <v>3</v>
      </c>
      <c r="I117" s="69"/>
      <c r="J117" s="1705">
        <f t="shared" si="52"/>
        <v>3</v>
      </c>
      <c r="K117" s="69"/>
      <c r="L117" s="1705">
        <f t="shared" si="53"/>
        <v>4</v>
      </c>
      <c r="M117" s="69"/>
      <c r="N117" s="1705">
        <f t="shared" si="54"/>
        <v>5</v>
      </c>
      <c r="O117" s="69"/>
      <c r="P117" s="1705">
        <f t="shared" si="55"/>
        <v>4</v>
      </c>
      <c r="Q117" s="69"/>
      <c r="R117" s="1705">
        <f t="shared" si="56"/>
        <v>3</v>
      </c>
      <c r="S117" s="69"/>
      <c r="T117" s="1705">
        <f t="shared" si="57"/>
        <v>3</v>
      </c>
      <c r="U117" s="69"/>
      <c r="V117" s="1705">
        <f t="shared" si="58"/>
        <v>5</v>
      </c>
      <c r="W117" s="69"/>
      <c r="X117" s="1705">
        <f t="shared" si="59"/>
        <v>4</v>
      </c>
      <c r="Y117" s="69"/>
      <c r="Z117" s="1705" t="str">
        <f t="shared" si="60"/>
        <v/>
      </c>
      <c r="AA117" s="69"/>
      <c r="AB117" s="1705">
        <f t="shared" si="61"/>
        <v>2</v>
      </c>
      <c r="AC117" s="69"/>
      <c r="AD117" s="1705">
        <f t="shared" si="62"/>
        <v>2</v>
      </c>
      <c r="AE117" s="69"/>
      <c r="AF117" s="1705">
        <f t="shared" si="63"/>
        <v>6</v>
      </c>
      <c r="AG117" s="69"/>
      <c r="AH117" s="1705">
        <f t="shared" si="64"/>
        <v>5</v>
      </c>
      <c r="AI117" s="69"/>
      <c r="AJ117" s="1705">
        <f t="shared" si="65"/>
        <v>3</v>
      </c>
      <c r="AK117" s="69"/>
      <c r="AL117" s="1705">
        <f t="shared" si="66"/>
        <v>5</v>
      </c>
      <c r="AM117" s="69"/>
      <c r="AN117" s="1705">
        <f t="shared" si="67"/>
        <v>8</v>
      </c>
      <c r="AO117" s="69"/>
      <c r="AP117" s="1705">
        <f t="shared" si="68"/>
        <v>4</v>
      </c>
      <c r="AQ117" s="69"/>
      <c r="AR117" s="1705">
        <f t="shared" si="69"/>
        <v>4</v>
      </c>
      <c r="AS117" s="69"/>
      <c r="AT117" s="1705">
        <f t="shared" si="70"/>
        <v>4</v>
      </c>
      <c r="AU117" s="69"/>
      <c r="AV117" s="1705">
        <f t="shared" si="71"/>
        <v>2</v>
      </c>
      <c r="AW117" s="69"/>
      <c r="AX117" s="1705">
        <f t="shared" si="72"/>
        <v>2</v>
      </c>
      <c r="AY117" s="69"/>
      <c r="AZ117" s="1705">
        <f t="shared" si="73"/>
        <v>4</v>
      </c>
      <c r="BA117" s="69"/>
      <c r="BB117" s="1705">
        <f t="shared" si="74"/>
        <v>4</v>
      </c>
      <c r="BC117" s="69"/>
      <c r="BD117" s="1705">
        <f t="shared" si="75"/>
        <v>3</v>
      </c>
      <c r="BE117" s="69"/>
      <c r="BF117" s="1705">
        <f t="shared" si="76"/>
        <v>4</v>
      </c>
      <c r="BG117" s="69"/>
      <c r="BH117" s="1705">
        <f t="shared" si="77"/>
        <v>2</v>
      </c>
      <c r="BI117" s="69"/>
      <c r="BJ117" s="1705">
        <f t="shared" si="78"/>
        <v>3</v>
      </c>
      <c r="BK117" s="69"/>
      <c r="BL117" s="1705" t="str">
        <f t="shared" si="79"/>
        <v/>
      </c>
      <c r="BM117" s="69"/>
      <c r="BN117" s="1705">
        <f t="shared" si="80"/>
        <v>110</v>
      </c>
      <c r="BO117" s="69"/>
      <c r="BQ117" s="11"/>
      <c r="BR117" s="11"/>
      <c r="BS117" s="11"/>
      <c r="BT117" s="11"/>
      <c r="BU117" s="11"/>
    </row>
    <row r="118" ht="19.5" customHeight="1">
      <c r="A118" s="1109" t="str">
        <f t="shared" si="48"/>
        <v>Да</v>
      </c>
      <c r="B118" s="1719">
        <v>5.0</v>
      </c>
      <c r="C118" s="1948">
        <v>155.0</v>
      </c>
      <c r="D118" s="1136"/>
      <c r="E118" s="784" t="str">
        <f t="shared" si="49"/>
        <v>Сэндвич с ветчиной и сыром</v>
      </c>
      <c r="F118" s="1705">
        <f t="shared" si="50"/>
        <v>11</v>
      </c>
      <c r="G118" s="69"/>
      <c r="H118" s="1705">
        <f t="shared" si="51"/>
        <v>3</v>
      </c>
      <c r="I118" s="69"/>
      <c r="J118" s="1705">
        <f t="shared" si="52"/>
        <v>3</v>
      </c>
      <c r="K118" s="69"/>
      <c r="L118" s="1705">
        <f t="shared" si="53"/>
        <v>4</v>
      </c>
      <c r="M118" s="69"/>
      <c r="N118" s="1705">
        <f t="shared" si="54"/>
        <v>2</v>
      </c>
      <c r="O118" s="69"/>
      <c r="P118" s="1705">
        <f t="shared" si="55"/>
        <v>5</v>
      </c>
      <c r="Q118" s="69"/>
      <c r="R118" s="1705">
        <f t="shared" si="56"/>
        <v>3</v>
      </c>
      <c r="S118" s="69"/>
      <c r="T118" s="1705">
        <f t="shared" si="57"/>
        <v>4</v>
      </c>
      <c r="U118" s="69"/>
      <c r="V118" s="1705">
        <f t="shared" si="58"/>
        <v>4</v>
      </c>
      <c r="W118" s="69"/>
      <c r="X118" s="1705">
        <f t="shared" si="59"/>
        <v>6</v>
      </c>
      <c r="Y118" s="69"/>
      <c r="Z118" s="1705" t="str">
        <f t="shared" si="60"/>
        <v/>
      </c>
      <c r="AA118" s="69"/>
      <c r="AB118" s="1705">
        <f t="shared" si="61"/>
        <v>6</v>
      </c>
      <c r="AC118" s="69"/>
      <c r="AD118" s="1705">
        <f t="shared" si="62"/>
        <v>4</v>
      </c>
      <c r="AE118" s="69"/>
      <c r="AF118" s="1705">
        <f t="shared" si="63"/>
        <v>9</v>
      </c>
      <c r="AG118" s="69"/>
      <c r="AH118" s="1705">
        <f t="shared" si="64"/>
        <v>6</v>
      </c>
      <c r="AI118" s="69"/>
      <c r="AJ118" s="1705">
        <f t="shared" si="65"/>
        <v>3</v>
      </c>
      <c r="AK118" s="69"/>
      <c r="AL118" s="1705">
        <f t="shared" si="66"/>
        <v>2</v>
      </c>
      <c r="AM118" s="69"/>
      <c r="AN118" s="1705">
        <f t="shared" si="67"/>
        <v>8</v>
      </c>
      <c r="AO118" s="69"/>
      <c r="AP118" s="1705">
        <f t="shared" si="68"/>
        <v>4</v>
      </c>
      <c r="AQ118" s="69"/>
      <c r="AR118" s="1705">
        <f t="shared" si="69"/>
        <v>8</v>
      </c>
      <c r="AS118" s="69"/>
      <c r="AT118" s="1705">
        <f t="shared" si="70"/>
        <v>5</v>
      </c>
      <c r="AU118" s="69"/>
      <c r="AV118" s="1705">
        <f t="shared" si="71"/>
        <v>3</v>
      </c>
      <c r="AW118" s="69"/>
      <c r="AX118" s="1705">
        <f t="shared" si="72"/>
        <v>7</v>
      </c>
      <c r="AY118" s="69"/>
      <c r="AZ118" s="1705">
        <f t="shared" si="73"/>
        <v>5</v>
      </c>
      <c r="BA118" s="69"/>
      <c r="BB118" s="1705">
        <f t="shared" si="74"/>
        <v>5</v>
      </c>
      <c r="BC118" s="69"/>
      <c r="BD118" s="1705">
        <f t="shared" si="75"/>
        <v>2</v>
      </c>
      <c r="BE118" s="69"/>
      <c r="BF118" s="1705">
        <f t="shared" si="76"/>
        <v>5</v>
      </c>
      <c r="BG118" s="69"/>
      <c r="BH118" s="1705">
        <f t="shared" si="77"/>
        <v>3</v>
      </c>
      <c r="BI118" s="69"/>
      <c r="BJ118" s="1705">
        <f t="shared" si="78"/>
        <v>3</v>
      </c>
      <c r="BK118" s="69"/>
      <c r="BL118" s="1705" t="str">
        <f t="shared" si="79"/>
        <v/>
      </c>
      <c r="BM118" s="69"/>
      <c r="BN118" s="1705">
        <f t="shared" si="80"/>
        <v>133</v>
      </c>
      <c r="BO118" s="69"/>
      <c r="BQ118" s="1373"/>
      <c r="BR118" s="1373"/>
      <c r="BS118" s="1373"/>
      <c r="BT118" s="1373"/>
      <c r="BU118" s="1373"/>
    </row>
    <row r="119" ht="19.5" customHeight="1">
      <c r="A119" s="1109" t="str">
        <f>A91</f>
        <v/>
      </c>
      <c r="B119" s="1719"/>
      <c r="C119" s="1948"/>
      <c r="D119" s="1136"/>
      <c r="E119" s="784" t="str">
        <f>E91</f>
        <v/>
      </c>
      <c r="F119" s="1705" t="str">
        <f>G91</f>
        <v/>
      </c>
      <c r="G119" s="69"/>
      <c r="H119" s="1705" t="str">
        <f>I91</f>
        <v/>
      </c>
      <c r="I119" s="69"/>
      <c r="J119" s="1705" t="str">
        <f>K91</f>
        <v/>
      </c>
      <c r="K119" s="69"/>
      <c r="L119" s="1705" t="str">
        <f>M91</f>
        <v/>
      </c>
      <c r="M119" s="69"/>
      <c r="N119" s="1705" t="str">
        <f>O91</f>
        <v/>
      </c>
      <c r="O119" s="69"/>
      <c r="P119" s="1709" t="str">
        <f>Q91</f>
        <v/>
      </c>
      <c r="Q119" s="69"/>
      <c r="R119" s="1705" t="str">
        <f>S91</f>
        <v/>
      </c>
      <c r="S119" s="69"/>
      <c r="T119" s="1705"/>
      <c r="U119" s="69"/>
      <c r="V119" s="1705" t="str">
        <f>W91</f>
        <v/>
      </c>
      <c r="W119" s="69"/>
      <c r="X119" s="1709" t="str">
        <f>Y91</f>
        <v/>
      </c>
      <c r="Y119" s="69"/>
      <c r="Z119" s="1705" t="str">
        <f>AA91</f>
        <v/>
      </c>
      <c r="AA119" s="69"/>
      <c r="AB119" s="1705" t="str">
        <f>AC91</f>
        <v/>
      </c>
      <c r="AC119" s="69"/>
      <c r="AD119" s="1705" t="str">
        <f>AE91</f>
        <v/>
      </c>
      <c r="AE119" s="69"/>
      <c r="AF119" s="1705" t="str">
        <f>AG91</f>
        <v/>
      </c>
      <c r="AG119" s="69"/>
      <c r="AH119" s="1705" t="str">
        <f>AI91</f>
        <v/>
      </c>
      <c r="AI119" s="69"/>
      <c r="AJ119" s="1705" t="str">
        <f>AK91</f>
        <v/>
      </c>
      <c r="AK119" s="69"/>
      <c r="AL119" s="1705" t="str">
        <f>AM91</f>
        <v/>
      </c>
      <c r="AM119" s="69"/>
      <c r="AN119" s="1705" t="str">
        <f>AO91</f>
        <v/>
      </c>
      <c r="AO119" s="69"/>
      <c r="AP119" s="1705" t="str">
        <f>AQ91</f>
        <v/>
      </c>
      <c r="AQ119" s="69"/>
      <c r="AR119" s="1705" t="str">
        <f>AS91</f>
        <v/>
      </c>
      <c r="AS119" s="69"/>
      <c r="AT119" s="1705" t="str">
        <f>AU91</f>
        <v/>
      </c>
      <c r="AU119" s="69"/>
      <c r="AV119" s="1705" t="str">
        <f>AW91</f>
        <v/>
      </c>
      <c r="AW119" s="69"/>
      <c r="AX119" s="2110" t="str">
        <f>AY91</f>
        <v/>
      </c>
      <c r="AY119" s="69"/>
      <c r="AZ119" s="2110" t="str">
        <f>BA91</f>
        <v/>
      </c>
      <c r="BA119" s="69"/>
      <c r="BB119" s="1709" t="str">
        <f>BC91</f>
        <v/>
      </c>
      <c r="BC119" s="69"/>
      <c r="BD119" s="1709" t="str">
        <f>BE91</f>
        <v/>
      </c>
      <c r="BE119" s="69"/>
      <c r="BF119" s="1709" t="str">
        <f>BG91</f>
        <v/>
      </c>
      <c r="BG119" s="69"/>
      <c r="BH119" s="1709" t="str">
        <f>BI91</f>
        <v/>
      </c>
      <c r="BI119" s="69"/>
      <c r="BJ119" s="1709"/>
      <c r="BK119" s="69"/>
      <c r="BL119" s="1705" t="str">
        <f>BM91</f>
        <v/>
      </c>
      <c r="BM119" s="69"/>
      <c r="BN119" s="1705">
        <f t="shared" si="80"/>
        <v>0</v>
      </c>
      <c r="BO119" s="69"/>
      <c r="BQ119" s="1373"/>
      <c r="BR119" s="1373"/>
      <c r="BS119" s="1373"/>
      <c r="BT119" s="1373"/>
      <c r="BU119" s="1373"/>
    </row>
    <row r="120" ht="19.5" customHeight="1">
      <c r="A120" s="1109" t="str">
        <f>A90</f>
        <v>Да</v>
      </c>
      <c r="B120" s="1719">
        <v>3996.0</v>
      </c>
      <c r="C120" s="1948">
        <v>98.0</v>
      </c>
      <c r="D120" s="1136"/>
      <c r="E120" s="784" t="str">
        <f>E90</f>
        <v>Морс вишневый 0,5 л</v>
      </c>
      <c r="F120" s="1705">
        <f>G90</f>
        <v>10</v>
      </c>
      <c r="G120" s="69"/>
      <c r="H120" s="1705">
        <f>I90</f>
        <v>0</v>
      </c>
      <c r="I120" s="69"/>
      <c r="J120" s="1705">
        <f>K90</f>
        <v>6</v>
      </c>
      <c r="K120" s="69"/>
      <c r="L120" s="1705">
        <f>M90</f>
        <v>5</v>
      </c>
      <c r="M120" s="69"/>
      <c r="N120" s="1705">
        <f>O90</f>
        <v>5</v>
      </c>
      <c r="O120" s="69"/>
      <c r="P120" s="1705">
        <f>Q90</f>
        <v>8</v>
      </c>
      <c r="Q120" s="69"/>
      <c r="R120" s="1705">
        <f>S90</f>
        <v>0</v>
      </c>
      <c r="S120" s="69"/>
      <c r="T120" s="1705">
        <f>U90</f>
        <v>0</v>
      </c>
      <c r="U120" s="69"/>
      <c r="V120" s="1705">
        <f>W90</f>
        <v>0</v>
      </c>
      <c r="W120" s="69"/>
      <c r="X120" s="1705">
        <f>Y90</f>
        <v>5</v>
      </c>
      <c r="Y120" s="69"/>
      <c r="Z120" s="1705" t="str">
        <f>AA90</f>
        <v/>
      </c>
      <c r="AA120" s="69"/>
      <c r="AB120" s="1705">
        <f>AC90</f>
        <v>0</v>
      </c>
      <c r="AC120" s="69"/>
      <c r="AD120" s="1705">
        <f>AE90</f>
        <v>0</v>
      </c>
      <c r="AE120" s="69"/>
      <c r="AF120" s="1705">
        <f>AG90</f>
        <v>5</v>
      </c>
      <c r="AG120" s="69"/>
      <c r="AH120" s="1705">
        <f>AI90</f>
        <v>5</v>
      </c>
      <c r="AI120" s="69"/>
      <c r="AJ120" s="1705">
        <f>AK90</f>
        <v>0</v>
      </c>
      <c r="AK120" s="69"/>
      <c r="AL120" s="1705">
        <f>AM90</f>
        <v>0</v>
      </c>
      <c r="AM120" s="69"/>
      <c r="AN120" s="1705">
        <f>AO90</f>
        <v>8</v>
      </c>
      <c r="AO120" s="69"/>
      <c r="AP120" s="1705">
        <f>AQ90</f>
        <v>0</v>
      </c>
      <c r="AQ120" s="69"/>
      <c r="AR120" s="1705">
        <f>AS90</f>
        <v>23</v>
      </c>
      <c r="AS120" s="69"/>
      <c r="AT120" s="1705">
        <f>AU90</f>
        <v>5</v>
      </c>
      <c r="AU120" s="69"/>
      <c r="AV120" s="1705">
        <f>AW90</f>
        <v>6</v>
      </c>
      <c r="AW120" s="69"/>
      <c r="AX120" s="1705">
        <f>AY90</f>
        <v>8</v>
      </c>
      <c r="AY120" s="69"/>
      <c r="AZ120" s="1705">
        <f>BA90</f>
        <v>0</v>
      </c>
      <c r="BA120" s="69"/>
      <c r="BB120" s="1705">
        <f>BC90</f>
        <v>10</v>
      </c>
      <c r="BC120" s="69"/>
      <c r="BD120" s="1705">
        <f>BE90</f>
        <v>10</v>
      </c>
      <c r="BE120" s="69"/>
      <c r="BF120" s="1705">
        <f>BG90</f>
        <v>17</v>
      </c>
      <c r="BG120" s="69"/>
      <c r="BH120" s="1705">
        <f>BI90</f>
        <v>7</v>
      </c>
      <c r="BI120" s="69"/>
      <c r="BJ120" s="1705">
        <f>BK90</f>
        <v>9</v>
      </c>
      <c r="BK120" s="69"/>
      <c r="BL120" s="1705" t="str">
        <f>BM90</f>
        <v/>
      </c>
      <c r="BM120" s="69"/>
      <c r="BN120" s="1705">
        <f t="shared" si="80"/>
        <v>152</v>
      </c>
      <c r="BO120" s="69"/>
      <c r="BQ120" s="1373"/>
      <c r="BR120" s="1373"/>
      <c r="BS120" s="1373"/>
      <c r="BT120" s="1373"/>
      <c r="BU120" s="1373"/>
    </row>
    <row r="121" ht="19.5" customHeight="1">
      <c r="A121" s="1109" t="str">
        <f t="shared" ref="A121:A122" si="81">A92</f>
        <v>Да</v>
      </c>
      <c r="B121" s="1719">
        <v>822.0</v>
      </c>
      <c r="C121" s="1948">
        <v>5.0</v>
      </c>
      <c r="D121" s="1136"/>
      <c r="E121" s="784" t="str">
        <f t="shared" ref="E121:E122" si="82">E92</f>
        <v>Хлеб пшеничный</v>
      </c>
      <c r="F121" s="1705">
        <f>G92</f>
        <v>5</v>
      </c>
      <c r="G121" s="69"/>
      <c r="H121" s="1705">
        <f>I92</f>
        <v>2</v>
      </c>
      <c r="I121" s="69"/>
      <c r="J121" s="1705">
        <f>K92</f>
        <v>2</v>
      </c>
      <c r="K121" s="69"/>
      <c r="L121" s="1705">
        <f>M92</f>
        <v>3</v>
      </c>
      <c r="M121" s="69"/>
      <c r="N121" s="1705">
        <f>O92</f>
        <v>3</v>
      </c>
      <c r="O121" s="69"/>
      <c r="P121" s="1709">
        <f>Q92</f>
        <v>4</v>
      </c>
      <c r="Q121" s="69"/>
      <c r="R121" s="1705">
        <f>S92</f>
        <v>3</v>
      </c>
      <c r="S121" s="69"/>
      <c r="T121" s="1705">
        <f>U92</f>
        <v>3</v>
      </c>
      <c r="U121" s="69"/>
      <c r="V121" s="1705">
        <f>W92</f>
        <v>5</v>
      </c>
      <c r="W121" s="69"/>
      <c r="X121" s="1709">
        <f>Y92</f>
        <v>3</v>
      </c>
      <c r="Y121" s="69"/>
      <c r="Z121" s="1705" t="str">
        <f>AA92</f>
        <v/>
      </c>
      <c r="AA121" s="69"/>
      <c r="AB121" s="1705">
        <f>AC92</f>
        <v>3</v>
      </c>
      <c r="AC121" s="69"/>
      <c r="AD121" s="1705">
        <f>AE92</f>
        <v>3</v>
      </c>
      <c r="AE121" s="69"/>
      <c r="AF121" s="1705">
        <f>AG92</f>
        <v>3</v>
      </c>
      <c r="AG121" s="69"/>
      <c r="AH121" s="1705">
        <f>AI92</f>
        <v>3</v>
      </c>
      <c r="AI121" s="69"/>
      <c r="AJ121" s="1705">
        <f>AK92</f>
        <v>3</v>
      </c>
      <c r="AK121" s="69"/>
      <c r="AL121" s="1705">
        <f>AM92</f>
        <v>3</v>
      </c>
      <c r="AM121" s="69"/>
      <c r="AN121" s="1705" t="str">
        <f>AO92</f>
        <v/>
      </c>
      <c r="AO121" s="69"/>
      <c r="AP121" s="1705">
        <f>AQ92</f>
        <v>3</v>
      </c>
      <c r="AQ121" s="69"/>
      <c r="AR121" s="1705" t="str">
        <f>AS92</f>
        <v/>
      </c>
      <c r="AS121" s="69"/>
      <c r="AT121" s="1705">
        <f>AU92</f>
        <v>3</v>
      </c>
      <c r="AU121" s="69"/>
      <c r="AV121" s="1705">
        <f>AW92</f>
        <v>3</v>
      </c>
      <c r="AW121" s="69"/>
      <c r="AX121" s="2110">
        <f>AY92</f>
        <v>3</v>
      </c>
      <c r="AY121" s="69"/>
      <c r="AZ121" s="2110">
        <f>BA92</f>
        <v>12</v>
      </c>
      <c r="BA121" s="69"/>
      <c r="BB121" s="1709">
        <f>BC92</f>
        <v>3</v>
      </c>
      <c r="BC121" s="69"/>
      <c r="BD121" s="1709" t="str">
        <f>BE92</f>
        <v/>
      </c>
      <c r="BE121" s="69"/>
      <c r="BF121" s="1709">
        <f>BG92</f>
        <v>3</v>
      </c>
      <c r="BG121" s="69"/>
      <c r="BH121" s="1709">
        <f>BI92</f>
        <v>6</v>
      </c>
      <c r="BI121" s="69"/>
      <c r="BJ121" s="1709">
        <f>BK92</f>
        <v>3</v>
      </c>
      <c r="BK121" s="69"/>
      <c r="BL121" s="1705" t="str">
        <f>BM92</f>
        <v/>
      </c>
      <c r="BM121" s="69"/>
      <c r="BN121" s="1705">
        <f t="shared" si="80"/>
        <v>90</v>
      </c>
      <c r="BO121" s="69"/>
      <c r="BQ121" s="195"/>
      <c r="BR121" s="195"/>
      <c r="BS121" s="195"/>
      <c r="BT121" s="195"/>
      <c r="BU121" s="195"/>
    </row>
    <row r="122" ht="19.5" customHeight="1">
      <c r="A122" s="1109" t="str">
        <f t="shared" si="81"/>
        <v/>
      </c>
      <c r="B122" s="2196"/>
      <c r="C122" s="1948"/>
      <c r="D122" s="1136"/>
      <c r="E122" s="1109" t="str">
        <f t="shared" si="82"/>
        <v/>
      </c>
      <c r="F122" s="1705">
        <f>SUM(F98:G121)</f>
        <v>100</v>
      </c>
      <c r="G122" s="69"/>
      <c r="H122" s="1705">
        <f>SUM(H98:I121)</f>
        <v>47</v>
      </c>
      <c r="I122" s="69"/>
      <c r="J122" s="1705">
        <f>SUM(J98:K121)</f>
        <v>52</v>
      </c>
      <c r="K122" s="69"/>
      <c r="L122" s="1705">
        <f>SUM(L98:M121)</f>
        <v>64</v>
      </c>
      <c r="M122" s="69"/>
      <c r="N122" s="1705">
        <f>SUM(N98:O121)</f>
        <v>106</v>
      </c>
      <c r="O122" s="69"/>
      <c r="P122" s="1705">
        <f>SUM(P98:Q121)</f>
        <v>93</v>
      </c>
      <c r="Q122" s="69"/>
      <c r="R122" s="1705">
        <f>SUM(R98:S121)</f>
        <v>45</v>
      </c>
      <c r="S122" s="69"/>
      <c r="T122" s="1705">
        <f>SUM(T98:U121)</f>
        <v>51</v>
      </c>
      <c r="U122" s="69"/>
      <c r="V122" s="1705">
        <f>SUM(V98:W121)</f>
        <v>59</v>
      </c>
      <c r="W122" s="69"/>
      <c r="X122" s="1705">
        <f>SUM(X98:Y121)</f>
        <v>51</v>
      </c>
      <c r="Y122" s="69"/>
      <c r="Z122" s="1705">
        <f>SUM(Z98:AA121)</f>
        <v>0</v>
      </c>
      <c r="AA122" s="69"/>
      <c r="AB122" s="1705">
        <f>SUM(AB98:AC121)</f>
        <v>47</v>
      </c>
      <c r="AC122" s="69"/>
      <c r="AD122" s="1705">
        <f>SUM(AD98:AE121)</f>
        <v>48</v>
      </c>
      <c r="AE122" s="69"/>
      <c r="AF122" s="1705">
        <f>SUM(AF98:AG121)</f>
        <v>74</v>
      </c>
      <c r="AG122" s="69"/>
      <c r="AH122" s="1705">
        <f>SUM(AH98:AI121)</f>
        <v>76</v>
      </c>
      <c r="AI122" s="69"/>
      <c r="AJ122" s="1705">
        <f>SUM(AJ98:AK121)</f>
        <v>51</v>
      </c>
      <c r="AK122" s="69"/>
      <c r="AL122" s="1705">
        <f>SUM(AL98:AM121)</f>
        <v>42</v>
      </c>
      <c r="AM122" s="69"/>
      <c r="AN122" s="1705">
        <f>SUM(AN98:AO121)</f>
        <v>90</v>
      </c>
      <c r="AO122" s="69"/>
      <c r="AP122" s="1705">
        <f>SUM(AP98:AQ121)</f>
        <v>41</v>
      </c>
      <c r="AQ122" s="69"/>
      <c r="AR122" s="1705">
        <f>SUM(AR98:AS121)</f>
        <v>115</v>
      </c>
      <c r="AS122" s="69"/>
      <c r="AT122" s="1705">
        <f>SUM(AT98:AU121)</f>
        <v>67</v>
      </c>
      <c r="AU122" s="69"/>
      <c r="AV122" s="1705">
        <f>SUM(AV98:AW121)</f>
        <v>53</v>
      </c>
      <c r="AW122" s="69"/>
      <c r="AX122" s="1705">
        <f>SUM(AX98:AY121)</f>
        <v>85</v>
      </c>
      <c r="AY122" s="69"/>
      <c r="AZ122" s="1705">
        <f>SUM(AZ98:BA121)</f>
        <v>57</v>
      </c>
      <c r="BA122" s="69"/>
      <c r="BB122" s="1705">
        <f>SUM(BB98:BC121)</f>
        <v>52</v>
      </c>
      <c r="BC122" s="69"/>
      <c r="BD122" s="1705">
        <f>SUM(BD98:BE121)</f>
        <v>42</v>
      </c>
      <c r="BE122" s="69"/>
      <c r="BF122" s="1705">
        <f>SUM(BF98:BG121)</f>
        <v>75</v>
      </c>
      <c r="BG122" s="69"/>
      <c r="BH122" s="1705">
        <f>SUM(BH98:BI121)</f>
        <v>62</v>
      </c>
      <c r="BI122" s="69"/>
      <c r="BJ122" s="1705">
        <f>SUM(BJ98:BK121)</f>
        <v>71</v>
      </c>
      <c r="BK122" s="69"/>
      <c r="BL122" s="1705">
        <f>SUM(BL98:BM121)</f>
        <v>389</v>
      </c>
      <c r="BM122" s="69"/>
      <c r="BN122" s="2197"/>
      <c r="BO122" s="2197"/>
      <c r="BQ122" s="195"/>
      <c r="BR122" s="195"/>
      <c r="BS122" s="195"/>
      <c r="BT122" s="195"/>
      <c r="BU122" s="195"/>
    </row>
    <row r="123" ht="15.75" customHeight="1">
      <c r="A123" s="1004"/>
      <c r="B123" s="2041"/>
      <c r="C123" s="2042"/>
      <c r="D123" s="2042"/>
      <c r="E123" s="1193"/>
      <c r="F123" s="13"/>
      <c r="G123" s="677"/>
      <c r="H123" s="13"/>
      <c r="I123" s="677"/>
      <c r="J123" s="13"/>
      <c r="K123" s="677"/>
      <c r="L123" s="13"/>
      <c r="M123" s="677"/>
      <c r="N123" s="13"/>
      <c r="O123" s="13"/>
      <c r="P123" s="13"/>
      <c r="Q123" s="677"/>
      <c r="V123" s="1189"/>
      <c r="X123" s="1189"/>
      <c r="Z123" s="1190"/>
      <c r="AB123" s="1190"/>
      <c r="AH123" s="701"/>
      <c r="AJ123" s="701"/>
      <c r="BB123" s="1190"/>
      <c r="BD123" s="1190"/>
      <c r="BF123" s="1190"/>
      <c r="BH123" s="1190"/>
      <c r="BJ123" s="1190"/>
      <c r="BL123" s="1269" t="s">
        <v>1365</v>
      </c>
      <c r="BN123" s="1374">
        <f>SUM(BN98:BN121)</f>
        <v>2205</v>
      </c>
      <c r="BQ123" s="195"/>
      <c r="BR123" s="195"/>
      <c r="BS123" s="195"/>
      <c r="BT123" s="195"/>
      <c r="BU123" s="195"/>
    </row>
    <row r="124" ht="15.75" customHeight="1">
      <c r="A124" s="1004"/>
      <c r="B124" s="2041"/>
      <c r="C124" s="2042"/>
      <c r="D124" s="2042"/>
      <c r="E124" s="1193"/>
      <c r="F124" s="1007"/>
      <c r="G124" s="677"/>
      <c r="H124" s="1007"/>
      <c r="I124" s="677"/>
      <c r="J124" s="1007"/>
      <c r="K124" s="677"/>
      <c r="L124" s="1007"/>
      <c r="M124" s="677"/>
      <c r="N124" s="1007"/>
      <c r="O124" s="13"/>
      <c r="P124" s="1007"/>
      <c r="Q124" s="677"/>
      <c r="V124" s="1012"/>
      <c r="X124" s="1012"/>
      <c r="Z124" s="63"/>
      <c r="AB124" s="63"/>
      <c r="AH124" s="1014"/>
      <c r="AJ124" s="1014"/>
      <c r="BB124" s="1190"/>
      <c r="BD124" s="1190"/>
      <c r="BF124" s="1190"/>
      <c r="BH124" s="1190"/>
      <c r="BJ124" s="1190"/>
      <c r="BN124" s="206"/>
      <c r="BO124" s="206"/>
      <c r="BP124" s="206"/>
      <c r="BQ124" s="195"/>
      <c r="BR124" s="195"/>
      <c r="BS124" s="195"/>
      <c r="BT124" s="195"/>
      <c r="BU124" s="195"/>
    </row>
    <row r="125" ht="15.75" customHeight="1">
      <c r="A125" s="1937" t="s">
        <v>1279</v>
      </c>
      <c r="B125" s="1548"/>
      <c r="C125" s="1938"/>
      <c r="D125" s="1938">
        <v>46252.0</v>
      </c>
      <c r="E125" s="1939" t="s">
        <v>3130</v>
      </c>
      <c r="F125" s="2198"/>
      <c r="G125" s="2199"/>
      <c r="H125" s="2200"/>
      <c r="I125" s="1601"/>
      <c r="J125" s="1025"/>
      <c r="K125" s="1601"/>
      <c r="L125" s="1025"/>
      <c r="M125" s="1601"/>
      <c r="N125" s="1025"/>
      <c r="O125" s="1555"/>
      <c r="P125" s="1025"/>
      <c r="Q125" s="2201"/>
      <c r="R125" s="1596"/>
      <c r="S125" s="1596"/>
      <c r="T125" s="1597"/>
      <c r="U125" s="1596"/>
      <c r="V125" s="1597"/>
      <c r="W125" s="1596"/>
      <c r="X125" s="1597"/>
      <c r="Y125" s="1596"/>
      <c r="Z125" s="1597"/>
      <c r="AA125" s="1596"/>
      <c r="AB125" s="1597"/>
      <c r="AC125" s="1596"/>
      <c r="AD125" s="1597"/>
      <c r="AE125" s="1596"/>
      <c r="AF125" s="1597"/>
      <c r="AG125" s="1597"/>
      <c r="AH125" s="1597"/>
      <c r="AI125" s="1596"/>
      <c r="AJ125" s="1597"/>
      <c r="AK125" s="1596"/>
      <c r="AL125" s="1597"/>
      <c r="AM125" s="1596"/>
      <c r="AN125" s="1597"/>
      <c r="AO125" s="1597"/>
      <c r="AP125" s="1597"/>
      <c r="AQ125" s="1597"/>
      <c r="AR125" s="1597"/>
      <c r="AS125" s="1597"/>
      <c r="AT125" s="1597"/>
      <c r="AU125" s="1596"/>
      <c r="AV125" s="1597"/>
      <c r="AW125" s="1596"/>
      <c r="AX125" s="1597"/>
      <c r="AY125" s="1596"/>
      <c r="AZ125" s="1597"/>
      <c r="BA125" s="1596"/>
      <c r="BB125" s="1552"/>
      <c r="BC125" s="1596"/>
      <c r="BD125" s="1552"/>
      <c r="BE125" s="1596"/>
      <c r="BF125" s="1552"/>
      <c r="BG125" s="1596"/>
      <c r="BH125" s="1552"/>
      <c r="BI125" s="1596"/>
      <c r="BJ125" s="1552"/>
      <c r="BK125" s="1596"/>
      <c r="BL125" s="1596"/>
      <c r="BM125" s="1596"/>
      <c r="BN125" s="1599"/>
      <c r="BO125" s="1599"/>
      <c r="BP125" s="1599"/>
      <c r="BQ125" s="2056"/>
      <c r="BR125" s="2056"/>
      <c r="BS125" s="2056"/>
      <c r="BT125" s="2057"/>
      <c r="BU125" s="2057"/>
    </row>
    <row r="126" ht="15.75" customHeight="1">
      <c r="A126" s="1693" t="s">
        <v>3069</v>
      </c>
      <c r="B126" s="1971" t="s">
        <v>1283</v>
      </c>
      <c r="C126" s="1972" t="s">
        <v>19</v>
      </c>
      <c r="D126" s="1972" t="s">
        <v>473</v>
      </c>
      <c r="E126" s="1073" t="s">
        <v>471</v>
      </c>
      <c r="F126" s="1075" t="s">
        <v>1357</v>
      </c>
      <c r="G126" s="1409" t="s">
        <v>3071</v>
      </c>
      <c r="H126" s="1075" t="s">
        <v>1287</v>
      </c>
      <c r="I126" s="1409" t="s">
        <v>1288</v>
      </c>
      <c r="J126" s="1075" t="s">
        <v>1358</v>
      </c>
      <c r="K126" s="1409" t="s">
        <v>3072</v>
      </c>
      <c r="L126" s="1075" t="s">
        <v>1359</v>
      </c>
      <c r="M126" s="1409" t="s">
        <v>3073</v>
      </c>
      <c r="N126" s="1075" t="s">
        <v>1360</v>
      </c>
      <c r="O126" s="1409" t="s">
        <v>3074</v>
      </c>
      <c r="P126" s="1075" t="s">
        <v>1361</v>
      </c>
      <c r="Q126" s="1409" t="s">
        <v>3075</v>
      </c>
      <c r="R126" s="1485" t="s">
        <v>1362</v>
      </c>
      <c r="S126" s="1560" t="s">
        <v>1298</v>
      </c>
      <c r="T126" s="1427" t="s">
        <v>1299</v>
      </c>
      <c r="U126" s="1560" t="s">
        <v>1300</v>
      </c>
      <c r="V126" s="1487" t="s">
        <v>1301</v>
      </c>
      <c r="W126" s="1560" t="s">
        <v>1302</v>
      </c>
      <c r="X126" s="1427" t="s">
        <v>1363</v>
      </c>
      <c r="Y126" s="1560" t="s">
        <v>1304</v>
      </c>
      <c r="Z126" s="1487" t="s">
        <v>1305</v>
      </c>
      <c r="AA126" s="1560" t="s">
        <v>1306</v>
      </c>
      <c r="AB126" s="1487" t="s">
        <v>1307</v>
      </c>
      <c r="AC126" s="1560" t="s">
        <v>1308</v>
      </c>
      <c r="AD126" s="1487" t="s">
        <v>1309</v>
      </c>
      <c r="AE126" s="1560" t="s">
        <v>1310</v>
      </c>
      <c r="AF126" s="1427" t="s">
        <v>1311</v>
      </c>
      <c r="AG126" s="1560" t="s">
        <v>1312</v>
      </c>
      <c r="AH126" s="1487" t="s">
        <v>1313</v>
      </c>
      <c r="AI126" s="1560" t="s">
        <v>1314</v>
      </c>
      <c r="AJ126" s="1487" t="s">
        <v>1315</v>
      </c>
      <c r="AK126" s="1560" t="s">
        <v>1316</v>
      </c>
      <c r="AL126" s="1487" t="s">
        <v>1317</v>
      </c>
      <c r="AM126" s="1560" t="s">
        <v>1318</v>
      </c>
      <c r="AN126" s="1487" t="s">
        <v>1319</v>
      </c>
      <c r="AO126" s="1560" t="s">
        <v>1320</v>
      </c>
      <c r="AP126" s="1487" t="s">
        <v>1321</v>
      </c>
      <c r="AQ126" s="1486" t="s">
        <v>1322</v>
      </c>
      <c r="AR126" s="1427" t="s">
        <v>1323</v>
      </c>
      <c r="AS126" s="1486" t="s">
        <v>1324</v>
      </c>
      <c r="AT126" s="1485" t="s">
        <v>1325</v>
      </c>
      <c r="AU126" s="1486" t="s">
        <v>1326</v>
      </c>
      <c r="AV126" s="1485" t="s">
        <v>1327</v>
      </c>
      <c r="AW126" s="1486" t="s">
        <v>1328</v>
      </c>
      <c r="AX126" s="1485" t="s">
        <v>3076</v>
      </c>
      <c r="AY126" s="1486" t="s">
        <v>3077</v>
      </c>
      <c r="AZ126" s="1485" t="s">
        <v>3078</v>
      </c>
      <c r="BA126" s="1486" t="s">
        <v>3079</v>
      </c>
      <c r="BB126" s="1485" t="s">
        <v>3080</v>
      </c>
      <c r="BC126" s="1486" t="s">
        <v>3081</v>
      </c>
      <c r="BD126" s="1485" t="s">
        <v>3082</v>
      </c>
      <c r="BE126" s="1486" t="s">
        <v>3083</v>
      </c>
      <c r="BF126" s="1485" t="s">
        <v>3084</v>
      </c>
      <c r="BG126" s="1486" t="s">
        <v>3085</v>
      </c>
      <c r="BH126" s="1485" t="s">
        <v>3086</v>
      </c>
      <c r="BI126" s="1486" t="s">
        <v>3087</v>
      </c>
      <c r="BJ126" s="1485" t="s">
        <v>3088</v>
      </c>
      <c r="BK126" s="1486" t="s">
        <v>3089</v>
      </c>
      <c r="BL126" s="1946" t="s">
        <v>1425</v>
      </c>
      <c r="BM126" s="1947" t="s">
        <v>3045</v>
      </c>
      <c r="BN126" s="2202" t="s">
        <v>3090</v>
      </c>
      <c r="BO126" s="2203" t="s">
        <v>3091</v>
      </c>
      <c r="BP126" s="1072" t="s">
        <v>1331</v>
      </c>
      <c r="BQ126" s="1168" t="s">
        <v>3092</v>
      </c>
      <c r="BR126" s="1075" t="s">
        <v>3093</v>
      </c>
      <c r="BS126" s="1075" t="s">
        <v>3094</v>
      </c>
      <c r="BT126" s="547"/>
      <c r="BU126" s="547"/>
    </row>
    <row r="127" ht="21.0" customHeight="1">
      <c r="A127" s="1565" t="s">
        <v>145</v>
      </c>
      <c r="B127" s="1259">
        <v>3196.0</v>
      </c>
      <c r="C127" s="1948">
        <v>97.0</v>
      </c>
      <c r="D127" s="1133" t="s">
        <v>3095</v>
      </c>
      <c r="E127" s="1118" t="str">
        <f>'Матрица 4 недели'!D164</f>
        <v>Манник ''Маковый''</v>
      </c>
      <c r="F127" s="1120">
        <v>9.0</v>
      </c>
      <c r="G127" s="1138">
        <v>9.0</v>
      </c>
      <c r="H127" s="1120">
        <v>3.0</v>
      </c>
      <c r="I127" s="1138">
        <v>3.0</v>
      </c>
      <c r="J127" s="1120">
        <v>5.0</v>
      </c>
      <c r="K127" s="1138">
        <v>5.0</v>
      </c>
      <c r="L127" s="1120">
        <v>3.0</v>
      </c>
      <c r="M127" s="1138">
        <v>3.0</v>
      </c>
      <c r="N127" s="1120">
        <v>9.0</v>
      </c>
      <c r="O127" s="1138">
        <v>9.0</v>
      </c>
      <c r="P127" s="1120">
        <v>1.0</v>
      </c>
      <c r="Q127" s="1138">
        <v>1.0</v>
      </c>
      <c r="R127" s="1120">
        <v>2.0</v>
      </c>
      <c r="S127" s="1138">
        <v>2.0</v>
      </c>
      <c r="T127" s="1120">
        <v>3.0</v>
      </c>
      <c r="U127" s="1138">
        <v>3.0</v>
      </c>
      <c r="V127" s="1120">
        <v>4.0</v>
      </c>
      <c r="W127" s="1138">
        <v>4.0</v>
      </c>
      <c r="X127" s="1120">
        <v>2.0</v>
      </c>
      <c r="Y127" s="1138">
        <v>2.0</v>
      </c>
      <c r="Z127" s="1120"/>
      <c r="AA127" s="1138"/>
      <c r="AB127" s="1120">
        <v>5.0</v>
      </c>
      <c r="AC127" s="1138">
        <v>5.0</v>
      </c>
      <c r="AD127" s="1120">
        <v>3.0</v>
      </c>
      <c r="AE127" s="1138">
        <v>3.0</v>
      </c>
      <c r="AF127" s="1120">
        <v>9.0</v>
      </c>
      <c r="AG127" s="1138">
        <v>9.0</v>
      </c>
      <c r="AH127" s="1120">
        <v>3.0</v>
      </c>
      <c r="AI127" s="1138">
        <v>3.0</v>
      </c>
      <c r="AJ127" s="1120">
        <v>4.0</v>
      </c>
      <c r="AK127" s="1138">
        <v>4.0</v>
      </c>
      <c r="AL127" s="1126">
        <v>5.0</v>
      </c>
      <c r="AM127" s="1138">
        <v>5.0</v>
      </c>
      <c r="AN127" s="1120">
        <v>3.0</v>
      </c>
      <c r="AO127" s="1138">
        <v>3.0</v>
      </c>
      <c r="AP127" s="1126">
        <v>4.0</v>
      </c>
      <c r="AQ127" s="1138">
        <v>4.0</v>
      </c>
      <c r="AR127" s="1126">
        <v>14.0</v>
      </c>
      <c r="AS127" s="1138">
        <v>14.0</v>
      </c>
      <c r="AT127" s="1126">
        <v>6.0</v>
      </c>
      <c r="AU127" s="1138">
        <v>6.0</v>
      </c>
      <c r="AV127" s="1126">
        <v>5.0</v>
      </c>
      <c r="AW127" s="1138">
        <v>5.0</v>
      </c>
      <c r="AX127" s="1126">
        <v>8.0</v>
      </c>
      <c r="AY127" s="1138">
        <v>8.0</v>
      </c>
      <c r="AZ127" s="1126">
        <v>2.0</v>
      </c>
      <c r="BA127" s="1138">
        <v>2.0</v>
      </c>
      <c r="BB127" s="1126">
        <v>3.0</v>
      </c>
      <c r="BC127" s="1138">
        <v>3.0</v>
      </c>
      <c r="BD127" s="1126">
        <v>2.0</v>
      </c>
      <c r="BE127" s="1138">
        <v>2.0</v>
      </c>
      <c r="BF127" s="1126">
        <v>3.0</v>
      </c>
      <c r="BG127" s="1138">
        <v>3.0</v>
      </c>
      <c r="BH127" s="1126">
        <v>6.0</v>
      </c>
      <c r="BI127" s="1138">
        <v>6.0</v>
      </c>
      <c r="BJ127" s="1126">
        <v>2.0</v>
      </c>
      <c r="BK127" s="1138">
        <v>2.0</v>
      </c>
      <c r="BL127" s="1137"/>
      <c r="BM127" s="1138"/>
      <c r="BN127" s="988"/>
      <c r="BO127" s="1579"/>
      <c r="BP127" s="80">
        <f t="shared" ref="BP127:BP153" si="83">(F127+H127+J127+L127+N127+P127+R127+T127+V127+X127+Z127+AB127+AD127+AF127+AH127+AJ127+AL127+AN127+BL127+AP127+AR127+AT127+AV127+AX127+AZ127+BB127+BD127+BF127+BH127+BJ127)+1</f>
        <v>129</v>
      </c>
      <c r="BQ127" s="2137">
        <f t="shared" ref="BQ127:BQ153" si="84">G127+I127+K127+M127+O127+Q127+S127+U127+W127+Y127+AA127+AE127+AC127+AG127+AI127+AK127+AM127+AS127+BM127+AO127+AQ127+AU127+AW127+AY127+BA127+BC127+BE127+BG127+BI127+BK127</f>
        <v>128</v>
      </c>
      <c r="BR127" s="2204">
        <v>128.0</v>
      </c>
      <c r="BS127" s="2205">
        <f t="shared" ref="BS127:BS153" si="85">BP127*C127</f>
        <v>12513</v>
      </c>
      <c r="BT127" s="683"/>
      <c r="BU127" s="683"/>
    </row>
    <row r="128" ht="21.0" customHeight="1">
      <c r="A128" s="1565" t="s">
        <v>145</v>
      </c>
      <c r="B128" s="1259">
        <v>4226.0</v>
      </c>
      <c r="C128" s="1948">
        <v>139.0</v>
      </c>
      <c r="D128" s="1133" t="s">
        <v>3095</v>
      </c>
      <c r="E128" s="1118" t="str">
        <f>'Матрица 4 недели'!D165</f>
        <v>Курник  (курица, картофель) </v>
      </c>
      <c r="F128" s="1120">
        <v>15.0</v>
      </c>
      <c r="G128" s="1138">
        <v>15.0</v>
      </c>
      <c r="H128" s="1120">
        <v>3.0</v>
      </c>
      <c r="I128" s="1138">
        <v>3.0</v>
      </c>
      <c r="J128" s="1120">
        <v>3.0</v>
      </c>
      <c r="K128" s="1138">
        <v>3.0</v>
      </c>
      <c r="L128" s="1120">
        <v>5.0</v>
      </c>
      <c r="M128" s="1138">
        <v>5.0</v>
      </c>
      <c r="N128" s="1120">
        <v>12.0</v>
      </c>
      <c r="O128" s="1138">
        <v>12.0</v>
      </c>
      <c r="P128" s="1120">
        <v>2.0</v>
      </c>
      <c r="Q128" s="1138">
        <v>2.0</v>
      </c>
      <c r="R128" s="1120">
        <v>6.0</v>
      </c>
      <c r="S128" s="1138">
        <v>6.0</v>
      </c>
      <c r="T128" s="1120">
        <v>6.0</v>
      </c>
      <c r="U128" s="1138">
        <v>6.0</v>
      </c>
      <c r="V128" s="1120">
        <v>4.0</v>
      </c>
      <c r="W128" s="1138">
        <v>4.0</v>
      </c>
      <c r="X128" s="1120">
        <v>2.0</v>
      </c>
      <c r="Y128" s="1138">
        <v>2.0</v>
      </c>
      <c r="Z128" s="1120"/>
      <c r="AA128" s="1138"/>
      <c r="AB128" s="1120">
        <v>5.0</v>
      </c>
      <c r="AC128" s="1138">
        <v>5.0</v>
      </c>
      <c r="AD128" s="1120">
        <v>2.0</v>
      </c>
      <c r="AE128" s="1138">
        <v>2.0</v>
      </c>
      <c r="AF128" s="1120">
        <v>8.0</v>
      </c>
      <c r="AG128" s="1138">
        <v>8.0</v>
      </c>
      <c r="AH128" s="1120">
        <v>4.0</v>
      </c>
      <c r="AI128" s="1138">
        <v>4.0</v>
      </c>
      <c r="AJ128" s="1120">
        <v>6.0</v>
      </c>
      <c r="AK128" s="1138">
        <v>6.0</v>
      </c>
      <c r="AL128" s="1126">
        <v>5.0</v>
      </c>
      <c r="AM128" s="1138">
        <v>5.0</v>
      </c>
      <c r="AN128" s="1120">
        <v>3.0</v>
      </c>
      <c r="AO128" s="1138">
        <v>3.0</v>
      </c>
      <c r="AP128" s="1126">
        <v>5.0</v>
      </c>
      <c r="AQ128" s="1138">
        <v>5.0</v>
      </c>
      <c r="AR128" s="1126">
        <v>16.0</v>
      </c>
      <c r="AS128" s="1138">
        <v>16.0</v>
      </c>
      <c r="AT128" s="1126">
        <v>6.0</v>
      </c>
      <c r="AU128" s="1138">
        <v>6.0</v>
      </c>
      <c r="AV128" s="1126">
        <v>5.0</v>
      </c>
      <c r="AW128" s="1138">
        <v>5.0</v>
      </c>
      <c r="AX128" s="1126">
        <v>5.0</v>
      </c>
      <c r="AY128" s="1138">
        <v>5.0</v>
      </c>
      <c r="AZ128" s="1126">
        <v>2.0</v>
      </c>
      <c r="BA128" s="1138">
        <v>2.0</v>
      </c>
      <c r="BB128" s="1126">
        <v>3.0</v>
      </c>
      <c r="BC128" s="1138">
        <v>3.0</v>
      </c>
      <c r="BD128" s="1126">
        <v>2.0</v>
      </c>
      <c r="BE128" s="1138">
        <v>2.0</v>
      </c>
      <c r="BF128" s="1126">
        <v>3.0</v>
      </c>
      <c r="BG128" s="1138">
        <v>3.0</v>
      </c>
      <c r="BH128" s="1126">
        <v>4.0</v>
      </c>
      <c r="BI128" s="1138">
        <v>4.0</v>
      </c>
      <c r="BJ128" s="1126">
        <v>4.0</v>
      </c>
      <c r="BK128" s="1138">
        <v>4.0</v>
      </c>
      <c r="BL128" s="1120"/>
      <c r="BM128" s="1132"/>
      <c r="BN128" s="988"/>
      <c r="BO128" s="2062"/>
      <c r="BP128" s="80">
        <f t="shared" si="83"/>
        <v>147</v>
      </c>
      <c r="BQ128" s="2137">
        <f t="shared" si="84"/>
        <v>146</v>
      </c>
      <c r="BR128" s="2204">
        <v>146.0</v>
      </c>
      <c r="BS128" s="2205">
        <f t="shared" si="85"/>
        <v>20433</v>
      </c>
      <c r="BT128" s="683"/>
      <c r="BU128" s="683"/>
    </row>
    <row r="129" ht="21.0" customHeight="1">
      <c r="A129" s="1565" t="s">
        <v>145</v>
      </c>
      <c r="B129" s="1259">
        <v>4246.0</v>
      </c>
      <c r="C129" s="1948">
        <v>100.0</v>
      </c>
      <c r="D129" s="1133" t="s">
        <v>3095</v>
      </c>
      <c r="E129" s="1118" t="str">
        <f>'Матрица 4 недели'!D166</f>
        <v>Каша "3 злака" на апельсиновом соке </v>
      </c>
      <c r="F129" s="1120">
        <v>1.0</v>
      </c>
      <c r="G129" s="1138">
        <v>1.0</v>
      </c>
      <c r="H129" s="1120">
        <v>2.0</v>
      </c>
      <c r="I129" s="1138">
        <v>2.0</v>
      </c>
      <c r="J129" s="1120">
        <v>5.0</v>
      </c>
      <c r="K129" s="1138">
        <v>5.0</v>
      </c>
      <c r="L129" s="1120">
        <v>2.0</v>
      </c>
      <c r="M129" s="1138">
        <v>2.0</v>
      </c>
      <c r="N129" s="1120">
        <v>8.0</v>
      </c>
      <c r="O129" s="1138">
        <v>8.0</v>
      </c>
      <c r="P129" s="1120">
        <v>5.0</v>
      </c>
      <c r="Q129" s="1138">
        <v>5.0</v>
      </c>
      <c r="R129" s="1120">
        <v>1.0</v>
      </c>
      <c r="S129" s="1138">
        <v>1.0</v>
      </c>
      <c r="T129" s="1120">
        <v>2.0</v>
      </c>
      <c r="U129" s="1138">
        <v>2.0</v>
      </c>
      <c r="V129" s="1120">
        <v>2.0</v>
      </c>
      <c r="W129" s="1138">
        <v>2.0</v>
      </c>
      <c r="X129" s="1120">
        <v>4.0</v>
      </c>
      <c r="Y129" s="1138">
        <v>4.0</v>
      </c>
      <c r="Z129" s="1120"/>
      <c r="AA129" s="1138"/>
      <c r="AB129" s="1120">
        <v>0.0</v>
      </c>
      <c r="AC129" s="1138">
        <v>0.0</v>
      </c>
      <c r="AD129" s="1120">
        <v>2.0</v>
      </c>
      <c r="AE129" s="1138">
        <v>2.0</v>
      </c>
      <c r="AF129" s="1120">
        <v>3.0</v>
      </c>
      <c r="AG129" s="1138">
        <v>3.0</v>
      </c>
      <c r="AH129" s="1120">
        <v>3.0</v>
      </c>
      <c r="AI129" s="1138">
        <v>3.0</v>
      </c>
      <c r="AJ129" s="1120">
        <v>4.0</v>
      </c>
      <c r="AK129" s="1138">
        <v>4.0</v>
      </c>
      <c r="AL129" s="1126">
        <v>2.0</v>
      </c>
      <c r="AM129" s="1138">
        <v>2.0</v>
      </c>
      <c r="AN129" s="1120">
        <v>3.0</v>
      </c>
      <c r="AO129" s="1138">
        <v>3.0</v>
      </c>
      <c r="AP129" s="1126">
        <v>2.0</v>
      </c>
      <c r="AQ129" s="1138">
        <v>2.0</v>
      </c>
      <c r="AR129" s="1126">
        <v>7.0</v>
      </c>
      <c r="AS129" s="1138">
        <v>7.0</v>
      </c>
      <c r="AT129" s="1126">
        <v>0.0</v>
      </c>
      <c r="AU129" s="1138">
        <v>0.0</v>
      </c>
      <c r="AV129" s="1126">
        <v>0.0</v>
      </c>
      <c r="AW129" s="1138">
        <v>0.0</v>
      </c>
      <c r="AX129" s="1126">
        <v>3.0</v>
      </c>
      <c r="AY129" s="1138">
        <v>3.0</v>
      </c>
      <c r="AZ129" s="1126">
        <v>3.0</v>
      </c>
      <c r="BA129" s="1138">
        <v>3.0</v>
      </c>
      <c r="BB129" s="1126">
        <v>3.0</v>
      </c>
      <c r="BC129" s="1138">
        <v>3.0</v>
      </c>
      <c r="BD129" s="1126">
        <v>0.0</v>
      </c>
      <c r="BE129" s="1138">
        <v>0.0</v>
      </c>
      <c r="BF129" s="1126">
        <v>2.0</v>
      </c>
      <c r="BG129" s="1138">
        <v>2.0</v>
      </c>
      <c r="BH129" s="1126">
        <v>3.0</v>
      </c>
      <c r="BI129" s="1138">
        <v>3.0</v>
      </c>
      <c r="BJ129" s="1126">
        <v>5.0</v>
      </c>
      <c r="BK129" s="1138">
        <v>5.0</v>
      </c>
      <c r="BL129" s="1120"/>
      <c r="BM129" s="1138"/>
      <c r="BN129" s="988"/>
      <c r="BO129" s="1579"/>
      <c r="BP129" s="80">
        <f t="shared" si="83"/>
        <v>78</v>
      </c>
      <c r="BQ129" s="2137">
        <f t="shared" si="84"/>
        <v>77</v>
      </c>
      <c r="BR129" s="2204">
        <f>C129*BQ129</f>
        <v>7700</v>
      </c>
      <c r="BS129" s="2205">
        <f t="shared" si="85"/>
        <v>7800</v>
      </c>
      <c r="BT129" s="683"/>
      <c r="BU129" s="683"/>
    </row>
    <row r="130" ht="21.0" customHeight="1">
      <c r="A130" s="1565" t="s">
        <v>145</v>
      </c>
      <c r="B130" s="1259">
        <v>3189.0</v>
      </c>
      <c r="C130" s="1948">
        <v>98.0</v>
      </c>
      <c r="D130" s="1133" t="s">
        <v>70</v>
      </c>
      <c r="E130" s="1118" t="str">
        <f>'Матрица 4 недели'!G164</f>
        <v>Салат Свекла с сыром и чесноком 120гр</v>
      </c>
      <c r="F130" s="1120">
        <v>7.0</v>
      </c>
      <c r="G130" s="1121">
        <v>7.0</v>
      </c>
      <c r="H130" s="1120">
        <v>2.0</v>
      </c>
      <c r="I130" s="1121">
        <v>2.0</v>
      </c>
      <c r="J130" s="1120">
        <v>3.0</v>
      </c>
      <c r="K130" s="1121">
        <v>3.0</v>
      </c>
      <c r="L130" s="1120">
        <v>4.0</v>
      </c>
      <c r="M130" s="1121">
        <v>4.0</v>
      </c>
      <c r="N130" s="1120">
        <v>12.0</v>
      </c>
      <c r="O130" s="1121">
        <v>12.0</v>
      </c>
      <c r="P130" s="1120">
        <v>7.0</v>
      </c>
      <c r="Q130" s="1121">
        <v>7.0</v>
      </c>
      <c r="R130" s="1120">
        <v>2.0</v>
      </c>
      <c r="S130" s="1121">
        <v>2.0</v>
      </c>
      <c r="T130" s="1120">
        <v>2.0</v>
      </c>
      <c r="U130" s="1121">
        <v>2.0</v>
      </c>
      <c r="V130" s="1120">
        <v>3.0</v>
      </c>
      <c r="W130" s="1121">
        <v>3.0</v>
      </c>
      <c r="X130" s="1120">
        <v>4.0</v>
      </c>
      <c r="Y130" s="1121">
        <v>4.0</v>
      </c>
      <c r="Z130" s="1120"/>
      <c r="AA130" s="1121"/>
      <c r="AB130" s="1120">
        <v>2.0</v>
      </c>
      <c r="AC130" s="1121">
        <v>2.0</v>
      </c>
      <c r="AD130" s="1120">
        <v>5.0</v>
      </c>
      <c r="AE130" s="1121">
        <v>5.0</v>
      </c>
      <c r="AF130" s="1126">
        <v>5.0</v>
      </c>
      <c r="AG130" s="1121">
        <v>5.0</v>
      </c>
      <c r="AH130" s="1120">
        <v>5.0</v>
      </c>
      <c r="AI130" s="1121">
        <v>5.0</v>
      </c>
      <c r="AJ130" s="1120">
        <v>4.0</v>
      </c>
      <c r="AK130" s="1121">
        <v>4.0</v>
      </c>
      <c r="AL130" s="1126">
        <v>5.0</v>
      </c>
      <c r="AM130" s="1121">
        <v>5.0</v>
      </c>
      <c r="AN130" s="1120">
        <v>3.0</v>
      </c>
      <c r="AO130" s="1138">
        <v>3.0</v>
      </c>
      <c r="AP130" s="1126">
        <v>1.0</v>
      </c>
      <c r="AQ130" s="1121">
        <v>1.0</v>
      </c>
      <c r="AR130" s="1126">
        <v>7.0</v>
      </c>
      <c r="AS130" s="1121">
        <v>7.0</v>
      </c>
      <c r="AT130" s="1126">
        <v>4.0</v>
      </c>
      <c r="AU130" s="1121">
        <v>4.0</v>
      </c>
      <c r="AV130" s="1126">
        <v>3.0</v>
      </c>
      <c r="AW130" s="1121">
        <v>3.0</v>
      </c>
      <c r="AX130" s="1126">
        <v>6.0</v>
      </c>
      <c r="AY130" s="1121">
        <v>6.0</v>
      </c>
      <c r="AZ130" s="1126">
        <v>4.0</v>
      </c>
      <c r="BA130" s="1121">
        <v>4.0</v>
      </c>
      <c r="BB130" s="1126">
        <v>3.0</v>
      </c>
      <c r="BC130" s="1121">
        <v>3.0</v>
      </c>
      <c r="BD130" s="1126">
        <v>3.0</v>
      </c>
      <c r="BE130" s="1121">
        <v>3.0</v>
      </c>
      <c r="BF130" s="1126">
        <v>6.0</v>
      </c>
      <c r="BG130" s="1121">
        <v>6.0</v>
      </c>
      <c r="BH130" s="1126">
        <v>3.0</v>
      </c>
      <c r="BI130" s="1121">
        <v>3.0</v>
      </c>
      <c r="BJ130" s="1126">
        <v>4.0</v>
      </c>
      <c r="BK130" s="1121">
        <v>4.0</v>
      </c>
      <c r="BL130" s="1134">
        <v>44.0</v>
      </c>
      <c r="BM130" s="1138">
        <v>44.0</v>
      </c>
      <c r="BN130" s="988">
        <v>10.0</v>
      </c>
      <c r="BO130" s="2062">
        <v>10.0</v>
      </c>
      <c r="BP130" s="80">
        <f t="shared" si="83"/>
        <v>164</v>
      </c>
      <c r="BQ130" s="2137">
        <f t="shared" si="84"/>
        <v>163</v>
      </c>
      <c r="BR130" s="2204">
        <v>163.0</v>
      </c>
      <c r="BS130" s="2205">
        <f t="shared" si="85"/>
        <v>16072</v>
      </c>
      <c r="BT130" s="683"/>
      <c r="BU130" s="683"/>
    </row>
    <row r="131" ht="21.0" customHeight="1">
      <c r="A131" s="1565" t="s">
        <v>145</v>
      </c>
      <c r="B131" s="1259">
        <v>3216.0</v>
      </c>
      <c r="C131" s="1948">
        <v>98.0</v>
      </c>
      <c r="D131" s="1133" t="s">
        <v>70</v>
      </c>
      <c r="E131" s="1118" t="str">
        <f>'Матрица 4 недели'!G165</f>
        <v>Салат ''Таврия'' (колбаса п/к)</v>
      </c>
      <c r="F131" s="1137">
        <v>4.0</v>
      </c>
      <c r="G131" s="1121">
        <v>4.0</v>
      </c>
      <c r="H131" s="1126">
        <v>1.0</v>
      </c>
      <c r="I131" s="1121">
        <v>1.0</v>
      </c>
      <c r="J131" s="1126">
        <v>5.0</v>
      </c>
      <c r="K131" s="1121">
        <v>5.0</v>
      </c>
      <c r="L131" s="1126">
        <v>3.0</v>
      </c>
      <c r="M131" s="1121">
        <v>3.0</v>
      </c>
      <c r="N131" s="1126">
        <v>8.0</v>
      </c>
      <c r="O131" s="1121">
        <v>8.0</v>
      </c>
      <c r="P131" s="1126">
        <v>8.0</v>
      </c>
      <c r="Q131" s="1121">
        <v>8.0</v>
      </c>
      <c r="R131" s="1126">
        <v>2.0</v>
      </c>
      <c r="S131" s="1121">
        <v>2.0</v>
      </c>
      <c r="T131" s="1126">
        <v>3.0</v>
      </c>
      <c r="U131" s="1138">
        <v>3.0</v>
      </c>
      <c r="V131" s="1137">
        <v>3.0</v>
      </c>
      <c r="W131" s="1138">
        <v>3.0</v>
      </c>
      <c r="X131" s="1137">
        <v>5.0</v>
      </c>
      <c r="Y131" s="1138">
        <v>5.0</v>
      </c>
      <c r="Z131" s="1126"/>
      <c r="AA131" s="1121"/>
      <c r="AB131" s="1137">
        <v>2.0</v>
      </c>
      <c r="AC131" s="1138">
        <v>2.0</v>
      </c>
      <c r="AD131" s="1137">
        <v>0.0</v>
      </c>
      <c r="AE131" s="1138">
        <v>0.0</v>
      </c>
      <c r="AF131" s="1126">
        <v>6.0</v>
      </c>
      <c r="AG131" s="1138">
        <v>6.0</v>
      </c>
      <c r="AH131" s="1120">
        <v>3.0</v>
      </c>
      <c r="AI131" s="1138">
        <v>3.0</v>
      </c>
      <c r="AJ131" s="1137">
        <v>3.0</v>
      </c>
      <c r="AK131" s="1138">
        <v>3.0</v>
      </c>
      <c r="AL131" s="1126">
        <v>3.0</v>
      </c>
      <c r="AM131" s="1121">
        <v>3.0</v>
      </c>
      <c r="AN131" s="1126">
        <v>3.0</v>
      </c>
      <c r="AO131" s="1121">
        <v>3.0</v>
      </c>
      <c r="AP131" s="1126">
        <v>4.0</v>
      </c>
      <c r="AQ131" s="1121">
        <v>4.0</v>
      </c>
      <c r="AR131" s="1126">
        <v>9.0</v>
      </c>
      <c r="AS131" s="1121">
        <v>9.0</v>
      </c>
      <c r="AT131" s="1126">
        <v>7.0</v>
      </c>
      <c r="AU131" s="1121">
        <v>7.0</v>
      </c>
      <c r="AV131" s="1126">
        <v>2.0</v>
      </c>
      <c r="AW131" s="1121">
        <v>2.0</v>
      </c>
      <c r="AX131" s="1126">
        <v>2.0</v>
      </c>
      <c r="AY131" s="1121">
        <v>2.0</v>
      </c>
      <c r="AZ131" s="1126">
        <v>0.0</v>
      </c>
      <c r="BA131" s="1121">
        <v>0.0</v>
      </c>
      <c r="BB131" s="1126">
        <v>3.0</v>
      </c>
      <c r="BC131" s="1121">
        <v>3.0</v>
      </c>
      <c r="BD131" s="1126">
        <v>2.0</v>
      </c>
      <c r="BE131" s="1121">
        <v>2.0</v>
      </c>
      <c r="BF131" s="1126">
        <v>2.0</v>
      </c>
      <c r="BG131" s="1121">
        <v>2.0</v>
      </c>
      <c r="BH131" s="1126">
        <v>5.0</v>
      </c>
      <c r="BI131" s="1121">
        <v>5.0</v>
      </c>
      <c r="BJ131" s="1126">
        <v>3.0</v>
      </c>
      <c r="BK131" s="1121">
        <v>3.0</v>
      </c>
      <c r="BL131" s="1134">
        <v>43.0</v>
      </c>
      <c r="BM131" s="1138">
        <v>43.0</v>
      </c>
      <c r="BN131" s="988"/>
      <c r="BO131" s="2062"/>
      <c r="BP131" s="80">
        <f t="shared" si="83"/>
        <v>145</v>
      </c>
      <c r="BQ131" s="2137">
        <f t="shared" si="84"/>
        <v>144</v>
      </c>
      <c r="BR131" s="2204">
        <f>C131*BQ131</f>
        <v>14112</v>
      </c>
      <c r="BS131" s="2205">
        <f t="shared" si="85"/>
        <v>14210</v>
      </c>
      <c r="BT131" s="683"/>
      <c r="BU131" s="683"/>
    </row>
    <row r="132" ht="21.0" customHeight="1">
      <c r="A132" s="1565" t="s">
        <v>145</v>
      </c>
      <c r="B132" s="1259">
        <v>2303.0</v>
      </c>
      <c r="C132" s="1948">
        <v>98.0</v>
      </c>
      <c r="D132" s="1133" t="s">
        <v>70</v>
      </c>
      <c r="E132" s="1118" t="str">
        <f>'Матрица 4 недели'!G166</f>
        <v>Салат ''Жар-птица'' (филе кур)</v>
      </c>
      <c r="F132" s="1120">
        <v>6.0</v>
      </c>
      <c r="G132" s="1121">
        <v>6.0</v>
      </c>
      <c r="H132" s="1126">
        <v>1.0</v>
      </c>
      <c r="I132" s="1121">
        <v>1.0</v>
      </c>
      <c r="J132" s="1126">
        <v>3.0</v>
      </c>
      <c r="K132" s="1121">
        <v>3.0</v>
      </c>
      <c r="L132" s="1126">
        <v>3.0</v>
      </c>
      <c r="M132" s="1121">
        <v>3.0</v>
      </c>
      <c r="N132" s="1126">
        <v>3.0</v>
      </c>
      <c r="O132" s="1121">
        <v>3.0</v>
      </c>
      <c r="P132" s="1126">
        <v>2.0</v>
      </c>
      <c r="Q132" s="1121">
        <v>2.0</v>
      </c>
      <c r="R132" s="1126">
        <v>2.0</v>
      </c>
      <c r="S132" s="1121">
        <v>2.0</v>
      </c>
      <c r="T132" s="1120">
        <v>2.0</v>
      </c>
      <c r="U132" s="1138">
        <v>2.0</v>
      </c>
      <c r="V132" s="1120">
        <v>2.0</v>
      </c>
      <c r="W132" s="1138">
        <v>2.0</v>
      </c>
      <c r="X132" s="1137">
        <v>2.0</v>
      </c>
      <c r="Y132" s="1138">
        <v>2.0</v>
      </c>
      <c r="Z132" s="1120"/>
      <c r="AA132" s="1138"/>
      <c r="AB132" s="1120">
        <v>0.0</v>
      </c>
      <c r="AC132" s="1138">
        <v>0.0</v>
      </c>
      <c r="AD132" s="1120">
        <v>2.0</v>
      </c>
      <c r="AE132" s="1138">
        <v>2.0</v>
      </c>
      <c r="AF132" s="1126">
        <v>2.0</v>
      </c>
      <c r="AG132" s="1138">
        <v>2.0</v>
      </c>
      <c r="AH132" s="1120">
        <v>1.0</v>
      </c>
      <c r="AI132" s="1138">
        <v>1.0</v>
      </c>
      <c r="AJ132" s="1137">
        <v>1.0</v>
      </c>
      <c r="AK132" s="1138">
        <v>1.0</v>
      </c>
      <c r="AL132" s="1126">
        <v>2.0</v>
      </c>
      <c r="AM132" s="1138">
        <v>2.0</v>
      </c>
      <c r="AN132" s="1126">
        <v>3.0</v>
      </c>
      <c r="AO132" s="1138">
        <v>3.0</v>
      </c>
      <c r="AP132" s="1126">
        <v>2.0</v>
      </c>
      <c r="AQ132" s="1138">
        <v>2.0</v>
      </c>
      <c r="AR132" s="1126">
        <v>7.0</v>
      </c>
      <c r="AS132" s="1138">
        <v>7.0</v>
      </c>
      <c r="AT132" s="1126">
        <v>3.0</v>
      </c>
      <c r="AU132" s="1138">
        <v>3.0</v>
      </c>
      <c r="AV132" s="1126">
        <v>2.0</v>
      </c>
      <c r="AW132" s="1138">
        <v>2.0</v>
      </c>
      <c r="AX132" s="1126">
        <v>4.0</v>
      </c>
      <c r="AY132" s="1138">
        <v>4.0</v>
      </c>
      <c r="AZ132" s="1126">
        <v>4.0</v>
      </c>
      <c r="BA132" s="1138">
        <v>4.0</v>
      </c>
      <c r="BB132" s="1126">
        <v>3.0</v>
      </c>
      <c r="BC132" s="1138">
        <v>3.0</v>
      </c>
      <c r="BD132" s="1126">
        <v>0.0</v>
      </c>
      <c r="BE132" s="1138">
        <v>0.0</v>
      </c>
      <c r="BF132" s="1126">
        <v>2.0</v>
      </c>
      <c r="BG132" s="1138">
        <v>2.0</v>
      </c>
      <c r="BH132" s="1126">
        <v>1.0</v>
      </c>
      <c r="BI132" s="1138">
        <v>1.0</v>
      </c>
      <c r="BJ132" s="1126">
        <v>3.0</v>
      </c>
      <c r="BK132" s="1138">
        <v>3.0</v>
      </c>
      <c r="BL132" s="1134">
        <v>43.0</v>
      </c>
      <c r="BM132" s="1138">
        <v>43.0</v>
      </c>
      <c r="BN132" s="988">
        <v>8.0</v>
      </c>
      <c r="BO132" s="2062">
        <v>8.0</v>
      </c>
      <c r="BP132" s="80">
        <f t="shared" si="83"/>
        <v>112</v>
      </c>
      <c r="BQ132" s="2137">
        <f t="shared" si="84"/>
        <v>111</v>
      </c>
      <c r="BR132" s="2204">
        <v>111.0</v>
      </c>
      <c r="BS132" s="2205">
        <f t="shared" si="85"/>
        <v>10976</v>
      </c>
      <c r="BT132" s="683"/>
      <c r="BU132" s="683"/>
    </row>
    <row r="133" ht="21.0" customHeight="1">
      <c r="A133" s="1565" t="s">
        <v>145</v>
      </c>
      <c r="B133" s="1259">
        <v>3457.0</v>
      </c>
      <c r="C133" s="2206">
        <v>271.0</v>
      </c>
      <c r="D133" s="1629" t="s">
        <v>70</v>
      </c>
      <c r="E133" s="1118" t="str">
        <f>'Матрица 4 недели'!G167</f>
        <v>Боул с курицей и чечевицей</v>
      </c>
      <c r="F133" s="1120">
        <v>4.0</v>
      </c>
      <c r="G133" s="1121">
        <v>4.0</v>
      </c>
      <c r="H133" s="1120">
        <v>2.0</v>
      </c>
      <c r="I133" s="1121">
        <v>2.0</v>
      </c>
      <c r="J133" s="1120">
        <v>3.0</v>
      </c>
      <c r="K133" s="1121">
        <v>3.0</v>
      </c>
      <c r="L133" s="1120">
        <v>1.0</v>
      </c>
      <c r="M133" s="1121">
        <v>1.0</v>
      </c>
      <c r="N133" s="1120">
        <v>3.0</v>
      </c>
      <c r="O133" s="1121">
        <v>3.0</v>
      </c>
      <c r="P133" s="1120">
        <v>2.0</v>
      </c>
      <c r="Q133" s="1121">
        <v>2.0</v>
      </c>
      <c r="R133" s="1120">
        <v>0.0</v>
      </c>
      <c r="S133" s="1121">
        <v>0.0</v>
      </c>
      <c r="T133" s="1120">
        <v>1.0</v>
      </c>
      <c r="U133" s="1121">
        <v>1.0</v>
      </c>
      <c r="V133" s="1120">
        <v>2.0</v>
      </c>
      <c r="W133" s="1121">
        <v>2.0</v>
      </c>
      <c r="X133" s="1120">
        <v>0.0</v>
      </c>
      <c r="Y133" s="1121">
        <v>0.0</v>
      </c>
      <c r="Z133" s="1120"/>
      <c r="AA133" s="1121"/>
      <c r="AB133" s="1120">
        <v>1.0</v>
      </c>
      <c r="AC133" s="1121">
        <v>1.0</v>
      </c>
      <c r="AD133" s="1120">
        <v>1.0</v>
      </c>
      <c r="AE133" s="1121">
        <v>1.0</v>
      </c>
      <c r="AF133" s="1126">
        <v>4.0</v>
      </c>
      <c r="AG133" s="1121">
        <v>4.0</v>
      </c>
      <c r="AH133" s="1120">
        <v>3.0</v>
      </c>
      <c r="AI133" s="1121">
        <v>3.0</v>
      </c>
      <c r="AJ133" s="1120">
        <v>3.0</v>
      </c>
      <c r="AK133" s="1121">
        <v>3.0</v>
      </c>
      <c r="AL133" s="1126">
        <v>1.0</v>
      </c>
      <c r="AM133" s="1121">
        <v>1.0</v>
      </c>
      <c r="AN133" s="1120">
        <v>3.0</v>
      </c>
      <c r="AO133" s="1121">
        <v>3.0</v>
      </c>
      <c r="AP133" s="1126">
        <v>2.0</v>
      </c>
      <c r="AQ133" s="1121">
        <v>2.0</v>
      </c>
      <c r="AR133" s="1126">
        <v>4.0</v>
      </c>
      <c r="AS133" s="1121">
        <v>4.0</v>
      </c>
      <c r="AT133" s="1126">
        <v>1.0</v>
      </c>
      <c r="AU133" s="1121">
        <v>1.0</v>
      </c>
      <c r="AV133" s="1126">
        <v>0.0</v>
      </c>
      <c r="AW133" s="1121">
        <v>0.0</v>
      </c>
      <c r="AX133" s="1126">
        <v>4.0</v>
      </c>
      <c r="AY133" s="1121">
        <v>4.0</v>
      </c>
      <c r="AZ133" s="1075">
        <v>0.0</v>
      </c>
      <c r="BA133" s="1121">
        <v>0.0</v>
      </c>
      <c r="BB133" s="1126">
        <v>2.0</v>
      </c>
      <c r="BC133" s="1121">
        <v>2.0</v>
      </c>
      <c r="BD133" s="1126">
        <v>0.0</v>
      </c>
      <c r="BE133" s="1121">
        <v>0.0</v>
      </c>
      <c r="BF133" s="1126">
        <v>0.0</v>
      </c>
      <c r="BG133" s="1121">
        <v>0.0</v>
      </c>
      <c r="BH133" s="1126">
        <v>3.0</v>
      </c>
      <c r="BI133" s="1121">
        <v>3.0</v>
      </c>
      <c r="BJ133" s="1126">
        <v>6.0</v>
      </c>
      <c r="BK133" s="1121">
        <v>6.0</v>
      </c>
      <c r="BL133" s="1134"/>
      <c r="BM133" s="1121"/>
      <c r="BN133" s="2207"/>
      <c r="BO133" s="1579"/>
      <c r="BP133" s="80">
        <f t="shared" si="83"/>
        <v>57</v>
      </c>
      <c r="BQ133" s="2137">
        <f t="shared" si="84"/>
        <v>56</v>
      </c>
      <c r="BR133" s="2204">
        <f t="shared" ref="BR133:BR138" si="86">C133*BQ133</f>
        <v>15176</v>
      </c>
      <c r="BS133" s="2205">
        <f t="shared" si="85"/>
        <v>15447</v>
      </c>
      <c r="BT133" s="683"/>
      <c r="BU133" s="683"/>
    </row>
    <row r="134" ht="21.0" customHeight="1">
      <c r="A134" s="1708"/>
      <c r="B134" s="1259">
        <v>2288.0</v>
      </c>
      <c r="C134" s="1948">
        <v>88.0</v>
      </c>
      <c r="D134" s="1133" t="s">
        <v>74</v>
      </c>
      <c r="E134" s="1118" t="str">
        <f>'Матрица 4 недели'!J164</f>
        <v>Суп картофельный с курицей</v>
      </c>
      <c r="F134" s="1286"/>
      <c r="G134" s="1140"/>
      <c r="H134" s="1286"/>
      <c r="I134" s="1140"/>
      <c r="J134" s="1286"/>
      <c r="K134" s="1140"/>
      <c r="L134" s="1286"/>
      <c r="M134" s="1140"/>
      <c r="N134" s="1286"/>
      <c r="O134" s="1140"/>
      <c r="P134" s="1286"/>
      <c r="Q134" s="1142"/>
      <c r="R134" s="1286"/>
      <c r="S134" s="1142"/>
      <c r="T134" s="1290"/>
      <c r="U134" s="1142"/>
      <c r="V134" s="1290"/>
      <c r="W134" s="1142"/>
      <c r="X134" s="1290"/>
      <c r="Y134" s="1142"/>
      <c r="Z134" s="1297"/>
      <c r="AA134" s="1142"/>
      <c r="AB134" s="1297"/>
      <c r="AC134" s="1142"/>
      <c r="AD134" s="1290"/>
      <c r="AE134" s="1142"/>
      <c r="AF134" s="1290"/>
      <c r="AG134" s="1140"/>
      <c r="AH134" s="1290"/>
      <c r="AI134" s="1142"/>
      <c r="AJ134" s="1290"/>
      <c r="AK134" s="1142"/>
      <c r="AL134" s="1126"/>
      <c r="AM134" s="1138"/>
      <c r="AN134" s="1126"/>
      <c r="AO134" s="1138"/>
      <c r="AP134" s="1087"/>
      <c r="AQ134" s="1138"/>
      <c r="AR134" s="1126"/>
      <c r="AS134" s="1138"/>
      <c r="AT134" s="1126"/>
      <c r="AU134" s="1138"/>
      <c r="AV134" s="1126"/>
      <c r="AW134" s="1138"/>
      <c r="AX134" s="1126"/>
      <c r="AY134" s="1138"/>
      <c r="AZ134" s="1126"/>
      <c r="BA134" s="1138"/>
      <c r="BB134" s="1126"/>
      <c r="BC134" s="1138"/>
      <c r="BD134" s="1126"/>
      <c r="BE134" s="1138"/>
      <c r="BF134" s="1126"/>
      <c r="BG134" s="1138"/>
      <c r="BH134" s="1126"/>
      <c r="BI134" s="1138"/>
      <c r="BJ134" s="1126"/>
      <c r="BK134" s="1138"/>
      <c r="BL134" s="1139">
        <v>120.0</v>
      </c>
      <c r="BM134" s="1138">
        <v>120.0</v>
      </c>
      <c r="BN134" s="988">
        <v>10.0</v>
      </c>
      <c r="BO134" s="2062"/>
      <c r="BP134" s="2069">
        <f t="shared" si="83"/>
        <v>121</v>
      </c>
      <c r="BQ134" s="2133">
        <f t="shared" si="84"/>
        <v>120</v>
      </c>
      <c r="BR134" s="2204">
        <f t="shared" si="86"/>
        <v>10560</v>
      </c>
      <c r="BS134" s="2205">
        <f t="shared" si="85"/>
        <v>10648</v>
      </c>
      <c r="BT134" s="683"/>
      <c r="BU134" s="683"/>
    </row>
    <row r="135" ht="21.0" customHeight="1">
      <c r="A135" s="1708"/>
      <c r="B135" s="1259"/>
      <c r="C135" s="1948"/>
      <c r="D135" s="1153"/>
      <c r="E135" s="1953" t="str">
        <f>'Матрица 4 недели'!J165</f>
        <v/>
      </c>
      <c r="F135" s="1151"/>
      <c r="G135" s="1173"/>
      <c r="H135" s="1151"/>
      <c r="I135" s="1173"/>
      <c r="J135" s="1151"/>
      <c r="K135" s="1173"/>
      <c r="L135" s="1151"/>
      <c r="M135" s="1173"/>
      <c r="N135" s="1151"/>
      <c r="O135" s="1173"/>
      <c r="P135" s="1769"/>
      <c r="Q135" s="1173"/>
      <c r="R135" s="1151"/>
      <c r="S135" s="1135"/>
      <c r="T135" s="1769"/>
      <c r="U135" s="1135"/>
      <c r="V135" s="1769"/>
      <c r="W135" s="1135"/>
      <c r="X135" s="1769"/>
      <c r="Y135" s="1135"/>
      <c r="Z135" s="1769"/>
      <c r="AA135" s="1135"/>
      <c r="AB135" s="1760"/>
      <c r="AC135" s="1135"/>
      <c r="AD135" s="1760"/>
      <c r="AE135" s="1135"/>
      <c r="AF135" s="1769"/>
      <c r="AG135" s="1135"/>
      <c r="AH135" s="1769"/>
      <c r="AI135" s="1135"/>
      <c r="AJ135" s="1769"/>
      <c r="AK135" s="1173"/>
      <c r="AL135" s="1151"/>
      <c r="AM135" s="1173"/>
      <c r="AN135" s="1760"/>
      <c r="AO135" s="1173"/>
      <c r="AP135" s="1151"/>
      <c r="AQ135" s="1173"/>
      <c r="AR135" s="1151"/>
      <c r="AS135" s="1173"/>
      <c r="AT135" s="1151"/>
      <c r="AU135" s="1173"/>
      <c r="AV135" s="1151"/>
      <c r="AW135" s="1173"/>
      <c r="AX135" s="1151"/>
      <c r="AY135" s="1173"/>
      <c r="AZ135" s="1126"/>
      <c r="BA135" s="1173"/>
      <c r="BB135" s="1151"/>
      <c r="BC135" s="1173"/>
      <c r="BD135" s="1151"/>
      <c r="BE135" s="1173"/>
      <c r="BF135" s="1151"/>
      <c r="BG135" s="1173"/>
      <c r="BH135" s="1151"/>
      <c r="BI135" s="1173"/>
      <c r="BJ135" s="1151"/>
      <c r="BK135" s="1138"/>
      <c r="BL135" s="1139"/>
      <c r="BM135" s="1138"/>
      <c r="BN135" s="988">
        <v>0.0</v>
      </c>
      <c r="BO135" s="2062"/>
      <c r="BP135" s="80">
        <f t="shared" si="83"/>
        <v>1</v>
      </c>
      <c r="BQ135" s="2137">
        <f t="shared" si="84"/>
        <v>0</v>
      </c>
      <c r="BR135" s="2204">
        <f t="shared" si="86"/>
        <v>0</v>
      </c>
      <c r="BS135" s="2205">
        <f t="shared" si="85"/>
        <v>0</v>
      </c>
      <c r="BT135" s="683"/>
      <c r="BU135" s="683"/>
    </row>
    <row r="136" ht="21.0" customHeight="1">
      <c r="A136" s="1565" t="s">
        <v>145</v>
      </c>
      <c r="B136" s="1259">
        <v>813.0</v>
      </c>
      <c r="C136" s="1948">
        <v>227.0</v>
      </c>
      <c r="D136" s="1133" t="s">
        <v>77</v>
      </c>
      <c r="E136" s="1118" t="str">
        <f>'Матрица 4 недели'!M164</f>
        <v>Котлета по-киевски с макаронами</v>
      </c>
      <c r="F136" s="1126">
        <v>11.0</v>
      </c>
      <c r="G136" s="1121">
        <v>11.0</v>
      </c>
      <c r="H136" s="1126">
        <v>2.0</v>
      </c>
      <c r="I136" s="1121">
        <v>2.0</v>
      </c>
      <c r="J136" s="1126">
        <v>3.0</v>
      </c>
      <c r="K136" s="1121">
        <v>3.0</v>
      </c>
      <c r="L136" s="1126">
        <v>2.0</v>
      </c>
      <c r="M136" s="1121">
        <v>2.0</v>
      </c>
      <c r="N136" s="1126">
        <v>3.0</v>
      </c>
      <c r="O136" s="1121">
        <v>3.0</v>
      </c>
      <c r="P136" s="1126">
        <v>7.0</v>
      </c>
      <c r="Q136" s="1121">
        <v>7.0</v>
      </c>
      <c r="R136" s="1126">
        <v>4.0</v>
      </c>
      <c r="S136" s="1121">
        <v>4.0</v>
      </c>
      <c r="T136" s="1126">
        <v>3.0</v>
      </c>
      <c r="U136" s="1138">
        <v>3.0</v>
      </c>
      <c r="V136" s="1126">
        <v>8.0</v>
      </c>
      <c r="W136" s="1138">
        <v>8.0</v>
      </c>
      <c r="X136" s="1137">
        <v>6.0</v>
      </c>
      <c r="Y136" s="1138">
        <v>6.0</v>
      </c>
      <c r="Z136" s="1126"/>
      <c r="AA136" s="1138"/>
      <c r="AB136" s="1126">
        <v>4.0</v>
      </c>
      <c r="AC136" s="1138">
        <v>4.0</v>
      </c>
      <c r="AD136" s="1137">
        <v>5.0</v>
      </c>
      <c r="AE136" s="1138">
        <v>5.0</v>
      </c>
      <c r="AF136" s="1137">
        <v>5.0</v>
      </c>
      <c r="AG136" s="1138">
        <v>5.0</v>
      </c>
      <c r="AH136" s="1120">
        <v>7.0</v>
      </c>
      <c r="AI136" s="1138">
        <v>7.0</v>
      </c>
      <c r="AJ136" s="1137">
        <v>2.0</v>
      </c>
      <c r="AK136" s="1138">
        <v>2.0</v>
      </c>
      <c r="AL136" s="1126">
        <v>3.0</v>
      </c>
      <c r="AM136" s="1138">
        <v>3.0</v>
      </c>
      <c r="AN136" s="1126">
        <v>3.0</v>
      </c>
      <c r="AO136" s="1138">
        <v>3.0</v>
      </c>
      <c r="AP136" s="1126">
        <v>2.0</v>
      </c>
      <c r="AQ136" s="1138">
        <v>2.0</v>
      </c>
      <c r="AR136" s="1126">
        <v>7.0</v>
      </c>
      <c r="AS136" s="1138">
        <v>7.0</v>
      </c>
      <c r="AT136" s="1126">
        <v>8.0</v>
      </c>
      <c r="AU136" s="1138">
        <v>8.0</v>
      </c>
      <c r="AV136" s="1126">
        <v>3.0</v>
      </c>
      <c r="AW136" s="1138">
        <v>3.0</v>
      </c>
      <c r="AX136" s="1126">
        <v>4.0</v>
      </c>
      <c r="AY136" s="1138">
        <v>4.0</v>
      </c>
      <c r="AZ136" s="1126">
        <v>3.0</v>
      </c>
      <c r="BA136" s="1138">
        <v>3.0</v>
      </c>
      <c r="BB136" s="1126">
        <v>2.0</v>
      </c>
      <c r="BC136" s="1138">
        <v>2.0</v>
      </c>
      <c r="BD136" s="1126">
        <v>2.0</v>
      </c>
      <c r="BE136" s="1138">
        <v>2.0</v>
      </c>
      <c r="BF136" s="1126">
        <v>5.0</v>
      </c>
      <c r="BG136" s="1138">
        <v>5.0</v>
      </c>
      <c r="BH136" s="1126">
        <v>3.0</v>
      </c>
      <c r="BI136" s="1138">
        <v>3.0</v>
      </c>
      <c r="BJ136" s="1126">
        <v>4.0</v>
      </c>
      <c r="BK136" s="1138">
        <v>4.0</v>
      </c>
      <c r="BL136" s="1134"/>
      <c r="BM136" s="1138"/>
      <c r="BN136" s="988">
        <v>10.0</v>
      </c>
      <c r="BO136" s="2062">
        <v>10.0</v>
      </c>
      <c r="BP136" s="80">
        <f t="shared" si="83"/>
        <v>122</v>
      </c>
      <c r="BQ136" s="2137">
        <f t="shared" si="84"/>
        <v>121</v>
      </c>
      <c r="BR136" s="2204">
        <f t="shared" si="86"/>
        <v>27467</v>
      </c>
      <c r="BS136" s="2205">
        <f t="shared" si="85"/>
        <v>27694</v>
      </c>
      <c r="BT136" s="683"/>
      <c r="BU136" s="683"/>
    </row>
    <row r="137" ht="21.0" customHeight="1">
      <c r="A137" s="1565" t="s">
        <v>145</v>
      </c>
      <c r="B137" s="1259">
        <v>4105.0</v>
      </c>
      <c r="C137" s="1948">
        <v>234.0</v>
      </c>
      <c r="D137" s="1133" t="s">
        <v>77</v>
      </c>
      <c r="E137" s="1118" t="str">
        <f>'Матрица 4 недели'!M165</f>
        <v>Свинина по-гавайски с картофелем</v>
      </c>
      <c r="F137" s="1126">
        <v>3.0</v>
      </c>
      <c r="G137" s="1138">
        <v>3.0</v>
      </c>
      <c r="H137" s="1126">
        <v>1.0</v>
      </c>
      <c r="I137" s="1138">
        <v>1.0</v>
      </c>
      <c r="J137" s="1126">
        <v>3.0</v>
      </c>
      <c r="K137" s="1138">
        <v>3.0</v>
      </c>
      <c r="L137" s="1141">
        <v>3.0</v>
      </c>
      <c r="M137" s="1138">
        <v>3.0</v>
      </c>
      <c r="N137" s="1126">
        <v>6.0</v>
      </c>
      <c r="O137" s="1138">
        <v>6.0</v>
      </c>
      <c r="P137" s="1126">
        <v>8.0</v>
      </c>
      <c r="Q137" s="1142">
        <v>8.0</v>
      </c>
      <c r="R137" s="1126">
        <v>2.0</v>
      </c>
      <c r="S137" s="1121">
        <v>2.0</v>
      </c>
      <c r="T137" s="1137">
        <v>4.0</v>
      </c>
      <c r="U137" s="1121">
        <v>4.0</v>
      </c>
      <c r="V137" s="1126">
        <v>3.0</v>
      </c>
      <c r="W137" s="1121">
        <v>3.0</v>
      </c>
      <c r="X137" s="1137">
        <v>2.0</v>
      </c>
      <c r="Y137" s="1121">
        <v>2.0</v>
      </c>
      <c r="Z137" s="1126"/>
      <c r="AA137" s="1121"/>
      <c r="AB137" s="1126">
        <v>1.0</v>
      </c>
      <c r="AC137" s="1121">
        <v>1.0</v>
      </c>
      <c r="AD137" s="1120">
        <v>2.0</v>
      </c>
      <c r="AE137" s="1121">
        <v>2.0</v>
      </c>
      <c r="AF137" s="1137">
        <v>2.0</v>
      </c>
      <c r="AG137" s="1121">
        <v>2.0</v>
      </c>
      <c r="AH137" s="1120">
        <v>3.0</v>
      </c>
      <c r="AI137" s="1121">
        <v>3.0</v>
      </c>
      <c r="AJ137" s="1120">
        <v>3.0</v>
      </c>
      <c r="AK137" s="1121">
        <v>3.0</v>
      </c>
      <c r="AL137" s="1126">
        <v>1.0</v>
      </c>
      <c r="AM137" s="1121">
        <v>1.0</v>
      </c>
      <c r="AN137" s="1126">
        <v>3.0</v>
      </c>
      <c r="AO137" s="1121">
        <v>3.0</v>
      </c>
      <c r="AP137" s="1126">
        <v>2.0</v>
      </c>
      <c r="AQ137" s="1121">
        <v>2.0</v>
      </c>
      <c r="AR137" s="1126">
        <v>3.0</v>
      </c>
      <c r="AS137" s="1121">
        <v>3.0</v>
      </c>
      <c r="AT137" s="1126">
        <v>3.0</v>
      </c>
      <c r="AU137" s="1121">
        <v>3.0</v>
      </c>
      <c r="AV137" s="1126">
        <v>1.0</v>
      </c>
      <c r="AW137" s="1121">
        <v>1.0</v>
      </c>
      <c r="AX137" s="1126">
        <v>2.0</v>
      </c>
      <c r="AY137" s="1121">
        <v>2.0</v>
      </c>
      <c r="AZ137" s="1126">
        <v>3.0</v>
      </c>
      <c r="BA137" s="1121">
        <v>3.0</v>
      </c>
      <c r="BB137" s="1126">
        <v>3.0</v>
      </c>
      <c r="BC137" s="1121">
        <v>3.0</v>
      </c>
      <c r="BD137" s="1126">
        <v>1.0</v>
      </c>
      <c r="BE137" s="1121">
        <v>1.0</v>
      </c>
      <c r="BF137" s="1126">
        <v>2.0</v>
      </c>
      <c r="BG137" s="1121">
        <v>2.0</v>
      </c>
      <c r="BH137" s="1126">
        <v>0.0</v>
      </c>
      <c r="BI137" s="1121">
        <v>0.0</v>
      </c>
      <c r="BJ137" s="1126">
        <v>2.0</v>
      </c>
      <c r="BK137" s="1121">
        <v>2.0</v>
      </c>
      <c r="BL137" s="1139"/>
      <c r="BM137" s="1138"/>
      <c r="BN137" s="988">
        <v>10.0</v>
      </c>
      <c r="BO137" s="2062">
        <v>10.0</v>
      </c>
      <c r="BP137" s="80">
        <f t="shared" si="83"/>
        <v>73</v>
      </c>
      <c r="BQ137" s="2133">
        <f t="shared" si="84"/>
        <v>72</v>
      </c>
      <c r="BR137" s="2204">
        <f t="shared" si="86"/>
        <v>16848</v>
      </c>
      <c r="BS137" s="2205">
        <f t="shared" si="85"/>
        <v>17082</v>
      </c>
      <c r="BT137" s="683"/>
      <c r="BU137" s="683"/>
    </row>
    <row r="138" ht="21.0" customHeight="1">
      <c r="A138" s="1565" t="s">
        <v>145</v>
      </c>
      <c r="B138" s="1259">
        <v>26.0</v>
      </c>
      <c r="C138" s="1948">
        <v>190.0</v>
      </c>
      <c r="D138" s="1133" t="s">
        <v>77</v>
      </c>
      <c r="E138" s="1118" t="str">
        <f>'Матрица 4 недели'!M166</f>
        <v>Плов по-узбекски с цыпленком б/250гр</v>
      </c>
      <c r="F138" s="1126">
        <v>8.0</v>
      </c>
      <c r="G138" s="1138">
        <v>8.0</v>
      </c>
      <c r="H138" s="1126">
        <v>3.0</v>
      </c>
      <c r="I138" s="1138">
        <v>3.0</v>
      </c>
      <c r="J138" s="1126">
        <v>2.0</v>
      </c>
      <c r="K138" s="1138">
        <v>2.0</v>
      </c>
      <c r="L138" s="1141">
        <v>2.0</v>
      </c>
      <c r="M138" s="1138">
        <v>2.0</v>
      </c>
      <c r="N138" s="1126">
        <v>7.0</v>
      </c>
      <c r="O138" s="1138">
        <v>7.0</v>
      </c>
      <c r="P138" s="1126">
        <v>3.0</v>
      </c>
      <c r="Q138" s="1142">
        <v>3.0</v>
      </c>
      <c r="R138" s="1126">
        <v>0.0</v>
      </c>
      <c r="S138" s="1121">
        <v>0.0</v>
      </c>
      <c r="T138" s="1137">
        <v>4.0</v>
      </c>
      <c r="U138" s="1121">
        <v>4.0</v>
      </c>
      <c r="V138" s="1126">
        <v>2.0</v>
      </c>
      <c r="W138" s="1121">
        <v>2.0</v>
      </c>
      <c r="X138" s="1137">
        <v>4.0</v>
      </c>
      <c r="Y138" s="1121">
        <v>4.0</v>
      </c>
      <c r="Z138" s="1126"/>
      <c r="AA138" s="1121"/>
      <c r="AB138" s="1126">
        <v>5.0</v>
      </c>
      <c r="AC138" s="1121">
        <v>5.0</v>
      </c>
      <c r="AD138" s="1120">
        <v>4.0</v>
      </c>
      <c r="AE138" s="1121">
        <v>4.0</v>
      </c>
      <c r="AF138" s="1137">
        <v>2.0</v>
      </c>
      <c r="AG138" s="1121">
        <v>2.0</v>
      </c>
      <c r="AH138" s="1120">
        <v>4.0</v>
      </c>
      <c r="AI138" s="1121">
        <v>4.0</v>
      </c>
      <c r="AJ138" s="1120">
        <v>4.0</v>
      </c>
      <c r="AK138" s="1121">
        <v>4.0</v>
      </c>
      <c r="AL138" s="1126">
        <v>5.0</v>
      </c>
      <c r="AM138" s="1121">
        <v>5.0</v>
      </c>
      <c r="AN138" s="1126">
        <v>3.0</v>
      </c>
      <c r="AO138" s="1121">
        <v>3.0</v>
      </c>
      <c r="AP138" s="1126">
        <v>4.0</v>
      </c>
      <c r="AQ138" s="1121">
        <v>4.0</v>
      </c>
      <c r="AR138" s="1126">
        <v>6.0</v>
      </c>
      <c r="AS138" s="1121">
        <v>6.0</v>
      </c>
      <c r="AT138" s="1126">
        <v>8.0</v>
      </c>
      <c r="AU138" s="1121">
        <v>8.0</v>
      </c>
      <c r="AV138" s="1126">
        <v>3.0</v>
      </c>
      <c r="AW138" s="1121">
        <v>3.0</v>
      </c>
      <c r="AX138" s="1126">
        <v>6.0</v>
      </c>
      <c r="AY138" s="1121">
        <v>6.0</v>
      </c>
      <c r="AZ138" s="1126">
        <v>5.0</v>
      </c>
      <c r="BA138" s="1121">
        <v>5.0</v>
      </c>
      <c r="BB138" s="1126">
        <v>3.0</v>
      </c>
      <c r="BC138" s="1121">
        <v>3.0</v>
      </c>
      <c r="BD138" s="1126">
        <v>4.0</v>
      </c>
      <c r="BE138" s="1121">
        <v>4.0</v>
      </c>
      <c r="BF138" s="1126">
        <v>6.0</v>
      </c>
      <c r="BG138" s="1121">
        <v>6.0</v>
      </c>
      <c r="BH138" s="1126">
        <v>5.0</v>
      </c>
      <c r="BI138" s="1121">
        <v>5.0</v>
      </c>
      <c r="BJ138" s="1126">
        <v>6.0</v>
      </c>
      <c r="BK138" s="1121">
        <v>6.0</v>
      </c>
      <c r="BL138" s="1139">
        <v>25.0</v>
      </c>
      <c r="BM138" s="1138">
        <v>25.0</v>
      </c>
      <c r="BN138" s="988">
        <v>10.0</v>
      </c>
      <c r="BO138" s="2062">
        <v>10.0</v>
      </c>
      <c r="BP138" s="80">
        <f t="shared" si="83"/>
        <v>144</v>
      </c>
      <c r="BQ138" s="2133">
        <f t="shared" si="84"/>
        <v>143</v>
      </c>
      <c r="BR138" s="2204">
        <f t="shared" si="86"/>
        <v>27170</v>
      </c>
      <c r="BS138" s="2205">
        <f t="shared" si="85"/>
        <v>27360</v>
      </c>
      <c r="BT138" s="683"/>
      <c r="BU138" s="683"/>
    </row>
    <row r="139" ht="21.0" customHeight="1">
      <c r="A139" s="1565" t="s">
        <v>145</v>
      </c>
      <c r="B139" s="1259">
        <v>4100.0</v>
      </c>
      <c r="C139" s="1948">
        <v>198.0</v>
      </c>
      <c r="D139" s="1133" t="s">
        <v>77</v>
      </c>
      <c r="E139" s="1118" t="str">
        <f>'Матрица 4 недели'!M167</f>
        <v>Курочка по-купечески с гречкой </v>
      </c>
      <c r="F139" s="1126">
        <v>6.0</v>
      </c>
      <c r="G139" s="1121">
        <v>6.0</v>
      </c>
      <c r="H139" s="1126">
        <v>5.0</v>
      </c>
      <c r="I139" s="1121">
        <v>2.0</v>
      </c>
      <c r="J139" s="1126">
        <v>3.0</v>
      </c>
      <c r="K139" s="1121">
        <v>3.0</v>
      </c>
      <c r="L139" s="1126">
        <v>9.0</v>
      </c>
      <c r="M139" s="1121">
        <v>9.0</v>
      </c>
      <c r="N139" s="1126">
        <v>12.0</v>
      </c>
      <c r="O139" s="1121">
        <v>12.0</v>
      </c>
      <c r="P139" s="1126">
        <v>9.0</v>
      </c>
      <c r="Q139" s="1121">
        <v>9.0</v>
      </c>
      <c r="R139" s="1126">
        <v>4.0</v>
      </c>
      <c r="S139" s="1121">
        <v>4.0</v>
      </c>
      <c r="T139" s="1126">
        <v>1.0</v>
      </c>
      <c r="U139" s="1138">
        <v>1.0</v>
      </c>
      <c r="V139" s="1126">
        <v>7.0</v>
      </c>
      <c r="W139" s="1138">
        <v>7.0</v>
      </c>
      <c r="X139" s="1137">
        <v>6.0</v>
      </c>
      <c r="Y139" s="1138">
        <v>6.0</v>
      </c>
      <c r="Z139" s="1126"/>
      <c r="AA139" s="1138"/>
      <c r="AB139" s="1126">
        <v>2.0</v>
      </c>
      <c r="AC139" s="1138">
        <v>3.0</v>
      </c>
      <c r="AD139" s="1137">
        <v>5.0</v>
      </c>
      <c r="AE139" s="1138">
        <v>6.0</v>
      </c>
      <c r="AF139" s="1137">
        <v>6.0</v>
      </c>
      <c r="AG139" s="1138">
        <v>6.0</v>
      </c>
      <c r="AH139" s="1120">
        <v>5.0</v>
      </c>
      <c r="AI139" s="1138">
        <v>5.0</v>
      </c>
      <c r="AJ139" s="1137">
        <v>5.0</v>
      </c>
      <c r="AK139" s="1138">
        <v>6.0</v>
      </c>
      <c r="AL139" s="1126">
        <v>4.0</v>
      </c>
      <c r="AM139" s="1138">
        <v>4.0</v>
      </c>
      <c r="AN139" s="1126">
        <v>3.0</v>
      </c>
      <c r="AO139" s="1138">
        <v>3.0</v>
      </c>
      <c r="AP139" s="1126">
        <v>4.0</v>
      </c>
      <c r="AQ139" s="1138">
        <v>4.0</v>
      </c>
      <c r="AR139" s="1126">
        <v>6.0</v>
      </c>
      <c r="AS139" s="1138">
        <v>6.0</v>
      </c>
      <c r="AT139" s="1126">
        <v>3.0</v>
      </c>
      <c r="AU139" s="1138">
        <v>3.0</v>
      </c>
      <c r="AV139" s="1126">
        <v>4.0</v>
      </c>
      <c r="AW139" s="1138">
        <v>4.0</v>
      </c>
      <c r="AX139" s="1126">
        <v>4.0</v>
      </c>
      <c r="AY139" s="1138">
        <v>4.0</v>
      </c>
      <c r="AZ139" s="1126">
        <v>2.0</v>
      </c>
      <c r="BA139" s="1138">
        <v>2.0</v>
      </c>
      <c r="BB139" s="1126">
        <v>2.0</v>
      </c>
      <c r="BC139" s="1138">
        <v>2.0</v>
      </c>
      <c r="BD139" s="1126">
        <v>4.0</v>
      </c>
      <c r="BE139" s="1138">
        <v>4.0</v>
      </c>
      <c r="BF139" s="1126">
        <v>2.0</v>
      </c>
      <c r="BG139" s="1138">
        <v>2.0</v>
      </c>
      <c r="BH139" s="1126">
        <v>8.0</v>
      </c>
      <c r="BI139" s="1138">
        <v>8.0</v>
      </c>
      <c r="BJ139" s="1126">
        <v>6.0</v>
      </c>
      <c r="BK139" s="1138">
        <v>6.0</v>
      </c>
      <c r="BL139" s="1139">
        <v>30.0</v>
      </c>
      <c r="BM139" s="1138">
        <v>30.0</v>
      </c>
      <c r="BN139" s="988">
        <v>10.0</v>
      </c>
      <c r="BO139" s="2062">
        <v>10.0</v>
      </c>
      <c r="BP139" s="80">
        <f t="shared" si="83"/>
        <v>168</v>
      </c>
      <c r="BQ139" s="2137">
        <f t="shared" si="84"/>
        <v>167</v>
      </c>
      <c r="BR139" s="2204">
        <v>167.0</v>
      </c>
      <c r="BS139" s="2205">
        <f t="shared" si="85"/>
        <v>33264</v>
      </c>
      <c r="BT139" s="683"/>
      <c r="BU139" s="683"/>
    </row>
    <row r="140" ht="21.0" customHeight="1">
      <c r="A140" s="1708"/>
      <c r="B140" s="1259">
        <v>3474.0</v>
      </c>
      <c r="C140" s="1948">
        <v>198.0</v>
      </c>
      <c r="D140" s="1133" t="s">
        <v>77</v>
      </c>
      <c r="E140" s="1118" t="str">
        <f>'Матрица 4 недели'!M168</f>
        <v>Свинина в томатном соусе с макаронами</v>
      </c>
      <c r="F140" s="1126"/>
      <c r="G140" s="1121"/>
      <c r="H140" s="1126"/>
      <c r="I140" s="1121"/>
      <c r="J140" s="1126"/>
      <c r="K140" s="1121"/>
      <c r="L140" s="1126"/>
      <c r="M140" s="1121"/>
      <c r="N140" s="1126"/>
      <c r="O140" s="1121"/>
      <c r="P140" s="1126"/>
      <c r="Q140" s="1121"/>
      <c r="R140" s="1126"/>
      <c r="S140" s="1121"/>
      <c r="T140" s="1126"/>
      <c r="U140" s="1138"/>
      <c r="V140" s="1126"/>
      <c r="W140" s="1138"/>
      <c r="X140" s="1137"/>
      <c r="Y140" s="1138"/>
      <c r="Z140" s="1126"/>
      <c r="AA140" s="1138"/>
      <c r="AB140" s="1126"/>
      <c r="AC140" s="1138"/>
      <c r="AD140" s="1137"/>
      <c r="AE140" s="1138"/>
      <c r="AF140" s="1137"/>
      <c r="AG140" s="1138"/>
      <c r="AH140" s="1120"/>
      <c r="AI140" s="1138"/>
      <c r="AJ140" s="1137"/>
      <c r="AK140" s="1138"/>
      <c r="AL140" s="1126"/>
      <c r="AM140" s="1138"/>
      <c r="AN140" s="1126"/>
      <c r="AO140" s="1138"/>
      <c r="AP140" s="1126"/>
      <c r="AQ140" s="1138"/>
      <c r="AR140" s="1126"/>
      <c r="AS140" s="1138"/>
      <c r="AT140" s="1126"/>
      <c r="AU140" s="1138"/>
      <c r="AV140" s="1126"/>
      <c r="AW140" s="1138"/>
      <c r="AX140" s="1126"/>
      <c r="AY140" s="1138"/>
      <c r="AZ140" s="1126"/>
      <c r="BA140" s="1138"/>
      <c r="BB140" s="1126"/>
      <c r="BC140" s="1138"/>
      <c r="BD140" s="1126"/>
      <c r="BE140" s="1138"/>
      <c r="BF140" s="1126"/>
      <c r="BG140" s="1138"/>
      <c r="BH140" s="1126"/>
      <c r="BI140" s="1138"/>
      <c r="BJ140" s="1126"/>
      <c r="BK140" s="1138"/>
      <c r="BL140" s="1152">
        <v>75.0</v>
      </c>
      <c r="BM140" s="1138">
        <v>75.0</v>
      </c>
      <c r="BN140" s="2207"/>
      <c r="BO140" s="1579"/>
      <c r="BP140" s="80">
        <f t="shared" si="83"/>
        <v>76</v>
      </c>
      <c r="BQ140" s="2137">
        <f t="shared" si="84"/>
        <v>75</v>
      </c>
      <c r="BR140" s="2204">
        <f t="shared" ref="BR140:BR143" si="87">C140*BQ140</f>
        <v>14850</v>
      </c>
      <c r="BS140" s="2205">
        <f t="shared" si="85"/>
        <v>15048</v>
      </c>
      <c r="BT140" s="683"/>
      <c r="BU140" s="683"/>
    </row>
    <row r="141" ht="21.0" customHeight="1">
      <c r="A141" s="1565" t="s">
        <v>145</v>
      </c>
      <c r="B141" s="1259">
        <v>102.0</v>
      </c>
      <c r="C141" s="2206">
        <v>271.0</v>
      </c>
      <c r="D141" s="1629" t="s">
        <v>77</v>
      </c>
      <c r="E141" s="1118" t="str">
        <f>'Матрица 4 недели'!M171</f>
        <v>Соба с курицей в устричном соусе</v>
      </c>
      <c r="F141" s="1137">
        <v>4.0</v>
      </c>
      <c r="G141" s="1121">
        <v>4.0</v>
      </c>
      <c r="H141" s="1126">
        <v>3.0</v>
      </c>
      <c r="I141" s="1121">
        <v>3.0</v>
      </c>
      <c r="J141" s="1126">
        <v>3.0</v>
      </c>
      <c r="K141" s="1600">
        <v>3.0</v>
      </c>
      <c r="L141" s="1161">
        <v>5.0</v>
      </c>
      <c r="M141" s="1600">
        <v>5.0</v>
      </c>
      <c r="N141" s="1126">
        <v>5.0</v>
      </c>
      <c r="O141" s="1121">
        <v>5.0</v>
      </c>
      <c r="P141" s="1126">
        <v>5.0</v>
      </c>
      <c r="Q141" s="1121">
        <v>5.0</v>
      </c>
      <c r="R141" s="1126">
        <v>4.0</v>
      </c>
      <c r="S141" s="1121">
        <v>4.0</v>
      </c>
      <c r="T141" s="1126">
        <v>3.0</v>
      </c>
      <c r="U141" s="1138">
        <v>3.0</v>
      </c>
      <c r="V141" s="1137">
        <v>4.0</v>
      </c>
      <c r="W141" s="1138">
        <v>4.0</v>
      </c>
      <c r="X141" s="1137">
        <v>4.0</v>
      </c>
      <c r="Y141" s="1138">
        <v>4.0</v>
      </c>
      <c r="Z141" s="1137"/>
      <c r="AA141" s="1138"/>
      <c r="AB141" s="1137">
        <v>3.0</v>
      </c>
      <c r="AC141" s="1138">
        <v>3.0</v>
      </c>
      <c r="AD141" s="1137">
        <v>4.0</v>
      </c>
      <c r="AE141" s="1138">
        <v>4.0</v>
      </c>
      <c r="AF141" s="1137">
        <v>6.0</v>
      </c>
      <c r="AG141" s="1138">
        <v>6.0</v>
      </c>
      <c r="AH141" s="1137">
        <v>5.0</v>
      </c>
      <c r="AI141" s="1138">
        <v>5.0</v>
      </c>
      <c r="AJ141" s="1137">
        <v>7.0</v>
      </c>
      <c r="AK141" s="1138">
        <v>7.0</v>
      </c>
      <c r="AL141" s="1120">
        <v>4.0</v>
      </c>
      <c r="AM141" s="1138">
        <v>4.0</v>
      </c>
      <c r="AN141" s="1120">
        <v>3.0</v>
      </c>
      <c r="AO141" s="1131">
        <v>3.0</v>
      </c>
      <c r="AP141" s="1120">
        <v>3.0</v>
      </c>
      <c r="AQ141" s="1131">
        <v>3.0</v>
      </c>
      <c r="AR141" s="1120">
        <v>3.0</v>
      </c>
      <c r="AS141" s="1121">
        <v>3.0</v>
      </c>
      <c r="AT141" s="1126">
        <v>6.0</v>
      </c>
      <c r="AU141" s="1121">
        <v>6.0</v>
      </c>
      <c r="AV141" s="1126">
        <v>2.0</v>
      </c>
      <c r="AW141" s="1121">
        <v>2.0</v>
      </c>
      <c r="AX141" s="1126">
        <v>5.0</v>
      </c>
      <c r="AY141" s="1121">
        <v>5.0</v>
      </c>
      <c r="AZ141" s="1141">
        <v>3.0</v>
      </c>
      <c r="BA141" s="1121">
        <v>3.0</v>
      </c>
      <c r="BB141" s="1126">
        <v>2.0</v>
      </c>
      <c r="BC141" s="1121">
        <v>2.0</v>
      </c>
      <c r="BD141" s="1126">
        <v>2.0</v>
      </c>
      <c r="BE141" s="1121">
        <v>2.0</v>
      </c>
      <c r="BF141" s="1126">
        <v>2.0</v>
      </c>
      <c r="BG141" s="1121">
        <v>2.0</v>
      </c>
      <c r="BH141" s="1126">
        <v>6.0</v>
      </c>
      <c r="BI141" s="1121">
        <v>6.0</v>
      </c>
      <c r="BJ141" s="1126">
        <v>5.0</v>
      </c>
      <c r="BK141" s="1121">
        <v>5.0</v>
      </c>
      <c r="BL141" s="1152"/>
      <c r="BM141" s="1138"/>
      <c r="BN141" s="988"/>
      <c r="BO141" s="1579"/>
      <c r="BP141" s="80">
        <f t="shared" si="83"/>
        <v>112</v>
      </c>
      <c r="BQ141" s="2137">
        <f t="shared" si="84"/>
        <v>111</v>
      </c>
      <c r="BR141" s="2204">
        <f t="shared" si="87"/>
        <v>30081</v>
      </c>
      <c r="BS141" s="2205">
        <f t="shared" si="85"/>
        <v>30352</v>
      </c>
      <c r="BT141" s="683"/>
      <c r="BU141" s="683"/>
    </row>
    <row r="142" ht="21.0" customHeight="1">
      <c r="A142" s="1708"/>
      <c r="B142" s="1259">
        <v>3375.0</v>
      </c>
      <c r="C142" s="1948">
        <v>90.0</v>
      </c>
      <c r="D142" s="1133" t="s">
        <v>78</v>
      </c>
      <c r="E142" s="1118" t="str">
        <f>'Матрица 4 недели'!P164</f>
        <v>Самса с куриной грудкой 150 грамм</v>
      </c>
      <c r="F142" s="1126"/>
      <c r="G142" s="1138"/>
      <c r="H142" s="1126"/>
      <c r="I142" s="1138"/>
      <c r="J142" s="1126"/>
      <c r="K142" s="1405"/>
      <c r="L142" s="1161"/>
      <c r="M142" s="1405"/>
      <c r="N142" s="1302"/>
      <c r="O142" s="1138"/>
      <c r="P142" s="1126"/>
      <c r="Q142" s="2209"/>
      <c r="R142" s="1126"/>
      <c r="S142" s="1138"/>
      <c r="T142" s="1126"/>
      <c r="U142" s="1138"/>
      <c r="V142" s="1126"/>
      <c r="W142" s="1138"/>
      <c r="X142" s="1126"/>
      <c r="Y142" s="1138"/>
      <c r="Z142" s="1126"/>
      <c r="AA142" s="1138"/>
      <c r="AB142" s="1120"/>
      <c r="AC142" s="1138"/>
      <c r="AD142" s="1120"/>
      <c r="AE142" s="1138"/>
      <c r="AF142" s="1120"/>
      <c r="AG142" s="1138"/>
      <c r="AH142" s="1120"/>
      <c r="AI142" s="1138"/>
      <c r="AJ142" s="1120"/>
      <c r="AK142" s="1138"/>
      <c r="AL142" s="1126"/>
      <c r="AM142" s="1138"/>
      <c r="AN142" s="1126"/>
      <c r="AO142" s="1307"/>
      <c r="AP142" s="1141"/>
      <c r="AQ142" s="1307"/>
      <c r="AR142" s="1126"/>
      <c r="AS142" s="1138"/>
      <c r="AT142" s="1126"/>
      <c r="AU142" s="1138"/>
      <c r="AV142" s="1126"/>
      <c r="AW142" s="1138"/>
      <c r="AX142" s="1126"/>
      <c r="AY142" s="1138"/>
      <c r="AZ142" s="1126"/>
      <c r="BA142" s="1138"/>
      <c r="BB142" s="1126"/>
      <c r="BC142" s="1138"/>
      <c r="BD142" s="1126"/>
      <c r="BE142" s="1138"/>
      <c r="BF142" s="1126"/>
      <c r="BG142" s="1138"/>
      <c r="BH142" s="1126"/>
      <c r="BI142" s="1138"/>
      <c r="BJ142" s="1126"/>
      <c r="BK142" s="1138"/>
      <c r="BL142" s="1152">
        <v>10.0</v>
      </c>
      <c r="BM142" s="1138">
        <v>15.0</v>
      </c>
      <c r="BN142" s="988"/>
      <c r="BO142" s="2062"/>
      <c r="BP142" s="80">
        <f t="shared" si="83"/>
        <v>11</v>
      </c>
      <c r="BQ142" s="2137">
        <f t="shared" si="84"/>
        <v>15</v>
      </c>
      <c r="BR142" s="2204">
        <f t="shared" si="87"/>
        <v>1350</v>
      </c>
      <c r="BS142" s="2205">
        <f t="shared" si="85"/>
        <v>990</v>
      </c>
      <c r="BT142" s="683"/>
      <c r="BU142" s="683"/>
    </row>
    <row r="143" ht="21.0" customHeight="1">
      <c r="A143" s="1565" t="s">
        <v>145</v>
      </c>
      <c r="B143" s="1259">
        <v>4051.0</v>
      </c>
      <c r="C143" s="1948">
        <v>196.0</v>
      </c>
      <c r="D143" s="1133" t="s">
        <v>79</v>
      </c>
      <c r="E143" s="1118" t="str">
        <f>'Матрица 4 недели'!S164</f>
        <v>Сэндвич с бужениной и горчичным соусом</v>
      </c>
      <c r="F143" s="1137">
        <v>13.0</v>
      </c>
      <c r="G143" s="1121">
        <v>13.0</v>
      </c>
      <c r="H143" s="1126">
        <v>2.0</v>
      </c>
      <c r="I143" s="1121">
        <v>2.0</v>
      </c>
      <c r="J143" s="1126">
        <v>2.0</v>
      </c>
      <c r="K143" s="1160">
        <v>2.0</v>
      </c>
      <c r="L143" s="1161">
        <v>4.0</v>
      </c>
      <c r="M143" s="1160">
        <v>4.0</v>
      </c>
      <c r="N143" s="1126">
        <v>8.0</v>
      </c>
      <c r="O143" s="1121">
        <v>8.0</v>
      </c>
      <c r="P143" s="1126">
        <v>6.0</v>
      </c>
      <c r="Q143" s="1121">
        <v>6.0</v>
      </c>
      <c r="R143" s="1120">
        <v>3.0</v>
      </c>
      <c r="S143" s="1121">
        <v>3.0</v>
      </c>
      <c r="T143" s="1126">
        <v>3.0</v>
      </c>
      <c r="U143" s="1138">
        <v>3.0</v>
      </c>
      <c r="V143" s="1137">
        <v>5.0</v>
      </c>
      <c r="W143" s="1138">
        <v>5.0</v>
      </c>
      <c r="X143" s="1137">
        <v>5.0</v>
      </c>
      <c r="Y143" s="1138">
        <v>5.0</v>
      </c>
      <c r="Z143" s="1137"/>
      <c r="AA143" s="1138"/>
      <c r="AB143" s="1137">
        <v>6.0</v>
      </c>
      <c r="AC143" s="1138">
        <v>6.0</v>
      </c>
      <c r="AD143" s="1137">
        <v>8.0</v>
      </c>
      <c r="AE143" s="1138">
        <v>8.0</v>
      </c>
      <c r="AF143" s="1137">
        <v>4.0</v>
      </c>
      <c r="AG143" s="1138">
        <v>4.0</v>
      </c>
      <c r="AH143" s="1137">
        <v>8.0</v>
      </c>
      <c r="AI143" s="1138">
        <v>8.0</v>
      </c>
      <c r="AJ143" s="1137">
        <v>2.0</v>
      </c>
      <c r="AK143" s="1138">
        <v>2.0</v>
      </c>
      <c r="AL143" s="1126">
        <v>6.0</v>
      </c>
      <c r="AM143" s="1138">
        <v>6.0</v>
      </c>
      <c r="AN143" s="1120">
        <v>3.0</v>
      </c>
      <c r="AO143" s="1307">
        <v>3.0</v>
      </c>
      <c r="AP143" s="1141">
        <v>7.0</v>
      </c>
      <c r="AQ143" s="1305">
        <v>7.0</v>
      </c>
      <c r="AR143" s="1126">
        <v>8.0</v>
      </c>
      <c r="AS143" s="1138">
        <v>8.0</v>
      </c>
      <c r="AT143" s="1126">
        <v>4.0</v>
      </c>
      <c r="AU143" s="1138">
        <v>4.0</v>
      </c>
      <c r="AV143" s="1126">
        <v>6.0</v>
      </c>
      <c r="AW143" s="1138">
        <v>6.0</v>
      </c>
      <c r="AX143" s="1126">
        <v>6.0</v>
      </c>
      <c r="AY143" s="1138">
        <v>6.0</v>
      </c>
      <c r="AZ143" s="1126">
        <v>2.0</v>
      </c>
      <c r="BA143" s="1138">
        <v>2.0</v>
      </c>
      <c r="BB143" s="1126">
        <v>6.0</v>
      </c>
      <c r="BC143" s="1138">
        <v>6.0</v>
      </c>
      <c r="BD143" s="1126">
        <v>2.0</v>
      </c>
      <c r="BE143" s="1138">
        <v>2.0</v>
      </c>
      <c r="BF143" s="1126">
        <v>5.0</v>
      </c>
      <c r="BG143" s="1138">
        <v>5.0</v>
      </c>
      <c r="BH143" s="1126">
        <v>4.0</v>
      </c>
      <c r="BI143" s="1138">
        <v>4.0</v>
      </c>
      <c r="BJ143" s="1126">
        <v>5.0</v>
      </c>
      <c r="BK143" s="1138">
        <v>5.0</v>
      </c>
      <c r="BL143" s="1134"/>
      <c r="BM143" s="1138"/>
      <c r="BN143" s="2207"/>
      <c r="BO143" s="1579"/>
      <c r="BP143" s="80">
        <f t="shared" si="83"/>
        <v>144</v>
      </c>
      <c r="BQ143" s="2137">
        <f t="shared" si="84"/>
        <v>143</v>
      </c>
      <c r="BR143" s="2204">
        <f t="shared" si="87"/>
        <v>28028</v>
      </c>
      <c r="BS143" s="2205">
        <f t="shared" si="85"/>
        <v>28224</v>
      </c>
      <c r="BT143" s="683"/>
      <c r="BU143" s="683"/>
    </row>
    <row r="144" ht="21.0" customHeight="1">
      <c r="A144" s="1565" t="s">
        <v>145</v>
      </c>
      <c r="B144" s="1259">
        <v>3330.0</v>
      </c>
      <c r="C144" s="1948">
        <v>172.0</v>
      </c>
      <c r="D144" s="1133" t="s">
        <v>79</v>
      </c>
      <c r="E144" s="1118" t="str">
        <f>'Матрица 4 недели'!S165</f>
        <v>Сэндвич с курицей и соусом Барбекю</v>
      </c>
      <c r="F144" s="1137">
        <v>9.0</v>
      </c>
      <c r="G144" s="1121">
        <v>9.0</v>
      </c>
      <c r="H144" s="1126">
        <v>2.0</v>
      </c>
      <c r="I144" s="1121">
        <v>2.0</v>
      </c>
      <c r="J144" s="1126">
        <v>2.0</v>
      </c>
      <c r="K144" s="1160">
        <v>2.0</v>
      </c>
      <c r="L144" s="1161">
        <v>4.0</v>
      </c>
      <c r="M144" s="1162">
        <v>4.0</v>
      </c>
      <c r="N144" s="1126">
        <v>2.0</v>
      </c>
      <c r="O144" s="1121">
        <v>2.0</v>
      </c>
      <c r="P144" s="1126">
        <v>2.0</v>
      </c>
      <c r="Q144" s="1121">
        <v>2.0</v>
      </c>
      <c r="R144" s="1120">
        <v>2.0</v>
      </c>
      <c r="S144" s="1121">
        <v>2.0</v>
      </c>
      <c r="T144" s="1126">
        <v>1.0</v>
      </c>
      <c r="U144" s="1121">
        <v>1.0</v>
      </c>
      <c r="V144" s="1137">
        <v>2.0</v>
      </c>
      <c r="W144" s="1121">
        <v>2.0</v>
      </c>
      <c r="X144" s="1137">
        <v>6.0</v>
      </c>
      <c r="Y144" s="1121">
        <v>6.0</v>
      </c>
      <c r="Z144" s="1137"/>
      <c r="AA144" s="1121"/>
      <c r="AB144" s="1137">
        <v>2.0</v>
      </c>
      <c r="AC144" s="1121">
        <v>2.0</v>
      </c>
      <c r="AD144" s="1137">
        <v>4.0</v>
      </c>
      <c r="AE144" s="1121">
        <v>4.0</v>
      </c>
      <c r="AF144" s="1120">
        <v>1.0</v>
      </c>
      <c r="AG144" s="1121">
        <v>1.0</v>
      </c>
      <c r="AH144" s="1137">
        <v>2.0</v>
      </c>
      <c r="AI144" s="1121">
        <v>2.0</v>
      </c>
      <c r="AJ144" s="1120">
        <v>2.0</v>
      </c>
      <c r="AK144" s="1121">
        <v>2.0</v>
      </c>
      <c r="AL144" s="1126">
        <v>2.0</v>
      </c>
      <c r="AM144" s="1121">
        <v>2.0</v>
      </c>
      <c r="AN144" s="1120">
        <v>3.0</v>
      </c>
      <c r="AO144" s="1307">
        <v>3.0</v>
      </c>
      <c r="AP144" s="1141">
        <v>3.0</v>
      </c>
      <c r="AQ144" s="1307">
        <v>3.0</v>
      </c>
      <c r="AR144" s="1126">
        <v>5.0</v>
      </c>
      <c r="AS144" s="1138">
        <v>5.0</v>
      </c>
      <c r="AT144" s="1126">
        <v>4.0</v>
      </c>
      <c r="AU144" s="1138">
        <v>4.0</v>
      </c>
      <c r="AV144" s="1126">
        <v>6.0</v>
      </c>
      <c r="AW144" s="1138">
        <v>6.0</v>
      </c>
      <c r="AX144" s="1126">
        <v>6.0</v>
      </c>
      <c r="AY144" s="1138">
        <v>6.0</v>
      </c>
      <c r="AZ144" s="1126">
        <v>4.0</v>
      </c>
      <c r="BA144" s="1138">
        <v>4.0</v>
      </c>
      <c r="BB144" s="1126">
        <v>6.0</v>
      </c>
      <c r="BC144" s="1138">
        <v>6.0</v>
      </c>
      <c r="BD144" s="1126">
        <v>3.0</v>
      </c>
      <c r="BE144" s="1138">
        <v>3.0</v>
      </c>
      <c r="BF144" s="1126">
        <v>4.0</v>
      </c>
      <c r="BG144" s="1138">
        <v>4.0</v>
      </c>
      <c r="BH144" s="1126">
        <v>2.0</v>
      </c>
      <c r="BI144" s="1138">
        <v>2.0</v>
      </c>
      <c r="BJ144" s="1126">
        <v>3.0</v>
      </c>
      <c r="BK144" s="1138">
        <v>3.0</v>
      </c>
      <c r="BL144" s="1134"/>
      <c r="BM144" s="1138"/>
      <c r="BN144" s="2207"/>
      <c r="BO144" s="1579"/>
      <c r="BP144" s="80">
        <f t="shared" si="83"/>
        <v>95</v>
      </c>
      <c r="BQ144" s="2137">
        <f t="shared" si="84"/>
        <v>94</v>
      </c>
      <c r="BR144" s="2204">
        <v>94.0</v>
      </c>
      <c r="BS144" s="2205">
        <f t="shared" si="85"/>
        <v>16340</v>
      </c>
      <c r="BT144" s="683"/>
      <c r="BU144" s="683"/>
    </row>
    <row r="145" ht="21.0" customHeight="1">
      <c r="A145" s="1708"/>
      <c r="B145" s="1259">
        <v>2897.0</v>
      </c>
      <c r="C145" s="1948">
        <v>129.0</v>
      </c>
      <c r="D145" s="1133" t="s">
        <v>79</v>
      </c>
      <c r="E145" s="1118" t="str">
        <f>'Матрица 4 недели'!S166</f>
        <v>Перловка с грибами </v>
      </c>
      <c r="F145" s="1137"/>
      <c r="G145" s="1138">
        <v>2.0</v>
      </c>
      <c r="H145" s="1126"/>
      <c r="I145" s="1140">
        <v>2.0</v>
      </c>
      <c r="J145" s="1126"/>
      <c r="K145" s="1405">
        <v>2.0</v>
      </c>
      <c r="L145" s="1161"/>
      <c r="M145" s="1405"/>
      <c r="N145" s="1126"/>
      <c r="O145" s="1138">
        <v>2.0</v>
      </c>
      <c r="P145" s="1126"/>
      <c r="Q145" s="1142">
        <v>2.0</v>
      </c>
      <c r="R145" s="1126"/>
      <c r="S145" s="1121">
        <v>2.0</v>
      </c>
      <c r="T145" s="1137"/>
      <c r="U145" s="1121">
        <v>2.0</v>
      </c>
      <c r="V145" s="1137"/>
      <c r="W145" s="1121">
        <v>2.0</v>
      </c>
      <c r="X145" s="1137"/>
      <c r="Y145" s="1121">
        <v>2.0</v>
      </c>
      <c r="Z145" s="1137"/>
      <c r="AA145" s="1121"/>
      <c r="AB145" s="1120"/>
      <c r="AC145" s="1121">
        <v>2.0</v>
      </c>
      <c r="AD145" s="1120"/>
      <c r="AE145" s="1121">
        <v>2.0</v>
      </c>
      <c r="AF145" s="1137"/>
      <c r="AG145" s="1121">
        <v>2.0</v>
      </c>
      <c r="AH145" s="1120"/>
      <c r="AI145" s="1121">
        <v>2.0</v>
      </c>
      <c r="AJ145" s="1120"/>
      <c r="AK145" s="1121">
        <v>2.0</v>
      </c>
      <c r="AL145" s="1137"/>
      <c r="AM145" s="1121">
        <v>2.0</v>
      </c>
      <c r="AN145" s="1137"/>
      <c r="AO145" s="1138">
        <v>2.0</v>
      </c>
      <c r="AP145" s="1137"/>
      <c r="AQ145" s="1138">
        <v>2.0</v>
      </c>
      <c r="AR145" s="1137"/>
      <c r="AS145" s="1121">
        <v>3.0</v>
      </c>
      <c r="AT145" s="1126"/>
      <c r="AU145" s="1121">
        <v>3.0</v>
      </c>
      <c r="AV145" s="1126"/>
      <c r="AW145" s="1138">
        <v>2.0</v>
      </c>
      <c r="AX145" s="1126"/>
      <c r="AY145" s="1138">
        <v>3.0</v>
      </c>
      <c r="AZ145" s="1126"/>
      <c r="BA145" s="1138">
        <v>2.0</v>
      </c>
      <c r="BB145" s="1126"/>
      <c r="BC145" s="1127">
        <v>2.0</v>
      </c>
      <c r="BD145" s="1126"/>
      <c r="BE145" s="1127">
        <v>3.0</v>
      </c>
      <c r="BF145" s="1126"/>
      <c r="BG145" s="1127">
        <v>3.0</v>
      </c>
      <c r="BH145" s="1126"/>
      <c r="BI145" s="1127">
        <v>2.0</v>
      </c>
      <c r="BJ145" s="1126"/>
      <c r="BK145" s="1127">
        <v>3.0</v>
      </c>
      <c r="BL145" s="1139"/>
      <c r="BM145" s="1138"/>
      <c r="BN145" s="988"/>
      <c r="BO145" s="1167"/>
      <c r="BP145" s="80">
        <f t="shared" si="83"/>
        <v>1</v>
      </c>
      <c r="BQ145" s="2133">
        <f t="shared" si="84"/>
        <v>60</v>
      </c>
      <c r="BR145" s="2204">
        <f t="shared" ref="BR145:BR153" si="88">C145*BQ145</f>
        <v>7740</v>
      </c>
      <c r="BS145" s="2205">
        <f t="shared" si="85"/>
        <v>129</v>
      </c>
      <c r="BT145" s="683"/>
      <c r="BU145" s="683"/>
    </row>
    <row r="146" ht="21.0" customHeight="1">
      <c r="A146" s="1565" t="s">
        <v>145</v>
      </c>
      <c r="B146" s="1164">
        <v>4000.0</v>
      </c>
      <c r="C146" s="1153">
        <v>98.0</v>
      </c>
      <c r="D146" s="1133" t="s">
        <v>80</v>
      </c>
      <c r="E146" s="1145" t="str">
        <f>'Матрица 4 недели'!V165</f>
        <v>Компот из сухофруктов 0,5 л</v>
      </c>
      <c r="F146" s="1151">
        <v>14.0</v>
      </c>
      <c r="G146" s="1173">
        <v>14.0</v>
      </c>
      <c r="H146" s="1151">
        <v>5.0</v>
      </c>
      <c r="I146" s="1173">
        <v>4.0</v>
      </c>
      <c r="J146" s="1151">
        <v>8.0</v>
      </c>
      <c r="K146" s="1173">
        <v>4.0</v>
      </c>
      <c r="L146" s="1151">
        <v>0.0</v>
      </c>
      <c r="M146" s="1173">
        <v>0.0</v>
      </c>
      <c r="N146" s="1151">
        <v>5.0</v>
      </c>
      <c r="O146" s="1173">
        <v>5.0</v>
      </c>
      <c r="P146" s="1151">
        <v>14.0</v>
      </c>
      <c r="Q146" s="1173">
        <v>14.0</v>
      </c>
      <c r="R146" s="1760">
        <v>0.0</v>
      </c>
      <c r="S146" s="1173">
        <v>0.0</v>
      </c>
      <c r="T146" s="1769">
        <v>0.0</v>
      </c>
      <c r="U146" s="1173">
        <v>0.0</v>
      </c>
      <c r="V146" s="1769">
        <v>0.0</v>
      </c>
      <c r="W146" s="1173">
        <v>0.0</v>
      </c>
      <c r="X146" s="1769">
        <v>5.0</v>
      </c>
      <c r="Y146" s="1173">
        <v>5.0</v>
      </c>
      <c r="Z146" s="1769"/>
      <c r="AA146" s="1173"/>
      <c r="AB146" s="1760">
        <v>0.0</v>
      </c>
      <c r="AC146" s="1173">
        <v>0.0</v>
      </c>
      <c r="AD146" s="1769">
        <v>0.0</v>
      </c>
      <c r="AE146" s="1173">
        <v>0.0</v>
      </c>
      <c r="AF146" s="1769">
        <v>10.0</v>
      </c>
      <c r="AG146" s="1135">
        <v>5.0</v>
      </c>
      <c r="AH146" s="1760">
        <v>5.0</v>
      </c>
      <c r="AI146" s="1135">
        <v>0.0</v>
      </c>
      <c r="AJ146" s="1760">
        <v>0.0</v>
      </c>
      <c r="AK146" s="1135">
        <v>0.0</v>
      </c>
      <c r="AL146" s="1151">
        <v>0.0</v>
      </c>
      <c r="AM146" s="1135">
        <v>0.0</v>
      </c>
      <c r="AN146" s="1769"/>
      <c r="AO146" s="1173"/>
      <c r="AP146" s="1151">
        <v>0.0</v>
      </c>
      <c r="AQ146" s="1173">
        <v>0.0</v>
      </c>
      <c r="AR146" s="1151">
        <v>30.0</v>
      </c>
      <c r="AS146" s="1173">
        <v>20.0</v>
      </c>
      <c r="AT146" s="1151">
        <v>7.0</v>
      </c>
      <c r="AU146" s="1173">
        <v>7.0</v>
      </c>
      <c r="AV146" s="1151">
        <v>16.0</v>
      </c>
      <c r="AW146" s="1173">
        <v>8.0</v>
      </c>
      <c r="AX146" s="1151">
        <v>15.0</v>
      </c>
      <c r="AY146" s="1173">
        <v>10.0</v>
      </c>
      <c r="AZ146" s="1126">
        <v>0.0</v>
      </c>
      <c r="BA146" s="1173">
        <v>0.0</v>
      </c>
      <c r="BB146" s="1151"/>
      <c r="BC146" s="1173">
        <v>0.0</v>
      </c>
      <c r="BD146" s="1151">
        <v>6.0</v>
      </c>
      <c r="BE146" s="1173">
        <v>0.0</v>
      </c>
      <c r="BF146" s="1151">
        <v>17.0</v>
      </c>
      <c r="BG146" s="1173">
        <v>15.0</v>
      </c>
      <c r="BH146" s="1151">
        <v>10.0</v>
      </c>
      <c r="BI146" s="1138">
        <v>6.0</v>
      </c>
      <c r="BJ146" s="1126">
        <v>15.0</v>
      </c>
      <c r="BK146" s="1138">
        <v>10.0</v>
      </c>
      <c r="BL146" s="1134"/>
      <c r="BM146" s="1121"/>
      <c r="BN146" s="2207"/>
      <c r="BO146" s="1579"/>
      <c r="BP146" s="80">
        <f t="shared" si="83"/>
        <v>183</v>
      </c>
      <c r="BQ146" s="2137">
        <f t="shared" si="84"/>
        <v>127</v>
      </c>
      <c r="BR146" s="2204">
        <f t="shared" si="88"/>
        <v>12446</v>
      </c>
      <c r="BS146" s="2205">
        <f t="shared" si="85"/>
        <v>17934</v>
      </c>
      <c r="BT146" s="683"/>
      <c r="BU146" s="683"/>
    </row>
    <row r="147" ht="21.0" customHeight="1">
      <c r="A147" s="1708"/>
      <c r="B147" s="1164"/>
      <c r="C147" s="1153"/>
      <c r="D147" s="1153"/>
      <c r="E147" s="2088" t="str">
        <f>'Матрица 4 недели'!M169</f>
        <v/>
      </c>
      <c r="F147" s="1137"/>
      <c r="G147" s="1138"/>
      <c r="H147" s="1126"/>
      <c r="I147" s="1140"/>
      <c r="J147" s="1126"/>
      <c r="K147" s="1405"/>
      <c r="L147" s="1161"/>
      <c r="M147" s="1405"/>
      <c r="N147" s="1126"/>
      <c r="O147" s="1138"/>
      <c r="P147" s="1126"/>
      <c r="Q147" s="1142"/>
      <c r="R147" s="1126"/>
      <c r="S147" s="1121"/>
      <c r="T147" s="1137"/>
      <c r="U147" s="1121"/>
      <c r="V147" s="1137"/>
      <c r="W147" s="1121"/>
      <c r="X147" s="1137"/>
      <c r="Y147" s="1121"/>
      <c r="Z147" s="1120"/>
      <c r="AA147" s="1121"/>
      <c r="AB147" s="1120"/>
      <c r="AC147" s="1121"/>
      <c r="AD147" s="1120"/>
      <c r="AE147" s="1121"/>
      <c r="AF147" s="1137"/>
      <c r="AG147" s="1121"/>
      <c r="AH147" s="1120"/>
      <c r="AI147" s="1121"/>
      <c r="AJ147" s="1120"/>
      <c r="AK147" s="1121"/>
      <c r="AL147" s="1137"/>
      <c r="AM147" s="1121"/>
      <c r="AN147" s="1137"/>
      <c r="AO147" s="1138"/>
      <c r="AP147" s="1120"/>
      <c r="AQ147" s="1131"/>
      <c r="AR147" s="1120"/>
      <c r="AS147" s="1131"/>
      <c r="AT147" s="1126"/>
      <c r="AU147" s="1138"/>
      <c r="AV147" s="1126"/>
      <c r="AW147" s="1138"/>
      <c r="AX147" s="1126"/>
      <c r="AY147" s="1138"/>
      <c r="AZ147" s="1126"/>
      <c r="BA147" s="1138"/>
      <c r="BB147" s="1126"/>
      <c r="BC147" s="1138"/>
      <c r="BD147" s="1126"/>
      <c r="BE147" s="1138"/>
      <c r="BF147" s="1126"/>
      <c r="BG147" s="1138"/>
      <c r="BH147" s="1126"/>
      <c r="BI147" s="1138"/>
      <c r="BJ147" s="1126"/>
      <c r="BK147" s="1138"/>
      <c r="BL147" s="1139"/>
      <c r="BM147" s="1138"/>
      <c r="BN147" s="2207"/>
      <c r="BO147" s="1579"/>
      <c r="BP147" s="80">
        <f t="shared" si="83"/>
        <v>1</v>
      </c>
      <c r="BQ147" s="2133">
        <f t="shared" si="84"/>
        <v>0</v>
      </c>
      <c r="BR147" s="2204">
        <f t="shared" si="88"/>
        <v>0</v>
      </c>
      <c r="BS147" s="2205">
        <f t="shared" si="85"/>
        <v>0</v>
      </c>
      <c r="BT147" s="683"/>
      <c r="BU147" s="683"/>
    </row>
    <row r="148" ht="21.0" customHeight="1">
      <c r="A148" s="1708"/>
      <c r="B148" s="1164"/>
      <c r="C148" s="1153"/>
      <c r="D148" s="1153"/>
      <c r="E148" s="1793"/>
      <c r="F148" s="1126"/>
      <c r="G148" s="1138"/>
      <c r="H148" s="1126"/>
      <c r="I148" s="1138"/>
      <c r="J148" s="1126"/>
      <c r="K148" s="1138"/>
      <c r="L148" s="1126"/>
      <c r="M148" s="1138"/>
      <c r="N148" s="1126"/>
      <c r="O148" s="1138"/>
      <c r="P148" s="1126"/>
      <c r="Q148" s="1138"/>
      <c r="R148" s="1120"/>
      <c r="S148" s="1121"/>
      <c r="T148" s="1137"/>
      <c r="U148" s="1121"/>
      <c r="V148" s="1137"/>
      <c r="W148" s="1121"/>
      <c r="X148" s="1137"/>
      <c r="Y148" s="1121"/>
      <c r="Z148" s="1137"/>
      <c r="AA148" s="1138"/>
      <c r="AB148" s="1120"/>
      <c r="AC148" s="1138"/>
      <c r="AD148" s="1120"/>
      <c r="AE148" s="1138"/>
      <c r="AF148" s="1120"/>
      <c r="AG148" s="1138"/>
      <c r="AH148" s="1120"/>
      <c r="AI148" s="1138"/>
      <c r="AJ148" s="1120"/>
      <c r="AK148" s="1138"/>
      <c r="AL148" s="1126"/>
      <c r="AM148" s="1138"/>
      <c r="AN148" s="1120"/>
      <c r="AO148" s="1127"/>
      <c r="AP148" s="1120"/>
      <c r="AQ148" s="1138"/>
      <c r="AR148" s="1120"/>
      <c r="AS148" s="1131"/>
      <c r="AT148" s="1126"/>
      <c r="AU148" s="1131"/>
      <c r="AV148" s="1126"/>
      <c r="AW148" s="1131"/>
      <c r="AX148" s="1126"/>
      <c r="AY148" s="1131"/>
      <c r="AZ148" s="1126"/>
      <c r="BA148" s="1131"/>
      <c r="BB148" s="1126"/>
      <c r="BC148" s="1131"/>
      <c r="BD148" s="1126"/>
      <c r="BE148" s="1131"/>
      <c r="BF148" s="1126"/>
      <c r="BG148" s="1131"/>
      <c r="BH148" s="1126"/>
      <c r="BI148" s="1131"/>
      <c r="BJ148" s="1126"/>
      <c r="BK148" s="1131"/>
      <c r="BL148" s="1134"/>
      <c r="BM148" s="1138"/>
      <c r="BN148" s="2207"/>
      <c r="BO148" s="1579"/>
      <c r="BP148" s="80">
        <f t="shared" si="83"/>
        <v>1</v>
      </c>
      <c r="BQ148" s="2137">
        <f t="shared" si="84"/>
        <v>0</v>
      </c>
      <c r="BR148" s="2204">
        <f t="shared" si="88"/>
        <v>0</v>
      </c>
      <c r="BS148" s="2205">
        <f t="shared" si="85"/>
        <v>0</v>
      </c>
      <c r="BT148" s="683"/>
      <c r="BU148" s="683"/>
    </row>
    <row r="149" ht="21.0" customHeight="1">
      <c r="A149" s="1565" t="s">
        <v>145</v>
      </c>
      <c r="B149" s="1164">
        <v>822.0</v>
      </c>
      <c r="C149" s="1153">
        <v>5.0</v>
      </c>
      <c r="D149" s="1133" t="s">
        <v>74</v>
      </c>
      <c r="E149" s="733" t="str">
        <f>'Матрица 4 недели'!J148</f>
        <v>Хлеб пшеничный</v>
      </c>
      <c r="F149" s="1126">
        <v>12.0</v>
      </c>
      <c r="G149" s="1138">
        <v>3.0</v>
      </c>
      <c r="H149" s="1126">
        <v>6.0</v>
      </c>
      <c r="I149" s="1138">
        <v>3.0</v>
      </c>
      <c r="J149" s="1126">
        <v>10.0</v>
      </c>
      <c r="K149" s="1737">
        <v>10.0</v>
      </c>
      <c r="L149" s="1126">
        <v>5.0</v>
      </c>
      <c r="M149" s="1138">
        <v>5.0</v>
      </c>
      <c r="N149" s="1126">
        <v>4.0</v>
      </c>
      <c r="O149" s="1138">
        <v>4.0</v>
      </c>
      <c r="P149" s="1126">
        <v>3.0</v>
      </c>
      <c r="Q149" s="1138">
        <v>3.0</v>
      </c>
      <c r="R149" s="1120">
        <v>3.0</v>
      </c>
      <c r="S149" s="1138">
        <v>3.0</v>
      </c>
      <c r="T149" s="1137">
        <v>5.0</v>
      </c>
      <c r="U149" s="1138">
        <v>5.0</v>
      </c>
      <c r="V149" s="1137">
        <v>5.0</v>
      </c>
      <c r="W149" s="1138">
        <v>5.0</v>
      </c>
      <c r="X149" s="1137">
        <v>3.0</v>
      </c>
      <c r="Y149" s="1138">
        <v>3.0</v>
      </c>
      <c r="Z149" s="1137"/>
      <c r="AA149" s="1138"/>
      <c r="AB149" s="1120">
        <v>3.0</v>
      </c>
      <c r="AC149" s="1138">
        <v>3.0</v>
      </c>
      <c r="AD149" s="1137">
        <v>7.0</v>
      </c>
      <c r="AE149" s="1138">
        <v>7.0</v>
      </c>
      <c r="AF149" s="1137">
        <v>3.0</v>
      </c>
      <c r="AG149" s="1121">
        <v>3.0</v>
      </c>
      <c r="AH149" s="1120"/>
      <c r="AI149" s="1121"/>
      <c r="AJ149" s="1120">
        <v>3.0</v>
      </c>
      <c r="AK149" s="1121">
        <v>3.0</v>
      </c>
      <c r="AL149" s="1126">
        <v>3.0</v>
      </c>
      <c r="AM149" s="1121">
        <v>3.0</v>
      </c>
      <c r="AN149" s="1137"/>
      <c r="AO149" s="1138"/>
      <c r="AP149" s="1126">
        <v>3.0</v>
      </c>
      <c r="AQ149" s="1138">
        <v>3.0</v>
      </c>
      <c r="AR149" s="1126"/>
      <c r="AS149" s="1138"/>
      <c r="AT149" s="1126">
        <v>3.0</v>
      </c>
      <c r="AU149" s="1138">
        <v>3.0</v>
      </c>
      <c r="AV149" s="1126"/>
      <c r="AW149" s="1138"/>
      <c r="AX149" s="1126"/>
      <c r="AY149" s="1138"/>
      <c r="AZ149" s="1126">
        <v>20.0</v>
      </c>
      <c r="BA149" s="1138">
        <v>20.0</v>
      </c>
      <c r="BB149" s="1126"/>
      <c r="BC149" s="1138"/>
      <c r="BD149" s="1126"/>
      <c r="BE149" s="1138"/>
      <c r="BF149" s="1126">
        <v>3.0</v>
      </c>
      <c r="BG149" s="1138">
        <v>3.0</v>
      </c>
      <c r="BH149" s="1126">
        <v>3.0</v>
      </c>
      <c r="BI149" s="1138">
        <v>3.0</v>
      </c>
      <c r="BJ149" s="1126">
        <v>4.0</v>
      </c>
      <c r="BK149" s="1138">
        <v>4.0</v>
      </c>
      <c r="BL149" s="1134">
        <v>120.0</v>
      </c>
      <c r="BM149" s="1138">
        <v>120.0</v>
      </c>
      <c r="BN149" s="988">
        <v>45.0</v>
      </c>
      <c r="BO149" s="2062">
        <v>45.0</v>
      </c>
      <c r="BP149" s="80">
        <f t="shared" si="83"/>
        <v>232</v>
      </c>
      <c r="BQ149" s="2137">
        <f t="shared" si="84"/>
        <v>219</v>
      </c>
      <c r="BR149" s="2204">
        <f t="shared" si="88"/>
        <v>1095</v>
      </c>
      <c r="BS149" s="2205">
        <f t="shared" si="85"/>
        <v>1160</v>
      </c>
      <c r="BT149" s="683"/>
      <c r="BU149" s="683"/>
    </row>
    <row r="150" ht="21.0" customHeight="1">
      <c r="A150" s="1708"/>
      <c r="B150" s="1164"/>
      <c r="C150" s="1153"/>
      <c r="D150" s="1153"/>
      <c r="E150" s="1014"/>
      <c r="F150" s="1126"/>
      <c r="G150" s="1138"/>
      <c r="H150" s="1126"/>
      <c r="I150" s="1138"/>
      <c r="J150" s="1126"/>
      <c r="K150" s="1138"/>
      <c r="L150" s="1126"/>
      <c r="M150" s="1138"/>
      <c r="N150" s="1126"/>
      <c r="O150" s="1138"/>
      <c r="P150" s="1120"/>
      <c r="Q150" s="1131"/>
      <c r="R150" s="1126"/>
      <c r="S150" s="1138"/>
      <c r="T150" s="1126"/>
      <c r="U150" s="1138"/>
      <c r="V150" s="1126"/>
      <c r="W150" s="1138"/>
      <c r="X150" s="1126"/>
      <c r="Y150" s="1138"/>
      <c r="Z150" s="1126"/>
      <c r="AA150" s="1138"/>
      <c r="AB150" s="1126"/>
      <c r="AC150" s="1138"/>
      <c r="AD150" s="1126"/>
      <c r="AE150" s="1138"/>
      <c r="AF150" s="1126"/>
      <c r="AG150" s="1138"/>
      <c r="AH150" s="1126"/>
      <c r="AI150" s="1138"/>
      <c r="AJ150" s="1126"/>
      <c r="AK150" s="1138"/>
      <c r="AL150" s="1126"/>
      <c r="AM150" s="1138"/>
      <c r="AN150" s="1126"/>
      <c r="AO150" s="1138"/>
      <c r="AP150" s="1126"/>
      <c r="AQ150" s="1121"/>
      <c r="AR150" s="1126"/>
      <c r="AS150" s="1121"/>
      <c r="AT150" s="1126"/>
      <c r="AU150" s="1121"/>
      <c r="AV150" s="1126"/>
      <c r="AW150" s="1121"/>
      <c r="AX150" s="1126"/>
      <c r="AY150" s="1121"/>
      <c r="AZ150" s="1126"/>
      <c r="BA150" s="1121"/>
      <c r="BB150" s="1126"/>
      <c r="BC150" s="1121"/>
      <c r="BD150" s="1126"/>
      <c r="BE150" s="1121"/>
      <c r="BF150" s="1126"/>
      <c r="BG150" s="1121"/>
      <c r="BH150" s="1126"/>
      <c r="BI150" s="1121"/>
      <c r="BJ150" s="1126"/>
      <c r="BK150" s="1121"/>
      <c r="BL150" s="1137"/>
      <c r="BM150" s="1138"/>
      <c r="BN150" s="2207"/>
      <c r="BO150" s="1579"/>
      <c r="BP150" s="80">
        <f t="shared" si="83"/>
        <v>1</v>
      </c>
      <c r="BQ150" s="2137">
        <f t="shared" si="84"/>
        <v>0</v>
      </c>
      <c r="BR150" s="2204">
        <f t="shared" si="88"/>
        <v>0</v>
      </c>
      <c r="BS150" s="2205">
        <f t="shared" si="85"/>
        <v>0</v>
      </c>
      <c r="BT150" s="683"/>
      <c r="BU150" s="683"/>
    </row>
    <row r="151" ht="21.0" customHeight="1">
      <c r="A151" s="1708"/>
      <c r="B151" s="1164"/>
      <c r="C151" s="1153"/>
      <c r="D151" s="1153"/>
      <c r="E151" s="1110"/>
      <c r="F151" s="1126"/>
      <c r="G151" s="1138"/>
      <c r="H151" s="1126"/>
      <c r="I151" s="1138"/>
      <c r="J151" s="1126"/>
      <c r="K151" s="1138"/>
      <c r="L151" s="1126"/>
      <c r="M151" s="1138"/>
      <c r="N151" s="1126"/>
      <c r="O151" s="1138"/>
      <c r="P151" s="1126"/>
      <c r="Q151" s="1138"/>
      <c r="R151" s="1120"/>
      <c r="S151" s="1138"/>
      <c r="T151" s="1137"/>
      <c r="U151" s="1138"/>
      <c r="V151" s="1126"/>
      <c r="W151" s="1138"/>
      <c r="X151" s="1126"/>
      <c r="Y151" s="1138"/>
      <c r="Z151" s="1126"/>
      <c r="AA151" s="1138"/>
      <c r="AB151" s="1120"/>
      <c r="AC151" s="1138"/>
      <c r="AD151" s="1137"/>
      <c r="AE151" s="1138"/>
      <c r="AF151" s="1137"/>
      <c r="AG151" s="1138"/>
      <c r="AH151" s="1137"/>
      <c r="AI151" s="1138"/>
      <c r="AJ151" s="1137"/>
      <c r="AK151" s="1138"/>
      <c r="AL151" s="1126"/>
      <c r="AM151" s="1138"/>
      <c r="AN151" s="1137"/>
      <c r="AO151" s="1138"/>
      <c r="AP151" s="1126"/>
      <c r="AQ151" s="1121"/>
      <c r="AR151" s="1126"/>
      <c r="AS151" s="1121"/>
      <c r="AT151" s="1126"/>
      <c r="AU151" s="1121"/>
      <c r="AV151" s="1126"/>
      <c r="AW151" s="1121"/>
      <c r="AX151" s="1126"/>
      <c r="AY151" s="1121"/>
      <c r="AZ151" s="1126"/>
      <c r="BA151" s="1121"/>
      <c r="BB151" s="1126"/>
      <c r="BC151" s="1121"/>
      <c r="BD151" s="1126"/>
      <c r="BE151" s="1121"/>
      <c r="BF151" s="1126"/>
      <c r="BG151" s="1121"/>
      <c r="BH151" s="1126"/>
      <c r="BI151" s="1121"/>
      <c r="BJ151" s="1126"/>
      <c r="BK151" s="1121"/>
      <c r="BL151" s="1120"/>
      <c r="BM151" s="1138"/>
      <c r="BN151" s="2207"/>
      <c r="BO151" s="1579"/>
      <c r="BP151" s="80">
        <f t="shared" si="83"/>
        <v>1</v>
      </c>
      <c r="BQ151" s="2137">
        <f t="shared" si="84"/>
        <v>0</v>
      </c>
      <c r="BR151" s="2204">
        <f t="shared" si="88"/>
        <v>0</v>
      </c>
      <c r="BS151" s="2205">
        <f t="shared" si="85"/>
        <v>0</v>
      </c>
      <c r="BT151" s="683"/>
      <c r="BU151" s="683"/>
    </row>
    <row r="152" ht="21.0" customHeight="1">
      <c r="A152" s="1708"/>
      <c r="B152" s="1164"/>
      <c r="C152" s="1153"/>
      <c r="D152" s="1153"/>
      <c r="E152" s="1154"/>
      <c r="F152" s="1126"/>
      <c r="G152" s="1138"/>
      <c r="H152" s="1126"/>
      <c r="I152" s="1138"/>
      <c r="J152" s="1126"/>
      <c r="K152" s="1138"/>
      <c r="L152" s="1126"/>
      <c r="M152" s="1138"/>
      <c r="N152" s="1126"/>
      <c r="O152" s="1138"/>
      <c r="P152" s="1120"/>
      <c r="Q152" s="1131"/>
      <c r="R152" s="1126"/>
      <c r="S152" s="1138"/>
      <c r="T152" s="1126"/>
      <c r="U152" s="1138"/>
      <c r="V152" s="1126"/>
      <c r="W152" s="1138"/>
      <c r="X152" s="1126"/>
      <c r="Y152" s="1138"/>
      <c r="Z152" s="1126"/>
      <c r="AA152" s="1138"/>
      <c r="AB152" s="1126"/>
      <c r="AC152" s="1138"/>
      <c r="AD152" s="1126"/>
      <c r="AE152" s="1138"/>
      <c r="AF152" s="1126"/>
      <c r="AG152" s="1138"/>
      <c r="AH152" s="1126"/>
      <c r="AI152" s="1138"/>
      <c r="AJ152" s="1126"/>
      <c r="AK152" s="1138"/>
      <c r="AL152" s="1126"/>
      <c r="AM152" s="1138"/>
      <c r="AN152" s="1126"/>
      <c r="AO152" s="1138"/>
      <c r="AP152" s="1126"/>
      <c r="AQ152" s="1138"/>
      <c r="AR152" s="1126"/>
      <c r="AS152" s="1138"/>
      <c r="AT152" s="1126"/>
      <c r="AU152" s="1138"/>
      <c r="AV152" s="1126"/>
      <c r="AW152" s="1138"/>
      <c r="AX152" s="1126"/>
      <c r="AY152" s="1138"/>
      <c r="AZ152" s="1126"/>
      <c r="BA152" s="1138"/>
      <c r="BB152" s="1126"/>
      <c r="BC152" s="1138"/>
      <c r="BD152" s="1126"/>
      <c r="BE152" s="1138"/>
      <c r="BF152" s="1126"/>
      <c r="BG152" s="1138"/>
      <c r="BH152" s="1126"/>
      <c r="BI152" s="1138"/>
      <c r="BJ152" s="1126"/>
      <c r="BK152" s="1138"/>
      <c r="BL152" s="1137"/>
      <c r="BM152" s="1138"/>
      <c r="BN152" s="2207"/>
      <c r="BO152" s="1579"/>
      <c r="BP152" s="80">
        <f t="shared" si="83"/>
        <v>1</v>
      </c>
      <c r="BQ152" s="2137">
        <f t="shared" si="84"/>
        <v>0</v>
      </c>
      <c r="BR152" s="2204">
        <f t="shared" si="88"/>
        <v>0</v>
      </c>
      <c r="BS152" s="2205">
        <f t="shared" si="85"/>
        <v>0</v>
      </c>
      <c r="BT152" s="683"/>
      <c r="BU152" s="683"/>
    </row>
    <row r="153" ht="21.0" customHeight="1">
      <c r="A153" s="1567"/>
      <c r="B153" s="1164"/>
      <c r="C153" s="1153"/>
      <c r="D153" s="1153"/>
      <c r="E153" s="1110"/>
      <c r="F153" s="1126"/>
      <c r="G153" s="1138"/>
      <c r="H153" s="1126"/>
      <c r="I153" s="1138"/>
      <c r="J153" s="1126"/>
      <c r="K153" s="1138"/>
      <c r="L153" s="1126"/>
      <c r="M153" s="1138"/>
      <c r="N153" s="1126"/>
      <c r="O153" s="1138"/>
      <c r="P153" s="1126"/>
      <c r="Q153" s="1138"/>
      <c r="R153" s="1120"/>
      <c r="S153" s="1138"/>
      <c r="T153" s="1137"/>
      <c r="U153" s="1138"/>
      <c r="V153" s="1126"/>
      <c r="W153" s="1138"/>
      <c r="X153" s="1126"/>
      <c r="Y153" s="1138"/>
      <c r="Z153" s="1126"/>
      <c r="AA153" s="1138"/>
      <c r="AB153" s="1120"/>
      <c r="AC153" s="1138"/>
      <c r="AD153" s="1137"/>
      <c r="AE153" s="1138"/>
      <c r="AF153" s="1137"/>
      <c r="AG153" s="1138"/>
      <c r="AH153" s="1137"/>
      <c r="AI153" s="1138"/>
      <c r="AJ153" s="1137"/>
      <c r="AK153" s="1138"/>
      <c r="AL153" s="1126"/>
      <c r="AM153" s="1138"/>
      <c r="AN153" s="1126"/>
      <c r="AO153" s="1138"/>
      <c r="AP153" s="1126"/>
      <c r="AQ153" s="1138"/>
      <c r="AR153" s="1126"/>
      <c r="AS153" s="1138"/>
      <c r="AT153" s="1126"/>
      <c r="AU153" s="1138"/>
      <c r="AV153" s="1126"/>
      <c r="AW153" s="1138"/>
      <c r="AX153" s="1126"/>
      <c r="AY153" s="1138"/>
      <c r="AZ153" s="1126"/>
      <c r="BA153" s="1138"/>
      <c r="BB153" s="1126"/>
      <c r="BC153" s="1138"/>
      <c r="BD153" s="1126"/>
      <c r="BE153" s="1138"/>
      <c r="BF153" s="1126"/>
      <c r="BG153" s="1138"/>
      <c r="BH153" s="1126"/>
      <c r="BI153" s="1138"/>
      <c r="BJ153" s="1126"/>
      <c r="BK153" s="1138"/>
      <c r="BL153" s="1175"/>
      <c r="BM153" s="1138"/>
      <c r="BN153" s="2207"/>
      <c r="BO153" s="1579"/>
      <c r="BP153" s="80">
        <f t="shared" si="83"/>
        <v>1</v>
      </c>
      <c r="BQ153" s="2137">
        <f t="shared" si="84"/>
        <v>0</v>
      </c>
      <c r="BR153" s="2204">
        <f t="shared" si="88"/>
        <v>0</v>
      </c>
      <c r="BS153" s="2205">
        <f t="shared" si="85"/>
        <v>0</v>
      </c>
      <c r="BT153" s="1610" t="s">
        <v>3104</v>
      </c>
      <c r="BU153" s="683"/>
    </row>
    <row r="154" ht="15.75" customHeight="1">
      <c r="A154" s="1796"/>
      <c r="B154" s="1965"/>
      <c r="C154" s="1416"/>
      <c r="D154" s="1416"/>
      <c r="E154" s="1417"/>
      <c r="F154" s="1182"/>
      <c r="G154" s="1101"/>
      <c r="H154" s="1182"/>
      <c r="I154" s="1101"/>
      <c r="J154" s="1182"/>
      <c r="K154" s="1101"/>
      <c r="L154" s="1209"/>
      <c r="M154" s="1208"/>
      <c r="N154" s="1209"/>
      <c r="O154" s="1209"/>
      <c r="P154" s="1209"/>
      <c r="Q154" s="1209"/>
      <c r="R154" s="1209"/>
      <c r="S154" s="1209"/>
      <c r="T154" s="1209"/>
      <c r="U154" s="1209"/>
      <c r="V154" s="546"/>
      <c r="W154" s="1209"/>
      <c r="X154" s="546"/>
      <c r="Y154" s="1209"/>
      <c r="Z154" s="1209"/>
      <c r="AA154" s="1209"/>
      <c r="AB154" s="1209"/>
      <c r="AC154" s="1187"/>
      <c r="AD154" s="1209"/>
      <c r="AE154" s="1187"/>
      <c r="AF154" s="1209"/>
      <c r="AH154" s="1014"/>
      <c r="AJ154" s="1014"/>
      <c r="AL154" s="1209"/>
      <c r="AM154" s="1187"/>
      <c r="AN154" s="1209"/>
      <c r="AO154" s="1187"/>
      <c r="AP154" s="1187"/>
      <c r="AQ154" s="1187"/>
      <c r="AR154" s="1187"/>
      <c r="AS154" s="1187"/>
      <c r="AT154" s="1187"/>
      <c r="AU154" s="1187"/>
      <c r="AV154" s="1187"/>
      <c r="AW154" s="1187"/>
      <c r="AX154" s="1187"/>
      <c r="AY154" s="1187"/>
      <c r="AZ154" s="1187"/>
      <c r="BA154" s="1187"/>
      <c r="BB154" s="1187"/>
      <c r="BC154" s="1187"/>
      <c r="BD154" s="1187"/>
      <c r="BE154" s="1187"/>
      <c r="BF154" s="1187"/>
      <c r="BG154" s="1187"/>
      <c r="BH154" s="1187"/>
      <c r="BI154" s="1187"/>
      <c r="BJ154" s="1187"/>
      <c r="BK154" s="1187"/>
      <c r="BL154" s="1187"/>
      <c r="BM154" s="1187"/>
      <c r="BN154" s="11"/>
      <c r="BO154" s="11"/>
      <c r="BP154" s="1073">
        <f t="shared" ref="BP154:BS154" si="89">SUM(BP127:BP153)</f>
        <v>2321</v>
      </c>
      <c r="BQ154" s="1714">
        <f t="shared" si="89"/>
        <v>2292</v>
      </c>
      <c r="BR154" s="1800">
        <f t="shared" si="89"/>
        <v>215432</v>
      </c>
      <c r="BS154" s="2225">
        <f t="shared" si="89"/>
        <v>323676</v>
      </c>
      <c r="BT154" s="1678">
        <f>BR154-BS154</f>
        <v>-108244</v>
      </c>
      <c r="BU154" s="683"/>
    </row>
    <row r="155" ht="15.75" customHeight="1">
      <c r="A155" s="2099"/>
      <c r="B155" s="1965"/>
      <c r="C155" s="1416"/>
      <c r="D155" s="1416"/>
      <c r="E155" s="1419"/>
      <c r="F155" s="1672"/>
      <c r="G155" s="1672"/>
      <c r="H155" s="1672"/>
      <c r="I155" s="1681"/>
      <c r="J155" s="1672"/>
      <c r="K155" s="1681"/>
      <c r="L155" s="1672"/>
      <c r="M155" s="1681"/>
      <c r="N155" s="1672"/>
      <c r="O155" s="1681"/>
      <c r="P155" s="1672"/>
      <c r="Q155" s="1672"/>
      <c r="R155" s="1681"/>
      <c r="S155" s="1672"/>
      <c r="T155" s="1681"/>
      <c r="U155" s="1672"/>
      <c r="V155" s="1672"/>
      <c r="W155" s="1672"/>
      <c r="X155" s="1672"/>
      <c r="Y155" s="1672"/>
      <c r="Z155" s="1672"/>
      <c r="AA155" s="1672"/>
      <c r="AB155" s="1672"/>
      <c r="AH155" s="1014"/>
      <c r="AJ155" s="1014"/>
      <c r="BB155" s="1190"/>
      <c r="BD155" s="1190"/>
      <c r="BF155" s="1190"/>
      <c r="BH155" s="1190"/>
      <c r="BJ155" s="1190"/>
      <c r="BN155" s="206"/>
      <c r="BO155" s="206"/>
      <c r="BP155" s="206"/>
      <c r="BQ155" s="195"/>
      <c r="BR155" s="195"/>
      <c r="BS155" s="195"/>
      <c r="BT155" s="195"/>
      <c r="BU155" s="195"/>
    </row>
    <row r="156" ht="15.75" customHeight="1">
      <c r="A156" s="1177"/>
      <c r="B156" s="1965"/>
      <c r="C156" s="1416"/>
      <c r="D156" s="1416"/>
      <c r="E156" s="1573"/>
      <c r="F156" s="1187"/>
      <c r="G156" s="1188"/>
      <c r="H156" s="1187"/>
      <c r="I156" s="1188"/>
      <c r="J156" s="1187"/>
      <c r="K156" s="1188"/>
      <c r="L156" s="1187"/>
      <c r="M156" s="1188"/>
      <c r="N156" s="1187"/>
      <c r="O156" s="1187"/>
      <c r="P156" s="1187"/>
      <c r="Q156" s="1187"/>
      <c r="R156" s="1187"/>
      <c r="S156" s="1187"/>
      <c r="T156" s="1187"/>
      <c r="U156" s="1187"/>
      <c r="V156" s="757"/>
      <c r="W156" s="1187"/>
      <c r="X156" s="757"/>
      <c r="Y156" s="1187"/>
      <c r="Z156" s="1187"/>
      <c r="AA156" s="1187"/>
      <c r="AB156" s="1187"/>
      <c r="AC156" s="1187"/>
      <c r="AD156" s="1187"/>
      <c r="AE156" s="1187"/>
      <c r="AF156" s="1187"/>
      <c r="AG156" s="1187"/>
      <c r="AH156" s="757"/>
      <c r="AI156" s="1187"/>
      <c r="AJ156" s="757"/>
      <c r="AK156" s="1187"/>
      <c r="AL156" s="1187"/>
      <c r="AM156" s="1187"/>
      <c r="AN156" s="1187"/>
      <c r="AO156" s="1187"/>
      <c r="AP156" s="1187"/>
      <c r="AQ156" s="1187"/>
      <c r="AR156" s="1187"/>
      <c r="AS156" s="1187"/>
      <c r="AT156" s="1187"/>
      <c r="AU156" s="1187"/>
      <c r="AV156" s="1187"/>
      <c r="AW156" s="1187"/>
      <c r="AX156" s="1187"/>
      <c r="AY156" s="1187"/>
      <c r="AZ156" s="1187"/>
      <c r="BA156" s="1187"/>
      <c r="BB156" s="1187"/>
      <c r="BC156" s="1187"/>
      <c r="BD156" s="1187"/>
      <c r="BE156" s="1187"/>
      <c r="BF156" s="1187"/>
      <c r="BG156" s="1187"/>
      <c r="BH156" s="1187"/>
      <c r="BI156" s="1187"/>
      <c r="BJ156" s="1187"/>
      <c r="BK156" s="1187"/>
      <c r="BL156" s="1187"/>
      <c r="BM156" s="1187"/>
      <c r="BN156" s="11"/>
      <c r="BO156" s="11"/>
      <c r="BP156" s="11"/>
      <c r="BQ156" s="11"/>
      <c r="BR156" s="11"/>
      <c r="BS156" s="11"/>
      <c r="BT156" s="11"/>
      <c r="BU156" s="11"/>
    </row>
    <row r="157" ht="15.75" customHeight="1">
      <c r="A157" s="1969" t="s">
        <v>1354</v>
      </c>
      <c r="C157" s="1970">
        <v>46252.0</v>
      </c>
      <c r="E157" s="908" t="s">
        <v>3106</v>
      </c>
      <c r="F157" s="1198"/>
      <c r="G157" s="1199"/>
      <c r="H157" s="13"/>
      <c r="I157" s="677"/>
      <c r="J157" s="13" t="s">
        <v>1356</v>
      </c>
      <c r="K157" s="677"/>
      <c r="L157" s="11"/>
      <c r="M157" s="23"/>
      <c r="N157" s="13"/>
      <c r="O157" s="13"/>
      <c r="P157" s="13"/>
      <c r="Q157" s="677"/>
      <c r="V157" s="1189"/>
      <c r="X157" s="1189"/>
      <c r="Z157" s="1190"/>
      <c r="AB157" s="1190"/>
      <c r="AH157" s="701"/>
      <c r="AJ157" s="701"/>
      <c r="BB157" s="1190"/>
      <c r="BD157" s="1190"/>
      <c r="BF157" s="1190"/>
      <c r="BH157" s="1190"/>
      <c r="BJ157" s="1190"/>
      <c r="BN157" s="206"/>
      <c r="BO157" s="206"/>
      <c r="BP157" s="206"/>
      <c r="BQ157" s="195"/>
      <c r="BR157" s="195"/>
      <c r="BS157" s="195"/>
      <c r="BT157" s="195"/>
      <c r="BU157" s="195"/>
    </row>
    <row r="158" ht="18.75" customHeight="1">
      <c r="A158" s="1944" t="s">
        <v>3069</v>
      </c>
      <c r="B158" s="1971" t="s">
        <v>1283</v>
      </c>
      <c r="C158" s="1972" t="s">
        <v>19</v>
      </c>
      <c r="D158" s="1972" t="s">
        <v>473</v>
      </c>
      <c r="E158" s="1073" t="s">
        <v>471</v>
      </c>
      <c r="F158" s="1485" t="s">
        <v>1357</v>
      </c>
      <c r="G158" s="69"/>
      <c r="H158" s="1485" t="s">
        <v>1287</v>
      </c>
      <c r="I158" s="69"/>
      <c r="J158" s="1534" t="s">
        <v>1358</v>
      </c>
      <c r="K158" s="69"/>
      <c r="L158" s="1485" t="s">
        <v>1359</v>
      </c>
      <c r="M158" s="69"/>
      <c r="N158" s="1485" t="s">
        <v>1360</v>
      </c>
      <c r="O158" s="69"/>
      <c r="P158" s="1485" t="s">
        <v>1361</v>
      </c>
      <c r="Q158" s="69"/>
      <c r="R158" s="1485" t="s">
        <v>1362</v>
      </c>
      <c r="S158" s="69"/>
      <c r="T158" s="1485" t="s">
        <v>1299</v>
      </c>
      <c r="U158" s="69"/>
      <c r="V158" s="1427" t="s">
        <v>1301</v>
      </c>
      <c r="W158" s="69"/>
      <c r="X158" s="1427" t="s">
        <v>1363</v>
      </c>
      <c r="Y158" s="69"/>
      <c r="Z158" s="1427" t="s">
        <v>1305</v>
      </c>
      <c r="AA158" s="69"/>
      <c r="AB158" s="1427" t="s">
        <v>1307</v>
      </c>
      <c r="AC158" s="69"/>
      <c r="AD158" s="1427" t="s">
        <v>1309</v>
      </c>
      <c r="AE158" s="69"/>
      <c r="AF158" s="1427" t="s">
        <v>1311</v>
      </c>
      <c r="AG158" s="69"/>
      <c r="AH158" s="1427" t="s">
        <v>1313</v>
      </c>
      <c r="AI158" s="69"/>
      <c r="AJ158" s="1427" t="s">
        <v>1315</v>
      </c>
      <c r="AK158" s="69"/>
      <c r="AL158" s="1427" t="s">
        <v>1317</v>
      </c>
      <c r="AM158" s="69"/>
      <c r="AN158" s="1427" t="s">
        <v>1319</v>
      </c>
      <c r="AO158" s="69"/>
      <c r="AP158" s="1427" t="s">
        <v>1321</v>
      </c>
      <c r="AQ158" s="69"/>
      <c r="AR158" s="1427" t="s">
        <v>1323</v>
      </c>
      <c r="AS158" s="69"/>
      <c r="AT158" s="1427" t="s">
        <v>1325</v>
      </c>
      <c r="AU158" s="69"/>
      <c r="AV158" s="1427" t="s">
        <v>1327</v>
      </c>
      <c r="AW158" s="69"/>
      <c r="AX158" s="1427" t="s">
        <v>3076</v>
      </c>
      <c r="AY158" s="69"/>
      <c r="AZ158" s="1427" t="s">
        <v>3078</v>
      </c>
      <c r="BA158" s="69"/>
      <c r="BB158" s="1201" t="s">
        <v>3080</v>
      </c>
      <c r="BC158" s="69"/>
      <c r="BD158" s="1201" t="s">
        <v>3082</v>
      </c>
      <c r="BE158" s="69"/>
      <c r="BF158" s="1201" t="s">
        <v>3084</v>
      </c>
      <c r="BG158" s="69"/>
      <c r="BH158" s="1201" t="s">
        <v>3086</v>
      </c>
      <c r="BI158" s="69"/>
      <c r="BJ158" s="1201" t="s">
        <v>3088</v>
      </c>
      <c r="BK158" s="69"/>
      <c r="BL158" s="1427" t="s">
        <v>297</v>
      </c>
      <c r="BM158" s="69"/>
      <c r="BN158" s="1072" t="s">
        <v>5</v>
      </c>
      <c r="BO158" s="69"/>
      <c r="BQ158" s="11"/>
      <c r="BR158" s="11"/>
      <c r="BS158" s="11"/>
      <c r="BT158" s="11"/>
      <c r="BU158" s="11"/>
    </row>
    <row r="159" ht="24.0" customHeight="1">
      <c r="A159" s="1109" t="str">
        <f t="shared" ref="A159:A166" si="90">A127</f>
        <v>Да</v>
      </c>
      <c r="B159" s="1719">
        <v>3196.0</v>
      </c>
      <c r="C159" s="1948">
        <v>97.0</v>
      </c>
      <c r="D159" s="1136"/>
      <c r="E159" s="864" t="str">
        <f t="shared" ref="E159:E184" si="91">E127</f>
        <v>Манник ''Маковый''</v>
      </c>
      <c r="F159" s="2233">
        <f t="shared" ref="F159:F182" si="92">G127</f>
        <v>9</v>
      </c>
      <c r="G159" s="69"/>
      <c r="H159" s="2233">
        <f t="shared" ref="H159:H182" si="93">I127</f>
        <v>3</v>
      </c>
      <c r="I159" s="69"/>
      <c r="J159" s="2234">
        <f t="shared" ref="J159:J182" si="94">K127</f>
        <v>5</v>
      </c>
      <c r="K159" s="69"/>
      <c r="L159" s="2233">
        <f t="shared" ref="L159:L182" si="95">M127</f>
        <v>3</v>
      </c>
      <c r="M159" s="69"/>
      <c r="N159" s="2233">
        <f t="shared" ref="N159:N182" si="96">O127</f>
        <v>9</v>
      </c>
      <c r="O159" s="69"/>
      <c r="P159" s="2233">
        <f t="shared" ref="P159:P182" si="97">Q127</f>
        <v>1</v>
      </c>
      <c r="Q159" s="69"/>
      <c r="R159" s="2233">
        <f t="shared" ref="R159:R182" si="98">S127</f>
        <v>2</v>
      </c>
      <c r="S159" s="69"/>
      <c r="T159" s="2233">
        <f t="shared" ref="T159:T182" si="99">U127</f>
        <v>3</v>
      </c>
      <c r="U159" s="69"/>
      <c r="V159" s="2235">
        <f t="shared" ref="V159:V182" si="100">W127</f>
        <v>4</v>
      </c>
      <c r="W159" s="69"/>
      <c r="X159" s="2235">
        <f t="shared" ref="X159:X182" si="101">Y127</f>
        <v>2</v>
      </c>
      <c r="Y159" s="69"/>
      <c r="Z159" s="2235" t="str">
        <f t="shared" ref="Z159:Z182" si="102">AA127</f>
        <v/>
      </c>
      <c r="AA159" s="69"/>
      <c r="AB159" s="2236">
        <f t="shared" ref="AB159:AB182" si="103">AC127</f>
        <v>5</v>
      </c>
      <c r="AC159" s="69"/>
      <c r="AD159" s="2236">
        <f t="shared" ref="AD159:AD182" si="104">AE127</f>
        <v>3</v>
      </c>
      <c r="AE159" s="69"/>
      <c r="AF159" s="2236">
        <f t="shared" ref="AF159:AF182" si="105">AG127</f>
        <v>9</v>
      </c>
      <c r="AG159" s="69"/>
      <c r="AH159" s="2236">
        <f t="shared" ref="AH159:AH182" si="106">AI127</f>
        <v>3</v>
      </c>
      <c r="AI159" s="69"/>
      <c r="AJ159" s="2236">
        <f t="shared" ref="AJ159:AJ182" si="107">AK127</f>
        <v>4</v>
      </c>
      <c r="AK159" s="69"/>
      <c r="AL159" s="2236">
        <f t="shared" ref="AL159:AL182" si="108">AM127</f>
        <v>5</v>
      </c>
      <c r="AM159" s="69"/>
      <c r="AN159" s="2236">
        <f t="shared" ref="AN159:AN182" si="109">AO127</f>
        <v>3</v>
      </c>
      <c r="AO159" s="69"/>
      <c r="AP159" s="2236">
        <f t="shared" ref="AP159:AP181" si="110">AQ127</f>
        <v>4</v>
      </c>
      <c r="AQ159" s="69"/>
      <c r="AR159" s="2236">
        <f t="shared" ref="AR159:AR181" si="111">AS127</f>
        <v>14</v>
      </c>
      <c r="AS159" s="69"/>
      <c r="AT159" s="2236">
        <f t="shared" ref="AT159:AT181" si="112">AU127</f>
        <v>6</v>
      </c>
      <c r="AU159" s="69"/>
      <c r="AV159" s="2236">
        <f t="shared" ref="AV159:AV181" si="113">AW127</f>
        <v>5</v>
      </c>
      <c r="AW159" s="69"/>
      <c r="AX159" s="2236">
        <f t="shared" ref="AX159:AX181" si="114">AY127</f>
        <v>8</v>
      </c>
      <c r="AY159" s="69"/>
      <c r="AZ159" s="2236">
        <f t="shared" ref="AZ159:AZ181" si="115">BA127</f>
        <v>2</v>
      </c>
      <c r="BA159" s="69"/>
      <c r="BB159" s="1723">
        <f t="shared" ref="BB159:BB182" si="116">BC127</f>
        <v>3</v>
      </c>
      <c r="BC159" s="69"/>
      <c r="BD159" s="1723">
        <f t="shared" ref="BD159:BD182" si="117">BE127</f>
        <v>2</v>
      </c>
      <c r="BE159" s="69"/>
      <c r="BF159" s="1723">
        <f t="shared" ref="BF159:BF182" si="118">BG127</f>
        <v>3</v>
      </c>
      <c r="BG159" s="69"/>
      <c r="BH159" s="1723">
        <f t="shared" ref="BH159:BH182" si="119">BI127</f>
        <v>6</v>
      </c>
      <c r="BI159" s="69"/>
      <c r="BJ159" s="1723">
        <f t="shared" ref="BJ159:BJ182" si="120">BK127</f>
        <v>2</v>
      </c>
      <c r="BK159" s="69"/>
      <c r="BL159" s="2236" t="str">
        <f t="shared" ref="BL159:BL182" si="121">BM127</f>
        <v/>
      </c>
      <c r="BM159" s="69"/>
      <c r="BN159" s="2233">
        <f t="shared" ref="BN159:BN184" si="122">SUM(F159:BM159)</f>
        <v>128</v>
      </c>
      <c r="BO159" s="69"/>
      <c r="BQ159" s="23"/>
      <c r="BR159" s="23"/>
      <c r="BS159" s="23"/>
      <c r="BT159" s="23"/>
      <c r="BU159" s="23"/>
    </row>
    <row r="160" ht="24.0" customHeight="1">
      <c r="A160" s="1109" t="str">
        <f t="shared" si="90"/>
        <v>Да</v>
      </c>
      <c r="B160" s="1719">
        <v>4226.0</v>
      </c>
      <c r="C160" s="1948">
        <v>139.0</v>
      </c>
      <c r="D160" s="1136"/>
      <c r="E160" s="864" t="str">
        <f t="shared" si="91"/>
        <v>Курник  (курица, картофель) </v>
      </c>
      <c r="F160" s="2233">
        <f t="shared" si="92"/>
        <v>15</v>
      </c>
      <c r="G160" s="69"/>
      <c r="H160" s="2233">
        <f t="shared" si="93"/>
        <v>3</v>
      </c>
      <c r="I160" s="69"/>
      <c r="J160" s="2234">
        <f t="shared" si="94"/>
        <v>3</v>
      </c>
      <c r="K160" s="69"/>
      <c r="L160" s="2233">
        <f t="shared" si="95"/>
        <v>5</v>
      </c>
      <c r="M160" s="69"/>
      <c r="N160" s="2233">
        <f t="shared" si="96"/>
        <v>12</v>
      </c>
      <c r="O160" s="69"/>
      <c r="P160" s="2233">
        <f t="shared" si="97"/>
        <v>2</v>
      </c>
      <c r="Q160" s="69"/>
      <c r="R160" s="2233">
        <f t="shared" si="98"/>
        <v>6</v>
      </c>
      <c r="S160" s="69"/>
      <c r="T160" s="2233">
        <f t="shared" si="99"/>
        <v>6</v>
      </c>
      <c r="U160" s="69"/>
      <c r="V160" s="2235">
        <f t="shared" si="100"/>
        <v>4</v>
      </c>
      <c r="W160" s="69"/>
      <c r="X160" s="2235">
        <f t="shared" si="101"/>
        <v>2</v>
      </c>
      <c r="Y160" s="69"/>
      <c r="Z160" s="2235" t="str">
        <f t="shared" si="102"/>
        <v/>
      </c>
      <c r="AA160" s="69"/>
      <c r="AB160" s="2236">
        <f t="shared" si="103"/>
        <v>5</v>
      </c>
      <c r="AC160" s="69"/>
      <c r="AD160" s="2236">
        <f t="shared" si="104"/>
        <v>2</v>
      </c>
      <c r="AE160" s="69"/>
      <c r="AF160" s="2236">
        <f t="shared" si="105"/>
        <v>8</v>
      </c>
      <c r="AG160" s="69"/>
      <c r="AH160" s="2236">
        <f t="shared" si="106"/>
        <v>4</v>
      </c>
      <c r="AI160" s="69"/>
      <c r="AJ160" s="2236">
        <f t="shared" si="107"/>
        <v>6</v>
      </c>
      <c r="AK160" s="69"/>
      <c r="AL160" s="2236">
        <f t="shared" si="108"/>
        <v>5</v>
      </c>
      <c r="AM160" s="69"/>
      <c r="AN160" s="2236">
        <f t="shared" si="109"/>
        <v>3</v>
      </c>
      <c r="AO160" s="69"/>
      <c r="AP160" s="2236">
        <f t="shared" si="110"/>
        <v>5</v>
      </c>
      <c r="AQ160" s="69"/>
      <c r="AR160" s="2236">
        <f t="shared" si="111"/>
        <v>16</v>
      </c>
      <c r="AS160" s="69"/>
      <c r="AT160" s="2236">
        <f t="shared" si="112"/>
        <v>6</v>
      </c>
      <c r="AU160" s="69"/>
      <c r="AV160" s="2236">
        <f t="shared" si="113"/>
        <v>5</v>
      </c>
      <c r="AW160" s="69"/>
      <c r="AX160" s="2236">
        <f t="shared" si="114"/>
        <v>5</v>
      </c>
      <c r="AY160" s="69"/>
      <c r="AZ160" s="2236">
        <f t="shared" si="115"/>
        <v>2</v>
      </c>
      <c r="BA160" s="69"/>
      <c r="BB160" s="1723">
        <f t="shared" si="116"/>
        <v>3</v>
      </c>
      <c r="BC160" s="69"/>
      <c r="BD160" s="1723">
        <f t="shared" si="117"/>
        <v>2</v>
      </c>
      <c r="BE160" s="69"/>
      <c r="BF160" s="1723">
        <f t="shared" si="118"/>
        <v>3</v>
      </c>
      <c r="BG160" s="69"/>
      <c r="BH160" s="1723">
        <f t="shared" si="119"/>
        <v>4</v>
      </c>
      <c r="BI160" s="69"/>
      <c r="BJ160" s="1723">
        <f t="shared" si="120"/>
        <v>4</v>
      </c>
      <c r="BK160" s="69"/>
      <c r="BL160" s="2236" t="str">
        <f t="shared" si="121"/>
        <v/>
      </c>
      <c r="BM160" s="69"/>
      <c r="BN160" s="2233">
        <f t="shared" si="122"/>
        <v>146</v>
      </c>
      <c r="BO160" s="69"/>
      <c r="BQ160" s="23"/>
      <c r="BR160" s="23"/>
      <c r="BS160" s="23"/>
      <c r="BT160" s="23"/>
      <c r="BU160" s="23"/>
    </row>
    <row r="161" ht="24.0" customHeight="1">
      <c r="A161" s="1109" t="str">
        <f t="shared" si="90"/>
        <v>Да</v>
      </c>
      <c r="B161" s="1719">
        <v>4246.0</v>
      </c>
      <c r="C161" s="1948">
        <v>100.0</v>
      </c>
      <c r="D161" s="1136"/>
      <c r="E161" s="864" t="str">
        <f t="shared" si="91"/>
        <v>Каша "3 злака" на апельсиновом соке </v>
      </c>
      <c r="F161" s="2233">
        <f t="shared" si="92"/>
        <v>1</v>
      </c>
      <c r="G161" s="69"/>
      <c r="H161" s="2233">
        <f t="shared" si="93"/>
        <v>2</v>
      </c>
      <c r="I161" s="69"/>
      <c r="J161" s="2234">
        <f t="shared" si="94"/>
        <v>5</v>
      </c>
      <c r="K161" s="69"/>
      <c r="L161" s="2233">
        <f t="shared" si="95"/>
        <v>2</v>
      </c>
      <c r="M161" s="69"/>
      <c r="N161" s="2233">
        <f t="shared" si="96"/>
        <v>8</v>
      </c>
      <c r="O161" s="69"/>
      <c r="P161" s="2233">
        <f t="shared" si="97"/>
        <v>5</v>
      </c>
      <c r="Q161" s="69"/>
      <c r="R161" s="2233">
        <f t="shared" si="98"/>
        <v>1</v>
      </c>
      <c r="S161" s="69"/>
      <c r="T161" s="2233">
        <f t="shared" si="99"/>
        <v>2</v>
      </c>
      <c r="U161" s="69"/>
      <c r="V161" s="2235">
        <f t="shared" si="100"/>
        <v>2</v>
      </c>
      <c r="W161" s="69"/>
      <c r="X161" s="2235">
        <f t="shared" si="101"/>
        <v>4</v>
      </c>
      <c r="Y161" s="69"/>
      <c r="Z161" s="2235" t="str">
        <f t="shared" si="102"/>
        <v/>
      </c>
      <c r="AA161" s="69"/>
      <c r="AB161" s="2236">
        <f t="shared" si="103"/>
        <v>0</v>
      </c>
      <c r="AC161" s="69"/>
      <c r="AD161" s="2236">
        <f t="shared" si="104"/>
        <v>2</v>
      </c>
      <c r="AE161" s="69"/>
      <c r="AF161" s="2236">
        <f t="shared" si="105"/>
        <v>3</v>
      </c>
      <c r="AG161" s="69"/>
      <c r="AH161" s="2236">
        <f t="shared" si="106"/>
        <v>3</v>
      </c>
      <c r="AI161" s="69"/>
      <c r="AJ161" s="2236">
        <f t="shared" si="107"/>
        <v>4</v>
      </c>
      <c r="AK161" s="69"/>
      <c r="AL161" s="2236">
        <f t="shared" si="108"/>
        <v>2</v>
      </c>
      <c r="AM161" s="69"/>
      <c r="AN161" s="2236">
        <f t="shared" si="109"/>
        <v>3</v>
      </c>
      <c r="AO161" s="69"/>
      <c r="AP161" s="2236">
        <f t="shared" si="110"/>
        <v>2</v>
      </c>
      <c r="AQ161" s="69"/>
      <c r="AR161" s="2236">
        <f t="shared" si="111"/>
        <v>7</v>
      </c>
      <c r="AS161" s="69"/>
      <c r="AT161" s="2236">
        <f t="shared" si="112"/>
        <v>0</v>
      </c>
      <c r="AU161" s="69"/>
      <c r="AV161" s="2236">
        <f t="shared" si="113"/>
        <v>0</v>
      </c>
      <c r="AW161" s="69"/>
      <c r="AX161" s="2236">
        <f t="shared" si="114"/>
        <v>3</v>
      </c>
      <c r="AY161" s="69"/>
      <c r="AZ161" s="2236">
        <f t="shared" si="115"/>
        <v>3</v>
      </c>
      <c r="BA161" s="69"/>
      <c r="BB161" s="1723">
        <f t="shared" si="116"/>
        <v>3</v>
      </c>
      <c r="BC161" s="69"/>
      <c r="BD161" s="1723">
        <f t="shared" si="117"/>
        <v>0</v>
      </c>
      <c r="BE161" s="69"/>
      <c r="BF161" s="1723">
        <f t="shared" si="118"/>
        <v>2</v>
      </c>
      <c r="BG161" s="69"/>
      <c r="BH161" s="1723">
        <f t="shared" si="119"/>
        <v>3</v>
      </c>
      <c r="BI161" s="69"/>
      <c r="BJ161" s="1723">
        <f t="shared" si="120"/>
        <v>5</v>
      </c>
      <c r="BK161" s="69"/>
      <c r="BL161" s="2236" t="str">
        <f t="shared" si="121"/>
        <v/>
      </c>
      <c r="BM161" s="69"/>
      <c r="BN161" s="2233">
        <f t="shared" si="122"/>
        <v>77</v>
      </c>
      <c r="BO161" s="69"/>
      <c r="BQ161" s="23"/>
      <c r="BR161" s="23"/>
      <c r="BS161" s="23"/>
      <c r="BT161" s="23"/>
      <c r="BU161" s="23"/>
    </row>
    <row r="162" ht="24.0" customHeight="1">
      <c r="A162" s="1109" t="str">
        <f t="shared" si="90"/>
        <v>Да</v>
      </c>
      <c r="B162" s="1719">
        <v>3189.0</v>
      </c>
      <c r="C162" s="1948">
        <v>98.0</v>
      </c>
      <c r="D162" s="1136"/>
      <c r="E162" s="864" t="str">
        <f t="shared" si="91"/>
        <v>Салат Свекла с сыром и чесноком 120гр</v>
      </c>
      <c r="F162" s="2233">
        <f t="shared" si="92"/>
        <v>7</v>
      </c>
      <c r="G162" s="69"/>
      <c r="H162" s="2233">
        <f t="shared" si="93"/>
        <v>2</v>
      </c>
      <c r="I162" s="69"/>
      <c r="J162" s="2234">
        <f t="shared" si="94"/>
        <v>3</v>
      </c>
      <c r="K162" s="69"/>
      <c r="L162" s="2233">
        <f t="shared" si="95"/>
        <v>4</v>
      </c>
      <c r="M162" s="69"/>
      <c r="N162" s="2233">
        <f t="shared" si="96"/>
        <v>12</v>
      </c>
      <c r="O162" s="69"/>
      <c r="P162" s="2233">
        <f t="shared" si="97"/>
        <v>7</v>
      </c>
      <c r="Q162" s="69"/>
      <c r="R162" s="2233">
        <f t="shared" si="98"/>
        <v>2</v>
      </c>
      <c r="S162" s="69"/>
      <c r="T162" s="2233">
        <f t="shared" si="99"/>
        <v>2</v>
      </c>
      <c r="U162" s="69"/>
      <c r="V162" s="2235">
        <f t="shared" si="100"/>
        <v>3</v>
      </c>
      <c r="W162" s="69"/>
      <c r="X162" s="2235">
        <f t="shared" si="101"/>
        <v>4</v>
      </c>
      <c r="Y162" s="69"/>
      <c r="Z162" s="2235" t="str">
        <f t="shared" si="102"/>
        <v/>
      </c>
      <c r="AA162" s="69"/>
      <c r="AB162" s="2236">
        <f t="shared" si="103"/>
        <v>2</v>
      </c>
      <c r="AC162" s="69"/>
      <c r="AD162" s="2236">
        <f t="shared" si="104"/>
        <v>5</v>
      </c>
      <c r="AE162" s="69"/>
      <c r="AF162" s="2236">
        <f t="shared" si="105"/>
        <v>5</v>
      </c>
      <c r="AG162" s="69"/>
      <c r="AH162" s="2236">
        <f t="shared" si="106"/>
        <v>5</v>
      </c>
      <c r="AI162" s="69"/>
      <c r="AJ162" s="2236">
        <f t="shared" si="107"/>
        <v>4</v>
      </c>
      <c r="AK162" s="69"/>
      <c r="AL162" s="2236">
        <f t="shared" si="108"/>
        <v>5</v>
      </c>
      <c r="AM162" s="69"/>
      <c r="AN162" s="2236">
        <f t="shared" si="109"/>
        <v>3</v>
      </c>
      <c r="AO162" s="69"/>
      <c r="AP162" s="2236">
        <f t="shared" si="110"/>
        <v>1</v>
      </c>
      <c r="AQ162" s="69"/>
      <c r="AR162" s="2236">
        <f t="shared" si="111"/>
        <v>7</v>
      </c>
      <c r="AS162" s="69"/>
      <c r="AT162" s="2236">
        <f t="shared" si="112"/>
        <v>4</v>
      </c>
      <c r="AU162" s="69"/>
      <c r="AV162" s="2236">
        <f t="shared" si="113"/>
        <v>3</v>
      </c>
      <c r="AW162" s="69"/>
      <c r="AX162" s="2236">
        <f t="shared" si="114"/>
        <v>6</v>
      </c>
      <c r="AY162" s="69"/>
      <c r="AZ162" s="2236">
        <f t="shared" si="115"/>
        <v>4</v>
      </c>
      <c r="BA162" s="69"/>
      <c r="BB162" s="1723">
        <f t="shared" si="116"/>
        <v>3</v>
      </c>
      <c r="BC162" s="69"/>
      <c r="BD162" s="1723">
        <f t="shared" si="117"/>
        <v>3</v>
      </c>
      <c r="BE162" s="69"/>
      <c r="BF162" s="1723">
        <f t="shared" si="118"/>
        <v>6</v>
      </c>
      <c r="BG162" s="69"/>
      <c r="BH162" s="1723">
        <f t="shared" si="119"/>
        <v>3</v>
      </c>
      <c r="BI162" s="69"/>
      <c r="BJ162" s="1723">
        <f t="shared" si="120"/>
        <v>4</v>
      </c>
      <c r="BK162" s="69"/>
      <c r="BL162" s="2236">
        <f t="shared" si="121"/>
        <v>44</v>
      </c>
      <c r="BM162" s="69"/>
      <c r="BN162" s="2233">
        <f t="shared" si="122"/>
        <v>163</v>
      </c>
      <c r="BO162" s="69"/>
      <c r="BQ162" s="23"/>
      <c r="BR162" s="23"/>
      <c r="BS162" s="23"/>
      <c r="BT162" s="23"/>
      <c r="BU162" s="23"/>
    </row>
    <row r="163" ht="24.0" customHeight="1">
      <c r="A163" s="1109" t="str">
        <f t="shared" si="90"/>
        <v>Да</v>
      </c>
      <c r="B163" s="1719">
        <v>3216.0</v>
      </c>
      <c r="C163" s="1948">
        <v>98.0</v>
      </c>
      <c r="D163" s="1136"/>
      <c r="E163" s="864" t="str">
        <f t="shared" si="91"/>
        <v>Салат ''Таврия'' (колбаса п/к)</v>
      </c>
      <c r="F163" s="2233">
        <f t="shared" si="92"/>
        <v>4</v>
      </c>
      <c r="G163" s="69"/>
      <c r="H163" s="2233">
        <f t="shared" si="93"/>
        <v>1</v>
      </c>
      <c r="I163" s="69"/>
      <c r="J163" s="2234">
        <f t="shared" si="94"/>
        <v>5</v>
      </c>
      <c r="K163" s="69"/>
      <c r="L163" s="2233">
        <f t="shared" si="95"/>
        <v>3</v>
      </c>
      <c r="M163" s="69"/>
      <c r="N163" s="2233">
        <f t="shared" si="96"/>
        <v>8</v>
      </c>
      <c r="O163" s="69"/>
      <c r="P163" s="2233">
        <f t="shared" si="97"/>
        <v>8</v>
      </c>
      <c r="Q163" s="69"/>
      <c r="R163" s="2233">
        <f t="shared" si="98"/>
        <v>2</v>
      </c>
      <c r="S163" s="69"/>
      <c r="T163" s="2233">
        <f t="shared" si="99"/>
        <v>3</v>
      </c>
      <c r="U163" s="69"/>
      <c r="V163" s="2235">
        <f t="shared" si="100"/>
        <v>3</v>
      </c>
      <c r="W163" s="69"/>
      <c r="X163" s="2235">
        <f t="shared" si="101"/>
        <v>5</v>
      </c>
      <c r="Y163" s="69"/>
      <c r="Z163" s="2235" t="str">
        <f t="shared" si="102"/>
        <v/>
      </c>
      <c r="AA163" s="69"/>
      <c r="AB163" s="2236">
        <f t="shared" si="103"/>
        <v>2</v>
      </c>
      <c r="AC163" s="69"/>
      <c r="AD163" s="2236">
        <f t="shared" si="104"/>
        <v>0</v>
      </c>
      <c r="AE163" s="69"/>
      <c r="AF163" s="2236">
        <f t="shared" si="105"/>
        <v>6</v>
      </c>
      <c r="AG163" s="69"/>
      <c r="AH163" s="2236">
        <f t="shared" si="106"/>
        <v>3</v>
      </c>
      <c r="AI163" s="69"/>
      <c r="AJ163" s="2236">
        <f t="shared" si="107"/>
        <v>3</v>
      </c>
      <c r="AK163" s="69"/>
      <c r="AL163" s="2236">
        <f t="shared" si="108"/>
        <v>3</v>
      </c>
      <c r="AM163" s="69"/>
      <c r="AN163" s="2236">
        <f t="shared" si="109"/>
        <v>3</v>
      </c>
      <c r="AO163" s="69"/>
      <c r="AP163" s="2236">
        <f t="shared" si="110"/>
        <v>4</v>
      </c>
      <c r="AQ163" s="69"/>
      <c r="AR163" s="2236">
        <f t="shared" si="111"/>
        <v>9</v>
      </c>
      <c r="AS163" s="69"/>
      <c r="AT163" s="2236">
        <f t="shared" si="112"/>
        <v>7</v>
      </c>
      <c r="AU163" s="69"/>
      <c r="AV163" s="2236">
        <f t="shared" si="113"/>
        <v>2</v>
      </c>
      <c r="AW163" s="69"/>
      <c r="AX163" s="2236">
        <f t="shared" si="114"/>
        <v>2</v>
      </c>
      <c r="AY163" s="69"/>
      <c r="AZ163" s="2236">
        <f t="shared" si="115"/>
        <v>0</v>
      </c>
      <c r="BA163" s="69"/>
      <c r="BB163" s="1723">
        <f t="shared" si="116"/>
        <v>3</v>
      </c>
      <c r="BC163" s="69"/>
      <c r="BD163" s="1723">
        <f t="shared" si="117"/>
        <v>2</v>
      </c>
      <c r="BE163" s="69"/>
      <c r="BF163" s="1723">
        <f t="shared" si="118"/>
        <v>2</v>
      </c>
      <c r="BG163" s="69"/>
      <c r="BH163" s="1723">
        <f t="shared" si="119"/>
        <v>5</v>
      </c>
      <c r="BI163" s="69"/>
      <c r="BJ163" s="1723">
        <f t="shared" si="120"/>
        <v>3</v>
      </c>
      <c r="BK163" s="69"/>
      <c r="BL163" s="2236">
        <f t="shared" si="121"/>
        <v>43</v>
      </c>
      <c r="BM163" s="69"/>
      <c r="BN163" s="2233">
        <f t="shared" si="122"/>
        <v>144</v>
      </c>
      <c r="BO163" s="69"/>
      <c r="BQ163" s="23"/>
      <c r="BR163" s="23"/>
      <c r="BS163" s="23"/>
      <c r="BT163" s="23"/>
      <c r="BU163" s="23"/>
    </row>
    <row r="164" ht="24.0" customHeight="1">
      <c r="A164" s="1109" t="str">
        <f t="shared" si="90"/>
        <v>Да</v>
      </c>
      <c r="B164" s="1719">
        <v>2303.0</v>
      </c>
      <c r="C164" s="1948">
        <v>98.0</v>
      </c>
      <c r="D164" s="1136"/>
      <c r="E164" s="864" t="str">
        <f t="shared" si="91"/>
        <v>Салат ''Жар-птица'' (филе кур)</v>
      </c>
      <c r="F164" s="2233">
        <f t="shared" si="92"/>
        <v>6</v>
      </c>
      <c r="G164" s="69"/>
      <c r="H164" s="2233">
        <f t="shared" si="93"/>
        <v>1</v>
      </c>
      <c r="I164" s="69"/>
      <c r="J164" s="2234">
        <f t="shared" si="94"/>
        <v>3</v>
      </c>
      <c r="K164" s="69"/>
      <c r="L164" s="2233">
        <f t="shared" si="95"/>
        <v>3</v>
      </c>
      <c r="M164" s="69"/>
      <c r="N164" s="2233">
        <f t="shared" si="96"/>
        <v>3</v>
      </c>
      <c r="O164" s="69"/>
      <c r="P164" s="2233">
        <f t="shared" si="97"/>
        <v>2</v>
      </c>
      <c r="Q164" s="69"/>
      <c r="R164" s="2233">
        <f t="shared" si="98"/>
        <v>2</v>
      </c>
      <c r="S164" s="69"/>
      <c r="T164" s="2233">
        <f t="shared" si="99"/>
        <v>2</v>
      </c>
      <c r="U164" s="69"/>
      <c r="V164" s="2235">
        <f t="shared" si="100"/>
        <v>2</v>
      </c>
      <c r="W164" s="69"/>
      <c r="X164" s="2235">
        <f t="shared" si="101"/>
        <v>2</v>
      </c>
      <c r="Y164" s="69"/>
      <c r="Z164" s="2235" t="str">
        <f t="shared" si="102"/>
        <v/>
      </c>
      <c r="AA164" s="69"/>
      <c r="AB164" s="2236">
        <f t="shared" si="103"/>
        <v>0</v>
      </c>
      <c r="AC164" s="69"/>
      <c r="AD164" s="2236">
        <f t="shared" si="104"/>
        <v>2</v>
      </c>
      <c r="AE164" s="69"/>
      <c r="AF164" s="2236">
        <f t="shared" si="105"/>
        <v>2</v>
      </c>
      <c r="AG164" s="69"/>
      <c r="AH164" s="2236">
        <f t="shared" si="106"/>
        <v>1</v>
      </c>
      <c r="AI164" s="69"/>
      <c r="AJ164" s="2236">
        <f t="shared" si="107"/>
        <v>1</v>
      </c>
      <c r="AK164" s="69"/>
      <c r="AL164" s="2236">
        <f t="shared" si="108"/>
        <v>2</v>
      </c>
      <c r="AM164" s="69"/>
      <c r="AN164" s="2236">
        <f t="shared" si="109"/>
        <v>3</v>
      </c>
      <c r="AO164" s="69"/>
      <c r="AP164" s="2236">
        <f t="shared" si="110"/>
        <v>2</v>
      </c>
      <c r="AQ164" s="69"/>
      <c r="AR164" s="2236">
        <f t="shared" si="111"/>
        <v>7</v>
      </c>
      <c r="AS164" s="69"/>
      <c r="AT164" s="2236">
        <f t="shared" si="112"/>
        <v>3</v>
      </c>
      <c r="AU164" s="69"/>
      <c r="AV164" s="2236">
        <f t="shared" si="113"/>
        <v>2</v>
      </c>
      <c r="AW164" s="69"/>
      <c r="AX164" s="2236">
        <f t="shared" si="114"/>
        <v>4</v>
      </c>
      <c r="AY164" s="69"/>
      <c r="AZ164" s="2236">
        <f t="shared" si="115"/>
        <v>4</v>
      </c>
      <c r="BA164" s="69"/>
      <c r="BB164" s="1723">
        <f t="shared" si="116"/>
        <v>3</v>
      </c>
      <c r="BC164" s="69"/>
      <c r="BD164" s="1723">
        <f t="shared" si="117"/>
        <v>0</v>
      </c>
      <c r="BE164" s="69"/>
      <c r="BF164" s="1723">
        <f t="shared" si="118"/>
        <v>2</v>
      </c>
      <c r="BG164" s="69"/>
      <c r="BH164" s="1723">
        <f t="shared" si="119"/>
        <v>1</v>
      </c>
      <c r="BI164" s="69"/>
      <c r="BJ164" s="1723">
        <f t="shared" si="120"/>
        <v>3</v>
      </c>
      <c r="BK164" s="69"/>
      <c r="BL164" s="2236">
        <f t="shared" si="121"/>
        <v>43</v>
      </c>
      <c r="BM164" s="69"/>
      <c r="BN164" s="2233">
        <f t="shared" si="122"/>
        <v>111</v>
      </c>
      <c r="BO164" s="69"/>
      <c r="BQ164" s="23"/>
      <c r="BR164" s="23"/>
      <c r="BS164" s="23"/>
      <c r="BT164" s="23"/>
      <c r="BU164" s="23"/>
    </row>
    <row r="165" ht="24.0" customHeight="1">
      <c r="A165" s="1109" t="str">
        <f t="shared" si="90"/>
        <v>Да</v>
      </c>
      <c r="B165" s="1719">
        <v>3457.0</v>
      </c>
      <c r="C165" s="1948">
        <v>271.0</v>
      </c>
      <c r="D165" s="1136"/>
      <c r="E165" s="864" t="str">
        <f t="shared" si="91"/>
        <v>Боул с курицей и чечевицей</v>
      </c>
      <c r="F165" s="2233">
        <f t="shared" si="92"/>
        <v>4</v>
      </c>
      <c r="G165" s="69"/>
      <c r="H165" s="2233">
        <f t="shared" si="93"/>
        <v>2</v>
      </c>
      <c r="I165" s="69"/>
      <c r="J165" s="2234">
        <f t="shared" si="94"/>
        <v>3</v>
      </c>
      <c r="K165" s="69"/>
      <c r="L165" s="2233">
        <f t="shared" si="95"/>
        <v>1</v>
      </c>
      <c r="M165" s="69"/>
      <c r="N165" s="2233">
        <f t="shared" si="96"/>
        <v>3</v>
      </c>
      <c r="O165" s="69"/>
      <c r="P165" s="2233">
        <f t="shared" si="97"/>
        <v>2</v>
      </c>
      <c r="Q165" s="69"/>
      <c r="R165" s="2233">
        <f t="shared" si="98"/>
        <v>0</v>
      </c>
      <c r="S165" s="69"/>
      <c r="T165" s="2233">
        <f t="shared" si="99"/>
        <v>1</v>
      </c>
      <c r="U165" s="69"/>
      <c r="V165" s="2235">
        <f t="shared" si="100"/>
        <v>2</v>
      </c>
      <c r="W165" s="69"/>
      <c r="X165" s="2235">
        <f t="shared" si="101"/>
        <v>0</v>
      </c>
      <c r="Y165" s="69"/>
      <c r="Z165" s="2235" t="str">
        <f t="shared" si="102"/>
        <v/>
      </c>
      <c r="AA165" s="69"/>
      <c r="AB165" s="2236">
        <f t="shared" si="103"/>
        <v>1</v>
      </c>
      <c r="AC165" s="69"/>
      <c r="AD165" s="2236">
        <f t="shared" si="104"/>
        <v>1</v>
      </c>
      <c r="AE165" s="69"/>
      <c r="AF165" s="2236">
        <f t="shared" si="105"/>
        <v>4</v>
      </c>
      <c r="AG165" s="69"/>
      <c r="AH165" s="2236">
        <f t="shared" si="106"/>
        <v>3</v>
      </c>
      <c r="AI165" s="69"/>
      <c r="AJ165" s="2236">
        <f t="shared" si="107"/>
        <v>3</v>
      </c>
      <c r="AK165" s="69"/>
      <c r="AL165" s="2236">
        <f t="shared" si="108"/>
        <v>1</v>
      </c>
      <c r="AM165" s="69"/>
      <c r="AN165" s="2236">
        <f t="shared" si="109"/>
        <v>3</v>
      </c>
      <c r="AO165" s="69"/>
      <c r="AP165" s="2236">
        <f t="shared" si="110"/>
        <v>2</v>
      </c>
      <c r="AQ165" s="69"/>
      <c r="AR165" s="2236">
        <f t="shared" si="111"/>
        <v>4</v>
      </c>
      <c r="AS165" s="69"/>
      <c r="AT165" s="2236">
        <f t="shared" si="112"/>
        <v>1</v>
      </c>
      <c r="AU165" s="69"/>
      <c r="AV165" s="2236">
        <f t="shared" si="113"/>
        <v>0</v>
      </c>
      <c r="AW165" s="69"/>
      <c r="AX165" s="2236">
        <f t="shared" si="114"/>
        <v>4</v>
      </c>
      <c r="AY165" s="69"/>
      <c r="AZ165" s="2236">
        <f t="shared" si="115"/>
        <v>0</v>
      </c>
      <c r="BA165" s="69"/>
      <c r="BB165" s="1723">
        <f t="shared" si="116"/>
        <v>2</v>
      </c>
      <c r="BC165" s="69"/>
      <c r="BD165" s="1723">
        <f t="shared" si="117"/>
        <v>0</v>
      </c>
      <c r="BE165" s="69"/>
      <c r="BF165" s="1723">
        <f t="shared" si="118"/>
        <v>0</v>
      </c>
      <c r="BG165" s="69"/>
      <c r="BH165" s="1723">
        <f t="shared" si="119"/>
        <v>3</v>
      </c>
      <c r="BI165" s="69"/>
      <c r="BJ165" s="1723">
        <f t="shared" si="120"/>
        <v>6</v>
      </c>
      <c r="BK165" s="69"/>
      <c r="BL165" s="2236" t="str">
        <f t="shared" si="121"/>
        <v/>
      </c>
      <c r="BM165" s="69"/>
      <c r="BN165" s="2233">
        <f t="shared" si="122"/>
        <v>56</v>
      </c>
      <c r="BO165" s="69"/>
      <c r="BQ165" s="23"/>
      <c r="BR165" s="23"/>
      <c r="BS165" s="23"/>
      <c r="BT165" s="23"/>
      <c r="BU165" s="23"/>
    </row>
    <row r="166" ht="24.0" customHeight="1">
      <c r="A166" s="1109" t="str">
        <f t="shared" si="90"/>
        <v/>
      </c>
      <c r="B166" s="1719">
        <v>2288.0</v>
      </c>
      <c r="C166" s="1948">
        <v>88.0</v>
      </c>
      <c r="D166" s="1136"/>
      <c r="E166" s="864" t="str">
        <f t="shared" si="91"/>
        <v>Суп картофельный с курицей</v>
      </c>
      <c r="F166" s="2259" t="str">
        <f t="shared" si="92"/>
        <v/>
      </c>
      <c r="G166" s="69"/>
      <c r="H166" s="2259" t="str">
        <f t="shared" si="93"/>
        <v/>
      </c>
      <c r="I166" s="69"/>
      <c r="J166" s="2260" t="str">
        <f t="shared" si="94"/>
        <v/>
      </c>
      <c r="K166" s="69"/>
      <c r="L166" s="2259" t="str">
        <f t="shared" si="95"/>
        <v/>
      </c>
      <c r="M166" s="69"/>
      <c r="N166" s="2259" t="str">
        <f t="shared" si="96"/>
        <v/>
      </c>
      <c r="O166" s="69"/>
      <c r="P166" s="2259" t="str">
        <f t="shared" si="97"/>
        <v/>
      </c>
      <c r="Q166" s="69"/>
      <c r="R166" s="2259" t="str">
        <f t="shared" si="98"/>
        <v/>
      </c>
      <c r="S166" s="69"/>
      <c r="T166" s="2259" t="str">
        <f t="shared" si="99"/>
        <v/>
      </c>
      <c r="U166" s="69"/>
      <c r="V166" s="2261" t="str">
        <f t="shared" si="100"/>
        <v/>
      </c>
      <c r="W166" s="69"/>
      <c r="X166" s="2261" t="str">
        <f t="shared" si="101"/>
        <v/>
      </c>
      <c r="Y166" s="69"/>
      <c r="Z166" s="2261" t="str">
        <f t="shared" si="102"/>
        <v/>
      </c>
      <c r="AA166" s="69"/>
      <c r="AB166" s="2262" t="str">
        <f t="shared" si="103"/>
        <v/>
      </c>
      <c r="AC166" s="69"/>
      <c r="AD166" s="2262" t="str">
        <f t="shared" si="104"/>
        <v/>
      </c>
      <c r="AE166" s="69"/>
      <c r="AF166" s="2262" t="str">
        <f t="shared" si="105"/>
        <v/>
      </c>
      <c r="AG166" s="69"/>
      <c r="AH166" s="2262" t="str">
        <f t="shared" si="106"/>
        <v/>
      </c>
      <c r="AI166" s="69"/>
      <c r="AJ166" s="2262" t="str">
        <f t="shared" si="107"/>
        <v/>
      </c>
      <c r="AK166" s="69"/>
      <c r="AL166" s="2236" t="str">
        <f t="shared" si="108"/>
        <v/>
      </c>
      <c r="AM166" s="69"/>
      <c r="AN166" s="2236" t="str">
        <f t="shared" si="109"/>
        <v/>
      </c>
      <c r="AO166" s="69"/>
      <c r="AP166" s="2236" t="str">
        <f t="shared" si="110"/>
        <v/>
      </c>
      <c r="AQ166" s="69"/>
      <c r="AR166" s="2236" t="str">
        <f t="shared" si="111"/>
        <v/>
      </c>
      <c r="AS166" s="69"/>
      <c r="AT166" s="2236" t="str">
        <f t="shared" si="112"/>
        <v/>
      </c>
      <c r="AU166" s="69"/>
      <c r="AV166" s="2236" t="str">
        <f t="shared" si="113"/>
        <v/>
      </c>
      <c r="AW166" s="69"/>
      <c r="AX166" s="2236" t="str">
        <f t="shared" si="114"/>
        <v/>
      </c>
      <c r="AY166" s="69"/>
      <c r="AZ166" s="2236" t="str">
        <f t="shared" si="115"/>
        <v/>
      </c>
      <c r="BA166" s="69"/>
      <c r="BB166" s="1723" t="str">
        <f t="shared" si="116"/>
        <v/>
      </c>
      <c r="BC166" s="69"/>
      <c r="BD166" s="1723" t="str">
        <f t="shared" si="117"/>
        <v/>
      </c>
      <c r="BE166" s="69"/>
      <c r="BF166" s="1723" t="str">
        <f t="shared" si="118"/>
        <v/>
      </c>
      <c r="BG166" s="69"/>
      <c r="BH166" s="1723" t="str">
        <f t="shared" si="119"/>
        <v/>
      </c>
      <c r="BI166" s="69"/>
      <c r="BJ166" s="1723" t="str">
        <f t="shared" si="120"/>
        <v/>
      </c>
      <c r="BK166" s="69"/>
      <c r="BL166" s="2236">
        <f t="shared" si="121"/>
        <v>120</v>
      </c>
      <c r="BM166" s="69"/>
      <c r="BN166" s="2259">
        <f t="shared" si="122"/>
        <v>120</v>
      </c>
      <c r="BO166" s="69"/>
      <c r="BQ166" s="23"/>
      <c r="BR166" s="23"/>
      <c r="BS166" s="23"/>
      <c r="BT166" s="23"/>
      <c r="BU166" s="23"/>
    </row>
    <row r="167" ht="24.0" customHeight="1">
      <c r="A167" s="1109" t="str">
        <f t="shared" ref="A167:A184" si="123">A136</f>
        <v>Да</v>
      </c>
      <c r="B167" s="1719"/>
      <c r="C167" s="1948"/>
      <c r="D167" s="1136"/>
      <c r="E167" s="864" t="str">
        <f t="shared" si="91"/>
        <v/>
      </c>
      <c r="F167" s="2233" t="str">
        <f t="shared" si="92"/>
        <v/>
      </c>
      <c r="G167" s="69"/>
      <c r="H167" s="2233" t="str">
        <f t="shared" si="93"/>
        <v/>
      </c>
      <c r="I167" s="69"/>
      <c r="J167" s="2234" t="str">
        <f t="shared" si="94"/>
        <v/>
      </c>
      <c r="K167" s="69"/>
      <c r="L167" s="2233" t="str">
        <f t="shared" si="95"/>
        <v/>
      </c>
      <c r="M167" s="69"/>
      <c r="N167" s="2233" t="str">
        <f t="shared" si="96"/>
        <v/>
      </c>
      <c r="O167" s="69"/>
      <c r="P167" s="2233" t="str">
        <f t="shared" si="97"/>
        <v/>
      </c>
      <c r="Q167" s="69"/>
      <c r="R167" s="2233" t="str">
        <f t="shared" si="98"/>
        <v/>
      </c>
      <c r="S167" s="69"/>
      <c r="T167" s="2233" t="str">
        <f t="shared" si="99"/>
        <v/>
      </c>
      <c r="U167" s="69"/>
      <c r="V167" s="2235" t="str">
        <f t="shared" si="100"/>
        <v/>
      </c>
      <c r="W167" s="69"/>
      <c r="X167" s="2235" t="str">
        <f t="shared" si="101"/>
        <v/>
      </c>
      <c r="Y167" s="69"/>
      <c r="Z167" s="2235" t="str">
        <f t="shared" si="102"/>
        <v/>
      </c>
      <c r="AA167" s="69"/>
      <c r="AB167" s="2236" t="str">
        <f t="shared" si="103"/>
        <v/>
      </c>
      <c r="AC167" s="69"/>
      <c r="AD167" s="2236" t="str">
        <f t="shared" si="104"/>
        <v/>
      </c>
      <c r="AE167" s="69"/>
      <c r="AF167" s="2236" t="str">
        <f t="shared" si="105"/>
        <v/>
      </c>
      <c r="AG167" s="69"/>
      <c r="AH167" s="2236" t="str">
        <f t="shared" si="106"/>
        <v/>
      </c>
      <c r="AI167" s="69"/>
      <c r="AJ167" s="2236" t="str">
        <f t="shared" si="107"/>
        <v/>
      </c>
      <c r="AK167" s="69"/>
      <c r="AL167" s="2236" t="str">
        <f t="shared" si="108"/>
        <v/>
      </c>
      <c r="AM167" s="69"/>
      <c r="AN167" s="2236" t="str">
        <f t="shared" si="109"/>
        <v/>
      </c>
      <c r="AO167" s="69"/>
      <c r="AP167" s="2236" t="str">
        <f t="shared" si="110"/>
        <v/>
      </c>
      <c r="AQ167" s="69"/>
      <c r="AR167" s="2236" t="str">
        <f t="shared" si="111"/>
        <v/>
      </c>
      <c r="AS167" s="69"/>
      <c r="AT167" s="2236" t="str">
        <f t="shared" si="112"/>
        <v/>
      </c>
      <c r="AU167" s="69"/>
      <c r="AV167" s="2236" t="str">
        <f t="shared" si="113"/>
        <v/>
      </c>
      <c r="AW167" s="69"/>
      <c r="AX167" s="2236" t="str">
        <f t="shared" si="114"/>
        <v/>
      </c>
      <c r="AY167" s="69"/>
      <c r="AZ167" s="2236" t="str">
        <f t="shared" si="115"/>
        <v/>
      </c>
      <c r="BA167" s="69"/>
      <c r="BB167" s="1723" t="str">
        <f t="shared" si="116"/>
        <v/>
      </c>
      <c r="BC167" s="69"/>
      <c r="BD167" s="1723" t="str">
        <f t="shared" si="117"/>
        <v/>
      </c>
      <c r="BE167" s="69"/>
      <c r="BF167" s="1723" t="str">
        <f t="shared" si="118"/>
        <v/>
      </c>
      <c r="BG167" s="69"/>
      <c r="BH167" s="1723" t="str">
        <f t="shared" si="119"/>
        <v/>
      </c>
      <c r="BI167" s="69"/>
      <c r="BJ167" s="1723" t="str">
        <f t="shared" si="120"/>
        <v/>
      </c>
      <c r="BK167" s="69"/>
      <c r="BL167" s="2236" t="str">
        <f t="shared" si="121"/>
        <v/>
      </c>
      <c r="BM167" s="69"/>
      <c r="BN167" s="2233">
        <f t="shared" si="122"/>
        <v>0</v>
      </c>
      <c r="BO167" s="69"/>
      <c r="BQ167" s="23"/>
      <c r="BR167" s="23"/>
      <c r="BS167" s="23"/>
      <c r="BT167" s="23"/>
      <c r="BU167" s="23"/>
    </row>
    <row r="168" ht="24.0" customHeight="1">
      <c r="A168" s="1109" t="str">
        <f t="shared" si="123"/>
        <v>Да</v>
      </c>
      <c r="B168" s="1719">
        <v>813.0</v>
      </c>
      <c r="C168" s="1948">
        <v>227.0</v>
      </c>
      <c r="D168" s="1136"/>
      <c r="E168" s="864" t="str">
        <f t="shared" si="91"/>
        <v>Котлета по-киевски с макаронами</v>
      </c>
      <c r="F168" s="2233">
        <f t="shared" si="92"/>
        <v>11</v>
      </c>
      <c r="G168" s="69"/>
      <c r="H168" s="2233">
        <f t="shared" si="93"/>
        <v>2</v>
      </c>
      <c r="I168" s="69"/>
      <c r="J168" s="2234">
        <f t="shared" si="94"/>
        <v>3</v>
      </c>
      <c r="K168" s="69"/>
      <c r="L168" s="2233">
        <f t="shared" si="95"/>
        <v>2</v>
      </c>
      <c r="M168" s="69"/>
      <c r="N168" s="2233">
        <f t="shared" si="96"/>
        <v>3</v>
      </c>
      <c r="O168" s="69"/>
      <c r="P168" s="2233">
        <f t="shared" si="97"/>
        <v>7</v>
      </c>
      <c r="Q168" s="69"/>
      <c r="R168" s="2233">
        <f t="shared" si="98"/>
        <v>4</v>
      </c>
      <c r="S168" s="69"/>
      <c r="T168" s="2233">
        <f t="shared" si="99"/>
        <v>3</v>
      </c>
      <c r="U168" s="69"/>
      <c r="V168" s="2235">
        <f t="shared" si="100"/>
        <v>8</v>
      </c>
      <c r="W168" s="69"/>
      <c r="X168" s="2235">
        <f t="shared" si="101"/>
        <v>6</v>
      </c>
      <c r="Y168" s="69"/>
      <c r="Z168" s="2235" t="str">
        <f t="shared" si="102"/>
        <v/>
      </c>
      <c r="AA168" s="69"/>
      <c r="AB168" s="2236">
        <f t="shared" si="103"/>
        <v>4</v>
      </c>
      <c r="AC168" s="69"/>
      <c r="AD168" s="2236">
        <f t="shared" si="104"/>
        <v>5</v>
      </c>
      <c r="AE168" s="69"/>
      <c r="AF168" s="2236">
        <f t="shared" si="105"/>
        <v>5</v>
      </c>
      <c r="AG168" s="69"/>
      <c r="AH168" s="2236">
        <f t="shared" si="106"/>
        <v>7</v>
      </c>
      <c r="AI168" s="69"/>
      <c r="AJ168" s="2236">
        <f t="shared" si="107"/>
        <v>2</v>
      </c>
      <c r="AK168" s="69"/>
      <c r="AL168" s="2236">
        <f t="shared" si="108"/>
        <v>3</v>
      </c>
      <c r="AM168" s="69"/>
      <c r="AN168" s="2236">
        <f t="shared" si="109"/>
        <v>3</v>
      </c>
      <c r="AO168" s="69"/>
      <c r="AP168" s="2236">
        <f t="shared" si="110"/>
        <v>2</v>
      </c>
      <c r="AQ168" s="69"/>
      <c r="AR168" s="2236">
        <f t="shared" si="111"/>
        <v>7</v>
      </c>
      <c r="AS168" s="69"/>
      <c r="AT168" s="2236">
        <f t="shared" si="112"/>
        <v>8</v>
      </c>
      <c r="AU168" s="69"/>
      <c r="AV168" s="2236">
        <f t="shared" si="113"/>
        <v>3</v>
      </c>
      <c r="AW168" s="69"/>
      <c r="AX168" s="2236">
        <f t="shared" si="114"/>
        <v>4</v>
      </c>
      <c r="AY168" s="69"/>
      <c r="AZ168" s="2236">
        <f t="shared" si="115"/>
        <v>3</v>
      </c>
      <c r="BA168" s="69"/>
      <c r="BB168" s="1723">
        <f t="shared" si="116"/>
        <v>2</v>
      </c>
      <c r="BC168" s="69"/>
      <c r="BD168" s="1723">
        <f t="shared" si="117"/>
        <v>2</v>
      </c>
      <c r="BE168" s="69"/>
      <c r="BF168" s="1723">
        <f t="shared" si="118"/>
        <v>5</v>
      </c>
      <c r="BG168" s="69"/>
      <c r="BH168" s="1723">
        <f t="shared" si="119"/>
        <v>3</v>
      </c>
      <c r="BI168" s="69"/>
      <c r="BJ168" s="1723">
        <f t="shared" si="120"/>
        <v>4</v>
      </c>
      <c r="BK168" s="69"/>
      <c r="BL168" s="2236" t="str">
        <f t="shared" si="121"/>
        <v/>
      </c>
      <c r="BM168" s="69"/>
      <c r="BN168" s="2233">
        <f t="shared" si="122"/>
        <v>121</v>
      </c>
      <c r="BO168" s="69"/>
      <c r="BQ168" s="23"/>
      <c r="BR168" s="23"/>
      <c r="BS168" s="23"/>
      <c r="BT168" s="23"/>
      <c r="BU168" s="23"/>
    </row>
    <row r="169" ht="24.0" customHeight="1">
      <c r="A169" s="1109" t="str">
        <f t="shared" si="123"/>
        <v>Да</v>
      </c>
      <c r="B169" s="1719">
        <v>4105.0</v>
      </c>
      <c r="C169" s="1948">
        <v>234.0</v>
      </c>
      <c r="D169" s="1136"/>
      <c r="E169" s="864" t="str">
        <f t="shared" si="91"/>
        <v>Свинина по-гавайски с картофелем</v>
      </c>
      <c r="F169" s="2233">
        <f t="shared" si="92"/>
        <v>3</v>
      </c>
      <c r="G169" s="69"/>
      <c r="H169" s="2233">
        <f t="shared" si="93"/>
        <v>1</v>
      </c>
      <c r="I169" s="69"/>
      <c r="J169" s="2234">
        <f t="shared" si="94"/>
        <v>3</v>
      </c>
      <c r="K169" s="69"/>
      <c r="L169" s="2233">
        <f t="shared" si="95"/>
        <v>3</v>
      </c>
      <c r="M169" s="69"/>
      <c r="N169" s="2233">
        <f t="shared" si="96"/>
        <v>6</v>
      </c>
      <c r="O169" s="69"/>
      <c r="P169" s="2259">
        <f t="shared" si="97"/>
        <v>8</v>
      </c>
      <c r="Q169" s="69"/>
      <c r="R169" s="2233">
        <f t="shared" si="98"/>
        <v>2</v>
      </c>
      <c r="S169" s="69"/>
      <c r="T169" s="2233">
        <f t="shared" si="99"/>
        <v>4</v>
      </c>
      <c r="U169" s="69"/>
      <c r="V169" s="2235">
        <f t="shared" si="100"/>
        <v>3</v>
      </c>
      <c r="W169" s="69"/>
      <c r="X169" s="2235">
        <f t="shared" si="101"/>
        <v>2</v>
      </c>
      <c r="Y169" s="69"/>
      <c r="Z169" s="2235" t="str">
        <f t="shared" si="102"/>
        <v/>
      </c>
      <c r="AA169" s="69"/>
      <c r="AB169" s="2236">
        <f t="shared" si="103"/>
        <v>1</v>
      </c>
      <c r="AC169" s="69"/>
      <c r="AD169" s="2236">
        <f t="shared" si="104"/>
        <v>2</v>
      </c>
      <c r="AE169" s="69"/>
      <c r="AF169" s="2236">
        <f t="shared" si="105"/>
        <v>2</v>
      </c>
      <c r="AG169" s="69"/>
      <c r="AH169" s="2236">
        <f t="shared" si="106"/>
        <v>3</v>
      </c>
      <c r="AI169" s="69"/>
      <c r="AJ169" s="2236">
        <f t="shared" si="107"/>
        <v>3</v>
      </c>
      <c r="AK169" s="69"/>
      <c r="AL169" s="2236">
        <f t="shared" si="108"/>
        <v>1</v>
      </c>
      <c r="AM169" s="69"/>
      <c r="AN169" s="2236">
        <f t="shared" si="109"/>
        <v>3</v>
      </c>
      <c r="AO169" s="69"/>
      <c r="AP169" s="2236">
        <f t="shared" si="110"/>
        <v>2</v>
      </c>
      <c r="AQ169" s="69"/>
      <c r="AR169" s="2236">
        <f t="shared" si="111"/>
        <v>3</v>
      </c>
      <c r="AS169" s="69"/>
      <c r="AT169" s="2236">
        <f t="shared" si="112"/>
        <v>3</v>
      </c>
      <c r="AU169" s="69"/>
      <c r="AV169" s="2236">
        <f t="shared" si="113"/>
        <v>1</v>
      </c>
      <c r="AW169" s="69"/>
      <c r="AX169" s="2236">
        <f t="shared" si="114"/>
        <v>2</v>
      </c>
      <c r="AY169" s="69"/>
      <c r="AZ169" s="2236">
        <f t="shared" si="115"/>
        <v>3</v>
      </c>
      <c r="BA169" s="69"/>
      <c r="BB169" s="1723">
        <f t="shared" si="116"/>
        <v>3</v>
      </c>
      <c r="BC169" s="69"/>
      <c r="BD169" s="1723">
        <f t="shared" si="117"/>
        <v>1</v>
      </c>
      <c r="BE169" s="69"/>
      <c r="BF169" s="1723">
        <f t="shared" si="118"/>
        <v>2</v>
      </c>
      <c r="BG169" s="69"/>
      <c r="BH169" s="1723">
        <f t="shared" si="119"/>
        <v>0</v>
      </c>
      <c r="BI169" s="69"/>
      <c r="BJ169" s="1723">
        <f t="shared" si="120"/>
        <v>2</v>
      </c>
      <c r="BK169" s="69"/>
      <c r="BL169" s="2236" t="str">
        <f t="shared" si="121"/>
        <v/>
      </c>
      <c r="BM169" s="69"/>
      <c r="BN169" s="2233">
        <f t="shared" si="122"/>
        <v>72</v>
      </c>
      <c r="BO169" s="69"/>
      <c r="BQ169" s="23"/>
      <c r="BR169" s="23"/>
      <c r="BS169" s="23"/>
      <c r="BT169" s="23"/>
      <c r="BU169" s="23"/>
    </row>
    <row r="170" ht="24.0" customHeight="1">
      <c r="A170" s="1109" t="str">
        <f t="shared" si="123"/>
        <v>Да</v>
      </c>
      <c r="B170" s="1719">
        <v>26.0</v>
      </c>
      <c r="C170" s="1948">
        <v>190.0</v>
      </c>
      <c r="D170" s="1136"/>
      <c r="E170" s="864" t="str">
        <f t="shared" si="91"/>
        <v>Плов по-узбекски с цыпленком б/250гр</v>
      </c>
      <c r="F170" s="2233">
        <f t="shared" si="92"/>
        <v>8</v>
      </c>
      <c r="G170" s="69"/>
      <c r="H170" s="2233">
        <f t="shared" si="93"/>
        <v>3</v>
      </c>
      <c r="I170" s="69"/>
      <c r="J170" s="2234">
        <f t="shared" si="94"/>
        <v>2</v>
      </c>
      <c r="K170" s="69"/>
      <c r="L170" s="2233">
        <f t="shared" si="95"/>
        <v>2</v>
      </c>
      <c r="M170" s="69"/>
      <c r="N170" s="2233">
        <f t="shared" si="96"/>
        <v>7</v>
      </c>
      <c r="O170" s="69"/>
      <c r="P170" s="2259">
        <f t="shared" si="97"/>
        <v>3</v>
      </c>
      <c r="Q170" s="69"/>
      <c r="R170" s="2233">
        <f t="shared" si="98"/>
        <v>0</v>
      </c>
      <c r="S170" s="69"/>
      <c r="T170" s="2233">
        <f t="shared" si="99"/>
        <v>4</v>
      </c>
      <c r="U170" s="69"/>
      <c r="V170" s="2235">
        <f t="shared" si="100"/>
        <v>2</v>
      </c>
      <c r="W170" s="69"/>
      <c r="X170" s="2235">
        <f t="shared" si="101"/>
        <v>4</v>
      </c>
      <c r="Y170" s="69"/>
      <c r="Z170" s="2235" t="str">
        <f t="shared" si="102"/>
        <v/>
      </c>
      <c r="AA170" s="69"/>
      <c r="AB170" s="2236">
        <f t="shared" si="103"/>
        <v>5</v>
      </c>
      <c r="AC170" s="69"/>
      <c r="AD170" s="2236">
        <f t="shared" si="104"/>
        <v>4</v>
      </c>
      <c r="AE170" s="69"/>
      <c r="AF170" s="2236">
        <f t="shared" si="105"/>
        <v>2</v>
      </c>
      <c r="AG170" s="69"/>
      <c r="AH170" s="2236">
        <f t="shared" si="106"/>
        <v>4</v>
      </c>
      <c r="AI170" s="69"/>
      <c r="AJ170" s="2236">
        <f t="shared" si="107"/>
        <v>4</v>
      </c>
      <c r="AK170" s="69"/>
      <c r="AL170" s="2236">
        <f t="shared" si="108"/>
        <v>5</v>
      </c>
      <c r="AM170" s="69"/>
      <c r="AN170" s="2236">
        <f t="shared" si="109"/>
        <v>3</v>
      </c>
      <c r="AO170" s="69"/>
      <c r="AP170" s="2236">
        <f t="shared" si="110"/>
        <v>4</v>
      </c>
      <c r="AQ170" s="69"/>
      <c r="AR170" s="2236">
        <f t="shared" si="111"/>
        <v>6</v>
      </c>
      <c r="AS170" s="69"/>
      <c r="AT170" s="2236">
        <f t="shared" si="112"/>
        <v>8</v>
      </c>
      <c r="AU170" s="69"/>
      <c r="AV170" s="2236">
        <f t="shared" si="113"/>
        <v>3</v>
      </c>
      <c r="AW170" s="69"/>
      <c r="AX170" s="2236">
        <f t="shared" si="114"/>
        <v>6</v>
      </c>
      <c r="AY170" s="69"/>
      <c r="AZ170" s="2236">
        <f t="shared" si="115"/>
        <v>5</v>
      </c>
      <c r="BA170" s="69"/>
      <c r="BB170" s="1723">
        <f t="shared" si="116"/>
        <v>3</v>
      </c>
      <c r="BC170" s="69"/>
      <c r="BD170" s="1723">
        <f t="shared" si="117"/>
        <v>4</v>
      </c>
      <c r="BE170" s="69"/>
      <c r="BF170" s="1723">
        <f t="shared" si="118"/>
        <v>6</v>
      </c>
      <c r="BG170" s="69"/>
      <c r="BH170" s="1723">
        <f t="shared" si="119"/>
        <v>5</v>
      </c>
      <c r="BI170" s="69"/>
      <c r="BJ170" s="1723">
        <f t="shared" si="120"/>
        <v>6</v>
      </c>
      <c r="BK170" s="69"/>
      <c r="BL170" s="2236">
        <f t="shared" si="121"/>
        <v>25</v>
      </c>
      <c r="BM170" s="69"/>
      <c r="BN170" s="2233">
        <f t="shared" si="122"/>
        <v>143</v>
      </c>
      <c r="BO170" s="69"/>
      <c r="BQ170" s="23"/>
      <c r="BR170" s="23"/>
      <c r="BS170" s="23"/>
      <c r="BT170" s="23"/>
      <c r="BU170" s="23"/>
    </row>
    <row r="171" ht="24.0" customHeight="1">
      <c r="A171" s="1109" t="str">
        <f t="shared" si="123"/>
        <v/>
      </c>
      <c r="B171" s="1719">
        <v>4100.0</v>
      </c>
      <c r="C171" s="1948">
        <v>198.0</v>
      </c>
      <c r="D171" s="1136"/>
      <c r="E171" s="864" t="str">
        <f t="shared" si="91"/>
        <v>Курочка по-купечески с гречкой </v>
      </c>
      <c r="F171" s="2233">
        <f t="shared" si="92"/>
        <v>6</v>
      </c>
      <c r="G171" s="69"/>
      <c r="H171" s="2233">
        <f t="shared" si="93"/>
        <v>2</v>
      </c>
      <c r="I171" s="69"/>
      <c r="J171" s="2234">
        <f t="shared" si="94"/>
        <v>3</v>
      </c>
      <c r="K171" s="69"/>
      <c r="L171" s="2233">
        <f t="shared" si="95"/>
        <v>9</v>
      </c>
      <c r="M171" s="69"/>
      <c r="N171" s="2233">
        <f t="shared" si="96"/>
        <v>12</v>
      </c>
      <c r="O171" s="69"/>
      <c r="P171" s="2233">
        <f t="shared" si="97"/>
        <v>9</v>
      </c>
      <c r="Q171" s="69"/>
      <c r="R171" s="2233">
        <f t="shared" si="98"/>
        <v>4</v>
      </c>
      <c r="S171" s="69"/>
      <c r="T171" s="2233">
        <f t="shared" si="99"/>
        <v>1</v>
      </c>
      <c r="U171" s="69"/>
      <c r="V171" s="2235">
        <f t="shared" si="100"/>
        <v>7</v>
      </c>
      <c r="W171" s="69"/>
      <c r="X171" s="2235">
        <f t="shared" si="101"/>
        <v>6</v>
      </c>
      <c r="Y171" s="69"/>
      <c r="Z171" s="2235" t="str">
        <f t="shared" si="102"/>
        <v/>
      </c>
      <c r="AA171" s="69"/>
      <c r="AB171" s="2236">
        <f t="shared" si="103"/>
        <v>3</v>
      </c>
      <c r="AC171" s="69"/>
      <c r="AD171" s="2236">
        <f t="shared" si="104"/>
        <v>6</v>
      </c>
      <c r="AE171" s="69"/>
      <c r="AF171" s="2236">
        <f t="shared" si="105"/>
        <v>6</v>
      </c>
      <c r="AG171" s="69"/>
      <c r="AH171" s="2236">
        <f t="shared" si="106"/>
        <v>5</v>
      </c>
      <c r="AI171" s="69"/>
      <c r="AJ171" s="2236">
        <f t="shared" si="107"/>
        <v>6</v>
      </c>
      <c r="AK171" s="69"/>
      <c r="AL171" s="2236">
        <f t="shared" si="108"/>
        <v>4</v>
      </c>
      <c r="AM171" s="69"/>
      <c r="AN171" s="2236">
        <f t="shared" si="109"/>
        <v>3</v>
      </c>
      <c r="AO171" s="69"/>
      <c r="AP171" s="2236">
        <f t="shared" si="110"/>
        <v>4</v>
      </c>
      <c r="AQ171" s="69"/>
      <c r="AR171" s="2236">
        <f t="shared" si="111"/>
        <v>6</v>
      </c>
      <c r="AS171" s="69"/>
      <c r="AT171" s="2236">
        <f t="shared" si="112"/>
        <v>3</v>
      </c>
      <c r="AU171" s="69"/>
      <c r="AV171" s="2236">
        <f t="shared" si="113"/>
        <v>4</v>
      </c>
      <c r="AW171" s="69"/>
      <c r="AX171" s="2236">
        <f t="shared" si="114"/>
        <v>4</v>
      </c>
      <c r="AY171" s="69"/>
      <c r="AZ171" s="2236">
        <f t="shared" si="115"/>
        <v>2</v>
      </c>
      <c r="BA171" s="69"/>
      <c r="BB171" s="1723">
        <f t="shared" si="116"/>
        <v>2</v>
      </c>
      <c r="BC171" s="69"/>
      <c r="BD171" s="1723">
        <f t="shared" si="117"/>
        <v>4</v>
      </c>
      <c r="BE171" s="69"/>
      <c r="BF171" s="1723">
        <f t="shared" si="118"/>
        <v>2</v>
      </c>
      <c r="BG171" s="69"/>
      <c r="BH171" s="1723">
        <f t="shared" si="119"/>
        <v>8</v>
      </c>
      <c r="BI171" s="69"/>
      <c r="BJ171" s="1723">
        <f t="shared" si="120"/>
        <v>6</v>
      </c>
      <c r="BK171" s="69"/>
      <c r="BL171" s="2236">
        <f t="shared" si="121"/>
        <v>30</v>
      </c>
      <c r="BM171" s="69"/>
      <c r="BN171" s="2233">
        <f t="shared" si="122"/>
        <v>167</v>
      </c>
      <c r="BO171" s="69"/>
      <c r="BQ171" s="23"/>
      <c r="BR171" s="23"/>
      <c r="BS171" s="23"/>
      <c r="BT171" s="23"/>
      <c r="BU171" s="23"/>
    </row>
    <row r="172" ht="24.0" customHeight="1">
      <c r="A172" s="1109" t="str">
        <f t="shared" si="123"/>
        <v>Да</v>
      </c>
      <c r="B172" s="1719">
        <v>3474.0</v>
      </c>
      <c r="C172" s="1948">
        <v>198.0</v>
      </c>
      <c r="D172" s="1136"/>
      <c r="E172" s="864" t="str">
        <f t="shared" si="91"/>
        <v>Свинина в томатном соусе с макаронами</v>
      </c>
      <c r="F172" s="2233" t="str">
        <f t="shared" si="92"/>
        <v/>
      </c>
      <c r="G172" s="69"/>
      <c r="H172" s="2233" t="str">
        <f t="shared" si="93"/>
        <v/>
      </c>
      <c r="I172" s="69"/>
      <c r="J172" s="2234" t="str">
        <f t="shared" si="94"/>
        <v/>
      </c>
      <c r="K172" s="69"/>
      <c r="L172" s="2233" t="str">
        <f t="shared" si="95"/>
        <v/>
      </c>
      <c r="M172" s="69"/>
      <c r="N172" s="2233" t="str">
        <f t="shared" si="96"/>
        <v/>
      </c>
      <c r="O172" s="69"/>
      <c r="P172" s="2233" t="str">
        <f t="shared" si="97"/>
        <v/>
      </c>
      <c r="Q172" s="69"/>
      <c r="R172" s="2233" t="str">
        <f t="shared" si="98"/>
        <v/>
      </c>
      <c r="S172" s="69"/>
      <c r="T172" s="2233" t="str">
        <f t="shared" si="99"/>
        <v/>
      </c>
      <c r="U172" s="69"/>
      <c r="V172" s="2235" t="str">
        <f t="shared" si="100"/>
        <v/>
      </c>
      <c r="W172" s="69"/>
      <c r="X172" s="2235" t="str">
        <f t="shared" si="101"/>
        <v/>
      </c>
      <c r="Y172" s="69"/>
      <c r="Z172" s="2235" t="str">
        <f t="shared" si="102"/>
        <v/>
      </c>
      <c r="AA172" s="69"/>
      <c r="AB172" s="2236" t="str">
        <f t="shared" si="103"/>
        <v/>
      </c>
      <c r="AC172" s="69"/>
      <c r="AD172" s="2236" t="str">
        <f t="shared" si="104"/>
        <v/>
      </c>
      <c r="AE172" s="69"/>
      <c r="AF172" s="2236" t="str">
        <f t="shared" si="105"/>
        <v/>
      </c>
      <c r="AG172" s="69"/>
      <c r="AH172" s="2236" t="str">
        <f t="shared" si="106"/>
        <v/>
      </c>
      <c r="AI172" s="69"/>
      <c r="AJ172" s="2236" t="str">
        <f t="shared" si="107"/>
        <v/>
      </c>
      <c r="AK172" s="69"/>
      <c r="AL172" s="2236" t="str">
        <f t="shared" si="108"/>
        <v/>
      </c>
      <c r="AM172" s="69"/>
      <c r="AN172" s="2236" t="str">
        <f t="shared" si="109"/>
        <v/>
      </c>
      <c r="AO172" s="69"/>
      <c r="AP172" s="2236" t="str">
        <f t="shared" si="110"/>
        <v/>
      </c>
      <c r="AQ172" s="69"/>
      <c r="AR172" s="2236" t="str">
        <f t="shared" si="111"/>
        <v/>
      </c>
      <c r="AS172" s="69"/>
      <c r="AT172" s="2236" t="str">
        <f t="shared" si="112"/>
        <v/>
      </c>
      <c r="AU172" s="69"/>
      <c r="AV172" s="2236" t="str">
        <f t="shared" si="113"/>
        <v/>
      </c>
      <c r="AW172" s="69"/>
      <c r="AX172" s="2236" t="str">
        <f t="shared" si="114"/>
        <v/>
      </c>
      <c r="AY172" s="69"/>
      <c r="AZ172" s="2236" t="str">
        <f t="shared" si="115"/>
        <v/>
      </c>
      <c r="BA172" s="69"/>
      <c r="BB172" s="1723" t="str">
        <f t="shared" si="116"/>
        <v/>
      </c>
      <c r="BC172" s="69"/>
      <c r="BD172" s="1723" t="str">
        <f t="shared" si="117"/>
        <v/>
      </c>
      <c r="BE172" s="69"/>
      <c r="BF172" s="1723" t="str">
        <f t="shared" si="118"/>
        <v/>
      </c>
      <c r="BG172" s="69"/>
      <c r="BH172" s="1723" t="str">
        <f t="shared" si="119"/>
        <v/>
      </c>
      <c r="BI172" s="69"/>
      <c r="BJ172" s="1723" t="str">
        <f t="shared" si="120"/>
        <v/>
      </c>
      <c r="BK172" s="69"/>
      <c r="BL172" s="2236">
        <f t="shared" si="121"/>
        <v>75</v>
      </c>
      <c r="BM172" s="69"/>
      <c r="BN172" s="2233">
        <f t="shared" si="122"/>
        <v>75</v>
      </c>
      <c r="BO172" s="69"/>
      <c r="BQ172" s="23"/>
      <c r="BR172" s="23"/>
      <c r="BS172" s="23"/>
      <c r="BT172" s="23"/>
      <c r="BU172" s="23"/>
    </row>
    <row r="173" ht="24.0" customHeight="1">
      <c r="A173" s="1109" t="str">
        <f t="shared" si="123"/>
        <v/>
      </c>
      <c r="B173" s="1719">
        <v>102.0</v>
      </c>
      <c r="C173" s="1948">
        <v>271.0</v>
      </c>
      <c r="D173" s="1136"/>
      <c r="E173" s="864" t="str">
        <f t="shared" si="91"/>
        <v>Соба с курицей в устричном соусе</v>
      </c>
      <c r="F173" s="2233">
        <f t="shared" si="92"/>
        <v>4</v>
      </c>
      <c r="G173" s="69"/>
      <c r="H173" s="2233">
        <f t="shared" si="93"/>
        <v>3</v>
      </c>
      <c r="I173" s="69"/>
      <c r="J173" s="2234">
        <f t="shared" si="94"/>
        <v>3</v>
      </c>
      <c r="K173" s="69"/>
      <c r="L173" s="2233">
        <f t="shared" si="95"/>
        <v>5</v>
      </c>
      <c r="M173" s="69"/>
      <c r="N173" s="2233">
        <f t="shared" si="96"/>
        <v>5</v>
      </c>
      <c r="O173" s="69"/>
      <c r="P173" s="2233">
        <f t="shared" si="97"/>
        <v>5</v>
      </c>
      <c r="Q173" s="69"/>
      <c r="R173" s="2233">
        <f t="shared" si="98"/>
        <v>4</v>
      </c>
      <c r="S173" s="69"/>
      <c r="T173" s="2233">
        <f t="shared" si="99"/>
        <v>3</v>
      </c>
      <c r="U173" s="69"/>
      <c r="V173" s="2235">
        <f t="shared" si="100"/>
        <v>4</v>
      </c>
      <c r="W173" s="69"/>
      <c r="X173" s="2235">
        <f t="shared" si="101"/>
        <v>4</v>
      </c>
      <c r="Y173" s="69"/>
      <c r="Z173" s="2235" t="str">
        <f t="shared" si="102"/>
        <v/>
      </c>
      <c r="AA173" s="69"/>
      <c r="AB173" s="2236">
        <f t="shared" si="103"/>
        <v>3</v>
      </c>
      <c r="AC173" s="69"/>
      <c r="AD173" s="2236">
        <f t="shared" si="104"/>
        <v>4</v>
      </c>
      <c r="AE173" s="69"/>
      <c r="AF173" s="2236">
        <f t="shared" si="105"/>
        <v>6</v>
      </c>
      <c r="AG173" s="69"/>
      <c r="AH173" s="2236">
        <f t="shared" si="106"/>
        <v>5</v>
      </c>
      <c r="AI173" s="69"/>
      <c r="AJ173" s="2236">
        <f t="shared" si="107"/>
        <v>7</v>
      </c>
      <c r="AK173" s="69"/>
      <c r="AL173" s="2236">
        <f t="shared" si="108"/>
        <v>4</v>
      </c>
      <c r="AM173" s="69"/>
      <c r="AN173" s="2236">
        <f t="shared" si="109"/>
        <v>3</v>
      </c>
      <c r="AO173" s="69"/>
      <c r="AP173" s="2236">
        <f t="shared" si="110"/>
        <v>3</v>
      </c>
      <c r="AQ173" s="69"/>
      <c r="AR173" s="2236">
        <f t="shared" si="111"/>
        <v>3</v>
      </c>
      <c r="AS173" s="69"/>
      <c r="AT173" s="2236">
        <f t="shared" si="112"/>
        <v>6</v>
      </c>
      <c r="AU173" s="69"/>
      <c r="AV173" s="2236">
        <f t="shared" si="113"/>
        <v>2</v>
      </c>
      <c r="AW173" s="69"/>
      <c r="AX173" s="2236">
        <f t="shared" si="114"/>
        <v>5</v>
      </c>
      <c r="AY173" s="69"/>
      <c r="AZ173" s="2236">
        <f t="shared" si="115"/>
        <v>3</v>
      </c>
      <c r="BA173" s="69"/>
      <c r="BB173" s="1723">
        <f t="shared" si="116"/>
        <v>2</v>
      </c>
      <c r="BC173" s="69"/>
      <c r="BD173" s="1723">
        <f t="shared" si="117"/>
        <v>2</v>
      </c>
      <c r="BE173" s="69"/>
      <c r="BF173" s="1723">
        <f t="shared" si="118"/>
        <v>2</v>
      </c>
      <c r="BG173" s="69"/>
      <c r="BH173" s="1723">
        <f t="shared" si="119"/>
        <v>6</v>
      </c>
      <c r="BI173" s="69"/>
      <c r="BJ173" s="1723">
        <f t="shared" si="120"/>
        <v>5</v>
      </c>
      <c r="BK173" s="69"/>
      <c r="BL173" s="2236" t="str">
        <f t="shared" si="121"/>
        <v/>
      </c>
      <c r="BM173" s="69"/>
      <c r="BN173" s="2233">
        <f t="shared" si="122"/>
        <v>111</v>
      </c>
      <c r="BO173" s="69"/>
      <c r="BQ173" s="23"/>
      <c r="BR173" s="23"/>
      <c r="BS173" s="23"/>
      <c r="BT173" s="23"/>
      <c r="BU173" s="23"/>
    </row>
    <row r="174" ht="24.0" customHeight="1">
      <c r="A174" s="1109" t="str">
        <f t="shared" si="123"/>
        <v>Да</v>
      </c>
      <c r="B174" s="1719">
        <v>3375.0</v>
      </c>
      <c r="C174" s="1948">
        <v>90.0</v>
      </c>
      <c r="D174" s="1136"/>
      <c r="E174" s="864" t="str">
        <f t="shared" si="91"/>
        <v>Самса с куриной грудкой 150 грамм</v>
      </c>
      <c r="F174" s="2233" t="str">
        <f t="shared" si="92"/>
        <v/>
      </c>
      <c r="G174" s="69"/>
      <c r="H174" s="2233" t="str">
        <f t="shared" si="93"/>
        <v/>
      </c>
      <c r="I174" s="69"/>
      <c r="J174" s="2234" t="str">
        <f t="shared" si="94"/>
        <v/>
      </c>
      <c r="K174" s="69"/>
      <c r="L174" s="2233" t="str">
        <f t="shared" si="95"/>
        <v/>
      </c>
      <c r="M174" s="69"/>
      <c r="N174" s="2233" t="str">
        <f t="shared" si="96"/>
        <v/>
      </c>
      <c r="O174" s="69"/>
      <c r="P174" s="2233" t="str">
        <f t="shared" si="97"/>
        <v/>
      </c>
      <c r="Q174" s="69"/>
      <c r="R174" s="2233" t="str">
        <f t="shared" si="98"/>
        <v/>
      </c>
      <c r="S174" s="69"/>
      <c r="T174" s="2233" t="str">
        <f t="shared" si="99"/>
        <v/>
      </c>
      <c r="U174" s="69"/>
      <c r="V174" s="2235" t="str">
        <f t="shared" si="100"/>
        <v/>
      </c>
      <c r="W174" s="69"/>
      <c r="X174" s="2235" t="str">
        <f t="shared" si="101"/>
        <v/>
      </c>
      <c r="Y174" s="69"/>
      <c r="Z174" s="2235" t="str">
        <f t="shared" si="102"/>
        <v/>
      </c>
      <c r="AA174" s="69"/>
      <c r="AB174" s="2236" t="str">
        <f t="shared" si="103"/>
        <v/>
      </c>
      <c r="AC174" s="69"/>
      <c r="AD174" s="2236" t="str">
        <f t="shared" si="104"/>
        <v/>
      </c>
      <c r="AE174" s="69"/>
      <c r="AF174" s="2236" t="str">
        <f t="shared" si="105"/>
        <v/>
      </c>
      <c r="AG174" s="69"/>
      <c r="AH174" s="2236" t="str">
        <f t="shared" si="106"/>
        <v/>
      </c>
      <c r="AI174" s="69"/>
      <c r="AJ174" s="2236" t="str">
        <f t="shared" si="107"/>
        <v/>
      </c>
      <c r="AK174" s="69"/>
      <c r="AL174" s="2236" t="str">
        <f t="shared" si="108"/>
        <v/>
      </c>
      <c r="AM174" s="69"/>
      <c r="AN174" s="2236" t="str">
        <f t="shared" si="109"/>
        <v/>
      </c>
      <c r="AO174" s="69"/>
      <c r="AP174" s="2236" t="str">
        <f t="shared" si="110"/>
        <v/>
      </c>
      <c r="AQ174" s="69"/>
      <c r="AR174" s="2236" t="str">
        <f t="shared" si="111"/>
        <v/>
      </c>
      <c r="AS174" s="69"/>
      <c r="AT174" s="2236" t="str">
        <f t="shared" si="112"/>
        <v/>
      </c>
      <c r="AU174" s="69"/>
      <c r="AV174" s="2236" t="str">
        <f t="shared" si="113"/>
        <v/>
      </c>
      <c r="AW174" s="69"/>
      <c r="AX174" s="2236" t="str">
        <f t="shared" si="114"/>
        <v/>
      </c>
      <c r="AY174" s="69"/>
      <c r="AZ174" s="2236" t="str">
        <f t="shared" si="115"/>
        <v/>
      </c>
      <c r="BA174" s="69"/>
      <c r="BB174" s="1723" t="str">
        <f t="shared" si="116"/>
        <v/>
      </c>
      <c r="BC174" s="69"/>
      <c r="BD174" s="1723" t="str">
        <f t="shared" si="117"/>
        <v/>
      </c>
      <c r="BE174" s="69"/>
      <c r="BF174" s="1723" t="str">
        <f t="shared" si="118"/>
        <v/>
      </c>
      <c r="BG174" s="69"/>
      <c r="BH174" s="1723" t="str">
        <f t="shared" si="119"/>
        <v/>
      </c>
      <c r="BI174" s="69"/>
      <c r="BJ174" s="1723" t="str">
        <f t="shared" si="120"/>
        <v/>
      </c>
      <c r="BK174" s="69"/>
      <c r="BL174" s="2236">
        <f t="shared" si="121"/>
        <v>15</v>
      </c>
      <c r="BM174" s="69"/>
      <c r="BN174" s="2233">
        <f t="shared" si="122"/>
        <v>15</v>
      </c>
      <c r="BO174" s="69"/>
      <c r="BQ174" s="23"/>
      <c r="BR174" s="23"/>
      <c r="BS174" s="23"/>
      <c r="BT174" s="23"/>
      <c r="BU174" s="23"/>
    </row>
    <row r="175" ht="24.0" customHeight="1">
      <c r="A175" s="1109" t="str">
        <f t="shared" si="123"/>
        <v>Да</v>
      </c>
      <c r="B175" s="1719">
        <v>4051.0</v>
      </c>
      <c r="C175" s="1948">
        <v>196.0</v>
      </c>
      <c r="D175" s="1136"/>
      <c r="E175" s="864" t="str">
        <f t="shared" si="91"/>
        <v>Сэндвич с бужениной и горчичным соусом</v>
      </c>
      <c r="F175" s="2233">
        <f t="shared" si="92"/>
        <v>13</v>
      </c>
      <c r="G175" s="69"/>
      <c r="H175" s="2233">
        <f t="shared" si="93"/>
        <v>2</v>
      </c>
      <c r="I175" s="69"/>
      <c r="J175" s="2234">
        <f t="shared" si="94"/>
        <v>2</v>
      </c>
      <c r="K175" s="69"/>
      <c r="L175" s="2233">
        <f t="shared" si="95"/>
        <v>4</v>
      </c>
      <c r="M175" s="69"/>
      <c r="N175" s="2233">
        <f t="shared" si="96"/>
        <v>8</v>
      </c>
      <c r="O175" s="69"/>
      <c r="P175" s="2233">
        <f t="shared" si="97"/>
        <v>6</v>
      </c>
      <c r="Q175" s="69"/>
      <c r="R175" s="2233">
        <f t="shared" si="98"/>
        <v>3</v>
      </c>
      <c r="S175" s="69"/>
      <c r="T175" s="2233">
        <f t="shared" si="99"/>
        <v>3</v>
      </c>
      <c r="U175" s="69"/>
      <c r="V175" s="2235">
        <f t="shared" si="100"/>
        <v>5</v>
      </c>
      <c r="W175" s="69"/>
      <c r="X175" s="2235">
        <f t="shared" si="101"/>
        <v>5</v>
      </c>
      <c r="Y175" s="69"/>
      <c r="Z175" s="2235" t="str">
        <f t="shared" si="102"/>
        <v/>
      </c>
      <c r="AA175" s="69"/>
      <c r="AB175" s="2236">
        <f t="shared" si="103"/>
        <v>6</v>
      </c>
      <c r="AC175" s="69"/>
      <c r="AD175" s="2236">
        <f t="shared" si="104"/>
        <v>8</v>
      </c>
      <c r="AE175" s="69"/>
      <c r="AF175" s="2236">
        <f t="shared" si="105"/>
        <v>4</v>
      </c>
      <c r="AG175" s="69"/>
      <c r="AH175" s="2236">
        <f t="shared" si="106"/>
        <v>8</v>
      </c>
      <c r="AI175" s="69"/>
      <c r="AJ175" s="2236">
        <f t="shared" si="107"/>
        <v>2</v>
      </c>
      <c r="AK175" s="69"/>
      <c r="AL175" s="2236">
        <f t="shared" si="108"/>
        <v>6</v>
      </c>
      <c r="AM175" s="69"/>
      <c r="AN175" s="2236">
        <f t="shared" si="109"/>
        <v>3</v>
      </c>
      <c r="AO175" s="69"/>
      <c r="AP175" s="2236">
        <f t="shared" si="110"/>
        <v>7</v>
      </c>
      <c r="AQ175" s="69"/>
      <c r="AR175" s="2236">
        <f t="shared" si="111"/>
        <v>8</v>
      </c>
      <c r="AS175" s="69"/>
      <c r="AT175" s="2236">
        <f t="shared" si="112"/>
        <v>4</v>
      </c>
      <c r="AU175" s="69"/>
      <c r="AV175" s="2236">
        <f t="shared" si="113"/>
        <v>6</v>
      </c>
      <c r="AW175" s="69"/>
      <c r="AX175" s="2236">
        <f t="shared" si="114"/>
        <v>6</v>
      </c>
      <c r="AY175" s="69"/>
      <c r="AZ175" s="2236">
        <f t="shared" si="115"/>
        <v>2</v>
      </c>
      <c r="BA175" s="69"/>
      <c r="BB175" s="1723">
        <f t="shared" si="116"/>
        <v>6</v>
      </c>
      <c r="BC175" s="69"/>
      <c r="BD175" s="1723">
        <f t="shared" si="117"/>
        <v>2</v>
      </c>
      <c r="BE175" s="69"/>
      <c r="BF175" s="1723">
        <f t="shared" si="118"/>
        <v>5</v>
      </c>
      <c r="BG175" s="69"/>
      <c r="BH175" s="1723">
        <f t="shared" si="119"/>
        <v>4</v>
      </c>
      <c r="BI175" s="69"/>
      <c r="BJ175" s="1723">
        <f t="shared" si="120"/>
        <v>5</v>
      </c>
      <c r="BK175" s="69"/>
      <c r="BL175" s="2236" t="str">
        <f t="shared" si="121"/>
        <v/>
      </c>
      <c r="BM175" s="69"/>
      <c r="BN175" s="2233">
        <f t="shared" si="122"/>
        <v>143</v>
      </c>
      <c r="BO175" s="69"/>
      <c r="BQ175" s="23"/>
      <c r="BR175" s="23"/>
      <c r="BS175" s="23"/>
      <c r="BT175" s="23"/>
      <c r="BU175" s="23"/>
    </row>
    <row r="176" ht="24.0" customHeight="1">
      <c r="A176" s="1109" t="str">
        <f t="shared" si="123"/>
        <v/>
      </c>
      <c r="B176" s="1719">
        <v>3330.0</v>
      </c>
      <c r="C176" s="1948">
        <v>172.0</v>
      </c>
      <c r="D176" s="1136"/>
      <c r="E176" s="864" t="str">
        <f t="shared" si="91"/>
        <v>Сэндвич с курицей и соусом Барбекю</v>
      </c>
      <c r="F176" s="2233">
        <f t="shared" si="92"/>
        <v>9</v>
      </c>
      <c r="G176" s="69"/>
      <c r="H176" s="2233">
        <f t="shared" si="93"/>
        <v>2</v>
      </c>
      <c r="I176" s="69"/>
      <c r="J176" s="2234">
        <f t="shared" si="94"/>
        <v>2</v>
      </c>
      <c r="K176" s="69"/>
      <c r="L176" s="2233">
        <f t="shared" si="95"/>
        <v>4</v>
      </c>
      <c r="M176" s="69"/>
      <c r="N176" s="2233">
        <f t="shared" si="96"/>
        <v>2</v>
      </c>
      <c r="O176" s="69"/>
      <c r="P176" s="2233">
        <f t="shared" si="97"/>
        <v>2</v>
      </c>
      <c r="Q176" s="69"/>
      <c r="R176" s="2233">
        <f t="shared" si="98"/>
        <v>2</v>
      </c>
      <c r="S176" s="69"/>
      <c r="T176" s="2233">
        <f t="shared" si="99"/>
        <v>1</v>
      </c>
      <c r="U176" s="69"/>
      <c r="V176" s="2235">
        <f t="shared" si="100"/>
        <v>2</v>
      </c>
      <c r="W176" s="69"/>
      <c r="X176" s="2235">
        <f t="shared" si="101"/>
        <v>6</v>
      </c>
      <c r="Y176" s="69"/>
      <c r="Z176" s="2235" t="str">
        <f t="shared" si="102"/>
        <v/>
      </c>
      <c r="AA176" s="69"/>
      <c r="AB176" s="2236">
        <f t="shared" si="103"/>
        <v>2</v>
      </c>
      <c r="AC176" s="69"/>
      <c r="AD176" s="2236">
        <f t="shared" si="104"/>
        <v>4</v>
      </c>
      <c r="AE176" s="69"/>
      <c r="AF176" s="2236">
        <f t="shared" si="105"/>
        <v>1</v>
      </c>
      <c r="AG176" s="69"/>
      <c r="AH176" s="2236">
        <f t="shared" si="106"/>
        <v>2</v>
      </c>
      <c r="AI176" s="69"/>
      <c r="AJ176" s="2236">
        <f t="shared" si="107"/>
        <v>2</v>
      </c>
      <c r="AK176" s="69"/>
      <c r="AL176" s="2236">
        <f t="shared" si="108"/>
        <v>2</v>
      </c>
      <c r="AM176" s="69"/>
      <c r="AN176" s="2236">
        <f t="shared" si="109"/>
        <v>3</v>
      </c>
      <c r="AO176" s="69"/>
      <c r="AP176" s="2236">
        <f t="shared" si="110"/>
        <v>3</v>
      </c>
      <c r="AQ176" s="69"/>
      <c r="AR176" s="2236">
        <f t="shared" si="111"/>
        <v>5</v>
      </c>
      <c r="AS176" s="69"/>
      <c r="AT176" s="2236">
        <f t="shared" si="112"/>
        <v>4</v>
      </c>
      <c r="AU176" s="69"/>
      <c r="AV176" s="2236">
        <f t="shared" si="113"/>
        <v>6</v>
      </c>
      <c r="AW176" s="69"/>
      <c r="AX176" s="2236">
        <f t="shared" si="114"/>
        <v>6</v>
      </c>
      <c r="AY176" s="69"/>
      <c r="AZ176" s="2236">
        <f t="shared" si="115"/>
        <v>4</v>
      </c>
      <c r="BA176" s="69"/>
      <c r="BB176" s="1723">
        <f t="shared" si="116"/>
        <v>6</v>
      </c>
      <c r="BC176" s="69"/>
      <c r="BD176" s="1723">
        <f t="shared" si="117"/>
        <v>3</v>
      </c>
      <c r="BE176" s="69"/>
      <c r="BF176" s="1723">
        <f t="shared" si="118"/>
        <v>4</v>
      </c>
      <c r="BG176" s="69"/>
      <c r="BH176" s="1723">
        <f t="shared" si="119"/>
        <v>2</v>
      </c>
      <c r="BI176" s="69"/>
      <c r="BJ176" s="1723">
        <f t="shared" si="120"/>
        <v>3</v>
      </c>
      <c r="BK176" s="69"/>
      <c r="BL176" s="2236" t="str">
        <f t="shared" si="121"/>
        <v/>
      </c>
      <c r="BM176" s="69"/>
      <c r="BN176" s="2233">
        <f t="shared" si="122"/>
        <v>94</v>
      </c>
      <c r="BO176" s="69"/>
      <c r="BQ176" s="11"/>
      <c r="BR176" s="11"/>
      <c r="BS176" s="11"/>
      <c r="BT176" s="11"/>
      <c r="BU176" s="11"/>
    </row>
    <row r="177" ht="24.0" customHeight="1">
      <c r="A177" s="1109" t="str">
        <f t="shared" si="123"/>
        <v>Да</v>
      </c>
      <c r="B177" s="1719">
        <v>2897.0</v>
      </c>
      <c r="C177" s="1948">
        <v>129.0</v>
      </c>
      <c r="D177" s="1136"/>
      <c r="E177" s="864" t="str">
        <f t="shared" si="91"/>
        <v>Перловка с грибами </v>
      </c>
      <c r="F177" s="2233">
        <f t="shared" si="92"/>
        <v>2</v>
      </c>
      <c r="G177" s="69"/>
      <c r="H177" s="2259">
        <f t="shared" si="93"/>
        <v>2</v>
      </c>
      <c r="I177" s="69"/>
      <c r="J177" s="2234">
        <f t="shared" si="94"/>
        <v>2</v>
      </c>
      <c r="K177" s="69"/>
      <c r="L177" s="2233" t="str">
        <f t="shared" si="95"/>
        <v/>
      </c>
      <c r="M177" s="69"/>
      <c r="N177" s="2233">
        <f t="shared" si="96"/>
        <v>2</v>
      </c>
      <c r="O177" s="69"/>
      <c r="P177" s="2259">
        <f t="shared" si="97"/>
        <v>2</v>
      </c>
      <c r="Q177" s="69"/>
      <c r="R177" s="2233">
        <f t="shared" si="98"/>
        <v>2</v>
      </c>
      <c r="S177" s="69"/>
      <c r="T177" s="2233">
        <f t="shared" si="99"/>
        <v>2</v>
      </c>
      <c r="U177" s="69"/>
      <c r="V177" s="2235">
        <f t="shared" si="100"/>
        <v>2</v>
      </c>
      <c r="W177" s="69"/>
      <c r="X177" s="2235">
        <f t="shared" si="101"/>
        <v>2</v>
      </c>
      <c r="Y177" s="69"/>
      <c r="Z177" s="2235" t="str">
        <f t="shared" si="102"/>
        <v/>
      </c>
      <c r="AA177" s="69"/>
      <c r="AB177" s="2236">
        <f t="shared" si="103"/>
        <v>2</v>
      </c>
      <c r="AC177" s="69"/>
      <c r="AD177" s="2236">
        <f t="shared" si="104"/>
        <v>2</v>
      </c>
      <c r="AE177" s="69"/>
      <c r="AF177" s="2236">
        <f t="shared" si="105"/>
        <v>2</v>
      </c>
      <c r="AG177" s="69"/>
      <c r="AH177" s="2236">
        <f t="shared" si="106"/>
        <v>2</v>
      </c>
      <c r="AI177" s="69"/>
      <c r="AJ177" s="2236">
        <f t="shared" si="107"/>
        <v>2</v>
      </c>
      <c r="AK177" s="69"/>
      <c r="AL177" s="2236">
        <f t="shared" si="108"/>
        <v>2</v>
      </c>
      <c r="AM177" s="69"/>
      <c r="AN177" s="2236">
        <f t="shared" si="109"/>
        <v>2</v>
      </c>
      <c r="AO177" s="69"/>
      <c r="AP177" s="2236">
        <f t="shared" si="110"/>
        <v>2</v>
      </c>
      <c r="AQ177" s="69"/>
      <c r="AR177" s="2236">
        <f t="shared" si="111"/>
        <v>3</v>
      </c>
      <c r="AS177" s="69"/>
      <c r="AT177" s="2236">
        <f t="shared" si="112"/>
        <v>3</v>
      </c>
      <c r="AU177" s="69"/>
      <c r="AV177" s="2236">
        <f t="shared" si="113"/>
        <v>2</v>
      </c>
      <c r="AW177" s="69"/>
      <c r="AX177" s="2236">
        <f t="shared" si="114"/>
        <v>3</v>
      </c>
      <c r="AY177" s="69"/>
      <c r="AZ177" s="2236">
        <f t="shared" si="115"/>
        <v>2</v>
      </c>
      <c r="BA177" s="69"/>
      <c r="BB177" s="1723">
        <f t="shared" si="116"/>
        <v>2</v>
      </c>
      <c r="BC177" s="69"/>
      <c r="BD177" s="1723">
        <f t="shared" si="117"/>
        <v>3</v>
      </c>
      <c r="BE177" s="69"/>
      <c r="BF177" s="1723">
        <f t="shared" si="118"/>
        <v>3</v>
      </c>
      <c r="BG177" s="69"/>
      <c r="BH177" s="1723">
        <f t="shared" si="119"/>
        <v>2</v>
      </c>
      <c r="BI177" s="69"/>
      <c r="BJ177" s="1723">
        <f t="shared" si="120"/>
        <v>3</v>
      </c>
      <c r="BK177" s="69"/>
      <c r="BL177" s="2236" t="str">
        <f t="shared" si="121"/>
        <v/>
      </c>
      <c r="BM177" s="69"/>
      <c r="BN177" s="2233">
        <f t="shared" si="122"/>
        <v>60</v>
      </c>
      <c r="BO177" s="69"/>
      <c r="BQ177" s="11"/>
      <c r="BR177" s="11"/>
      <c r="BS177" s="11"/>
      <c r="BT177" s="11"/>
      <c r="BU177" s="11"/>
    </row>
    <row r="178" ht="24.0" customHeight="1">
      <c r="A178" s="1109" t="str">
        <f t="shared" si="123"/>
        <v/>
      </c>
      <c r="B178" s="1719">
        <v>4000.0</v>
      </c>
      <c r="C178" s="1948">
        <v>98.0</v>
      </c>
      <c r="D178" s="1136"/>
      <c r="E178" s="864" t="str">
        <f t="shared" si="91"/>
        <v>Компот из сухофруктов 0,5 л</v>
      </c>
      <c r="F178" s="2233">
        <f t="shared" si="92"/>
        <v>14</v>
      </c>
      <c r="G178" s="69"/>
      <c r="H178" s="2233">
        <f t="shared" si="93"/>
        <v>4</v>
      </c>
      <c r="I178" s="69"/>
      <c r="J178" s="2234">
        <f t="shared" si="94"/>
        <v>4</v>
      </c>
      <c r="K178" s="69"/>
      <c r="L178" s="2233">
        <f t="shared" si="95"/>
        <v>0</v>
      </c>
      <c r="M178" s="69"/>
      <c r="N178" s="2233">
        <f t="shared" si="96"/>
        <v>5</v>
      </c>
      <c r="O178" s="69"/>
      <c r="P178" s="2233">
        <f t="shared" si="97"/>
        <v>14</v>
      </c>
      <c r="Q178" s="69"/>
      <c r="R178" s="2233">
        <f t="shared" si="98"/>
        <v>0</v>
      </c>
      <c r="S178" s="69"/>
      <c r="T178" s="2233">
        <f t="shared" si="99"/>
        <v>0</v>
      </c>
      <c r="U178" s="69"/>
      <c r="V178" s="2235">
        <f t="shared" si="100"/>
        <v>0</v>
      </c>
      <c r="W178" s="69"/>
      <c r="X178" s="2235">
        <f t="shared" si="101"/>
        <v>5</v>
      </c>
      <c r="Y178" s="69"/>
      <c r="Z178" s="2235" t="str">
        <f t="shared" si="102"/>
        <v/>
      </c>
      <c r="AA178" s="69"/>
      <c r="AB178" s="2236">
        <f t="shared" si="103"/>
        <v>0</v>
      </c>
      <c r="AC178" s="69"/>
      <c r="AD178" s="2236">
        <f t="shared" si="104"/>
        <v>0</v>
      </c>
      <c r="AE178" s="69"/>
      <c r="AF178" s="2236">
        <f t="shared" si="105"/>
        <v>5</v>
      </c>
      <c r="AG178" s="69"/>
      <c r="AH178" s="2236">
        <f t="shared" si="106"/>
        <v>0</v>
      </c>
      <c r="AI178" s="69"/>
      <c r="AJ178" s="2236">
        <f t="shared" si="107"/>
        <v>0</v>
      </c>
      <c r="AK178" s="69"/>
      <c r="AL178" s="2236">
        <f t="shared" si="108"/>
        <v>0</v>
      </c>
      <c r="AM178" s="69"/>
      <c r="AN178" s="2236" t="str">
        <f t="shared" si="109"/>
        <v/>
      </c>
      <c r="AO178" s="69"/>
      <c r="AP178" s="2236">
        <f t="shared" si="110"/>
        <v>0</v>
      </c>
      <c r="AQ178" s="69"/>
      <c r="AR178" s="2236">
        <f t="shared" si="111"/>
        <v>20</v>
      </c>
      <c r="AS178" s="69"/>
      <c r="AT178" s="2236">
        <f t="shared" si="112"/>
        <v>7</v>
      </c>
      <c r="AU178" s="69"/>
      <c r="AV178" s="2236">
        <f t="shared" si="113"/>
        <v>8</v>
      </c>
      <c r="AW178" s="69"/>
      <c r="AX178" s="2236">
        <f t="shared" si="114"/>
        <v>10</v>
      </c>
      <c r="AY178" s="69"/>
      <c r="AZ178" s="2236">
        <f t="shared" si="115"/>
        <v>0</v>
      </c>
      <c r="BA178" s="69"/>
      <c r="BB178" s="1723">
        <f t="shared" si="116"/>
        <v>0</v>
      </c>
      <c r="BC178" s="69"/>
      <c r="BD178" s="1723">
        <f t="shared" si="117"/>
        <v>0</v>
      </c>
      <c r="BE178" s="69"/>
      <c r="BF178" s="1723">
        <f t="shared" si="118"/>
        <v>15</v>
      </c>
      <c r="BG178" s="69"/>
      <c r="BH178" s="1723">
        <f t="shared" si="119"/>
        <v>6</v>
      </c>
      <c r="BI178" s="69"/>
      <c r="BJ178" s="1723">
        <f t="shared" si="120"/>
        <v>10</v>
      </c>
      <c r="BK178" s="69"/>
      <c r="BL178" s="2236" t="str">
        <f t="shared" si="121"/>
        <v/>
      </c>
      <c r="BM178" s="69"/>
      <c r="BN178" s="2233">
        <f t="shared" si="122"/>
        <v>127</v>
      </c>
      <c r="BO178" s="69"/>
      <c r="BQ178" s="11"/>
      <c r="BR178" s="11"/>
      <c r="BS178" s="11"/>
      <c r="BT178" s="11"/>
      <c r="BU178" s="11"/>
    </row>
    <row r="179" ht="24.0" customHeight="1">
      <c r="A179" s="1109" t="str">
        <f t="shared" si="123"/>
        <v/>
      </c>
      <c r="B179" s="1719"/>
      <c r="C179" s="1948"/>
      <c r="D179" s="1136"/>
      <c r="E179" s="864" t="str">
        <f t="shared" si="91"/>
        <v/>
      </c>
      <c r="F179" s="2233" t="str">
        <f t="shared" si="92"/>
        <v/>
      </c>
      <c r="G179" s="69"/>
      <c r="H179" s="2259" t="str">
        <f t="shared" si="93"/>
        <v/>
      </c>
      <c r="I179" s="69"/>
      <c r="J179" s="2234" t="str">
        <f t="shared" si="94"/>
        <v/>
      </c>
      <c r="K179" s="69"/>
      <c r="L179" s="2233" t="str">
        <f t="shared" si="95"/>
        <v/>
      </c>
      <c r="M179" s="69"/>
      <c r="N179" s="2233" t="str">
        <f t="shared" si="96"/>
        <v/>
      </c>
      <c r="O179" s="69"/>
      <c r="P179" s="2259" t="str">
        <f t="shared" si="97"/>
        <v/>
      </c>
      <c r="Q179" s="69"/>
      <c r="R179" s="2233" t="str">
        <f t="shared" si="98"/>
        <v/>
      </c>
      <c r="S179" s="69"/>
      <c r="T179" s="2233" t="str">
        <f t="shared" si="99"/>
        <v/>
      </c>
      <c r="U179" s="69"/>
      <c r="V179" s="2235" t="str">
        <f t="shared" si="100"/>
        <v/>
      </c>
      <c r="W179" s="69"/>
      <c r="X179" s="2235" t="str">
        <f t="shared" si="101"/>
        <v/>
      </c>
      <c r="Y179" s="69"/>
      <c r="Z179" s="2235" t="str">
        <f t="shared" si="102"/>
        <v/>
      </c>
      <c r="AA179" s="69"/>
      <c r="AB179" s="2236" t="str">
        <f t="shared" si="103"/>
        <v/>
      </c>
      <c r="AC179" s="69"/>
      <c r="AD179" s="2236" t="str">
        <f t="shared" si="104"/>
        <v/>
      </c>
      <c r="AE179" s="69"/>
      <c r="AF179" s="2236" t="str">
        <f t="shared" si="105"/>
        <v/>
      </c>
      <c r="AG179" s="69"/>
      <c r="AH179" s="2236" t="str">
        <f t="shared" si="106"/>
        <v/>
      </c>
      <c r="AI179" s="69"/>
      <c r="AJ179" s="2236" t="str">
        <f t="shared" si="107"/>
        <v/>
      </c>
      <c r="AK179" s="69"/>
      <c r="AL179" s="2236" t="str">
        <f t="shared" si="108"/>
        <v/>
      </c>
      <c r="AM179" s="69"/>
      <c r="AN179" s="2236" t="str">
        <f t="shared" si="109"/>
        <v/>
      </c>
      <c r="AO179" s="69"/>
      <c r="AP179" s="2236" t="str">
        <f t="shared" si="110"/>
        <v/>
      </c>
      <c r="AQ179" s="69"/>
      <c r="AR179" s="2236" t="str">
        <f t="shared" si="111"/>
        <v/>
      </c>
      <c r="AS179" s="69"/>
      <c r="AT179" s="2236" t="str">
        <f t="shared" si="112"/>
        <v/>
      </c>
      <c r="AU179" s="69"/>
      <c r="AV179" s="2236" t="str">
        <f t="shared" si="113"/>
        <v/>
      </c>
      <c r="AW179" s="69"/>
      <c r="AX179" s="2236" t="str">
        <f t="shared" si="114"/>
        <v/>
      </c>
      <c r="AY179" s="69"/>
      <c r="AZ179" s="2236" t="str">
        <f t="shared" si="115"/>
        <v/>
      </c>
      <c r="BA179" s="69"/>
      <c r="BB179" s="1723" t="str">
        <f t="shared" si="116"/>
        <v/>
      </c>
      <c r="BC179" s="69"/>
      <c r="BD179" s="1723" t="str">
        <f t="shared" si="117"/>
        <v/>
      </c>
      <c r="BE179" s="69"/>
      <c r="BF179" s="1723" t="str">
        <f t="shared" si="118"/>
        <v/>
      </c>
      <c r="BG179" s="69"/>
      <c r="BH179" s="1723" t="str">
        <f t="shared" si="119"/>
        <v/>
      </c>
      <c r="BI179" s="69"/>
      <c r="BJ179" s="1723" t="str">
        <f t="shared" si="120"/>
        <v/>
      </c>
      <c r="BK179" s="69"/>
      <c r="BL179" s="2236" t="str">
        <f t="shared" si="121"/>
        <v/>
      </c>
      <c r="BM179" s="69"/>
      <c r="BN179" s="2233">
        <f t="shared" si="122"/>
        <v>0</v>
      </c>
      <c r="BO179" s="69"/>
      <c r="BQ179" s="11"/>
      <c r="BR179" s="11"/>
      <c r="BS179" s="11"/>
      <c r="BT179" s="11"/>
      <c r="BU179" s="11"/>
    </row>
    <row r="180" ht="24.0" customHeight="1">
      <c r="A180" s="1109" t="str">
        <f t="shared" si="123"/>
        <v>Да</v>
      </c>
      <c r="B180" s="1719"/>
      <c r="C180" s="1948"/>
      <c r="D180" s="1136"/>
      <c r="E180" s="864" t="str">
        <f t="shared" si="91"/>
        <v/>
      </c>
      <c r="F180" s="2233" t="str">
        <f t="shared" si="92"/>
        <v/>
      </c>
      <c r="G180" s="69"/>
      <c r="H180" s="2233" t="str">
        <f t="shared" si="93"/>
        <v/>
      </c>
      <c r="I180" s="69"/>
      <c r="J180" s="2234" t="str">
        <f t="shared" si="94"/>
        <v/>
      </c>
      <c r="K180" s="69"/>
      <c r="L180" s="2233" t="str">
        <f t="shared" si="95"/>
        <v/>
      </c>
      <c r="M180" s="69"/>
      <c r="N180" s="2233" t="str">
        <f t="shared" si="96"/>
        <v/>
      </c>
      <c r="O180" s="69"/>
      <c r="P180" s="2233" t="str">
        <f t="shared" si="97"/>
        <v/>
      </c>
      <c r="Q180" s="69"/>
      <c r="R180" s="2233" t="str">
        <f t="shared" si="98"/>
        <v/>
      </c>
      <c r="S180" s="69"/>
      <c r="T180" s="2233" t="str">
        <f t="shared" si="99"/>
        <v/>
      </c>
      <c r="U180" s="69"/>
      <c r="V180" s="2235" t="str">
        <f t="shared" si="100"/>
        <v/>
      </c>
      <c r="W180" s="69"/>
      <c r="X180" s="2235" t="str">
        <f t="shared" si="101"/>
        <v/>
      </c>
      <c r="Y180" s="69"/>
      <c r="Z180" s="2235" t="str">
        <f t="shared" si="102"/>
        <v/>
      </c>
      <c r="AA180" s="69"/>
      <c r="AB180" s="2236" t="str">
        <f t="shared" si="103"/>
        <v/>
      </c>
      <c r="AC180" s="69"/>
      <c r="AD180" s="2236" t="str">
        <f t="shared" si="104"/>
        <v/>
      </c>
      <c r="AE180" s="69"/>
      <c r="AF180" s="2236" t="str">
        <f t="shared" si="105"/>
        <v/>
      </c>
      <c r="AG180" s="69"/>
      <c r="AH180" s="2236" t="str">
        <f t="shared" si="106"/>
        <v/>
      </c>
      <c r="AI180" s="69"/>
      <c r="AJ180" s="2236" t="str">
        <f t="shared" si="107"/>
        <v/>
      </c>
      <c r="AK180" s="69"/>
      <c r="AL180" s="2236" t="str">
        <f t="shared" si="108"/>
        <v/>
      </c>
      <c r="AM180" s="69"/>
      <c r="AN180" s="2236" t="str">
        <f t="shared" si="109"/>
        <v/>
      </c>
      <c r="AO180" s="69"/>
      <c r="AP180" s="2236" t="str">
        <f t="shared" si="110"/>
        <v/>
      </c>
      <c r="AQ180" s="69"/>
      <c r="AR180" s="2236" t="str">
        <f t="shared" si="111"/>
        <v/>
      </c>
      <c r="AS180" s="69"/>
      <c r="AT180" s="2236" t="str">
        <f t="shared" si="112"/>
        <v/>
      </c>
      <c r="AU180" s="69"/>
      <c r="AV180" s="2236" t="str">
        <f t="shared" si="113"/>
        <v/>
      </c>
      <c r="AW180" s="69"/>
      <c r="AX180" s="2236" t="str">
        <f t="shared" si="114"/>
        <v/>
      </c>
      <c r="AY180" s="69"/>
      <c r="AZ180" s="2236" t="str">
        <f t="shared" si="115"/>
        <v/>
      </c>
      <c r="BA180" s="69"/>
      <c r="BB180" s="1723" t="str">
        <f t="shared" si="116"/>
        <v/>
      </c>
      <c r="BC180" s="69"/>
      <c r="BD180" s="1723" t="str">
        <f t="shared" si="117"/>
        <v/>
      </c>
      <c r="BE180" s="69"/>
      <c r="BF180" s="1723" t="str">
        <f t="shared" si="118"/>
        <v/>
      </c>
      <c r="BG180" s="69"/>
      <c r="BH180" s="1723" t="str">
        <f t="shared" si="119"/>
        <v/>
      </c>
      <c r="BI180" s="69"/>
      <c r="BJ180" s="1723" t="str">
        <f t="shared" si="120"/>
        <v/>
      </c>
      <c r="BK180" s="69"/>
      <c r="BL180" s="2236" t="str">
        <f t="shared" si="121"/>
        <v/>
      </c>
      <c r="BM180" s="69"/>
      <c r="BN180" s="2233">
        <f t="shared" si="122"/>
        <v>0</v>
      </c>
      <c r="BO180" s="69"/>
      <c r="BQ180" s="11"/>
      <c r="BR180" s="11"/>
      <c r="BS180" s="11"/>
      <c r="BT180" s="11"/>
      <c r="BU180" s="11"/>
    </row>
    <row r="181" ht="24.0" customHeight="1">
      <c r="A181" s="1109" t="str">
        <f t="shared" si="123"/>
        <v/>
      </c>
      <c r="B181" s="1719">
        <v>822.0</v>
      </c>
      <c r="C181" s="1948">
        <v>5.0</v>
      </c>
      <c r="D181" s="1136"/>
      <c r="E181" s="864" t="str">
        <f t="shared" si="91"/>
        <v>Хлеб пшеничный</v>
      </c>
      <c r="F181" s="2233">
        <f t="shared" si="92"/>
        <v>3</v>
      </c>
      <c r="G181" s="69"/>
      <c r="H181" s="2233">
        <f t="shared" si="93"/>
        <v>3</v>
      </c>
      <c r="I181" s="69"/>
      <c r="J181" s="2234">
        <f t="shared" si="94"/>
        <v>10</v>
      </c>
      <c r="K181" s="69"/>
      <c r="L181" s="2233">
        <f t="shared" si="95"/>
        <v>5</v>
      </c>
      <c r="M181" s="69"/>
      <c r="N181" s="2233">
        <f t="shared" si="96"/>
        <v>4</v>
      </c>
      <c r="O181" s="69"/>
      <c r="P181" s="2233">
        <f t="shared" si="97"/>
        <v>3</v>
      </c>
      <c r="Q181" s="69"/>
      <c r="R181" s="2233">
        <f t="shared" si="98"/>
        <v>3</v>
      </c>
      <c r="S181" s="69"/>
      <c r="T181" s="2233">
        <f t="shared" si="99"/>
        <v>5</v>
      </c>
      <c r="U181" s="69"/>
      <c r="V181" s="2235">
        <f t="shared" si="100"/>
        <v>5</v>
      </c>
      <c r="W181" s="69"/>
      <c r="X181" s="2235">
        <f t="shared" si="101"/>
        <v>3</v>
      </c>
      <c r="Y181" s="69"/>
      <c r="Z181" s="2235" t="str">
        <f t="shared" si="102"/>
        <v/>
      </c>
      <c r="AA181" s="69"/>
      <c r="AB181" s="2236">
        <f t="shared" si="103"/>
        <v>3</v>
      </c>
      <c r="AC181" s="69"/>
      <c r="AD181" s="2236">
        <f t="shared" si="104"/>
        <v>7</v>
      </c>
      <c r="AE181" s="69"/>
      <c r="AF181" s="2236">
        <f t="shared" si="105"/>
        <v>3</v>
      </c>
      <c r="AG181" s="69"/>
      <c r="AH181" s="2236" t="str">
        <f t="shared" si="106"/>
        <v/>
      </c>
      <c r="AI181" s="69"/>
      <c r="AJ181" s="2236">
        <f t="shared" si="107"/>
        <v>3</v>
      </c>
      <c r="AK181" s="69"/>
      <c r="AL181" s="2236">
        <f t="shared" si="108"/>
        <v>3</v>
      </c>
      <c r="AM181" s="69"/>
      <c r="AN181" s="2236" t="str">
        <f t="shared" si="109"/>
        <v/>
      </c>
      <c r="AO181" s="69"/>
      <c r="AP181" s="2236">
        <f t="shared" si="110"/>
        <v>3</v>
      </c>
      <c r="AQ181" s="69"/>
      <c r="AR181" s="2236" t="str">
        <f t="shared" si="111"/>
        <v/>
      </c>
      <c r="AS181" s="69"/>
      <c r="AT181" s="2236">
        <f t="shared" si="112"/>
        <v>3</v>
      </c>
      <c r="AU181" s="69"/>
      <c r="AV181" s="2236" t="str">
        <f t="shared" si="113"/>
        <v/>
      </c>
      <c r="AW181" s="69"/>
      <c r="AX181" s="2236" t="str">
        <f t="shared" si="114"/>
        <v/>
      </c>
      <c r="AY181" s="69"/>
      <c r="AZ181" s="2236">
        <f t="shared" si="115"/>
        <v>20</v>
      </c>
      <c r="BA181" s="69"/>
      <c r="BB181" s="1723" t="str">
        <f t="shared" si="116"/>
        <v/>
      </c>
      <c r="BC181" s="69"/>
      <c r="BD181" s="1723" t="str">
        <f t="shared" si="117"/>
        <v/>
      </c>
      <c r="BE181" s="69"/>
      <c r="BF181" s="1723">
        <f t="shared" si="118"/>
        <v>3</v>
      </c>
      <c r="BG181" s="69"/>
      <c r="BH181" s="1723">
        <f t="shared" si="119"/>
        <v>3</v>
      </c>
      <c r="BI181" s="69"/>
      <c r="BJ181" s="1723">
        <f t="shared" si="120"/>
        <v>4</v>
      </c>
      <c r="BK181" s="69"/>
      <c r="BL181" s="2236">
        <f t="shared" si="121"/>
        <v>120</v>
      </c>
      <c r="BM181" s="69"/>
      <c r="BN181" s="2233">
        <f t="shared" si="122"/>
        <v>219</v>
      </c>
      <c r="BO181" s="69"/>
      <c r="BQ181" s="11"/>
      <c r="BR181" s="11"/>
      <c r="BS181" s="11"/>
      <c r="BT181" s="11"/>
      <c r="BU181" s="11"/>
    </row>
    <row r="182" ht="24.0" customHeight="1">
      <c r="A182" s="1109" t="str">
        <f t="shared" si="123"/>
        <v/>
      </c>
      <c r="B182" s="1719"/>
      <c r="C182" s="2281"/>
      <c r="D182" s="1136"/>
      <c r="E182" s="864" t="str">
        <f t="shared" si="91"/>
        <v/>
      </c>
      <c r="F182" s="2233" t="str">
        <f t="shared" si="92"/>
        <v/>
      </c>
      <c r="G182" s="69"/>
      <c r="H182" s="2233" t="str">
        <f t="shared" si="93"/>
        <v/>
      </c>
      <c r="I182" s="69"/>
      <c r="J182" s="2234" t="str">
        <f t="shared" si="94"/>
        <v/>
      </c>
      <c r="K182" s="69"/>
      <c r="L182" s="2233" t="str">
        <f t="shared" si="95"/>
        <v/>
      </c>
      <c r="M182" s="69"/>
      <c r="N182" s="2233" t="str">
        <f t="shared" si="96"/>
        <v/>
      </c>
      <c r="O182" s="69"/>
      <c r="P182" s="2233" t="str">
        <f t="shared" si="97"/>
        <v/>
      </c>
      <c r="Q182" s="69"/>
      <c r="R182" s="2233" t="str">
        <f t="shared" si="98"/>
        <v/>
      </c>
      <c r="S182" s="69"/>
      <c r="T182" s="2233" t="str">
        <f t="shared" si="99"/>
        <v/>
      </c>
      <c r="U182" s="69"/>
      <c r="V182" s="2235" t="str">
        <f t="shared" si="100"/>
        <v/>
      </c>
      <c r="W182" s="69"/>
      <c r="X182" s="2235" t="str">
        <f t="shared" si="101"/>
        <v/>
      </c>
      <c r="Y182" s="69"/>
      <c r="Z182" s="2235" t="str">
        <f t="shared" si="102"/>
        <v/>
      </c>
      <c r="AA182" s="69"/>
      <c r="AB182" s="2236" t="str">
        <f t="shared" si="103"/>
        <v/>
      </c>
      <c r="AC182" s="69"/>
      <c r="AD182" s="2236" t="str">
        <f t="shared" si="104"/>
        <v/>
      </c>
      <c r="AE182" s="69"/>
      <c r="AF182" s="2236" t="str">
        <f t="shared" si="105"/>
        <v/>
      </c>
      <c r="AG182" s="69"/>
      <c r="AH182" s="2236" t="str">
        <f t="shared" si="106"/>
        <v/>
      </c>
      <c r="AI182" s="69"/>
      <c r="AJ182" s="2236" t="str">
        <f t="shared" si="107"/>
        <v/>
      </c>
      <c r="AK182" s="69"/>
      <c r="AL182" s="2236" t="str">
        <f t="shared" si="108"/>
        <v/>
      </c>
      <c r="AM182" s="69"/>
      <c r="AN182" s="2236" t="str">
        <f t="shared" si="109"/>
        <v/>
      </c>
      <c r="AO182" s="69"/>
      <c r="AP182" s="2236" t="str">
        <f>AQ151</f>
        <v/>
      </c>
      <c r="AQ182" s="69"/>
      <c r="AR182" s="2236" t="str">
        <f>AS151</f>
        <v/>
      </c>
      <c r="AS182" s="69"/>
      <c r="AT182" s="2236" t="str">
        <f>AU151</f>
        <v/>
      </c>
      <c r="AU182" s="69"/>
      <c r="AV182" s="2236" t="str">
        <f>AW151</f>
        <v/>
      </c>
      <c r="AW182" s="69"/>
      <c r="AX182" s="2236" t="str">
        <f>AY151</f>
        <v/>
      </c>
      <c r="AY182" s="69"/>
      <c r="AZ182" s="2236" t="str">
        <f>BA151</f>
        <v/>
      </c>
      <c r="BA182" s="69"/>
      <c r="BB182" s="1723" t="str">
        <f t="shared" si="116"/>
        <v/>
      </c>
      <c r="BC182" s="69"/>
      <c r="BD182" s="1723" t="str">
        <f t="shared" si="117"/>
        <v/>
      </c>
      <c r="BE182" s="69"/>
      <c r="BF182" s="1723" t="str">
        <f t="shared" si="118"/>
        <v/>
      </c>
      <c r="BG182" s="69"/>
      <c r="BH182" s="1723" t="str">
        <f t="shared" si="119"/>
        <v/>
      </c>
      <c r="BI182" s="69"/>
      <c r="BJ182" s="1723" t="str">
        <f t="shared" si="120"/>
        <v/>
      </c>
      <c r="BK182" s="69"/>
      <c r="BL182" s="2236" t="str">
        <f t="shared" si="121"/>
        <v/>
      </c>
      <c r="BM182" s="69"/>
      <c r="BN182" s="2233">
        <f t="shared" si="122"/>
        <v>0</v>
      </c>
      <c r="BO182" s="69"/>
      <c r="BQ182" s="11"/>
      <c r="BR182" s="11"/>
      <c r="BS182" s="11"/>
      <c r="BT182" s="11"/>
      <c r="BU182" s="11"/>
    </row>
    <row r="183" ht="24.0" customHeight="1">
      <c r="A183" s="1109" t="str">
        <f t="shared" si="123"/>
        <v/>
      </c>
      <c r="B183" s="1719"/>
      <c r="C183" s="2281"/>
      <c r="D183" s="1136"/>
      <c r="E183" s="864" t="str">
        <f t="shared" si="91"/>
        <v/>
      </c>
      <c r="F183" s="2233">
        <f>SUM(F159:G181)</f>
        <v>119</v>
      </c>
      <c r="G183" s="69"/>
      <c r="H183" s="2233">
        <f>SUM(H159:I181)</f>
        <v>38</v>
      </c>
      <c r="I183" s="69"/>
      <c r="J183" s="2233">
        <f>SUM(J159:K181)</f>
        <v>61</v>
      </c>
      <c r="K183" s="69"/>
      <c r="L183" s="2233">
        <f>SUM(L159:M181)</f>
        <v>55</v>
      </c>
      <c r="M183" s="69"/>
      <c r="N183" s="2233">
        <f>SUM(N159:O181)</f>
        <v>109</v>
      </c>
      <c r="O183" s="69"/>
      <c r="P183" s="2233">
        <f>SUM(P159:Q181)</f>
        <v>86</v>
      </c>
      <c r="Q183" s="69"/>
      <c r="R183" s="2233">
        <f>SUM(R159:S181)</f>
        <v>39</v>
      </c>
      <c r="S183" s="69"/>
      <c r="T183" s="2233">
        <f>SUM(T159:U181)</f>
        <v>45</v>
      </c>
      <c r="U183" s="69"/>
      <c r="V183" s="2233">
        <f>SUM(V159:W181)</f>
        <v>58</v>
      </c>
      <c r="W183" s="69"/>
      <c r="X183" s="2233">
        <f>SUM(X159:Y181)</f>
        <v>62</v>
      </c>
      <c r="Y183" s="69"/>
      <c r="Z183" s="2233">
        <f>SUM(Z159:AA181)</f>
        <v>0</v>
      </c>
      <c r="AA183" s="69"/>
      <c r="AB183" s="2233">
        <f>SUM(AB159:AC181)</f>
        <v>44</v>
      </c>
      <c r="AC183" s="69"/>
      <c r="AD183" s="2233">
        <f>SUM(AD159:AE181)</f>
        <v>57</v>
      </c>
      <c r="AE183" s="69"/>
      <c r="AF183" s="2233">
        <f>SUM(AF159:AG181)</f>
        <v>73</v>
      </c>
      <c r="AG183" s="69"/>
      <c r="AH183" s="2233">
        <f>SUM(AH159:AI181)</f>
        <v>58</v>
      </c>
      <c r="AI183" s="69"/>
      <c r="AJ183" s="2233">
        <f>SUM(AJ159:AK181)</f>
        <v>56</v>
      </c>
      <c r="AK183" s="69"/>
      <c r="AL183" s="2233">
        <f>SUM(AL159:AM181)</f>
        <v>53</v>
      </c>
      <c r="AM183" s="69"/>
      <c r="AN183" s="2233">
        <f>SUM(AN159:AO181)</f>
        <v>44</v>
      </c>
      <c r="AO183" s="69"/>
      <c r="AP183" s="2233">
        <f>SUM(AP159:AQ181)</f>
        <v>50</v>
      </c>
      <c r="AQ183" s="69"/>
      <c r="AR183" s="2233">
        <f>SUM(AR159:AS181)</f>
        <v>125</v>
      </c>
      <c r="AS183" s="69"/>
      <c r="AT183" s="2233">
        <f>SUM(AT159:AU181)</f>
        <v>76</v>
      </c>
      <c r="AU183" s="69"/>
      <c r="AV183" s="2233">
        <f>SUM(AV159:AW181)</f>
        <v>52</v>
      </c>
      <c r="AW183" s="69"/>
      <c r="AX183" s="2233">
        <f>SUM(AX159:AY181)</f>
        <v>78</v>
      </c>
      <c r="AY183" s="69"/>
      <c r="AZ183" s="2233">
        <f>SUM(AZ159:BA181)</f>
        <v>59</v>
      </c>
      <c r="BA183" s="69"/>
      <c r="BB183" s="2233">
        <f>SUM(BB159:BC181)</f>
        <v>46</v>
      </c>
      <c r="BC183" s="69"/>
      <c r="BD183" s="2233">
        <f>SUM(BD159:BE181)</f>
        <v>30</v>
      </c>
      <c r="BE183" s="69"/>
      <c r="BF183" s="2233">
        <f>SUM(BF159:BG181)</f>
        <v>65</v>
      </c>
      <c r="BG183" s="69"/>
      <c r="BH183" s="2233">
        <f>SUM(BH159:BI181)</f>
        <v>64</v>
      </c>
      <c r="BI183" s="69"/>
      <c r="BJ183" s="2233">
        <f>SUM(BJ159:BK181)</f>
        <v>75</v>
      </c>
      <c r="BK183" s="69"/>
      <c r="BL183" s="2233">
        <f>SUM(BL159:BM181)</f>
        <v>515</v>
      </c>
      <c r="BM183" s="69"/>
      <c r="BN183" s="2233">
        <f t="shared" si="122"/>
        <v>2292</v>
      </c>
      <c r="BO183" s="69"/>
      <c r="BQ183" s="11"/>
      <c r="BR183" s="11"/>
      <c r="BS183" s="11"/>
      <c r="BT183" s="11"/>
      <c r="BU183" s="11"/>
    </row>
    <row r="184" ht="24.0" customHeight="1">
      <c r="A184" s="1109" t="str">
        <f t="shared" si="123"/>
        <v/>
      </c>
      <c r="B184" s="1259"/>
      <c r="C184" s="2281"/>
      <c r="D184" s="1136"/>
      <c r="E184" s="864" t="str">
        <f t="shared" si="91"/>
        <v/>
      </c>
      <c r="F184" s="1072" t="str">
        <f>G152</f>
        <v/>
      </c>
      <c r="G184" s="69"/>
      <c r="H184" s="1072" t="str">
        <f>I152</f>
        <v/>
      </c>
      <c r="I184" s="69"/>
      <c r="J184" s="1422" t="str">
        <f>K152</f>
        <v/>
      </c>
      <c r="K184" s="69"/>
      <c r="L184" s="1072" t="str">
        <f>M153</f>
        <v/>
      </c>
      <c r="M184" s="69"/>
      <c r="N184" s="1072" t="str">
        <f>O153</f>
        <v/>
      </c>
      <c r="O184" s="69"/>
      <c r="P184" s="1072" t="str">
        <f>Q152</f>
        <v/>
      </c>
      <c r="Q184" s="69"/>
      <c r="R184" s="1072" t="str">
        <f>S152</f>
        <v/>
      </c>
      <c r="S184" s="69"/>
      <c r="T184" s="1072" t="str">
        <f>U152</f>
        <v/>
      </c>
      <c r="U184" s="69"/>
      <c r="V184" s="1426" t="str">
        <f>W152</f>
        <v/>
      </c>
      <c r="W184" s="69"/>
      <c r="X184" s="1426" t="str">
        <f>Y152</f>
        <v/>
      </c>
      <c r="Y184" s="69"/>
      <c r="Z184" s="1426" t="str">
        <f>AA152</f>
        <v/>
      </c>
      <c r="AA184" s="69"/>
      <c r="AB184" s="1427" t="str">
        <f>AC152</f>
        <v/>
      </c>
      <c r="AC184" s="69"/>
      <c r="AD184" s="1427" t="str">
        <f>AE152</f>
        <v/>
      </c>
      <c r="AE184" s="69"/>
      <c r="AF184" s="1427" t="str">
        <f>AG152</f>
        <v/>
      </c>
      <c r="AG184" s="69"/>
      <c r="AH184" s="1427" t="str">
        <f>AI152</f>
        <v/>
      </c>
      <c r="AI184" s="69"/>
      <c r="AJ184" s="1427" t="str">
        <f>AK152</f>
        <v/>
      </c>
      <c r="AK184" s="69"/>
      <c r="AL184" s="1427" t="str">
        <f>AM152</f>
        <v/>
      </c>
      <c r="AM184" s="69"/>
      <c r="AN184" s="1427" t="str">
        <f>AO152</f>
        <v/>
      </c>
      <c r="AO184" s="69"/>
      <c r="AP184" s="1427" t="str">
        <f>AQ153</f>
        <v/>
      </c>
      <c r="AQ184" s="69"/>
      <c r="AR184" s="1427" t="str">
        <f>AS153</f>
        <v/>
      </c>
      <c r="AS184" s="69"/>
      <c r="AT184" s="1427" t="str">
        <f>AU153</f>
        <v/>
      </c>
      <c r="AU184" s="69"/>
      <c r="AV184" s="1427" t="str">
        <f>AW153</f>
        <v/>
      </c>
      <c r="AW184" s="69"/>
      <c r="AX184" s="1427" t="str">
        <f>AY153</f>
        <v/>
      </c>
      <c r="AY184" s="69"/>
      <c r="AZ184" s="1427" t="str">
        <f>BA153</f>
        <v/>
      </c>
      <c r="BA184" s="69"/>
      <c r="BB184" s="1485" t="str">
        <f>BC152</f>
        <v/>
      </c>
      <c r="BC184" s="69"/>
      <c r="BD184" s="1485" t="str">
        <f>BE152</f>
        <v/>
      </c>
      <c r="BE184" s="69"/>
      <c r="BF184" s="1485" t="str">
        <f>BG152</f>
        <v/>
      </c>
      <c r="BG184" s="69"/>
      <c r="BH184" s="1485" t="str">
        <f>BI152</f>
        <v/>
      </c>
      <c r="BI184" s="69"/>
      <c r="BJ184" s="1201" t="str">
        <f>BK152</f>
        <v/>
      </c>
      <c r="BK184" s="69"/>
      <c r="BL184" s="1427" t="str">
        <f>BM152</f>
        <v/>
      </c>
      <c r="BM184" s="69"/>
      <c r="BN184" s="1072">
        <f t="shared" si="122"/>
        <v>0</v>
      </c>
      <c r="BO184" s="69"/>
      <c r="BQ184" s="11"/>
      <c r="BR184" s="11"/>
      <c r="BS184" s="11"/>
      <c r="BT184" s="11"/>
      <c r="BU184" s="11"/>
    </row>
    <row r="185" ht="15.75" customHeight="1">
      <c r="A185" s="1464"/>
      <c r="B185" s="2288"/>
      <c r="C185" s="2289"/>
      <c r="D185" s="2289"/>
      <c r="E185" s="2290"/>
      <c r="F185" s="1214"/>
      <c r="G185" s="1468"/>
      <c r="H185" s="1214"/>
      <c r="I185" s="1468"/>
      <c r="J185" s="1214"/>
      <c r="K185" s="1468"/>
      <c r="L185" s="1214"/>
      <c r="M185" s="1468"/>
      <c r="N185" s="1214"/>
      <c r="O185" s="1214"/>
      <c r="P185" s="1214"/>
      <c r="Q185" s="1214"/>
      <c r="R185" s="1214"/>
      <c r="S185" s="1469"/>
      <c r="T185" s="2291"/>
      <c r="U185" s="2291"/>
      <c r="V185" s="1471"/>
      <c r="W185" s="1469"/>
      <c r="X185" s="1472"/>
      <c r="Y185" s="1469"/>
      <c r="Z185" s="1472"/>
      <c r="AA185" s="1469"/>
      <c r="AB185" s="1472"/>
      <c r="AC185" s="1469"/>
      <c r="AD185" s="1472"/>
      <c r="AE185" s="1472"/>
      <c r="AF185" s="1472"/>
      <c r="AG185" s="1472"/>
      <c r="AH185" s="1472"/>
      <c r="AI185" s="1472"/>
      <c r="AJ185" s="1472"/>
      <c r="AK185" s="1472"/>
      <c r="AL185" s="1472"/>
      <c r="AM185" s="1472"/>
      <c r="AN185" s="1427" t="str">
        <f>AO154</f>
        <v/>
      </c>
      <c r="AO185" s="69"/>
      <c r="AP185" s="1472"/>
      <c r="AQ185" s="1472"/>
      <c r="AR185" s="1472"/>
      <c r="AS185" s="1472"/>
      <c r="AT185" s="1472"/>
      <c r="AU185" s="1472"/>
      <c r="AV185" s="1214"/>
      <c r="AW185" s="1472"/>
      <c r="AX185" s="1472"/>
      <c r="AY185" s="1472"/>
      <c r="AZ185" s="1472"/>
      <c r="BA185" s="1472"/>
      <c r="BB185" s="1214"/>
      <c r="BC185" s="1472"/>
      <c r="BD185" s="1214"/>
      <c r="BE185" s="1472"/>
      <c r="BF185" s="1214"/>
      <c r="BG185" s="1472"/>
      <c r="BH185" s="1214"/>
      <c r="BI185" s="1472"/>
      <c r="BJ185" s="1214"/>
      <c r="BK185" s="1469"/>
      <c r="BL185" s="1473" t="s">
        <v>1365</v>
      </c>
      <c r="BM185" s="1474"/>
      <c r="BN185" s="2294">
        <f>SUM(BN159:BN184)</f>
        <v>4584</v>
      </c>
      <c r="BO185" s="1474"/>
      <c r="BQ185" s="2040"/>
      <c r="BR185" s="2040"/>
      <c r="BS185" s="2040"/>
      <c r="BT185" s="11"/>
      <c r="BU185" s="11"/>
    </row>
    <row r="186" ht="15.75" customHeight="1">
      <c r="A186" s="1004"/>
      <c r="B186" s="2041"/>
      <c r="C186" s="2042"/>
      <c r="D186" s="2042"/>
      <c r="E186" s="1193"/>
      <c r="F186" s="13"/>
      <c r="G186" s="677"/>
      <c r="H186" s="13"/>
      <c r="I186" s="677"/>
      <c r="J186" s="13"/>
      <c r="K186" s="677"/>
      <c r="L186" s="13"/>
      <c r="M186" s="677"/>
      <c r="N186" s="13"/>
      <c r="O186" s="13"/>
      <c r="P186" s="13"/>
      <c r="Q186" s="677"/>
      <c r="V186" s="1189"/>
      <c r="X186" s="1189"/>
      <c r="Z186" s="1190"/>
      <c r="AB186" s="1190"/>
      <c r="AH186" s="701"/>
      <c r="AJ186" s="701"/>
      <c r="BB186" s="1190"/>
      <c r="BD186" s="1190"/>
      <c r="BF186" s="1190"/>
      <c r="BH186" s="1190"/>
      <c r="BJ186" s="1190"/>
      <c r="BN186" s="206"/>
      <c r="BO186" s="206"/>
      <c r="BP186" s="206"/>
      <c r="BQ186" s="195"/>
      <c r="BR186" s="195"/>
      <c r="BS186" s="195"/>
      <c r="BT186" s="195"/>
      <c r="BU186" s="195"/>
    </row>
    <row r="187" ht="15.75" customHeight="1">
      <c r="A187" s="1004"/>
      <c r="B187" s="2041"/>
      <c r="C187" s="2042"/>
      <c r="D187" s="2042"/>
      <c r="E187" s="1193"/>
      <c r="F187" s="1007"/>
      <c r="G187" s="677"/>
      <c r="H187" s="1007"/>
      <c r="I187" s="677"/>
      <c r="J187" s="1007"/>
      <c r="K187" s="677"/>
      <c r="L187" s="1007"/>
      <c r="M187" s="677"/>
      <c r="N187" s="1007"/>
      <c r="O187" s="13"/>
      <c r="P187" s="1007"/>
      <c r="Q187" s="677"/>
      <c r="V187" s="1012"/>
      <c r="X187" s="1012"/>
      <c r="Z187" s="63"/>
      <c r="AB187" s="63"/>
      <c r="AC187" s="63"/>
      <c r="AH187" s="1014"/>
      <c r="AJ187" s="1014"/>
      <c r="BB187" s="1190"/>
      <c r="BD187" s="1190"/>
      <c r="BF187" s="1190"/>
      <c r="BH187" s="1190"/>
      <c r="BJ187" s="1190"/>
      <c r="BN187" s="206"/>
      <c r="BO187" s="206"/>
      <c r="BP187" s="206"/>
      <c r="BQ187" s="195"/>
      <c r="BR187" s="195"/>
      <c r="BS187" s="195"/>
      <c r="BT187" s="195"/>
      <c r="BU187" s="195"/>
    </row>
    <row r="188" ht="15.75" customHeight="1">
      <c r="A188" s="1937" t="s">
        <v>1279</v>
      </c>
      <c r="B188" s="1548"/>
      <c r="C188" s="1938"/>
      <c r="D188" s="1938">
        <v>46253.0</v>
      </c>
      <c r="E188" s="1939" t="s">
        <v>3132</v>
      </c>
      <c r="F188" s="1476"/>
      <c r="G188" s="1477"/>
      <c r="H188" s="1478"/>
      <c r="I188" s="1601"/>
      <c r="J188" s="1555"/>
      <c r="K188" s="1601"/>
      <c r="L188" s="1555"/>
      <c r="M188" s="1601"/>
      <c r="N188" s="1555"/>
      <c r="O188" s="1555"/>
      <c r="P188" s="1555"/>
      <c r="Q188" s="2201"/>
      <c r="BQ188" s="2056"/>
      <c r="BR188" s="2056"/>
      <c r="BS188" s="2056"/>
      <c r="BT188" s="2057"/>
      <c r="BU188" s="2057"/>
    </row>
    <row r="189" ht="15.75" customHeight="1">
      <c r="A189" s="1565"/>
      <c r="B189" s="1971" t="s">
        <v>1283</v>
      </c>
      <c r="C189" s="1972" t="s">
        <v>19</v>
      </c>
      <c r="D189" s="1972" t="s">
        <v>473</v>
      </c>
      <c r="E189" s="1073" t="s">
        <v>471</v>
      </c>
      <c r="F189" s="1075" t="s">
        <v>1357</v>
      </c>
      <c r="G189" s="1409" t="s">
        <v>3071</v>
      </c>
      <c r="H189" s="1075" t="s">
        <v>1287</v>
      </c>
      <c r="I189" s="1409" t="s">
        <v>1288</v>
      </c>
      <c r="J189" s="1075" t="s">
        <v>1358</v>
      </c>
      <c r="K189" s="1409" t="s">
        <v>3072</v>
      </c>
      <c r="L189" s="1075" t="s">
        <v>1359</v>
      </c>
      <c r="M189" s="1409" t="s">
        <v>3073</v>
      </c>
      <c r="N189" s="1075" t="s">
        <v>1360</v>
      </c>
      <c r="O189" s="1409" t="s">
        <v>3074</v>
      </c>
      <c r="P189" s="1075" t="s">
        <v>1361</v>
      </c>
      <c r="Q189" s="1409" t="s">
        <v>3075</v>
      </c>
      <c r="R189" s="1485" t="s">
        <v>1362</v>
      </c>
      <c r="S189" s="1560" t="s">
        <v>1298</v>
      </c>
      <c r="T189" s="1427" t="s">
        <v>1299</v>
      </c>
      <c r="U189" s="1560" t="s">
        <v>1300</v>
      </c>
      <c r="V189" s="1487" t="s">
        <v>1301</v>
      </c>
      <c r="W189" s="1560" t="s">
        <v>1302</v>
      </c>
      <c r="X189" s="1427" t="s">
        <v>1363</v>
      </c>
      <c r="Y189" s="1560" t="s">
        <v>1304</v>
      </c>
      <c r="Z189" s="1487" t="s">
        <v>1305</v>
      </c>
      <c r="AA189" s="1560" t="s">
        <v>1306</v>
      </c>
      <c r="AB189" s="1487" t="s">
        <v>1307</v>
      </c>
      <c r="AC189" s="1560" t="s">
        <v>1308</v>
      </c>
      <c r="AD189" s="1487" t="s">
        <v>1309</v>
      </c>
      <c r="AE189" s="1560" t="s">
        <v>1310</v>
      </c>
      <c r="AF189" s="1427" t="s">
        <v>1311</v>
      </c>
      <c r="AG189" s="1560" t="s">
        <v>1312</v>
      </c>
      <c r="AH189" s="1487" t="s">
        <v>1313</v>
      </c>
      <c r="AI189" s="1560" t="s">
        <v>1314</v>
      </c>
      <c r="AJ189" s="1487" t="s">
        <v>1315</v>
      </c>
      <c r="AK189" s="1560" t="s">
        <v>1316</v>
      </c>
      <c r="AL189" s="1487" t="s">
        <v>1317</v>
      </c>
      <c r="AM189" s="1560" t="s">
        <v>1318</v>
      </c>
      <c r="AN189" s="1487" t="s">
        <v>1319</v>
      </c>
      <c r="AO189" s="1560" t="s">
        <v>1320</v>
      </c>
      <c r="AP189" s="1487" t="s">
        <v>1321</v>
      </c>
      <c r="AQ189" s="1486" t="s">
        <v>1322</v>
      </c>
      <c r="AR189" s="1427" t="s">
        <v>1323</v>
      </c>
      <c r="AS189" s="1486" t="s">
        <v>1324</v>
      </c>
      <c r="AT189" s="1485" t="s">
        <v>1325</v>
      </c>
      <c r="AU189" s="1486" t="s">
        <v>1326</v>
      </c>
      <c r="AV189" s="1485" t="s">
        <v>1327</v>
      </c>
      <c r="AW189" s="1486" t="s">
        <v>1328</v>
      </c>
      <c r="AX189" s="1485" t="s">
        <v>3076</v>
      </c>
      <c r="AY189" s="1486" t="s">
        <v>3077</v>
      </c>
      <c r="AZ189" s="1485" t="s">
        <v>3078</v>
      </c>
      <c r="BA189" s="1486" t="s">
        <v>3079</v>
      </c>
      <c r="BB189" s="1485" t="s">
        <v>3080</v>
      </c>
      <c r="BC189" s="1486" t="s">
        <v>3081</v>
      </c>
      <c r="BD189" s="1485" t="s">
        <v>3082</v>
      </c>
      <c r="BE189" s="1486" t="s">
        <v>3083</v>
      </c>
      <c r="BF189" s="1485" t="s">
        <v>3084</v>
      </c>
      <c r="BG189" s="1486" t="s">
        <v>3085</v>
      </c>
      <c r="BH189" s="1485" t="s">
        <v>3086</v>
      </c>
      <c r="BI189" s="1486" t="s">
        <v>3087</v>
      </c>
      <c r="BJ189" s="1485" t="s">
        <v>3088</v>
      </c>
      <c r="BK189" s="1486" t="s">
        <v>3089</v>
      </c>
      <c r="BL189" s="1946" t="s">
        <v>1425</v>
      </c>
      <c r="BM189" s="1947" t="s">
        <v>3045</v>
      </c>
      <c r="BN189" s="2202" t="s">
        <v>3090</v>
      </c>
      <c r="BO189" s="2203" t="s">
        <v>3091</v>
      </c>
      <c r="BP189" s="1072" t="s">
        <v>1331</v>
      </c>
      <c r="BQ189" s="1168" t="s">
        <v>3092</v>
      </c>
      <c r="BR189" s="1075"/>
      <c r="BS189" s="1075" t="s">
        <v>3094</v>
      </c>
      <c r="BT189" s="547"/>
      <c r="BU189" s="547"/>
    </row>
    <row r="190" ht="21.0" customHeight="1">
      <c r="A190" s="1565"/>
      <c r="B190" s="1259">
        <v>3253.0</v>
      </c>
      <c r="C190" s="1948">
        <v>138.0</v>
      </c>
      <c r="D190" s="1153" t="s">
        <v>3095</v>
      </c>
      <c r="E190" s="1953" t="str">
        <f>'Матрица 4 недели'!D173</f>
        <v>Шакшука с томатом</v>
      </c>
      <c r="F190" s="1137">
        <v>9.0</v>
      </c>
      <c r="G190" s="1138"/>
      <c r="H190" s="1126">
        <v>4.0</v>
      </c>
      <c r="I190" s="1138"/>
      <c r="J190" s="1126">
        <v>4.0</v>
      </c>
      <c r="K190" s="1138"/>
      <c r="L190" s="1126">
        <v>2.0</v>
      </c>
      <c r="M190" s="1138"/>
      <c r="N190" s="1126">
        <v>6.0</v>
      </c>
      <c r="O190" s="1138"/>
      <c r="P190" s="1126">
        <v>5.0</v>
      </c>
      <c r="Q190" s="1121"/>
      <c r="R190" s="1126">
        <v>2.0</v>
      </c>
      <c r="S190" s="1121"/>
      <c r="T190" s="1137">
        <v>4.0</v>
      </c>
      <c r="U190" s="1121"/>
      <c r="V190" s="1137">
        <v>6.0</v>
      </c>
      <c r="W190" s="1121"/>
      <c r="X190" s="1137">
        <v>2.0</v>
      </c>
      <c r="Y190" s="1121"/>
      <c r="Z190" s="1126"/>
      <c r="AA190" s="1121"/>
      <c r="AB190" s="1120">
        <v>7.0</v>
      </c>
      <c r="AC190" s="1121"/>
      <c r="AD190" s="1120">
        <v>2.0</v>
      </c>
      <c r="AE190" s="1121"/>
      <c r="AF190" s="1137">
        <v>5.0</v>
      </c>
      <c r="AG190" s="1121"/>
      <c r="AH190" s="1120">
        <v>7.0</v>
      </c>
      <c r="AI190" s="1121"/>
      <c r="AJ190" s="1120">
        <v>3.0</v>
      </c>
      <c r="AK190" s="1121"/>
      <c r="AL190" s="1126">
        <v>3.0</v>
      </c>
      <c r="AM190" s="1121"/>
      <c r="AN190" s="1137">
        <v>2.0</v>
      </c>
      <c r="AO190" s="1138"/>
      <c r="AP190" s="1126">
        <v>6.0</v>
      </c>
      <c r="AQ190" s="1138"/>
      <c r="AR190" s="1137">
        <v>6.0</v>
      </c>
      <c r="AS190" s="1138"/>
      <c r="AT190" s="1126">
        <v>3.0</v>
      </c>
      <c r="AU190" s="1138"/>
      <c r="AV190" s="1126">
        <v>4.0</v>
      </c>
      <c r="AW190" s="1138"/>
      <c r="AX190" s="1126">
        <v>6.0</v>
      </c>
      <c r="AY190" s="1138"/>
      <c r="AZ190" s="1126">
        <v>4.0</v>
      </c>
      <c r="BA190" s="1138"/>
      <c r="BB190" s="1126">
        <v>4.0</v>
      </c>
      <c r="BC190" s="1138"/>
      <c r="BD190" s="1126">
        <v>2.0</v>
      </c>
      <c r="BE190" s="1138"/>
      <c r="BF190" s="1126">
        <v>3.0</v>
      </c>
      <c r="BG190" s="1138"/>
      <c r="BH190" s="1126">
        <v>5.0</v>
      </c>
      <c r="BI190" s="1138"/>
      <c r="BJ190" s="1126">
        <v>4.0</v>
      </c>
      <c r="BK190" s="1138"/>
      <c r="BL190" s="1120"/>
      <c r="BM190" s="1138"/>
      <c r="BN190" s="77"/>
      <c r="BO190" s="2062"/>
      <c r="BP190" s="80">
        <f t="shared" ref="BP190:BP213" si="124">(F190+H190+J190+L190+N190+P190+R190+T190+V190+X190+Z190+AB190+AD190+AF190+AH190+AJ190+AL190+AN190+BL190+AP190+AR190+AT190+AV190+AX190+AZ190+BB190+BD190+BF190+BH190+BJ190)+1</f>
        <v>121</v>
      </c>
      <c r="BQ190" s="2137">
        <f t="shared" ref="BQ190:BQ213" si="125">G190+I190+K190+M190+O190+Q190+S190+U190+W190+Y190+AA190+AE190+AG190+AI190+AK190+AM190+AC190+AS190+BM190+AO190+AQ190+AU190+AW190+AY190+BA190+BC190+BE190+BG190+BI190+BK190</f>
        <v>0</v>
      </c>
      <c r="BR190" s="2300">
        <f t="shared" ref="BR190:BR202" si="126">C190*BQ190</f>
        <v>0</v>
      </c>
      <c r="BS190" s="2301">
        <f t="shared" ref="BS190:BS213" si="127">BP190*C190</f>
        <v>16698</v>
      </c>
      <c r="BT190" s="2302"/>
      <c r="BU190" s="2302"/>
    </row>
    <row r="191" ht="21.0" customHeight="1">
      <c r="A191" s="1565" t="s">
        <v>145</v>
      </c>
      <c r="B191" s="1259">
        <v>2847.0</v>
      </c>
      <c r="C191" s="1948">
        <v>185.0</v>
      </c>
      <c r="D191" s="1133" t="s">
        <v>3095</v>
      </c>
      <c r="E191" s="1145" t="str">
        <f>'Матрица 4 недели'!D174</f>
        <v>Запеканка творожная</v>
      </c>
      <c r="F191" s="1120">
        <v>7.0</v>
      </c>
      <c r="G191" s="1138">
        <v>7.0</v>
      </c>
      <c r="H191" s="1120">
        <v>2.0</v>
      </c>
      <c r="I191" s="1138">
        <v>2.0</v>
      </c>
      <c r="J191" s="1120">
        <v>6.0</v>
      </c>
      <c r="K191" s="1138">
        <v>6.0</v>
      </c>
      <c r="L191" s="1120">
        <v>3.0</v>
      </c>
      <c r="M191" s="1138">
        <v>3.0</v>
      </c>
      <c r="N191" s="1126">
        <v>9.0</v>
      </c>
      <c r="O191" s="1138">
        <v>9.0</v>
      </c>
      <c r="P191" s="1120">
        <v>3.0</v>
      </c>
      <c r="Q191" s="1138">
        <v>3.0</v>
      </c>
      <c r="R191" s="1126">
        <v>3.0</v>
      </c>
      <c r="S191" s="1138">
        <v>3.0</v>
      </c>
      <c r="T191" s="1120">
        <v>3.0</v>
      </c>
      <c r="U191" s="1138">
        <v>3.0</v>
      </c>
      <c r="V191" s="1120">
        <v>3.0</v>
      </c>
      <c r="W191" s="1138">
        <v>3.0</v>
      </c>
      <c r="X191" s="1120">
        <v>3.0</v>
      </c>
      <c r="Y191" s="1138">
        <v>3.0</v>
      </c>
      <c r="Z191" s="1126"/>
      <c r="AA191" s="1138"/>
      <c r="AB191" s="1126">
        <v>4.0</v>
      </c>
      <c r="AC191" s="1138">
        <v>4.0</v>
      </c>
      <c r="AD191" s="1120">
        <v>2.0</v>
      </c>
      <c r="AE191" s="1138">
        <v>2.0</v>
      </c>
      <c r="AF191" s="1120">
        <v>7.0</v>
      </c>
      <c r="AG191" s="1138">
        <v>7.0</v>
      </c>
      <c r="AH191" s="1120">
        <v>8.0</v>
      </c>
      <c r="AI191" s="1138">
        <v>8.0</v>
      </c>
      <c r="AJ191" s="1120">
        <v>2.0</v>
      </c>
      <c r="AK191" s="1138">
        <v>2.0</v>
      </c>
      <c r="AL191" s="1126">
        <v>5.0</v>
      </c>
      <c r="AM191" s="1138">
        <v>5.0</v>
      </c>
      <c r="AN191" s="1120">
        <v>2.0</v>
      </c>
      <c r="AO191" s="1138">
        <v>2.0</v>
      </c>
      <c r="AP191" s="1126">
        <v>2.0</v>
      </c>
      <c r="AQ191" s="1138">
        <v>2.0</v>
      </c>
      <c r="AR191" s="1126">
        <v>5.0</v>
      </c>
      <c r="AS191" s="1138">
        <v>5.0</v>
      </c>
      <c r="AT191" s="1126">
        <v>5.0</v>
      </c>
      <c r="AU191" s="1138">
        <v>5.0</v>
      </c>
      <c r="AV191" s="1126">
        <v>3.0</v>
      </c>
      <c r="AW191" s="1138">
        <v>3.0</v>
      </c>
      <c r="AX191" s="1126">
        <v>6.0</v>
      </c>
      <c r="AY191" s="1138">
        <v>6.0</v>
      </c>
      <c r="AZ191" s="1126">
        <v>2.0</v>
      </c>
      <c r="BA191" s="1138">
        <v>2.0</v>
      </c>
      <c r="BB191" s="1126">
        <v>4.0</v>
      </c>
      <c r="BC191" s="1138">
        <v>4.0</v>
      </c>
      <c r="BD191" s="1126">
        <v>2.0</v>
      </c>
      <c r="BE191" s="1138">
        <v>2.0</v>
      </c>
      <c r="BF191" s="1126">
        <v>2.0</v>
      </c>
      <c r="BG191" s="1138">
        <v>2.0</v>
      </c>
      <c r="BH191" s="1126">
        <v>5.0</v>
      </c>
      <c r="BI191" s="1138">
        <v>5.0</v>
      </c>
      <c r="BJ191" s="1075">
        <v>7.0</v>
      </c>
      <c r="BK191" s="2007">
        <v>7.0</v>
      </c>
      <c r="BL191" s="1120"/>
      <c r="BM191" s="1140"/>
      <c r="BN191" s="77">
        <v>0.0</v>
      </c>
      <c r="BO191" s="2062"/>
      <c r="BP191" s="80">
        <f t="shared" si="124"/>
        <v>116</v>
      </c>
      <c r="BQ191" s="2133">
        <f t="shared" si="125"/>
        <v>115</v>
      </c>
      <c r="BR191" s="2300">
        <f t="shared" si="126"/>
        <v>21275</v>
      </c>
      <c r="BS191" s="2301">
        <f t="shared" si="127"/>
        <v>21460</v>
      </c>
      <c r="BT191" s="2302"/>
      <c r="BU191" s="2302"/>
    </row>
    <row r="192" ht="21.0" customHeight="1">
      <c r="A192" s="1565"/>
      <c r="B192" s="1259">
        <v>89.0</v>
      </c>
      <c r="C192" s="1948">
        <v>135.0</v>
      </c>
      <c r="D192" s="1153" t="s">
        <v>3095</v>
      </c>
      <c r="E192" s="1953" t="str">
        <f>'Матрица 4 недели'!D175</f>
        <v>Блин с ветчиной и сыром</v>
      </c>
      <c r="F192" s="1120">
        <v>7.0</v>
      </c>
      <c r="G192" s="1138"/>
      <c r="H192" s="1120">
        <v>3.0</v>
      </c>
      <c r="I192" s="1138"/>
      <c r="J192" s="1120">
        <v>1.0</v>
      </c>
      <c r="K192" s="1138"/>
      <c r="L192" s="1120">
        <v>3.0</v>
      </c>
      <c r="M192" s="1138"/>
      <c r="N192" s="1126">
        <v>13.0</v>
      </c>
      <c r="O192" s="1138"/>
      <c r="P192" s="1120">
        <v>5.0</v>
      </c>
      <c r="Q192" s="1138"/>
      <c r="R192" s="1126">
        <v>3.0</v>
      </c>
      <c r="S192" s="1138"/>
      <c r="T192" s="1120">
        <v>4.0</v>
      </c>
      <c r="U192" s="1138"/>
      <c r="V192" s="1120">
        <v>2.0</v>
      </c>
      <c r="W192" s="1138"/>
      <c r="X192" s="1120">
        <v>3.0</v>
      </c>
      <c r="Y192" s="1138"/>
      <c r="Z192" s="1126"/>
      <c r="AA192" s="1138"/>
      <c r="AB192" s="1126">
        <v>1.0</v>
      </c>
      <c r="AC192" s="1138"/>
      <c r="AD192" s="1120">
        <v>2.0</v>
      </c>
      <c r="AE192" s="1138"/>
      <c r="AF192" s="1120">
        <v>5.0</v>
      </c>
      <c r="AG192" s="1138"/>
      <c r="AH192" s="1120">
        <v>4.0</v>
      </c>
      <c r="AI192" s="1138"/>
      <c r="AJ192" s="1120">
        <v>2.0</v>
      </c>
      <c r="AK192" s="1138"/>
      <c r="AL192" s="1126">
        <v>1.0</v>
      </c>
      <c r="AM192" s="1138"/>
      <c r="AN192" s="1120">
        <v>2.0</v>
      </c>
      <c r="AO192" s="1138"/>
      <c r="AP192" s="1126">
        <v>3.0</v>
      </c>
      <c r="AQ192" s="1138"/>
      <c r="AR192" s="1126">
        <v>11.0</v>
      </c>
      <c r="AS192" s="1138"/>
      <c r="AT192" s="1126">
        <v>5.0</v>
      </c>
      <c r="AU192" s="1138"/>
      <c r="AV192" s="1126">
        <v>3.0</v>
      </c>
      <c r="AW192" s="1138"/>
      <c r="AX192" s="1126">
        <v>6.0</v>
      </c>
      <c r="AY192" s="1138"/>
      <c r="AZ192" s="1126">
        <v>2.0</v>
      </c>
      <c r="BA192" s="1138"/>
      <c r="BB192" s="1126">
        <v>4.0</v>
      </c>
      <c r="BC192" s="1138"/>
      <c r="BD192" s="1126">
        <v>2.0</v>
      </c>
      <c r="BE192" s="1138"/>
      <c r="BF192" s="1126">
        <v>2.0</v>
      </c>
      <c r="BG192" s="1138"/>
      <c r="BH192" s="1126">
        <v>2.0</v>
      </c>
      <c r="BI192" s="1138"/>
      <c r="BJ192" s="1075">
        <v>5.0</v>
      </c>
      <c r="BK192" s="2007"/>
      <c r="BL192" s="1137"/>
      <c r="BM192" s="1138"/>
      <c r="BN192" s="80"/>
      <c r="BO192" s="1579"/>
      <c r="BP192" s="80">
        <f t="shared" si="124"/>
        <v>107</v>
      </c>
      <c r="BQ192" s="2137">
        <f t="shared" si="125"/>
        <v>0</v>
      </c>
      <c r="BR192" s="2300">
        <f t="shared" si="126"/>
        <v>0</v>
      </c>
      <c r="BS192" s="2301">
        <f t="shared" si="127"/>
        <v>14445</v>
      </c>
      <c r="BT192" s="2302"/>
      <c r="BU192" s="2302"/>
    </row>
    <row r="193" ht="21.0" customHeight="1">
      <c r="A193" s="1565" t="s">
        <v>145</v>
      </c>
      <c r="B193" s="1259">
        <v>3316.0</v>
      </c>
      <c r="C193" s="1948">
        <v>98.0</v>
      </c>
      <c r="D193" s="1133" t="s">
        <v>70</v>
      </c>
      <c r="E193" s="1118" t="str">
        <f>'Матрица 4 недели'!G173</f>
        <v>Салат ''Витаминный с крабом'' 120 г</v>
      </c>
      <c r="F193" s="1126">
        <v>2.0</v>
      </c>
      <c r="G193" s="1121">
        <v>2.0</v>
      </c>
      <c r="H193" s="1126">
        <v>2.0</v>
      </c>
      <c r="I193" s="1121">
        <v>2.0</v>
      </c>
      <c r="J193" s="1126">
        <v>3.0</v>
      </c>
      <c r="K193" s="1121">
        <v>3.0</v>
      </c>
      <c r="L193" s="1126">
        <v>1.0</v>
      </c>
      <c r="M193" s="1121">
        <v>1.0</v>
      </c>
      <c r="N193" s="1126">
        <v>5.0</v>
      </c>
      <c r="O193" s="1121">
        <v>5.0</v>
      </c>
      <c r="P193" s="1126">
        <v>2.0</v>
      </c>
      <c r="Q193" s="1121">
        <v>2.0</v>
      </c>
      <c r="R193" s="1126">
        <v>2.0</v>
      </c>
      <c r="S193" s="1121">
        <v>2.0</v>
      </c>
      <c r="T193" s="1126">
        <v>3.0</v>
      </c>
      <c r="U193" s="1138">
        <v>3.0</v>
      </c>
      <c r="V193" s="1137">
        <v>3.0</v>
      </c>
      <c r="W193" s="1138">
        <v>3.0</v>
      </c>
      <c r="X193" s="1137">
        <v>2.0</v>
      </c>
      <c r="Y193" s="1138">
        <v>2.0</v>
      </c>
      <c r="Z193" s="1137"/>
      <c r="AA193" s="1138"/>
      <c r="AB193" s="1137">
        <v>0.0</v>
      </c>
      <c r="AC193" s="1138">
        <v>0.0</v>
      </c>
      <c r="AD193" s="1137">
        <v>0.0</v>
      </c>
      <c r="AE193" s="1138">
        <v>0.0</v>
      </c>
      <c r="AF193" s="1137">
        <v>4.0</v>
      </c>
      <c r="AG193" s="1138">
        <v>4.0</v>
      </c>
      <c r="AH193" s="1120">
        <v>2.0</v>
      </c>
      <c r="AI193" s="1138">
        <v>2.0</v>
      </c>
      <c r="AJ193" s="1137">
        <v>2.0</v>
      </c>
      <c r="AK193" s="1138">
        <v>2.0</v>
      </c>
      <c r="AL193" s="1126">
        <v>4.0</v>
      </c>
      <c r="AM193" s="1138">
        <v>4.0</v>
      </c>
      <c r="AN193" s="1120">
        <v>2.0</v>
      </c>
      <c r="AO193" s="1138">
        <v>2.0</v>
      </c>
      <c r="AP193" s="1126">
        <v>2.0</v>
      </c>
      <c r="AQ193" s="1138">
        <v>2.0</v>
      </c>
      <c r="AR193" s="1126">
        <v>2.0</v>
      </c>
      <c r="AS193" s="1138">
        <v>2.0</v>
      </c>
      <c r="AT193" s="1126">
        <v>1.0</v>
      </c>
      <c r="AU193" s="1138">
        <v>1.0</v>
      </c>
      <c r="AV193" s="1126">
        <v>2.0</v>
      </c>
      <c r="AW193" s="1138">
        <v>2.0</v>
      </c>
      <c r="AX193" s="1126">
        <v>1.0</v>
      </c>
      <c r="AY193" s="1138">
        <v>1.0</v>
      </c>
      <c r="AZ193" s="1126">
        <v>4.0</v>
      </c>
      <c r="BA193" s="1138">
        <v>4.0</v>
      </c>
      <c r="BB193" s="1126">
        <v>2.0</v>
      </c>
      <c r="BC193" s="1138">
        <v>2.0</v>
      </c>
      <c r="BD193" s="1126">
        <v>1.0</v>
      </c>
      <c r="BE193" s="1138">
        <v>1.0</v>
      </c>
      <c r="BF193" s="1126">
        <v>0.0</v>
      </c>
      <c r="BG193" s="1138">
        <v>0.0</v>
      </c>
      <c r="BH193" s="1126">
        <v>2.0</v>
      </c>
      <c r="BI193" s="1138">
        <v>2.0</v>
      </c>
      <c r="BJ193" s="1126">
        <v>2.0</v>
      </c>
      <c r="BK193" s="2001">
        <v>2.0</v>
      </c>
      <c r="BL193" s="1139">
        <v>44.0</v>
      </c>
      <c r="BM193" s="1138">
        <v>44.0</v>
      </c>
      <c r="BN193" s="77">
        <v>0.0</v>
      </c>
      <c r="BO193" s="2062"/>
      <c r="BP193" s="80">
        <f t="shared" si="124"/>
        <v>103</v>
      </c>
      <c r="BQ193" s="2137">
        <f t="shared" si="125"/>
        <v>102</v>
      </c>
      <c r="BR193" s="2300">
        <f t="shared" si="126"/>
        <v>9996</v>
      </c>
      <c r="BS193" s="2301">
        <f t="shared" si="127"/>
        <v>10094</v>
      </c>
      <c r="BT193" s="2302"/>
      <c r="BU193" s="2302"/>
    </row>
    <row r="194" ht="21.0" customHeight="1">
      <c r="A194" s="1565" t="s">
        <v>145</v>
      </c>
      <c r="B194" s="1259">
        <v>1160.0</v>
      </c>
      <c r="C194" s="1948">
        <v>98.0</v>
      </c>
      <c r="D194" s="1133" t="s">
        <v>70</v>
      </c>
      <c r="E194" s="1118" t="str">
        <f>'Матрица 4 недели'!G174</f>
        <v>Салат ''Пикник'' (печень)</v>
      </c>
      <c r="F194" s="1126">
        <v>4.0</v>
      </c>
      <c r="G194" s="1138">
        <v>4.0</v>
      </c>
      <c r="H194" s="1126">
        <v>4.0</v>
      </c>
      <c r="I194" s="1138">
        <v>4.0</v>
      </c>
      <c r="J194" s="1126">
        <v>3.0</v>
      </c>
      <c r="K194" s="1138">
        <v>3.0</v>
      </c>
      <c r="L194" s="1126">
        <v>2.0</v>
      </c>
      <c r="M194" s="1138">
        <v>2.0</v>
      </c>
      <c r="N194" s="1126">
        <v>9.0</v>
      </c>
      <c r="O194" s="1138">
        <v>8.0</v>
      </c>
      <c r="P194" s="1126">
        <v>7.0</v>
      </c>
      <c r="Q194" s="1121">
        <v>7.0</v>
      </c>
      <c r="R194" s="1126">
        <v>3.0</v>
      </c>
      <c r="S194" s="1121">
        <v>3.0</v>
      </c>
      <c r="T194" s="1137">
        <v>4.0</v>
      </c>
      <c r="U194" s="1121">
        <v>4.0</v>
      </c>
      <c r="V194" s="1137">
        <v>5.0</v>
      </c>
      <c r="W194" s="1121">
        <v>5.0</v>
      </c>
      <c r="X194" s="1137">
        <v>2.0</v>
      </c>
      <c r="Y194" s="1121">
        <v>2.0</v>
      </c>
      <c r="Z194" s="1120"/>
      <c r="AA194" s="1121"/>
      <c r="AB194" s="1120">
        <v>2.0</v>
      </c>
      <c r="AC194" s="1121">
        <v>2.0</v>
      </c>
      <c r="AD194" s="1120">
        <v>2.0</v>
      </c>
      <c r="AE194" s="1121">
        <v>2.0</v>
      </c>
      <c r="AF194" s="1137">
        <v>2.0</v>
      </c>
      <c r="AG194" s="1121">
        <v>2.0</v>
      </c>
      <c r="AH194" s="1120">
        <v>2.0</v>
      </c>
      <c r="AI194" s="1121">
        <v>2.0</v>
      </c>
      <c r="AJ194" s="1120">
        <v>2.0</v>
      </c>
      <c r="AK194" s="1121">
        <v>2.0</v>
      </c>
      <c r="AL194" s="1126">
        <v>4.0</v>
      </c>
      <c r="AM194" s="1121">
        <v>4.0</v>
      </c>
      <c r="AN194" s="1120">
        <v>2.0</v>
      </c>
      <c r="AO194" s="1138">
        <v>2.0</v>
      </c>
      <c r="AP194" s="1126">
        <v>3.0</v>
      </c>
      <c r="AQ194" s="1138">
        <v>3.0</v>
      </c>
      <c r="AR194" s="1126">
        <v>2.0</v>
      </c>
      <c r="AS194" s="1138">
        <v>2.0</v>
      </c>
      <c r="AT194" s="1126">
        <v>5.0</v>
      </c>
      <c r="AU194" s="1138">
        <v>5.0</v>
      </c>
      <c r="AV194" s="1126">
        <v>2.0</v>
      </c>
      <c r="AW194" s="1138">
        <v>2.0</v>
      </c>
      <c r="AX194" s="1126">
        <v>5.0</v>
      </c>
      <c r="AY194" s="1138">
        <v>5.0</v>
      </c>
      <c r="AZ194" s="1126">
        <v>2.0</v>
      </c>
      <c r="BA194" s="1138">
        <v>2.0</v>
      </c>
      <c r="BB194" s="1126">
        <v>2.0</v>
      </c>
      <c r="BC194" s="1138">
        <v>2.0</v>
      </c>
      <c r="BD194" s="1126">
        <v>1.0</v>
      </c>
      <c r="BE194" s="1138">
        <v>1.0</v>
      </c>
      <c r="BF194" s="1126">
        <v>9.0</v>
      </c>
      <c r="BG194" s="1138">
        <v>9.0</v>
      </c>
      <c r="BH194" s="1126">
        <v>8.0</v>
      </c>
      <c r="BI194" s="1138">
        <v>8.0</v>
      </c>
      <c r="BJ194" s="1126">
        <v>5.0</v>
      </c>
      <c r="BK194" s="2007">
        <v>5.0</v>
      </c>
      <c r="BL194" s="1134">
        <v>43.0</v>
      </c>
      <c r="BM194" s="1138">
        <v>43.0</v>
      </c>
      <c r="BN194" s="77">
        <v>0.0</v>
      </c>
      <c r="BO194" s="2062">
        <v>0.0</v>
      </c>
      <c r="BP194" s="80">
        <f t="shared" si="124"/>
        <v>147</v>
      </c>
      <c r="BQ194" s="2137">
        <f t="shared" si="125"/>
        <v>145</v>
      </c>
      <c r="BR194" s="2300">
        <f t="shared" si="126"/>
        <v>14210</v>
      </c>
      <c r="BS194" s="2301">
        <f t="shared" si="127"/>
        <v>14406</v>
      </c>
      <c r="BT194" s="2302"/>
      <c r="BU194" s="2302"/>
    </row>
    <row r="195" ht="21.0" customHeight="1">
      <c r="A195" s="1565" t="s">
        <v>145</v>
      </c>
      <c r="B195" s="1259">
        <v>31.0</v>
      </c>
      <c r="C195" s="1948">
        <v>98.0</v>
      </c>
      <c r="D195" s="1133" t="s">
        <v>70</v>
      </c>
      <c r="E195" s="1118" t="str">
        <f>'Матрица 4 недели'!G175</f>
        <v>Салат ''Прага'' (ветчина кур.)</v>
      </c>
      <c r="F195" s="1126">
        <v>6.0</v>
      </c>
      <c r="G195" s="1121">
        <v>6.0</v>
      </c>
      <c r="H195" s="1126">
        <v>0.0</v>
      </c>
      <c r="I195" s="1121">
        <v>0.0</v>
      </c>
      <c r="J195" s="1126">
        <v>2.0</v>
      </c>
      <c r="K195" s="1121">
        <v>2.0</v>
      </c>
      <c r="L195" s="1126">
        <v>2.0</v>
      </c>
      <c r="M195" s="1121">
        <v>2.0</v>
      </c>
      <c r="N195" s="1126">
        <v>7.0</v>
      </c>
      <c r="O195" s="1121">
        <v>7.0</v>
      </c>
      <c r="P195" s="1126">
        <v>6.0</v>
      </c>
      <c r="Q195" s="1121">
        <v>6.0</v>
      </c>
      <c r="R195" s="1126">
        <v>4.0</v>
      </c>
      <c r="S195" s="1121">
        <v>4.0</v>
      </c>
      <c r="T195" s="1120">
        <v>2.0</v>
      </c>
      <c r="U195" s="1138">
        <v>2.0</v>
      </c>
      <c r="V195" s="1120">
        <v>2.0</v>
      </c>
      <c r="W195" s="1138">
        <v>2.0</v>
      </c>
      <c r="X195" s="1137">
        <v>1.0</v>
      </c>
      <c r="Y195" s="1138">
        <v>1.0</v>
      </c>
      <c r="Z195" s="1120"/>
      <c r="AA195" s="1138"/>
      <c r="AB195" s="1120">
        <v>3.0</v>
      </c>
      <c r="AC195" s="1138">
        <v>3.0</v>
      </c>
      <c r="AD195" s="1120">
        <v>4.0</v>
      </c>
      <c r="AE195" s="1138">
        <v>4.0</v>
      </c>
      <c r="AF195" s="1120">
        <v>1.0</v>
      </c>
      <c r="AG195" s="1138">
        <v>1.0</v>
      </c>
      <c r="AH195" s="1120">
        <v>2.0</v>
      </c>
      <c r="AI195" s="1138">
        <v>2.0</v>
      </c>
      <c r="AJ195" s="1137">
        <v>2.0</v>
      </c>
      <c r="AK195" s="1138">
        <v>2.0</v>
      </c>
      <c r="AL195" s="1126">
        <v>3.0</v>
      </c>
      <c r="AM195" s="1138">
        <v>3.0</v>
      </c>
      <c r="AN195" s="1120">
        <v>2.0</v>
      </c>
      <c r="AO195" s="1138">
        <v>2.0</v>
      </c>
      <c r="AP195" s="1126">
        <v>3.0</v>
      </c>
      <c r="AQ195" s="1138">
        <v>3.0</v>
      </c>
      <c r="AR195" s="1126">
        <v>7.0</v>
      </c>
      <c r="AS195" s="1138">
        <v>7.0</v>
      </c>
      <c r="AT195" s="1126">
        <v>9.0</v>
      </c>
      <c r="AU195" s="1138">
        <v>9.0</v>
      </c>
      <c r="AV195" s="1126">
        <v>3.0</v>
      </c>
      <c r="AW195" s="1138">
        <v>3.0</v>
      </c>
      <c r="AX195" s="1126">
        <v>4.0</v>
      </c>
      <c r="AY195" s="1138">
        <v>4.0</v>
      </c>
      <c r="AZ195" s="1126">
        <v>3.0</v>
      </c>
      <c r="BA195" s="1138">
        <v>3.0</v>
      </c>
      <c r="BB195" s="1126">
        <v>1.0</v>
      </c>
      <c r="BC195" s="1138">
        <v>1.0</v>
      </c>
      <c r="BD195" s="1126">
        <v>1.0</v>
      </c>
      <c r="BE195" s="1138">
        <v>1.0</v>
      </c>
      <c r="BF195" s="1126">
        <v>5.0</v>
      </c>
      <c r="BG195" s="1138">
        <v>5.0</v>
      </c>
      <c r="BH195" s="1126">
        <v>0.0</v>
      </c>
      <c r="BI195" s="1138">
        <v>0.0</v>
      </c>
      <c r="BJ195" s="1126">
        <v>6.0</v>
      </c>
      <c r="BK195" s="2007">
        <v>6.0</v>
      </c>
      <c r="BL195" s="1134">
        <v>43.0</v>
      </c>
      <c r="BM195" s="1138">
        <v>43.0</v>
      </c>
      <c r="BN195" s="77">
        <v>0.0</v>
      </c>
      <c r="BO195" s="2062"/>
      <c r="BP195" s="80">
        <f t="shared" si="124"/>
        <v>135</v>
      </c>
      <c r="BQ195" s="2137">
        <f t="shared" si="125"/>
        <v>134</v>
      </c>
      <c r="BR195" s="2300">
        <f t="shared" si="126"/>
        <v>13132</v>
      </c>
      <c r="BS195" s="2301">
        <f t="shared" si="127"/>
        <v>13230</v>
      </c>
      <c r="BT195" s="2302"/>
      <c r="BU195" s="2302"/>
    </row>
    <row r="196" ht="21.0" customHeight="1">
      <c r="A196" s="1565" t="s">
        <v>145</v>
      </c>
      <c r="B196" s="1259">
        <v>4089.0</v>
      </c>
      <c r="C196" s="2320">
        <v>210.0</v>
      </c>
      <c r="D196" s="1503" t="s">
        <v>70</v>
      </c>
      <c r="E196" s="1118" t="str">
        <f>'Матрица 4 недели'!G176</f>
        <v>Салат "Генеральский" (курица, грецкий орех) 220гр</v>
      </c>
      <c r="F196" s="1126">
        <v>4.0</v>
      </c>
      <c r="G196" s="1121">
        <v>4.0</v>
      </c>
      <c r="H196" s="1120">
        <v>2.0</v>
      </c>
      <c r="I196" s="1121">
        <v>2.0</v>
      </c>
      <c r="J196" s="1120">
        <v>3.0</v>
      </c>
      <c r="K196" s="1121">
        <v>3.0</v>
      </c>
      <c r="L196" s="1120">
        <v>2.0</v>
      </c>
      <c r="M196" s="1121">
        <v>2.0</v>
      </c>
      <c r="N196" s="1120">
        <v>3.0</v>
      </c>
      <c r="O196" s="1121">
        <v>3.0</v>
      </c>
      <c r="P196" s="1120">
        <v>6.0</v>
      </c>
      <c r="Q196" s="1121">
        <v>6.0</v>
      </c>
      <c r="R196" s="1120">
        <v>0.0</v>
      </c>
      <c r="S196" s="1121">
        <v>0.0</v>
      </c>
      <c r="T196" s="1120">
        <v>1.0</v>
      </c>
      <c r="U196" s="1121">
        <v>1.0</v>
      </c>
      <c r="V196" s="1120">
        <v>2.0</v>
      </c>
      <c r="W196" s="1121">
        <v>2.0</v>
      </c>
      <c r="X196" s="1120">
        <v>1.0</v>
      </c>
      <c r="Y196" s="1121">
        <v>1.0</v>
      </c>
      <c r="Z196" s="1120"/>
      <c r="AA196" s="1121"/>
      <c r="AB196" s="1120">
        <v>1.0</v>
      </c>
      <c r="AC196" s="1121">
        <v>1.0</v>
      </c>
      <c r="AD196" s="1120">
        <v>1.0</v>
      </c>
      <c r="AE196" s="1121">
        <v>1.0</v>
      </c>
      <c r="AF196" s="1120">
        <v>1.0</v>
      </c>
      <c r="AG196" s="1121">
        <v>1.0</v>
      </c>
      <c r="AH196" s="1120">
        <v>3.0</v>
      </c>
      <c r="AI196" s="1121">
        <v>3.0</v>
      </c>
      <c r="AJ196" s="1120">
        <v>2.0</v>
      </c>
      <c r="AK196" s="1121">
        <v>2.0</v>
      </c>
      <c r="AL196" s="1126">
        <v>3.0</v>
      </c>
      <c r="AM196" s="1121">
        <v>3.0</v>
      </c>
      <c r="AN196" s="1120">
        <v>2.0</v>
      </c>
      <c r="AO196" s="1138">
        <v>2.0</v>
      </c>
      <c r="AP196" s="1126">
        <v>2.0</v>
      </c>
      <c r="AQ196" s="1121">
        <v>2.0</v>
      </c>
      <c r="AR196" s="1126">
        <v>5.0</v>
      </c>
      <c r="AS196" s="1121">
        <v>5.0</v>
      </c>
      <c r="AT196" s="1126">
        <v>1.0</v>
      </c>
      <c r="AU196" s="1121">
        <v>1.0</v>
      </c>
      <c r="AV196" s="1126">
        <v>2.0</v>
      </c>
      <c r="AW196" s="1121">
        <v>2.0</v>
      </c>
      <c r="AX196" s="1126">
        <v>3.0</v>
      </c>
      <c r="AY196" s="1121">
        <v>3.0</v>
      </c>
      <c r="AZ196" s="1126">
        <v>0.0</v>
      </c>
      <c r="BA196" s="1121">
        <v>0.0</v>
      </c>
      <c r="BB196" s="1126">
        <v>4.0</v>
      </c>
      <c r="BC196" s="1121">
        <v>4.0</v>
      </c>
      <c r="BD196" s="1126">
        <v>2.0</v>
      </c>
      <c r="BE196" s="1121">
        <v>2.0</v>
      </c>
      <c r="BF196" s="1126">
        <v>5.0</v>
      </c>
      <c r="BG196" s="1121">
        <v>5.0</v>
      </c>
      <c r="BH196" s="1126">
        <v>1.0</v>
      </c>
      <c r="BI196" s="1121">
        <v>1.0</v>
      </c>
      <c r="BJ196" s="1075">
        <v>4.0</v>
      </c>
      <c r="BK196" s="2007">
        <v>4.0</v>
      </c>
      <c r="BL196" s="1139"/>
      <c r="BM196" s="1138"/>
      <c r="BN196" s="80"/>
      <c r="BO196" s="1579"/>
      <c r="BP196" s="80">
        <f t="shared" si="124"/>
        <v>67</v>
      </c>
      <c r="BQ196" s="2137">
        <f t="shared" si="125"/>
        <v>66</v>
      </c>
      <c r="BR196" s="2300">
        <f t="shared" si="126"/>
        <v>13860</v>
      </c>
      <c r="BS196" s="2301">
        <f t="shared" si="127"/>
        <v>14070</v>
      </c>
      <c r="BT196" s="2302"/>
      <c r="BU196" s="2302"/>
    </row>
    <row r="197" ht="21.0" customHeight="1">
      <c r="A197" s="1565"/>
      <c r="B197" s="1259">
        <v>380.0</v>
      </c>
      <c r="C197" s="1948">
        <v>114.0</v>
      </c>
      <c r="D197" s="1133" t="s">
        <v>74</v>
      </c>
      <c r="E197" s="1118" t="str">
        <f>'Матрица 4 недели'!J173</f>
        <v>Солянка</v>
      </c>
      <c r="F197" s="1141"/>
      <c r="G197" s="1303"/>
      <c r="H197" s="1141"/>
      <c r="I197" s="1303"/>
      <c r="J197" s="1141"/>
      <c r="K197" s="1303"/>
      <c r="L197" s="1141"/>
      <c r="M197" s="1303"/>
      <c r="N197" s="1141"/>
      <c r="O197" s="1303"/>
      <c r="P197" s="1126"/>
      <c r="Q197" s="1121"/>
      <c r="R197" s="1126"/>
      <c r="S197" s="1138"/>
      <c r="T197" s="1126"/>
      <c r="U197" s="1138"/>
      <c r="V197" s="1137"/>
      <c r="W197" s="1138"/>
      <c r="X197" s="1137"/>
      <c r="Y197" s="1138"/>
      <c r="Z197" s="1143"/>
      <c r="AA197" s="1138"/>
      <c r="AB197" s="1120"/>
      <c r="AC197" s="1138"/>
      <c r="AD197" s="1137"/>
      <c r="AE197" s="1138"/>
      <c r="AF197" s="1137"/>
      <c r="AG197" s="1138"/>
      <c r="AH197" s="1137"/>
      <c r="AI197" s="1138"/>
      <c r="AJ197" s="1137"/>
      <c r="AK197" s="1138"/>
      <c r="AL197" s="1126"/>
      <c r="AM197" s="1138"/>
      <c r="AN197" s="1137"/>
      <c r="AO197" s="1138"/>
      <c r="AP197" s="1126"/>
      <c r="AQ197" s="1138"/>
      <c r="AR197" s="1126"/>
      <c r="AS197" s="1138"/>
      <c r="AT197" s="1126"/>
      <c r="AU197" s="1138"/>
      <c r="AV197" s="1126"/>
      <c r="AW197" s="1138"/>
      <c r="AX197" s="1126"/>
      <c r="AY197" s="1138"/>
      <c r="AZ197" s="1126"/>
      <c r="BA197" s="1138"/>
      <c r="BB197" s="1126"/>
      <c r="BC197" s="1138"/>
      <c r="BD197" s="1126"/>
      <c r="BE197" s="1138"/>
      <c r="BF197" s="1126"/>
      <c r="BG197" s="1138"/>
      <c r="BH197" s="1126"/>
      <c r="BI197" s="1138"/>
      <c r="BJ197" s="1075"/>
      <c r="BK197" s="2007"/>
      <c r="BL197" s="1139">
        <v>110.0</v>
      </c>
      <c r="BM197" s="1138">
        <v>108.0</v>
      </c>
      <c r="BN197" s="77">
        <v>10.0</v>
      </c>
      <c r="BO197" s="2062"/>
      <c r="BP197" s="80">
        <f t="shared" si="124"/>
        <v>111</v>
      </c>
      <c r="BQ197" s="2137">
        <f t="shared" si="125"/>
        <v>108</v>
      </c>
      <c r="BR197" s="2300">
        <f t="shared" si="126"/>
        <v>12312</v>
      </c>
      <c r="BS197" s="2301">
        <f t="shared" si="127"/>
        <v>12654</v>
      </c>
      <c r="BT197" s="2302"/>
      <c r="BU197" s="2302"/>
    </row>
    <row r="198" ht="21.0" customHeight="1">
      <c r="A198" s="1565" t="s">
        <v>145</v>
      </c>
      <c r="B198" s="1259">
        <v>1106.0</v>
      </c>
      <c r="C198" s="1948">
        <v>139.0</v>
      </c>
      <c r="D198" s="1133" t="s">
        <v>74</v>
      </c>
      <c r="E198" s="1118" t="str">
        <f>'Матрица 4 недели'!J174</f>
        <v>Суп-крем из тыквы</v>
      </c>
      <c r="F198" s="1120">
        <v>2.0</v>
      </c>
      <c r="G198" s="1121">
        <v>2.0</v>
      </c>
      <c r="H198" s="1120">
        <v>1.0</v>
      </c>
      <c r="I198" s="1121">
        <v>2.0</v>
      </c>
      <c r="J198" s="1120">
        <v>0.0</v>
      </c>
      <c r="K198" s="1121">
        <v>0.0</v>
      </c>
      <c r="L198" s="1120"/>
      <c r="M198" s="1121"/>
      <c r="N198" s="1120">
        <v>2.0</v>
      </c>
      <c r="O198" s="1121">
        <v>2.0</v>
      </c>
      <c r="P198" s="1120">
        <v>1.0</v>
      </c>
      <c r="Q198" s="1121">
        <v>1.0</v>
      </c>
      <c r="R198" s="1120"/>
      <c r="S198" s="1121"/>
      <c r="T198" s="1120">
        <v>1.0</v>
      </c>
      <c r="U198" s="1121">
        <v>2.0</v>
      </c>
      <c r="V198" s="1120">
        <v>2.0</v>
      </c>
      <c r="W198" s="1121">
        <v>2.0</v>
      </c>
      <c r="X198" s="1120">
        <v>2.0</v>
      </c>
      <c r="Y198" s="1121">
        <v>2.0</v>
      </c>
      <c r="Z198" s="1120"/>
      <c r="AA198" s="1121"/>
      <c r="AB198" s="1120"/>
      <c r="AC198" s="1121"/>
      <c r="AD198" s="1120">
        <v>1.0</v>
      </c>
      <c r="AE198" s="1121">
        <v>1.0</v>
      </c>
      <c r="AF198" s="1120">
        <v>1.0</v>
      </c>
      <c r="AG198" s="1121">
        <v>1.0</v>
      </c>
      <c r="AH198" s="1120">
        <v>2.0</v>
      </c>
      <c r="AI198" s="1138">
        <v>2.0</v>
      </c>
      <c r="AJ198" s="1120">
        <v>1.0</v>
      </c>
      <c r="AK198" s="1138">
        <v>1.0</v>
      </c>
      <c r="AL198" s="1126"/>
      <c r="AM198" s="1138"/>
      <c r="AN198" s="1137">
        <v>2.0</v>
      </c>
      <c r="AO198" s="1138">
        <v>2.0</v>
      </c>
      <c r="AP198" s="1126">
        <v>1.0</v>
      </c>
      <c r="AQ198" s="1138">
        <v>1.0</v>
      </c>
      <c r="AR198" s="1126">
        <v>2.0</v>
      </c>
      <c r="AS198" s="1138">
        <v>2.0</v>
      </c>
      <c r="AT198" s="1126">
        <v>1.0</v>
      </c>
      <c r="AU198" s="1138">
        <v>1.0</v>
      </c>
      <c r="AV198" s="1126"/>
      <c r="AW198" s="1138"/>
      <c r="AX198" s="1126">
        <v>1.0</v>
      </c>
      <c r="AY198" s="1138">
        <v>1.0</v>
      </c>
      <c r="AZ198" s="1126">
        <v>0.0</v>
      </c>
      <c r="BA198" s="1138">
        <v>0.0</v>
      </c>
      <c r="BB198" s="1126">
        <v>2.0</v>
      </c>
      <c r="BC198" s="1138">
        <v>2.0</v>
      </c>
      <c r="BD198" s="1126">
        <v>0.0</v>
      </c>
      <c r="BE198" s="1138">
        <v>0.0</v>
      </c>
      <c r="BF198" s="1126">
        <v>1.0</v>
      </c>
      <c r="BG198" s="1138">
        <v>1.0</v>
      </c>
      <c r="BH198" s="1126">
        <v>1.0</v>
      </c>
      <c r="BI198" s="1138">
        <v>1.0</v>
      </c>
      <c r="BJ198" s="1075">
        <v>1.0</v>
      </c>
      <c r="BK198" s="2007">
        <v>1.0</v>
      </c>
      <c r="BL198" s="1139"/>
      <c r="BM198" s="1138"/>
      <c r="BN198" s="80"/>
      <c r="BO198" s="1579"/>
      <c r="BP198" s="80">
        <f t="shared" si="124"/>
        <v>29</v>
      </c>
      <c r="BQ198" s="2137">
        <f t="shared" si="125"/>
        <v>30</v>
      </c>
      <c r="BR198" s="2300">
        <f t="shared" si="126"/>
        <v>4170</v>
      </c>
      <c r="BS198" s="2301">
        <f t="shared" si="127"/>
        <v>4031</v>
      </c>
      <c r="BT198" s="2302"/>
      <c r="BU198" s="2302"/>
    </row>
    <row r="199" ht="21.0" customHeight="1">
      <c r="A199" s="1565" t="s">
        <v>145</v>
      </c>
      <c r="B199" s="1259">
        <v>3889.0</v>
      </c>
      <c r="C199" s="1948">
        <v>264.0</v>
      </c>
      <c r="D199" s="1133" t="s">
        <v>77</v>
      </c>
      <c r="E199" s="1118" t="str">
        <f>'Матрица 4 недели'!M173</f>
        <v>Купаты куриные с овощным гарниром</v>
      </c>
      <c r="F199" s="1137">
        <v>6.0</v>
      </c>
      <c r="G199" s="1121">
        <v>6.0</v>
      </c>
      <c r="H199" s="1137">
        <v>4.0</v>
      </c>
      <c r="I199" s="1121">
        <v>4.0</v>
      </c>
      <c r="J199" s="1137">
        <v>3.0</v>
      </c>
      <c r="K199" s="1121">
        <v>3.0</v>
      </c>
      <c r="L199" s="1141">
        <v>3.0</v>
      </c>
      <c r="M199" s="1121">
        <v>3.0</v>
      </c>
      <c r="N199" s="1141">
        <v>3.0</v>
      </c>
      <c r="O199" s="1121">
        <v>2.0</v>
      </c>
      <c r="P199" s="1126">
        <v>2.0</v>
      </c>
      <c r="Q199" s="1121">
        <v>2.0</v>
      </c>
      <c r="R199" s="1120">
        <v>4.0</v>
      </c>
      <c r="S199" s="1121">
        <v>4.0</v>
      </c>
      <c r="T199" s="1126">
        <v>2.0</v>
      </c>
      <c r="U199" s="1291">
        <v>2.0</v>
      </c>
      <c r="V199" s="1141">
        <v>3.0</v>
      </c>
      <c r="W199" s="1121">
        <v>3.0</v>
      </c>
      <c r="X199" s="1141">
        <v>2.0</v>
      </c>
      <c r="Y199" s="1121">
        <v>2.0</v>
      </c>
      <c r="Z199" s="1120"/>
      <c r="AA199" s="1121"/>
      <c r="AB199" s="1137">
        <v>1.0</v>
      </c>
      <c r="AC199" s="1138">
        <v>1.0</v>
      </c>
      <c r="AD199" s="1141">
        <v>2.0</v>
      </c>
      <c r="AE199" s="1138">
        <v>2.0</v>
      </c>
      <c r="AF199" s="1141">
        <v>2.0</v>
      </c>
      <c r="AG199" s="1138">
        <v>2.0</v>
      </c>
      <c r="AH199" s="1120">
        <v>3.0</v>
      </c>
      <c r="AI199" s="1138">
        <v>3.0</v>
      </c>
      <c r="AJ199" s="1137">
        <v>4.0</v>
      </c>
      <c r="AK199" s="1138">
        <v>4.0</v>
      </c>
      <c r="AL199" s="1126">
        <v>3.0</v>
      </c>
      <c r="AM199" s="1138">
        <v>3.0</v>
      </c>
      <c r="AN199" s="1120">
        <v>2.0</v>
      </c>
      <c r="AO199" s="1138">
        <v>2.0</v>
      </c>
      <c r="AP199" s="1126">
        <v>2.0</v>
      </c>
      <c r="AQ199" s="1138">
        <v>2.0</v>
      </c>
      <c r="AR199" s="1126">
        <v>5.0</v>
      </c>
      <c r="AS199" s="1138">
        <v>5.0</v>
      </c>
      <c r="AT199" s="1126">
        <v>5.0</v>
      </c>
      <c r="AU199" s="1138">
        <v>5.0</v>
      </c>
      <c r="AV199" s="1126">
        <v>2.0</v>
      </c>
      <c r="AW199" s="1138">
        <v>2.0</v>
      </c>
      <c r="AX199" s="1126">
        <v>2.0</v>
      </c>
      <c r="AY199" s="1138">
        <v>2.0</v>
      </c>
      <c r="AZ199" s="1126">
        <v>2.0</v>
      </c>
      <c r="BA199" s="1138">
        <v>2.0</v>
      </c>
      <c r="BB199" s="1126">
        <v>2.0</v>
      </c>
      <c r="BC199" s="1138">
        <v>2.0</v>
      </c>
      <c r="BD199" s="1126">
        <v>2.0</v>
      </c>
      <c r="BE199" s="1138">
        <v>2.0</v>
      </c>
      <c r="BF199" s="1126">
        <v>3.0</v>
      </c>
      <c r="BG199" s="1138">
        <v>3.0</v>
      </c>
      <c r="BH199" s="1126">
        <v>0.0</v>
      </c>
      <c r="BI199" s="1138">
        <v>0.0</v>
      </c>
      <c r="BJ199" s="1075">
        <v>2.0</v>
      </c>
      <c r="BK199" s="2007">
        <v>2.0</v>
      </c>
      <c r="BL199" s="1134"/>
      <c r="BM199" s="1138"/>
      <c r="BN199" s="77">
        <v>7.0</v>
      </c>
      <c r="BO199" s="2062"/>
      <c r="BP199" s="80">
        <f t="shared" si="124"/>
        <v>77</v>
      </c>
      <c r="BQ199" s="2137">
        <f t="shared" si="125"/>
        <v>75</v>
      </c>
      <c r="BR199" s="2300">
        <f t="shared" si="126"/>
        <v>19800</v>
      </c>
      <c r="BS199" s="2301">
        <f t="shared" si="127"/>
        <v>20328</v>
      </c>
      <c r="BT199" s="2302"/>
      <c r="BU199" s="2302"/>
    </row>
    <row r="200" ht="21.0" customHeight="1">
      <c r="A200" s="1565"/>
      <c r="B200" s="1259">
        <v>1073.0</v>
      </c>
      <c r="C200" s="1948">
        <v>261.0</v>
      </c>
      <c r="D200" s="1153" t="s">
        <v>77</v>
      </c>
      <c r="E200" s="1953" t="str">
        <f>'Матрица 4 недели'!M174</f>
        <v>Горбуша запеченная с картофельным пюре</v>
      </c>
      <c r="F200" s="1137">
        <v>2.0</v>
      </c>
      <c r="G200" s="1121"/>
      <c r="H200" s="1137">
        <v>5.0</v>
      </c>
      <c r="I200" s="1121"/>
      <c r="J200" s="1137">
        <v>6.0</v>
      </c>
      <c r="K200" s="1121"/>
      <c r="L200" s="1141">
        <v>4.0</v>
      </c>
      <c r="M200" s="1121"/>
      <c r="N200" s="1141">
        <v>7.0</v>
      </c>
      <c r="O200" s="1121"/>
      <c r="P200" s="1126">
        <v>3.0</v>
      </c>
      <c r="Q200" s="1121"/>
      <c r="R200" s="1120">
        <v>3.0</v>
      </c>
      <c r="S200" s="1121"/>
      <c r="T200" s="1126">
        <v>3.0</v>
      </c>
      <c r="U200" s="1291"/>
      <c r="V200" s="1141">
        <v>3.0</v>
      </c>
      <c r="W200" s="1121"/>
      <c r="X200" s="1141">
        <v>3.0</v>
      </c>
      <c r="Y200" s="1121"/>
      <c r="Z200" s="1120"/>
      <c r="AA200" s="1121"/>
      <c r="AB200" s="1137">
        <v>5.0</v>
      </c>
      <c r="AC200" s="1138"/>
      <c r="AD200" s="1141">
        <v>2.0</v>
      </c>
      <c r="AE200" s="1138"/>
      <c r="AF200" s="1141">
        <v>5.0</v>
      </c>
      <c r="AG200" s="1138"/>
      <c r="AH200" s="1120">
        <v>5.0</v>
      </c>
      <c r="AI200" s="1138"/>
      <c r="AJ200" s="1137">
        <v>2.0</v>
      </c>
      <c r="AK200" s="1138"/>
      <c r="AL200" s="1126">
        <v>2.0</v>
      </c>
      <c r="AM200" s="1138"/>
      <c r="AN200" s="1120">
        <v>2.0</v>
      </c>
      <c r="AO200" s="1138"/>
      <c r="AP200" s="1126">
        <v>2.0</v>
      </c>
      <c r="AQ200" s="1138"/>
      <c r="AR200" s="1126">
        <v>3.0</v>
      </c>
      <c r="AS200" s="1138"/>
      <c r="AT200" s="1126">
        <v>4.0</v>
      </c>
      <c r="AU200" s="1138"/>
      <c r="AV200" s="1126">
        <v>3.0</v>
      </c>
      <c r="AW200" s="1138"/>
      <c r="AX200" s="1126">
        <v>2.0</v>
      </c>
      <c r="AY200" s="1138"/>
      <c r="AZ200" s="1126">
        <v>2.0</v>
      </c>
      <c r="BA200" s="1138"/>
      <c r="BB200" s="1126"/>
      <c r="BC200" s="1138"/>
      <c r="BD200" s="1126">
        <v>2.0</v>
      </c>
      <c r="BE200" s="1138"/>
      <c r="BF200" s="1126">
        <v>2.0</v>
      </c>
      <c r="BG200" s="1138"/>
      <c r="BH200" s="1126">
        <v>5.0</v>
      </c>
      <c r="BI200" s="1138"/>
      <c r="BJ200" s="1075">
        <v>3.0</v>
      </c>
      <c r="BK200" s="2007"/>
      <c r="BL200" s="1134"/>
      <c r="BM200" s="1138"/>
      <c r="BN200" s="77"/>
      <c r="BO200" s="2062"/>
      <c r="BP200" s="80">
        <f t="shared" si="124"/>
        <v>91</v>
      </c>
      <c r="BQ200" s="2137">
        <f t="shared" si="125"/>
        <v>0</v>
      </c>
      <c r="BR200" s="2300">
        <f t="shared" si="126"/>
        <v>0</v>
      </c>
      <c r="BS200" s="2301">
        <f t="shared" si="127"/>
        <v>23751</v>
      </c>
      <c r="BT200" s="2302"/>
      <c r="BU200" s="2302"/>
    </row>
    <row r="201" ht="21.0" customHeight="1">
      <c r="A201" s="1565"/>
      <c r="B201" s="1259">
        <v>965.0</v>
      </c>
      <c r="C201" s="1948">
        <v>195.0</v>
      </c>
      <c r="D201" s="1153" t="s">
        <v>77</v>
      </c>
      <c r="E201" s="1507" t="str">
        <f>'Матрица 4 недели'!M175</f>
        <v>Гуляш из свинины с макаронами</v>
      </c>
      <c r="F201" s="1137">
        <v>2.0</v>
      </c>
      <c r="G201" s="1121"/>
      <c r="H201" s="1137">
        <v>4.0</v>
      </c>
      <c r="I201" s="1121"/>
      <c r="J201" s="1137">
        <v>3.0</v>
      </c>
      <c r="K201" s="1121"/>
      <c r="L201" s="1141">
        <v>4.0</v>
      </c>
      <c r="M201" s="1121"/>
      <c r="N201" s="1141">
        <v>8.0</v>
      </c>
      <c r="O201" s="1121"/>
      <c r="P201" s="1126">
        <v>9.0</v>
      </c>
      <c r="Q201" s="1121"/>
      <c r="R201" s="1120">
        <v>0.0</v>
      </c>
      <c r="S201" s="1121"/>
      <c r="T201" s="1126">
        <v>2.0</v>
      </c>
      <c r="U201" s="1291"/>
      <c r="V201" s="1141">
        <v>5.0</v>
      </c>
      <c r="W201" s="1121"/>
      <c r="X201" s="1141">
        <v>2.0</v>
      </c>
      <c r="Y201" s="1121"/>
      <c r="Z201" s="1120"/>
      <c r="AA201" s="1121"/>
      <c r="AB201" s="1137">
        <v>3.0</v>
      </c>
      <c r="AC201" s="1138"/>
      <c r="AD201" s="1141">
        <v>5.0</v>
      </c>
      <c r="AE201" s="1138"/>
      <c r="AF201" s="1141">
        <v>4.0</v>
      </c>
      <c r="AG201" s="1138"/>
      <c r="AH201" s="1120">
        <v>2.0</v>
      </c>
      <c r="AI201" s="1138"/>
      <c r="AJ201" s="1137">
        <v>2.0</v>
      </c>
      <c r="AK201" s="1138"/>
      <c r="AL201" s="1126">
        <v>4.0</v>
      </c>
      <c r="AM201" s="1138"/>
      <c r="AN201" s="1120">
        <v>2.0</v>
      </c>
      <c r="AO201" s="1138"/>
      <c r="AP201" s="1126">
        <v>3.0</v>
      </c>
      <c r="AQ201" s="1138"/>
      <c r="AR201" s="1126">
        <v>6.0</v>
      </c>
      <c r="AS201" s="1138"/>
      <c r="AT201" s="1126">
        <v>2.0</v>
      </c>
      <c r="AU201" s="1138"/>
      <c r="AV201" s="1126">
        <v>3.0</v>
      </c>
      <c r="AW201" s="1138"/>
      <c r="AX201" s="1126">
        <v>2.0</v>
      </c>
      <c r="AY201" s="1138"/>
      <c r="AZ201" s="1126">
        <v>2.0</v>
      </c>
      <c r="BA201" s="1138"/>
      <c r="BB201" s="1126">
        <v>2.0</v>
      </c>
      <c r="BC201" s="1138"/>
      <c r="BD201" s="1126">
        <v>1.0</v>
      </c>
      <c r="BE201" s="1138"/>
      <c r="BF201" s="1126">
        <v>6.0</v>
      </c>
      <c r="BG201" s="1138"/>
      <c r="BH201" s="1126">
        <v>2.0</v>
      </c>
      <c r="BI201" s="1138"/>
      <c r="BJ201" s="1075">
        <v>2.0</v>
      </c>
      <c r="BK201" s="2007"/>
      <c r="BL201" s="1134">
        <v>25.0</v>
      </c>
      <c r="BM201" s="1138"/>
      <c r="BN201" s="77"/>
      <c r="BO201" s="2062"/>
      <c r="BP201" s="80">
        <f t="shared" si="124"/>
        <v>118</v>
      </c>
      <c r="BQ201" s="2137">
        <f t="shared" si="125"/>
        <v>0</v>
      </c>
      <c r="BR201" s="2300">
        <f t="shared" si="126"/>
        <v>0</v>
      </c>
      <c r="BS201" s="2301">
        <f t="shared" si="127"/>
        <v>23010</v>
      </c>
      <c r="BT201" s="2302"/>
      <c r="BU201" s="2302"/>
    </row>
    <row r="202" ht="21.0" customHeight="1">
      <c r="A202" s="1565"/>
      <c r="B202" s="1259">
        <v>3663.0</v>
      </c>
      <c r="C202" s="1948">
        <v>229.0</v>
      </c>
      <c r="D202" s="1153" t="s">
        <v>77</v>
      </c>
      <c r="E202" s="2344" t="str">
        <f>'Матрица 4 недели'!M176</f>
        <v>Горбуша запеченная с рисом светофор</v>
      </c>
      <c r="F202" s="1126"/>
      <c r="G202" s="1138"/>
      <c r="H202" s="1126"/>
      <c r="I202" s="1138"/>
      <c r="J202" s="1126"/>
      <c r="K202" s="1138"/>
      <c r="L202" s="1126"/>
      <c r="M202" s="1138"/>
      <c r="N202" s="1126"/>
      <c r="O202" s="1138"/>
      <c r="P202" s="1126"/>
      <c r="Q202" s="1138"/>
      <c r="R202" s="1120"/>
      <c r="S202" s="1121"/>
      <c r="T202" s="1137"/>
      <c r="U202" s="1121"/>
      <c r="V202" s="1137"/>
      <c r="W202" s="1121"/>
      <c r="X202" s="1137"/>
      <c r="Y202" s="1121"/>
      <c r="Z202" s="1137"/>
      <c r="AA202" s="1138"/>
      <c r="AB202" s="1120"/>
      <c r="AC202" s="1138"/>
      <c r="AD202" s="1120"/>
      <c r="AE202" s="1138"/>
      <c r="AF202" s="1120"/>
      <c r="AG202" s="1138"/>
      <c r="AH202" s="1120"/>
      <c r="AI202" s="1138"/>
      <c r="AJ202" s="1120"/>
      <c r="AK202" s="1138"/>
      <c r="AL202" s="1126"/>
      <c r="AM202" s="1138"/>
      <c r="AN202" s="1120"/>
      <c r="AO202" s="1121"/>
      <c r="AP202" s="1120"/>
      <c r="AQ202" s="1138"/>
      <c r="AR202" s="1120"/>
      <c r="AS202" s="1138"/>
      <c r="AT202" s="1126"/>
      <c r="AU202" s="1138"/>
      <c r="AV202" s="1126"/>
      <c r="AW202" s="1138"/>
      <c r="AX202" s="1126"/>
      <c r="AY202" s="1138"/>
      <c r="AZ202" s="1126"/>
      <c r="BA202" s="1138"/>
      <c r="BB202" s="1126"/>
      <c r="BC202" s="1138"/>
      <c r="BD202" s="1126"/>
      <c r="BE202" s="1138"/>
      <c r="BF202" s="1126"/>
      <c r="BG202" s="1138"/>
      <c r="BH202" s="1126"/>
      <c r="BI202" s="1138"/>
      <c r="BJ202" s="1126"/>
      <c r="BK202" s="1291"/>
      <c r="BL202" s="1139">
        <v>25.0</v>
      </c>
      <c r="BM202" s="1138"/>
      <c r="BN202" s="77">
        <v>10.0</v>
      </c>
      <c r="BO202" s="2062"/>
      <c r="BP202" s="80">
        <f t="shared" si="124"/>
        <v>26</v>
      </c>
      <c r="BQ202" s="2137">
        <f t="shared" si="125"/>
        <v>0</v>
      </c>
      <c r="BR202" s="2300">
        <f t="shared" si="126"/>
        <v>0</v>
      </c>
      <c r="BS202" s="2301">
        <f t="shared" si="127"/>
        <v>5954</v>
      </c>
      <c r="BT202" s="2302"/>
      <c r="BU202" s="2302"/>
    </row>
    <row r="203" ht="21.0" customHeight="1">
      <c r="A203" s="1565" t="s">
        <v>145</v>
      </c>
      <c r="B203" s="1259">
        <v>4099.0</v>
      </c>
      <c r="C203" s="1948">
        <v>221.0</v>
      </c>
      <c r="D203" s="1133" t="s">
        <v>77</v>
      </c>
      <c r="E203" s="1145" t="str">
        <f>'Матрица 4 недели'!M177</f>
        <v>Курочка в сырном соусе со спагетти </v>
      </c>
      <c r="F203" s="1120">
        <v>5.0</v>
      </c>
      <c r="G203" s="1121">
        <v>5.0</v>
      </c>
      <c r="H203" s="1120">
        <v>5.0</v>
      </c>
      <c r="I203" s="1121">
        <v>5.0</v>
      </c>
      <c r="J203" s="1120">
        <v>3.0</v>
      </c>
      <c r="K203" s="1121">
        <v>3.0</v>
      </c>
      <c r="L203" s="1120">
        <v>4.0</v>
      </c>
      <c r="M203" s="1121">
        <v>3.0</v>
      </c>
      <c r="N203" s="1126">
        <v>6.0</v>
      </c>
      <c r="O203" s="1121">
        <v>6.0</v>
      </c>
      <c r="P203" s="1120">
        <v>5.0</v>
      </c>
      <c r="Q203" s="1121">
        <v>5.0</v>
      </c>
      <c r="R203" s="1120">
        <v>7.0</v>
      </c>
      <c r="S203" s="1121">
        <v>7.0</v>
      </c>
      <c r="T203" s="1120">
        <v>5.0</v>
      </c>
      <c r="U203" s="1121">
        <v>5.0</v>
      </c>
      <c r="V203" s="1120">
        <v>7.0</v>
      </c>
      <c r="W203" s="1121">
        <v>7.0</v>
      </c>
      <c r="X203" s="1120">
        <v>2.0</v>
      </c>
      <c r="Y203" s="1121">
        <v>2.0</v>
      </c>
      <c r="Z203" s="1120"/>
      <c r="AA203" s="1121"/>
      <c r="AB203" s="1120">
        <v>6.0</v>
      </c>
      <c r="AC203" s="1121">
        <v>6.0</v>
      </c>
      <c r="AD203" s="1120">
        <v>6.0</v>
      </c>
      <c r="AE203" s="1121">
        <v>6.0</v>
      </c>
      <c r="AF203" s="1120">
        <v>3.0</v>
      </c>
      <c r="AG203" s="1121">
        <v>3.0</v>
      </c>
      <c r="AH203" s="1120">
        <v>8.0</v>
      </c>
      <c r="AI203" s="1138">
        <v>8.0</v>
      </c>
      <c r="AJ203" s="1120">
        <v>2.0</v>
      </c>
      <c r="AK203" s="1138">
        <v>2.0</v>
      </c>
      <c r="AL203" s="1126">
        <v>3.0</v>
      </c>
      <c r="AM203" s="1138">
        <v>3.0</v>
      </c>
      <c r="AN203" s="1137">
        <v>2.0</v>
      </c>
      <c r="AO203" s="1138">
        <v>2.0</v>
      </c>
      <c r="AP203" s="1126">
        <v>5.0</v>
      </c>
      <c r="AQ203" s="1138">
        <v>5.0</v>
      </c>
      <c r="AR203" s="1126">
        <v>7.0</v>
      </c>
      <c r="AS203" s="1138">
        <v>7.0</v>
      </c>
      <c r="AT203" s="1126">
        <v>11.0</v>
      </c>
      <c r="AU203" s="1138">
        <v>11.0</v>
      </c>
      <c r="AV203" s="1126">
        <v>4.0</v>
      </c>
      <c r="AW203" s="1138">
        <v>4.0</v>
      </c>
      <c r="AX203" s="1126">
        <v>3.0</v>
      </c>
      <c r="AY203" s="1138">
        <v>3.0</v>
      </c>
      <c r="AZ203" s="1126">
        <v>2.0</v>
      </c>
      <c r="BA203" s="1138">
        <v>2.0</v>
      </c>
      <c r="BB203" s="1126">
        <v>2.0</v>
      </c>
      <c r="BC203" s="1138">
        <v>2.0</v>
      </c>
      <c r="BD203" s="1126">
        <v>4.0</v>
      </c>
      <c r="BE203" s="1138">
        <v>4.0</v>
      </c>
      <c r="BF203" s="1126">
        <v>5.0</v>
      </c>
      <c r="BG203" s="1138">
        <v>5.0</v>
      </c>
      <c r="BH203" s="1126">
        <v>4.0</v>
      </c>
      <c r="BI203" s="1138">
        <v>4.0</v>
      </c>
      <c r="BJ203" s="1126">
        <v>4.0</v>
      </c>
      <c r="BK203" s="1291">
        <v>4.0</v>
      </c>
      <c r="BL203" s="1139"/>
      <c r="BM203" s="1138"/>
      <c r="BN203" s="77"/>
      <c r="BO203" s="2062"/>
      <c r="BP203" s="80">
        <f t="shared" si="124"/>
        <v>131</v>
      </c>
      <c r="BQ203" s="2137">
        <f t="shared" si="125"/>
        <v>129</v>
      </c>
      <c r="BR203" s="2300">
        <v>130.0</v>
      </c>
      <c r="BS203" s="2301">
        <f t="shared" si="127"/>
        <v>28951</v>
      </c>
      <c r="BT203" s="2302"/>
      <c r="BU203" s="2302"/>
    </row>
    <row r="204" ht="21.0" customHeight="1">
      <c r="A204" s="1565" t="s">
        <v>145</v>
      </c>
      <c r="B204" s="1259">
        <v>4176.0</v>
      </c>
      <c r="C204" s="1948">
        <v>221.0</v>
      </c>
      <c r="D204" s="1133" t="s">
        <v>77</v>
      </c>
      <c r="E204" s="575" t="str">
        <f>'Матрица 4 недели'!M178</f>
        <v>Курочка в сырном соусе с картофелем</v>
      </c>
      <c r="F204" s="1126"/>
      <c r="G204" s="1138"/>
      <c r="H204" s="1126"/>
      <c r="I204" s="1138"/>
      <c r="J204" s="1126"/>
      <c r="K204" s="1138"/>
      <c r="L204" s="1126"/>
      <c r="M204" s="1138"/>
      <c r="N204" s="1126"/>
      <c r="O204" s="1138"/>
      <c r="P204" s="1120"/>
      <c r="Q204" s="1138"/>
      <c r="R204" s="1126"/>
      <c r="S204" s="1138"/>
      <c r="T204" s="1126"/>
      <c r="U204" s="1138"/>
      <c r="V204" s="1126"/>
      <c r="W204" s="1138"/>
      <c r="X204" s="1126"/>
      <c r="Y204" s="1138"/>
      <c r="Z204" s="1126"/>
      <c r="AA204" s="1138"/>
      <c r="AB204" s="1126"/>
      <c r="AC204" s="1138"/>
      <c r="AD204" s="1126"/>
      <c r="AE204" s="1138"/>
      <c r="AF204" s="1126"/>
      <c r="AG204" s="1138"/>
      <c r="AH204" s="1126"/>
      <c r="AI204" s="1138"/>
      <c r="AJ204" s="1126"/>
      <c r="AK204" s="1138"/>
      <c r="AL204" s="1126"/>
      <c r="AM204" s="1138"/>
      <c r="AN204" s="1126"/>
      <c r="AO204" s="1138"/>
      <c r="AP204" s="1126"/>
      <c r="AQ204" s="1138"/>
      <c r="AR204" s="1126"/>
      <c r="AS204" s="1138"/>
      <c r="AT204" s="1126"/>
      <c r="AU204" s="1138"/>
      <c r="AV204" s="1126"/>
      <c r="AW204" s="1138"/>
      <c r="AX204" s="1126"/>
      <c r="AY204" s="1138"/>
      <c r="AZ204" s="1126"/>
      <c r="BA204" s="1138"/>
      <c r="BB204" s="1126"/>
      <c r="BC204" s="1138"/>
      <c r="BD204" s="1126"/>
      <c r="BE204" s="1138"/>
      <c r="BF204" s="1126"/>
      <c r="BG204" s="1138"/>
      <c r="BH204" s="1126"/>
      <c r="BI204" s="1138"/>
      <c r="BJ204" s="1126"/>
      <c r="BK204" s="1138"/>
      <c r="BL204" s="1152">
        <v>80.0</v>
      </c>
      <c r="BM204" s="1138">
        <v>80.0</v>
      </c>
      <c r="BN204" s="80"/>
      <c r="BO204" s="1579"/>
      <c r="BP204" s="80">
        <f t="shared" si="124"/>
        <v>81</v>
      </c>
      <c r="BQ204" s="2137">
        <f t="shared" si="125"/>
        <v>80</v>
      </c>
      <c r="BR204" s="2300">
        <v>80.0</v>
      </c>
      <c r="BS204" s="2301">
        <f t="shared" si="127"/>
        <v>17901</v>
      </c>
      <c r="BT204" s="2302"/>
      <c r="BU204" s="2302"/>
    </row>
    <row r="205" ht="21.0" customHeight="1">
      <c r="A205" s="1565" t="s">
        <v>145</v>
      </c>
      <c r="B205" s="1164">
        <v>4279.0</v>
      </c>
      <c r="C205" s="1153">
        <v>269.0</v>
      </c>
      <c r="D205" s="1133" t="s">
        <v>537</v>
      </c>
      <c r="E205" s="733" t="str">
        <f>'Матрица 4 недели'!M180</f>
        <v>Гречка по-купечески с томленой говядиной </v>
      </c>
      <c r="F205" s="1137">
        <v>2.0</v>
      </c>
      <c r="G205" s="1121">
        <v>2.0</v>
      </c>
      <c r="H205" s="1126">
        <v>3.0</v>
      </c>
      <c r="I205" s="1121">
        <v>3.0</v>
      </c>
      <c r="J205" s="1126">
        <v>6.0</v>
      </c>
      <c r="K205" s="1160">
        <v>6.0</v>
      </c>
      <c r="L205" s="1161">
        <v>3.0</v>
      </c>
      <c r="M205" s="1162">
        <v>2.0</v>
      </c>
      <c r="N205" s="1126">
        <v>2.0</v>
      </c>
      <c r="O205" s="1121">
        <v>2.0</v>
      </c>
      <c r="P205" s="1126">
        <v>3.0</v>
      </c>
      <c r="Q205" s="1121">
        <v>3.0</v>
      </c>
      <c r="R205" s="1120">
        <v>2.0</v>
      </c>
      <c r="S205" s="1121">
        <v>2.0</v>
      </c>
      <c r="T205" s="1126">
        <v>2.0</v>
      </c>
      <c r="U205" s="1121">
        <v>2.0</v>
      </c>
      <c r="V205" s="1137">
        <v>2.0</v>
      </c>
      <c r="W205" s="1121">
        <v>2.0</v>
      </c>
      <c r="X205" s="1137">
        <v>1.0</v>
      </c>
      <c r="Y205" s="1121">
        <v>1.0</v>
      </c>
      <c r="Z205" s="1137"/>
      <c r="AA205" s="1121"/>
      <c r="AB205" s="1137">
        <v>2.0</v>
      </c>
      <c r="AC205" s="1121">
        <v>2.0</v>
      </c>
      <c r="AD205" s="1137">
        <v>2.0</v>
      </c>
      <c r="AE205" s="1121">
        <v>2.0</v>
      </c>
      <c r="AF205" s="1120">
        <v>4.0</v>
      </c>
      <c r="AG205" s="1121">
        <v>4.0</v>
      </c>
      <c r="AH205" s="1137">
        <v>1.0</v>
      </c>
      <c r="AI205" s="1121">
        <v>1.0</v>
      </c>
      <c r="AJ205" s="1120">
        <v>2.0</v>
      </c>
      <c r="AK205" s="1121">
        <v>2.0</v>
      </c>
      <c r="AL205" s="1126">
        <v>2.0</v>
      </c>
      <c r="AM205" s="1121">
        <v>2.0</v>
      </c>
      <c r="AN205" s="1120">
        <v>2.0</v>
      </c>
      <c r="AO205" s="1307">
        <v>2.0</v>
      </c>
      <c r="AP205" s="1141">
        <v>1.0</v>
      </c>
      <c r="AQ205" s="1307">
        <v>1.0</v>
      </c>
      <c r="AR205" s="1141">
        <v>2.0</v>
      </c>
      <c r="AS205" s="1307">
        <v>2.0</v>
      </c>
      <c r="AT205" s="1141">
        <v>4.0</v>
      </c>
      <c r="AU205" s="1307">
        <v>4.0</v>
      </c>
      <c r="AV205" s="1141">
        <v>2.0</v>
      </c>
      <c r="AW205" s="1307">
        <v>2.0</v>
      </c>
      <c r="AX205" s="1141">
        <v>2.0</v>
      </c>
      <c r="AY205" s="1307">
        <v>2.0</v>
      </c>
      <c r="AZ205" s="1141">
        <v>1.0</v>
      </c>
      <c r="BA205" s="1307">
        <v>1.0</v>
      </c>
      <c r="BB205" s="1141"/>
      <c r="BC205" s="1307"/>
      <c r="BD205" s="1141">
        <v>0.0</v>
      </c>
      <c r="BE205" s="1307">
        <v>0.0</v>
      </c>
      <c r="BF205" s="1141">
        <v>2.0</v>
      </c>
      <c r="BG205" s="1307">
        <v>2.0</v>
      </c>
      <c r="BH205" s="1141">
        <v>4.0</v>
      </c>
      <c r="BI205" s="1307">
        <v>4.0</v>
      </c>
      <c r="BJ205" s="1141">
        <v>2.0</v>
      </c>
      <c r="BK205" s="1307">
        <v>2.0</v>
      </c>
      <c r="BL205" s="2353"/>
      <c r="BM205" s="1138"/>
      <c r="BN205" s="77"/>
      <c r="BO205" s="2062"/>
      <c r="BP205" s="80">
        <f t="shared" si="124"/>
        <v>62</v>
      </c>
      <c r="BQ205" s="2137">
        <f t="shared" si="125"/>
        <v>60</v>
      </c>
      <c r="BR205" s="2300">
        <f t="shared" ref="BR205:BR207" si="128">C205*BQ205</f>
        <v>16140</v>
      </c>
      <c r="BS205" s="2301">
        <f t="shared" si="127"/>
        <v>16678</v>
      </c>
      <c r="BT205" s="2302"/>
      <c r="BU205" s="2302"/>
    </row>
    <row r="206" ht="21.0" customHeight="1">
      <c r="A206" s="1565"/>
      <c r="B206" s="1164">
        <v>3454.0</v>
      </c>
      <c r="C206" s="1153">
        <v>67.0</v>
      </c>
      <c r="D206" s="1133" t="s">
        <v>78</v>
      </c>
      <c r="E206" s="733" t="str">
        <f>'Матрица 4 недели'!P173</f>
        <v>Рулетик с корицей 100 гр</v>
      </c>
      <c r="F206" s="1126"/>
      <c r="G206" s="1121"/>
      <c r="H206" s="1126"/>
      <c r="I206" s="1121"/>
      <c r="J206" s="1126"/>
      <c r="K206" s="1121"/>
      <c r="L206" s="1126"/>
      <c r="M206" s="1121"/>
      <c r="N206" s="1126"/>
      <c r="O206" s="1121"/>
      <c r="P206" s="1126"/>
      <c r="Q206" s="1121"/>
      <c r="R206" s="1126"/>
      <c r="S206" s="1138"/>
      <c r="T206" s="1126"/>
      <c r="U206" s="1138"/>
      <c r="V206" s="1137"/>
      <c r="W206" s="1138"/>
      <c r="X206" s="1137"/>
      <c r="Y206" s="1138"/>
      <c r="Z206" s="1143"/>
      <c r="AA206" s="1138"/>
      <c r="AB206" s="1120"/>
      <c r="AC206" s="1138"/>
      <c r="AD206" s="1126"/>
      <c r="AE206" s="1138"/>
      <c r="AF206" s="1126"/>
      <c r="AG206" s="1138"/>
      <c r="AH206" s="1137"/>
      <c r="AI206" s="1138"/>
      <c r="AJ206" s="1120"/>
      <c r="AK206" s="1138"/>
      <c r="AL206" s="1126"/>
      <c r="AM206" s="1138"/>
      <c r="AN206" s="1137"/>
      <c r="AO206" s="1138"/>
      <c r="AP206" s="1126"/>
      <c r="AQ206" s="1138"/>
      <c r="AR206" s="1126"/>
      <c r="AS206" s="1138"/>
      <c r="AT206" s="1126"/>
      <c r="AU206" s="1138"/>
      <c r="AV206" s="1126"/>
      <c r="AW206" s="1138"/>
      <c r="AX206" s="1126"/>
      <c r="AY206" s="1138"/>
      <c r="AZ206" s="1126"/>
      <c r="BA206" s="1138"/>
      <c r="BB206" s="1126"/>
      <c r="BC206" s="1138"/>
      <c r="BD206" s="1126"/>
      <c r="BE206" s="1138"/>
      <c r="BF206" s="1126"/>
      <c r="BG206" s="1138"/>
      <c r="BH206" s="1126"/>
      <c r="BI206" s="1138"/>
      <c r="BJ206" s="1126"/>
      <c r="BK206" s="1138"/>
      <c r="BL206" s="1139">
        <v>10.0</v>
      </c>
      <c r="BM206" s="1138">
        <v>12.0</v>
      </c>
      <c r="BN206" s="77">
        <v>0.0</v>
      </c>
      <c r="BO206" s="1167"/>
      <c r="BP206" s="80">
        <f t="shared" si="124"/>
        <v>11</v>
      </c>
      <c r="BQ206" s="2137">
        <f t="shared" si="125"/>
        <v>12</v>
      </c>
      <c r="BR206" s="2300">
        <f t="shared" si="128"/>
        <v>804</v>
      </c>
      <c r="BS206" s="2301">
        <f t="shared" si="127"/>
        <v>737</v>
      </c>
      <c r="BT206" s="2302"/>
      <c r="BU206" s="2302"/>
    </row>
    <row r="207" ht="21.0" customHeight="1">
      <c r="A207" s="1565"/>
      <c r="B207" s="1164">
        <v>3527.0</v>
      </c>
      <c r="C207" s="1153">
        <v>96.0</v>
      </c>
      <c r="D207" s="1133" t="s">
        <v>78</v>
      </c>
      <c r="E207" s="1145" t="str">
        <f>'Матрица 4 недели'!P174</f>
        <v>Хачапури 100 гр</v>
      </c>
      <c r="F207" s="1137"/>
      <c r="G207" s="1138"/>
      <c r="H207" s="1126"/>
      <c r="I207" s="1140"/>
      <c r="J207" s="1126"/>
      <c r="K207" s="1405"/>
      <c r="L207" s="1161"/>
      <c r="M207" s="1405"/>
      <c r="N207" s="1126"/>
      <c r="O207" s="1138"/>
      <c r="P207" s="1120"/>
      <c r="Q207" s="1142"/>
      <c r="R207" s="1126"/>
      <c r="S207" s="1121"/>
      <c r="T207" s="1137"/>
      <c r="U207" s="1121"/>
      <c r="V207" s="1314"/>
      <c r="W207" s="1121"/>
      <c r="X207" s="1137"/>
      <c r="Y207" s="1121"/>
      <c r="Z207" s="1120"/>
      <c r="AA207" s="1121"/>
      <c r="AB207" s="1120"/>
      <c r="AC207" s="1121"/>
      <c r="AD207" s="1120"/>
      <c r="AE207" s="1121"/>
      <c r="AF207" s="1137"/>
      <c r="AG207" s="1121"/>
      <c r="AH207" s="1120"/>
      <c r="AI207" s="1121"/>
      <c r="AJ207" s="1120"/>
      <c r="AK207" s="1121"/>
      <c r="AL207" s="1126"/>
      <c r="AM207" s="1121"/>
      <c r="AN207" s="1126"/>
      <c r="AO207" s="1121"/>
      <c r="AP207" s="1126"/>
      <c r="AQ207" s="1121"/>
      <c r="AR207" s="1126"/>
      <c r="AS207" s="1138"/>
      <c r="AT207" s="1126"/>
      <c r="AU207" s="1138"/>
      <c r="AV207" s="1126"/>
      <c r="AW207" s="1138"/>
      <c r="AX207" s="1126"/>
      <c r="AY207" s="1138"/>
      <c r="AZ207" s="1126"/>
      <c r="BA207" s="1138"/>
      <c r="BB207" s="1126"/>
      <c r="BC207" s="1138"/>
      <c r="BD207" s="1126"/>
      <c r="BE207" s="1138"/>
      <c r="BF207" s="1126"/>
      <c r="BG207" s="1138"/>
      <c r="BH207" s="1126"/>
      <c r="BI207" s="1138"/>
      <c r="BJ207" s="1126"/>
      <c r="BK207" s="1138"/>
      <c r="BL207" s="1134">
        <v>13.0</v>
      </c>
      <c r="BM207" s="1138">
        <v>15.0</v>
      </c>
      <c r="BN207" s="80"/>
      <c r="BO207" s="1579"/>
      <c r="BP207" s="80">
        <f t="shared" si="124"/>
        <v>14</v>
      </c>
      <c r="BQ207" s="2133">
        <f t="shared" si="125"/>
        <v>15</v>
      </c>
      <c r="BR207" s="2300">
        <f t="shared" si="128"/>
        <v>1440</v>
      </c>
      <c r="BS207" s="2301">
        <f t="shared" si="127"/>
        <v>1344</v>
      </c>
      <c r="BT207" s="2302"/>
      <c r="BU207" s="2302"/>
    </row>
    <row r="208" ht="21.0" customHeight="1">
      <c r="A208" s="1565" t="s">
        <v>145</v>
      </c>
      <c r="B208" s="1164">
        <v>2083.0</v>
      </c>
      <c r="C208" s="1153">
        <v>158.0</v>
      </c>
      <c r="D208" s="1133" t="s">
        <v>79</v>
      </c>
      <c r="E208" s="1145" t="str">
        <f>'Матрица 4 недели'!S173</f>
        <v>Сэндвич ''Цезарь''</v>
      </c>
      <c r="F208" s="1126">
        <v>7.0</v>
      </c>
      <c r="G208" s="1138">
        <v>7.0</v>
      </c>
      <c r="H208" s="1126">
        <v>3.0</v>
      </c>
      <c r="I208" s="1138">
        <v>3.0</v>
      </c>
      <c r="J208" s="1126">
        <v>2.0</v>
      </c>
      <c r="K208" s="1138">
        <v>2.0</v>
      </c>
      <c r="L208" s="1126">
        <v>3.0</v>
      </c>
      <c r="M208" s="1138">
        <v>3.0</v>
      </c>
      <c r="N208" s="1126">
        <v>7.0</v>
      </c>
      <c r="O208" s="1138">
        <v>6.0</v>
      </c>
      <c r="P208" s="1126">
        <v>7.0</v>
      </c>
      <c r="Q208" s="1138">
        <v>7.0</v>
      </c>
      <c r="R208" s="1120">
        <v>5.0</v>
      </c>
      <c r="S208" s="1121">
        <v>5.0</v>
      </c>
      <c r="T208" s="1137">
        <v>3.0</v>
      </c>
      <c r="U208" s="1121">
        <v>3.0</v>
      </c>
      <c r="V208" s="1137">
        <v>1.0</v>
      </c>
      <c r="W208" s="1121">
        <v>1.0</v>
      </c>
      <c r="X208" s="1137">
        <v>7.0</v>
      </c>
      <c r="Y208" s="1121">
        <v>7.0</v>
      </c>
      <c r="Z208" s="1137"/>
      <c r="AA208" s="1138"/>
      <c r="AB208" s="1120">
        <v>3.0</v>
      </c>
      <c r="AC208" s="1138">
        <v>3.0</v>
      </c>
      <c r="AD208" s="1120">
        <v>5.0</v>
      </c>
      <c r="AE208" s="1138">
        <v>5.0</v>
      </c>
      <c r="AF208" s="1120">
        <v>2.0</v>
      </c>
      <c r="AG208" s="1138">
        <v>2.0</v>
      </c>
      <c r="AH208" s="1120">
        <v>2.0</v>
      </c>
      <c r="AI208" s="1138">
        <v>2.0</v>
      </c>
      <c r="AJ208" s="1120">
        <v>3.0</v>
      </c>
      <c r="AK208" s="1138">
        <v>3.0</v>
      </c>
      <c r="AL208" s="1126">
        <v>3.0</v>
      </c>
      <c r="AM208" s="1138">
        <v>3.0</v>
      </c>
      <c r="AN208" s="1120">
        <v>2.0</v>
      </c>
      <c r="AO208" s="1121">
        <v>2.0</v>
      </c>
      <c r="AP208" s="1120">
        <v>2.0</v>
      </c>
      <c r="AQ208" s="1138">
        <v>2.0</v>
      </c>
      <c r="AR208" s="1120">
        <v>10.0</v>
      </c>
      <c r="AS208" s="1138">
        <v>10.0</v>
      </c>
      <c r="AT208" s="1126">
        <v>5.0</v>
      </c>
      <c r="AU208" s="1138">
        <v>5.0</v>
      </c>
      <c r="AV208" s="1126">
        <v>8.0</v>
      </c>
      <c r="AW208" s="1138">
        <v>8.0</v>
      </c>
      <c r="AX208" s="1126">
        <v>3.0</v>
      </c>
      <c r="AY208" s="1138">
        <v>3.0</v>
      </c>
      <c r="AZ208" s="1126">
        <v>2.0</v>
      </c>
      <c r="BA208" s="1138">
        <v>2.0</v>
      </c>
      <c r="BB208" s="1126">
        <v>3.0</v>
      </c>
      <c r="BC208" s="1138">
        <v>3.0</v>
      </c>
      <c r="BD208" s="1126">
        <v>2.0</v>
      </c>
      <c r="BE208" s="1138">
        <v>2.0</v>
      </c>
      <c r="BF208" s="1126">
        <v>2.0</v>
      </c>
      <c r="BG208" s="1138">
        <v>2.0</v>
      </c>
      <c r="BH208" s="1126">
        <v>3.0</v>
      </c>
      <c r="BI208" s="1138">
        <v>3.0</v>
      </c>
      <c r="BJ208" s="1126">
        <v>2.0</v>
      </c>
      <c r="BK208" s="1138">
        <v>2.0</v>
      </c>
      <c r="BL208" s="1134"/>
      <c r="BM208" s="1138"/>
      <c r="BN208" s="80"/>
      <c r="BO208" s="1579"/>
      <c r="BP208" s="80">
        <f t="shared" si="124"/>
        <v>108</v>
      </c>
      <c r="BQ208" s="2137">
        <f t="shared" si="125"/>
        <v>106</v>
      </c>
      <c r="BR208" s="2300"/>
      <c r="BS208" s="2301">
        <f t="shared" si="127"/>
        <v>17064</v>
      </c>
      <c r="BT208" s="2302"/>
      <c r="BU208" s="2302"/>
    </row>
    <row r="209" ht="21.0" customHeight="1">
      <c r="A209" s="1565" t="s">
        <v>145</v>
      </c>
      <c r="B209" s="1164">
        <v>2904.0</v>
      </c>
      <c r="C209" s="1153">
        <v>190.0</v>
      </c>
      <c r="D209" s="1133" t="s">
        <v>79</v>
      </c>
      <c r="E209" s="1157" t="str">
        <f>'Матрица 4 недели'!S174</f>
        <v>Ассорти сэндвич (пепперони/ветчина)</v>
      </c>
      <c r="F209" s="1137">
        <v>8.0</v>
      </c>
      <c r="G209" s="1121">
        <v>8.0</v>
      </c>
      <c r="H209" s="1126">
        <v>4.0</v>
      </c>
      <c r="I209" s="1121">
        <v>4.0</v>
      </c>
      <c r="J209" s="1126">
        <v>4.0</v>
      </c>
      <c r="K209" s="1160">
        <v>4.0</v>
      </c>
      <c r="L209" s="1161">
        <v>3.0</v>
      </c>
      <c r="M209" s="1162">
        <v>2.0</v>
      </c>
      <c r="N209" s="1126">
        <v>10.0</v>
      </c>
      <c r="O209" s="1121">
        <v>10.0</v>
      </c>
      <c r="P209" s="1126">
        <v>7.0</v>
      </c>
      <c r="Q209" s="1121">
        <v>7.0</v>
      </c>
      <c r="R209" s="1120">
        <v>3.0</v>
      </c>
      <c r="S209" s="1121">
        <v>3.0</v>
      </c>
      <c r="T209" s="1126">
        <v>1.0</v>
      </c>
      <c r="U209" s="1121">
        <v>1.0</v>
      </c>
      <c r="V209" s="1137">
        <v>2.0</v>
      </c>
      <c r="W209" s="1121">
        <v>2.0</v>
      </c>
      <c r="X209" s="1137">
        <v>6.0</v>
      </c>
      <c r="Y209" s="1121">
        <v>6.0</v>
      </c>
      <c r="Z209" s="1137"/>
      <c r="AA209" s="1121"/>
      <c r="AB209" s="1137">
        <v>5.0</v>
      </c>
      <c r="AC209" s="1121">
        <v>5.0</v>
      </c>
      <c r="AD209" s="1137">
        <v>7.0</v>
      </c>
      <c r="AE209" s="1121">
        <v>7.0</v>
      </c>
      <c r="AF209" s="1120">
        <v>2.0</v>
      </c>
      <c r="AG209" s="1121">
        <v>2.0</v>
      </c>
      <c r="AH209" s="1137">
        <v>3.0</v>
      </c>
      <c r="AI209" s="1121">
        <v>3.0</v>
      </c>
      <c r="AJ209" s="1120">
        <v>2.0</v>
      </c>
      <c r="AK209" s="1121">
        <v>2.0</v>
      </c>
      <c r="AL209" s="1126">
        <v>4.0</v>
      </c>
      <c r="AM209" s="1121">
        <v>4.0</v>
      </c>
      <c r="AN209" s="1120">
        <v>2.0</v>
      </c>
      <c r="AO209" s="1121">
        <v>2.0</v>
      </c>
      <c r="AP209" s="1120">
        <v>2.0</v>
      </c>
      <c r="AQ209" s="1307">
        <v>2.0</v>
      </c>
      <c r="AR209" s="1302">
        <v>8.0</v>
      </c>
      <c r="AS209" s="1138">
        <v>8.0</v>
      </c>
      <c r="AT209" s="1120">
        <v>2.0</v>
      </c>
      <c r="AU209" s="1138">
        <v>2.0</v>
      </c>
      <c r="AV209" s="1126">
        <v>7.0</v>
      </c>
      <c r="AW209" s="1138">
        <v>7.0</v>
      </c>
      <c r="AX209" s="1126">
        <v>3.0</v>
      </c>
      <c r="AY209" s="1138">
        <v>3.0</v>
      </c>
      <c r="AZ209" s="1126">
        <v>2.0</v>
      </c>
      <c r="BA209" s="1138">
        <v>2.0</v>
      </c>
      <c r="BB209" s="1126">
        <v>3.0</v>
      </c>
      <c r="BC209" s="1138">
        <v>3.0</v>
      </c>
      <c r="BD209" s="1126">
        <v>2.0</v>
      </c>
      <c r="BE209" s="1138">
        <v>2.0</v>
      </c>
      <c r="BF209" s="1126">
        <v>4.0</v>
      </c>
      <c r="BG209" s="1138">
        <v>4.0</v>
      </c>
      <c r="BH209" s="1126">
        <v>3.0</v>
      </c>
      <c r="BI209" s="1138">
        <v>3.0</v>
      </c>
      <c r="BJ209" s="1126">
        <v>3.0</v>
      </c>
      <c r="BK209" s="1138">
        <v>3.0</v>
      </c>
      <c r="BL209" s="1139"/>
      <c r="BM209" s="1138"/>
      <c r="BN209" s="80"/>
      <c r="BO209" s="1579"/>
      <c r="BP209" s="80">
        <f t="shared" si="124"/>
        <v>113</v>
      </c>
      <c r="BQ209" s="2137">
        <f t="shared" si="125"/>
        <v>111</v>
      </c>
      <c r="BR209" s="2300">
        <f t="shared" ref="BR209:BR213" si="129">C209*BQ209</f>
        <v>21090</v>
      </c>
      <c r="BS209" s="2301">
        <f t="shared" si="127"/>
        <v>21470</v>
      </c>
      <c r="BT209" s="2302"/>
      <c r="BU209" s="2302"/>
    </row>
    <row r="210" ht="21.0" customHeight="1">
      <c r="A210" s="1565"/>
      <c r="B210" s="1164"/>
      <c r="C210" s="1153"/>
      <c r="D210" s="1153"/>
      <c r="E210" s="2355" t="str">
        <f>'Матрица 4 недели'!V173</f>
        <v/>
      </c>
      <c r="F210" s="1137">
        <v>19.0</v>
      </c>
      <c r="G210" s="1138"/>
      <c r="H210" s="1126">
        <v>6.0</v>
      </c>
      <c r="I210" s="1140"/>
      <c r="J210" s="1126">
        <v>5.0</v>
      </c>
      <c r="K210" s="1405"/>
      <c r="L210" s="1161">
        <v>3.0</v>
      </c>
      <c r="M210" s="1405"/>
      <c r="N210" s="1126">
        <v>5.0</v>
      </c>
      <c r="O210" s="1138"/>
      <c r="P210" s="1126">
        <v>2.0</v>
      </c>
      <c r="Q210" s="1142"/>
      <c r="R210" s="1126"/>
      <c r="S210" s="1121"/>
      <c r="T210" s="1137">
        <v>2.0</v>
      </c>
      <c r="U210" s="1121"/>
      <c r="V210" s="1137">
        <v>2.0</v>
      </c>
      <c r="W210" s="1121"/>
      <c r="X210" s="1137">
        <v>2.0</v>
      </c>
      <c r="Y210" s="1121"/>
      <c r="Z210" s="1137"/>
      <c r="AA210" s="1121"/>
      <c r="AB210" s="1120">
        <v>1.0</v>
      </c>
      <c r="AC210" s="1121"/>
      <c r="AD210" s="1120">
        <v>2.0</v>
      </c>
      <c r="AE210" s="1121"/>
      <c r="AF210" s="1137">
        <v>2.0</v>
      </c>
      <c r="AG210" s="1121"/>
      <c r="AH210" s="1120">
        <v>2.0</v>
      </c>
      <c r="AI210" s="1121"/>
      <c r="AJ210" s="1120">
        <v>4.0</v>
      </c>
      <c r="AK210" s="1121"/>
      <c r="AL210" s="1137">
        <v>2.0</v>
      </c>
      <c r="AM210" s="1121"/>
      <c r="AN210" s="1137">
        <v>2.0</v>
      </c>
      <c r="AO210" s="1138"/>
      <c r="AP210" s="1137">
        <v>2.0</v>
      </c>
      <c r="AQ210" s="1138"/>
      <c r="AR210" s="1137"/>
      <c r="AS210" s="1121"/>
      <c r="AT210" s="1126">
        <v>2.0</v>
      </c>
      <c r="AU210" s="1121"/>
      <c r="AV210" s="1126">
        <v>6.0</v>
      </c>
      <c r="AW210" s="1138"/>
      <c r="AX210" s="1126">
        <v>2.0</v>
      </c>
      <c r="AY210" s="1138"/>
      <c r="AZ210" s="1126">
        <v>2.0</v>
      </c>
      <c r="BA210" s="1138"/>
      <c r="BB210" s="1126">
        <v>3.0</v>
      </c>
      <c r="BC210" s="1127"/>
      <c r="BD210" s="1126">
        <v>2.0</v>
      </c>
      <c r="BE210" s="1127"/>
      <c r="BF210" s="1126">
        <v>4.0</v>
      </c>
      <c r="BG210" s="1127"/>
      <c r="BH210" s="1126">
        <v>1.0</v>
      </c>
      <c r="BI210" s="1127"/>
      <c r="BJ210" s="1126">
        <v>4.0</v>
      </c>
      <c r="BK210" s="1127"/>
      <c r="BL210" s="1175"/>
      <c r="BM210" s="1138"/>
      <c r="BN210" s="77">
        <v>0.0</v>
      </c>
      <c r="BO210" s="2062"/>
      <c r="BP210" s="80">
        <f t="shared" si="124"/>
        <v>90</v>
      </c>
      <c r="BQ210" s="2133">
        <f t="shared" si="125"/>
        <v>0</v>
      </c>
      <c r="BR210" s="2300">
        <f t="shared" si="129"/>
        <v>0</v>
      </c>
      <c r="BS210" s="2301">
        <f t="shared" si="127"/>
        <v>0</v>
      </c>
      <c r="BT210" s="2302"/>
      <c r="BU210" s="2302"/>
    </row>
    <row r="211" ht="21.0" customHeight="1">
      <c r="A211" s="1565" t="s">
        <v>145</v>
      </c>
      <c r="B211" s="1164">
        <v>3997.0</v>
      </c>
      <c r="C211" s="1153">
        <v>98.0</v>
      </c>
      <c r="D211" s="1133" t="s">
        <v>80</v>
      </c>
      <c r="E211" s="733" t="str">
        <f>'Матрица 4 недели'!V174</f>
        <v>Морс облепиховый 0,5 л</v>
      </c>
      <c r="F211" s="1141">
        <v>15.0</v>
      </c>
      <c r="G211" s="1305">
        <v>18.0</v>
      </c>
      <c r="H211" s="1141">
        <v>5.0</v>
      </c>
      <c r="I211" s="1305">
        <v>3.0</v>
      </c>
      <c r="J211" s="1141">
        <v>7.0</v>
      </c>
      <c r="K211" s="1305">
        <v>7.0</v>
      </c>
      <c r="L211" s="1141">
        <v>3.0</v>
      </c>
      <c r="M211" s="1305">
        <v>0.0</v>
      </c>
      <c r="N211" s="1141">
        <v>6.0</v>
      </c>
      <c r="O211" s="1305">
        <v>6.0</v>
      </c>
      <c r="P211" s="1141">
        <v>12.0</v>
      </c>
      <c r="Q211" s="1305">
        <v>12.0</v>
      </c>
      <c r="R211" s="1141">
        <v>0.0</v>
      </c>
      <c r="S211" s="1959">
        <v>0.0</v>
      </c>
      <c r="T211" s="1141">
        <v>0.0</v>
      </c>
      <c r="U211" s="1307">
        <v>0.0</v>
      </c>
      <c r="V211" s="1143">
        <v>0.0</v>
      </c>
      <c r="W211" s="1307">
        <v>0.0</v>
      </c>
      <c r="X211" s="1143">
        <v>6.0</v>
      </c>
      <c r="Y211" s="1138">
        <v>5.0</v>
      </c>
      <c r="Z211" s="1120"/>
      <c r="AA211" s="1138"/>
      <c r="AB211" s="1120">
        <v>0.0</v>
      </c>
      <c r="AC211" s="1138">
        <v>0.0</v>
      </c>
      <c r="AD211" s="1120">
        <v>0.0</v>
      </c>
      <c r="AE211" s="1138">
        <v>0.0</v>
      </c>
      <c r="AF211" s="1120">
        <v>7.0</v>
      </c>
      <c r="AG211" s="1138">
        <v>7.0</v>
      </c>
      <c r="AH211" s="1120">
        <v>6.0</v>
      </c>
      <c r="AI211" s="1138">
        <v>0.0</v>
      </c>
      <c r="AJ211" s="1120">
        <v>0.0</v>
      </c>
      <c r="AK211" s="1138">
        <v>0.0</v>
      </c>
      <c r="AL211" s="1126">
        <v>0.0</v>
      </c>
      <c r="AM211" s="1138">
        <v>0.0</v>
      </c>
      <c r="AN211" s="1120">
        <v>10.0</v>
      </c>
      <c r="AO211" s="1138">
        <v>10.0</v>
      </c>
      <c r="AP211" s="1126">
        <v>0.0</v>
      </c>
      <c r="AQ211" s="1121">
        <v>0.0</v>
      </c>
      <c r="AR211" s="1126">
        <v>30.0</v>
      </c>
      <c r="AS211" s="1121">
        <v>30.0</v>
      </c>
      <c r="AT211" s="1126">
        <v>7.0</v>
      </c>
      <c r="AU211" s="1121">
        <v>7.0</v>
      </c>
      <c r="AV211" s="1126">
        <v>11.0</v>
      </c>
      <c r="AW211" s="1121">
        <v>0.0</v>
      </c>
      <c r="AX211" s="1126">
        <v>10.0</v>
      </c>
      <c r="AY211" s="1121">
        <v>10.0</v>
      </c>
      <c r="AZ211" s="1126">
        <v>0.0</v>
      </c>
      <c r="BA211" s="1121">
        <v>0.0</v>
      </c>
      <c r="BB211" s="1126">
        <v>0.0</v>
      </c>
      <c r="BC211" s="1121">
        <v>0.0</v>
      </c>
      <c r="BD211" s="1126">
        <v>7.0</v>
      </c>
      <c r="BE211" s="1121">
        <v>7.0</v>
      </c>
      <c r="BF211" s="1126">
        <v>20.0</v>
      </c>
      <c r="BG211" s="1121">
        <v>20.0</v>
      </c>
      <c r="BH211" s="1126">
        <v>9.0</v>
      </c>
      <c r="BI211" s="1121">
        <v>7.0</v>
      </c>
      <c r="BJ211" s="1126">
        <v>9.0</v>
      </c>
      <c r="BK211" s="1121">
        <v>6.0</v>
      </c>
      <c r="BL211" s="1126"/>
      <c r="BM211" s="1518"/>
      <c r="BN211" s="80"/>
      <c r="BO211" s="1579"/>
      <c r="BP211" s="80">
        <f t="shared" si="124"/>
        <v>181</v>
      </c>
      <c r="BQ211" s="2137">
        <f t="shared" si="125"/>
        <v>155</v>
      </c>
      <c r="BR211" s="2300">
        <f t="shared" si="129"/>
        <v>15190</v>
      </c>
      <c r="BS211" s="2301">
        <f t="shared" si="127"/>
        <v>17738</v>
      </c>
      <c r="BT211" s="2302"/>
      <c r="BU211" s="2302"/>
    </row>
    <row r="212" ht="21.0" customHeight="1">
      <c r="A212" s="1565" t="s">
        <v>145</v>
      </c>
      <c r="B212" s="1164">
        <v>822.0</v>
      </c>
      <c r="C212" s="1153">
        <v>5.0</v>
      </c>
      <c r="D212" s="1133" t="s">
        <v>74</v>
      </c>
      <c r="E212" s="733" t="str">
        <f>'Матрица 4 недели'!J148</f>
        <v>Хлеб пшеничный</v>
      </c>
      <c r="F212" s="1126">
        <v>5.0</v>
      </c>
      <c r="G212" s="1121">
        <v>5.0</v>
      </c>
      <c r="H212" s="1126">
        <v>3.0</v>
      </c>
      <c r="I212" s="1121">
        <v>3.0</v>
      </c>
      <c r="J212" s="1126">
        <v>3.0</v>
      </c>
      <c r="K212" s="1121">
        <v>3.0</v>
      </c>
      <c r="L212" s="1126">
        <v>4.0</v>
      </c>
      <c r="M212" s="1121">
        <v>4.0</v>
      </c>
      <c r="N212" s="1126">
        <v>5.0</v>
      </c>
      <c r="O212" s="1121">
        <v>5.0</v>
      </c>
      <c r="P212" s="1126">
        <v>3.0</v>
      </c>
      <c r="Q212" s="1121">
        <v>3.0</v>
      </c>
      <c r="R212" s="1126">
        <v>3.0</v>
      </c>
      <c r="S212" s="1291">
        <v>3.0</v>
      </c>
      <c r="T212" s="1126">
        <v>3.0</v>
      </c>
      <c r="U212" s="1138">
        <v>3.0</v>
      </c>
      <c r="V212" s="1137">
        <v>3.0</v>
      </c>
      <c r="W212" s="1138">
        <v>3.0</v>
      </c>
      <c r="X212" s="1137">
        <v>3.0</v>
      </c>
      <c r="Y212" s="1138">
        <v>3.0</v>
      </c>
      <c r="Z212" s="1120"/>
      <c r="AA212" s="1138"/>
      <c r="AB212" s="1120">
        <v>3.0</v>
      </c>
      <c r="AC212" s="1138">
        <v>3.0</v>
      </c>
      <c r="AD212" s="1120">
        <v>3.0</v>
      </c>
      <c r="AE212" s="1138">
        <v>3.0</v>
      </c>
      <c r="AF212" s="1120">
        <v>3.0</v>
      </c>
      <c r="AG212" s="1138">
        <v>3.0</v>
      </c>
      <c r="AH212" s="1120">
        <v>3.0</v>
      </c>
      <c r="AI212" s="1138">
        <v>3.0</v>
      </c>
      <c r="AJ212" s="1120">
        <v>3.0</v>
      </c>
      <c r="AK212" s="1138">
        <v>3.0</v>
      </c>
      <c r="AL212" s="1126">
        <v>5.0</v>
      </c>
      <c r="AM212" s="1138">
        <v>5.0</v>
      </c>
      <c r="AN212" s="1120">
        <v>3.0</v>
      </c>
      <c r="AO212" s="1138">
        <v>3.0</v>
      </c>
      <c r="AP212" s="1126">
        <v>3.0</v>
      </c>
      <c r="AQ212" s="1121">
        <v>3.0</v>
      </c>
      <c r="AR212" s="1126">
        <v>0.0</v>
      </c>
      <c r="AS212" s="1121">
        <v>0.0</v>
      </c>
      <c r="AT212" s="1126">
        <v>7.0</v>
      </c>
      <c r="AU212" s="1121">
        <v>7.0</v>
      </c>
      <c r="AV212" s="1126">
        <v>3.0</v>
      </c>
      <c r="AW212" s="1121">
        <v>3.0</v>
      </c>
      <c r="AX212" s="1126">
        <v>3.0</v>
      </c>
      <c r="AY212" s="1121">
        <v>3.0</v>
      </c>
      <c r="AZ212" s="1126">
        <v>20.0</v>
      </c>
      <c r="BA212" s="1121">
        <v>20.0</v>
      </c>
      <c r="BB212" s="1126">
        <v>3.0</v>
      </c>
      <c r="BC212" s="1121">
        <v>3.0</v>
      </c>
      <c r="BD212" s="1126">
        <v>3.0</v>
      </c>
      <c r="BE212" s="1121">
        <v>3.0</v>
      </c>
      <c r="BF212" s="1126">
        <v>7.0</v>
      </c>
      <c r="BG212" s="1121">
        <v>7.0</v>
      </c>
      <c r="BH212" s="1126">
        <v>3.0</v>
      </c>
      <c r="BI212" s="1121">
        <v>3.0</v>
      </c>
      <c r="BJ212" s="1126">
        <v>3.0</v>
      </c>
      <c r="BK212" s="1121">
        <v>3.0</v>
      </c>
      <c r="BL212" s="1152">
        <v>120.0</v>
      </c>
      <c r="BM212" s="2356">
        <v>120.0</v>
      </c>
      <c r="BN212" s="77">
        <v>0.0</v>
      </c>
      <c r="BO212" s="2062"/>
      <c r="BP212" s="80">
        <f t="shared" si="124"/>
        <v>234</v>
      </c>
      <c r="BQ212" s="2137">
        <f t="shared" si="125"/>
        <v>233</v>
      </c>
      <c r="BR212" s="2300">
        <f t="shared" si="129"/>
        <v>1165</v>
      </c>
      <c r="BS212" s="2301">
        <f t="shared" si="127"/>
        <v>1170</v>
      </c>
      <c r="BT212" s="2302"/>
      <c r="BU212" s="2302"/>
    </row>
    <row r="213" ht="21.0" customHeight="1">
      <c r="A213" s="1565" t="s">
        <v>145</v>
      </c>
      <c r="B213" s="1164">
        <v>2079.0</v>
      </c>
      <c r="C213" s="1153">
        <v>105.0</v>
      </c>
      <c r="D213" s="1133" t="s">
        <v>78</v>
      </c>
      <c r="E213" s="2357" t="str">
        <f>'Матрица 4 недели'!P175</f>
        <v>Вафельная трубочка с вареной сгущенкой</v>
      </c>
      <c r="F213" s="1137">
        <v>36.0</v>
      </c>
      <c r="G213" s="1121">
        <v>36.0</v>
      </c>
      <c r="H213" s="1126">
        <v>4.0</v>
      </c>
      <c r="I213" s="1121">
        <v>4.0</v>
      </c>
      <c r="J213" s="1126">
        <v>3.0</v>
      </c>
      <c r="K213" s="1160">
        <v>3.0</v>
      </c>
      <c r="L213" s="1161">
        <v>8.0</v>
      </c>
      <c r="M213" s="1162">
        <v>8.0</v>
      </c>
      <c r="N213" s="1126">
        <v>8.0</v>
      </c>
      <c r="O213" s="1121">
        <v>8.0</v>
      </c>
      <c r="P213" s="1126">
        <v>6.0</v>
      </c>
      <c r="Q213" s="1121">
        <v>6.0</v>
      </c>
      <c r="R213" s="1126">
        <v>7.0</v>
      </c>
      <c r="S213" s="1121">
        <v>7.0</v>
      </c>
      <c r="T213" s="1126">
        <v>7.0</v>
      </c>
      <c r="U213" s="1121">
        <v>7.0</v>
      </c>
      <c r="V213" s="1137">
        <v>16.0</v>
      </c>
      <c r="W213" s="1121">
        <v>16.0</v>
      </c>
      <c r="X213" s="1137">
        <v>10.0</v>
      </c>
      <c r="Y213" s="1121">
        <v>10.0</v>
      </c>
      <c r="Z213" s="1126"/>
      <c r="AA213" s="1121"/>
      <c r="AB213" s="1137">
        <v>9.0</v>
      </c>
      <c r="AC213" s="1121">
        <v>9.0</v>
      </c>
      <c r="AD213" s="1137">
        <v>17.0</v>
      </c>
      <c r="AE213" s="1121">
        <v>17.0</v>
      </c>
      <c r="AF213" s="1120">
        <v>21.0</v>
      </c>
      <c r="AG213" s="1121">
        <v>21.0</v>
      </c>
      <c r="AH213" s="1137">
        <v>8.0</v>
      </c>
      <c r="AI213" s="1121">
        <v>8.0</v>
      </c>
      <c r="AJ213" s="1120">
        <v>9.0</v>
      </c>
      <c r="AK213" s="1121">
        <v>9.0</v>
      </c>
      <c r="AL213" s="1126">
        <v>4.0</v>
      </c>
      <c r="AM213" s="1121">
        <v>4.0</v>
      </c>
      <c r="AN213" s="1120">
        <v>5.0</v>
      </c>
      <c r="AO213" s="1138">
        <v>5.0</v>
      </c>
      <c r="AP213" s="1126">
        <v>18.0</v>
      </c>
      <c r="AQ213" s="1138">
        <v>18.0</v>
      </c>
      <c r="AR213" s="1120">
        <v>4.0</v>
      </c>
      <c r="AS213" s="1121">
        <v>4.0</v>
      </c>
      <c r="AT213" s="1126">
        <v>8.0</v>
      </c>
      <c r="AU213" s="1121">
        <v>8.0</v>
      </c>
      <c r="AV213" s="1126">
        <v>7.0</v>
      </c>
      <c r="AW213" s="1121">
        <v>7.0</v>
      </c>
      <c r="AX213" s="1126">
        <v>9.0</v>
      </c>
      <c r="AY213" s="1121">
        <v>9.0</v>
      </c>
      <c r="AZ213" s="1141">
        <v>13.0</v>
      </c>
      <c r="BA213" s="1305">
        <v>13.0</v>
      </c>
      <c r="BB213" s="1141">
        <v>7.0</v>
      </c>
      <c r="BC213" s="1305">
        <v>7.0</v>
      </c>
      <c r="BD213" s="1141">
        <v>4.0</v>
      </c>
      <c r="BE213" s="1305">
        <v>4.0</v>
      </c>
      <c r="BF213" s="1141">
        <v>8.0</v>
      </c>
      <c r="BG213" s="1305">
        <v>8.0</v>
      </c>
      <c r="BH213" s="1126">
        <v>7.0</v>
      </c>
      <c r="BI213" s="1131">
        <v>7.0</v>
      </c>
      <c r="BJ213" s="1126">
        <v>9.0</v>
      </c>
      <c r="BK213" s="1305">
        <v>7.0</v>
      </c>
      <c r="BL213" s="1519"/>
      <c r="BM213" s="1518"/>
      <c r="BN213" s="80"/>
      <c r="BO213" s="1579"/>
      <c r="BP213" s="80">
        <f t="shared" si="124"/>
        <v>273</v>
      </c>
      <c r="BQ213" s="2137">
        <f t="shared" si="125"/>
        <v>270</v>
      </c>
      <c r="BR213" s="2300">
        <f t="shared" si="129"/>
        <v>28350</v>
      </c>
      <c r="BS213" s="2301">
        <f t="shared" si="127"/>
        <v>28665</v>
      </c>
      <c r="BT213" s="1610" t="s">
        <v>3104</v>
      </c>
      <c r="BU213" s="2302"/>
    </row>
    <row r="214" ht="15.75" customHeight="1">
      <c r="A214" s="1796"/>
      <c r="B214" s="1965"/>
      <c r="C214" s="1416"/>
      <c r="D214" s="1416"/>
      <c r="E214" s="2358"/>
      <c r="F214" s="1672"/>
      <c r="G214" s="1672"/>
      <c r="H214" s="1672"/>
      <c r="I214" s="1672"/>
      <c r="J214" s="1672"/>
      <c r="K214" s="1672"/>
      <c r="L214" s="1672"/>
      <c r="M214" s="1672"/>
      <c r="N214" s="1672"/>
      <c r="O214" s="1672"/>
      <c r="P214" s="1672"/>
      <c r="Q214" s="1672"/>
      <c r="R214" s="1672"/>
      <c r="S214" s="1672"/>
      <c r="T214" s="1672"/>
      <c r="U214" s="1681"/>
      <c r="V214" s="1681"/>
      <c r="W214" s="1672"/>
      <c r="X214" s="1681"/>
      <c r="Y214" s="1672"/>
      <c r="Z214" s="1672"/>
      <c r="AA214" s="1672"/>
      <c r="AB214" s="1672"/>
      <c r="AC214" s="1187"/>
      <c r="AD214" s="1187"/>
      <c r="AE214" s="1187"/>
      <c r="AF214" s="1187"/>
      <c r="AG214" s="1187"/>
      <c r="AH214" s="757"/>
      <c r="AI214" s="1187"/>
      <c r="AJ214" s="757"/>
      <c r="AK214" s="757"/>
      <c r="AL214" s="757"/>
      <c r="AM214" s="757"/>
      <c r="AN214" s="757"/>
      <c r="AO214" s="757"/>
      <c r="AP214" s="757"/>
      <c r="AQ214" s="757"/>
      <c r="AR214" s="757"/>
      <c r="AS214" s="757"/>
      <c r="AT214" s="757"/>
      <c r="AU214" s="757"/>
      <c r="AV214" s="757"/>
      <c r="AW214" s="757"/>
      <c r="AX214" s="757"/>
      <c r="AY214" s="757"/>
      <c r="AZ214" s="1187"/>
      <c r="BA214" s="1187"/>
      <c r="BB214" s="1187"/>
      <c r="BC214" s="1187"/>
      <c r="BD214" s="1187"/>
      <c r="BE214" s="1187"/>
      <c r="BF214" s="1187"/>
      <c r="BG214" s="1187"/>
      <c r="BH214" s="1187"/>
      <c r="BI214" s="1187"/>
      <c r="BJ214" s="1187"/>
      <c r="BK214" s="1187"/>
      <c r="BL214" s="1187"/>
      <c r="BM214" s="1187" t="s">
        <v>1365</v>
      </c>
      <c r="BN214" s="11"/>
      <c r="BO214" s="11"/>
      <c r="BP214" s="1073">
        <f t="shared" ref="BP214:BS214" si="130">SUM(BP190:BP213)</f>
        <v>2546</v>
      </c>
      <c r="BQ214" s="1714">
        <f t="shared" si="130"/>
        <v>1946</v>
      </c>
      <c r="BR214" s="1800">
        <f t="shared" si="130"/>
        <v>193144</v>
      </c>
      <c r="BS214" s="1800">
        <f t="shared" si="130"/>
        <v>345849</v>
      </c>
      <c r="BT214" s="1678">
        <f>BR214-BS214</f>
        <v>-152705</v>
      </c>
      <c r="BU214" s="11"/>
    </row>
    <row r="215" ht="21.75" customHeight="1">
      <c r="A215" s="2099"/>
      <c r="B215" s="2102"/>
      <c r="C215" s="1970">
        <v>46253.0</v>
      </c>
      <c r="E215" s="908" t="s">
        <v>3106</v>
      </c>
      <c r="F215" s="1524"/>
      <c r="G215" s="1525"/>
      <c r="H215" s="1526"/>
      <c r="I215" s="1527"/>
      <c r="J215" s="1526" t="s">
        <v>1356</v>
      </c>
      <c r="K215" s="1527"/>
      <c r="L215" s="1528"/>
      <c r="M215" s="1529"/>
      <c r="N215" s="1526"/>
      <c r="O215" s="1526"/>
      <c r="P215" s="1526"/>
      <c r="Q215" s="1527"/>
      <c r="R215" s="1530"/>
      <c r="S215" s="1530"/>
      <c r="T215" s="1530"/>
      <c r="U215" s="1530"/>
      <c r="V215" s="1531"/>
      <c r="W215" s="1530"/>
      <c r="X215" s="1531"/>
      <c r="Y215" s="1530"/>
      <c r="Z215" s="1532"/>
      <c r="AA215" s="1530"/>
      <c r="AB215" s="1532"/>
      <c r="AC215" s="1530"/>
      <c r="AD215" s="1530"/>
      <c r="AE215" s="1530"/>
      <c r="AF215" s="1530"/>
      <c r="AG215" s="1530"/>
      <c r="AH215" s="1533"/>
      <c r="AI215" s="1530"/>
      <c r="AJ215" s="1533"/>
      <c r="AK215" s="1530"/>
      <c r="AL215" s="1530"/>
      <c r="AM215" s="1530"/>
      <c r="AN215" s="1530"/>
      <c r="AO215" s="1530"/>
      <c r="AP215" s="1530"/>
      <c r="AQ215" s="1530"/>
      <c r="AR215" s="1530"/>
      <c r="AS215" s="1530"/>
      <c r="AT215" s="1530"/>
      <c r="AU215" s="1530"/>
      <c r="AV215" s="1530"/>
      <c r="AW215" s="1530"/>
      <c r="AX215" s="1530"/>
      <c r="AY215" s="1530"/>
      <c r="AZ215" s="1530"/>
      <c r="BA215" s="1530"/>
      <c r="BB215" s="1532"/>
      <c r="BC215" s="1530"/>
      <c r="BD215" s="1532"/>
      <c r="BE215" s="1530"/>
      <c r="BF215" s="1532"/>
      <c r="BG215" s="1530"/>
      <c r="BH215" s="1532"/>
      <c r="BI215" s="1530"/>
      <c r="BJ215" s="1532"/>
      <c r="BK215" s="1530"/>
      <c r="BL215" s="1530"/>
      <c r="BM215" s="1530"/>
      <c r="BN215" s="206"/>
      <c r="BO215" s="206"/>
      <c r="BP215" s="206"/>
      <c r="BQ215" s="195"/>
      <c r="BR215" s="195"/>
      <c r="BS215" s="195"/>
      <c r="BT215" s="195"/>
      <c r="BU215" s="195"/>
    </row>
    <row r="216" ht="21.75" customHeight="1">
      <c r="A216" s="2103" t="s">
        <v>3069</v>
      </c>
      <c r="B216" s="1971" t="s">
        <v>1283</v>
      </c>
      <c r="C216" s="1972" t="s">
        <v>19</v>
      </c>
      <c r="D216" s="1972" t="s">
        <v>473</v>
      </c>
      <c r="E216" s="1073" t="s">
        <v>471</v>
      </c>
      <c r="F216" s="1485" t="s">
        <v>1357</v>
      </c>
      <c r="G216" s="69"/>
      <c r="H216" s="1485" t="s">
        <v>1287</v>
      </c>
      <c r="I216" s="69"/>
      <c r="J216" s="1534" t="s">
        <v>1358</v>
      </c>
      <c r="K216" s="69"/>
      <c r="L216" s="1485" t="s">
        <v>1359</v>
      </c>
      <c r="M216" s="69"/>
      <c r="N216" s="1485" t="s">
        <v>1360</v>
      </c>
      <c r="O216" s="69"/>
      <c r="P216" s="1485" t="s">
        <v>1361</v>
      </c>
      <c r="Q216" s="69"/>
      <c r="R216" s="1485" t="s">
        <v>1362</v>
      </c>
      <c r="S216" s="69"/>
      <c r="T216" s="1485" t="s">
        <v>1299</v>
      </c>
      <c r="U216" s="69"/>
      <c r="V216" s="1427" t="s">
        <v>1301</v>
      </c>
      <c r="W216" s="69"/>
      <c r="X216" s="1427" t="s">
        <v>1363</v>
      </c>
      <c r="Y216" s="69"/>
      <c r="Z216" s="1427" t="s">
        <v>1305</v>
      </c>
      <c r="AA216" s="69"/>
      <c r="AB216" s="1427" t="s">
        <v>1307</v>
      </c>
      <c r="AC216" s="69"/>
      <c r="AD216" s="1323" t="s">
        <v>1309</v>
      </c>
      <c r="AE216" s="69"/>
      <c r="AF216" s="1323" t="s">
        <v>1311</v>
      </c>
      <c r="AG216" s="69"/>
      <c r="AH216" s="1323" t="s">
        <v>1313</v>
      </c>
      <c r="AI216" s="69"/>
      <c r="AJ216" s="1323" t="s">
        <v>1315</v>
      </c>
      <c r="AK216" s="69"/>
      <c r="AL216" s="1323" t="s">
        <v>1317</v>
      </c>
      <c r="AM216" s="69"/>
      <c r="AN216" s="1323" t="s">
        <v>1319</v>
      </c>
      <c r="AO216" s="69"/>
      <c r="AP216" s="1323" t="s">
        <v>1321</v>
      </c>
      <c r="AQ216" s="69"/>
      <c r="AR216" s="1323" t="s">
        <v>1323</v>
      </c>
      <c r="AS216" s="69"/>
      <c r="AT216" s="1323" t="s">
        <v>1325</v>
      </c>
      <c r="AU216" s="69"/>
      <c r="AV216" s="1323" t="s">
        <v>1327</v>
      </c>
      <c r="AW216" s="69"/>
      <c r="AX216" s="1323" t="s">
        <v>3076</v>
      </c>
      <c r="AY216" s="69"/>
      <c r="AZ216" s="1323" t="s">
        <v>3078</v>
      </c>
      <c r="BA216" s="69"/>
      <c r="BB216" s="1201" t="s">
        <v>3080</v>
      </c>
      <c r="BC216" s="69"/>
      <c r="BD216" s="1201" t="s">
        <v>3082</v>
      </c>
      <c r="BE216" s="69"/>
      <c r="BF216" s="1201" t="s">
        <v>3084</v>
      </c>
      <c r="BG216" s="69"/>
      <c r="BH216" s="1201" t="s">
        <v>3086</v>
      </c>
      <c r="BI216" s="69"/>
      <c r="BJ216" s="1201" t="s">
        <v>3088</v>
      </c>
      <c r="BK216" s="69"/>
      <c r="BL216" s="1535" t="s">
        <v>297</v>
      </c>
      <c r="BM216" s="69"/>
      <c r="BN216" s="1072" t="s">
        <v>5</v>
      </c>
      <c r="BO216" s="69"/>
      <c r="BQ216" s="11"/>
      <c r="BS216" s="11"/>
      <c r="BT216" s="11"/>
      <c r="BU216" s="11"/>
    </row>
    <row r="217" ht="24.75" customHeight="1">
      <c r="A217" s="1109" t="str">
        <f t="shared" ref="A217:A241" si="131">A190</f>
        <v/>
      </c>
      <c r="B217" s="1736">
        <v>3253.0</v>
      </c>
      <c r="C217" s="1948">
        <v>138.0</v>
      </c>
      <c r="D217" s="1136"/>
      <c r="E217" s="784" t="str">
        <f t="shared" ref="E217:E241" si="132">E190</f>
        <v>Шакшука с томатом</v>
      </c>
      <c r="F217" s="1485" t="str">
        <f t="shared" ref="F217:F240" si="133">G190</f>
        <v/>
      </c>
      <c r="G217" s="69"/>
      <c r="H217" s="1485" t="str">
        <f t="shared" ref="H217:H240" si="134">I190</f>
        <v/>
      </c>
      <c r="I217" s="69"/>
      <c r="J217" s="1534" t="str">
        <f t="shared" ref="J217:J240" si="135">K190</f>
        <v/>
      </c>
      <c r="K217" s="69"/>
      <c r="L217" s="1485" t="str">
        <f t="shared" ref="L217:L240" si="136">M190</f>
        <v/>
      </c>
      <c r="M217" s="69"/>
      <c r="N217" s="1485" t="str">
        <f t="shared" ref="N217:N240" si="137">O190</f>
        <v/>
      </c>
      <c r="O217" s="69"/>
      <c r="P217" s="1072" t="str">
        <f t="shared" ref="P217:P240" si="138">Q190</f>
        <v/>
      </c>
      <c r="Q217" s="69"/>
      <c r="R217" s="1072" t="str">
        <f t="shared" ref="R217:R240" si="139">S190</f>
        <v/>
      </c>
      <c r="S217" s="69"/>
      <c r="T217" s="1072" t="str">
        <f t="shared" ref="T217:T240" si="140">U190</f>
        <v/>
      </c>
      <c r="U217" s="69"/>
      <c r="V217" s="1426" t="str">
        <f t="shared" ref="V217:V240" si="141">W190</f>
        <v/>
      </c>
      <c r="W217" s="69"/>
      <c r="X217" s="1426" t="str">
        <f t="shared" ref="X217:X240" si="142">Y190</f>
        <v/>
      </c>
      <c r="Y217" s="69"/>
      <c r="Z217" s="1426" t="str">
        <f t="shared" ref="Z217:Z240" si="143">AA190</f>
        <v/>
      </c>
      <c r="AA217" s="69"/>
      <c r="AB217" s="1427" t="str">
        <f t="shared" ref="AB217:AB240" si="144">AC190</f>
        <v/>
      </c>
      <c r="AC217" s="69"/>
      <c r="AD217" s="1427" t="str">
        <f t="shared" ref="AD217:AD240" si="145">AE190</f>
        <v/>
      </c>
      <c r="AE217" s="69"/>
      <c r="AF217" s="1427" t="str">
        <f t="shared" ref="AF217:AF240" si="146">AG190</f>
        <v/>
      </c>
      <c r="AG217" s="69"/>
      <c r="AH217" s="1427" t="str">
        <f t="shared" ref="AH217:AH240" si="147">AI190</f>
        <v/>
      </c>
      <c r="AI217" s="69"/>
      <c r="AJ217" s="1427" t="str">
        <f t="shared" ref="AJ217:AJ240" si="148">AK190</f>
        <v/>
      </c>
      <c r="AK217" s="69"/>
      <c r="AL217" s="1427" t="str">
        <f t="shared" ref="AL217:AL240" si="149">AM190</f>
        <v/>
      </c>
      <c r="AM217" s="69"/>
      <c r="AN217" s="1323" t="str">
        <f t="shared" ref="AN217:AN240" si="150">AO190</f>
        <v/>
      </c>
      <c r="AO217" s="69"/>
      <c r="AP217" s="1323" t="str">
        <f t="shared" ref="AP217:AP240" si="151">AQ190</f>
        <v/>
      </c>
      <c r="AQ217" s="69"/>
      <c r="AR217" s="1323" t="str">
        <f t="shared" ref="AR217:AR240" si="152">AS190</f>
        <v/>
      </c>
      <c r="AS217" s="69"/>
      <c r="AT217" s="1323" t="str">
        <f t="shared" ref="AT217:AT240" si="153">AU190</f>
        <v/>
      </c>
      <c r="AU217" s="69"/>
      <c r="AV217" s="1323" t="str">
        <f t="shared" ref="AV217:AV240" si="154">AW190</f>
        <v/>
      </c>
      <c r="AW217" s="69"/>
      <c r="AX217" s="1323" t="str">
        <f t="shared" ref="AX217:AX240" si="155">AY190</f>
        <v/>
      </c>
      <c r="AY217" s="69"/>
      <c r="AZ217" s="1323" t="str">
        <f t="shared" ref="AZ217:AZ240" si="156">BA190</f>
        <v/>
      </c>
      <c r="BA217" s="69"/>
      <c r="BB217" s="1321" t="str">
        <f t="shared" ref="BB217:BB240" si="157">BC190</f>
        <v/>
      </c>
      <c r="BC217" s="69"/>
      <c r="BD217" s="1321" t="str">
        <f t="shared" ref="BD217:BD240" si="158">BE190</f>
        <v/>
      </c>
      <c r="BE217" s="69"/>
      <c r="BF217" s="1321" t="str">
        <f t="shared" ref="BF217:BF240" si="159">BG190</f>
        <v/>
      </c>
      <c r="BG217" s="69"/>
      <c r="BH217" s="1321" t="str">
        <f t="shared" ref="BH217:BH240" si="160">BI190</f>
        <v/>
      </c>
      <c r="BI217" s="69"/>
      <c r="BJ217" s="1201" t="str">
        <f t="shared" ref="BJ217:BJ240" si="161">BK190</f>
        <v/>
      </c>
      <c r="BK217" s="69"/>
      <c r="BL217" s="1536" t="str">
        <f t="shared" ref="BL217:BL240" si="162">BM190</f>
        <v/>
      </c>
      <c r="BM217" s="69"/>
      <c r="BN217" s="1072">
        <f t="shared" ref="BN217:BN241" si="163">SUM(F217:BM217)</f>
        <v>0</v>
      </c>
      <c r="BO217" s="69"/>
      <c r="BQ217" s="23"/>
      <c r="BS217" s="23"/>
      <c r="BT217" s="23"/>
      <c r="BU217" s="23"/>
    </row>
    <row r="218" ht="24.75" customHeight="1">
      <c r="A218" s="1109" t="str">
        <f t="shared" si="131"/>
        <v>Да</v>
      </c>
      <c r="B218" s="1736">
        <v>2847.0</v>
      </c>
      <c r="C218" s="1948">
        <v>185.0</v>
      </c>
      <c r="D218" s="1136"/>
      <c r="E218" s="784" t="str">
        <f t="shared" si="132"/>
        <v>Запеканка творожная</v>
      </c>
      <c r="F218" s="1485">
        <f t="shared" si="133"/>
        <v>7</v>
      </c>
      <c r="G218" s="69"/>
      <c r="H218" s="1485">
        <f t="shared" si="134"/>
        <v>2</v>
      </c>
      <c r="I218" s="69"/>
      <c r="J218" s="1534">
        <f t="shared" si="135"/>
        <v>6</v>
      </c>
      <c r="K218" s="69"/>
      <c r="L218" s="1485">
        <f t="shared" si="136"/>
        <v>3</v>
      </c>
      <c r="M218" s="69"/>
      <c r="N218" s="1485">
        <f t="shared" si="137"/>
        <v>9</v>
      </c>
      <c r="O218" s="69"/>
      <c r="P218" s="1072">
        <f t="shared" si="138"/>
        <v>3</v>
      </c>
      <c r="Q218" s="69"/>
      <c r="R218" s="1072">
        <f t="shared" si="139"/>
        <v>3</v>
      </c>
      <c r="S218" s="69"/>
      <c r="T218" s="1072">
        <f t="shared" si="140"/>
        <v>3</v>
      </c>
      <c r="U218" s="69"/>
      <c r="V218" s="1426">
        <f t="shared" si="141"/>
        <v>3</v>
      </c>
      <c r="W218" s="69"/>
      <c r="X218" s="1426">
        <f t="shared" si="142"/>
        <v>3</v>
      </c>
      <c r="Y218" s="69"/>
      <c r="Z218" s="1426" t="str">
        <f t="shared" si="143"/>
        <v/>
      </c>
      <c r="AA218" s="69"/>
      <c r="AB218" s="1427">
        <f t="shared" si="144"/>
        <v>4</v>
      </c>
      <c r="AC218" s="69"/>
      <c r="AD218" s="1427">
        <f t="shared" si="145"/>
        <v>2</v>
      </c>
      <c r="AE218" s="69"/>
      <c r="AF218" s="1427">
        <f t="shared" si="146"/>
        <v>7</v>
      </c>
      <c r="AG218" s="69"/>
      <c r="AH218" s="1427">
        <f t="shared" si="147"/>
        <v>8</v>
      </c>
      <c r="AI218" s="69"/>
      <c r="AJ218" s="1427">
        <f t="shared" si="148"/>
        <v>2</v>
      </c>
      <c r="AK218" s="69"/>
      <c r="AL218" s="1427">
        <f t="shared" si="149"/>
        <v>5</v>
      </c>
      <c r="AM218" s="69"/>
      <c r="AN218" s="1323">
        <f t="shared" si="150"/>
        <v>2</v>
      </c>
      <c r="AO218" s="69"/>
      <c r="AP218" s="1323">
        <f t="shared" si="151"/>
        <v>2</v>
      </c>
      <c r="AQ218" s="69"/>
      <c r="AR218" s="1323">
        <f t="shared" si="152"/>
        <v>5</v>
      </c>
      <c r="AS218" s="69"/>
      <c r="AT218" s="1323">
        <f t="shared" si="153"/>
        <v>5</v>
      </c>
      <c r="AU218" s="69"/>
      <c r="AV218" s="1323">
        <f t="shared" si="154"/>
        <v>3</v>
      </c>
      <c r="AW218" s="69"/>
      <c r="AX218" s="1323">
        <f t="shared" si="155"/>
        <v>6</v>
      </c>
      <c r="AY218" s="69"/>
      <c r="AZ218" s="1323">
        <f t="shared" si="156"/>
        <v>2</v>
      </c>
      <c r="BA218" s="69"/>
      <c r="BB218" s="1321">
        <f t="shared" si="157"/>
        <v>4</v>
      </c>
      <c r="BC218" s="69"/>
      <c r="BD218" s="1321">
        <f t="shared" si="158"/>
        <v>2</v>
      </c>
      <c r="BE218" s="69"/>
      <c r="BF218" s="1321">
        <f t="shared" si="159"/>
        <v>2</v>
      </c>
      <c r="BG218" s="69"/>
      <c r="BH218" s="1321">
        <f t="shared" si="160"/>
        <v>5</v>
      </c>
      <c r="BI218" s="69"/>
      <c r="BJ218" s="1201">
        <f t="shared" si="161"/>
        <v>7</v>
      </c>
      <c r="BK218" s="69"/>
      <c r="BL218" s="1537" t="str">
        <f t="shared" si="162"/>
        <v/>
      </c>
      <c r="BM218" s="69"/>
      <c r="BN218" s="1072">
        <f t="shared" si="163"/>
        <v>115</v>
      </c>
      <c r="BO218" s="69"/>
      <c r="BQ218" s="23"/>
      <c r="BR218" s="23"/>
      <c r="BS218" s="23"/>
      <c r="BT218" s="23"/>
      <c r="BU218" s="23"/>
    </row>
    <row r="219" ht="24.75" customHeight="1">
      <c r="A219" s="1109" t="str">
        <f t="shared" si="131"/>
        <v/>
      </c>
      <c r="B219" s="1736">
        <v>89.0</v>
      </c>
      <c r="C219" s="1948">
        <v>135.0</v>
      </c>
      <c r="D219" s="1136"/>
      <c r="E219" s="784" t="str">
        <f t="shared" si="132"/>
        <v>Блин с ветчиной и сыром</v>
      </c>
      <c r="F219" s="1485" t="str">
        <f t="shared" si="133"/>
        <v/>
      </c>
      <c r="G219" s="69"/>
      <c r="H219" s="1485" t="str">
        <f t="shared" si="134"/>
        <v/>
      </c>
      <c r="I219" s="69"/>
      <c r="J219" s="1534" t="str">
        <f t="shared" si="135"/>
        <v/>
      </c>
      <c r="K219" s="69"/>
      <c r="L219" s="1485" t="str">
        <f t="shared" si="136"/>
        <v/>
      </c>
      <c r="M219" s="69"/>
      <c r="N219" s="1485" t="str">
        <f t="shared" si="137"/>
        <v/>
      </c>
      <c r="O219" s="69"/>
      <c r="P219" s="1072" t="str">
        <f t="shared" si="138"/>
        <v/>
      </c>
      <c r="Q219" s="69"/>
      <c r="R219" s="1072" t="str">
        <f t="shared" si="139"/>
        <v/>
      </c>
      <c r="S219" s="69"/>
      <c r="T219" s="1072" t="str">
        <f t="shared" si="140"/>
        <v/>
      </c>
      <c r="U219" s="69"/>
      <c r="V219" s="1426" t="str">
        <f t="shared" si="141"/>
        <v/>
      </c>
      <c r="W219" s="69"/>
      <c r="X219" s="1426" t="str">
        <f t="shared" si="142"/>
        <v/>
      </c>
      <c r="Y219" s="69"/>
      <c r="Z219" s="1426" t="str">
        <f t="shared" si="143"/>
        <v/>
      </c>
      <c r="AA219" s="69"/>
      <c r="AB219" s="1427" t="str">
        <f t="shared" si="144"/>
        <v/>
      </c>
      <c r="AC219" s="69"/>
      <c r="AD219" s="1427" t="str">
        <f t="shared" si="145"/>
        <v/>
      </c>
      <c r="AE219" s="69"/>
      <c r="AF219" s="1427" t="str">
        <f t="shared" si="146"/>
        <v/>
      </c>
      <c r="AG219" s="69"/>
      <c r="AH219" s="1427" t="str">
        <f t="shared" si="147"/>
        <v/>
      </c>
      <c r="AI219" s="69"/>
      <c r="AJ219" s="1427" t="str">
        <f t="shared" si="148"/>
        <v/>
      </c>
      <c r="AK219" s="69"/>
      <c r="AL219" s="1427" t="str">
        <f t="shared" si="149"/>
        <v/>
      </c>
      <c r="AM219" s="69"/>
      <c r="AN219" s="1323" t="str">
        <f t="shared" si="150"/>
        <v/>
      </c>
      <c r="AO219" s="69"/>
      <c r="AP219" s="1323" t="str">
        <f t="shared" si="151"/>
        <v/>
      </c>
      <c r="AQ219" s="69"/>
      <c r="AR219" s="1323" t="str">
        <f t="shared" si="152"/>
        <v/>
      </c>
      <c r="AS219" s="69"/>
      <c r="AT219" s="1323" t="str">
        <f t="shared" si="153"/>
        <v/>
      </c>
      <c r="AU219" s="69"/>
      <c r="AV219" s="1323" t="str">
        <f t="shared" si="154"/>
        <v/>
      </c>
      <c r="AW219" s="69"/>
      <c r="AX219" s="1323" t="str">
        <f t="shared" si="155"/>
        <v/>
      </c>
      <c r="AY219" s="69"/>
      <c r="AZ219" s="1323" t="str">
        <f t="shared" si="156"/>
        <v/>
      </c>
      <c r="BA219" s="69"/>
      <c r="BB219" s="1321" t="str">
        <f t="shared" si="157"/>
        <v/>
      </c>
      <c r="BC219" s="69"/>
      <c r="BD219" s="1321" t="str">
        <f t="shared" si="158"/>
        <v/>
      </c>
      <c r="BE219" s="69"/>
      <c r="BF219" s="1321" t="str">
        <f t="shared" si="159"/>
        <v/>
      </c>
      <c r="BG219" s="69"/>
      <c r="BH219" s="1321" t="str">
        <f t="shared" si="160"/>
        <v/>
      </c>
      <c r="BI219" s="69"/>
      <c r="BJ219" s="1201" t="str">
        <f t="shared" si="161"/>
        <v/>
      </c>
      <c r="BK219" s="69"/>
      <c r="BL219" s="1536" t="str">
        <f t="shared" si="162"/>
        <v/>
      </c>
      <c r="BM219" s="69"/>
      <c r="BN219" s="1072">
        <f t="shared" si="163"/>
        <v>0</v>
      </c>
      <c r="BO219" s="69"/>
      <c r="BQ219" s="23"/>
      <c r="BR219" s="23"/>
      <c r="BS219" s="23"/>
      <c r="BT219" s="23"/>
      <c r="BU219" s="23"/>
    </row>
    <row r="220" ht="24.75" customHeight="1">
      <c r="A220" s="1109" t="str">
        <f t="shared" si="131"/>
        <v>Да</v>
      </c>
      <c r="B220" s="1736">
        <v>3316.0</v>
      </c>
      <c r="C220" s="1948">
        <v>98.0</v>
      </c>
      <c r="D220" s="1136"/>
      <c r="E220" s="784" t="str">
        <f t="shared" si="132"/>
        <v>Салат ''Витаминный с крабом'' 120 г</v>
      </c>
      <c r="F220" s="1485">
        <f t="shared" si="133"/>
        <v>2</v>
      </c>
      <c r="G220" s="69"/>
      <c r="H220" s="1485">
        <f t="shared" si="134"/>
        <v>2</v>
      </c>
      <c r="I220" s="69"/>
      <c r="J220" s="1534">
        <f t="shared" si="135"/>
        <v>3</v>
      </c>
      <c r="K220" s="69"/>
      <c r="L220" s="1485">
        <f t="shared" si="136"/>
        <v>1</v>
      </c>
      <c r="M220" s="69"/>
      <c r="N220" s="1485">
        <f t="shared" si="137"/>
        <v>5</v>
      </c>
      <c r="O220" s="69"/>
      <c r="P220" s="1072">
        <f t="shared" si="138"/>
        <v>2</v>
      </c>
      <c r="Q220" s="69"/>
      <c r="R220" s="1072">
        <f t="shared" si="139"/>
        <v>2</v>
      </c>
      <c r="S220" s="69"/>
      <c r="T220" s="1072">
        <f t="shared" si="140"/>
        <v>3</v>
      </c>
      <c r="U220" s="69"/>
      <c r="V220" s="1426">
        <f t="shared" si="141"/>
        <v>3</v>
      </c>
      <c r="W220" s="69"/>
      <c r="X220" s="1426">
        <f t="shared" si="142"/>
        <v>2</v>
      </c>
      <c r="Y220" s="69"/>
      <c r="Z220" s="1426" t="str">
        <f t="shared" si="143"/>
        <v/>
      </c>
      <c r="AA220" s="69"/>
      <c r="AB220" s="1427">
        <f t="shared" si="144"/>
        <v>0</v>
      </c>
      <c r="AC220" s="69"/>
      <c r="AD220" s="1427">
        <f t="shared" si="145"/>
        <v>0</v>
      </c>
      <c r="AE220" s="69"/>
      <c r="AF220" s="1427">
        <f t="shared" si="146"/>
        <v>4</v>
      </c>
      <c r="AG220" s="69"/>
      <c r="AH220" s="1427">
        <f t="shared" si="147"/>
        <v>2</v>
      </c>
      <c r="AI220" s="69"/>
      <c r="AJ220" s="1427">
        <f t="shared" si="148"/>
        <v>2</v>
      </c>
      <c r="AK220" s="69"/>
      <c r="AL220" s="1427">
        <f t="shared" si="149"/>
        <v>4</v>
      </c>
      <c r="AM220" s="69"/>
      <c r="AN220" s="1323">
        <f t="shared" si="150"/>
        <v>2</v>
      </c>
      <c r="AO220" s="69"/>
      <c r="AP220" s="1323">
        <f t="shared" si="151"/>
        <v>2</v>
      </c>
      <c r="AQ220" s="69"/>
      <c r="AR220" s="1323">
        <f t="shared" si="152"/>
        <v>2</v>
      </c>
      <c r="AS220" s="69"/>
      <c r="AT220" s="1323">
        <f t="shared" si="153"/>
        <v>1</v>
      </c>
      <c r="AU220" s="69"/>
      <c r="AV220" s="1323">
        <f t="shared" si="154"/>
        <v>2</v>
      </c>
      <c r="AW220" s="69"/>
      <c r="AX220" s="1323">
        <f t="shared" si="155"/>
        <v>1</v>
      </c>
      <c r="AY220" s="69"/>
      <c r="AZ220" s="1323">
        <f t="shared" si="156"/>
        <v>4</v>
      </c>
      <c r="BA220" s="69"/>
      <c r="BB220" s="1321">
        <f t="shared" si="157"/>
        <v>2</v>
      </c>
      <c r="BC220" s="69"/>
      <c r="BD220" s="1321">
        <f t="shared" si="158"/>
        <v>1</v>
      </c>
      <c r="BE220" s="69"/>
      <c r="BF220" s="1321">
        <f t="shared" si="159"/>
        <v>0</v>
      </c>
      <c r="BG220" s="69"/>
      <c r="BH220" s="1321">
        <f t="shared" si="160"/>
        <v>2</v>
      </c>
      <c r="BI220" s="69"/>
      <c r="BJ220" s="1201">
        <f t="shared" si="161"/>
        <v>2</v>
      </c>
      <c r="BK220" s="69"/>
      <c r="BL220" s="1536">
        <f t="shared" si="162"/>
        <v>44</v>
      </c>
      <c r="BM220" s="69"/>
      <c r="BN220" s="1072">
        <f t="shared" si="163"/>
        <v>102</v>
      </c>
      <c r="BO220" s="69"/>
      <c r="BQ220" s="23"/>
      <c r="BR220" s="23"/>
      <c r="BS220" s="23"/>
      <c r="BT220" s="23"/>
      <c r="BU220" s="23"/>
    </row>
    <row r="221" ht="24.75" customHeight="1">
      <c r="A221" s="1109" t="str">
        <f t="shared" si="131"/>
        <v>Да</v>
      </c>
      <c r="B221" s="1736">
        <v>1160.0</v>
      </c>
      <c r="C221" s="1948">
        <v>98.0</v>
      </c>
      <c r="D221" s="1136"/>
      <c r="E221" s="784" t="str">
        <f t="shared" si="132"/>
        <v>Салат ''Пикник'' (печень)</v>
      </c>
      <c r="F221" s="1485">
        <f t="shared" si="133"/>
        <v>4</v>
      </c>
      <c r="G221" s="69"/>
      <c r="H221" s="1485">
        <f t="shared" si="134"/>
        <v>4</v>
      </c>
      <c r="I221" s="69"/>
      <c r="J221" s="1534">
        <f t="shared" si="135"/>
        <v>3</v>
      </c>
      <c r="K221" s="69"/>
      <c r="L221" s="1485">
        <f t="shared" si="136"/>
        <v>2</v>
      </c>
      <c r="M221" s="69"/>
      <c r="N221" s="1485">
        <f t="shared" si="137"/>
        <v>8</v>
      </c>
      <c r="O221" s="69"/>
      <c r="P221" s="1072">
        <f t="shared" si="138"/>
        <v>7</v>
      </c>
      <c r="Q221" s="69"/>
      <c r="R221" s="1072">
        <f t="shared" si="139"/>
        <v>3</v>
      </c>
      <c r="S221" s="69"/>
      <c r="T221" s="1072">
        <f t="shared" si="140"/>
        <v>4</v>
      </c>
      <c r="U221" s="69"/>
      <c r="V221" s="1426">
        <f t="shared" si="141"/>
        <v>5</v>
      </c>
      <c r="W221" s="69"/>
      <c r="X221" s="1426">
        <f t="shared" si="142"/>
        <v>2</v>
      </c>
      <c r="Y221" s="69"/>
      <c r="Z221" s="1426" t="str">
        <f t="shared" si="143"/>
        <v/>
      </c>
      <c r="AA221" s="69"/>
      <c r="AB221" s="1427">
        <f t="shared" si="144"/>
        <v>2</v>
      </c>
      <c r="AC221" s="69"/>
      <c r="AD221" s="1427">
        <f t="shared" si="145"/>
        <v>2</v>
      </c>
      <c r="AE221" s="69"/>
      <c r="AF221" s="1427">
        <f t="shared" si="146"/>
        <v>2</v>
      </c>
      <c r="AG221" s="69"/>
      <c r="AH221" s="1427">
        <f t="shared" si="147"/>
        <v>2</v>
      </c>
      <c r="AI221" s="69"/>
      <c r="AJ221" s="1427">
        <f t="shared" si="148"/>
        <v>2</v>
      </c>
      <c r="AK221" s="69"/>
      <c r="AL221" s="1427">
        <f t="shared" si="149"/>
        <v>4</v>
      </c>
      <c r="AM221" s="69"/>
      <c r="AN221" s="1323">
        <f t="shared" si="150"/>
        <v>2</v>
      </c>
      <c r="AO221" s="69"/>
      <c r="AP221" s="1323">
        <f t="shared" si="151"/>
        <v>3</v>
      </c>
      <c r="AQ221" s="69"/>
      <c r="AR221" s="1323">
        <f t="shared" si="152"/>
        <v>2</v>
      </c>
      <c r="AS221" s="69"/>
      <c r="AT221" s="1323">
        <f t="shared" si="153"/>
        <v>5</v>
      </c>
      <c r="AU221" s="69"/>
      <c r="AV221" s="1323">
        <f t="shared" si="154"/>
        <v>2</v>
      </c>
      <c r="AW221" s="69"/>
      <c r="AX221" s="1323">
        <f t="shared" si="155"/>
        <v>5</v>
      </c>
      <c r="AY221" s="69"/>
      <c r="AZ221" s="1323">
        <f t="shared" si="156"/>
        <v>2</v>
      </c>
      <c r="BA221" s="69"/>
      <c r="BB221" s="1321">
        <f t="shared" si="157"/>
        <v>2</v>
      </c>
      <c r="BC221" s="69"/>
      <c r="BD221" s="1321">
        <f t="shared" si="158"/>
        <v>1</v>
      </c>
      <c r="BE221" s="69"/>
      <c r="BF221" s="1321">
        <f t="shared" si="159"/>
        <v>9</v>
      </c>
      <c r="BG221" s="69"/>
      <c r="BH221" s="1321">
        <f t="shared" si="160"/>
        <v>8</v>
      </c>
      <c r="BI221" s="69"/>
      <c r="BJ221" s="1201">
        <f t="shared" si="161"/>
        <v>5</v>
      </c>
      <c r="BK221" s="69"/>
      <c r="BL221" s="1536">
        <f t="shared" si="162"/>
        <v>43</v>
      </c>
      <c r="BM221" s="69"/>
      <c r="BN221" s="1072">
        <f t="shared" si="163"/>
        <v>145</v>
      </c>
      <c r="BO221" s="69"/>
      <c r="BQ221" s="23"/>
      <c r="BR221" s="23"/>
      <c r="BS221" s="23"/>
      <c r="BT221" s="23"/>
      <c r="BU221" s="23"/>
    </row>
    <row r="222" ht="24.75" customHeight="1">
      <c r="A222" s="1109" t="str">
        <f t="shared" si="131"/>
        <v>Да</v>
      </c>
      <c r="B222" s="1736">
        <v>31.0</v>
      </c>
      <c r="C222" s="1948">
        <v>98.0</v>
      </c>
      <c r="D222" s="1136"/>
      <c r="E222" s="784" t="str">
        <f t="shared" si="132"/>
        <v>Салат ''Прага'' (ветчина кур.)</v>
      </c>
      <c r="F222" s="1485">
        <f t="shared" si="133"/>
        <v>6</v>
      </c>
      <c r="G222" s="69"/>
      <c r="H222" s="1485">
        <f t="shared" si="134"/>
        <v>0</v>
      </c>
      <c r="I222" s="69"/>
      <c r="J222" s="1534">
        <f t="shared" si="135"/>
        <v>2</v>
      </c>
      <c r="K222" s="69"/>
      <c r="L222" s="1485">
        <f t="shared" si="136"/>
        <v>2</v>
      </c>
      <c r="M222" s="69"/>
      <c r="N222" s="1485">
        <f t="shared" si="137"/>
        <v>7</v>
      </c>
      <c r="O222" s="69"/>
      <c r="P222" s="1072">
        <f t="shared" si="138"/>
        <v>6</v>
      </c>
      <c r="Q222" s="69"/>
      <c r="R222" s="1072">
        <f t="shared" si="139"/>
        <v>4</v>
      </c>
      <c r="S222" s="69"/>
      <c r="T222" s="1072">
        <f t="shared" si="140"/>
        <v>2</v>
      </c>
      <c r="U222" s="69"/>
      <c r="V222" s="1426">
        <f t="shared" si="141"/>
        <v>2</v>
      </c>
      <c r="W222" s="69"/>
      <c r="X222" s="1426">
        <f t="shared" si="142"/>
        <v>1</v>
      </c>
      <c r="Y222" s="69"/>
      <c r="Z222" s="1426" t="str">
        <f t="shared" si="143"/>
        <v/>
      </c>
      <c r="AA222" s="69"/>
      <c r="AB222" s="1427">
        <f t="shared" si="144"/>
        <v>3</v>
      </c>
      <c r="AC222" s="69"/>
      <c r="AD222" s="1427">
        <f t="shared" si="145"/>
        <v>4</v>
      </c>
      <c r="AE222" s="69"/>
      <c r="AF222" s="1427">
        <f t="shared" si="146"/>
        <v>1</v>
      </c>
      <c r="AG222" s="69"/>
      <c r="AH222" s="1427">
        <f t="shared" si="147"/>
        <v>2</v>
      </c>
      <c r="AI222" s="69"/>
      <c r="AJ222" s="1427">
        <f t="shared" si="148"/>
        <v>2</v>
      </c>
      <c r="AK222" s="69"/>
      <c r="AL222" s="1427">
        <f t="shared" si="149"/>
        <v>3</v>
      </c>
      <c r="AM222" s="69"/>
      <c r="AN222" s="1323">
        <f t="shared" si="150"/>
        <v>2</v>
      </c>
      <c r="AO222" s="69"/>
      <c r="AP222" s="1323">
        <f t="shared" si="151"/>
        <v>3</v>
      </c>
      <c r="AQ222" s="69"/>
      <c r="AR222" s="1323">
        <f t="shared" si="152"/>
        <v>7</v>
      </c>
      <c r="AS222" s="69"/>
      <c r="AT222" s="1323">
        <f t="shared" si="153"/>
        <v>9</v>
      </c>
      <c r="AU222" s="69"/>
      <c r="AV222" s="1323">
        <f t="shared" si="154"/>
        <v>3</v>
      </c>
      <c r="AW222" s="69"/>
      <c r="AX222" s="1323">
        <f t="shared" si="155"/>
        <v>4</v>
      </c>
      <c r="AY222" s="69"/>
      <c r="AZ222" s="1323">
        <f t="shared" si="156"/>
        <v>3</v>
      </c>
      <c r="BA222" s="69"/>
      <c r="BB222" s="1321">
        <f t="shared" si="157"/>
        <v>1</v>
      </c>
      <c r="BC222" s="69"/>
      <c r="BD222" s="1321">
        <f t="shared" si="158"/>
        <v>1</v>
      </c>
      <c r="BE222" s="69"/>
      <c r="BF222" s="1321">
        <f t="shared" si="159"/>
        <v>5</v>
      </c>
      <c r="BG222" s="69"/>
      <c r="BH222" s="1321">
        <f t="shared" si="160"/>
        <v>0</v>
      </c>
      <c r="BI222" s="69"/>
      <c r="BJ222" s="1201">
        <f t="shared" si="161"/>
        <v>6</v>
      </c>
      <c r="BK222" s="69"/>
      <c r="BL222" s="1536">
        <f t="shared" si="162"/>
        <v>43</v>
      </c>
      <c r="BM222" s="69"/>
      <c r="BN222" s="1072">
        <f t="shared" si="163"/>
        <v>134</v>
      </c>
      <c r="BO222" s="69"/>
      <c r="BQ222" s="23"/>
      <c r="BR222" s="23"/>
      <c r="BS222" s="23"/>
      <c r="BT222" s="23"/>
      <c r="BU222" s="23"/>
    </row>
    <row r="223" ht="24.75" customHeight="1">
      <c r="A223" s="1109" t="str">
        <f t="shared" si="131"/>
        <v>Да</v>
      </c>
      <c r="B223" s="1736">
        <v>4089.0</v>
      </c>
      <c r="C223" s="1948">
        <v>210.0</v>
      </c>
      <c r="D223" s="1136"/>
      <c r="E223" s="784" t="str">
        <f t="shared" si="132"/>
        <v>Салат "Генеральский" (курица, грецкий орех) 220гр</v>
      </c>
      <c r="F223" s="1485">
        <f t="shared" si="133"/>
        <v>4</v>
      </c>
      <c r="G223" s="69"/>
      <c r="H223" s="1485">
        <f t="shared" si="134"/>
        <v>2</v>
      </c>
      <c r="I223" s="69"/>
      <c r="J223" s="1534">
        <f t="shared" si="135"/>
        <v>3</v>
      </c>
      <c r="K223" s="69"/>
      <c r="L223" s="1485">
        <f t="shared" si="136"/>
        <v>2</v>
      </c>
      <c r="M223" s="69"/>
      <c r="N223" s="1485">
        <f t="shared" si="137"/>
        <v>3</v>
      </c>
      <c r="O223" s="69"/>
      <c r="P223" s="1072">
        <f t="shared" si="138"/>
        <v>6</v>
      </c>
      <c r="Q223" s="69"/>
      <c r="R223" s="1072">
        <f t="shared" si="139"/>
        <v>0</v>
      </c>
      <c r="S223" s="69"/>
      <c r="T223" s="1072">
        <f t="shared" si="140"/>
        <v>1</v>
      </c>
      <c r="U223" s="69"/>
      <c r="V223" s="1426">
        <f t="shared" si="141"/>
        <v>2</v>
      </c>
      <c r="W223" s="69"/>
      <c r="X223" s="1426">
        <f t="shared" si="142"/>
        <v>1</v>
      </c>
      <c r="Y223" s="69"/>
      <c r="Z223" s="1426" t="str">
        <f t="shared" si="143"/>
        <v/>
      </c>
      <c r="AA223" s="69"/>
      <c r="AB223" s="1427">
        <f t="shared" si="144"/>
        <v>1</v>
      </c>
      <c r="AC223" s="69"/>
      <c r="AD223" s="1427">
        <f t="shared" si="145"/>
        <v>1</v>
      </c>
      <c r="AE223" s="69"/>
      <c r="AF223" s="1427">
        <f t="shared" si="146"/>
        <v>1</v>
      </c>
      <c r="AG223" s="69"/>
      <c r="AH223" s="1427">
        <f t="shared" si="147"/>
        <v>3</v>
      </c>
      <c r="AI223" s="69"/>
      <c r="AJ223" s="1427">
        <f t="shared" si="148"/>
        <v>2</v>
      </c>
      <c r="AK223" s="69"/>
      <c r="AL223" s="1427">
        <f t="shared" si="149"/>
        <v>3</v>
      </c>
      <c r="AM223" s="69"/>
      <c r="AN223" s="1323">
        <f t="shared" si="150"/>
        <v>2</v>
      </c>
      <c r="AO223" s="69"/>
      <c r="AP223" s="1323">
        <f t="shared" si="151"/>
        <v>2</v>
      </c>
      <c r="AQ223" s="69"/>
      <c r="AR223" s="1323">
        <f t="shared" si="152"/>
        <v>5</v>
      </c>
      <c r="AS223" s="69"/>
      <c r="AT223" s="1323">
        <f t="shared" si="153"/>
        <v>1</v>
      </c>
      <c r="AU223" s="69"/>
      <c r="AV223" s="1323">
        <f t="shared" si="154"/>
        <v>2</v>
      </c>
      <c r="AW223" s="69"/>
      <c r="AX223" s="1323">
        <f t="shared" si="155"/>
        <v>3</v>
      </c>
      <c r="AY223" s="69"/>
      <c r="AZ223" s="1323">
        <f t="shared" si="156"/>
        <v>0</v>
      </c>
      <c r="BA223" s="69"/>
      <c r="BB223" s="1321">
        <f t="shared" si="157"/>
        <v>4</v>
      </c>
      <c r="BC223" s="69"/>
      <c r="BD223" s="1321">
        <f t="shared" si="158"/>
        <v>2</v>
      </c>
      <c r="BE223" s="69"/>
      <c r="BF223" s="1321">
        <f t="shared" si="159"/>
        <v>5</v>
      </c>
      <c r="BG223" s="69"/>
      <c r="BH223" s="1321">
        <f t="shared" si="160"/>
        <v>1</v>
      </c>
      <c r="BI223" s="69"/>
      <c r="BJ223" s="1201">
        <f t="shared" si="161"/>
        <v>4</v>
      </c>
      <c r="BK223" s="69"/>
      <c r="BL223" s="1536" t="str">
        <f t="shared" si="162"/>
        <v/>
      </c>
      <c r="BM223" s="69"/>
      <c r="BN223" s="1072">
        <f t="shared" si="163"/>
        <v>66</v>
      </c>
      <c r="BO223" s="69"/>
      <c r="BQ223" s="23"/>
      <c r="BR223" s="23"/>
      <c r="BS223" s="23"/>
      <c r="BT223" s="23"/>
      <c r="BU223" s="23"/>
    </row>
    <row r="224" ht="24.75" customHeight="1">
      <c r="A224" s="1109" t="str">
        <f t="shared" si="131"/>
        <v/>
      </c>
      <c r="B224" s="1736">
        <v>380.0</v>
      </c>
      <c r="C224" s="1948">
        <v>114.0</v>
      </c>
      <c r="D224" s="1136"/>
      <c r="E224" s="784" t="str">
        <f t="shared" si="132"/>
        <v>Солянка</v>
      </c>
      <c r="F224" s="1485" t="str">
        <f t="shared" si="133"/>
        <v/>
      </c>
      <c r="G224" s="69"/>
      <c r="H224" s="1485" t="str">
        <f t="shared" si="134"/>
        <v/>
      </c>
      <c r="I224" s="69"/>
      <c r="J224" s="1534" t="str">
        <f t="shared" si="135"/>
        <v/>
      </c>
      <c r="K224" s="69"/>
      <c r="L224" s="1485" t="str">
        <f t="shared" si="136"/>
        <v/>
      </c>
      <c r="M224" s="69"/>
      <c r="N224" s="1485" t="str">
        <f t="shared" si="137"/>
        <v/>
      </c>
      <c r="O224" s="69"/>
      <c r="P224" s="1072" t="str">
        <f t="shared" si="138"/>
        <v/>
      </c>
      <c r="Q224" s="69"/>
      <c r="R224" s="1072" t="str">
        <f t="shared" si="139"/>
        <v/>
      </c>
      <c r="S224" s="69"/>
      <c r="T224" s="1072" t="str">
        <f t="shared" si="140"/>
        <v/>
      </c>
      <c r="U224" s="69"/>
      <c r="V224" s="1426" t="str">
        <f t="shared" si="141"/>
        <v/>
      </c>
      <c r="W224" s="69"/>
      <c r="X224" s="1426" t="str">
        <f t="shared" si="142"/>
        <v/>
      </c>
      <c r="Y224" s="69"/>
      <c r="Z224" s="1426" t="str">
        <f t="shared" si="143"/>
        <v/>
      </c>
      <c r="AA224" s="69"/>
      <c r="AB224" s="1427" t="str">
        <f t="shared" si="144"/>
        <v/>
      </c>
      <c r="AC224" s="69"/>
      <c r="AD224" s="1427" t="str">
        <f t="shared" si="145"/>
        <v/>
      </c>
      <c r="AE224" s="69"/>
      <c r="AF224" s="1427" t="str">
        <f t="shared" si="146"/>
        <v/>
      </c>
      <c r="AG224" s="69"/>
      <c r="AH224" s="1427" t="str">
        <f t="shared" si="147"/>
        <v/>
      </c>
      <c r="AI224" s="69"/>
      <c r="AJ224" s="1427" t="str">
        <f t="shared" si="148"/>
        <v/>
      </c>
      <c r="AK224" s="69"/>
      <c r="AL224" s="1427" t="str">
        <f t="shared" si="149"/>
        <v/>
      </c>
      <c r="AM224" s="69"/>
      <c r="AN224" s="1323" t="str">
        <f t="shared" si="150"/>
        <v/>
      </c>
      <c r="AO224" s="69"/>
      <c r="AP224" s="1323" t="str">
        <f t="shared" si="151"/>
        <v/>
      </c>
      <c r="AQ224" s="69"/>
      <c r="AR224" s="1323" t="str">
        <f t="shared" si="152"/>
        <v/>
      </c>
      <c r="AS224" s="69"/>
      <c r="AT224" s="1323" t="str">
        <f t="shared" si="153"/>
        <v/>
      </c>
      <c r="AU224" s="69"/>
      <c r="AV224" s="1323" t="str">
        <f t="shared" si="154"/>
        <v/>
      </c>
      <c r="AW224" s="69"/>
      <c r="AX224" s="1323" t="str">
        <f t="shared" si="155"/>
        <v/>
      </c>
      <c r="AY224" s="69"/>
      <c r="AZ224" s="1323" t="str">
        <f t="shared" si="156"/>
        <v/>
      </c>
      <c r="BA224" s="69"/>
      <c r="BB224" s="1321" t="str">
        <f t="shared" si="157"/>
        <v/>
      </c>
      <c r="BC224" s="69"/>
      <c r="BD224" s="1321" t="str">
        <f t="shared" si="158"/>
        <v/>
      </c>
      <c r="BE224" s="69"/>
      <c r="BF224" s="1321" t="str">
        <f t="shared" si="159"/>
        <v/>
      </c>
      <c r="BG224" s="69"/>
      <c r="BH224" s="1321" t="str">
        <f t="shared" si="160"/>
        <v/>
      </c>
      <c r="BI224" s="69"/>
      <c r="BJ224" s="1201" t="str">
        <f t="shared" si="161"/>
        <v/>
      </c>
      <c r="BK224" s="69"/>
      <c r="BL224" s="1536">
        <f t="shared" si="162"/>
        <v>108</v>
      </c>
      <c r="BM224" s="69"/>
      <c r="BN224" s="1072">
        <f t="shared" si="163"/>
        <v>108</v>
      </c>
      <c r="BO224" s="69"/>
      <c r="BQ224" s="23"/>
      <c r="BR224" s="23"/>
      <c r="BS224" s="23"/>
      <c r="BT224" s="23"/>
      <c r="BU224" s="23"/>
    </row>
    <row r="225" ht="24.75" customHeight="1">
      <c r="A225" s="1109" t="str">
        <f t="shared" si="131"/>
        <v>Да</v>
      </c>
      <c r="B225" s="1736">
        <v>1106.0</v>
      </c>
      <c r="C225" s="1948">
        <v>139.0</v>
      </c>
      <c r="D225" s="1136"/>
      <c r="E225" s="784" t="str">
        <f t="shared" si="132"/>
        <v>Суп-крем из тыквы</v>
      </c>
      <c r="F225" s="1485">
        <f t="shared" si="133"/>
        <v>2</v>
      </c>
      <c r="G225" s="69"/>
      <c r="H225" s="1485">
        <f t="shared" si="134"/>
        <v>2</v>
      </c>
      <c r="I225" s="69"/>
      <c r="J225" s="1534">
        <f t="shared" si="135"/>
        <v>0</v>
      </c>
      <c r="K225" s="69"/>
      <c r="L225" s="1485" t="str">
        <f t="shared" si="136"/>
        <v/>
      </c>
      <c r="M225" s="69"/>
      <c r="N225" s="1485">
        <f t="shared" si="137"/>
        <v>2</v>
      </c>
      <c r="O225" s="69"/>
      <c r="P225" s="1072">
        <f t="shared" si="138"/>
        <v>1</v>
      </c>
      <c r="Q225" s="69"/>
      <c r="R225" s="1072" t="str">
        <f t="shared" si="139"/>
        <v/>
      </c>
      <c r="S225" s="69"/>
      <c r="T225" s="1072">
        <f t="shared" si="140"/>
        <v>2</v>
      </c>
      <c r="U225" s="69"/>
      <c r="V225" s="1426">
        <f t="shared" si="141"/>
        <v>2</v>
      </c>
      <c r="W225" s="69"/>
      <c r="X225" s="1426">
        <f t="shared" si="142"/>
        <v>2</v>
      </c>
      <c r="Y225" s="69"/>
      <c r="Z225" s="1426" t="str">
        <f t="shared" si="143"/>
        <v/>
      </c>
      <c r="AA225" s="69"/>
      <c r="AB225" s="1427" t="str">
        <f t="shared" si="144"/>
        <v/>
      </c>
      <c r="AC225" s="69"/>
      <c r="AD225" s="1427">
        <f t="shared" si="145"/>
        <v>1</v>
      </c>
      <c r="AE225" s="69"/>
      <c r="AF225" s="1427">
        <f t="shared" si="146"/>
        <v>1</v>
      </c>
      <c r="AG225" s="69"/>
      <c r="AH225" s="1427">
        <f t="shared" si="147"/>
        <v>2</v>
      </c>
      <c r="AI225" s="69"/>
      <c r="AJ225" s="1427">
        <f t="shared" si="148"/>
        <v>1</v>
      </c>
      <c r="AK225" s="69"/>
      <c r="AL225" s="1427" t="str">
        <f t="shared" si="149"/>
        <v/>
      </c>
      <c r="AM225" s="69"/>
      <c r="AN225" s="1323">
        <f t="shared" si="150"/>
        <v>2</v>
      </c>
      <c r="AO225" s="69"/>
      <c r="AP225" s="1323">
        <f t="shared" si="151"/>
        <v>1</v>
      </c>
      <c r="AQ225" s="69"/>
      <c r="AR225" s="1323">
        <f t="shared" si="152"/>
        <v>2</v>
      </c>
      <c r="AS225" s="69"/>
      <c r="AT225" s="1323">
        <f t="shared" si="153"/>
        <v>1</v>
      </c>
      <c r="AU225" s="69"/>
      <c r="AV225" s="1323" t="str">
        <f t="shared" si="154"/>
        <v/>
      </c>
      <c r="AW225" s="69"/>
      <c r="AX225" s="1323">
        <f t="shared" si="155"/>
        <v>1</v>
      </c>
      <c r="AY225" s="69"/>
      <c r="AZ225" s="1323">
        <f t="shared" si="156"/>
        <v>0</v>
      </c>
      <c r="BA225" s="69"/>
      <c r="BB225" s="1321">
        <f t="shared" si="157"/>
        <v>2</v>
      </c>
      <c r="BC225" s="69"/>
      <c r="BD225" s="1321">
        <f t="shared" si="158"/>
        <v>0</v>
      </c>
      <c r="BE225" s="69"/>
      <c r="BF225" s="1321">
        <f t="shared" si="159"/>
        <v>1</v>
      </c>
      <c r="BG225" s="69"/>
      <c r="BH225" s="1321">
        <f t="shared" si="160"/>
        <v>1</v>
      </c>
      <c r="BI225" s="69"/>
      <c r="BJ225" s="1201">
        <f t="shared" si="161"/>
        <v>1</v>
      </c>
      <c r="BK225" s="69"/>
      <c r="BL225" s="1536" t="str">
        <f t="shared" si="162"/>
        <v/>
      </c>
      <c r="BM225" s="69"/>
      <c r="BN225" s="1072">
        <f t="shared" si="163"/>
        <v>30</v>
      </c>
      <c r="BO225" s="69"/>
      <c r="BQ225" s="23"/>
      <c r="BR225" s="23"/>
      <c r="BS225" s="23"/>
      <c r="BT225" s="23"/>
      <c r="BU225" s="23"/>
    </row>
    <row r="226" ht="24.75" customHeight="1">
      <c r="A226" s="1109" t="str">
        <f t="shared" si="131"/>
        <v>Да</v>
      </c>
      <c r="B226" s="1736">
        <v>3889.0</v>
      </c>
      <c r="C226" s="1948">
        <v>264.0</v>
      </c>
      <c r="D226" s="1136"/>
      <c r="E226" s="784" t="str">
        <f t="shared" si="132"/>
        <v>Купаты куриные с овощным гарниром</v>
      </c>
      <c r="F226" s="1485">
        <f t="shared" si="133"/>
        <v>6</v>
      </c>
      <c r="G226" s="69"/>
      <c r="H226" s="1485">
        <f t="shared" si="134"/>
        <v>4</v>
      </c>
      <c r="I226" s="69"/>
      <c r="J226" s="1534">
        <f t="shared" si="135"/>
        <v>3</v>
      </c>
      <c r="K226" s="69"/>
      <c r="L226" s="1485">
        <f t="shared" si="136"/>
        <v>3</v>
      </c>
      <c r="M226" s="69"/>
      <c r="N226" s="1485">
        <f t="shared" si="137"/>
        <v>2</v>
      </c>
      <c r="O226" s="69"/>
      <c r="P226" s="1072">
        <f t="shared" si="138"/>
        <v>2</v>
      </c>
      <c r="Q226" s="69"/>
      <c r="R226" s="1072">
        <f t="shared" si="139"/>
        <v>4</v>
      </c>
      <c r="S226" s="69"/>
      <c r="T226" s="1072">
        <f t="shared" si="140"/>
        <v>2</v>
      </c>
      <c r="U226" s="69"/>
      <c r="V226" s="1426">
        <f t="shared" si="141"/>
        <v>3</v>
      </c>
      <c r="W226" s="69"/>
      <c r="X226" s="1426">
        <f t="shared" si="142"/>
        <v>2</v>
      </c>
      <c r="Y226" s="69"/>
      <c r="Z226" s="1426" t="str">
        <f t="shared" si="143"/>
        <v/>
      </c>
      <c r="AA226" s="69"/>
      <c r="AB226" s="1427">
        <f t="shared" si="144"/>
        <v>1</v>
      </c>
      <c r="AC226" s="69"/>
      <c r="AD226" s="1427">
        <f t="shared" si="145"/>
        <v>2</v>
      </c>
      <c r="AE226" s="69"/>
      <c r="AF226" s="1427">
        <f t="shared" si="146"/>
        <v>2</v>
      </c>
      <c r="AG226" s="69"/>
      <c r="AH226" s="1427">
        <f t="shared" si="147"/>
        <v>3</v>
      </c>
      <c r="AI226" s="69"/>
      <c r="AJ226" s="1427">
        <f t="shared" si="148"/>
        <v>4</v>
      </c>
      <c r="AK226" s="69"/>
      <c r="AL226" s="1427">
        <f t="shared" si="149"/>
        <v>3</v>
      </c>
      <c r="AM226" s="69"/>
      <c r="AN226" s="1323">
        <f t="shared" si="150"/>
        <v>2</v>
      </c>
      <c r="AO226" s="69"/>
      <c r="AP226" s="1323">
        <f t="shared" si="151"/>
        <v>2</v>
      </c>
      <c r="AQ226" s="69"/>
      <c r="AR226" s="1323">
        <f t="shared" si="152"/>
        <v>5</v>
      </c>
      <c r="AS226" s="69"/>
      <c r="AT226" s="1323">
        <f t="shared" si="153"/>
        <v>5</v>
      </c>
      <c r="AU226" s="69"/>
      <c r="AV226" s="1323">
        <f t="shared" si="154"/>
        <v>2</v>
      </c>
      <c r="AW226" s="69"/>
      <c r="AX226" s="1323">
        <f t="shared" si="155"/>
        <v>2</v>
      </c>
      <c r="AY226" s="69"/>
      <c r="AZ226" s="1323">
        <f t="shared" si="156"/>
        <v>2</v>
      </c>
      <c r="BA226" s="69"/>
      <c r="BB226" s="1321">
        <f t="shared" si="157"/>
        <v>2</v>
      </c>
      <c r="BC226" s="69"/>
      <c r="BD226" s="1321">
        <f t="shared" si="158"/>
        <v>2</v>
      </c>
      <c r="BE226" s="69"/>
      <c r="BF226" s="1321">
        <f t="shared" si="159"/>
        <v>3</v>
      </c>
      <c r="BG226" s="69"/>
      <c r="BH226" s="1321">
        <f t="shared" si="160"/>
        <v>0</v>
      </c>
      <c r="BI226" s="69"/>
      <c r="BJ226" s="1201">
        <f t="shared" si="161"/>
        <v>2</v>
      </c>
      <c r="BK226" s="69"/>
      <c r="BL226" s="1536" t="str">
        <f t="shared" si="162"/>
        <v/>
      </c>
      <c r="BM226" s="69"/>
      <c r="BN226" s="1072">
        <f t="shared" si="163"/>
        <v>75</v>
      </c>
      <c r="BO226" s="69"/>
      <c r="BQ226" s="23"/>
      <c r="BR226" s="23"/>
      <c r="BS226" s="23"/>
      <c r="BT226" s="23"/>
      <c r="BU226" s="23"/>
    </row>
    <row r="227" ht="24.75" customHeight="1">
      <c r="A227" s="1109" t="str">
        <f t="shared" si="131"/>
        <v/>
      </c>
      <c r="B227" s="1736">
        <v>1073.0</v>
      </c>
      <c r="C227" s="1948">
        <v>261.0</v>
      </c>
      <c r="D227" s="1136"/>
      <c r="E227" s="784" t="str">
        <f t="shared" si="132"/>
        <v>Горбуша запеченная с картофельным пюре</v>
      </c>
      <c r="F227" s="1485" t="str">
        <f t="shared" si="133"/>
        <v/>
      </c>
      <c r="G227" s="69"/>
      <c r="H227" s="1485" t="str">
        <f t="shared" si="134"/>
        <v/>
      </c>
      <c r="I227" s="69"/>
      <c r="J227" s="1534" t="str">
        <f t="shared" si="135"/>
        <v/>
      </c>
      <c r="K227" s="69"/>
      <c r="L227" s="1485" t="str">
        <f t="shared" si="136"/>
        <v/>
      </c>
      <c r="M227" s="69"/>
      <c r="N227" s="1485" t="str">
        <f t="shared" si="137"/>
        <v/>
      </c>
      <c r="O227" s="69"/>
      <c r="P227" s="1072" t="str">
        <f t="shared" si="138"/>
        <v/>
      </c>
      <c r="Q227" s="69"/>
      <c r="R227" s="1072" t="str">
        <f t="shared" si="139"/>
        <v/>
      </c>
      <c r="S227" s="69"/>
      <c r="T227" s="1072" t="str">
        <f t="shared" si="140"/>
        <v/>
      </c>
      <c r="U227" s="69"/>
      <c r="V227" s="1426" t="str">
        <f t="shared" si="141"/>
        <v/>
      </c>
      <c r="W227" s="69"/>
      <c r="X227" s="1426" t="str">
        <f t="shared" si="142"/>
        <v/>
      </c>
      <c r="Y227" s="69"/>
      <c r="Z227" s="1426" t="str">
        <f t="shared" si="143"/>
        <v/>
      </c>
      <c r="AA227" s="69"/>
      <c r="AB227" s="1427" t="str">
        <f t="shared" si="144"/>
        <v/>
      </c>
      <c r="AC227" s="69"/>
      <c r="AD227" s="1427" t="str">
        <f t="shared" si="145"/>
        <v/>
      </c>
      <c r="AE227" s="69"/>
      <c r="AF227" s="1427" t="str">
        <f t="shared" si="146"/>
        <v/>
      </c>
      <c r="AG227" s="69"/>
      <c r="AH227" s="1427" t="str">
        <f t="shared" si="147"/>
        <v/>
      </c>
      <c r="AI227" s="69"/>
      <c r="AJ227" s="1427" t="str">
        <f t="shared" si="148"/>
        <v/>
      </c>
      <c r="AK227" s="69"/>
      <c r="AL227" s="1427" t="str">
        <f t="shared" si="149"/>
        <v/>
      </c>
      <c r="AM227" s="69"/>
      <c r="AN227" s="1323" t="str">
        <f t="shared" si="150"/>
        <v/>
      </c>
      <c r="AO227" s="69"/>
      <c r="AP227" s="1323" t="str">
        <f t="shared" si="151"/>
        <v/>
      </c>
      <c r="AQ227" s="69"/>
      <c r="AR227" s="1323" t="str">
        <f t="shared" si="152"/>
        <v/>
      </c>
      <c r="AS227" s="69"/>
      <c r="AT227" s="1323" t="str">
        <f t="shared" si="153"/>
        <v/>
      </c>
      <c r="AU227" s="69"/>
      <c r="AV227" s="1323" t="str">
        <f t="shared" si="154"/>
        <v/>
      </c>
      <c r="AW227" s="69"/>
      <c r="AX227" s="1323" t="str">
        <f t="shared" si="155"/>
        <v/>
      </c>
      <c r="AY227" s="69"/>
      <c r="AZ227" s="1323" t="str">
        <f t="shared" si="156"/>
        <v/>
      </c>
      <c r="BA227" s="69"/>
      <c r="BB227" s="1321" t="str">
        <f t="shared" si="157"/>
        <v/>
      </c>
      <c r="BC227" s="69"/>
      <c r="BD227" s="1321" t="str">
        <f t="shared" si="158"/>
        <v/>
      </c>
      <c r="BE227" s="69"/>
      <c r="BF227" s="1321" t="str">
        <f t="shared" si="159"/>
        <v/>
      </c>
      <c r="BG227" s="69"/>
      <c r="BH227" s="1321" t="str">
        <f t="shared" si="160"/>
        <v/>
      </c>
      <c r="BI227" s="69"/>
      <c r="BJ227" s="1201" t="str">
        <f t="shared" si="161"/>
        <v/>
      </c>
      <c r="BK227" s="69"/>
      <c r="BL227" s="1536" t="str">
        <f t="shared" si="162"/>
        <v/>
      </c>
      <c r="BM227" s="69"/>
      <c r="BN227" s="1072">
        <f t="shared" si="163"/>
        <v>0</v>
      </c>
      <c r="BO227" s="69"/>
      <c r="BQ227" s="23"/>
      <c r="BR227" s="23"/>
      <c r="BS227" s="23"/>
      <c r="BT227" s="23"/>
      <c r="BU227" s="23"/>
    </row>
    <row r="228" ht="24.75" customHeight="1">
      <c r="A228" s="1109" t="str">
        <f t="shared" si="131"/>
        <v/>
      </c>
      <c r="B228" s="1736">
        <v>965.0</v>
      </c>
      <c r="C228" s="1948">
        <v>195.0</v>
      </c>
      <c r="D228" s="1136"/>
      <c r="E228" s="784" t="str">
        <f t="shared" si="132"/>
        <v>Гуляш из свинины с макаронами</v>
      </c>
      <c r="F228" s="1485" t="str">
        <f t="shared" si="133"/>
        <v/>
      </c>
      <c r="G228" s="69"/>
      <c r="H228" s="1485" t="str">
        <f t="shared" si="134"/>
        <v/>
      </c>
      <c r="I228" s="69"/>
      <c r="J228" s="1534" t="str">
        <f t="shared" si="135"/>
        <v/>
      </c>
      <c r="K228" s="69"/>
      <c r="L228" s="1485" t="str">
        <f t="shared" si="136"/>
        <v/>
      </c>
      <c r="M228" s="69"/>
      <c r="N228" s="1485" t="str">
        <f t="shared" si="137"/>
        <v/>
      </c>
      <c r="O228" s="69"/>
      <c r="P228" s="1072" t="str">
        <f t="shared" si="138"/>
        <v/>
      </c>
      <c r="Q228" s="69"/>
      <c r="R228" s="1072" t="str">
        <f t="shared" si="139"/>
        <v/>
      </c>
      <c r="S228" s="69"/>
      <c r="T228" s="1072" t="str">
        <f t="shared" si="140"/>
        <v/>
      </c>
      <c r="U228" s="69"/>
      <c r="V228" s="1426" t="str">
        <f t="shared" si="141"/>
        <v/>
      </c>
      <c r="W228" s="69"/>
      <c r="X228" s="1426" t="str">
        <f t="shared" si="142"/>
        <v/>
      </c>
      <c r="Y228" s="69"/>
      <c r="Z228" s="1426" t="str">
        <f t="shared" si="143"/>
        <v/>
      </c>
      <c r="AA228" s="69"/>
      <c r="AB228" s="1427" t="str">
        <f t="shared" si="144"/>
        <v/>
      </c>
      <c r="AC228" s="69"/>
      <c r="AD228" s="1427" t="str">
        <f t="shared" si="145"/>
        <v/>
      </c>
      <c r="AE228" s="69"/>
      <c r="AF228" s="1427" t="str">
        <f t="shared" si="146"/>
        <v/>
      </c>
      <c r="AG228" s="69"/>
      <c r="AH228" s="1427" t="str">
        <f t="shared" si="147"/>
        <v/>
      </c>
      <c r="AI228" s="69"/>
      <c r="AJ228" s="1427" t="str">
        <f t="shared" si="148"/>
        <v/>
      </c>
      <c r="AK228" s="69"/>
      <c r="AL228" s="1427" t="str">
        <f t="shared" si="149"/>
        <v/>
      </c>
      <c r="AM228" s="69"/>
      <c r="AN228" s="1323" t="str">
        <f t="shared" si="150"/>
        <v/>
      </c>
      <c r="AO228" s="69"/>
      <c r="AP228" s="1323" t="str">
        <f t="shared" si="151"/>
        <v/>
      </c>
      <c r="AQ228" s="69"/>
      <c r="AR228" s="1323" t="str">
        <f t="shared" si="152"/>
        <v/>
      </c>
      <c r="AS228" s="69"/>
      <c r="AT228" s="1323" t="str">
        <f t="shared" si="153"/>
        <v/>
      </c>
      <c r="AU228" s="69"/>
      <c r="AV228" s="1323" t="str">
        <f t="shared" si="154"/>
        <v/>
      </c>
      <c r="AW228" s="69"/>
      <c r="AX228" s="1323" t="str">
        <f t="shared" si="155"/>
        <v/>
      </c>
      <c r="AY228" s="69"/>
      <c r="AZ228" s="1323" t="str">
        <f t="shared" si="156"/>
        <v/>
      </c>
      <c r="BA228" s="69"/>
      <c r="BB228" s="1321" t="str">
        <f t="shared" si="157"/>
        <v/>
      </c>
      <c r="BC228" s="69"/>
      <c r="BD228" s="1321" t="str">
        <f t="shared" si="158"/>
        <v/>
      </c>
      <c r="BE228" s="69"/>
      <c r="BF228" s="1321" t="str">
        <f t="shared" si="159"/>
        <v/>
      </c>
      <c r="BG228" s="69"/>
      <c r="BH228" s="1321" t="str">
        <f t="shared" si="160"/>
        <v/>
      </c>
      <c r="BI228" s="69"/>
      <c r="BJ228" s="1201" t="str">
        <f t="shared" si="161"/>
        <v/>
      </c>
      <c r="BK228" s="69"/>
      <c r="BL228" s="1536" t="str">
        <f t="shared" si="162"/>
        <v/>
      </c>
      <c r="BM228" s="69"/>
      <c r="BN228" s="1072">
        <f t="shared" si="163"/>
        <v>0</v>
      </c>
      <c r="BO228" s="69"/>
      <c r="BQ228" s="23"/>
      <c r="BR228" s="23"/>
      <c r="BS228" s="23"/>
      <c r="BT228" s="23"/>
      <c r="BU228" s="23"/>
    </row>
    <row r="229" ht="24.75" customHeight="1">
      <c r="A229" s="1109" t="str">
        <f t="shared" si="131"/>
        <v/>
      </c>
      <c r="B229" s="1736">
        <v>3663.0</v>
      </c>
      <c r="C229" s="1948">
        <v>229.0</v>
      </c>
      <c r="D229" s="1136"/>
      <c r="E229" s="784" t="str">
        <f t="shared" si="132"/>
        <v>Горбуша запеченная с рисом светофор</v>
      </c>
      <c r="F229" s="1485" t="str">
        <f t="shared" si="133"/>
        <v/>
      </c>
      <c r="G229" s="69"/>
      <c r="H229" s="1485" t="str">
        <f t="shared" si="134"/>
        <v/>
      </c>
      <c r="I229" s="69"/>
      <c r="J229" s="1534" t="str">
        <f t="shared" si="135"/>
        <v/>
      </c>
      <c r="K229" s="69"/>
      <c r="L229" s="1485" t="str">
        <f t="shared" si="136"/>
        <v/>
      </c>
      <c r="M229" s="69"/>
      <c r="N229" s="1485" t="str">
        <f t="shared" si="137"/>
        <v/>
      </c>
      <c r="O229" s="69"/>
      <c r="P229" s="1072" t="str">
        <f t="shared" si="138"/>
        <v/>
      </c>
      <c r="Q229" s="69"/>
      <c r="R229" s="1072" t="str">
        <f t="shared" si="139"/>
        <v/>
      </c>
      <c r="S229" s="69"/>
      <c r="T229" s="1072" t="str">
        <f t="shared" si="140"/>
        <v/>
      </c>
      <c r="U229" s="69"/>
      <c r="V229" s="1426" t="str">
        <f t="shared" si="141"/>
        <v/>
      </c>
      <c r="W229" s="69"/>
      <c r="X229" s="1426" t="str">
        <f t="shared" si="142"/>
        <v/>
      </c>
      <c r="Y229" s="69"/>
      <c r="Z229" s="1426" t="str">
        <f t="shared" si="143"/>
        <v/>
      </c>
      <c r="AA229" s="69"/>
      <c r="AB229" s="1427" t="str">
        <f t="shared" si="144"/>
        <v/>
      </c>
      <c r="AC229" s="69"/>
      <c r="AD229" s="1427" t="str">
        <f t="shared" si="145"/>
        <v/>
      </c>
      <c r="AE229" s="69"/>
      <c r="AF229" s="1427" t="str">
        <f t="shared" si="146"/>
        <v/>
      </c>
      <c r="AG229" s="69"/>
      <c r="AH229" s="1427" t="str">
        <f t="shared" si="147"/>
        <v/>
      </c>
      <c r="AI229" s="69"/>
      <c r="AJ229" s="1427" t="str">
        <f t="shared" si="148"/>
        <v/>
      </c>
      <c r="AK229" s="69"/>
      <c r="AL229" s="1427" t="str">
        <f t="shared" si="149"/>
        <v/>
      </c>
      <c r="AM229" s="69"/>
      <c r="AN229" s="1323" t="str">
        <f t="shared" si="150"/>
        <v/>
      </c>
      <c r="AO229" s="69"/>
      <c r="AP229" s="1323" t="str">
        <f t="shared" si="151"/>
        <v/>
      </c>
      <c r="AQ229" s="69"/>
      <c r="AR229" s="1323" t="str">
        <f t="shared" si="152"/>
        <v/>
      </c>
      <c r="AS229" s="69"/>
      <c r="AT229" s="1323" t="str">
        <f t="shared" si="153"/>
        <v/>
      </c>
      <c r="AU229" s="69"/>
      <c r="AV229" s="1323" t="str">
        <f t="shared" si="154"/>
        <v/>
      </c>
      <c r="AW229" s="69"/>
      <c r="AX229" s="1323" t="str">
        <f t="shared" si="155"/>
        <v/>
      </c>
      <c r="AY229" s="69"/>
      <c r="AZ229" s="1323" t="str">
        <f t="shared" si="156"/>
        <v/>
      </c>
      <c r="BA229" s="69"/>
      <c r="BB229" s="1321" t="str">
        <f t="shared" si="157"/>
        <v/>
      </c>
      <c r="BC229" s="69"/>
      <c r="BD229" s="1321" t="str">
        <f t="shared" si="158"/>
        <v/>
      </c>
      <c r="BE229" s="69"/>
      <c r="BF229" s="1321" t="str">
        <f t="shared" si="159"/>
        <v/>
      </c>
      <c r="BG229" s="69"/>
      <c r="BH229" s="1321" t="str">
        <f t="shared" si="160"/>
        <v/>
      </c>
      <c r="BI229" s="69"/>
      <c r="BJ229" s="1201" t="str">
        <f t="shared" si="161"/>
        <v/>
      </c>
      <c r="BK229" s="69"/>
      <c r="BL229" s="1536" t="str">
        <f t="shared" si="162"/>
        <v/>
      </c>
      <c r="BM229" s="69"/>
      <c r="BN229" s="1072">
        <f t="shared" si="163"/>
        <v>0</v>
      </c>
      <c r="BO229" s="69"/>
      <c r="BQ229" s="23"/>
      <c r="BR229" s="23"/>
      <c r="BS229" s="23"/>
      <c r="BT229" s="23"/>
      <c r="BU229" s="23"/>
    </row>
    <row r="230" ht="24.75" customHeight="1">
      <c r="A230" s="1109" t="str">
        <f t="shared" si="131"/>
        <v>Да</v>
      </c>
      <c r="B230" s="1736">
        <v>4099.0</v>
      </c>
      <c r="C230" s="1948">
        <v>221.0</v>
      </c>
      <c r="D230" s="1136"/>
      <c r="E230" s="784" t="str">
        <f t="shared" si="132"/>
        <v>Курочка в сырном соусе со спагетти </v>
      </c>
      <c r="F230" s="1485">
        <f t="shared" si="133"/>
        <v>5</v>
      </c>
      <c r="G230" s="69"/>
      <c r="H230" s="1485">
        <f t="shared" si="134"/>
        <v>5</v>
      </c>
      <c r="I230" s="69"/>
      <c r="J230" s="1534">
        <f t="shared" si="135"/>
        <v>3</v>
      </c>
      <c r="K230" s="69"/>
      <c r="L230" s="1485">
        <f t="shared" si="136"/>
        <v>3</v>
      </c>
      <c r="M230" s="69"/>
      <c r="N230" s="1485">
        <f t="shared" si="137"/>
        <v>6</v>
      </c>
      <c r="O230" s="69"/>
      <c r="P230" s="1072">
        <f t="shared" si="138"/>
        <v>5</v>
      </c>
      <c r="Q230" s="69"/>
      <c r="R230" s="1072">
        <f t="shared" si="139"/>
        <v>7</v>
      </c>
      <c r="S230" s="69"/>
      <c r="T230" s="1072">
        <f t="shared" si="140"/>
        <v>5</v>
      </c>
      <c r="U230" s="69"/>
      <c r="V230" s="1426">
        <f t="shared" si="141"/>
        <v>7</v>
      </c>
      <c r="W230" s="69"/>
      <c r="X230" s="1426">
        <f t="shared" si="142"/>
        <v>2</v>
      </c>
      <c r="Y230" s="69"/>
      <c r="Z230" s="1426" t="str">
        <f t="shared" si="143"/>
        <v/>
      </c>
      <c r="AA230" s="69"/>
      <c r="AB230" s="1427">
        <f t="shared" si="144"/>
        <v>6</v>
      </c>
      <c r="AC230" s="69"/>
      <c r="AD230" s="1427">
        <f t="shared" si="145"/>
        <v>6</v>
      </c>
      <c r="AE230" s="69"/>
      <c r="AF230" s="1427">
        <f t="shared" si="146"/>
        <v>3</v>
      </c>
      <c r="AG230" s="69"/>
      <c r="AH230" s="1427">
        <f t="shared" si="147"/>
        <v>8</v>
      </c>
      <c r="AI230" s="69"/>
      <c r="AJ230" s="1427">
        <f t="shared" si="148"/>
        <v>2</v>
      </c>
      <c r="AK230" s="69"/>
      <c r="AL230" s="1427">
        <f t="shared" si="149"/>
        <v>3</v>
      </c>
      <c r="AM230" s="69"/>
      <c r="AN230" s="1323">
        <f t="shared" si="150"/>
        <v>2</v>
      </c>
      <c r="AO230" s="69"/>
      <c r="AP230" s="1323">
        <f t="shared" si="151"/>
        <v>5</v>
      </c>
      <c r="AQ230" s="69"/>
      <c r="AR230" s="1323">
        <f t="shared" si="152"/>
        <v>7</v>
      </c>
      <c r="AS230" s="69"/>
      <c r="AT230" s="1323">
        <f t="shared" si="153"/>
        <v>11</v>
      </c>
      <c r="AU230" s="69"/>
      <c r="AV230" s="1323">
        <f t="shared" si="154"/>
        <v>4</v>
      </c>
      <c r="AW230" s="69"/>
      <c r="AX230" s="1323">
        <f t="shared" si="155"/>
        <v>3</v>
      </c>
      <c r="AY230" s="69"/>
      <c r="AZ230" s="1323">
        <f t="shared" si="156"/>
        <v>2</v>
      </c>
      <c r="BA230" s="69"/>
      <c r="BB230" s="1321">
        <f t="shared" si="157"/>
        <v>2</v>
      </c>
      <c r="BC230" s="69"/>
      <c r="BD230" s="1321">
        <f t="shared" si="158"/>
        <v>4</v>
      </c>
      <c r="BE230" s="69"/>
      <c r="BF230" s="1321">
        <f t="shared" si="159"/>
        <v>5</v>
      </c>
      <c r="BG230" s="69"/>
      <c r="BH230" s="1321">
        <f t="shared" si="160"/>
        <v>4</v>
      </c>
      <c r="BI230" s="69"/>
      <c r="BJ230" s="1201">
        <f t="shared" si="161"/>
        <v>4</v>
      </c>
      <c r="BK230" s="69"/>
      <c r="BL230" s="1536" t="str">
        <f t="shared" si="162"/>
        <v/>
      </c>
      <c r="BM230" s="69"/>
      <c r="BN230" s="1072">
        <f t="shared" si="163"/>
        <v>129</v>
      </c>
      <c r="BO230" s="69"/>
      <c r="BQ230" s="23"/>
      <c r="BR230" s="23"/>
      <c r="BS230" s="23"/>
      <c r="BT230" s="23"/>
      <c r="BU230" s="23"/>
    </row>
    <row r="231" ht="24.75" customHeight="1">
      <c r="A231" s="1109" t="str">
        <f t="shared" si="131"/>
        <v>Да</v>
      </c>
      <c r="B231" s="1736">
        <v>4176.0</v>
      </c>
      <c r="C231" s="1948">
        <v>221.0</v>
      </c>
      <c r="D231" s="1136"/>
      <c r="E231" s="784" t="str">
        <f t="shared" si="132"/>
        <v>Курочка в сырном соусе с картофелем</v>
      </c>
      <c r="F231" s="1485" t="str">
        <f t="shared" si="133"/>
        <v/>
      </c>
      <c r="G231" s="69"/>
      <c r="H231" s="1485" t="str">
        <f t="shared" si="134"/>
        <v/>
      </c>
      <c r="I231" s="69"/>
      <c r="J231" s="1534" t="str">
        <f t="shared" si="135"/>
        <v/>
      </c>
      <c r="K231" s="69"/>
      <c r="L231" s="1485" t="str">
        <f t="shared" si="136"/>
        <v/>
      </c>
      <c r="M231" s="69"/>
      <c r="N231" s="1485" t="str">
        <f t="shared" si="137"/>
        <v/>
      </c>
      <c r="O231" s="69"/>
      <c r="P231" s="1072" t="str">
        <f t="shared" si="138"/>
        <v/>
      </c>
      <c r="Q231" s="69"/>
      <c r="R231" s="1072" t="str">
        <f t="shared" si="139"/>
        <v/>
      </c>
      <c r="S231" s="69"/>
      <c r="T231" s="1072" t="str">
        <f t="shared" si="140"/>
        <v/>
      </c>
      <c r="U231" s="69"/>
      <c r="V231" s="1426" t="str">
        <f t="shared" si="141"/>
        <v/>
      </c>
      <c r="W231" s="69"/>
      <c r="X231" s="1426" t="str">
        <f t="shared" si="142"/>
        <v/>
      </c>
      <c r="Y231" s="69"/>
      <c r="Z231" s="1426" t="str">
        <f t="shared" si="143"/>
        <v/>
      </c>
      <c r="AA231" s="69"/>
      <c r="AB231" s="1427" t="str">
        <f t="shared" si="144"/>
        <v/>
      </c>
      <c r="AC231" s="69"/>
      <c r="AD231" s="1427" t="str">
        <f t="shared" si="145"/>
        <v/>
      </c>
      <c r="AE231" s="69"/>
      <c r="AF231" s="1427" t="str">
        <f t="shared" si="146"/>
        <v/>
      </c>
      <c r="AG231" s="69"/>
      <c r="AH231" s="1427" t="str">
        <f t="shared" si="147"/>
        <v/>
      </c>
      <c r="AI231" s="69"/>
      <c r="AJ231" s="1427" t="str">
        <f t="shared" si="148"/>
        <v/>
      </c>
      <c r="AK231" s="69"/>
      <c r="AL231" s="1427" t="str">
        <f t="shared" si="149"/>
        <v/>
      </c>
      <c r="AM231" s="69"/>
      <c r="AN231" s="1323" t="str">
        <f t="shared" si="150"/>
        <v/>
      </c>
      <c r="AO231" s="69"/>
      <c r="AP231" s="1323" t="str">
        <f t="shared" si="151"/>
        <v/>
      </c>
      <c r="AQ231" s="69"/>
      <c r="AR231" s="1323" t="str">
        <f t="shared" si="152"/>
        <v/>
      </c>
      <c r="AS231" s="69"/>
      <c r="AT231" s="1323" t="str">
        <f t="shared" si="153"/>
        <v/>
      </c>
      <c r="AU231" s="69"/>
      <c r="AV231" s="1323" t="str">
        <f t="shared" si="154"/>
        <v/>
      </c>
      <c r="AW231" s="69"/>
      <c r="AX231" s="1323" t="str">
        <f t="shared" si="155"/>
        <v/>
      </c>
      <c r="AY231" s="69"/>
      <c r="AZ231" s="1323" t="str">
        <f t="shared" si="156"/>
        <v/>
      </c>
      <c r="BA231" s="69"/>
      <c r="BB231" s="1321" t="str">
        <f t="shared" si="157"/>
        <v/>
      </c>
      <c r="BC231" s="69"/>
      <c r="BD231" s="1321" t="str">
        <f t="shared" si="158"/>
        <v/>
      </c>
      <c r="BE231" s="69"/>
      <c r="BF231" s="1321" t="str">
        <f t="shared" si="159"/>
        <v/>
      </c>
      <c r="BG231" s="69"/>
      <c r="BH231" s="1321" t="str">
        <f t="shared" si="160"/>
        <v/>
      </c>
      <c r="BI231" s="69"/>
      <c r="BJ231" s="1201" t="str">
        <f t="shared" si="161"/>
        <v/>
      </c>
      <c r="BK231" s="69"/>
      <c r="BL231" s="1536">
        <f t="shared" si="162"/>
        <v>80</v>
      </c>
      <c r="BM231" s="69"/>
      <c r="BN231" s="1072">
        <f t="shared" si="163"/>
        <v>80</v>
      </c>
      <c r="BO231" s="69"/>
      <c r="BQ231" s="23"/>
      <c r="BR231" s="23"/>
      <c r="BS231" s="23"/>
      <c r="BT231" s="23"/>
      <c r="BU231" s="23"/>
    </row>
    <row r="232" ht="24.75" customHeight="1">
      <c r="A232" s="1109" t="str">
        <f t="shared" si="131"/>
        <v>Да</v>
      </c>
      <c r="B232" s="1736">
        <v>4279.0</v>
      </c>
      <c r="C232" s="1948">
        <v>269.0</v>
      </c>
      <c r="D232" s="1136"/>
      <c r="E232" s="784" t="str">
        <f t="shared" si="132"/>
        <v>Гречка по-купечески с томленой говядиной </v>
      </c>
      <c r="F232" s="1485">
        <f t="shared" si="133"/>
        <v>2</v>
      </c>
      <c r="G232" s="69"/>
      <c r="H232" s="1485">
        <f t="shared" si="134"/>
        <v>3</v>
      </c>
      <c r="I232" s="69"/>
      <c r="J232" s="1534">
        <f t="shared" si="135"/>
        <v>6</v>
      </c>
      <c r="K232" s="69"/>
      <c r="L232" s="1485">
        <f t="shared" si="136"/>
        <v>2</v>
      </c>
      <c r="M232" s="69"/>
      <c r="N232" s="1485">
        <f t="shared" si="137"/>
        <v>2</v>
      </c>
      <c r="O232" s="69"/>
      <c r="P232" s="1072">
        <f t="shared" si="138"/>
        <v>3</v>
      </c>
      <c r="Q232" s="69"/>
      <c r="R232" s="1072">
        <f t="shared" si="139"/>
        <v>2</v>
      </c>
      <c r="S232" s="69"/>
      <c r="T232" s="1072">
        <f t="shared" si="140"/>
        <v>2</v>
      </c>
      <c r="U232" s="69"/>
      <c r="V232" s="1426">
        <f t="shared" si="141"/>
        <v>2</v>
      </c>
      <c r="W232" s="69"/>
      <c r="X232" s="1426">
        <f t="shared" si="142"/>
        <v>1</v>
      </c>
      <c r="Y232" s="69"/>
      <c r="Z232" s="1426" t="str">
        <f t="shared" si="143"/>
        <v/>
      </c>
      <c r="AA232" s="69"/>
      <c r="AB232" s="1427">
        <f t="shared" si="144"/>
        <v>2</v>
      </c>
      <c r="AC232" s="69"/>
      <c r="AD232" s="1427">
        <f t="shared" si="145"/>
        <v>2</v>
      </c>
      <c r="AE232" s="69"/>
      <c r="AF232" s="1427">
        <f t="shared" si="146"/>
        <v>4</v>
      </c>
      <c r="AG232" s="69"/>
      <c r="AH232" s="1427">
        <f t="shared" si="147"/>
        <v>1</v>
      </c>
      <c r="AI232" s="69"/>
      <c r="AJ232" s="1427">
        <f t="shared" si="148"/>
        <v>2</v>
      </c>
      <c r="AK232" s="69"/>
      <c r="AL232" s="1427">
        <f t="shared" si="149"/>
        <v>2</v>
      </c>
      <c r="AM232" s="69"/>
      <c r="AN232" s="1323">
        <f t="shared" si="150"/>
        <v>2</v>
      </c>
      <c r="AO232" s="69"/>
      <c r="AP232" s="1323">
        <f t="shared" si="151"/>
        <v>1</v>
      </c>
      <c r="AQ232" s="69"/>
      <c r="AR232" s="1323">
        <f t="shared" si="152"/>
        <v>2</v>
      </c>
      <c r="AS232" s="69"/>
      <c r="AT232" s="1323">
        <f t="shared" si="153"/>
        <v>4</v>
      </c>
      <c r="AU232" s="69"/>
      <c r="AV232" s="1323">
        <f t="shared" si="154"/>
        <v>2</v>
      </c>
      <c r="AW232" s="69"/>
      <c r="AX232" s="1323">
        <f t="shared" si="155"/>
        <v>2</v>
      </c>
      <c r="AY232" s="69"/>
      <c r="AZ232" s="1323">
        <f t="shared" si="156"/>
        <v>1</v>
      </c>
      <c r="BA232" s="69"/>
      <c r="BB232" s="1321" t="str">
        <f t="shared" si="157"/>
        <v/>
      </c>
      <c r="BC232" s="69"/>
      <c r="BD232" s="1321">
        <f t="shared" si="158"/>
        <v>0</v>
      </c>
      <c r="BE232" s="69"/>
      <c r="BF232" s="1321">
        <f t="shared" si="159"/>
        <v>2</v>
      </c>
      <c r="BG232" s="69"/>
      <c r="BH232" s="1321">
        <f t="shared" si="160"/>
        <v>4</v>
      </c>
      <c r="BI232" s="69"/>
      <c r="BJ232" s="1201">
        <f t="shared" si="161"/>
        <v>2</v>
      </c>
      <c r="BK232" s="69"/>
      <c r="BL232" s="1536" t="str">
        <f t="shared" si="162"/>
        <v/>
      </c>
      <c r="BM232" s="69"/>
      <c r="BN232" s="1072">
        <f t="shared" si="163"/>
        <v>60</v>
      </c>
      <c r="BO232" s="69"/>
      <c r="BQ232" s="23"/>
      <c r="BR232" s="23"/>
      <c r="BS232" s="23"/>
      <c r="BT232" s="23"/>
      <c r="BU232" s="23"/>
    </row>
    <row r="233" ht="24.75" customHeight="1">
      <c r="A233" s="1109" t="str">
        <f t="shared" si="131"/>
        <v/>
      </c>
      <c r="B233" s="1736">
        <v>3454.0</v>
      </c>
      <c r="C233" s="1948">
        <v>67.0</v>
      </c>
      <c r="D233" s="1136"/>
      <c r="E233" s="784" t="str">
        <f t="shared" si="132"/>
        <v>Рулетик с корицей 100 гр</v>
      </c>
      <c r="F233" s="1485" t="str">
        <f t="shared" si="133"/>
        <v/>
      </c>
      <c r="G233" s="69"/>
      <c r="H233" s="1485" t="str">
        <f t="shared" si="134"/>
        <v/>
      </c>
      <c r="I233" s="69"/>
      <c r="J233" s="1534" t="str">
        <f t="shared" si="135"/>
        <v/>
      </c>
      <c r="K233" s="69"/>
      <c r="L233" s="1485" t="str">
        <f t="shared" si="136"/>
        <v/>
      </c>
      <c r="M233" s="69"/>
      <c r="N233" s="1485" t="str">
        <f t="shared" si="137"/>
        <v/>
      </c>
      <c r="O233" s="69"/>
      <c r="P233" s="1072" t="str">
        <f t="shared" si="138"/>
        <v/>
      </c>
      <c r="Q233" s="69"/>
      <c r="R233" s="1072" t="str">
        <f t="shared" si="139"/>
        <v/>
      </c>
      <c r="S233" s="69"/>
      <c r="T233" s="1072" t="str">
        <f t="shared" si="140"/>
        <v/>
      </c>
      <c r="U233" s="69"/>
      <c r="V233" s="1426" t="str">
        <f t="shared" si="141"/>
        <v/>
      </c>
      <c r="W233" s="69"/>
      <c r="X233" s="1426" t="str">
        <f t="shared" si="142"/>
        <v/>
      </c>
      <c r="Y233" s="69"/>
      <c r="Z233" s="1426" t="str">
        <f t="shared" si="143"/>
        <v/>
      </c>
      <c r="AA233" s="69"/>
      <c r="AB233" s="1427" t="str">
        <f t="shared" si="144"/>
        <v/>
      </c>
      <c r="AC233" s="69"/>
      <c r="AD233" s="1427" t="str">
        <f t="shared" si="145"/>
        <v/>
      </c>
      <c r="AE233" s="69"/>
      <c r="AF233" s="1427" t="str">
        <f t="shared" si="146"/>
        <v/>
      </c>
      <c r="AG233" s="69"/>
      <c r="AH233" s="1427" t="str">
        <f t="shared" si="147"/>
        <v/>
      </c>
      <c r="AI233" s="69"/>
      <c r="AJ233" s="1427" t="str">
        <f t="shared" si="148"/>
        <v/>
      </c>
      <c r="AK233" s="69"/>
      <c r="AL233" s="1427" t="str">
        <f t="shared" si="149"/>
        <v/>
      </c>
      <c r="AM233" s="69"/>
      <c r="AN233" s="1323" t="str">
        <f t="shared" si="150"/>
        <v/>
      </c>
      <c r="AO233" s="69"/>
      <c r="AP233" s="1323" t="str">
        <f t="shared" si="151"/>
        <v/>
      </c>
      <c r="AQ233" s="69"/>
      <c r="AR233" s="1323" t="str">
        <f t="shared" si="152"/>
        <v/>
      </c>
      <c r="AS233" s="69"/>
      <c r="AT233" s="1323" t="str">
        <f t="shared" si="153"/>
        <v/>
      </c>
      <c r="AU233" s="69"/>
      <c r="AV233" s="1323" t="str">
        <f t="shared" si="154"/>
        <v/>
      </c>
      <c r="AW233" s="69"/>
      <c r="AX233" s="1323" t="str">
        <f t="shared" si="155"/>
        <v/>
      </c>
      <c r="AY233" s="69"/>
      <c r="AZ233" s="1323" t="str">
        <f t="shared" si="156"/>
        <v/>
      </c>
      <c r="BA233" s="69"/>
      <c r="BB233" s="1321" t="str">
        <f t="shared" si="157"/>
        <v/>
      </c>
      <c r="BC233" s="69"/>
      <c r="BD233" s="1321" t="str">
        <f t="shared" si="158"/>
        <v/>
      </c>
      <c r="BE233" s="69"/>
      <c r="BF233" s="1321" t="str">
        <f t="shared" si="159"/>
        <v/>
      </c>
      <c r="BG233" s="69"/>
      <c r="BH233" s="1321" t="str">
        <f t="shared" si="160"/>
        <v/>
      </c>
      <c r="BI233" s="69"/>
      <c r="BJ233" s="1201" t="str">
        <f t="shared" si="161"/>
        <v/>
      </c>
      <c r="BK233" s="69"/>
      <c r="BL233" s="1536">
        <f t="shared" si="162"/>
        <v>12</v>
      </c>
      <c r="BM233" s="69"/>
      <c r="BN233" s="1072">
        <f t="shared" si="163"/>
        <v>12</v>
      </c>
      <c r="BO233" s="69"/>
      <c r="BQ233" s="11"/>
      <c r="BR233" s="11"/>
      <c r="BS233" s="11"/>
      <c r="BT233" s="11"/>
      <c r="BU233" s="11"/>
    </row>
    <row r="234" ht="24.75" customHeight="1">
      <c r="A234" s="1109" t="str">
        <f t="shared" si="131"/>
        <v/>
      </c>
      <c r="B234" s="1736">
        <v>3527.0</v>
      </c>
      <c r="C234" s="1948">
        <v>96.0</v>
      </c>
      <c r="D234" s="1136"/>
      <c r="E234" s="784" t="str">
        <f t="shared" si="132"/>
        <v>Хачапури 100 гр</v>
      </c>
      <c r="F234" s="1485" t="str">
        <f t="shared" si="133"/>
        <v/>
      </c>
      <c r="G234" s="69"/>
      <c r="H234" s="1561" t="str">
        <f t="shared" si="134"/>
        <v/>
      </c>
      <c r="I234" s="69"/>
      <c r="J234" s="1534" t="str">
        <f t="shared" si="135"/>
        <v/>
      </c>
      <c r="K234" s="69"/>
      <c r="L234" s="1485" t="str">
        <f t="shared" si="136"/>
        <v/>
      </c>
      <c r="M234" s="69"/>
      <c r="N234" s="1485" t="str">
        <f t="shared" si="137"/>
        <v/>
      </c>
      <c r="O234" s="69"/>
      <c r="P234" s="1435" t="str">
        <f t="shared" si="138"/>
        <v/>
      </c>
      <c r="Q234" s="69"/>
      <c r="R234" s="1072" t="str">
        <f t="shared" si="139"/>
        <v/>
      </c>
      <c r="S234" s="69"/>
      <c r="T234" s="1072" t="str">
        <f t="shared" si="140"/>
        <v/>
      </c>
      <c r="U234" s="69"/>
      <c r="V234" s="1072" t="str">
        <f t="shared" si="141"/>
        <v/>
      </c>
      <c r="W234" s="69"/>
      <c r="X234" s="1072" t="str">
        <f t="shared" si="142"/>
        <v/>
      </c>
      <c r="Y234" s="69"/>
      <c r="Z234" s="1072" t="str">
        <f t="shared" si="143"/>
        <v/>
      </c>
      <c r="AA234" s="69"/>
      <c r="AB234" s="1485" t="str">
        <f t="shared" si="144"/>
        <v/>
      </c>
      <c r="AC234" s="69"/>
      <c r="AD234" s="1485" t="str">
        <f t="shared" si="145"/>
        <v/>
      </c>
      <c r="AE234" s="69"/>
      <c r="AF234" s="1485" t="str">
        <f t="shared" si="146"/>
        <v/>
      </c>
      <c r="AG234" s="69"/>
      <c r="AH234" s="1485" t="str">
        <f t="shared" si="147"/>
        <v/>
      </c>
      <c r="AI234" s="69"/>
      <c r="AJ234" s="1485" t="str">
        <f t="shared" si="148"/>
        <v/>
      </c>
      <c r="AK234" s="69"/>
      <c r="AL234" s="1485" t="str">
        <f t="shared" si="149"/>
        <v/>
      </c>
      <c r="AM234" s="69"/>
      <c r="AN234" s="1321" t="str">
        <f t="shared" si="150"/>
        <v/>
      </c>
      <c r="AO234" s="69"/>
      <c r="AP234" s="1321" t="str">
        <f t="shared" si="151"/>
        <v/>
      </c>
      <c r="AQ234" s="69"/>
      <c r="AR234" s="1321" t="str">
        <f t="shared" si="152"/>
        <v/>
      </c>
      <c r="AS234" s="69"/>
      <c r="AT234" s="1321" t="str">
        <f t="shared" si="153"/>
        <v/>
      </c>
      <c r="AU234" s="69"/>
      <c r="AV234" s="1323" t="str">
        <f t="shared" si="154"/>
        <v/>
      </c>
      <c r="AW234" s="69"/>
      <c r="AX234" s="1323" t="str">
        <f t="shared" si="155"/>
        <v/>
      </c>
      <c r="AY234" s="69"/>
      <c r="AZ234" s="1323" t="str">
        <f t="shared" si="156"/>
        <v/>
      </c>
      <c r="BA234" s="69"/>
      <c r="BB234" s="1321" t="str">
        <f t="shared" si="157"/>
        <v/>
      </c>
      <c r="BC234" s="69"/>
      <c r="BD234" s="1321" t="str">
        <f t="shared" si="158"/>
        <v/>
      </c>
      <c r="BE234" s="69"/>
      <c r="BF234" s="1321" t="str">
        <f t="shared" si="159"/>
        <v/>
      </c>
      <c r="BG234" s="69"/>
      <c r="BH234" s="1321" t="str">
        <f t="shared" si="160"/>
        <v/>
      </c>
      <c r="BI234" s="69"/>
      <c r="BJ234" s="1201" t="str">
        <f t="shared" si="161"/>
        <v/>
      </c>
      <c r="BK234" s="69"/>
      <c r="BL234" s="1534">
        <f t="shared" si="162"/>
        <v>15</v>
      </c>
      <c r="BM234" s="69"/>
      <c r="BN234" s="1072">
        <f t="shared" si="163"/>
        <v>15</v>
      </c>
      <c r="BO234" s="69"/>
      <c r="BQ234" s="11"/>
      <c r="BR234" s="11"/>
      <c r="BS234" s="11"/>
      <c r="BT234" s="11"/>
      <c r="BU234" s="11"/>
    </row>
    <row r="235" ht="24.75" customHeight="1">
      <c r="A235" s="1109" t="str">
        <f t="shared" si="131"/>
        <v>Да</v>
      </c>
      <c r="B235" s="1736">
        <v>2083.0</v>
      </c>
      <c r="C235" s="1948">
        <v>158.0</v>
      </c>
      <c r="D235" s="1136"/>
      <c r="E235" s="784" t="str">
        <f t="shared" si="132"/>
        <v>Сэндвич ''Цезарь''</v>
      </c>
      <c r="F235" s="1485">
        <f t="shared" si="133"/>
        <v>7</v>
      </c>
      <c r="G235" s="69"/>
      <c r="H235" s="1485">
        <f t="shared" si="134"/>
        <v>3</v>
      </c>
      <c r="I235" s="69"/>
      <c r="J235" s="1534">
        <f t="shared" si="135"/>
        <v>2</v>
      </c>
      <c r="K235" s="69"/>
      <c r="L235" s="1485">
        <f t="shared" si="136"/>
        <v>3</v>
      </c>
      <c r="M235" s="69"/>
      <c r="N235" s="1485">
        <f t="shared" si="137"/>
        <v>6</v>
      </c>
      <c r="O235" s="69"/>
      <c r="P235" s="1072">
        <f t="shared" si="138"/>
        <v>7</v>
      </c>
      <c r="Q235" s="69"/>
      <c r="R235" s="1072">
        <f t="shared" si="139"/>
        <v>5</v>
      </c>
      <c r="S235" s="69"/>
      <c r="T235" s="1072">
        <f t="shared" si="140"/>
        <v>3</v>
      </c>
      <c r="U235" s="69"/>
      <c r="V235" s="1426">
        <f t="shared" si="141"/>
        <v>1</v>
      </c>
      <c r="W235" s="69"/>
      <c r="X235" s="1426">
        <f t="shared" si="142"/>
        <v>7</v>
      </c>
      <c r="Y235" s="69"/>
      <c r="Z235" s="1426" t="str">
        <f t="shared" si="143"/>
        <v/>
      </c>
      <c r="AA235" s="69"/>
      <c r="AB235" s="1427">
        <f t="shared" si="144"/>
        <v>3</v>
      </c>
      <c r="AC235" s="69"/>
      <c r="AD235" s="1427">
        <f t="shared" si="145"/>
        <v>5</v>
      </c>
      <c r="AE235" s="69"/>
      <c r="AF235" s="1427">
        <f t="shared" si="146"/>
        <v>2</v>
      </c>
      <c r="AG235" s="69"/>
      <c r="AH235" s="1427">
        <f t="shared" si="147"/>
        <v>2</v>
      </c>
      <c r="AI235" s="69"/>
      <c r="AJ235" s="1427">
        <f t="shared" si="148"/>
        <v>3</v>
      </c>
      <c r="AK235" s="69"/>
      <c r="AL235" s="1427">
        <f t="shared" si="149"/>
        <v>3</v>
      </c>
      <c r="AM235" s="69"/>
      <c r="AN235" s="1323">
        <f t="shared" si="150"/>
        <v>2</v>
      </c>
      <c r="AO235" s="69"/>
      <c r="AP235" s="1323">
        <f t="shared" si="151"/>
        <v>2</v>
      </c>
      <c r="AQ235" s="69"/>
      <c r="AR235" s="1323">
        <f t="shared" si="152"/>
        <v>10</v>
      </c>
      <c r="AS235" s="69"/>
      <c r="AT235" s="1323">
        <f t="shared" si="153"/>
        <v>5</v>
      </c>
      <c r="AU235" s="69"/>
      <c r="AV235" s="1323">
        <f t="shared" si="154"/>
        <v>8</v>
      </c>
      <c r="AW235" s="69"/>
      <c r="AX235" s="1323">
        <f t="shared" si="155"/>
        <v>3</v>
      </c>
      <c r="AY235" s="69"/>
      <c r="AZ235" s="1323">
        <f t="shared" si="156"/>
        <v>2</v>
      </c>
      <c r="BA235" s="69"/>
      <c r="BB235" s="1321">
        <f t="shared" si="157"/>
        <v>3</v>
      </c>
      <c r="BC235" s="69"/>
      <c r="BD235" s="1321">
        <f t="shared" si="158"/>
        <v>2</v>
      </c>
      <c r="BE235" s="69"/>
      <c r="BF235" s="1321">
        <f t="shared" si="159"/>
        <v>2</v>
      </c>
      <c r="BG235" s="69"/>
      <c r="BH235" s="1321">
        <f t="shared" si="160"/>
        <v>3</v>
      </c>
      <c r="BI235" s="69"/>
      <c r="BJ235" s="1201">
        <f t="shared" si="161"/>
        <v>2</v>
      </c>
      <c r="BK235" s="69"/>
      <c r="BL235" s="1536" t="str">
        <f t="shared" si="162"/>
        <v/>
      </c>
      <c r="BM235" s="69"/>
      <c r="BN235" s="1072">
        <f t="shared" si="163"/>
        <v>106</v>
      </c>
      <c r="BO235" s="69"/>
      <c r="BQ235" s="11"/>
      <c r="BR235" s="11"/>
      <c r="BS235" s="11"/>
      <c r="BT235" s="11"/>
      <c r="BU235" s="11"/>
    </row>
    <row r="236" ht="24.75" customHeight="1">
      <c r="A236" s="1109" t="str">
        <f t="shared" si="131"/>
        <v>Да</v>
      </c>
      <c r="B236" s="1736">
        <v>2904.0</v>
      </c>
      <c r="C236" s="1948">
        <v>190.0</v>
      </c>
      <c r="D236" s="1136"/>
      <c r="E236" s="784" t="str">
        <f t="shared" si="132"/>
        <v>Ассорти сэндвич (пепперони/ветчина)</v>
      </c>
      <c r="F236" s="1485">
        <f t="shared" si="133"/>
        <v>8</v>
      </c>
      <c r="G236" s="69"/>
      <c r="H236" s="1485">
        <f t="shared" si="134"/>
        <v>4</v>
      </c>
      <c r="I236" s="69"/>
      <c r="J236" s="1534">
        <f t="shared" si="135"/>
        <v>4</v>
      </c>
      <c r="K236" s="69"/>
      <c r="L236" s="1485">
        <f t="shared" si="136"/>
        <v>2</v>
      </c>
      <c r="M236" s="69"/>
      <c r="N236" s="1485">
        <f t="shared" si="137"/>
        <v>10</v>
      </c>
      <c r="O236" s="69"/>
      <c r="P236" s="1072">
        <f t="shared" si="138"/>
        <v>7</v>
      </c>
      <c r="Q236" s="69"/>
      <c r="R236" s="1072">
        <f t="shared" si="139"/>
        <v>3</v>
      </c>
      <c r="S236" s="69"/>
      <c r="T236" s="1072">
        <f t="shared" si="140"/>
        <v>1</v>
      </c>
      <c r="U236" s="69"/>
      <c r="V236" s="1426">
        <f t="shared" si="141"/>
        <v>2</v>
      </c>
      <c r="W236" s="69"/>
      <c r="X236" s="1426">
        <f t="shared" si="142"/>
        <v>6</v>
      </c>
      <c r="Y236" s="69"/>
      <c r="Z236" s="1426" t="str">
        <f t="shared" si="143"/>
        <v/>
      </c>
      <c r="AA236" s="69"/>
      <c r="AB236" s="1427">
        <f t="shared" si="144"/>
        <v>5</v>
      </c>
      <c r="AC236" s="69"/>
      <c r="AD236" s="1427">
        <f t="shared" si="145"/>
        <v>7</v>
      </c>
      <c r="AE236" s="69"/>
      <c r="AF236" s="1427">
        <f t="shared" si="146"/>
        <v>2</v>
      </c>
      <c r="AG236" s="69"/>
      <c r="AH236" s="1427">
        <f t="shared" si="147"/>
        <v>3</v>
      </c>
      <c r="AI236" s="69"/>
      <c r="AJ236" s="1427">
        <f t="shared" si="148"/>
        <v>2</v>
      </c>
      <c r="AK236" s="69"/>
      <c r="AL236" s="1427">
        <f t="shared" si="149"/>
        <v>4</v>
      </c>
      <c r="AM236" s="69"/>
      <c r="AN236" s="1323">
        <f t="shared" si="150"/>
        <v>2</v>
      </c>
      <c r="AO236" s="69"/>
      <c r="AP236" s="1323">
        <f t="shared" si="151"/>
        <v>2</v>
      </c>
      <c r="AQ236" s="69"/>
      <c r="AR236" s="1323">
        <f t="shared" si="152"/>
        <v>8</v>
      </c>
      <c r="AS236" s="69"/>
      <c r="AT236" s="1323">
        <f t="shared" si="153"/>
        <v>2</v>
      </c>
      <c r="AU236" s="69"/>
      <c r="AV236" s="1323">
        <f t="shared" si="154"/>
        <v>7</v>
      </c>
      <c r="AW236" s="69"/>
      <c r="AX236" s="1323">
        <f t="shared" si="155"/>
        <v>3</v>
      </c>
      <c r="AY236" s="69"/>
      <c r="AZ236" s="1323">
        <f t="shared" si="156"/>
        <v>2</v>
      </c>
      <c r="BA236" s="69"/>
      <c r="BB236" s="1321">
        <f t="shared" si="157"/>
        <v>3</v>
      </c>
      <c r="BC236" s="69"/>
      <c r="BD236" s="1321">
        <f t="shared" si="158"/>
        <v>2</v>
      </c>
      <c r="BE236" s="69"/>
      <c r="BF236" s="1321">
        <f t="shared" si="159"/>
        <v>4</v>
      </c>
      <c r="BG236" s="69"/>
      <c r="BH236" s="1321">
        <f t="shared" si="160"/>
        <v>3</v>
      </c>
      <c r="BI236" s="69"/>
      <c r="BJ236" s="1201">
        <f t="shared" si="161"/>
        <v>3</v>
      </c>
      <c r="BK236" s="69"/>
      <c r="BL236" s="1536" t="str">
        <f t="shared" si="162"/>
        <v/>
      </c>
      <c r="BM236" s="69"/>
      <c r="BN236" s="1072">
        <f t="shared" si="163"/>
        <v>111</v>
      </c>
      <c r="BO236" s="69"/>
      <c r="BQ236" s="11"/>
      <c r="BR236" s="11"/>
      <c r="BS236" s="11"/>
      <c r="BT236" s="11"/>
      <c r="BU236" s="11"/>
    </row>
    <row r="237" ht="24.75" customHeight="1">
      <c r="A237" s="1109" t="str">
        <f t="shared" si="131"/>
        <v/>
      </c>
      <c r="B237" s="1736"/>
      <c r="C237" s="1948"/>
      <c r="D237" s="1136"/>
      <c r="E237" s="784" t="str">
        <f t="shared" si="132"/>
        <v/>
      </c>
      <c r="F237" s="1485" t="str">
        <f t="shared" si="133"/>
        <v/>
      </c>
      <c r="G237" s="69"/>
      <c r="H237" s="1561" t="str">
        <f t="shared" si="134"/>
        <v/>
      </c>
      <c r="I237" s="69"/>
      <c r="J237" s="1534" t="str">
        <f t="shared" si="135"/>
        <v/>
      </c>
      <c r="K237" s="69"/>
      <c r="L237" s="1485" t="str">
        <f t="shared" si="136"/>
        <v/>
      </c>
      <c r="M237" s="69"/>
      <c r="N237" s="1485" t="str">
        <f t="shared" si="137"/>
        <v/>
      </c>
      <c r="O237" s="69"/>
      <c r="P237" s="1435" t="str">
        <f t="shared" si="138"/>
        <v/>
      </c>
      <c r="Q237" s="69"/>
      <c r="R237" s="1072" t="str">
        <f t="shared" si="139"/>
        <v/>
      </c>
      <c r="S237" s="69"/>
      <c r="T237" s="1072" t="str">
        <f t="shared" si="140"/>
        <v/>
      </c>
      <c r="U237" s="69"/>
      <c r="V237" s="1426" t="str">
        <f t="shared" si="141"/>
        <v/>
      </c>
      <c r="W237" s="69"/>
      <c r="X237" s="1426" t="str">
        <f t="shared" si="142"/>
        <v/>
      </c>
      <c r="Y237" s="69"/>
      <c r="Z237" s="1426" t="str">
        <f t="shared" si="143"/>
        <v/>
      </c>
      <c r="AA237" s="69"/>
      <c r="AB237" s="1427" t="str">
        <f t="shared" si="144"/>
        <v/>
      </c>
      <c r="AC237" s="69"/>
      <c r="AD237" s="1427" t="str">
        <f t="shared" si="145"/>
        <v/>
      </c>
      <c r="AE237" s="69"/>
      <c r="AF237" s="1427" t="str">
        <f t="shared" si="146"/>
        <v/>
      </c>
      <c r="AG237" s="69"/>
      <c r="AH237" s="1427" t="str">
        <f t="shared" si="147"/>
        <v/>
      </c>
      <c r="AI237" s="69"/>
      <c r="AJ237" s="1427" t="str">
        <f t="shared" si="148"/>
        <v/>
      </c>
      <c r="AK237" s="69"/>
      <c r="AL237" s="1427" t="str">
        <f t="shared" si="149"/>
        <v/>
      </c>
      <c r="AM237" s="69"/>
      <c r="AN237" s="1323" t="str">
        <f t="shared" si="150"/>
        <v/>
      </c>
      <c r="AO237" s="69"/>
      <c r="AP237" s="1323" t="str">
        <f t="shared" si="151"/>
        <v/>
      </c>
      <c r="AQ237" s="69"/>
      <c r="AR237" s="1323" t="str">
        <f t="shared" si="152"/>
        <v/>
      </c>
      <c r="AS237" s="69"/>
      <c r="AT237" s="1323" t="str">
        <f t="shared" si="153"/>
        <v/>
      </c>
      <c r="AU237" s="69"/>
      <c r="AV237" s="1323" t="str">
        <f t="shared" si="154"/>
        <v/>
      </c>
      <c r="AW237" s="69"/>
      <c r="AX237" s="1323" t="str">
        <f t="shared" si="155"/>
        <v/>
      </c>
      <c r="AY237" s="69"/>
      <c r="AZ237" s="1323" t="str">
        <f t="shared" si="156"/>
        <v/>
      </c>
      <c r="BA237" s="69"/>
      <c r="BB237" s="1321" t="str">
        <f t="shared" si="157"/>
        <v/>
      </c>
      <c r="BC237" s="69"/>
      <c r="BD237" s="1321" t="str">
        <f t="shared" si="158"/>
        <v/>
      </c>
      <c r="BE237" s="69"/>
      <c r="BF237" s="1321" t="str">
        <f t="shared" si="159"/>
        <v/>
      </c>
      <c r="BG237" s="69"/>
      <c r="BH237" s="1321" t="str">
        <f t="shared" si="160"/>
        <v/>
      </c>
      <c r="BI237" s="69"/>
      <c r="BJ237" s="1201" t="str">
        <f t="shared" si="161"/>
        <v/>
      </c>
      <c r="BK237" s="69"/>
      <c r="BL237" s="1536" t="str">
        <f t="shared" si="162"/>
        <v/>
      </c>
      <c r="BM237" s="69"/>
      <c r="BN237" s="1072">
        <f t="shared" si="163"/>
        <v>0</v>
      </c>
      <c r="BO237" s="69"/>
      <c r="BQ237" s="11"/>
      <c r="BR237" s="11"/>
      <c r="BS237" s="11"/>
      <c r="BT237" s="11"/>
      <c r="BU237" s="11"/>
    </row>
    <row r="238" ht="24.75" customHeight="1">
      <c r="A238" s="1109" t="str">
        <f t="shared" si="131"/>
        <v>Да</v>
      </c>
      <c r="B238" s="1736">
        <v>3997.0</v>
      </c>
      <c r="C238" s="1948">
        <v>98.0</v>
      </c>
      <c r="D238" s="1136"/>
      <c r="E238" s="784" t="str">
        <f t="shared" si="132"/>
        <v>Морс облепиховый 0,5 л</v>
      </c>
      <c r="F238" s="1485">
        <f t="shared" si="133"/>
        <v>18</v>
      </c>
      <c r="G238" s="69"/>
      <c r="H238" s="1485">
        <f t="shared" si="134"/>
        <v>3</v>
      </c>
      <c r="I238" s="69"/>
      <c r="J238" s="1534">
        <f t="shared" si="135"/>
        <v>7</v>
      </c>
      <c r="K238" s="69"/>
      <c r="L238" s="1485">
        <f t="shared" si="136"/>
        <v>0</v>
      </c>
      <c r="M238" s="69"/>
      <c r="N238" s="1485">
        <f t="shared" si="137"/>
        <v>6</v>
      </c>
      <c r="O238" s="69"/>
      <c r="P238" s="1072">
        <f t="shared" si="138"/>
        <v>12</v>
      </c>
      <c r="Q238" s="69"/>
      <c r="R238" s="1072">
        <f t="shared" si="139"/>
        <v>0</v>
      </c>
      <c r="S238" s="69"/>
      <c r="T238" s="1072">
        <f t="shared" si="140"/>
        <v>0</v>
      </c>
      <c r="U238" s="69"/>
      <c r="V238" s="1426">
        <f t="shared" si="141"/>
        <v>0</v>
      </c>
      <c r="W238" s="69"/>
      <c r="X238" s="1426">
        <f t="shared" si="142"/>
        <v>5</v>
      </c>
      <c r="Y238" s="69"/>
      <c r="Z238" s="1426" t="str">
        <f t="shared" si="143"/>
        <v/>
      </c>
      <c r="AA238" s="69"/>
      <c r="AB238" s="1427">
        <f t="shared" si="144"/>
        <v>0</v>
      </c>
      <c r="AC238" s="69"/>
      <c r="AD238" s="1427">
        <f t="shared" si="145"/>
        <v>0</v>
      </c>
      <c r="AE238" s="69"/>
      <c r="AF238" s="1427">
        <f t="shared" si="146"/>
        <v>7</v>
      </c>
      <c r="AG238" s="69"/>
      <c r="AH238" s="1427">
        <f t="shared" si="147"/>
        <v>0</v>
      </c>
      <c r="AI238" s="69"/>
      <c r="AJ238" s="1427">
        <f t="shared" si="148"/>
        <v>0</v>
      </c>
      <c r="AK238" s="69"/>
      <c r="AL238" s="1427">
        <f t="shared" si="149"/>
        <v>0</v>
      </c>
      <c r="AM238" s="69"/>
      <c r="AN238" s="1323">
        <f t="shared" si="150"/>
        <v>10</v>
      </c>
      <c r="AO238" s="69"/>
      <c r="AP238" s="1323">
        <f t="shared" si="151"/>
        <v>0</v>
      </c>
      <c r="AQ238" s="69"/>
      <c r="AR238" s="1323">
        <f t="shared" si="152"/>
        <v>30</v>
      </c>
      <c r="AS238" s="69"/>
      <c r="AT238" s="1323">
        <f t="shared" si="153"/>
        <v>7</v>
      </c>
      <c r="AU238" s="69"/>
      <c r="AV238" s="1323">
        <f t="shared" si="154"/>
        <v>0</v>
      </c>
      <c r="AW238" s="69"/>
      <c r="AX238" s="1323">
        <f t="shared" si="155"/>
        <v>10</v>
      </c>
      <c r="AY238" s="69"/>
      <c r="AZ238" s="1323">
        <f t="shared" si="156"/>
        <v>0</v>
      </c>
      <c r="BA238" s="69"/>
      <c r="BB238" s="1321">
        <f t="shared" si="157"/>
        <v>0</v>
      </c>
      <c r="BC238" s="69"/>
      <c r="BD238" s="1321">
        <f t="shared" si="158"/>
        <v>7</v>
      </c>
      <c r="BE238" s="69"/>
      <c r="BF238" s="1321">
        <f t="shared" si="159"/>
        <v>20</v>
      </c>
      <c r="BG238" s="69"/>
      <c r="BH238" s="1321">
        <f t="shared" si="160"/>
        <v>7</v>
      </c>
      <c r="BI238" s="69"/>
      <c r="BJ238" s="1201">
        <f t="shared" si="161"/>
        <v>6</v>
      </c>
      <c r="BK238" s="69"/>
      <c r="BL238" s="1536" t="str">
        <f t="shared" si="162"/>
        <v/>
      </c>
      <c r="BM238" s="69"/>
      <c r="BN238" s="1072">
        <f t="shared" si="163"/>
        <v>155</v>
      </c>
      <c r="BO238" s="69"/>
      <c r="BQ238" s="11"/>
      <c r="BR238" s="11"/>
      <c r="BS238" s="11"/>
      <c r="BT238" s="11"/>
      <c r="BU238" s="11"/>
    </row>
    <row r="239" ht="24.75" customHeight="1">
      <c r="A239" s="1109" t="str">
        <f t="shared" si="131"/>
        <v>Да</v>
      </c>
      <c r="B239" s="1736">
        <v>822.0</v>
      </c>
      <c r="C239" s="1948">
        <v>5.0</v>
      </c>
      <c r="D239" s="1136"/>
      <c r="E239" s="784" t="str">
        <f t="shared" si="132"/>
        <v>Хлеб пшеничный</v>
      </c>
      <c r="F239" s="1485">
        <f t="shared" si="133"/>
        <v>5</v>
      </c>
      <c r="G239" s="69"/>
      <c r="H239" s="1485">
        <f t="shared" si="134"/>
        <v>3</v>
      </c>
      <c r="I239" s="69"/>
      <c r="J239" s="1534">
        <f t="shared" si="135"/>
        <v>3</v>
      </c>
      <c r="K239" s="69"/>
      <c r="L239" s="1485">
        <f t="shared" si="136"/>
        <v>4</v>
      </c>
      <c r="M239" s="69"/>
      <c r="N239" s="1485">
        <f t="shared" si="137"/>
        <v>5</v>
      </c>
      <c r="O239" s="69"/>
      <c r="P239" s="1072">
        <f t="shared" si="138"/>
        <v>3</v>
      </c>
      <c r="Q239" s="69"/>
      <c r="R239" s="1072">
        <f t="shared" si="139"/>
        <v>3</v>
      </c>
      <c r="S239" s="69"/>
      <c r="T239" s="1072">
        <f t="shared" si="140"/>
        <v>3</v>
      </c>
      <c r="U239" s="69"/>
      <c r="V239" s="1426">
        <f t="shared" si="141"/>
        <v>3</v>
      </c>
      <c r="W239" s="69"/>
      <c r="X239" s="1426">
        <f t="shared" si="142"/>
        <v>3</v>
      </c>
      <c r="Y239" s="69"/>
      <c r="Z239" s="1426" t="str">
        <f t="shared" si="143"/>
        <v/>
      </c>
      <c r="AA239" s="69"/>
      <c r="AB239" s="1427">
        <f t="shared" si="144"/>
        <v>3</v>
      </c>
      <c r="AC239" s="69"/>
      <c r="AD239" s="1427">
        <f t="shared" si="145"/>
        <v>3</v>
      </c>
      <c r="AE239" s="69"/>
      <c r="AF239" s="1427">
        <f t="shared" si="146"/>
        <v>3</v>
      </c>
      <c r="AG239" s="69"/>
      <c r="AH239" s="1427">
        <f t="shared" si="147"/>
        <v>3</v>
      </c>
      <c r="AI239" s="69"/>
      <c r="AJ239" s="1427">
        <f t="shared" si="148"/>
        <v>3</v>
      </c>
      <c r="AK239" s="69"/>
      <c r="AL239" s="1427">
        <f t="shared" si="149"/>
        <v>5</v>
      </c>
      <c r="AM239" s="69"/>
      <c r="AN239" s="1323">
        <f t="shared" si="150"/>
        <v>3</v>
      </c>
      <c r="AO239" s="69"/>
      <c r="AP239" s="1323">
        <f t="shared" si="151"/>
        <v>3</v>
      </c>
      <c r="AQ239" s="69"/>
      <c r="AR239" s="1323">
        <f t="shared" si="152"/>
        <v>0</v>
      </c>
      <c r="AS239" s="69"/>
      <c r="AT239" s="1323">
        <f t="shared" si="153"/>
        <v>7</v>
      </c>
      <c r="AU239" s="69"/>
      <c r="AV239" s="1323">
        <f t="shared" si="154"/>
        <v>3</v>
      </c>
      <c r="AW239" s="69"/>
      <c r="AX239" s="1323">
        <f t="shared" si="155"/>
        <v>3</v>
      </c>
      <c r="AY239" s="69"/>
      <c r="AZ239" s="1323">
        <f t="shared" si="156"/>
        <v>20</v>
      </c>
      <c r="BA239" s="69"/>
      <c r="BB239" s="1321">
        <f t="shared" si="157"/>
        <v>3</v>
      </c>
      <c r="BC239" s="69"/>
      <c r="BD239" s="1321">
        <f t="shared" si="158"/>
        <v>3</v>
      </c>
      <c r="BE239" s="69"/>
      <c r="BF239" s="1321">
        <f t="shared" si="159"/>
        <v>7</v>
      </c>
      <c r="BG239" s="69"/>
      <c r="BH239" s="1321">
        <f t="shared" si="160"/>
        <v>3</v>
      </c>
      <c r="BI239" s="69"/>
      <c r="BJ239" s="1201">
        <f t="shared" si="161"/>
        <v>3</v>
      </c>
      <c r="BK239" s="69"/>
      <c r="BL239" s="1536">
        <f t="shared" si="162"/>
        <v>120</v>
      </c>
      <c r="BM239" s="69"/>
      <c r="BN239" s="1072">
        <f t="shared" si="163"/>
        <v>233</v>
      </c>
      <c r="BO239" s="69"/>
      <c r="BQ239" s="547"/>
      <c r="BR239" s="11"/>
      <c r="BS239" s="11"/>
      <c r="BT239" s="11"/>
      <c r="BU239" s="11"/>
    </row>
    <row r="240" ht="24.75" customHeight="1">
      <c r="A240" s="1378" t="str">
        <f t="shared" si="131"/>
        <v>Да</v>
      </c>
      <c r="B240" s="1700">
        <v>2079.0</v>
      </c>
      <c r="C240" s="1153">
        <v>105.0</v>
      </c>
      <c r="D240" s="1136"/>
      <c r="E240" s="784" t="str">
        <f t="shared" si="132"/>
        <v>Вафельная трубочка с вареной сгущенкой</v>
      </c>
      <c r="F240" s="1485">
        <f t="shared" si="133"/>
        <v>36</v>
      </c>
      <c r="G240" s="69"/>
      <c r="H240" s="1485">
        <f t="shared" si="134"/>
        <v>4</v>
      </c>
      <c r="I240" s="69"/>
      <c r="J240" s="1485">
        <f t="shared" si="135"/>
        <v>3</v>
      </c>
      <c r="K240" s="69"/>
      <c r="L240" s="1485">
        <f t="shared" si="136"/>
        <v>8</v>
      </c>
      <c r="M240" s="69"/>
      <c r="N240" s="1485">
        <f t="shared" si="137"/>
        <v>8</v>
      </c>
      <c r="O240" s="69"/>
      <c r="P240" s="1485">
        <f t="shared" si="138"/>
        <v>6</v>
      </c>
      <c r="Q240" s="69"/>
      <c r="R240" s="1485">
        <f t="shared" si="139"/>
        <v>7</v>
      </c>
      <c r="S240" s="69"/>
      <c r="T240" s="1485">
        <f t="shared" si="140"/>
        <v>7</v>
      </c>
      <c r="U240" s="69"/>
      <c r="V240" s="1485">
        <f t="shared" si="141"/>
        <v>16</v>
      </c>
      <c r="W240" s="69"/>
      <c r="X240" s="1485">
        <f t="shared" si="142"/>
        <v>10</v>
      </c>
      <c r="Y240" s="69"/>
      <c r="Z240" s="1485" t="str">
        <f t="shared" si="143"/>
        <v/>
      </c>
      <c r="AA240" s="69"/>
      <c r="AB240" s="1485">
        <f t="shared" si="144"/>
        <v>9</v>
      </c>
      <c r="AC240" s="69"/>
      <c r="AD240" s="1485">
        <f t="shared" si="145"/>
        <v>17</v>
      </c>
      <c r="AE240" s="69"/>
      <c r="AF240" s="1485">
        <f t="shared" si="146"/>
        <v>21</v>
      </c>
      <c r="AG240" s="69"/>
      <c r="AH240" s="1485">
        <f t="shared" si="147"/>
        <v>8</v>
      </c>
      <c r="AI240" s="69"/>
      <c r="AJ240" s="1485">
        <f t="shared" si="148"/>
        <v>9</v>
      </c>
      <c r="AK240" s="69"/>
      <c r="AL240" s="1485">
        <f t="shared" si="149"/>
        <v>4</v>
      </c>
      <c r="AM240" s="69"/>
      <c r="AN240" s="1485">
        <f t="shared" si="150"/>
        <v>5</v>
      </c>
      <c r="AO240" s="69"/>
      <c r="AP240" s="1485">
        <f t="shared" si="151"/>
        <v>18</v>
      </c>
      <c r="AQ240" s="69"/>
      <c r="AR240" s="1485">
        <f t="shared" si="152"/>
        <v>4</v>
      </c>
      <c r="AS240" s="69"/>
      <c r="AT240" s="1485">
        <f t="shared" si="153"/>
        <v>8</v>
      </c>
      <c r="AU240" s="69"/>
      <c r="AV240" s="1485">
        <f t="shared" si="154"/>
        <v>7</v>
      </c>
      <c r="AW240" s="69"/>
      <c r="AX240" s="1485">
        <f t="shared" si="155"/>
        <v>9</v>
      </c>
      <c r="AY240" s="69"/>
      <c r="AZ240" s="1485">
        <f t="shared" si="156"/>
        <v>13</v>
      </c>
      <c r="BA240" s="69"/>
      <c r="BB240" s="1321">
        <f t="shared" si="157"/>
        <v>7</v>
      </c>
      <c r="BC240" s="69"/>
      <c r="BD240" s="1321">
        <f t="shared" si="158"/>
        <v>4</v>
      </c>
      <c r="BE240" s="69"/>
      <c r="BF240" s="1321">
        <f t="shared" si="159"/>
        <v>8</v>
      </c>
      <c r="BG240" s="69"/>
      <c r="BH240" s="1321">
        <f t="shared" si="160"/>
        <v>7</v>
      </c>
      <c r="BI240" s="69"/>
      <c r="BJ240" s="1201">
        <f t="shared" si="161"/>
        <v>7</v>
      </c>
      <c r="BK240" s="69"/>
      <c r="BL240" s="1485" t="str">
        <f t="shared" si="162"/>
        <v/>
      </c>
      <c r="BM240" s="69"/>
      <c r="BN240" s="1072">
        <f t="shared" si="163"/>
        <v>270</v>
      </c>
      <c r="BO240" s="69"/>
      <c r="BQ240" s="11"/>
      <c r="BR240" s="11"/>
      <c r="BT240" s="11"/>
      <c r="BU240" s="11"/>
    </row>
    <row r="241" ht="24.75" customHeight="1">
      <c r="A241" s="1378" t="str">
        <f t="shared" si="131"/>
        <v/>
      </c>
      <c r="B241" s="1164"/>
      <c r="C241" s="1153"/>
      <c r="D241" s="1136"/>
      <c r="E241" s="784" t="str">
        <f t="shared" si="132"/>
        <v/>
      </c>
      <c r="F241" s="1485">
        <f>SUM(F217:G240)</f>
        <v>112</v>
      </c>
      <c r="G241" s="69"/>
      <c r="H241" s="1485">
        <f>SUM(H217:I240)</f>
        <v>41</v>
      </c>
      <c r="I241" s="69"/>
      <c r="J241" s="1485">
        <f>SUM(J217:K240)</f>
        <v>48</v>
      </c>
      <c r="K241" s="69"/>
      <c r="L241" s="1485">
        <f>SUM(L217:M240)</f>
        <v>35</v>
      </c>
      <c r="M241" s="69"/>
      <c r="N241" s="1485">
        <f>SUM(N217:O240)</f>
        <v>79</v>
      </c>
      <c r="O241" s="69"/>
      <c r="P241" s="1485">
        <f>SUM(P217:Q240)</f>
        <v>70</v>
      </c>
      <c r="Q241" s="69"/>
      <c r="R241" s="1485">
        <f>SUM(R217:S240)</f>
        <v>43</v>
      </c>
      <c r="S241" s="69"/>
      <c r="T241" s="1485">
        <f>SUM(T217:U240)</f>
        <v>38</v>
      </c>
      <c r="U241" s="69"/>
      <c r="V241" s="1485">
        <f>SUM(V217:W240)</f>
        <v>51</v>
      </c>
      <c r="W241" s="69"/>
      <c r="X241" s="1485">
        <f>SUM(X217:Y240)</f>
        <v>47</v>
      </c>
      <c r="Y241" s="69"/>
      <c r="Z241" s="1485">
        <f>SUM(Z217:AA240)</f>
        <v>0</v>
      </c>
      <c r="AA241" s="69"/>
      <c r="AB241" s="1485">
        <f>SUM(AB217:AC240)</f>
        <v>39</v>
      </c>
      <c r="AC241" s="69"/>
      <c r="AD241" s="1485">
        <f>SUM(AD217:AE240)</f>
        <v>52</v>
      </c>
      <c r="AE241" s="69"/>
      <c r="AF241" s="1485">
        <f>SUM(AF217:AG240)</f>
        <v>60</v>
      </c>
      <c r="AG241" s="69"/>
      <c r="AH241" s="1485">
        <f>SUM(AH217:AI240)</f>
        <v>47</v>
      </c>
      <c r="AI241" s="69"/>
      <c r="AJ241" s="1485">
        <f>SUM(AJ217:AK240)</f>
        <v>36</v>
      </c>
      <c r="AK241" s="69"/>
      <c r="AL241" s="1485">
        <f>SUM(AL217:AM240)</f>
        <v>43</v>
      </c>
      <c r="AM241" s="69"/>
      <c r="AN241" s="1485">
        <f>SUM(AN217:AO240)</f>
        <v>40</v>
      </c>
      <c r="AO241" s="69"/>
      <c r="AP241" s="1485">
        <f>SUM(AP217:AQ240)</f>
        <v>46</v>
      </c>
      <c r="AQ241" s="69"/>
      <c r="AR241" s="1485">
        <f>SUM(AR217:AS240)</f>
        <v>89</v>
      </c>
      <c r="AS241" s="69"/>
      <c r="AT241" s="1485">
        <f>SUM(AT217:AU240)</f>
        <v>71</v>
      </c>
      <c r="AU241" s="69"/>
      <c r="AV241" s="1485">
        <f>SUM(AV217:AW240)</f>
        <v>45</v>
      </c>
      <c r="AW241" s="69"/>
      <c r="AX241" s="1485">
        <f>SUM(AX217:AY240)</f>
        <v>55</v>
      </c>
      <c r="AY241" s="69"/>
      <c r="AZ241" s="1485">
        <f>SUM(AZ217:BA240)</f>
        <v>53</v>
      </c>
      <c r="BA241" s="69"/>
      <c r="BB241" s="1485">
        <f>SUM(BB217:BC240)</f>
        <v>35</v>
      </c>
      <c r="BC241" s="69"/>
      <c r="BD241" s="1485">
        <f>SUM(BD217:BE240)</f>
        <v>31</v>
      </c>
      <c r="BE241" s="69"/>
      <c r="BF241" s="1485">
        <f>SUM(BF217:BG240)</f>
        <v>73</v>
      </c>
      <c r="BG241" s="69"/>
      <c r="BH241" s="1485">
        <f>SUM(BH217:BI240)</f>
        <v>48</v>
      </c>
      <c r="BI241" s="69"/>
      <c r="BJ241" s="1485">
        <f>SUM(BJ217:BK240)</f>
        <v>54</v>
      </c>
      <c r="BK241" s="69"/>
      <c r="BL241" s="1485">
        <f>SUM(BL217:BM240)</f>
        <v>465</v>
      </c>
      <c r="BM241" s="69"/>
      <c r="BN241" s="1072">
        <f t="shared" si="163"/>
        <v>1946</v>
      </c>
      <c r="BO241" s="69"/>
      <c r="BQ241" s="11"/>
      <c r="BR241" s="11"/>
      <c r="BT241" s="11"/>
      <c r="BU241" s="11"/>
    </row>
    <row r="242" ht="15.75" customHeight="1">
      <c r="A242" s="1002"/>
      <c r="B242" s="2363"/>
      <c r="C242" s="1416"/>
      <c r="D242" s="1416"/>
      <c r="E242" s="684"/>
      <c r="F242" s="1187"/>
      <c r="G242" s="1188"/>
      <c r="H242" s="1187"/>
      <c r="I242" s="1188"/>
      <c r="J242" s="1187"/>
      <c r="K242" s="1188"/>
      <c r="L242" s="547"/>
      <c r="M242" s="547"/>
      <c r="N242" s="1187"/>
      <c r="O242" s="1187"/>
      <c r="V242" s="1189"/>
      <c r="X242" s="1189"/>
      <c r="Z242" s="1190"/>
      <c r="AB242" s="1190"/>
      <c r="AH242" s="701"/>
      <c r="AJ242" s="701"/>
      <c r="BB242" s="1190"/>
      <c r="BD242" s="1190"/>
      <c r="BF242" s="1190"/>
      <c r="BH242" s="1190"/>
      <c r="BJ242" s="1190"/>
      <c r="BL242" s="2364" t="str">
        <f>BM214</f>
        <v>ИТОГО</v>
      </c>
      <c r="BM242" s="69"/>
      <c r="BN242" s="2365">
        <f>SUM(BN217:BO241)</f>
        <v>3892</v>
      </c>
      <c r="BO242" s="532"/>
      <c r="BQ242" s="11"/>
      <c r="BR242" s="11"/>
      <c r="BS242" s="11"/>
      <c r="BT242" s="11"/>
      <c r="BU242" s="11"/>
    </row>
    <row r="243" ht="15.75" customHeight="1">
      <c r="A243" s="1002"/>
      <c r="B243" s="2363"/>
      <c r="C243" s="1416"/>
      <c r="D243" s="1416"/>
      <c r="E243" s="684"/>
      <c r="F243" s="1187"/>
      <c r="G243" s="1188"/>
      <c r="H243" s="1187"/>
      <c r="I243" s="1188"/>
      <c r="J243" s="1187"/>
      <c r="K243" s="1188"/>
      <c r="L243" s="547"/>
      <c r="M243" s="547"/>
      <c r="N243" s="1187"/>
      <c r="O243" s="1187"/>
      <c r="V243" s="1190"/>
      <c r="X243" s="1190"/>
      <c r="Z243" s="1190"/>
      <c r="AB243" s="1190"/>
      <c r="BB243" s="1190"/>
      <c r="BD243" s="1190"/>
      <c r="BF243" s="1190"/>
      <c r="BH243" s="1190"/>
      <c r="BJ243" s="1190"/>
      <c r="BL243" s="1575"/>
      <c r="BM243" s="1575"/>
      <c r="BN243" s="11"/>
      <c r="BO243" s="11"/>
      <c r="BP243" s="11"/>
      <c r="BQ243" s="11"/>
      <c r="BR243" s="11"/>
      <c r="BS243" s="11"/>
      <c r="BT243" s="11"/>
      <c r="BU243" s="11"/>
    </row>
    <row r="244" ht="15.75" customHeight="1">
      <c r="A244" s="1004"/>
      <c r="B244" s="2041"/>
      <c r="C244" s="2042"/>
      <c r="D244" s="2042"/>
      <c r="E244" s="1193"/>
      <c r="F244" s="1007"/>
      <c r="G244" s="677"/>
      <c r="H244" s="1007"/>
      <c r="I244" s="677"/>
      <c r="K244" s="677"/>
      <c r="L244" s="1007"/>
      <c r="M244" s="677"/>
      <c r="N244" s="1007"/>
      <c r="O244" s="13"/>
      <c r="P244" s="1007"/>
      <c r="Q244" s="677"/>
      <c r="X244" s="63"/>
      <c r="Z244" s="63"/>
      <c r="BB244" s="1190"/>
      <c r="BD244" s="1190"/>
      <c r="BF244" s="1190"/>
      <c r="BH244" s="1190"/>
      <c r="BJ244" s="1190"/>
      <c r="BN244" s="206"/>
      <c r="BO244" s="206"/>
      <c r="BP244" s="206"/>
      <c r="BQ244" s="195"/>
      <c r="BR244" s="195"/>
      <c r="BS244" s="195"/>
      <c r="BT244" s="195"/>
      <c r="BU244" s="195"/>
    </row>
    <row r="245" ht="15.75" customHeight="1">
      <c r="A245" s="1937" t="s">
        <v>1279</v>
      </c>
      <c r="B245" s="1548"/>
      <c r="C245" s="1938"/>
      <c r="D245" s="1938">
        <v>46254.0</v>
      </c>
      <c r="E245" s="1939" t="s">
        <v>3133</v>
      </c>
      <c r="F245" s="1476"/>
      <c r="G245" s="1477"/>
      <c r="H245" s="1478"/>
      <c r="I245" s="1601"/>
      <c r="J245" s="1555"/>
      <c r="K245" s="1601"/>
      <c r="L245" s="1555"/>
      <c r="M245" s="1601"/>
      <c r="N245" s="1555"/>
      <c r="O245" s="1555"/>
      <c r="P245" s="1555"/>
      <c r="Q245" s="2201"/>
      <c r="R245" s="2201"/>
      <c r="S245" s="2201"/>
      <c r="T245" s="2201"/>
      <c r="U245" s="2201"/>
      <c r="V245" s="2201"/>
      <c r="W245" s="2201"/>
      <c r="X245" s="2201"/>
      <c r="Y245" s="2201"/>
      <c r="Z245" s="2201"/>
      <c r="AA245" s="2201"/>
      <c r="AB245" s="2201"/>
      <c r="AC245" s="2201"/>
      <c r="AD245" s="2201"/>
      <c r="AE245" s="2201"/>
      <c r="AF245" s="2201"/>
      <c r="AG245" s="2201"/>
      <c r="AH245" s="2201"/>
      <c r="AI245" s="2201"/>
      <c r="AJ245" s="2201"/>
      <c r="AK245" s="2201"/>
      <c r="AL245" s="2201"/>
      <c r="AM245" s="2201"/>
      <c r="AN245" s="2201"/>
      <c r="AO245" s="2201"/>
      <c r="AP245" s="2201"/>
      <c r="AQ245" s="2201"/>
      <c r="AR245" s="2201"/>
      <c r="AS245" s="2201"/>
      <c r="AT245" s="2201"/>
      <c r="AU245" s="2201"/>
      <c r="AV245" s="2201"/>
      <c r="AW245" s="2201"/>
      <c r="AX245" s="2201"/>
      <c r="AY245" s="2201"/>
      <c r="AZ245" s="2201"/>
      <c r="BA245" s="2201"/>
      <c r="BB245" s="2201"/>
      <c r="BC245" s="2201"/>
      <c r="BD245" s="2201"/>
      <c r="BE245" s="2201"/>
      <c r="BF245" s="2201"/>
      <c r="BG245" s="2201"/>
      <c r="BH245" s="2201"/>
      <c r="BI245" s="2201"/>
      <c r="BJ245" s="2201"/>
      <c r="BK245" s="1479"/>
      <c r="BL245" s="2201"/>
      <c r="BM245" s="2201"/>
      <c r="BN245" s="2201"/>
      <c r="BO245" s="2201"/>
      <c r="BP245" s="2201"/>
      <c r="BQ245" s="2056"/>
      <c r="BR245" s="2056"/>
      <c r="BS245" s="2056"/>
      <c r="BT245" s="2057"/>
      <c r="BU245" s="2057"/>
    </row>
    <row r="246" ht="15.75" customHeight="1">
      <c r="A246" s="1567"/>
      <c r="B246" s="1971" t="s">
        <v>1283</v>
      </c>
      <c r="C246" s="1972" t="s">
        <v>19</v>
      </c>
      <c r="D246" s="1972" t="s">
        <v>473</v>
      </c>
      <c r="E246" s="1073" t="s">
        <v>471</v>
      </c>
      <c r="F246" s="1075" t="s">
        <v>1357</v>
      </c>
      <c r="G246" s="1409" t="s">
        <v>3071</v>
      </c>
      <c r="H246" s="1075" t="s">
        <v>1287</v>
      </c>
      <c r="I246" s="1409" t="s">
        <v>1288</v>
      </c>
      <c r="J246" s="1075" t="s">
        <v>1358</v>
      </c>
      <c r="K246" s="1409" t="s">
        <v>3072</v>
      </c>
      <c r="L246" s="1075" t="s">
        <v>1359</v>
      </c>
      <c r="M246" s="1409" t="s">
        <v>3073</v>
      </c>
      <c r="N246" s="1075" t="s">
        <v>1360</v>
      </c>
      <c r="O246" s="1409" t="s">
        <v>3074</v>
      </c>
      <c r="P246" s="1075" t="s">
        <v>1361</v>
      </c>
      <c r="Q246" s="1409" t="s">
        <v>3075</v>
      </c>
      <c r="R246" s="1485" t="s">
        <v>1362</v>
      </c>
      <c r="S246" s="1560" t="s">
        <v>1298</v>
      </c>
      <c r="T246" s="1427" t="s">
        <v>1299</v>
      </c>
      <c r="U246" s="1560" t="s">
        <v>1300</v>
      </c>
      <c r="V246" s="1487" t="s">
        <v>1301</v>
      </c>
      <c r="W246" s="1560" t="s">
        <v>1302</v>
      </c>
      <c r="X246" s="1427" t="s">
        <v>1363</v>
      </c>
      <c r="Y246" s="1560" t="s">
        <v>1304</v>
      </c>
      <c r="Z246" s="1487" t="s">
        <v>1305</v>
      </c>
      <c r="AA246" s="1560" t="s">
        <v>1306</v>
      </c>
      <c r="AB246" s="1487" t="s">
        <v>1307</v>
      </c>
      <c r="AC246" s="1560" t="s">
        <v>1308</v>
      </c>
      <c r="AD246" s="1487" t="s">
        <v>1309</v>
      </c>
      <c r="AE246" s="1560" t="s">
        <v>1310</v>
      </c>
      <c r="AF246" s="1427" t="s">
        <v>1311</v>
      </c>
      <c r="AG246" s="1560" t="s">
        <v>1312</v>
      </c>
      <c r="AH246" s="1487" t="s">
        <v>1313</v>
      </c>
      <c r="AI246" s="1560" t="s">
        <v>1314</v>
      </c>
      <c r="AJ246" s="1487" t="s">
        <v>1315</v>
      </c>
      <c r="AK246" s="1560" t="s">
        <v>1316</v>
      </c>
      <c r="AL246" s="1487" t="s">
        <v>1317</v>
      </c>
      <c r="AM246" s="1560" t="s">
        <v>1318</v>
      </c>
      <c r="AN246" s="1487" t="s">
        <v>1319</v>
      </c>
      <c r="AO246" s="1560" t="s">
        <v>1320</v>
      </c>
      <c r="AP246" s="1487" t="s">
        <v>1321</v>
      </c>
      <c r="AQ246" s="1486" t="s">
        <v>1322</v>
      </c>
      <c r="AR246" s="1427" t="s">
        <v>1323</v>
      </c>
      <c r="AS246" s="1486" t="s">
        <v>1324</v>
      </c>
      <c r="AT246" s="1485" t="s">
        <v>1325</v>
      </c>
      <c r="AU246" s="1486" t="s">
        <v>1326</v>
      </c>
      <c r="AV246" s="1485" t="s">
        <v>1327</v>
      </c>
      <c r="AW246" s="1486" t="s">
        <v>1328</v>
      </c>
      <c r="AX246" s="1485" t="s">
        <v>3076</v>
      </c>
      <c r="AY246" s="1486" t="s">
        <v>3077</v>
      </c>
      <c r="AZ246" s="1485" t="s">
        <v>3078</v>
      </c>
      <c r="BA246" s="1486" t="s">
        <v>3079</v>
      </c>
      <c r="BB246" s="1485" t="s">
        <v>3080</v>
      </c>
      <c r="BC246" s="1486" t="s">
        <v>3081</v>
      </c>
      <c r="BD246" s="1485" t="s">
        <v>3082</v>
      </c>
      <c r="BE246" s="1486" t="s">
        <v>3083</v>
      </c>
      <c r="BF246" s="1485" t="s">
        <v>3084</v>
      </c>
      <c r="BG246" s="1486" t="s">
        <v>3085</v>
      </c>
      <c r="BH246" s="1485" t="s">
        <v>3086</v>
      </c>
      <c r="BI246" s="1486" t="s">
        <v>3087</v>
      </c>
      <c r="BJ246" s="1485" t="s">
        <v>3088</v>
      </c>
      <c r="BK246" s="1486" t="s">
        <v>3089</v>
      </c>
      <c r="BL246" s="1946" t="s">
        <v>1425</v>
      </c>
      <c r="BM246" s="1947" t="s">
        <v>3045</v>
      </c>
      <c r="BN246" s="2202" t="s">
        <v>3090</v>
      </c>
      <c r="BO246" s="2203" t="s">
        <v>3091</v>
      </c>
      <c r="BP246" s="1072" t="s">
        <v>1331</v>
      </c>
      <c r="BQ246" s="1168" t="s">
        <v>3092</v>
      </c>
      <c r="BR246" s="1075"/>
      <c r="BS246" s="1075" t="s">
        <v>3094</v>
      </c>
      <c r="BT246" s="547"/>
      <c r="BU246" s="547"/>
    </row>
    <row r="247" ht="15.75" customHeight="1">
      <c r="A247" s="1567"/>
      <c r="B247" s="2146">
        <v>1076.0</v>
      </c>
      <c r="C247" s="1948">
        <v>95.0</v>
      </c>
      <c r="D247" s="1153" t="s">
        <v>3095</v>
      </c>
      <c r="E247" s="1953" t="str">
        <f>'Матрица 4 недели'!D182</f>
        <v>Омлет с ветчиной</v>
      </c>
      <c r="F247" s="1287">
        <v>26.0</v>
      </c>
      <c r="G247" s="2126"/>
      <c r="H247" s="1284">
        <v>2.0</v>
      </c>
      <c r="I247" s="2126"/>
      <c r="J247" s="1284">
        <v>9.0</v>
      </c>
      <c r="K247" s="2126"/>
      <c r="L247" s="2127">
        <v>3.0</v>
      </c>
      <c r="M247" s="2126"/>
      <c r="N247" s="1287">
        <v>9.0</v>
      </c>
      <c r="O247" s="2126"/>
      <c r="P247" s="2127">
        <v>8.0</v>
      </c>
      <c r="Q247" s="1140"/>
      <c r="R247" s="1290">
        <v>3.0</v>
      </c>
      <c r="S247" s="1140"/>
      <c r="T247" s="1290">
        <v>2.0</v>
      </c>
      <c r="U247" s="1140"/>
      <c r="V247" s="1287">
        <v>5.0</v>
      </c>
      <c r="W247" s="2129"/>
      <c r="X247" s="1290">
        <v>11.0</v>
      </c>
      <c r="Y247" s="1140"/>
      <c r="Z247" s="1767"/>
      <c r="AA247" s="1140"/>
      <c r="AB247" s="1290">
        <v>2.0</v>
      </c>
      <c r="AC247" s="1140"/>
      <c r="AD247" s="1290">
        <v>2.0</v>
      </c>
      <c r="AE247" s="1140"/>
      <c r="AF247" s="1290">
        <v>6.0</v>
      </c>
      <c r="AG247" s="1140"/>
      <c r="AH247" s="1137">
        <v>3.0</v>
      </c>
      <c r="AI247" s="1140"/>
      <c r="AJ247" s="1290">
        <v>3.0</v>
      </c>
      <c r="AK247" s="1140"/>
      <c r="AL247" s="1143">
        <v>6.0</v>
      </c>
      <c r="AM247" s="1138"/>
      <c r="AN247" s="1137">
        <v>5.0</v>
      </c>
      <c r="AO247" s="1138"/>
      <c r="AP247" s="1137">
        <v>4.0</v>
      </c>
      <c r="AQ247" s="1138"/>
      <c r="AR247" s="1137">
        <v>18.0</v>
      </c>
      <c r="AS247" s="1138"/>
      <c r="AT247" s="1137">
        <v>2.0</v>
      </c>
      <c r="AU247" s="1138"/>
      <c r="AV247" s="1137">
        <v>7.0</v>
      </c>
      <c r="AW247" s="1138"/>
      <c r="AX247" s="1137">
        <v>3.0</v>
      </c>
      <c r="AY247" s="1138"/>
      <c r="AZ247" s="1137">
        <v>2.0</v>
      </c>
      <c r="BA247" s="1138"/>
      <c r="BB247" s="1126">
        <v>3.0</v>
      </c>
      <c r="BC247" s="1138"/>
      <c r="BD247" s="1137">
        <v>1.0</v>
      </c>
      <c r="BE247" s="1138"/>
      <c r="BF247" s="1137">
        <v>7.0</v>
      </c>
      <c r="BG247" s="1138"/>
      <c r="BH247" s="1137">
        <v>2.0</v>
      </c>
      <c r="BI247" s="1138"/>
      <c r="BJ247" s="1137">
        <v>4.0</v>
      </c>
      <c r="BK247" s="1138"/>
      <c r="BL247" s="1137"/>
      <c r="BM247" s="1138"/>
      <c r="BN247" s="1075"/>
      <c r="BO247" s="2062"/>
      <c r="BP247" s="2069">
        <f t="shared" ref="BP247:BP276" si="164">(F247+H247+J247+L247+N247+P247+R247+T247+V247+X247+Z247+AB247+AD247+AF247+AH247+AJ247+AL247+AN247+BL247+AP247+AR247+AT247+AV247+AX247+AZ247+BB247+BD247+BF247+BH247+BJ247)+1</f>
        <v>159</v>
      </c>
      <c r="BQ247" s="2133">
        <f t="shared" ref="BQ247:BQ276" si="165">G247+I247+K247+M247+O247+Q247+S247+U247+W247+Y247+AA247+AE247+AC247+AG247+AI247+AK247+AM247+AS247+BM247+AO247+AQ247+AU247+AW247+AY247+BA247+BC247+BE247+BG247+BI247+BK247</f>
        <v>0</v>
      </c>
      <c r="BR247" s="2366">
        <f t="shared" ref="BR247:BR276" si="166">C247*BQ247</f>
        <v>0</v>
      </c>
      <c r="BS247" s="1053">
        <f t="shared" ref="BS247:BS276" si="167">BP247*C247</f>
        <v>15105</v>
      </c>
      <c r="BT247" s="70"/>
      <c r="BU247" s="70"/>
    </row>
    <row r="248" ht="15.75" customHeight="1">
      <c r="A248" s="1567"/>
      <c r="B248" s="2146">
        <v>145.0</v>
      </c>
      <c r="C248" s="1948">
        <v>226.0</v>
      </c>
      <c r="D248" s="1153" t="s">
        <v>3095</v>
      </c>
      <c r="E248" s="1953" t="str">
        <f>'Матрица 4 недели'!D183</f>
        <v>Сырники со сметаной</v>
      </c>
      <c r="F248" s="1126">
        <v>9.0</v>
      </c>
      <c r="G248" s="1138"/>
      <c r="H248" s="1120">
        <v>1.0</v>
      </c>
      <c r="I248" s="1138"/>
      <c r="J248" s="1120">
        <v>6.0</v>
      </c>
      <c r="K248" s="1138"/>
      <c r="L248" s="1126">
        <v>7.0</v>
      </c>
      <c r="M248" s="1138"/>
      <c r="N248" s="1126">
        <v>5.0</v>
      </c>
      <c r="O248" s="1138"/>
      <c r="P248" s="1126">
        <v>2.0</v>
      </c>
      <c r="Q248" s="1138"/>
      <c r="R248" s="1120">
        <v>0.0</v>
      </c>
      <c r="S248" s="1138"/>
      <c r="T248" s="1126">
        <v>0.0</v>
      </c>
      <c r="U248" s="1138"/>
      <c r="V248" s="1126">
        <v>5.0</v>
      </c>
      <c r="W248" s="1138"/>
      <c r="X248" s="1126">
        <v>4.0</v>
      </c>
      <c r="Y248" s="1138"/>
      <c r="Z248" s="1769"/>
      <c r="AA248" s="1138"/>
      <c r="AB248" s="1126">
        <v>4.0</v>
      </c>
      <c r="AC248" s="1138"/>
      <c r="AD248" s="1126">
        <v>4.0</v>
      </c>
      <c r="AE248" s="1138"/>
      <c r="AF248" s="1120">
        <v>7.0</v>
      </c>
      <c r="AG248" s="1138"/>
      <c r="AH248" s="1126">
        <v>3.0</v>
      </c>
      <c r="AI248" s="1138"/>
      <c r="AJ248" s="1120">
        <v>7.0</v>
      </c>
      <c r="AK248" s="1138"/>
      <c r="AL248" s="1126">
        <v>2.0</v>
      </c>
      <c r="AM248" s="1138"/>
      <c r="AN248" s="1120">
        <v>5.0</v>
      </c>
      <c r="AO248" s="1138"/>
      <c r="AP248" s="1120">
        <v>2.0</v>
      </c>
      <c r="AQ248" s="1132"/>
      <c r="AR248" s="1126">
        <v>5.0</v>
      </c>
      <c r="AS248" s="1138"/>
      <c r="AT248" s="1126">
        <v>2.0</v>
      </c>
      <c r="AU248" s="1138"/>
      <c r="AV248" s="1126">
        <v>1.0</v>
      </c>
      <c r="AW248" s="1138"/>
      <c r="AX248" s="1126">
        <v>2.0</v>
      </c>
      <c r="AY248" s="1138"/>
      <c r="AZ248" s="1126">
        <v>0.0</v>
      </c>
      <c r="BA248" s="1138"/>
      <c r="BB248" s="1126">
        <v>3.0</v>
      </c>
      <c r="BC248" s="1138"/>
      <c r="BD248" s="1126">
        <v>1.0</v>
      </c>
      <c r="BE248" s="1138"/>
      <c r="BF248" s="1126">
        <v>4.0</v>
      </c>
      <c r="BG248" s="1138"/>
      <c r="BH248" s="1126">
        <v>2.0</v>
      </c>
      <c r="BI248" s="1138"/>
      <c r="BJ248" s="1126">
        <v>5.0</v>
      </c>
      <c r="BK248" s="1138"/>
      <c r="BL248" s="1120"/>
      <c r="BM248" s="1138"/>
      <c r="BN248" s="1075"/>
      <c r="BO248" s="2062"/>
      <c r="BP248" s="80">
        <f t="shared" si="164"/>
        <v>99</v>
      </c>
      <c r="BQ248" s="2137">
        <f t="shared" si="165"/>
        <v>0</v>
      </c>
      <c r="BR248" s="2366">
        <f t="shared" si="166"/>
        <v>0</v>
      </c>
      <c r="BS248" s="1053">
        <f t="shared" si="167"/>
        <v>22374</v>
      </c>
      <c r="BT248" s="70"/>
    </row>
    <row r="249" ht="15.75" customHeight="1">
      <c r="A249" s="1567"/>
      <c r="B249" s="2146">
        <v>1557.0</v>
      </c>
      <c r="C249" s="1948">
        <v>98.0</v>
      </c>
      <c r="D249" s="1153" t="s">
        <v>3095</v>
      </c>
      <c r="E249" s="1953" t="str">
        <f>'Матрица 4 недели'!D184</f>
        <v>Каша пшенная (на молоке)</v>
      </c>
      <c r="F249" s="1126">
        <v>17.0</v>
      </c>
      <c r="G249" s="1138"/>
      <c r="H249" s="1120">
        <v>0.0</v>
      </c>
      <c r="I249" s="1138"/>
      <c r="J249" s="1120">
        <v>4.0</v>
      </c>
      <c r="K249" s="1405"/>
      <c r="L249" s="1161">
        <v>4.0</v>
      </c>
      <c r="M249" s="1405"/>
      <c r="N249" s="1126">
        <v>4.0</v>
      </c>
      <c r="O249" s="1138"/>
      <c r="P249" s="1126">
        <v>3.0</v>
      </c>
      <c r="Q249" s="1138"/>
      <c r="R249" s="1120">
        <v>2.0</v>
      </c>
      <c r="S249" s="1138"/>
      <c r="T249" s="1126">
        <v>3.0</v>
      </c>
      <c r="U249" s="1138"/>
      <c r="V249" s="1126">
        <v>7.0</v>
      </c>
      <c r="W249" s="1138"/>
      <c r="X249" s="1126">
        <v>4.0</v>
      </c>
      <c r="Y249" s="1138"/>
      <c r="Z249" s="1769"/>
      <c r="AA249" s="1138"/>
      <c r="AB249" s="1126">
        <v>0.0</v>
      </c>
      <c r="AC249" s="1138"/>
      <c r="AD249" s="1126">
        <v>1.0</v>
      </c>
      <c r="AE249" s="1138"/>
      <c r="AF249" s="1120">
        <v>3.0</v>
      </c>
      <c r="AG249" s="1138"/>
      <c r="AH249" s="1126">
        <v>2.0</v>
      </c>
      <c r="AI249" s="1138"/>
      <c r="AJ249" s="1120">
        <v>3.0</v>
      </c>
      <c r="AK249" s="1138"/>
      <c r="AL249" s="1126">
        <v>3.0</v>
      </c>
      <c r="AM249" s="1138"/>
      <c r="AN249" s="1120">
        <v>5.0</v>
      </c>
      <c r="AO249" s="1138"/>
      <c r="AP249" s="1120">
        <v>3.0</v>
      </c>
      <c r="AQ249" s="1138"/>
      <c r="AR249" s="1126">
        <v>6.0</v>
      </c>
      <c r="AS249" s="1138"/>
      <c r="AT249" s="1126">
        <v>2.0</v>
      </c>
      <c r="AU249" s="1138"/>
      <c r="AV249" s="1126">
        <v>2.0</v>
      </c>
      <c r="AW249" s="1138"/>
      <c r="AX249" s="1126">
        <v>2.0</v>
      </c>
      <c r="AY249" s="1138"/>
      <c r="AZ249" s="1126">
        <v>1.0</v>
      </c>
      <c r="BA249" s="1138"/>
      <c r="BB249" s="1126">
        <v>3.0</v>
      </c>
      <c r="BC249" s="1138"/>
      <c r="BD249" s="1126">
        <v>0.0</v>
      </c>
      <c r="BE249" s="1138"/>
      <c r="BF249" s="1126">
        <v>3.0</v>
      </c>
      <c r="BG249" s="1138"/>
      <c r="BH249" s="1126">
        <v>2.0</v>
      </c>
      <c r="BI249" s="1138"/>
      <c r="BJ249" s="1126">
        <v>4.0</v>
      </c>
      <c r="BK249" s="1138"/>
      <c r="BL249" s="1120"/>
      <c r="BM249" s="1138"/>
      <c r="BN249" s="1075"/>
      <c r="BO249" s="1579"/>
      <c r="BP249" s="80">
        <f t="shared" si="164"/>
        <v>94</v>
      </c>
      <c r="BQ249" s="2137">
        <f t="shared" si="165"/>
        <v>0</v>
      </c>
      <c r="BR249" s="2366">
        <f t="shared" si="166"/>
        <v>0</v>
      </c>
      <c r="BS249" s="1053">
        <f t="shared" si="167"/>
        <v>9212</v>
      </c>
      <c r="BT249" s="70"/>
      <c r="BU249" s="23"/>
    </row>
    <row r="250" ht="15.75" customHeight="1">
      <c r="A250" s="1567"/>
      <c r="B250" s="2146">
        <v>3654.0</v>
      </c>
      <c r="C250" s="1948">
        <v>98.0</v>
      </c>
      <c r="D250" s="1153" t="s">
        <v>70</v>
      </c>
      <c r="E250" s="1953" t="str">
        <f>'Матрица 4 недели'!G182</f>
        <v>Салат ''Зимний'' (колбаса варен)</v>
      </c>
      <c r="F250" s="1126">
        <v>31.0</v>
      </c>
      <c r="G250" s="1138"/>
      <c r="H250" s="1126">
        <v>0.0</v>
      </c>
      <c r="I250" s="1138"/>
      <c r="J250" s="1126">
        <v>3.0</v>
      </c>
      <c r="K250" s="1138"/>
      <c r="L250" s="1137">
        <v>2.0</v>
      </c>
      <c r="M250" s="1138"/>
      <c r="N250" s="1126">
        <v>4.0</v>
      </c>
      <c r="O250" s="1138"/>
      <c r="P250" s="1126">
        <v>8.0</v>
      </c>
      <c r="Q250" s="1138"/>
      <c r="R250" s="1126">
        <v>1.0</v>
      </c>
      <c r="S250" s="1138"/>
      <c r="T250" s="1126">
        <v>0.0</v>
      </c>
      <c r="U250" s="1138"/>
      <c r="V250" s="1137">
        <v>1.0</v>
      </c>
      <c r="W250" s="1138"/>
      <c r="X250" s="1137">
        <v>8.0</v>
      </c>
      <c r="Y250" s="1138"/>
      <c r="Z250" s="1769"/>
      <c r="AA250" s="1138"/>
      <c r="AB250" s="1137">
        <v>1.0</v>
      </c>
      <c r="AC250" s="1138"/>
      <c r="AD250" s="1137">
        <v>1.0</v>
      </c>
      <c r="AE250" s="1138"/>
      <c r="AF250" s="1137">
        <v>2.0</v>
      </c>
      <c r="AG250" s="1138"/>
      <c r="AH250" s="1137">
        <v>2.0</v>
      </c>
      <c r="AI250" s="1138"/>
      <c r="AJ250" s="1120">
        <v>1.0</v>
      </c>
      <c r="AK250" s="1138"/>
      <c r="AL250" s="1126">
        <v>1.0</v>
      </c>
      <c r="AM250" s="1138"/>
      <c r="AN250" s="1120">
        <v>3.0</v>
      </c>
      <c r="AO250" s="1138"/>
      <c r="AP250" s="1120">
        <v>2.0</v>
      </c>
      <c r="AQ250" s="1138"/>
      <c r="AR250" s="1126">
        <v>9.0</v>
      </c>
      <c r="AS250" s="1138"/>
      <c r="AT250" s="1126">
        <v>3.0</v>
      </c>
      <c r="AU250" s="1138"/>
      <c r="AV250" s="1126">
        <v>3.0</v>
      </c>
      <c r="AW250" s="1138"/>
      <c r="AX250" s="1126">
        <v>2.0</v>
      </c>
      <c r="AY250" s="1138"/>
      <c r="AZ250" s="1126">
        <v>3.0</v>
      </c>
      <c r="BA250" s="1138"/>
      <c r="BB250" s="1126"/>
      <c r="BC250" s="1138"/>
      <c r="BD250" s="1126">
        <v>1.0</v>
      </c>
      <c r="BE250" s="1138"/>
      <c r="BF250" s="1126">
        <v>10.0</v>
      </c>
      <c r="BG250" s="1138"/>
      <c r="BH250" s="1126">
        <v>1.0</v>
      </c>
      <c r="BI250" s="1138"/>
      <c r="BJ250" s="1126">
        <v>7.0</v>
      </c>
      <c r="BK250" s="1138"/>
      <c r="BL250" s="1134">
        <v>41.0</v>
      </c>
      <c r="BM250" s="1138"/>
      <c r="BN250" s="1075"/>
      <c r="BO250" s="2062"/>
      <c r="BP250" s="80">
        <f t="shared" si="164"/>
        <v>152</v>
      </c>
      <c r="BQ250" s="2137">
        <f t="shared" si="165"/>
        <v>0</v>
      </c>
      <c r="BR250" s="2366">
        <f t="shared" si="166"/>
        <v>0</v>
      </c>
      <c r="BS250" s="1053">
        <f t="shared" si="167"/>
        <v>14896</v>
      </c>
      <c r="BT250" s="23"/>
      <c r="BU250" s="23"/>
    </row>
    <row r="251" ht="15.75" customHeight="1">
      <c r="A251" s="1567"/>
      <c r="B251" s="2146">
        <v>3180.0</v>
      </c>
      <c r="C251" s="1948">
        <v>98.0</v>
      </c>
      <c r="D251" s="1153" t="s">
        <v>70</v>
      </c>
      <c r="E251" s="1953" t="str">
        <f>'Матрица 4 недели'!G183</f>
        <v>Салат ''Морковь по-корейски'' 120 г</v>
      </c>
      <c r="F251" s="1126">
        <v>18.0</v>
      </c>
      <c r="G251" s="1138"/>
      <c r="H251" s="1120">
        <v>3.0</v>
      </c>
      <c r="I251" s="1138"/>
      <c r="J251" s="1120">
        <v>3.0</v>
      </c>
      <c r="K251" s="1138"/>
      <c r="L251" s="1137">
        <v>5.0</v>
      </c>
      <c r="M251" s="1138"/>
      <c r="N251" s="1120">
        <v>8.0</v>
      </c>
      <c r="O251" s="1138"/>
      <c r="P251" s="1120">
        <v>4.0</v>
      </c>
      <c r="Q251" s="1138"/>
      <c r="R251" s="1120">
        <v>2.0</v>
      </c>
      <c r="S251" s="1138"/>
      <c r="T251" s="1120">
        <v>1.0</v>
      </c>
      <c r="U251" s="1138"/>
      <c r="V251" s="1120">
        <v>2.0</v>
      </c>
      <c r="W251" s="1138"/>
      <c r="X251" s="1120">
        <v>1.0</v>
      </c>
      <c r="Y251" s="1138"/>
      <c r="Z251" s="1769"/>
      <c r="AA251" s="1138"/>
      <c r="AB251" s="1120">
        <v>2.0</v>
      </c>
      <c r="AC251" s="1138"/>
      <c r="AD251" s="1120">
        <v>2.0</v>
      </c>
      <c r="AE251" s="1138"/>
      <c r="AF251" s="1120">
        <v>6.0</v>
      </c>
      <c r="AG251" s="1138"/>
      <c r="AH251" s="1120">
        <v>1.0</v>
      </c>
      <c r="AI251" s="1138"/>
      <c r="AJ251" s="1120">
        <v>1.0</v>
      </c>
      <c r="AK251" s="1138"/>
      <c r="AL251" s="1126">
        <v>3.0</v>
      </c>
      <c r="AM251" s="1138"/>
      <c r="AN251" s="1120">
        <v>3.0</v>
      </c>
      <c r="AO251" s="1138"/>
      <c r="AP251" s="1120">
        <v>1.0</v>
      </c>
      <c r="AQ251" s="1138"/>
      <c r="AR251" s="1126">
        <v>7.0</v>
      </c>
      <c r="AS251" s="1138"/>
      <c r="AT251" s="1126">
        <v>3.0</v>
      </c>
      <c r="AU251" s="1138"/>
      <c r="AV251" s="1126">
        <v>5.0</v>
      </c>
      <c r="AW251" s="1138"/>
      <c r="AX251" s="1126">
        <v>2.0</v>
      </c>
      <c r="AY251" s="1138"/>
      <c r="AZ251" s="1126">
        <v>3.0</v>
      </c>
      <c r="BA251" s="1138"/>
      <c r="BB251" s="1126">
        <v>3.0</v>
      </c>
      <c r="BC251" s="1138"/>
      <c r="BD251" s="1126">
        <v>0.0</v>
      </c>
      <c r="BE251" s="1138"/>
      <c r="BF251" s="1126">
        <v>9.0</v>
      </c>
      <c r="BG251" s="1138"/>
      <c r="BH251" s="1126">
        <v>1.0</v>
      </c>
      <c r="BI251" s="1138"/>
      <c r="BJ251" s="1126">
        <v>3.0</v>
      </c>
      <c r="BK251" s="1138"/>
      <c r="BL251" s="1134">
        <v>42.0</v>
      </c>
      <c r="BM251" s="1138"/>
      <c r="BN251" s="1075"/>
      <c r="BO251" s="2062"/>
      <c r="BP251" s="80">
        <f t="shared" si="164"/>
        <v>145</v>
      </c>
      <c r="BQ251" s="2137">
        <f t="shared" si="165"/>
        <v>0</v>
      </c>
      <c r="BR251" s="2366">
        <f t="shared" si="166"/>
        <v>0</v>
      </c>
      <c r="BS251" s="1053">
        <f t="shared" si="167"/>
        <v>14210</v>
      </c>
      <c r="BT251" s="70"/>
      <c r="BU251" s="23"/>
    </row>
    <row r="252" ht="15.75" customHeight="1">
      <c r="A252" s="1567"/>
      <c r="B252" s="2146">
        <v>41.0</v>
      </c>
      <c r="C252" s="1948">
        <v>98.0</v>
      </c>
      <c r="D252" s="1153" t="s">
        <v>70</v>
      </c>
      <c r="E252" s="1953" t="str">
        <f>'Матрица 4 недели'!G184</f>
        <v>Закуска с селёдкой 120 г</v>
      </c>
      <c r="F252" s="1126">
        <v>7.0</v>
      </c>
      <c r="G252" s="1138"/>
      <c r="H252" s="1120">
        <v>1.0</v>
      </c>
      <c r="I252" s="1138"/>
      <c r="J252" s="1120">
        <v>1.0</v>
      </c>
      <c r="K252" s="1138"/>
      <c r="L252" s="1137">
        <v>1.0</v>
      </c>
      <c r="M252" s="1138"/>
      <c r="N252" s="1120">
        <v>1.0</v>
      </c>
      <c r="O252" s="1138"/>
      <c r="P252" s="1126">
        <v>2.0</v>
      </c>
      <c r="Q252" s="1138"/>
      <c r="R252" s="1120">
        <v>0.0</v>
      </c>
      <c r="S252" s="1138"/>
      <c r="T252" s="1120">
        <v>1.0</v>
      </c>
      <c r="U252" s="1138"/>
      <c r="V252" s="1120">
        <v>2.0</v>
      </c>
      <c r="W252" s="1138"/>
      <c r="X252" s="1120">
        <v>1.0</v>
      </c>
      <c r="Y252" s="1138"/>
      <c r="Z252" s="1769"/>
      <c r="AA252" s="1138"/>
      <c r="AB252" s="1120">
        <v>0.0</v>
      </c>
      <c r="AC252" s="1138"/>
      <c r="AD252" s="1120">
        <v>0.0</v>
      </c>
      <c r="AE252" s="1138"/>
      <c r="AF252" s="1120">
        <v>1.0</v>
      </c>
      <c r="AG252" s="1138"/>
      <c r="AH252" s="1120">
        <v>0.0</v>
      </c>
      <c r="AI252" s="1138"/>
      <c r="AJ252" s="1120">
        <v>0.0</v>
      </c>
      <c r="AK252" s="1138"/>
      <c r="AL252" s="1126">
        <v>3.0</v>
      </c>
      <c r="AM252" s="1138"/>
      <c r="AN252" s="1120">
        <v>3.0</v>
      </c>
      <c r="AO252" s="1138"/>
      <c r="AP252" s="1120">
        <v>0.0</v>
      </c>
      <c r="AQ252" s="1138"/>
      <c r="AR252" s="1126">
        <v>4.0</v>
      </c>
      <c r="AS252" s="1138"/>
      <c r="AT252" s="1126">
        <v>0.0</v>
      </c>
      <c r="AU252" s="1138"/>
      <c r="AV252" s="1126">
        <v>3.0</v>
      </c>
      <c r="AW252" s="1138"/>
      <c r="AX252" s="1126">
        <v>1.0</v>
      </c>
      <c r="AY252" s="1138"/>
      <c r="AZ252" s="1126">
        <v>1.0</v>
      </c>
      <c r="BA252" s="1138"/>
      <c r="BB252" s="1126">
        <v>3.0</v>
      </c>
      <c r="BC252" s="1138"/>
      <c r="BD252" s="1126">
        <v>1.0</v>
      </c>
      <c r="BE252" s="1138"/>
      <c r="BF252" s="1126">
        <v>3.0</v>
      </c>
      <c r="BG252" s="1138"/>
      <c r="BH252" s="1126">
        <v>1.0</v>
      </c>
      <c r="BI252" s="1138"/>
      <c r="BJ252" s="1126">
        <v>2.0</v>
      </c>
      <c r="BK252" s="1138"/>
      <c r="BL252" s="1134">
        <v>42.0</v>
      </c>
      <c r="BM252" s="1138"/>
      <c r="BN252" s="1075"/>
      <c r="BO252" s="2062"/>
      <c r="BP252" s="80">
        <f t="shared" si="164"/>
        <v>86</v>
      </c>
      <c r="BQ252" s="2137">
        <f t="shared" si="165"/>
        <v>0</v>
      </c>
      <c r="BR252" s="2366">
        <f t="shared" si="166"/>
        <v>0</v>
      </c>
      <c r="BS252" s="1053">
        <f t="shared" si="167"/>
        <v>8428</v>
      </c>
      <c r="BT252" s="23"/>
      <c r="BU252" s="23"/>
    </row>
    <row r="253" ht="15.75" customHeight="1">
      <c r="A253" s="1567"/>
      <c r="B253" s="2146">
        <v>3430.0</v>
      </c>
      <c r="C253" s="1948">
        <v>230.0</v>
      </c>
      <c r="D253" s="1153" t="s">
        <v>70</v>
      </c>
      <c r="E253" s="1953" t="str">
        <f>'Матрица 4 недели'!G185</f>
        <v>Боул с крабом, бобами эдамаме и овощами</v>
      </c>
      <c r="F253" s="1126">
        <v>7.0</v>
      </c>
      <c r="G253" s="1138"/>
      <c r="H253" s="1120">
        <v>0.0</v>
      </c>
      <c r="I253" s="1138"/>
      <c r="J253" s="1120">
        <v>0.0</v>
      </c>
      <c r="K253" s="1138"/>
      <c r="L253" s="1520">
        <v>1.0</v>
      </c>
      <c r="M253" s="1138"/>
      <c r="N253" s="1120">
        <v>3.0</v>
      </c>
      <c r="O253" s="1138"/>
      <c r="P253" s="1126">
        <v>2.0</v>
      </c>
      <c r="Q253" s="1138"/>
      <c r="R253" s="1120">
        <v>0.0</v>
      </c>
      <c r="S253" s="1138"/>
      <c r="T253" s="1120">
        <v>2.0</v>
      </c>
      <c r="U253" s="1138"/>
      <c r="V253" s="1120">
        <v>1.0</v>
      </c>
      <c r="W253" s="1138"/>
      <c r="X253" s="1120">
        <v>2.0</v>
      </c>
      <c r="Y253" s="1138"/>
      <c r="Z253" s="1769"/>
      <c r="AA253" s="1138"/>
      <c r="AB253" s="1120">
        <v>1.0</v>
      </c>
      <c r="AC253" s="1138"/>
      <c r="AD253" s="1120">
        <v>1.0</v>
      </c>
      <c r="AE253" s="1138"/>
      <c r="AF253" s="1120">
        <v>2.0</v>
      </c>
      <c r="AG253" s="1138"/>
      <c r="AH253" s="1120">
        <v>2.0</v>
      </c>
      <c r="AI253" s="1138"/>
      <c r="AJ253" s="1120">
        <v>1.0</v>
      </c>
      <c r="AK253" s="1138"/>
      <c r="AL253" s="1126">
        <v>0.0</v>
      </c>
      <c r="AM253" s="1138"/>
      <c r="AN253" s="1120">
        <v>3.0</v>
      </c>
      <c r="AO253" s="1138"/>
      <c r="AP253" s="1120">
        <v>1.0</v>
      </c>
      <c r="AQ253" s="1138"/>
      <c r="AR253" s="1126">
        <v>4.0</v>
      </c>
      <c r="AS253" s="1138"/>
      <c r="AT253" s="1126">
        <v>0.0</v>
      </c>
      <c r="AU253" s="1138"/>
      <c r="AV253" s="1126">
        <v>3.0</v>
      </c>
      <c r="AW253" s="1138"/>
      <c r="AX253" s="1126">
        <v>7.0</v>
      </c>
      <c r="AY253" s="1138"/>
      <c r="AZ253" s="1126">
        <v>0.0</v>
      </c>
      <c r="BA253" s="1138"/>
      <c r="BB253" s="1126">
        <v>5.0</v>
      </c>
      <c r="BC253" s="1138"/>
      <c r="BD253" s="1126">
        <v>1.0</v>
      </c>
      <c r="BE253" s="1138"/>
      <c r="BF253" s="1126">
        <v>4.0</v>
      </c>
      <c r="BG253" s="1138"/>
      <c r="BH253" s="1126">
        <v>3.0</v>
      </c>
      <c r="BI253" s="1138"/>
      <c r="BJ253" s="1126">
        <v>3.0</v>
      </c>
      <c r="BK253" s="1138"/>
      <c r="BL253" s="1134"/>
      <c r="BM253" s="1138"/>
      <c r="BN253" s="1073"/>
      <c r="BO253" s="1579"/>
      <c r="BP253" s="80">
        <f t="shared" si="164"/>
        <v>60</v>
      </c>
      <c r="BQ253" s="2137">
        <f t="shared" si="165"/>
        <v>0</v>
      </c>
      <c r="BR253" s="2366">
        <f t="shared" si="166"/>
        <v>0</v>
      </c>
      <c r="BS253" s="1053">
        <f t="shared" si="167"/>
        <v>13800</v>
      </c>
      <c r="BT253" s="23"/>
      <c r="BU253" s="23"/>
    </row>
    <row r="254" ht="15.0" customHeight="1">
      <c r="A254" s="1567"/>
      <c r="B254" s="2146">
        <v>8.0</v>
      </c>
      <c r="C254" s="2367">
        <v>104.0</v>
      </c>
      <c r="D254" s="1153" t="s">
        <v>74</v>
      </c>
      <c r="E254" s="1953" t="str">
        <f>'Матрица 4 недели'!J182</f>
        <v>Суп гороховый 250 мл</v>
      </c>
      <c r="F254" s="1137"/>
      <c r="G254" s="1138"/>
      <c r="H254" s="1126"/>
      <c r="I254" s="1138"/>
      <c r="J254" s="1126"/>
      <c r="K254" s="1138"/>
      <c r="L254" s="1126"/>
      <c r="M254" s="1138"/>
      <c r="N254" s="1126"/>
      <c r="O254" s="1138"/>
      <c r="P254" s="1126"/>
      <c r="Q254" s="1121"/>
      <c r="R254" s="1126"/>
      <c r="S254" s="1121"/>
      <c r="T254" s="1137"/>
      <c r="U254" s="1121"/>
      <c r="V254" s="1137"/>
      <c r="W254" s="1121"/>
      <c r="X254" s="1137"/>
      <c r="Y254" s="1121"/>
      <c r="Z254" s="1126"/>
      <c r="AA254" s="1121"/>
      <c r="AB254" s="1126"/>
      <c r="AC254" s="1121"/>
      <c r="AD254" s="1120"/>
      <c r="AE254" s="1121"/>
      <c r="AF254" s="1137"/>
      <c r="AG254" s="1121"/>
      <c r="AH254" s="1120"/>
      <c r="AI254" s="1121"/>
      <c r="AJ254" s="1120"/>
      <c r="AK254" s="1121"/>
      <c r="AL254" s="1126"/>
      <c r="AM254" s="1121"/>
      <c r="AN254" s="1137"/>
      <c r="AO254" s="1138"/>
      <c r="AP254" s="1137"/>
      <c r="AQ254" s="1138"/>
      <c r="AR254" s="1137"/>
      <c r="AS254" s="1138"/>
      <c r="AT254" s="1126"/>
      <c r="AU254" s="1138"/>
      <c r="AV254" s="1126"/>
      <c r="AW254" s="1138"/>
      <c r="AX254" s="1126"/>
      <c r="AY254" s="1138"/>
      <c r="AZ254" s="1126"/>
      <c r="BA254" s="1138"/>
      <c r="BB254" s="1126"/>
      <c r="BC254" s="1138"/>
      <c r="BD254" s="1126"/>
      <c r="BE254" s="1138"/>
      <c r="BF254" s="1126"/>
      <c r="BG254" s="1138"/>
      <c r="BH254" s="1126"/>
      <c r="BI254" s="1138"/>
      <c r="BJ254" s="1126"/>
      <c r="BK254" s="1138"/>
      <c r="BL254" s="1134">
        <v>115.0</v>
      </c>
      <c r="BM254" s="1138"/>
      <c r="BN254" s="1075">
        <v>10.0</v>
      </c>
      <c r="BO254" s="2062"/>
      <c r="BP254" s="80">
        <f t="shared" si="164"/>
        <v>116</v>
      </c>
      <c r="BQ254" s="2137">
        <f t="shared" si="165"/>
        <v>0</v>
      </c>
      <c r="BR254" s="2366">
        <f t="shared" si="166"/>
        <v>0</v>
      </c>
      <c r="BS254" s="1053">
        <f t="shared" si="167"/>
        <v>12064</v>
      </c>
      <c r="BT254" s="23"/>
      <c r="BU254" s="23"/>
    </row>
    <row r="255" ht="15.75" customHeight="1">
      <c r="A255" s="1567"/>
      <c r="B255" s="2146">
        <v>3768.0</v>
      </c>
      <c r="C255" s="1948">
        <v>240.0</v>
      </c>
      <c r="D255" s="1153" t="s">
        <v>77</v>
      </c>
      <c r="E255" s="1953" t="str">
        <f>'Матрица 4 недели'!M182</f>
        <v>Паприкаш из говядины с гречкой</v>
      </c>
      <c r="F255" s="1141"/>
      <c r="G255" s="1303"/>
      <c r="H255" s="1141"/>
      <c r="I255" s="1303"/>
      <c r="J255" s="1141"/>
      <c r="K255" s="1303"/>
      <c r="L255" s="1141"/>
      <c r="M255" s="1303"/>
      <c r="N255" s="1141"/>
      <c r="O255" s="1303"/>
      <c r="P255" s="1286"/>
      <c r="Q255" s="1121"/>
      <c r="R255" s="1126"/>
      <c r="S255" s="1138"/>
      <c r="T255" s="1126"/>
      <c r="U255" s="1138"/>
      <c r="V255" s="1137"/>
      <c r="W255" s="1138"/>
      <c r="X255" s="1137"/>
      <c r="Y255" s="1138"/>
      <c r="Z255" s="1141"/>
      <c r="AA255" s="1138"/>
      <c r="AB255" s="1120"/>
      <c r="AC255" s="1138"/>
      <c r="AD255" s="1137"/>
      <c r="AE255" s="1138"/>
      <c r="AF255" s="1137"/>
      <c r="AG255" s="1138"/>
      <c r="AH255" s="1137"/>
      <c r="AI255" s="1138"/>
      <c r="AJ255" s="1137"/>
      <c r="AK255" s="1138"/>
      <c r="AL255" s="1126"/>
      <c r="AM255" s="1138"/>
      <c r="AN255" s="1126"/>
      <c r="AO255" s="1138"/>
      <c r="AP255" s="1126"/>
      <c r="AQ255" s="1138"/>
      <c r="AR255" s="1126"/>
      <c r="AS255" s="1138"/>
      <c r="AT255" s="1126"/>
      <c r="AU255" s="1138"/>
      <c r="AV255" s="1126"/>
      <c r="AW255" s="1138"/>
      <c r="AX255" s="1126"/>
      <c r="AY255" s="1138"/>
      <c r="AZ255" s="1126"/>
      <c r="BA255" s="1138"/>
      <c r="BB255" s="1126"/>
      <c r="BC255" s="1138"/>
      <c r="BD255" s="1126"/>
      <c r="BE255" s="1138"/>
      <c r="BF255" s="1126"/>
      <c r="BG255" s="1138"/>
      <c r="BH255" s="1126"/>
      <c r="BI255" s="1138"/>
      <c r="BJ255" s="1126"/>
      <c r="BK255" s="1138"/>
      <c r="BL255" s="1139">
        <v>75.0</v>
      </c>
      <c r="BM255" s="1291"/>
      <c r="BN255" s="1075"/>
      <c r="BO255" s="2062"/>
      <c r="BP255" s="2069">
        <f t="shared" si="164"/>
        <v>76</v>
      </c>
      <c r="BQ255" s="2137">
        <f t="shared" si="165"/>
        <v>0</v>
      </c>
      <c r="BR255" s="2366">
        <f t="shared" si="166"/>
        <v>0</v>
      </c>
      <c r="BS255" s="1053">
        <f t="shared" si="167"/>
        <v>18240</v>
      </c>
      <c r="BT255" s="23"/>
      <c r="BU255" s="23"/>
    </row>
    <row r="256" ht="15.75" customHeight="1">
      <c r="A256" s="1567"/>
      <c r="B256" s="2146">
        <v>3770.0</v>
      </c>
      <c r="C256" s="1948">
        <v>240.0</v>
      </c>
      <c r="D256" s="1153" t="s">
        <v>77</v>
      </c>
      <c r="E256" s="1953" t="str">
        <f>'Матрица 4 недели'!M183</f>
        <v>Паприкаш из говядины с картофельным пюре</v>
      </c>
      <c r="F256" s="1284"/>
      <c r="G256" s="1285"/>
      <c r="H256" s="1284"/>
      <c r="I256" s="1285"/>
      <c r="J256" s="1284"/>
      <c r="K256" s="1285"/>
      <c r="L256" s="1284"/>
      <c r="M256" s="1285"/>
      <c r="N256" s="1284"/>
      <c r="O256" s="1285"/>
      <c r="P256" s="1284"/>
      <c r="Q256" s="1142"/>
      <c r="R256" s="1286"/>
      <c r="S256" s="1142"/>
      <c r="T256" s="1284"/>
      <c r="U256" s="1142"/>
      <c r="V256" s="1284"/>
      <c r="W256" s="1288"/>
      <c r="X256" s="1287"/>
      <c r="Y256" s="1289"/>
      <c r="Z256" s="1284"/>
      <c r="AA256" s="1142"/>
      <c r="AB256" s="1284"/>
      <c r="AC256" s="1140"/>
      <c r="AD256" s="1284"/>
      <c r="AE256" s="1289"/>
      <c r="AF256" s="1284"/>
      <c r="AG256" s="1289"/>
      <c r="AH256" s="1284"/>
      <c r="AI256" s="1138"/>
      <c r="AJ256" s="1284"/>
      <c r="AK256" s="1289"/>
      <c r="AL256" s="1284"/>
      <c r="AM256" s="1138"/>
      <c r="AN256" s="1126"/>
      <c r="AO256" s="1138"/>
      <c r="AP256" s="1126"/>
      <c r="AQ256" s="1138"/>
      <c r="AR256" s="1126"/>
      <c r="AS256" s="1138"/>
      <c r="AT256" s="1126"/>
      <c r="AU256" s="1138"/>
      <c r="AV256" s="1126"/>
      <c r="AW256" s="1138"/>
      <c r="AX256" s="1126"/>
      <c r="AY256" s="1138"/>
      <c r="AZ256" s="1126"/>
      <c r="BA256" s="1138"/>
      <c r="BB256" s="1126"/>
      <c r="BC256" s="1138"/>
      <c r="BD256" s="1126"/>
      <c r="BE256" s="1138"/>
      <c r="BF256" s="1126"/>
      <c r="BG256" s="1138"/>
      <c r="BH256" s="1126"/>
      <c r="BI256" s="1138"/>
      <c r="BJ256" s="1126"/>
      <c r="BK256" s="1138"/>
      <c r="BL256" s="1134">
        <v>25.0</v>
      </c>
      <c r="BM256" s="1138"/>
      <c r="BN256" s="1073"/>
      <c r="BO256" s="1579"/>
      <c r="BP256" s="2069">
        <f t="shared" si="164"/>
        <v>26</v>
      </c>
      <c r="BQ256" s="2133">
        <f t="shared" si="165"/>
        <v>0</v>
      </c>
      <c r="BR256" s="2366">
        <f t="shared" si="166"/>
        <v>0</v>
      </c>
      <c r="BS256" s="1053">
        <f t="shared" si="167"/>
        <v>6240</v>
      </c>
      <c r="BT256" s="23"/>
      <c r="BU256" s="23"/>
    </row>
    <row r="257" ht="15.75" customHeight="1">
      <c r="A257" s="1567"/>
      <c r="B257" s="2146">
        <v>3769.0</v>
      </c>
      <c r="C257" s="1948">
        <v>240.0</v>
      </c>
      <c r="D257" s="1153" t="s">
        <v>77</v>
      </c>
      <c r="E257" s="1953" t="str">
        <f>'Матрица 4 недели'!M184</f>
        <v>Паприкаш из говядины с макаронами</v>
      </c>
      <c r="F257" s="1126"/>
      <c r="G257" s="1121"/>
      <c r="H257" s="1126"/>
      <c r="I257" s="1121"/>
      <c r="J257" s="1126"/>
      <c r="K257" s="1121"/>
      <c r="L257" s="1141"/>
      <c r="M257" s="1121"/>
      <c r="N257" s="1141"/>
      <c r="O257" s="1121"/>
      <c r="P257" s="1126"/>
      <c r="Q257" s="1121"/>
      <c r="R257" s="1120"/>
      <c r="S257" s="1121"/>
      <c r="T257" s="1126"/>
      <c r="U257" s="1291"/>
      <c r="V257" s="1141"/>
      <c r="W257" s="1121"/>
      <c r="X257" s="1141"/>
      <c r="Y257" s="1121"/>
      <c r="Z257" s="1120"/>
      <c r="AA257" s="1121"/>
      <c r="AB257" s="1137"/>
      <c r="AC257" s="1138"/>
      <c r="AD257" s="1141"/>
      <c r="AE257" s="1138"/>
      <c r="AF257" s="1141"/>
      <c r="AG257" s="1138"/>
      <c r="AH257" s="1120"/>
      <c r="AI257" s="1138"/>
      <c r="AJ257" s="1137"/>
      <c r="AK257" s="1138"/>
      <c r="AL257" s="1126"/>
      <c r="AM257" s="1138"/>
      <c r="AN257" s="1126"/>
      <c r="AO257" s="1138"/>
      <c r="AP257" s="1126"/>
      <c r="AQ257" s="1138"/>
      <c r="AR257" s="1126"/>
      <c r="AS257" s="1138"/>
      <c r="AT257" s="1126"/>
      <c r="AU257" s="1138"/>
      <c r="AV257" s="1126"/>
      <c r="AW257" s="1138"/>
      <c r="AX257" s="1126"/>
      <c r="AY257" s="1138"/>
      <c r="AZ257" s="1126"/>
      <c r="BA257" s="1138"/>
      <c r="BB257" s="1126"/>
      <c r="BC257" s="1138"/>
      <c r="BD257" s="1126"/>
      <c r="BE257" s="1138"/>
      <c r="BF257" s="1126"/>
      <c r="BG257" s="1138"/>
      <c r="BH257" s="1126"/>
      <c r="BI257" s="1138"/>
      <c r="BJ257" s="1126"/>
      <c r="BK257" s="1138"/>
      <c r="BL257" s="1134">
        <v>25.0</v>
      </c>
      <c r="BM257" s="1138"/>
      <c r="BN257" s="1073"/>
      <c r="BO257" s="1579"/>
      <c r="BP257" s="80">
        <f t="shared" si="164"/>
        <v>26</v>
      </c>
      <c r="BQ257" s="2137">
        <f t="shared" si="165"/>
        <v>0</v>
      </c>
      <c r="BR257" s="2366">
        <f t="shared" si="166"/>
        <v>0</v>
      </c>
      <c r="BS257" s="1053">
        <f t="shared" si="167"/>
        <v>6240</v>
      </c>
      <c r="BT257" s="23"/>
      <c r="BU257" s="23"/>
    </row>
    <row r="258" ht="15.75" customHeight="1">
      <c r="A258" s="1567"/>
      <c r="B258" s="2146">
        <v>1819.0</v>
      </c>
      <c r="C258" s="1948">
        <v>180.0</v>
      </c>
      <c r="D258" s="1153" t="s">
        <v>77</v>
      </c>
      <c r="E258" s="1953" t="str">
        <f>'Матрица 4 недели'!M185</f>
        <v>Крылышки пикантные с картофелем запеченным</v>
      </c>
      <c r="F258" s="1151">
        <v>9.0</v>
      </c>
      <c r="G258" s="1173"/>
      <c r="H258" s="1151">
        <v>2.0</v>
      </c>
      <c r="I258" s="1173"/>
      <c r="J258" s="1151">
        <v>2.0</v>
      </c>
      <c r="K258" s="1173"/>
      <c r="L258" s="2149">
        <v>2.0</v>
      </c>
      <c r="M258" s="1173"/>
      <c r="N258" s="1802">
        <v>9.0</v>
      </c>
      <c r="O258" s="1173"/>
      <c r="P258" s="1151">
        <v>3.0</v>
      </c>
      <c r="Q258" s="1173"/>
      <c r="R258" s="1769">
        <v>1.0</v>
      </c>
      <c r="S258" s="1173"/>
      <c r="T258" s="1151">
        <v>0.0</v>
      </c>
      <c r="U258" s="1173"/>
      <c r="V258" s="2149">
        <v>0.0</v>
      </c>
      <c r="W258" s="1173"/>
      <c r="X258" s="1151">
        <v>3.0</v>
      </c>
      <c r="Y258" s="1173"/>
      <c r="Z258" s="1769"/>
      <c r="AA258" s="1173"/>
      <c r="AB258" s="1151">
        <v>0.0</v>
      </c>
      <c r="AC258" s="1173"/>
      <c r="AD258" s="1151">
        <v>0.0</v>
      </c>
      <c r="AE258" s="1173"/>
      <c r="AF258" s="1769">
        <v>2.0</v>
      </c>
      <c r="AG258" s="1173"/>
      <c r="AH258" s="1760">
        <v>3.0</v>
      </c>
      <c r="AI258" s="1173"/>
      <c r="AJ258" s="1760">
        <v>2.0</v>
      </c>
      <c r="AK258" s="1173"/>
      <c r="AL258" s="1151">
        <v>2.0</v>
      </c>
      <c r="AM258" s="1173"/>
      <c r="AN258" s="1151">
        <v>3.0</v>
      </c>
      <c r="AO258" s="1173"/>
      <c r="AP258" s="1760">
        <v>2.0</v>
      </c>
      <c r="AQ258" s="1173"/>
      <c r="AR258" s="1151">
        <v>5.0</v>
      </c>
      <c r="AS258" s="1173"/>
      <c r="AT258" s="1151">
        <v>2.0</v>
      </c>
      <c r="AU258" s="1173"/>
      <c r="AV258" s="1151">
        <v>3.0</v>
      </c>
      <c r="AW258" s="1173"/>
      <c r="AX258" s="1151">
        <v>2.0</v>
      </c>
      <c r="AY258" s="1173"/>
      <c r="AZ258" s="1151">
        <v>0.0</v>
      </c>
      <c r="BA258" s="1173"/>
      <c r="BB258" s="1151">
        <v>3.0</v>
      </c>
      <c r="BC258" s="1173"/>
      <c r="BD258" s="1151">
        <v>0.0</v>
      </c>
      <c r="BE258" s="1173"/>
      <c r="BF258" s="1151">
        <v>4.0</v>
      </c>
      <c r="BG258" s="1173"/>
      <c r="BH258" s="1151">
        <v>0.0</v>
      </c>
      <c r="BI258" s="1173"/>
      <c r="BJ258" s="1126">
        <v>4.0</v>
      </c>
      <c r="BK258" s="1138"/>
      <c r="BL258" s="1134"/>
      <c r="BM258" s="1138"/>
      <c r="BN258" s="1075"/>
      <c r="BO258" s="2062"/>
      <c r="BP258" s="80">
        <f t="shared" si="164"/>
        <v>69</v>
      </c>
      <c r="BQ258" s="2137">
        <f t="shared" si="165"/>
        <v>0</v>
      </c>
      <c r="BR258" s="2366">
        <f t="shared" si="166"/>
        <v>0</v>
      </c>
      <c r="BS258" s="1053">
        <f t="shared" si="167"/>
        <v>12420</v>
      </c>
      <c r="BT258" s="23"/>
      <c r="BU258" s="23"/>
    </row>
    <row r="259" ht="15.75" customHeight="1">
      <c r="A259" s="1567"/>
      <c r="B259" s="2146">
        <v>475.0</v>
      </c>
      <c r="C259" s="1948">
        <v>233.0</v>
      </c>
      <c r="D259" s="1153" t="s">
        <v>77</v>
      </c>
      <c r="E259" s="2344" t="str">
        <f>'Матрица 4 недели'!M186</f>
        <v>Филе с томатом и сыром с зеленым рисом </v>
      </c>
      <c r="F259" s="1126">
        <v>14.0</v>
      </c>
      <c r="G259" s="1138"/>
      <c r="H259" s="1126">
        <v>1.0</v>
      </c>
      <c r="I259" s="1138"/>
      <c r="J259" s="1126">
        <v>4.0</v>
      </c>
      <c r="K259" s="1138"/>
      <c r="L259" s="1284">
        <v>0.0</v>
      </c>
      <c r="M259" s="1138"/>
      <c r="N259" s="1141">
        <v>5.0</v>
      </c>
      <c r="O259" s="1138"/>
      <c r="P259" s="1126">
        <v>7.0</v>
      </c>
      <c r="Q259" s="1138"/>
      <c r="R259" s="1120">
        <v>1.0</v>
      </c>
      <c r="S259" s="1138"/>
      <c r="T259" s="1126">
        <v>1.0</v>
      </c>
      <c r="U259" s="1138"/>
      <c r="V259" s="1141">
        <v>1.0</v>
      </c>
      <c r="W259" s="1138"/>
      <c r="X259" s="1141">
        <v>3.0</v>
      </c>
      <c r="Y259" s="1138"/>
      <c r="Z259" s="1126"/>
      <c r="AA259" s="1138"/>
      <c r="AB259" s="1126">
        <v>0.0</v>
      </c>
      <c r="AC259" s="1138"/>
      <c r="AD259" s="1141">
        <v>1.0</v>
      </c>
      <c r="AE259" s="1138"/>
      <c r="AF259" s="1141">
        <v>3.0</v>
      </c>
      <c r="AG259" s="1138"/>
      <c r="AH259" s="1290">
        <v>1.0</v>
      </c>
      <c r="AI259" s="1138"/>
      <c r="AJ259" s="1137">
        <v>0.0</v>
      </c>
      <c r="AK259" s="1289"/>
      <c r="AL259" s="1126">
        <v>2.0</v>
      </c>
      <c r="AM259" s="1138"/>
      <c r="AN259" s="1126">
        <v>3.0</v>
      </c>
      <c r="AO259" s="1138"/>
      <c r="AP259" s="1126">
        <v>0.0</v>
      </c>
      <c r="AQ259" s="1138"/>
      <c r="AR259" s="1126">
        <v>7.0</v>
      </c>
      <c r="AS259" s="1138"/>
      <c r="AT259" s="1126">
        <v>2.0</v>
      </c>
      <c r="AU259" s="1138"/>
      <c r="AV259" s="1126">
        <v>4.0</v>
      </c>
      <c r="AW259" s="1138"/>
      <c r="AX259" s="1126">
        <v>3.0</v>
      </c>
      <c r="AY259" s="1138"/>
      <c r="AZ259" s="1126">
        <v>0.0</v>
      </c>
      <c r="BA259" s="1138"/>
      <c r="BB259" s="1126">
        <v>3.0</v>
      </c>
      <c r="BC259" s="1138"/>
      <c r="BD259" s="1126">
        <v>1.0</v>
      </c>
      <c r="BE259" s="1138"/>
      <c r="BF259" s="1126">
        <v>6.0</v>
      </c>
      <c r="BG259" s="1138"/>
      <c r="BH259" s="1126">
        <v>2.0</v>
      </c>
      <c r="BI259" s="1138"/>
      <c r="BJ259" s="1126">
        <v>5.0</v>
      </c>
      <c r="BK259" s="1138"/>
      <c r="BL259" s="1134"/>
      <c r="BM259" s="1138"/>
      <c r="BN259" s="1075">
        <v>10.0</v>
      </c>
      <c r="BO259" s="1167"/>
      <c r="BP259" s="2069">
        <f t="shared" si="164"/>
        <v>81</v>
      </c>
      <c r="BQ259" s="2133">
        <f t="shared" si="165"/>
        <v>0</v>
      </c>
      <c r="BR259" s="2366">
        <f t="shared" si="166"/>
        <v>0</v>
      </c>
      <c r="BS259" s="1053">
        <f t="shared" si="167"/>
        <v>18873</v>
      </c>
      <c r="BT259" s="23"/>
      <c r="BU259" s="23"/>
    </row>
    <row r="260" ht="15.75" customHeight="1">
      <c r="A260" s="1567"/>
      <c r="B260" s="2146">
        <v>1896.0</v>
      </c>
      <c r="C260" s="1948">
        <v>247.0</v>
      </c>
      <c r="D260" s="1153" t="s">
        <v>77</v>
      </c>
      <c r="E260" s="2368" t="str">
        <f>'Матрица 4 недели'!M187</f>
        <v>Манты со сметаной </v>
      </c>
      <c r="F260" s="1126">
        <v>17.0</v>
      </c>
      <c r="G260" s="1138"/>
      <c r="H260" s="1126">
        <v>0.0</v>
      </c>
      <c r="I260" s="1138"/>
      <c r="J260" s="1126">
        <v>2.0</v>
      </c>
      <c r="K260" s="1138"/>
      <c r="L260" s="1284">
        <v>0.0</v>
      </c>
      <c r="M260" s="1138"/>
      <c r="N260" s="1126">
        <v>4.0</v>
      </c>
      <c r="O260" s="1138"/>
      <c r="P260" s="1126">
        <v>6.0</v>
      </c>
      <c r="Q260" s="1138"/>
      <c r="R260" s="1120">
        <v>2.0</v>
      </c>
      <c r="S260" s="1138"/>
      <c r="T260" s="1126">
        <v>2.0</v>
      </c>
      <c r="U260" s="1138"/>
      <c r="V260" s="1126">
        <v>1.0</v>
      </c>
      <c r="W260" s="1138"/>
      <c r="X260" s="1126">
        <v>2.0</v>
      </c>
      <c r="Y260" s="1138"/>
      <c r="Z260" s="1126"/>
      <c r="AA260" s="1138"/>
      <c r="AB260" s="1126">
        <v>1.0</v>
      </c>
      <c r="AC260" s="1138"/>
      <c r="AD260" s="1126">
        <v>1.0</v>
      </c>
      <c r="AE260" s="1138"/>
      <c r="AF260" s="1126">
        <v>4.0</v>
      </c>
      <c r="AG260" s="1138"/>
      <c r="AH260" s="1290">
        <v>2.0</v>
      </c>
      <c r="AI260" s="1138"/>
      <c r="AJ260" s="1137">
        <v>3.0</v>
      </c>
      <c r="AK260" s="1289"/>
      <c r="AL260" s="1126">
        <v>4.0</v>
      </c>
      <c r="AM260" s="1138"/>
      <c r="AN260" s="1126">
        <v>3.0</v>
      </c>
      <c r="AO260" s="1138"/>
      <c r="AP260" s="1126">
        <v>0.0</v>
      </c>
      <c r="AQ260" s="1138"/>
      <c r="AR260" s="1126">
        <v>2.0</v>
      </c>
      <c r="AS260" s="1138"/>
      <c r="AT260" s="1126">
        <v>2.0</v>
      </c>
      <c r="AU260" s="1138"/>
      <c r="AV260" s="1126">
        <v>0.0</v>
      </c>
      <c r="AW260" s="1138"/>
      <c r="AX260" s="1126">
        <v>4.0</v>
      </c>
      <c r="AY260" s="1138"/>
      <c r="AZ260" s="1126">
        <v>0.0</v>
      </c>
      <c r="BA260" s="1138"/>
      <c r="BB260" s="1126">
        <v>3.0</v>
      </c>
      <c r="BC260" s="1138"/>
      <c r="BD260" s="1126">
        <v>0.0</v>
      </c>
      <c r="BE260" s="1138"/>
      <c r="BF260" s="1126">
        <v>4.0</v>
      </c>
      <c r="BG260" s="1138"/>
      <c r="BH260" s="1126">
        <v>0.0</v>
      </c>
      <c r="BI260" s="1138"/>
      <c r="BJ260" s="1126">
        <v>2.0</v>
      </c>
      <c r="BK260" s="1138"/>
      <c r="BL260" s="1134"/>
      <c r="BM260" s="1138"/>
      <c r="BN260" s="1075">
        <v>10.0</v>
      </c>
      <c r="BO260" s="2062"/>
      <c r="BP260" s="2069">
        <f t="shared" si="164"/>
        <v>72</v>
      </c>
      <c r="BQ260" s="2133">
        <f t="shared" si="165"/>
        <v>0</v>
      </c>
      <c r="BR260" s="2366">
        <f t="shared" si="166"/>
        <v>0</v>
      </c>
      <c r="BS260" s="1053">
        <f t="shared" si="167"/>
        <v>17784</v>
      </c>
      <c r="BT260" s="23"/>
      <c r="BU260" s="23"/>
    </row>
    <row r="261" ht="15.75" customHeight="1">
      <c r="A261" s="1567"/>
      <c r="B261" s="2146">
        <v>1846.0</v>
      </c>
      <c r="C261" s="1948">
        <v>208.0</v>
      </c>
      <c r="D261" s="1153" t="s">
        <v>77</v>
      </c>
      <c r="E261" s="2344" t="str">
        <f>'Матрица 4 недели'!M188</f>
        <v>Котлета куриная с тушеной капустой</v>
      </c>
      <c r="F261" s="1126">
        <v>20.0</v>
      </c>
      <c r="G261" s="1138"/>
      <c r="H261" s="1126">
        <v>2.0</v>
      </c>
      <c r="I261" s="1138"/>
      <c r="J261" s="1126">
        <v>3.0</v>
      </c>
      <c r="K261" s="1138"/>
      <c r="L261" s="1126">
        <v>2.0</v>
      </c>
      <c r="M261" s="1138"/>
      <c r="N261" s="1126">
        <v>3.0</v>
      </c>
      <c r="O261" s="1138"/>
      <c r="P261" s="1126">
        <v>2.0</v>
      </c>
      <c r="Q261" s="1121"/>
      <c r="R261" s="1126">
        <v>2.0</v>
      </c>
      <c r="S261" s="1121"/>
      <c r="T261" s="1126">
        <v>0.0</v>
      </c>
      <c r="U261" s="1121"/>
      <c r="V261" s="1126">
        <v>0.0</v>
      </c>
      <c r="W261" s="1121"/>
      <c r="X261" s="1126">
        <v>6.0</v>
      </c>
      <c r="Y261" s="1121"/>
      <c r="Z261" s="1120"/>
      <c r="AA261" s="1121"/>
      <c r="AB261" s="1120">
        <v>0.0</v>
      </c>
      <c r="AC261" s="1121"/>
      <c r="AD261" s="1120">
        <v>0.0</v>
      </c>
      <c r="AE261" s="1121"/>
      <c r="AF261" s="1126">
        <v>3.0</v>
      </c>
      <c r="AG261" s="1121"/>
      <c r="AH261" s="1120">
        <v>1.0</v>
      </c>
      <c r="AI261" s="1121"/>
      <c r="AJ261" s="1137">
        <v>0.0</v>
      </c>
      <c r="AK261" s="1121"/>
      <c r="AL261" s="1126">
        <v>0.0</v>
      </c>
      <c r="AM261" s="1121"/>
      <c r="AN261" s="1137">
        <v>3.0</v>
      </c>
      <c r="AO261" s="1138"/>
      <c r="AP261" s="1126">
        <v>2.0</v>
      </c>
      <c r="AQ261" s="1138"/>
      <c r="AR261" s="1126">
        <v>4.0</v>
      </c>
      <c r="AS261" s="1138"/>
      <c r="AT261" s="1126">
        <v>0.0</v>
      </c>
      <c r="AU261" s="1138"/>
      <c r="AV261" s="1126">
        <v>2.0</v>
      </c>
      <c r="AW261" s="1138"/>
      <c r="AX261" s="1126">
        <v>2.0</v>
      </c>
      <c r="AY261" s="1138"/>
      <c r="AZ261" s="1126">
        <v>4.0</v>
      </c>
      <c r="BA261" s="1138"/>
      <c r="BB261" s="1126">
        <v>3.0</v>
      </c>
      <c r="BC261" s="1138"/>
      <c r="BD261" s="1126">
        <v>0.0</v>
      </c>
      <c r="BE261" s="1138"/>
      <c r="BF261" s="1126">
        <v>4.0</v>
      </c>
      <c r="BG261" s="1138"/>
      <c r="BH261" s="1126">
        <v>1.0</v>
      </c>
      <c r="BI261" s="1138"/>
      <c r="BJ261" s="1126">
        <v>6.0</v>
      </c>
      <c r="BK261" s="1138"/>
      <c r="BL261" s="1139"/>
      <c r="BM261" s="1138"/>
      <c r="BN261" s="1075">
        <v>15.0</v>
      </c>
      <c r="BO261" s="2062"/>
      <c r="BP261" s="80">
        <f t="shared" si="164"/>
        <v>76</v>
      </c>
      <c r="BQ261" s="2137">
        <f t="shared" si="165"/>
        <v>0</v>
      </c>
      <c r="BR261" s="2366">
        <f t="shared" si="166"/>
        <v>0</v>
      </c>
      <c r="BS261" s="1053">
        <f t="shared" si="167"/>
        <v>15808</v>
      </c>
      <c r="BT261" s="23"/>
      <c r="BU261" s="23"/>
    </row>
    <row r="262" ht="15.75" customHeight="1">
      <c r="A262" s="1567"/>
      <c r="B262" s="2369">
        <v>967.0</v>
      </c>
      <c r="C262" s="2370">
        <v>198.0</v>
      </c>
      <c r="D262" s="2371" t="s">
        <v>77</v>
      </c>
      <c r="E262" s="2372" t="str">
        <f>'Матрица 4 недели'!M189</f>
        <v>Курочка в томатном соусе с макаронами</v>
      </c>
      <c r="F262" s="1622">
        <v>7.0</v>
      </c>
      <c r="G262" s="1624"/>
      <c r="H262" s="1622">
        <v>3.0</v>
      </c>
      <c r="I262" s="1624"/>
      <c r="J262" s="1788">
        <v>3.0</v>
      </c>
      <c r="K262" s="1624"/>
      <c r="L262" s="1637">
        <v>0.0</v>
      </c>
      <c r="M262" s="1624"/>
      <c r="N262" s="1788">
        <v>8.0</v>
      </c>
      <c r="O262" s="1624"/>
      <c r="P262" s="1638">
        <v>9.0</v>
      </c>
      <c r="Q262" s="1624"/>
      <c r="R262" s="1622">
        <v>5.0</v>
      </c>
      <c r="S262" s="1790"/>
      <c r="T262" s="1622">
        <v>4.0</v>
      </c>
      <c r="U262" s="1621"/>
      <c r="V262" s="1622">
        <v>6.0</v>
      </c>
      <c r="W262" s="1621"/>
      <c r="X262" s="1622">
        <v>3.0</v>
      </c>
      <c r="Y262" s="1621"/>
      <c r="Z262" s="1791"/>
      <c r="AA262" s="1621"/>
      <c r="AB262" s="1791">
        <v>3.0</v>
      </c>
      <c r="AC262" s="1792"/>
      <c r="AD262" s="1791">
        <v>5.0</v>
      </c>
      <c r="AE262" s="1621"/>
      <c r="AF262" s="1788">
        <v>2.0</v>
      </c>
      <c r="AG262" s="1621"/>
      <c r="AH262" s="1620">
        <v>6.0</v>
      </c>
      <c r="AI262" s="1621"/>
      <c r="AJ262" s="1620">
        <v>2.0</v>
      </c>
      <c r="AK262" s="1621"/>
      <c r="AL262" s="1622">
        <v>3.0</v>
      </c>
      <c r="AM262" s="1621"/>
      <c r="AN262" s="1622">
        <v>3.0</v>
      </c>
      <c r="AO262" s="1621"/>
      <c r="AP262" s="1622">
        <v>2.0</v>
      </c>
      <c r="AQ262" s="1621"/>
      <c r="AR262" s="1622">
        <v>7.0</v>
      </c>
      <c r="AS262" s="1621"/>
      <c r="AT262" s="1622">
        <v>8.0</v>
      </c>
      <c r="AU262" s="1621"/>
      <c r="AV262" s="1622">
        <v>3.0</v>
      </c>
      <c r="AW262" s="1621"/>
      <c r="AX262" s="1622">
        <v>5.0</v>
      </c>
      <c r="AY262" s="1621"/>
      <c r="AZ262" s="1622">
        <v>3.0</v>
      </c>
      <c r="BA262" s="1621"/>
      <c r="BB262" s="1622">
        <v>4.0</v>
      </c>
      <c r="BC262" s="1621"/>
      <c r="BD262" s="1622">
        <v>2.0</v>
      </c>
      <c r="BE262" s="1621"/>
      <c r="BF262" s="1622">
        <v>7.0</v>
      </c>
      <c r="BG262" s="1621"/>
      <c r="BH262" s="1622">
        <v>1.0</v>
      </c>
      <c r="BI262" s="1621"/>
      <c r="BJ262" s="1622">
        <v>7.0</v>
      </c>
      <c r="BK262" s="1621"/>
      <c r="BL262" s="2373"/>
      <c r="BM262" s="1790"/>
      <c r="BN262" s="1634">
        <v>10.0</v>
      </c>
      <c r="BO262" s="2374"/>
      <c r="BP262" s="2069">
        <f t="shared" si="164"/>
        <v>122</v>
      </c>
      <c r="BQ262" s="2137">
        <f t="shared" si="165"/>
        <v>0</v>
      </c>
      <c r="BR262" s="2366">
        <f t="shared" si="166"/>
        <v>0</v>
      </c>
      <c r="BS262" s="1053">
        <f t="shared" si="167"/>
        <v>24156</v>
      </c>
      <c r="BT262" s="23"/>
      <c r="BU262" s="23"/>
    </row>
    <row r="263" ht="15.75" customHeight="1">
      <c r="A263" s="1567"/>
      <c r="B263" s="2147">
        <v>3528.0</v>
      </c>
      <c r="C263" s="1153">
        <v>56.0</v>
      </c>
      <c r="D263" s="1153" t="s">
        <v>78</v>
      </c>
      <c r="E263" s="2375" t="str">
        <f>'Матрица 4 недели'!P182</f>
        <v>Сырная палочка 80 гр</v>
      </c>
      <c r="F263" s="1126"/>
      <c r="G263" s="1121"/>
      <c r="H263" s="1126"/>
      <c r="I263" s="1121"/>
      <c r="J263" s="1126"/>
      <c r="K263" s="1121"/>
      <c r="L263" s="1126"/>
      <c r="M263" s="1121"/>
      <c r="N263" s="1126"/>
      <c r="O263" s="1121"/>
      <c r="P263" s="1126"/>
      <c r="Q263" s="1121"/>
      <c r="R263" s="1126"/>
      <c r="S263" s="1121"/>
      <c r="T263" s="1126"/>
      <c r="U263" s="1138"/>
      <c r="V263" s="1126"/>
      <c r="W263" s="1138"/>
      <c r="X263" s="1126"/>
      <c r="Y263" s="1138"/>
      <c r="Z263" s="1137"/>
      <c r="AA263" s="1138"/>
      <c r="AB263" s="1137"/>
      <c r="AC263" s="1138"/>
      <c r="AD263" s="1137"/>
      <c r="AE263" s="1138"/>
      <c r="AF263" s="1126"/>
      <c r="AG263" s="1138"/>
      <c r="AH263" s="1137"/>
      <c r="AI263" s="1138"/>
      <c r="AJ263" s="1137"/>
      <c r="AK263" s="1138"/>
      <c r="AL263" s="1126"/>
      <c r="AM263" s="1138"/>
      <c r="AN263" s="1120"/>
      <c r="AO263" s="1653"/>
      <c r="AP263" s="1654"/>
      <c r="AQ263" s="1653"/>
      <c r="AR263" s="1654"/>
      <c r="AS263" s="1653"/>
      <c r="AT263" s="1654"/>
      <c r="AU263" s="1653"/>
      <c r="AV263" s="1654"/>
      <c r="AW263" s="1653"/>
      <c r="AX263" s="1654"/>
      <c r="AY263" s="1653"/>
      <c r="AZ263" s="1654"/>
      <c r="BA263" s="1653"/>
      <c r="BB263" s="1654"/>
      <c r="BC263" s="1653"/>
      <c r="BD263" s="1654"/>
      <c r="BE263" s="1653"/>
      <c r="BF263" s="1654"/>
      <c r="BG263" s="1653"/>
      <c r="BH263" s="1654"/>
      <c r="BI263" s="1653"/>
      <c r="BJ263" s="1654"/>
      <c r="BK263" s="1653"/>
      <c r="BL263" s="1656">
        <v>10.0</v>
      </c>
      <c r="BM263" s="1138"/>
      <c r="BN263" s="1073"/>
      <c r="BO263" s="1167"/>
      <c r="BP263" s="80">
        <f t="shared" si="164"/>
        <v>11</v>
      </c>
      <c r="BQ263" s="2137">
        <f t="shared" si="165"/>
        <v>0</v>
      </c>
      <c r="BR263" s="2366">
        <f t="shared" si="166"/>
        <v>0</v>
      </c>
      <c r="BS263" s="1053">
        <f t="shared" si="167"/>
        <v>616</v>
      </c>
      <c r="BT263" s="23"/>
      <c r="BU263" s="23"/>
    </row>
    <row r="264" ht="15.75" customHeight="1">
      <c r="A264" s="1567"/>
      <c r="B264" s="2147"/>
      <c r="C264" s="818"/>
      <c r="D264" s="1153"/>
      <c r="E264" s="2375" t="str">
        <f>'Матрица 4 недели'!P183</f>
        <v/>
      </c>
      <c r="F264" s="1137"/>
      <c r="G264" s="1138"/>
      <c r="H264" s="1126"/>
      <c r="I264" s="1138"/>
      <c r="J264" s="1126"/>
      <c r="K264" s="1138"/>
      <c r="L264" s="1126"/>
      <c r="M264" s="1138"/>
      <c r="N264" s="1126"/>
      <c r="O264" s="1138"/>
      <c r="P264" s="1126"/>
      <c r="Q264" s="1121"/>
      <c r="R264" s="1126"/>
      <c r="S264" s="1121"/>
      <c r="T264" s="1137"/>
      <c r="U264" s="1121"/>
      <c r="V264" s="1137"/>
      <c r="W264" s="1121"/>
      <c r="X264" s="1137"/>
      <c r="Y264" s="1121"/>
      <c r="Z264" s="1120"/>
      <c r="AA264" s="1121"/>
      <c r="AB264" s="1120"/>
      <c r="AC264" s="1121"/>
      <c r="AD264" s="1120"/>
      <c r="AE264" s="1121"/>
      <c r="AF264" s="1137"/>
      <c r="AG264" s="1121"/>
      <c r="AH264" s="1120"/>
      <c r="AI264" s="1121"/>
      <c r="AJ264" s="1120"/>
      <c r="AK264" s="1121"/>
      <c r="AL264" s="1126"/>
      <c r="AM264" s="1138"/>
      <c r="AN264" s="1137"/>
      <c r="AO264" s="1121"/>
      <c r="AP264" s="1137"/>
      <c r="AQ264" s="1138"/>
      <c r="AR264" s="1137"/>
      <c r="AS264" s="1138"/>
      <c r="AT264" s="1126"/>
      <c r="AU264" s="1138"/>
      <c r="AV264" s="1126"/>
      <c r="AW264" s="1138"/>
      <c r="AX264" s="1126"/>
      <c r="AY264" s="1138"/>
      <c r="AZ264" s="1126"/>
      <c r="BA264" s="1138"/>
      <c r="BB264" s="1126"/>
      <c r="BC264" s="1138"/>
      <c r="BD264" s="1126"/>
      <c r="BE264" s="1138"/>
      <c r="BF264" s="1126"/>
      <c r="BG264" s="1138"/>
      <c r="BH264" s="1126"/>
      <c r="BI264" s="1138"/>
      <c r="BJ264" s="1126"/>
      <c r="BK264" s="1138"/>
      <c r="BL264" s="1513"/>
      <c r="BM264" s="1138"/>
      <c r="BN264" s="1073"/>
      <c r="BO264" s="1579"/>
      <c r="BP264" s="80">
        <f t="shared" si="164"/>
        <v>1</v>
      </c>
      <c r="BQ264" s="2137">
        <f t="shared" si="165"/>
        <v>0</v>
      </c>
      <c r="BR264" s="2366">
        <f t="shared" si="166"/>
        <v>0</v>
      </c>
      <c r="BS264" s="1053">
        <f t="shared" si="167"/>
        <v>0</v>
      </c>
      <c r="BT264" s="23"/>
      <c r="BU264" s="23"/>
    </row>
    <row r="265" ht="15.75" customHeight="1">
      <c r="A265" s="1567"/>
      <c r="B265" s="2147">
        <v>5.0</v>
      </c>
      <c r="C265" s="818">
        <v>155.0</v>
      </c>
      <c r="D265" s="1153" t="s">
        <v>79</v>
      </c>
      <c r="E265" s="2375" t="str">
        <f>'Матрица 4 недели'!S182</f>
        <v>Сэндвич с ветчиной и сыром</v>
      </c>
      <c r="F265" s="1126">
        <v>28.0</v>
      </c>
      <c r="G265" s="1121"/>
      <c r="H265" s="1126">
        <v>3.0</v>
      </c>
      <c r="I265" s="1121"/>
      <c r="J265" s="1126">
        <v>4.0</v>
      </c>
      <c r="K265" s="1600"/>
      <c r="L265" s="1161">
        <v>8.0</v>
      </c>
      <c r="M265" s="1600"/>
      <c r="N265" s="1126">
        <v>4.0</v>
      </c>
      <c r="O265" s="1121"/>
      <c r="P265" s="1126">
        <v>21.0</v>
      </c>
      <c r="Q265" s="1121"/>
      <c r="R265" s="1126">
        <v>1.0</v>
      </c>
      <c r="S265" s="1121"/>
      <c r="T265" s="1126">
        <v>3.0</v>
      </c>
      <c r="U265" s="1138"/>
      <c r="V265" s="1126">
        <v>5.0</v>
      </c>
      <c r="W265" s="1138"/>
      <c r="X265" s="1126">
        <v>13.0</v>
      </c>
      <c r="Y265" s="1138"/>
      <c r="Z265" s="1137"/>
      <c r="AA265" s="1138"/>
      <c r="AB265" s="1137">
        <v>0.0</v>
      </c>
      <c r="AC265" s="1138"/>
      <c r="AD265" s="1137">
        <v>3.0</v>
      </c>
      <c r="AE265" s="1138"/>
      <c r="AF265" s="1126">
        <v>2.0</v>
      </c>
      <c r="AG265" s="1138"/>
      <c r="AH265" s="1137">
        <v>7.0</v>
      </c>
      <c r="AI265" s="1138"/>
      <c r="AJ265" s="1137">
        <v>4.0</v>
      </c>
      <c r="AK265" s="1138"/>
      <c r="AL265" s="1126">
        <v>7.0</v>
      </c>
      <c r="AM265" s="1138"/>
      <c r="AN265" s="1120">
        <v>5.0</v>
      </c>
      <c r="AO265" s="1305"/>
      <c r="AP265" s="1141">
        <v>4.0</v>
      </c>
      <c r="AQ265" s="1305"/>
      <c r="AR265" s="1141">
        <v>21.0</v>
      </c>
      <c r="AS265" s="1305"/>
      <c r="AT265" s="1141">
        <v>3.0</v>
      </c>
      <c r="AU265" s="1305"/>
      <c r="AV265" s="1141">
        <v>12.0</v>
      </c>
      <c r="AW265" s="1305"/>
      <c r="AX265" s="1141">
        <v>4.0</v>
      </c>
      <c r="AY265" s="1305"/>
      <c r="AZ265" s="1141">
        <v>4.0</v>
      </c>
      <c r="BA265" s="1305"/>
      <c r="BB265" s="1141">
        <v>5.0</v>
      </c>
      <c r="BC265" s="1305"/>
      <c r="BD265" s="1141">
        <v>2.0</v>
      </c>
      <c r="BE265" s="1305"/>
      <c r="BF265" s="1141">
        <v>13.0</v>
      </c>
      <c r="BG265" s="1305"/>
      <c r="BH265" s="1141">
        <v>3.0</v>
      </c>
      <c r="BI265" s="1305"/>
      <c r="BJ265" s="1141">
        <v>6.0</v>
      </c>
      <c r="BK265" s="1305"/>
      <c r="BL265" s="1513"/>
      <c r="BM265" s="1138"/>
      <c r="BN265" s="1073"/>
      <c r="BO265" s="1579"/>
      <c r="BP265" s="80">
        <f t="shared" si="164"/>
        <v>196</v>
      </c>
      <c r="BQ265" s="2137">
        <f t="shared" si="165"/>
        <v>0</v>
      </c>
      <c r="BR265" s="2366">
        <f t="shared" si="166"/>
        <v>0</v>
      </c>
      <c r="BS265" s="1053">
        <f t="shared" si="167"/>
        <v>30380</v>
      </c>
      <c r="BT265" s="70"/>
      <c r="BU265" s="70"/>
    </row>
    <row r="266" ht="15.75" customHeight="1">
      <c r="A266" s="1567"/>
      <c r="B266" s="2147">
        <v>4239.0</v>
      </c>
      <c r="C266" s="1153">
        <v>172.0</v>
      </c>
      <c r="D266" s="1153" t="s">
        <v>79</v>
      </c>
      <c r="E266" s="2375" t="str">
        <f>'Матрица 4 недели'!S183</f>
        <v>Сэндвич с запеченной курочкой и соусом Релиш</v>
      </c>
      <c r="F266" s="1137">
        <v>28.0</v>
      </c>
      <c r="G266" s="1121"/>
      <c r="H266" s="1126">
        <v>3.0</v>
      </c>
      <c r="I266" s="1121"/>
      <c r="J266" s="1126">
        <v>4.0</v>
      </c>
      <c r="K266" s="1160"/>
      <c r="L266" s="1161">
        <v>3.0</v>
      </c>
      <c r="M266" s="1160"/>
      <c r="N266" s="1126">
        <v>3.0</v>
      </c>
      <c r="O266" s="1121"/>
      <c r="P266" s="1126">
        <v>6.0</v>
      </c>
      <c r="Q266" s="1121"/>
      <c r="R266" s="1120">
        <v>1.0</v>
      </c>
      <c r="S266" s="1121"/>
      <c r="T266" s="1126">
        <v>2.0</v>
      </c>
      <c r="U266" s="1138"/>
      <c r="V266" s="1137">
        <v>5.0</v>
      </c>
      <c r="W266" s="1138"/>
      <c r="X266" s="1137">
        <v>9.0</v>
      </c>
      <c r="Y266" s="1138"/>
      <c r="Z266" s="1137"/>
      <c r="AA266" s="1138"/>
      <c r="AB266" s="1137">
        <v>0.0</v>
      </c>
      <c r="AC266" s="1138"/>
      <c r="AD266" s="1137">
        <v>2.0</v>
      </c>
      <c r="AE266" s="1138"/>
      <c r="AF266" s="1137">
        <v>2.0</v>
      </c>
      <c r="AG266" s="1138"/>
      <c r="AH266" s="1137">
        <v>6.0</v>
      </c>
      <c r="AI266" s="1138"/>
      <c r="AJ266" s="1137">
        <v>5.0</v>
      </c>
      <c r="AK266" s="1138"/>
      <c r="AL266" s="1126">
        <v>2.0</v>
      </c>
      <c r="AM266" s="1138"/>
      <c r="AN266" s="1120">
        <v>5.0</v>
      </c>
      <c r="AO266" s="1305"/>
      <c r="AP266" s="1141">
        <v>2.0</v>
      </c>
      <c r="AQ266" s="1305"/>
      <c r="AR266" s="1141">
        <v>14.0</v>
      </c>
      <c r="AS266" s="1305"/>
      <c r="AT266" s="1141">
        <v>2.0</v>
      </c>
      <c r="AU266" s="1305"/>
      <c r="AV266" s="1141">
        <v>8.0</v>
      </c>
      <c r="AW266" s="1305"/>
      <c r="AX266" s="1141">
        <v>8.0</v>
      </c>
      <c r="AY266" s="1305"/>
      <c r="AZ266" s="1141">
        <v>3.0</v>
      </c>
      <c r="BA266" s="1305"/>
      <c r="BB266" s="1141">
        <v>5.0</v>
      </c>
      <c r="BC266" s="1305"/>
      <c r="BD266" s="1141">
        <v>2.0</v>
      </c>
      <c r="BE266" s="1305"/>
      <c r="BF266" s="1141">
        <v>8.0</v>
      </c>
      <c r="BG266" s="1305"/>
      <c r="BH266" s="1141">
        <v>3.0</v>
      </c>
      <c r="BI266" s="1305"/>
      <c r="BJ266" s="1141">
        <v>6.0</v>
      </c>
      <c r="BK266" s="1305"/>
      <c r="BL266" s="1513"/>
      <c r="BM266" s="1138"/>
      <c r="BN266" s="1073"/>
      <c r="BO266" s="1579"/>
      <c r="BP266" s="80">
        <f t="shared" si="164"/>
        <v>148</v>
      </c>
      <c r="BQ266" s="2137">
        <f t="shared" si="165"/>
        <v>0</v>
      </c>
      <c r="BR266" s="2366">
        <f t="shared" si="166"/>
        <v>0</v>
      </c>
      <c r="BS266" s="1053">
        <f t="shared" si="167"/>
        <v>25456</v>
      </c>
      <c r="BT266" s="23"/>
      <c r="BU266" s="23"/>
    </row>
    <row r="267" ht="15.75" customHeight="1">
      <c r="A267" s="1567"/>
      <c r="B267" s="2147">
        <v>4281.0</v>
      </c>
      <c r="C267" s="1153">
        <v>98.0</v>
      </c>
      <c r="D267" s="1153" t="s">
        <v>80</v>
      </c>
      <c r="E267" s="1953" t="str">
        <f>'Матрица 4 недели'!V182</f>
        <v>Морс клюква/вишня 0,5 л</v>
      </c>
      <c r="F267" s="1888">
        <v>30.0</v>
      </c>
      <c r="G267" s="2303"/>
      <c r="H267" s="1890">
        <v>0.0</v>
      </c>
      <c r="I267" s="2304"/>
      <c r="J267" s="1890">
        <v>7.0</v>
      </c>
      <c r="K267" s="2305"/>
      <c r="L267" s="2241">
        <v>0.0</v>
      </c>
      <c r="M267" s="2305"/>
      <c r="N267" s="1890">
        <v>0.0</v>
      </c>
      <c r="O267" s="2303"/>
      <c r="P267" s="1890">
        <v>7.0</v>
      </c>
      <c r="Q267" s="2306"/>
      <c r="R267" s="1890">
        <v>0.0</v>
      </c>
      <c r="S267" s="1898"/>
      <c r="T267" s="1888">
        <v>5.0</v>
      </c>
      <c r="U267" s="1898"/>
      <c r="V267" s="1888">
        <v>0.0</v>
      </c>
      <c r="W267" s="1898"/>
      <c r="X267" s="1888">
        <v>0.0</v>
      </c>
      <c r="Y267" s="1898"/>
      <c r="Z267" s="1890"/>
      <c r="AA267" s="1898"/>
      <c r="AB267" s="1888">
        <v>5.0</v>
      </c>
      <c r="AC267" s="1898"/>
      <c r="AD267" s="1888">
        <v>8.0</v>
      </c>
      <c r="AE267" s="1898"/>
      <c r="AF267" s="1888">
        <v>10.0</v>
      </c>
      <c r="AG267" s="1898"/>
      <c r="AH267" s="1888">
        <v>0.0</v>
      </c>
      <c r="AI267" s="1898"/>
      <c r="AJ267" s="1888">
        <v>5.0</v>
      </c>
      <c r="AK267" s="1898"/>
      <c r="AL267" s="1888">
        <v>0.0</v>
      </c>
      <c r="AM267" s="1898"/>
      <c r="AN267" s="1888">
        <v>5.0</v>
      </c>
      <c r="AO267" s="2303"/>
      <c r="AP267" s="1888">
        <v>0.0</v>
      </c>
      <c r="AQ267" s="2303"/>
      <c r="AR267" s="1888">
        <v>35.0</v>
      </c>
      <c r="AS267" s="2303"/>
      <c r="AT267" s="1890">
        <v>8.0</v>
      </c>
      <c r="AU267" s="2303"/>
      <c r="AV267" s="1890">
        <v>10.0</v>
      </c>
      <c r="AW267" s="2303"/>
      <c r="AX267" s="1890">
        <v>12.0</v>
      </c>
      <c r="AY267" s="2303"/>
      <c r="AZ267" s="1890">
        <v>0.0</v>
      </c>
      <c r="BA267" s="2303"/>
      <c r="BB267" s="1890">
        <v>0.0</v>
      </c>
      <c r="BC267" s="1127"/>
      <c r="BD267" s="1126">
        <v>0.0</v>
      </c>
      <c r="BE267" s="1127"/>
      <c r="BF267" s="1126">
        <v>30.0</v>
      </c>
      <c r="BG267" s="1127"/>
      <c r="BH267" s="1126">
        <v>5.0</v>
      </c>
      <c r="BI267" s="1127"/>
      <c r="BJ267" s="1126">
        <v>0.0</v>
      </c>
      <c r="BK267" s="1127"/>
      <c r="BL267" s="1134"/>
      <c r="BM267" s="1138"/>
      <c r="BN267" s="1075">
        <v>10.0</v>
      </c>
      <c r="BO267" s="2062"/>
      <c r="BP267" s="80">
        <f t="shared" si="164"/>
        <v>183</v>
      </c>
      <c r="BQ267" s="2133">
        <f t="shared" si="165"/>
        <v>0</v>
      </c>
      <c r="BR267" s="2366">
        <f t="shared" si="166"/>
        <v>0</v>
      </c>
      <c r="BS267" s="1053">
        <f t="shared" si="167"/>
        <v>17934</v>
      </c>
      <c r="BT267" s="23"/>
      <c r="BU267" s="23"/>
    </row>
    <row r="268" ht="15.75" customHeight="1">
      <c r="A268" s="1567"/>
      <c r="B268" s="2147">
        <v>4115.0</v>
      </c>
      <c r="C268" s="1153">
        <v>212.0</v>
      </c>
      <c r="D268" s="1153" t="s">
        <v>80</v>
      </c>
      <c r="E268" s="2091" t="str">
        <f>'Матрица 4 недели'!V183</f>
        <v>Хот-дог  </v>
      </c>
      <c r="F268" s="1137">
        <v>10.0</v>
      </c>
      <c r="G268" s="1121"/>
      <c r="H268" s="1126">
        <v>4.0</v>
      </c>
      <c r="I268" s="1121"/>
      <c r="J268" s="1126"/>
      <c r="K268" s="1160"/>
      <c r="L268" s="1161"/>
      <c r="M268" s="1162"/>
      <c r="N268" s="1126"/>
      <c r="O268" s="1121"/>
      <c r="P268" s="1126"/>
      <c r="Q268" s="1121"/>
      <c r="R268" s="1120"/>
      <c r="S268" s="1121"/>
      <c r="T268" s="1126"/>
      <c r="U268" s="1121"/>
      <c r="V268" s="1137"/>
      <c r="W268" s="1121"/>
      <c r="X268" s="1137">
        <v>2.0</v>
      </c>
      <c r="Y268" s="1121"/>
      <c r="Z268" s="1137"/>
      <c r="AA268" s="1121"/>
      <c r="AB268" s="1137"/>
      <c r="AC268" s="1121"/>
      <c r="AD268" s="1137"/>
      <c r="AE268" s="1121"/>
      <c r="AF268" s="1120">
        <v>2.0</v>
      </c>
      <c r="AG268" s="1121"/>
      <c r="AH268" s="1137"/>
      <c r="AI268" s="1121"/>
      <c r="AJ268" s="1120"/>
      <c r="AK268" s="1121"/>
      <c r="AL268" s="1126"/>
      <c r="AM268" s="1121"/>
      <c r="AN268" s="1120"/>
      <c r="AO268" s="1307"/>
      <c r="AP268" s="1302"/>
      <c r="AQ268" s="1138"/>
      <c r="AR268" s="1120">
        <v>2.0</v>
      </c>
      <c r="AS268" s="1138"/>
      <c r="AT268" s="1126"/>
      <c r="AU268" s="1138"/>
      <c r="AV268" s="1126"/>
      <c r="AW268" s="1138"/>
      <c r="AX268" s="1126"/>
      <c r="AY268" s="1138"/>
      <c r="AZ268" s="1126"/>
      <c r="BA268" s="1138"/>
      <c r="BB268" s="1126"/>
      <c r="BC268" s="1138"/>
      <c r="BD268" s="1126"/>
      <c r="BE268" s="1138"/>
      <c r="BF268" s="1126"/>
      <c r="BG268" s="1138"/>
      <c r="BH268" s="1126"/>
      <c r="BI268" s="1138"/>
      <c r="BJ268" s="1126"/>
      <c r="BK268" s="1138"/>
      <c r="BL268" s="1139"/>
      <c r="BM268" s="1291"/>
      <c r="BN268" s="1073"/>
      <c r="BO268" s="1579"/>
      <c r="BP268" s="80">
        <f t="shared" si="164"/>
        <v>21</v>
      </c>
      <c r="BQ268" s="2137">
        <f t="shared" si="165"/>
        <v>0</v>
      </c>
      <c r="BR268" s="2366">
        <f t="shared" si="166"/>
        <v>0</v>
      </c>
      <c r="BS268" s="1053">
        <f t="shared" si="167"/>
        <v>4452</v>
      </c>
      <c r="BT268" s="23"/>
      <c r="BU268" s="23"/>
    </row>
    <row r="269" ht="15.75" customHeight="1">
      <c r="A269" s="1567"/>
      <c r="B269" s="2147">
        <v>822.0</v>
      </c>
      <c r="C269" s="1153">
        <v>5.0</v>
      </c>
      <c r="D269" s="1153" t="s">
        <v>74</v>
      </c>
      <c r="E269" s="1900" t="str">
        <f>'Матрица 4 недели'!J148</f>
        <v>Хлеб пшеничный</v>
      </c>
      <c r="F269" s="1126">
        <v>40.0</v>
      </c>
      <c r="G269" s="1121"/>
      <c r="H269" s="1126">
        <v>3.0</v>
      </c>
      <c r="I269" s="1121"/>
      <c r="J269" s="1126">
        <v>5.0</v>
      </c>
      <c r="K269" s="1121"/>
      <c r="L269" s="1126">
        <v>5.0</v>
      </c>
      <c r="M269" s="1121"/>
      <c r="N269" s="1126">
        <v>5.0</v>
      </c>
      <c r="O269" s="1121"/>
      <c r="P269" s="1126">
        <v>9.0</v>
      </c>
      <c r="Q269" s="1301"/>
      <c r="R269" s="1141">
        <v>3.0</v>
      </c>
      <c r="S269" s="1959"/>
      <c r="T269" s="1141">
        <v>3.0</v>
      </c>
      <c r="U269" s="1307"/>
      <c r="V269" s="1143">
        <v>6.0</v>
      </c>
      <c r="W269" s="1307"/>
      <c r="X269" s="1143">
        <v>14.0</v>
      </c>
      <c r="Y269" s="1138"/>
      <c r="Z269" s="1120"/>
      <c r="AA269" s="1138"/>
      <c r="AB269" s="1120"/>
      <c r="AC269" s="1138"/>
      <c r="AD269" s="1120">
        <v>5.0</v>
      </c>
      <c r="AE269" s="1138"/>
      <c r="AF269" s="1120">
        <v>6.0</v>
      </c>
      <c r="AG269" s="1138"/>
      <c r="AH269" s="1120"/>
      <c r="AI269" s="1138"/>
      <c r="AJ269" s="1120">
        <v>3.0</v>
      </c>
      <c r="AK269" s="1138"/>
      <c r="AL269" s="1126">
        <v>12.0</v>
      </c>
      <c r="AM269" s="1138"/>
      <c r="AN269" s="1120"/>
      <c r="AO269" s="1138"/>
      <c r="AP269" s="1126"/>
      <c r="AQ269" s="1121"/>
      <c r="AR269" s="1126"/>
      <c r="AS269" s="1121"/>
      <c r="AT269" s="1126">
        <v>3.0</v>
      </c>
      <c r="AU269" s="1121"/>
      <c r="AV269" s="1126">
        <v>5.0</v>
      </c>
      <c r="AW269" s="1121"/>
      <c r="AX269" s="1126">
        <v>4.0</v>
      </c>
      <c r="AY269" s="1121"/>
      <c r="AZ269" s="1126">
        <v>10.0</v>
      </c>
      <c r="BA269" s="1121"/>
      <c r="BB269" s="1126"/>
      <c r="BC269" s="1121"/>
      <c r="BD269" s="1126"/>
      <c r="BE269" s="1121"/>
      <c r="BF269" s="1126">
        <v>6.0</v>
      </c>
      <c r="BG269" s="1121"/>
      <c r="BH269" s="1126">
        <v>5.0</v>
      </c>
      <c r="BI269" s="1121"/>
      <c r="BJ269" s="1126">
        <v>6.0</v>
      </c>
      <c r="BK269" s="1121"/>
      <c r="BL269" s="1152">
        <v>110.0</v>
      </c>
      <c r="BM269" s="1138"/>
      <c r="BN269" s="1073"/>
      <c r="BO269" s="1579"/>
      <c r="BP269" s="80">
        <f t="shared" si="164"/>
        <v>269</v>
      </c>
      <c r="BQ269" s="2137">
        <f t="shared" si="165"/>
        <v>0</v>
      </c>
      <c r="BR269" s="2366">
        <f t="shared" si="166"/>
        <v>0</v>
      </c>
      <c r="BS269" s="1053">
        <f t="shared" si="167"/>
        <v>1345</v>
      </c>
      <c r="BT269" s="23"/>
      <c r="BU269" s="23"/>
    </row>
    <row r="270" ht="15.75" customHeight="1">
      <c r="A270" s="1567"/>
      <c r="B270" s="2376"/>
      <c r="C270" s="1153"/>
      <c r="D270" s="1153" t="s">
        <v>80</v>
      </c>
      <c r="E270" s="1900" t="str">
        <f>'Матрица 4 недели'!V184</f>
        <v> </v>
      </c>
      <c r="F270" s="1141"/>
      <c r="G270" s="1303"/>
      <c r="H270" s="1141"/>
      <c r="I270" s="1303"/>
      <c r="J270" s="1141"/>
      <c r="K270" s="1303"/>
      <c r="L270" s="1141"/>
      <c r="M270" s="1303"/>
      <c r="N270" s="1141"/>
      <c r="O270" s="1303"/>
      <c r="P270" s="1141"/>
      <c r="Q270" s="1303"/>
      <c r="R270" s="1141"/>
      <c r="S270" s="1959"/>
      <c r="T270" s="1141"/>
      <c r="U270" s="1307"/>
      <c r="V270" s="1143"/>
      <c r="W270" s="1307"/>
      <c r="X270" s="1143"/>
      <c r="Y270" s="1138"/>
      <c r="Z270" s="1120"/>
      <c r="AA270" s="1138"/>
      <c r="AB270" s="1120"/>
      <c r="AC270" s="1138"/>
      <c r="AD270" s="1120"/>
      <c r="AE270" s="1138"/>
      <c r="AF270" s="1120"/>
      <c r="AG270" s="1138"/>
      <c r="AH270" s="1120"/>
      <c r="AI270" s="1138"/>
      <c r="AJ270" s="1120"/>
      <c r="AK270" s="1138"/>
      <c r="AL270" s="1126"/>
      <c r="AM270" s="1138"/>
      <c r="AN270" s="1120"/>
      <c r="AO270" s="1138"/>
      <c r="AP270" s="1126"/>
      <c r="AQ270" s="1138"/>
      <c r="AR270" s="1126"/>
      <c r="AS270" s="1138"/>
      <c r="AT270" s="1126"/>
      <c r="AU270" s="1138"/>
      <c r="AV270" s="1126"/>
      <c r="AW270" s="1138"/>
      <c r="AX270" s="1126"/>
      <c r="AY270" s="1138"/>
      <c r="AZ270" s="1126"/>
      <c r="BA270" s="1138"/>
      <c r="BB270" s="1126"/>
      <c r="BC270" s="1138"/>
      <c r="BD270" s="1126"/>
      <c r="BE270" s="1138"/>
      <c r="BF270" s="1126"/>
      <c r="BG270" s="1138"/>
      <c r="BH270" s="1126"/>
      <c r="BI270" s="1138"/>
      <c r="BJ270" s="1126"/>
      <c r="BK270" s="1138"/>
      <c r="BL270" s="1134"/>
      <c r="BM270" s="1138"/>
      <c r="BN270" s="1075">
        <v>10.0</v>
      </c>
      <c r="BO270" s="2062"/>
      <c r="BP270" s="80">
        <f t="shared" si="164"/>
        <v>1</v>
      </c>
      <c r="BQ270" s="2137">
        <f t="shared" si="165"/>
        <v>0</v>
      </c>
      <c r="BR270" s="2366">
        <f t="shared" si="166"/>
        <v>0</v>
      </c>
      <c r="BS270" s="1053">
        <f t="shared" si="167"/>
        <v>0</v>
      </c>
      <c r="BT270" s="23"/>
      <c r="BU270" s="23"/>
    </row>
    <row r="271" ht="15.75" customHeight="1">
      <c r="A271" s="1567"/>
      <c r="B271" s="2376"/>
      <c r="C271" s="1153"/>
      <c r="D271" s="1153"/>
      <c r="E271" s="1900" t="str">
        <f>'Матрица 4 недели'!V185</f>
        <v/>
      </c>
      <c r="F271" s="1137"/>
      <c r="G271" s="1138"/>
      <c r="H271" s="1126"/>
      <c r="I271" s="1140"/>
      <c r="J271" s="1126"/>
      <c r="K271" s="1405"/>
      <c r="L271" s="1161"/>
      <c r="M271" s="1405"/>
      <c r="N271" s="1126"/>
      <c r="O271" s="1138"/>
      <c r="P271" s="1120"/>
      <c r="Q271" s="1142"/>
      <c r="R271" s="1126"/>
      <c r="S271" s="1121"/>
      <c r="T271" s="1137"/>
      <c r="U271" s="1121"/>
      <c r="V271" s="1314"/>
      <c r="W271" s="1121"/>
      <c r="X271" s="1137"/>
      <c r="Y271" s="1121"/>
      <c r="Z271" s="1120"/>
      <c r="AA271" s="1121"/>
      <c r="AB271" s="1120"/>
      <c r="AC271" s="1121"/>
      <c r="AD271" s="1120"/>
      <c r="AE271" s="1121"/>
      <c r="AF271" s="1137"/>
      <c r="AG271" s="1121"/>
      <c r="AH271" s="1120"/>
      <c r="AI271" s="1121"/>
      <c r="AJ271" s="1120"/>
      <c r="AK271" s="1121"/>
      <c r="AL271" s="1126"/>
      <c r="AM271" s="1121"/>
      <c r="AN271" s="1087"/>
      <c r="AO271" s="1121"/>
      <c r="AP271" s="1126"/>
      <c r="AQ271" s="1138"/>
      <c r="AR271" s="1126"/>
      <c r="AS271" s="1138"/>
      <c r="AT271" s="1126"/>
      <c r="AU271" s="1138"/>
      <c r="AV271" s="1126"/>
      <c r="AW271" s="1138"/>
      <c r="AX271" s="1126"/>
      <c r="AY271" s="1138"/>
      <c r="AZ271" s="1126"/>
      <c r="BA271" s="1138"/>
      <c r="BB271" s="1126"/>
      <c r="BC271" s="1138"/>
      <c r="BD271" s="1126"/>
      <c r="BE271" s="1138"/>
      <c r="BF271" s="1126"/>
      <c r="BG271" s="1138"/>
      <c r="BH271" s="1126"/>
      <c r="BI271" s="1138"/>
      <c r="BJ271" s="1126"/>
      <c r="BK271" s="1138"/>
      <c r="BL271" s="1134"/>
      <c r="BM271" s="1138"/>
      <c r="BN271" s="1075">
        <v>100.0</v>
      </c>
      <c r="BO271" s="1579"/>
      <c r="BP271" s="80">
        <f t="shared" si="164"/>
        <v>1</v>
      </c>
      <c r="BQ271" s="2133">
        <f t="shared" si="165"/>
        <v>0</v>
      </c>
      <c r="BR271" s="2366">
        <f t="shared" si="166"/>
        <v>0</v>
      </c>
      <c r="BS271" s="1053">
        <f t="shared" si="167"/>
        <v>0</v>
      </c>
      <c r="BT271" s="23"/>
      <c r="BU271" s="23"/>
    </row>
    <row r="272" ht="15.75" customHeight="1">
      <c r="A272" s="1567"/>
      <c r="B272" s="2376"/>
      <c r="C272" s="1153"/>
      <c r="D272" s="1153"/>
      <c r="E272" s="2091"/>
      <c r="F272" s="1137"/>
      <c r="G272" s="1121"/>
      <c r="H272" s="1126"/>
      <c r="I272" s="1121"/>
      <c r="J272" s="1126"/>
      <c r="K272" s="1160"/>
      <c r="L272" s="1161"/>
      <c r="M272" s="1160"/>
      <c r="N272" s="1126"/>
      <c r="O272" s="1121"/>
      <c r="P272" s="1286"/>
      <c r="Q272" s="1121"/>
      <c r="R272" s="1126"/>
      <c r="S272" s="1121"/>
      <c r="T272" s="1126"/>
      <c r="U272" s="1138"/>
      <c r="V272" s="1137"/>
      <c r="W272" s="1138"/>
      <c r="X272" s="1137"/>
      <c r="Y272" s="1138"/>
      <c r="Z272" s="1137"/>
      <c r="AA272" s="1138"/>
      <c r="AB272" s="1137"/>
      <c r="AC272" s="1138"/>
      <c r="AD272" s="1137"/>
      <c r="AE272" s="1138"/>
      <c r="AF272" s="1137"/>
      <c r="AG272" s="1138"/>
      <c r="AH272" s="1120"/>
      <c r="AI272" s="1138"/>
      <c r="AJ272" s="1120"/>
      <c r="AK272" s="1138"/>
      <c r="AL272" s="1126"/>
      <c r="AM272" s="1138"/>
      <c r="AN272" s="1126"/>
      <c r="AO272" s="1138"/>
      <c r="AP272" s="1126"/>
      <c r="AQ272" s="1138"/>
      <c r="AR272" s="1126"/>
      <c r="AS272" s="1138"/>
      <c r="AT272" s="1126"/>
      <c r="AU272" s="1138"/>
      <c r="AV272" s="1126"/>
      <c r="AW272" s="1138"/>
      <c r="AX272" s="1126"/>
      <c r="AY272" s="1138"/>
      <c r="AZ272" s="1126"/>
      <c r="BA272" s="1138"/>
      <c r="BB272" s="1126"/>
      <c r="BC272" s="1138"/>
      <c r="BD272" s="1126"/>
      <c r="BE272" s="1138"/>
      <c r="BF272" s="1126"/>
      <c r="BG272" s="1138"/>
      <c r="BH272" s="1126"/>
      <c r="BI272" s="1138"/>
      <c r="BJ272" s="1126"/>
      <c r="BK272" s="1138"/>
      <c r="BL272" s="1134"/>
      <c r="BM272" s="1138"/>
      <c r="BN272" s="1073"/>
      <c r="BO272" s="1579"/>
      <c r="BP272" s="2069">
        <f t="shared" si="164"/>
        <v>1</v>
      </c>
      <c r="BQ272" s="2137">
        <f t="shared" si="165"/>
        <v>0</v>
      </c>
      <c r="BR272" s="2366">
        <f t="shared" si="166"/>
        <v>0</v>
      </c>
      <c r="BS272" s="1053">
        <f t="shared" si="167"/>
        <v>0</v>
      </c>
      <c r="BT272" s="23"/>
      <c r="BU272" s="23"/>
    </row>
    <row r="273" ht="15.75" customHeight="1">
      <c r="A273" s="1567"/>
      <c r="B273" s="2376"/>
      <c r="C273" s="1153"/>
      <c r="D273" s="1153"/>
      <c r="E273" s="2091"/>
      <c r="F273" s="1143"/>
      <c r="G273" s="1307"/>
      <c r="H273" s="1141"/>
      <c r="I273" s="2155"/>
      <c r="J273" s="1141"/>
      <c r="K273" s="1307"/>
      <c r="L273" s="1141"/>
      <c r="M273" s="1307"/>
      <c r="N273" s="1141"/>
      <c r="O273" s="1307"/>
      <c r="P273" s="1302"/>
      <c r="Q273" s="1288"/>
      <c r="R273" s="1141"/>
      <c r="S273" s="1305"/>
      <c r="T273" s="1143"/>
      <c r="U273" s="1305"/>
      <c r="V273" s="2377"/>
      <c r="W273" s="1305"/>
      <c r="X273" s="1143"/>
      <c r="Y273" s="1121"/>
      <c r="Z273" s="1120"/>
      <c r="AA273" s="1121"/>
      <c r="AB273" s="1120"/>
      <c r="AC273" s="1121"/>
      <c r="AD273" s="1120"/>
      <c r="AE273" s="1121"/>
      <c r="AF273" s="1137"/>
      <c r="AG273" s="1121"/>
      <c r="AH273" s="1120"/>
      <c r="AI273" s="1121"/>
      <c r="AJ273" s="1120"/>
      <c r="AK273" s="1121"/>
      <c r="AL273" s="1126"/>
      <c r="AM273" s="1121"/>
      <c r="AN273" s="1087"/>
      <c r="AO273" s="1121"/>
      <c r="AP273" s="1126"/>
      <c r="AQ273" s="1138"/>
      <c r="AR273" s="1126"/>
      <c r="AS273" s="1138"/>
      <c r="AT273" s="1126"/>
      <c r="AU273" s="1138"/>
      <c r="AV273" s="1126"/>
      <c r="AW273" s="1138"/>
      <c r="AX273" s="1126"/>
      <c r="AY273" s="1138"/>
      <c r="AZ273" s="1126"/>
      <c r="BA273" s="1138"/>
      <c r="BB273" s="1126"/>
      <c r="BC273" s="1138"/>
      <c r="BD273" s="1126"/>
      <c r="BE273" s="1138"/>
      <c r="BF273" s="1126"/>
      <c r="BG273" s="1138"/>
      <c r="BH273" s="1126"/>
      <c r="BI273" s="1138"/>
      <c r="BJ273" s="1126"/>
      <c r="BK273" s="1138"/>
      <c r="BL273" s="1134"/>
      <c r="BM273" s="1138"/>
      <c r="BN273" s="1073"/>
      <c r="BO273" s="1579"/>
      <c r="BP273" s="80">
        <f t="shared" si="164"/>
        <v>1</v>
      </c>
      <c r="BQ273" s="2133">
        <f t="shared" si="165"/>
        <v>0</v>
      </c>
      <c r="BR273" s="2366">
        <f t="shared" si="166"/>
        <v>0</v>
      </c>
      <c r="BS273" s="1053">
        <f t="shared" si="167"/>
        <v>0</v>
      </c>
      <c r="BT273" s="23"/>
      <c r="BU273" s="23"/>
    </row>
    <row r="274" ht="15.75" customHeight="1">
      <c r="A274" s="1567"/>
      <c r="B274" s="2376"/>
      <c r="C274" s="1153"/>
      <c r="D274" s="1153"/>
      <c r="E274" s="2091"/>
      <c r="F274" s="1137"/>
      <c r="G274" s="1121"/>
      <c r="H274" s="1126"/>
      <c r="I274" s="1121"/>
      <c r="J274" s="1126"/>
      <c r="K274" s="1160"/>
      <c r="L274" s="1284"/>
      <c r="M274" s="1160"/>
      <c r="N274" s="1126"/>
      <c r="O274" s="1121"/>
      <c r="P274" s="1126"/>
      <c r="Q274" s="1121"/>
      <c r="R274" s="1126"/>
      <c r="S274" s="1121"/>
      <c r="T274" s="1126"/>
      <c r="U274" s="1138"/>
      <c r="V274" s="1137"/>
      <c r="W274" s="2378"/>
      <c r="X274" s="1137"/>
      <c r="Y274" s="1138"/>
      <c r="Z274" s="1137"/>
      <c r="AA274" s="1138"/>
      <c r="AB274" s="1137"/>
      <c r="AC274" s="1138"/>
      <c r="AD274" s="1137"/>
      <c r="AE274" s="1138"/>
      <c r="AF274" s="1137"/>
      <c r="AG274" s="1138"/>
      <c r="AH274" s="1137"/>
      <c r="AI274" s="1138"/>
      <c r="AJ274" s="1137"/>
      <c r="AK274" s="1138"/>
      <c r="AL274" s="1126"/>
      <c r="AM274" s="1138"/>
      <c r="AN274" s="1126"/>
      <c r="AO274" s="1138"/>
      <c r="AP274" s="1126"/>
      <c r="AQ274" s="1138"/>
      <c r="AR274" s="1126"/>
      <c r="AS274" s="1138"/>
      <c r="AT274" s="1126"/>
      <c r="AU274" s="1138"/>
      <c r="AV274" s="1126"/>
      <c r="AW274" s="1138"/>
      <c r="AX274" s="1126"/>
      <c r="AY274" s="1138"/>
      <c r="AZ274" s="1126"/>
      <c r="BA274" s="1138"/>
      <c r="BB274" s="1126"/>
      <c r="BC274" s="1138"/>
      <c r="BD274" s="1126"/>
      <c r="BE274" s="1138"/>
      <c r="BF274" s="1126"/>
      <c r="BG274" s="1138"/>
      <c r="BH274" s="1126"/>
      <c r="BI274" s="1138"/>
      <c r="BJ274" s="1126"/>
      <c r="BK274" s="1138"/>
      <c r="BL274" s="1137"/>
      <c r="BM274" s="1138"/>
      <c r="BN274" s="1073"/>
      <c r="BO274" s="1579"/>
      <c r="BP274" s="2069">
        <f t="shared" si="164"/>
        <v>1</v>
      </c>
      <c r="BQ274" s="2137">
        <f t="shared" si="165"/>
        <v>0</v>
      </c>
      <c r="BR274" s="2366">
        <f t="shared" si="166"/>
        <v>0</v>
      </c>
      <c r="BS274" s="1053">
        <f t="shared" si="167"/>
        <v>0</v>
      </c>
      <c r="BT274" s="23"/>
      <c r="BU274" s="23"/>
    </row>
    <row r="275" ht="15.75" customHeight="1">
      <c r="A275" s="1567"/>
      <c r="B275" s="2376"/>
      <c r="C275" s="1153"/>
      <c r="D275" s="1153"/>
      <c r="E275" s="711"/>
      <c r="F275" s="1126"/>
      <c r="G275" s="1121"/>
      <c r="H275" s="1126"/>
      <c r="I275" s="1121"/>
      <c r="J275" s="1126"/>
      <c r="K275" s="1160"/>
      <c r="L275" s="1141"/>
      <c r="M275" s="1160"/>
      <c r="N275" s="1141"/>
      <c r="O275" s="1121"/>
      <c r="P275" s="1126"/>
      <c r="Q275" s="1121"/>
      <c r="R275" s="1126"/>
      <c r="S275" s="1121"/>
      <c r="T275" s="1126"/>
      <c r="U275" s="1291"/>
      <c r="V275" s="1141"/>
      <c r="W275" s="1121"/>
      <c r="X275" s="1137"/>
      <c r="Y275" s="1121"/>
      <c r="Z275" s="1126"/>
      <c r="AA275" s="1121"/>
      <c r="AB275" s="1126"/>
      <c r="AC275" s="1138"/>
      <c r="AD275" s="1126"/>
      <c r="AE275" s="1138"/>
      <c r="AF275" s="1126"/>
      <c r="AG275" s="1138"/>
      <c r="AH275" s="1126"/>
      <c r="AI275" s="1138"/>
      <c r="AJ275" s="1126"/>
      <c r="AK275" s="1138"/>
      <c r="AL275" s="1126"/>
      <c r="AM275" s="1138"/>
      <c r="AN275" s="1126"/>
      <c r="AO275" s="1138"/>
      <c r="AP275" s="1126"/>
      <c r="AQ275" s="1138"/>
      <c r="AR275" s="1126"/>
      <c r="AS275" s="1138"/>
      <c r="AT275" s="1126"/>
      <c r="AU275" s="1138"/>
      <c r="AV275" s="1126"/>
      <c r="AW275" s="1138"/>
      <c r="AX275" s="1126"/>
      <c r="AY275" s="1138"/>
      <c r="AZ275" s="1126"/>
      <c r="BA275" s="1138"/>
      <c r="BB275" s="1126"/>
      <c r="BC275" s="1138"/>
      <c r="BD275" s="1126"/>
      <c r="BE275" s="1138"/>
      <c r="BF275" s="1126"/>
      <c r="BG275" s="1138"/>
      <c r="BH275" s="1126"/>
      <c r="BI275" s="1138"/>
      <c r="BJ275" s="1126"/>
      <c r="BK275" s="1138"/>
      <c r="BL275" s="1120"/>
      <c r="BM275" s="1138"/>
      <c r="BN275" s="1073"/>
      <c r="BO275" s="1579"/>
      <c r="BP275" s="80">
        <f t="shared" si="164"/>
        <v>1</v>
      </c>
      <c r="BQ275" s="2137">
        <f t="shared" si="165"/>
        <v>0</v>
      </c>
      <c r="BR275" s="2366">
        <f t="shared" si="166"/>
        <v>0</v>
      </c>
      <c r="BS275" s="1053">
        <f t="shared" si="167"/>
        <v>0</v>
      </c>
      <c r="BT275" s="23"/>
      <c r="BU275" s="23"/>
    </row>
    <row r="276" ht="15.75" customHeight="1">
      <c r="A276" s="1567"/>
      <c r="B276" s="2376"/>
      <c r="C276" s="1153"/>
      <c r="D276" s="1153"/>
      <c r="E276" s="711"/>
      <c r="F276" s="1126"/>
      <c r="G276" s="1121"/>
      <c r="H276" s="1126"/>
      <c r="I276" s="1121"/>
      <c r="J276" s="1126"/>
      <c r="K276" s="1121"/>
      <c r="L276" s="1126"/>
      <c r="M276" s="1121"/>
      <c r="N276" s="1126"/>
      <c r="O276" s="1121"/>
      <c r="P276" s="1126"/>
      <c r="Q276" s="1121"/>
      <c r="R276" s="1126"/>
      <c r="S276" s="1291"/>
      <c r="T276" s="1126"/>
      <c r="U276" s="1138"/>
      <c r="V276" s="1137"/>
      <c r="W276" s="1138"/>
      <c r="X276" s="1137"/>
      <c r="Y276" s="1138"/>
      <c r="Z276" s="1137"/>
      <c r="AA276" s="1138"/>
      <c r="AB276" s="1120"/>
      <c r="AC276" s="1138"/>
      <c r="AD276" s="1137"/>
      <c r="AE276" s="1138"/>
      <c r="AF276" s="1137"/>
      <c r="AG276" s="1138"/>
      <c r="AH276" s="1137"/>
      <c r="AI276" s="1138"/>
      <c r="AJ276" s="1137"/>
      <c r="AK276" s="1138"/>
      <c r="AL276" s="1126"/>
      <c r="AM276" s="1138"/>
      <c r="AN276" s="1137"/>
      <c r="AO276" s="1138"/>
      <c r="AP276" s="1126"/>
      <c r="AQ276" s="1138"/>
      <c r="AR276" s="1126"/>
      <c r="AS276" s="1138"/>
      <c r="AT276" s="1126"/>
      <c r="AU276" s="1138"/>
      <c r="AV276" s="1126"/>
      <c r="AW276" s="1138"/>
      <c r="AX276" s="1126"/>
      <c r="AY276" s="1138"/>
      <c r="AZ276" s="1126"/>
      <c r="BA276" s="1138"/>
      <c r="BB276" s="1126"/>
      <c r="BC276" s="1138"/>
      <c r="BD276" s="1126"/>
      <c r="BE276" s="1138"/>
      <c r="BF276" s="1126"/>
      <c r="BG276" s="1138"/>
      <c r="BH276" s="1126"/>
      <c r="BI276" s="1138"/>
      <c r="BJ276" s="1126"/>
      <c r="BK276" s="1138"/>
      <c r="BL276" s="1137"/>
      <c r="BM276" s="1291"/>
      <c r="BN276" s="1073"/>
      <c r="BO276" s="1579"/>
      <c r="BP276" s="80">
        <f t="shared" si="164"/>
        <v>1</v>
      </c>
      <c r="BQ276" s="2137">
        <f t="shared" si="165"/>
        <v>0</v>
      </c>
      <c r="BR276" s="2366">
        <f t="shared" si="166"/>
        <v>0</v>
      </c>
      <c r="BS276" s="1053">
        <f t="shared" si="167"/>
        <v>0</v>
      </c>
      <c r="BT276" s="1610" t="s">
        <v>3104</v>
      </c>
      <c r="BU276" s="23"/>
    </row>
    <row r="277" ht="15.75" customHeight="1">
      <c r="A277" s="1177"/>
      <c r="B277" s="1965"/>
      <c r="C277" s="1416"/>
      <c r="D277" s="1416"/>
      <c r="E277" s="1417"/>
      <c r="F277" s="1182"/>
      <c r="G277" s="1418"/>
      <c r="H277" s="1182"/>
      <c r="I277" s="1418"/>
      <c r="J277" s="1182"/>
      <c r="K277" s="1418"/>
      <c r="L277" s="1209"/>
      <c r="M277" s="1188"/>
      <c r="N277" s="1209"/>
      <c r="O277" s="1187"/>
      <c r="P277" s="546"/>
      <c r="Q277" s="1187"/>
      <c r="R277" s="1209"/>
      <c r="S277" s="1187"/>
      <c r="T277" s="1209"/>
      <c r="U277" s="1187"/>
      <c r="V277" s="546"/>
      <c r="W277" s="1187"/>
      <c r="X277" s="546"/>
      <c r="Y277" s="1187"/>
      <c r="Z277" s="1209"/>
      <c r="AA277" s="1187"/>
      <c r="AB277" s="1209"/>
      <c r="AC277" s="1187"/>
      <c r="AD277" s="1209"/>
      <c r="AE277" s="1187"/>
      <c r="AF277" s="1209"/>
      <c r="AG277" s="1187"/>
      <c r="AH277" s="546"/>
      <c r="AI277" s="1187"/>
      <c r="AJ277" s="546"/>
      <c r="AK277" s="1187"/>
      <c r="AL277" s="1187"/>
      <c r="AM277" s="1187"/>
      <c r="AN277" s="1187"/>
      <c r="AO277" s="1187"/>
      <c r="AP277" s="1187"/>
      <c r="AQ277" s="1187"/>
      <c r="AR277" s="1187"/>
      <c r="AS277" s="1187"/>
      <c r="AT277" s="1187"/>
      <c r="AU277" s="1187"/>
      <c r="AV277" s="1187"/>
      <c r="AW277" s="1187"/>
      <c r="AX277" s="1187"/>
      <c r="AY277" s="1187"/>
      <c r="AZ277" s="1187"/>
      <c r="BA277" s="1187"/>
      <c r="BB277" s="1187"/>
      <c r="BC277" s="1187"/>
      <c r="BD277" s="1187"/>
      <c r="BE277" s="1187"/>
      <c r="BF277" s="1187"/>
      <c r="BG277" s="1187"/>
      <c r="BH277" s="1187"/>
      <c r="BI277" s="1187"/>
      <c r="BJ277" s="1187"/>
      <c r="BK277" s="1187"/>
      <c r="BL277" s="1187"/>
      <c r="BM277" s="1187"/>
      <c r="BN277" s="23"/>
      <c r="BO277" s="23"/>
      <c r="BP277" s="2069">
        <f t="shared" ref="BP277:BS277" si="168">SUM(BP247:BP276)</f>
        <v>2295</v>
      </c>
      <c r="BQ277" s="2173">
        <f t="shared" si="168"/>
        <v>0</v>
      </c>
      <c r="BR277" s="1800">
        <f t="shared" si="168"/>
        <v>0</v>
      </c>
      <c r="BS277" s="1800">
        <f t="shared" si="168"/>
        <v>310033</v>
      </c>
      <c r="BT277" s="1678">
        <f>BR277-BS277</f>
        <v>-310033</v>
      </c>
      <c r="BU277" s="11"/>
    </row>
    <row r="278" ht="15.75" customHeight="1">
      <c r="A278" s="1177"/>
      <c r="B278" s="1965"/>
      <c r="C278" s="1416"/>
      <c r="D278" s="1416"/>
      <c r="E278" s="1573"/>
      <c r="F278" s="1187"/>
      <c r="G278" s="1188"/>
      <c r="H278" s="1187"/>
      <c r="I278" s="1188"/>
      <c r="J278" s="1187"/>
      <c r="K278" s="1188"/>
      <c r="L278" s="1187"/>
      <c r="M278" s="1188"/>
      <c r="N278" s="1187"/>
      <c r="O278" s="1187"/>
      <c r="P278" s="13"/>
      <c r="Q278" s="677"/>
      <c r="V278" s="1189"/>
      <c r="X278" s="1189"/>
      <c r="Z278" s="1190"/>
      <c r="AB278" s="1190"/>
      <c r="AH278" s="701"/>
      <c r="AJ278" s="701"/>
      <c r="BB278" s="1190"/>
      <c r="BD278" s="1190"/>
      <c r="BF278" s="1190"/>
      <c r="BH278" s="1190"/>
      <c r="BJ278" s="1190"/>
      <c r="BN278" s="23"/>
      <c r="BO278" s="23"/>
      <c r="BP278" s="80"/>
      <c r="BQ278" s="195"/>
      <c r="BR278" s="195"/>
      <c r="BS278" s="195"/>
      <c r="BT278" s="195"/>
      <c r="BU278" s="195"/>
    </row>
    <row r="279" ht="15.75" customHeight="1">
      <c r="A279" s="1177"/>
      <c r="B279" s="1965"/>
      <c r="C279" s="1416"/>
      <c r="D279" s="1416"/>
      <c r="E279" s="1573"/>
      <c r="F279" s="1187"/>
      <c r="G279" s="1188"/>
      <c r="H279" s="1187"/>
      <c r="I279" s="1188"/>
      <c r="J279" s="1187"/>
      <c r="K279" s="1188"/>
      <c r="L279" s="1187"/>
      <c r="M279" s="1188"/>
      <c r="N279" s="1187"/>
      <c r="O279" s="1187"/>
      <c r="P279" s="1187"/>
      <c r="Q279" s="1187"/>
      <c r="R279" s="1187"/>
      <c r="S279" s="1187"/>
      <c r="T279" s="1187"/>
      <c r="U279" s="1187"/>
      <c r="V279" s="757"/>
      <c r="W279" s="1187"/>
      <c r="X279" s="757"/>
      <c r="Y279" s="1187"/>
      <c r="Z279" s="1187"/>
      <c r="AA279" s="1187"/>
      <c r="AB279" s="1187"/>
      <c r="AC279" s="1187"/>
      <c r="AD279" s="1187"/>
      <c r="AE279" s="1187"/>
      <c r="AF279" s="1187"/>
      <c r="AG279" s="1187"/>
      <c r="AH279" s="757"/>
      <c r="AI279" s="1187"/>
      <c r="AJ279" s="757"/>
      <c r="AK279" s="1187"/>
      <c r="AL279" s="1187"/>
      <c r="AM279" s="1187"/>
      <c r="AN279" s="1187"/>
      <c r="AO279" s="1187"/>
      <c r="AP279" s="1187"/>
      <c r="AQ279" s="1187"/>
      <c r="AR279" s="1187"/>
      <c r="AS279" s="1187"/>
      <c r="AT279" s="1187"/>
      <c r="AU279" s="1187"/>
      <c r="AV279" s="1187"/>
      <c r="AW279" s="1187"/>
      <c r="AX279" s="1187"/>
      <c r="AY279" s="1187"/>
      <c r="AZ279" s="1187"/>
      <c r="BA279" s="1187"/>
      <c r="BB279" s="1187"/>
      <c r="BC279" s="1187"/>
      <c r="BD279" s="1187"/>
      <c r="BE279" s="1187"/>
      <c r="BF279" s="1187"/>
      <c r="BG279" s="1187"/>
      <c r="BH279" s="1187"/>
      <c r="BI279" s="1187"/>
      <c r="BJ279" s="1187"/>
      <c r="BK279" s="1187"/>
      <c r="BL279" s="1187"/>
      <c r="BM279" s="1187"/>
      <c r="BN279" s="11"/>
      <c r="BO279" s="11"/>
      <c r="BP279" s="11"/>
      <c r="BQ279" s="11"/>
      <c r="BR279" s="11"/>
      <c r="BS279" s="11"/>
      <c r="BT279" s="11"/>
      <c r="BU279" s="11"/>
    </row>
    <row r="280" ht="21.0" customHeight="1">
      <c r="A280" s="1969" t="s">
        <v>1354</v>
      </c>
      <c r="C280" s="1970">
        <v>46254.0</v>
      </c>
      <c r="E280" s="908" t="s">
        <v>3106</v>
      </c>
      <c r="F280" s="1524"/>
      <c r="G280" s="1525"/>
      <c r="H280" s="1526"/>
      <c r="I280" s="1527"/>
      <c r="J280" s="1526" t="s">
        <v>1356</v>
      </c>
      <c r="K280" s="1527"/>
      <c r="L280" s="1528"/>
      <c r="M280" s="1529"/>
      <c r="N280" s="1526"/>
      <c r="O280" s="1526"/>
      <c r="P280" s="1526"/>
      <c r="Q280" s="1527"/>
      <c r="R280" s="1530"/>
      <c r="S280" s="1530"/>
      <c r="T280" s="1530"/>
      <c r="U280" s="1530"/>
      <c r="V280" s="1531"/>
      <c r="W280" s="1530"/>
      <c r="X280" s="1531"/>
      <c r="Y280" s="1530"/>
      <c r="Z280" s="1532"/>
      <c r="AA280" s="1530"/>
      <c r="AB280" s="1532"/>
      <c r="AC280" s="1530"/>
      <c r="AD280" s="1530"/>
      <c r="AE280" s="1530"/>
      <c r="AF280" s="1530"/>
      <c r="AG280" s="1530"/>
      <c r="AH280" s="1533"/>
      <c r="AI280" s="1530"/>
      <c r="AJ280" s="1533"/>
      <c r="AK280" s="1530"/>
      <c r="AL280" s="1530"/>
      <c r="AM280" s="1530"/>
      <c r="AN280" s="1530"/>
      <c r="AO280" s="1530"/>
      <c r="AP280" s="1530"/>
      <c r="AQ280" s="1530"/>
      <c r="AR280" s="1530"/>
      <c r="AS280" s="1530"/>
      <c r="AT280" s="1530"/>
      <c r="AU280" s="1530"/>
      <c r="AV280" s="1530"/>
      <c r="AW280" s="1530"/>
      <c r="AX280" s="1530"/>
      <c r="AY280" s="1530"/>
      <c r="AZ280" s="1530"/>
      <c r="BA280" s="1530"/>
      <c r="BB280" s="1532"/>
      <c r="BC280" s="1530"/>
      <c r="BD280" s="1532"/>
      <c r="BE280" s="1530"/>
      <c r="BF280" s="1532"/>
      <c r="BG280" s="1530"/>
      <c r="BH280" s="1532"/>
      <c r="BI280" s="1530"/>
      <c r="BJ280" s="1532"/>
      <c r="BK280" s="1530"/>
      <c r="BL280" s="1530"/>
      <c r="BM280" s="1530"/>
      <c r="BN280" s="206"/>
      <c r="BO280" s="206"/>
      <c r="BP280" s="206"/>
      <c r="BQ280" s="1380"/>
      <c r="BR280" s="1380"/>
      <c r="BS280" s="1380"/>
      <c r="BT280" s="1380"/>
      <c r="BU280" s="1380"/>
    </row>
    <row r="281" ht="17.25" customHeight="1">
      <c r="A281" s="2379" t="s">
        <v>10</v>
      </c>
      <c r="B281" s="2278" t="s">
        <v>1283</v>
      </c>
      <c r="C281" s="1734" t="s">
        <v>19</v>
      </c>
      <c r="D281" s="1734" t="s">
        <v>473</v>
      </c>
      <c r="E281" s="1306" t="s">
        <v>471</v>
      </c>
      <c r="F281" s="2034" t="s">
        <v>1285</v>
      </c>
      <c r="G281" s="69"/>
      <c r="H281" s="2034" t="s">
        <v>1287</v>
      </c>
      <c r="I281" s="69"/>
      <c r="J281" s="2034" t="s">
        <v>1289</v>
      </c>
      <c r="K281" s="69"/>
      <c r="L281" s="2034" t="s">
        <v>1291</v>
      </c>
      <c r="M281" s="69"/>
      <c r="N281" s="2034" t="s">
        <v>1293</v>
      </c>
      <c r="O281" s="69"/>
      <c r="P281" s="2034" t="s">
        <v>1295</v>
      </c>
      <c r="Q281" s="69"/>
      <c r="R281" s="2034" t="s">
        <v>1297</v>
      </c>
      <c r="S281" s="69"/>
      <c r="T281" s="2034" t="s">
        <v>3107</v>
      </c>
      <c r="U281" s="69"/>
      <c r="V281" s="2380" t="s">
        <v>3108</v>
      </c>
      <c r="W281" s="69"/>
      <c r="X281" s="2380" t="s">
        <v>3109</v>
      </c>
      <c r="Y281" s="69"/>
      <c r="Z281" s="2380" t="s">
        <v>3110</v>
      </c>
      <c r="AA281" s="69"/>
      <c r="AB281" s="2380" t="s">
        <v>3111</v>
      </c>
      <c r="AC281" s="69"/>
      <c r="AD281" s="2380" t="s">
        <v>1309</v>
      </c>
      <c r="AE281" s="69"/>
      <c r="AF281" s="2380" t="s">
        <v>1311</v>
      </c>
      <c r="AG281" s="69"/>
      <c r="AH281" s="2380" t="s">
        <v>1313</v>
      </c>
      <c r="AI281" s="69"/>
      <c r="AJ281" s="2380" t="s">
        <v>1315</v>
      </c>
      <c r="AK281" s="69"/>
      <c r="AL281" s="2380" t="s">
        <v>1317</v>
      </c>
      <c r="AM281" s="69"/>
      <c r="AN281" s="2380" t="s">
        <v>1319</v>
      </c>
      <c r="AO281" s="69"/>
      <c r="AP281" s="2380" t="s">
        <v>1321</v>
      </c>
      <c r="AQ281" s="69"/>
      <c r="AR281" s="2380" t="s">
        <v>1323</v>
      </c>
      <c r="AS281" s="69"/>
      <c r="AT281" s="2380" t="s">
        <v>1325</v>
      </c>
      <c r="AU281" s="69"/>
      <c r="AV281" s="2380" t="s">
        <v>1327</v>
      </c>
      <c r="AW281" s="69"/>
      <c r="AX281" s="2380" t="s">
        <v>3076</v>
      </c>
      <c r="AY281" s="69"/>
      <c r="AZ281" s="2380" t="s">
        <v>3078</v>
      </c>
      <c r="BA281" s="69"/>
      <c r="BB281" s="1201" t="s">
        <v>3080</v>
      </c>
      <c r="BC281" s="69"/>
      <c r="BD281" s="1201" t="s">
        <v>3082</v>
      </c>
      <c r="BE281" s="69"/>
      <c r="BF281" s="1201" t="s">
        <v>3084</v>
      </c>
      <c r="BG281" s="69"/>
      <c r="BH281" s="1201" t="s">
        <v>3086</v>
      </c>
      <c r="BI281" s="69"/>
      <c r="BJ281" s="1201" t="s">
        <v>3088</v>
      </c>
      <c r="BK281" s="69"/>
      <c r="BL281" s="2380" t="s">
        <v>297</v>
      </c>
      <c r="BM281" s="69"/>
      <c r="BN281" s="1977" t="s">
        <v>5</v>
      </c>
      <c r="BO281" s="69"/>
      <c r="BQ281" s="2381"/>
      <c r="BR281" s="2177" t="s">
        <v>3129</v>
      </c>
      <c r="BS281" s="2381"/>
      <c r="BT281" s="2381"/>
      <c r="BU281" s="2381"/>
    </row>
    <row r="282" ht="22.5" customHeight="1">
      <c r="A282" s="1130" t="str">
        <f t="shared" ref="A282:A284" si="169">A247</f>
        <v/>
      </c>
      <c r="B282" s="1736">
        <v>1076.0</v>
      </c>
      <c r="C282" s="1948">
        <v>95.0</v>
      </c>
      <c r="D282" s="1136"/>
      <c r="E282" s="591" t="str">
        <f t="shared" ref="E282:E309" si="170">E247</f>
        <v>Омлет с ветчиной</v>
      </c>
      <c r="F282" s="1713" t="str">
        <f t="shared" ref="F282:F309" si="171">G247</f>
        <v/>
      </c>
      <c r="G282" s="69"/>
      <c r="H282" s="1713" t="str">
        <f t="shared" ref="H282:H309" si="172">I247</f>
        <v/>
      </c>
      <c r="I282" s="69"/>
      <c r="J282" s="1713" t="str">
        <f t="shared" ref="J282:J309" si="173">K247</f>
        <v/>
      </c>
      <c r="K282" s="69"/>
      <c r="L282" s="1713" t="str">
        <f t="shared" ref="L282:L309" si="174">M247</f>
        <v/>
      </c>
      <c r="M282" s="69"/>
      <c r="N282" s="1713" t="str">
        <f t="shared" ref="N282:N309" si="175">O247</f>
        <v/>
      </c>
      <c r="O282" s="69"/>
      <c r="P282" s="1713" t="str">
        <f t="shared" ref="P282:P309" si="176">Q247</f>
        <v/>
      </c>
      <c r="Q282" s="69"/>
      <c r="R282" s="1713" t="str">
        <f t="shared" ref="R282:R309" si="177">S247</f>
        <v/>
      </c>
      <c r="S282" s="69"/>
      <c r="T282" s="1713" t="str">
        <f t="shared" ref="T282:T309" si="178">U247</f>
        <v/>
      </c>
      <c r="U282" s="69"/>
      <c r="V282" s="1713" t="str">
        <f t="shared" ref="V282:V309" si="179">W247</f>
        <v/>
      </c>
      <c r="W282" s="69"/>
      <c r="X282" s="1713" t="str">
        <f t="shared" ref="X282:X309" si="180">Y247</f>
        <v/>
      </c>
      <c r="Y282" s="69"/>
      <c r="Z282" s="1713" t="str">
        <f t="shared" ref="Z282:Z309" si="181">AA247</f>
        <v/>
      </c>
      <c r="AA282" s="69"/>
      <c r="AB282" s="1713" t="str">
        <f t="shared" ref="AB282:AB309" si="182">AC247</f>
        <v/>
      </c>
      <c r="AC282" s="69"/>
      <c r="AD282" s="1713" t="str">
        <f t="shared" ref="AD282:AD309" si="183">AE247</f>
        <v/>
      </c>
      <c r="AE282" s="69"/>
      <c r="AF282" s="1713" t="str">
        <f t="shared" ref="AF282:AF309" si="184">AG247</f>
        <v/>
      </c>
      <c r="AG282" s="69"/>
      <c r="AH282" s="1713" t="str">
        <f t="shared" ref="AH282:AH309" si="185">AI247</f>
        <v/>
      </c>
      <c r="AI282" s="69"/>
      <c r="AJ282" s="1713" t="str">
        <f t="shared" ref="AJ282:AJ309" si="186">AK247</f>
        <v/>
      </c>
      <c r="AK282" s="69"/>
      <c r="AL282" s="1705" t="str">
        <f t="shared" ref="AL282:AL309" si="187">AM247</f>
        <v/>
      </c>
      <c r="AM282" s="69"/>
      <c r="AN282" s="1705" t="str">
        <f t="shared" ref="AN282:AN309" si="188">AO247</f>
        <v/>
      </c>
      <c r="AO282" s="69"/>
      <c r="AP282" s="1705" t="str">
        <f t="shared" ref="AP282:AP308" si="189">AQ247</f>
        <v/>
      </c>
      <c r="AQ282" s="69"/>
      <c r="AR282" s="1705" t="str">
        <f t="shared" ref="AR282:AR309" si="190">AS247</f>
        <v/>
      </c>
      <c r="AS282" s="69"/>
      <c r="AT282" s="1705" t="str">
        <f t="shared" ref="AT282:AT309" si="191">AU247</f>
        <v/>
      </c>
      <c r="AU282" s="69"/>
      <c r="AV282" s="1705" t="str">
        <f t="shared" ref="AV282:AV309" si="192">AW247</f>
        <v/>
      </c>
      <c r="AW282" s="69"/>
      <c r="AX282" s="1705" t="str">
        <f t="shared" ref="AX282:AX309" si="193">AY247</f>
        <v/>
      </c>
      <c r="AY282" s="69"/>
      <c r="AZ282" s="1705" t="str">
        <f t="shared" ref="AZ282:AZ309" si="194">BA247</f>
        <v/>
      </c>
      <c r="BA282" s="69"/>
      <c r="BB282" s="2382" t="str">
        <f t="shared" ref="BB282:BB309" si="195">BC247</f>
        <v/>
      </c>
      <c r="BC282" s="69"/>
      <c r="BD282" s="2382" t="str">
        <f t="shared" ref="BD282:BD309" si="196">BE247</f>
        <v/>
      </c>
      <c r="BE282" s="69"/>
      <c r="BF282" s="2382" t="str">
        <f t="shared" ref="BF282:BF309" si="197">BG247</f>
        <v/>
      </c>
      <c r="BG282" s="69"/>
      <c r="BH282" s="2382" t="str">
        <f t="shared" ref="BH282:BH309" si="198">BI247</f>
        <v/>
      </c>
      <c r="BI282" s="69"/>
      <c r="BJ282" s="1709" t="str">
        <f t="shared" ref="BJ282:BJ309" si="199">BK247</f>
        <v/>
      </c>
      <c r="BK282" s="69"/>
      <c r="BL282" s="1705" t="str">
        <f t="shared" ref="BL282:BL309" si="200">BM247</f>
        <v/>
      </c>
      <c r="BM282" s="69"/>
      <c r="BN282" s="1435">
        <f t="shared" ref="BN282:BN310" si="201">SUM(F282:BM282)</f>
        <v>0</v>
      </c>
      <c r="BO282" s="69"/>
      <c r="BQ282" s="1529"/>
      <c r="BR282" s="2383">
        <f>BT33+BT93+BT154+BT214+BT277</f>
        <v>-714680</v>
      </c>
      <c r="BS282" s="1529"/>
      <c r="BT282" s="1529"/>
      <c r="BU282" s="1529"/>
    </row>
    <row r="283" ht="22.5" customHeight="1">
      <c r="A283" s="1130" t="str">
        <f t="shared" si="169"/>
        <v/>
      </c>
      <c r="B283" s="1736">
        <v>145.0</v>
      </c>
      <c r="C283" s="1948">
        <v>226.0</v>
      </c>
      <c r="D283" s="1136"/>
      <c r="E283" s="591" t="str">
        <f t="shared" si="170"/>
        <v>Сырники со сметаной</v>
      </c>
      <c r="F283" s="1705" t="str">
        <f t="shared" si="171"/>
        <v/>
      </c>
      <c r="G283" s="69"/>
      <c r="H283" s="1705" t="str">
        <f t="shared" si="172"/>
        <v/>
      </c>
      <c r="I283" s="69"/>
      <c r="J283" s="1705" t="str">
        <f t="shared" si="173"/>
        <v/>
      </c>
      <c r="K283" s="69"/>
      <c r="L283" s="1705" t="str">
        <f t="shared" si="174"/>
        <v/>
      </c>
      <c r="M283" s="69"/>
      <c r="N283" s="1705" t="str">
        <f t="shared" si="175"/>
        <v/>
      </c>
      <c r="O283" s="69"/>
      <c r="P283" s="1705" t="str">
        <f t="shared" si="176"/>
        <v/>
      </c>
      <c r="Q283" s="69"/>
      <c r="R283" s="1705" t="str">
        <f t="shared" si="177"/>
        <v/>
      </c>
      <c r="S283" s="69"/>
      <c r="T283" s="1705" t="str">
        <f t="shared" si="178"/>
        <v/>
      </c>
      <c r="U283" s="69"/>
      <c r="V283" s="1705" t="str">
        <f t="shared" si="179"/>
        <v/>
      </c>
      <c r="W283" s="69"/>
      <c r="X283" s="1705" t="str">
        <f t="shared" si="180"/>
        <v/>
      </c>
      <c r="Y283" s="69"/>
      <c r="Z283" s="1705" t="str">
        <f t="shared" si="181"/>
        <v/>
      </c>
      <c r="AA283" s="69"/>
      <c r="AB283" s="1705" t="str">
        <f t="shared" si="182"/>
        <v/>
      </c>
      <c r="AC283" s="69"/>
      <c r="AD283" s="1705" t="str">
        <f t="shared" si="183"/>
        <v/>
      </c>
      <c r="AE283" s="69"/>
      <c r="AF283" s="1705" t="str">
        <f t="shared" si="184"/>
        <v/>
      </c>
      <c r="AG283" s="69"/>
      <c r="AH283" s="1705" t="str">
        <f t="shared" si="185"/>
        <v/>
      </c>
      <c r="AI283" s="69"/>
      <c r="AJ283" s="1705" t="str">
        <f t="shared" si="186"/>
        <v/>
      </c>
      <c r="AK283" s="69"/>
      <c r="AL283" s="1705" t="str">
        <f t="shared" si="187"/>
        <v/>
      </c>
      <c r="AM283" s="69"/>
      <c r="AN283" s="1705" t="str">
        <f t="shared" si="188"/>
        <v/>
      </c>
      <c r="AO283" s="69"/>
      <c r="AP283" s="1705" t="str">
        <f t="shared" si="189"/>
        <v/>
      </c>
      <c r="AQ283" s="69"/>
      <c r="AR283" s="1705" t="str">
        <f t="shared" si="190"/>
        <v/>
      </c>
      <c r="AS283" s="69"/>
      <c r="AT283" s="1705" t="str">
        <f t="shared" si="191"/>
        <v/>
      </c>
      <c r="AU283" s="69"/>
      <c r="AV283" s="1705" t="str">
        <f t="shared" si="192"/>
        <v/>
      </c>
      <c r="AW283" s="69"/>
      <c r="AX283" s="1705" t="str">
        <f t="shared" si="193"/>
        <v/>
      </c>
      <c r="AY283" s="69"/>
      <c r="AZ283" s="1705" t="str">
        <f t="shared" si="194"/>
        <v/>
      </c>
      <c r="BA283" s="69"/>
      <c r="BB283" s="2382" t="str">
        <f t="shared" si="195"/>
        <v/>
      </c>
      <c r="BC283" s="69"/>
      <c r="BD283" s="2382" t="str">
        <f t="shared" si="196"/>
        <v/>
      </c>
      <c r="BE283" s="69"/>
      <c r="BF283" s="2382" t="str">
        <f t="shared" si="197"/>
        <v/>
      </c>
      <c r="BG283" s="69"/>
      <c r="BH283" s="2382" t="str">
        <f t="shared" si="198"/>
        <v/>
      </c>
      <c r="BI283" s="69"/>
      <c r="BJ283" s="1709" t="str">
        <f t="shared" si="199"/>
        <v/>
      </c>
      <c r="BK283" s="69"/>
      <c r="BL283" s="1705" t="str">
        <f t="shared" si="200"/>
        <v/>
      </c>
      <c r="BM283" s="69"/>
      <c r="BN283" s="1072">
        <f t="shared" si="201"/>
        <v>0</v>
      </c>
      <c r="BO283" s="69"/>
      <c r="BQ283" s="1529"/>
      <c r="BR283" s="1529"/>
      <c r="BS283" s="1529"/>
      <c r="BT283" s="1529"/>
      <c r="BU283" s="1529"/>
    </row>
    <row r="284" ht="22.5" customHeight="1">
      <c r="A284" s="1130" t="str">
        <f t="shared" si="169"/>
        <v/>
      </c>
      <c r="B284" s="1736">
        <v>1557.0</v>
      </c>
      <c r="C284" s="1948">
        <v>98.0</v>
      </c>
      <c r="D284" s="1136"/>
      <c r="E284" s="591" t="str">
        <f t="shared" si="170"/>
        <v>Каша пшенная (на молоке)</v>
      </c>
      <c r="F284" s="1705" t="str">
        <f t="shared" si="171"/>
        <v/>
      </c>
      <c r="G284" s="69"/>
      <c r="H284" s="1705" t="str">
        <f t="shared" si="172"/>
        <v/>
      </c>
      <c r="I284" s="69"/>
      <c r="J284" s="1705" t="str">
        <f t="shared" si="173"/>
        <v/>
      </c>
      <c r="K284" s="69"/>
      <c r="L284" s="1705" t="str">
        <f t="shared" si="174"/>
        <v/>
      </c>
      <c r="M284" s="69"/>
      <c r="N284" s="1705" t="str">
        <f t="shared" si="175"/>
        <v/>
      </c>
      <c r="O284" s="69"/>
      <c r="P284" s="1705" t="str">
        <f t="shared" si="176"/>
        <v/>
      </c>
      <c r="Q284" s="69"/>
      <c r="R284" s="1705" t="str">
        <f t="shared" si="177"/>
        <v/>
      </c>
      <c r="S284" s="69"/>
      <c r="T284" s="1705" t="str">
        <f t="shared" si="178"/>
        <v/>
      </c>
      <c r="U284" s="69"/>
      <c r="V284" s="1705" t="str">
        <f t="shared" si="179"/>
        <v/>
      </c>
      <c r="W284" s="69"/>
      <c r="X284" s="1705" t="str">
        <f t="shared" si="180"/>
        <v/>
      </c>
      <c r="Y284" s="69"/>
      <c r="Z284" s="1705" t="str">
        <f t="shared" si="181"/>
        <v/>
      </c>
      <c r="AA284" s="69"/>
      <c r="AB284" s="1705" t="str">
        <f t="shared" si="182"/>
        <v/>
      </c>
      <c r="AC284" s="69"/>
      <c r="AD284" s="1705" t="str">
        <f t="shared" si="183"/>
        <v/>
      </c>
      <c r="AE284" s="69"/>
      <c r="AF284" s="1705" t="str">
        <f t="shared" si="184"/>
        <v/>
      </c>
      <c r="AG284" s="69"/>
      <c r="AH284" s="1705" t="str">
        <f t="shared" si="185"/>
        <v/>
      </c>
      <c r="AI284" s="69"/>
      <c r="AJ284" s="1705" t="str">
        <f t="shared" si="186"/>
        <v/>
      </c>
      <c r="AK284" s="69"/>
      <c r="AL284" s="1705" t="str">
        <f t="shared" si="187"/>
        <v/>
      </c>
      <c r="AM284" s="69"/>
      <c r="AN284" s="1705" t="str">
        <f t="shared" si="188"/>
        <v/>
      </c>
      <c r="AO284" s="69"/>
      <c r="AP284" s="1705" t="str">
        <f t="shared" si="189"/>
        <v/>
      </c>
      <c r="AQ284" s="69"/>
      <c r="AR284" s="1705" t="str">
        <f t="shared" si="190"/>
        <v/>
      </c>
      <c r="AS284" s="69"/>
      <c r="AT284" s="1705" t="str">
        <f t="shared" si="191"/>
        <v/>
      </c>
      <c r="AU284" s="69"/>
      <c r="AV284" s="1705" t="str">
        <f t="shared" si="192"/>
        <v/>
      </c>
      <c r="AW284" s="69"/>
      <c r="AX284" s="1705" t="str">
        <f t="shared" si="193"/>
        <v/>
      </c>
      <c r="AY284" s="69"/>
      <c r="AZ284" s="1705" t="str">
        <f t="shared" si="194"/>
        <v/>
      </c>
      <c r="BA284" s="69"/>
      <c r="BB284" s="2382" t="str">
        <f t="shared" si="195"/>
        <v/>
      </c>
      <c r="BC284" s="69"/>
      <c r="BD284" s="2382" t="str">
        <f t="shared" si="196"/>
        <v/>
      </c>
      <c r="BE284" s="69"/>
      <c r="BF284" s="2382" t="str">
        <f t="shared" si="197"/>
        <v/>
      </c>
      <c r="BG284" s="69"/>
      <c r="BH284" s="2382" t="str">
        <f t="shared" si="198"/>
        <v/>
      </c>
      <c r="BI284" s="69"/>
      <c r="BJ284" s="1709" t="str">
        <f t="shared" si="199"/>
        <v/>
      </c>
      <c r="BK284" s="69"/>
      <c r="BL284" s="1705" t="str">
        <f t="shared" si="200"/>
        <v/>
      </c>
      <c r="BM284" s="69"/>
      <c r="BN284" s="1072">
        <f t="shared" si="201"/>
        <v>0</v>
      </c>
      <c r="BO284" s="69"/>
      <c r="BQ284" s="1529"/>
      <c r="BR284" s="1529"/>
      <c r="BS284" s="1529"/>
      <c r="BT284" s="1529"/>
      <c r="BU284" s="1529"/>
    </row>
    <row r="285" ht="22.5" customHeight="1">
      <c r="A285" s="1130"/>
      <c r="B285" s="1736">
        <v>3654.0</v>
      </c>
      <c r="C285" s="1948">
        <v>98.0</v>
      </c>
      <c r="D285" s="1136"/>
      <c r="E285" s="591" t="str">
        <f t="shared" si="170"/>
        <v>Салат ''Зимний'' (колбаса варен)</v>
      </c>
      <c r="F285" s="1705" t="str">
        <f t="shared" si="171"/>
        <v/>
      </c>
      <c r="G285" s="69"/>
      <c r="H285" s="1705" t="str">
        <f t="shared" si="172"/>
        <v/>
      </c>
      <c r="I285" s="69"/>
      <c r="J285" s="1705" t="str">
        <f t="shared" si="173"/>
        <v/>
      </c>
      <c r="K285" s="69"/>
      <c r="L285" s="1705" t="str">
        <f t="shared" si="174"/>
        <v/>
      </c>
      <c r="M285" s="69"/>
      <c r="N285" s="1705" t="str">
        <f t="shared" si="175"/>
        <v/>
      </c>
      <c r="O285" s="69"/>
      <c r="P285" s="1705" t="str">
        <f t="shared" si="176"/>
        <v/>
      </c>
      <c r="Q285" s="69"/>
      <c r="R285" s="1705" t="str">
        <f t="shared" si="177"/>
        <v/>
      </c>
      <c r="S285" s="69"/>
      <c r="T285" s="1705" t="str">
        <f t="shared" si="178"/>
        <v/>
      </c>
      <c r="U285" s="69"/>
      <c r="V285" s="1705" t="str">
        <f t="shared" si="179"/>
        <v/>
      </c>
      <c r="W285" s="69"/>
      <c r="X285" s="1705" t="str">
        <f t="shared" si="180"/>
        <v/>
      </c>
      <c r="Y285" s="69"/>
      <c r="Z285" s="1705" t="str">
        <f t="shared" si="181"/>
        <v/>
      </c>
      <c r="AA285" s="69"/>
      <c r="AB285" s="1705" t="str">
        <f t="shared" si="182"/>
        <v/>
      </c>
      <c r="AC285" s="69"/>
      <c r="AD285" s="1705" t="str">
        <f t="shared" si="183"/>
        <v/>
      </c>
      <c r="AE285" s="69"/>
      <c r="AF285" s="1705" t="str">
        <f t="shared" si="184"/>
        <v/>
      </c>
      <c r="AG285" s="69"/>
      <c r="AH285" s="1705" t="str">
        <f t="shared" si="185"/>
        <v/>
      </c>
      <c r="AI285" s="69"/>
      <c r="AJ285" s="1705" t="str">
        <f t="shared" si="186"/>
        <v/>
      </c>
      <c r="AK285" s="69"/>
      <c r="AL285" s="1705" t="str">
        <f t="shared" si="187"/>
        <v/>
      </c>
      <c r="AM285" s="69"/>
      <c r="AN285" s="1705" t="str">
        <f t="shared" si="188"/>
        <v/>
      </c>
      <c r="AO285" s="69"/>
      <c r="AP285" s="1705" t="str">
        <f t="shared" si="189"/>
        <v/>
      </c>
      <c r="AQ285" s="69"/>
      <c r="AR285" s="1705" t="str">
        <f t="shared" si="190"/>
        <v/>
      </c>
      <c r="AS285" s="69"/>
      <c r="AT285" s="1705" t="str">
        <f t="shared" si="191"/>
        <v/>
      </c>
      <c r="AU285" s="69"/>
      <c r="AV285" s="1705" t="str">
        <f t="shared" si="192"/>
        <v/>
      </c>
      <c r="AW285" s="69"/>
      <c r="AX285" s="1705" t="str">
        <f t="shared" si="193"/>
        <v/>
      </c>
      <c r="AY285" s="69"/>
      <c r="AZ285" s="1705" t="str">
        <f t="shared" si="194"/>
        <v/>
      </c>
      <c r="BA285" s="69"/>
      <c r="BB285" s="2382" t="str">
        <f t="shared" si="195"/>
        <v/>
      </c>
      <c r="BC285" s="69"/>
      <c r="BD285" s="2382" t="str">
        <f t="shared" si="196"/>
        <v/>
      </c>
      <c r="BE285" s="69"/>
      <c r="BF285" s="2382" t="str">
        <f t="shared" si="197"/>
        <v/>
      </c>
      <c r="BG285" s="69"/>
      <c r="BH285" s="2382" t="str">
        <f t="shared" si="198"/>
        <v/>
      </c>
      <c r="BI285" s="69"/>
      <c r="BJ285" s="1709" t="str">
        <f t="shared" si="199"/>
        <v/>
      </c>
      <c r="BK285" s="69"/>
      <c r="BL285" s="1705" t="str">
        <f t="shared" si="200"/>
        <v/>
      </c>
      <c r="BM285" s="69"/>
      <c r="BN285" s="1072">
        <f t="shared" si="201"/>
        <v>0</v>
      </c>
      <c r="BO285" s="69"/>
      <c r="BQ285" s="1529"/>
      <c r="BR285" s="1529"/>
      <c r="BS285" s="1529"/>
      <c r="BT285" s="1529"/>
      <c r="BU285" s="1529"/>
    </row>
    <row r="286" ht="22.5" customHeight="1">
      <c r="A286" s="1130" t="str">
        <f t="shared" ref="A286:A293" si="202">A251</f>
        <v/>
      </c>
      <c r="B286" s="1736">
        <v>3180.0</v>
      </c>
      <c r="C286" s="1948">
        <v>98.0</v>
      </c>
      <c r="D286" s="1136"/>
      <c r="E286" s="591" t="str">
        <f t="shared" si="170"/>
        <v>Салат ''Морковь по-корейски'' 120 г</v>
      </c>
      <c r="F286" s="1705" t="str">
        <f t="shared" si="171"/>
        <v/>
      </c>
      <c r="G286" s="69"/>
      <c r="H286" s="1705" t="str">
        <f t="shared" si="172"/>
        <v/>
      </c>
      <c r="I286" s="69"/>
      <c r="J286" s="1705" t="str">
        <f t="shared" si="173"/>
        <v/>
      </c>
      <c r="K286" s="69"/>
      <c r="L286" s="1705" t="str">
        <f t="shared" si="174"/>
        <v/>
      </c>
      <c r="M286" s="69"/>
      <c r="N286" s="1705" t="str">
        <f t="shared" si="175"/>
        <v/>
      </c>
      <c r="O286" s="69"/>
      <c r="P286" s="1705" t="str">
        <f t="shared" si="176"/>
        <v/>
      </c>
      <c r="Q286" s="69"/>
      <c r="R286" s="1705" t="str">
        <f t="shared" si="177"/>
        <v/>
      </c>
      <c r="S286" s="69"/>
      <c r="T286" s="1705" t="str">
        <f t="shared" si="178"/>
        <v/>
      </c>
      <c r="U286" s="69"/>
      <c r="V286" s="1705" t="str">
        <f t="shared" si="179"/>
        <v/>
      </c>
      <c r="W286" s="69"/>
      <c r="X286" s="1705" t="str">
        <f t="shared" si="180"/>
        <v/>
      </c>
      <c r="Y286" s="69"/>
      <c r="Z286" s="1705" t="str">
        <f t="shared" si="181"/>
        <v/>
      </c>
      <c r="AA286" s="69"/>
      <c r="AB286" s="1705" t="str">
        <f t="shared" si="182"/>
        <v/>
      </c>
      <c r="AC286" s="69"/>
      <c r="AD286" s="1705" t="str">
        <f t="shared" si="183"/>
        <v/>
      </c>
      <c r="AE286" s="69"/>
      <c r="AF286" s="1705" t="str">
        <f t="shared" si="184"/>
        <v/>
      </c>
      <c r="AG286" s="69"/>
      <c r="AH286" s="1705" t="str">
        <f t="shared" si="185"/>
        <v/>
      </c>
      <c r="AI286" s="69"/>
      <c r="AJ286" s="1705" t="str">
        <f t="shared" si="186"/>
        <v/>
      </c>
      <c r="AK286" s="69"/>
      <c r="AL286" s="1705" t="str">
        <f t="shared" si="187"/>
        <v/>
      </c>
      <c r="AM286" s="69"/>
      <c r="AN286" s="1705" t="str">
        <f t="shared" si="188"/>
        <v/>
      </c>
      <c r="AO286" s="69"/>
      <c r="AP286" s="1705" t="str">
        <f t="shared" si="189"/>
        <v/>
      </c>
      <c r="AQ286" s="69"/>
      <c r="AR286" s="1705" t="str">
        <f t="shared" si="190"/>
        <v/>
      </c>
      <c r="AS286" s="69"/>
      <c r="AT286" s="1705" t="str">
        <f t="shared" si="191"/>
        <v/>
      </c>
      <c r="AU286" s="69"/>
      <c r="AV286" s="1705" t="str">
        <f t="shared" si="192"/>
        <v/>
      </c>
      <c r="AW286" s="69"/>
      <c r="AX286" s="1705" t="str">
        <f t="shared" si="193"/>
        <v/>
      </c>
      <c r="AY286" s="69"/>
      <c r="AZ286" s="1705" t="str">
        <f t="shared" si="194"/>
        <v/>
      </c>
      <c r="BA286" s="69"/>
      <c r="BB286" s="2382" t="str">
        <f t="shared" si="195"/>
        <v/>
      </c>
      <c r="BC286" s="69"/>
      <c r="BD286" s="2382" t="str">
        <f t="shared" si="196"/>
        <v/>
      </c>
      <c r="BE286" s="69"/>
      <c r="BF286" s="2382" t="str">
        <f t="shared" si="197"/>
        <v/>
      </c>
      <c r="BG286" s="69"/>
      <c r="BH286" s="2382" t="str">
        <f t="shared" si="198"/>
        <v/>
      </c>
      <c r="BI286" s="69"/>
      <c r="BJ286" s="1709" t="str">
        <f t="shared" si="199"/>
        <v/>
      </c>
      <c r="BK286" s="69"/>
      <c r="BL286" s="1705" t="str">
        <f t="shared" si="200"/>
        <v/>
      </c>
      <c r="BM286" s="69"/>
      <c r="BN286" s="1072">
        <f t="shared" si="201"/>
        <v>0</v>
      </c>
      <c r="BO286" s="69"/>
      <c r="BQ286" s="1529"/>
      <c r="BR286" s="1529"/>
      <c r="BS286" s="1529"/>
      <c r="BT286" s="1529"/>
      <c r="BU286" s="1529"/>
    </row>
    <row r="287" ht="22.5" customHeight="1">
      <c r="A287" s="1130" t="str">
        <f t="shared" si="202"/>
        <v/>
      </c>
      <c r="B287" s="1736">
        <v>41.0</v>
      </c>
      <c r="C287" s="1948">
        <v>98.0</v>
      </c>
      <c r="D287" s="1136"/>
      <c r="E287" s="591" t="str">
        <f t="shared" si="170"/>
        <v>Закуска с селёдкой 120 г</v>
      </c>
      <c r="F287" s="1705" t="str">
        <f t="shared" si="171"/>
        <v/>
      </c>
      <c r="G287" s="69"/>
      <c r="H287" s="1705" t="str">
        <f t="shared" si="172"/>
        <v/>
      </c>
      <c r="I287" s="69"/>
      <c r="J287" s="1705" t="str">
        <f t="shared" si="173"/>
        <v/>
      </c>
      <c r="K287" s="69"/>
      <c r="L287" s="1705" t="str">
        <f t="shared" si="174"/>
        <v/>
      </c>
      <c r="M287" s="69"/>
      <c r="N287" s="1705" t="str">
        <f t="shared" si="175"/>
        <v/>
      </c>
      <c r="O287" s="69"/>
      <c r="P287" s="1705" t="str">
        <f t="shared" si="176"/>
        <v/>
      </c>
      <c r="Q287" s="69"/>
      <c r="R287" s="1705" t="str">
        <f t="shared" si="177"/>
        <v/>
      </c>
      <c r="S287" s="69"/>
      <c r="T287" s="1705" t="str">
        <f t="shared" si="178"/>
        <v/>
      </c>
      <c r="U287" s="69"/>
      <c r="V287" s="1705" t="str">
        <f t="shared" si="179"/>
        <v/>
      </c>
      <c r="W287" s="69"/>
      <c r="X287" s="1705" t="str">
        <f t="shared" si="180"/>
        <v/>
      </c>
      <c r="Y287" s="69"/>
      <c r="Z287" s="1705" t="str">
        <f t="shared" si="181"/>
        <v/>
      </c>
      <c r="AA287" s="69"/>
      <c r="AB287" s="1705" t="str">
        <f t="shared" si="182"/>
        <v/>
      </c>
      <c r="AC287" s="69"/>
      <c r="AD287" s="1705" t="str">
        <f t="shared" si="183"/>
        <v/>
      </c>
      <c r="AE287" s="69"/>
      <c r="AF287" s="1705" t="str">
        <f t="shared" si="184"/>
        <v/>
      </c>
      <c r="AG287" s="69"/>
      <c r="AH287" s="1705" t="str">
        <f t="shared" si="185"/>
        <v/>
      </c>
      <c r="AI287" s="69"/>
      <c r="AJ287" s="1705" t="str">
        <f t="shared" si="186"/>
        <v/>
      </c>
      <c r="AK287" s="69"/>
      <c r="AL287" s="1705" t="str">
        <f t="shared" si="187"/>
        <v/>
      </c>
      <c r="AM287" s="69"/>
      <c r="AN287" s="1705" t="str">
        <f t="shared" si="188"/>
        <v/>
      </c>
      <c r="AO287" s="69"/>
      <c r="AP287" s="1705" t="str">
        <f t="shared" si="189"/>
        <v/>
      </c>
      <c r="AQ287" s="69"/>
      <c r="AR287" s="1705" t="str">
        <f t="shared" si="190"/>
        <v/>
      </c>
      <c r="AS287" s="69"/>
      <c r="AT287" s="1705" t="str">
        <f t="shared" si="191"/>
        <v/>
      </c>
      <c r="AU287" s="69"/>
      <c r="AV287" s="1705" t="str">
        <f t="shared" si="192"/>
        <v/>
      </c>
      <c r="AW287" s="69"/>
      <c r="AX287" s="1705" t="str">
        <f t="shared" si="193"/>
        <v/>
      </c>
      <c r="AY287" s="69"/>
      <c r="AZ287" s="1705" t="str">
        <f t="shared" si="194"/>
        <v/>
      </c>
      <c r="BA287" s="69"/>
      <c r="BB287" s="2382" t="str">
        <f t="shared" si="195"/>
        <v/>
      </c>
      <c r="BC287" s="69"/>
      <c r="BD287" s="2382" t="str">
        <f t="shared" si="196"/>
        <v/>
      </c>
      <c r="BE287" s="69"/>
      <c r="BF287" s="2382" t="str">
        <f t="shared" si="197"/>
        <v/>
      </c>
      <c r="BG287" s="69"/>
      <c r="BH287" s="2382" t="str">
        <f t="shared" si="198"/>
        <v/>
      </c>
      <c r="BI287" s="69"/>
      <c r="BJ287" s="1709" t="str">
        <f t="shared" si="199"/>
        <v/>
      </c>
      <c r="BK287" s="69"/>
      <c r="BL287" s="1705" t="str">
        <f t="shared" si="200"/>
        <v/>
      </c>
      <c r="BM287" s="69"/>
      <c r="BN287" s="1072">
        <f t="shared" si="201"/>
        <v>0</v>
      </c>
      <c r="BO287" s="69"/>
      <c r="BQ287" s="1529"/>
      <c r="BR287" s="1529"/>
      <c r="BS287" s="1529"/>
      <c r="BT287" s="1529"/>
      <c r="BU287" s="1529"/>
    </row>
    <row r="288" ht="22.5" customHeight="1">
      <c r="A288" s="1130" t="str">
        <f t="shared" si="202"/>
        <v/>
      </c>
      <c r="B288" s="1736">
        <v>3430.0</v>
      </c>
      <c r="C288" s="1948">
        <v>230.0</v>
      </c>
      <c r="D288" s="1136"/>
      <c r="E288" s="591" t="str">
        <f t="shared" si="170"/>
        <v>Боул с крабом, бобами эдамаме и овощами</v>
      </c>
      <c r="F288" s="1705" t="str">
        <f t="shared" si="171"/>
        <v/>
      </c>
      <c r="G288" s="69"/>
      <c r="H288" s="1705" t="str">
        <f t="shared" si="172"/>
        <v/>
      </c>
      <c r="I288" s="69"/>
      <c r="J288" s="1705" t="str">
        <f t="shared" si="173"/>
        <v/>
      </c>
      <c r="K288" s="69"/>
      <c r="L288" s="1705" t="str">
        <f t="shared" si="174"/>
        <v/>
      </c>
      <c r="M288" s="69"/>
      <c r="N288" s="1705" t="str">
        <f t="shared" si="175"/>
        <v/>
      </c>
      <c r="O288" s="69"/>
      <c r="P288" s="1705" t="str">
        <f t="shared" si="176"/>
        <v/>
      </c>
      <c r="Q288" s="69"/>
      <c r="R288" s="1705" t="str">
        <f t="shared" si="177"/>
        <v/>
      </c>
      <c r="S288" s="69"/>
      <c r="T288" s="1705" t="str">
        <f t="shared" si="178"/>
        <v/>
      </c>
      <c r="U288" s="69"/>
      <c r="V288" s="1705" t="str">
        <f t="shared" si="179"/>
        <v/>
      </c>
      <c r="W288" s="69"/>
      <c r="X288" s="1705" t="str">
        <f t="shared" si="180"/>
        <v/>
      </c>
      <c r="Y288" s="69"/>
      <c r="Z288" s="1705" t="str">
        <f t="shared" si="181"/>
        <v/>
      </c>
      <c r="AA288" s="69"/>
      <c r="AB288" s="1705" t="str">
        <f t="shared" si="182"/>
        <v/>
      </c>
      <c r="AC288" s="69"/>
      <c r="AD288" s="1705" t="str">
        <f t="shared" si="183"/>
        <v/>
      </c>
      <c r="AE288" s="69"/>
      <c r="AF288" s="1705" t="str">
        <f t="shared" si="184"/>
        <v/>
      </c>
      <c r="AG288" s="69"/>
      <c r="AH288" s="1705" t="str">
        <f t="shared" si="185"/>
        <v/>
      </c>
      <c r="AI288" s="69"/>
      <c r="AJ288" s="1705" t="str">
        <f t="shared" si="186"/>
        <v/>
      </c>
      <c r="AK288" s="69"/>
      <c r="AL288" s="1705" t="str">
        <f t="shared" si="187"/>
        <v/>
      </c>
      <c r="AM288" s="69"/>
      <c r="AN288" s="1705" t="str">
        <f t="shared" si="188"/>
        <v/>
      </c>
      <c r="AO288" s="69"/>
      <c r="AP288" s="1705" t="str">
        <f t="shared" si="189"/>
        <v/>
      </c>
      <c r="AQ288" s="69"/>
      <c r="AR288" s="1705" t="str">
        <f t="shared" si="190"/>
        <v/>
      </c>
      <c r="AS288" s="69"/>
      <c r="AT288" s="1705" t="str">
        <f t="shared" si="191"/>
        <v/>
      </c>
      <c r="AU288" s="69"/>
      <c r="AV288" s="1705" t="str">
        <f t="shared" si="192"/>
        <v/>
      </c>
      <c r="AW288" s="69"/>
      <c r="AX288" s="1705" t="str">
        <f t="shared" si="193"/>
        <v/>
      </c>
      <c r="AY288" s="69"/>
      <c r="AZ288" s="1705" t="str">
        <f t="shared" si="194"/>
        <v/>
      </c>
      <c r="BA288" s="69"/>
      <c r="BB288" s="2382" t="str">
        <f t="shared" si="195"/>
        <v/>
      </c>
      <c r="BC288" s="69"/>
      <c r="BD288" s="2382" t="str">
        <f t="shared" si="196"/>
        <v/>
      </c>
      <c r="BE288" s="69"/>
      <c r="BF288" s="2382" t="str">
        <f t="shared" si="197"/>
        <v/>
      </c>
      <c r="BG288" s="69"/>
      <c r="BH288" s="2382" t="str">
        <f t="shared" si="198"/>
        <v/>
      </c>
      <c r="BI288" s="69"/>
      <c r="BJ288" s="1709" t="str">
        <f t="shared" si="199"/>
        <v/>
      </c>
      <c r="BK288" s="69"/>
      <c r="BL288" s="1705" t="str">
        <f t="shared" si="200"/>
        <v/>
      </c>
      <c r="BM288" s="69"/>
      <c r="BN288" s="1072">
        <f t="shared" si="201"/>
        <v>0</v>
      </c>
      <c r="BO288" s="69"/>
      <c r="BQ288" s="1529"/>
      <c r="BR288" s="1529"/>
      <c r="BS288" s="1529"/>
      <c r="BT288" s="1529"/>
      <c r="BU288" s="1529"/>
    </row>
    <row r="289" ht="22.5" customHeight="1">
      <c r="A289" s="1130" t="str">
        <f t="shared" si="202"/>
        <v/>
      </c>
      <c r="B289" s="1736">
        <v>8.0</v>
      </c>
      <c r="C289" s="2367">
        <v>104.0</v>
      </c>
      <c r="D289" s="1136"/>
      <c r="E289" s="591" t="str">
        <f t="shared" si="170"/>
        <v>Суп гороховый 250 мл</v>
      </c>
      <c r="F289" s="1705" t="str">
        <f t="shared" si="171"/>
        <v/>
      </c>
      <c r="G289" s="69"/>
      <c r="H289" s="1705" t="str">
        <f t="shared" si="172"/>
        <v/>
      </c>
      <c r="I289" s="69"/>
      <c r="J289" s="1705" t="str">
        <f t="shared" si="173"/>
        <v/>
      </c>
      <c r="K289" s="69"/>
      <c r="L289" s="1705" t="str">
        <f t="shared" si="174"/>
        <v/>
      </c>
      <c r="M289" s="69"/>
      <c r="N289" s="1705" t="str">
        <f t="shared" si="175"/>
        <v/>
      </c>
      <c r="O289" s="69"/>
      <c r="P289" s="1705" t="str">
        <f t="shared" si="176"/>
        <v/>
      </c>
      <c r="Q289" s="69"/>
      <c r="R289" s="1705" t="str">
        <f t="shared" si="177"/>
        <v/>
      </c>
      <c r="S289" s="69"/>
      <c r="T289" s="1705" t="str">
        <f t="shared" si="178"/>
        <v/>
      </c>
      <c r="U289" s="69"/>
      <c r="V289" s="1705" t="str">
        <f t="shared" si="179"/>
        <v/>
      </c>
      <c r="W289" s="69"/>
      <c r="X289" s="1705" t="str">
        <f t="shared" si="180"/>
        <v/>
      </c>
      <c r="Y289" s="69"/>
      <c r="Z289" s="1705" t="str">
        <f t="shared" si="181"/>
        <v/>
      </c>
      <c r="AA289" s="69"/>
      <c r="AB289" s="1705" t="str">
        <f t="shared" si="182"/>
        <v/>
      </c>
      <c r="AC289" s="69"/>
      <c r="AD289" s="1705" t="str">
        <f t="shared" si="183"/>
        <v/>
      </c>
      <c r="AE289" s="69"/>
      <c r="AF289" s="1705" t="str">
        <f t="shared" si="184"/>
        <v/>
      </c>
      <c r="AG289" s="69"/>
      <c r="AH289" s="1705" t="str">
        <f t="shared" si="185"/>
        <v/>
      </c>
      <c r="AI289" s="69"/>
      <c r="AJ289" s="1705" t="str">
        <f t="shared" si="186"/>
        <v/>
      </c>
      <c r="AK289" s="69"/>
      <c r="AL289" s="1705" t="str">
        <f t="shared" si="187"/>
        <v/>
      </c>
      <c r="AM289" s="69"/>
      <c r="AN289" s="1705" t="str">
        <f t="shared" si="188"/>
        <v/>
      </c>
      <c r="AO289" s="69"/>
      <c r="AP289" s="1705" t="str">
        <f t="shared" si="189"/>
        <v/>
      </c>
      <c r="AQ289" s="69"/>
      <c r="AR289" s="1705" t="str">
        <f t="shared" si="190"/>
        <v/>
      </c>
      <c r="AS289" s="69"/>
      <c r="AT289" s="1705" t="str">
        <f t="shared" si="191"/>
        <v/>
      </c>
      <c r="AU289" s="69"/>
      <c r="AV289" s="1705" t="str">
        <f t="shared" si="192"/>
        <v/>
      </c>
      <c r="AW289" s="69"/>
      <c r="AX289" s="1705" t="str">
        <f t="shared" si="193"/>
        <v/>
      </c>
      <c r="AY289" s="69"/>
      <c r="AZ289" s="1705" t="str">
        <f t="shared" si="194"/>
        <v/>
      </c>
      <c r="BA289" s="69"/>
      <c r="BB289" s="2382" t="str">
        <f t="shared" si="195"/>
        <v/>
      </c>
      <c r="BC289" s="69"/>
      <c r="BD289" s="2382" t="str">
        <f t="shared" si="196"/>
        <v/>
      </c>
      <c r="BE289" s="69"/>
      <c r="BF289" s="2382" t="str">
        <f t="shared" si="197"/>
        <v/>
      </c>
      <c r="BG289" s="69"/>
      <c r="BH289" s="2382" t="str">
        <f t="shared" si="198"/>
        <v/>
      </c>
      <c r="BI289" s="69"/>
      <c r="BJ289" s="1709" t="str">
        <f t="shared" si="199"/>
        <v/>
      </c>
      <c r="BK289" s="69"/>
      <c r="BL289" s="1705" t="str">
        <f t="shared" si="200"/>
        <v/>
      </c>
      <c r="BM289" s="69"/>
      <c r="BN289" s="1072">
        <f t="shared" si="201"/>
        <v>0</v>
      </c>
      <c r="BO289" s="69"/>
      <c r="BQ289" s="1529"/>
      <c r="BR289" s="1529"/>
      <c r="BS289" s="1529"/>
      <c r="BT289" s="1529"/>
      <c r="BU289" s="1529"/>
    </row>
    <row r="290" ht="22.5" customHeight="1">
      <c r="A290" s="1130" t="str">
        <f t="shared" si="202"/>
        <v/>
      </c>
      <c r="B290" s="1736">
        <v>3768.0</v>
      </c>
      <c r="C290" s="1948">
        <v>240.0</v>
      </c>
      <c r="D290" s="1136"/>
      <c r="E290" s="591" t="str">
        <f t="shared" si="170"/>
        <v>Паприкаш из говядины с гречкой</v>
      </c>
      <c r="F290" s="1705" t="str">
        <f t="shared" si="171"/>
        <v/>
      </c>
      <c r="G290" s="69"/>
      <c r="H290" s="1705" t="str">
        <f t="shared" si="172"/>
        <v/>
      </c>
      <c r="I290" s="69"/>
      <c r="J290" s="1705" t="str">
        <f t="shared" si="173"/>
        <v/>
      </c>
      <c r="K290" s="69"/>
      <c r="L290" s="1705" t="str">
        <f t="shared" si="174"/>
        <v/>
      </c>
      <c r="M290" s="69"/>
      <c r="N290" s="1705" t="str">
        <f t="shared" si="175"/>
        <v/>
      </c>
      <c r="O290" s="69"/>
      <c r="P290" s="1705" t="str">
        <f t="shared" si="176"/>
        <v/>
      </c>
      <c r="Q290" s="69"/>
      <c r="R290" s="1705" t="str">
        <f t="shared" si="177"/>
        <v/>
      </c>
      <c r="S290" s="69"/>
      <c r="T290" s="1705" t="str">
        <f t="shared" si="178"/>
        <v/>
      </c>
      <c r="U290" s="69"/>
      <c r="V290" s="1705" t="str">
        <f t="shared" si="179"/>
        <v/>
      </c>
      <c r="W290" s="69"/>
      <c r="X290" s="1705" t="str">
        <f t="shared" si="180"/>
        <v/>
      </c>
      <c r="Y290" s="69"/>
      <c r="Z290" s="1705" t="str">
        <f t="shared" si="181"/>
        <v/>
      </c>
      <c r="AA290" s="69"/>
      <c r="AB290" s="1705" t="str">
        <f t="shared" si="182"/>
        <v/>
      </c>
      <c r="AC290" s="69"/>
      <c r="AD290" s="1705" t="str">
        <f t="shared" si="183"/>
        <v/>
      </c>
      <c r="AE290" s="69"/>
      <c r="AF290" s="1705" t="str">
        <f t="shared" si="184"/>
        <v/>
      </c>
      <c r="AG290" s="69"/>
      <c r="AH290" s="1705" t="str">
        <f t="shared" si="185"/>
        <v/>
      </c>
      <c r="AI290" s="69"/>
      <c r="AJ290" s="1705" t="str">
        <f t="shared" si="186"/>
        <v/>
      </c>
      <c r="AK290" s="69"/>
      <c r="AL290" s="1705" t="str">
        <f t="shared" si="187"/>
        <v/>
      </c>
      <c r="AM290" s="69"/>
      <c r="AN290" s="1705" t="str">
        <f t="shared" si="188"/>
        <v/>
      </c>
      <c r="AO290" s="69"/>
      <c r="AP290" s="1705" t="str">
        <f t="shared" si="189"/>
        <v/>
      </c>
      <c r="AQ290" s="69"/>
      <c r="AR290" s="1705" t="str">
        <f t="shared" si="190"/>
        <v/>
      </c>
      <c r="AS290" s="69"/>
      <c r="AT290" s="1705" t="str">
        <f t="shared" si="191"/>
        <v/>
      </c>
      <c r="AU290" s="69"/>
      <c r="AV290" s="1705" t="str">
        <f t="shared" si="192"/>
        <v/>
      </c>
      <c r="AW290" s="69"/>
      <c r="AX290" s="1705" t="str">
        <f t="shared" si="193"/>
        <v/>
      </c>
      <c r="AY290" s="69"/>
      <c r="AZ290" s="1705" t="str">
        <f t="shared" si="194"/>
        <v/>
      </c>
      <c r="BA290" s="69"/>
      <c r="BB290" s="2382" t="str">
        <f t="shared" si="195"/>
        <v/>
      </c>
      <c r="BC290" s="69"/>
      <c r="BD290" s="2382" t="str">
        <f t="shared" si="196"/>
        <v/>
      </c>
      <c r="BE290" s="69"/>
      <c r="BF290" s="2382" t="str">
        <f t="shared" si="197"/>
        <v/>
      </c>
      <c r="BG290" s="69"/>
      <c r="BH290" s="2382" t="str">
        <f t="shared" si="198"/>
        <v/>
      </c>
      <c r="BI290" s="69"/>
      <c r="BJ290" s="1709" t="str">
        <f t="shared" si="199"/>
        <v/>
      </c>
      <c r="BK290" s="69"/>
      <c r="BL290" s="1705" t="str">
        <f t="shared" si="200"/>
        <v/>
      </c>
      <c r="BM290" s="69"/>
      <c r="BN290" s="1072">
        <f t="shared" si="201"/>
        <v>0</v>
      </c>
      <c r="BO290" s="69"/>
      <c r="BQ290" s="1529"/>
      <c r="BR290" s="1529"/>
      <c r="BS290" s="1529"/>
      <c r="BT290" s="1529"/>
      <c r="BU290" s="1529"/>
    </row>
    <row r="291" ht="22.5" customHeight="1">
      <c r="A291" s="1130" t="str">
        <f t="shared" si="202"/>
        <v/>
      </c>
      <c r="B291" s="1736">
        <v>3770.0</v>
      </c>
      <c r="C291" s="1948">
        <v>240.0</v>
      </c>
      <c r="D291" s="1136"/>
      <c r="E291" s="591" t="str">
        <f t="shared" si="170"/>
        <v>Паприкаш из говядины с картофельным пюре</v>
      </c>
      <c r="F291" s="1713" t="str">
        <f t="shared" si="171"/>
        <v/>
      </c>
      <c r="G291" s="69"/>
      <c r="H291" s="1713" t="str">
        <f t="shared" si="172"/>
        <v/>
      </c>
      <c r="I291" s="69"/>
      <c r="J291" s="1713" t="str">
        <f t="shared" si="173"/>
        <v/>
      </c>
      <c r="K291" s="69"/>
      <c r="L291" s="1713" t="str">
        <f t="shared" si="174"/>
        <v/>
      </c>
      <c r="M291" s="69"/>
      <c r="N291" s="1713" t="str">
        <f t="shared" si="175"/>
        <v/>
      </c>
      <c r="O291" s="69"/>
      <c r="P291" s="1713" t="str">
        <f t="shared" si="176"/>
        <v/>
      </c>
      <c r="Q291" s="69"/>
      <c r="R291" s="1713" t="str">
        <f t="shared" si="177"/>
        <v/>
      </c>
      <c r="S291" s="69"/>
      <c r="T291" s="1713" t="str">
        <f t="shared" si="178"/>
        <v/>
      </c>
      <c r="U291" s="69"/>
      <c r="V291" s="1713" t="str">
        <f t="shared" si="179"/>
        <v/>
      </c>
      <c r="W291" s="69"/>
      <c r="X291" s="1713" t="str">
        <f t="shared" si="180"/>
        <v/>
      </c>
      <c r="Y291" s="69"/>
      <c r="Z291" s="1713" t="str">
        <f t="shared" si="181"/>
        <v/>
      </c>
      <c r="AA291" s="69"/>
      <c r="AB291" s="1713" t="str">
        <f t="shared" si="182"/>
        <v/>
      </c>
      <c r="AC291" s="69"/>
      <c r="AD291" s="1713" t="str">
        <f t="shared" si="183"/>
        <v/>
      </c>
      <c r="AE291" s="69"/>
      <c r="AF291" s="1713" t="str">
        <f t="shared" si="184"/>
        <v/>
      </c>
      <c r="AG291" s="69"/>
      <c r="AH291" s="1705" t="str">
        <f t="shared" si="185"/>
        <v/>
      </c>
      <c r="AI291" s="69"/>
      <c r="AJ291" s="1713" t="str">
        <f t="shared" si="186"/>
        <v/>
      </c>
      <c r="AK291" s="69"/>
      <c r="AL291" s="1705" t="str">
        <f t="shared" si="187"/>
        <v/>
      </c>
      <c r="AM291" s="69"/>
      <c r="AN291" s="1705" t="str">
        <f t="shared" si="188"/>
        <v/>
      </c>
      <c r="AO291" s="69"/>
      <c r="AP291" s="1705" t="str">
        <f t="shared" si="189"/>
        <v/>
      </c>
      <c r="AQ291" s="69"/>
      <c r="AR291" s="1705" t="str">
        <f t="shared" si="190"/>
        <v/>
      </c>
      <c r="AS291" s="69"/>
      <c r="AT291" s="1705" t="str">
        <f t="shared" si="191"/>
        <v/>
      </c>
      <c r="AU291" s="69"/>
      <c r="AV291" s="1705" t="str">
        <f t="shared" si="192"/>
        <v/>
      </c>
      <c r="AW291" s="69"/>
      <c r="AX291" s="1705" t="str">
        <f t="shared" si="193"/>
        <v/>
      </c>
      <c r="AY291" s="69"/>
      <c r="AZ291" s="1705" t="str">
        <f t="shared" si="194"/>
        <v/>
      </c>
      <c r="BA291" s="69"/>
      <c r="BB291" s="2382" t="str">
        <f t="shared" si="195"/>
        <v/>
      </c>
      <c r="BC291" s="69"/>
      <c r="BD291" s="2382" t="str">
        <f t="shared" si="196"/>
        <v/>
      </c>
      <c r="BE291" s="69"/>
      <c r="BF291" s="2382" t="str">
        <f t="shared" si="197"/>
        <v/>
      </c>
      <c r="BG291" s="69"/>
      <c r="BH291" s="2382" t="str">
        <f t="shared" si="198"/>
        <v/>
      </c>
      <c r="BI291" s="69"/>
      <c r="BJ291" s="1709" t="str">
        <f t="shared" si="199"/>
        <v/>
      </c>
      <c r="BK291" s="69"/>
      <c r="BL291" s="1705" t="str">
        <f t="shared" si="200"/>
        <v/>
      </c>
      <c r="BM291" s="69"/>
      <c r="BN291" s="1435">
        <f t="shared" si="201"/>
        <v>0</v>
      </c>
      <c r="BO291" s="69"/>
      <c r="BQ291" s="1529"/>
      <c r="BR291" s="1529"/>
      <c r="BS291" s="1529"/>
      <c r="BT291" s="1529"/>
      <c r="BU291" s="1529"/>
    </row>
    <row r="292" ht="22.5" customHeight="1">
      <c r="A292" s="1130" t="str">
        <f t="shared" si="202"/>
        <v/>
      </c>
      <c r="B292" s="1736">
        <v>3769.0</v>
      </c>
      <c r="C292" s="1948">
        <v>240.0</v>
      </c>
      <c r="D292" s="1136"/>
      <c r="E292" s="591" t="str">
        <f t="shared" si="170"/>
        <v>Паприкаш из говядины с макаронами</v>
      </c>
      <c r="F292" s="1705" t="str">
        <f t="shared" si="171"/>
        <v/>
      </c>
      <c r="G292" s="69"/>
      <c r="H292" s="1705" t="str">
        <f t="shared" si="172"/>
        <v/>
      </c>
      <c r="I292" s="69"/>
      <c r="J292" s="1705" t="str">
        <f t="shared" si="173"/>
        <v/>
      </c>
      <c r="K292" s="69"/>
      <c r="L292" s="1705" t="str">
        <f t="shared" si="174"/>
        <v/>
      </c>
      <c r="M292" s="69"/>
      <c r="N292" s="1705" t="str">
        <f t="shared" si="175"/>
        <v/>
      </c>
      <c r="O292" s="69"/>
      <c r="P292" s="1705" t="str">
        <f t="shared" si="176"/>
        <v/>
      </c>
      <c r="Q292" s="69"/>
      <c r="R292" s="1705" t="str">
        <f t="shared" si="177"/>
        <v/>
      </c>
      <c r="S292" s="69"/>
      <c r="T292" s="1705" t="str">
        <f t="shared" si="178"/>
        <v/>
      </c>
      <c r="U292" s="69"/>
      <c r="V292" s="1705" t="str">
        <f t="shared" si="179"/>
        <v/>
      </c>
      <c r="W292" s="69"/>
      <c r="X292" s="1705" t="str">
        <f t="shared" si="180"/>
        <v/>
      </c>
      <c r="Y292" s="69"/>
      <c r="Z292" s="1705" t="str">
        <f t="shared" si="181"/>
        <v/>
      </c>
      <c r="AA292" s="69"/>
      <c r="AB292" s="1705" t="str">
        <f t="shared" si="182"/>
        <v/>
      </c>
      <c r="AC292" s="69"/>
      <c r="AD292" s="1705" t="str">
        <f t="shared" si="183"/>
        <v/>
      </c>
      <c r="AE292" s="69"/>
      <c r="AF292" s="1705" t="str">
        <f t="shared" si="184"/>
        <v/>
      </c>
      <c r="AG292" s="69"/>
      <c r="AH292" s="1705" t="str">
        <f t="shared" si="185"/>
        <v/>
      </c>
      <c r="AI292" s="69"/>
      <c r="AJ292" s="1705" t="str">
        <f t="shared" si="186"/>
        <v/>
      </c>
      <c r="AK292" s="69"/>
      <c r="AL292" s="1705" t="str">
        <f t="shared" si="187"/>
        <v/>
      </c>
      <c r="AM292" s="69"/>
      <c r="AN292" s="1705" t="str">
        <f t="shared" si="188"/>
        <v/>
      </c>
      <c r="AO292" s="69"/>
      <c r="AP292" s="1705" t="str">
        <f t="shared" si="189"/>
        <v/>
      </c>
      <c r="AQ292" s="69"/>
      <c r="AR292" s="1705" t="str">
        <f t="shared" si="190"/>
        <v/>
      </c>
      <c r="AS292" s="69"/>
      <c r="AT292" s="1705" t="str">
        <f t="shared" si="191"/>
        <v/>
      </c>
      <c r="AU292" s="69"/>
      <c r="AV292" s="1705" t="str">
        <f t="shared" si="192"/>
        <v/>
      </c>
      <c r="AW292" s="69"/>
      <c r="AX292" s="1705" t="str">
        <f t="shared" si="193"/>
        <v/>
      </c>
      <c r="AY292" s="69"/>
      <c r="AZ292" s="1705" t="str">
        <f t="shared" si="194"/>
        <v/>
      </c>
      <c r="BA292" s="69"/>
      <c r="BB292" s="2382" t="str">
        <f t="shared" si="195"/>
        <v/>
      </c>
      <c r="BC292" s="69"/>
      <c r="BD292" s="2382" t="str">
        <f t="shared" si="196"/>
        <v/>
      </c>
      <c r="BE292" s="69"/>
      <c r="BF292" s="2382" t="str">
        <f t="shared" si="197"/>
        <v/>
      </c>
      <c r="BG292" s="69"/>
      <c r="BH292" s="2382" t="str">
        <f t="shared" si="198"/>
        <v/>
      </c>
      <c r="BI292" s="69"/>
      <c r="BJ292" s="1709" t="str">
        <f t="shared" si="199"/>
        <v/>
      </c>
      <c r="BK292" s="69"/>
      <c r="BL292" s="1705" t="str">
        <f t="shared" si="200"/>
        <v/>
      </c>
      <c r="BM292" s="69"/>
      <c r="BN292" s="1072">
        <f t="shared" si="201"/>
        <v>0</v>
      </c>
      <c r="BO292" s="69"/>
      <c r="BQ292" s="1529"/>
      <c r="BR292" s="1529"/>
      <c r="BS292" s="1529"/>
      <c r="BT292" s="1529"/>
      <c r="BU292" s="1529"/>
    </row>
    <row r="293" ht="22.5" customHeight="1">
      <c r="A293" s="1130" t="str">
        <f t="shared" si="202"/>
        <v/>
      </c>
      <c r="B293" s="1736">
        <v>1819.0</v>
      </c>
      <c r="C293" s="1948">
        <v>180.0</v>
      </c>
      <c r="D293" s="1136"/>
      <c r="E293" s="591" t="str">
        <f t="shared" si="170"/>
        <v>Крылышки пикантные с картофелем запеченным</v>
      </c>
      <c r="F293" s="1705" t="str">
        <f t="shared" si="171"/>
        <v/>
      </c>
      <c r="G293" s="69"/>
      <c r="H293" s="1705" t="str">
        <f t="shared" si="172"/>
        <v/>
      </c>
      <c r="I293" s="69"/>
      <c r="J293" s="1705" t="str">
        <f t="shared" si="173"/>
        <v/>
      </c>
      <c r="K293" s="69"/>
      <c r="L293" s="1705" t="str">
        <f t="shared" si="174"/>
        <v/>
      </c>
      <c r="M293" s="69"/>
      <c r="N293" s="1705" t="str">
        <f t="shared" si="175"/>
        <v/>
      </c>
      <c r="O293" s="69"/>
      <c r="P293" s="1705" t="str">
        <f t="shared" si="176"/>
        <v/>
      </c>
      <c r="Q293" s="69"/>
      <c r="R293" s="1705" t="str">
        <f t="shared" si="177"/>
        <v/>
      </c>
      <c r="S293" s="69"/>
      <c r="T293" s="1705" t="str">
        <f t="shared" si="178"/>
        <v/>
      </c>
      <c r="U293" s="69"/>
      <c r="V293" s="1705" t="str">
        <f t="shared" si="179"/>
        <v/>
      </c>
      <c r="W293" s="69"/>
      <c r="X293" s="1705" t="str">
        <f t="shared" si="180"/>
        <v/>
      </c>
      <c r="Y293" s="69"/>
      <c r="Z293" s="1705" t="str">
        <f t="shared" si="181"/>
        <v/>
      </c>
      <c r="AA293" s="69"/>
      <c r="AB293" s="1705" t="str">
        <f t="shared" si="182"/>
        <v/>
      </c>
      <c r="AC293" s="69"/>
      <c r="AD293" s="1705" t="str">
        <f t="shared" si="183"/>
        <v/>
      </c>
      <c r="AE293" s="69"/>
      <c r="AF293" s="1705" t="str">
        <f t="shared" si="184"/>
        <v/>
      </c>
      <c r="AG293" s="69"/>
      <c r="AH293" s="1705" t="str">
        <f t="shared" si="185"/>
        <v/>
      </c>
      <c r="AI293" s="69"/>
      <c r="AJ293" s="1705" t="str">
        <f t="shared" si="186"/>
        <v/>
      </c>
      <c r="AK293" s="69"/>
      <c r="AL293" s="1705" t="str">
        <f t="shared" si="187"/>
        <v/>
      </c>
      <c r="AM293" s="69"/>
      <c r="AN293" s="1705" t="str">
        <f t="shared" si="188"/>
        <v/>
      </c>
      <c r="AO293" s="69"/>
      <c r="AP293" s="1705" t="str">
        <f t="shared" si="189"/>
        <v/>
      </c>
      <c r="AQ293" s="69"/>
      <c r="AR293" s="1705" t="str">
        <f t="shared" si="190"/>
        <v/>
      </c>
      <c r="AS293" s="69"/>
      <c r="AT293" s="1705" t="str">
        <f t="shared" si="191"/>
        <v/>
      </c>
      <c r="AU293" s="69"/>
      <c r="AV293" s="1705" t="str">
        <f t="shared" si="192"/>
        <v/>
      </c>
      <c r="AW293" s="69"/>
      <c r="AX293" s="1705" t="str">
        <f t="shared" si="193"/>
        <v/>
      </c>
      <c r="AY293" s="69"/>
      <c r="AZ293" s="1705" t="str">
        <f t="shared" si="194"/>
        <v/>
      </c>
      <c r="BA293" s="69"/>
      <c r="BB293" s="2382" t="str">
        <f t="shared" si="195"/>
        <v/>
      </c>
      <c r="BC293" s="69"/>
      <c r="BD293" s="2382" t="str">
        <f t="shared" si="196"/>
        <v/>
      </c>
      <c r="BE293" s="69"/>
      <c r="BF293" s="2382" t="str">
        <f t="shared" si="197"/>
        <v/>
      </c>
      <c r="BG293" s="69"/>
      <c r="BH293" s="2382" t="str">
        <f t="shared" si="198"/>
        <v/>
      </c>
      <c r="BI293" s="69"/>
      <c r="BJ293" s="1709" t="str">
        <f t="shared" si="199"/>
        <v/>
      </c>
      <c r="BK293" s="69"/>
      <c r="BL293" s="1705" t="str">
        <f t="shared" si="200"/>
        <v/>
      </c>
      <c r="BM293" s="69"/>
      <c r="BN293" s="1072">
        <f t="shared" si="201"/>
        <v>0</v>
      </c>
      <c r="BO293" s="69"/>
      <c r="BQ293" s="1529"/>
      <c r="BR293" s="1529"/>
      <c r="BS293" s="1529"/>
      <c r="BT293" s="1529"/>
      <c r="BU293" s="1529"/>
    </row>
    <row r="294" ht="22.5" customHeight="1">
      <c r="A294" s="1130"/>
      <c r="B294" s="1736">
        <v>475.0</v>
      </c>
      <c r="C294" s="1948">
        <v>233.0</v>
      </c>
      <c r="D294" s="1136"/>
      <c r="E294" s="591" t="str">
        <f t="shared" si="170"/>
        <v>Филе с томатом и сыром с зеленым рисом </v>
      </c>
      <c r="F294" s="1705" t="str">
        <f t="shared" si="171"/>
        <v/>
      </c>
      <c r="G294" s="69"/>
      <c r="H294" s="1705" t="str">
        <f t="shared" si="172"/>
        <v/>
      </c>
      <c r="I294" s="69"/>
      <c r="J294" s="1705" t="str">
        <f t="shared" si="173"/>
        <v/>
      </c>
      <c r="K294" s="69"/>
      <c r="L294" s="1705" t="str">
        <f t="shared" si="174"/>
        <v/>
      </c>
      <c r="M294" s="69"/>
      <c r="N294" s="1705" t="str">
        <f t="shared" si="175"/>
        <v/>
      </c>
      <c r="O294" s="69"/>
      <c r="P294" s="1705" t="str">
        <f t="shared" si="176"/>
        <v/>
      </c>
      <c r="Q294" s="69"/>
      <c r="R294" s="1705" t="str">
        <f t="shared" si="177"/>
        <v/>
      </c>
      <c r="S294" s="69"/>
      <c r="T294" s="1705" t="str">
        <f t="shared" si="178"/>
        <v/>
      </c>
      <c r="U294" s="69"/>
      <c r="V294" s="1705" t="str">
        <f t="shared" si="179"/>
        <v/>
      </c>
      <c r="W294" s="69"/>
      <c r="X294" s="1705" t="str">
        <f t="shared" si="180"/>
        <v/>
      </c>
      <c r="Y294" s="69"/>
      <c r="Z294" s="1705" t="str">
        <f t="shared" si="181"/>
        <v/>
      </c>
      <c r="AA294" s="69"/>
      <c r="AB294" s="1705" t="str">
        <f t="shared" si="182"/>
        <v/>
      </c>
      <c r="AC294" s="69"/>
      <c r="AD294" s="1705" t="str">
        <f t="shared" si="183"/>
        <v/>
      </c>
      <c r="AE294" s="69"/>
      <c r="AF294" s="1705" t="str">
        <f t="shared" si="184"/>
        <v/>
      </c>
      <c r="AG294" s="69"/>
      <c r="AH294" s="1705" t="str">
        <f t="shared" si="185"/>
        <v/>
      </c>
      <c r="AI294" s="69"/>
      <c r="AJ294" s="1713" t="str">
        <f t="shared" si="186"/>
        <v/>
      </c>
      <c r="AK294" s="69"/>
      <c r="AL294" s="1705" t="str">
        <f t="shared" si="187"/>
        <v/>
      </c>
      <c r="AM294" s="69"/>
      <c r="AN294" s="1705" t="str">
        <f t="shared" si="188"/>
        <v/>
      </c>
      <c r="AO294" s="69"/>
      <c r="AP294" s="1705" t="str">
        <f t="shared" si="189"/>
        <v/>
      </c>
      <c r="AQ294" s="69"/>
      <c r="AR294" s="1705" t="str">
        <f t="shared" si="190"/>
        <v/>
      </c>
      <c r="AS294" s="69"/>
      <c r="AT294" s="1705" t="str">
        <f t="shared" si="191"/>
        <v/>
      </c>
      <c r="AU294" s="69"/>
      <c r="AV294" s="1705" t="str">
        <f t="shared" si="192"/>
        <v/>
      </c>
      <c r="AW294" s="69"/>
      <c r="AX294" s="1705" t="str">
        <f t="shared" si="193"/>
        <v/>
      </c>
      <c r="AY294" s="69"/>
      <c r="AZ294" s="1705" t="str">
        <f t="shared" si="194"/>
        <v/>
      </c>
      <c r="BA294" s="69"/>
      <c r="BB294" s="2382" t="str">
        <f t="shared" si="195"/>
        <v/>
      </c>
      <c r="BC294" s="69"/>
      <c r="BD294" s="2382" t="str">
        <f t="shared" si="196"/>
        <v/>
      </c>
      <c r="BE294" s="69"/>
      <c r="BF294" s="2382" t="str">
        <f t="shared" si="197"/>
        <v/>
      </c>
      <c r="BG294" s="69"/>
      <c r="BH294" s="2382" t="str">
        <f t="shared" si="198"/>
        <v/>
      </c>
      <c r="BI294" s="69"/>
      <c r="BJ294" s="1709" t="str">
        <f t="shared" si="199"/>
        <v/>
      </c>
      <c r="BK294" s="69"/>
      <c r="BL294" s="1705" t="str">
        <f t="shared" si="200"/>
        <v/>
      </c>
      <c r="BM294" s="69"/>
      <c r="BN294" s="1072">
        <f t="shared" si="201"/>
        <v>0</v>
      </c>
      <c r="BO294" s="69"/>
      <c r="BQ294" s="1529"/>
      <c r="BR294" s="1529"/>
      <c r="BS294" s="1529"/>
      <c r="BT294" s="1529"/>
      <c r="BU294" s="1529"/>
    </row>
    <row r="295" ht="22.5" customHeight="1">
      <c r="A295" s="1130" t="str">
        <f t="shared" ref="A295:A298" si="203">A260</f>
        <v/>
      </c>
      <c r="B295" s="1736">
        <v>1896.0</v>
      </c>
      <c r="C295" s="1948">
        <v>247.0</v>
      </c>
      <c r="D295" s="1136"/>
      <c r="E295" s="591" t="str">
        <f t="shared" si="170"/>
        <v>Манты со сметаной </v>
      </c>
      <c r="F295" s="1705" t="str">
        <f t="shared" si="171"/>
        <v/>
      </c>
      <c r="G295" s="69"/>
      <c r="H295" s="1705" t="str">
        <f t="shared" si="172"/>
        <v/>
      </c>
      <c r="I295" s="69"/>
      <c r="J295" s="1705" t="str">
        <f t="shared" si="173"/>
        <v/>
      </c>
      <c r="K295" s="69"/>
      <c r="L295" s="1705" t="str">
        <f t="shared" si="174"/>
        <v/>
      </c>
      <c r="M295" s="69"/>
      <c r="N295" s="1705" t="str">
        <f t="shared" si="175"/>
        <v/>
      </c>
      <c r="O295" s="69"/>
      <c r="P295" s="1705" t="str">
        <f t="shared" si="176"/>
        <v/>
      </c>
      <c r="Q295" s="69"/>
      <c r="R295" s="1705" t="str">
        <f t="shared" si="177"/>
        <v/>
      </c>
      <c r="S295" s="69"/>
      <c r="T295" s="1705" t="str">
        <f t="shared" si="178"/>
        <v/>
      </c>
      <c r="U295" s="69"/>
      <c r="V295" s="1705" t="str">
        <f t="shared" si="179"/>
        <v/>
      </c>
      <c r="W295" s="69"/>
      <c r="X295" s="1705" t="str">
        <f t="shared" si="180"/>
        <v/>
      </c>
      <c r="Y295" s="69"/>
      <c r="Z295" s="1705" t="str">
        <f t="shared" si="181"/>
        <v/>
      </c>
      <c r="AA295" s="69"/>
      <c r="AB295" s="1705" t="str">
        <f t="shared" si="182"/>
        <v/>
      </c>
      <c r="AC295" s="69"/>
      <c r="AD295" s="1705" t="str">
        <f t="shared" si="183"/>
        <v/>
      </c>
      <c r="AE295" s="69"/>
      <c r="AF295" s="1705" t="str">
        <f t="shared" si="184"/>
        <v/>
      </c>
      <c r="AG295" s="69"/>
      <c r="AH295" s="1705" t="str">
        <f t="shared" si="185"/>
        <v/>
      </c>
      <c r="AI295" s="69"/>
      <c r="AJ295" s="1713" t="str">
        <f t="shared" si="186"/>
        <v/>
      </c>
      <c r="AK295" s="69"/>
      <c r="AL295" s="1705" t="str">
        <f t="shared" si="187"/>
        <v/>
      </c>
      <c r="AM295" s="69"/>
      <c r="AN295" s="1705" t="str">
        <f t="shared" si="188"/>
        <v/>
      </c>
      <c r="AO295" s="69"/>
      <c r="AP295" s="1705" t="str">
        <f t="shared" si="189"/>
        <v/>
      </c>
      <c r="AQ295" s="69"/>
      <c r="AR295" s="1705" t="str">
        <f t="shared" si="190"/>
        <v/>
      </c>
      <c r="AS295" s="69"/>
      <c r="AT295" s="1705" t="str">
        <f t="shared" si="191"/>
        <v/>
      </c>
      <c r="AU295" s="69"/>
      <c r="AV295" s="1705" t="str">
        <f t="shared" si="192"/>
        <v/>
      </c>
      <c r="AW295" s="69"/>
      <c r="AX295" s="1705" t="str">
        <f t="shared" si="193"/>
        <v/>
      </c>
      <c r="AY295" s="69"/>
      <c r="AZ295" s="1705" t="str">
        <f t="shared" si="194"/>
        <v/>
      </c>
      <c r="BA295" s="69"/>
      <c r="BB295" s="2382" t="str">
        <f t="shared" si="195"/>
        <v/>
      </c>
      <c r="BC295" s="69"/>
      <c r="BD295" s="2382" t="str">
        <f t="shared" si="196"/>
        <v/>
      </c>
      <c r="BE295" s="69"/>
      <c r="BF295" s="2382" t="str">
        <f t="shared" si="197"/>
        <v/>
      </c>
      <c r="BG295" s="69"/>
      <c r="BH295" s="2382" t="str">
        <f t="shared" si="198"/>
        <v/>
      </c>
      <c r="BI295" s="69"/>
      <c r="BJ295" s="1709" t="str">
        <f t="shared" si="199"/>
        <v/>
      </c>
      <c r="BK295" s="69"/>
      <c r="BL295" s="1705" t="str">
        <f t="shared" si="200"/>
        <v/>
      </c>
      <c r="BM295" s="69"/>
      <c r="BN295" s="1072">
        <f t="shared" si="201"/>
        <v>0</v>
      </c>
      <c r="BO295" s="69"/>
      <c r="BQ295" s="1529"/>
      <c r="BR295" s="1529"/>
      <c r="BS295" s="1529"/>
      <c r="BT295" s="1529"/>
      <c r="BU295" s="1529"/>
    </row>
    <row r="296" ht="22.5" customHeight="1">
      <c r="A296" s="1130" t="str">
        <f t="shared" si="203"/>
        <v/>
      </c>
      <c r="B296" s="1736">
        <v>1846.0</v>
      </c>
      <c r="C296" s="1948">
        <v>208.0</v>
      </c>
      <c r="D296" s="1136"/>
      <c r="E296" s="591" t="str">
        <f t="shared" si="170"/>
        <v>Котлета куриная с тушеной капустой</v>
      </c>
      <c r="F296" s="1705" t="str">
        <f t="shared" si="171"/>
        <v/>
      </c>
      <c r="G296" s="69"/>
      <c r="H296" s="1705" t="str">
        <f t="shared" si="172"/>
        <v/>
      </c>
      <c r="I296" s="69"/>
      <c r="J296" s="1705" t="str">
        <f t="shared" si="173"/>
        <v/>
      </c>
      <c r="K296" s="69"/>
      <c r="L296" s="1705" t="str">
        <f t="shared" si="174"/>
        <v/>
      </c>
      <c r="M296" s="69"/>
      <c r="N296" s="1705" t="str">
        <f t="shared" si="175"/>
        <v/>
      </c>
      <c r="O296" s="69"/>
      <c r="P296" s="1705" t="str">
        <f t="shared" si="176"/>
        <v/>
      </c>
      <c r="Q296" s="69"/>
      <c r="R296" s="1705" t="str">
        <f t="shared" si="177"/>
        <v/>
      </c>
      <c r="S296" s="69"/>
      <c r="T296" s="1705" t="str">
        <f t="shared" si="178"/>
        <v/>
      </c>
      <c r="U296" s="69"/>
      <c r="V296" s="1705" t="str">
        <f t="shared" si="179"/>
        <v/>
      </c>
      <c r="W296" s="69"/>
      <c r="X296" s="1705" t="str">
        <f t="shared" si="180"/>
        <v/>
      </c>
      <c r="Y296" s="69"/>
      <c r="Z296" s="1705" t="str">
        <f t="shared" si="181"/>
        <v/>
      </c>
      <c r="AA296" s="69"/>
      <c r="AB296" s="1705" t="str">
        <f t="shared" si="182"/>
        <v/>
      </c>
      <c r="AC296" s="69"/>
      <c r="AD296" s="1705" t="str">
        <f t="shared" si="183"/>
        <v/>
      </c>
      <c r="AE296" s="69"/>
      <c r="AF296" s="1705" t="str">
        <f t="shared" si="184"/>
        <v/>
      </c>
      <c r="AG296" s="69"/>
      <c r="AH296" s="1705" t="str">
        <f t="shared" si="185"/>
        <v/>
      </c>
      <c r="AI296" s="69"/>
      <c r="AJ296" s="1705" t="str">
        <f t="shared" si="186"/>
        <v/>
      </c>
      <c r="AK296" s="69"/>
      <c r="AL296" s="1705" t="str">
        <f t="shared" si="187"/>
        <v/>
      </c>
      <c r="AM296" s="69"/>
      <c r="AN296" s="1705" t="str">
        <f t="shared" si="188"/>
        <v/>
      </c>
      <c r="AO296" s="69"/>
      <c r="AP296" s="1705" t="str">
        <f t="shared" si="189"/>
        <v/>
      </c>
      <c r="AQ296" s="69"/>
      <c r="AR296" s="1705" t="str">
        <f t="shared" si="190"/>
        <v/>
      </c>
      <c r="AS296" s="69"/>
      <c r="AT296" s="1705" t="str">
        <f t="shared" si="191"/>
        <v/>
      </c>
      <c r="AU296" s="69"/>
      <c r="AV296" s="1705" t="str">
        <f t="shared" si="192"/>
        <v/>
      </c>
      <c r="AW296" s="69"/>
      <c r="AX296" s="1705" t="str">
        <f t="shared" si="193"/>
        <v/>
      </c>
      <c r="AY296" s="69"/>
      <c r="AZ296" s="1705" t="str">
        <f t="shared" si="194"/>
        <v/>
      </c>
      <c r="BA296" s="69"/>
      <c r="BB296" s="2382" t="str">
        <f t="shared" si="195"/>
        <v/>
      </c>
      <c r="BC296" s="69"/>
      <c r="BD296" s="2382" t="str">
        <f t="shared" si="196"/>
        <v/>
      </c>
      <c r="BE296" s="69"/>
      <c r="BF296" s="2382" t="str">
        <f t="shared" si="197"/>
        <v/>
      </c>
      <c r="BG296" s="69"/>
      <c r="BH296" s="2382" t="str">
        <f t="shared" si="198"/>
        <v/>
      </c>
      <c r="BI296" s="69"/>
      <c r="BJ296" s="1709" t="str">
        <f t="shared" si="199"/>
        <v/>
      </c>
      <c r="BK296" s="69"/>
      <c r="BL296" s="1705" t="str">
        <f t="shared" si="200"/>
        <v/>
      </c>
      <c r="BM296" s="69"/>
      <c r="BN296" s="1072">
        <f t="shared" si="201"/>
        <v>0</v>
      </c>
      <c r="BO296" s="69"/>
      <c r="BQ296" s="1529"/>
      <c r="BR296" s="1529"/>
      <c r="BS296" s="1529"/>
      <c r="BT296" s="1529"/>
      <c r="BU296" s="1529"/>
    </row>
    <row r="297" ht="22.5" customHeight="1">
      <c r="A297" s="1130" t="str">
        <f t="shared" si="203"/>
        <v/>
      </c>
      <c r="B297" s="1736">
        <v>967.0</v>
      </c>
      <c r="C297" s="2370">
        <v>198.0</v>
      </c>
      <c r="D297" s="1136"/>
      <c r="E297" s="591" t="str">
        <f t="shared" si="170"/>
        <v>Курочка в томатном соусе с макаронами</v>
      </c>
      <c r="F297" s="1705" t="str">
        <f t="shared" si="171"/>
        <v/>
      </c>
      <c r="G297" s="69"/>
      <c r="H297" s="1705" t="str">
        <f t="shared" si="172"/>
        <v/>
      </c>
      <c r="I297" s="69"/>
      <c r="J297" s="1705" t="str">
        <f t="shared" si="173"/>
        <v/>
      </c>
      <c r="K297" s="69"/>
      <c r="L297" s="1705" t="str">
        <f t="shared" si="174"/>
        <v/>
      </c>
      <c r="M297" s="69"/>
      <c r="N297" s="1705" t="str">
        <f t="shared" si="175"/>
        <v/>
      </c>
      <c r="O297" s="69"/>
      <c r="P297" s="1705" t="str">
        <f t="shared" si="176"/>
        <v/>
      </c>
      <c r="Q297" s="69"/>
      <c r="R297" s="1705" t="str">
        <f t="shared" si="177"/>
        <v/>
      </c>
      <c r="S297" s="69"/>
      <c r="T297" s="1705" t="str">
        <f t="shared" si="178"/>
        <v/>
      </c>
      <c r="U297" s="69"/>
      <c r="V297" s="1705" t="str">
        <f t="shared" si="179"/>
        <v/>
      </c>
      <c r="W297" s="69"/>
      <c r="X297" s="1705" t="str">
        <f t="shared" si="180"/>
        <v/>
      </c>
      <c r="Y297" s="69"/>
      <c r="Z297" s="1705" t="str">
        <f t="shared" si="181"/>
        <v/>
      </c>
      <c r="AA297" s="69"/>
      <c r="AB297" s="1705" t="str">
        <f t="shared" si="182"/>
        <v/>
      </c>
      <c r="AC297" s="69"/>
      <c r="AD297" s="1705" t="str">
        <f t="shared" si="183"/>
        <v/>
      </c>
      <c r="AE297" s="69"/>
      <c r="AF297" s="1705" t="str">
        <f t="shared" si="184"/>
        <v/>
      </c>
      <c r="AG297" s="69"/>
      <c r="AH297" s="1705" t="str">
        <f t="shared" si="185"/>
        <v/>
      </c>
      <c r="AI297" s="69"/>
      <c r="AJ297" s="1705" t="str">
        <f t="shared" si="186"/>
        <v/>
      </c>
      <c r="AK297" s="69"/>
      <c r="AL297" s="1705" t="str">
        <f t="shared" si="187"/>
        <v/>
      </c>
      <c r="AM297" s="69"/>
      <c r="AN297" s="1705" t="str">
        <f t="shared" si="188"/>
        <v/>
      </c>
      <c r="AO297" s="69"/>
      <c r="AP297" s="1705" t="str">
        <f t="shared" si="189"/>
        <v/>
      </c>
      <c r="AQ297" s="69"/>
      <c r="AR297" s="1705" t="str">
        <f t="shared" si="190"/>
        <v/>
      </c>
      <c r="AS297" s="69"/>
      <c r="AT297" s="1705" t="str">
        <f t="shared" si="191"/>
        <v/>
      </c>
      <c r="AU297" s="69"/>
      <c r="AV297" s="1705" t="str">
        <f t="shared" si="192"/>
        <v/>
      </c>
      <c r="AW297" s="69"/>
      <c r="AX297" s="1705" t="str">
        <f t="shared" si="193"/>
        <v/>
      </c>
      <c r="AY297" s="69"/>
      <c r="AZ297" s="1705" t="str">
        <f t="shared" si="194"/>
        <v/>
      </c>
      <c r="BA297" s="69"/>
      <c r="BB297" s="2382" t="str">
        <f t="shared" si="195"/>
        <v/>
      </c>
      <c r="BC297" s="69"/>
      <c r="BD297" s="2382" t="str">
        <f t="shared" si="196"/>
        <v/>
      </c>
      <c r="BE297" s="69"/>
      <c r="BF297" s="2382" t="str">
        <f t="shared" si="197"/>
        <v/>
      </c>
      <c r="BG297" s="69"/>
      <c r="BH297" s="2382" t="str">
        <f t="shared" si="198"/>
        <v/>
      </c>
      <c r="BI297" s="69"/>
      <c r="BJ297" s="1709" t="str">
        <f t="shared" si="199"/>
        <v/>
      </c>
      <c r="BK297" s="69"/>
      <c r="BL297" s="1705" t="str">
        <f t="shared" si="200"/>
        <v/>
      </c>
      <c r="BM297" s="69"/>
      <c r="BN297" s="1072">
        <f t="shared" si="201"/>
        <v>0</v>
      </c>
      <c r="BO297" s="69"/>
      <c r="BQ297" s="1529"/>
      <c r="BR297" s="1529"/>
      <c r="BS297" s="1529"/>
      <c r="BT297" s="1529"/>
      <c r="BU297" s="1529"/>
    </row>
    <row r="298" ht="22.5" customHeight="1">
      <c r="A298" s="1130" t="str">
        <f t="shared" si="203"/>
        <v/>
      </c>
      <c r="B298" s="1736">
        <v>3528.0</v>
      </c>
      <c r="C298" s="1153">
        <v>56.0</v>
      </c>
      <c r="D298" s="1136"/>
      <c r="E298" s="591" t="str">
        <f t="shared" si="170"/>
        <v>Сырная палочка 80 гр</v>
      </c>
      <c r="F298" s="1705" t="str">
        <f t="shared" si="171"/>
        <v/>
      </c>
      <c r="G298" s="69"/>
      <c r="H298" s="1705" t="str">
        <f t="shared" si="172"/>
        <v/>
      </c>
      <c r="I298" s="69"/>
      <c r="J298" s="1705" t="str">
        <f t="shared" si="173"/>
        <v/>
      </c>
      <c r="K298" s="69"/>
      <c r="L298" s="1705" t="str">
        <f t="shared" si="174"/>
        <v/>
      </c>
      <c r="M298" s="69"/>
      <c r="N298" s="1705" t="str">
        <f t="shared" si="175"/>
        <v/>
      </c>
      <c r="O298" s="69"/>
      <c r="P298" s="1705" t="str">
        <f t="shared" si="176"/>
        <v/>
      </c>
      <c r="Q298" s="69"/>
      <c r="R298" s="1705" t="str">
        <f t="shared" si="177"/>
        <v/>
      </c>
      <c r="S298" s="69"/>
      <c r="T298" s="1705" t="str">
        <f t="shared" si="178"/>
        <v/>
      </c>
      <c r="U298" s="69"/>
      <c r="V298" s="1705" t="str">
        <f t="shared" si="179"/>
        <v/>
      </c>
      <c r="W298" s="69"/>
      <c r="X298" s="1705" t="str">
        <f t="shared" si="180"/>
        <v/>
      </c>
      <c r="Y298" s="69"/>
      <c r="Z298" s="1705" t="str">
        <f t="shared" si="181"/>
        <v/>
      </c>
      <c r="AA298" s="69"/>
      <c r="AB298" s="1705" t="str">
        <f t="shared" si="182"/>
        <v/>
      </c>
      <c r="AC298" s="69"/>
      <c r="AD298" s="1705" t="str">
        <f t="shared" si="183"/>
        <v/>
      </c>
      <c r="AE298" s="69"/>
      <c r="AF298" s="1705" t="str">
        <f t="shared" si="184"/>
        <v/>
      </c>
      <c r="AG298" s="69"/>
      <c r="AH298" s="1705" t="str">
        <f t="shared" si="185"/>
        <v/>
      </c>
      <c r="AI298" s="69"/>
      <c r="AJ298" s="1705" t="str">
        <f t="shared" si="186"/>
        <v/>
      </c>
      <c r="AK298" s="69"/>
      <c r="AL298" s="1705" t="str">
        <f t="shared" si="187"/>
        <v/>
      </c>
      <c r="AM298" s="69"/>
      <c r="AN298" s="1705" t="str">
        <f t="shared" si="188"/>
        <v/>
      </c>
      <c r="AO298" s="69"/>
      <c r="AP298" s="1705" t="str">
        <f t="shared" si="189"/>
        <v/>
      </c>
      <c r="AQ298" s="69"/>
      <c r="AR298" s="1705" t="str">
        <f t="shared" si="190"/>
        <v/>
      </c>
      <c r="AS298" s="69"/>
      <c r="AT298" s="1705" t="str">
        <f t="shared" si="191"/>
        <v/>
      </c>
      <c r="AU298" s="69"/>
      <c r="AV298" s="1705" t="str">
        <f t="shared" si="192"/>
        <v/>
      </c>
      <c r="AW298" s="69"/>
      <c r="AX298" s="1705" t="str">
        <f t="shared" si="193"/>
        <v/>
      </c>
      <c r="AY298" s="69"/>
      <c r="AZ298" s="1705" t="str">
        <f t="shared" si="194"/>
        <v/>
      </c>
      <c r="BA298" s="69"/>
      <c r="BB298" s="2382" t="str">
        <f t="shared" si="195"/>
        <v/>
      </c>
      <c r="BC298" s="69"/>
      <c r="BD298" s="2382" t="str">
        <f t="shared" si="196"/>
        <v/>
      </c>
      <c r="BE298" s="69"/>
      <c r="BF298" s="2382" t="str">
        <f t="shared" si="197"/>
        <v/>
      </c>
      <c r="BG298" s="69"/>
      <c r="BH298" s="2382" t="str">
        <f t="shared" si="198"/>
        <v/>
      </c>
      <c r="BI298" s="69"/>
      <c r="BJ298" s="1709" t="str">
        <f t="shared" si="199"/>
        <v/>
      </c>
      <c r="BK298" s="69"/>
      <c r="BL298" s="1705" t="str">
        <f t="shared" si="200"/>
        <v/>
      </c>
      <c r="BM298" s="69"/>
      <c r="BN298" s="1072">
        <f t="shared" si="201"/>
        <v>0</v>
      </c>
      <c r="BO298" s="69"/>
      <c r="BQ298" s="1528"/>
      <c r="BR298" s="1528"/>
      <c r="BS298" s="1528"/>
      <c r="BT298" s="1528"/>
      <c r="BU298" s="1528"/>
    </row>
    <row r="299" ht="22.5" customHeight="1">
      <c r="A299" s="1130" t="str">
        <f t="shared" ref="A299:A301" si="204">A265</f>
        <v/>
      </c>
      <c r="B299" s="1736"/>
      <c r="C299" s="1153"/>
      <c r="D299" s="1136"/>
      <c r="E299" s="591" t="str">
        <f t="shared" si="170"/>
        <v/>
      </c>
      <c r="F299" s="1705" t="str">
        <f t="shared" si="171"/>
        <v/>
      </c>
      <c r="G299" s="69"/>
      <c r="H299" s="1705" t="str">
        <f t="shared" si="172"/>
        <v/>
      </c>
      <c r="I299" s="69"/>
      <c r="J299" s="1705" t="str">
        <f t="shared" si="173"/>
        <v/>
      </c>
      <c r="K299" s="69"/>
      <c r="L299" s="1705" t="str">
        <f t="shared" si="174"/>
        <v/>
      </c>
      <c r="M299" s="69"/>
      <c r="N299" s="1705" t="str">
        <f t="shared" si="175"/>
        <v/>
      </c>
      <c r="O299" s="69"/>
      <c r="P299" s="1705" t="str">
        <f t="shared" si="176"/>
        <v/>
      </c>
      <c r="Q299" s="69"/>
      <c r="R299" s="1705" t="str">
        <f t="shared" si="177"/>
        <v/>
      </c>
      <c r="S299" s="69"/>
      <c r="T299" s="1705" t="str">
        <f t="shared" si="178"/>
        <v/>
      </c>
      <c r="U299" s="69"/>
      <c r="V299" s="1705" t="str">
        <f t="shared" si="179"/>
        <v/>
      </c>
      <c r="W299" s="69"/>
      <c r="X299" s="1705" t="str">
        <f t="shared" si="180"/>
        <v/>
      </c>
      <c r="Y299" s="69"/>
      <c r="Z299" s="1705" t="str">
        <f t="shared" si="181"/>
        <v/>
      </c>
      <c r="AA299" s="69"/>
      <c r="AB299" s="1705" t="str">
        <f t="shared" si="182"/>
        <v/>
      </c>
      <c r="AC299" s="69"/>
      <c r="AD299" s="1705" t="str">
        <f t="shared" si="183"/>
        <v/>
      </c>
      <c r="AE299" s="69"/>
      <c r="AF299" s="1705" t="str">
        <f t="shared" si="184"/>
        <v/>
      </c>
      <c r="AG299" s="69"/>
      <c r="AH299" s="1705" t="str">
        <f t="shared" si="185"/>
        <v/>
      </c>
      <c r="AI299" s="69"/>
      <c r="AJ299" s="1705" t="str">
        <f t="shared" si="186"/>
        <v/>
      </c>
      <c r="AK299" s="69"/>
      <c r="AL299" s="1705" t="str">
        <f t="shared" si="187"/>
        <v/>
      </c>
      <c r="AM299" s="69"/>
      <c r="AN299" s="1705" t="str">
        <f t="shared" si="188"/>
        <v/>
      </c>
      <c r="AO299" s="69"/>
      <c r="AP299" s="1705" t="str">
        <f t="shared" si="189"/>
        <v/>
      </c>
      <c r="AQ299" s="69"/>
      <c r="AR299" s="1705" t="str">
        <f t="shared" si="190"/>
        <v/>
      </c>
      <c r="AS299" s="69"/>
      <c r="AT299" s="1705" t="str">
        <f t="shared" si="191"/>
        <v/>
      </c>
      <c r="AU299" s="69"/>
      <c r="AV299" s="1705" t="str">
        <f t="shared" si="192"/>
        <v/>
      </c>
      <c r="AW299" s="69"/>
      <c r="AX299" s="1705" t="str">
        <f t="shared" si="193"/>
        <v/>
      </c>
      <c r="AY299" s="69"/>
      <c r="AZ299" s="1705" t="str">
        <f t="shared" si="194"/>
        <v/>
      </c>
      <c r="BA299" s="69"/>
      <c r="BB299" s="2382" t="str">
        <f t="shared" si="195"/>
        <v/>
      </c>
      <c r="BC299" s="69"/>
      <c r="BD299" s="2382" t="str">
        <f t="shared" si="196"/>
        <v/>
      </c>
      <c r="BE299" s="69"/>
      <c r="BF299" s="2382" t="str">
        <f t="shared" si="197"/>
        <v/>
      </c>
      <c r="BG299" s="69"/>
      <c r="BH299" s="2382" t="str">
        <f t="shared" si="198"/>
        <v/>
      </c>
      <c r="BI299" s="69"/>
      <c r="BJ299" s="1709" t="str">
        <f t="shared" si="199"/>
        <v/>
      </c>
      <c r="BK299" s="69"/>
      <c r="BL299" s="1705" t="str">
        <f t="shared" si="200"/>
        <v/>
      </c>
      <c r="BM299" s="69"/>
      <c r="BN299" s="1072">
        <f t="shared" si="201"/>
        <v>0</v>
      </c>
      <c r="BO299" s="69"/>
      <c r="BQ299" s="1528"/>
      <c r="BR299" s="1528"/>
      <c r="BS299" s="1528"/>
      <c r="BT299" s="1528"/>
      <c r="BU299" s="1528"/>
    </row>
    <row r="300" ht="22.5" customHeight="1">
      <c r="A300" s="1130" t="str">
        <f t="shared" si="204"/>
        <v/>
      </c>
      <c r="B300" s="1736">
        <v>5.0</v>
      </c>
      <c r="C300" s="1153">
        <v>155.0</v>
      </c>
      <c r="D300" s="1136"/>
      <c r="E300" s="591" t="str">
        <f t="shared" si="170"/>
        <v>Сэндвич с ветчиной и сыром</v>
      </c>
      <c r="F300" s="1705" t="str">
        <f t="shared" si="171"/>
        <v/>
      </c>
      <c r="G300" s="69"/>
      <c r="H300" s="1705" t="str">
        <f t="shared" si="172"/>
        <v/>
      </c>
      <c r="I300" s="69"/>
      <c r="J300" s="1705" t="str">
        <f t="shared" si="173"/>
        <v/>
      </c>
      <c r="K300" s="69"/>
      <c r="L300" s="1705" t="str">
        <f t="shared" si="174"/>
        <v/>
      </c>
      <c r="M300" s="69"/>
      <c r="N300" s="1705" t="str">
        <f t="shared" si="175"/>
        <v/>
      </c>
      <c r="O300" s="69"/>
      <c r="P300" s="1705" t="str">
        <f t="shared" si="176"/>
        <v/>
      </c>
      <c r="Q300" s="69"/>
      <c r="R300" s="1705" t="str">
        <f t="shared" si="177"/>
        <v/>
      </c>
      <c r="S300" s="69"/>
      <c r="T300" s="1705" t="str">
        <f t="shared" si="178"/>
        <v/>
      </c>
      <c r="U300" s="69"/>
      <c r="V300" s="1705" t="str">
        <f t="shared" si="179"/>
        <v/>
      </c>
      <c r="W300" s="69"/>
      <c r="X300" s="1705" t="str">
        <f t="shared" si="180"/>
        <v/>
      </c>
      <c r="Y300" s="69"/>
      <c r="Z300" s="1705" t="str">
        <f t="shared" si="181"/>
        <v/>
      </c>
      <c r="AA300" s="69"/>
      <c r="AB300" s="1705" t="str">
        <f t="shared" si="182"/>
        <v/>
      </c>
      <c r="AC300" s="69"/>
      <c r="AD300" s="1705" t="str">
        <f t="shared" si="183"/>
        <v/>
      </c>
      <c r="AE300" s="69"/>
      <c r="AF300" s="1705" t="str">
        <f t="shared" si="184"/>
        <v/>
      </c>
      <c r="AG300" s="69"/>
      <c r="AH300" s="1705" t="str">
        <f t="shared" si="185"/>
        <v/>
      </c>
      <c r="AI300" s="69"/>
      <c r="AJ300" s="1705" t="str">
        <f t="shared" si="186"/>
        <v/>
      </c>
      <c r="AK300" s="69"/>
      <c r="AL300" s="1705" t="str">
        <f t="shared" si="187"/>
        <v/>
      </c>
      <c r="AM300" s="69"/>
      <c r="AN300" s="1705" t="str">
        <f t="shared" si="188"/>
        <v/>
      </c>
      <c r="AO300" s="69"/>
      <c r="AP300" s="1705" t="str">
        <f t="shared" si="189"/>
        <v/>
      </c>
      <c r="AQ300" s="69"/>
      <c r="AR300" s="1705" t="str">
        <f t="shared" si="190"/>
        <v/>
      </c>
      <c r="AS300" s="69"/>
      <c r="AT300" s="1705" t="str">
        <f t="shared" si="191"/>
        <v/>
      </c>
      <c r="AU300" s="69"/>
      <c r="AV300" s="1705" t="str">
        <f t="shared" si="192"/>
        <v/>
      </c>
      <c r="AW300" s="69"/>
      <c r="AX300" s="1705" t="str">
        <f t="shared" si="193"/>
        <v/>
      </c>
      <c r="AY300" s="69"/>
      <c r="AZ300" s="1705" t="str">
        <f t="shared" si="194"/>
        <v/>
      </c>
      <c r="BA300" s="69"/>
      <c r="BB300" s="2382" t="str">
        <f t="shared" si="195"/>
        <v/>
      </c>
      <c r="BC300" s="69"/>
      <c r="BD300" s="2382" t="str">
        <f t="shared" si="196"/>
        <v/>
      </c>
      <c r="BE300" s="69"/>
      <c r="BF300" s="2382" t="str">
        <f t="shared" si="197"/>
        <v/>
      </c>
      <c r="BG300" s="69"/>
      <c r="BH300" s="2382" t="str">
        <f t="shared" si="198"/>
        <v/>
      </c>
      <c r="BI300" s="69"/>
      <c r="BJ300" s="1709" t="str">
        <f t="shared" si="199"/>
        <v/>
      </c>
      <c r="BK300" s="69"/>
      <c r="BL300" s="1705" t="str">
        <f t="shared" si="200"/>
        <v/>
      </c>
      <c r="BM300" s="69"/>
      <c r="BN300" s="1072">
        <f t="shared" si="201"/>
        <v>0</v>
      </c>
      <c r="BO300" s="69"/>
      <c r="BQ300" s="1528"/>
      <c r="BR300" s="1528"/>
      <c r="BS300" s="1528"/>
      <c r="BT300" s="1528"/>
      <c r="BU300" s="1528"/>
    </row>
    <row r="301" ht="22.5" customHeight="1">
      <c r="A301" s="1130" t="str">
        <f t="shared" si="204"/>
        <v/>
      </c>
      <c r="B301" s="1736">
        <v>4239.0</v>
      </c>
      <c r="C301" s="1153">
        <v>172.0</v>
      </c>
      <c r="D301" s="1136"/>
      <c r="E301" s="591" t="str">
        <f t="shared" si="170"/>
        <v>Сэндвич с запеченной курочкой и соусом Релиш</v>
      </c>
      <c r="F301" s="1705" t="str">
        <f t="shared" si="171"/>
        <v/>
      </c>
      <c r="G301" s="69"/>
      <c r="H301" s="1705" t="str">
        <f t="shared" si="172"/>
        <v/>
      </c>
      <c r="I301" s="69"/>
      <c r="J301" s="1705" t="str">
        <f t="shared" si="173"/>
        <v/>
      </c>
      <c r="K301" s="69"/>
      <c r="L301" s="1705" t="str">
        <f t="shared" si="174"/>
        <v/>
      </c>
      <c r="M301" s="69"/>
      <c r="N301" s="1705" t="str">
        <f t="shared" si="175"/>
        <v/>
      </c>
      <c r="O301" s="69"/>
      <c r="P301" s="1705" t="str">
        <f t="shared" si="176"/>
        <v/>
      </c>
      <c r="Q301" s="69"/>
      <c r="R301" s="1705" t="str">
        <f t="shared" si="177"/>
        <v/>
      </c>
      <c r="S301" s="69"/>
      <c r="T301" s="1705" t="str">
        <f t="shared" si="178"/>
        <v/>
      </c>
      <c r="U301" s="69"/>
      <c r="V301" s="1705" t="str">
        <f t="shared" si="179"/>
        <v/>
      </c>
      <c r="W301" s="69"/>
      <c r="X301" s="1705" t="str">
        <f t="shared" si="180"/>
        <v/>
      </c>
      <c r="Y301" s="69"/>
      <c r="Z301" s="1705" t="str">
        <f t="shared" si="181"/>
        <v/>
      </c>
      <c r="AA301" s="69"/>
      <c r="AB301" s="1705" t="str">
        <f t="shared" si="182"/>
        <v/>
      </c>
      <c r="AC301" s="69"/>
      <c r="AD301" s="1705" t="str">
        <f t="shared" si="183"/>
        <v/>
      </c>
      <c r="AE301" s="69"/>
      <c r="AF301" s="1705" t="str">
        <f t="shared" si="184"/>
        <v/>
      </c>
      <c r="AG301" s="69"/>
      <c r="AH301" s="1705" t="str">
        <f t="shared" si="185"/>
        <v/>
      </c>
      <c r="AI301" s="69"/>
      <c r="AJ301" s="1705" t="str">
        <f t="shared" si="186"/>
        <v/>
      </c>
      <c r="AK301" s="69"/>
      <c r="AL301" s="1705" t="str">
        <f t="shared" si="187"/>
        <v/>
      </c>
      <c r="AM301" s="69"/>
      <c r="AN301" s="1705" t="str">
        <f t="shared" si="188"/>
        <v/>
      </c>
      <c r="AO301" s="69"/>
      <c r="AP301" s="1705" t="str">
        <f t="shared" si="189"/>
        <v/>
      </c>
      <c r="AQ301" s="69"/>
      <c r="AR301" s="1705" t="str">
        <f t="shared" si="190"/>
        <v/>
      </c>
      <c r="AS301" s="69"/>
      <c r="AT301" s="1705" t="str">
        <f t="shared" si="191"/>
        <v/>
      </c>
      <c r="AU301" s="69"/>
      <c r="AV301" s="1705" t="str">
        <f t="shared" si="192"/>
        <v/>
      </c>
      <c r="AW301" s="69"/>
      <c r="AX301" s="1705" t="str">
        <f t="shared" si="193"/>
        <v/>
      </c>
      <c r="AY301" s="69"/>
      <c r="AZ301" s="1705" t="str">
        <f t="shared" si="194"/>
        <v/>
      </c>
      <c r="BA301" s="69"/>
      <c r="BB301" s="2382" t="str">
        <f t="shared" si="195"/>
        <v/>
      </c>
      <c r="BC301" s="69"/>
      <c r="BD301" s="2382" t="str">
        <f t="shared" si="196"/>
        <v/>
      </c>
      <c r="BE301" s="69"/>
      <c r="BF301" s="2382" t="str">
        <f t="shared" si="197"/>
        <v/>
      </c>
      <c r="BG301" s="69"/>
      <c r="BH301" s="2382" t="str">
        <f t="shared" si="198"/>
        <v/>
      </c>
      <c r="BI301" s="69"/>
      <c r="BJ301" s="1709" t="str">
        <f t="shared" si="199"/>
        <v/>
      </c>
      <c r="BK301" s="69"/>
      <c r="BL301" s="1705" t="str">
        <f t="shared" si="200"/>
        <v/>
      </c>
      <c r="BM301" s="69"/>
      <c r="BN301" s="1072">
        <f t="shared" si="201"/>
        <v>0</v>
      </c>
      <c r="BO301" s="69"/>
      <c r="BQ301" s="1528"/>
      <c r="BR301" s="1528"/>
      <c r="BS301" s="1528"/>
      <c r="BT301" s="1528"/>
      <c r="BU301" s="1528"/>
    </row>
    <row r="302" ht="22.5" customHeight="1">
      <c r="A302" s="1130"/>
      <c r="B302" s="1736">
        <v>4281.0</v>
      </c>
      <c r="C302" s="1153">
        <v>98.0</v>
      </c>
      <c r="D302" s="1136"/>
      <c r="E302" s="591" t="str">
        <f t="shared" si="170"/>
        <v>Морс клюква/вишня 0,5 л</v>
      </c>
      <c r="F302" s="1705" t="str">
        <f t="shared" si="171"/>
        <v/>
      </c>
      <c r="G302" s="69"/>
      <c r="H302" s="1713" t="str">
        <f t="shared" si="172"/>
        <v/>
      </c>
      <c r="I302" s="69"/>
      <c r="J302" s="1705" t="str">
        <f t="shared" si="173"/>
        <v/>
      </c>
      <c r="K302" s="69"/>
      <c r="L302" s="1705" t="str">
        <f t="shared" si="174"/>
        <v/>
      </c>
      <c r="M302" s="69"/>
      <c r="N302" s="1705" t="str">
        <f t="shared" si="175"/>
        <v/>
      </c>
      <c r="O302" s="69"/>
      <c r="P302" s="1713" t="str">
        <f t="shared" si="176"/>
        <v/>
      </c>
      <c r="Q302" s="69"/>
      <c r="R302" s="1705" t="str">
        <f t="shared" si="177"/>
        <v/>
      </c>
      <c r="S302" s="69"/>
      <c r="T302" s="1705" t="str">
        <f t="shared" si="178"/>
        <v/>
      </c>
      <c r="U302" s="69"/>
      <c r="V302" s="1705" t="str">
        <f t="shared" si="179"/>
        <v/>
      </c>
      <c r="W302" s="69"/>
      <c r="X302" s="1705" t="str">
        <f t="shared" si="180"/>
        <v/>
      </c>
      <c r="Y302" s="69"/>
      <c r="Z302" s="1705" t="str">
        <f t="shared" si="181"/>
        <v/>
      </c>
      <c r="AA302" s="69"/>
      <c r="AB302" s="1705" t="str">
        <f t="shared" si="182"/>
        <v/>
      </c>
      <c r="AC302" s="69"/>
      <c r="AD302" s="1705" t="str">
        <f t="shared" si="183"/>
        <v/>
      </c>
      <c r="AE302" s="69"/>
      <c r="AF302" s="1705" t="str">
        <f t="shared" si="184"/>
        <v/>
      </c>
      <c r="AG302" s="69"/>
      <c r="AH302" s="1705" t="str">
        <f t="shared" si="185"/>
        <v/>
      </c>
      <c r="AI302" s="69"/>
      <c r="AJ302" s="1705" t="str">
        <f t="shared" si="186"/>
        <v/>
      </c>
      <c r="AK302" s="69"/>
      <c r="AL302" s="1705" t="str">
        <f t="shared" si="187"/>
        <v/>
      </c>
      <c r="AM302" s="69"/>
      <c r="AN302" s="1705" t="str">
        <f t="shared" si="188"/>
        <v/>
      </c>
      <c r="AO302" s="69"/>
      <c r="AP302" s="1705" t="str">
        <f t="shared" si="189"/>
        <v/>
      </c>
      <c r="AQ302" s="69"/>
      <c r="AR302" s="1705" t="str">
        <f t="shared" si="190"/>
        <v/>
      </c>
      <c r="AS302" s="69"/>
      <c r="AT302" s="1705" t="str">
        <f t="shared" si="191"/>
        <v/>
      </c>
      <c r="AU302" s="69"/>
      <c r="AV302" s="1705" t="str">
        <f t="shared" si="192"/>
        <v/>
      </c>
      <c r="AW302" s="69"/>
      <c r="AX302" s="1705" t="str">
        <f t="shared" si="193"/>
        <v/>
      </c>
      <c r="AY302" s="69"/>
      <c r="AZ302" s="1705" t="str">
        <f t="shared" si="194"/>
        <v/>
      </c>
      <c r="BA302" s="69"/>
      <c r="BB302" s="2382" t="str">
        <f t="shared" si="195"/>
        <v/>
      </c>
      <c r="BC302" s="69"/>
      <c r="BD302" s="2382" t="str">
        <f t="shared" si="196"/>
        <v/>
      </c>
      <c r="BE302" s="69"/>
      <c r="BF302" s="2382" t="str">
        <f t="shared" si="197"/>
        <v/>
      </c>
      <c r="BG302" s="69"/>
      <c r="BH302" s="2382" t="str">
        <f t="shared" si="198"/>
        <v/>
      </c>
      <c r="BI302" s="69"/>
      <c r="BJ302" s="1709" t="str">
        <f t="shared" si="199"/>
        <v/>
      </c>
      <c r="BK302" s="69"/>
      <c r="BL302" s="1705" t="str">
        <f t="shared" si="200"/>
        <v/>
      </c>
      <c r="BM302" s="69"/>
      <c r="BN302" s="1072">
        <f t="shared" si="201"/>
        <v>0</v>
      </c>
      <c r="BO302" s="69"/>
      <c r="BQ302" s="1528"/>
      <c r="BR302" s="1528"/>
      <c r="BS302" s="1528"/>
      <c r="BT302" s="1528"/>
      <c r="BU302" s="1528"/>
    </row>
    <row r="303" ht="22.5" customHeight="1">
      <c r="A303" s="1130" t="str">
        <f>A268</f>
        <v/>
      </c>
      <c r="B303" s="1736">
        <v>4115.0</v>
      </c>
      <c r="C303" s="1948">
        <v>212.0</v>
      </c>
      <c r="D303" s="1136"/>
      <c r="E303" s="591" t="str">
        <f t="shared" si="170"/>
        <v>Хот-дог  </v>
      </c>
      <c r="F303" s="1705" t="str">
        <f t="shared" si="171"/>
        <v/>
      </c>
      <c r="G303" s="69"/>
      <c r="H303" s="1705" t="str">
        <f t="shared" si="172"/>
        <v/>
      </c>
      <c r="I303" s="69"/>
      <c r="J303" s="1705" t="str">
        <f t="shared" si="173"/>
        <v/>
      </c>
      <c r="K303" s="69"/>
      <c r="L303" s="1705" t="str">
        <f t="shared" si="174"/>
        <v/>
      </c>
      <c r="M303" s="69"/>
      <c r="N303" s="1705" t="str">
        <f t="shared" si="175"/>
        <v/>
      </c>
      <c r="O303" s="69"/>
      <c r="P303" s="1705" t="str">
        <f t="shared" si="176"/>
        <v/>
      </c>
      <c r="Q303" s="69"/>
      <c r="R303" s="1705" t="str">
        <f t="shared" si="177"/>
        <v/>
      </c>
      <c r="S303" s="69"/>
      <c r="T303" s="1705" t="str">
        <f t="shared" si="178"/>
        <v/>
      </c>
      <c r="U303" s="69"/>
      <c r="V303" s="1705" t="str">
        <f t="shared" si="179"/>
        <v/>
      </c>
      <c r="W303" s="69"/>
      <c r="X303" s="1705" t="str">
        <f t="shared" si="180"/>
        <v/>
      </c>
      <c r="Y303" s="69"/>
      <c r="Z303" s="1705" t="str">
        <f t="shared" si="181"/>
        <v/>
      </c>
      <c r="AA303" s="69"/>
      <c r="AB303" s="1705" t="str">
        <f t="shared" si="182"/>
        <v/>
      </c>
      <c r="AC303" s="69"/>
      <c r="AD303" s="1705" t="str">
        <f t="shared" si="183"/>
        <v/>
      </c>
      <c r="AE303" s="69"/>
      <c r="AF303" s="1705" t="str">
        <f t="shared" si="184"/>
        <v/>
      </c>
      <c r="AG303" s="69"/>
      <c r="AH303" s="1705" t="str">
        <f t="shared" si="185"/>
        <v/>
      </c>
      <c r="AI303" s="69"/>
      <c r="AJ303" s="1705" t="str">
        <f t="shared" si="186"/>
        <v/>
      </c>
      <c r="AK303" s="69"/>
      <c r="AL303" s="1705" t="str">
        <f t="shared" si="187"/>
        <v/>
      </c>
      <c r="AM303" s="69"/>
      <c r="AN303" s="1705" t="str">
        <f t="shared" si="188"/>
        <v/>
      </c>
      <c r="AO303" s="69"/>
      <c r="AP303" s="1705" t="str">
        <f t="shared" si="189"/>
        <v/>
      </c>
      <c r="AQ303" s="69"/>
      <c r="AR303" s="1705" t="str">
        <f t="shared" si="190"/>
        <v/>
      </c>
      <c r="AS303" s="69"/>
      <c r="AT303" s="1705" t="str">
        <f t="shared" si="191"/>
        <v/>
      </c>
      <c r="AU303" s="69"/>
      <c r="AV303" s="1705" t="str">
        <f t="shared" si="192"/>
        <v/>
      </c>
      <c r="AW303" s="69"/>
      <c r="AX303" s="1705" t="str">
        <f t="shared" si="193"/>
        <v/>
      </c>
      <c r="AY303" s="69"/>
      <c r="AZ303" s="1705" t="str">
        <f t="shared" si="194"/>
        <v/>
      </c>
      <c r="BA303" s="69"/>
      <c r="BB303" s="2382" t="str">
        <f t="shared" si="195"/>
        <v/>
      </c>
      <c r="BC303" s="69"/>
      <c r="BD303" s="2382" t="str">
        <f t="shared" si="196"/>
        <v/>
      </c>
      <c r="BE303" s="69"/>
      <c r="BF303" s="2382" t="str">
        <f t="shared" si="197"/>
        <v/>
      </c>
      <c r="BG303" s="69"/>
      <c r="BH303" s="2382" t="str">
        <f t="shared" si="198"/>
        <v/>
      </c>
      <c r="BI303" s="69"/>
      <c r="BJ303" s="1709" t="str">
        <f t="shared" si="199"/>
        <v/>
      </c>
      <c r="BK303" s="69"/>
      <c r="BL303" s="1705" t="str">
        <f t="shared" si="200"/>
        <v/>
      </c>
      <c r="BM303" s="69"/>
      <c r="BN303" s="1072">
        <f t="shared" si="201"/>
        <v>0</v>
      </c>
      <c r="BO303" s="69"/>
      <c r="BQ303" s="1528"/>
      <c r="BR303" s="1528"/>
      <c r="BS303" s="1528"/>
      <c r="BT303" s="1528"/>
      <c r="BU303" s="1528"/>
    </row>
    <row r="304" ht="22.5" customHeight="1">
      <c r="A304" s="1130" t="str">
        <f t="shared" ref="A304:A310" si="205">A270</f>
        <v/>
      </c>
      <c r="B304" s="1736">
        <v>822.0</v>
      </c>
      <c r="C304" s="1948">
        <v>5.0</v>
      </c>
      <c r="D304" s="1136"/>
      <c r="E304" s="591" t="str">
        <f t="shared" si="170"/>
        <v>Хлеб пшеничный</v>
      </c>
      <c r="F304" s="1705" t="str">
        <f t="shared" si="171"/>
        <v/>
      </c>
      <c r="G304" s="69"/>
      <c r="H304" s="1705" t="str">
        <f t="shared" si="172"/>
        <v/>
      </c>
      <c r="I304" s="69"/>
      <c r="J304" s="1705" t="str">
        <f t="shared" si="173"/>
        <v/>
      </c>
      <c r="K304" s="69"/>
      <c r="L304" s="1705" t="str">
        <f t="shared" si="174"/>
        <v/>
      </c>
      <c r="M304" s="69"/>
      <c r="N304" s="1705" t="str">
        <f t="shared" si="175"/>
        <v/>
      </c>
      <c r="O304" s="69"/>
      <c r="P304" s="1705" t="str">
        <f t="shared" si="176"/>
        <v/>
      </c>
      <c r="Q304" s="69"/>
      <c r="R304" s="1705" t="str">
        <f t="shared" si="177"/>
        <v/>
      </c>
      <c r="S304" s="69"/>
      <c r="T304" s="1705" t="str">
        <f t="shared" si="178"/>
        <v/>
      </c>
      <c r="U304" s="69"/>
      <c r="V304" s="1705" t="str">
        <f t="shared" si="179"/>
        <v/>
      </c>
      <c r="W304" s="69"/>
      <c r="X304" s="1705" t="str">
        <f t="shared" si="180"/>
        <v/>
      </c>
      <c r="Y304" s="69"/>
      <c r="Z304" s="1705" t="str">
        <f t="shared" si="181"/>
        <v/>
      </c>
      <c r="AA304" s="69"/>
      <c r="AB304" s="1705" t="str">
        <f t="shared" si="182"/>
        <v/>
      </c>
      <c r="AC304" s="69"/>
      <c r="AD304" s="1705" t="str">
        <f t="shared" si="183"/>
        <v/>
      </c>
      <c r="AE304" s="69"/>
      <c r="AF304" s="1705" t="str">
        <f t="shared" si="184"/>
        <v/>
      </c>
      <c r="AG304" s="69"/>
      <c r="AH304" s="1705" t="str">
        <f t="shared" si="185"/>
        <v/>
      </c>
      <c r="AI304" s="69"/>
      <c r="AJ304" s="1705" t="str">
        <f t="shared" si="186"/>
        <v/>
      </c>
      <c r="AK304" s="69"/>
      <c r="AL304" s="1705" t="str">
        <f t="shared" si="187"/>
        <v/>
      </c>
      <c r="AM304" s="69"/>
      <c r="AN304" s="1705" t="str">
        <f t="shared" si="188"/>
        <v/>
      </c>
      <c r="AO304" s="69"/>
      <c r="AP304" s="1705" t="str">
        <f t="shared" si="189"/>
        <v/>
      </c>
      <c r="AQ304" s="69"/>
      <c r="AR304" s="1705" t="str">
        <f t="shared" si="190"/>
        <v/>
      </c>
      <c r="AS304" s="69"/>
      <c r="AT304" s="1705" t="str">
        <f t="shared" si="191"/>
        <v/>
      </c>
      <c r="AU304" s="69"/>
      <c r="AV304" s="1705" t="str">
        <f t="shared" si="192"/>
        <v/>
      </c>
      <c r="AW304" s="69"/>
      <c r="AX304" s="1705" t="str">
        <f t="shared" si="193"/>
        <v/>
      </c>
      <c r="AY304" s="69"/>
      <c r="AZ304" s="1705" t="str">
        <f t="shared" si="194"/>
        <v/>
      </c>
      <c r="BA304" s="69"/>
      <c r="BB304" s="2382" t="str">
        <f t="shared" si="195"/>
        <v/>
      </c>
      <c r="BC304" s="69"/>
      <c r="BD304" s="2382" t="str">
        <f t="shared" si="196"/>
        <v/>
      </c>
      <c r="BE304" s="69"/>
      <c r="BF304" s="2382" t="str">
        <f t="shared" si="197"/>
        <v/>
      </c>
      <c r="BG304" s="69"/>
      <c r="BH304" s="2382" t="str">
        <f t="shared" si="198"/>
        <v/>
      </c>
      <c r="BI304" s="69"/>
      <c r="BJ304" s="1709" t="str">
        <f t="shared" si="199"/>
        <v/>
      </c>
      <c r="BK304" s="69"/>
      <c r="BL304" s="1705" t="str">
        <f t="shared" si="200"/>
        <v/>
      </c>
      <c r="BM304" s="69"/>
      <c r="BN304" s="1072">
        <f t="shared" si="201"/>
        <v>0</v>
      </c>
      <c r="BO304" s="69"/>
      <c r="BQ304" s="1528"/>
      <c r="BR304" s="1528"/>
      <c r="BS304" s="1528"/>
      <c r="BT304" s="1528"/>
      <c r="BU304" s="1528"/>
    </row>
    <row r="305" ht="22.5" customHeight="1">
      <c r="A305" s="1130" t="str">
        <f t="shared" si="205"/>
        <v/>
      </c>
      <c r="B305" s="1699"/>
      <c r="C305" s="1948"/>
      <c r="D305" s="1136"/>
      <c r="E305" s="591" t="str">
        <f t="shared" si="170"/>
        <v> </v>
      </c>
      <c r="F305" s="1705" t="str">
        <f t="shared" si="171"/>
        <v/>
      </c>
      <c r="G305" s="69"/>
      <c r="H305" s="1705" t="str">
        <f t="shared" si="172"/>
        <v/>
      </c>
      <c r="I305" s="69"/>
      <c r="J305" s="1705" t="str">
        <f t="shared" si="173"/>
        <v/>
      </c>
      <c r="K305" s="69"/>
      <c r="L305" s="1705" t="str">
        <f t="shared" si="174"/>
        <v/>
      </c>
      <c r="M305" s="69"/>
      <c r="N305" s="1705" t="str">
        <f t="shared" si="175"/>
        <v/>
      </c>
      <c r="O305" s="69"/>
      <c r="P305" s="1705" t="str">
        <f t="shared" si="176"/>
        <v/>
      </c>
      <c r="Q305" s="69"/>
      <c r="R305" s="1705" t="str">
        <f t="shared" si="177"/>
        <v/>
      </c>
      <c r="S305" s="69"/>
      <c r="T305" s="1705" t="str">
        <f t="shared" si="178"/>
        <v/>
      </c>
      <c r="U305" s="69"/>
      <c r="V305" s="1705" t="str">
        <f t="shared" si="179"/>
        <v/>
      </c>
      <c r="W305" s="69"/>
      <c r="X305" s="1705" t="str">
        <f t="shared" si="180"/>
        <v/>
      </c>
      <c r="Y305" s="69"/>
      <c r="Z305" s="1705" t="str">
        <f t="shared" si="181"/>
        <v/>
      </c>
      <c r="AA305" s="69"/>
      <c r="AB305" s="1705" t="str">
        <f t="shared" si="182"/>
        <v/>
      </c>
      <c r="AC305" s="69"/>
      <c r="AD305" s="1705" t="str">
        <f t="shared" si="183"/>
        <v/>
      </c>
      <c r="AE305" s="69"/>
      <c r="AF305" s="1705" t="str">
        <f t="shared" si="184"/>
        <v/>
      </c>
      <c r="AG305" s="69"/>
      <c r="AH305" s="1705" t="str">
        <f t="shared" si="185"/>
        <v/>
      </c>
      <c r="AI305" s="69"/>
      <c r="AJ305" s="1705" t="str">
        <f t="shared" si="186"/>
        <v/>
      </c>
      <c r="AK305" s="69"/>
      <c r="AL305" s="1705" t="str">
        <f t="shared" si="187"/>
        <v/>
      </c>
      <c r="AM305" s="69"/>
      <c r="AN305" s="1705" t="str">
        <f t="shared" si="188"/>
        <v/>
      </c>
      <c r="AO305" s="69"/>
      <c r="AP305" s="1705" t="str">
        <f t="shared" si="189"/>
        <v/>
      </c>
      <c r="AQ305" s="69"/>
      <c r="AR305" s="1705" t="str">
        <f t="shared" si="190"/>
        <v/>
      </c>
      <c r="AS305" s="69"/>
      <c r="AT305" s="1705" t="str">
        <f t="shared" si="191"/>
        <v/>
      </c>
      <c r="AU305" s="69"/>
      <c r="AV305" s="1705" t="str">
        <f t="shared" si="192"/>
        <v/>
      </c>
      <c r="AW305" s="69"/>
      <c r="AX305" s="1705" t="str">
        <f t="shared" si="193"/>
        <v/>
      </c>
      <c r="AY305" s="69"/>
      <c r="AZ305" s="1705" t="str">
        <f t="shared" si="194"/>
        <v/>
      </c>
      <c r="BA305" s="69"/>
      <c r="BB305" s="2382" t="str">
        <f t="shared" si="195"/>
        <v/>
      </c>
      <c r="BC305" s="69"/>
      <c r="BD305" s="2382" t="str">
        <f t="shared" si="196"/>
        <v/>
      </c>
      <c r="BE305" s="69"/>
      <c r="BF305" s="2382" t="str">
        <f t="shared" si="197"/>
        <v/>
      </c>
      <c r="BG305" s="69"/>
      <c r="BH305" s="2382" t="str">
        <f t="shared" si="198"/>
        <v/>
      </c>
      <c r="BI305" s="69"/>
      <c r="BJ305" s="1709" t="str">
        <f t="shared" si="199"/>
        <v/>
      </c>
      <c r="BK305" s="69"/>
      <c r="BL305" s="1705" t="str">
        <f t="shared" si="200"/>
        <v/>
      </c>
      <c r="BM305" s="69"/>
      <c r="BN305" s="1072">
        <f t="shared" si="201"/>
        <v>0</v>
      </c>
      <c r="BO305" s="69"/>
      <c r="BQ305" s="1528"/>
      <c r="BR305" s="1528"/>
      <c r="BS305" s="1528"/>
      <c r="BT305" s="1528"/>
      <c r="BU305" s="1528"/>
    </row>
    <row r="306" ht="22.5" customHeight="1">
      <c r="A306" s="1130" t="str">
        <f t="shared" si="205"/>
        <v/>
      </c>
      <c r="B306" s="1699"/>
      <c r="C306" s="1948"/>
      <c r="D306" s="1136"/>
      <c r="E306" s="591" t="str">
        <f t="shared" si="170"/>
        <v/>
      </c>
      <c r="F306" s="1705" t="str">
        <f t="shared" si="171"/>
        <v/>
      </c>
      <c r="G306" s="69"/>
      <c r="H306" s="1713" t="str">
        <f t="shared" si="172"/>
        <v/>
      </c>
      <c r="I306" s="69"/>
      <c r="J306" s="1705" t="str">
        <f t="shared" si="173"/>
        <v/>
      </c>
      <c r="K306" s="69"/>
      <c r="L306" s="1705" t="str">
        <f t="shared" si="174"/>
        <v/>
      </c>
      <c r="M306" s="69"/>
      <c r="N306" s="1705" t="str">
        <f t="shared" si="175"/>
        <v/>
      </c>
      <c r="O306" s="69"/>
      <c r="P306" s="1713" t="str">
        <f t="shared" si="176"/>
        <v/>
      </c>
      <c r="Q306" s="69"/>
      <c r="R306" s="1705" t="str">
        <f t="shared" si="177"/>
        <v/>
      </c>
      <c r="S306" s="69"/>
      <c r="T306" s="1705" t="str">
        <f t="shared" si="178"/>
        <v/>
      </c>
      <c r="U306" s="69"/>
      <c r="V306" s="1705" t="str">
        <f t="shared" si="179"/>
        <v/>
      </c>
      <c r="W306" s="69"/>
      <c r="X306" s="1705" t="str">
        <f t="shared" si="180"/>
        <v/>
      </c>
      <c r="Y306" s="69"/>
      <c r="Z306" s="1705" t="str">
        <f t="shared" si="181"/>
        <v/>
      </c>
      <c r="AA306" s="69"/>
      <c r="AB306" s="1705" t="str">
        <f t="shared" si="182"/>
        <v/>
      </c>
      <c r="AC306" s="69"/>
      <c r="AD306" s="1705" t="str">
        <f t="shared" si="183"/>
        <v/>
      </c>
      <c r="AE306" s="69"/>
      <c r="AF306" s="1705" t="str">
        <f t="shared" si="184"/>
        <v/>
      </c>
      <c r="AG306" s="69"/>
      <c r="AH306" s="1705" t="str">
        <f t="shared" si="185"/>
        <v/>
      </c>
      <c r="AI306" s="69"/>
      <c r="AJ306" s="1705" t="str">
        <f t="shared" si="186"/>
        <v/>
      </c>
      <c r="AK306" s="69"/>
      <c r="AL306" s="1705" t="str">
        <f t="shared" si="187"/>
        <v/>
      </c>
      <c r="AM306" s="69"/>
      <c r="AN306" s="1705" t="str">
        <f t="shared" si="188"/>
        <v/>
      </c>
      <c r="AO306" s="69"/>
      <c r="AP306" s="1705" t="str">
        <f t="shared" si="189"/>
        <v/>
      </c>
      <c r="AQ306" s="69"/>
      <c r="AR306" s="1705" t="str">
        <f t="shared" si="190"/>
        <v/>
      </c>
      <c r="AS306" s="69"/>
      <c r="AT306" s="1705" t="str">
        <f t="shared" si="191"/>
        <v/>
      </c>
      <c r="AU306" s="69"/>
      <c r="AV306" s="1705" t="str">
        <f t="shared" si="192"/>
        <v/>
      </c>
      <c r="AW306" s="69"/>
      <c r="AX306" s="1705" t="str">
        <f t="shared" si="193"/>
        <v/>
      </c>
      <c r="AY306" s="69"/>
      <c r="AZ306" s="1705" t="str">
        <f t="shared" si="194"/>
        <v/>
      </c>
      <c r="BA306" s="69"/>
      <c r="BB306" s="2382" t="str">
        <f t="shared" si="195"/>
        <v/>
      </c>
      <c r="BC306" s="69"/>
      <c r="BD306" s="2382" t="str">
        <f t="shared" si="196"/>
        <v/>
      </c>
      <c r="BE306" s="69"/>
      <c r="BF306" s="2382" t="str">
        <f t="shared" si="197"/>
        <v/>
      </c>
      <c r="BG306" s="69"/>
      <c r="BH306" s="2382" t="str">
        <f t="shared" si="198"/>
        <v/>
      </c>
      <c r="BI306" s="69"/>
      <c r="BJ306" s="1709" t="str">
        <f t="shared" si="199"/>
        <v/>
      </c>
      <c r="BK306" s="69"/>
      <c r="BL306" s="1705" t="str">
        <f t="shared" si="200"/>
        <v/>
      </c>
      <c r="BM306" s="69"/>
      <c r="BN306" s="1072">
        <f t="shared" si="201"/>
        <v>0</v>
      </c>
      <c r="BO306" s="69"/>
      <c r="BQ306" s="1528"/>
      <c r="BR306" s="1528"/>
      <c r="BS306" s="1528"/>
      <c r="BT306" s="1528"/>
      <c r="BU306" s="1528"/>
    </row>
    <row r="307" ht="22.5" customHeight="1">
      <c r="A307" s="1130" t="str">
        <f t="shared" si="205"/>
        <v/>
      </c>
      <c r="B307" s="1259"/>
      <c r="C307" s="1948"/>
      <c r="D307" s="1136"/>
      <c r="E307" s="591" t="str">
        <f t="shared" si="170"/>
        <v/>
      </c>
      <c r="F307" s="1705" t="str">
        <f t="shared" si="171"/>
        <v/>
      </c>
      <c r="G307" s="69"/>
      <c r="H307" s="1705" t="str">
        <f t="shared" si="172"/>
        <v/>
      </c>
      <c r="I307" s="69"/>
      <c r="J307" s="1705" t="str">
        <f t="shared" si="173"/>
        <v/>
      </c>
      <c r="K307" s="69"/>
      <c r="L307" s="1705" t="str">
        <f t="shared" si="174"/>
        <v/>
      </c>
      <c r="M307" s="69"/>
      <c r="N307" s="1705" t="str">
        <f t="shared" si="175"/>
        <v/>
      </c>
      <c r="O307" s="69"/>
      <c r="P307" s="1705" t="str">
        <f t="shared" si="176"/>
        <v/>
      </c>
      <c r="Q307" s="69"/>
      <c r="R307" s="1705" t="str">
        <f t="shared" si="177"/>
        <v/>
      </c>
      <c r="S307" s="69"/>
      <c r="T307" s="1705" t="str">
        <f t="shared" si="178"/>
        <v/>
      </c>
      <c r="U307" s="69"/>
      <c r="V307" s="1705" t="str">
        <f t="shared" si="179"/>
        <v/>
      </c>
      <c r="W307" s="69"/>
      <c r="X307" s="1705" t="str">
        <f t="shared" si="180"/>
        <v/>
      </c>
      <c r="Y307" s="69"/>
      <c r="Z307" s="1705" t="str">
        <f t="shared" si="181"/>
        <v/>
      </c>
      <c r="AA307" s="69"/>
      <c r="AB307" s="1705" t="str">
        <f t="shared" si="182"/>
        <v/>
      </c>
      <c r="AC307" s="69"/>
      <c r="AD307" s="1705" t="str">
        <f t="shared" si="183"/>
        <v/>
      </c>
      <c r="AE307" s="69"/>
      <c r="AF307" s="1705" t="str">
        <f t="shared" si="184"/>
        <v/>
      </c>
      <c r="AG307" s="69"/>
      <c r="AH307" s="1705" t="str">
        <f t="shared" si="185"/>
        <v/>
      </c>
      <c r="AI307" s="69"/>
      <c r="AJ307" s="1705" t="str">
        <f t="shared" si="186"/>
        <v/>
      </c>
      <c r="AK307" s="69"/>
      <c r="AL307" s="1705" t="str">
        <f t="shared" si="187"/>
        <v/>
      </c>
      <c r="AM307" s="69"/>
      <c r="AN307" s="1705" t="str">
        <f t="shared" si="188"/>
        <v/>
      </c>
      <c r="AO307" s="69"/>
      <c r="AP307" s="1705" t="str">
        <f t="shared" si="189"/>
        <v/>
      </c>
      <c r="AQ307" s="69"/>
      <c r="AR307" s="1705" t="str">
        <f t="shared" si="190"/>
        <v/>
      </c>
      <c r="AS307" s="69"/>
      <c r="AT307" s="1705" t="str">
        <f t="shared" si="191"/>
        <v/>
      </c>
      <c r="AU307" s="69"/>
      <c r="AV307" s="1705" t="str">
        <f t="shared" si="192"/>
        <v/>
      </c>
      <c r="AW307" s="69"/>
      <c r="AX307" s="1705" t="str">
        <f t="shared" si="193"/>
        <v/>
      </c>
      <c r="AY307" s="69"/>
      <c r="AZ307" s="1705" t="str">
        <f t="shared" si="194"/>
        <v/>
      </c>
      <c r="BA307" s="69"/>
      <c r="BB307" s="2382" t="str">
        <f t="shared" si="195"/>
        <v/>
      </c>
      <c r="BC307" s="69"/>
      <c r="BD307" s="2382" t="str">
        <f t="shared" si="196"/>
        <v/>
      </c>
      <c r="BE307" s="69"/>
      <c r="BF307" s="2382" t="str">
        <f t="shared" si="197"/>
        <v/>
      </c>
      <c r="BG307" s="69"/>
      <c r="BH307" s="2382" t="str">
        <f t="shared" si="198"/>
        <v/>
      </c>
      <c r="BI307" s="69"/>
      <c r="BJ307" s="1709" t="str">
        <f t="shared" si="199"/>
        <v/>
      </c>
      <c r="BK307" s="69"/>
      <c r="BL307" s="1705" t="str">
        <f t="shared" si="200"/>
        <v/>
      </c>
      <c r="BM307" s="69"/>
      <c r="BN307" s="1072">
        <f t="shared" si="201"/>
        <v>0</v>
      </c>
      <c r="BO307" s="69"/>
      <c r="BQ307" s="1528"/>
      <c r="BR307" s="1528"/>
      <c r="BS307" s="1528"/>
      <c r="BT307" s="1528"/>
      <c r="BU307" s="1528"/>
    </row>
    <row r="308" ht="22.5" customHeight="1">
      <c r="A308" s="1130" t="str">
        <f t="shared" si="205"/>
        <v/>
      </c>
      <c r="B308" s="1259"/>
      <c r="C308" s="2281"/>
      <c r="D308" s="1136"/>
      <c r="E308" s="591" t="str">
        <f t="shared" si="170"/>
        <v/>
      </c>
      <c r="F308" s="1705" t="str">
        <f t="shared" si="171"/>
        <v/>
      </c>
      <c r="G308" s="69"/>
      <c r="H308" s="1713" t="str">
        <f t="shared" si="172"/>
        <v/>
      </c>
      <c r="I308" s="69"/>
      <c r="J308" s="1705" t="str">
        <f t="shared" si="173"/>
        <v/>
      </c>
      <c r="K308" s="69"/>
      <c r="L308" s="1705" t="str">
        <f t="shared" si="174"/>
        <v/>
      </c>
      <c r="M308" s="69"/>
      <c r="N308" s="1705" t="str">
        <f t="shared" si="175"/>
        <v/>
      </c>
      <c r="O308" s="69"/>
      <c r="P308" s="1713" t="str">
        <f t="shared" si="176"/>
        <v/>
      </c>
      <c r="Q308" s="69"/>
      <c r="R308" s="1705" t="str">
        <f t="shared" si="177"/>
        <v/>
      </c>
      <c r="S308" s="69"/>
      <c r="T308" s="1705" t="str">
        <f t="shared" si="178"/>
        <v/>
      </c>
      <c r="U308" s="69"/>
      <c r="V308" s="1705" t="str">
        <f t="shared" si="179"/>
        <v/>
      </c>
      <c r="W308" s="69"/>
      <c r="X308" s="1705" t="str">
        <f t="shared" si="180"/>
        <v/>
      </c>
      <c r="Y308" s="69"/>
      <c r="Z308" s="1705" t="str">
        <f t="shared" si="181"/>
        <v/>
      </c>
      <c r="AA308" s="69"/>
      <c r="AB308" s="1705" t="str">
        <f t="shared" si="182"/>
        <v/>
      </c>
      <c r="AC308" s="69"/>
      <c r="AD308" s="1705" t="str">
        <f t="shared" si="183"/>
        <v/>
      </c>
      <c r="AE308" s="69"/>
      <c r="AF308" s="1705" t="str">
        <f t="shared" si="184"/>
        <v/>
      </c>
      <c r="AG308" s="69"/>
      <c r="AH308" s="1705" t="str">
        <f t="shared" si="185"/>
        <v/>
      </c>
      <c r="AI308" s="69"/>
      <c r="AJ308" s="1705" t="str">
        <f t="shared" si="186"/>
        <v/>
      </c>
      <c r="AK308" s="69"/>
      <c r="AL308" s="1705" t="str">
        <f t="shared" si="187"/>
        <v/>
      </c>
      <c r="AM308" s="69"/>
      <c r="AN308" s="1705" t="str">
        <f t="shared" si="188"/>
        <v/>
      </c>
      <c r="AO308" s="69"/>
      <c r="AP308" s="1705" t="str">
        <f t="shared" si="189"/>
        <v/>
      </c>
      <c r="AQ308" s="69"/>
      <c r="AR308" s="1705" t="str">
        <f t="shared" si="190"/>
        <v/>
      </c>
      <c r="AS308" s="69"/>
      <c r="AT308" s="1705" t="str">
        <f t="shared" si="191"/>
        <v/>
      </c>
      <c r="AU308" s="69"/>
      <c r="AV308" s="1705" t="str">
        <f t="shared" si="192"/>
        <v/>
      </c>
      <c r="AW308" s="69"/>
      <c r="AX308" s="1705" t="str">
        <f t="shared" si="193"/>
        <v/>
      </c>
      <c r="AY308" s="69"/>
      <c r="AZ308" s="1705" t="str">
        <f t="shared" si="194"/>
        <v/>
      </c>
      <c r="BA308" s="69"/>
      <c r="BB308" s="2382" t="str">
        <f t="shared" si="195"/>
        <v/>
      </c>
      <c r="BC308" s="69"/>
      <c r="BD308" s="2382" t="str">
        <f t="shared" si="196"/>
        <v/>
      </c>
      <c r="BE308" s="69"/>
      <c r="BF308" s="2382" t="str">
        <f t="shared" si="197"/>
        <v/>
      </c>
      <c r="BG308" s="69"/>
      <c r="BH308" s="2382" t="str">
        <f t="shared" si="198"/>
        <v/>
      </c>
      <c r="BI308" s="69"/>
      <c r="BJ308" s="1709" t="str">
        <f t="shared" si="199"/>
        <v/>
      </c>
      <c r="BK308" s="69"/>
      <c r="BL308" s="1705" t="str">
        <f t="shared" si="200"/>
        <v/>
      </c>
      <c r="BM308" s="69"/>
      <c r="BN308" s="1072">
        <f t="shared" si="201"/>
        <v>0</v>
      </c>
      <c r="BO308" s="69"/>
      <c r="BQ308" s="1528"/>
      <c r="BR308" s="1528"/>
      <c r="BS308" s="1528"/>
      <c r="BT308" s="1528"/>
      <c r="BU308" s="1528"/>
    </row>
    <row r="309" ht="22.5" customHeight="1">
      <c r="A309" s="1130" t="str">
        <f t="shared" si="205"/>
        <v/>
      </c>
      <c r="B309" s="1259"/>
      <c r="C309" s="2281"/>
      <c r="D309" s="1136"/>
      <c r="E309" s="591" t="str">
        <f t="shared" si="170"/>
        <v/>
      </c>
      <c r="F309" s="1705" t="str">
        <f t="shared" si="171"/>
        <v/>
      </c>
      <c r="G309" s="69"/>
      <c r="H309" s="1705" t="str">
        <f t="shared" si="172"/>
        <v/>
      </c>
      <c r="I309" s="69"/>
      <c r="J309" s="1705" t="str">
        <f t="shared" si="173"/>
        <v/>
      </c>
      <c r="K309" s="69"/>
      <c r="L309" s="1705" t="str">
        <f t="shared" si="174"/>
        <v/>
      </c>
      <c r="M309" s="69"/>
      <c r="N309" s="1705" t="str">
        <f t="shared" si="175"/>
        <v/>
      </c>
      <c r="O309" s="69"/>
      <c r="P309" s="1705" t="str">
        <f t="shared" si="176"/>
        <v/>
      </c>
      <c r="Q309" s="69"/>
      <c r="R309" s="1705" t="str">
        <f t="shared" si="177"/>
        <v/>
      </c>
      <c r="S309" s="69"/>
      <c r="T309" s="1705" t="str">
        <f t="shared" si="178"/>
        <v/>
      </c>
      <c r="U309" s="69"/>
      <c r="V309" s="1705" t="str">
        <f t="shared" si="179"/>
        <v/>
      </c>
      <c r="W309" s="69"/>
      <c r="X309" s="1705" t="str">
        <f t="shared" si="180"/>
        <v/>
      </c>
      <c r="Y309" s="69"/>
      <c r="Z309" s="1705" t="str">
        <f t="shared" si="181"/>
        <v/>
      </c>
      <c r="AA309" s="69"/>
      <c r="AB309" s="1705" t="str">
        <f t="shared" si="182"/>
        <v/>
      </c>
      <c r="AC309" s="69"/>
      <c r="AD309" s="1705" t="str">
        <f t="shared" si="183"/>
        <v/>
      </c>
      <c r="AE309" s="69"/>
      <c r="AF309" s="1705" t="str">
        <f t="shared" si="184"/>
        <v/>
      </c>
      <c r="AG309" s="69"/>
      <c r="AH309" s="1705" t="str">
        <f t="shared" si="185"/>
        <v/>
      </c>
      <c r="AI309" s="69"/>
      <c r="AJ309" s="1705" t="str">
        <f t="shared" si="186"/>
        <v/>
      </c>
      <c r="AK309" s="69"/>
      <c r="AL309" s="1705" t="str">
        <f t="shared" si="187"/>
        <v/>
      </c>
      <c r="AM309" s="69"/>
      <c r="AN309" s="1705" t="str">
        <f t="shared" si="188"/>
        <v/>
      </c>
      <c r="AO309" s="69"/>
      <c r="AP309" s="1705"/>
      <c r="AQ309" s="69"/>
      <c r="AR309" s="1705" t="str">
        <f t="shared" si="190"/>
        <v/>
      </c>
      <c r="AS309" s="69"/>
      <c r="AT309" s="1705" t="str">
        <f t="shared" si="191"/>
        <v/>
      </c>
      <c r="AU309" s="69"/>
      <c r="AV309" s="1705" t="str">
        <f t="shared" si="192"/>
        <v/>
      </c>
      <c r="AW309" s="69"/>
      <c r="AX309" s="1705" t="str">
        <f t="shared" si="193"/>
        <v/>
      </c>
      <c r="AY309" s="69"/>
      <c r="AZ309" s="1705" t="str">
        <f t="shared" si="194"/>
        <v/>
      </c>
      <c r="BA309" s="69"/>
      <c r="BB309" s="2382" t="str">
        <f t="shared" si="195"/>
        <v/>
      </c>
      <c r="BC309" s="69"/>
      <c r="BD309" s="2382" t="str">
        <f t="shared" si="196"/>
        <v/>
      </c>
      <c r="BE309" s="69"/>
      <c r="BF309" s="2382" t="str">
        <f t="shared" si="197"/>
        <v/>
      </c>
      <c r="BG309" s="69"/>
      <c r="BH309" s="2382" t="str">
        <f t="shared" si="198"/>
        <v/>
      </c>
      <c r="BI309" s="69"/>
      <c r="BJ309" s="1709" t="str">
        <f t="shared" si="199"/>
        <v/>
      </c>
      <c r="BK309" s="69"/>
      <c r="BL309" s="1705" t="str">
        <f t="shared" si="200"/>
        <v/>
      </c>
      <c r="BM309" s="69"/>
      <c r="BN309" s="1072">
        <f t="shared" si="201"/>
        <v>0</v>
      </c>
      <c r="BO309" s="69"/>
      <c r="BQ309" s="11"/>
      <c r="BR309" s="11"/>
      <c r="BS309" s="11"/>
      <c r="BT309" s="11"/>
      <c r="BU309" s="11"/>
    </row>
    <row r="310" ht="22.5" customHeight="1">
      <c r="A310" s="1130" t="str">
        <f t="shared" si="205"/>
        <v/>
      </c>
      <c r="B310" s="1259"/>
      <c r="C310" s="2281"/>
      <c r="D310" s="1136"/>
      <c r="E310" s="784"/>
      <c r="F310" s="1713">
        <f>SUM(F282:G308)</f>
        <v>0</v>
      </c>
      <c r="G310" s="69"/>
      <c r="H310" s="1713">
        <f>SUM(H282:I308)</f>
        <v>0</v>
      </c>
      <c r="I310" s="69"/>
      <c r="J310" s="1713">
        <f>SUM(J282:K308)</f>
        <v>0</v>
      </c>
      <c r="K310" s="69"/>
      <c r="L310" s="1713">
        <f>SUM(L282:M308)</f>
        <v>0</v>
      </c>
      <c r="M310" s="69"/>
      <c r="N310" s="1713">
        <f>SUM(N282:O308)</f>
        <v>0</v>
      </c>
      <c r="O310" s="69"/>
      <c r="P310" s="1713">
        <f>SUM(P282:Q308)</f>
        <v>0</v>
      </c>
      <c r="Q310" s="69"/>
      <c r="R310" s="1713">
        <f>SUM(R282:S308)</f>
        <v>0</v>
      </c>
      <c r="S310" s="69"/>
      <c r="T310" s="1713">
        <f>SUM(T282:U308)</f>
        <v>0</v>
      </c>
      <c r="U310" s="69"/>
      <c r="V310" s="1713">
        <f>SUM(V282:W308)</f>
        <v>0</v>
      </c>
      <c r="W310" s="69"/>
      <c r="X310" s="1713">
        <f>SUM(X282:Y308)</f>
        <v>0</v>
      </c>
      <c r="Y310" s="69"/>
      <c r="Z310" s="1713">
        <f>SUM(Z282:AA308)</f>
        <v>0</v>
      </c>
      <c r="AA310" s="69"/>
      <c r="AB310" s="1713">
        <f>SUM(AB282:AC308)</f>
        <v>0</v>
      </c>
      <c r="AC310" s="69"/>
      <c r="AD310" s="1713">
        <f>SUM(AD282:AE308)</f>
        <v>0</v>
      </c>
      <c r="AE310" s="69"/>
      <c r="AF310" s="1713">
        <f>SUM(AF282:AG308)</f>
        <v>0</v>
      </c>
      <c r="AG310" s="69"/>
      <c r="AH310" s="1713">
        <f>SUM(AH282:AI308)</f>
        <v>0</v>
      </c>
      <c r="AI310" s="69"/>
      <c r="AJ310" s="1713">
        <f>SUM(AJ282:AK308)</f>
        <v>0</v>
      </c>
      <c r="AK310" s="69"/>
      <c r="AL310" s="1705">
        <f>SUM(AL282:AM308)</f>
        <v>0</v>
      </c>
      <c r="AM310" s="69"/>
      <c r="AN310" s="1705">
        <f>SUM(AN282:AO308)</f>
        <v>0</v>
      </c>
      <c r="AO310" s="69"/>
      <c r="AP310" s="1705">
        <f>SUM(AP282:AQ308)</f>
        <v>0</v>
      </c>
      <c r="AQ310" s="69"/>
      <c r="AR310" s="1705">
        <f>SUM(AR282:AS308)</f>
        <v>0</v>
      </c>
      <c r="AS310" s="69"/>
      <c r="AT310" s="1705">
        <f>SUM(AT282:AU308)</f>
        <v>0</v>
      </c>
      <c r="AU310" s="69"/>
      <c r="AV310" s="1705">
        <f>SUM(AV282:AW308)</f>
        <v>0</v>
      </c>
      <c r="AW310" s="69"/>
      <c r="AX310" s="1705">
        <f>SUM(AX282:AY308)</f>
        <v>0</v>
      </c>
      <c r="AY310" s="69"/>
      <c r="AZ310" s="1705">
        <f>SUM(AZ282:BA308)</f>
        <v>0</v>
      </c>
      <c r="BA310" s="69"/>
      <c r="BB310" s="1705">
        <f>SUM(BB282:BC308)</f>
        <v>0</v>
      </c>
      <c r="BC310" s="69"/>
      <c r="BD310" s="1705">
        <f>SUM(BD282:BE308)</f>
        <v>0</v>
      </c>
      <c r="BE310" s="69"/>
      <c r="BF310" s="1705">
        <f>SUM(BF282:BG308)</f>
        <v>0</v>
      </c>
      <c r="BG310" s="69"/>
      <c r="BH310" s="1705">
        <f>SUM(BH282:BI308)</f>
        <v>0</v>
      </c>
      <c r="BI310" s="69"/>
      <c r="BJ310" s="1705">
        <f>SUM(BJ282:BK308)</f>
        <v>0</v>
      </c>
      <c r="BK310" s="69"/>
      <c r="BL310" s="1705">
        <f>SUM(BL282:BM308)</f>
        <v>0</v>
      </c>
      <c r="BM310" s="69"/>
      <c r="BN310" s="1435">
        <f t="shared" si="201"/>
        <v>0</v>
      </c>
      <c r="BO310" s="69"/>
      <c r="BQ310" s="11"/>
      <c r="BR310" s="11"/>
      <c r="BS310" s="11"/>
      <c r="BT310" s="11"/>
      <c r="BU310" s="11"/>
    </row>
    <row r="311" ht="15.75" customHeight="1">
      <c r="A311" s="1742"/>
      <c r="B311" s="2288"/>
      <c r="C311" s="2289"/>
      <c r="D311" s="2289"/>
      <c r="E311" s="2290"/>
      <c r="F311" s="1214"/>
      <c r="G311" s="1469"/>
      <c r="H311" s="1214"/>
      <c r="I311" s="1468"/>
      <c r="J311" s="1214"/>
      <c r="K311" s="1468"/>
      <c r="L311" s="1214"/>
      <c r="M311" s="1468"/>
      <c r="N311" s="1214"/>
      <c r="O311" s="1214"/>
      <c r="P311" s="1470"/>
      <c r="Q311" s="1214"/>
      <c r="R311" s="1214"/>
      <c r="S311" s="1469"/>
      <c r="T311" s="1214"/>
      <c r="U311" s="1469"/>
      <c r="V311" s="1472"/>
      <c r="W311" s="1469"/>
      <c r="X311" s="1472"/>
      <c r="Y311" s="1469"/>
      <c r="Z311" s="1743" t="str">
        <f>AA277</f>
        <v/>
      </c>
      <c r="AA311" s="1469"/>
      <c r="AB311" s="1744" t="str">
        <f>AC276</f>
        <v/>
      </c>
      <c r="AC311" s="1469"/>
      <c r="AD311" s="1745"/>
      <c r="AE311" s="1469"/>
      <c r="AF311" s="1745" t="str">
        <f>AG277</f>
        <v/>
      </c>
      <c r="AG311" s="1469"/>
      <c r="AH311" s="1746"/>
      <c r="AI311" s="1469"/>
      <c r="AJ311" s="1744" t="str">
        <f>AK277</f>
        <v/>
      </c>
      <c r="AK311" s="1469"/>
      <c r="AL311" s="1745"/>
      <c r="AM311" s="1469"/>
      <c r="AN311" s="1746" t="str">
        <f>AO277</f>
        <v/>
      </c>
      <c r="AO311" s="1469"/>
      <c r="AP311" s="1746" t="str">
        <f>AQ277</f>
        <v/>
      </c>
      <c r="AQ311" s="1469"/>
      <c r="AR311" s="1746"/>
      <c r="AS311" s="1469"/>
      <c r="AT311" s="1746"/>
      <c r="AU311" s="1746"/>
      <c r="AV311" s="2384"/>
      <c r="AW311" s="1746"/>
      <c r="AX311" s="1746"/>
      <c r="AY311" s="1469"/>
      <c r="AZ311" s="1746"/>
      <c r="BA311" s="1746"/>
      <c r="BB311" s="2384"/>
      <c r="BC311" s="1746"/>
      <c r="BD311" s="2384"/>
      <c r="BE311" s="1746"/>
      <c r="BF311" s="2384"/>
      <c r="BG311" s="1746"/>
      <c r="BH311" s="2384"/>
      <c r="BI311" s="1746"/>
      <c r="BJ311" s="2384"/>
      <c r="BK311" s="1469"/>
      <c r="BL311" s="2385" t="s">
        <v>1365</v>
      </c>
      <c r="BM311" s="1474"/>
      <c r="BN311" s="2386">
        <f>SUM(BN282:BN310)</f>
        <v>0</v>
      </c>
      <c r="BO311" s="2387"/>
      <c r="BQ311" s="11"/>
      <c r="BR311" s="11"/>
      <c r="BS311" s="11"/>
      <c r="BT311" s="11"/>
      <c r="BU311" s="11"/>
    </row>
    <row r="312" ht="15.75" customHeight="1">
      <c r="A312" s="1004"/>
      <c r="B312" s="1004"/>
      <c r="C312" s="1005"/>
      <c r="D312" s="1005"/>
      <c r="E312" s="977"/>
      <c r="F312" s="13"/>
      <c r="H312" s="13"/>
      <c r="I312" s="677"/>
      <c r="J312" s="13"/>
      <c r="K312" s="677"/>
      <c r="L312" s="13"/>
      <c r="M312" s="677"/>
      <c r="N312" s="13"/>
      <c r="O312" s="13"/>
      <c r="P312" s="13"/>
      <c r="Q312" s="677"/>
      <c r="V312" s="1189"/>
      <c r="X312" s="1189"/>
      <c r="Z312" s="1190"/>
      <c r="AB312" s="1190"/>
      <c r="AH312" s="701"/>
      <c r="AJ312" s="701"/>
      <c r="BB312" s="1190"/>
      <c r="BD312" s="1190"/>
      <c r="BF312" s="1190"/>
      <c r="BH312" s="1190"/>
      <c r="BJ312" s="1190"/>
      <c r="BN312" s="11"/>
      <c r="BO312" s="11"/>
      <c r="BQ312" s="195"/>
      <c r="BR312" s="195"/>
      <c r="BS312" s="195"/>
      <c r="BT312" s="195"/>
      <c r="BU312" s="195"/>
    </row>
    <row r="313" ht="15.75" customHeight="1">
      <c r="A313" s="1004"/>
      <c r="B313" s="1004"/>
      <c r="C313" s="1005"/>
      <c r="D313" s="1005"/>
      <c r="E313" s="977"/>
      <c r="F313" s="13"/>
      <c r="H313" s="13"/>
      <c r="I313" s="677"/>
      <c r="J313" s="13"/>
      <c r="K313" s="677"/>
      <c r="L313" s="13"/>
      <c r="M313" s="677"/>
      <c r="N313" s="13"/>
      <c r="O313" s="13"/>
      <c r="P313" s="13"/>
      <c r="Q313" s="677"/>
      <c r="V313" s="1189"/>
      <c r="X313" s="1189"/>
      <c r="Z313" s="1190"/>
      <c r="AB313" s="1190"/>
      <c r="AH313" s="701"/>
      <c r="AJ313" s="701"/>
      <c r="BB313" s="1190"/>
      <c r="BD313" s="1190"/>
      <c r="BF313" s="1190"/>
      <c r="BH313" s="1190"/>
      <c r="BJ313" s="1190"/>
      <c r="BN313" s="206"/>
      <c r="BO313" s="206"/>
      <c r="BP313" s="206"/>
      <c r="BQ313" s="195"/>
      <c r="BR313" s="195"/>
      <c r="BS313" s="195"/>
      <c r="BT313" s="195"/>
      <c r="BU313" s="195"/>
    </row>
    <row r="314" ht="15.75" customHeight="1">
      <c r="A314" s="1004"/>
      <c r="B314" s="1004"/>
      <c r="C314" s="1005"/>
      <c r="D314" s="1005"/>
      <c r="E314" s="977"/>
      <c r="F314" s="13"/>
      <c r="H314" s="13"/>
      <c r="I314" s="677"/>
      <c r="J314" s="13"/>
      <c r="K314" s="677"/>
      <c r="L314" s="13"/>
      <c r="M314" s="677"/>
      <c r="N314" s="13"/>
      <c r="O314" s="13"/>
      <c r="P314" s="13"/>
      <c r="Q314" s="677"/>
      <c r="V314" s="1189"/>
      <c r="X314" s="1189"/>
      <c r="Z314" s="1190"/>
      <c r="AB314" s="1190"/>
      <c r="AH314" s="701"/>
      <c r="AJ314" s="701"/>
      <c r="BB314" s="1190"/>
      <c r="BD314" s="1190"/>
      <c r="BF314" s="1190"/>
      <c r="BH314" s="1190"/>
      <c r="BJ314" s="1190"/>
      <c r="BN314" s="206"/>
      <c r="BO314" s="206"/>
      <c r="BP314" s="206"/>
      <c r="BQ314" s="195"/>
      <c r="BR314" s="195"/>
      <c r="BS314" s="195"/>
      <c r="BT314" s="195"/>
      <c r="BU314" s="195"/>
    </row>
    <row r="315" ht="15.75" customHeight="1">
      <c r="A315" s="1004"/>
      <c r="B315" s="1004"/>
      <c r="C315" s="1005"/>
      <c r="D315" s="1005"/>
      <c r="E315" s="977"/>
      <c r="F315" s="13"/>
      <c r="H315" s="13"/>
      <c r="I315" s="677"/>
      <c r="J315" s="13"/>
      <c r="K315" s="677"/>
      <c r="L315" s="13"/>
      <c r="M315" s="677"/>
      <c r="N315" s="13"/>
      <c r="O315" s="13"/>
      <c r="P315" s="13"/>
      <c r="Q315" s="677"/>
      <c r="V315" s="1189"/>
      <c r="X315" s="1189"/>
      <c r="Z315" s="1190"/>
      <c r="AB315" s="1190"/>
      <c r="AH315" s="701"/>
      <c r="AJ315" s="701"/>
      <c r="BB315" s="1190"/>
      <c r="BD315" s="1190"/>
      <c r="BF315" s="1190"/>
      <c r="BH315" s="1190"/>
      <c r="BJ315" s="1190"/>
      <c r="BN315" s="206"/>
      <c r="BO315" s="206"/>
      <c r="BP315" s="206"/>
      <c r="BQ315" s="195"/>
      <c r="BR315" s="195"/>
      <c r="BS315" s="195"/>
      <c r="BT315" s="195"/>
      <c r="BU315" s="195"/>
    </row>
    <row r="316" ht="15.75" customHeight="1">
      <c r="A316" s="1004"/>
      <c r="B316" s="1004"/>
      <c r="C316" s="1005"/>
      <c r="D316" s="1005"/>
      <c r="E316" s="977"/>
      <c r="F316" s="13"/>
      <c r="H316" s="13"/>
      <c r="I316" s="677"/>
      <c r="J316" s="13"/>
      <c r="K316" s="677"/>
      <c r="L316" s="13"/>
      <c r="M316" s="677"/>
      <c r="N316" s="13"/>
      <c r="O316" s="13"/>
      <c r="P316" s="13"/>
      <c r="Q316" s="677"/>
      <c r="V316" s="1189"/>
      <c r="X316" s="1189"/>
      <c r="Z316" s="1190"/>
      <c r="AB316" s="1190"/>
      <c r="AH316" s="701"/>
      <c r="AJ316" s="701"/>
      <c r="BB316" s="1190"/>
      <c r="BD316" s="1190"/>
      <c r="BF316" s="1190"/>
      <c r="BH316" s="1190"/>
      <c r="BJ316" s="1190"/>
      <c r="BN316" s="206"/>
      <c r="BO316" s="206"/>
      <c r="BP316" s="206"/>
      <c r="BQ316" s="195"/>
      <c r="BR316" s="195"/>
      <c r="BS316" s="195"/>
      <c r="BT316" s="195"/>
      <c r="BU316" s="195"/>
    </row>
    <row r="317" ht="15.75" customHeight="1">
      <c r="A317" s="1004"/>
      <c r="B317" s="1004"/>
      <c r="C317" s="1005"/>
      <c r="D317" s="1005"/>
      <c r="E317" s="977"/>
      <c r="F317" s="13"/>
      <c r="H317" s="13"/>
      <c r="I317" s="677"/>
      <c r="J317" s="13"/>
      <c r="K317" s="677"/>
      <c r="L317" s="13"/>
      <c r="M317" s="677"/>
      <c r="N317" s="13"/>
      <c r="O317" s="13"/>
      <c r="P317" s="13"/>
      <c r="Q317" s="677"/>
      <c r="V317" s="1189"/>
      <c r="X317" s="1189"/>
      <c r="Z317" s="1190"/>
      <c r="AB317" s="1190"/>
      <c r="AH317" s="701"/>
      <c r="AJ317" s="701"/>
      <c r="BB317" s="1190"/>
      <c r="BD317" s="1190"/>
      <c r="BF317" s="1190"/>
      <c r="BH317" s="1190"/>
      <c r="BJ317" s="1190"/>
      <c r="BN317" s="206"/>
      <c r="BO317" s="206"/>
      <c r="BP317" s="206"/>
      <c r="BQ317" s="195"/>
      <c r="BR317" s="195"/>
      <c r="BS317" s="195"/>
      <c r="BT317" s="195"/>
      <c r="BU317" s="195"/>
    </row>
    <row r="318" ht="15.75" customHeight="1">
      <c r="A318" s="1004"/>
      <c r="B318" s="1004"/>
      <c r="C318" s="1005"/>
      <c r="D318" s="1005"/>
      <c r="E318" s="977"/>
      <c r="F318" s="13"/>
      <c r="H318" s="13"/>
      <c r="I318" s="677"/>
      <c r="J318" s="13"/>
      <c r="K318" s="677"/>
      <c r="L318" s="13"/>
      <c r="M318" s="677"/>
      <c r="N318" s="13"/>
      <c r="O318" s="13"/>
      <c r="P318" s="13"/>
      <c r="Q318" s="677"/>
      <c r="V318" s="1189"/>
      <c r="X318" s="1189"/>
      <c r="Z318" s="1190"/>
      <c r="AB318" s="1190"/>
      <c r="AH318" s="701"/>
      <c r="AJ318" s="701"/>
      <c r="BB318" s="1190"/>
      <c r="BD318" s="1190"/>
      <c r="BF318" s="1190"/>
      <c r="BH318" s="1190"/>
      <c r="BJ318" s="1190"/>
      <c r="BN318" s="206"/>
      <c r="BO318" s="206"/>
      <c r="BP318" s="206"/>
      <c r="BQ318" s="195"/>
      <c r="BR318" s="195"/>
      <c r="BS318" s="195"/>
      <c r="BT318" s="195"/>
      <c r="BU318" s="195"/>
    </row>
    <row r="319" ht="15.75" customHeight="1">
      <c r="A319" s="1004"/>
      <c r="B319" s="1004"/>
      <c r="C319" s="1005"/>
      <c r="D319" s="1005"/>
      <c r="E319" s="977"/>
      <c r="F319" s="13"/>
      <c r="H319" s="13"/>
      <c r="I319" s="677"/>
      <c r="J319" s="13"/>
      <c r="K319" s="677"/>
      <c r="L319" s="13"/>
      <c r="M319" s="677"/>
      <c r="N319" s="13"/>
      <c r="O319" s="13"/>
      <c r="P319" s="13"/>
      <c r="Q319" s="677"/>
      <c r="V319" s="1189"/>
      <c r="X319" s="1189"/>
      <c r="Z319" s="1190"/>
      <c r="AB319" s="1190"/>
      <c r="AH319" s="701"/>
      <c r="AJ319" s="701"/>
      <c r="BB319" s="1190"/>
      <c r="BD319" s="1190"/>
      <c r="BF319" s="1190"/>
      <c r="BH319" s="1190"/>
      <c r="BJ319" s="1190"/>
      <c r="BN319" s="206"/>
      <c r="BO319" s="206"/>
      <c r="BP319" s="206"/>
      <c r="BQ319" s="195"/>
      <c r="BR319" s="195"/>
      <c r="BS319" s="195"/>
      <c r="BT319" s="195"/>
      <c r="BU319" s="195"/>
    </row>
    <row r="320" ht="15.75" customHeight="1">
      <c r="A320" s="1004"/>
      <c r="B320" s="1004"/>
      <c r="C320" s="1005"/>
      <c r="D320" s="1005"/>
      <c r="E320" s="977"/>
      <c r="F320" s="13"/>
      <c r="H320" s="13"/>
      <c r="I320" s="677"/>
      <c r="J320" s="13"/>
      <c r="K320" s="677"/>
      <c r="L320" s="13"/>
      <c r="M320" s="677"/>
      <c r="N320" s="13"/>
      <c r="O320" s="13"/>
      <c r="P320" s="13"/>
      <c r="Q320" s="677"/>
      <c r="V320" s="1189"/>
      <c r="X320" s="1189"/>
      <c r="Z320" s="1190"/>
      <c r="AB320" s="1190"/>
      <c r="AH320" s="701"/>
      <c r="AJ320" s="701"/>
      <c r="BB320" s="1190"/>
      <c r="BD320" s="1190"/>
      <c r="BF320" s="1190"/>
      <c r="BH320" s="1190"/>
      <c r="BJ320" s="1190"/>
      <c r="BN320" s="206"/>
      <c r="BO320" s="206"/>
      <c r="BP320" s="206"/>
      <c r="BQ320" s="195"/>
      <c r="BR320" s="195"/>
      <c r="BS320" s="195"/>
      <c r="BT320" s="195"/>
      <c r="BU320" s="195"/>
    </row>
    <row r="321" ht="15.75" customHeight="1">
      <c r="A321" s="1004"/>
      <c r="B321" s="1004"/>
      <c r="C321" s="1005"/>
      <c r="D321" s="1005"/>
      <c r="E321" s="977"/>
      <c r="F321" s="13"/>
      <c r="H321" s="13"/>
      <c r="I321" s="677"/>
      <c r="J321" s="13"/>
      <c r="K321" s="677"/>
      <c r="L321" s="13"/>
      <c r="M321" s="677"/>
      <c r="N321" s="13"/>
      <c r="O321" s="13"/>
      <c r="P321" s="13"/>
      <c r="Q321" s="677"/>
      <c r="V321" s="1189"/>
      <c r="X321" s="1189"/>
      <c r="Z321" s="1190"/>
      <c r="AB321" s="1190"/>
      <c r="AH321" s="701"/>
      <c r="AJ321" s="701"/>
      <c r="BB321" s="1190"/>
      <c r="BD321" s="1190"/>
      <c r="BF321" s="1190"/>
      <c r="BH321" s="1190"/>
      <c r="BJ321" s="1190"/>
      <c r="BN321" s="206"/>
      <c r="BO321" s="206"/>
      <c r="BP321" s="206"/>
      <c r="BQ321" s="195"/>
      <c r="BR321" s="195"/>
      <c r="BS321" s="195"/>
      <c r="BT321" s="195"/>
      <c r="BU321" s="195"/>
    </row>
    <row r="322" ht="15.75" customHeight="1">
      <c r="A322" s="1004"/>
      <c r="B322" s="1004"/>
      <c r="C322" s="1005"/>
      <c r="D322" s="1005"/>
      <c r="E322" s="977"/>
      <c r="F322" s="13"/>
      <c r="H322" s="13"/>
      <c r="I322" s="677"/>
      <c r="J322" s="13"/>
      <c r="K322" s="677"/>
      <c r="L322" s="13"/>
      <c r="M322" s="677"/>
      <c r="N322" s="13"/>
      <c r="O322" s="13"/>
      <c r="P322" s="13"/>
      <c r="Q322" s="677"/>
      <c r="V322" s="1189"/>
      <c r="X322" s="1189"/>
      <c r="Z322" s="1190"/>
      <c r="AB322" s="1190"/>
      <c r="AH322" s="701"/>
      <c r="AJ322" s="701"/>
      <c r="BB322" s="1190"/>
      <c r="BD322" s="1190"/>
      <c r="BF322" s="1190"/>
      <c r="BH322" s="1190"/>
      <c r="BJ322" s="1190"/>
      <c r="BN322" s="206"/>
      <c r="BO322" s="206"/>
      <c r="BP322" s="206"/>
      <c r="BQ322" s="195"/>
      <c r="BR322" s="195"/>
      <c r="BS322" s="195"/>
      <c r="BT322" s="195"/>
      <c r="BU322" s="195"/>
    </row>
    <row r="323" ht="15.75" customHeight="1">
      <c r="A323" s="1004"/>
      <c r="B323" s="1004"/>
      <c r="C323" s="1005"/>
      <c r="D323" s="1005"/>
      <c r="E323" s="977"/>
      <c r="F323" s="13"/>
      <c r="H323" s="13"/>
      <c r="I323" s="677"/>
      <c r="J323" s="13"/>
      <c r="K323" s="677"/>
      <c r="L323" s="13"/>
      <c r="M323" s="677"/>
      <c r="N323" s="13"/>
      <c r="O323" s="13"/>
      <c r="P323" s="13"/>
      <c r="Q323" s="677"/>
      <c r="V323" s="1189"/>
      <c r="X323" s="1189"/>
      <c r="Z323" s="1190"/>
      <c r="AB323" s="1190"/>
      <c r="AH323" s="701"/>
      <c r="AJ323" s="701"/>
      <c r="BB323" s="1190"/>
      <c r="BD323" s="1190"/>
      <c r="BF323" s="1190"/>
      <c r="BH323" s="1190"/>
      <c r="BJ323" s="1190"/>
      <c r="BN323" s="206"/>
      <c r="BO323" s="206"/>
      <c r="BP323" s="206"/>
      <c r="BQ323" s="195"/>
      <c r="BR323" s="195"/>
      <c r="BS323" s="195"/>
      <c r="BT323" s="195"/>
      <c r="BU323" s="195"/>
    </row>
    <row r="324" ht="15.75" customHeight="1">
      <c r="A324" s="1004"/>
      <c r="B324" s="1004"/>
      <c r="C324" s="1005"/>
      <c r="D324" s="1005"/>
      <c r="E324" s="977"/>
      <c r="F324" s="13"/>
      <c r="H324" s="13"/>
      <c r="I324" s="677"/>
      <c r="J324" s="13"/>
      <c r="K324" s="677"/>
      <c r="L324" s="13"/>
      <c r="M324" s="677"/>
      <c r="N324" s="13"/>
      <c r="O324" s="13"/>
      <c r="P324" s="13"/>
      <c r="Q324" s="677"/>
      <c r="V324" s="1189"/>
      <c r="X324" s="1189"/>
      <c r="Z324" s="1190"/>
      <c r="AB324" s="1190"/>
      <c r="AH324" s="701"/>
      <c r="AJ324" s="701"/>
      <c r="BB324" s="1190"/>
      <c r="BD324" s="1190"/>
      <c r="BF324" s="1190"/>
      <c r="BH324" s="1190"/>
      <c r="BJ324" s="1190"/>
      <c r="BN324" s="206"/>
      <c r="BO324" s="206"/>
      <c r="BP324" s="206"/>
      <c r="BQ324" s="195"/>
      <c r="BR324" s="195"/>
      <c r="BS324" s="195"/>
      <c r="BT324" s="195"/>
      <c r="BU324" s="195"/>
    </row>
    <row r="325" ht="15.75" customHeight="1">
      <c r="A325" s="1004"/>
      <c r="B325" s="1004"/>
      <c r="C325" s="1005"/>
      <c r="D325" s="1005"/>
      <c r="E325" s="977"/>
      <c r="F325" s="13"/>
      <c r="H325" s="13"/>
      <c r="I325" s="677"/>
      <c r="J325" s="13"/>
      <c r="K325" s="677"/>
      <c r="L325" s="13"/>
      <c r="M325" s="677"/>
      <c r="N325" s="13"/>
      <c r="O325" s="13"/>
      <c r="P325" s="13"/>
      <c r="Q325" s="677"/>
      <c r="V325" s="1189"/>
      <c r="X325" s="1189"/>
      <c r="Z325" s="1190"/>
      <c r="AB325" s="1190"/>
      <c r="AH325" s="701"/>
      <c r="AJ325" s="701"/>
      <c r="BB325" s="1190"/>
      <c r="BD325" s="1190"/>
      <c r="BF325" s="1190"/>
      <c r="BH325" s="1190"/>
      <c r="BJ325" s="1190"/>
      <c r="BN325" s="206"/>
      <c r="BO325" s="206"/>
      <c r="BP325" s="206"/>
      <c r="BQ325" s="195"/>
      <c r="BR325" s="195"/>
      <c r="BS325" s="195"/>
      <c r="BT325" s="195"/>
      <c r="BU325" s="195"/>
    </row>
    <row r="326" ht="15.75" customHeight="1">
      <c r="A326" s="1004"/>
      <c r="B326" s="1004"/>
      <c r="C326" s="1005"/>
      <c r="D326" s="1005"/>
      <c r="E326" s="977"/>
      <c r="F326" s="13"/>
      <c r="H326" s="13"/>
      <c r="I326" s="677"/>
      <c r="J326" s="13"/>
      <c r="K326" s="677"/>
      <c r="L326" s="13"/>
      <c r="M326" s="677"/>
      <c r="N326" s="13"/>
      <c r="O326" s="13"/>
      <c r="P326" s="13"/>
      <c r="Q326" s="677"/>
      <c r="V326" s="1189"/>
      <c r="X326" s="1189"/>
      <c r="Z326" s="1190"/>
      <c r="AB326" s="1190"/>
      <c r="AH326" s="701"/>
      <c r="AJ326" s="701"/>
      <c r="BB326" s="1190"/>
      <c r="BD326" s="1190"/>
      <c r="BF326" s="1190"/>
      <c r="BH326" s="1190"/>
      <c r="BJ326" s="1190"/>
      <c r="BN326" s="206"/>
      <c r="BO326" s="206"/>
      <c r="BP326" s="206"/>
      <c r="BQ326" s="195"/>
      <c r="BR326" s="195"/>
      <c r="BS326" s="195"/>
      <c r="BT326" s="195"/>
      <c r="BU326" s="195"/>
    </row>
    <row r="327" ht="15.75" customHeight="1">
      <c r="A327" s="1004"/>
      <c r="B327" s="1004"/>
      <c r="C327" s="1005"/>
      <c r="D327" s="1005"/>
      <c r="E327" s="977"/>
      <c r="F327" s="13"/>
      <c r="H327" s="13"/>
      <c r="I327" s="677"/>
      <c r="J327" s="13"/>
      <c r="K327" s="677"/>
      <c r="L327" s="13"/>
      <c r="M327" s="677"/>
      <c r="N327" s="13"/>
      <c r="O327" s="13"/>
      <c r="P327" s="13"/>
      <c r="Q327" s="677"/>
      <c r="V327" s="1189"/>
      <c r="X327" s="1189"/>
      <c r="Z327" s="1190"/>
      <c r="AB327" s="1190"/>
      <c r="AH327" s="701"/>
      <c r="AJ327" s="701"/>
      <c r="BB327" s="1190"/>
      <c r="BD327" s="1190"/>
      <c r="BF327" s="1190"/>
      <c r="BH327" s="1190"/>
      <c r="BJ327" s="1190"/>
      <c r="BN327" s="206"/>
      <c r="BO327" s="206"/>
      <c r="BP327" s="206"/>
      <c r="BQ327" s="195"/>
      <c r="BR327" s="195"/>
      <c r="BS327" s="195"/>
      <c r="BT327" s="195"/>
      <c r="BU327" s="195"/>
    </row>
    <row r="328" ht="15.75" customHeight="1">
      <c r="A328" s="1004"/>
      <c r="B328" s="1004"/>
      <c r="C328" s="1005"/>
      <c r="D328" s="1005"/>
      <c r="E328" s="977"/>
      <c r="F328" s="13"/>
      <c r="H328" s="13"/>
      <c r="I328" s="677"/>
      <c r="J328" s="13"/>
      <c r="K328" s="677"/>
      <c r="L328" s="13"/>
      <c r="M328" s="677"/>
      <c r="N328" s="13"/>
      <c r="O328" s="13"/>
      <c r="P328" s="13"/>
      <c r="Q328" s="677"/>
      <c r="V328" s="1189"/>
      <c r="X328" s="1189"/>
      <c r="Z328" s="1190"/>
      <c r="AB328" s="1190"/>
      <c r="AH328" s="701"/>
      <c r="AJ328" s="701"/>
      <c r="BB328" s="1190"/>
      <c r="BD328" s="1190"/>
      <c r="BF328" s="1190"/>
      <c r="BH328" s="1190"/>
      <c r="BJ328" s="1190"/>
      <c r="BN328" s="206"/>
      <c r="BO328" s="206"/>
      <c r="BP328" s="206"/>
      <c r="BQ328" s="195"/>
      <c r="BR328" s="195"/>
      <c r="BS328" s="195"/>
      <c r="BT328" s="195"/>
      <c r="BU328" s="195"/>
    </row>
    <row r="329" ht="15.75" customHeight="1">
      <c r="A329" s="1004"/>
      <c r="B329" s="1004"/>
      <c r="C329" s="1005"/>
      <c r="D329" s="1005"/>
      <c r="E329" s="977"/>
      <c r="F329" s="13"/>
      <c r="G329" s="677"/>
      <c r="H329" s="13"/>
      <c r="I329" s="677"/>
      <c r="J329" s="13"/>
      <c r="K329" s="677"/>
      <c r="L329" s="13"/>
      <c r="M329" s="677"/>
      <c r="N329" s="13"/>
      <c r="O329" s="13"/>
      <c r="P329" s="13"/>
      <c r="Q329" s="677"/>
      <c r="V329" s="1189"/>
      <c r="X329" s="1189"/>
      <c r="Z329" s="1190"/>
      <c r="AB329" s="1190"/>
      <c r="AH329" s="701"/>
      <c r="AJ329" s="701"/>
      <c r="BB329" s="1190"/>
      <c r="BD329" s="1190"/>
      <c r="BF329" s="1190"/>
      <c r="BH329" s="1190"/>
      <c r="BJ329" s="1190"/>
      <c r="BN329" s="206"/>
      <c r="BO329" s="206"/>
      <c r="BP329" s="206"/>
      <c r="BQ329" s="195"/>
      <c r="BR329" s="195"/>
      <c r="BS329" s="195"/>
      <c r="BT329" s="195"/>
      <c r="BU329" s="195"/>
    </row>
    <row r="330" ht="15.75" customHeight="1">
      <c r="A330" s="1004"/>
      <c r="B330" s="1004"/>
      <c r="C330" s="1005"/>
      <c r="D330" s="1005"/>
      <c r="E330" s="977"/>
      <c r="F330" s="13"/>
      <c r="G330" s="677"/>
      <c r="H330" s="13"/>
      <c r="I330" s="677"/>
      <c r="J330" s="13"/>
      <c r="K330" s="677"/>
      <c r="L330" s="13"/>
      <c r="M330" s="677"/>
      <c r="N330" s="13"/>
      <c r="O330" s="13"/>
      <c r="P330" s="13"/>
      <c r="Q330" s="677"/>
      <c r="V330" s="1189"/>
      <c r="X330" s="1189"/>
      <c r="Z330" s="1190"/>
      <c r="AB330" s="1190"/>
      <c r="AH330" s="701"/>
      <c r="AJ330" s="701"/>
      <c r="BB330" s="1190"/>
      <c r="BD330" s="1190"/>
      <c r="BF330" s="1190"/>
      <c r="BH330" s="1190"/>
      <c r="BJ330" s="1190"/>
      <c r="BN330" s="206"/>
      <c r="BO330" s="206"/>
      <c r="BP330" s="206"/>
      <c r="BQ330" s="195"/>
      <c r="BR330" s="195"/>
      <c r="BS330" s="195"/>
      <c r="BT330" s="195"/>
      <c r="BU330" s="195"/>
    </row>
    <row r="331" ht="15.75" customHeight="1">
      <c r="A331" s="1004"/>
      <c r="B331" s="1004"/>
      <c r="C331" s="1005"/>
      <c r="D331" s="1005"/>
      <c r="E331" s="977"/>
      <c r="F331" s="13"/>
      <c r="G331" s="677"/>
      <c r="H331" s="13"/>
      <c r="I331" s="677"/>
      <c r="J331" s="13"/>
      <c r="K331" s="677"/>
      <c r="L331" s="13"/>
      <c r="M331" s="677"/>
      <c r="N331" s="13"/>
      <c r="O331" s="13"/>
      <c r="P331" s="13"/>
      <c r="Q331" s="677"/>
      <c r="V331" s="1189"/>
      <c r="X331" s="1189"/>
      <c r="Z331" s="1190"/>
      <c r="AB331" s="1190"/>
      <c r="AH331" s="701"/>
      <c r="AJ331" s="701"/>
      <c r="BB331" s="1190"/>
      <c r="BD331" s="1190"/>
      <c r="BF331" s="1190"/>
      <c r="BH331" s="1190"/>
      <c r="BJ331" s="1190"/>
      <c r="BN331" s="206"/>
      <c r="BO331" s="206"/>
      <c r="BP331" s="206"/>
      <c r="BQ331" s="195"/>
      <c r="BR331" s="195"/>
      <c r="BS331" s="195"/>
      <c r="BT331" s="195"/>
      <c r="BU331" s="195"/>
    </row>
    <row r="332" ht="15.75" customHeight="1">
      <c r="A332" s="1004"/>
      <c r="B332" s="1004"/>
      <c r="C332" s="1005"/>
      <c r="D332" s="1005"/>
      <c r="E332" s="977"/>
      <c r="F332" s="13"/>
      <c r="G332" s="677"/>
      <c r="H332" s="13"/>
      <c r="I332" s="677"/>
      <c r="J332" s="13"/>
      <c r="K332" s="677"/>
      <c r="L332" s="13"/>
      <c r="M332" s="677"/>
      <c r="N332" s="13"/>
      <c r="O332" s="13"/>
      <c r="P332" s="13"/>
      <c r="Q332" s="677"/>
      <c r="V332" s="1189"/>
      <c r="X332" s="1189"/>
      <c r="Z332" s="1190"/>
      <c r="AB332" s="1190"/>
      <c r="AH332" s="701"/>
      <c r="AJ332" s="701"/>
      <c r="BB332" s="1190"/>
      <c r="BD332" s="1190"/>
      <c r="BF332" s="1190"/>
      <c r="BH332" s="1190"/>
      <c r="BJ332" s="1190"/>
      <c r="BN332" s="206"/>
      <c r="BO332" s="206"/>
      <c r="BP332" s="206"/>
      <c r="BQ332" s="195"/>
      <c r="BR332" s="195"/>
      <c r="BS332" s="195"/>
      <c r="BT332" s="195"/>
      <c r="BU332" s="195"/>
    </row>
    <row r="333" ht="15.75" customHeight="1">
      <c r="A333" s="1004"/>
      <c r="B333" s="1004"/>
      <c r="C333" s="1005"/>
      <c r="D333" s="1005"/>
      <c r="E333" s="977"/>
      <c r="F333" s="13"/>
      <c r="G333" s="677"/>
      <c r="H333" s="13"/>
      <c r="I333" s="677"/>
      <c r="J333" s="13"/>
      <c r="K333" s="677"/>
      <c r="L333" s="13"/>
      <c r="M333" s="677"/>
      <c r="N333" s="13"/>
      <c r="O333" s="13"/>
      <c r="P333" s="13"/>
      <c r="Q333" s="677"/>
      <c r="V333" s="1189"/>
      <c r="X333" s="1189"/>
      <c r="Z333" s="1190"/>
      <c r="AB333" s="1190"/>
      <c r="AH333" s="701"/>
      <c r="AJ333" s="701"/>
      <c r="BB333" s="1190"/>
      <c r="BD333" s="1190"/>
      <c r="BF333" s="1190"/>
      <c r="BH333" s="1190"/>
      <c r="BJ333" s="1190"/>
      <c r="BN333" s="206"/>
      <c r="BO333" s="206"/>
      <c r="BP333" s="206"/>
      <c r="BQ333" s="195"/>
      <c r="BR333" s="195"/>
      <c r="BS333" s="195"/>
      <c r="BT333" s="195"/>
      <c r="BU333" s="195"/>
    </row>
    <row r="334" ht="15.75" customHeight="1">
      <c r="A334" s="1004"/>
      <c r="B334" s="1004"/>
      <c r="C334" s="1005"/>
      <c r="D334" s="1005"/>
      <c r="E334" s="977"/>
      <c r="F334" s="13"/>
      <c r="G334" s="677"/>
      <c r="H334" s="13"/>
      <c r="I334" s="677"/>
      <c r="J334" s="13"/>
      <c r="K334" s="677"/>
      <c r="L334" s="13"/>
      <c r="M334" s="677"/>
      <c r="N334" s="13"/>
      <c r="O334" s="13"/>
      <c r="P334" s="13"/>
      <c r="Q334" s="677"/>
      <c r="V334" s="1189"/>
      <c r="X334" s="1189"/>
      <c r="Z334" s="1190"/>
      <c r="AB334" s="1190"/>
      <c r="AH334" s="701"/>
      <c r="AJ334" s="701"/>
      <c r="BB334" s="1190"/>
      <c r="BD334" s="1190"/>
      <c r="BF334" s="1190"/>
      <c r="BH334" s="1190"/>
      <c r="BJ334" s="1190"/>
      <c r="BN334" s="206"/>
      <c r="BO334" s="206"/>
      <c r="BP334" s="206"/>
      <c r="BQ334" s="195"/>
      <c r="BR334" s="195"/>
      <c r="BS334" s="195"/>
      <c r="BT334" s="195"/>
      <c r="BU334" s="195"/>
    </row>
    <row r="335" ht="15.75" customHeight="1">
      <c r="A335" s="1004"/>
      <c r="B335" s="1004"/>
      <c r="C335" s="1005"/>
      <c r="D335" s="1005"/>
      <c r="E335" s="977"/>
      <c r="F335" s="13"/>
      <c r="G335" s="677"/>
      <c r="H335" s="13"/>
      <c r="I335" s="677"/>
      <c r="J335" s="13"/>
      <c r="K335" s="677"/>
      <c r="L335" s="13"/>
      <c r="M335" s="677"/>
      <c r="N335" s="13"/>
      <c r="O335" s="13"/>
      <c r="P335" s="13"/>
      <c r="Q335" s="677"/>
      <c r="V335" s="1189"/>
      <c r="X335" s="1189"/>
      <c r="Z335" s="1190"/>
      <c r="AB335" s="1190"/>
      <c r="AH335" s="701"/>
      <c r="AJ335" s="701"/>
      <c r="BB335" s="1190"/>
      <c r="BD335" s="1190"/>
      <c r="BF335" s="1190"/>
      <c r="BH335" s="1190"/>
      <c r="BJ335" s="1190"/>
      <c r="BN335" s="206"/>
      <c r="BO335" s="206"/>
      <c r="BP335" s="206"/>
      <c r="BQ335" s="195"/>
      <c r="BR335" s="195"/>
      <c r="BS335" s="195"/>
      <c r="BT335" s="195"/>
      <c r="BU335" s="195"/>
    </row>
    <row r="336" ht="15.75" customHeight="1">
      <c r="A336" s="1004"/>
      <c r="B336" s="1004"/>
      <c r="C336" s="1005"/>
      <c r="D336" s="1005"/>
      <c r="E336" s="977"/>
      <c r="F336" s="13"/>
      <c r="G336" s="677"/>
      <c r="H336" s="13"/>
      <c r="I336" s="677"/>
      <c r="J336" s="13"/>
      <c r="K336" s="677"/>
      <c r="L336" s="13"/>
      <c r="M336" s="677"/>
      <c r="N336" s="13"/>
      <c r="O336" s="13"/>
      <c r="P336" s="13"/>
      <c r="Q336" s="677"/>
      <c r="V336" s="1189"/>
      <c r="X336" s="1189"/>
      <c r="Z336" s="1190"/>
      <c r="AB336" s="1190"/>
      <c r="AH336" s="701"/>
      <c r="AJ336" s="701"/>
      <c r="BB336" s="1190"/>
      <c r="BD336" s="1190"/>
      <c r="BF336" s="1190"/>
      <c r="BH336" s="1190"/>
      <c r="BJ336" s="1190"/>
      <c r="BN336" s="206"/>
      <c r="BO336" s="206"/>
      <c r="BP336" s="206"/>
      <c r="BQ336" s="195"/>
      <c r="BR336" s="195"/>
      <c r="BS336" s="195"/>
      <c r="BT336" s="195"/>
      <c r="BU336" s="195"/>
    </row>
    <row r="337" ht="15.75" customHeight="1">
      <c r="A337" s="1004"/>
      <c r="B337" s="1004"/>
      <c r="C337" s="1005"/>
      <c r="D337" s="1005"/>
      <c r="E337" s="977"/>
      <c r="F337" s="13"/>
      <c r="G337" s="677"/>
      <c r="H337" s="13"/>
      <c r="I337" s="677"/>
      <c r="J337" s="13"/>
      <c r="K337" s="677"/>
      <c r="L337" s="13"/>
      <c r="M337" s="677"/>
      <c r="N337" s="13"/>
      <c r="O337" s="13"/>
      <c r="P337" s="13"/>
      <c r="Q337" s="677"/>
      <c r="V337" s="1189"/>
      <c r="X337" s="1189"/>
      <c r="Z337" s="1190"/>
      <c r="AB337" s="1190"/>
      <c r="AH337" s="701"/>
      <c r="AJ337" s="701"/>
      <c r="BB337" s="1190"/>
      <c r="BD337" s="1190"/>
      <c r="BF337" s="1190"/>
      <c r="BH337" s="1190"/>
      <c r="BJ337" s="1190"/>
      <c r="BN337" s="206"/>
      <c r="BO337" s="206"/>
      <c r="BP337" s="206"/>
      <c r="BQ337" s="195"/>
      <c r="BR337" s="195"/>
      <c r="BS337" s="195"/>
      <c r="BT337" s="195"/>
      <c r="BU337" s="195"/>
    </row>
    <row r="338" ht="15.75" customHeight="1">
      <c r="A338" s="1004"/>
      <c r="B338" s="1004"/>
      <c r="C338" s="1005"/>
      <c r="D338" s="1005"/>
      <c r="E338" s="977"/>
      <c r="F338" s="13"/>
      <c r="G338" s="677"/>
      <c r="H338" s="13"/>
      <c r="I338" s="677"/>
      <c r="J338" s="13"/>
      <c r="K338" s="677"/>
      <c r="L338" s="13"/>
      <c r="M338" s="677"/>
      <c r="N338" s="13"/>
      <c r="O338" s="13"/>
      <c r="P338" s="13"/>
      <c r="Q338" s="677"/>
      <c r="V338" s="1189"/>
      <c r="X338" s="1189"/>
      <c r="Z338" s="1190"/>
      <c r="AB338" s="1190"/>
      <c r="AH338" s="701"/>
      <c r="AJ338" s="701"/>
      <c r="BB338" s="1190"/>
      <c r="BD338" s="1190"/>
      <c r="BF338" s="1190"/>
      <c r="BH338" s="1190"/>
      <c r="BJ338" s="1190"/>
      <c r="BN338" s="206"/>
      <c r="BO338" s="206"/>
      <c r="BP338" s="206"/>
      <c r="BQ338" s="195"/>
      <c r="BR338" s="195"/>
      <c r="BS338" s="195"/>
      <c r="BT338" s="195"/>
      <c r="BU338" s="195"/>
    </row>
    <row r="339" ht="15.75" customHeight="1">
      <c r="A339" s="1004"/>
      <c r="B339" s="1004"/>
      <c r="C339" s="1005"/>
      <c r="D339" s="1005"/>
      <c r="E339" s="977"/>
      <c r="F339" s="13"/>
      <c r="G339" s="677"/>
      <c r="H339" s="13"/>
      <c r="I339" s="677"/>
      <c r="J339" s="13"/>
      <c r="K339" s="677"/>
      <c r="L339" s="13"/>
      <c r="M339" s="677"/>
      <c r="N339" s="13"/>
      <c r="O339" s="13"/>
      <c r="P339" s="13"/>
      <c r="Q339" s="677"/>
      <c r="V339" s="1189"/>
      <c r="X339" s="1189"/>
      <c r="Z339" s="1190"/>
      <c r="AB339" s="1190"/>
      <c r="AH339" s="701"/>
      <c r="AJ339" s="701"/>
      <c r="BB339" s="1190"/>
      <c r="BD339" s="1190"/>
      <c r="BF339" s="1190"/>
      <c r="BH339" s="1190"/>
      <c r="BJ339" s="1190"/>
      <c r="BN339" s="206"/>
      <c r="BO339" s="206"/>
      <c r="BP339" s="206"/>
      <c r="BQ339" s="195"/>
      <c r="BR339" s="195"/>
      <c r="BS339" s="195"/>
      <c r="BT339" s="195"/>
      <c r="BU339" s="195"/>
    </row>
    <row r="340" ht="15.75" customHeight="1">
      <c r="A340" s="1004"/>
      <c r="B340" s="1004"/>
      <c r="C340" s="1005"/>
      <c r="D340" s="1005"/>
      <c r="E340" s="977"/>
      <c r="F340" s="13"/>
      <c r="G340" s="677"/>
      <c r="H340" s="13"/>
      <c r="I340" s="677"/>
      <c r="J340" s="13"/>
      <c r="K340" s="677"/>
      <c r="L340" s="13"/>
      <c r="M340" s="677"/>
      <c r="N340" s="13"/>
      <c r="O340" s="13"/>
      <c r="P340" s="13"/>
      <c r="Q340" s="677"/>
      <c r="V340" s="1189"/>
      <c r="X340" s="1189"/>
      <c r="Z340" s="1190"/>
      <c r="AB340" s="1190"/>
      <c r="AH340" s="701"/>
      <c r="AJ340" s="701"/>
      <c r="BB340" s="1190"/>
      <c r="BD340" s="1190"/>
      <c r="BF340" s="1190"/>
      <c r="BH340" s="1190"/>
      <c r="BJ340" s="1190"/>
      <c r="BN340" s="206"/>
      <c r="BO340" s="206"/>
      <c r="BP340" s="206"/>
      <c r="BQ340" s="195"/>
      <c r="BR340" s="195"/>
      <c r="BS340" s="195"/>
      <c r="BT340" s="195"/>
      <c r="BU340" s="195"/>
    </row>
    <row r="341" ht="15.75" customHeight="1">
      <c r="A341" s="1004"/>
      <c r="B341" s="1004"/>
      <c r="C341" s="1005"/>
      <c r="D341" s="1005"/>
      <c r="E341" s="977"/>
      <c r="F341" s="13"/>
      <c r="G341" s="677"/>
      <c r="H341" s="13"/>
      <c r="I341" s="677"/>
      <c r="J341" s="13"/>
      <c r="K341" s="677"/>
      <c r="L341" s="13"/>
      <c r="M341" s="677"/>
      <c r="N341" s="13"/>
      <c r="O341" s="13"/>
      <c r="P341" s="13"/>
      <c r="Q341" s="677"/>
      <c r="V341" s="1189"/>
      <c r="X341" s="1189"/>
      <c r="Z341" s="1190"/>
      <c r="AB341" s="1190"/>
      <c r="AH341" s="701"/>
      <c r="AJ341" s="701"/>
      <c r="BB341" s="1190"/>
      <c r="BD341" s="1190"/>
      <c r="BF341" s="1190"/>
      <c r="BH341" s="1190"/>
      <c r="BJ341" s="1190"/>
      <c r="BN341" s="206"/>
      <c r="BO341" s="206"/>
      <c r="BP341" s="206"/>
      <c r="BQ341" s="195"/>
      <c r="BR341" s="195"/>
      <c r="BS341" s="195"/>
      <c r="BT341" s="195"/>
      <c r="BU341" s="195"/>
    </row>
    <row r="342" ht="15.75" customHeight="1">
      <c r="A342" s="1004"/>
      <c r="B342" s="1004"/>
      <c r="C342" s="1005"/>
      <c r="D342" s="1005"/>
      <c r="E342" s="977"/>
      <c r="F342" s="13"/>
      <c r="G342" s="677"/>
      <c r="H342" s="13"/>
      <c r="I342" s="677"/>
      <c r="J342" s="13"/>
      <c r="K342" s="677"/>
      <c r="L342" s="13"/>
      <c r="M342" s="677"/>
      <c r="N342" s="13"/>
      <c r="O342" s="13"/>
      <c r="P342" s="13"/>
      <c r="Q342" s="677"/>
      <c r="V342" s="1189"/>
      <c r="X342" s="1189"/>
      <c r="Z342" s="1190"/>
      <c r="AB342" s="1190"/>
      <c r="AH342" s="701"/>
      <c r="AJ342" s="701"/>
      <c r="BB342" s="1190"/>
      <c r="BD342" s="1190"/>
      <c r="BF342" s="1190"/>
      <c r="BH342" s="1190"/>
      <c r="BJ342" s="1190"/>
      <c r="BN342" s="206"/>
      <c r="BO342" s="206"/>
      <c r="BP342" s="206"/>
      <c r="BQ342" s="195"/>
      <c r="BR342" s="195"/>
      <c r="BS342" s="195"/>
      <c r="BT342" s="195"/>
      <c r="BU342" s="195"/>
    </row>
    <row r="343" ht="15.75" customHeight="1">
      <c r="A343" s="1004"/>
      <c r="B343" s="1004"/>
      <c r="C343" s="1005"/>
      <c r="D343" s="1005"/>
      <c r="E343" s="977"/>
      <c r="F343" s="13"/>
      <c r="G343" s="677"/>
      <c r="H343" s="13"/>
      <c r="I343" s="677"/>
      <c r="J343" s="13"/>
      <c r="K343" s="677"/>
      <c r="L343" s="13"/>
      <c r="M343" s="677"/>
      <c r="N343" s="13"/>
      <c r="O343" s="13"/>
      <c r="P343" s="13"/>
      <c r="Q343" s="677"/>
      <c r="V343" s="1189"/>
      <c r="X343" s="1189"/>
      <c r="Z343" s="1190"/>
      <c r="AB343" s="1190"/>
      <c r="AH343" s="701"/>
      <c r="AJ343" s="701"/>
      <c r="BB343" s="1190"/>
      <c r="BD343" s="1190"/>
      <c r="BF343" s="1190"/>
      <c r="BH343" s="1190"/>
      <c r="BJ343" s="1190"/>
      <c r="BN343" s="206"/>
      <c r="BO343" s="206"/>
      <c r="BP343" s="206"/>
      <c r="BQ343" s="195"/>
      <c r="BR343" s="195"/>
      <c r="BS343" s="195"/>
      <c r="BT343" s="195"/>
      <c r="BU343" s="195"/>
    </row>
    <row r="344" ht="15.75" customHeight="1">
      <c r="A344" s="1004"/>
      <c r="B344" s="1004"/>
      <c r="C344" s="1005"/>
      <c r="D344" s="1005"/>
      <c r="E344" s="977"/>
      <c r="F344" s="13"/>
      <c r="G344" s="677"/>
      <c r="H344" s="13"/>
      <c r="I344" s="677"/>
      <c r="J344" s="13"/>
      <c r="K344" s="677"/>
      <c r="L344" s="13"/>
      <c r="M344" s="677"/>
      <c r="N344" s="13"/>
      <c r="O344" s="13"/>
      <c r="P344" s="13"/>
      <c r="Q344" s="677"/>
      <c r="V344" s="1189"/>
      <c r="X344" s="1189"/>
      <c r="Z344" s="1190"/>
      <c r="AB344" s="1190"/>
      <c r="AH344" s="701"/>
      <c r="AJ344" s="701"/>
      <c r="BB344" s="1190"/>
      <c r="BD344" s="1190"/>
      <c r="BF344" s="1190"/>
      <c r="BH344" s="1190"/>
      <c r="BJ344" s="1190"/>
      <c r="BN344" s="206"/>
      <c r="BO344" s="206"/>
      <c r="BP344" s="206"/>
      <c r="BQ344" s="195"/>
      <c r="BR344" s="195"/>
      <c r="BS344" s="195"/>
      <c r="BT344" s="195"/>
      <c r="BU344" s="195"/>
    </row>
    <row r="345" ht="15.75" customHeight="1">
      <c r="A345" s="1004"/>
      <c r="B345" s="1004"/>
      <c r="C345" s="1005"/>
      <c r="D345" s="1005"/>
      <c r="E345" s="977"/>
      <c r="F345" s="13"/>
      <c r="G345" s="677"/>
      <c r="H345" s="13"/>
      <c r="I345" s="677"/>
      <c r="J345" s="13"/>
      <c r="K345" s="677"/>
      <c r="L345" s="13"/>
      <c r="M345" s="677"/>
      <c r="N345" s="13"/>
      <c r="O345" s="13"/>
      <c r="P345" s="13"/>
      <c r="Q345" s="677"/>
      <c r="V345" s="1189"/>
      <c r="X345" s="1189"/>
      <c r="Z345" s="1190"/>
      <c r="AB345" s="1190"/>
      <c r="AH345" s="701"/>
      <c r="AJ345" s="701"/>
      <c r="BB345" s="1190"/>
      <c r="BD345" s="1190"/>
      <c r="BF345" s="1190"/>
      <c r="BH345" s="1190"/>
      <c r="BJ345" s="1190"/>
      <c r="BN345" s="206"/>
      <c r="BO345" s="206"/>
      <c r="BP345" s="206"/>
      <c r="BQ345" s="195"/>
      <c r="BR345" s="195"/>
      <c r="BS345" s="195"/>
      <c r="BT345" s="195"/>
      <c r="BU345" s="195"/>
    </row>
    <row r="346" ht="15.75" customHeight="1">
      <c r="A346" s="1004"/>
      <c r="B346" s="1004"/>
      <c r="C346" s="1005"/>
      <c r="D346" s="1005"/>
      <c r="E346" s="977"/>
      <c r="F346" s="13"/>
      <c r="G346" s="677"/>
      <c r="H346" s="13"/>
      <c r="I346" s="677"/>
      <c r="J346" s="13"/>
      <c r="K346" s="677"/>
      <c r="L346" s="13"/>
      <c r="M346" s="677"/>
      <c r="N346" s="13"/>
      <c r="O346" s="13"/>
      <c r="P346" s="13"/>
      <c r="Q346" s="677"/>
      <c r="V346" s="1189"/>
      <c r="X346" s="1189"/>
      <c r="Z346" s="1190"/>
      <c r="AB346" s="1190"/>
      <c r="AH346" s="701"/>
      <c r="AJ346" s="701"/>
      <c r="BB346" s="1190"/>
      <c r="BD346" s="1190"/>
      <c r="BF346" s="1190"/>
      <c r="BH346" s="1190"/>
      <c r="BJ346" s="1190"/>
      <c r="BN346" s="206"/>
      <c r="BO346" s="206"/>
      <c r="BP346" s="206"/>
      <c r="BQ346" s="195"/>
      <c r="BR346" s="195"/>
      <c r="BS346" s="195"/>
      <c r="BT346" s="195"/>
      <c r="BU346" s="195"/>
    </row>
    <row r="347" ht="15.75" customHeight="1">
      <c r="A347" s="1004"/>
      <c r="B347" s="1004"/>
      <c r="C347" s="1005"/>
      <c r="D347" s="1005"/>
      <c r="E347" s="977"/>
      <c r="F347" s="13"/>
      <c r="G347" s="677"/>
      <c r="H347" s="13"/>
      <c r="I347" s="677"/>
      <c r="J347" s="13"/>
      <c r="K347" s="677"/>
      <c r="L347" s="13"/>
      <c r="M347" s="677"/>
      <c r="N347" s="13"/>
      <c r="O347" s="13"/>
      <c r="P347" s="13"/>
      <c r="Q347" s="677"/>
      <c r="V347" s="1189"/>
      <c r="X347" s="1189"/>
      <c r="Z347" s="1190"/>
      <c r="AB347" s="1190"/>
      <c r="AH347" s="701"/>
      <c r="AJ347" s="701"/>
      <c r="BB347" s="1190"/>
      <c r="BD347" s="1190"/>
      <c r="BF347" s="1190"/>
      <c r="BH347" s="1190"/>
      <c r="BJ347" s="1190"/>
      <c r="BN347" s="206"/>
      <c r="BO347" s="206"/>
      <c r="BP347" s="206"/>
      <c r="BQ347" s="195"/>
      <c r="BR347" s="195"/>
      <c r="BS347" s="195"/>
      <c r="BT347" s="195"/>
      <c r="BU347" s="195"/>
    </row>
    <row r="348" ht="15.75" customHeight="1">
      <c r="A348" s="1004"/>
      <c r="B348" s="1004"/>
      <c r="C348" s="1005"/>
      <c r="D348" s="1005"/>
      <c r="E348" s="977"/>
      <c r="F348" s="13"/>
      <c r="G348" s="677"/>
      <c r="H348" s="13"/>
      <c r="I348" s="677"/>
      <c r="J348" s="13"/>
      <c r="K348" s="677"/>
      <c r="L348" s="13"/>
      <c r="M348" s="677"/>
      <c r="N348" s="13"/>
      <c r="O348" s="13"/>
      <c r="P348" s="13"/>
      <c r="Q348" s="677"/>
      <c r="V348" s="1189"/>
      <c r="X348" s="1189"/>
      <c r="Z348" s="1190"/>
      <c r="AB348" s="1190"/>
      <c r="AH348" s="701"/>
      <c r="AJ348" s="701"/>
      <c r="BB348" s="1190"/>
      <c r="BD348" s="1190"/>
      <c r="BF348" s="1190"/>
      <c r="BH348" s="1190"/>
      <c r="BJ348" s="1190"/>
      <c r="BN348" s="206"/>
      <c r="BO348" s="206"/>
      <c r="BP348" s="206"/>
      <c r="BQ348" s="195"/>
      <c r="BR348" s="195"/>
      <c r="BS348" s="195"/>
      <c r="BT348" s="195"/>
      <c r="BU348" s="195"/>
    </row>
    <row r="349" ht="15.75" customHeight="1">
      <c r="A349" s="1004"/>
      <c r="B349" s="1004"/>
      <c r="C349" s="1005"/>
      <c r="D349" s="1005"/>
      <c r="E349" s="977"/>
      <c r="F349" s="13"/>
      <c r="G349" s="677"/>
      <c r="H349" s="13"/>
      <c r="I349" s="677"/>
      <c r="J349" s="13"/>
      <c r="K349" s="677"/>
      <c r="L349" s="13"/>
      <c r="M349" s="677"/>
      <c r="N349" s="13"/>
      <c r="O349" s="13"/>
      <c r="P349" s="13"/>
      <c r="Q349" s="677"/>
      <c r="V349" s="1189"/>
      <c r="X349" s="1189"/>
      <c r="Z349" s="1190"/>
      <c r="AB349" s="1190"/>
      <c r="AH349" s="701"/>
      <c r="AJ349" s="701"/>
      <c r="BB349" s="1190"/>
      <c r="BD349" s="1190"/>
      <c r="BF349" s="1190"/>
      <c r="BH349" s="1190"/>
      <c r="BJ349" s="1190"/>
      <c r="BN349" s="206"/>
      <c r="BO349" s="206"/>
      <c r="BP349" s="206"/>
      <c r="BQ349" s="195"/>
      <c r="BR349" s="195"/>
      <c r="BS349" s="195"/>
      <c r="BT349" s="195"/>
      <c r="BU349" s="195"/>
    </row>
    <row r="350" ht="15.75" customHeight="1">
      <c r="A350" s="1004"/>
      <c r="B350" s="1004"/>
      <c r="C350" s="1005"/>
      <c r="D350" s="1005"/>
      <c r="E350" s="977"/>
      <c r="F350" s="13"/>
      <c r="G350" s="677"/>
      <c r="H350" s="13"/>
      <c r="I350" s="677"/>
      <c r="J350" s="13"/>
      <c r="K350" s="677"/>
      <c r="L350" s="13"/>
      <c r="M350" s="677"/>
      <c r="N350" s="13"/>
      <c r="O350" s="13"/>
      <c r="P350" s="13"/>
      <c r="Q350" s="677"/>
      <c r="V350" s="1189"/>
      <c r="X350" s="1189"/>
      <c r="Z350" s="1190"/>
      <c r="AB350" s="1190"/>
      <c r="AH350" s="701"/>
      <c r="AJ350" s="701"/>
      <c r="BB350" s="1190"/>
      <c r="BD350" s="1190"/>
      <c r="BF350" s="1190"/>
      <c r="BH350" s="1190"/>
      <c r="BJ350" s="1190"/>
      <c r="BN350" s="206"/>
      <c r="BO350" s="206"/>
      <c r="BP350" s="206"/>
      <c r="BQ350" s="195"/>
      <c r="BR350" s="195"/>
      <c r="BS350" s="195"/>
      <c r="BT350" s="195"/>
      <c r="BU350" s="195"/>
    </row>
    <row r="351" ht="15.75" customHeight="1">
      <c r="A351" s="1004"/>
      <c r="B351" s="1004"/>
      <c r="C351" s="1005"/>
      <c r="D351" s="1005"/>
      <c r="E351" s="977"/>
      <c r="F351" s="13"/>
      <c r="G351" s="677"/>
      <c r="H351" s="13"/>
      <c r="I351" s="677"/>
      <c r="J351" s="13"/>
      <c r="K351" s="677"/>
      <c r="L351" s="13"/>
      <c r="M351" s="677"/>
      <c r="N351" s="13"/>
      <c r="O351" s="13"/>
      <c r="P351" s="13"/>
      <c r="Q351" s="677"/>
      <c r="V351" s="1189"/>
      <c r="X351" s="1189"/>
      <c r="Z351" s="1190"/>
      <c r="AB351" s="1190"/>
      <c r="AH351" s="701"/>
      <c r="AJ351" s="701"/>
      <c r="BB351" s="1190"/>
      <c r="BD351" s="1190"/>
      <c r="BF351" s="1190"/>
      <c r="BH351" s="1190"/>
      <c r="BJ351" s="1190"/>
      <c r="BN351" s="206"/>
      <c r="BO351" s="206"/>
      <c r="BP351" s="206"/>
      <c r="BQ351" s="195"/>
      <c r="BR351" s="195"/>
      <c r="BS351" s="195"/>
      <c r="BT351" s="195"/>
      <c r="BU351" s="195"/>
    </row>
    <row r="352" ht="15.75" customHeight="1">
      <c r="A352" s="1004"/>
      <c r="B352" s="1004"/>
      <c r="C352" s="1005"/>
      <c r="D352" s="1005"/>
      <c r="E352" s="977"/>
      <c r="F352" s="13"/>
      <c r="G352" s="677"/>
      <c r="H352" s="13"/>
      <c r="I352" s="677"/>
      <c r="J352" s="13"/>
      <c r="K352" s="677"/>
      <c r="L352" s="13"/>
      <c r="M352" s="677"/>
      <c r="N352" s="13"/>
      <c r="O352" s="13"/>
      <c r="P352" s="13"/>
      <c r="Q352" s="677"/>
      <c r="V352" s="1189"/>
      <c r="X352" s="1189"/>
      <c r="Z352" s="1190"/>
      <c r="AB352" s="1190"/>
      <c r="AH352" s="701"/>
      <c r="AJ352" s="701"/>
      <c r="BB352" s="1190"/>
      <c r="BD352" s="1190"/>
      <c r="BF352" s="1190"/>
      <c r="BH352" s="1190"/>
      <c r="BJ352" s="1190"/>
      <c r="BN352" s="206"/>
      <c r="BO352" s="206"/>
      <c r="BP352" s="206"/>
      <c r="BQ352" s="195"/>
      <c r="BR352" s="195"/>
      <c r="BS352" s="195"/>
      <c r="BT352" s="195"/>
      <c r="BU352" s="195"/>
    </row>
    <row r="353" ht="15.75" customHeight="1">
      <c r="A353" s="1004"/>
      <c r="B353" s="1004"/>
      <c r="C353" s="1005"/>
      <c r="D353" s="1005"/>
      <c r="E353" s="977"/>
      <c r="F353" s="13"/>
      <c r="G353" s="677"/>
      <c r="H353" s="13"/>
      <c r="I353" s="677"/>
      <c r="J353" s="13"/>
      <c r="K353" s="677"/>
      <c r="L353" s="13"/>
      <c r="M353" s="677"/>
      <c r="N353" s="13"/>
      <c r="O353" s="13"/>
      <c r="P353" s="13"/>
      <c r="Q353" s="677"/>
      <c r="V353" s="1189"/>
      <c r="X353" s="1189"/>
      <c r="Z353" s="1190"/>
      <c r="AB353" s="1190"/>
      <c r="AH353" s="701"/>
      <c r="AJ353" s="701"/>
      <c r="BB353" s="1190"/>
      <c r="BD353" s="1190"/>
      <c r="BF353" s="1190"/>
      <c r="BH353" s="1190"/>
      <c r="BJ353" s="1190"/>
      <c r="BN353" s="206"/>
      <c r="BO353" s="206"/>
      <c r="BP353" s="206"/>
      <c r="BQ353" s="195"/>
      <c r="BR353" s="195"/>
      <c r="BS353" s="195"/>
      <c r="BT353" s="195"/>
      <c r="BU353" s="195"/>
    </row>
    <row r="354" ht="15.75" customHeight="1">
      <c r="A354" s="1004"/>
      <c r="B354" s="1004"/>
      <c r="C354" s="1005"/>
      <c r="D354" s="1005"/>
      <c r="E354" s="977"/>
      <c r="F354" s="13"/>
      <c r="G354" s="677"/>
      <c r="H354" s="13"/>
      <c r="I354" s="677"/>
      <c r="J354" s="13"/>
      <c r="K354" s="677"/>
      <c r="L354" s="13"/>
      <c r="M354" s="677"/>
      <c r="N354" s="13"/>
      <c r="O354" s="13"/>
      <c r="P354" s="13"/>
      <c r="Q354" s="677"/>
      <c r="V354" s="1189"/>
      <c r="X354" s="1189"/>
      <c r="Z354" s="1190"/>
      <c r="AB354" s="1190"/>
      <c r="AH354" s="701"/>
      <c r="AJ354" s="701"/>
      <c r="BB354" s="1190"/>
      <c r="BD354" s="1190"/>
      <c r="BF354" s="1190"/>
      <c r="BH354" s="1190"/>
      <c r="BJ354" s="1190"/>
      <c r="BN354" s="206"/>
      <c r="BO354" s="206"/>
      <c r="BP354" s="206"/>
      <c r="BQ354" s="195"/>
      <c r="BR354" s="195"/>
      <c r="BS354" s="195"/>
      <c r="BT354" s="195"/>
      <c r="BU354" s="195"/>
    </row>
    <row r="355" ht="15.75" customHeight="1">
      <c r="A355" s="1004"/>
      <c r="B355" s="1004"/>
      <c r="C355" s="1005"/>
      <c r="D355" s="1005"/>
      <c r="E355" s="977"/>
      <c r="F355" s="13"/>
      <c r="G355" s="677"/>
      <c r="H355" s="13"/>
      <c r="I355" s="677"/>
      <c r="J355" s="13"/>
      <c r="K355" s="677"/>
      <c r="L355" s="13"/>
      <c r="M355" s="677"/>
      <c r="N355" s="13"/>
      <c r="O355" s="13"/>
      <c r="P355" s="13"/>
      <c r="Q355" s="677"/>
      <c r="V355" s="1189"/>
      <c r="X355" s="1189"/>
      <c r="Z355" s="1190"/>
      <c r="AB355" s="1190"/>
      <c r="AH355" s="701"/>
      <c r="AJ355" s="701"/>
      <c r="BB355" s="1190"/>
      <c r="BD355" s="1190"/>
      <c r="BF355" s="1190"/>
      <c r="BH355" s="1190"/>
      <c r="BJ355" s="1190"/>
      <c r="BN355" s="206"/>
      <c r="BO355" s="206"/>
      <c r="BP355" s="206"/>
      <c r="BQ355" s="195"/>
      <c r="BR355" s="195"/>
      <c r="BS355" s="195"/>
      <c r="BT355" s="195"/>
      <c r="BU355" s="195"/>
    </row>
    <row r="356" ht="15.75" customHeight="1">
      <c r="A356" s="1004"/>
      <c r="B356" s="1004"/>
      <c r="C356" s="1005"/>
      <c r="D356" s="1005"/>
      <c r="E356" s="977"/>
      <c r="F356" s="13"/>
      <c r="G356" s="677"/>
      <c r="H356" s="13"/>
      <c r="I356" s="677"/>
      <c r="J356" s="13"/>
      <c r="K356" s="677"/>
      <c r="L356" s="13"/>
      <c r="M356" s="677"/>
      <c r="N356" s="13"/>
      <c r="O356" s="13"/>
      <c r="P356" s="13"/>
      <c r="Q356" s="677"/>
      <c r="V356" s="1189"/>
      <c r="X356" s="1189"/>
      <c r="Z356" s="1190"/>
      <c r="AB356" s="1190"/>
      <c r="AH356" s="701"/>
      <c r="AJ356" s="701"/>
      <c r="BB356" s="1190"/>
      <c r="BD356" s="1190"/>
      <c r="BF356" s="1190"/>
      <c r="BH356" s="1190"/>
      <c r="BJ356" s="1190"/>
      <c r="BN356" s="206"/>
      <c r="BO356" s="206"/>
      <c r="BP356" s="206"/>
      <c r="BQ356" s="195"/>
      <c r="BR356" s="195"/>
      <c r="BS356" s="195"/>
      <c r="BT356" s="195"/>
      <c r="BU356" s="195"/>
    </row>
    <row r="357" ht="15.75" customHeight="1">
      <c r="A357" s="1004"/>
      <c r="B357" s="1004"/>
      <c r="C357" s="1005"/>
      <c r="D357" s="1005"/>
      <c r="E357" s="977"/>
      <c r="F357" s="13"/>
      <c r="G357" s="677"/>
      <c r="H357" s="13"/>
      <c r="I357" s="677"/>
      <c r="J357" s="13"/>
      <c r="K357" s="677"/>
      <c r="L357" s="13"/>
      <c r="M357" s="677"/>
      <c r="N357" s="13"/>
      <c r="O357" s="13"/>
      <c r="P357" s="13"/>
      <c r="Q357" s="677"/>
      <c r="V357" s="1189"/>
      <c r="X357" s="1189"/>
      <c r="Z357" s="1190"/>
      <c r="AB357" s="1190"/>
      <c r="AH357" s="701"/>
      <c r="AJ357" s="701"/>
      <c r="BB357" s="1190"/>
      <c r="BD357" s="1190"/>
      <c r="BF357" s="1190"/>
      <c r="BH357" s="1190"/>
      <c r="BJ357" s="1190"/>
      <c r="BN357" s="206"/>
      <c r="BO357" s="206"/>
      <c r="BP357" s="206"/>
      <c r="BQ357" s="195"/>
      <c r="BR357" s="195"/>
      <c r="BS357" s="195"/>
      <c r="BT357" s="195"/>
      <c r="BU357" s="195"/>
    </row>
    <row r="358" ht="15.75" customHeight="1">
      <c r="A358" s="1004"/>
      <c r="B358" s="1004"/>
      <c r="C358" s="1005"/>
      <c r="D358" s="1005"/>
      <c r="E358" s="977"/>
      <c r="F358" s="13"/>
      <c r="G358" s="677"/>
      <c r="H358" s="13"/>
      <c r="I358" s="677"/>
      <c r="J358" s="13"/>
      <c r="K358" s="677"/>
      <c r="L358" s="13"/>
      <c r="M358" s="677"/>
      <c r="N358" s="13"/>
      <c r="O358" s="13"/>
      <c r="P358" s="13"/>
      <c r="Q358" s="677"/>
      <c r="V358" s="1189"/>
      <c r="X358" s="1189"/>
      <c r="Z358" s="1190"/>
      <c r="AB358" s="1190"/>
      <c r="AH358" s="701"/>
      <c r="AJ358" s="701"/>
      <c r="BB358" s="1190"/>
      <c r="BD358" s="1190"/>
      <c r="BF358" s="1190"/>
      <c r="BH358" s="1190"/>
      <c r="BJ358" s="1190"/>
      <c r="BN358" s="206"/>
      <c r="BO358" s="206"/>
      <c r="BP358" s="206"/>
      <c r="BQ358" s="195"/>
      <c r="BR358" s="195"/>
      <c r="BS358" s="195"/>
      <c r="BT358" s="195"/>
      <c r="BU358" s="195"/>
    </row>
    <row r="359" ht="15.75" customHeight="1">
      <c r="A359" s="1004"/>
      <c r="B359" s="1004"/>
      <c r="C359" s="1005"/>
      <c r="D359" s="1005"/>
      <c r="E359" s="977"/>
      <c r="F359" s="13"/>
      <c r="G359" s="677"/>
      <c r="H359" s="13"/>
      <c r="I359" s="677"/>
      <c r="J359" s="13"/>
      <c r="K359" s="677"/>
      <c r="L359" s="13"/>
      <c r="M359" s="677"/>
      <c r="N359" s="13"/>
      <c r="O359" s="13"/>
      <c r="P359" s="13"/>
      <c r="Q359" s="677"/>
      <c r="V359" s="1189"/>
      <c r="X359" s="1189"/>
      <c r="Z359" s="1190"/>
      <c r="AB359" s="1190"/>
      <c r="AH359" s="701"/>
      <c r="AJ359" s="701"/>
      <c r="BB359" s="1190"/>
      <c r="BD359" s="1190"/>
      <c r="BF359" s="1190"/>
      <c r="BH359" s="1190"/>
      <c r="BJ359" s="1190"/>
      <c r="BN359" s="206"/>
      <c r="BO359" s="206"/>
      <c r="BP359" s="206"/>
      <c r="BQ359" s="195"/>
      <c r="BR359" s="195"/>
      <c r="BS359" s="195"/>
      <c r="BT359" s="195"/>
      <c r="BU359" s="195"/>
    </row>
    <row r="360" ht="15.75" customHeight="1">
      <c r="A360" s="1004"/>
      <c r="B360" s="1004"/>
      <c r="C360" s="1005"/>
      <c r="D360" s="1005"/>
      <c r="E360" s="977"/>
      <c r="F360" s="13"/>
      <c r="G360" s="677"/>
      <c r="H360" s="13"/>
      <c r="I360" s="677"/>
      <c r="J360" s="13"/>
      <c r="K360" s="677"/>
      <c r="L360" s="13"/>
      <c r="M360" s="677"/>
      <c r="N360" s="13"/>
      <c r="O360" s="13"/>
      <c r="P360" s="13"/>
      <c r="Q360" s="677"/>
      <c r="V360" s="1189"/>
      <c r="X360" s="1189"/>
      <c r="Z360" s="1190"/>
      <c r="AB360" s="1190"/>
      <c r="AH360" s="701"/>
      <c r="AJ360" s="701"/>
      <c r="BB360" s="1190"/>
      <c r="BD360" s="1190"/>
      <c r="BF360" s="1190"/>
      <c r="BH360" s="1190"/>
      <c r="BJ360" s="1190"/>
      <c r="BN360" s="206"/>
      <c r="BO360" s="206"/>
      <c r="BP360" s="206"/>
      <c r="BQ360" s="195"/>
      <c r="BR360" s="195"/>
      <c r="BS360" s="195"/>
      <c r="BT360" s="195"/>
      <c r="BU360" s="195"/>
    </row>
    <row r="361" ht="15.75" customHeight="1">
      <c r="A361" s="1004"/>
      <c r="B361" s="1004"/>
      <c r="C361" s="1005"/>
      <c r="D361" s="1005"/>
      <c r="E361" s="977"/>
      <c r="F361" s="13"/>
      <c r="G361" s="677"/>
      <c r="H361" s="13"/>
      <c r="I361" s="677"/>
      <c r="J361" s="13"/>
      <c r="K361" s="677"/>
      <c r="L361" s="13"/>
      <c r="M361" s="677"/>
      <c r="N361" s="13"/>
      <c r="O361" s="13"/>
      <c r="P361" s="13"/>
      <c r="Q361" s="677"/>
      <c r="V361" s="1189"/>
      <c r="X361" s="1189"/>
      <c r="Z361" s="1190"/>
      <c r="AB361" s="1190"/>
      <c r="AH361" s="701"/>
      <c r="AJ361" s="701"/>
      <c r="BB361" s="1190"/>
      <c r="BD361" s="1190"/>
      <c r="BF361" s="1190"/>
      <c r="BH361" s="1190"/>
      <c r="BJ361" s="1190"/>
      <c r="BN361" s="206"/>
      <c r="BO361" s="206"/>
      <c r="BP361" s="206"/>
      <c r="BQ361" s="195"/>
      <c r="BR361" s="195"/>
      <c r="BS361" s="195"/>
      <c r="BT361" s="195"/>
      <c r="BU361" s="195"/>
    </row>
    <row r="362" ht="15.75" customHeight="1">
      <c r="A362" s="1004"/>
      <c r="B362" s="1004"/>
      <c r="C362" s="1005"/>
      <c r="D362" s="1005"/>
      <c r="E362" s="977"/>
      <c r="F362" s="13"/>
      <c r="G362" s="677"/>
      <c r="H362" s="13"/>
      <c r="I362" s="677"/>
      <c r="J362" s="13"/>
      <c r="K362" s="677"/>
      <c r="L362" s="13"/>
      <c r="M362" s="677"/>
      <c r="N362" s="13"/>
      <c r="O362" s="13"/>
      <c r="P362" s="13"/>
      <c r="Q362" s="677"/>
      <c r="V362" s="1189"/>
      <c r="X362" s="1189"/>
      <c r="Z362" s="1190"/>
      <c r="AB362" s="1190"/>
      <c r="AH362" s="701"/>
      <c r="AJ362" s="701"/>
      <c r="BB362" s="1190"/>
      <c r="BD362" s="1190"/>
      <c r="BF362" s="1190"/>
      <c r="BH362" s="1190"/>
      <c r="BJ362" s="1190"/>
      <c r="BN362" s="206"/>
      <c r="BO362" s="206"/>
      <c r="BP362" s="206"/>
      <c r="BQ362" s="195"/>
      <c r="BR362" s="195"/>
      <c r="BS362" s="195"/>
      <c r="BT362" s="195"/>
      <c r="BU362" s="195"/>
    </row>
    <row r="363" ht="15.75" customHeight="1">
      <c r="A363" s="1004"/>
      <c r="B363" s="1004"/>
      <c r="C363" s="1005"/>
      <c r="D363" s="1005"/>
      <c r="E363" s="977"/>
      <c r="F363" s="13"/>
      <c r="G363" s="677"/>
      <c r="H363" s="13"/>
      <c r="I363" s="677"/>
      <c r="J363" s="13"/>
      <c r="K363" s="677"/>
      <c r="L363" s="13"/>
      <c r="M363" s="677"/>
      <c r="N363" s="13"/>
      <c r="O363" s="13"/>
      <c r="P363" s="13"/>
      <c r="Q363" s="677"/>
      <c r="V363" s="1189"/>
      <c r="X363" s="1189"/>
      <c r="Z363" s="1190"/>
      <c r="AB363" s="1190"/>
      <c r="AH363" s="701"/>
      <c r="AJ363" s="701"/>
      <c r="BB363" s="1190"/>
      <c r="BD363" s="1190"/>
      <c r="BF363" s="1190"/>
      <c r="BH363" s="1190"/>
      <c r="BJ363" s="1190"/>
      <c r="BN363" s="206"/>
      <c r="BO363" s="206"/>
      <c r="BP363" s="206"/>
      <c r="BQ363" s="195"/>
      <c r="BR363" s="195"/>
      <c r="BS363" s="195"/>
      <c r="BT363" s="195"/>
      <c r="BU363" s="195"/>
    </row>
    <row r="364" ht="15.75" customHeight="1">
      <c r="A364" s="1004"/>
      <c r="B364" s="1004"/>
      <c r="C364" s="1005"/>
      <c r="D364" s="1005"/>
      <c r="E364" s="977"/>
      <c r="F364" s="13"/>
      <c r="G364" s="677"/>
      <c r="H364" s="13"/>
      <c r="I364" s="677"/>
      <c r="J364" s="13"/>
      <c r="K364" s="677"/>
      <c r="L364" s="13"/>
      <c r="M364" s="677"/>
      <c r="N364" s="13"/>
      <c r="O364" s="13"/>
      <c r="P364" s="13"/>
      <c r="Q364" s="677"/>
      <c r="V364" s="1189"/>
      <c r="X364" s="1189"/>
      <c r="Z364" s="1190"/>
      <c r="AB364" s="1190"/>
      <c r="AH364" s="701"/>
      <c r="AJ364" s="701"/>
      <c r="BB364" s="1190"/>
      <c r="BD364" s="1190"/>
      <c r="BF364" s="1190"/>
      <c r="BH364" s="1190"/>
      <c r="BJ364" s="1190"/>
      <c r="BN364" s="206"/>
      <c r="BO364" s="206"/>
      <c r="BP364" s="206"/>
      <c r="BQ364" s="195"/>
      <c r="BR364" s="195"/>
      <c r="BS364" s="195"/>
      <c r="BT364" s="195"/>
      <c r="BU364" s="195"/>
    </row>
    <row r="365" ht="15.75" customHeight="1">
      <c r="A365" s="1004"/>
      <c r="B365" s="1004"/>
      <c r="C365" s="1005"/>
      <c r="D365" s="1005"/>
      <c r="E365" s="977"/>
      <c r="F365" s="13"/>
      <c r="G365" s="677"/>
      <c r="H365" s="13"/>
      <c r="I365" s="677"/>
      <c r="J365" s="13"/>
      <c r="K365" s="677"/>
      <c r="L365" s="13"/>
      <c r="M365" s="677"/>
      <c r="N365" s="13"/>
      <c r="O365" s="13"/>
      <c r="P365" s="13"/>
      <c r="Q365" s="677"/>
      <c r="V365" s="1189"/>
      <c r="X365" s="1189"/>
      <c r="Z365" s="1190"/>
      <c r="AB365" s="1190"/>
      <c r="AH365" s="701"/>
      <c r="AJ365" s="701"/>
      <c r="BB365" s="1190"/>
      <c r="BD365" s="1190"/>
      <c r="BF365" s="1190"/>
      <c r="BH365" s="1190"/>
      <c r="BJ365" s="1190"/>
      <c r="BN365" s="206"/>
      <c r="BO365" s="206"/>
      <c r="BP365" s="206"/>
      <c r="BQ365" s="195"/>
      <c r="BR365" s="195"/>
      <c r="BS365" s="195"/>
      <c r="BT365" s="195"/>
      <c r="BU365" s="195"/>
    </row>
    <row r="366" ht="15.75" customHeight="1">
      <c r="A366" s="1004"/>
      <c r="B366" s="1004"/>
      <c r="C366" s="1005"/>
      <c r="D366" s="1005"/>
      <c r="E366" s="977"/>
      <c r="F366" s="13"/>
      <c r="G366" s="677"/>
      <c r="H366" s="13"/>
      <c r="I366" s="677"/>
      <c r="J366" s="13"/>
      <c r="K366" s="677"/>
      <c r="L366" s="13"/>
      <c r="M366" s="677"/>
      <c r="N366" s="13"/>
      <c r="O366" s="13"/>
      <c r="P366" s="13"/>
      <c r="Q366" s="677"/>
      <c r="V366" s="1189"/>
      <c r="X366" s="1189"/>
      <c r="Z366" s="1190"/>
      <c r="AB366" s="1190"/>
      <c r="AH366" s="701"/>
      <c r="AJ366" s="701"/>
      <c r="BB366" s="1190"/>
      <c r="BD366" s="1190"/>
      <c r="BF366" s="1190"/>
      <c r="BH366" s="1190"/>
      <c r="BJ366" s="1190"/>
      <c r="BN366" s="206"/>
      <c r="BO366" s="206"/>
      <c r="BP366" s="206"/>
      <c r="BQ366" s="195"/>
      <c r="BR366" s="195"/>
      <c r="BS366" s="195"/>
      <c r="BT366" s="195"/>
      <c r="BU366" s="195"/>
    </row>
    <row r="367" ht="15.75" customHeight="1">
      <c r="A367" s="1004"/>
      <c r="B367" s="1004"/>
      <c r="C367" s="1005"/>
      <c r="D367" s="1005"/>
      <c r="E367" s="977"/>
      <c r="F367" s="13"/>
      <c r="G367" s="677"/>
      <c r="H367" s="13"/>
      <c r="I367" s="677"/>
      <c r="J367" s="13"/>
      <c r="K367" s="677"/>
      <c r="L367" s="13"/>
      <c r="M367" s="677"/>
      <c r="N367" s="13"/>
      <c r="O367" s="13"/>
      <c r="P367" s="13"/>
      <c r="Q367" s="677"/>
      <c r="V367" s="1189"/>
      <c r="X367" s="1189"/>
      <c r="Z367" s="1190"/>
      <c r="AB367" s="1190"/>
      <c r="AH367" s="701"/>
      <c r="AJ367" s="701"/>
      <c r="BB367" s="1190"/>
      <c r="BD367" s="1190"/>
      <c r="BF367" s="1190"/>
      <c r="BH367" s="1190"/>
      <c r="BJ367" s="1190"/>
      <c r="BN367" s="206"/>
      <c r="BO367" s="206"/>
      <c r="BP367" s="206"/>
      <c r="BQ367" s="195"/>
      <c r="BR367" s="195"/>
      <c r="BS367" s="195"/>
      <c r="BT367" s="195"/>
      <c r="BU367" s="195"/>
    </row>
    <row r="368" ht="15.75" customHeight="1">
      <c r="A368" s="1004"/>
      <c r="B368" s="1004"/>
      <c r="C368" s="1005"/>
      <c r="D368" s="1005"/>
      <c r="E368" s="977"/>
      <c r="F368" s="13"/>
      <c r="G368" s="677"/>
      <c r="H368" s="13"/>
      <c r="I368" s="677"/>
      <c r="J368" s="13"/>
      <c r="K368" s="677"/>
      <c r="L368" s="13"/>
      <c r="M368" s="677"/>
      <c r="N368" s="13"/>
      <c r="O368" s="13"/>
      <c r="P368" s="13"/>
      <c r="Q368" s="677"/>
      <c r="V368" s="1189"/>
      <c r="X368" s="1189"/>
      <c r="Z368" s="1190"/>
      <c r="AB368" s="1190"/>
      <c r="AH368" s="701"/>
      <c r="AJ368" s="701"/>
      <c r="BB368" s="1190"/>
      <c r="BD368" s="1190"/>
      <c r="BF368" s="1190"/>
      <c r="BH368" s="1190"/>
      <c r="BJ368" s="1190"/>
      <c r="BN368" s="206"/>
      <c r="BO368" s="206"/>
      <c r="BP368" s="206"/>
      <c r="BQ368" s="195"/>
      <c r="BR368" s="195"/>
      <c r="BS368" s="195"/>
      <c r="BT368" s="195"/>
      <c r="BU368" s="195"/>
    </row>
    <row r="369" ht="15.75" customHeight="1">
      <c r="A369" s="1004"/>
      <c r="B369" s="1004"/>
      <c r="C369" s="1005"/>
      <c r="D369" s="1005"/>
      <c r="E369" s="977"/>
      <c r="F369" s="13"/>
      <c r="G369" s="677"/>
      <c r="H369" s="13"/>
      <c r="I369" s="677"/>
      <c r="J369" s="13"/>
      <c r="K369" s="677"/>
      <c r="L369" s="13"/>
      <c r="M369" s="677"/>
      <c r="N369" s="13"/>
      <c r="O369" s="13"/>
      <c r="P369" s="13"/>
      <c r="Q369" s="677"/>
      <c r="V369" s="1189"/>
      <c r="X369" s="1189"/>
      <c r="Z369" s="1190"/>
      <c r="AB369" s="1190"/>
      <c r="AH369" s="701"/>
      <c r="AJ369" s="701"/>
      <c r="BB369" s="1190"/>
      <c r="BD369" s="1190"/>
      <c r="BF369" s="1190"/>
      <c r="BH369" s="1190"/>
      <c r="BJ369" s="1190"/>
      <c r="BN369" s="206"/>
      <c r="BO369" s="206"/>
      <c r="BP369" s="206"/>
      <c r="BQ369" s="195"/>
      <c r="BR369" s="195"/>
      <c r="BS369" s="195"/>
      <c r="BT369" s="195"/>
      <c r="BU369" s="195"/>
    </row>
    <row r="370" ht="15.75" customHeight="1">
      <c r="A370" s="1004"/>
      <c r="B370" s="1004"/>
      <c r="C370" s="1005"/>
      <c r="D370" s="1005"/>
      <c r="E370" s="977"/>
      <c r="F370" s="13"/>
      <c r="G370" s="677"/>
      <c r="H370" s="13"/>
      <c r="I370" s="677"/>
      <c r="J370" s="13"/>
      <c r="K370" s="677"/>
      <c r="L370" s="13"/>
      <c r="M370" s="677"/>
      <c r="N370" s="13"/>
      <c r="O370" s="13"/>
      <c r="P370" s="13"/>
      <c r="Q370" s="677"/>
      <c r="V370" s="1189"/>
      <c r="X370" s="1189"/>
      <c r="Z370" s="1190"/>
      <c r="AB370" s="1190"/>
      <c r="AH370" s="701"/>
      <c r="AJ370" s="701"/>
      <c r="BB370" s="1190"/>
      <c r="BD370" s="1190"/>
      <c r="BF370" s="1190"/>
      <c r="BH370" s="1190"/>
      <c r="BJ370" s="1190"/>
      <c r="BN370" s="206"/>
      <c r="BO370" s="206"/>
      <c r="BP370" s="206"/>
      <c r="BQ370" s="195"/>
      <c r="BR370" s="195"/>
      <c r="BS370" s="195"/>
      <c r="BT370" s="195"/>
      <c r="BU370" s="195"/>
    </row>
    <row r="371" ht="15.75" customHeight="1">
      <c r="A371" s="1004"/>
      <c r="B371" s="1004"/>
      <c r="C371" s="1005"/>
      <c r="D371" s="1005"/>
      <c r="E371" s="977"/>
      <c r="F371" s="13"/>
      <c r="G371" s="677"/>
      <c r="H371" s="13"/>
      <c r="I371" s="677"/>
      <c r="J371" s="13"/>
      <c r="K371" s="677"/>
      <c r="L371" s="13"/>
      <c r="M371" s="677"/>
      <c r="N371" s="13"/>
      <c r="O371" s="13"/>
      <c r="P371" s="13"/>
      <c r="Q371" s="677"/>
      <c r="V371" s="1189"/>
      <c r="X371" s="1189"/>
      <c r="Z371" s="1190"/>
      <c r="AB371" s="1190"/>
      <c r="AH371" s="701"/>
      <c r="AJ371" s="701"/>
      <c r="BB371" s="1190"/>
      <c r="BD371" s="1190"/>
      <c r="BF371" s="1190"/>
      <c r="BH371" s="1190"/>
      <c r="BJ371" s="1190"/>
      <c r="BN371" s="206"/>
      <c r="BO371" s="206"/>
      <c r="BP371" s="206"/>
      <c r="BQ371" s="195"/>
      <c r="BR371" s="195"/>
      <c r="BS371" s="195"/>
      <c r="BT371" s="195"/>
      <c r="BU371" s="195"/>
    </row>
    <row r="372" ht="15.75" customHeight="1">
      <c r="A372" s="1004"/>
      <c r="B372" s="1004"/>
      <c r="C372" s="1005"/>
      <c r="D372" s="1005"/>
      <c r="E372" s="977"/>
      <c r="F372" s="13"/>
      <c r="G372" s="677"/>
      <c r="H372" s="13"/>
      <c r="I372" s="677"/>
      <c r="J372" s="13"/>
      <c r="K372" s="677"/>
      <c r="L372" s="13"/>
      <c r="M372" s="677"/>
      <c r="N372" s="13"/>
      <c r="O372" s="13"/>
      <c r="P372" s="13"/>
      <c r="Q372" s="677"/>
      <c r="V372" s="1189"/>
      <c r="X372" s="1189"/>
      <c r="Z372" s="1190"/>
      <c r="AB372" s="1190"/>
      <c r="AH372" s="701"/>
      <c r="AJ372" s="701"/>
      <c r="BB372" s="1190"/>
      <c r="BD372" s="1190"/>
      <c r="BF372" s="1190"/>
      <c r="BH372" s="1190"/>
      <c r="BJ372" s="1190"/>
      <c r="BN372" s="206"/>
      <c r="BO372" s="206"/>
      <c r="BP372" s="206"/>
      <c r="BQ372" s="195"/>
      <c r="BR372" s="195"/>
      <c r="BS372" s="195"/>
      <c r="BT372" s="195"/>
      <c r="BU372" s="195"/>
    </row>
    <row r="373" ht="15.75" customHeight="1">
      <c r="A373" s="1004"/>
      <c r="B373" s="1004"/>
      <c r="C373" s="1005"/>
      <c r="D373" s="1005"/>
      <c r="E373" s="977"/>
      <c r="F373" s="13"/>
      <c r="G373" s="677"/>
      <c r="H373" s="13"/>
      <c r="I373" s="677"/>
      <c r="J373" s="13"/>
      <c r="K373" s="677"/>
      <c r="L373" s="13"/>
      <c r="M373" s="677"/>
      <c r="N373" s="13"/>
      <c r="O373" s="13"/>
      <c r="P373" s="13"/>
      <c r="Q373" s="677"/>
      <c r="V373" s="1189"/>
      <c r="X373" s="1189"/>
      <c r="Z373" s="1190"/>
      <c r="AB373" s="1190"/>
      <c r="AH373" s="701"/>
      <c r="AJ373" s="701"/>
      <c r="BB373" s="1190"/>
      <c r="BD373" s="1190"/>
      <c r="BF373" s="1190"/>
      <c r="BH373" s="1190"/>
      <c r="BJ373" s="1190"/>
      <c r="BN373" s="206"/>
      <c r="BO373" s="206"/>
      <c r="BP373" s="206"/>
      <c r="BQ373" s="195"/>
      <c r="BR373" s="195"/>
      <c r="BS373" s="195"/>
      <c r="BT373" s="195"/>
      <c r="BU373" s="195"/>
    </row>
    <row r="374" ht="15.75" customHeight="1">
      <c r="A374" s="1004"/>
      <c r="B374" s="1004"/>
      <c r="C374" s="1005"/>
      <c r="D374" s="1005"/>
      <c r="E374" s="977"/>
      <c r="F374" s="13"/>
      <c r="G374" s="677"/>
      <c r="H374" s="13"/>
      <c r="I374" s="677"/>
      <c r="J374" s="13"/>
      <c r="K374" s="677"/>
      <c r="L374" s="13"/>
      <c r="M374" s="677"/>
      <c r="N374" s="13"/>
      <c r="O374" s="13"/>
      <c r="P374" s="13"/>
      <c r="Q374" s="677"/>
      <c r="V374" s="1189"/>
      <c r="X374" s="1189"/>
      <c r="Z374" s="1190"/>
      <c r="AB374" s="1190"/>
      <c r="AH374" s="701"/>
      <c r="AJ374" s="701"/>
      <c r="BB374" s="1190"/>
      <c r="BD374" s="1190"/>
      <c r="BF374" s="1190"/>
      <c r="BH374" s="1190"/>
      <c r="BJ374" s="1190"/>
      <c r="BN374" s="206"/>
      <c r="BO374" s="206"/>
      <c r="BP374" s="206"/>
      <c r="BQ374" s="195"/>
      <c r="BR374" s="195"/>
      <c r="BS374" s="195"/>
      <c r="BT374" s="195"/>
      <c r="BU374" s="195"/>
    </row>
    <row r="375" ht="15.75" customHeight="1">
      <c r="A375" s="1004"/>
      <c r="B375" s="1004"/>
      <c r="C375" s="1005"/>
      <c r="D375" s="1005"/>
      <c r="E375" s="977"/>
      <c r="F375" s="13"/>
      <c r="G375" s="677"/>
      <c r="H375" s="13"/>
      <c r="I375" s="677"/>
      <c r="J375" s="13"/>
      <c r="K375" s="677"/>
      <c r="L375" s="13"/>
      <c r="M375" s="677"/>
      <c r="N375" s="13"/>
      <c r="O375" s="13"/>
      <c r="P375" s="13"/>
      <c r="Q375" s="677"/>
      <c r="V375" s="1189"/>
      <c r="X375" s="1189"/>
      <c r="Z375" s="1190"/>
      <c r="AB375" s="1190"/>
      <c r="AH375" s="701"/>
      <c r="AJ375" s="701"/>
      <c r="BB375" s="1190"/>
      <c r="BD375" s="1190"/>
      <c r="BF375" s="1190"/>
      <c r="BH375" s="1190"/>
      <c r="BJ375" s="1190"/>
      <c r="BN375" s="206"/>
      <c r="BO375" s="206"/>
      <c r="BP375" s="206"/>
      <c r="BQ375" s="195"/>
      <c r="BR375" s="195"/>
      <c r="BS375" s="195"/>
      <c r="BT375" s="195"/>
      <c r="BU375" s="195"/>
    </row>
    <row r="376" ht="15.75" customHeight="1">
      <c r="A376" s="1004"/>
      <c r="B376" s="1004"/>
      <c r="C376" s="1005"/>
      <c r="D376" s="1005"/>
      <c r="E376" s="977"/>
      <c r="F376" s="13"/>
      <c r="G376" s="677"/>
      <c r="H376" s="13"/>
      <c r="I376" s="677"/>
      <c r="J376" s="13"/>
      <c r="K376" s="677"/>
      <c r="L376" s="13"/>
      <c r="M376" s="677"/>
      <c r="N376" s="13"/>
      <c r="O376" s="13"/>
      <c r="P376" s="13"/>
      <c r="Q376" s="677"/>
      <c r="V376" s="1189"/>
      <c r="X376" s="1189"/>
      <c r="Z376" s="1190"/>
      <c r="AB376" s="1190"/>
      <c r="AH376" s="701"/>
      <c r="AJ376" s="701"/>
      <c r="BB376" s="1190"/>
      <c r="BD376" s="1190"/>
      <c r="BF376" s="1190"/>
      <c r="BH376" s="1190"/>
      <c r="BJ376" s="1190"/>
      <c r="BN376" s="206"/>
      <c r="BO376" s="206"/>
      <c r="BP376" s="206"/>
      <c r="BQ376" s="195"/>
      <c r="BR376" s="195"/>
      <c r="BS376" s="195"/>
      <c r="BT376" s="195"/>
      <c r="BU376" s="195"/>
    </row>
    <row r="377" ht="15.75" customHeight="1">
      <c r="A377" s="1004"/>
      <c r="B377" s="1004"/>
      <c r="C377" s="1005"/>
      <c r="D377" s="1005"/>
      <c r="E377" s="977"/>
      <c r="F377" s="13"/>
      <c r="G377" s="677"/>
      <c r="H377" s="13"/>
      <c r="I377" s="677"/>
      <c r="J377" s="13"/>
      <c r="K377" s="677"/>
      <c r="L377" s="13"/>
      <c r="M377" s="677"/>
      <c r="N377" s="13"/>
      <c r="O377" s="13"/>
      <c r="P377" s="13"/>
      <c r="Q377" s="677"/>
      <c r="V377" s="1189"/>
      <c r="X377" s="1189"/>
      <c r="Z377" s="1190"/>
      <c r="AB377" s="1190"/>
      <c r="AH377" s="701"/>
      <c r="AJ377" s="701"/>
      <c r="BB377" s="1190"/>
      <c r="BD377" s="1190"/>
      <c r="BF377" s="1190"/>
      <c r="BH377" s="1190"/>
      <c r="BJ377" s="1190"/>
      <c r="BN377" s="206"/>
      <c r="BO377" s="206"/>
      <c r="BP377" s="206"/>
      <c r="BQ377" s="195"/>
      <c r="BR377" s="195"/>
      <c r="BS377" s="195"/>
      <c r="BT377" s="195"/>
      <c r="BU377" s="195"/>
    </row>
    <row r="378" ht="15.75" customHeight="1">
      <c r="A378" s="1004"/>
      <c r="B378" s="1004"/>
      <c r="C378" s="1005"/>
      <c r="D378" s="1005"/>
      <c r="E378" s="977"/>
      <c r="F378" s="13"/>
      <c r="G378" s="677"/>
      <c r="H378" s="13"/>
      <c r="I378" s="677"/>
      <c r="J378" s="13"/>
      <c r="K378" s="677"/>
      <c r="L378" s="13"/>
      <c r="M378" s="677"/>
      <c r="N378" s="13"/>
      <c r="O378" s="13"/>
      <c r="P378" s="13"/>
      <c r="Q378" s="677"/>
      <c r="V378" s="1189"/>
      <c r="X378" s="1189"/>
      <c r="Z378" s="1190"/>
      <c r="AB378" s="1190"/>
      <c r="AH378" s="701"/>
      <c r="AJ378" s="701"/>
      <c r="BB378" s="1190"/>
      <c r="BD378" s="1190"/>
      <c r="BF378" s="1190"/>
      <c r="BH378" s="1190"/>
      <c r="BJ378" s="1190"/>
      <c r="BN378" s="206"/>
      <c r="BO378" s="206"/>
      <c r="BP378" s="206"/>
      <c r="BQ378" s="195"/>
      <c r="BR378" s="195"/>
      <c r="BS378" s="195"/>
      <c r="BT378" s="195"/>
      <c r="BU378" s="195"/>
    </row>
    <row r="379" ht="15.75" customHeight="1">
      <c r="A379" s="1004"/>
      <c r="B379" s="1004"/>
      <c r="C379" s="1005"/>
      <c r="D379" s="1005"/>
      <c r="E379" s="977"/>
      <c r="F379" s="13"/>
      <c r="G379" s="677"/>
      <c r="H379" s="13"/>
      <c r="I379" s="677"/>
      <c r="J379" s="13"/>
      <c r="K379" s="677"/>
      <c r="L379" s="13"/>
      <c r="M379" s="677"/>
      <c r="N379" s="13"/>
      <c r="O379" s="13"/>
      <c r="P379" s="13"/>
      <c r="Q379" s="677"/>
      <c r="V379" s="1189"/>
      <c r="X379" s="1189"/>
      <c r="Z379" s="1190"/>
      <c r="AB379" s="1190"/>
      <c r="AH379" s="701"/>
      <c r="AJ379" s="701"/>
      <c r="BB379" s="1190"/>
      <c r="BD379" s="1190"/>
      <c r="BF379" s="1190"/>
      <c r="BH379" s="1190"/>
      <c r="BJ379" s="1190"/>
      <c r="BN379" s="206"/>
      <c r="BO379" s="206"/>
      <c r="BP379" s="206"/>
      <c r="BQ379" s="195"/>
      <c r="BR379" s="195"/>
      <c r="BS379" s="195"/>
      <c r="BT379" s="195"/>
      <c r="BU379" s="195"/>
    </row>
    <row r="380" ht="15.75" customHeight="1">
      <c r="A380" s="1004"/>
      <c r="B380" s="1004"/>
      <c r="C380" s="1005"/>
      <c r="D380" s="1005"/>
      <c r="E380" s="977"/>
      <c r="F380" s="13"/>
      <c r="G380" s="677"/>
      <c r="H380" s="13"/>
      <c r="I380" s="677"/>
      <c r="J380" s="13"/>
      <c r="K380" s="677"/>
      <c r="L380" s="13"/>
      <c r="M380" s="677"/>
      <c r="N380" s="13"/>
      <c r="O380" s="13"/>
      <c r="P380" s="13"/>
      <c r="Q380" s="677"/>
      <c r="V380" s="1189"/>
      <c r="X380" s="1189"/>
      <c r="Z380" s="1190"/>
      <c r="AB380" s="1190"/>
      <c r="AH380" s="701"/>
      <c r="AJ380" s="701"/>
      <c r="BB380" s="1190"/>
      <c r="BD380" s="1190"/>
      <c r="BF380" s="1190"/>
      <c r="BH380" s="1190"/>
      <c r="BJ380" s="1190"/>
      <c r="BN380" s="206"/>
      <c r="BO380" s="206"/>
      <c r="BP380" s="206"/>
      <c r="BQ380" s="195"/>
      <c r="BR380" s="195"/>
      <c r="BS380" s="195"/>
      <c r="BT380" s="195"/>
      <c r="BU380" s="195"/>
    </row>
    <row r="381" ht="15.75" customHeight="1">
      <c r="A381" s="1004"/>
      <c r="B381" s="1004"/>
      <c r="C381" s="1005"/>
      <c r="D381" s="1005"/>
      <c r="E381" s="977"/>
      <c r="F381" s="13"/>
      <c r="G381" s="677"/>
      <c r="H381" s="13"/>
      <c r="I381" s="677"/>
      <c r="J381" s="13"/>
      <c r="K381" s="677"/>
      <c r="L381" s="13"/>
      <c r="M381" s="677"/>
      <c r="N381" s="13"/>
      <c r="O381" s="13"/>
      <c r="P381" s="13"/>
      <c r="Q381" s="677"/>
      <c r="V381" s="1189"/>
      <c r="X381" s="1189"/>
      <c r="Z381" s="1190"/>
      <c r="AB381" s="1190"/>
      <c r="AH381" s="701"/>
      <c r="AJ381" s="701"/>
      <c r="BB381" s="1190"/>
      <c r="BD381" s="1190"/>
      <c r="BF381" s="1190"/>
      <c r="BH381" s="1190"/>
      <c r="BJ381" s="1190"/>
      <c r="BN381" s="206"/>
      <c r="BO381" s="206"/>
      <c r="BP381" s="206"/>
      <c r="BQ381" s="195"/>
      <c r="BR381" s="195"/>
      <c r="BS381" s="195"/>
      <c r="BT381" s="195"/>
      <c r="BU381" s="195"/>
    </row>
    <row r="382" ht="15.75" customHeight="1">
      <c r="A382" s="1004"/>
      <c r="B382" s="1004"/>
      <c r="C382" s="1005"/>
      <c r="D382" s="1005"/>
      <c r="E382" s="977"/>
      <c r="F382" s="13"/>
      <c r="G382" s="677"/>
      <c r="H382" s="13"/>
      <c r="I382" s="677"/>
      <c r="J382" s="13"/>
      <c r="K382" s="677"/>
      <c r="L382" s="13"/>
      <c r="M382" s="677"/>
      <c r="N382" s="13"/>
      <c r="O382" s="13"/>
      <c r="P382" s="13"/>
      <c r="Q382" s="677"/>
      <c r="V382" s="1189"/>
      <c r="X382" s="1189"/>
      <c r="Z382" s="1190"/>
      <c r="AB382" s="1190"/>
      <c r="AH382" s="701"/>
      <c r="AJ382" s="701"/>
      <c r="BB382" s="1190"/>
      <c r="BD382" s="1190"/>
      <c r="BF382" s="1190"/>
      <c r="BH382" s="1190"/>
      <c r="BJ382" s="1190"/>
      <c r="BN382" s="206"/>
      <c r="BO382" s="206"/>
      <c r="BP382" s="206"/>
      <c r="BQ382" s="195"/>
      <c r="BR382" s="195"/>
      <c r="BS382" s="195"/>
      <c r="BT382" s="195"/>
      <c r="BU382" s="195"/>
    </row>
    <row r="383" ht="15.75" customHeight="1">
      <c r="A383" s="1004"/>
      <c r="B383" s="1004"/>
      <c r="C383" s="1005"/>
      <c r="D383" s="1005"/>
      <c r="E383" s="977"/>
      <c r="F383" s="13"/>
      <c r="G383" s="677"/>
      <c r="H383" s="13"/>
      <c r="I383" s="677"/>
      <c r="J383" s="13"/>
      <c r="K383" s="677"/>
      <c r="L383" s="13"/>
      <c r="M383" s="677"/>
      <c r="N383" s="13"/>
      <c r="O383" s="13"/>
      <c r="P383" s="13"/>
      <c r="Q383" s="677"/>
      <c r="V383" s="1189"/>
      <c r="X383" s="1189"/>
      <c r="Z383" s="1190"/>
      <c r="AB383" s="1190"/>
      <c r="AH383" s="701"/>
      <c r="AJ383" s="701"/>
      <c r="BB383" s="1190"/>
      <c r="BD383" s="1190"/>
      <c r="BF383" s="1190"/>
      <c r="BH383" s="1190"/>
      <c r="BJ383" s="1190"/>
      <c r="BN383" s="206"/>
      <c r="BO383" s="206"/>
      <c r="BP383" s="206"/>
      <c r="BQ383" s="195"/>
      <c r="BR383" s="195"/>
      <c r="BS383" s="195"/>
      <c r="BT383" s="195"/>
      <c r="BU383" s="195"/>
    </row>
    <row r="384" ht="15.75" customHeight="1">
      <c r="A384" s="1004"/>
      <c r="B384" s="1004"/>
      <c r="C384" s="1005"/>
      <c r="D384" s="1005"/>
      <c r="E384" s="977"/>
      <c r="F384" s="13"/>
      <c r="G384" s="677"/>
      <c r="H384" s="13"/>
      <c r="I384" s="677"/>
      <c r="J384" s="13"/>
      <c r="K384" s="677"/>
      <c r="L384" s="13"/>
      <c r="M384" s="677"/>
      <c r="N384" s="13"/>
      <c r="O384" s="13"/>
      <c r="P384" s="13"/>
      <c r="Q384" s="677"/>
      <c r="V384" s="1189"/>
      <c r="X384" s="1189"/>
      <c r="Z384" s="1190"/>
      <c r="AB384" s="1190"/>
      <c r="AH384" s="701"/>
      <c r="AJ384" s="701"/>
      <c r="BB384" s="1190"/>
      <c r="BD384" s="1190"/>
      <c r="BF384" s="1190"/>
      <c r="BH384" s="1190"/>
      <c r="BJ384" s="1190"/>
      <c r="BN384" s="206"/>
      <c r="BO384" s="206"/>
      <c r="BP384" s="206"/>
      <c r="BQ384" s="195"/>
      <c r="BR384" s="195"/>
      <c r="BS384" s="195"/>
      <c r="BT384" s="195"/>
      <c r="BU384" s="195"/>
    </row>
    <row r="385" ht="15.75" customHeight="1">
      <c r="A385" s="1004"/>
      <c r="B385" s="1004"/>
      <c r="C385" s="1005"/>
      <c r="D385" s="1005"/>
      <c r="E385" s="977"/>
      <c r="F385" s="13"/>
      <c r="G385" s="677"/>
      <c r="H385" s="13"/>
      <c r="I385" s="677"/>
      <c r="J385" s="13"/>
      <c r="K385" s="677"/>
      <c r="L385" s="13"/>
      <c r="M385" s="677"/>
      <c r="N385" s="13"/>
      <c r="O385" s="13"/>
      <c r="P385" s="13"/>
      <c r="Q385" s="677"/>
      <c r="V385" s="1189"/>
      <c r="X385" s="1189"/>
      <c r="Z385" s="1190"/>
      <c r="AB385" s="1190"/>
      <c r="AH385" s="701"/>
      <c r="AJ385" s="701"/>
      <c r="BB385" s="1190"/>
      <c r="BD385" s="1190"/>
      <c r="BF385" s="1190"/>
      <c r="BH385" s="1190"/>
      <c r="BJ385" s="1190"/>
      <c r="BN385" s="206"/>
      <c r="BO385" s="206"/>
      <c r="BP385" s="206"/>
      <c r="BQ385" s="195"/>
      <c r="BR385" s="195"/>
      <c r="BS385" s="195"/>
      <c r="BT385" s="195"/>
      <c r="BU385" s="195"/>
    </row>
    <row r="386" ht="15.75" customHeight="1">
      <c r="A386" s="1004"/>
      <c r="B386" s="1004"/>
      <c r="C386" s="1005"/>
      <c r="D386" s="1005"/>
      <c r="E386" s="977"/>
      <c r="F386" s="13"/>
      <c r="G386" s="677"/>
      <c r="H386" s="13"/>
      <c r="I386" s="677"/>
      <c r="J386" s="13"/>
      <c r="K386" s="677"/>
      <c r="L386" s="13"/>
      <c r="M386" s="677"/>
      <c r="N386" s="13"/>
      <c r="O386" s="13"/>
      <c r="P386" s="13"/>
      <c r="Q386" s="677"/>
      <c r="V386" s="1189"/>
      <c r="X386" s="1189"/>
      <c r="Z386" s="1190"/>
      <c r="AB386" s="1190"/>
      <c r="AH386" s="701"/>
      <c r="AJ386" s="701"/>
      <c r="BB386" s="1190"/>
      <c r="BD386" s="1190"/>
      <c r="BF386" s="1190"/>
      <c r="BH386" s="1190"/>
      <c r="BJ386" s="1190"/>
      <c r="BN386" s="206"/>
      <c r="BO386" s="206"/>
      <c r="BP386" s="206"/>
      <c r="BQ386" s="195"/>
      <c r="BR386" s="195"/>
      <c r="BS386" s="195"/>
      <c r="BT386" s="195"/>
      <c r="BU386" s="195"/>
    </row>
    <row r="387" ht="15.75" customHeight="1">
      <c r="A387" s="1004"/>
      <c r="B387" s="1004"/>
      <c r="C387" s="1005"/>
      <c r="D387" s="1005"/>
      <c r="E387" s="977"/>
      <c r="F387" s="13"/>
      <c r="G387" s="677"/>
      <c r="H387" s="13"/>
      <c r="I387" s="677"/>
      <c r="J387" s="13"/>
      <c r="K387" s="677"/>
      <c r="L387" s="13"/>
      <c r="M387" s="677"/>
      <c r="N387" s="13"/>
      <c r="O387" s="13"/>
      <c r="P387" s="13"/>
      <c r="Q387" s="677"/>
      <c r="V387" s="1189"/>
      <c r="X387" s="1189"/>
      <c r="Z387" s="1190"/>
      <c r="AB387" s="1190"/>
      <c r="AH387" s="701"/>
      <c r="AJ387" s="701"/>
      <c r="BB387" s="1190"/>
      <c r="BD387" s="1190"/>
      <c r="BF387" s="1190"/>
      <c r="BH387" s="1190"/>
      <c r="BJ387" s="1190"/>
      <c r="BN387" s="206"/>
      <c r="BO387" s="206"/>
      <c r="BP387" s="206"/>
      <c r="BQ387" s="195"/>
      <c r="BR387" s="195"/>
      <c r="BS387" s="195"/>
      <c r="BT387" s="195"/>
      <c r="BU387" s="195"/>
    </row>
    <row r="388" ht="15.75" customHeight="1">
      <c r="A388" s="1004"/>
      <c r="B388" s="1004"/>
      <c r="C388" s="1005"/>
      <c r="D388" s="1005"/>
      <c r="E388" s="977"/>
      <c r="F388" s="13"/>
      <c r="G388" s="677"/>
      <c r="H388" s="13"/>
      <c r="I388" s="677"/>
      <c r="J388" s="13"/>
      <c r="K388" s="677"/>
      <c r="L388" s="13"/>
      <c r="M388" s="677"/>
      <c r="N388" s="13"/>
      <c r="O388" s="13"/>
      <c r="P388" s="13"/>
      <c r="Q388" s="677"/>
      <c r="V388" s="1189"/>
      <c r="X388" s="1189"/>
      <c r="Z388" s="1190"/>
      <c r="AB388" s="1190"/>
      <c r="AH388" s="701"/>
      <c r="AJ388" s="701"/>
      <c r="BB388" s="1190"/>
      <c r="BD388" s="1190"/>
      <c r="BF388" s="1190"/>
      <c r="BH388" s="1190"/>
      <c r="BJ388" s="1190"/>
      <c r="BN388" s="206"/>
      <c r="BO388" s="206"/>
      <c r="BP388" s="206"/>
      <c r="BQ388" s="195"/>
      <c r="BR388" s="195"/>
      <c r="BS388" s="195"/>
      <c r="BT388" s="195"/>
      <c r="BU388" s="195"/>
    </row>
    <row r="389" ht="15.75" customHeight="1">
      <c r="A389" s="1004"/>
      <c r="B389" s="1004"/>
      <c r="C389" s="1005"/>
      <c r="D389" s="1005"/>
      <c r="E389" s="977"/>
      <c r="F389" s="13"/>
      <c r="G389" s="677"/>
      <c r="H389" s="13"/>
      <c r="I389" s="677"/>
      <c r="J389" s="13"/>
      <c r="K389" s="677"/>
      <c r="L389" s="13"/>
      <c r="M389" s="677"/>
      <c r="N389" s="13"/>
      <c r="O389" s="13"/>
      <c r="P389" s="13"/>
      <c r="Q389" s="677"/>
      <c r="V389" s="1189"/>
      <c r="X389" s="1189"/>
      <c r="Z389" s="1190"/>
      <c r="AB389" s="1190"/>
      <c r="AH389" s="701"/>
      <c r="AJ389" s="701"/>
      <c r="BB389" s="1190"/>
      <c r="BD389" s="1190"/>
      <c r="BF389" s="1190"/>
      <c r="BH389" s="1190"/>
      <c r="BJ389" s="1190"/>
      <c r="BN389" s="206"/>
      <c r="BO389" s="206"/>
      <c r="BP389" s="206"/>
      <c r="BQ389" s="195"/>
      <c r="BR389" s="195"/>
      <c r="BS389" s="195"/>
      <c r="BT389" s="195"/>
      <c r="BU389" s="195"/>
    </row>
    <row r="390" ht="15.75" customHeight="1">
      <c r="A390" s="1004"/>
      <c r="B390" s="1004"/>
      <c r="C390" s="1005"/>
      <c r="D390" s="1005"/>
      <c r="E390" s="977"/>
      <c r="F390" s="13"/>
      <c r="G390" s="677"/>
      <c r="H390" s="13"/>
      <c r="I390" s="677"/>
      <c r="J390" s="13"/>
      <c r="K390" s="677"/>
      <c r="L390" s="13"/>
      <c r="M390" s="677"/>
      <c r="N390" s="13"/>
      <c r="O390" s="13"/>
      <c r="P390" s="13"/>
      <c r="Q390" s="677"/>
      <c r="V390" s="1189"/>
      <c r="X390" s="1189"/>
      <c r="Z390" s="1190"/>
      <c r="AB390" s="1190"/>
      <c r="AH390" s="701"/>
      <c r="AJ390" s="701"/>
      <c r="BB390" s="1190"/>
      <c r="BD390" s="1190"/>
      <c r="BF390" s="1190"/>
      <c r="BH390" s="1190"/>
      <c r="BJ390" s="1190"/>
      <c r="BN390" s="206"/>
      <c r="BO390" s="206"/>
      <c r="BP390" s="206"/>
      <c r="BQ390" s="195"/>
      <c r="BR390" s="195"/>
      <c r="BS390" s="195"/>
      <c r="BT390" s="195"/>
      <c r="BU390" s="195"/>
    </row>
    <row r="391" ht="15.75" customHeight="1">
      <c r="A391" s="1004"/>
      <c r="B391" s="1004"/>
      <c r="C391" s="1005"/>
      <c r="D391" s="1005"/>
      <c r="E391" s="977"/>
      <c r="F391" s="13"/>
      <c r="G391" s="677"/>
      <c r="H391" s="13"/>
      <c r="I391" s="677"/>
      <c r="J391" s="13"/>
      <c r="K391" s="677"/>
      <c r="L391" s="13"/>
      <c r="M391" s="677"/>
      <c r="N391" s="13"/>
      <c r="O391" s="13"/>
      <c r="P391" s="13"/>
      <c r="Q391" s="677"/>
      <c r="V391" s="1189"/>
      <c r="X391" s="1189"/>
      <c r="Z391" s="1190"/>
      <c r="AB391" s="1190"/>
      <c r="AH391" s="701"/>
      <c r="AJ391" s="701"/>
      <c r="BB391" s="1190"/>
      <c r="BD391" s="1190"/>
      <c r="BF391" s="1190"/>
      <c r="BH391" s="1190"/>
      <c r="BJ391" s="1190"/>
      <c r="BN391" s="206"/>
      <c r="BO391" s="206"/>
      <c r="BP391" s="206"/>
      <c r="BQ391" s="195"/>
      <c r="BR391" s="195"/>
      <c r="BS391" s="195"/>
      <c r="BT391" s="195"/>
      <c r="BU391" s="195"/>
    </row>
    <row r="392" ht="15.75" customHeight="1">
      <c r="A392" s="1004"/>
      <c r="B392" s="1004"/>
      <c r="C392" s="1005"/>
      <c r="D392" s="1005"/>
      <c r="E392" s="977"/>
      <c r="F392" s="13"/>
      <c r="G392" s="1779"/>
      <c r="H392" s="13"/>
      <c r="I392" s="1779"/>
      <c r="J392" s="13"/>
      <c r="K392" s="1779"/>
      <c r="L392" s="13"/>
      <c r="M392" s="1779"/>
      <c r="N392" s="13"/>
      <c r="O392" s="1780"/>
      <c r="P392" s="13"/>
      <c r="Q392" s="1779"/>
      <c r="V392" s="1189"/>
      <c r="X392" s="1189"/>
      <c r="Z392" s="1190"/>
      <c r="AB392" s="1190"/>
      <c r="AH392" s="701"/>
      <c r="AJ392" s="701"/>
      <c r="BB392" s="1190"/>
      <c r="BD392" s="1190"/>
      <c r="BF392" s="1190"/>
      <c r="BH392" s="1190"/>
      <c r="BJ392" s="1190"/>
      <c r="BN392" s="206"/>
      <c r="BO392" s="206"/>
      <c r="BP392" s="206"/>
      <c r="BQ392" s="195"/>
      <c r="BR392" s="195"/>
      <c r="BS392" s="195"/>
      <c r="BT392" s="195"/>
      <c r="BU392" s="195"/>
    </row>
    <row r="393" ht="15.75" customHeight="1">
      <c r="A393" s="1004"/>
      <c r="B393" s="1004"/>
      <c r="C393" s="1005"/>
      <c r="D393" s="1005"/>
      <c r="E393" s="977"/>
      <c r="F393" s="13"/>
      <c r="G393" s="1779"/>
      <c r="H393" s="13"/>
      <c r="I393" s="1779"/>
      <c r="J393" s="13"/>
      <c r="K393" s="1779"/>
      <c r="L393" s="13"/>
      <c r="M393" s="1779"/>
      <c r="N393" s="13"/>
      <c r="O393" s="1780"/>
      <c r="P393" s="13"/>
      <c r="Q393" s="1779"/>
      <c r="V393" s="1189"/>
      <c r="X393" s="1189"/>
      <c r="Z393" s="1190"/>
      <c r="AB393" s="1190"/>
      <c r="AH393" s="701"/>
      <c r="AJ393" s="701"/>
      <c r="BB393" s="1190"/>
      <c r="BD393" s="1190"/>
      <c r="BF393" s="1190"/>
      <c r="BH393" s="1190"/>
      <c r="BJ393" s="1190"/>
      <c r="BN393" s="206"/>
      <c r="BO393" s="206"/>
      <c r="BP393" s="206"/>
      <c r="BQ393" s="195"/>
      <c r="BR393" s="195"/>
      <c r="BS393" s="195"/>
      <c r="BT393" s="195"/>
      <c r="BU393" s="195"/>
    </row>
    <row r="394" ht="15.75" customHeight="1">
      <c r="A394" s="1004"/>
      <c r="B394" s="1004"/>
      <c r="C394" s="1005"/>
      <c r="D394" s="1005"/>
      <c r="E394" s="977"/>
      <c r="F394" s="13"/>
      <c r="G394" s="1779"/>
      <c r="H394" s="13"/>
      <c r="I394" s="1779"/>
      <c r="J394" s="13"/>
      <c r="K394" s="1779"/>
      <c r="L394" s="13"/>
      <c r="M394" s="1779"/>
      <c r="N394" s="13"/>
      <c r="O394" s="1780"/>
      <c r="P394" s="13"/>
      <c r="Q394" s="1779"/>
      <c r="V394" s="1189"/>
      <c r="X394" s="1189"/>
      <c r="Z394" s="1190"/>
      <c r="AB394" s="1190"/>
      <c r="AH394" s="701"/>
      <c r="AJ394" s="701"/>
      <c r="BB394" s="1190"/>
      <c r="BD394" s="1190"/>
      <c r="BF394" s="1190"/>
      <c r="BH394" s="1190"/>
      <c r="BJ394" s="1190"/>
      <c r="BN394" s="206"/>
      <c r="BO394" s="206"/>
      <c r="BP394" s="206"/>
      <c r="BQ394" s="195"/>
      <c r="BR394" s="195"/>
      <c r="BS394" s="195"/>
      <c r="BT394" s="195"/>
      <c r="BU394" s="195"/>
    </row>
    <row r="395" ht="15.75" customHeight="1">
      <c r="A395" s="1004"/>
      <c r="B395" s="1004"/>
      <c r="C395" s="1005"/>
      <c r="D395" s="1005"/>
      <c r="E395" s="977"/>
      <c r="F395" s="13"/>
      <c r="G395" s="1779"/>
      <c r="H395" s="13"/>
      <c r="I395" s="1779"/>
      <c r="J395" s="13"/>
      <c r="K395" s="1779"/>
      <c r="L395" s="13"/>
      <c r="M395" s="1779"/>
      <c r="N395" s="13"/>
      <c r="O395" s="1780"/>
      <c r="P395" s="13"/>
      <c r="Q395" s="1779"/>
      <c r="V395" s="1189"/>
      <c r="X395" s="1189"/>
      <c r="Z395" s="1190"/>
      <c r="AB395" s="1190"/>
      <c r="AH395" s="701"/>
      <c r="AJ395" s="701"/>
      <c r="BB395" s="1190"/>
      <c r="BD395" s="1190"/>
      <c r="BF395" s="1190"/>
      <c r="BH395" s="1190"/>
      <c r="BJ395" s="1190"/>
      <c r="BN395" s="206"/>
      <c r="BO395" s="206"/>
      <c r="BP395" s="206"/>
      <c r="BQ395" s="195"/>
      <c r="BR395" s="195"/>
      <c r="BS395" s="195"/>
      <c r="BT395" s="195"/>
      <c r="BU395" s="195"/>
    </row>
    <row r="396" ht="15.75" customHeight="1">
      <c r="A396" s="1004"/>
      <c r="B396" s="1004"/>
      <c r="C396" s="1005"/>
      <c r="D396" s="1005"/>
      <c r="E396" s="977"/>
      <c r="F396" s="13"/>
      <c r="G396" s="1779"/>
      <c r="H396" s="13"/>
      <c r="I396" s="1779"/>
      <c r="J396" s="13"/>
      <c r="K396" s="1779"/>
      <c r="L396" s="13"/>
      <c r="M396" s="1779"/>
      <c r="N396" s="13"/>
      <c r="O396" s="1780"/>
      <c r="P396" s="13"/>
      <c r="Q396" s="1779"/>
      <c r="V396" s="1189"/>
      <c r="X396" s="1189"/>
      <c r="Z396" s="1190"/>
      <c r="AB396" s="1190"/>
      <c r="AH396" s="701"/>
      <c r="AJ396" s="701"/>
      <c r="BB396" s="1190"/>
      <c r="BD396" s="1190"/>
      <c r="BF396" s="1190"/>
      <c r="BH396" s="1190"/>
      <c r="BJ396" s="1190"/>
      <c r="BN396" s="206"/>
      <c r="BO396" s="206"/>
      <c r="BP396" s="206"/>
      <c r="BQ396" s="195"/>
      <c r="BR396" s="195"/>
      <c r="BS396" s="195"/>
      <c r="BT396" s="195"/>
      <c r="BU396" s="195"/>
    </row>
    <row r="397" ht="15.75" customHeight="1">
      <c r="A397" s="1004"/>
      <c r="B397" s="1004"/>
      <c r="C397" s="1005"/>
      <c r="D397" s="1005"/>
      <c r="E397" s="977"/>
      <c r="F397" s="13"/>
      <c r="G397" s="1779"/>
      <c r="H397" s="13"/>
      <c r="I397" s="1779"/>
      <c r="J397" s="13"/>
      <c r="K397" s="1779"/>
      <c r="L397" s="13"/>
      <c r="M397" s="1779"/>
      <c r="N397" s="13"/>
      <c r="O397" s="1780"/>
      <c r="P397" s="13"/>
      <c r="Q397" s="1779"/>
      <c r="V397" s="1189"/>
      <c r="X397" s="1189"/>
      <c r="Z397" s="1190"/>
      <c r="AB397" s="1190"/>
      <c r="AH397" s="701"/>
      <c r="AJ397" s="701"/>
      <c r="BB397" s="1190"/>
      <c r="BD397" s="1190"/>
      <c r="BF397" s="1190"/>
      <c r="BH397" s="1190"/>
      <c r="BJ397" s="1190"/>
      <c r="BN397" s="206"/>
      <c r="BO397" s="206"/>
      <c r="BP397" s="206"/>
      <c r="BQ397" s="195"/>
      <c r="BR397" s="195"/>
      <c r="BS397" s="195"/>
      <c r="BT397" s="195"/>
      <c r="BU397" s="195"/>
    </row>
    <row r="398" ht="15.75" customHeight="1">
      <c r="A398" s="1004"/>
      <c r="B398" s="1004"/>
      <c r="C398" s="1005"/>
      <c r="D398" s="1005"/>
      <c r="E398" s="977"/>
      <c r="F398" s="13"/>
      <c r="G398" s="1779"/>
      <c r="H398" s="13"/>
      <c r="I398" s="1779"/>
      <c r="J398" s="13"/>
      <c r="K398" s="1779"/>
      <c r="L398" s="13"/>
      <c r="M398" s="1779"/>
      <c r="N398" s="13"/>
      <c r="O398" s="1780"/>
      <c r="P398" s="13"/>
      <c r="Q398" s="1779"/>
      <c r="V398" s="1189"/>
      <c r="X398" s="1189"/>
      <c r="Z398" s="1190"/>
      <c r="AB398" s="1190"/>
      <c r="AH398" s="701"/>
      <c r="AJ398" s="701"/>
      <c r="BB398" s="1190"/>
      <c r="BD398" s="1190"/>
      <c r="BF398" s="1190"/>
      <c r="BH398" s="1190"/>
      <c r="BJ398" s="1190"/>
      <c r="BN398" s="206"/>
      <c r="BO398" s="206"/>
      <c r="BP398" s="206"/>
      <c r="BQ398" s="195"/>
      <c r="BR398" s="195"/>
      <c r="BS398" s="195"/>
      <c r="BT398" s="195"/>
      <c r="BU398" s="195"/>
    </row>
    <row r="399" ht="15.75" customHeight="1">
      <c r="A399" s="1004"/>
      <c r="B399" s="1004"/>
      <c r="C399" s="1005"/>
      <c r="D399" s="1005"/>
      <c r="E399" s="977"/>
      <c r="F399" s="13"/>
      <c r="G399" s="1779"/>
      <c r="H399" s="13"/>
      <c r="I399" s="1779"/>
      <c r="J399" s="13"/>
      <c r="K399" s="1779"/>
      <c r="L399" s="13"/>
      <c r="M399" s="1779"/>
      <c r="N399" s="13"/>
      <c r="O399" s="1780"/>
      <c r="P399" s="13"/>
      <c r="Q399" s="1779"/>
      <c r="V399" s="1189"/>
      <c r="X399" s="1189"/>
      <c r="Z399" s="1190"/>
      <c r="AB399" s="1190"/>
      <c r="AH399" s="701"/>
      <c r="AJ399" s="701"/>
      <c r="BB399" s="1190"/>
      <c r="BD399" s="1190"/>
      <c r="BF399" s="1190"/>
      <c r="BH399" s="1190"/>
      <c r="BJ399" s="1190"/>
      <c r="BN399" s="206"/>
      <c r="BO399" s="206"/>
      <c r="BP399" s="206"/>
      <c r="BQ399" s="195"/>
      <c r="BR399" s="195"/>
      <c r="BS399" s="195"/>
      <c r="BT399" s="195"/>
      <c r="BU399" s="195"/>
    </row>
    <row r="400" ht="15.75" customHeight="1">
      <c r="A400" s="1004"/>
      <c r="B400" s="1004"/>
      <c r="C400" s="1005"/>
      <c r="D400" s="1005"/>
      <c r="E400" s="977"/>
      <c r="F400" s="13"/>
      <c r="G400" s="1779"/>
      <c r="H400" s="13"/>
      <c r="I400" s="1779"/>
      <c r="J400" s="13"/>
      <c r="K400" s="1779"/>
      <c r="L400" s="13"/>
      <c r="M400" s="1779"/>
      <c r="N400" s="13"/>
      <c r="O400" s="1780"/>
      <c r="P400" s="13"/>
      <c r="Q400" s="1779"/>
      <c r="V400" s="1189"/>
      <c r="X400" s="1189"/>
      <c r="Z400" s="1190"/>
      <c r="AB400" s="1190"/>
      <c r="AH400" s="701"/>
      <c r="AJ400" s="701"/>
      <c r="BB400" s="1190"/>
      <c r="BD400" s="1190"/>
      <c r="BF400" s="1190"/>
      <c r="BH400" s="1190"/>
      <c r="BJ400" s="1190"/>
      <c r="BN400" s="206"/>
      <c r="BO400" s="206"/>
      <c r="BP400" s="206"/>
      <c r="BQ400" s="195"/>
      <c r="BR400" s="195"/>
      <c r="BS400" s="195"/>
      <c r="BT400" s="195"/>
      <c r="BU400" s="195"/>
    </row>
    <row r="401" ht="15.75" customHeight="1">
      <c r="A401" s="1004"/>
      <c r="B401" s="1004"/>
      <c r="C401" s="1005"/>
      <c r="D401" s="1005"/>
      <c r="E401" s="977"/>
      <c r="F401" s="13"/>
      <c r="G401" s="1779"/>
      <c r="H401" s="13"/>
      <c r="I401" s="1779"/>
      <c r="J401" s="13"/>
      <c r="K401" s="1779"/>
      <c r="L401" s="13"/>
      <c r="M401" s="1779"/>
      <c r="N401" s="13"/>
      <c r="O401" s="1780"/>
      <c r="P401" s="13"/>
      <c r="Q401" s="1779"/>
      <c r="V401" s="1189"/>
      <c r="X401" s="1189"/>
      <c r="Z401" s="1190"/>
      <c r="AB401" s="1190"/>
      <c r="AH401" s="701"/>
      <c r="AJ401" s="701"/>
      <c r="BB401" s="1190"/>
      <c r="BD401" s="1190"/>
      <c r="BF401" s="1190"/>
      <c r="BH401" s="1190"/>
      <c r="BJ401" s="1190"/>
      <c r="BN401" s="206"/>
      <c r="BO401" s="206"/>
      <c r="BP401" s="206"/>
      <c r="BQ401" s="195"/>
      <c r="BR401" s="195"/>
      <c r="BS401" s="195"/>
      <c r="BT401" s="195"/>
      <c r="BU401" s="195"/>
    </row>
    <row r="402" ht="15.75" customHeight="1">
      <c r="A402" s="1004"/>
      <c r="B402" s="1004"/>
      <c r="C402" s="1005"/>
      <c r="D402" s="1005"/>
      <c r="E402" s="977"/>
      <c r="F402" s="13"/>
      <c r="G402" s="1779"/>
      <c r="H402" s="13"/>
      <c r="I402" s="1779"/>
      <c r="J402" s="13"/>
      <c r="K402" s="1779"/>
      <c r="L402" s="13"/>
      <c r="M402" s="1779"/>
      <c r="N402" s="13"/>
      <c r="O402" s="1780"/>
      <c r="P402" s="13"/>
      <c r="Q402" s="1779"/>
      <c r="V402" s="1189"/>
      <c r="X402" s="1189"/>
      <c r="Z402" s="1190"/>
      <c r="AB402" s="1190"/>
      <c r="AH402" s="701"/>
      <c r="AJ402" s="701"/>
      <c r="BB402" s="1190"/>
      <c r="BD402" s="1190"/>
      <c r="BF402" s="1190"/>
      <c r="BH402" s="1190"/>
      <c r="BJ402" s="1190"/>
      <c r="BN402" s="206"/>
      <c r="BO402" s="206"/>
      <c r="BP402" s="206"/>
      <c r="BQ402" s="195"/>
      <c r="BR402" s="195"/>
      <c r="BS402" s="195"/>
      <c r="BT402" s="195"/>
      <c r="BU402" s="195"/>
    </row>
    <row r="403" ht="15.75" customHeight="1">
      <c r="A403" s="1004"/>
      <c r="B403" s="1004"/>
      <c r="C403" s="1005"/>
      <c r="D403" s="1005"/>
      <c r="E403" s="977"/>
      <c r="F403" s="13"/>
      <c r="G403" s="1779"/>
      <c r="H403" s="13"/>
      <c r="I403" s="1779"/>
      <c r="J403" s="13"/>
      <c r="K403" s="1779"/>
      <c r="L403" s="13"/>
      <c r="M403" s="1779"/>
      <c r="N403" s="13"/>
      <c r="O403" s="1780"/>
      <c r="P403" s="13"/>
      <c r="Q403" s="1779"/>
      <c r="V403" s="1189"/>
      <c r="X403" s="1189"/>
      <c r="Z403" s="1190"/>
      <c r="AB403" s="1190"/>
      <c r="AH403" s="701"/>
      <c r="AJ403" s="701"/>
      <c r="BB403" s="1190"/>
      <c r="BD403" s="1190"/>
      <c r="BF403" s="1190"/>
      <c r="BH403" s="1190"/>
      <c r="BJ403" s="1190"/>
      <c r="BN403" s="206"/>
      <c r="BO403" s="206"/>
      <c r="BP403" s="206"/>
      <c r="BQ403" s="195"/>
      <c r="BR403" s="195"/>
      <c r="BS403" s="195"/>
      <c r="BT403" s="195"/>
      <c r="BU403" s="195"/>
    </row>
    <row r="404" ht="15.75" customHeight="1">
      <c r="A404" s="1004"/>
      <c r="B404" s="1004"/>
      <c r="C404" s="1005"/>
      <c r="D404" s="1005"/>
      <c r="E404" s="977"/>
      <c r="F404" s="13"/>
      <c r="G404" s="1779"/>
      <c r="H404" s="13"/>
      <c r="I404" s="1779"/>
      <c r="J404" s="13"/>
      <c r="K404" s="1779"/>
      <c r="L404" s="13"/>
      <c r="M404" s="1779"/>
      <c r="N404" s="13"/>
      <c r="O404" s="1780"/>
      <c r="P404" s="13"/>
      <c r="Q404" s="1779"/>
      <c r="V404" s="1189"/>
      <c r="X404" s="1189"/>
      <c r="Z404" s="1190"/>
      <c r="AB404" s="1190"/>
      <c r="AH404" s="701"/>
      <c r="AJ404" s="701"/>
      <c r="BB404" s="1190"/>
      <c r="BD404" s="1190"/>
      <c r="BF404" s="1190"/>
      <c r="BH404" s="1190"/>
      <c r="BJ404" s="1190"/>
      <c r="BN404" s="206"/>
      <c r="BO404" s="206"/>
      <c r="BP404" s="206"/>
      <c r="BQ404" s="195"/>
      <c r="BR404" s="195"/>
      <c r="BS404" s="195"/>
      <c r="BT404" s="195"/>
      <c r="BU404" s="195"/>
    </row>
    <row r="405" ht="15.75" customHeight="1">
      <c r="A405" s="1004"/>
      <c r="B405" s="1004"/>
      <c r="C405" s="1005"/>
      <c r="D405" s="1005"/>
      <c r="E405" s="977"/>
      <c r="F405" s="13"/>
      <c r="G405" s="1779"/>
      <c r="H405" s="13"/>
      <c r="I405" s="1779"/>
      <c r="J405" s="13"/>
      <c r="K405" s="1779"/>
      <c r="L405" s="13"/>
      <c r="M405" s="1779"/>
      <c r="N405" s="13"/>
      <c r="O405" s="1780"/>
      <c r="P405" s="13"/>
      <c r="Q405" s="1779"/>
      <c r="V405" s="1189"/>
      <c r="X405" s="1189"/>
      <c r="Z405" s="1190"/>
      <c r="AB405" s="1190"/>
      <c r="AH405" s="701"/>
      <c r="AJ405" s="701"/>
      <c r="BB405" s="1190"/>
      <c r="BD405" s="1190"/>
      <c r="BF405" s="1190"/>
      <c r="BH405" s="1190"/>
      <c r="BJ405" s="1190"/>
      <c r="BN405" s="206"/>
      <c r="BO405" s="206"/>
      <c r="BP405" s="206"/>
      <c r="BQ405" s="195"/>
      <c r="BR405" s="195"/>
      <c r="BS405" s="195"/>
      <c r="BT405" s="195"/>
      <c r="BU405" s="195"/>
    </row>
    <row r="406" ht="15.75" customHeight="1">
      <c r="A406" s="1004"/>
      <c r="B406" s="1004"/>
      <c r="C406" s="1005"/>
      <c r="D406" s="1005"/>
      <c r="E406" s="977"/>
      <c r="F406" s="13"/>
      <c r="G406" s="1779"/>
      <c r="H406" s="13"/>
      <c r="I406" s="1779"/>
      <c r="J406" s="13"/>
      <c r="K406" s="1779"/>
      <c r="L406" s="13"/>
      <c r="M406" s="1779"/>
      <c r="N406" s="13"/>
      <c r="O406" s="1780"/>
      <c r="P406" s="13"/>
      <c r="Q406" s="1779"/>
      <c r="V406" s="1189"/>
      <c r="X406" s="1189"/>
      <c r="Z406" s="1190"/>
      <c r="AB406" s="1190"/>
      <c r="AH406" s="701"/>
      <c r="AJ406" s="701"/>
      <c r="BB406" s="1190"/>
      <c r="BD406" s="1190"/>
      <c r="BF406" s="1190"/>
      <c r="BH406" s="1190"/>
      <c r="BJ406" s="1190"/>
      <c r="BN406" s="206"/>
      <c r="BO406" s="206"/>
      <c r="BP406" s="206"/>
      <c r="BQ406" s="195"/>
      <c r="BR406" s="195"/>
      <c r="BS406" s="195"/>
      <c r="BT406" s="195"/>
      <c r="BU406" s="195"/>
    </row>
    <row r="407" ht="15.75" customHeight="1">
      <c r="A407" s="1004"/>
      <c r="B407" s="1004"/>
      <c r="C407" s="1005"/>
      <c r="D407" s="1005"/>
      <c r="E407" s="977"/>
      <c r="F407" s="13"/>
      <c r="G407" s="1779"/>
      <c r="H407" s="13"/>
      <c r="I407" s="1779"/>
      <c r="J407" s="13"/>
      <c r="K407" s="1779"/>
      <c r="L407" s="13"/>
      <c r="M407" s="1779"/>
      <c r="N407" s="13"/>
      <c r="O407" s="1780"/>
      <c r="P407" s="13"/>
      <c r="Q407" s="1779"/>
      <c r="V407" s="1189"/>
      <c r="X407" s="1189"/>
      <c r="Z407" s="1190"/>
      <c r="AB407" s="1190"/>
      <c r="AH407" s="701"/>
      <c r="AJ407" s="701"/>
      <c r="BB407" s="1190"/>
      <c r="BD407" s="1190"/>
      <c r="BF407" s="1190"/>
      <c r="BH407" s="1190"/>
      <c r="BJ407" s="1190"/>
      <c r="BN407" s="206"/>
      <c r="BO407" s="206"/>
      <c r="BP407" s="206"/>
      <c r="BQ407" s="195"/>
      <c r="BR407" s="195"/>
      <c r="BS407" s="195"/>
      <c r="BT407" s="195"/>
      <c r="BU407" s="195"/>
    </row>
    <row r="408" ht="15.75" customHeight="1">
      <c r="A408" s="1004"/>
      <c r="B408" s="1004"/>
      <c r="C408" s="1005"/>
      <c r="D408" s="1005"/>
      <c r="E408" s="977"/>
      <c r="F408" s="13"/>
      <c r="G408" s="1779"/>
      <c r="H408" s="13"/>
      <c r="I408" s="1779"/>
      <c r="J408" s="13"/>
      <c r="K408" s="1779"/>
      <c r="L408" s="13"/>
      <c r="M408" s="1779"/>
      <c r="N408" s="13"/>
      <c r="O408" s="1780"/>
      <c r="P408" s="13"/>
      <c r="Q408" s="1779"/>
      <c r="V408" s="1189"/>
      <c r="X408" s="1189"/>
      <c r="Z408" s="1190"/>
      <c r="AB408" s="1190"/>
      <c r="AH408" s="701"/>
      <c r="AJ408" s="701"/>
      <c r="BB408" s="1190"/>
      <c r="BD408" s="1190"/>
      <c r="BF408" s="1190"/>
      <c r="BH408" s="1190"/>
      <c r="BJ408" s="1190"/>
      <c r="BN408" s="206"/>
      <c r="BO408" s="206"/>
      <c r="BP408" s="206"/>
      <c r="BQ408" s="195"/>
      <c r="BR408" s="195"/>
      <c r="BS408" s="195"/>
      <c r="BT408" s="195"/>
      <c r="BU408" s="195"/>
    </row>
    <row r="409" ht="15.75" customHeight="1">
      <c r="A409" s="1004"/>
      <c r="B409" s="1004"/>
      <c r="C409" s="1005"/>
      <c r="D409" s="1005"/>
      <c r="E409" s="977"/>
      <c r="F409" s="13"/>
      <c r="G409" s="1779"/>
      <c r="H409" s="13"/>
      <c r="I409" s="1779"/>
      <c r="J409" s="13"/>
      <c r="K409" s="1779"/>
      <c r="L409" s="13"/>
      <c r="M409" s="1779"/>
      <c r="N409" s="13"/>
      <c r="O409" s="1780"/>
      <c r="P409" s="13"/>
      <c r="Q409" s="1779"/>
      <c r="V409" s="1189"/>
      <c r="X409" s="1189"/>
      <c r="Z409" s="1190"/>
      <c r="AB409" s="1190"/>
      <c r="AH409" s="701"/>
      <c r="AJ409" s="701"/>
      <c r="BB409" s="1190"/>
      <c r="BD409" s="1190"/>
      <c r="BF409" s="1190"/>
      <c r="BH409" s="1190"/>
      <c r="BJ409" s="1190"/>
      <c r="BN409" s="206"/>
      <c r="BO409" s="206"/>
      <c r="BP409" s="206"/>
      <c r="BQ409" s="195"/>
      <c r="BR409" s="195"/>
      <c r="BS409" s="195"/>
      <c r="BT409" s="195"/>
      <c r="BU409" s="195"/>
    </row>
    <row r="410" ht="15.75" customHeight="1">
      <c r="A410" s="1004"/>
      <c r="B410" s="1004"/>
      <c r="C410" s="1005"/>
      <c r="D410" s="1005"/>
      <c r="E410" s="977"/>
      <c r="F410" s="13"/>
      <c r="G410" s="1779"/>
      <c r="H410" s="13"/>
      <c r="I410" s="1779"/>
      <c r="J410" s="13"/>
      <c r="K410" s="1779"/>
      <c r="L410" s="13"/>
      <c r="M410" s="1779"/>
      <c r="N410" s="13"/>
      <c r="O410" s="1780"/>
      <c r="P410" s="13"/>
      <c r="Q410" s="1779"/>
      <c r="V410" s="1189"/>
      <c r="X410" s="1189"/>
      <c r="Z410" s="1190"/>
      <c r="AB410" s="1190"/>
      <c r="AH410" s="701"/>
      <c r="AJ410" s="701"/>
      <c r="BB410" s="1190"/>
      <c r="BD410" s="1190"/>
      <c r="BF410" s="1190"/>
      <c r="BH410" s="1190"/>
      <c r="BJ410" s="1190"/>
      <c r="BN410" s="206"/>
      <c r="BO410" s="206"/>
      <c r="BP410" s="206"/>
      <c r="BQ410" s="195"/>
      <c r="BR410" s="195"/>
      <c r="BS410" s="195"/>
      <c r="BT410" s="195"/>
      <c r="BU410" s="195"/>
    </row>
    <row r="411" ht="15.75" customHeight="1">
      <c r="A411" s="1004"/>
      <c r="B411" s="1004"/>
      <c r="C411" s="1005"/>
      <c r="D411" s="1005"/>
      <c r="E411" s="977"/>
      <c r="F411" s="13"/>
      <c r="G411" s="1779"/>
      <c r="H411" s="13"/>
      <c r="I411" s="1779"/>
      <c r="J411" s="13"/>
      <c r="K411" s="1779"/>
      <c r="L411" s="13"/>
      <c r="M411" s="1779"/>
      <c r="N411" s="13"/>
      <c r="O411" s="1780"/>
      <c r="P411" s="13"/>
      <c r="Q411" s="1779"/>
      <c r="V411" s="1189"/>
      <c r="X411" s="1189"/>
      <c r="Z411" s="1190"/>
      <c r="AB411" s="1190"/>
      <c r="AH411" s="701"/>
      <c r="AJ411" s="701"/>
      <c r="BB411" s="1190"/>
      <c r="BD411" s="1190"/>
      <c r="BF411" s="1190"/>
      <c r="BH411" s="1190"/>
      <c r="BJ411" s="1190"/>
      <c r="BN411" s="206"/>
      <c r="BO411" s="206"/>
      <c r="BP411" s="206"/>
      <c r="BQ411" s="195"/>
      <c r="BR411" s="195"/>
      <c r="BS411" s="195"/>
      <c r="BT411" s="195"/>
      <c r="BU411" s="195"/>
    </row>
    <row r="412" ht="15.75" customHeight="1">
      <c r="A412" s="1004"/>
      <c r="B412" s="1004"/>
      <c r="C412" s="1005"/>
      <c r="D412" s="1005"/>
      <c r="E412" s="977"/>
      <c r="F412" s="13"/>
      <c r="G412" s="1779"/>
      <c r="H412" s="13"/>
      <c r="I412" s="1779"/>
      <c r="J412" s="13"/>
      <c r="K412" s="1779"/>
      <c r="L412" s="13"/>
      <c r="M412" s="1779"/>
      <c r="N412" s="13"/>
      <c r="O412" s="1780"/>
      <c r="P412" s="13"/>
      <c r="Q412" s="1779"/>
      <c r="V412" s="1189"/>
      <c r="X412" s="1189"/>
      <c r="Z412" s="1190"/>
      <c r="AB412" s="1190"/>
      <c r="AH412" s="701"/>
      <c r="AJ412" s="701"/>
      <c r="BB412" s="1190"/>
      <c r="BD412" s="1190"/>
      <c r="BF412" s="1190"/>
      <c r="BH412" s="1190"/>
      <c r="BJ412" s="1190"/>
      <c r="BN412" s="206"/>
      <c r="BO412" s="206"/>
      <c r="BP412" s="206"/>
      <c r="BQ412" s="195"/>
      <c r="BR412" s="195"/>
      <c r="BS412" s="195"/>
      <c r="BT412" s="195"/>
      <c r="BU412" s="195"/>
    </row>
    <row r="413" ht="15.75" customHeight="1">
      <c r="A413" s="1004"/>
      <c r="B413" s="1004"/>
      <c r="C413" s="1005"/>
      <c r="D413" s="1005"/>
      <c r="E413" s="977"/>
      <c r="F413" s="13"/>
      <c r="G413" s="1779"/>
      <c r="H413" s="13"/>
      <c r="I413" s="1779"/>
      <c r="J413" s="13"/>
      <c r="K413" s="1779"/>
      <c r="L413" s="13"/>
      <c r="M413" s="1779"/>
      <c r="N413" s="13"/>
      <c r="O413" s="1780"/>
      <c r="P413" s="13"/>
      <c r="Q413" s="1779"/>
      <c r="V413" s="1189"/>
      <c r="X413" s="1189"/>
      <c r="Z413" s="1190"/>
      <c r="AB413" s="1190"/>
      <c r="AH413" s="701"/>
      <c r="AJ413" s="701"/>
      <c r="BB413" s="1190"/>
      <c r="BD413" s="1190"/>
      <c r="BF413" s="1190"/>
      <c r="BH413" s="1190"/>
      <c r="BJ413" s="1190"/>
      <c r="BN413" s="206"/>
      <c r="BO413" s="206"/>
      <c r="BP413" s="206"/>
      <c r="BQ413" s="195"/>
      <c r="BR413" s="195"/>
      <c r="BS413" s="195"/>
      <c r="BT413" s="195"/>
      <c r="BU413" s="195"/>
    </row>
    <row r="414" ht="15.75" customHeight="1">
      <c r="A414" s="1004"/>
      <c r="B414" s="1004"/>
      <c r="C414" s="1005"/>
      <c r="D414" s="1005"/>
      <c r="E414" s="977"/>
      <c r="F414" s="13"/>
      <c r="G414" s="1779"/>
      <c r="H414" s="13"/>
      <c r="I414" s="1779"/>
      <c r="J414" s="13"/>
      <c r="K414" s="1779"/>
      <c r="L414" s="13"/>
      <c r="M414" s="1779"/>
      <c r="N414" s="13"/>
      <c r="O414" s="1780"/>
      <c r="P414" s="13"/>
      <c r="Q414" s="1779"/>
      <c r="V414" s="1189"/>
      <c r="X414" s="1189"/>
      <c r="Z414" s="1190"/>
      <c r="AB414" s="1190"/>
      <c r="AH414" s="701"/>
      <c r="AJ414" s="701"/>
      <c r="BB414" s="1190"/>
      <c r="BD414" s="1190"/>
      <c r="BF414" s="1190"/>
      <c r="BH414" s="1190"/>
      <c r="BJ414" s="1190"/>
      <c r="BN414" s="206"/>
      <c r="BO414" s="206"/>
      <c r="BP414" s="206"/>
      <c r="BQ414" s="195"/>
      <c r="BR414" s="195"/>
      <c r="BS414" s="195"/>
      <c r="BT414" s="195"/>
      <c r="BU414" s="195"/>
    </row>
    <row r="415" ht="15.75" customHeight="1">
      <c r="A415" s="1004"/>
      <c r="B415" s="1004"/>
      <c r="C415" s="1005"/>
      <c r="D415" s="1005"/>
      <c r="E415" s="977"/>
      <c r="F415" s="13"/>
      <c r="G415" s="1779"/>
      <c r="H415" s="13"/>
      <c r="I415" s="1779"/>
      <c r="J415" s="13"/>
      <c r="K415" s="1779"/>
      <c r="L415" s="13"/>
      <c r="M415" s="1779"/>
      <c r="N415" s="13"/>
      <c r="O415" s="1780"/>
      <c r="P415" s="13"/>
      <c r="Q415" s="1779"/>
      <c r="V415" s="1189"/>
      <c r="X415" s="1189"/>
      <c r="Z415" s="1190"/>
      <c r="AB415" s="1190"/>
      <c r="AH415" s="701"/>
      <c r="AJ415" s="701"/>
      <c r="BB415" s="1190"/>
      <c r="BD415" s="1190"/>
      <c r="BF415" s="1190"/>
      <c r="BH415" s="1190"/>
      <c r="BJ415" s="1190"/>
      <c r="BN415" s="206"/>
      <c r="BO415" s="206"/>
      <c r="BP415" s="206"/>
      <c r="BQ415" s="195"/>
      <c r="BR415" s="195"/>
      <c r="BS415" s="195"/>
      <c r="BT415" s="195"/>
      <c r="BU415" s="195"/>
    </row>
    <row r="416" ht="15.75" customHeight="1">
      <c r="A416" s="1004"/>
      <c r="B416" s="1004"/>
      <c r="C416" s="1005"/>
      <c r="D416" s="1005"/>
      <c r="E416" s="977"/>
      <c r="F416" s="13"/>
      <c r="G416" s="1779"/>
      <c r="H416" s="13"/>
      <c r="I416" s="1779"/>
      <c r="J416" s="13"/>
      <c r="K416" s="1779"/>
      <c r="L416" s="13"/>
      <c r="M416" s="1779"/>
      <c r="N416" s="13"/>
      <c r="O416" s="1780"/>
      <c r="P416" s="13"/>
      <c r="Q416" s="1779"/>
      <c r="V416" s="1189"/>
      <c r="X416" s="1189"/>
      <c r="Z416" s="1190"/>
      <c r="AB416" s="1190"/>
      <c r="AH416" s="701"/>
      <c r="AJ416" s="701"/>
      <c r="BB416" s="1190"/>
      <c r="BD416" s="1190"/>
      <c r="BF416" s="1190"/>
      <c r="BH416" s="1190"/>
      <c r="BJ416" s="1190"/>
      <c r="BN416" s="206"/>
      <c r="BO416" s="206"/>
      <c r="BP416" s="206"/>
      <c r="BQ416" s="195"/>
      <c r="BR416" s="195"/>
      <c r="BS416" s="195"/>
      <c r="BT416" s="195"/>
      <c r="BU416" s="195"/>
    </row>
    <row r="417" ht="15.75" customHeight="1">
      <c r="A417" s="1004"/>
      <c r="B417" s="1004"/>
      <c r="C417" s="1005"/>
      <c r="D417" s="1005"/>
      <c r="E417" s="977"/>
      <c r="F417" s="13"/>
      <c r="G417" s="1779"/>
      <c r="H417" s="13"/>
      <c r="I417" s="1779"/>
      <c r="J417" s="13"/>
      <c r="K417" s="1779"/>
      <c r="L417" s="13"/>
      <c r="M417" s="1779"/>
      <c r="N417" s="13"/>
      <c r="O417" s="1780"/>
      <c r="P417" s="13"/>
      <c r="Q417" s="1779"/>
      <c r="V417" s="1189"/>
      <c r="X417" s="1189"/>
      <c r="Z417" s="1190"/>
      <c r="AB417" s="1190"/>
      <c r="AH417" s="701"/>
      <c r="AJ417" s="701"/>
      <c r="BB417" s="1190"/>
      <c r="BD417" s="1190"/>
      <c r="BF417" s="1190"/>
      <c r="BH417" s="1190"/>
      <c r="BJ417" s="1190"/>
      <c r="BN417" s="206"/>
      <c r="BO417" s="206"/>
      <c r="BP417" s="206"/>
      <c r="BQ417" s="195"/>
      <c r="BR417" s="195"/>
      <c r="BS417" s="195"/>
      <c r="BT417" s="195"/>
      <c r="BU417" s="195"/>
    </row>
    <row r="418" ht="15.75" customHeight="1">
      <c r="A418" s="1004"/>
      <c r="B418" s="1004"/>
      <c r="C418" s="1005"/>
      <c r="D418" s="1005"/>
      <c r="E418" s="977"/>
      <c r="F418" s="13"/>
      <c r="G418" s="1779"/>
      <c r="H418" s="13"/>
      <c r="I418" s="1779"/>
      <c r="J418" s="13"/>
      <c r="K418" s="1779"/>
      <c r="L418" s="13"/>
      <c r="M418" s="1779"/>
      <c r="N418" s="13"/>
      <c r="O418" s="1780"/>
      <c r="P418" s="13"/>
      <c r="Q418" s="1779"/>
      <c r="V418" s="1189"/>
      <c r="X418" s="1189"/>
      <c r="Z418" s="1190"/>
      <c r="AB418" s="1190"/>
      <c r="AH418" s="701"/>
      <c r="AJ418" s="701"/>
      <c r="BB418" s="1190"/>
      <c r="BD418" s="1190"/>
      <c r="BF418" s="1190"/>
      <c r="BH418" s="1190"/>
      <c r="BJ418" s="1190"/>
      <c r="BN418" s="206"/>
      <c r="BO418" s="206"/>
      <c r="BP418" s="206"/>
      <c r="BQ418" s="195"/>
      <c r="BR418" s="195"/>
      <c r="BS418" s="195"/>
      <c r="BT418" s="195"/>
      <c r="BU418" s="195"/>
    </row>
    <row r="419" ht="15.75" customHeight="1">
      <c r="A419" s="1004"/>
      <c r="B419" s="1004"/>
      <c r="C419" s="1005"/>
      <c r="D419" s="1005"/>
      <c r="E419" s="977"/>
      <c r="F419" s="13"/>
      <c r="G419" s="1779"/>
      <c r="H419" s="13"/>
      <c r="I419" s="1779"/>
      <c r="J419" s="13"/>
      <c r="K419" s="1779"/>
      <c r="L419" s="13"/>
      <c r="M419" s="1779"/>
      <c r="N419" s="13"/>
      <c r="O419" s="1780"/>
      <c r="P419" s="13"/>
      <c r="Q419" s="1779"/>
      <c r="V419" s="1189"/>
      <c r="X419" s="1189"/>
      <c r="Z419" s="1190"/>
      <c r="AB419" s="1190"/>
      <c r="AH419" s="701"/>
      <c r="AJ419" s="701"/>
      <c r="BB419" s="1190"/>
      <c r="BD419" s="1190"/>
      <c r="BF419" s="1190"/>
      <c r="BH419" s="1190"/>
      <c r="BJ419" s="1190"/>
      <c r="BN419" s="206"/>
      <c r="BO419" s="206"/>
      <c r="BP419" s="206"/>
      <c r="BQ419" s="195"/>
      <c r="BR419" s="195"/>
      <c r="BS419" s="195"/>
      <c r="BT419" s="195"/>
      <c r="BU419" s="195"/>
    </row>
    <row r="420" ht="15.75" customHeight="1">
      <c r="A420" s="1004"/>
      <c r="B420" s="1004"/>
      <c r="C420" s="1005"/>
      <c r="D420" s="1005"/>
      <c r="E420" s="977"/>
      <c r="F420" s="13"/>
      <c r="G420" s="1779"/>
      <c r="H420" s="13"/>
      <c r="I420" s="1779"/>
      <c r="J420" s="13"/>
      <c r="K420" s="1779"/>
      <c r="L420" s="13"/>
      <c r="M420" s="1779"/>
      <c r="N420" s="13"/>
      <c r="O420" s="1780"/>
      <c r="P420" s="13"/>
      <c r="Q420" s="1779"/>
      <c r="V420" s="1189"/>
      <c r="X420" s="1189"/>
      <c r="Z420" s="1190"/>
      <c r="AB420" s="1190"/>
      <c r="AH420" s="701"/>
      <c r="AJ420" s="701"/>
      <c r="BB420" s="1190"/>
      <c r="BD420" s="1190"/>
      <c r="BF420" s="1190"/>
      <c r="BH420" s="1190"/>
      <c r="BJ420" s="1190"/>
      <c r="BN420" s="206"/>
      <c r="BO420" s="206"/>
      <c r="BP420" s="206"/>
      <c r="BQ420" s="195"/>
      <c r="BR420" s="195"/>
      <c r="BS420" s="195"/>
      <c r="BT420" s="195"/>
      <c r="BU420" s="195"/>
    </row>
    <row r="421" ht="15.75" customHeight="1">
      <c r="A421" s="1004"/>
      <c r="B421" s="1004"/>
      <c r="C421" s="1005"/>
      <c r="D421" s="1005"/>
      <c r="E421" s="977"/>
      <c r="F421" s="13"/>
      <c r="G421" s="1779"/>
      <c r="H421" s="13"/>
      <c r="I421" s="1779"/>
      <c r="J421" s="13"/>
      <c r="K421" s="1779"/>
      <c r="L421" s="13"/>
      <c r="M421" s="1779"/>
      <c r="N421" s="13"/>
      <c r="O421" s="1780"/>
      <c r="P421" s="13"/>
      <c r="Q421" s="1779"/>
      <c r="V421" s="1189"/>
      <c r="X421" s="1189"/>
      <c r="Z421" s="1190"/>
      <c r="AB421" s="1190"/>
      <c r="AH421" s="701"/>
      <c r="AJ421" s="701"/>
      <c r="BB421" s="1190"/>
      <c r="BD421" s="1190"/>
      <c r="BF421" s="1190"/>
      <c r="BH421" s="1190"/>
      <c r="BJ421" s="1190"/>
      <c r="BN421" s="206"/>
      <c r="BO421" s="206"/>
      <c r="BP421" s="206"/>
      <c r="BQ421" s="195"/>
      <c r="BR421" s="195"/>
      <c r="BS421" s="195"/>
      <c r="BT421" s="195"/>
      <c r="BU421" s="195"/>
    </row>
    <row r="422" ht="15.75" customHeight="1">
      <c r="A422" s="1004"/>
      <c r="B422" s="1004"/>
      <c r="C422" s="1005"/>
      <c r="D422" s="1005"/>
      <c r="E422" s="977"/>
      <c r="F422" s="13"/>
      <c r="G422" s="1779"/>
      <c r="H422" s="13"/>
      <c r="I422" s="1779"/>
      <c r="J422" s="13"/>
      <c r="K422" s="1779"/>
      <c r="L422" s="13"/>
      <c r="M422" s="1779"/>
      <c r="N422" s="13"/>
      <c r="O422" s="1780"/>
      <c r="P422" s="13"/>
      <c r="Q422" s="1779"/>
      <c r="V422" s="1189"/>
      <c r="X422" s="1189"/>
      <c r="Z422" s="1190"/>
      <c r="AB422" s="1190"/>
      <c r="AH422" s="701"/>
      <c r="AJ422" s="701"/>
      <c r="BB422" s="1190"/>
      <c r="BD422" s="1190"/>
      <c r="BF422" s="1190"/>
      <c r="BH422" s="1190"/>
      <c r="BJ422" s="1190"/>
      <c r="BN422" s="206"/>
      <c r="BO422" s="206"/>
      <c r="BP422" s="206"/>
      <c r="BQ422" s="195"/>
      <c r="BR422" s="195"/>
      <c r="BS422" s="195"/>
      <c r="BT422" s="195"/>
      <c r="BU422" s="195"/>
    </row>
    <row r="423" ht="15.75" customHeight="1">
      <c r="A423" s="1004"/>
      <c r="B423" s="1004"/>
      <c r="C423" s="1005"/>
      <c r="D423" s="1005"/>
      <c r="E423" s="977"/>
      <c r="F423" s="13"/>
      <c r="G423" s="1779"/>
      <c r="H423" s="13"/>
      <c r="I423" s="1779"/>
      <c r="J423" s="13"/>
      <c r="K423" s="1779"/>
      <c r="L423" s="13"/>
      <c r="M423" s="1779"/>
      <c r="N423" s="13"/>
      <c r="O423" s="1780"/>
      <c r="P423" s="13"/>
      <c r="Q423" s="1779"/>
      <c r="V423" s="1189"/>
      <c r="X423" s="1189"/>
      <c r="Z423" s="1190"/>
      <c r="AB423" s="1190"/>
      <c r="AH423" s="701"/>
      <c r="AJ423" s="701"/>
      <c r="BB423" s="1190"/>
      <c r="BD423" s="1190"/>
      <c r="BF423" s="1190"/>
      <c r="BH423" s="1190"/>
      <c r="BJ423" s="1190"/>
      <c r="BN423" s="206"/>
      <c r="BO423" s="206"/>
      <c r="BP423" s="206"/>
      <c r="BQ423" s="195"/>
      <c r="BR423" s="195"/>
      <c r="BS423" s="195"/>
      <c r="BT423" s="195"/>
      <c r="BU423" s="195"/>
    </row>
    <row r="424" ht="15.75" customHeight="1">
      <c r="A424" s="1004"/>
      <c r="B424" s="1004"/>
      <c r="C424" s="1005"/>
      <c r="D424" s="1005"/>
      <c r="E424" s="977"/>
      <c r="F424" s="13"/>
      <c r="G424" s="1779"/>
      <c r="H424" s="13"/>
      <c r="I424" s="1779"/>
      <c r="J424" s="13"/>
      <c r="K424" s="1779"/>
      <c r="L424" s="13"/>
      <c r="M424" s="1779"/>
      <c r="N424" s="13"/>
      <c r="O424" s="1780"/>
      <c r="P424" s="13"/>
      <c r="Q424" s="1779"/>
      <c r="V424" s="1189"/>
      <c r="X424" s="1189"/>
      <c r="Z424" s="1190"/>
      <c r="AB424" s="1190"/>
      <c r="AH424" s="701"/>
      <c r="AJ424" s="701"/>
      <c r="BB424" s="1190"/>
      <c r="BD424" s="1190"/>
      <c r="BF424" s="1190"/>
      <c r="BH424" s="1190"/>
      <c r="BJ424" s="1190"/>
      <c r="BN424" s="206"/>
      <c r="BO424" s="206"/>
      <c r="BP424" s="206"/>
      <c r="BQ424" s="195"/>
      <c r="BR424" s="195"/>
      <c r="BS424" s="195"/>
      <c r="BT424" s="195"/>
      <c r="BU424" s="195"/>
    </row>
    <row r="425" ht="15.75" customHeight="1">
      <c r="A425" s="1004"/>
      <c r="B425" s="1004"/>
      <c r="C425" s="1005"/>
      <c r="D425" s="1005"/>
      <c r="E425" s="977"/>
      <c r="F425" s="13"/>
      <c r="G425" s="1779"/>
      <c r="H425" s="13"/>
      <c r="I425" s="1779"/>
      <c r="J425" s="13"/>
      <c r="K425" s="1779"/>
      <c r="L425" s="13"/>
      <c r="M425" s="1779"/>
      <c r="N425" s="13"/>
      <c r="O425" s="1780"/>
      <c r="P425" s="13"/>
      <c r="Q425" s="1779"/>
      <c r="V425" s="1189"/>
      <c r="X425" s="1189"/>
      <c r="Z425" s="1190"/>
      <c r="AB425" s="1190"/>
      <c r="AH425" s="701"/>
      <c r="AJ425" s="701"/>
      <c r="BB425" s="1190"/>
      <c r="BD425" s="1190"/>
      <c r="BF425" s="1190"/>
      <c r="BH425" s="1190"/>
      <c r="BJ425" s="1190"/>
      <c r="BN425" s="206"/>
      <c r="BO425" s="206"/>
      <c r="BP425" s="206"/>
      <c r="BQ425" s="195"/>
      <c r="BR425" s="195"/>
      <c r="BS425" s="195"/>
      <c r="BT425" s="195"/>
      <c r="BU425" s="195"/>
    </row>
    <row r="426" ht="15.75" customHeight="1">
      <c r="A426" s="1004"/>
      <c r="B426" s="1004"/>
      <c r="C426" s="1005"/>
      <c r="D426" s="1005"/>
      <c r="E426" s="977"/>
      <c r="F426" s="13"/>
      <c r="G426" s="1779"/>
      <c r="H426" s="13"/>
      <c r="I426" s="1779"/>
      <c r="J426" s="13"/>
      <c r="K426" s="1779"/>
      <c r="L426" s="13"/>
      <c r="M426" s="1779"/>
      <c r="N426" s="13"/>
      <c r="O426" s="1780"/>
      <c r="P426" s="13"/>
      <c r="Q426" s="1779"/>
      <c r="V426" s="1189"/>
      <c r="X426" s="1189"/>
      <c r="Z426" s="1190"/>
      <c r="AB426" s="1190"/>
      <c r="AH426" s="701"/>
      <c r="AJ426" s="701"/>
      <c r="BB426" s="1190"/>
      <c r="BD426" s="1190"/>
      <c r="BF426" s="1190"/>
      <c r="BH426" s="1190"/>
      <c r="BJ426" s="1190"/>
      <c r="BN426" s="206"/>
      <c r="BO426" s="206"/>
      <c r="BP426" s="206"/>
      <c r="BQ426" s="195"/>
      <c r="BR426" s="195"/>
      <c r="BS426" s="195"/>
      <c r="BT426" s="195"/>
      <c r="BU426" s="195"/>
    </row>
    <row r="427" ht="15.75" customHeight="1">
      <c r="A427" s="1004"/>
      <c r="B427" s="1004"/>
      <c r="C427" s="1005"/>
      <c r="D427" s="1005"/>
      <c r="E427" s="977"/>
      <c r="F427" s="13"/>
      <c r="G427" s="1779"/>
      <c r="H427" s="13"/>
      <c r="I427" s="1779"/>
      <c r="J427" s="13"/>
      <c r="K427" s="1779"/>
      <c r="L427" s="13"/>
      <c r="M427" s="1779"/>
      <c r="N427" s="13"/>
      <c r="O427" s="1780"/>
      <c r="P427" s="13"/>
      <c r="Q427" s="1779"/>
      <c r="V427" s="1189"/>
      <c r="X427" s="1189"/>
      <c r="Z427" s="1190"/>
      <c r="AB427" s="1190"/>
      <c r="AH427" s="701"/>
      <c r="AJ427" s="701"/>
      <c r="BB427" s="1190"/>
      <c r="BD427" s="1190"/>
      <c r="BF427" s="1190"/>
      <c r="BH427" s="1190"/>
      <c r="BJ427" s="1190"/>
      <c r="BN427" s="206"/>
      <c r="BO427" s="206"/>
      <c r="BP427" s="206"/>
      <c r="BQ427" s="195"/>
      <c r="BR427" s="195"/>
      <c r="BS427" s="195"/>
      <c r="BT427" s="195"/>
      <c r="BU427" s="195"/>
    </row>
    <row r="428" ht="15.75" customHeight="1">
      <c r="A428" s="1004"/>
      <c r="B428" s="1004"/>
      <c r="C428" s="1005"/>
      <c r="D428" s="1005"/>
      <c r="E428" s="977"/>
      <c r="F428" s="13"/>
      <c r="G428" s="1779"/>
      <c r="H428" s="13"/>
      <c r="I428" s="1779"/>
      <c r="J428" s="13"/>
      <c r="K428" s="1779"/>
      <c r="L428" s="13"/>
      <c r="M428" s="1779"/>
      <c r="N428" s="13"/>
      <c r="O428" s="1780"/>
      <c r="P428" s="13"/>
      <c r="Q428" s="1779"/>
      <c r="V428" s="1189"/>
      <c r="X428" s="1189"/>
      <c r="Z428" s="1190"/>
      <c r="AB428" s="1190"/>
      <c r="AH428" s="701"/>
      <c r="AJ428" s="701"/>
      <c r="BB428" s="1190"/>
      <c r="BD428" s="1190"/>
      <c r="BF428" s="1190"/>
      <c r="BH428" s="1190"/>
      <c r="BJ428" s="1190"/>
      <c r="BN428" s="206"/>
      <c r="BO428" s="206"/>
      <c r="BP428" s="206"/>
      <c r="BQ428" s="195"/>
      <c r="BR428" s="195"/>
      <c r="BS428" s="195"/>
      <c r="BT428" s="195"/>
      <c r="BU428" s="195"/>
    </row>
    <row r="429" ht="15.75" customHeight="1">
      <c r="A429" s="1004"/>
      <c r="B429" s="1004"/>
      <c r="C429" s="1005"/>
      <c r="D429" s="1005"/>
      <c r="E429" s="977"/>
      <c r="F429" s="13"/>
      <c r="G429" s="1779"/>
      <c r="H429" s="13"/>
      <c r="I429" s="1779"/>
      <c r="J429" s="13"/>
      <c r="K429" s="1779"/>
      <c r="L429" s="13"/>
      <c r="M429" s="1779"/>
      <c r="N429" s="13"/>
      <c r="O429" s="1780"/>
      <c r="P429" s="13"/>
      <c r="Q429" s="1779"/>
      <c r="V429" s="1189"/>
      <c r="X429" s="1189"/>
      <c r="Z429" s="1190"/>
      <c r="AB429" s="1190"/>
      <c r="AH429" s="701"/>
      <c r="AJ429" s="701"/>
      <c r="BB429" s="1190"/>
      <c r="BD429" s="1190"/>
      <c r="BF429" s="1190"/>
      <c r="BH429" s="1190"/>
      <c r="BJ429" s="1190"/>
      <c r="BN429" s="206"/>
      <c r="BO429" s="206"/>
      <c r="BP429" s="206"/>
      <c r="BQ429" s="195"/>
      <c r="BR429" s="195"/>
      <c r="BS429" s="195"/>
      <c r="BT429" s="195"/>
      <c r="BU429" s="195"/>
    </row>
    <row r="430" ht="15.75" customHeight="1">
      <c r="A430" s="1004"/>
      <c r="B430" s="1004"/>
      <c r="C430" s="1005"/>
      <c r="D430" s="1005"/>
      <c r="E430" s="977"/>
      <c r="F430" s="13"/>
      <c r="G430" s="1779"/>
      <c r="H430" s="13"/>
      <c r="I430" s="1779"/>
      <c r="J430" s="13"/>
      <c r="K430" s="1779"/>
      <c r="L430" s="13"/>
      <c r="M430" s="1779"/>
      <c r="N430" s="13"/>
      <c r="O430" s="1780"/>
      <c r="P430" s="13"/>
      <c r="Q430" s="1779"/>
      <c r="V430" s="1189"/>
      <c r="X430" s="1189"/>
      <c r="Z430" s="1190"/>
      <c r="AB430" s="1190"/>
      <c r="AH430" s="701"/>
      <c r="AJ430" s="701"/>
      <c r="BB430" s="1190"/>
      <c r="BD430" s="1190"/>
      <c r="BF430" s="1190"/>
      <c r="BH430" s="1190"/>
      <c r="BJ430" s="1190"/>
      <c r="BN430" s="206"/>
      <c r="BO430" s="206"/>
      <c r="BP430" s="206"/>
      <c r="BQ430" s="195"/>
      <c r="BR430" s="195"/>
      <c r="BS430" s="195"/>
      <c r="BT430" s="195"/>
      <c r="BU430" s="195"/>
    </row>
    <row r="431" ht="15.75" customHeight="1">
      <c r="A431" s="1004"/>
      <c r="B431" s="1004"/>
      <c r="C431" s="1005"/>
      <c r="D431" s="1005"/>
      <c r="E431" s="977"/>
      <c r="F431" s="13"/>
      <c r="G431" s="1779"/>
      <c r="H431" s="13"/>
      <c r="I431" s="1779"/>
      <c r="J431" s="13"/>
      <c r="K431" s="1779"/>
      <c r="L431" s="13"/>
      <c r="M431" s="1779"/>
      <c r="N431" s="13"/>
      <c r="O431" s="1780"/>
      <c r="P431" s="13"/>
      <c r="Q431" s="1779"/>
      <c r="V431" s="1189"/>
      <c r="X431" s="1189"/>
      <c r="Z431" s="1190"/>
      <c r="AB431" s="1190"/>
      <c r="AH431" s="701"/>
      <c r="AJ431" s="701"/>
      <c r="BB431" s="1190"/>
      <c r="BD431" s="1190"/>
      <c r="BF431" s="1190"/>
      <c r="BH431" s="1190"/>
      <c r="BJ431" s="1190"/>
      <c r="BN431" s="206"/>
      <c r="BO431" s="206"/>
      <c r="BP431" s="206"/>
      <c r="BQ431" s="195"/>
      <c r="BR431" s="195"/>
      <c r="BS431" s="195"/>
      <c r="BT431" s="195"/>
      <c r="BU431" s="195"/>
    </row>
    <row r="432" ht="15.75" customHeight="1">
      <c r="A432" s="1004"/>
      <c r="B432" s="1004"/>
      <c r="C432" s="1005"/>
      <c r="D432" s="1005"/>
      <c r="E432" s="977"/>
      <c r="F432" s="13"/>
      <c r="G432" s="1779"/>
      <c r="H432" s="13"/>
      <c r="I432" s="1779"/>
      <c r="J432" s="13"/>
      <c r="K432" s="1779"/>
      <c r="L432" s="13"/>
      <c r="M432" s="1779"/>
      <c r="N432" s="13"/>
      <c r="O432" s="1780"/>
      <c r="P432" s="13"/>
      <c r="Q432" s="1779"/>
      <c r="V432" s="1189"/>
      <c r="X432" s="1189"/>
      <c r="Z432" s="1190"/>
      <c r="AB432" s="1190"/>
      <c r="AH432" s="701"/>
      <c r="AJ432" s="701"/>
      <c r="BB432" s="1190"/>
      <c r="BD432" s="1190"/>
      <c r="BF432" s="1190"/>
      <c r="BH432" s="1190"/>
      <c r="BJ432" s="1190"/>
      <c r="BN432" s="206"/>
      <c r="BO432" s="206"/>
      <c r="BP432" s="206"/>
      <c r="BQ432" s="195"/>
      <c r="BR432" s="195"/>
      <c r="BS432" s="195"/>
      <c r="BT432" s="195"/>
      <c r="BU432" s="195"/>
    </row>
    <row r="433" ht="15.75" customHeight="1">
      <c r="A433" s="1004"/>
      <c r="B433" s="1004"/>
      <c r="C433" s="1005"/>
      <c r="D433" s="1005"/>
      <c r="E433" s="977"/>
      <c r="F433" s="13"/>
      <c r="G433" s="1779"/>
      <c r="H433" s="13"/>
      <c r="I433" s="1779"/>
      <c r="J433" s="13"/>
      <c r="K433" s="1779"/>
      <c r="L433" s="13"/>
      <c r="M433" s="1779"/>
      <c r="N433" s="13"/>
      <c r="O433" s="1780"/>
      <c r="P433" s="13"/>
      <c r="Q433" s="1779"/>
      <c r="V433" s="1189"/>
      <c r="X433" s="1189"/>
      <c r="Z433" s="1190"/>
      <c r="AB433" s="1190"/>
      <c r="AH433" s="701"/>
      <c r="AJ433" s="701"/>
      <c r="BB433" s="1190"/>
      <c r="BD433" s="1190"/>
      <c r="BF433" s="1190"/>
      <c r="BH433" s="1190"/>
      <c r="BJ433" s="1190"/>
      <c r="BN433" s="206"/>
      <c r="BO433" s="206"/>
      <c r="BP433" s="206"/>
      <c r="BQ433" s="195"/>
      <c r="BR433" s="195"/>
      <c r="BS433" s="195"/>
      <c r="BT433" s="195"/>
      <c r="BU433" s="195"/>
    </row>
    <row r="434" ht="15.75" customHeight="1">
      <c r="A434" s="1004"/>
      <c r="B434" s="1004"/>
      <c r="C434" s="1005"/>
      <c r="D434" s="1005"/>
      <c r="E434" s="977"/>
      <c r="F434" s="13"/>
      <c r="G434" s="1779"/>
      <c r="H434" s="13"/>
      <c r="I434" s="1779"/>
      <c r="J434" s="13"/>
      <c r="K434" s="1779"/>
      <c r="L434" s="13"/>
      <c r="M434" s="1779"/>
      <c r="N434" s="13"/>
      <c r="O434" s="1780"/>
      <c r="P434" s="13"/>
      <c r="Q434" s="1779"/>
      <c r="V434" s="1189"/>
      <c r="X434" s="1189"/>
      <c r="Z434" s="1190"/>
      <c r="AB434" s="1190"/>
      <c r="AH434" s="701"/>
      <c r="AJ434" s="701"/>
      <c r="BB434" s="1190"/>
      <c r="BD434" s="1190"/>
      <c r="BF434" s="1190"/>
      <c r="BH434" s="1190"/>
      <c r="BJ434" s="1190"/>
      <c r="BN434" s="206"/>
      <c r="BO434" s="206"/>
      <c r="BP434" s="206"/>
      <c r="BQ434" s="195"/>
      <c r="BR434" s="195"/>
      <c r="BS434" s="195"/>
      <c r="BT434" s="195"/>
      <c r="BU434" s="195"/>
    </row>
    <row r="435" ht="15.75" customHeight="1">
      <c r="A435" s="1004"/>
      <c r="B435" s="1004"/>
      <c r="C435" s="1005"/>
      <c r="D435" s="1005"/>
      <c r="E435" s="977"/>
      <c r="F435" s="13"/>
      <c r="G435" s="1779"/>
      <c r="H435" s="13"/>
      <c r="I435" s="1779"/>
      <c r="J435" s="13"/>
      <c r="K435" s="1779"/>
      <c r="L435" s="13"/>
      <c r="M435" s="1779"/>
      <c r="N435" s="13"/>
      <c r="O435" s="1780"/>
      <c r="P435" s="13"/>
      <c r="Q435" s="1779"/>
      <c r="V435" s="1189"/>
      <c r="X435" s="1189"/>
      <c r="Z435" s="1190"/>
      <c r="AB435" s="1190"/>
      <c r="AH435" s="701"/>
      <c r="AJ435" s="701"/>
      <c r="BB435" s="1190"/>
      <c r="BD435" s="1190"/>
      <c r="BF435" s="1190"/>
      <c r="BH435" s="1190"/>
      <c r="BJ435" s="1190"/>
      <c r="BN435" s="206"/>
      <c r="BO435" s="206"/>
      <c r="BP435" s="206"/>
      <c r="BQ435" s="195"/>
      <c r="BR435" s="195"/>
      <c r="BS435" s="195"/>
      <c r="BT435" s="195"/>
      <c r="BU435" s="195"/>
    </row>
    <row r="436" ht="15.75" customHeight="1">
      <c r="A436" s="1004"/>
      <c r="B436" s="1004"/>
      <c r="C436" s="1005"/>
      <c r="D436" s="1005"/>
      <c r="E436" s="977"/>
      <c r="F436" s="13"/>
      <c r="G436" s="1779"/>
      <c r="H436" s="13"/>
      <c r="I436" s="1779"/>
      <c r="J436" s="13"/>
      <c r="K436" s="1779"/>
      <c r="L436" s="13"/>
      <c r="M436" s="1779"/>
      <c r="N436" s="13"/>
      <c r="O436" s="1780"/>
      <c r="P436" s="13"/>
      <c r="Q436" s="1779"/>
      <c r="V436" s="1189"/>
      <c r="X436" s="1189"/>
      <c r="Z436" s="1190"/>
      <c r="AB436" s="1190"/>
      <c r="AH436" s="701"/>
      <c r="AJ436" s="701"/>
      <c r="BB436" s="1190"/>
      <c r="BD436" s="1190"/>
      <c r="BF436" s="1190"/>
      <c r="BH436" s="1190"/>
      <c r="BJ436" s="1190"/>
      <c r="BN436" s="206"/>
      <c r="BO436" s="206"/>
      <c r="BP436" s="206"/>
      <c r="BQ436" s="195"/>
      <c r="BR436" s="195"/>
      <c r="BS436" s="195"/>
      <c r="BT436" s="195"/>
      <c r="BU436" s="195"/>
    </row>
    <row r="437" ht="15.75" customHeight="1">
      <c r="A437" s="1004"/>
      <c r="B437" s="1004"/>
      <c r="C437" s="1005"/>
      <c r="D437" s="1005"/>
      <c r="E437" s="977"/>
      <c r="F437" s="13"/>
      <c r="G437" s="1779"/>
      <c r="H437" s="13"/>
      <c r="I437" s="1779"/>
      <c r="J437" s="13"/>
      <c r="K437" s="1779"/>
      <c r="L437" s="13"/>
      <c r="M437" s="1779"/>
      <c r="N437" s="13"/>
      <c r="O437" s="1780"/>
      <c r="P437" s="13"/>
      <c r="Q437" s="1779"/>
      <c r="V437" s="1189"/>
      <c r="X437" s="1189"/>
      <c r="Z437" s="1190"/>
      <c r="AB437" s="1190"/>
      <c r="AH437" s="701"/>
      <c r="AJ437" s="701"/>
      <c r="BB437" s="1190"/>
      <c r="BD437" s="1190"/>
      <c r="BF437" s="1190"/>
      <c r="BH437" s="1190"/>
      <c r="BJ437" s="1190"/>
      <c r="BN437" s="206"/>
      <c r="BO437" s="206"/>
      <c r="BP437" s="206"/>
      <c r="BQ437" s="195"/>
      <c r="BR437" s="195"/>
      <c r="BS437" s="195"/>
      <c r="BT437" s="195"/>
      <c r="BU437" s="195"/>
    </row>
    <row r="438" ht="15.75" customHeight="1">
      <c r="A438" s="1004"/>
      <c r="B438" s="1004"/>
      <c r="C438" s="1005"/>
      <c r="D438" s="1005"/>
      <c r="E438" s="977"/>
      <c r="F438" s="13"/>
      <c r="G438" s="1779"/>
      <c r="H438" s="13"/>
      <c r="I438" s="1779"/>
      <c r="J438" s="13"/>
      <c r="K438" s="1779"/>
      <c r="L438" s="13"/>
      <c r="M438" s="1779"/>
      <c r="N438" s="13"/>
      <c r="O438" s="1780"/>
      <c r="P438" s="13"/>
      <c r="Q438" s="1779"/>
      <c r="V438" s="1189"/>
      <c r="X438" s="1189"/>
      <c r="Z438" s="1190"/>
      <c r="AB438" s="1190"/>
      <c r="AH438" s="701"/>
      <c r="AJ438" s="701"/>
      <c r="BB438" s="1190"/>
      <c r="BD438" s="1190"/>
      <c r="BF438" s="1190"/>
      <c r="BH438" s="1190"/>
      <c r="BJ438" s="1190"/>
      <c r="BN438" s="206"/>
      <c r="BO438" s="206"/>
      <c r="BP438" s="206"/>
      <c r="BQ438" s="195"/>
      <c r="BR438" s="195"/>
      <c r="BS438" s="195"/>
      <c r="BT438" s="195"/>
      <c r="BU438" s="195"/>
    </row>
    <row r="439" ht="15.75" customHeight="1">
      <c r="A439" s="1004"/>
      <c r="B439" s="1004"/>
      <c r="C439" s="1005"/>
      <c r="D439" s="1005"/>
      <c r="E439" s="977"/>
      <c r="F439" s="13"/>
      <c r="G439" s="1779"/>
      <c r="H439" s="13"/>
      <c r="I439" s="1779"/>
      <c r="J439" s="13"/>
      <c r="K439" s="1779"/>
      <c r="L439" s="13"/>
      <c r="M439" s="1779"/>
      <c r="N439" s="13"/>
      <c r="O439" s="1780"/>
      <c r="P439" s="13"/>
      <c r="Q439" s="1779"/>
      <c r="V439" s="1189"/>
      <c r="X439" s="1189"/>
      <c r="Z439" s="1190"/>
      <c r="AB439" s="1190"/>
      <c r="AH439" s="701"/>
      <c r="AJ439" s="701"/>
      <c r="BB439" s="1190"/>
      <c r="BD439" s="1190"/>
      <c r="BF439" s="1190"/>
      <c r="BH439" s="1190"/>
      <c r="BJ439" s="1190"/>
      <c r="BN439" s="206"/>
      <c r="BO439" s="206"/>
      <c r="BP439" s="206"/>
      <c r="BQ439" s="195"/>
      <c r="BR439" s="195"/>
      <c r="BS439" s="195"/>
      <c r="BT439" s="195"/>
      <c r="BU439" s="195"/>
    </row>
    <row r="440" ht="15.75" customHeight="1">
      <c r="A440" s="1004"/>
      <c r="B440" s="1004"/>
      <c r="C440" s="1005"/>
      <c r="D440" s="1005"/>
      <c r="E440" s="977"/>
      <c r="F440" s="13"/>
      <c r="G440" s="1779"/>
      <c r="H440" s="13"/>
      <c r="I440" s="1779"/>
      <c r="J440" s="13"/>
      <c r="K440" s="1779"/>
      <c r="L440" s="13"/>
      <c r="M440" s="1779"/>
      <c r="N440" s="13"/>
      <c r="O440" s="1780"/>
      <c r="P440" s="13"/>
      <c r="Q440" s="1779"/>
      <c r="V440" s="1189"/>
      <c r="X440" s="1189"/>
      <c r="Z440" s="1190"/>
      <c r="AB440" s="1190"/>
      <c r="AH440" s="701"/>
      <c r="AJ440" s="701"/>
      <c r="BB440" s="1190"/>
      <c r="BD440" s="1190"/>
      <c r="BF440" s="1190"/>
      <c r="BH440" s="1190"/>
      <c r="BJ440" s="1190"/>
      <c r="BN440" s="206"/>
      <c r="BO440" s="206"/>
      <c r="BP440" s="206"/>
      <c r="BQ440" s="195"/>
      <c r="BR440" s="195"/>
      <c r="BS440" s="195"/>
      <c r="BT440" s="195"/>
      <c r="BU440" s="195"/>
    </row>
    <row r="441" ht="15.75" customHeight="1">
      <c r="A441" s="1004"/>
      <c r="B441" s="1004"/>
      <c r="C441" s="1005"/>
      <c r="D441" s="1005"/>
      <c r="E441" s="977"/>
      <c r="F441" s="13"/>
      <c r="G441" s="1779"/>
      <c r="H441" s="13"/>
      <c r="I441" s="1779"/>
      <c r="J441" s="13"/>
      <c r="K441" s="1779"/>
      <c r="L441" s="13"/>
      <c r="M441" s="1779"/>
      <c r="N441" s="13"/>
      <c r="O441" s="1780"/>
      <c r="P441" s="13"/>
      <c r="Q441" s="1779"/>
      <c r="V441" s="1189"/>
      <c r="X441" s="1189"/>
      <c r="Z441" s="1190"/>
      <c r="AB441" s="1190"/>
      <c r="AH441" s="701"/>
      <c r="AJ441" s="701"/>
      <c r="BB441" s="1190"/>
      <c r="BD441" s="1190"/>
      <c r="BF441" s="1190"/>
      <c r="BH441" s="1190"/>
      <c r="BJ441" s="1190"/>
      <c r="BN441" s="206"/>
      <c r="BO441" s="206"/>
      <c r="BP441" s="206"/>
      <c r="BQ441" s="195"/>
      <c r="BR441" s="195"/>
      <c r="BS441" s="195"/>
      <c r="BT441" s="195"/>
      <c r="BU441" s="195"/>
    </row>
    <row r="442" ht="15.75" customHeight="1">
      <c r="A442" s="1004"/>
      <c r="B442" s="1004"/>
      <c r="C442" s="1005"/>
      <c r="D442" s="1005"/>
      <c r="E442" s="977"/>
      <c r="F442" s="13"/>
      <c r="G442" s="1779"/>
      <c r="H442" s="13"/>
      <c r="I442" s="1779"/>
      <c r="J442" s="13"/>
      <c r="K442" s="1779"/>
      <c r="L442" s="13"/>
      <c r="M442" s="1779"/>
      <c r="N442" s="13"/>
      <c r="O442" s="1780"/>
      <c r="P442" s="13"/>
      <c r="Q442" s="1779"/>
      <c r="V442" s="1189"/>
      <c r="X442" s="1189"/>
      <c r="Z442" s="1190"/>
      <c r="AB442" s="1190"/>
      <c r="AH442" s="701"/>
      <c r="AJ442" s="701"/>
      <c r="BB442" s="1190"/>
      <c r="BD442" s="1190"/>
      <c r="BF442" s="1190"/>
      <c r="BH442" s="1190"/>
      <c r="BJ442" s="1190"/>
      <c r="BN442" s="206"/>
      <c r="BO442" s="206"/>
      <c r="BP442" s="206"/>
      <c r="BQ442" s="195"/>
      <c r="BR442" s="195"/>
      <c r="BS442" s="195"/>
      <c r="BT442" s="195"/>
      <c r="BU442" s="195"/>
    </row>
    <row r="443" ht="15.75" customHeight="1">
      <c r="A443" s="1004"/>
      <c r="B443" s="1004"/>
      <c r="C443" s="1005"/>
      <c r="D443" s="1005"/>
      <c r="E443" s="977"/>
      <c r="F443" s="13"/>
      <c r="G443" s="1779"/>
      <c r="H443" s="13"/>
      <c r="I443" s="1779"/>
      <c r="J443" s="13"/>
      <c r="K443" s="1779"/>
      <c r="L443" s="13"/>
      <c r="M443" s="1779"/>
      <c r="N443" s="13"/>
      <c r="O443" s="1780"/>
      <c r="P443" s="13"/>
      <c r="Q443" s="1779"/>
      <c r="V443" s="1189"/>
      <c r="X443" s="1189"/>
      <c r="Z443" s="1190"/>
      <c r="AB443" s="1190"/>
      <c r="AH443" s="701"/>
      <c r="AJ443" s="701"/>
      <c r="BB443" s="1190"/>
      <c r="BD443" s="1190"/>
      <c r="BF443" s="1190"/>
      <c r="BH443" s="1190"/>
      <c r="BJ443" s="1190"/>
      <c r="BN443" s="206"/>
      <c r="BO443" s="206"/>
      <c r="BP443" s="206"/>
      <c r="BQ443" s="195"/>
      <c r="BR443" s="195"/>
      <c r="BS443" s="195"/>
      <c r="BT443" s="195"/>
      <c r="BU443" s="195"/>
    </row>
    <row r="444" ht="15.75" customHeight="1">
      <c r="A444" s="1004"/>
      <c r="B444" s="1004"/>
      <c r="C444" s="1005"/>
      <c r="D444" s="1005"/>
      <c r="E444" s="977"/>
      <c r="F444" s="13"/>
      <c r="G444" s="1779"/>
      <c r="H444" s="13"/>
      <c r="I444" s="1779"/>
      <c r="J444" s="13"/>
      <c r="K444" s="1779"/>
      <c r="L444" s="13"/>
      <c r="M444" s="1779"/>
      <c r="N444" s="13"/>
      <c r="O444" s="1780"/>
      <c r="P444" s="13"/>
      <c r="Q444" s="1779"/>
      <c r="V444" s="1189"/>
      <c r="X444" s="1189"/>
      <c r="Z444" s="1190"/>
      <c r="AB444" s="1190"/>
      <c r="AH444" s="701"/>
      <c r="AJ444" s="701"/>
      <c r="BB444" s="1190"/>
      <c r="BD444" s="1190"/>
      <c r="BF444" s="1190"/>
      <c r="BH444" s="1190"/>
      <c r="BJ444" s="1190"/>
      <c r="BN444" s="206"/>
      <c r="BO444" s="206"/>
      <c r="BP444" s="206"/>
      <c r="BQ444" s="195"/>
      <c r="BR444" s="195"/>
      <c r="BS444" s="195"/>
      <c r="BT444" s="195"/>
      <c r="BU444" s="195"/>
    </row>
    <row r="445" ht="15.75" customHeight="1">
      <c r="A445" s="1004"/>
      <c r="B445" s="1004"/>
      <c r="C445" s="1005"/>
      <c r="D445" s="1005"/>
      <c r="E445" s="977"/>
      <c r="F445" s="13"/>
      <c r="G445" s="1779"/>
      <c r="H445" s="13"/>
      <c r="I445" s="1779"/>
      <c r="J445" s="13"/>
      <c r="K445" s="1779"/>
      <c r="L445" s="13"/>
      <c r="M445" s="1779"/>
      <c r="N445" s="13"/>
      <c r="O445" s="1780"/>
      <c r="P445" s="13"/>
      <c r="Q445" s="1779"/>
      <c r="V445" s="1189"/>
      <c r="X445" s="1189"/>
      <c r="Z445" s="1190"/>
      <c r="AB445" s="1190"/>
      <c r="AH445" s="701"/>
      <c r="AJ445" s="701"/>
      <c r="BB445" s="1190"/>
      <c r="BD445" s="1190"/>
      <c r="BF445" s="1190"/>
      <c r="BH445" s="1190"/>
      <c r="BJ445" s="1190"/>
      <c r="BN445" s="206"/>
      <c r="BO445" s="206"/>
      <c r="BP445" s="206"/>
      <c r="BQ445" s="195"/>
      <c r="BR445" s="195"/>
      <c r="BS445" s="195"/>
      <c r="BT445" s="195"/>
      <c r="BU445" s="195"/>
    </row>
    <row r="446" ht="15.75" customHeight="1">
      <c r="A446" s="1004"/>
      <c r="B446" s="1004"/>
      <c r="C446" s="1005"/>
      <c r="D446" s="1005"/>
      <c r="E446" s="977"/>
      <c r="F446" s="13"/>
      <c r="G446" s="1779"/>
      <c r="H446" s="13"/>
      <c r="I446" s="1779"/>
      <c r="J446" s="13"/>
      <c r="K446" s="1779"/>
      <c r="L446" s="13"/>
      <c r="M446" s="1779"/>
      <c r="N446" s="13"/>
      <c r="O446" s="1780"/>
      <c r="P446" s="13"/>
      <c r="Q446" s="1779"/>
      <c r="V446" s="1189"/>
      <c r="X446" s="1189"/>
      <c r="Z446" s="1190"/>
      <c r="AB446" s="1190"/>
      <c r="AH446" s="701"/>
      <c r="AJ446" s="701"/>
      <c r="BB446" s="1190"/>
      <c r="BD446" s="1190"/>
      <c r="BF446" s="1190"/>
      <c r="BH446" s="1190"/>
      <c r="BJ446" s="1190"/>
      <c r="BN446" s="206"/>
      <c r="BO446" s="206"/>
      <c r="BP446" s="206"/>
      <c r="BQ446" s="195"/>
      <c r="BR446" s="195"/>
      <c r="BS446" s="195"/>
      <c r="BT446" s="195"/>
      <c r="BU446" s="195"/>
    </row>
    <row r="447" ht="15.75" customHeight="1">
      <c r="A447" s="1004"/>
      <c r="B447" s="1004"/>
      <c r="C447" s="1005"/>
      <c r="D447" s="1005"/>
      <c r="E447" s="977"/>
      <c r="F447" s="13"/>
      <c r="G447" s="1779"/>
      <c r="H447" s="13"/>
      <c r="I447" s="1779"/>
      <c r="J447" s="13"/>
      <c r="K447" s="1779"/>
      <c r="L447" s="13"/>
      <c r="M447" s="1779"/>
      <c r="N447" s="13"/>
      <c r="O447" s="1780"/>
      <c r="P447" s="13"/>
      <c r="Q447" s="1779"/>
      <c r="V447" s="1189"/>
      <c r="X447" s="1189"/>
      <c r="Z447" s="1190"/>
      <c r="AB447" s="1190"/>
      <c r="AH447" s="701"/>
      <c r="AJ447" s="701"/>
      <c r="BB447" s="1190"/>
      <c r="BD447" s="1190"/>
      <c r="BF447" s="1190"/>
      <c r="BH447" s="1190"/>
      <c r="BJ447" s="1190"/>
      <c r="BN447" s="206"/>
      <c r="BO447" s="206"/>
      <c r="BP447" s="206"/>
      <c r="BQ447" s="195"/>
      <c r="BR447" s="195"/>
      <c r="BS447" s="195"/>
      <c r="BT447" s="195"/>
      <c r="BU447" s="195"/>
    </row>
    <row r="448" ht="15.75" customHeight="1">
      <c r="A448" s="1004"/>
      <c r="B448" s="1004"/>
      <c r="C448" s="1005"/>
      <c r="D448" s="1005"/>
      <c r="E448" s="977"/>
      <c r="F448" s="13"/>
      <c r="G448" s="1779"/>
      <c r="H448" s="13"/>
      <c r="I448" s="1779"/>
      <c r="J448" s="13"/>
      <c r="K448" s="1779"/>
      <c r="L448" s="13"/>
      <c r="M448" s="1779"/>
      <c r="N448" s="13"/>
      <c r="O448" s="1780"/>
      <c r="P448" s="13"/>
      <c r="Q448" s="1779"/>
      <c r="V448" s="1189"/>
      <c r="X448" s="1189"/>
      <c r="Z448" s="1190"/>
      <c r="AB448" s="1190"/>
      <c r="AH448" s="701"/>
      <c r="AJ448" s="701"/>
      <c r="BB448" s="1190"/>
      <c r="BD448" s="1190"/>
      <c r="BF448" s="1190"/>
      <c r="BH448" s="1190"/>
      <c r="BJ448" s="1190"/>
      <c r="BN448" s="206"/>
      <c r="BO448" s="206"/>
      <c r="BP448" s="206"/>
      <c r="BQ448" s="195"/>
      <c r="BR448" s="195"/>
      <c r="BS448" s="195"/>
      <c r="BT448" s="195"/>
      <c r="BU448" s="195"/>
    </row>
    <row r="449" ht="15.75" customHeight="1">
      <c r="A449" s="1004"/>
      <c r="B449" s="1004"/>
      <c r="C449" s="1005"/>
      <c r="D449" s="1005"/>
      <c r="E449" s="977"/>
      <c r="F449" s="13"/>
      <c r="G449" s="1779"/>
      <c r="H449" s="13"/>
      <c r="I449" s="1779"/>
      <c r="J449" s="13"/>
      <c r="K449" s="1779"/>
      <c r="L449" s="13"/>
      <c r="M449" s="1779"/>
      <c r="N449" s="13"/>
      <c r="O449" s="1780"/>
      <c r="P449" s="13"/>
      <c r="Q449" s="1779"/>
      <c r="V449" s="1189"/>
      <c r="X449" s="1189"/>
      <c r="Z449" s="1190"/>
      <c r="AB449" s="1190"/>
      <c r="AH449" s="701"/>
      <c r="AJ449" s="701"/>
      <c r="BB449" s="1190"/>
      <c r="BD449" s="1190"/>
      <c r="BF449" s="1190"/>
      <c r="BH449" s="1190"/>
      <c r="BJ449" s="1190"/>
      <c r="BN449" s="206"/>
      <c r="BO449" s="206"/>
      <c r="BP449" s="206"/>
      <c r="BQ449" s="195"/>
      <c r="BR449" s="195"/>
      <c r="BS449" s="195"/>
      <c r="BT449" s="195"/>
      <c r="BU449" s="195"/>
    </row>
    <row r="450" ht="15.75" customHeight="1">
      <c r="A450" s="1004"/>
      <c r="B450" s="1004"/>
      <c r="C450" s="1005"/>
      <c r="D450" s="1005"/>
      <c r="E450" s="977"/>
      <c r="F450" s="13"/>
      <c r="G450" s="1779"/>
      <c r="H450" s="13"/>
      <c r="I450" s="1779"/>
      <c r="J450" s="13"/>
      <c r="K450" s="1779"/>
      <c r="L450" s="13"/>
      <c r="M450" s="1779"/>
      <c r="N450" s="13"/>
      <c r="O450" s="1780"/>
      <c r="P450" s="13"/>
      <c r="Q450" s="1779"/>
      <c r="V450" s="1189"/>
      <c r="X450" s="1189"/>
      <c r="Z450" s="1190"/>
      <c r="AB450" s="1190"/>
      <c r="AH450" s="701"/>
      <c r="AJ450" s="701"/>
      <c r="BB450" s="1190"/>
      <c r="BD450" s="1190"/>
      <c r="BF450" s="1190"/>
      <c r="BH450" s="1190"/>
      <c r="BJ450" s="1190"/>
      <c r="BN450" s="206"/>
      <c r="BO450" s="206"/>
      <c r="BP450" s="206"/>
      <c r="BQ450" s="195"/>
      <c r="BR450" s="195"/>
      <c r="BS450" s="195"/>
      <c r="BT450" s="195"/>
      <c r="BU450" s="195"/>
    </row>
    <row r="451" ht="15.75" customHeight="1">
      <c r="A451" s="1004"/>
      <c r="B451" s="1004"/>
      <c r="C451" s="1005"/>
      <c r="D451" s="1005"/>
      <c r="E451" s="977"/>
      <c r="F451" s="13"/>
      <c r="G451" s="1779"/>
      <c r="H451" s="13"/>
      <c r="I451" s="1779"/>
      <c r="J451" s="13"/>
      <c r="K451" s="1779"/>
      <c r="L451" s="13"/>
      <c r="M451" s="1779"/>
      <c r="N451" s="13"/>
      <c r="O451" s="1780"/>
      <c r="P451" s="13"/>
      <c r="Q451" s="1779"/>
      <c r="V451" s="1189"/>
      <c r="X451" s="1189"/>
      <c r="Z451" s="1190"/>
      <c r="AB451" s="1190"/>
      <c r="AH451" s="701"/>
      <c r="AJ451" s="701"/>
      <c r="BB451" s="1190"/>
      <c r="BD451" s="1190"/>
      <c r="BF451" s="1190"/>
      <c r="BH451" s="1190"/>
      <c r="BJ451" s="1190"/>
      <c r="BN451" s="206"/>
      <c r="BO451" s="206"/>
      <c r="BP451" s="206"/>
      <c r="BQ451" s="195"/>
      <c r="BR451" s="195"/>
      <c r="BS451" s="195"/>
      <c r="BT451" s="195"/>
      <c r="BU451" s="195"/>
    </row>
    <row r="452" ht="15.75" customHeight="1">
      <c r="A452" s="1004"/>
      <c r="B452" s="1004"/>
      <c r="C452" s="1005"/>
      <c r="D452" s="1005"/>
      <c r="E452" s="977"/>
      <c r="F452" s="13"/>
      <c r="G452" s="1779"/>
      <c r="H452" s="13"/>
      <c r="I452" s="1779"/>
      <c r="J452" s="13"/>
      <c r="K452" s="1779"/>
      <c r="L452" s="13"/>
      <c r="M452" s="1779"/>
      <c r="N452" s="13"/>
      <c r="O452" s="1780"/>
      <c r="P452" s="13"/>
      <c r="Q452" s="1779"/>
      <c r="V452" s="1189"/>
      <c r="X452" s="1189"/>
      <c r="Z452" s="1190"/>
      <c r="AB452" s="1190"/>
      <c r="AH452" s="701"/>
      <c r="AJ452" s="701"/>
      <c r="BB452" s="1190"/>
      <c r="BD452" s="1190"/>
      <c r="BF452" s="1190"/>
      <c r="BH452" s="1190"/>
      <c r="BJ452" s="1190"/>
      <c r="BN452" s="206"/>
      <c r="BO452" s="206"/>
      <c r="BP452" s="206"/>
      <c r="BQ452" s="195"/>
      <c r="BR452" s="195"/>
      <c r="BS452" s="195"/>
      <c r="BT452" s="195"/>
      <c r="BU452" s="195"/>
    </row>
    <row r="453" ht="15.75" customHeight="1">
      <c r="A453" s="1004"/>
      <c r="B453" s="1004"/>
      <c r="C453" s="1005"/>
      <c r="D453" s="1005"/>
      <c r="E453" s="977"/>
      <c r="F453" s="13"/>
      <c r="G453" s="1779"/>
      <c r="H453" s="13"/>
      <c r="I453" s="1779"/>
      <c r="J453" s="13"/>
      <c r="K453" s="1779"/>
      <c r="L453" s="13"/>
      <c r="M453" s="1779"/>
      <c r="N453" s="13"/>
      <c r="O453" s="1780"/>
      <c r="P453" s="13"/>
      <c r="Q453" s="1779"/>
      <c r="V453" s="1189"/>
      <c r="X453" s="1189"/>
      <c r="Z453" s="1190"/>
      <c r="AB453" s="1190"/>
      <c r="AH453" s="701"/>
      <c r="AJ453" s="701"/>
      <c r="BB453" s="1190"/>
      <c r="BD453" s="1190"/>
      <c r="BF453" s="1190"/>
      <c r="BH453" s="1190"/>
      <c r="BJ453" s="1190"/>
      <c r="BN453" s="206"/>
      <c r="BO453" s="206"/>
      <c r="BP453" s="206"/>
      <c r="BQ453" s="195"/>
      <c r="BR453" s="195"/>
      <c r="BS453" s="195"/>
      <c r="BT453" s="195"/>
      <c r="BU453" s="195"/>
    </row>
    <row r="454" ht="15.75" customHeight="1">
      <c r="A454" s="1004"/>
      <c r="B454" s="1004"/>
      <c r="C454" s="1005"/>
      <c r="D454" s="1005"/>
      <c r="E454" s="977"/>
      <c r="F454" s="13"/>
      <c r="G454" s="1779"/>
      <c r="H454" s="13"/>
      <c r="I454" s="1779"/>
      <c r="J454" s="13"/>
      <c r="K454" s="1779"/>
      <c r="L454" s="13"/>
      <c r="M454" s="1779"/>
      <c r="N454" s="13"/>
      <c r="O454" s="1780"/>
      <c r="P454" s="13"/>
      <c r="Q454" s="1779"/>
      <c r="V454" s="1189"/>
      <c r="X454" s="1189"/>
      <c r="Z454" s="1190"/>
      <c r="AB454" s="1190"/>
      <c r="AH454" s="701"/>
      <c r="AJ454" s="701"/>
      <c r="BB454" s="1190"/>
      <c r="BD454" s="1190"/>
      <c r="BF454" s="1190"/>
      <c r="BH454" s="1190"/>
      <c r="BJ454" s="1190"/>
      <c r="BN454" s="206"/>
      <c r="BO454" s="206"/>
      <c r="BP454" s="206"/>
      <c r="BQ454" s="195"/>
      <c r="BR454" s="195"/>
      <c r="BS454" s="195"/>
      <c r="BT454" s="195"/>
      <c r="BU454" s="195"/>
    </row>
    <row r="455" ht="15.75" customHeight="1">
      <c r="A455" s="1004"/>
      <c r="B455" s="1004"/>
      <c r="C455" s="1005"/>
      <c r="D455" s="1005"/>
      <c r="E455" s="977"/>
      <c r="F455" s="13"/>
      <c r="G455" s="1779"/>
      <c r="H455" s="13"/>
      <c r="I455" s="1779"/>
      <c r="J455" s="13"/>
      <c r="K455" s="1779"/>
      <c r="L455" s="13"/>
      <c r="M455" s="1779"/>
      <c r="N455" s="13"/>
      <c r="O455" s="1780"/>
      <c r="P455" s="13"/>
      <c r="Q455" s="1779"/>
      <c r="V455" s="1189"/>
      <c r="X455" s="1189"/>
      <c r="Z455" s="1190"/>
      <c r="AB455" s="1190"/>
      <c r="AH455" s="701"/>
      <c r="AJ455" s="701"/>
      <c r="BB455" s="1190"/>
      <c r="BD455" s="1190"/>
      <c r="BF455" s="1190"/>
      <c r="BH455" s="1190"/>
      <c r="BJ455" s="1190"/>
      <c r="BN455" s="206"/>
      <c r="BO455" s="206"/>
      <c r="BP455" s="206"/>
      <c r="BQ455" s="195"/>
      <c r="BR455" s="195"/>
      <c r="BS455" s="195"/>
      <c r="BT455" s="195"/>
      <c r="BU455" s="195"/>
    </row>
    <row r="456" ht="15.75" customHeight="1">
      <c r="A456" s="1004"/>
      <c r="B456" s="1004"/>
      <c r="C456" s="1005"/>
      <c r="D456" s="1005"/>
      <c r="E456" s="977"/>
      <c r="F456" s="13"/>
      <c r="G456" s="1779"/>
      <c r="H456" s="13"/>
      <c r="I456" s="1779"/>
      <c r="J456" s="13"/>
      <c r="K456" s="1779"/>
      <c r="L456" s="13"/>
      <c r="M456" s="1779"/>
      <c r="N456" s="13"/>
      <c r="O456" s="1780"/>
      <c r="P456" s="13"/>
      <c r="Q456" s="1779"/>
      <c r="V456" s="1189"/>
      <c r="X456" s="1189"/>
      <c r="Z456" s="1190"/>
      <c r="AB456" s="1190"/>
      <c r="AH456" s="701"/>
      <c r="AJ456" s="701"/>
      <c r="BB456" s="1190"/>
      <c r="BD456" s="1190"/>
      <c r="BF456" s="1190"/>
      <c r="BH456" s="1190"/>
      <c r="BJ456" s="1190"/>
      <c r="BN456" s="206"/>
      <c r="BO456" s="206"/>
      <c r="BP456" s="206"/>
      <c r="BQ456" s="195"/>
      <c r="BR456" s="195"/>
      <c r="BS456" s="195"/>
      <c r="BT456" s="195"/>
      <c r="BU456" s="195"/>
    </row>
    <row r="457" ht="15.75" customHeight="1">
      <c r="A457" s="1004"/>
      <c r="B457" s="1004"/>
      <c r="C457" s="1005"/>
      <c r="D457" s="1005"/>
      <c r="E457" s="977"/>
      <c r="F457" s="13"/>
      <c r="G457" s="1779"/>
      <c r="H457" s="13"/>
      <c r="I457" s="1779"/>
      <c r="J457" s="13"/>
      <c r="K457" s="1779"/>
      <c r="L457" s="13"/>
      <c r="M457" s="1779"/>
      <c r="N457" s="13"/>
      <c r="O457" s="1780"/>
      <c r="P457" s="13"/>
      <c r="Q457" s="1779"/>
      <c r="V457" s="1189"/>
      <c r="X457" s="1189"/>
      <c r="Z457" s="1190"/>
      <c r="AB457" s="1190"/>
      <c r="AH457" s="701"/>
      <c r="AJ457" s="701"/>
      <c r="BB457" s="1190"/>
      <c r="BD457" s="1190"/>
      <c r="BF457" s="1190"/>
      <c r="BH457" s="1190"/>
      <c r="BJ457" s="1190"/>
      <c r="BN457" s="206"/>
      <c r="BO457" s="206"/>
      <c r="BP457" s="206"/>
      <c r="BQ457" s="195"/>
      <c r="BR457" s="195"/>
      <c r="BS457" s="195"/>
      <c r="BT457" s="195"/>
      <c r="BU457" s="195"/>
    </row>
    <row r="458" ht="15.75" customHeight="1">
      <c r="A458" s="1004"/>
      <c r="B458" s="1004"/>
      <c r="C458" s="1005"/>
      <c r="D458" s="1005"/>
      <c r="E458" s="977"/>
      <c r="F458" s="13"/>
      <c r="G458" s="1779"/>
      <c r="H458" s="13"/>
      <c r="I458" s="1779"/>
      <c r="J458" s="13"/>
      <c r="K458" s="1779"/>
      <c r="L458" s="13"/>
      <c r="M458" s="1779"/>
      <c r="N458" s="13"/>
      <c r="O458" s="1780"/>
      <c r="P458" s="13"/>
      <c r="Q458" s="1779"/>
      <c r="V458" s="1189"/>
      <c r="X458" s="1189"/>
      <c r="Z458" s="1190"/>
      <c r="AB458" s="1190"/>
      <c r="AH458" s="701"/>
      <c r="AJ458" s="701"/>
      <c r="BB458" s="1190"/>
      <c r="BD458" s="1190"/>
      <c r="BF458" s="1190"/>
      <c r="BH458" s="1190"/>
      <c r="BJ458" s="1190"/>
      <c r="BN458" s="206"/>
      <c r="BO458" s="206"/>
      <c r="BP458" s="206"/>
      <c r="BQ458" s="195"/>
      <c r="BR458" s="195"/>
      <c r="BS458" s="195"/>
      <c r="BT458" s="195"/>
      <c r="BU458" s="195"/>
    </row>
    <row r="459" ht="15.75" customHeight="1">
      <c r="A459" s="1004"/>
      <c r="B459" s="1004"/>
      <c r="C459" s="1005"/>
      <c r="D459" s="1005"/>
      <c r="E459" s="977"/>
      <c r="F459" s="13"/>
      <c r="G459" s="1779"/>
      <c r="H459" s="13"/>
      <c r="I459" s="1779"/>
      <c r="J459" s="13"/>
      <c r="K459" s="1779"/>
      <c r="L459" s="13"/>
      <c r="M459" s="1779"/>
      <c r="N459" s="13"/>
      <c r="O459" s="1780"/>
      <c r="P459" s="13"/>
      <c r="Q459" s="1779"/>
      <c r="V459" s="1189"/>
      <c r="X459" s="1189"/>
      <c r="Z459" s="1190"/>
      <c r="AB459" s="1190"/>
      <c r="AH459" s="701"/>
      <c r="AJ459" s="701"/>
      <c r="BB459" s="1190"/>
      <c r="BD459" s="1190"/>
      <c r="BF459" s="1190"/>
      <c r="BH459" s="1190"/>
      <c r="BJ459" s="1190"/>
      <c r="BN459" s="206"/>
      <c r="BO459" s="206"/>
      <c r="BP459" s="206"/>
      <c r="BQ459" s="195"/>
      <c r="BR459" s="195"/>
      <c r="BS459" s="195"/>
      <c r="BT459" s="195"/>
      <c r="BU459" s="195"/>
    </row>
    <row r="460" ht="15.75" customHeight="1">
      <c r="A460" s="1004"/>
      <c r="B460" s="1004"/>
      <c r="C460" s="1005"/>
      <c r="D460" s="1005"/>
      <c r="E460" s="977"/>
      <c r="F460" s="13"/>
      <c r="G460" s="1779"/>
      <c r="H460" s="13"/>
      <c r="I460" s="1779"/>
      <c r="J460" s="13"/>
      <c r="K460" s="1779"/>
      <c r="L460" s="13"/>
      <c r="M460" s="1779"/>
      <c r="N460" s="13"/>
      <c r="O460" s="1780"/>
      <c r="P460" s="13"/>
      <c r="Q460" s="1779"/>
      <c r="V460" s="1189"/>
      <c r="X460" s="1189"/>
      <c r="Z460" s="1190"/>
      <c r="AB460" s="1190"/>
      <c r="AH460" s="701"/>
      <c r="AJ460" s="701"/>
      <c r="BB460" s="1190"/>
      <c r="BD460" s="1190"/>
      <c r="BF460" s="1190"/>
      <c r="BH460" s="1190"/>
      <c r="BJ460" s="1190"/>
      <c r="BN460" s="206"/>
      <c r="BO460" s="206"/>
      <c r="BP460" s="206"/>
      <c r="BQ460" s="195"/>
      <c r="BR460" s="195"/>
      <c r="BS460" s="195"/>
      <c r="BT460" s="195"/>
      <c r="BU460" s="195"/>
    </row>
    <row r="461" ht="15.75" customHeight="1">
      <c r="A461" s="1004"/>
      <c r="B461" s="1004"/>
      <c r="C461" s="1005"/>
      <c r="D461" s="1005"/>
      <c r="E461" s="977"/>
      <c r="F461" s="13"/>
      <c r="G461" s="1779"/>
      <c r="H461" s="13"/>
      <c r="I461" s="1779"/>
      <c r="J461" s="13"/>
      <c r="K461" s="1779"/>
      <c r="L461" s="13"/>
      <c r="M461" s="1779"/>
      <c r="N461" s="13"/>
      <c r="O461" s="1780"/>
      <c r="P461" s="13"/>
      <c r="Q461" s="1779"/>
      <c r="V461" s="1189"/>
      <c r="X461" s="1189"/>
      <c r="Z461" s="1190"/>
      <c r="AB461" s="1190"/>
      <c r="AH461" s="701"/>
      <c r="AJ461" s="701"/>
      <c r="BB461" s="1190"/>
      <c r="BD461" s="1190"/>
      <c r="BF461" s="1190"/>
      <c r="BH461" s="1190"/>
      <c r="BJ461" s="1190"/>
      <c r="BN461" s="206"/>
      <c r="BO461" s="206"/>
      <c r="BP461" s="206"/>
      <c r="BQ461" s="195"/>
      <c r="BR461" s="195"/>
      <c r="BS461" s="195"/>
      <c r="BT461" s="195"/>
      <c r="BU461" s="195"/>
    </row>
    <row r="462" ht="15.75" customHeight="1">
      <c r="A462" s="1004"/>
      <c r="B462" s="1004"/>
      <c r="C462" s="1005"/>
      <c r="D462" s="1005"/>
      <c r="E462" s="977"/>
      <c r="F462" s="13"/>
      <c r="G462" s="1779"/>
      <c r="H462" s="13"/>
      <c r="I462" s="1779"/>
      <c r="J462" s="13"/>
      <c r="K462" s="1779"/>
      <c r="L462" s="13"/>
      <c r="M462" s="1779"/>
      <c r="N462" s="13"/>
      <c r="O462" s="1780"/>
      <c r="P462" s="13"/>
      <c r="Q462" s="1779"/>
      <c r="V462" s="1189"/>
      <c r="X462" s="1189"/>
      <c r="Z462" s="1190"/>
      <c r="AB462" s="1190"/>
      <c r="AH462" s="701"/>
      <c r="AJ462" s="701"/>
      <c r="BB462" s="1190"/>
      <c r="BD462" s="1190"/>
      <c r="BF462" s="1190"/>
      <c r="BH462" s="1190"/>
      <c r="BJ462" s="1190"/>
      <c r="BN462" s="206"/>
      <c r="BO462" s="206"/>
      <c r="BP462" s="206"/>
      <c r="BQ462" s="195"/>
      <c r="BR462" s="195"/>
      <c r="BS462" s="195"/>
      <c r="BT462" s="195"/>
      <c r="BU462" s="195"/>
    </row>
    <row r="463" ht="15.75" customHeight="1">
      <c r="A463" s="1004"/>
      <c r="B463" s="1004"/>
      <c r="C463" s="1005"/>
      <c r="D463" s="1005"/>
      <c r="E463" s="977"/>
      <c r="F463" s="13"/>
      <c r="G463" s="1779"/>
      <c r="H463" s="13"/>
      <c r="I463" s="1779"/>
      <c r="J463" s="13"/>
      <c r="K463" s="1779"/>
      <c r="L463" s="13"/>
      <c r="M463" s="1779"/>
      <c r="N463" s="13"/>
      <c r="O463" s="1780"/>
      <c r="P463" s="13"/>
      <c r="Q463" s="1779"/>
      <c r="V463" s="1189"/>
      <c r="X463" s="1189"/>
      <c r="Z463" s="1190"/>
      <c r="AB463" s="1190"/>
      <c r="AH463" s="701"/>
      <c r="AJ463" s="701"/>
      <c r="BB463" s="1190"/>
      <c r="BD463" s="1190"/>
      <c r="BF463" s="1190"/>
      <c r="BH463" s="1190"/>
      <c r="BJ463" s="1190"/>
      <c r="BN463" s="206"/>
      <c r="BO463" s="206"/>
      <c r="BP463" s="206"/>
      <c r="BQ463" s="195"/>
      <c r="BR463" s="195"/>
      <c r="BS463" s="195"/>
      <c r="BT463" s="195"/>
      <c r="BU463" s="195"/>
    </row>
    <row r="464" ht="15.75" customHeight="1">
      <c r="A464" s="1004"/>
      <c r="B464" s="1004"/>
      <c r="C464" s="1005"/>
      <c r="D464" s="1005"/>
      <c r="E464" s="977"/>
      <c r="F464" s="13"/>
      <c r="G464" s="1779"/>
      <c r="H464" s="13"/>
      <c r="I464" s="1779"/>
      <c r="J464" s="13"/>
      <c r="K464" s="1779"/>
      <c r="L464" s="13"/>
      <c r="M464" s="1779"/>
      <c r="N464" s="13"/>
      <c r="O464" s="1780"/>
      <c r="P464" s="13"/>
      <c r="Q464" s="1779"/>
      <c r="V464" s="1189"/>
      <c r="X464" s="1189"/>
      <c r="Z464" s="1190"/>
      <c r="AB464" s="1190"/>
      <c r="AH464" s="701"/>
      <c r="AJ464" s="701"/>
      <c r="BB464" s="1190"/>
      <c r="BD464" s="1190"/>
      <c r="BF464" s="1190"/>
      <c r="BH464" s="1190"/>
      <c r="BJ464" s="1190"/>
      <c r="BN464" s="206"/>
      <c r="BO464" s="206"/>
      <c r="BP464" s="206"/>
      <c r="BQ464" s="195"/>
      <c r="BR464" s="195"/>
      <c r="BS464" s="195"/>
      <c r="BT464" s="195"/>
      <c r="BU464" s="195"/>
    </row>
    <row r="465" ht="15.75" customHeight="1">
      <c r="A465" s="1004"/>
      <c r="B465" s="1004"/>
      <c r="C465" s="1005"/>
      <c r="D465" s="1005"/>
      <c r="E465" s="977"/>
      <c r="F465" s="13"/>
      <c r="G465" s="1779"/>
      <c r="H465" s="13"/>
      <c r="I465" s="1779"/>
      <c r="J465" s="13"/>
      <c r="K465" s="1779"/>
      <c r="L465" s="13"/>
      <c r="M465" s="1779"/>
      <c r="N465" s="13"/>
      <c r="O465" s="1780"/>
      <c r="P465" s="13"/>
      <c r="Q465" s="1779"/>
      <c r="V465" s="1189"/>
      <c r="X465" s="1189"/>
      <c r="Z465" s="1190"/>
      <c r="AB465" s="1190"/>
      <c r="AH465" s="701"/>
      <c r="AJ465" s="701"/>
      <c r="BB465" s="1190"/>
      <c r="BD465" s="1190"/>
      <c r="BF465" s="1190"/>
      <c r="BH465" s="1190"/>
      <c r="BJ465" s="1190"/>
      <c r="BN465" s="206"/>
      <c r="BO465" s="206"/>
      <c r="BP465" s="206"/>
      <c r="BQ465" s="195"/>
      <c r="BR465" s="195"/>
      <c r="BS465" s="195"/>
      <c r="BT465" s="195"/>
      <c r="BU465" s="195"/>
    </row>
    <row r="466" ht="15.75" customHeight="1">
      <c r="A466" s="1004"/>
      <c r="B466" s="1004"/>
      <c r="C466" s="1005"/>
      <c r="D466" s="1005"/>
      <c r="E466" s="977"/>
      <c r="F466" s="13"/>
      <c r="G466" s="1779"/>
      <c r="H466" s="13"/>
      <c r="I466" s="1779"/>
      <c r="J466" s="13"/>
      <c r="K466" s="1779"/>
      <c r="L466" s="13"/>
      <c r="M466" s="1779"/>
      <c r="N466" s="13"/>
      <c r="O466" s="1780"/>
      <c r="P466" s="13"/>
      <c r="Q466" s="1779"/>
      <c r="V466" s="1189"/>
      <c r="X466" s="1189"/>
      <c r="Z466" s="1190"/>
      <c r="AB466" s="1190"/>
      <c r="AH466" s="701"/>
      <c r="AJ466" s="701"/>
      <c r="BB466" s="1190"/>
      <c r="BD466" s="1190"/>
      <c r="BF466" s="1190"/>
      <c r="BH466" s="1190"/>
      <c r="BJ466" s="1190"/>
      <c r="BN466" s="206"/>
      <c r="BO466" s="206"/>
      <c r="BP466" s="206"/>
      <c r="BQ466" s="195"/>
      <c r="BR466" s="195"/>
      <c r="BS466" s="195"/>
      <c r="BT466" s="195"/>
      <c r="BU466" s="195"/>
    </row>
    <row r="467" ht="15.75" customHeight="1">
      <c r="A467" s="1004"/>
      <c r="B467" s="1004"/>
      <c r="C467" s="1005"/>
      <c r="D467" s="1005"/>
      <c r="E467" s="977"/>
      <c r="F467" s="13"/>
      <c r="G467" s="1779"/>
      <c r="H467" s="13"/>
      <c r="I467" s="1779"/>
      <c r="J467" s="13"/>
      <c r="K467" s="1779"/>
      <c r="L467" s="13"/>
      <c r="M467" s="1779"/>
      <c r="N467" s="13"/>
      <c r="O467" s="1780"/>
      <c r="P467" s="13"/>
      <c r="Q467" s="1779"/>
      <c r="V467" s="1189"/>
      <c r="X467" s="1189"/>
      <c r="Z467" s="1190"/>
      <c r="AB467" s="1190"/>
      <c r="AH467" s="701"/>
      <c r="AJ467" s="701"/>
      <c r="BB467" s="1190"/>
      <c r="BD467" s="1190"/>
      <c r="BF467" s="1190"/>
      <c r="BH467" s="1190"/>
      <c r="BJ467" s="1190"/>
      <c r="BN467" s="206"/>
      <c r="BO467" s="206"/>
      <c r="BP467" s="206"/>
      <c r="BQ467" s="195"/>
      <c r="BR467" s="195"/>
      <c r="BS467" s="195"/>
      <c r="BT467" s="195"/>
      <c r="BU467" s="195"/>
    </row>
    <row r="468" ht="15.75" customHeight="1">
      <c r="A468" s="1004"/>
      <c r="B468" s="1004"/>
      <c r="C468" s="1005"/>
      <c r="D468" s="1005"/>
      <c r="E468" s="977"/>
      <c r="F468" s="13"/>
      <c r="G468" s="1779"/>
      <c r="H468" s="13"/>
      <c r="I468" s="1779"/>
      <c r="J468" s="13"/>
      <c r="K468" s="1779"/>
      <c r="L468" s="13"/>
      <c r="M468" s="1779"/>
      <c r="N468" s="13"/>
      <c r="O468" s="1780"/>
      <c r="P468" s="13"/>
      <c r="Q468" s="1779"/>
      <c r="V468" s="1189"/>
      <c r="X468" s="1189"/>
      <c r="Z468" s="1190"/>
      <c r="AB468" s="1190"/>
      <c r="AH468" s="701"/>
      <c r="AJ468" s="701"/>
      <c r="BB468" s="1190"/>
      <c r="BD468" s="1190"/>
      <c r="BF468" s="1190"/>
      <c r="BH468" s="1190"/>
      <c r="BJ468" s="1190"/>
      <c r="BN468" s="206"/>
      <c r="BO468" s="206"/>
      <c r="BP468" s="206"/>
      <c r="BQ468" s="195"/>
      <c r="BR468" s="195"/>
      <c r="BS468" s="195"/>
      <c r="BT468" s="195"/>
      <c r="BU468" s="195"/>
    </row>
    <row r="469" ht="15.75" customHeight="1">
      <c r="A469" s="1004"/>
      <c r="B469" s="1004"/>
      <c r="C469" s="1005"/>
      <c r="D469" s="1005"/>
      <c r="E469" s="977"/>
      <c r="F469" s="13"/>
      <c r="G469" s="1779"/>
      <c r="H469" s="13"/>
      <c r="I469" s="1779"/>
      <c r="J469" s="13"/>
      <c r="K469" s="1779"/>
      <c r="L469" s="13"/>
      <c r="M469" s="1779"/>
      <c r="N469" s="13"/>
      <c r="O469" s="1780"/>
      <c r="P469" s="13"/>
      <c r="Q469" s="1779"/>
      <c r="V469" s="1189"/>
      <c r="X469" s="1189"/>
      <c r="Z469" s="1190"/>
      <c r="AB469" s="1190"/>
      <c r="AH469" s="701"/>
      <c r="AJ469" s="701"/>
      <c r="BB469" s="1190"/>
      <c r="BD469" s="1190"/>
      <c r="BF469" s="1190"/>
      <c r="BH469" s="1190"/>
      <c r="BJ469" s="1190"/>
      <c r="BN469" s="206"/>
      <c r="BO469" s="206"/>
      <c r="BP469" s="206"/>
      <c r="BQ469" s="195"/>
      <c r="BR469" s="195"/>
      <c r="BS469" s="195"/>
      <c r="BT469" s="195"/>
      <c r="BU469" s="195"/>
    </row>
    <row r="470" ht="15.75" customHeight="1">
      <c r="A470" s="1004"/>
      <c r="B470" s="1004"/>
      <c r="C470" s="1005"/>
      <c r="D470" s="1005"/>
      <c r="E470" s="977"/>
      <c r="F470" s="13"/>
      <c r="G470" s="1779"/>
      <c r="H470" s="13"/>
      <c r="I470" s="1779"/>
      <c r="J470" s="13"/>
      <c r="K470" s="1779"/>
      <c r="L470" s="13"/>
      <c r="M470" s="1779"/>
      <c r="N470" s="13"/>
      <c r="O470" s="1780"/>
      <c r="P470" s="13"/>
      <c r="Q470" s="1779"/>
      <c r="V470" s="1189"/>
      <c r="X470" s="1189"/>
      <c r="Z470" s="1190"/>
      <c r="AB470" s="1190"/>
      <c r="AH470" s="701"/>
      <c r="AJ470" s="701"/>
      <c r="BB470" s="1190"/>
      <c r="BD470" s="1190"/>
      <c r="BF470" s="1190"/>
      <c r="BH470" s="1190"/>
      <c r="BJ470" s="1190"/>
      <c r="BN470" s="206"/>
      <c r="BO470" s="206"/>
      <c r="BP470" s="206"/>
      <c r="BQ470" s="195"/>
      <c r="BR470" s="195"/>
      <c r="BS470" s="195"/>
      <c r="BT470" s="195"/>
      <c r="BU470" s="195"/>
    </row>
    <row r="471" ht="15.75" customHeight="1">
      <c r="A471" s="1004"/>
      <c r="B471" s="1004"/>
      <c r="C471" s="1005"/>
      <c r="D471" s="1005"/>
      <c r="E471" s="977"/>
      <c r="F471" s="13"/>
      <c r="G471" s="1779"/>
      <c r="H471" s="13"/>
      <c r="I471" s="1779"/>
      <c r="J471" s="13"/>
      <c r="K471" s="1779"/>
      <c r="L471" s="13"/>
      <c r="M471" s="1779"/>
      <c r="N471" s="13"/>
      <c r="O471" s="1780"/>
      <c r="P471" s="13"/>
      <c r="Q471" s="1779"/>
      <c r="V471" s="1189"/>
      <c r="X471" s="1189"/>
      <c r="Z471" s="1190"/>
      <c r="AB471" s="1190"/>
      <c r="AH471" s="701"/>
      <c r="AJ471" s="701"/>
      <c r="BB471" s="1190"/>
      <c r="BD471" s="1190"/>
      <c r="BF471" s="1190"/>
      <c r="BH471" s="1190"/>
      <c r="BJ471" s="1190"/>
      <c r="BN471" s="206"/>
      <c r="BO471" s="206"/>
      <c r="BP471" s="206"/>
      <c r="BQ471" s="195"/>
      <c r="BR471" s="195"/>
      <c r="BS471" s="195"/>
      <c r="BT471" s="195"/>
      <c r="BU471" s="195"/>
    </row>
    <row r="472" ht="15.75" customHeight="1">
      <c r="A472" s="1004"/>
      <c r="B472" s="1004"/>
      <c r="C472" s="1005"/>
      <c r="D472" s="1005"/>
      <c r="E472" s="977"/>
      <c r="F472" s="13"/>
      <c r="G472" s="1779"/>
      <c r="H472" s="13"/>
      <c r="I472" s="1779"/>
      <c r="J472" s="13"/>
      <c r="K472" s="1779"/>
      <c r="L472" s="13"/>
      <c r="M472" s="1779"/>
      <c r="N472" s="13"/>
      <c r="O472" s="1780"/>
      <c r="P472" s="13"/>
      <c r="Q472" s="1779"/>
      <c r="V472" s="1189"/>
      <c r="X472" s="1189"/>
      <c r="Z472" s="1190"/>
      <c r="AB472" s="1190"/>
      <c r="AH472" s="701"/>
      <c r="AJ472" s="701"/>
      <c r="BB472" s="1190"/>
      <c r="BD472" s="1190"/>
      <c r="BF472" s="1190"/>
      <c r="BH472" s="1190"/>
      <c r="BJ472" s="1190"/>
      <c r="BN472" s="206"/>
      <c r="BO472" s="206"/>
      <c r="BP472" s="206"/>
      <c r="BQ472" s="195"/>
      <c r="BR472" s="195"/>
      <c r="BS472" s="195"/>
      <c r="BT472" s="195"/>
      <c r="BU472" s="195"/>
    </row>
    <row r="473" ht="15.75" customHeight="1">
      <c r="A473" s="1004"/>
      <c r="B473" s="1004"/>
      <c r="C473" s="1005"/>
      <c r="D473" s="1005"/>
      <c r="E473" s="977"/>
      <c r="F473" s="13"/>
      <c r="G473" s="1779"/>
      <c r="H473" s="13"/>
      <c r="I473" s="1779"/>
      <c r="J473" s="13"/>
      <c r="K473" s="1779"/>
      <c r="L473" s="13"/>
      <c r="M473" s="1779"/>
      <c r="N473" s="13"/>
      <c r="O473" s="1780"/>
      <c r="P473" s="13"/>
      <c r="Q473" s="1779"/>
      <c r="V473" s="1189"/>
      <c r="X473" s="1189"/>
      <c r="Z473" s="1190"/>
      <c r="AB473" s="1190"/>
      <c r="AH473" s="701"/>
      <c r="AJ473" s="701"/>
      <c r="BB473" s="1190"/>
      <c r="BD473" s="1190"/>
      <c r="BF473" s="1190"/>
      <c r="BH473" s="1190"/>
      <c r="BJ473" s="1190"/>
      <c r="BN473" s="206"/>
      <c r="BO473" s="206"/>
      <c r="BP473" s="206"/>
      <c r="BQ473" s="195"/>
      <c r="BR473" s="195"/>
      <c r="BS473" s="195"/>
      <c r="BT473" s="195"/>
      <c r="BU473" s="195"/>
    </row>
    <row r="474" ht="15.75" customHeight="1">
      <c r="A474" s="1004"/>
      <c r="B474" s="1004"/>
      <c r="C474" s="1005"/>
      <c r="D474" s="1005"/>
      <c r="E474" s="977"/>
      <c r="F474" s="13"/>
      <c r="G474" s="1779"/>
      <c r="H474" s="13"/>
      <c r="I474" s="1779"/>
      <c r="J474" s="13"/>
      <c r="K474" s="1779"/>
      <c r="L474" s="13"/>
      <c r="M474" s="1779"/>
      <c r="N474" s="13"/>
      <c r="O474" s="1780"/>
      <c r="P474" s="13"/>
      <c r="Q474" s="1779"/>
      <c r="V474" s="1189"/>
      <c r="X474" s="1189"/>
      <c r="Z474" s="1190"/>
      <c r="AB474" s="1190"/>
      <c r="AH474" s="701"/>
      <c r="AJ474" s="701"/>
      <c r="BB474" s="1190"/>
      <c r="BD474" s="1190"/>
      <c r="BF474" s="1190"/>
      <c r="BH474" s="1190"/>
      <c r="BJ474" s="1190"/>
      <c r="BN474" s="206"/>
      <c r="BO474" s="206"/>
      <c r="BP474" s="206"/>
      <c r="BQ474" s="195"/>
      <c r="BR474" s="195"/>
      <c r="BS474" s="195"/>
      <c r="BT474" s="195"/>
      <c r="BU474" s="195"/>
    </row>
    <row r="475" ht="15.75" customHeight="1">
      <c r="A475" s="1004"/>
      <c r="B475" s="1004"/>
      <c r="C475" s="1005"/>
      <c r="D475" s="1005"/>
      <c r="E475" s="977"/>
      <c r="F475" s="13"/>
      <c r="G475" s="1779"/>
      <c r="H475" s="13"/>
      <c r="I475" s="1779"/>
      <c r="J475" s="13"/>
      <c r="K475" s="1779"/>
      <c r="L475" s="13"/>
      <c r="M475" s="1779"/>
      <c r="N475" s="13"/>
      <c r="O475" s="1780"/>
      <c r="P475" s="13"/>
      <c r="Q475" s="1779"/>
      <c r="V475" s="1189"/>
      <c r="X475" s="1189"/>
      <c r="Z475" s="1190"/>
      <c r="AB475" s="1190"/>
      <c r="AH475" s="701"/>
      <c r="AJ475" s="701"/>
      <c r="BB475" s="1190"/>
      <c r="BD475" s="1190"/>
      <c r="BF475" s="1190"/>
      <c r="BH475" s="1190"/>
      <c r="BJ475" s="1190"/>
      <c r="BN475" s="206"/>
      <c r="BO475" s="206"/>
      <c r="BP475" s="206"/>
      <c r="BQ475" s="195"/>
      <c r="BR475" s="195"/>
      <c r="BS475" s="195"/>
      <c r="BT475" s="195"/>
      <c r="BU475" s="195"/>
    </row>
    <row r="476" ht="15.75" customHeight="1">
      <c r="A476" s="1004"/>
      <c r="B476" s="1004"/>
      <c r="C476" s="1005"/>
      <c r="D476" s="1005"/>
      <c r="E476" s="977"/>
      <c r="F476" s="13"/>
      <c r="G476" s="1779"/>
      <c r="H476" s="13"/>
      <c r="I476" s="1779"/>
      <c r="J476" s="13"/>
      <c r="K476" s="1779"/>
      <c r="L476" s="13"/>
      <c r="M476" s="1779"/>
      <c r="N476" s="13"/>
      <c r="O476" s="1780"/>
      <c r="P476" s="13"/>
      <c r="Q476" s="1779"/>
      <c r="V476" s="1189"/>
      <c r="X476" s="1189"/>
      <c r="Z476" s="1190"/>
      <c r="AB476" s="1190"/>
      <c r="AH476" s="701"/>
      <c r="AJ476" s="701"/>
      <c r="BB476" s="1190"/>
      <c r="BD476" s="1190"/>
      <c r="BF476" s="1190"/>
      <c r="BH476" s="1190"/>
      <c r="BJ476" s="1190"/>
      <c r="BN476" s="206"/>
      <c r="BO476" s="206"/>
      <c r="BP476" s="206"/>
      <c r="BQ476" s="195"/>
      <c r="BR476" s="195"/>
      <c r="BS476" s="195"/>
      <c r="BT476" s="195"/>
      <c r="BU476" s="195"/>
    </row>
    <row r="477" ht="15.75" customHeight="1">
      <c r="A477" s="1004"/>
      <c r="B477" s="1004"/>
      <c r="C477" s="1005"/>
      <c r="D477" s="1005"/>
      <c r="E477" s="977"/>
      <c r="F477" s="13"/>
      <c r="G477" s="1779"/>
      <c r="H477" s="13"/>
      <c r="I477" s="1779"/>
      <c r="J477" s="13"/>
      <c r="K477" s="1779"/>
      <c r="L477" s="13"/>
      <c r="M477" s="1779"/>
      <c r="N477" s="13"/>
      <c r="O477" s="1780"/>
      <c r="P477" s="13"/>
      <c r="Q477" s="1779"/>
      <c r="V477" s="1189"/>
      <c r="X477" s="1189"/>
      <c r="Z477" s="1190"/>
      <c r="AB477" s="1190"/>
      <c r="AH477" s="701"/>
      <c r="AJ477" s="701"/>
      <c r="BB477" s="1190"/>
      <c r="BD477" s="1190"/>
      <c r="BF477" s="1190"/>
      <c r="BH477" s="1190"/>
      <c r="BJ477" s="1190"/>
      <c r="BN477" s="206"/>
      <c r="BO477" s="206"/>
      <c r="BP477" s="206"/>
      <c r="BQ477" s="195"/>
      <c r="BR477" s="195"/>
      <c r="BS477" s="195"/>
      <c r="BT477" s="195"/>
      <c r="BU477" s="195"/>
    </row>
    <row r="478" ht="15.75" customHeight="1">
      <c r="A478" s="1004"/>
      <c r="B478" s="1004"/>
      <c r="C478" s="1005"/>
      <c r="D478" s="1005"/>
      <c r="E478" s="977"/>
      <c r="F478" s="13"/>
      <c r="G478" s="1779"/>
      <c r="H478" s="13"/>
      <c r="I478" s="1779"/>
      <c r="J478" s="13"/>
      <c r="K478" s="1779"/>
      <c r="L478" s="13"/>
      <c r="M478" s="1779"/>
      <c r="N478" s="13"/>
      <c r="O478" s="1780"/>
      <c r="P478" s="13"/>
      <c r="Q478" s="1779"/>
      <c r="V478" s="1189"/>
      <c r="X478" s="1189"/>
      <c r="Z478" s="1190"/>
      <c r="AB478" s="1190"/>
      <c r="AH478" s="701"/>
      <c r="AJ478" s="701"/>
      <c r="BB478" s="1190"/>
      <c r="BD478" s="1190"/>
      <c r="BF478" s="1190"/>
      <c r="BH478" s="1190"/>
      <c r="BJ478" s="1190"/>
      <c r="BN478" s="206"/>
      <c r="BO478" s="206"/>
      <c r="BP478" s="206"/>
      <c r="BQ478" s="195"/>
      <c r="BR478" s="195"/>
      <c r="BS478" s="195"/>
      <c r="BT478" s="195"/>
      <c r="BU478" s="195"/>
    </row>
    <row r="479" ht="15.75" customHeight="1">
      <c r="A479" s="1004"/>
      <c r="B479" s="1004"/>
      <c r="C479" s="1005"/>
      <c r="D479" s="1005"/>
      <c r="E479" s="977"/>
      <c r="F479" s="13"/>
      <c r="G479" s="1779"/>
      <c r="H479" s="13"/>
      <c r="I479" s="1779"/>
      <c r="J479" s="13"/>
      <c r="K479" s="1779"/>
      <c r="L479" s="13"/>
      <c r="M479" s="1779"/>
      <c r="N479" s="13"/>
      <c r="O479" s="1780"/>
      <c r="P479" s="13"/>
      <c r="Q479" s="1779"/>
      <c r="V479" s="1189"/>
      <c r="X479" s="1189"/>
      <c r="Z479" s="1190"/>
      <c r="AB479" s="1190"/>
      <c r="AH479" s="701"/>
      <c r="AJ479" s="701"/>
      <c r="BB479" s="1190"/>
      <c r="BD479" s="1190"/>
      <c r="BF479" s="1190"/>
      <c r="BH479" s="1190"/>
      <c r="BJ479" s="1190"/>
      <c r="BN479" s="206"/>
      <c r="BO479" s="206"/>
      <c r="BP479" s="206"/>
      <c r="BQ479" s="195"/>
      <c r="BR479" s="195"/>
      <c r="BS479" s="195"/>
      <c r="BT479" s="195"/>
      <c r="BU479" s="195"/>
    </row>
    <row r="480" ht="15.75" customHeight="1">
      <c r="A480" s="1004"/>
      <c r="B480" s="1004"/>
      <c r="C480" s="1005"/>
      <c r="D480" s="1005"/>
      <c r="E480" s="977"/>
      <c r="F480" s="13"/>
      <c r="G480" s="1779"/>
      <c r="H480" s="13"/>
      <c r="I480" s="1779"/>
      <c r="J480" s="13"/>
      <c r="K480" s="1779"/>
      <c r="L480" s="13"/>
      <c r="M480" s="1779"/>
      <c r="N480" s="13"/>
      <c r="O480" s="1780"/>
      <c r="P480" s="13"/>
      <c r="Q480" s="1779"/>
      <c r="V480" s="1189"/>
      <c r="X480" s="1189"/>
      <c r="Z480" s="1190"/>
      <c r="AB480" s="1190"/>
      <c r="AH480" s="701"/>
      <c r="AJ480" s="701"/>
      <c r="BB480" s="1190"/>
      <c r="BD480" s="1190"/>
      <c r="BF480" s="1190"/>
      <c r="BH480" s="1190"/>
      <c r="BJ480" s="1190"/>
      <c r="BN480" s="206"/>
      <c r="BO480" s="206"/>
      <c r="BP480" s="206"/>
      <c r="BQ480" s="195"/>
      <c r="BR480" s="195"/>
      <c r="BS480" s="195"/>
      <c r="BT480" s="195"/>
      <c r="BU480" s="195"/>
    </row>
    <row r="481" ht="15.75" customHeight="1">
      <c r="A481" s="1004"/>
      <c r="B481" s="1004"/>
      <c r="C481" s="1005"/>
      <c r="D481" s="1005"/>
      <c r="E481" s="977"/>
      <c r="F481" s="13"/>
      <c r="G481" s="1779"/>
      <c r="H481" s="13"/>
      <c r="I481" s="1779"/>
      <c r="J481" s="13"/>
      <c r="K481" s="1779"/>
      <c r="L481" s="13"/>
      <c r="M481" s="1779"/>
      <c r="N481" s="13"/>
      <c r="O481" s="1780"/>
      <c r="P481" s="13"/>
      <c r="Q481" s="1779"/>
      <c r="V481" s="1189"/>
      <c r="X481" s="1189"/>
      <c r="Z481" s="1190"/>
      <c r="AB481" s="1190"/>
      <c r="AH481" s="701"/>
      <c r="AJ481" s="701"/>
      <c r="BB481" s="1190"/>
      <c r="BD481" s="1190"/>
      <c r="BF481" s="1190"/>
      <c r="BH481" s="1190"/>
      <c r="BJ481" s="1190"/>
      <c r="BN481" s="206"/>
      <c r="BO481" s="206"/>
      <c r="BP481" s="206"/>
      <c r="BQ481" s="195"/>
      <c r="BR481" s="195"/>
      <c r="BS481" s="195"/>
      <c r="BT481" s="195"/>
      <c r="BU481" s="195"/>
    </row>
    <row r="482" ht="15.75" customHeight="1">
      <c r="A482" s="1004"/>
      <c r="B482" s="1004"/>
      <c r="C482" s="1005"/>
      <c r="D482" s="1005"/>
      <c r="E482" s="977"/>
      <c r="F482" s="13"/>
      <c r="G482" s="1779"/>
      <c r="H482" s="13"/>
      <c r="I482" s="1779"/>
      <c r="J482" s="13"/>
      <c r="K482" s="1779"/>
      <c r="L482" s="13"/>
      <c r="M482" s="1779"/>
      <c r="N482" s="13"/>
      <c r="O482" s="1780"/>
      <c r="P482" s="13"/>
      <c r="Q482" s="1779"/>
      <c r="V482" s="1189"/>
      <c r="X482" s="1189"/>
      <c r="Z482" s="1190"/>
      <c r="AB482" s="1190"/>
      <c r="AH482" s="701"/>
      <c r="AJ482" s="701"/>
      <c r="BB482" s="1190"/>
      <c r="BD482" s="1190"/>
      <c r="BF482" s="1190"/>
      <c r="BH482" s="1190"/>
      <c r="BJ482" s="1190"/>
      <c r="BN482" s="206"/>
      <c r="BO482" s="206"/>
      <c r="BP482" s="206"/>
      <c r="BQ482" s="195"/>
      <c r="BR482" s="195"/>
      <c r="BS482" s="195"/>
      <c r="BT482" s="195"/>
      <c r="BU482" s="195"/>
    </row>
    <row r="483" ht="15.75" customHeight="1">
      <c r="A483" s="1004"/>
      <c r="B483" s="1004"/>
      <c r="C483" s="1005"/>
      <c r="D483" s="1005"/>
      <c r="E483" s="977"/>
      <c r="F483" s="13"/>
      <c r="G483" s="1779"/>
      <c r="H483" s="13"/>
      <c r="I483" s="1779"/>
      <c r="J483" s="13"/>
      <c r="K483" s="1779"/>
      <c r="L483" s="13"/>
      <c r="M483" s="1779"/>
      <c r="N483" s="13"/>
      <c r="O483" s="1780"/>
      <c r="P483" s="13"/>
      <c r="Q483" s="1779"/>
      <c r="V483" s="1189"/>
      <c r="X483" s="1189"/>
      <c r="Z483" s="1190"/>
      <c r="AB483" s="1190"/>
      <c r="AH483" s="701"/>
      <c r="AJ483" s="701"/>
      <c r="BB483" s="1190"/>
      <c r="BD483" s="1190"/>
      <c r="BF483" s="1190"/>
      <c r="BH483" s="1190"/>
      <c r="BJ483" s="1190"/>
      <c r="BN483" s="206"/>
      <c r="BO483" s="206"/>
      <c r="BP483" s="206"/>
      <c r="BQ483" s="195"/>
      <c r="BR483" s="195"/>
      <c r="BS483" s="195"/>
      <c r="BT483" s="195"/>
      <c r="BU483" s="195"/>
    </row>
    <row r="484" ht="15.75" customHeight="1">
      <c r="A484" s="1004"/>
      <c r="B484" s="1004"/>
      <c r="C484" s="1005"/>
      <c r="D484" s="1005"/>
      <c r="E484" s="977"/>
      <c r="F484" s="13"/>
      <c r="G484" s="1779"/>
      <c r="H484" s="13"/>
      <c r="I484" s="1779"/>
      <c r="J484" s="13"/>
      <c r="K484" s="1779"/>
      <c r="L484" s="13"/>
      <c r="M484" s="1779"/>
      <c r="N484" s="13"/>
      <c r="O484" s="1780"/>
      <c r="P484" s="13"/>
      <c r="Q484" s="1779"/>
      <c r="V484" s="1189"/>
      <c r="X484" s="1189"/>
      <c r="Z484" s="1190"/>
      <c r="AB484" s="1190"/>
      <c r="AH484" s="701"/>
      <c r="AJ484" s="701"/>
      <c r="BB484" s="1190"/>
      <c r="BD484" s="1190"/>
      <c r="BF484" s="1190"/>
      <c r="BH484" s="1190"/>
      <c r="BJ484" s="1190"/>
      <c r="BN484" s="206"/>
      <c r="BO484" s="206"/>
      <c r="BP484" s="206"/>
      <c r="BQ484" s="195"/>
      <c r="BR484" s="195"/>
      <c r="BS484" s="195"/>
      <c r="BT484" s="195"/>
      <c r="BU484" s="195"/>
    </row>
    <row r="485" ht="15.75" customHeight="1">
      <c r="A485" s="1004"/>
      <c r="B485" s="1004"/>
      <c r="C485" s="1005"/>
      <c r="D485" s="1005"/>
      <c r="E485" s="977"/>
      <c r="F485" s="13"/>
      <c r="G485" s="1779"/>
      <c r="H485" s="13"/>
      <c r="I485" s="1779"/>
      <c r="J485" s="13"/>
      <c r="K485" s="1779"/>
      <c r="L485" s="13"/>
      <c r="M485" s="1779"/>
      <c r="N485" s="13"/>
      <c r="O485" s="1780"/>
      <c r="P485" s="13"/>
      <c r="Q485" s="1779"/>
      <c r="V485" s="1189"/>
      <c r="X485" s="1189"/>
      <c r="Z485" s="1190"/>
      <c r="AB485" s="1190"/>
      <c r="AH485" s="701"/>
      <c r="AJ485" s="701"/>
      <c r="BB485" s="1190"/>
      <c r="BD485" s="1190"/>
      <c r="BF485" s="1190"/>
      <c r="BH485" s="1190"/>
      <c r="BJ485" s="1190"/>
      <c r="BN485" s="206"/>
      <c r="BO485" s="206"/>
      <c r="BP485" s="206"/>
      <c r="BQ485" s="195"/>
      <c r="BR485" s="195"/>
      <c r="BS485" s="195"/>
      <c r="BT485" s="195"/>
      <c r="BU485" s="195"/>
    </row>
    <row r="486" ht="15.75" customHeight="1">
      <c r="A486" s="1004"/>
      <c r="B486" s="1004"/>
      <c r="C486" s="1005"/>
      <c r="D486" s="1005"/>
      <c r="E486" s="977"/>
      <c r="F486" s="13"/>
      <c r="G486" s="1779"/>
      <c r="H486" s="13"/>
      <c r="I486" s="1779"/>
      <c r="J486" s="13"/>
      <c r="K486" s="1779"/>
      <c r="L486" s="13"/>
      <c r="M486" s="1779"/>
      <c r="N486" s="13"/>
      <c r="O486" s="1780"/>
      <c r="P486" s="13"/>
      <c r="Q486" s="1779"/>
      <c r="V486" s="1189"/>
      <c r="X486" s="1189"/>
      <c r="Z486" s="1190"/>
      <c r="AB486" s="1190"/>
      <c r="AH486" s="701"/>
      <c r="AJ486" s="701"/>
      <c r="BB486" s="1190"/>
      <c r="BD486" s="1190"/>
      <c r="BF486" s="1190"/>
      <c r="BH486" s="1190"/>
      <c r="BJ486" s="1190"/>
      <c r="BN486" s="206"/>
      <c r="BO486" s="206"/>
      <c r="BP486" s="206"/>
      <c r="BQ486" s="195"/>
      <c r="BR486" s="195"/>
      <c r="BS486" s="195"/>
      <c r="BT486" s="195"/>
      <c r="BU486" s="195"/>
    </row>
    <row r="487" ht="15.75" customHeight="1">
      <c r="A487" s="1004"/>
      <c r="B487" s="1004"/>
      <c r="C487" s="1005"/>
      <c r="D487" s="1005"/>
      <c r="E487" s="977"/>
      <c r="F487" s="13"/>
      <c r="G487" s="1779"/>
      <c r="H487" s="13"/>
      <c r="I487" s="1779"/>
      <c r="J487" s="13"/>
      <c r="K487" s="1779"/>
      <c r="L487" s="13"/>
      <c r="M487" s="1779"/>
      <c r="N487" s="13"/>
      <c r="O487" s="1780"/>
      <c r="P487" s="13"/>
      <c r="Q487" s="1779"/>
      <c r="V487" s="1189"/>
      <c r="X487" s="1189"/>
      <c r="Z487" s="1190"/>
      <c r="AB487" s="1190"/>
      <c r="AH487" s="701"/>
      <c r="AJ487" s="701"/>
      <c r="BB487" s="1190"/>
      <c r="BD487" s="1190"/>
      <c r="BF487" s="1190"/>
      <c r="BH487" s="1190"/>
      <c r="BJ487" s="1190"/>
      <c r="BN487" s="206"/>
      <c r="BO487" s="206"/>
      <c r="BP487" s="206"/>
      <c r="BQ487" s="195"/>
      <c r="BR487" s="195"/>
      <c r="BS487" s="195"/>
      <c r="BT487" s="195"/>
      <c r="BU487" s="195"/>
    </row>
    <row r="488" ht="15.75" customHeight="1">
      <c r="A488" s="1004"/>
      <c r="B488" s="1004"/>
      <c r="C488" s="1005"/>
      <c r="D488" s="1005"/>
      <c r="E488" s="977"/>
      <c r="F488" s="13"/>
      <c r="G488" s="1779"/>
      <c r="H488" s="13"/>
      <c r="I488" s="1779"/>
      <c r="J488" s="13"/>
      <c r="K488" s="1779"/>
      <c r="L488" s="13"/>
      <c r="M488" s="1779"/>
      <c r="N488" s="13"/>
      <c r="O488" s="1780"/>
      <c r="P488" s="13"/>
      <c r="Q488" s="1779"/>
      <c r="V488" s="1189"/>
      <c r="X488" s="1189"/>
      <c r="Z488" s="1190"/>
      <c r="AB488" s="1190"/>
      <c r="AH488" s="701"/>
      <c r="AJ488" s="701"/>
      <c r="BB488" s="1190"/>
      <c r="BD488" s="1190"/>
      <c r="BF488" s="1190"/>
      <c r="BH488" s="1190"/>
      <c r="BJ488" s="1190"/>
      <c r="BN488" s="206"/>
      <c r="BO488" s="206"/>
      <c r="BP488" s="206"/>
      <c r="BQ488" s="195"/>
      <c r="BR488" s="195"/>
      <c r="BS488" s="195"/>
      <c r="BT488" s="195"/>
      <c r="BU488" s="195"/>
    </row>
    <row r="489" ht="15.75" customHeight="1">
      <c r="A489" s="1004"/>
      <c r="B489" s="1004"/>
      <c r="C489" s="1005"/>
      <c r="D489" s="1005"/>
      <c r="E489" s="977"/>
      <c r="F489" s="13"/>
      <c r="G489" s="1779"/>
      <c r="H489" s="13"/>
      <c r="I489" s="1779"/>
      <c r="J489" s="13"/>
      <c r="K489" s="1779"/>
      <c r="L489" s="13"/>
      <c r="M489" s="1779"/>
      <c r="N489" s="13"/>
      <c r="O489" s="1780"/>
      <c r="P489" s="13"/>
      <c r="Q489" s="1779"/>
      <c r="V489" s="1189"/>
      <c r="X489" s="1189"/>
      <c r="Z489" s="1190"/>
      <c r="AB489" s="1190"/>
      <c r="AH489" s="701"/>
      <c r="AJ489" s="701"/>
      <c r="BB489" s="1190"/>
      <c r="BD489" s="1190"/>
      <c r="BF489" s="1190"/>
      <c r="BH489" s="1190"/>
      <c r="BJ489" s="1190"/>
      <c r="BN489" s="206"/>
      <c r="BO489" s="206"/>
      <c r="BP489" s="206"/>
      <c r="BQ489" s="195"/>
      <c r="BR489" s="195"/>
      <c r="BS489" s="195"/>
      <c r="BT489" s="195"/>
      <c r="BU489" s="195"/>
    </row>
    <row r="490" ht="15.75" customHeight="1">
      <c r="A490" s="1004"/>
      <c r="B490" s="1004"/>
      <c r="C490" s="1005"/>
      <c r="D490" s="1005"/>
      <c r="E490" s="977"/>
      <c r="F490" s="13"/>
      <c r="G490" s="1779"/>
      <c r="H490" s="13"/>
      <c r="I490" s="1779"/>
      <c r="J490" s="13"/>
      <c r="K490" s="1779"/>
      <c r="L490" s="13"/>
      <c r="M490" s="1779"/>
      <c r="N490" s="13"/>
      <c r="O490" s="1780"/>
      <c r="P490" s="13"/>
      <c r="Q490" s="1779"/>
      <c r="V490" s="1189"/>
      <c r="X490" s="1189"/>
      <c r="Z490" s="1190"/>
      <c r="AB490" s="1190"/>
      <c r="AH490" s="701"/>
      <c r="AJ490" s="701"/>
      <c r="BB490" s="1190"/>
      <c r="BD490" s="1190"/>
      <c r="BF490" s="1190"/>
      <c r="BH490" s="1190"/>
      <c r="BJ490" s="1190"/>
      <c r="BN490" s="206"/>
      <c r="BO490" s="206"/>
      <c r="BP490" s="206"/>
      <c r="BQ490" s="195"/>
      <c r="BR490" s="195"/>
      <c r="BS490" s="195"/>
      <c r="BT490" s="195"/>
      <c r="BU490" s="195"/>
    </row>
    <row r="491" ht="15.75" customHeight="1">
      <c r="A491" s="1004"/>
      <c r="B491" s="1004"/>
      <c r="C491" s="1005"/>
      <c r="D491" s="1005"/>
      <c r="E491" s="977"/>
      <c r="F491" s="13"/>
      <c r="G491" s="1779"/>
      <c r="H491" s="13"/>
      <c r="I491" s="1779"/>
      <c r="J491" s="13"/>
      <c r="K491" s="1779"/>
      <c r="L491" s="13"/>
      <c r="M491" s="1779"/>
      <c r="N491" s="13"/>
      <c r="O491" s="1780"/>
      <c r="P491" s="13"/>
      <c r="Q491" s="1779"/>
      <c r="V491" s="1189"/>
      <c r="X491" s="1189"/>
      <c r="Z491" s="1190"/>
      <c r="AB491" s="1190"/>
      <c r="AH491" s="701"/>
      <c r="AJ491" s="701"/>
      <c r="BB491" s="1190"/>
      <c r="BD491" s="1190"/>
      <c r="BF491" s="1190"/>
      <c r="BH491" s="1190"/>
      <c r="BJ491" s="1190"/>
      <c r="BN491" s="206"/>
      <c r="BO491" s="206"/>
      <c r="BP491" s="206"/>
      <c r="BQ491" s="195"/>
      <c r="BR491" s="195"/>
      <c r="BS491" s="195"/>
      <c r="BT491" s="195"/>
      <c r="BU491" s="195"/>
    </row>
    <row r="492" ht="15.75" customHeight="1">
      <c r="A492" s="1004"/>
      <c r="B492" s="1004"/>
      <c r="C492" s="1005"/>
      <c r="D492" s="1005"/>
      <c r="E492" s="977"/>
      <c r="F492" s="13"/>
      <c r="G492" s="1779"/>
      <c r="H492" s="13"/>
      <c r="I492" s="1779"/>
      <c r="J492" s="13"/>
      <c r="K492" s="1779"/>
      <c r="L492" s="13"/>
      <c r="M492" s="1779"/>
      <c r="N492" s="13"/>
      <c r="O492" s="1780"/>
      <c r="P492" s="13"/>
      <c r="Q492" s="1779"/>
      <c r="V492" s="1189"/>
      <c r="X492" s="1189"/>
      <c r="Z492" s="1190"/>
      <c r="AB492" s="1190"/>
      <c r="AH492" s="701"/>
      <c r="AJ492" s="701"/>
      <c r="BB492" s="1190"/>
      <c r="BD492" s="1190"/>
      <c r="BF492" s="1190"/>
      <c r="BH492" s="1190"/>
      <c r="BJ492" s="1190"/>
      <c r="BN492" s="206"/>
      <c r="BO492" s="206"/>
      <c r="BP492" s="206"/>
      <c r="BQ492" s="195"/>
      <c r="BR492" s="195"/>
      <c r="BS492" s="195"/>
      <c r="BT492" s="195"/>
      <c r="BU492" s="195"/>
    </row>
    <row r="493" ht="15.75" customHeight="1">
      <c r="A493" s="1004"/>
      <c r="B493" s="1004"/>
      <c r="C493" s="1005"/>
      <c r="D493" s="1005"/>
      <c r="E493" s="977"/>
      <c r="F493" s="13"/>
      <c r="G493" s="1779"/>
      <c r="H493" s="13"/>
      <c r="I493" s="1779"/>
      <c r="J493" s="13"/>
      <c r="K493" s="1779"/>
      <c r="L493" s="13"/>
      <c r="M493" s="1779"/>
      <c r="N493" s="13"/>
      <c r="O493" s="1780"/>
      <c r="P493" s="13"/>
      <c r="Q493" s="1779"/>
      <c r="V493" s="1189"/>
      <c r="X493" s="1189"/>
      <c r="Z493" s="1190"/>
      <c r="AB493" s="1190"/>
      <c r="AH493" s="701"/>
      <c r="AJ493" s="701"/>
      <c r="BB493" s="1190"/>
      <c r="BD493" s="1190"/>
      <c r="BF493" s="1190"/>
      <c r="BH493" s="1190"/>
      <c r="BJ493" s="1190"/>
      <c r="BN493" s="206"/>
      <c r="BO493" s="206"/>
      <c r="BP493" s="206"/>
      <c r="BQ493" s="195"/>
      <c r="BR493" s="195"/>
      <c r="BS493" s="195"/>
      <c r="BT493" s="195"/>
      <c r="BU493" s="195"/>
    </row>
    <row r="494" ht="15.75" customHeight="1">
      <c r="A494" s="1004"/>
      <c r="B494" s="1004"/>
      <c r="C494" s="1005"/>
      <c r="D494" s="1005"/>
      <c r="E494" s="977"/>
      <c r="F494" s="13"/>
      <c r="G494" s="1779"/>
      <c r="H494" s="13"/>
      <c r="I494" s="1779"/>
      <c r="J494" s="13"/>
      <c r="K494" s="1779"/>
      <c r="L494" s="13"/>
      <c r="M494" s="1779"/>
      <c r="N494" s="13"/>
      <c r="O494" s="1780"/>
      <c r="P494" s="13"/>
      <c r="Q494" s="1779"/>
      <c r="V494" s="1189"/>
      <c r="X494" s="1189"/>
      <c r="Z494" s="1190"/>
      <c r="AB494" s="1190"/>
      <c r="AH494" s="701"/>
      <c r="AJ494" s="701"/>
      <c r="BB494" s="1190"/>
      <c r="BD494" s="1190"/>
      <c r="BF494" s="1190"/>
      <c r="BH494" s="1190"/>
      <c r="BJ494" s="1190"/>
      <c r="BN494" s="206"/>
      <c r="BO494" s="206"/>
      <c r="BP494" s="206"/>
      <c r="BQ494" s="195"/>
      <c r="BR494" s="195"/>
      <c r="BS494" s="195"/>
      <c r="BT494" s="195"/>
      <c r="BU494" s="195"/>
    </row>
    <row r="495" ht="15.75" customHeight="1">
      <c r="A495" s="1004"/>
      <c r="B495" s="1004"/>
      <c r="C495" s="1005"/>
      <c r="D495" s="1005"/>
      <c r="E495" s="977"/>
      <c r="F495" s="13"/>
      <c r="G495" s="1779"/>
      <c r="H495" s="13"/>
      <c r="I495" s="1779"/>
      <c r="J495" s="13"/>
      <c r="K495" s="1779"/>
      <c r="L495" s="13"/>
      <c r="M495" s="1779"/>
      <c r="N495" s="13"/>
      <c r="O495" s="1780"/>
      <c r="P495" s="13"/>
      <c r="Q495" s="1779"/>
      <c r="V495" s="1189"/>
      <c r="X495" s="1189"/>
      <c r="Z495" s="1190"/>
      <c r="AB495" s="1190"/>
      <c r="AH495" s="701"/>
      <c r="AJ495" s="701"/>
      <c r="BB495" s="1190"/>
      <c r="BD495" s="1190"/>
      <c r="BF495" s="1190"/>
      <c r="BH495" s="1190"/>
      <c r="BJ495" s="1190"/>
      <c r="BN495" s="206"/>
      <c r="BO495" s="206"/>
      <c r="BP495" s="206"/>
      <c r="BQ495" s="195"/>
      <c r="BR495" s="195"/>
      <c r="BS495" s="195"/>
      <c r="BT495" s="195"/>
      <c r="BU495" s="195"/>
    </row>
    <row r="496" ht="15.75" customHeight="1">
      <c r="A496" s="1004"/>
      <c r="B496" s="1004"/>
      <c r="C496" s="1005"/>
      <c r="D496" s="1005"/>
      <c r="E496" s="977"/>
      <c r="F496" s="13"/>
      <c r="G496" s="1779"/>
      <c r="H496" s="13"/>
      <c r="I496" s="1779"/>
      <c r="J496" s="13"/>
      <c r="K496" s="1779"/>
      <c r="L496" s="13"/>
      <c r="M496" s="1779"/>
      <c r="N496" s="13"/>
      <c r="O496" s="1780"/>
      <c r="P496" s="13"/>
      <c r="Q496" s="1779"/>
      <c r="V496" s="1189"/>
      <c r="X496" s="1189"/>
      <c r="Z496" s="1190"/>
      <c r="AB496" s="1190"/>
      <c r="AH496" s="701"/>
      <c r="AJ496" s="701"/>
      <c r="BB496" s="1190"/>
      <c r="BD496" s="1190"/>
      <c r="BF496" s="1190"/>
      <c r="BH496" s="1190"/>
      <c r="BJ496" s="1190"/>
      <c r="BN496" s="206"/>
      <c r="BO496" s="206"/>
      <c r="BP496" s="206"/>
      <c r="BQ496" s="195"/>
      <c r="BR496" s="195"/>
      <c r="BS496" s="195"/>
      <c r="BT496" s="195"/>
      <c r="BU496" s="195"/>
    </row>
    <row r="497" ht="15.75" customHeight="1">
      <c r="A497" s="1004"/>
      <c r="B497" s="1004"/>
      <c r="C497" s="1005"/>
      <c r="D497" s="1005"/>
      <c r="E497" s="977"/>
      <c r="F497" s="13"/>
      <c r="G497" s="1779"/>
      <c r="H497" s="13"/>
      <c r="I497" s="1779"/>
      <c r="J497" s="13"/>
      <c r="K497" s="1779"/>
      <c r="L497" s="13"/>
      <c r="M497" s="1779"/>
      <c r="N497" s="13"/>
      <c r="O497" s="1780"/>
      <c r="P497" s="13"/>
      <c r="Q497" s="1779"/>
      <c r="V497" s="1189"/>
      <c r="X497" s="1189"/>
      <c r="Z497" s="1190"/>
      <c r="AB497" s="1190"/>
      <c r="AH497" s="701"/>
      <c r="AJ497" s="701"/>
      <c r="BB497" s="1190"/>
      <c r="BD497" s="1190"/>
      <c r="BF497" s="1190"/>
      <c r="BH497" s="1190"/>
      <c r="BJ497" s="1190"/>
      <c r="BN497" s="206"/>
      <c r="BO497" s="206"/>
      <c r="BP497" s="206"/>
      <c r="BQ497" s="195"/>
      <c r="BR497" s="195"/>
      <c r="BS497" s="195"/>
      <c r="BT497" s="195"/>
      <c r="BU497" s="195"/>
    </row>
    <row r="498" ht="15.75" customHeight="1">
      <c r="A498" s="1004"/>
      <c r="B498" s="1004"/>
      <c r="C498" s="1005"/>
      <c r="D498" s="1005"/>
      <c r="E498" s="977"/>
      <c r="F498" s="13"/>
      <c r="G498" s="1779"/>
      <c r="H498" s="13"/>
      <c r="I498" s="1779"/>
      <c r="J498" s="13"/>
      <c r="K498" s="1779"/>
      <c r="L498" s="13"/>
      <c r="M498" s="1779"/>
      <c r="N498" s="13"/>
      <c r="O498" s="1780"/>
      <c r="P498" s="13"/>
      <c r="Q498" s="1779"/>
      <c r="V498" s="1189"/>
      <c r="X498" s="1189"/>
      <c r="Z498" s="1190"/>
      <c r="AB498" s="1190"/>
      <c r="AH498" s="701"/>
      <c r="AJ498" s="701"/>
      <c r="BB498" s="1190"/>
      <c r="BD498" s="1190"/>
      <c r="BF498" s="1190"/>
      <c r="BH498" s="1190"/>
      <c r="BJ498" s="1190"/>
      <c r="BN498" s="206"/>
      <c r="BO498" s="206"/>
      <c r="BP498" s="206"/>
      <c r="BQ498" s="195"/>
      <c r="BR498" s="195"/>
      <c r="BS498" s="195"/>
      <c r="BT498" s="195"/>
      <c r="BU498" s="195"/>
    </row>
    <row r="499" ht="15.75" customHeight="1">
      <c r="A499" s="1004"/>
      <c r="B499" s="1004"/>
      <c r="C499" s="1005"/>
      <c r="D499" s="1005"/>
      <c r="E499" s="977"/>
      <c r="F499" s="13"/>
      <c r="G499" s="1779"/>
      <c r="H499" s="13"/>
      <c r="I499" s="1779"/>
      <c r="J499" s="13"/>
      <c r="K499" s="1779"/>
      <c r="L499" s="13"/>
      <c r="M499" s="1779"/>
      <c r="N499" s="13"/>
      <c r="O499" s="1780"/>
      <c r="P499" s="13"/>
      <c r="Q499" s="1779"/>
      <c r="V499" s="1189"/>
      <c r="X499" s="1189"/>
      <c r="Z499" s="1190"/>
      <c r="AB499" s="1190"/>
      <c r="AH499" s="701"/>
      <c r="AJ499" s="701"/>
      <c r="BB499" s="1190"/>
      <c r="BD499" s="1190"/>
      <c r="BF499" s="1190"/>
      <c r="BH499" s="1190"/>
      <c r="BJ499" s="1190"/>
      <c r="BN499" s="206"/>
      <c r="BO499" s="206"/>
      <c r="BP499" s="206"/>
      <c r="BQ499" s="195"/>
      <c r="BR499" s="195"/>
      <c r="BS499" s="195"/>
      <c r="BT499" s="195"/>
      <c r="BU499" s="195"/>
    </row>
    <row r="500" ht="15.75" customHeight="1">
      <c r="A500" s="1004"/>
      <c r="B500" s="1004"/>
      <c r="C500" s="1005"/>
      <c r="D500" s="1005"/>
      <c r="E500" s="977"/>
      <c r="F500" s="13"/>
      <c r="G500" s="1779"/>
      <c r="H500" s="13"/>
      <c r="I500" s="1779"/>
      <c r="J500" s="13"/>
      <c r="K500" s="1779"/>
      <c r="L500" s="13"/>
      <c r="M500" s="1779"/>
      <c r="N500" s="13"/>
      <c r="O500" s="1780"/>
      <c r="P500" s="13"/>
      <c r="Q500" s="1779"/>
      <c r="V500" s="1189"/>
      <c r="X500" s="1189"/>
      <c r="Z500" s="1190"/>
      <c r="AB500" s="1190"/>
      <c r="AH500" s="701"/>
      <c r="AJ500" s="701"/>
      <c r="BB500" s="1190"/>
      <c r="BD500" s="1190"/>
      <c r="BF500" s="1190"/>
      <c r="BH500" s="1190"/>
      <c r="BJ500" s="1190"/>
      <c r="BN500" s="206"/>
      <c r="BO500" s="206"/>
      <c r="BP500" s="206"/>
      <c r="BQ500" s="195"/>
      <c r="BR500" s="195"/>
      <c r="BS500" s="195"/>
      <c r="BT500" s="195"/>
      <c r="BU500" s="195"/>
    </row>
    <row r="501" ht="15.75" customHeight="1">
      <c r="A501" s="1004"/>
      <c r="B501" s="1004"/>
      <c r="C501" s="1005"/>
      <c r="D501" s="1005"/>
      <c r="E501" s="977"/>
      <c r="F501" s="13"/>
      <c r="G501" s="1779"/>
      <c r="H501" s="13"/>
      <c r="I501" s="1779"/>
      <c r="J501" s="13"/>
      <c r="K501" s="1779"/>
      <c r="L501" s="13"/>
      <c r="M501" s="1779"/>
      <c r="N501" s="13"/>
      <c r="O501" s="1780"/>
      <c r="P501" s="13"/>
      <c r="Q501" s="1779"/>
      <c r="V501" s="1189"/>
      <c r="X501" s="1189"/>
      <c r="Z501" s="1190"/>
      <c r="AB501" s="1190"/>
      <c r="AH501" s="701"/>
      <c r="AJ501" s="701"/>
      <c r="BB501" s="1190"/>
      <c r="BD501" s="1190"/>
      <c r="BF501" s="1190"/>
      <c r="BH501" s="1190"/>
      <c r="BJ501" s="1190"/>
      <c r="BN501" s="206"/>
      <c r="BO501" s="206"/>
      <c r="BP501" s="206"/>
      <c r="BQ501" s="195"/>
      <c r="BR501" s="195"/>
      <c r="BS501" s="195"/>
      <c r="BT501" s="195"/>
      <c r="BU501" s="195"/>
    </row>
    <row r="502" ht="15.75" customHeight="1">
      <c r="A502" s="1004"/>
      <c r="B502" s="1004"/>
      <c r="C502" s="1005"/>
      <c r="D502" s="1005"/>
      <c r="E502" s="977"/>
      <c r="F502" s="13"/>
      <c r="G502" s="1779"/>
      <c r="H502" s="13"/>
      <c r="I502" s="1779"/>
      <c r="J502" s="13"/>
      <c r="K502" s="1779"/>
      <c r="L502" s="13"/>
      <c r="M502" s="1779"/>
      <c r="N502" s="13"/>
      <c r="O502" s="1780"/>
      <c r="P502" s="13"/>
      <c r="Q502" s="1779"/>
      <c r="V502" s="1189"/>
      <c r="X502" s="1189"/>
      <c r="Z502" s="1190"/>
      <c r="AB502" s="1190"/>
      <c r="AH502" s="701"/>
      <c r="AJ502" s="701"/>
      <c r="BB502" s="1190"/>
      <c r="BD502" s="1190"/>
      <c r="BF502" s="1190"/>
      <c r="BH502" s="1190"/>
      <c r="BJ502" s="1190"/>
      <c r="BN502" s="206"/>
      <c r="BO502" s="206"/>
      <c r="BP502" s="206"/>
      <c r="BQ502" s="195"/>
      <c r="BR502" s="195"/>
      <c r="BS502" s="195"/>
      <c r="BT502" s="195"/>
      <c r="BU502" s="195"/>
    </row>
    <row r="503" ht="15.75" customHeight="1">
      <c r="A503" s="1004"/>
      <c r="B503" s="1004"/>
      <c r="C503" s="1005"/>
      <c r="D503" s="1005"/>
      <c r="E503" s="977"/>
      <c r="F503" s="13"/>
      <c r="G503" s="1779"/>
      <c r="H503" s="13"/>
      <c r="I503" s="1779"/>
      <c r="J503" s="13"/>
      <c r="K503" s="1779"/>
      <c r="L503" s="13"/>
      <c r="M503" s="1779"/>
      <c r="N503" s="13"/>
      <c r="O503" s="1780"/>
      <c r="P503" s="13"/>
      <c r="Q503" s="1779"/>
      <c r="V503" s="1189"/>
      <c r="X503" s="1189"/>
      <c r="Z503" s="1190"/>
      <c r="AB503" s="1190"/>
      <c r="AH503" s="701"/>
      <c r="AJ503" s="701"/>
      <c r="BB503" s="1190"/>
      <c r="BD503" s="1190"/>
      <c r="BF503" s="1190"/>
      <c r="BH503" s="1190"/>
      <c r="BJ503" s="1190"/>
      <c r="BN503" s="206"/>
      <c r="BO503" s="206"/>
      <c r="BP503" s="206"/>
      <c r="BQ503" s="195"/>
      <c r="BR503" s="195"/>
      <c r="BS503" s="195"/>
      <c r="BT503" s="195"/>
      <c r="BU503" s="195"/>
    </row>
    <row r="504" ht="15.75" customHeight="1">
      <c r="A504" s="1004"/>
      <c r="B504" s="1004"/>
      <c r="C504" s="1005"/>
      <c r="D504" s="1005"/>
      <c r="E504" s="977"/>
      <c r="F504" s="13"/>
      <c r="G504" s="1779"/>
      <c r="H504" s="13"/>
      <c r="I504" s="1779"/>
      <c r="J504" s="13"/>
      <c r="K504" s="1779"/>
      <c r="L504" s="13"/>
      <c r="M504" s="1779"/>
      <c r="N504" s="13"/>
      <c r="O504" s="1780"/>
      <c r="P504" s="13"/>
      <c r="Q504" s="1779"/>
      <c r="V504" s="1189"/>
      <c r="X504" s="1189"/>
      <c r="Z504" s="1190"/>
      <c r="AB504" s="1190"/>
      <c r="AH504" s="701"/>
      <c r="AJ504" s="701"/>
      <c r="BB504" s="1190"/>
      <c r="BD504" s="1190"/>
      <c r="BF504" s="1190"/>
      <c r="BH504" s="1190"/>
      <c r="BJ504" s="1190"/>
      <c r="BN504" s="206"/>
      <c r="BO504" s="206"/>
      <c r="BP504" s="206"/>
      <c r="BQ504" s="195"/>
      <c r="BR504" s="195"/>
      <c r="BS504" s="195"/>
      <c r="BT504" s="195"/>
      <c r="BU504" s="195"/>
    </row>
    <row r="505" ht="15.75" customHeight="1">
      <c r="A505" s="1004"/>
      <c r="B505" s="1004"/>
      <c r="C505" s="1005"/>
      <c r="D505" s="1005"/>
      <c r="E505" s="977"/>
      <c r="F505" s="13"/>
      <c r="G505" s="1779"/>
      <c r="H505" s="13"/>
      <c r="I505" s="1779"/>
      <c r="J505" s="13"/>
      <c r="K505" s="1779"/>
      <c r="L505" s="13"/>
      <c r="M505" s="1779"/>
      <c r="N505" s="13"/>
      <c r="O505" s="1780"/>
      <c r="P505" s="13"/>
      <c r="Q505" s="1779"/>
      <c r="V505" s="1189"/>
      <c r="X505" s="1189"/>
      <c r="Z505" s="1190"/>
      <c r="AB505" s="1190"/>
      <c r="AH505" s="701"/>
      <c r="AJ505" s="701"/>
      <c r="BB505" s="1190"/>
      <c r="BD505" s="1190"/>
      <c r="BF505" s="1190"/>
      <c r="BH505" s="1190"/>
      <c r="BJ505" s="1190"/>
      <c r="BN505" s="206"/>
      <c r="BO505" s="206"/>
      <c r="BP505" s="206"/>
      <c r="BQ505" s="195"/>
      <c r="BR505" s="195"/>
      <c r="BS505" s="195"/>
      <c r="BT505" s="195"/>
      <c r="BU505" s="195"/>
    </row>
    <row r="506" ht="15.75" customHeight="1">
      <c r="A506" s="1004"/>
      <c r="B506" s="1004"/>
      <c r="C506" s="1005"/>
      <c r="D506" s="1005"/>
      <c r="E506" s="977"/>
      <c r="F506" s="13"/>
      <c r="G506" s="1779"/>
      <c r="H506" s="13"/>
      <c r="I506" s="1779"/>
      <c r="J506" s="13"/>
      <c r="K506" s="1779"/>
      <c r="L506" s="13"/>
      <c r="M506" s="1779"/>
      <c r="N506" s="13"/>
      <c r="O506" s="1780"/>
      <c r="P506" s="13"/>
      <c r="Q506" s="1779"/>
      <c r="V506" s="1189"/>
      <c r="X506" s="1189"/>
      <c r="Z506" s="1190"/>
      <c r="AB506" s="1190"/>
      <c r="AH506" s="701"/>
      <c r="AJ506" s="701"/>
      <c r="BB506" s="1190"/>
      <c r="BD506" s="1190"/>
      <c r="BF506" s="1190"/>
      <c r="BH506" s="1190"/>
      <c r="BJ506" s="1190"/>
      <c r="BN506" s="206"/>
      <c r="BO506" s="206"/>
      <c r="BP506" s="206"/>
      <c r="BQ506" s="195"/>
      <c r="BR506" s="195"/>
      <c r="BS506" s="195"/>
      <c r="BT506" s="195"/>
      <c r="BU506" s="195"/>
    </row>
    <row r="507" ht="15.75" customHeight="1">
      <c r="A507" s="1004"/>
      <c r="B507" s="1004"/>
      <c r="C507" s="1005"/>
      <c r="D507" s="1005"/>
      <c r="E507" s="977"/>
      <c r="F507" s="13"/>
      <c r="G507" s="1779"/>
      <c r="H507" s="13"/>
      <c r="I507" s="1779"/>
      <c r="J507" s="13"/>
      <c r="K507" s="1779"/>
      <c r="L507" s="13"/>
      <c r="M507" s="1779"/>
      <c r="N507" s="13"/>
      <c r="O507" s="1780"/>
      <c r="P507" s="13"/>
      <c r="Q507" s="1779"/>
      <c r="V507" s="1189"/>
      <c r="X507" s="1189"/>
      <c r="Z507" s="1190"/>
      <c r="AB507" s="1190"/>
      <c r="AH507" s="701"/>
      <c r="AJ507" s="701"/>
      <c r="BB507" s="1190"/>
      <c r="BD507" s="1190"/>
      <c r="BF507" s="1190"/>
      <c r="BH507" s="1190"/>
      <c r="BJ507" s="1190"/>
      <c r="BN507" s="206"/>
      <c r="BO507" s="206"/>
      <c r="BP507" s="206"/>
      <c r="BQ507" s="195"/>
      <c r="BR507" s="195"/>
      <c r="BS507" s="195"/>
      <c r="BT507" s="195"/>
      <c r="BU507" s="195"/>
    </row>
    <row r="508" ht="15.75" customHeight="1">
      <c r="A508" s="1004"/>
      <c r="B508" s="1004"/>
      <c r="C508" s="1005"/>
      <c r="D508" s="1005"/>
      <c r="E508" s="977"/>
      <c r="F508" s="13"/>
      <c r="G508" s="1779"/>
      <c r="H508" s="13"/>
      <c r="I508" s="1779"/>
      <c r="J508" s="13"/>
      <c r="K508" s="1779"/>
      <c r="L508" s="13"/>
      <c r="M508" s="1779"/>
      <c r="N508" s="13"/>
      <c r="O508" s="1780"/>
      <c r="P508" s="13"/>
      <c r="Q508" s="1779"/>
      <c r="V508" s="1189"/>
      <c r="X508" s="1189"/>
      <c r="Z508" s="1190"/>
      <c r="AB508" s="1190"/>
      <c r="AH508" s="701"/>
      <c r="AJ508" s="701"/>
      <c r="BB508" s="1190"/>
      <c r="BD508" s="1190"/>
      <c r="BF508" s="1190"/>
      <c r="BH508" s="1190"/>
      <c r="BJ508" s="1190"/>
      <c r="BN508" s="206"/>
      <c r="BO508" s="206"/>
      <c r="BP508" s="206"/>
      <c r="BQ508" s="195"/>
      <c r="BR508" s="195"/>
      <c r="BS508" s="195"/>
      <c r="BT508" s="195"/>
      <c r="BU508" s="195"/>
    </row>
    <row r="509" ht="15.75" customHeight="1">
      <c r="A509" s="1004"/>
      <c r="B509" s="1004"/>
      <c r="C509" s="1005"/>
      <c r="D509" s="1005"/>
      <c r="E509" s="977"/>
      <c r="F509" s="13"/>
      <c r="G509" s="1779"/>
      <c r="H509" s="13"/>
      <c r="I509" s="1779"/>
      <c r="J509" s="13"/>
      <c r="K509" s="1779"/>
      <c r="L509" s="13"/>
      <c r="M509" s="1779"/>
      <c r="N509" s="13"/>
      <c r="O509" s="1780"/>
      <c r="P509" s="13"/>
      <c r="Q509" s="1779"/>
      <c r="V509" s="1189"/>
      <c r="X509" s="1189"/>
      <c r="Z509" s="1190"/>
      <c r="AB509" s="1190"/>
      <c r="AH509" s="701"/>
      <c r="AJ509" s="701"/>
      <c r="BB509" s="1190"/>
      <c r="BD509" s="1190"/>
      <c r="BF509" s="1190"/>
      <c r="BH509" s="1190"/>
      <c r="BJ509" s="1190"/>
      <c r="BN509" s="206"/>
      <c r="BO509" s="206"/>
      <c r="BP509" s="206"/>
      <c r="BQ509" s="195"/>
      <c r="BR509" s="195"/>
      <c r="BS509" s="195"/>
      <c r="BT509" s="195"/>
      <c r="BU509" s="195"/>
    </row>
    <row r="510" ht="15.75" customHeight="1">
      <c r="A510" s="1004"/>
      <c r="B510" s="1004"/>
      <c r="C510" s="1005"/>
      <c r="D510" s="1005"/>
      <c r="E510" s="977"/>
      <c r="F510" s="13"/>
      <c r="G510" s="1779"/>
      <c r="H510" s="13"/>
      <c r="I510" s="1779"/>
      <c r="J510" s="13"/>
      <c r="K510" s="1779"/>
      <c r="L510" s="13"/>
      <c r="M510" s="1779"/>
      <c r="N510" s="13"/>
      <c r="O510" s="1780"/>
      <c r="P510" s="13"/>
      <c r="Q510" s="1779"/>
      <c r="V510" s="1189"/>
      <c r="X510" s="1189"/>
      <c r="Z510" s="1190"/>
      <c r="AB510" s="1190"/>
      <c r="AH510" s="701"/>
      <c r="AJ510" s="701"/>
      <c r="BB510" s="1190"/>
      <c r="BD510" s="1190"/>
      <c r="BF510" s="1190"/>
      <c r="BH510" s="1190"/>
      <c r="BJ510" s="1190"/>
      <c r="BN510" s="206"/>
      <c r="BO510" s="206"/>
      <c r="BP510" s="206"/>
      <c r="BQ510" s="195"/>
      <c r="BR510" s="195"/>
      <c r="BS510" s="195"/>
      <c r="BT510" s="195"/>
      <c r="BU510" s="195"/>
    </row>
    <row r="511" ht="15.75" customHeight="1">
      <c r="A511" s="1004"/>
      <c r="B511" s="1004"/>
      <c r="C511" s="1005"/>
      <c r="D511" s="1005"/>
      <c r="E511" s="977"/>
      <c r="F511" s="13"/>
      <c r="G511" s="1779"/>
      <c r="H511" s="13"/>
      <c r="I511" s="1779"/>
      <c r="J511" s="13"/>
      <c r="K511" s="1779"/>
      <c r="L511" s="13"/>
      <c r="M511" s="1779"/>
      <c r="N511" s="13"/>
      <c r="O511" s="1780"/>
      <c r="P511" s="13"/>
      <c r="Q511" s="1779"/>
      <c r="V511" s="1189"/>
      <c r="X511" s="1189"/>
      <c r="Z511" s="1190"/>
      <c r="AB511" s="1190"/>
      <c r="AH511" s="701"/>
      <c r="AJ511" s="701"/>
      <c r="BB511" s="1190"/>
      <c r="BD511" s="1190"/>
      <c r="BF511" s="1190"/>
      <c r="BH511" s="1190"/>
      <c r="BJ511" s="1190"/>
      <c r="BN511" s="206"/>
      <c r="BO511" s="206"/>
      <c r="BP511" s="206"/>
      <c r="BQ511" s="195"/>
      <c r="BR511" s="195"/>
      <c r="BS511" s="195"/>
      <c r="BT511" s="195"/>
      <c r="BU511" s="195"/>
    </row>
    <row r="512" ht="15.75" customHeight="1">
      <c r="A512" s="1004"/>
      <c r="B512" s="1004"/>
      <c r="C512" s="1005"/>
      <c r="D512" s="1005"/>
      <c r="E512" s="977"/>
      <c r="F512" s="1190"/>
      <c r="H512" s="1190"/>
      <c r="J512" s="1190"/>
      <c r="L512" s="1190"/>
      <c r="O512" s="1190"/>
      <c r="V512" s="1189"/>
      <c r="X512" s="1189"/>
      <c r="Z512" s="1190"/>
      <c r="AB512" s="1190"/>
      <c r="AH512" s="701"/>
      <c r="AJ512" s="701"/>
      <c r="BB512" s="1190"/>
      <c r="BD512" s="1190"/>
      <c r="BF512" s="1190"/>
      <c r="BH512" s="1190"/>
      <c r="BJ512" s="1190"/>
      <c r="BN512" s="206"/>
      <c r="BO512" s="206"/>
      <c r="BP512" s="206"/>
      <c r="BQ512" s="195"/>
      <c r="BR512" s="195"/>
      <c r="BS512" s="195"/>
      <c r="BT512" s="195"/>
      <c r="BU512" s="195"/>
    </row>
    <row r="513" ht="15.75" customHeight="1">
      <c r="A513" s="1004"/>
      <c r="B513" s="1004"/>
      <c r="C513" s="1005"/>
      <c r="D513" s="1005"/>
      <c r="E513" s="977"/>
      <c r="F513" s="1190"/>
      <c r="H513" s="1190"/>
      <c r="J513" s="1190"/>
      <c r="L513" s="1190"/>
      <c r="O513" s="1190"/>
      <c r="V513" s="1189"/>
      <c r="X513" s="1189"/>
      <c r="Z513" s="1190"/>
      <c r="AB513" s="1190"/>
      <c r="AH513" s="701"/>
      <c r="AJ513" s="701"/>
      <c r="BB513" s="1190"/>
      <c r="BD513" s="1190"/>
      <c r="BF513" s="1190"/>
      <c r="BH513" s="1190"/>
      <c r="BJ513" s="1190"/>
      <c r="BN513" s="206"/>
      <c r="BO513" s="206"/>
      <c r="BP513" s="206"/>
      <c r="BQ513" s="195"/>
      <c r="BR513" s="195"/>
      <c r="BS513" s="195"/>
      <c r="BT513" s="195"/>
      <c r="BU513" s="195"/>
    </row>
    <row r="514" ht="15.75" customHeight="1">
      <c r="A514" s="1004"/>
      <c r="B514" s="1004"/>
      <c r="C514" s="1005"/>
      <c r="D514" s="1005"/>
      <c r="E514" s="977"/>
      <c r="F514" s="1190"/>
      <c r="H514" s="1190"/>
      <c r="J514" s="1190"/>
      <c r="L514" s="1190"/>
      <c r="O514" s="1190"/>
      <c r="V514" s="1189"/>
      <c r="X514" s="1189"/>
      <c r="Z514" s="1190"/>
      <c r="AB514" s="1190"/>
      <c r="AH514" s="701"/>
      <c r="AJ514" s="701"/>
      <c r="BB514" s="1190"/>
      <c r="BD514" s="1190"/>
      <c r="BF514" s="1190"/>
      <c r="BH514" s="1190"/>
      <c r="BJ514" s="1190"/>
      <c r="BN514" s="206"/>
      <c r="BO514" s="206"/>
      <c r="BP514" s="206"/>
      <c r="BQ514" s="195"/>
      <c r="BR514" s="195"/>
      <c r="BS514" s="195"/>
      <c r="BT514" s="195"/>
      <c r="BU514" s="195"/>
    </row>
    <row r="515" ht="15.75" customHeight="1">
      <c r="A515" s="1004"/>
      <c r="B515" s="1004"/>
      <c r="C515" s="1005"/>
      <c r="D515" s="1005"/>
      <c r="E515" s="977"/>
      <c r="F515" s="1190"/>
      <c r="H515" s="1190"/>
      <c r="J515" s="1190"/>
      <c r="L515" s="1190"/>
      <c r="O515" s="1190"/>
      <c r="V515" s="1189"/>
      <c r="X515" s="1189"/>
      <c r="Z515" s="1190"/>
      <c r="AB515" s="1190"/>
      <c r="AH515" s="701"/>
      <c r="AJ515" s="701"/>
      <c r="BB515" s="1190"/>
      <c r="BD515" s="1190"/>
      <c r="BF515" s="1190"/>
      <c r="BH515" s="1190"/>
      <c r="BJ515" s="1190"/>
      <c r="BN515" s="206"/>
      <c r="BO515" s="206"/>
      <c r="BP515" s="206"/>
      <c r="BQ515" s="195"/>
      <c r="BR515" s="195"/>
      <c r="BS515" s="195"/>
      <c r="BT515" s="195"/>
      <c r="BU515" s="195"/>
    </row>
    <row r="516" ht="15.75" customHeight="1">
      <c r="A516" s="1004"/>
      <c r="B516" s="1004"/>
      <c r="C516" s="1005"/>
      <c r="D516" s="1005"/>
      <c r="E516" s="977"/>
      <c r="F516" s="1190"/>
      <c r="H516" s="1190"/>
      <c r="J516" s="1190"/>
      <c r="L516" s="1190"/>
      <c r="O516" s="1190"/>
      <c r="V516" s="1189"/>
      <c r="X516" s="1189"/>
      <c r="Z516" s="1190"/>
      <c r="AB516" s="1190"/>
      <c r="AH516" s="701"/>
      <c r="AJ516" s="701"/>
      <c r="BB516" s="1190"/>
      <c r="BD516" s="1190"/>
      <c r="BF516" s="1190"/>
      <c r="BH516" s="1190"/>
      <c r="BJ516" s="1190"/>
      <c r="BN516" s="206"/>
      <c r="BO516" s="206"/>
      <c r="BP516" s="206"/>
      <c r="BQ516" s="195"/>
      <c r="BR516" s="195"/>
      <c r="BS516" s="195"/>
      <c r="BT516" s="195"/>
      <c r="BU516" s="195"/>
    </row>
    <row r="517" ht="15.75" customHeight="1">
      <c r="A517" s="1004"/>
      <c r="B517" s="1004"/>
      <c r="C517" s="1005"/>
      <c r="D517" s="1005"/>
      <c r="E517" s="977"/>
      <c r="F517" s="1190"/>
      <c r="H517" s="1190"/>
      <c r="J517" s="1190"/>
      <c r="L517" s="1190"/>
      <c r="O517" s="1190"/>
      <c r="V517" s="1189"/>
      <c r="X517" s="1189"/>
      <c r="Z517" s="1190"/>
      <c r="AB517" s="1190"/>
      <c r="AH517" s="701"/>
      <c r="AJ517" s="701"/>
      <c r="BB517" s="1190"/>
      <c r="BD517" s="1190"/>
      <c r="BF517" s="1190"/>
      <c r="BH517" s="1190"/>
      <c r="BJ517" s="1190"/>
      <c r="BN517" s="206"/>
      <c r="BO517" s="206"/>
      <c r="BP517" s="206"/>
      <c r="BQ517" s="195"/>
      <c r="BR517" s="195"/>
      <c r="BS517" s="195"/>
      <c r="BT517" s="195"/>
      <c r="BU517" s="195"/>
    </row>
    <row r="518" ht="15.75" customHeight="1">
      <c r="A518" s="1004"/>
      <c r="B518" s="1004"/>
      <c r="C518" s="1005"/>
      <c r="D518" s="1005"/>
      <c r="E518" s="977"/>
      <c r="F518" s="1190"/>
      <c r="H518" s="1190"/>
      <c r="J518" s="1190"/>
      <c r="L518" s="1190"/>
      <c r="O518" s="1190"/>
      <c r="V518" s="1189"/>
      <c r="X518" s="1189"/>
      <c r="Z518" s="1190"/>
      <c r="AB518" s="1190"/>
      <c r="AH518" s="701"/>
      <c r="AJ518" s="701"/>
      <c r="BB518" s="1190"/>
      <c r="BD518" s="1190"/>
      <c r="BF518" s="1190"/>
      <c r="BH518" s="1190"/>
      <c r="BJ518" s="1190"/>
      <c r="BN518" s="206"/>
      <c r="BO518" s="206"/>
      <c r="BP518" s="206"/>
      <c r="BQ518" s="195"/>
      <c r="BR518" s="195"/>
      <c r="BS518" s="195"/>
      <c r="BT518" s="195"/>
      <c r="BU518" s="195"/>
    </row>
    <row r="519" ht="15.75" customHeight="1">
      <c r="A519" s="1004"/>
      <c r="B519" s="1004"/>
      <c r="C519" s="1005"/>
      <c r="D519" s="1005"/>
      <c r="E519" s="977"/>
      <c r="F519" s="1190"/>
      <c r="H519" s="1190"/>
      <c r="J519" s="1190"/>
      <c r="L519" s="1190"/>
      <c r="O519" s="1190"/>
      <c r="V519" s="1189"/>
      <c r="X519" s="1189"/>
      <c r="Z519" s="1190"/>
      <c r="AB519" s="1190"/>
      <c r="AH519" s="701"/>
      <c r="AJ519" s="701"/>
      <c r="BB519" s="1190"/>
      <c r="BD519" s="1190"/>
      <c r="BF519" s="1190"/>
      <c r="BH519" s="1190"/>
      <c r="BJ519" s="1190"/>
      <c r="BN519" s="206"/>
      <c r="BO519" s="206"/>
      <c r="BP519" s="206"/>
      <c r="BQ519" s="195"/>
      <c r="BR519" s="195"/>
      <c r="BS519" s="195"/>
      <c r="BT519" s="195"/>
      <c r="BU519" s="195"/>
    </row>
    <row r="520" ht="15.75" customHeight="1">
      <c r="A520" s="1004"/>
      <c r="B520" s="1004"/>
      <c r="C520" s="1005"/>
      <c r="D520" s="1005"/>
      <c r="E520" s="977"/>
      <c r="F520" s="1190"/>
      <c r="H520" s="1190"/>
      <c r="J520" s="1190"/>
      <c r="L520" s="1190"/>
      <c r="O520" s="1190"/>
      <c r="V520" s="1189"/>
      <c r="X520" s="1189"/>
      <c r="Z520" s="1190"/>
      <c r="AB520" s="1190"/>
      <c r="AH520" s="701"/>
      <c r="AJ520" s="701"/>
      <c r="BB520" s="1190"/>
      <c r="BD520" s="1190"/>
      <c r="BF520" s="1190"/>
      <c r="BH520" s="1190"/>
      <c r="BJ520" s="1190"/>
      <c r="BN520" s="206"/>
      <c r="BO520" s="206"/>
      <c r="BP520" s="206"/>
      <c r="BQ520" s="195"/>
      <c r="BR520" s="195"/>
      <c r="BS520" s="195"/>
      <c r="BT520" s="195"/>
      <c r="BU520" s="195"/>
    </row>
    <row r="521" ht="15.75" customHeight="1">
      <c r="A521" s="1004"/>
      <c r="B521" s="1004"/>
      <c r="C521" s="1005"/>
      <c r="D521" s="1005"/>
      <c r="E521" s="977"/>
      <c r="F521" s="1190"/>
      <c r="H521" s="1190"/>
      <c r="J521" s="1190"/>
      <c r="L521" s="1190"/>
      <c r="O521" s="1190"/>
      <c r="V521" s="1189"/>
      <c r="X521" s="1189"/>
      <c r="Z521" s="1190"/>
      <c r="AB521" s="1190"/>
      <c r="AH521" s="701"/>
      <c r="AJ521" s="701"/>
      <c r="BB521" s="1190"/>
      <c r="BD521" s="1190"/>
      <c r="BF521" s="1190"/>
      <c r="BH521" s="1190"/>
      <c r="BJ521" s="1190"/>
      <c r="BN521" s="206"/>
      <c r="BO521" s="206"/>
      <c r="BP521" s="206"/>
      <c r="BQ521" s="195"/>
      <c r="BR521" s="195"/>
      <c r="BS521" s="195"/>
      <c r="BT521" s="195"/>
      <c r="BU521" s="195"/>
    </row>
    <row r="522" ht="15.75" customHeight="1">
      <c r="A522" s="1004"/>
      <c r="B522" s="1004"/>
      <c r="C522" s="1005"/>
      <c r="D522" s="1005"/>
      <c r="E522" s="977"/>
      <c r="F522" s="1190"/>
      <c r="H522" s="1190"/>
      <c r="J522" s="1190"/>
      <c r="L522" s="1190"/>
      <c r="O522" s="1190"/>
      <c r="V522" s="1189"/>
      <c r="X522" s="1189"/>
      <c r="Z522" s="1190"/>
      <c r="AB522" s="1190"/>
      <c r="AH522" s="701"/>
      <c r="AJ522" s="701"/>
      <c r="BB522" s="1190"/>
      <c r="BD522" s="1190"/>
      <c r="BF522" s="1190"/>
      <c r="BH522" s="1190"/>
      <c r="BJ522" s="1190"/>
      <c r="BN522" s="206"/>
      <c r="BO522" s="206"/>
      <c r="BP522" s="206"/>
      <c r="BQ522" s="195"/>
      <c r="BR522" s="195"/>
      <c r="BS522" s="195"/>
      <c r="BT522" s="195"/>
      <c r="BU522" s="195"/>
    </row>
    <row r="523" ht="15.75" customHeight="1">
      <c r="A523" s="1004"/>
      <c r="B523" s="1004"/>
      <c r="C523" s="1005"/>
      <c r="D523" s="1005"/>
      <c r="E523" s="977"/>
      <c r="F523" s="1190"/>
      <c r="H523" s="1190"/>
      <c r="J523" s="1190"/>
      <c r="L523" s="1190"/>
      <c r="O523" s="1190"/>
      <c r="V523" s="1189"/>
      <c r="X523" s="1189"/>
      <c r="Z523" s="1190"/>
      <c r="AB523" s="1190"/>
      <c r="AH523" s="701"/>
      <c r="AJ523" s="701"/>
      <c r="BB523" s="1190"/>
      <c r="BD523" s="1190"/>
      <c r="BF523" s="1190"/>
      <c r="BH523" s="1190"/>
      <c r="BJ523" s="1190"/>
      <c r="BN523" s="206"/>
      <c r="BO523" s="206"/>
      <c r="BP523" s="206"/>
      <c r="BQ523" s="195"/>
      <c r="BR523" s="195"/>
      <c r="BS523" s="195"/>
      <c r="BT523" s="195"/>
      <c r="BU523" s="195"/>
    </row>
    <row r="524" ht="15.75" customHeight="1">
      <c r="A524" s="1004"/>
      <c r="B524" s="1004"/>
      <c r="C524" s="1005"/>
      <c r="D524" s="1005"/>
      <c r="E524" s="977"/>
      <c r="F524" s="1190"/>
      <c r="H524" s="1190"/>
      <c r="J524" s="1190"/>
      <c r="L524" s="1190"/>
      <c r="O524" s="1190"/>
      <c r="V524" s="1189"/>
      <c r="X524" s="1189"/>
      <c r="Z524" s="1190"/>
      <c r="AB524" s="1190"/>
      <c r="AH524" s="701"/>
      <c r="AJ524" s="701"/>
      <c r="BB524" s="1190"/>
      <c r="BD524" s="1190"/>
      <c r="BF524" s="1190"/>
      <c r="BH524" s="1190"/>
      <c r="BJ524" s="1190"/>
      <c r="BN524" s="206"/>
      <c r="BO524" s="206"/>
      <c r="BP524" s="206"/>
      <c r="BQ524" s="195"/>
      <c r="BR524" s="195"/>
      <c r="BS524" s="195"/>
      <c r="BT524" s="195"/>
      <c r="BU524" s="195"/>
    </row>
    <row r="525" ht="15.75" customHeight="1">
      <c r="A525" s="1004"/>
      <c r="B525" s="1004"/>
      <c r="C525" s="1005"/>
      <c r="D525" s="1005"/>
      <c r="E525" s="977"/>
      <c r="F525" s="1190"/>
      <c r="H525" s="1190"/>
      <c r="J525" s="1190"/>
      <c r="L525" s="1190"/>
      <c r="O525" s="1190"/>
      <c r="V525" s="1189"/>
      <c r="X525" s="1189"/>
      <c r="Z525" s="1190"/>
      <c r="AB525" s="1190"/>
      <c r="AH525" s="701"/>
      <c r="AJ525" s="701"/>
      <c r="BB525" s="1190"/>
      <c r="BD525" s="1190"/>
      <c r="BF525" s="1190"/>
      <c r="BH525" s="1190"/>
      <c r="BJ525" s="1190"/>
      <c r="BN525" s="206"/>
      <c r="BO525" s="206"/>
      <c r="BP525" s="206"/>
      <c r="BQ525" s="195"/>
      <c r="BR525" s="195"/>
      <c r="BS525" s="195"/>
      <c r="BT525" s="195"/>
      <c r="BU525" s="195"/>
    </row>
    <row r="526" ht="15.75" customHeight="1">
      <c r="A526" s="1004"/>
      <c r="B526" s="1004"/>
      <c r="C526" s="1005"/>
      <c r="D526" s="1005"/>
      <c r="E526" s="977"/>
      <c r="F526" s="1190"/>
      <c r="H526" s="1190"/>
      <c r="J526" s="1190"/>
      <c r="L526" s="1190"/>
      <c r="O526" s="1190"/>
      <c r="V526" s="1189"/>
      <c r="X526" s="1189"/>
      <c r="Z526" s="1190"/>
      <c r="AB526" s="1190"/>
      <c r="AH526" s="701"/>
      <c r="AJ526" s="701"/>
      <c r="BB526" s="1190"/>
      <c r="BD526" s="1190"/>
      <c r="BF526" s="1190"/>
      <c r="BH526" s="1190"/>
      <c r="BJ526" s="1190"/>
      <c r="BN526" s="206"/>
      <c r="BO526" s="206"/>
      <c r="BP526" s="206"/>
      <c r="BQ526" s="195"/>
      <c r="BR526" s="195"/>
      <c r="BS526" s="195"/>
      <c r="BT526" s="195"/>
      <c r="BU526" s="195"/>
    </row>
    <row r="527" ht="15.75" customHeight="1">
      <c r="A527" s="1004"/>
      <c r="B527" s="1004"/>
      <c r="C527" s="1005"/>
      <c r="D527" s="1005"/>
      <c r="E527" s="977"/>
      <c r="F527" s="1190"/>
      <c r="H527" s="1190"/>
      <c r="J527" s="1190"/>
      <c r="L527" s="1190"/>
      <c r="O527" s="1190"/>
      <c r="V527" s="1189"/>
      <c r="X527" s="1189"/>
      <c r="Z527" s="1190"/>
      <c r="AB527" s="1190"/>
      <c r="AH527" s="701"/>
      <c r="AJ527" s="701"/>
      <c r="BB527" s="1190"/>
      <c r="BD527" s="1190"/>
      <c r="BF527" s="1190"/>
      <c r="BH527" s="1190"/>
      <c r="BJ527" s="1190"/>
      <c r="BN527" s="206"/>
      <c r="BO527" s="206"/>
      <c r="BP527" s="206"/>
      <c r="BQ527" s="195"/>
      <c r="BR527" s="195"/>
      <c r="BS527" s="195"/>
      <c r="BT527" s="195"/>
      <c r="BU527" s="195"/>
    </row>
    <row r="528" ht="15.75" customHeight="1">
      <c r="A528" s="1004"/>
      <c r="B528" s="1004"/>
      <c r="C528" s="1005"/>
      <c r="D528" s="1005"/>
      <c r="E528" s="977"/>
      <c r="F528" s="1190"/>
      <c r="H528" s="1190"/>
      <c r="J528" s="1190"/>
      <c r="L528" s="1190"/>
      <c r="O528" s="1190"/>
      <c r="V528" s="1189"/>
      <c r="X528" s="1189"/>
      <c r="Z528" s="1190"/>
      <c r="AB528" s="1190"/>
      <c r="AH528" s="701"/>
      <c r="AJ528" s="701"/>
      <c r="BB528" s="1190"/>
      <c r="BD528" s="1190"/>
      <c r="BF528" s="1190"/>
      <c r="BH528" s="1190"/>
      <c r="BJ528" s="1190"/>
      <c r="BN528" s="206"/>
      <c r="BO528" s="206"/>
      <c r="BP528" s="206"/>
      <c r="BQ528" s="195"/>
      <c r="BR528" s="195"/>
      <c r="BS528" s="195"/>
      <c r="BT528" s="195"/>
      <c r="BU528" s="195"/>
    </row>
    <row r="529" ht="15.75" customHeight="1">
      <c r="A529" s="1004"/>
      <c r="B529" s="1004"/>
      <c r="C529" s="1005"/>
      <c r="D529" s="1005"/>
      <c r="E529" s="977"/>
      <c r="F529" s="1190"/>
      <c r="H529" s="1190"/>
      <c r="J529" s="1190"/>
      <c r="L529" s="1190"/>
      <c r="O529" s="1190"/>
      <c r="V529" s="1189"/>
      <c r="X529" s="1189"/>
      <c r="Z529" s="1190"/>
      <c r="AB529" s="1190"/>
      <c r="AH529" s="701"/>
      <c r="AJ529" s="701"/>
      <c r="BB529" s="1190"/>
      <c r="BD529" s="1190"/>
      <c r="BF529" s="1190"/>
      <c r="BH529" s="1190"/>
      <c r="BJ529" s="1190"/>
      <c r="BN529" s="206"/>
      <c r="BO529" s="206"/>
      <c r="BP529" s="206"/>
      <c r="BQ529" s="195"/>
      <c r="BR529" s="195"/>
      <c r="BS529" s="195"/>
      <c r="BT529" s="195"/>
      <c r="BU529" s="195"/>
    </row>
    <row r="530" ht="15.75" customHeight="1">
      <c r="A530" s="1004"/>
      <c r="B530" s="1004"/>
      <c r="C530" s="1005"/>
      <c r="D530" s="1005"/>
      <c r="E530" s="977"/>
      <c r="F530" s="1190"/>
      <c r="H530" s="1190"/>
      <c r="J530" s="1190"/>
      <c r="L530" s="1190"/>
      <c r="O530" s="1190"/>
      <c r="V530" s="1189"/>
      <c r="X530" s="1189"/>
      <c r="Z530" s="1190"/>
      <c r="AB530" s="1190"/>
      <c r="AH530" s="701"/>
      <c r="AJ530" s="701"/>
      <c r="BB530" s="1190"/>
      <c r="BD530" s="1190"/>
      <c r="BF530" s="1190"/>
      <c r="BH530" s="1190"/>
      <c r="BJ530" s="1190"/>
      <c r="BN530" s="206"/>
      <c r="BO530" s="206"/>
      <c r="BP530" s="206"/>
      <c r="BQ530" s="195"/>
      <c r="BR530" s="195"/>
      <c r="BS530" s="195"/>
      <c r="BT530" s="195"/>
      <c r="BU530" s="195"/>
    </row>
    <row r="531" ht="15.75" customHeight="1">
      <c r="A531" s="1004"/>
      <c r="B531" s="1004"/>
      <c r="C531" s="1005"/>
      <c r="D531" s="1005"/>
      <c r="E531" s="977"/>
      <c r="F531" s="1190"/>
      <c r="H531" s="1190"/>
      <c r="J531" s="1190"/>
      <c r="L531" s="1190"/>
      <c r="O531" s="1190"/>
      <c r="V531" s="1189"/>
      <c r="X531" s="1189"/>
      <c r="Z531" s="1190"/>
      <c r="AB531" s="1190"/>
      <c r="AH531" s="701"/>
      <c r="AJ531" s="701"/>
      <c r="BB531" s="1190"/>
      <c r="BD531" s="1190"/>
      <c r="BF531" s="1190"/>
      <c r="BH531" s="1190"/>
      <c r="BJ531" s="1190"/>
      <c r="BN531" s="206"/>
      <c r="BO531" s="206"/>
      <c r="BP531" s="206"/>
      <c r="BQ531" s="195"/>
      <c r="BR531" s="195"/>
      <c r="BS531" s="195"/>
      <c r="BT531" s="195"/>
      <c r="BU531" s="195"/>
    </row>
    <row r="532" ht="15.75" customHeight="1">
      <c r="A532" s="1004"/>
      <c r="B532" s="1004"/>
      <c r="C532" s="1005"/>
      <c r="D532" s="1005"/>
      <c r="E532" s="977"/>
      <c r="F532" s="1190"/>
      <c r="H532" s="1190"/>
      <c r="J532" s="1190"/>
      <c r="L532" s="1190"/>
      <c r="O532" s="1190"/>
      <c r="V532" s="1189"/>
      <c r="X532" s="1189"/>
      <c r="Z532" s="1190"/>
      <c r="AB532" s="1190"/>
      <c r="AH532" s="701"/>
      <c r="AJ532" s="701"/>
      <c r="BB532" s="1190"/>
      <c r="BD532" s="1190"/>
      <c r="BF532" s="1190"/>
      <c r="BH532" s="1190"/>
      <c r="BJ532" s="1190"/>
      <c r="BN532" s="206"/>
      <c r="BO532" s="206"/>
      <c r="BP532" s="206"/>
      <c r="BQ532" s="195"/>
      <c r="BR532" s="195"/>
      <c r="BS532" s="195"/>
      <c r="BT532" s="195"/>
      <c r="BU532" s="195"/>
    </row>
    <row r="533" ht="15.75" customHeight="1">
      <c r="A533" s="1004"/>
      <c r="B533" s="1004"/>
      <c r="C533" s="1005"/>
      <c r="D533" s="1005"/>
      <c r="E533" s="977"/>
      <c r="F533" s="1190"/>
      <c r="H533" s="1190"/>
      <c r="J533" s="1190"/>
      <c r="L533" s="1190"/>
      <c r="O533" s="1190"/>
      <c r="V533" s="1189"/>
      <c r="X533" s="1189"/>
      <c r="Z533" s="1190"/>
      <c r="AB533" s="1190"/>
      <c r="AH533" s="701"/>
      <c r="AJ533" s="701"/>
      <c r="BB533" s="1190"/>
      <c r="BD533" s="1190"/>
      <c r="BF533" s="1190"/>
      <c r="BH533" s="1190"/>
      <c r="BJ533" s="1190"/>
      <c r="BN533" s="206"/>
      <c r="BO533" s="206"/>
      <c r="BP533" s="206"/>
      <c r="BQ533" s="195"/>
      <c r="BR533" s="195"/>
      <c r="BS533" s="195"/>
      <c r="BT533" s="195"/>
      <c r="BU533" s="195"/>
    </row>
    <row r="534" ht="15.75" customHeight="1">
      <c r="A534" s="1004"/>
      <c r="B534" s="1004"/>
      <c r="C534" s="1005"/>
      <c r="D534" s="1005"/>
      <c r="E534" s="977"/>
      <c r="F534" s="1190"/>
      <c r="H534" s="1190"/>
      <c r="J534" s="1190"/>
      <c r="L534" s="1190"/>
      <c r="O534" s="1190"/>
      <c r="V534" s="1189"/>
      <c r="X534" s="1189"/>
      <c r="Z534" s="1190"/>
      <c r="AB534" s="1190"/>
      <c r="AH534" s="701"/>
      <c r="AJ534" s="701"/>
      <c r="BB534" s="1190"/>
      <c r="BD534" s="1190"/>
      <c r="BF534" s="1190"/>
      <c r="BH534" s="1190"/>
      <c r="BJ534" s="1190"/>
      <c r="BN534" s="206"/>
      <c r="BO534" s="206"/>
      <c r="BP534" s="206"/>
      <c r="BQ534" s="195"/>
      <c r="BR534" s="195"/>
      <c r="BS534" s="195"/>
      <c r="BT534" s="195"/>
      <c r="BU534" s="195"/>
    </row>
    <row r="535" ht="15.75" customHeight="1">
      <c r="A535" s="1004"/>
      <c r="B535" s="1004"/>
      <c r="C535" s="1005"/>
      <c r="D535" s="1005"/>
      <c r="E535" s="977"/>
      <c r="F535" s="1190"/>
      <c r="H535" s="1190"/>
      <c r="J535" s="1190"/>
      <c r="L535" s="1190"/>
      <c r="O535" s="1190"/>
      <c r="V535" s="1189"/>
      <c r="X535" s="1189"/>
      <c r="Z535" s="1190"/>
      <c r="AB535" s="1190"/>
      <c r="AH535" s="701"/>
      <c r="AJ535" s="701"/>
      <c r="BB535" s="1190"/>
      <c r="BD535" s="1190"/>
      <c r="BF535" s="1190"/>
      <c r="BH535" s="1190"/>
      <c r="BJ535" s="1190"/>
      <c r="BN535" s="206"/>
      <c r="BO535" s="206"/>
      <c r="BP535" s="206"/>
      <c r="BQ535" s="195"/>
      <c r="BR535" s="195"/>
      <c r="BS535" s="195"/>
      <c r="BT535" s="195"/>
      <c r="BU535" s="195"/>
    </row>
    <row r="536" ht="15.75" customHeight="1">
      <c r="A536" s="1004"/>
      <c r="B536" s="1004"/>
      <c r="C536" s="1005"/>
      <c r="D536" s="1005"/>
      <c r="E536" s="977"/>
      <c r="F536" s="1190"/>
      <c r="H536" s="1190"/>
      <c r="J536" s="1190"/>
      <c r="L536" s="1190"/>
      <c r="O536" s="1190"/>
      <c r="V536" s="1189"/>
      <c r="X536" s="1189"/>
      <c r="Z536" s="1190"/>
      <c r="AB536" s="1190"/>
      <c r="AH536" s="701"/>
      <c r="AJ536" s="701"/>
      <c r="BB536" s="1190"/>
      <c r="BD536" s="1190"/>
      <c r="BF536" s="1190"/>
      <c r="BH536" s="1190"/>
      <c r="BJ536" s="1190"/>
      <c r="BN536" s="206"/>
      <c r="BO536" s="206"/>
      <c r="BP536" s="206"/>
      <c r="BQ536" s="195"/>
      <c r="BR536" s="195"/>
      <c r="BS536" s="195"/>
      <c r="BT536" s="195"/>
      <c r="BU536" s="195"/>
    </row>
    <row r="537" ht="15.75" customHeight="1">
      <c r="A537" s="1004"/>
      <c r="B537" s="1004"/>
      <c r="C537" s="1005"/>
      <c r="D537" s="1005"/>
      <c r="E537" s="977"/>
      <c r="F537" s="1190"/>
      <c r="H537" s="1190"/>
      <c r="J537" s="1190"/>
      <c r="L537" s="1190"/>
      <c r="O537" s="1190"/>
      <c r="V537" s="1189"/>
      <c r="X537" s="1189"/>
      <c r="Z537" s="1190"/>
      <c r="AB537" s="1190"/>
      <c r="AH537" s="701"/>
      <c r="AJ537" s="701"/>
      <c r="BB537" s="1190"/>
      <c r="BD537" s="1190"/>
      <c r="BF537" s="1190"/>
      <c r="BH537" s="1190"/>
      <c r="BJ537" s="1190"/>
      <c r="BN537" s="206"/>
      <c r="BO537" s="206"/>
      <c r="BP537" s="206"/>
      <c r="BQ537" s="195"/>
      <c r="BR537" s="195"/>
      <c r="BS537" s="195"/>
      <c r="BT537" s="195"/>
      <c r="BU537" s="195"/>
    </row>
    <row r="538" ht="15.75" customHeight="1">
      <c r="A538" s="1004"/>
      <c r="B538" s="1004"/>
      <c r="C538" s="1005"/>
      <c r="D538" s="1005"/>
      <c r="E538" s="977"/>
      <c r="F538" s="1190"/>
      <c r="H538" s="1190"/>
      <c r="J538" s="1190"/>
      <c r="L538" s="1190"/>
      <c r="O538" s="1190"/>
      <c r="V538" s="1189"/>
      <c r="X538" s="1189"/>
      <c r="Z538" s="1190"/>
      <c r="AB538" s="1190"/>
      <c r="AH538" s="701"/>
      <c r="AJ538" s="701"/>
      <c r="BB538" s="1190"/>
      <c r="BD538" s="1190"/>
      <c r="BF538" s="1190"/>
      <c r="BH538" s="1190"/>
      <c r="BJ538" s="1190"/>
      <c r="BN538" s="206"/>
      <c r="BO538" s="206"/>
      <c r="BP538" s="206"/>
      <c r="BQ538" s="195"/>
      <c r="BR538" s="195"/>
      <c r="BS538" s="195"/>
      <c r="BT538" s="195"/>
      <c r="BU538" s="195"/>
    </row>
    <row r="539" ht="15.75" customHeight="1">
      <c r="A539" s="1004"/>
      <c r="B539" s="1004"/>
      <c r="C539" s="1005"/>
      <c r="D539" s="1005"/>
      <c r="E539" s="977"/>
      <c r="F539" s="1190"/>
      <c r="H539" s="1190"/>
      <c r="J539" s="1190"/>
      <c r="L539" s="1190"/>
      <c r="O539" s="1190"/>
      <c r="V539" s="1189"/>
      <c r="X539" s="1189"/>
      <c r="Z539" s="1190"/>
      <c r="AB539" s="1190"/>
      <c r="AH539" s="701"/>
      <c r="AJ539" s="701"/>
      <c r="BB539" s="1190"/>
      <c r="BD539" s="1190"/>
      <c r="BF539" s="1190"/>
      <c r="BH539" s="1190"/>
      <c r="BJ539" s="1190"/>
      <c r="BN539" s="206"/>
      <c r="BO539" s="206"/>
      <c r="BP539" s="206"/>
      <c r="BQ539" s="195"/>
      <c r="BR539" s="195"/>
      <c r="BS539" s="195"/>
      <c r="BT539" s="195"/>
      <c r="BU539" s="195"/>
    </row>
    <row r="540" ht="15.75" customHeight="1">
      <c r="A540" s="1004"/>
      <c r="B540" s="1004"/>
      <c r="C540" s="1005"/>
      <c r="D540" s="1005"/>
      <c r="E540" s="977"/>
      <c r="F540" s="1190"/>
      <c r="H540" s="1190"/>
      <c r="J540" s="1190"/>
      <c r="L540" s="1190"/>
      <c r="O540" s="1190"/>
      <c r="V540" s="1189"/>
      <c r="X540" s="1189"/>
      <c r="Z540" s="1190"/>
      <c r="AB540" s="1190"/>
      <c r="AH540" s="701"/>
      <c r="AJ540" s="701"/>
      <c r="BB540" s="1190"/>
      <c r="BD540" s="1190"/>
      <c r="BF540" s="1190"/>
      <c r="BH540" s="1190"/>
      <c r="BJ540" s="1190"/>
      <c r="BN540" s="206"/>
      <c r="BO540" s="206"/>
      <c r="BP540" s="206"/>
      <c r="BQ540" s="195"/>
      <c r="BR540" s="195"/>
      <c r="BS540" s="195"/>
      <c r="BT540" s="195"/>
      <c r="BU540" s="195"/>
    </row>
    <row r="541" ht="15.75" customHeight="1">
      <c r="A541" s="1004"/>
      <c r="B541" s="1004"/>
      <c r="C541" s="1005"/>
      <c r="D541" s="1005"/>
      <c r="E541" s="977"/>
      <c r="F541" s="1190"/>
      <c r="H541" s="1190"/>
      <c r="J541" s="1190"/>
      <c r="L541" s="1190"/>
      <c r="O541" s="1190"/>
      <c r="V541" s="1189"/>
      <c r="X541" s="1189"/>
      <c r="Z541" s="1190"/>
      <c r="AB541" s="1190"/>
      <c r="AH541" s="701"/>
      <c r="AJ541" s="701"/>
      <c r="BB541" s="1190"/>
      <c r="BD541" s="1190"/>
      <c r="BF541" s="1190"/>
      <c r="BH541" s="1190"/>
      <c r="BJ541" s="1190"/>
      <c r="BN541" s="206"/>
      <c r="BO541" s="206"/>
      <c r="BP541" s="206"/>
      <c r="BQ541" s="195"/>
      <c r="BR541" s="195"/>
      <c r="BS541" s="195"/>
      <c r="BT541" s="195"/>
      <c r="BU541" s="195"/>
    </row>
    <row r="542" ht="15.75" customHeight="1">
      <c r="A542" s="1004"/>
      <c r="B542" s="1004"/>
      <c r="C542" s="1005"/>
      <c r="D542" s="1005"/>
      <c r="E542" s="977"/>
      <c r="F542" s="1190"/>
      <c r="H542" s="1190"/>
      <c r="J542" s="1190"/>
      <c r="L542" s="1190"/>
      <c r="O542" s="1190"/>
      <c r="V542" s="1189"/>
      <c r="X542" s="1189"/>
      <c r="Z542" s="1190"/>
      <c r="AB542" s="1190"/>
      <c r="AH542" s="701"/>
      <c r="AJ542" s="701"/>
      <c r="BB542" s="1190"/>
      <c r="BD542" s="1190"/>
      <c r="BF542" s="1190"/>
      <c r="BH542" s="1190"/>
      <c r="BJ542" s="1190"/>
      <c r="BN542" s="206"/>
      <c r="BO542" s="206"/>
      <c r="BP542" s="206"/>
      <c r="BQ542" s="195"/>
      <c r="BR542" s="195"/>
      <c r="BS542" s="195"/>
      <c r="BT542" s="195"/>
      <c r="BU542" s="195"/>
    </row>
    <row r="543" ht="15.75" customHeight="1">
      <c r="A543" s="1004"/>
      <c r="B543" s="1004"/>
      <c r="C543" s="1005"/>
      <c r="D543" s="1005"/>
      <c r="E543" s="977"/>
      <c r="F543" s="1190"/>
      <c r="H543" s="1190"/>
      <c r="J543" s="1190"/>
      <c r="L543" s="1190"/>
      <c r="O543" s="1190"/>
      <c r="V543" s="1189"/>
      <c r="X543" s="1189"/>
      <c r="Z543" s="1190"/>
      <c r="AB543" s="1190"/>
      <c r="AH543" s="701"/>
      <c r="AJ543" s="701"/>
      <c r="BB543" s="1190"/>
      <c r="BD543" s="1190"/>
      <c r="BF543" s="1190"/>
      <c r="BH543" s="1190"/>
      <c r="BJ543" s="1190"/>
      <c r="BN543" s="206"/>
      <c r="BO543" s="206"/>
      <c r="BP543" s="206"/>
      <c r="BQ543" s="195"/>
      <c r="BR543" s="195"/>
      <c r="BS543" s="195"/>
      <c r="BT543" s="195"/>
      <c r="BU543" s="195"/>
    </row>
    <row r="544" ht="15.75" customHeight="1">
      <c r="A544" s="1004"/>
      <c r="B544" s="1004"/>
      <c r="C544" s="1005"/>
      <c r="D544" s="1005"/>
      <c r="E544" s="977"/>
      <c r="F544" s="1190"/>
      <c r="H544" s="1190"/>
      <c r="J544" s="1190"/>
      <c r="L544" s="1190"/>
      <c r="O544" s="1190"/>
      <c r="V544" s="1189"/>
      <c r="X544" s="1189"/>
      <c r="Z544" s="1190"/>
      <c r="AB544" s="1190"/>
      <c r="AH544" s="701"/>
      <c r="AJ544" s="701"/>
      <c r="BB544" s="1190"/>
      <c r="BD544" s="1190"/>
      <c r="BF544" s="1190"/>
      <c r="BH544" s="1190"/>
      <c r="BJ544" s="1190"/>
      <c r="BN544" s="206"/>
      <c r="BO544" s="206"/>
      <c r="BP544" s="206"/>
      <c r="BQ544" s="195"/>
      <c r="BR544" s="195"/>
      <c r="BS544" s="195"/>
      <c r="BT544" s="195"/>
      <c r="BU544" s="195"/>
    </row>
    <row r="545" ht="15.75" customHeight="1">
      <c r="A545" s="1004"/>
      <c r="B545" s="1004"/>
      <c r="C545" s="1005"/>
      <c r="D545" s="1005"/>
      <c r="E545" s="977"/>
      <c r="F545" s="1190"/>
      <c r="H545" s="1190"/>
      <c r="J545" s="1190"/>
      <c r="L545" s="1190"/>
      <c r="O545" s="1190"/>
      <c r="V545" s="1189"/>
      <c r="X545" s="1189"/>
      <c r="Z545" s="1190"/>
      <c r="AB545" s="1190"/>
      <c r="AH545" s="701"/>
      <c r="AJ545" s="701"/>
      <c r="BB545" s="1190"/>
      <c r="BD545" s="1190"/>
      <c r="BF545" s="1190"/>
      <c r="BH545" s="1190"/>
      <c r="BJ545" s="1190"/>
      <c r="BN545" s="206"/>
      <c r="BO545" s="206"/>
      <c r="BP545" s="206"/>
      <c r="BQ545" s="195"/>
      <c r="BR545" s="195"/>
      <c r="BS545" s="195"/>
      <c r="BT545" s="195"/>
      <c r="BU545" s="195"/>
    </row>
    <row r="546" ht="15.75" customHeight="1">
      <c r="A546" s="1004"/>
      <c r="B546" s="1004"/>
      <c r="C546" s="1005"/>
      <c r="D546" s="1005"/>
      <c r="E546" s="977"/>
      <c r="F546" s="1190"/>
      <c r="H546" s="1190"/>
      <c r="J546" s="1190"/>
      <c r="L546" s="1190"/>
      <c r="O546" s="1190"/>
      <c r="V546" s="1189"/>
      <c r="X546" s="1189"/>
      <c r="Z546" s="1190"/>
      <c r="AB546" s="1190"/>
      <c r="AH546" s="701"/>
      <c r="AJ546" s="701"/>
      <c r="BB546" s="1190"/>
      <c r="BD546" s="1190"/>
      <c r="BF546" s="1190"/>
      <c r="BH546" s="1190"/>
      <c r="BJ546" s="1190"/>
      <c r="BN546" s="206"/>
      <c r="BO546" s="206"/>
      <c r="BP546" s="206"/>
      <c r="BQ546" s="195"/>
      <c r="BR546" s="195"/>
      <c r="BS546" s="195"/>
      <c r="BT546" s="195"/>
      <c r="BU546" s="195"/>
    </row>
    <row r="547" ht="15.75" customHeight="1">
      <c r="A547" s="1004"/>
      <c r="B547" s="1004"/>
      <c r="C547" s="1005"/>
      <c r="D547" s="1005"/>
      <c r="E547" s="977"/>
      <c r="F547" s="1190"/>
      <c r="H547" s="1190"/>
      <c r="J547" s="1190"/>
      <c r="L547" s="1190"/>
      <c r="O547" s="1190"/>
      <c r="V547" s="1189"/>
      <c r="X547" s="1189"/>
      <c r="Z547" s="1190"/>
      <c r="AB547" s="1190"/>
      <c r="AH547" s="701"/>
      <c r="AJ547" s="701"/>
      <c r="BB547" s="1190"/>
      <c r="BD547" s="1190"/>
      <c r="BF547" s="1190"/>
      <c r="BH547" s="1190"/>
      <c r="BJ547" s="1190"/>
      <c r="BN547" s="206"/>
      <c r="BO547" s="206"/>
      <c r="BP547" s="206"/>
      <c r="BQ547" s="195"/>
      <c r="BR547" s="195"/>
      <c r="BS547" s="195"/>
      <c r="BT547" s="195"/>
      <c r="BU547" s="195"/>
    </row>
    <row r="548" ht="15.75" customHeight="1">
      <c r="A548" s="1004"/>
      <c r="B548" s="1004"/>
      <c r="C548" s="1005"/>
      <c r="D548" s="1005"/>
      <c r="E548" s="977"/>
      <c r="F548" s="1190"/>
      <c r="H548" s="1190"/>
      <c r="J548" s="1190"/>
      <c r="L548" s="1190"/>
      <c r="O548" s="1190"/>
      <c r="V548" s="1189"/>
      <c r="X548" s="1189"/>
      <c r="Z548" s="1190"/>
      <c r="AB548" s="1190"/>
      <c r="AH548" s="701"/>
      <c r="AJ548" s="701"/>
      <c r="BB548" s="1190"/>
      <c r="BD548" s="1190"/>
      <c r="BF548" s="1190"/>
      <c r="BH548" s="1190"/>
      <c r="BJ548" s="1190"/>
      <c r="BN548" s="206"/>
      <c r="BO548" s="206"/>
      <c r="BP548" s="206"/>
      <c r="BQ548" s="195"/>
      <c r="BR548" s="195"/>
      <c r="BS548" s="195"/>
      <c r="BT548" s="195"/>
      <c r="BU548" s="195"/>
    </row>
    <row r="549" ht="15.75" customHeight="1">
      <c r="A549" s="1004"/>
      <c r="B549" s="1004"/>
      <c r="C549" s="1005"/>
      <c r="D549" s="1005"/>
      <c r="E549" s="977"/>
      <c r="F549" s="1190"/>
      <c r="H549" s="1190"/>
      <c r="J549" s="1190"/>
      <c r="L549" s="1190"/>
      <c r="O549" s="1190"/>
      <c r="V549" s="1189"/>
      <c r="X549" s="1189"/>
      <c r="Z549" s="1190"/>
      <c r="AB549" s="1190"/>
      <c r="AH549" s="701"/>
      <c r="AJ549" s="701"/>
      <c r="BB549" s="1190"/>
      <c r="BD549" s="1190"/>
      <c r="BF549" s="1190"/>
      <c r="BH549" s="1190"/>
      <c r="BJ549" s="1190"/>
      <c r="BN549" s="206"/>
      <c r="BO549" s="206"/>
      <c r="BP549" s="206"/>
      <c r="BQ549" s="195"/>
      <c r="BR549" s="195"/>
      <c r="BS549" s="195"/>
      <c r="BT549" s="195"/>
      <c r="BU549" s="195"/>
    </row>
    <row r="550" ht="15.75" customHeight="1">
      <c r="A550" s="1004"/>
      <c r="B550" s="1004"/>
      <c r="C550" s="1005"/>
      <c r="D550" s="1005"/>
      <c r="E550" s="977"/>
      <c r="F550" s="1190"/>
      <c r="H550" s="1190"/>
      <c r="J550" s="1190"/>
      <c r="L550" s="1190"/>
      <c r="O550" s="1190"/>
      <c r="V550" s="1189"/>
      <c r="X550" s="1189"/>
      <c r="Z550" s="1190"/>
      <c r="AB550" s="1190"/>
      <c r="AH550" s="701"/>
      <c r="AJ550" s="701"/>
      <c r="BB550" s="1190"/>
      <c r="BD550" s="1190"/>
      <c r="BF550" s="1190"/>
      <c r="BH550" s="1190"/>
      <c r="BJ550" s="1190"/>
      <c r="BN550" s="206"/>
      <c r="BO550" s="206"/>
      <c r="BP550" s="206"/>
      <c r="BQ550" s="195"/>
      <c r="BR550" s="195"/>
      <c r="BS550" s="195"/>
      <c r="BT550" s="195"/>
      <c r="BU550" s="195"/>
    </row>
    <row r="551" ht="15.75" customHeight="1">
      <c r="A551" s="1004"/>
      <c r="B551" s="1004"/>
      <c r="C551" s="1005"/>
      <c r="D551" s="1005"/>
      <c r="E551" s="977"/>
      <c r="F551" s="1190"/>
      <c r="H551" s="1190"/>
      <c r="J551" s="1190"/>
      <c r="L551" s="1190"/>
      <c r="O551" s="1190"/>
      <c r="V551" s="1189"/>
      <c r="X551" s="1189"/>
      <c r="Z551" s="1190"/>
      <c r="AB551" s="1190"/>
      <c r="AH551" s="701"/>
      <c r="AJ551" s="701"/>
      <c r="BB551" s="1190"/>
      <c r="BD551" s="1190"/>
      <c r="BF551" s="1190"/>
      <c r="BH551" s="1190"/>
      <c r="BJ551" s="1190"/>
      <c r="BN551" s="206"/>
      <c r="BO551" s="206"/>
      <c r="BP551" s="206"/>
      <c r="BQ551" s="195"/>
      <c r="BR551" s="195"/>
      <c r="BS551" s="195"/>
      <c r="BT551" s="195"/>
      <c r="BU551" s="195"/>
    </row>
    <row r="552" ht="15.75" customHeight="1">
      <c r="A552" s="1004"/>
      <c r="B552" s="1004"/>
      <c r="C552" s="1005"/>
      <c r="D552" s="1005"/>
      <c r="E552" s="977"/>
      <c r="F552" s="1190"/>
      <c r="H552" s="1190"/>
      <c r="J552" s="1190"/>
      <c r="L552" s="1190"/>
      <c r="O552" s="1190"/>
      <c r="V552" s="1189"/>
      <c r="X552" s="1189"/>
      <c r="Z552" s="1190"/>
      <c r="AB552" s="1190"/>
      <c r="AH552" s="701"/>
      <c r="AJ552" s="701"/>
      <c r="BB552" s="1190"/>
      <c r="BD552" s="1190"/>
      <c r="BF552" s="1190"/>
      <c r="BH552" s="1190"/>
      <c r="BJ552" s="1190"/>
      <c r="BN552" s="206"/>
      <c r="BO552" s="206"/>
      <c r="BP552" s="206"/>
      <c r="BQ552" s="195"/>
      <c r="BR552" s="195"/>
      <c r="BS552" s="195"/>
      <c r="BT552" s="195"/>
      <c r="BU552" s="195"/>
    </row>
    <row r="553" ht="15.75" customHeight="1">
      <c r="A553" s="1004"/>
      <c r="B553" s="1004"/>
      <c r="C553" s="1005"/>
      <c r="D553" s="1005"/>
      <c r="E553" s="977"/>
      <c r="F553" s="1190"/>
      <c r="H553" s="1190"/>
      <c r="J553" s="1190"/>
      <c r="L553" s="1190"/>
      <c r="O553" s="1190"/>
      <c r="V553" s="1189"/>
      <c r="X553" s="1189"/>
      <c r="Z553" s="1190"/>
      <c r="AB553" s="1190"/>
      <c r="AH553" s="701"/>
      <c r="AJ553" s="701"/>
      <c r="BB553" s="1190"/>
      <c r="BD553" s="1190"/>
      <c r="BF553" s="1190"/>
      <c r="BH553" s="1190"/>
      <c r="BJ553" s="1190"/>
      <c r="BN553" s="206"/>
      <c r="BO553" s="206"/>
      <c r="BP553" s="206"/>
      <c r="BQ553" s="195"/>
      <c r="BR553" s="195"/>
      <c r="BS553" s="195"/>
      <c r="BT553" s="195"/>
      <c r="BU553" s="195"/>
    </row>
    <row r="554" ht="15.75" customHeight="1">
      <c r="A554" s="1004"/>
      <c r="B554" s="1004"/>
      <c r="C554" s="1005"/>
      <c r="D554" s="1005"/>
      <c r="E554" s="977"/>
      <c r="F554" s="1190"/>
      <c r="H554" s="1190"/>
      <c r="J554" s="1190"/>
      <c r="L554" s="1190"/>
      <c r="O554" s="1190"/>
      <c r="V554" s="1189"/>
      <c r="X554" s="1189"/>
      <c r="Z554" s="1190"/>
      <c r="AB554" s="1190"/>
      <c r="AH554" s="701"/>
      <c r="AJ554" s="701"/>
      <c r="BB554" s="1190"/>
      <c r="BD554" s="1190"/>
      <c r="BF554" s="1190"/>
      <c r="BH554" s="1190"/>
      <c r="BJ554" s="1190"/>
      <c r="BN554" s="206"/>
      <c r="BO554" s="206"/>
      <c r="BP554" s="206"/>
      <c r="BQ554" s="195"/>
      <c r="BR554" s="195"/>
      <c r="BS554" s="195"/>
      <c r="BT554" s="195"/>
      <c r="BU554" s="195"/>
    </row>
    <row r="555" ht="15.75" customHeight="1">
      <c r="A555" s="1004"/>
      <c r="B555" s="1004"/>
      <c r="C555" s="1005"/>
      <c r="D555" s="1005"/>
      <c r="E555" s="977"/>
      <c r="F555" s="1190"/>
      <c r="H555" s="1190"/>
      <c r="J555" s="1190"/>
      <c r="L555" s="1190"/>
      <c r="O555" s="1190"/>
      <c r="V555" s="1189"/>
      <c r="X555" s="1189"/>
      <c r="Z555" s="1190"/>
      <c r="AB555" s="1190"/>
      <c r="AH555" s="701"/>
      <c r="AJ555" s="701"/>
      <c r="BB555" s="1190"/>
      <c r="BD555" s="1190"/>
      <c r="BF555" s="1190"/>
      <c r="BH555" s="1190"/>
      <c r="BJ555" s="1190"/>
      <c r="BN555" s="206"/>
      <c r="BO555" s="206"/>
      <c r="BP555" s="206"/>
      <c r="BQ555" s="195"/>
      <c r="BR555" s="195"/>
      <c r="BS555" s="195"/>
      <c r="BT555" s="195"/>
      <c r="BU555" s="195"/>
    </row>
    <row r="556" ht="15.75" customHeight="1">
      <c r="A556" s="1004"/>
      <c r="B556" s="1004"/>
      <c r="C556" s="1005"/>
      <c r="D556" s="1005"/>
      <c r="E556" s="977"/>
      <c r="F556" s="1190"/>
      <c r="H556" s="1190"/>
      <c r="J556" s="1190"/>
      <c r="L556" s="1190"/>
      <c r="O556" s="1190"/>
      <c r="V556" s="1189"/>
      <c r="X556" s="1189"/>
      <c r="Z556" s="1190"/>
      <c r="AB556" s="1190"/>
      <c r="AH556" s="701"/>
      <c r="AJ556" s="701"/>
      <c r="BB556" s="1190"/>
      <c r="BD556" s="1190"/>
      <c r="BF556" s="1190"/>
      <c r="BH556" s="1190"/>
      <c r="BJ556" s="1190"/>
      <c r="BN556" s="206"/>
      <c r="BO556" s="206"/>
      <c r="BP556" s="206"/>
      <c r="BQ556" s="195"/>
      <c r="BR556" s="195"/>
      <c r="BS556" s="195"/>
      <c r="BT556" s="195"/>
      <c r="BU556" s="195"/>
    </row>
    <row r="557" ht="15.75" customHeight="1">
      <c r="A557" s="1004"/>
      <c r="B557" s="1004"/>
      <c r="C557" s="1005"/>
      <c r="D557" s="1005"/>
      <c r="E557" s="977"/>
      <c r="F557" s="1190"/>
      <c r="H557" s="1190"/>
      <c r="J557" s="1190"/>
      <c r="L557" s="1190"/>
      <c r="O557" s="1190"/>
      <c r="V557" s="1189"/>
      <c r="X557" s="1189"/>
      <c r="Z557" s="1190"/>
      <c r="AB557" s="1190"/>
      <c r="AH557" s="701"/>
      <c r="AJ557" s="701"/>
      <c r="BB557" s="1190"/>
      <c r="BD557" s="1190"/>
      <c r="BF557" s="1190"/>
      <c r="BH557" s="1190"/>
      <c r="BJ557" s="1190"/>
      <c r="BN557" s="206"/>
      <c r="BO557" s="206"/>
      <c r="BP557" s="206"/>
      <c r="BQ557" s="195"/>
      <c r="BR557" s="195"/>
      <c r="BS557" s="195"/>
      <c r="BT557" s="195"/>
      <c r="BU557" s="195"/>
    </row>
    <row r="558" ht="15.75" customHeight="1">
      <c r="A558" s="1004"/>
      <c r="B558" s="1004"/>
      <c r="C558" s="1005"/>
      <c r="D558" s="1005"/>
      <c r="E558" s="977"/>
      <c r="F558" s="1190"/>
      <c r="H558" s="1190"/>
      <c r="J558" s="1190"/>
      <c r="L558" s="1190"/>
      <c r="O558" s="1190"/>
      <c r="V558" s="1189"/>
      <c r="X558" s="1189"/>
      <c r="Z558" s="1190"/>
      <c r="AB558" s="1190"/>
      <c r="AH558" s="701"/>
      <c r="AJ558" s="701"/>
      <c r="BB558" s="1190"/>
      <c r="BD558" s="1190"/>
      <c r="BF558" s="1190"/>
      <c r="BH558" s="1190"/>
      <c r="BJ558" s="1190"/>
      <c r="BN558" s="206"/>
      <c r="BO558" s="206"/>
      <c r="BP558" s="206"/>
      <c r="BQ558" s="195"/>
      <c r="BR558" s="195"/>
      <c r="BS558" s="195"/>
      <c r="BT558" s="195"/>
      <c r="BU558" s="195"/>
    </row>
    <row r="559" ht="15.75" customHeight="1">
      <c r="A559" s="1004"/>
      <c r="B559" s="1004"/>
      <c r="C559" s="1005"/>
      <c r="D559" s="1005"/>
      <c r="E559" s="977"/>
      <c r="F559" s="1190"/>
      <c r="H559" s="1190"/>
      <c r="J559" s="1190"/>
      <c r="L559" s="1190"/>
      <c r="O559" s="1190"/>
      <c r="V559" s="1189"/>
      <c r="X559" s="1189"/>
      <c r="Z559" s="1190"/>
      <c r="AB559" s="1190"/>
      <c r="AH559" s="701"/>
      <c r="AJ559" s="701"/>
      <c r="BB559" s="1190"/>
      <c r="BD559" s="1190"/>
      <c r="BF559" s="1190"/>
      <c r="BH559" s="1190"/>
      <c r="BJ559" s="1190"/>
      <c r="BN559" s="206"/>
      <c r="BO559" s="206"/>
      <c r="BP559" s="206"/>
      <c r="BQ559" s="195"/>
      <c r="BR559" s="195"/>
      <c r="BS559" s="195"/>
      <c r="BT559" s="195"/>
      <c r="BU559" s="195"/>
    </row>
    <row r="560" ht="15.75" customHeight="1">
      <c r="A560" s="1004"/>
      <c r="B560" s="1004"/>
      <c r="C560" s="1005"/>
      <c r="D560" s="1005"/>
      <c r="E560" s="977"/>
      <c r="F560" s="1190"/>
      <c r="H560" s="1190"/>
      <c r="J560" s="1190"/>
      <c r="L560" s="1190"/>
      <c r="O560" s="1190"/>
      <c r="V560" s="1189"/>
      <c r="X560" s="1189"/>
      <c r="Z560" s="1190"/>
      <c r="AB560" s="1190"/>
      <c r="AH560" s="701"/>
      <c r="AJ560" s="701"/>
      <c r="BB560" s="1190"/>
      <c r="BD560" s="1190"/>
      <c r="BF560" s="1190"/>
      <c r="BH560" s="1190"/>
      <c r="BJ560" s="1190"/>
      <c r="BN560" s="206"/>
      <c r="BO560" s="206"/>
      <c r="BP560" s="206"/>
      <c r="BQ560" s="195"/>
      <c r="BR560" s="195"/>
      <c r="BS560" s="195"/>
      <c r="BT560" s="195"/>
      <c r="BU560" s="195"/>
    </row>
    <row r="561" ht="15.75" customHeight="1">
      <c r="A561" s="1004"/>
      <c r="B561" s="1004"/>
      <c r="C561" s="1005"/>
      <c r="D561" s="1005"/>
      <c r="E561" s="977"/>
      <c r="F561" s="1190"/>
      <c r="H561" s="1190"/>
      <c r="J561" s="1190"/>
      <c r="L561" s="1190"/>
      <c r="O561" s="1190"/>
      <c r="V561" s="1189"/>
      <c r="X561" s="1189"/>
      <c r="Z561" s="1190"/>
      <c r="AB561" s="1190"/>
      <c r="AH561" s="701"/>
      <c r="AJ561" s="701"/>
      <c r="BB561" s="1190"/>
      <c r="BD561" s="1190"/>
      <c r="BF561" s="1190"/>
      <c r="BH561" s="1190"/>
      <c r="BJ561" s="1190"/>
      <c r="BN561" s="206"/>
      <c r="BO561" s="206"/>
      <c r="BP561" s="206"/>
      <c r="BQ561" s="195"/>
      <c r="BR561" s="195"/>
      <c r="BS561" s="195"/>
      <c r="BT561" s="195"/>
      <c r="BU561" s="195"/>
    </row>
    <row r="562" ht="15.75" customHeight="1">
      <c r="A562" s="1004"/>
      <c r="B562" s="1004"/>
      <c r="C562" s="1005"/>
      <c r="D562" s="1005"/>
      <c r="E562" s="977"/>
      <c r="F562" s="1190"/>
      <c r="H562" s="1190"/>
      <c r="J562" s="1190"/>
      <c r="L562" s="1190"/>
      <c r="O562" s="1190"/>
      <c r="V562" s="1189"/>
      <c r="X562" s="1189"/>
      <c r="Z562" s="1190"/>
      <c r="AB562" s="1190"/>
      <c r="AH562" s="701"/>
      <c r="AJ562" s="701"/>
      <c r="BB562" s="1190"/>
      <c r="BD562" s="1190"/>
      <c r="BF562" s="1190"/>
      <c r="BH562" s="1190"/>
      <c r="BJ562" s="1190"/>
      <c r="BN562" s="206"/>
      <c r="BO562" s="206"/>
      <c r="BP562" s="206"/>
      <c r="BQ562" s="195"/>
      <c r="BR562" s="195"/>
      <c r="BS562" s="195"/>
      <c r="BT562" s="195"/>
      <c r="BU562" s="195"/>
    </row>
    <row r="563" ht="15.75" customHeight="1">
      <c r="A563" s="1004"/>
      <c r="B563" s="1004"/>
      <c r="C563" s="1005"/>
      <c r="D563" s="1005"/>
      <c r="E563" s="977"/>
      <c r="F563" s="1190"/>
      <c r="H563" s="1190"/>
      <c r="J563" s="1190"/>
      <c r="L563" s="1190"/>
      <c r="O563" s="1190"/>
      <c r="V563" s="1189"/>
      <c r="X563" s="1189"/>
      <c r="Z563" s="1190"/>
      <c r="AB563" s="1190"/>
      <c r="AH563" s="701"/>
      <c r="AJ563" s="701"/>
      <c r="BB563" s="1190"/>
      <c r="BD563" s="1190"/>
      <c r="BF563" s="1190"/>
      <c r="BH563" s="1190"/>
      <c r="BJ563" s="1190"/>
      <c r="BN563" s="206"/>
      <c r="BO563" s="206"/>
      <c r="BP563" s="206"/>
      <c r="BQ563" s="195"/>
      <c r="BR563" s="195"/>
      <c r="BS563" s="195"/>
      <c r="BT563" s="195"/>
      <c r="BU563" s="195"/>
    </row>
    <row r="564" ht="15.75" customHeight="1">
      <c r="A564" s="1004"/>
      <c r="B564" s="1004"/>
      <c r="C564" s="1005"/>
      <c r="D564" s="1005"/>
      <c r="E564" s="977"/>
      <c r="F564" s="1190"/>
      <c r="H564" s="1190"/>
      <c r="J564" s="1190"/>
      <c r="L564" s="1190"/>
      <c r="O564" s="1190"/>
      <c r="V564" s="1189"/>
      <c r="X564" s="1189"/>
      <c r="Z564" s="1190"/>
      <c r="AB564" s="1190"/>
      <c r="AH564" s="701"/>
      <c r="AJ564" s="701"/>
      <c r="BB564" s="1190"/>
      <c r="BD564" s="1190"/>
      <c r="BF564" s="1190"/>
      <c r="BH564" s="1190"/>
      <c r="BJ564" s="1190"/>
      <c r="BN564" s="206"/>
      <c r="BO564" s="206"/>
      <c r="BP564" s="206"/>
      <c r="BQ564" s="195"/>
      <c r="BR564" s="195"/>
      <c r="BS564" s="195"/>
      <c r="BT564" s="195"/>
      <c r="BU564" s="195"/>
    </row>
    <row r="565" ht="15.75" customHeight="1">
      <c r="A565" s="1004"/>
      <c r="B565" s="1004"/>
      <c r="C565" s="1005"/>
      <c r="D565" s="1005"/>
      <c r="E565" s="977"/>
      <c r="F565" s="1190"/>
      <c r="H565" s="1190"/>
      <c r="J565" s="1190"/>
      <c r="L565" s="1190"/>
      <c r="O565" s="1190"/>
      <c r="V565" s="1189"/>
      <c r="X565" s="1189"/>
      <c r="Z565" s="1190"/>
      <c r="AB565" s="1190"/>
      <c r="AH565" s="701"/>
      <c r="AJ565" s="701"/>
      <c r="BB565" s="1190"/>
      <c r="BD565" s="1190"/>
      <c r="BF565" s="1190"/>
      <c r="BH565" s="1190"/>
      <c r="BJ565" s="1190"/>
      <c r="BN565" s="206"/>
      <c r="BO565" s="206"/>
      <c r="BP565" s="206"/>
      <c r="BQ565" s="195"/>
      <c r="BR565" s="195"/>
      <c r="BS565" s="195"/>
      <c r="BT565" s="195"/>
      <c r="BU565" s="195"/>
    </row>
    <row r="566" ht="15.75" customHeight="1">
      <c r="A566" s="1004"/>
      <c r="B566" s="1004"/>
      <c r="C566" s="1005"/>
      <c r="D566" s="1005"/>
      <c r="E566" s="977"/>
      <c r="F566" s="1190"/>
      <c r="H566" s="1190"/>
      <c r="J566" s="1190"/>
      <c r="L566" s="1190"/>
      <c r="O566" s="1190"/>
      <c r="V566" s="1189"/>
      <c r="X566" s="1189"/>
      <c r="Z566" s="1190"/>
      <c r="AB566" s="1190"/>
      <c r="AH566" s="701"/>
      <c r="AJ566" s="701"/>
      <c r="BB566" s="1190"/>
      <c r="BD566" s="1190"/>
      <c r="BF566" s="1190"/>
      <c r="BH566" s="1190"/>
      <c r="BJ566" s="1190"/>
      <c r="BN566" s="206"/>
      <c r="BO566" s="206"/>
      <c r="BP566" s="206"/>
      <c r="BQ566" s="195"/>
      <c r="BR566" s="195"/>
      <c r="BS566" s="195"/>
      <c r="BT566" s="195"/>
      <c r="BU566" s="195"/>
    </row>
    <row r="567" ht="15.75" customHeight="1">
      <c r="A567" s="1004"/>
      <c r="B567" s="1004"/>
      <c r="C567" s="1005"/>
      <c r="D567" s="1005"/>
      <c r="E567" s="977"/>
      <c r="F567" s="1190"/>
      <c r="H567" s="1190"/>
      <c r="J567" s="1190"/>
      <c r="L567" s="1190"/>
      <c r="O567" s="1190"/>
      <c r="V567" s="1189"/>
      <c r="X567" s="1189"/>
      <c r="Z567" s="1190"/>
      <c r="AB567" s="1190"/>
      <c r="AH567" s="701"/>
      <c r="AJ567" s="701"/>
      <c r="BB567" s="1190"/>
      <c r="BD567" s="1190"/>
      <c r="BF567" s="1190"/>
      <c r="BH567" s="1190"/>
      <c r="BJ567" s="1190"/>
      <c r="BN567" s="206"/>
      <c r="BO567" s="206"/>
      <c r="BP567" s="206"/>
      <c r="BQ567" s="195"/>
      <c r="BR567" s="195"/>
      <c r="BS567" s="195"/>
      <c r="BT567" s="195"/>
      <c r="BU567" s="195"/>
    </row>
    <row r="568" ht="15.75" customHeight="1">
      <c r="A568" s="1004"/>
      <c r="B568" s="1004"/>
      <c r="C568" s="1005"/>
      <c r="D568" s="1005"/>
      <c r="E568" s="977"/>
      <c r="F568" s="1190"/>
      <c r="H568" s="1190"/>
      <c r="J568" s="1190"/>
      <c r="L568" s="1190"/>
      <c r="O568" s="1190"/>
      <c r="V568" s="1189"/>
      <c r="X568" s="1189"/>
      <c r="Z568" s="1190"/>
      <c r="AB568" s="1190"/>
      <c r="AH568" s="701"/>
      <c r="AJ568" s="701"/>
      <c r="BB568" s="1190"/>
      <c r="BD568" s="1190"/>
      <c r="BF568" s="1190"/>
      <c r="BH568" s="1190"/>
      <c r="BJ568" s="1190"/>
      <c r="BN568" s="206"/>
      <c r="BO568" s="206"/>
      <c r="BP568" s="206"/>
      <c r="BQ568" s="195"/>
      <c r="BR568" s="195"/>
      <c r="BS568" s="195"/>
      <c r="BT568" s="195"/>
      <c r="BU568" s="195"/>
    </row>
    <row r="569" ht="15.75" customHeight="1">
      <c r="A569" s="1004"/>
      <c r="B569" s="1004"/>
      <c r="C569" s="1005"/>
      <c r="D569" s="1005"/>
      <c r="E569" s="977"/>
      <c r="F569" s="1190"/>
      <c r="H569" s="1190"/>
      <c r="J569" s="1190"/>
      <c r="L569" s="1190"/>
      <c r="O569" s="1190"/>
      <c r="V569" s="1189"/>
      <c r="X569" s="1189"/>
      <c r="Z569" s="1190"/>
      <c r="AB569" s="1190"/>
      <c r="AH569" s="701"/>
      <c r="AJ569" s="701"/>
      <c r="BB569" s="1190"/>
      <c r="BD569" s="1190"/>
      <c r="BF569" s="1190"/>
      <c r="BH569" s="1190"/>
      <c r="BJ569" s="1190"/>
      <c r="BN569" s="206"/>
      <c r="BO569" s="206"/>
      <c r="BP569" s="206"/>
      <c r="BQ569" s="195"/>
      <c r="BR569" s="195"/>
      <c r="BS569" s="195"/>
      <c r="BT569" s="195"/>
      <c r="BU569" s="195"/>
    </row>
    <row r="570" ht="15.75" customHeight="1">
      <c r="A570" s="1004"/>
      <c r="B570" s="1004"/>
      <c r="C570" s="1005"/>
      <c r="D570" s="1005"/>
      <c r="E570" s="977"/>
      <c r="F570" s="1190"/>
      <c r="H570" s="1190"/>
      <c r="J570" s="1190"/>
      <c r="L570" s="1190"/>
      <c r="O570" s="1190"/>
      <c r="V570" s="1189"/>
      <c r="X570" s="1189"/>
      <c r="Z570" s="1190"/>
      <c r="AB570" s="1190"/>
      <c r="AH570" s="701"/>
      <c r="AJ570" s="701"/>
      <c r="BB570" s="1190"/>
      <c r="BD570" s="1190"/>
      <c r="BF570" s="1190"/>
      <c r="BH570" s="1190"/>
      <c r="BJ570" s="1190"/>
      <c r="BN570" s="206"/>
      <c r="BO570" s="206"/>
      <c r="BP570" s="206"/>
      <c r="BQ570" s="195"/>
      <c r="BR570" s="195"/>
      <c r="BS570" s="195"/>
      <c r="BT570" s="195"/>
      <c r="BU570" s="195"/>
    </row>
    <row r="571" ht="15.75" customHeight="1">
      <c r="A571" s="1004"/>
      <c r="B571" s="1004"/>
      <c r="C571" s="1005"/>
      <c r="D571" s="1005"/>
      <c r="E571" s="977"/>
      <c r="F571" s="1190"/>
      <c r="H571" s="1190"/>
      <c r="J571" s="1190"/>
      <c r="L571" s="1190"/>
      <c r="O571" s="1190"/>
      <c r="V571" s="1189"/>
      <c r="X571" s="1189"/>
      <c r="Z571" s="1190"/>
      <c r="AB571" s="1190"/>
      <c r="AH571" s="701"/>
      <c r="AJ571" s="701"/>
      <c r="BB571" s="1190"/>
      <c r="BD571" s="1190"/>
      <c r="BF571" s="1190"/>
      <c r="BH571" s="1190"/>
      <c r="BJ571" s="1190"/>
      <c r="BN571" s="206"/>
      <c r="BO571" s="206"/>
      <c r="BP571" s="206"/>
      <c r="BQ571" s="195"/>
      <c r="BR571" s="195"/>
      <c r="BS571" s="195"/>
      <c r="BT571" s="195"/>
      <c r="BU571" s="195"/>
    </row>
    <row r="572" ht="15.75" customHeight="1">
      <c r="A572" s="1004"/>
      <c r="B572" s="1004"/>
      <c r="C572" s="1005"/>
      <c r="D572" s="1005"/>
      <c r="E572" s="977"/>
      <c r="F572" s="1190"/>
      <c r="H572" s="1190"/>
      <c r="J572" s="1190"/>
      <c r="L572" s="1190"/>
      <c r="O572" s="1190"/>
      <c r="V572" s="1189"/>
      <c r="X572" s="1189"/>
      <c r="Z572" s="1190"/>
      <c r="AB572" s="1190"/>
      <c r="AH572" s="701"/>
      <c r="AJ572" s="701"/>
      <c r="BB572" s="1190"/>
      <c r="BD572" s="1190"/>
      <c r="BF572" s="1190"/>
      <c r="BH572" s="1190"/>
      <c r="BJ572" s="1190"/>
      <c r="BN572" s="206"/>
      <c r="BO572" s="206"/>
      <c r="BP572" s="206"/>
      <c r="BQ572" s="195"/>
      <c r="BR572" s="195"/>
      <c r="BS572" s="195"/>
      <c r="BT572" s="195"/>
      <c r="BU572" s="195"/>
    </row>
    <row r="573" ht="15.75" customHeight="1">
      <c r="A573" s="1004"/>
      <c r="B573" s="1004"/>
      <c r="C573" s="1005"/>
      <c r="D573" s="1005"/>
      <c r="E573" s="977"/>
      <c r="F573" s="1190"/>
      <c r="H573" s="1190"/>
      <c r="J573" s="1190"/>
      <c r="L573" s="1190"/>
      <c r="O573" s="1190"/>
      <c r="V573" s="1189"/>
      <c r="X573" s="1189"/>
      <c r="Z573" s="1190"/>
      <c r="AB573" s="1190"/>
      <c r="AH573" s="701"/>
      <c r="AJ573" s="701"/>
      <c r="BB573" s="1190"/>
      <c r="BD573" s="1190"/>
      <c r="BF573" s="1190"/>
      <c r="BH573" s="1190"/>
      <c r="BJ573" s="1190"/>
      <c r="BN573" s="206"/>
      <c r="BO573" s="206"/>
      <c r="BP573" s="206"/>
      <c r="BQ573" s="195"/>
      <c r="BR573" s="195"/>
      <c r="BS573" s="195"/>
      <c r="BT573" s="195"/>
      <c r="BU573" s="195"/>
    </row>
    <row r="574" ht="15.75" customHeight="1">
      <c r="A574" s="1004"/>
      <c r="B574" s="1004"/>
      <c r="C574" s="1005"/>
      <c r="D574" s="1005"/>
      <c r="E574" s="977"/>
      <c r="F574" s="1190"/>
      <c r="H574" s="1190"/>
      <c r="J574" s="1190"/>
      <c r="L574" s="1190"/>
      <c r="O574" s="1190"/>
      <c r="V574" s="1189"/>
      <c r="X574" s="1189"/>
      <c r="Z574" s="1190"/>
      <c r="AB574" s="1190"/>
      <c r="AH574" s="701"/>
      <c r="AJ574" s="701"/>
      <c r="BB574" s="1190"/>
      <c r="BD574" s="1190"/>
      <c r="BF574" s="1190"/>
      <c r="BH574" s="1190"/>
      <c r="BJ574" s="1190"/>
      <c r="BN574" s="206"/>
      <c r="BO574" s="206"/>
      <c r="BP574" s="206"/>
      <c r="BQ574" s="195"/>
      <c r="BR574" s="195"/>
      <c r="BS574" s="195"/>
      <c r="BT574" s="195"/>
      <c r="BU574" s="195"/>
    </row>
    <row r="575" ht="15.75" customHeight="1">
      <c r="A575" s="1004"/>
      <c r="B575" s="1004"/>
      <c r="C575" s="1005"/>
      <c r="D575" s="1005"/>
      <c r="E575" s="977"/>
      <c r="F575" s="1190"/>
      <c r="H575" s="1190"/>
      <c r="J575" s="1190"/>
      <c r="L575" s="1190"/>
      <c r="O575" s="1190"/>
      <c r="V575" s="1189"/>
      <c r="X575" s="1189"/>
      <c r="Z575" s="1190"/>
      <c r="AB575" s="1190"/>
      <c r="AH575" s="701"/>
      <c r="AJ575" s="701"/>
      <c r="BB575" s="1190"/>
      <c r="BD575" s="1190"/>
      <c r="BF575" s="1190"/>
      <c r="BH575" s="1190"/>
      <c r="BJ575" s="1190"/>
      <c r="BN575" s="206"/>
      <c r="BO575" s="206"/>
      <c r="BP575" s="206"/>
      <c r="BQ575" s="195"/>
      <c r="BR575" s="195"/>
      <c r="BS575" s="195"/>
      <c r="BT575" s="195"/>
      <c r="BU575" s="195"/>
    </row>
    <row r="576" ht="15.75" customHeight="1">
      <c r="A576" s="1004"/>
      <c r="B576" s="1004"/>
      <c r="C576" s="1005"/>
      <c r="D576" s="1005"/>
      <c r="E576" s="977"/>
      <c r="F576" s="1190"/>
      <c r="H576" s="1190"/>
      <c r="J576" s="1190"/>
      <c r="L576" s="1190"/>
      <c r="O576" s="1190"/>
      <c r="V576" s="1189"/>
      <c r="X576" s="1189"/>
      <c r="Z576" s="1190"/>
      <c r="AB576" s="1190"/>
      <c r="AH576" s="701"/>
      <c r="AJ576" s="701"/>
      <c r="BB576" s="1190"/>
      <c r="BD576" s="1190"/>
      <c r="BF576" s="1190"/>
      <c r="BH576" s="1190"/>
      <c r="BJ576" s="1190"/>
      <c r="BN576" s="206"/>
      <c r="BO576" s="206"/>
      <c r="BP576" s="206"/>
      <c r="BQ576" s="195"/>
      <c r="BR576" s="195"/>
      <c r="BS576" s="195"/>
      <c r="BT576" s="195"/>
      <c r="BU576" s="195"/>
    </row>
    <row r="577" ht="15.75" customHeight="1">
      <c r="A577" s="1004"/>
      <c r="B577" s="1004"/>
      <c r="C577" s="1005"/>
      <c r="D577" s="1005"/>
      <c r="E577" s="977"/>
      <c r="F577" s="1190"/>
      <c r="H577" s="1190"/>
      <c r="J577" s="1190"/>
      <c r="L577" s="1190"/>
      <c r="O577" s="1190"/>
      <c r="V577" s="1189"/>
      <c r="X577" s="1189"/>
      <c r="Z577" s="1190"/>
      <c r="AB577" s="1190"/>
      <c r="AH577" s="701"/>
      <c r="AJ577" s="701"/>
      <c r="BB577" s="1190"/>
      <c r="BD577" s="1190"/>
      <c r="BF577" s="1190"/>
      <c r="BH577" s="1190"/>
      <c r="BJ577" s="1190"/>
      <c r="BN577" s="206"/>
      <c r="BO577" s="206"/>
      <c r="BP577" s="206"/>
      <c r="BQ577" s="195"/>
      <c r="BR577" s="195"/>
      <c r="BS577" s="195"/>
      <c r="BT577" s="195"/>
      <c r="BU577" s="195"/>
    </row>
    <row r="578" ht="15.75" customHeight="1">
      <c r="A578" s="1004"/>
      <c r="B578" s="1004"/>
      <c r="C578" s="1005"/>
      <c r="D578" s="1005"/>
      <c r="E578" s="977"/>
      <c r="F578" s="1190"/>
      <c r="H578" s="1190"/>
      <c r="J578" s="1190"/>
      <c r="L578" s="1190"/>
      <c r="O578" s="1190"/>
      <c r="V578" s="1189"/>
      <c r="X578" s="1189"/>
      <c r="Z578" s="1190"/>
      <c r="AB578" s="1190"/>
      <c r="AH578" s="701"/>
      <c r="AJ578" s="701"/>
      <c r="BB578" s="1190"/>
      <c r="BD578" s="1190"/>
      <c r="BF578" s="1190"/>
      <c r="BH578" s="1190"/>
      <c r="BJ578" s="1190"/>
      <c r="BN578" s="206"/>
      <c r="BO578" s="206"/>
      <c r="BP578" s="206"/>
      <c r="BQ578" s="195"/>
      <c r="BR578" s="195"/>
      <c r="BS578" s="195"/>
      <c r="BT578" s="195"/>
      <c r="BU578" s="195"/>
    </row>
    <row r="579" ht="15.75" customHeight="1">
      <c r="A579" s="1004"/>
      <c r="B579" s="1004"/>
      <c r="C579" s="1005"/>
      <c r="D579" s="1005"/>
      <c r="E579" s="977"/>
      <c r="F579" s="1190"/>
      <c r="H579" s="1190"/>
      <c r="J579" s="1190"/>
      <c r="L579" s="1190"/>
      <c r="O579" s="1190"/>
      <c r="V579" s="1189"/>
      <c r="X579" s="1189"/>
      <c r="Z579" s="1190"/>
      <c r="AB579" s="1190"/>
      <c r="AH579" s="701"/>
      <c r="AJ579" s="701"/>
      <c r="BB579" s="1190"/>
      <c r="BD579" s="1190"/>
      <c r="BF579" s="1190"/>
      <c r="BH579" s="1190"/>
      <c r="BJ579" s="1190"/>
      <c r="BN579" s="206"/>
      <c r="BO579" s="206"/>
      <c r="BP579" s="206"/>
      <c r="BQ579" s="195"/>
      <c r="BR579" s="195"/>
      <c r="BS579" s="195"/>
      <c r="BT579" s="195"/>
      <c r="BU579" s="195"/>
    </row>
    <row r="580" ht="15.75" customHeight="1">
      <c r="A580" s="1004"/>
      <c r="B580" s="1004"/>
      <c r="C580" s="1005"/>
      <c r="D580" s="1005"/>
      <c r="E580" s="977"/>
      <c r="F580" s="1190"/>
      <c r="H580" s="1190"/>
      <c r="J580" s="1190"/>
      <c r="L580" s="1190"/>
      <c r="O580" s="1190"/>
      <c r="V580" s="1189"/>
      <c r="X580" s="1189"/>
      <c r="Z580" s="1190"/>
      <c r="AB580" s="1190"/>
      <c r="AH580" s="701"/>
      <c r="AJ580" s="701"/>
      <c r="BB580" s="1190"/>
      <c r="BD580" s="1190"/>
      <c r="BF580" s="1190"/>
      <c r="BH580" s="1190"/>
      <c r="BJ580" s="1190"/>
      <c r="BN580" s="206"/>
      <c r="BO580" s="206"/>
      <c r="BP580" s="206"/>
      <c r="BQ580" s="195"/>
      <c r="BR580" s="195"/>
      <c r="BS580" s="195"/>
      <c r="BT580" s="195"/>
      <c r="BU580" s="195"/>
    </row>
    <row r="581" ht="15.75" customHeight="1">
      <c r="A581" s="1004"/>
      <c r="B581" s="1004"/>
      <c r="C581" s="1005"/>
      <c r="D581" s="1005"/>
      <c r="E581" s="977"/>
      <c r="F581" s="1190"/>
      <c r="H581" s="1190"/>
      <c r="J581" s="1190"/>
      <c r="L581" s="1190"/>
      <c r="O581" s="1190"/>
      <c r="V581" s="1189"/>
      <c r="X581" s="1189"/>
      <c r="Z581" s="1190"/>
      <c r="AB581" s="1190"/>
      <c r="AH581" s="701"/>
      <c r="AJ581" s="701"/>
      <c r="BB581" s="1190"/>
      <c r="BD581" s="1190"/>
      <c r="BF581" s="1190"/>
      <c r="BH581" s="1190"/>
      <c r="BJ581" s="1190"/>
      <c r="BN581" s="206"/>
      <c r="BO581" s="206"/>
      <c r="BP581" s="206"/>
      <c r="BQ581" s="195"/>
      <c r="BR581" s="195"/>
      <c r="BS581" s="195"/>
      <c r="BT581" s="195"/>
      <c r="BU581" s="195"/>
    </row>
    <row r="582" ht="15.75" customHeight="1">
      <c r="A582" s="1004"/>
      <c r="B582" s="1004"/>
      <c r="C582" s="1005"/>
      <c r="D582" s="1005"/>
      <c r="E582" s="977"/>
      <c r="F582" s="1190"/>
      <c r="H582" s="1190"/>
      <c r="J582" s="1190"/>
      <c r="L582" s="1190"/>
      <c r="O582" s="1190"/>
      <c r="V582" s="1189"/>
      <c r="X582" s="1189"/>
      <c r="Z582" s="1190"/>
      <c r="AB582" s="1190"/>
      <c r="AH582" s="701"/>
      <c r="AJ582" s="701"/>
      <c r="BB582" s="1190"/>
      <c r="BD582" s="1190"/>
      <c r="BF582" s="1190"/>
      <c r="BH582" s="1190"/>
      <c r="BJ582" s="1190"/>
      <c r="BN582" s="206"/>
      <c r="BO582" s="206"/>
      <c r="BP582" s="206"/>
      <c r="BQ582" s="195"/>
      <c r="BR582" s="195"/>
      <c r="BS582" s="195"/>
      <c r="BT582" s="195"/>
      <c r="BU582" s="195"/>
    </row>
    <row r="583" ht="15.75" customHeight="1">
      <c r="A583" s="1004"/>
      <c r="B583" s="1004"/>
      <c r="C583" s="1005"/>
      <c r="D583" s="1005"/>
      <c r="E583" s="977"/>
      <c r="F583" s="1190"/>
      <c r="H583" s="1190"/>
      <c r="J583" s="1190"/>
      <c r="L583" s="1190"/>
      <c r="O583" s="1190"/>
      <c r="V583" s="1189"/>
      <c r="X583" s="1189"/>
      <c r="Z583" s="1190"/>
      <c r="AB583" s="1190"/>
      <c r="AH583" s="701"/>
      <c r="AJ583" s="701"/>
      <c r="BB583" s="1190"/>
      <c r="BD583" s="1190"/>
      <c r="BF583" s="1190"/>
      <c r="BH583" s="1190"/>
      <c r="BJ583" s="1190"/>
      <c r="BN583" s="206"/>
      <c r="BO583" s="206"/>
      <c r="BP583" s="206"/>
      <c r="BQ583" s="195"/>
      <c r="BR583" s="195"/>
      <c r="BS583" s="195"/>
      <c r="BT583" s="195"/>
      <c r="BU583" s="195"/>
    </row>
    <row r="584" ht="15.75" customHeight="1">
      <c r="A584" s="1004"/>
      <c r="B584" s="1004"/>
      <c r="C584" s="1005"/>
      <c r="D584" s="1005"/>
      <c r="E584" s="977"/>
      <c r="F584" s="1190"/>
      <c r="H584" s="1190"/>
      <c r="J584" s="1190"/>
      <c r="L584" s="1190"/>
      <c r="O584" s="1190"/>
      <c r="V584" s="1189"/>
      <c r="X584" s="1189"/>
      <c r="Z584" s="1190"/>
      <c r="AB584" s="1190"/>
      <c r="AH584" s="701"/>
      <c r="AJ584" s="701"/>
      <c r="BB584" s="1190"/>
      <c r="BD584" s="1190"/>
      <c r="BF584" s="1190"/>
      <c r="BH584" s="1190"/>
      <c r="BJ584" s="1190"/>
      <c r="BN584" s="206"/>
      <c r="BO584" s="206"/>
      <c r="BP584" s="206"/>
      <c r="BQ584" s="195"/>
      <c r="BR584" s="195"/>
      <c r="BS584" s="195"/>
      <c r="BT584" s="195"/>
      <c r="BU584" s="195"/>
    </row>
    <row r="585" ht="15.75" customHeight="1">
      <c r="A585" s="1004"/>
      <c r="B585" s="1004"/>
      <c r="C585" s="1005"/>
      <c r="D585" s="1005"/>
      <c r="E585" s="977"/>
      <c r="F585" s="1190"/>
      <c r="H585" s="1190"/>
      <c r="J585" s="1190"/>
      <c r="L585" s="1190"/>
      <c r="O585" s="1190"/>
      <c r="V585" s="1189"/>
      <c r="X585" s="1189"/>
      <c r="Z585" s="1190"/>
      <c r="AB585" s="1190"/>
      <c r="AH585" s="701"/>
      <c r="AJ585" s="701"/>
      <c r="BB585" s="1190"/>
      <c r="BD585" s="1190"/>
      <c r="BF585" s="1190"/>
      <c r="BH585" s="1190"/>
      <c r="BJ585" s="1190"/>
      <c r="BN585" s="206"/>
      <c r="BO585" s="206"/>
      <c r="BP585" s="206"/>
      <c r="BQ585" s="195"/>
      <c r="BR585" s="195"/>
      <c r="BS585" s="195"/>
      <c r="BT585" s="195"/>
      <c r="BU585" s="195"/>
    </row>
    <row r="586" ht="15.75" customHeight="1">
      <c r="A586" s="1004"/>
      <c r="B586" s="1004"/>
      <c r="C586" s="1005"/>
      <c r="D586" s="1005"/>
      <c r="E586" s="977"/>
      <c r="F586" s="1190"/>
      <c r="H586" s="1190"/>
      <c r="J586" s="1190"/>
      <c r="L586" s="1190"/>
      <c r="O586" s="1190"/>
      <c r="V586" s="1189"/>
      <c r="X586" s="1189"/>
      <c r="Z586" s="1190"/>
      <c r="AB586" s="1190"/>
      <c r="AH586" s="701"/>
      <c r="AJ586" s="701"/>
      <c r="BB586" s="1190"/>
      <c r="BD586" s="1190"/>
      <c r="BF586" s="1190"/>
      <c r="BH586" s="1190"/>
      <c r="BJ586" s="1190"/>
      <c r="BN586" s="206"/>
      <c r="BO586" s="206"/>
      <c r="BP586" s="206"/>
      <c r="BQ586" s="195"/>
      <c r="BR586" s="195"/>
      <c r="BS586" s="195"/>
      <c r="BT586" s="195"/>
      <c r="BU586" s="195"/>
    </row>
    <row r="587" ht="15.75" customHeight="1">
      <c r="A587" s="1004"/>
      <c r="B587" s="1004"/>
      <c r="C587" s="1005"/>
      <c r="D587" s="1005"/>
      <c r="E587" s="977"/>
      <c r="F587" s="1190"/>
      <c r="H587" s="1190"/>
      <c r="J587" s="1190"/>
      <c r="L587" s="1190"/>
      <c r="O587" s="1190"/>
      <c r="V587" s="1189"/>
      <c r="X587" s="1189"/>
      <c r="Z587" s="1190"/>
      <c r="AB587" s="1190"/>
      <c r="AH587" s="701"/>
      <c r="AJ587" s="701"/>
      <c r="BB587" s="1190"/>
      <c r="BD587" s="1190"/>
      <c r="BF587" s="1190"/>
      <c r="BH587" s="1190"/>
      <c r="BJ587" s="1190"/>
      <c r="BN587" s="206"/>
      <c r="BO587" s="206"/>
      <c r="BP587" s="206"/>
      <c r="BQ587" s="195"/>
      <c r="BR587" s="195"/>
      <c r="BS587" s="195"/>
      <c r="BT587" s="195"/>
      <c r="BU587" s="195"/>
    </row>
    <row r="588" ht="15.75" customHeight="1">
      <c r="A588" s="1004"/>
      <c r="B588" s="1004"/>
      <c r="C588" s="1005"/>
      <c r="D588" s="1005"/>
      <c r="E588" s="977"/>
      <c r="F588" s="1190"/>
      <c r="H588" s="1190"/>
      <c r="J588" s="1190"/>
      <c r="L588" s="1190"/>
      <c r="O588" s="1190"/>
      <c r="V588" s="1189"/>
      <c r="X588" s="1189"/>
      <c r="Z588" s="1190"/>
      <c r="AB588" s="1190"/>
      <c r="AH588" s="701"/>
      <c r="AJ588" s="701"/>
      <c r="BB588" s="1190"/>
      <c r="BD588" s="1190"/>
      <c r="BF588" s="1190"/>
      <c r="BH588" s="1190"/>
      <c r="BJ588" s="1190"/>
      <c r="BN588" s="206"/>
      <c r="BO588" s="206"/>
      <c r="BP588" s="206"/>
      <c r="BQ588" s="195"/>
      <c r="BR588" s="195"/>
      <c r="BS588" s="195"/>
      <c r="BT588" s="195"/>
      <c r="BU588" s="195"/>
    </row>
    <row r="589" ht="15.75" customHeight="1">
      <c r="A589" s="1004"/>
      <c r="B589" s="1004"/>
      <c r="C589" s="1005"/>
      <c r="D589" s="1005"/>
      <c r="E589" s="977"/>
      <c r="F589" s="1190"/>
      <c r="H589" s="1190"/>
      <c r="J589" s="1190"/>
      <c r="L589" s="1190"/>
      <c r="O589" s="1190"/>
      <c r="V589" s="1189"/>
      <c r="X589" s="1189"/>
      <c r="Z589" s="1190"/>
      <c r="AB589" s="1190"/>
      <c r="AH589" s="701"/>
      <c r="AJ589" s="701"/>
      <c r="BB589" s="1190"/>
      <c r="BD589" s="1190"/>
      <c r="BF589" s="1190"/>
      <c r="BH589" s="1190"/>
      <c r="BJ589" s="1190"/>
      <c r="BN589" s="206"/>
      <c r="BO589" s="206"/>
      <c r="BP589" s="206"/>
      <c r="BQ589" s="195"/>
      <c r="BR589" s="195"/>
      <c r="BS589" s="195"/>
      <c r="BT589" s="195"/>
      <c r="BU589" s="195"/>
    </row>
    <row r="590" ht="15.75" customHeight="1">
      <c r="A590" s="1004"/>
      <c r="B590" s="1004"/>
      <c r="C590" s="1005"/>
      <c r="D590" s="1005"/>
      <c r="E590" s="977"/>
      <c r="F590" s="1190"/>
      <c r="H590" s="1190"/>
      <c r="J590" s="1190"/>
      <c r="L590" s="1190"/>
      <c r="O590" s="1190"/>
      <c r="V590" s="1189"/>
      <c r="X590" s="1189"/>
      <c r="Z590" s="1190"/>
      <c r="AB590" s="1190"/>
      <c r="AH590" s="701"/>
      <c r="AJ590" s="701"/>
      <c r="BB590" s="1190"/>
      <c r="BD590" s="1190"/>
      <c r="BF590" s="1190"/>
      <c r="BH590" s="1190"/>
      <c r="BJ590" s="1190"/>
      <c r="BN590" s="206"/>
      <c r="BO590" s="206"/>
      <c r="BP590" s="206"/>
      <c r="BQ590" s="195"/>
      <c r="BR590" s="195"/>
      <c r="BS590" s="195"/>
      <c r="BT590" s="195"/>
      <c r="BU590" s="195"/>
    </row>
    <row r="591" ht="15.75" customHeight="1">
      <c r="A591" s="1004"/>
      <c r="B591" s="1004"/>
      <c r="C591" s="1005"/>
      <c r="D591" s="1005"/>
      <c r="E591" s="977"/>
      <c r="F591" s="1190"/>
      <c r="H591" s="1190"/>
      <c r="J591" s="1190"/>
      <c r="L591" s="1190"/>
      <c r="O591" s="1190"/>
      <c r="V591" s="1189"/>
      <c r="X591" s="1189"/>
      <c r="Z591" s="1190"/>
      <c r="AB591" s="1190"/>
      <c r="AH591" s="701"/>
      <c r="AJ591" s="701"/>
      <c r="BB591" s="1190"/>
      <c r="BD591" s="1190"/>
      <c r="BF591" s="1190"/>
      <c r="BH591" s="1190"/>
      <c r="BJ591" s="1190"/>
      <c r="BN591" s="206"/>
      <c r="BO591" s="206"/>
      <c r="BP591" s="206"/>
      <c r="BQ591" s="195"/>
      <c r="BR591" s="195"/>
      <c r="BS591" s="195"/>
      <c r="BT591" s="195"/>
      <c r="BU591" s="195"/>
    </row>
    <row r="592" ht="15.75" customHeight="1">
      <c r="A592" s="1004"/>
      <c r="B592" s="1004"/>
      <c r="C592" s="1005"/>
      <c r="D592" s="1005"/>
      <c r="E592" s="977"/>
      <c r="F592" s="1190"/>
      <c r="H592" s="1190"/>
      <c r="J592" s="1190"/>
      <c r="L592" s="1190"/>
      <c r="O592" s="1190"/>
      <c r="V592" s="1189"/>
      <c r="X592" s="1189"/>
      <c r="Z592" s="1190"/>
      <c r="AB592" s="1190"/>
      <c r="AH592" s="701"/>
      <c r="AJ592" s="701"/>
      <c r="BB592" s="1190"/>
      <c r="BD592" s="1190"/>
      <c r="BF592" s="1190"/>
      <c r="BH592" s="1190"/>
      <c r="BJ592" s="1190"/>
      <c r="BN592" s="206"/>
      <c r="BO592" s="206"/>
      <c r="BP592" s="206"/>
      <c r="BQ592" s="195"/>
      <c r="BR592" s="195"/>
      <c r="BS592" s="195"/>
      <c r="BT592" s="195"/>
      <c r="BU592" s="195"/>
    </row>
    <row r="593" ht="15.75" customHeight="1">
      <c r="A593" s="1004"/>
      <c r="B593" s="1004"/>
      <c r="C593" s="1005"/>
      <c r="D593" s="1005"/>
      <c r="E593" s="977"/>
      <c r="F593" s="1190"/>
      <c r="H593" s="1190"/>
      <c r="J593" s="1190"/>
      <c r="L593" s="1190"/>
      <c r="O593" s="1190"/>
      <c r="V593" s="1189"/>
      <c r="X593" s="1189"/>
      <c r="Z593" s="1190"/>
      <c r="AB593" s="1190"/>
      <c r="AH593" s="701"/>
      <c r="AJ593" s="701"/>
      <c r="BB593" s="1190"/>
      <c r="BD593" s="1190"/>
      <c r="BF593" s="1190"/>
      <c r="BH593" s="1190"/>
      <c r="BJ593" s="1190"/>
      <c r="BN593" s="206"/>
      <c r="BO593" s="206"/>
      <c r="BP593" s="206"/>
      <c r="BQ593" s="195"/>
      <c r="BR593" s="195"/>
      <c r="BS593" s="195"/>
      <c r="BT593" s="195"/>
      <c r="BU593" s="195"/>
    </row>
    <row r="594" ht="15.75" customHeight="1">
      <c r="A594" s="1004"/>
      <c r="B594" s="1004"/>
      <c r="C594" s="1005"/>
      <c r="D594" s="1005"/>
      <c r="E594" s="977"/>
      <c r="F594" s="1190"/>
      <c r="H594" s="1190"/>
      <c r="J594" s="1190"/>
      <c r="L594" s="1190"/>
      <c r="O594" s="1190"/>
      <c r="V594" s="1189"/>
      <c r="X594" s="1189"/>
      <c r="Z594" s="1190"/>
      <c r="AB594" s="1190"/>
      <c r="AH594" s="701"/>
      <c r="AJ594" s="701"/>
      <c r="BB594" s="1190"/>
      <c r="BD594" s="1190"/>
      <c r="BF594" s="1190"/>
      <c r="BH594" s="1190"/>
      <c r="BJ594" s="1190"/>
      <c r="BN594" s="206"/>
      <c r="BO594" s="206"/>
      <c r="BP594" s="206"/>
      <c r="BQ594" s="195"/>
      <c r="BR594" s="195"/>
      <c r="BS594" s="195"/>
      <c r="BT594" s="195"/>
      <c r="BU594" s="195"/>
    </row>
    <row r="595" ht="15.75" customHeight="1">
      <c r="A595" s="1004"/>
      <c r="B595" s="1004"/>
      <c r="C595" s="1005"/>
      <c r="D595" s="1005"/>
      <c r="E595" s="977"/>
      <c r="F595" s="1190"/>
      <c r="H595" s="1190"/>
      <c r="J595" s="1190"/>
      <c r="L595" s="1190"/>
      <c r="O595" s="1190"/>
      <c r="V595" s="1189"/>
      <c r="X595" s="1189"/>
      <c r="Z595" s="1190"/>
      <c r="AB595" s="1190"/>
      <c r="AH595" s="701"/>
      <c r="AJ595" s="701"/>
      <c r="BB595" s="1190"/>
      <c r="BD595" s="1190"/>
      <c r="BF595" s="1190"/>
      <c r="BH595" s="1190"/>
      <c r="BJ595" s="1190"/>
      <c r="BN595" s="206"/>
      <c r="BO595" s="206"/>
      <c r="BP595" s="206"/>
      <c r="BQ595" s="195"/>
      <c r="BR595" s="195"/>
      <c r="BS595" s="195"/>
      <c r="BT595" s="195"/>
      <c r="BU595" s="195"/>
    </row>
    <row r="596" ht="15.75" customHeight="1">
      <c r="A596" s="1004"/>
      <c r="B596" s="1004"/>
      <c r="C596" s="1005"/>
      <c r="D596" s="1005"/>
      <c r="E596" s="977"/>
      <c r="F596" s="1190"/>
      <c r="H596" s="1190"/>
      <c r="J596" s="1190"/>
      <c r="L596" s="1190"/>
      <c r="O596" s="1190"/>
      <c r="V596" s="1189"/>
      <c r="X596" s="1189"/>
      <c r="Z596" s="1190"/>
      <c r="AB596" s="1190"/>
      <c r="AH596" s="701"/>
      <c r="AJ596" s="701"/>
      <c r="BB596" s="1190"/>
      <c r="BD596" s="1190"/>
      <c r="BF596" s="1190"/>
      <c r="BH596" s="1190"/>
      <c r="BJ596" s="1190"/>
      <c r="BN596" s="206"/>
      <c r="BO596" s="206"/>
      <c r="BP596" s="206"/>
      <c r="BQ596" s="195"/>
      <c r="BR596" s="195"/>
      <c r="BS596" s="195"/>
      <c r="BT596" s="195"/>
      <c r="BU596" s="195"/>
    </row>
    <row r="597" ht="15.75" customHeight="1">
      <c r="A597" s="1004"/>
      <c r="B597" s="1004"/>
      <c r="C597" s="1005"/>
      <c r="D597" s="1005"/>
      <c r="E597" s="977"/>
      <c r="F597" s="1190"/>
      <c r="H597" s="1190"/>
      <c r="J597" s="1190"/>
      <c r="L597" s="1190"/>
      <c r="O597" s="1190"/>
      <c r="V597" s="1189"/>
      <c r="X597" s="1189"/>
      <c r="Z597" s="1190"/>
      <c r="AB597" s="1190"/>
      <c r="AH597" s="701"/>
      <c r="AJ597" s="701"/>
      <c r="BB597" s="1190"/>
      <c r="BD597" s="1190"/>
      <c r="BF597" s="1190"/>
      <c r="BH597" s="1190"/>
      <c r="BJ597" s="1190"/>
      <c r="BN597" s="206"/>
      <c r="BO597" s="206"/>
      <c r="BP597" s="206"/>
      <c r="BQ597" s="195"/>
      <c r="BR597" s="195"/>
      <c r="BS597" s="195"/>
      <c r="BT597" s="195"/>
      <c r="BU597" s="195"/>
    </row>
    <row r="598" ht="15.75" customHeight="1">
      <c r="A598" s="1004"/>
      <c r="B598" s="1004"/>
      <c r="C598" s="1005"/>
      <c r="D598" s="1005"/>
      <c r="E598" s="977"/>
      <c r="F598" s="1190"/>
      <c r="H598" s="1190"/>
      <c r="J598" s="1190"/>
      <c r="L598" s="1190"/>
      <c r="O598" s="1190"/>
      <c r="V598" s="1189"/>
      <c r="X598" s="1189"/>
      <c r="Z598" s="1190"/>
      <c r="AB598" s="1190"/>
      <c r="AH598" s="701"/>
      <c r="AJ598" s="701"/>
      <c r="BB598" s="1190"/>
      <c r="BD598" s="1190"/>
      <c r="BF598" s="1190"/>
      <c r="BH598" s="1190"/>
      <c r="BJ598" s="1190"/>
      <c r="BN598" s="206"/>
      <c r="BO598" s="206"/>
      <c r="BP598" s="206"/>
      <c r="BQ598" s="195"/>
      <c r="BR598" s="195"/>
      <c r="BS598" s="195"/>
      <c r="BT598" s="195"/>
      <c r="BU598" s="195"/>
    </row>
    <row r="599" ht="15.75" customHeight="1">
      <c r="A599" s="1004"/>
      <c r="B599" s="1004"/>
      <c r="C599" s="1005"/>
      <c r="D599" s="1005"/>
      <c r="E599" s="977"/>
      <c r="F599" s="1190"/>
      <c r="H599" s="1190"/>
      <c r="J599" s="1190"/>
      <c r="L599" s="1190"/>
      <c r="O599" s="1190"/>
      <c r="V599" s="1189"/>
      <c r="X599" s="1189"/>
      <c r="Z599" s="1190"/>
      <c r="AB599" s="1190"/>
      <c r="AH599" s="701"/>
      <c r="AJ599" s="701"/>
      <c r="BB599" s="1190"/>
      <c r="BD599" s="1190"/>
      <c r="BF599" s="1190"/>
      <c r="BH599" s="1190"/>
      <c r="BJ599" s="1190"/>
      <c r="BN599" s="206"/>
      <c r="BO599" s="206"/>
      <c r="BP599" s="206"/>
      <c r="BQ599" s="195"/>
      <c r="BR599" s="195"/>
      <c r="BS599" s="195"/>
      <c r="BT599" s="195"/>
      <c r="BU599" s="195"/>
    </row>
    <row r="600" ht="15.75" customHeight="1">
      <c r="A600" s="1004"/>
      <c r="B600" s="1004"/>
      <c r="C600" s="1005"/>
      <c r="D600" s="1005"/>
      <c r="E600" s="977"/>
      <c r="F600" s="1190"/>
      <c r="H600" s="1190"/>
      <c r="J600" s="1190"/>
      <c r="L600" s="1190"/>
      <c r="O600" s="1190"/>
      <c r="V600" s="1189"/>
      <c r="X600" s="1189"/>
      <c r="Z600" s="1190"/>
      <c r="AB600" s="1190"/>
      <c r="AH600" s="701"/>
      <c r="AJ600" s="701"/>
      <c r="BB600" s="1190"/>
      <c r="BD600" s="1190"/>
      <c r="BF600" s="1190"/>
      <c r="BH600" s="1190"/>
      <c r="BJ600" s="1190"/>
      <c r="BN600" s="206"/>
      <c r="BO600" s="206"/>
      <c r="BP600" s="206"/>
      <c r="BQ600" s="195"/>
      <c r="BR600" s="195"/>
      <c r="BS600" s="195"/>
      <c r="BT600" s="195"/>
      <c r="BU600" s="195"/>
    </row>
    <row r="601" ht="15.75" customHeight="1">
      <c r="A601" s="1004"/>
      <c r="B601" s="1004"/>
      <c r="C601" s="1005"/>
      <c r="D601" s="1005"/>
      <c r="E601" s="977"/>
      <c r="F601" s="1190"/>
      <c r="H601" s="1190"/>
      <c r="J601" s="1190"/>
      <c r="L601" s="1190"/>
      <c r="O601" s="1190"/>
      <c r="V601" s="1189"/>
      <c r="X601" s="1189"/>
      <c r="Z601" s="1190"/>
      <c r="AB601" s="1190"/>
      <c r="AH601" s="701"/>
      <c r="AJ601" s="701"/>
      <c r="BB601" s="1190"/>
      <c r="BD601" s="1190"/>
      <c r="BF601" s="1190"/>
      <c r="BH601" s="1190"/>
      <c r="BJ601" s="1190"/>
      <c r="BN601" s="206"/>
      <c r="BO601" s="206"/>
      <c r="BP601" s="206"/>
      <c r="BQ601" s="195"/>
      <c r="BR601" s="195"/>
      <c r="BS601" s="195"/>
      <c r="BT601" s="195"/>
      <c r="BU601" s="195"/>
    </row>
    <row r="602" ht="15.75" customHeight="1">
      <c r="A602" s="1004"/>
      <c r="B602" s="1004"/>
      <c r="C602" s="1005"/>
      <c r="D602" s="1005"/>
      <c r="E602" s="977"/>
      <c r="F602" s="1190"/>
      <c r="H602" s="1190"/>
      <c r="J602" s="1190"/>
      <c r="L602" s="1190"/>
      <c r="O602" s="1190"/>
      <c r="V602" s="1189"/>
      <c r="X602" s="1189"/>
      <c r="Z602" s="1190"/>
      <c r="AB602" s="1190"/>
      <c r="AH602" s="701"/>
      <c r="AJ602" s="701"/>
      <c r="BB602" s="1190"/>
      <c r="BD602" s="1190"/>
      <c r="BF602" s="1190"/>
      <c r="BH602" s="1190"/>
      <c r="BJ602" s="1190"/>
      <c r="BN602" s="206"/>
      <c r="BO602" s="206"/>
      <c r="BP602" s="206"/>
      <c r="BQ602" s="195"/>
      <c r="BR602" s="195"/>
      <c r="BS602" s="195"/>
      <c r="BT602" s="195"/>
      <c r="BU602" s="195"/>
    </row>
    <row r="603" ht="15.75" customHeight="1">
      <c r="A603" s="1004"/>
      <c r="B603" s="1004"/>
      <c r="C603" s="1005"/>
      <c r="D603" s="1005"/>
      <c r="E603" s="977"/>
      <c r="F603" s="1190"/>
      <c r="H603" s="1190"/>
      <c r="J603" s="1190"/>
      <c r="L603" s="1190"/>
      <c r="O603" s="1190"/>
      <c r="V603" s="1189"/>
      <c r="X603" s="1189"/>
      <c r="Z603" s="1190"/>
      <c r="AB603" s="1190"/>
      <c r="AH603" s="701"/>
      <c r="AJ603" s="701"/>
      <c r="BB603" s="1190"/>
      <c r="BD603" s="1190"/>
      <c r="BF603" s="1190"/>
      <c r="BH603" s="1190"/>
      <c r="BJ603" s="1190"/>
      <c r="BN603" s="206"/>
      <c r="BO603" s="206"/>
      <c r="BP603" s="206"/>
      <c r="BQ603" s="195"/>
      <c r="BR603" s="195"/>
      <c r="BS603" s="195"/>
      <c r="BT603" s="195"/>
      <c r="BU603" s="195"/>
    </row>
    <row r="604" ht="15.75" customHeight="1">
      <c r="A604" s="1004"/>
      <c r="B604" s="1004"/>
      <c r="C604" s="1005"/>
      <c r="D604" s="1005"/>
      <c r="E604" s="977"/>
      <c r="F604" s="1190"/>
      <c r="H604" s="1190"/>
      <c r="J604" s="1190"/>
      <c r="L604" s="1190"/>
      <c r="O604" s="1190"/>
      <c r="V604" s="1189"/>
      <c r="X604" s="1189"/>
      <c r="Z604" s="1190"/>
      <c r="AB604" s="1190"/>
      <c r="AH604" s="701"/>
      <c r="AJ604" s="701"/>
      <c r="BB604" s="1190"/>
      <c r="BD604" s="1190"/>
      <c r="BF604" s="1190"/>
      <c r="BH604" s="1190"/>
      <c r="BJ604" s="1190"/>
      <c r="BN604" s="206"/>
      <c r="BO604" s="206"/>
      <c r="BP604" s="206"/>
      <c r="BQ604" s="195"/>
      <c r="BR604" s="195"/>
      <c r="BS604" s="195"/>
      <c r="BT604" s="195"/>
      <c r="BU604" s="195"/>
    </row>
    <row r="605" ht="15.75" customHeight="1">
      <c r="A605" s="1004"/>
      <c r="B605" s="1004"/>
      <c r="C605" s="1005"/>
      <c r="D605" s="1005"/>
      <c r="E605" s="977"/>
      <c r="F605" s="1190"/>
      <c r="H605" s="1190"/>
      <c r="J605" s="1190"/>
      <c r="L605" s="1190"/>
      <c r="O605" s="1190"/>
      <c r="V605" s="1189"/>
      <c r="X605" s="1189"/>
      <c r="Z605" s="1190"/>
      <c r="AB605" s="1190"/>
      <c r="AH605" s="701"/>
      <c r="AJ605" s="701"/>
      <c r="BB605" s="1190"/>
      <c r="BD605" s="1190"/>
      <c r="BF605" s="1190"/>
      <c r="BH605" s="1190"/>
      <c r="BJ605" s="1190"/>
      <c r="BN605" s="206"/>
      <c r="BO605" s="206"/>
      <c r="BP605" s="206"/>
      <c r="BQ605" s="195"/>
      <c r="BR605" s="195"/>
      <c r="BS605" s="195"/>
      <c r="BT605" s="195"/>
      <c r="BU605" s="195"/>
    </row>
    <row r="606" ht="15.75" customHeight="1">
      <c r="A606" s="1004"/>
      <c r="B606" s="1004"/>
      <c r="C606" s="1005"/>
      <c r="D606" s="1005"/>
      <c r="E606" s="977"/>
      <c r="F606" s="1190"/>
      <c r="H606" s="1190"/>
      <c r="J606" s="1190"/>
      <c r="L606" s="1190"/>
      <c r="O606" s="1190"/>
      <c r="V606" s="1189"/>
      <c r="X606" s="1189"/>
      <c r="Z606" s="1190"/>
      <c r="AB606" s="1190"/>
      <c r="AH606" s="701"/>
      <c r="AJ606" s="701"/>
      <c r="BB606" s="1190"/>
      <c r="BD606" s="1190"/>
      <c r="BF606" s="1190"/>
      <c r="BH606" s="1190"/>
      <c r="BJ606" s="1190"/>
      <c r="BN606" s="206"/>
      <c r="BO606" s="206"/>
      <c r="BP606" s="206"/>
      <c r="BQ606" s="195"/>
      <c r="BR606" s="195"/>
      <c r="BS606" s="195"/>
      <c r="BT606" s="195"/>
      <c r="BU606" s="195"/>
    </row>
    <row r="607" ht="15.75" customHeight="1">
      <c r="A607" s="1004"/>
      <c r="B607" s="1004"/>
      <c r="C607" s="1005"/>
      <c r="D607" s="1005"/>
      <c r="E607" s="977"/>
      <c r="F607" s="1190"/>
      <c r="H607" s="1190"/>
      <c r="J607" s="1190"/>
      <c r="L607" s="1190"/>
      <c r="O607" s="1190"/>
      <c r="V607" s="1189"/>
      <c r="X607" s="1189"/>
      <c r="Z607" s="1190"/>
      <c r="AB607" s="1190"/>
      <c r="AH607" s="701"/>
      <c r="AJ607" s="701"/>
      <c r="BB607" s="1190"/>
      <c r="BD607" s="1190"/>
      <c r="BF607" s="1190"/>
      <c r="BH607" s="1190"/>
      <c r="BJ607" s="1190"/>
      <c r="BN607" s="206"/>
      <c r="BO607" s="206"/>
      <c r="BP607" s="206"/>
      <c r="BQ607" s="195"/>
      <c r="BR607" s="195"/>
      <c r="BS607" s="195"/>
      <c r="BT607" s="195"/>
      <c r="BU607" s="195"/>
    </row>
    <row r="608" ht="15.75" customHeight="1">
      <c r="A608" s="1004"/>
      <c r="B608" s="1004"/>
      <c r="C608" s="1005"/>
      <c r="D608" s="1005"/>
      <c r="E608" s="977"/>
      <c r="F608" s="1190"/>
      <c r="H608" s="1190"/>
      <c r="J608" s="1190"/>
      <c r="L608" s="1190"/>
      <c r="O608" s="1190"/>
      <c r="V608" s="1189"/>
      <c r="X608" s="1189"/>
      <c r="Z608" s="1190"/>
      <c r="AB608" s="1190"/>
      <c r="AH608" s="701"/>
      <c r="AJ608" s="701"/>
      <c r="BB608" s="1190"/>
      <c r="BD608" s="1190"/>
      <c r="BF608" s="1190"/>
      <c r="BH608" s="1190"/>
      <c r="BJ608" s="1190"/>
      <c r="BN608" s="206"/>
      <c r="BO608" s="206"/>
      <c r="BP608" s="206"/>
      <c r="BQ608" s="195"/>
      <c r="BR608" s="195"/>
      <c r="BS608" s="195"/>
      <c r="BT608" s="195"/>
      <c r="BU608" s="195"/>
    </row>
    <row r="609" ht="15.75" customHeight="1">
      <c r="A609" s="1004"/>
      <c r="B609" s="1004"/>
      <c r="C609" s="1005"/>
      <c r="D609" s="1005"/>
      <c r="E609" s="977"/>
      <c r="F609" s="1190"/>
      <c r="H609" s="1190"/>
      <c r="J609" s="1190"/>
      <c r="L609" s="1190"/>
      <c r="O609" s="1190"/>
      <c r="V609" s="1189"/>
      <c r="X609" s="1189"/>
      <c r="Z609" s="1190"/>
      <c r="AB609" s="1190"/>
      <c r="AH609" s="701"/>
      <c r="AJ609" s="701"/>
      <c r="BB609" s="1190"/>
      <c r="BD609" s="1190"/>
      <c r="BF609" s="1190"/>
      <c r="BH609" s="1190"/>
      <c r="BJ609" s="1190"/>
      <c r="BN609" s="206"/>
      <c r="BO609" s="206"/>
      <c r="BP609" s="206"/>
      <c r="BQ609" s="195"/>
      <c r="BR609" s="195"/>
      <c r="BS609" s="195"/>
      <c r="BT609" s="195"/>
      <c r="BU609" s="195"/>
    </row>
    <row r="610" ht="15.75" customHeight="1">
      <c r="A610" s="1004"/>
      <c r="B610" s="1004"/>
      <c r="C610" s="1005"/>
      <c r="D610" s="1005"/>
      <c r="E610" s="977"/>
      <c r="F610" s="1190"/>
      <c r="H610" s="1190"/>
      <c r="J610" s="1190"/>
      <c r="L610" s="1190"/>
      <c r="O610" s="1190"/>
      <c r="V610" s="1189"/>
      <c r="X610" s="1189"/>
      <c r="Z610" s="1190"/>
      <c r="AB610" s="1190"/>
      <c r="AH610" s="701"/>
      <c r="AJ610" s="701"/>
      <c r="BB610" s="1190"/>
      <c r="BD610" s="1190"/>
      <c r="BF610" s="1190"/>
      <c r="BH610" s="1190"/>
      <c r="BJ610" s="1190"/>
      <c r="BN610" s="206"/>
      <c r="BO610" s="206"/>
      <c r="BP610" s="206"/>
      <c r="BQ610" s="195"/>
      <c r="BR610" s="195"/>
      <c r="BS610" s="195"/>
      <c r="BT610" s="195"/>
      <c r="BU610" s="195"/>
    </row>
    <row r="611" ht="15.75" customHeight="1">
      <c r="A611" s="1004"/>
      <c r="B611" s="1004"/>
      <c r="C611" s="1005"/>
      <c r="D611" s="1005"/>
      <c r="E611" s="977"/>
      <c r="F611" s="1190"/>
      <c r="H611" s="1190"/>
      <c r="J611" s="1190"/>
      <c r="L611" s="1190"/>
      <c r="O611" s="1190"/>
      <c r="V611" s="1189"/>
      <c r="X611" s="1189"/>
      <c r="Z611" s="1190"/>
      <c r="AB611" s="1190"/>
      <c r="AH611" s="701"/>
      <c r="AJ611" s="701"/>
      <c r="BB611" s="1190"/>
      <c r="BD611" s="1190"/>
      <c r="BF611" s="1190"/>
      <c r="BH611" s="1190"/>
      <c r="BJ611" s="1190"/>
      <c r="BN611" s="206"/>
      <c r="BO611" s="206"/>
      <c r="BP611" s="206"/>
      <c r="BQ611" s="195"/>
      <c r="BR611" s="195"/>
      <c r="BS611" s="195"/>
      <c r="BT611" s="195"/>
      <c r="BU611" s="195"/>
    </row>
    <row r="612" ht="15.75" customHeight="1">
      <c r="A612" s="1004"/>
      <c r="B612" s="1004"/>
      <c r="C612" s="1005"/>
      <c r="D612" s="1005"/>
      <c r="E612" s="977"/>
      <c r="F612" s="1190"/>
      <c r="H612" s="1190"/>
      <c r="J612" s="1190"/>
      <c r="L612" s="1190"/>
      <c r="O612" s="1190"/>
      <c r="V612" s="1189"/>
      <c r="X612" s="1189"/>
      <c r="Z612" s="1190"/>
      <c r="AB612" s="1190"/>
      <c r="AH612" s="701"/>
      <c r="AJ612" s="701"/>
      <c r="BB612" s="1190"/>
      <c r="BD612" s="1190"/>
      <c r="BF612" s="1190"/>
      <c r="BH612" s="1190"/>
      <c r="BJ612" s="1190"/>
      <c r="BN612" s="206"/>
      <c r="BO612" s="206"/>
      <c r="BP612" s="206"/>
      <c r="BQ612" s="195"/>
      <c r="BR612" s="195"/>
      <c r="BS612" s="195"/>
      <c r="BT612" s="195"/>
      <c r="BU612" s="195"/>
    </row>
    <row r="613" ht="15.75" customHeight="1">
      <c r="A613" s="1004"/>
      <c r="B613" s="1004"/>
      <c r="C613" s="1005"/>
      <c r="D613" s="1005"/>
      <c r="E613" s="977"/>
      <c r="F613" s="1190"/>
      <c r="H613" s="1190"/>
      <c r="J613" s="1190"/>
      <c r="L613" s="1190"/>
      <c r="O613" s="1190"/>
      <c r="V613" s="1189"/>
      <c r="X613" s="1189"/>
      <c r="Z613" s="1190"/>
      <c r="AB613" s="1190"/>
      <c r="AH613" s="701"/>
      <c r="AJ613" s="701"/>
      <c r="BB613" s="1190"/>
      <c r="BD613" s="1190"/>
      <c r="BF613" s="1190"/>
      <c r="BH613" s="1190"/>
      <c r="BJ613" s="1190"/>
      <c r="BN613" s="206"/>
      <c r="BO613" s="206"/>
      <c r="BP613" s="206"/>
      <c r="BQ613" s="195"/>
      <c r="BR613" s="195"/>
      <c r="BS613" s="195"/>
      <c r="BT613" s="195"/>
      <c r="BU613" s="195"/>
    </row>
    <row r="614" ht="15.75" customHeight="1">
      <c r="A614" s="1004"/>
      <c r="B614" s="1004"/>
      <c r="C614" s="1005"/>
      <c r="D614" s="1005"/>
      <c r="E614" s="977"/>
      <c r="F614" s="1190"/>
      <c r="H614" s="1190"/>
      <c r="J614" s="1190"/>
      <c r="L614" s="1190"/>
      <c r="O614" s="1190"/>
      <c r="V614" s="1189"/>
      <c r="X614" s="1189"/>
      <c r="Z614" s="1190"/>
      <c r="AB614" s="1190"/>
      <c r="AH614" s="701"/>
      <c r="AJ614" s="701"/>
      <c r="BB614" s="1190"/>
      <c r="BD614" s="1190"/>
      <c r="BF614" s="1190"/>
      <c r="BH614" s="1190"/>
      <c r="BJ614" s="1190"/>
      <c r="BN614" s="206"/>
      <c r="BO614" s="206"/>
      <c r="BP614" s="206"/>
      <c r="BQ614" s="195"/>
      <c r="BR614" s="195"/>
      <c r="BS614" s="195"/>
      <c r="BT614" s="195"/>
      <c r="BU614" s="195"/>
    </row>
    <row r="615" ht="15.75" customHeight="1">
      <c r="A615" s="1004"/>
      <c r="B615" s="1004"/>
      <c r="C615" s="1005"/>
      <c r="D615" s="1005"/>
      <c r="E615" s="977"/>
      <c r="F615" s="1190"/>
      <c r="H615" s="1190"/>
      <c r="J615" s="1190"/>
      <c r="L615" s="1190"/>
      <c r="O615" s="1190"/>
      <c r="V615" s="1189"/>
      <c r="X615" s="1189"/>
      <c r="Z615" s="1190"/>
      <c r="AB615" s="1190"/>
      <c r="AH615" s="701"/>
      <c r="AJ615" s="701"/>
      <c r="BB615" s="1190"/>
      <c r="BD615" s="1190"/>
      <c r="BF615" s="1190"/>
      <c r="BH615" s="1190"/>
      <c r="BJ615" s="1190"/>
      <c r="BN615" s="206"/>
      <c r="BO615" s="206"/>
      <c r="BP615" s="206"/>
      <c r="BQ615" s="195"/>
      <c r="BR615" s="195"/>
      <c r="BS615" s="195"/>
      <c r="BT615" s="195"/>
      <c r="BU615" s="195"/>
    </row>
    <row r="616" ht="15.75" customHeight="1">
      <c r="A616" s="1004"/>
      <c r="B616" s="1004"/>
      <c r="C616" s="1005"/>
      <c r="D616" s="1005"/>
      <c r="E616" s="977"/>
      <c r="F616" s="1190"/>
      <c r="H616" s="1190"/>
      <c r="J616" s="1190"/>
      <c r="L616" s="1190"/>
      <c r="O616" s="1190"/>
      <c r="V616" s="1189"/>
      <c r="X616" s="1189"/>
      <c r="Z616" s="1190"/>
      <c r="AB616" s="1190"/>
      <c r="AH616" s="701"/>
      <c r="AJ616" s="701"/>
      <c r="BB616" s="1190"/>
      <c r="BD616" s="1190"/>
      <c r="BF616" s="1190"/>
      <c r="BH616" s="1190"/>
      <c r="BJ616" s="1190"/>
      <c r="BN616" s="206"/>
      <c r="BO616" s="206"/>
      <c r="BP616" s="206"/>
      <c r="BQ616" s="195"/>
      <c r="BR616" s="195"/>
      <c r="BS616" s="195"/>
      <c r="BT616" s="195"/>
      <c r="BU616" s="195"/>
    </row>
    <row r="617" ht="15.75" customHeight="1">
      <c r="A617" s="1004"/>
      <c r="B617" s="1004"/>
      <c r="C617" s="1005"/>
      <c r="D617" s="1005"/>
      <c r="E617" s="977"/>
      <c r="F617" s="1190"/>
      <c r="H617" s="1190"/>
      <c r="J617" s="1190"/>
      <c r="L617" s="1190"/>
      <c r="O617" s="1190"/>
      <c r="V617" s="1189"/>
      <c r="X617" s="1189"/>
      <c r="Z617" s="1190"/>
      <c r="AB617" s="1190"/>
      <c r="AH617" s="701"/>
      <c r="AJ617" s="701"/>
      <c r="BB617" s="1190"/>
      <c r="BD617" s="1190"/>
      <c r="BF617" s="1190"/>
      <c r="BH617" s="1190"/>
      <c r="BJ617" s="1190"/>
      <c r="BN617" s="206"/>
      <c r="BO617" s="206"/>
      <c r="BP617" s="206"/>
      <c r="BQ617" s="195"/>
      <c r="BR617" s="195"/>
      <c r="BS617" s="195"/>
      <c r="BT617" s="195"/>
      <c r="BU617" s="195"/>
    </row>
    <row r="618" ht="15.75" customHeight="1">
      <c r="A618" s="1004"/>
      <c r="B618" s="1004"/>
      <c r="C618" s="1005"/>
      <c r="D618" s="1005"/>
      <c r="E618" s="977"/>
      <c r="F618" s="1190"/>
      <c r="H618" s="1190"/>
      <c r="J618" s="1190"/>
      <c r="L618" s="1190"/>
      <c r="O618" s="1190"/>
      <c r="V618" s="1189"/>
      <c r="X618" s="1189"/>
      <c r="Z618" s="1190"/>
      <c r="AB618" s="1190"/>
      <c r="AH618" s="701"/>
      <c r="AJ618" s="701"/>
      <c r="BB618" s="1190"/>
      <c r="BD618" s="1190"/>
      <c r="BF618" s="1190"/>
      <c r="BH618" s="1190"/>
      <c r="BJ618" s="1190"/>
      <c r="BN618" s="206"/>
      <c r="BO618" s="206"/>
      <c r="BP618" s="206"/>
      <c r="BQ618" s="195"/>
      <c r="BR618" s="195"/>
      <c r="BS618" s="195"/>
      <c r="BT618" s="195"/>
      <c r="BU618" s="195"/>
    </row>
    <row r="619" ht="15.75" customHeight="1">
      <c r="A619" s="1004"/>
      <c r="B619" s="1004"/>
      <c r="C619" s="1005"/>
      <c r="D619" s="1005"/>
      <c r="E619" s="977"/>
      <c r="F619" s="1190"/>
      <c r="H619" s="1190"/>
      <c r="J619" s="1190"/>
      <c r="L619" s="1190"/>
      <c r="O619" s="1190"/>
      <c r="V619" s="1189"/>
      <c r="X619" s="1189"/>
      <c r="Z619" s="1190"/>
      <c r="AB619" s="1190"/>
      <c r="AH619" s="701"/>
      <c r="AJ619" s="701"/>
      <c r="BB619" s="1190"/>
      <c r="BD619" s="1190"/>
      <c r="BF619" s="1190"/>
      <c r="BH619" s="1190"/>
      <c r="BJ619" s="1190"/>
      <c r="BN619" s="206"/>
      <c r="BO619" s="206"/>
      <c r="BP619" s="206"/>
      <c r="BQ619" s="195"/>
      <c r="BR619" s="195"/>
      <c r="BS619" s="195"/>
      <c r="BT619" s="195"/>
      <c r="BU619" s="195"/>
    </row>
    <row r="620" ht="15.75" customHeight="1">
      <c r="A620" s="1004"/>
      <c r="B620" s="1004"/>
      <c r="C620" s="1005"/>
      <c r="D620" s="1005"/>
      <c r="E620" s="977"/>
      <c r="F620" s="1190"/>
      <c r="H620" s="1190"/>
      <c r="J620" s="1190"/>
      <c r="L620" s="1190"/>
      <c r="O620" s="1190"/>
      <c r="V620" s="1189"/>
      <c r="X620" s="1189"/>
      <c r="Z620" s="1190"/>
      <c r="AB620" s="1190"/>
      <c r="AH620" s="701"/>
      <c r="AJ620" s="701"/>
      <c r="BB620" s="1190"/>
      <c r="BD620" s="1190"/>
      <c r="BF620" s="1190"/>
      <c r="BH620" s="1190"/>
      <c r="BJ620" s="1190"/>
      <c r="BN620" s="206"/>
      <c r="BO620" s="206"/>
      <c r="BP620" s="206"/>
      <c r="BQ620" s="195"/>
      <c r="BR620" s="195"/>
      <c r="BS620" s="195"/>
      <c r="BT620" s="195"/>
      <c r="BU620" s="195"/>
    </row>
    <row r="621" ht="15.75" customHeight="1">
      <c r="A621" s="1004"/>
      <c r="B621" s="1004"/>
      <c r="C621" s="1005"/>
      <c r="D621" s="1005"/>
      <c r="E621" s="977"/>
      <c r="F621" s="1190"/>
      <c r="H621" s="1190"/>
      <c r="J621" s="1190"/>
      <c r="L621" s="1190"/>
      <c r="O621" s="1190"/>
      <c r="V621" s="1189"/>
      <c r="X621" s="1189"/>
      <c r="Z621" s="1190"/>
      <c r="AB621" s="1190"/>
      <c r="AH621" s="701"/>
      <c r="AJ621" s="701"/>
      <c r="BB621" s="1190"/>
      <c r="BD621" s="1190"/>
      <c r="BF621" s="1190"/>
      <c r="BH621" s="1190"/>
      <c r="BJ621" s="1190"/>
      <c r="BN621" s="206"/>
      <c r="BO621" s="206"/>
      <c r="BP621" s="206"/>
      <c r="BQ621" s="195"/>
      <c r="BR621" s="195"/>
      <c r="BS621" s="195"/>
      <c r="BT621" s="195"/>
      <c r="BU621" s="195"/>
    </row>
    <row r="622" ht="15.75" customHeight="1">
      <c r="A622" s="1004"/>
      <c r="B622" s="1004"/>
      <c r="C622" s="1005"/>
      <c r="D622" s="1005"/>
      <c r="E622" s="977"/>
      <c r="F622" s="1190"/>
      <c r="H622" s="1190"/>
      <c r="J622" s="1190"/>
      <c r="L622" s="1190"/>
      <c r="O622" s="1190"/>
      <c r="V622" s="1189"/>
      <c r="X622" s="1189"/>
      <c r="Z622" s="1190"/>
      <c r="AB622" s="1190"/>
      <c r="AH622" s="701"/>
      <c r="AJ622" s="701"/>
      <c r="BB622" s="1190"/>
      <c r="BD622" s="1190"/>
      <c r="BF622" s="1190"/>
      <c r="BH622" s="1190"/>
      <c r="BJ622" s="1190"/>
      <c r="BN622" s="206"/>
      <c r="BO622" s="206"/>
      <c r="BP622" s="206"/>
      <c r="BQ622" s="195"/>
      <c r="BR622" s="195"/>
      <c r="BS622" s="195"/>
      <c r="BT622" s="195"/>
      <c r="BU622" s="195"/>
    </row>
    <row r="623" ht="15.75" customHeight="1">
      <c r="A623" s="1004"/>
      <c r="B623" s="1004"/>
      <c r="C623" s="1005"/>
      <c r="D623" s="1005"/>
      <c r="E623" s="977"/>
      <c r="F623" s="1190"/>
      <c r="H623" s="1190"/>
      <c r="J623" s="1190"/>
      <c r="L623" s="1190"/>
      <c r="O623" s="1190"/>
      <c r="V623" s="1189"/>
      <c r="X623" s="1189"/>
      <c r="Z623" s="1190"/>
      <c r="AB623" s="1190"/>
      <c r="AH623" s="701"/>
      <c r="AJ623" s="701"/>
      <c r="BB623" s="1190"/>
      <c r="BD623" s="1190"/>
      <c r="BF623" s="1190"/>
      <c r="BH623" s="1190"/>
      <c r="BJ623" s="1190"/>
      <c r="BN623" s="206"/>
      <c r="BO623" s="206"/>
      <c r="BP623" s="206"/>
      <c r="BQ623" s="195"/>
      <c r="BR623" s="195"/>
      <c r="BS623" s="195"/>
      <c r="BT623" s="195"/>
      <c r="BU623" s="195"/>
    </row>
    <row r="624" ht="15.75" customHeight="1">
      <c r="A624" s="1004"/>
      <c r="B624" s="1004"/>
      <c r="C624" s="1005"/>
      <c r="D624" s="1005"/>
      <c r="E624" s="977"/>
      <c r="F624" s="1190"/>
      <c r="H624" s="1190"/>
      <c r="J624" s="1190"/>
      <c r="L624" s="1190"/>
      <c r="O624" s="1190"/>
      <c r="V624" s="1189"/>
      <c r="X624" s="1189"/>
      <c r="Z624" s="1190"/>
      <c r="AB624" s="1190"/>
      <c r="AH624" s="701"/>
      <c r="AJ624" s="701"/>
      <c r="BB624" s="1190"/>
      <c r="BD624" s="1190"/>
      <c r="BF624" s="1190"/>
      <c r="BH624" s="1190"/>
      <c r="BJ624" s="1190"/>
      <c r="BN624" s="206"/>
      <c r="BO624" s="206"/>
      <c r="BP624" s="206"/>
      <c r="BQ624" s="195"/>
      <c r="BR624" s="195"/>
      <c r="BS624" s="195"/>
      <c r="BT624" s="195"/>
      <c r="BU624" s="195"/>
    </row>
    <row r="625" ht="15.75" customHeight="1">
      <c r="A625" s="1004"/>
      <c r="B625" s="1004"/>
      <c r="C625" s="1005"/>
      <c r="D625" s="1005"/>
      <c r="E625" s="977"/>
      <c r="F625" s="1190"/>
      <c r="H625" s="1190"/>
      <c r="J625" s="1190"/>
      <c r="L625" s="1190"/>
      <c r="O625" s="1190"/>
      <c r="V625" s="1189"/>
      <c r="X625" s="1189"/>
      <c r="Z625" s="1190"/>
      <c r="AB625" s="1190"/>
      <c r="AH625" s="701"/>
      <c r="AJ625" s="701"/>
      <c r="BB625" s="1190"/>
      <c r="BD625" s="1190"/>
      <c r="BF625" s="1190"/>
      <c r="BH625" s="1190"/>
      <c r="BJ625" s="1190"/>
      <c r="BN625" s="206"/>
      <c r="BO625" s="206"/>
      <c r="BP625" s="206"/>
      <c r="BQ625" s="195"/>
      <c r="BR625" s="195"/>
      <c r="BS625" s="195"/>
      <c r="BT625" s="195"/>
      <c r="BU625" s="195"/>
    </row>
    <row r="626" ht="15.75" customHeight="1">
      <c r="A626" s="1004"/>
      <c r="B626" s="1004"/>
      <c r="C626" s="1005"/>
      <c r="D626" s="1005"/>
      <c r="E626" s="977"/>
      <c r="F626" s="1190"/>
      <c r="H626" s="1190"/>
      <c r="J626" s="1190"/>
      <c r="L626" s="1190"/>
      <c r="O626" s="1190"/>
      <c r="V626" s="1189"/>
      <c r="X626" s="1189"/>
      <c r="Z626" s="1190"/>
      <c r="AB626" s="1190"/>
      <c r="AH626" s="701"/>
      <c r="AJ626" s="701"/>
      <c r="BB626" s="1190"/>
      <c r="BD626" s="1190"/>
      <c r="BF626" s="1190"/>
      <c r="BH626" s="1190"/>
      <c r="BJ626" s="1190"/>
      <c r="BN626" s="206"/>
      <c r="BO626" s="206"/>
      <c r="BP626" s="206"/>
      <c r="BQ626" s="195"/>
      <c r="BR626" s="195"/>
      <c r="BS626" s="195"/>
      <c r="BT626" s="195"/>
      <c r="BU626" s="195"/>
    </row>
    <row r="627" ht="15.75" customHeight="1">
      <c r="A627" s="1004"/>
      <c r="B627" s="1004"/>
      <c r="C627" s="1005"/>
      <c r="D627" s="1005"/>
      <c r="E627" s="977"/>
      <c r="F627" s="1190"/>
      <c r="H627" s="1190"/>
      <c r="J627" s="1190"/>
      <c r="L627" s="1190"/>
      <c r="O627" s="1190"/>
      <c r="V627" s="1189"/>
      <c r="X627" s="1189"/>
      <c r="Z627" s="1190"/>
      <c r="AB627" s="1190"/>
      <c r="AH627" s="701"/>
      <c r="AJ627" s="701"/>
      <c r="BB627" s="1190"/>
      <c r="BD627" s="1190"/>
      <c r="BF627" s="1190"/>
      <c r="BH627" s="1190"/>
      <c r="BJ627" s="1190"/>
      <c r="BN627" s="206"/>
      <c r="BO627" s="206"/>
      <c r="BP627" s="206"/>
      <c r="BQ627" s="195"/>
      <c r="BR627" s="195"/>
      <c r="BS627" s="195"/>
      <c r="BT627" s="195"/>
      <c r="BU627" s="195"/>
    </row>
    <row r="628" ht="15.75" customHeight="1">
      <c r="A628" s="1004"/>
      <c r="B628" s="1004"/>
      <c r="C628" s="1005"/>
      <c r="D628" s="1005"/>
      <c r="E628" s="977"/>
      <c r="F628" s="1190"/>
      <c r="H628" s="1190"/>
      <c r="J628" s="1190"/>
      <c r="L628" s="1190"/>
      <c r="O628" s="1190"/>
      <c r="V628" s="1189"/>
      <c r="X628" s="1189"/>
      <c r="Z628" s="1190"/>
      <c r="AB628" s="1190"/>
      <c r="AH628" s="701"/>
      <c r="AJ628" s="701"/>
      <c r="BB628" s="1190"/>
      <c r="BD628" s="1190"/>
      <c r="BF628" s="1190"/>
      <c r="BH628" s="1190"/>
      <c r="BJ628" s="1190"/>
      <c r="BN628" s="206"/>
      <c r="BO628" s="206"/>
      <c r="BP628" s="206"/>
      <c r="BQ628" s="195"/>
      <c r="BR628" s="195"/>
      <c r="BS628" s="195"/>
      <c r="BT628" s="195"/>
      <c r="BU628" s="195"/>
    </row>
    <row r="629" ht="15.75" customHeight="1">
      <c r="A629" s="1004"/>
      <c r="B629" s="1004"/>
      <c r="C629" s="1005"/>
      <c r="D629" s="1005"/>
      <c r="E629" s="977"/>
      <c r="F629" s="1190"/>
      <c r="H629" s="1190"/>
      <c r="J629" s="1190"/>
      <c r="L629" s="1190"/>
      <c r="O629" s="1190"/>
      <c r="V629" s="1189"/>
      <c r="X629" s="1189"/>
      <c r="Z629" s="1190"/>
      <c r="AB629" s="1190"/>
      <c r="AH629" s="701"/>
      <c r="AJ629" s="701"/>
      <c r="BB629" s="1190"/>
      <c r="BD629" s="1190"/>
      <c r="BF629" s="1190"/>
      <c r="BH629" s="1190"/>
      <c r="BJ629" s="1190"/>
      <c r="BN629" s="206"/>
      <c r="BO629" s="206"/>
      <c r="BP629" s="206"/>
      <c r="BQ629" s="195"/>
      <c r="BR629" s="195"/>
      <c r="BS629" s="195"/>
      <c r="BT629" s="195"/>
      <c r="BU629" s="195"/>
    </row>
    <row r="630" ht="15.75" customHeight="1">
      <c r="A630" s="1004"/>
      <c r="B630" s="1004"/>
      <c r="C630" s="1005"/>
      <c r="D630" s="1005"/>
      <c r="E630" s="977"/>
      <c r="F630" s="1190"/>
      <c r="H630" s="1190"/>
      <c r="J630" s="1190"/>
      <c r="L630" s="1190"/>
      <c r="O630" s="1190"/>
      <c r="V630" s="1189"/>
      <c r="X630" s="1189"/>
      <c r="Z630" s="1190"/>
      <c r="AB630" s="1190"/>
      <c r="AH630" s="701"/>
      <c r="AJ630" s="701"/>
      <c r="BB630" s="1190"/>
      <c r="BD630" s="1190"/>
      <c r="BF630" s="1190"/>
      <c r="BH630" s="1190"/>
      <c r="BJ630" s="1190"/>
      <c r="BN630" s="206"/>
      <c r="BO630" s="206"/>
      <c r="BP630" s="206"/>
      <c r="BQ630" s="195"/>
      <c r="BR630" s="195"/>
      <c r="BS630" s="195"/>
      <c r="BT630" s="195"/>
      <c r="BU630" s="195"/>
    </row>
    <row r="631" ht="15.75" customHeight="1">
      <c r="A631" s="1004"/>
      <c r="B631" s="1004"/>
      <c r="C631" s="1005"/>
      <c r="D631" s="1005"/>
      <c r="E631" s="977"/>
      <c r="F631" s="1190"/>
      <c r="H631" s="1190"/>
      <c r="J631" s="1190"/>
      <c r="L631" s="1190"/>
      <c r="O631" s="1190"/>
      <c r="V631" s="1189"/>
      <c r="X631" s="1189"/>
      <c r="Z631" s="1190"/>
      <c r="AB631" s="1190"/>
      <c r="AH631" s="701"/>
      <c r="AJ631" s="701"/>
      <c r="BB631" s="1190"/>
      <c r="BD631" s="1190"/>
      <c r="BF631" s="1190"/>
      <c r="BH631" s="1190"/>
      <c r="BJ631" s="1190"/>
      <c r="BN631" s="206"/>
      <c r="BO631" s="206"/>
      <c r="BP631" s="206"/>
      <c r="BQ631" s="195"/>
      <c r="BR631" s="195"/>
      <c r="BS631" s="195"/>
      <c r="BT631" s="195"/>
      <c r="BU631" s="195"/>
    </row>
    <row r="632" ht="15.75" customHeight="1">
      <c r="A632" s="1004"/>
      <c r="B632" s="1004"/>
      <c r="C632" s="1005"/>
      <c r="D632" s="1005"/>
      <c r="E632" s="977"/>
      <c r="F632" s="1190"/>
      <c r="H632" s="1190"/>
      <c r="J632" s="1190"/>
      <c r="L632" s="1190"/>
      <c r="O632" s="1190"/>
      <c r="V632" s="1189"/>
      <c r="X632" s="1189"/>
      <c r="Z632" s="1190"/>
      <c r="AB632" s="1190"/>
      <c r="AH632" s="701"/>
      <c r="AJ632" s="701"/>
      <c r="BB632" s="1190"/>
      <c r="BD632" s="1190"/>
      <c r="BF632" s="1190"/>
      <c r="BH632" s="1190"/>
      <c r="BJ632" s="1190"/>
      <c r="BN632" s="206"/>
      <c r="BO632" s="206"/>
      <c r="BP632" s="206"/>
      <c r="BQ632" s="195"/>
      <c r="BR632" s="195"/>
      <c r="BS632" s="195"/>
      <c r="BT632" s="195"/>
      <c r="BU632" s="195"/>
    </row>
    <row r="633" ht="15.75" customHeight="1">
      <c r="A633" s="1004"/>
      <c r="B633" s="1004"/>
      <c r="C633" s="1005"/>
      <c r="D633" s="1005"/>
      <c r="E633" s="977"/>
      <c r="F633" s="1190"/>
      <c r="H633" s="1190"/>
      <c r="J633" s="1190"/>
      <c r="L633" s="1190"/>
      <c r="O633" s="1190"/>
      <c r="V633" s="1189"/>
      <c r="X633" s="1189"/>
      <c r="Z633" s="1190"/>
      <c r="AB633" s="1190"/>
      <c r="AH633" s="701"/>
      <c r="AJ633" s="701"/>
      <c r="BB633" s="1190"/>
      <c r="BD633" s="1190"/>
      <c r="BF633" s="1190"/>
      <c r="BH633" s="1190"/>
      <c r="BJ633" s="1190"/>
      <c r="BN633" s="206"/>
      <c r="BO633" s="206"/>
      <c r="BP633" s="206"/>
      <c r="BQ633" s="195"/>
      <c r="BR633" s="195"/>
      <c r="BS633" s="195"/>
      <c r="BT633" s="195"/>
      <c r="BU633" s="195"/>
    </row>
    <row r="634" ht="15.75" customHeight="1">
      <c r="A634" s="1004"/>
      <c r="B634" s="1004"/>
      <c r="C634" s="1005"/>
      <c r="D634" s="1005"/>
      <c r="E634" s="977"/>
      <c r="F634" s="1190"/>
      <c r="H634" s="1190"/>
      <c r="J634" s="1190"/>
      <c r="L634" s="1190"/>
      <c r="O634" s="1190"/>
      <c r="V634" s="1189"/>
      <c r="X634" s="1189"/>
      <c r="Z634" s="1190"/>
      <c r="AB634" s="1190"/>
      <c r="AH634" s="701"/>
      <c r="AJ634" s="701"/>
      <c r="BB634" s="1190"/>
      <c r="BD634" s="1190"/>
      <c r="BF634" s="1190"/>
      <c r="BH634" s="1190"/>
      <c r="BJ634" s="1190"/>
      <c r="BN634" s="206"/>
      <c r="BO634" s="206"/>
      <c r="BP634" s="206"/>
      <c r="BQ634" s="195"/>
      <c r="BR634" s="195"/>
      <c r="BS634" s="195"/>
      <c r="BT634" s="195"/>
      <c r="BU634" s="195"/>
    </row>
    <row r="635" ht="15.75" customHeight="1">
      <c r="A635" s="1004"/>
      <c r="B635" s="1004"/>
      <c r="C635" s="1005"/>
      <c r="D635" s="1005"/>
      <c r="E635" s="977"/>
      <c r="F635" s="1190"/>
      <c r="H635" s="1190"/>
      <c r="J635" s="1190"/>
      <c r="L635" s="1190"/>
      <c r="O635" s="1190"/>
      <c r="V635" s="1189"/>
      <c r="X635" s="1189"/>
      <c r="Z635" s="1190"/>
      <c r="AB635" s="1190"/>
      <c r="AH635" s="701"/>
      <c r="AJ635" s="701"/>
      <c r="BB635" s="1190"/>
      <c r="BD635" s="1190"/>
      <c r="BF635" s="1190"/>
      <c r="BH635" s="1190"/>
      <c r="BJ635" s="1190"/>
      <c r="BN635" s="206"/>
      <c r="BO635" s="206"/>
      <c r="BP635" s="206"/>
      <c r="BQ635" s="195"/>
      <c r="BR635" s="195"/>
      <c r="BS635" s="195"/>
      <c r="BT635" s="195"/>
      <c r="BU635" s="195"/>
    </row>
    <row r="636" ht="15.75" customHeight="1">
      <c r="A636" s="1004"/>
      <c r="B636" s="1004"/>
      <c r="C636" s="1005"/>
      <c r="D636" s="1005"/>
      <c r="E636" s="977"/>
      <c r="F636" s="1190"/>
      <c r="H636" s="1190"/>
      <c r="J636" s="1190"/>
      <c r="L636" s="1190"/>
      <c r="O636" s="1190"/>
      <c r="V636" s="1189"/>
      <c r="X636" s="1189"/>
      <c r="Z636" s="1190"/>
      <c r="AB636" s="1190"/>
      <c r="AH636" s="701"/>
      <c r="AJ636" s="701"/>
      <c r="BB636" s="1190"/>
      <c r="BD636" s="1190"/>
      <c r="BF636" s="1190"/>
      <c r="BH636" s="1190"/>
      <c r="BJ636" s="1190"/>
      <c r="BN636" s="206"/>
      <c r="BO636" s="206"/>
      <c r="BP636" s="206"/>
      <c r="BQ636" s="195"/>
      <c r="BR636" s="195"/>
      <c r="BS636" s="195"/>
      <c r="BT636" s="195"/>
      <c r="BU636" s="195"/>
    </row>
    <row r="637" ht="15.75" customHeight="1">
      <c r="A637" s="1004"/>
      <c r="B637" s="1004"/>
      <c r="C637" s="1005"/>
      <c r="D637" s="1005"/>
      <c r="E637" s="977"/>
      <c r="F637" s="1190"/>
      <c r="H637" s="1190"/>
      <c r="J637" s="1190"/>
      <c r="L637" s="1190"/>
      <c r="O637" s="1190"/>
      <c r="V637" s="1189"/>
      <c r="X637" s="1189"/>
      <c r="Z637" s="1190"/>
      <c r="AB637" s="1190"/>
      <c r="AH637" s="701"/>
      <c r="AJ637" s="701"/>
      <c r="BB637" s="1190"/>
      <c r="BD637" s="1190"/>
      <c r="BF637" s="1190"/>
      <c r="BH637" s="1190"/>
      <c r="BJ637" s="1190"/>
      <c r="BN637" s="206"/>
      <c r="BO637" s="206"/>
      <c r="BP637" s="206"/>
      <c r="BQ637" s="195"/>
      <c r="BR637" s="195"/>
      <c r="BS637" s="195"/>
      <c r="BT637" s="195"/>
      <c r="BU637" s="195"/>
    </row>
    <row r="638" ht="15.75" customHeight="1">
      <c r="A638" s="1004"/>
      <c r="B638" s="1004"/>
      <c r="C638" s="1005"/>
      <c r="D638" s="1005"/>
      <c r="E638" s="977"/>
      <c r="F638" s="1190"/>
      <c r="H638" s="1190"/>
      <c r="J638" s="1190"/>
      <c r="L638" s="1190"/>
      <c r="O638" s="1190"/>
      <c r="V638" s="1189"/>
      <c r="X638" s="1189"/>
      <c r="Z638" s="1190"/>
      <c r="AB638" s="1190"/>
      <c r="AH638" s="701"/>
      <c r="AJ638" s="701"/>
      <c r="BB638" s="1190"/>
      <c r="BD638" s="1190"/>
      <c r="BF638" s="1190"/>
      <c r="BH638" s="1190"/>
      <c r="BJ638" s="1190"/>
      <c r="BN638" s="206"/>
      <c r="BO638" s="206"/>
      <c r="BP638" s="206"/>
      <c r="BQ638" s="195"/>
      <c r="BR638" s="195"/>
      <c r="BS638" s="195"/>
      <c r="BT638" s="195"/>
      <c r="BU638" s="195"/>
    </row>
    <row r="639" ht="15.75" customHeight="1">
      <c r="A639" s="1004"/>
      <c r="B639" s="1004"/>
      <c r="C639" s="1005"/>
      <c r="D639" s="1005"/>
      <c r="E639" s="977"/>
      <c r="F639" s="1190"/>
      <c r="H639" s="1190"/>
      <c r="J639" s="1190"/>
      <c r="L639" s="1190"/>
      <c r="O639" s="1190"/>
      <c r="V639" s="1189"/>
      <c r="X639" s="1189"/>
      <c r="Z639" s="1190"/>
      <c r="AB639" s="1190"/>
      <c r="AH639" s="701"/>
      <c r="AJ639" s="701"/>
      <c r="BB639" s="1190"/>
      <c r="BD639" s="1190"/>
      <c r="BF639" s="1190"/>
      <c r="BH639" s="1190"/>
      <c r="BJ639" s="1190"/>
      <c r="BN639" s="206"/>
      <c r="BO639" s="206"/>
      <c r="BP639" s="206"/>
      <c r="BQ639" s="195"/>
      <c r="BR639" s="195"/>
      <c r="BS639" s="195"/>
      <c r="BT639" s="195"/>
      <c r="BU639" s="195"/>
    </row>
    <row r="640" ht="15.75" customHeight="1">
      <c r="A640" s="1004"/>
      <c r="B640" s="1004"/>
      <c r="C640" s="1005"/>
      <c r="D640" s="1005"/>
      <c r="E640" s="977"/>
      <c r="F640" s="1190"/>
      <c r="H640" s="1190"/>
      <c r="J640" s="1190"/>
      <c r="L640" s="1190"/>
      <c r="O640" s="1190"/>
      <c r="V640" s="1189"/>
      <c r="X640" s="1189"/>
      <c r="Z640" s="1190"/>
      <c r="AB640" s="1190"/>
      <c r="AH640" s="701"/>
      <c r="AJ640" s="701"/>
      <c r="BB640" s="1190"/>
      <c r="BD640" s="1190"/>
      <c r="BF640" s="1190"/>
      <c r="BH640" s="1190"/>
      <c r="BJ640" s="1190"/>
      <c r="BN640" s="206"/>
      <c r="BO640" s="206"/>
      <c r="BP640" s="206"/>
      <c r="BQ640" s="195"/>
      <c r="BR640" s="195"/>
      <c r="BS640" s="195"/>
      <c r="BT640" s="195"/>
      <c r="BU640" s="195"/>
    </row>
    <row r="641" ht="15.75" customHeight="1">
      <c r="A641" s="1004"/>
      <c r="B641" s="1004"/>
      <c r="C641" s="1005"/>
      <c r="D641" s="1005"/>
      <c r="E641" s="977"/>
      <c r="F641" s="1190"/>
      <c r="H641" s="1190"/>
      <c r="J641" s="1190"/>
      <c r="L641" s="1190"/>
      <c r="O641" s="1190"/>
      <c r="V641" s="1189"/>
      <c r="X641" s="1189"/>
      <c r="Z641" s="1190"/>
      <c r="AB641" s="1190"/>
      <c r="AH641" s="701"/>
      <c r="AJ641" s="701"/>
      <c r="BB641" s="1190"/>
      <c r="BD641" s="1190"/>
      <c r="BF641" s="1190"/>
      <c r="BH641" s="1190"/>
      <c r="BJ641" s="1190"/>
      <c r="BN641" s="206"/>
      <c r="BO641" s="206"/>
      <c r="BP641" s="206"/>
      <c r="BQ641" s="195"/>
      <c r="BR641" s="195"/>
      <c r="BS641" s="195"/>
      <c r="BT641" s="195"/>
      <c r="BU641" s="195"/>
    </row>
    <row r="642" ht="15.75" customHeight="1">
      <c r="A642" s="1004"/>
      <c r="B642" s="1004"/>
      <c r="C642" s="1005"/>
      <c r="D642" s="1005"/>
      <c r="E642" s="977"/>
      <c r="F642" s="1190"/>
      <c r="H642" s="1190"/>
      <c r="J642" s="1190"/>
      <c r="L642" s="1190"/>
      <c r="O642" s="1190"/>
      <c r="V642" s="1189"/>
      <c r="X642" s="1189"/>
      <c r="Z642" s="1190"/>
      <c r="AB642" s="1190"/>
      <c r="AH642" s="701"/>
      <c r="AJ642" s="701"/>
      <c r="BB642" s="1190"/>
      <c r="BD642" s="1190"/>
      <c r="BF642" s="1190"/>
      <c r="BH642" s="1190"/>
      <c r="BJ642" s="1190"/>
      <c r="BN642" s="206"/>
      <c r="BO642" s="206"/>
      <c r="BP642" s="206"/>
      <c r="BQ642" s="195"/>
      <c r="BR642" s="195"/>
      <c r="BS642" s="195"/>
      <c r="BT642" s="195"/>
      <c r="BU642" s="195"/>
    </row>
    <row r="643" ht="15.75" customHeight="1">
      <c r="A643" s="1004"/>
      <c r="B643" s="1004"/>
      <c r="C643" s="1005"/>
      <c r="D643" s="1005"/>
      <c r="E643" s="977"/>
      <c r="F643" s="1190"/>
      <c r="H643" s="1190"/>
      <c r="J643" s="1190"/>
      <c r="L643" s="1190"/>
      <c r="O643" s="1190"/>
      <c r="V643" s="1189"/>
      <c r="X643" s="1189"/>
      <c r="Z643" s="1190"/>
      <c r="AB643" s="1190"/>
      <c r="AH643" s="701"/>
      <c r="AJ643" s="701"/>
      <c r="BB643" s="1190"/>
      <c r="BD643" s="1190"/>
      <c r="BF643" s="1190"/>
      <c r="BH643" s="1190"/>
      <c r="BJ643" s="1190"/>
      <c r="BN643" s="206"/>
      <c r="BO643" s="206"/>
      <c r="BP643" s="206"/>
      <c r="BQ643" s="195"/>
      <c r="BR643" s="195"/>
      <c r="BS643" s="195"/>
      <c r="BT643" s="195"/>
      <c r="BU643" s="195"/>
    </row>
    <row r="644" ht="15.75" customHeight="1">
      <c r="A644" s="1004"/>
      <c r="B644" s="1004"/>
      <c r="C644" s="1005"/>
      <c r="D644" s="1005"/>
      <c r="E644" s="977"/>
      <c r="F644" s="1190"/>
      <c r="H644" s="1190"/>
      <c r="J644" s="1190"/>
      <c r="L644" s="1190"/>
      <c r="O644" s="1190"/>
      <c r="V644" s="1189"/>
      <c r="X644" s="1189"/>
      <c r="Z644" s="1190"/>
      <c r="AB644" s="1190"/>
      <c r="AH644" s="701"/>
      <c r="AJ644" s="701"/>
      <c r="BB644" s="1190"/>
      <c r="BD644" s="1190"/>
      <c r="BF644" s="1190"/>
      <c r="BH644" s="1190"/>
      <c r="BJ644" s="1190"/>
      <c r="BN644" s="206"/>
      <c r="BO644" s="206"/>
      <c r="BP644" s="206"/>
      <c r="BQ644" s="195"/>
      <c r="BR644" s="195"/>
      <c r="BS644" s="195"/>
      <c r="BT644" s="195"/>
      <c r="BU644" s="195"/>
    </row>
    <row r="645" ht="15.75" customHeight="1">
      <c r="A645" s="1004"/>
      <c r="B645" s="1004"/>
      <c r="C645" s="1005"/>
      <c r="D645" s="1005"/>
      <c r="E645" s="977"/>
      <c r="F645" s="1190"/>
      <c r="H645" s="1190"/>
      <c r="J645" s="1190"/>
      <c r="L645" s="1190"/>
      <c r="O645" s="1190"/>
      <c r="V645" s="1189"/>
      <c r="X645" s="1189"/>
      <c r="Z645" s="1190"/>
      <c r="AB645" s="1190"/>
      <c r="AH645" s="701"/>
      <c r="AJ645" s="701"/>
      <c r="BB645" s="1190"/>
      <c r="BD645" s="1190"/>
      <c r="BF645" s="1190"/>
      <c r="BH645" s="1190"/>
      <c r="BJ645" s="1190"/>
      <c r="BN645" s="206"/>
      <c r="BO645" s="206"/>
      <c r="BP645" s="206"/>
      <c r="BQ645" s="195"/>
      <c r="BR645" s="195"/>
      <c r="BS645" s="195"/>
      <c r="BT645" s="195"/>
      <c r="BU645" s="195"/>
    </row>
    <row r="646" ht="15.75" customHeight="1">
      <c r="A646" s="1004"/>
      <c r="B646" s="1004"/>
      <c r="C646" s="1005"/>
      <c r="D646" s="1005"/>
      <c r="E646" s="977"/>
      <c r="F646" s="1190"/>
      <c r="H646" s="1190"/>
      <c r="J646" s="1190"/>
      <c r="L646" s="1190"/>
      <c r="O646" s="1190"/>
      <c r="V646" s="1189"/>
      <c r="X646" s="1189"/>
      <c r="Z646" s="1190"/>
      <c r="AB646" s="1190"/>
      <c r="AH646" s="701"/>
      <c r="AJ646" s="701"/>
      <c r="BB646" s="1190"/>
      <c r="BD646" s="1190"/>
      <c r="BF646" s="1190"/>
      <c r="BH646" s="1190"/>
      <c r="BJ646" s="1190"/>
      <c r="BN646" s="206"/>
      <c r="BO646" s="206"/>
      <c r="BP646" s="206"/>
      <c r="BQ646" s="195"/>
      <c r="BR646" s="195"/>
      <c r="BS646" s="195"/>
      <c r="BT646" s="195"/>
      <c r="BU646" s="195"/>
    </row>
    <row r="647" ht="15.75" customHeight="1">
      <c r="A647" s="1004"/>
      <c r="B647" s="1004"/>
      <c r="C647" s="1005"/>
      <c r="D647" s="1005"/>
      <c r="E647" s="977"/>
      <c r="F647" s="1190"/>
      <c r="H647" s="1190"/>
      <c r="J647" s="1190"/>
      <c r="L647" s="1190"/>
      <c r="O647" s="1190"/>
      <c r="V647" s="1189"/>
      <c r="X647" s="1189"/>
      <c r="Z647" s="1190"/>
      <c r="AB647" s="1190"/>
      <c r="AH647" s="701"/>
      <c r="AJ647" s="701"/>
      <c r="BB647" s="1190"/>
      <c r="BD647" s="1190"/>
      <c r="BF647" s="1190"/>
      <c r="BH647" s="1190"/>
      <c r="BJ647" s="1190"/>
      <c r="BN647" s="206"/>
      <c r="BO647" s="206"/>
      <c r="BP647" s="206"/>
      <c r="BQ647" s="195"/>
      <c r="BR647" s="195"/>
      <c r="BS647" s="195"/>
      <c r="BT647" s="195"/>
      <c r="BU647" s="195"/>
    </row>
    <row r="648" ht="15.75" customHeight="1">
      <c r="A648" s="1004"/>
      <c r="B648" s="1004"/>
      <c r="C648" s="1005"/>
      <c r="D648" s="1005"/>
      <c r="E648" s="977"/>
      <c r="F648" s="1190"/>
      <c r="H648" s="1190"/>
      <c r="J648" s="1190"/>
      <c r="L648" s="1190"/>
      <c r="O648" s="1190"/>
      <c r="V648" s="1189"/>
      <c r="X648" s="1189"/>
      <c r="Z648" s="1190"/>
      <c r="AB648" s="1190"/>
      <c r="AH648" s="701"/>
      <c r="AJ648" s="701"/>
      <c r="BB648" s="1190"/>
      <c r="BD648" s="1190"/>
      <c r="BF648" s="1190"/>
      <c r="BH648" s="1190"/>
      <c r="BJ648" s="1190"/>
      <c r="BN648" s="206"/>
      <c r="BO648" s="206"/>
      <c r="BP648" s="206"/>
      <c r="BQ648" s="195"/>
      <c r="BR648" s="195"/>
      <c r="BS648" s="195"/>
      <c r="BT648" s="195"/>
      <c r="BU648" s="195"/>
    </row>
    <row r="649" ht="15.75" customHeight="1">
      <c r="A649" s="1004"/>
      <c r="B649" s="1004"/>
      <c r="C649" s="1005"/>
      <c r="D649" s="1005"/>
      <c r="E649" s="977"/>
      <c r="F649" s="1190"/>
      <c r="H649" s="1190"/>
      <c r="J649" s="1190"/>
      <c r="L649" s="1190"/>
      <c r="O649" s="1190"/>
      <c r="V649" s="1189"/>
      <c r="X649" s="1189"/>
      <c r="Z649" s="1190"/>
      <c r="AB649" s="1190"/>
      <c r="AH649" s="701"/>
      <c r="AJ649" s="701"/>
      <c r="BB649" s="1190"/>
      <c r="BD649" s="1190"/>
      <c r="BF649" s="1190"/>
      <c r="BH649" s="1190"/>
      <c r="BJ649" s="1190"/>
      <c r="BN649" s="206"/>
      <c r="BO649" s="206"/>
      <c r="BP649" s="206"/>
      <c r="BQ649" s="195"/>
      <c r="BR649" s="195"/>
      <c r="BS649" s="195"/>
      <c r="BT649" s="195"/>
      <c r="BU649" s="195"/>
    </row>
    <row r="650" ht="15.75" customHeight="1">
      <c r="A650" s="1004"/>
      <c r="B650" s="1004"/>
      <c r="C650" s="1005"/>
      <c r="D650" s="1005"/>
      <c r="E650" s="977"/>
      <c r="F650" s="1190"/>
      <c r="H650" s="1190"/>
      <c r="J650" s="1190"/>
      <c r="L650" s="1190"/>
      <c r="O650" s="1190"/>
      <c r="V650" s="1189"/>
      <c r="X650" s="1189"/>
      <c r="Z650" s="1190"/>
      <c r="AB650" s="1190"/>
      <c r="AH650" s="701"/>
      <c r="AJ650" s="701"/>
      <c r="BB650" s="1190"/>
      <c r="BD650" s="1190"/>
      <c r="BF650" s="1190"/>
      <c r="BH650" s="1190"/>
      <c r="BJ650" s="1190"/>
      <c r="BN650" s="206"/>
      <c r="BO650" s="206"/>
      <c r="BP650" s="206"/>
      <c r="BQ650" s="195"/>
      <c r="BR650" s="195"/>
      <c r="BS650" s="195"/>
      <c r="BT650" s="195"/>
      <c r="BU650" s="195"/>
    </row>
    <row r="651" ht="15.75" customHeight="1">
      <c r="A651" s="1004"/>
      <c r="B651" s="1004"/>
      <c r="C651" s="1005"/>
      <c r="D651" s="1005"/>
      <c r="E651" s="977"/>
      <c r="F651" s="1190"/>
      <c r="H651" s="1190"/>
      <c r="J651" s="1190"/>
      <c r="L651" s="1190"/>
      <c r="O651" s="1190"/>
      <c r="V651" s="1189"/>
      <c r="X651" s="1189"/>
      <c r="Z651" s="1190"/>
      <c r="AB651" s="1190"/>
      <c r="AH651" s="701"/>
      <c r="AJ651" s="701"/>
      <c r="BB651" s="1190"/>
      <c r="BD651" s="1190"/>
      <c r="BF651" s="1190"/>
      <c r="BH651" s="1190"/>
      <c r="BJ651" s="1190"/>
      <c r="BN651" s="206"/>
      <c r="BO651" s="206"/>
      <c r="BP651" s="206"/>
      <c r="BQ651" s="195"/>
      <c r="BR651" s="195"/>
      <c r="BS651" s="195"/>
      <c r="BT651" s="195"/>
      <c r="BU651" s="195"/>
    </row>
    <row r="652" ht="15.75" customHeight="1">
      <c r="A652" s="1004"/>
      <c r="B652" s="1004"/>
      <c r="C652" s="1005"/>
      <c r="D652" s="1005"/>
      <c r="E652" s="977"/>
      <c r="F652" s="1190"/>
      <c r="H652" s="1190"/>
      <c r="J652" s="1190"/>
      <c r="L652" s="1190"/>
      <c r="O652" s="1190"/>
      <c r="V652" s="1189"/>
      <c r="X652" s="1189"/>
      <c r="Z652" s="1190"/>
      <c r="AB652" s="1190"/>
      <c r="AH652" s="701"/>
      <c r="AJ652" s="701"/>
      <c r="BB652" s="1190"/>
      <c r="BD652" s="1190"/>
      <c r="BF652" s="1190"/>
      <c r="BH652" s="1190"/>
      <c r="BJ652" s="1190"/>
      <c r="BN652" s="206"/>
      <c r="BO652" s="206"/>
      <c r="BP652" s="206"/>
      <c r="BQ652" s="195"/>
      <c r="BR652" s="195"/>
      <c r="BS652" s="195"/>
      <c r="BT652" s="195"/>
      <c r="BU652" s="195"/>
    </row>
    <row r="653" ht="15.75" customHeight="1">
      <c r="A653" s="1004"/>
      <c r="B653" s="1004"/>
      <c r="C653" s="1005"/>
      <c r="D653" s="1005"/>
      <c r="E653" s="977"/>
      <c r="F653" s="1190"/>
      <c r="H653" s="1190"/>
      <c r="J653" s="1190"/>
      <c r="L653" s="1190"/>
      <c r="O653" s="1190"/>
      <c r="V653" s="1189"/>
      <c r="X653" s="1189"/>
      <c r="Z653" s="1190"/>
      <c r="AB653" s="1190"/>
      <c r="AH653" s="701"/>
      <c r="AJ653" s="701"/>
      <c r="BB653" s="1190"/>
      <c r="BD653" s="1190"/>
      <c r="BF653" s="1190"/>
      <c r="BH653" s="1190"/>
      <c r="BJ653" s="1190"/>
      <c r="BN653" s="206"/>
      <c r="BO653" s="206"/>
      <c r="BP653" s="206"/>
      <c r="BQ653" s="195"/>
      <c r="BR653" s="195"/>
      <c r="BS653" s="195"/>
      <c r="BT653" s="195"/>
      <c r="BU653" s="195"/>
    </row>
    <row r="654" ht="15.75" customHeight="1">
      <c r="A654" s="1004"/>
      <c r="B654" s="1004"/>
      <c r="C654" s="1005"/>
      <c r="D654" s="1005"/>
      <c r="E654" s="977"/>
      <c r="F654" s="1190"/>
      <c r="H654" s="1190"/>
      <c r="J654" s="1190"/>
      <c r="L654" s="1190"/>
      <c r="O654" s="1190"/>
      <c r="V654" s="1189"/>
      <c r="X654" s="1189"/>
      <c r="Z654" s="1190"/>
      <c r="AB654" s="1190"/>
      <c r="AH654" s="701"/>
      <c r="AJ654" s="701"/>
      <c r="BB654" s="1190"/>
      <c r="BD654" s="1190"/>
      <c r="BF654" s="1190"/>
      <c r="BH654" s="1190"/>
      <c r="BJ654" s="1190"/>
      <c r="BN654" s="206"/>
      <c r="BO654" s="206"/>
      <c r="BP654" s="206"/>
      <c r="BQ654" s="195"/>
      <c r="BR654" s="195"/>
      <c r="BS654" s="195"/>
      <c r="BT654" s="195"/>
      <c r="BU654" s="195"/>
    </row>
    <row r="655" ht="15.75" customHeight="1">
      <c r="A655" s="1004"/>
      <c r="B655" s="1004"/>
      <c r="C655" s="1005"/>
      <c r="D655" s="1005"/>
      <c r="E655" s="977"/>
      <c r="F655" s="1190"/>
      <c r="H655" s="1190"/>
      <c r="J655" s="1190"/>
      <c r="L655" s="1190"/>
      <c r="O655" s="1190"/>
      <c r="V655" s="1189"/>
      <c r="X655" s="1189"/>
      <c r="Z655" s="1190"/>
      <c r="AB655" s="1190"/>
      <c r="AH655" s="701"/>
      <c r="AJ655" s="701"/>
      <c r="BB655" s="1190"/>
      <c r="BD655" s="1190"/>
      <c r="BF655" s="1190"/>
      <c r="BH655" s="1190"/>
      <c r="BJ655" s="1190"/>
      <c r="BN655" s="206"/>
      <c r="BO655" s="206"/>
      <c r="BP655" s="206"/>
      <c r="BQ655" s="195"/>
      <c r="BR655" s="195"/>
      <c r="BS655" s="195"/>
      <c r="BT655" s="195"/>
      <c r="BU655" s="195"/>
    </row>
    <row r="656" ht="15.75" customHeight="1">
      <c r="A656" s="1004"/>
      <c r="B656" s="1004"/>
      <c r="C656" s="1005"/>
      <c r="D656" s="1005"/>
      <c r="E656" s="977"/>
      <c r="F656" s="1190"/>
      <c r="H656" s="1190"/>
      <c r="J656" s="1190"/>
      <c r="L656" s="1190"/>
      <c r="O656" s="1190"/>
      <c r="V656" s="1189"/>
      <c r="X656" s="1189"/>
      <c r="Z656" s="1190"/>
      <c r="AB656" s="1190"/>
      <c r="AH656" s="701"/>
      <c r="AJ656" s="701"/>
      <c r="BB656" s="1190"/>
      <c r="BD656" s="1190"/>
      <c r="BF656" s="1190"/>
      <c r="BH656" s="1190"/>
      <c r="BJ656" s="1190"/>
      <c r="BN656" s="206"/>
      <c r="BO656" s="206"/>
      <c r="BP656" s="206"/>
      <c r="BQ656" s="195"/>
      <c r="BR656" s="195"/>
      <c r="BS656" s="195"/>
      <c r="BT656" s="195"/>
      <c r="BU656" s="195"/>
    </row>
    <row r="657" ht="15.75" customHeight="1">
      <c r="A657" s="1004"/>
      <c r="B657" s="1004"/>
      <c r="C657" s="1005"/>
      <c r="D657" s="1005"/>
      <c r="E657" s="977"/>
      <c r="F657" s="1190"/>
      <c r="H657" s="1190"/>
      <c r="J657" s="1190"/>
      <c r="L657" s="1190"/>
      <c r="O657" s="1190"/>
      <c r="V657" s="1189"/>
      <c r="X657" s="1189"/>
      <c r="Z657" s="1190"/>
      <c r="AB657" s="1190"/>
      <c r="AH657" s="701"/>
      <c r="AJ657" s="701"/>
      <c r="BB657" s="1190"/>
      <c r="BD657" s="1190"/>
      <c r="BF657" s="1190"/>
      <c r="BH657" s="1190"/>
      <c r="BJ657" s="1190"/>
      <c r="BN657" s="206"/>
      <c r="BO657" s="206"/>
      <c r="BP657" s="206"/>
      <c r="BQ657" s="195"/>
      <c r="BR657" s="195"/>
      <c r="BS657" s="195"/>
      <c r="BT657" s="195"/>
      <c r="BU657" s="195"/>
    </row>
    <row r="658" ht="15.75" customHeight="1">
      <c r="A658" s="1004"/>
      <c r="B658" s="1004"/>
      <c r="C658" s="1005"/>
      <c r="D658" s="1005"/>
      <c r="E658" s="977"/>
      <c r="F658" s="1190"/>
      <c r="H658" s="1190"/>
      <c r="J658" s="1190"/>
      <c r="L658" s="1190"/>
      <c r="O658" s="1190"/>
      <c r="V658" s="1189"/>
      <c r="X658" s="1189"/>
      <c r="Z658" s="1190"/>
      <c r="AB658" s="1190"/>
      <c r="AH658" s="701"/>
      <c r="AJ658" s="701"/>
      <c r="BB658" s="1190"/>
      <c r="BD658" s="1190"/>
      <c r="BF658" s="1190"/>
      <c r="BH658" s="1190"/>
      <c r="BJ658" s="1190"/>
      <c r="BN658" s="206"/>
      <c r="BO658" s="206"/>
      <c r="BP658" s="206"/>
      <c r="BQ658" s="195"/>
      <c r="BR658" s="195"/>
      <c r="BS658" s="195"/>
      <c r="BT658" s="195"/>
      <c r="BU658" s="195"/>
    </row>
    <row r="659" ht="15.75" customHeight="1">
      <c r="A659" s="1004"/>
      <c r="B659" s="1004"/>
      <c r="C659" s="1005"/>
      <c r="D659" s="1005"/>
      <c r="E659" s="977"/>
      <c r="F659" s="1190"/>
      <c r="H659" s="1190"/>
      <c r="J659" s="1190"/>
      <c r="L659" s="1190"/>
      <c r="O659" s="1190"/>
      <c r="V659" s="1189"/>
      <c r="X659" s="1189"/>
      <c r="Z659" s="1190"/>
      <c r="AB659" s="1190"/>
      <c r="AH659" s="701"/>
      <c r="AJ659" s="701"/>
      <c r="BB659" s="1190"/>
      <c r="BD659" s="1190"/>
      <c r="BF659" s="1190"/>
      <c r="BH659" s="1190"/>
      <c r="BJ659" s="1190"/>
      <c r="BN659" s="206"/>
      <c r="BO659" s="206"/>
      <c r="BP659" s="206"/>
      <c r="BQ659" s="195"/>
      <c r="BR659" s="195"/>
      <c r="BS659" s="195"/>
      <c r="BT659" s="195"/>
      <c r="BU659" s="195"/>
    </row>
    <row r="660" ht="15.75" customHeight="1">
      <c r="A660" s="1004"/>
      <c r="B660" s="1004"/>
      <c r="C660" s="1005"/>
      <c r="D660" s="1005"/>
      <c r="E660" s="977"/>
      <c r="F660" s="1190"/>
      <c r="H660" s="1190"/>
      <c r="J660" s="1190"/>
      <c r="L660" s="1190"/>
      <c r="O660" s="1190"/>
      <c r="V660" s="1189"/>
      <c r="X660" s="1189"/>
      <c r="Z660" s="1190"/>
      <c r="AB660" s="1190"/>
      <c r="AH660" s="701"/>
      <c r="AJ660" s="701"/>
      <c r="BB660" s="1190"/>
      <c r="BD660" s="1190"/>
      <c r="BF660" s="1190"/>
      <c r="BH660" s="1190"/>
      <c r="BJ660" s="1190"/>
      <c r="BN660" s="206"/>
      <c r="BO660" s="206"/>
      <c r="BP660" s="206"/>
      <c r="BQ660" s="195"/>
      <c r="BR660" s="195"/>
      <c r="BS660" s="195"/>
      <c r="BT660" s="195"/>
      <c r="BU660" s="195"/>
    </row>
    <row r="661" ht="15.75" customHeight="1">
      <c r="A661" s="1004"/>
      <c r="B661" s="1004"/>
      <c r="C661" s="1005"/>
      <c r="D661" s="1005"/>
      <c r="E661" s="977"/>
      <c r="F661" s="1190"/>
      <c r="H661" s="1190"/>
      <c r="J661" s="1190"/>
      <c r="L661" s="1190"/>
      <c r="O661" s="1190"/>
      <c r="V661" s="1189"/>
      <c r="X661" s="1189"/>
      <c r="Z661" s="1190"/>
      <c r="AB661" s="1190"/>
      <c r="AH661" s="701"/>
      <c r="AJ661" s="701"/>
      <c r="BB661" s="1190"/>
      <c r="BD661" s="1190"/>
      <c r="BF661" s="1190"/>
      <c r="BH661" s="1190"/>
      <c r="BJ661" s="1190"/>
      <c r="BN661" s="206"/>
      <c r="BO661" s="206"/>
      <c r="BP661" s="206"/>
      <c r="BQ661" s="195"/>
      <c r="BR661" s="195"/>
      <c r="BS661" s="195"/>
      <c r="BT661" s="195"/>
      <c r="BU661" s="195"/>
    </row>
    <row r="662" ht="15.75" customHeight="1">
      <c r="A662" s="1004"/>
      <c r="B662" s="1004"/>
      <c r="C662" s="1005"/>
      <c r="D662" s="1005"/>
      <c r="E662" s="977"/>
      <c r="F662" s="1190"/>
      <c r="H662" s="1190"/>
      <c r="J662" s="1190"/>
      <c r="L662" s="1190"/>
      <c r="O662" s="1190"/>
      <c r="V662" s="1189"/>
      <c r="X662" s="1189"/>
      <c r="Z662" s="1190"/>
      <c r="AB662" s="1190"/>
      <c r="AH662" s="701"/>
      <c r="AJ662" s="701"/>
      <c r="BB662" s="1190"/>
      <c r="BD662" s="1190"/>
      <c r="BF662" s="1190"/>
      <c r="BH662" s="1190"/>
      <c r="BJ662" s="1190"/>
      <c r="BN662" s="206"/>
      <c r="BO662" s="206"/>
      <c r="BP662" s="206"/>
      <c r="BQ662" s="195"/>
      <c r="BR662" s="195"/>
      <c r="BS662" s="195"/>
      <c r="BT662" s="195"/>
      <c r="BU662" s="195"/>
    </row>
    <row r="663" ht="15.75" customHeight="1">
      <c r="A663" s="1004"/>
      <c r="B663" s="1004"/>
      <c r="C663" s="1005"/>
      <c r="D663" s="1005"/>
      <c r="E663" s="977"/>
      <c r="F663" s="1190"/>
      <c r="H663" s="1190"/>
      <c r="J663" s="1190"/>
      <c r="L663" s="1190"/>
      <c r="O663" s="1190"/>
      <c r="V663" s="1189"/>
      <c r="X663" s="1189"/>
      <c r="Z663" s="1190"/>
      <c r="AB663" s="1190"/>
      <c r="AH663" s="701"/>
      <c r="AJ663" s="701"/>
      <c r="BB663" s="1190"/>
      <c r="BD663" s="1190"/>
      <c r="BF663" s="1190"/>
      <c r="BH663" s="1190"/>
      <c r="BJ663" s="1190"/>
      <c r="BN663" s="206"/>
      <c r="BO663" s="206"/>
      <c r="BP663" s="206"/>
      <c r="BQ663" s="195"/>
      <c r="BR663" s="195"/>
      <c r="BS663" s="195"/>
      <c r="BT663" s="195"/>
      <c r="BU663" s="195"/>
    </row>
    <row r="664" ht="15.75" customHeight="1">
      <c r="A664" s="1004"/>
      <c r="B664" s="1004"/>
      <c r="C664" s="1005"/>
      <c r="D664" s="1005"/>
      <c r="E664" s="977"/>
      <c r="F664" s="1190"/>
      <c r="H664" s="1190"/>
      <c r="J664" s="1190"/>
      <c r="L664" s="1190"/>
      <c r="O664" s="1190"/>
      <c r="V664" s="1189"/>
      <c r="X664" s="1189"/>
      <c r="Z664" s="1190"/>
      <c r="AB664" s="1190"/>
      <c r="AH664" s="701"/>
      <c r="AJ664" s="701"/>
      <c r="BB664" s="1190"/>
      <c r="BD664" s="1190"/>
      <c r="BF664" s="1190"/>
      <c r="BH664" s="1190"/>
      <c r="BJ664" s="1190"/>
      <c r="BN664" s="206"/>
      <c r="BO664" s="206"/>
      <c r="BP664" s="206"/>
      <c r="BQ664" s="195"/>
      <c r="BR664" s="195"/>
      <c r="BS664" s="195"/>
      <c r="BT664" s="195"/>
      <c r="BU664" s="195"/>
    </row>
    <row r="665" ht="15.75" customHeight="1">
      <c r="A665" s="1004"/>
      <c r="B665" s="1004"/>
      <c r="C665" s="1005"/>
      <c r="D665" s="1005"/>
      <c r="E665" s="977"/>
      <c r="F665" s="1190"/>
      <c r="H665" s="1190"/>
      <c r="J665" s="1190"/>
      <c r="L665" s="1190"/>
      <c r="O665" s="1190"/>
      <c r="V665" s="1189"/>
      <c r="X665" s="1189"/>
      <c r="Z665" s="1190"/>
      <c r="AB665" s="1190"/>
      <c r="AH665" s="701"/>
      <c r="AJ665" s="701"/>
      <c r="BB665" s="1190"/>
      <c r="BD665" s="1190"/>
      <c r="BF665" s="1190"/>
      <c r="BH665" s="1190"/>
      <c r="BJ665" s="1190"/>
      <c r="BN665" s="206"/>
      <c r="BO665" s="206"/>
      <c r="BP665" s="206"/>
      <c r="BQ665" s="195"/>
      <c r="BR665" s="195"/>
      <c r="BS665" s="195"/>
      <c r="BT665" s="195"/>
      <c r="BU665" s="195"/>
    </row>
    <row r="666" ht="15.75" customHeight="1">
      <c r="A666" s="1004"/>
      <c r="B666" s="1004"/>
      <c r="C666" s="1005"/>
      <c r="D666" s="1005"/>
      <c r="E666" s="977"/>
      <c r="F666" s="1190"/>
      <c r="H666" s="1190"/>
      <c r="J666" s="1190"/>
      <c r="L666" s="1190"/>
      <c r="O666" s="1190"/>
      <c r="V666" s="1189"/>
      <c r="X666" s="1189"/>
      <c r="Z666" s="1190"/>
      <c r="AB666" s="1190"/>
      <c r="AH666" s="701"/>
      <c r="AJ666" s="701"/>
      <c r="BB666" s="1190"/>
      <c r="BD666" s="1190"/>
      <c r="BF666" s="1190"/>
      <c r="BH666" s="1190"/>
      <c r="BJ666" s="1190"/>
      <c r="BN666" s="206"/>
      <c r="BO666" s="206"/>
      <c r="BP666" s="206"/>
      <c r="BQ666" s="195"/>
      <c r="BR666" s="195"/>
      <c r="BS666" s="195"/>
      <c r="BT666" s="195"/>
      <c r="BU666" s="195"/>
    </row>
    <row r="667" ht="15.75" customHeight="1">
      <c r="A667" s="1004"/>
      <c r="B667" s="1004"/>
      <c r="C667" s="1005"/>
      <c r="D667" s="1005"/>
      <c r="E667" s="977"/>
      <c r="F667" s="1190"/>
      <c r="H667" s="1190"/>
      <c r="J667" s="1190"/>
      <c r="L667" s="1190"/>
      <c r="O667" s="1190"/>
      <c r="V667" s="1189"/>
      <c r="X667" s="1189"/>
      <c r="Z667" s="1190"/>
      <c r="AB667" s="1190"/>
      <c r="AH667" s="701"/>
      <c r="AJ667" s="701"/>
      <c r="BB667" s="1190"/>
      <c r="BD667" s="1190"/>
      <c r="BF667" s="1190"/>
      <c r="BH667" s="1190"/>
      <c r="BJ667" s="1190"/>
      <c r="BN667" s="206"/>
      <c r="BO667" s="206"/>
      <c r="BP667" s="206"/>
      <c r="BQ667" s="195"/>
      <c r="BR667" s="195"/>
      <c r="BS667" s="195"/>
      <c r="BT667" s="195"/>
      <c r="BU667" s="195"/>
    </row>
    <row r="668" ht="15.75" customHeight="1">
      <c r="A668" s="1004"/>
      <c r="B668" s="1004"/>
      <c r="C668" s="1005"/>
      <c r="D668" s="1005"/>
      <c r="E668" s="977"/>
      <c r="F668" s="1190"/>
      <c r="H668" s="1190"/>
      <c r="J668" s="1190"/>
      <c r="L668" s="1190"/>
      <c r="O668" s="1190"/>
      <c r="V668" s="1189"/>
      <c r="X668" s="1189"/>
      <c r="Z668" s="1190"/>
      <c r="AB668" s="1190"/>
      <c r="AH668" s="701"/>
      <c r="AJ668" s="701"/>
      <c r="BB668" s="1190"/>
      <c r="BD668" s="1190"/>
      <c r="BF668" s="1190"/>
      <c r="BH668" s="1190"/>
      <c r="BJ668" s="1190"/>
      <c r="BN668" s="206"/>
      <c r="BO668" s="206"/>
      <c r="BP668" s="206"/>
      <c r="BQ668" s="195"/>
      <c r="BR668" s="195"/>
      <c r="BS668" s="195"/>
      <c r="BT668" s="195"/>
      <c r="BU668" s="195"/>
    </row>
    <row r="669" ht="15.75" customHeight="1">
      <c r="A669" s="1004"/>
      <c r="B669" s="1004"/>
      <c r="C669" s="1005"/>
      <c r="D669" s="1005"/>
      <c r="E669" s="977"/>
      <c r="F669" s="1190"/>
      <c r="H669" s="1190"/>
      <c r="J669" s="1190"/>
      <c r="L669" s="1190"/>
      <c r="O669" s="1190"/>
      <c r="V669" s="1189"/>
      <c r="X669" s="1189"/>
      <c r="Z669" s="1190"/>
      <c r="AB669" s="1190"/>
      <c r="AH669" s="701"/>
      <c r="AJ669" s="701"/>
      <c r="BB669" s="1190"/>
      <c r="BD669" s="1190"/>
      <c r="BF669" s="1190"/>
      <c r="BH669" s="1190"/>
      <c r="BJ669" s="1190"/>
      <c r="BN669" s="206"/>
      <c r="BO669" s="206"/>
      <c r="BP669" s="206"/>
      <c r="BQ669" s="195"/>
      <c r="BR669" s="195"/>
      <c r="BS669" s="195"/>
      <c r="BT669" s="195"/>
      <c r="BU669" s="195"/>
    </row>
    <row r="670" ht="15.75" customHeight="1">
      <c r="A670" s="1004"/>
      <c r="B670" s="1004"/>
      <c r="C670" s="1005"/>
      <c r="D670" s="1005"/>
      <c r="E670" s="977"/>
      <c r="F670" s="1190"/>
      <c r="H670" s="1190"/>
      <c r="J670" s="1190"/>
      <c r="L670" s="1190"/>
      <c r="O670" s="1190"/>
      <c r="V670" s="1189"/>
      <c r="X670" s="1189"/>
      <c r="Z670" s="1190"/>
      <c r="AB670" s="1190"/>
      <c r="AH670" s="701"/>
      <c r="AJ670" s="701"/>
      <c r="BB670" s="1190"/>
      <c r="BD670" s="1190"/>
      <c r="BF670" s="1190"/>
      <c r="BH670" s="1190"/>
      <c r="BJ670" s="1190"/>
      <c r="BN670" s="206"/>
      <c r="BO670" s="206"/>
      <c r="BP670" s="206"/>
      <c r="BQ670" s="195"/>
      <c r="BR670" s="195"/>
      <c r="BS670" s="195"/>
      <c r="BT670" s="195"/>
      <c r="BU670" s="195"/>
    </row>
    <row r="671" ht="15.75" customHeight="1">
      <c r="A671" s="1004"/>
      <c r="B671" s="1004"/>
      <c r="C671" s="1005"/>
      <c r="D671" s="1005"/>
      <c r="E671" s="977"/>
      <c r="F671" s="1190"/>
      <c r="H671" s="1190"/>
      <c r="J671" s="1190"/>
      <c r="L671" s="1190"/>
      <c r="O671" s="1190"/>
      <c r="V671" s="1189"/>
      <c r="X671" s="1189"/>
      <c r="Z671" s="1190"/>
      <c r="AB671" s="1190"/>
      <c r="AH671" s="701"/>
      <c r="AJ671" s="701"/>
      <c r="BB671" s="1190"/>
      <c r="BD671" s="1190"/>
      <c r="BF671" s="1190"/>
      <c r="BH671" s="1190"/>
      <c r="BJ671" s="1190"/>
      <c r="BN671" s="206"/>
      <c r="BO671" s="206"/>
      <c r="BP671" s="206"/>
      <c r="BQ671" s="195"/>
      <c r="BR671" s="195"/>
      <c r="BS671" s="195"/>
      <c r="BT671" s="195"/>
      <c r="BU671" s="195"/>
    </row>
    <row r="672" ht="15.75" customHeight="1">
      <c r="A672" s="1004"/>
      <c r="B672" s="1004"/>
      <c r="C672" s="1005"/>
      <c r="D672" s="1005"/>
      <c r="E672" s="977"/>
      <c r="F672" s="1190"/>
      <c r="H672" s="1190"/>
      <c r="J672" s="1190"/>
      <c r="L672" s="1190"/>
      <c r="O672" s="1190"/>
      <c r="V672" s="1189"/>
      <c r="X672" s="1189"/>
      <c r="Z672" s="1190"/>
      <c r="AB672" s="1190"/>
      <c r="AH672" s="701"/>
      <c r="AJ672" s="701"/>
      <c r="BB672" s="1190"/>
      <c r="BD672" s="1190"/>
      <c r="BF672" s="1190"/>
      <c r="BH672" s="1190"/>
      <c r="BJ672" s="1190"/>
      <c r="BN672" s="206"/>
      <c r="BO672" s="206"/>
      <c r="BP672" s="206"/>
      <c r="BQ672" s="195"/>
      <c r="BR672" s="195"/>
      <c r="BS672" s="195"/>
      <c r="BT672" s="195"/>
      <c r="BU672" s="195"/>
    </row>
    <row r="673" ht="15.75" customHeight="1">
      <c r="A673" s="1004"/>
      <c r="B673" s="1004"/>
      <c r="C673" s="1005"/>
      <c r="D673" s="1005"/>
      <c r="E673" s="977"/>
      <c r="F673" s="1190"/>
      <c r="H673" s="1190"/>
      <c r="J673" s="1190"/>
      <c r="L673" s="1190"/>
      <c r="O673" s="1190"/>
      <c r="V673" s="1189"/>
      <c r="X673" s="1189"/>
      <c r="Z673" s="1190"/>
      <c r="AB673" s="1190"/>
      <c r="AH673" s="701"/>
      <c r="AJ673" s="701"/>
      <c r="BB673" s="1190"/>
      <c r="BD673" s="1190"/>
      <c r="BF673" s="1190"/>
      <c r="BH673" s="1190"/>
      <c r="BJ673" s="1190"/>
      <c r="BN673" s="206"/>
      <c r="BO673" s="206"/>
      <c r="BP673" s="206"/>
      <c r="BQ673" s="195"/>
      <c r="BR673" s="195"/>
      <c r="BS673" s="195"/>
      <c r="BT673" s="195"/>
      <c r="BU673" s="195"/>
    </row>
    <row r="674" ht="15.75" customHeight="1">
      <c r="A674" s="1004"/>
      <c r="B674" s="1004"/>
      <c r="C674" s="1005"/>
      <c r="D674" s="1005"/>
      <c r="E674" s="977"/>
      <c r="F674" s="1190"/>
      <c r="H674" s="1190"/>
      <c r="J674" s="1190"/>
      <c r="L674" s="1190"/>
      <c r="O674" s="1190"/>
      <c r="V674" s="1189"/>
      <c r="X674" s="1189"/>
      <c r="Z674" s="1190"/>
      <c r="AB674" s="1190"/>
      <c r="AH674" s="701"/>
      <c r="AJ674" s="701"/>
      <c r="BB674" s="1190"/>
      <c r="BD674" s="1190"/>
      <c r="BF674" s="1190"/>
      <c r="BH674" s="1190"/>
      <c r="BJ674" s="1190"/>
      <c r="BN674" s="206"/>
      <c r="BO674" s="206"/>
      <c r="BP674" s="206"/>
      <c r="BQ674" s="195"/>
      <c r="BR674" s="195"/>
      <c r="BS674" s="195"/>
      <c r="BT674" s="195"/>
      <c r="BU674" s="195"/>
    </row>
    <row r="675" ht="15.75" customHeight="1">
      <c r="A675" s="1004"/>
      <c r="B675" s="1004"/>
      <c r="C675" s="1005"/>
      <c r="D675" s="1005"/>
      <c r="E675" s="977"/>
      <c r="F675" s="1190"/>
      <c r="H675" s="1190"/>
      <c r="J675" s="1190"/>
      <c r="L675" s="1190"/>
      <c r="O675" s="1190"/>
      <c r="V675" s="1189"/>
      <c r="X675" s="1189"/>
      <c r="Z675" s="1190"/>
      <c r="AB675" s="1190"/>
      <c r="AH675" s="701"/>
      <c r="AJ675" s="701"/>
      <c r="BB675" s="1190"/>
      <c r="BD675" s="1190"/>
      <c r="BF675" s="1190"/>
      <c r="BH675" s="1190"/>
      <c r="BJ675" s="1190"/>
      <c r="BN675" s="206"/>
      <c r="BO675" s="206"/>
      <c r="BP675" s="206"/>
      <c r="BQ675" s="195"/>
      <c r="BR675" s="195"/>
      <c r="BS675" s="195"/>
      <c r="BT675" s="195"/>
      <c r="BU675" s="195"/>
    </row>
    <row r="676" ht="15.75" customHeight="1">
      <c r="A676" s="1004"/>
      <c r="B676" s="1004"/>
      <c r="C676" s="1005"/>
      <c r="D676" s="1005"/>
      <c r="E676" s="977"/>
      <c r="F676" s="1190"/>
      <c r="H676" s="1190"/>
      <c r="J676" s="1190"/>
      <c r="L676" s="1190"/>
      <c r="O676" s="1190"/>
      <c r="V676" s="1189"/>
      <c r="X676" s="1189"/>
      <c r="Z676" s="1190"/>
      <c r="AB676" s="1190"/>
      <c r="AH676" s="701"/>
      <c r="AJ676" s="701"/>
      <c r="BB676" s="1190"/>
      <c r="BD676" s="1190"/>
      <c r="BF676" s="1190"/>
      <c r="BH676" s="1190"/>
      <c r="BJ676" s="1190"/>
      <c r="BN676" s="206"/>
      <c r="BO676" s="206"/>
      <c r="BP676" s="206"/>
      <c r="BQ676" s="195"/>
      <c r="BR676" s="195"/>
      <c r="BS676" s="195"/>
      <c r="BT676" s="195"/>
      <c r="BU676" s="195"/>
    </row>
    <row r="677" ht="15.75" customHeight="1">
      <c r="A677" s="1004"/>
      <c r="B677" s="1004"/>
      <c r="C677" s="1005"/>
      <c r="D677" s="1005"/>
      <c r="E677" s="977"/>
      <c r="F677" s="1190"/>
      <c r="H677" s="1190"/>
      <c r="J677" s="1190"/>
      <c r="L677" s="1190"/>
      <c r="O677" s="1190"/>
      <c r="V677" s="1189"/>
      <c r="X677" s="1189"/>
      <c r="Z677" s="1190"/>
      <c r="AB677" s="1190"/>
      <c r="AH677" s="701"/>
      <c r="AJ677" s="701"/>
      <c r="BB677" s="1190"/>
      <c r="BD677" s="1190"/>
      <c r="BF677" s="1190"/>
      <c r="BH677" s="1190"/>
      <c r="BJ677" s="1190"/>
      <c r="BN677" s="206"/>
      <c r="BO677" s="206"/>
      <c r="BP677" s="206"/>
      <c r="BQ677" s="195"/>
      <c r="BR677" s="195"/>
      <c r="BS677" s="195"/>
      <c r="BT677" s="195"/>
      <c r="BU677" s="195"/>
    </row>
    <row r="678" ht="15.75" customHeight="1">
      <c r="A678" s="1004"/>
      <c r="B678" s="1004"/>
      <c r="C678" s="1005"/>
      <c r="D678" s="1005"/>
      <c r="E678" s="977"/>
      <c r="F678" s="1190"/>
      <c r="H678" s="1190"/>
      <c r="J678" s="1190"/>
      <c r="L678" s="1190"/>
      <c r="O678" s="1190"/>
      <c r="V678" s="1189"/>
      <c r="X678" s="1189"/>
      <c r="Z678" s="1190"/>
      <c r="AB678" s="1190"/>
      <c r="AH678" s="701"/>
      <c r="AJ678" s="701"/>
      <c r="BB678" s="1190"/>
      <c r="BD678" s="1190"/>
      <c r="BF678" s="1190"/>
      <c r="BH678" s="1190"/>
      <c r="BJ678" s="1190"/>
      <c r="BN678" s="206"/>
      <c r="BO678" s="206"/>
      <c r="BP678" s="206"/>
      <c r="BQ678" s="195"/>
      <c r="BR678" s="195"/>
      <c r="BS678" s="195"/>
      <c r="BT678" s="195"/>
      <c r="BU678" s="195"/>
    </row>
    <row r="679" ht="15.75" customHeight="1">
      <c r="A679" s="1004"/>
      <c r="B679" s="1004"/>
      <c r="C679" s="1005"/>
      <c r="D679" s="1005"/>
      <c r="E679" s="977"/>
      <c r="F679" s="1190"/>
      <c r="H679" s="1190"/>
      <c r="J679" s="1190"/>
      <c r="L679" s="1190"/>
      <c r="O679" s="1190"/>
      <c r="V679" s="1189"/>
      <c r="X679" s="1189"/>
      <c r="Z679" s="1190"/>
      <c r="AB679" s="1190"/>
      <c r="AH679" s="701"/>
      <c r="AJ679" s="701"/>
      <c r="BB679" s="1190"/>
      <c r="BD679" s="1190"/>
      <c r="BF679" s="1190"/>
      <c r="BH679" s="1190"/>
      <c r="BJ679" s="1190"/>
      <c r="BN679" s="206"/>
      <c r="BO679" s="206"/>
      <c r="BP679" s="206"/>
      <c r="BQ679" s="195"/>
      <c r="BR679" s="195"/>
      <c r="BS679" s="195"/>
      <c r="BT679" s="195"/>
      <c r="BU679" s="195"/>
    </row>
    <row r="680" ht="15.75" customHeight="1">
      <c r="A680" s="1004"/>
      <c r="B680" s="1004"/>
      <c r="C680" s="1005"/>
      <c r="D680" s="1005"/>
      <c r="E680" s="977"/>
      <c r="F680" s="1190"/>
      <c r="H680" s="1190"/>
      <c r="J680" s="1190"/>
      <c r="L680" s="1190"/>
      <c r="O680" s="1190"/>
      <c r="V680" s="1189"/>
      <c r="X680" s="1189"/>
      <c r="Z680" s="1190"/>
      <c r="AB680" s="1190"/>
      <c r="AH680" s="701"/>
      <c r="AJ680" s="701"/>
      <c r="BB680" s="1190"/>
      <c r="BD680" s="1190"/>
      <c r="BF680" s="1190"/>
      <c r="BH680" s="1190"/>
      <c r="BJ680" s="1190"/>
      <c r="BN680" s="206"/>
      <c r="BO680" s="206"/>
      <c r="BP680" s="206"/>
      <c r="BQ680" s="195"/>
      <c r="BR680" s="195"/>
      <c r="BS680" s="195"/>
      <c r="BT680" s="195"/>
      <c r="BU680" s="195"/>
    </row>
    <row r="681" ht="15.75" customHeight="1">
      <c r="A681" s="1004"/>
      <c r="B681" s="1004"/>
      <c r="C681" s="1005"/>
      <c r="D681" s="1005"/>
      <c r="E681" s="977"/>
      <c r="F681" s="1190"/>
      <c r="H681" s="1190"/>
      <c r="J681" s="1190"/>
      <c r="L681" s="1190"/>
      <c r="O681" s="1190"/>
      <c r="V681" s="1189"/>
      <c r="X681" s="1189"/>
      <c r="Z681" s="1190"/>
      <c r="AB681" s="1190"/>
      <c r="AH681" s="701"/>
      <c r="AJ681" s="701"/>
      <c r="BB681" s="1190"/>
      <c r="BD681" s="1190"/>
      <c r="BF681" s="1190"/>
      <c r="BH681" s="1190"/>
      <c r="BJ681" s="1190"/>
      <c r="BN681" s="206"/>
      <c r="BO681" s="206"/>
      <c r="BP681" s="206"/>
      <c r="BQ681" s="195"/>
      <c r="BR681" s="195"/>
      <c r="BS681" s="195"/>
      <c r="BT681" s="195"/>
      <c r="BU681" s="195"/>
    </row>
    <row r="682" ht="15.75" customHeight="1">
      <c r="A682" s="1004"/>
      <c r="B682" s="1004"/>
      <c r="C682" s="1005"/>
      <c r="D682" s="1005"/>
      <c r="E682" s="977"/>
      <c r="F682" s="1190"/>
      <c r="H682" s="1190"/>
      <c r="J682" s="1190"/>
      <c r="L682" s="1190"/>
      <c r="O682" s="1190"/>
      <c r="V682" s="1189"/>
      <c r="X682" s="1189"/>
      <c r="Z682" s="1190"/>
      <c r="AB682" s="1190"/>
      <c r="AH682" s="701"/>
      <c r="AJ682" s="701"/>
      <c r="BB682" s="1190"/>
      <c r="BD682" s="1190"/>
      <c r="BF682" s="1190"/>
      <c r="BH682" s="1190"/>
      <c r="BJ682" s="1190"/>
      <c r="BN682" s="206"/>
      <c r="BO682" s="206"/>
      <c r="BP682" s="206"/>
      <c r="BQ682" s="195"/>
      <c r="BR682" s="195"/>
      <c r="BS682" s="195"/>
      <c r="BT682" s="195"/>
      <c r="BU682" s="195"/>
    </row>
    <row r="683" ht="15.75" customHeight="1">
      <c r="A683" s="1004"/>
      <c r="B683" s="1004"/>
      <c r="C683" s="1005"/>
      <c r="D683" s="1005"/>
      <c r="E683" s="977"/>
      <c r="F683" s="1190"/>
      <c r="H683" s="1190"/>
      <c r="J683" s="1190"/>
      <c r="L683" s="1190"/>
      <c r="O683" s="1190"/>
      <c r="V683" s="1189"/>
      <c r="X683" s="1189"/>
      <c r="Z683" s="1190"/>
      <c r="AB683" s="1190"/>
      <c r="AH683" s="701"/>
      <c r="AJ683" s="701"/>
      <c r="BB683" s="1190"/>
      <c r="BD683" s="1190"/>
      <c r="BF683" s="1190"/>
      <c r="BH683" s="1190"/>
      <c r="BJ683" s="1190"/>
      <c r="BN683" s="206"/>
      <c r="BO683" s="206"/>
      <c r="BP683" s="206"/>
      <c r="BQ683" s="195"/>
      <c r="BR683" s="195"/>
      <c r="BS683" s="195"/>
      <c r="BT683" s="195"/>
      <c r="BU683" s="195"/>
    </row>
    <row r="684" ht="15.75" customHeight="1">
      <c r="A684" s="1004"/>
      <c r="B684" s="1004"/>
      <c r="C684" s="1005"/>
      <c r="D684" s="1005"/>
      <c r="E684" s="977"/>
      <c r="F684" s="1190"/>
      <c r="H684" s="1190"/>
      <c r="J684" s="1190"/>
      <c r="L684" s="1190"/>
      <c r="O684" s="1190"/>
      <c r="V684" s="1189"/>
      <c r="X684" s="1189"/>
      <c r="Z684" s="1190"/>
      <c r="AB684" s="1190"/>
      <c r="AH684" s="701"/>
      <c r="AJ684" s="701"/>
      <c r="BB684" s="1190"/>
      <c r="BD684" s="1190"/>
      <c r="BF684" s="1190"/>
      <c r="BH684" s="1190"/>
      <c r="BJ684" s="1190"/>
      <c r="BN684" s="206"/>
      <c r="BO684" s="206"/>
      <c r="BP684" s="206"/>
      <c r="BQ684" s="195"/>
      <c r="BR684" s="195"/>
      <c r="BS684" s="195"/>
      <c r="BT684" s="195"/>
      <c r="BU684" s="195"/>
    </row>
    <row r="685" ht="15.75" customHeight="1">
      <c r="A685" s="1004"/>
      <c r="B685" s="1004"/>
      <c r="C685" s="1005"/>
      <c r="D685" s="1005"/>
      <c r="E685" s="977"/>
      <c r="F685" s="1190"/>
      <c r="H685" s="1190"/>
      <c r="J685" s="1190"/>
      <c r="L685" s="1190"/>
      <c r="O685" s="1190"/>
      <c r="V685" s="1189"/>
      <c r="X685" s="1189"/>
      <c r="Z685" s="1190"/>
      <c r="AB685" s="1190"/>
      <c r="AH685" s="701"/>
      <c r="AJ685" s="701"/>
      <c r="BB685" s="1190"/>
      <c r="BD685" s="1190"/>
      <c r="BF685" s="1190"/>
      <c r="BH685" s="1190"/>
      <c r="BJ685" s="1190"/>
      <c r="BN685" s="206"/>
      <c r="BO685" s="206"/>
      <c r="BP685" s="206"/>
      <c r="BQ685" s="195"/>
      <c r="BR685" s="195"/>
      <c r="BS685" s="195"/>
      <c r="BT685" s="195"/>
      <c r="BU685" s="195"/>
    </row>
    <row r="686" ht="15.75" customHeight="1">
      <c r="A686" s="1004"/>
      <c r="B686" s="1004"/>
      <c r="C686" s="1005"/>
      <c r="D686" s="1005"/>
      <c r="E686" s="977"/>
      <c r="F686" s="1190"/>
      <c r="H686" s="1190"/>
      <c r="J686" s="1190"/>
      <c r="L686" s="1190"/>
      <c r="O686" s="1190"/>
      <c r="V686" s="1189"/>
      <c r="X686" s="1189"/>
      <c r="Z686" s="1190"/>
      <c r="AB686" s="1190"/>
      <c r="AH686" s="701"/>
      <c r="AJ686" s="701"/>
      <c r="BB686" s="1190"/>
      <c r="BD686" s="1190"/>
      <c r="BF686" s="1190"/>
      <c r="BH686" s="1190"/>
      <c r="BJ686" s="1190"/>
      <c r="BN686" s="206"/>
      <c r="BO686" s="206"/>
      <c r="BP686" s="206"/>
      <c r="BQ686" s="195"/>
      <c r="BR686" s="195"/>
      <c r="BS686" s="195"/>
      <c r="BT686" s="195"/>
      <c r="BU686" s="195"/>
    </row>
    <row r="687" ht="15.75" customHeight="1">
      <c r="A687" s="1004"/>
      <c r="B687" s="1004"/>
      <c r="C687" s="1005"/>
      <c r="D687" s="1005"/>
      <c r="E687" s="977"/>
      <c r="F687" s="1190"/>
      <c r="H687" s="1190"/>
      <c r="J687" s="1190"/>
      <c r="L687" s="1190"/>
      <c r="O687" s="1190"/>
      <c r="V687" s="1189"/>
      <c r="X687" s="1189"/>
      <c r="Z687" s="1190"/>
      <c r="AB687" s="1190"/>
      <c r="AH687" s="701"/>
      <c r="AJ687" s="701"/>
      <c r="BB687" s="1190"/>
      <c r="BD687" s="1190"/>
      <c r="BF687" s="1190"/>
      <c r="BH687" s="1190"/>
      <c r="BJ687" s="1190"/>
      <c r="BN687" s="206"/>
      <c r="BO687" s="206"/>
      <c r="BP687" s="206"/>
      <c r="BQ687" s="195"/>
      <c r="BR687" s="195"/>
      <c r="BS687" s="195"/>
      <c r="BT687" s="195"/>
      <c r="BU687" s="195"/>
    </row>
    <row r="688" ht="15.75" customHeight="1">
      <c r="A688" s="1004"/>
      <c r="B688" s="1004"/>
      <c r="C688" s="1005"/>
      <c r="D688" s="1005"/>
      <c r="E688" s="977"/>
      <c r="F688" s="1190"/>
      <c r="H688" s="1190"/>
      <c r="J688" s="1190"/>
      <c r="L688" s="1190"/>
      <c r="O688" s="1190"/>
      <c r="V688" s="1189"/>
      <c r="X688" s="1189"/>
      <c r="Z688" s="1190"/>
      <c r="AB688" s="1190"/>
      <c r="AH688" s="701"/>
      <c r="AJ688" s="701"/>
      <c r="BB688" s="1190"/>
      <c r="BD688" s="1190"/>
      <c r="BF688" s="1190"/>
      <c r="BH688" s="1190"/>
      <c r="BJ688" s="1190"/>
      <c r="BN688" s="206"/>
      <c r="BO688" s="206"/>
      <c r="BP688" s="206"/>
      <c r="BQ688" s="195"/>
      <c r="BR688" s="195"/>
      <c r="BS688" s="195"/>
      <c r="BT688" s="195"/>
      <c r="BU688" s="195"/>
    </row>
    <row r="689" ht="15.75" customHeight="1">
      <c r="A689" s="1004"/>
      <c r="B689" s="1004"/>
      <c r="C689" s="1005"/>
      <c r="D689" s="1005"/>
      <c r="E689" s="977"/>
      <c r="F689" s="1190"/>
      <c r="H689" s="1190"/>
      <c r="J689" s="1190"/>
      <c r="L689" s="1190"/>
      <c r="O689" s="1190"/>
      <c r="V689" s="1189"/>
      <c r="X689" s="1189"/>
      <c r="Z689" s="1190"/>
      <c r="AB689" s="1190"/>
      <c r="AH689" s="701"/>
      <c r="AJ689" s="701"/>
      <c r="BB689" s="1190"/>
      <c r="BD689" s="1190"/>
      <c r="BF689" s="1190"/>
      <c r="BH689" s="1190"/>
      <c r="BJ689" s="1190"/>
      <c r="BN689" s="206"/>
      <c r="BO689" s="206"/>
      <c r="BP689" s="206"/>
      <c r="BQ689" s="195"/>
      <c r="BR689" s="195"/>
      <c r="BS689" s="195"/>
      <c r="BT689" s="195"/>
      <c r="BU689" s="195"/>
    </row>
    <row r="690" ht="15.75" customHeight="1">
      <c r="A690" s="1004"/>
      <c r="B690" s="1004"/>
      <c r="C690" s="1005"/>
      <c r="D690" s="1005"/>
      <c r="E690" s="977"/>
      <c r="F690" s="1190"/>
      <c r="H690" s="1190"/>
      <c r="J690" s="1190"/>
      <c r="L690" s="1190"/>
      <c r="O690" s="1190"/>
      <c r="V690" s="1189"/>
      <c r="X690" s="1189"/>
      <c r="Z690" s="1190"/>
      <c r="AB690" s="1190"/>
      <c r="AH690" s="701"/>
      <c r="AJ690" s="701"/>
      <c r="BB690" s="1190"/>
      <c r="BD690" s="1190"/>
      <c r="BF690" s="1190"/>
      <c r="BH690" s="1190"/>
      <c r="BJ690" s="1190"/>
      <c r="BN690" s="206"/>
      <c r="BO690" s="206"/>
      <c r="BP690" s="206"/>
      <c r="BQ690" s="195"/>
      <c r="BR690" s="195"/>
      <c r="BS690" s="195"/>
      <c r="BT690" s="195"/>
      <c r="BU690" s="195"/>
    </row>
    <row r="691" ht="15.75" customHeight="1">
      <c r="A691" s="1004"/>
      <c r="B691" s="1004"/>
      <c r="C691" s="1005"/>
      <c r="D691" s="1005"/>
      <c r="E691" s="977"/>
      <c r="F691" s="1190"/>
      <c r="H691" s="1190"/>
      <c r="J691" s="1190"/>
      <c r="L691" s="1190"/>
      <c r="O691" s="1190"/>
      <c r="V691" s="1189"/>
      <c r="X691" s="1189"/>
      <c r="Z691" s="1190"/>
      <c r="AB691" s="1190"/>
      <c r="AH691" s="701"/>
      <c r="AJ691" s="701"/>
      <c r="BB691" s="1190"/>
      <c r="BD691" s="1190"/>
      <c r="BF691" s="1190"/>
      <c r="BH691" s="1190"/>
      <c r="BJ691" s="1190"/>
      <c r="BN691" s="206"/>
      <c r="BO691" s="206"/>
      <c r="BP691" s="206"/>
      <c r="BQ691" s="195"/>
      <c r="BR691" s="195"/>
      <c r="BS691" s="195"/>
      <c r="BT691" s="195"/>
      <c r="BU691" s="195"/>
    </row>
    <row r="692" ht="15.75" customHeight="1">
      <c r="A692" s="1004"/>
      <c r="B692" s="1004"/>
      <c r="C692" s="1005"/>
      <c r="D692" s="1005"/>
      <c r="E692" s="977"/>
      <c r="F692" s="1190"/>
      <c r="H692" s="1190"/>
      <c r="J692" s="1190"/>
      <c r="L692" s="1190"/>
      <c r="O692" s="1190"/>
      <c r="V692" s="1189"/>
      <c r="X692" s="1189"/>
      <c r="Z692" s="1190"/>
      <c r="AB692" s="1190"/>
      <c r="AH692" s="701"/>
      <c r="AJ692" s="701"/>
      <c r="BB692" s="1190"/>
      <c r="BD692" s="1190"/>
      <c r="BF692" s="1190"/>
      <c r="BH692" s="1190"/>
      <c r="BJ692" s="1190"/>
      <c r="BN692" s="206"/>
      <c r="BO692" s="206"/>
      <c r="BP692" s="206"/>
      <c r="BQ692" s="195"/>
      <c r="BR692" s="195"/>
      <c r="BS692" s="195"/>
      <c r="BT692" s="195"/>
      <c r="BU692" s="195"/>
    </row>
    <row r="693" ht="15.75" customHeight="1">
      <c r="A693" s="1004"/>
      <c r="B693" s="1004"/>
      <c r="C693" s="1005"/>
      <c r="D693" s="1005"/>
      <c r="E693" s="977"/>
      <c r="F693" s="1190"/>
      <c r="H693" s="1190"/>
      <c r="J693" s="1190"/>
      <c r="L693" s="1190"/>
      <c r="O693" s="1190"/>
      <c r="V693" s="1189"/>
      <c r="X693" s="1189"/>
      <c r="Z693" s="1190"/>
      <c r="AB693" s="1190"/>
      <c r="AH693" s="701"/>
      <c r="AJ693" s="701"/>
      <c r="BB693" s="1190"/>
      <c r="BD693" s="1190"/>
      <c r="BF693" s="1190"/>
      <c r="BH693" s="1190"/>
      <c r="BJ693" s="1190"/>
      <c r="BN693" s="206"/>
      <c r="BO693" s="206"/>
      <c r="BP693" s="206"/>
      <c r="BQ693" s="195"/>
      <c r="BR693" s="195"/>
      <c r="BS693" s="195"/>
      <c r="BT693" s="195"/>
      <c r="BU693" s="195"/>
    </row>
    <row r="694" ht="15.75" customHeight="1">
      <c r="A694" s="1004"/>
      <c r="B694" s="1004"/>
      <c r="C694" s="1005"/>
      <c r="D694" s="1005"/>
      <c r="E694" s="977"/>
      <c r="F694" s="1190"/>
      <c r="H694" s="1190"/>
      <c r="J694" s="1190"/>
      <c r="L694" s="1190"/>
      <c r="O694" s="1190"/>
      <c r="V694" s="1189"/>
      <c r="X694" s="1189"/>
      <c r="Z694" s="1190"/>
      <c r="AB694" s="1190"/>
      <c r="AH694" s="701"/>
      <c r="AJ694" s="701"/>
      <c r="BB694" s="1190"/>
      <c r="BD694" s="1190"/>
      <c r="BF694" s="1190"/>
      <c r="BH694" s="1190"/>
      <c r="BJ694" s="1190"/>
      <c r="BN694" s="206"/>
      <c r="BO694" s="206"/>
      <c r="BP694" s="206"/>
      <c r="BQ694" s="195"/>
      <c r="BR694" s="195"/>
      <c r="BS694" s="195"/>
      <c r="BT694" s="195"/>
      <c r="BU694" s="195"/>
    </row>
    <row r="695" ht="15.75" customHeight="1">
      <c r="A695" s="1004"/>
      <c r="B695" s="1004"/>
      <c r="C695" s="1005"/>
      <c r="D695" s="1005"/>
      <c r="E695" s="977"/>
      <c r="F695" s="1190"/>
      <c r="H695" s="1190"/>
      <c r="J695" s="1190"/>
      <c r="L695" s="1190"/>
      <c r="O695" s="1190"/>
      <c r="V695" s="1189"/>
      <c r="X695" s="1189"/>
      <c r="Z695" s="1190"/>
      <c r="AB695" s="1190"/>
      <c r="AH695" s="701"/>
      <c r="AJ695" s="701"/>
      <c r="BB695" s="1190"/>
      <c r="BD695" s="1190"/>
      <c r="BF695" s="1190"/>
      <c r="BH695" s="1190"/>
      <c r="BJ695" s="1190"/>
      <c r="BN695" s="206"/>
      <c r="BO695" s="206"/>
      <c r="BP695" s="206"/>
      <c r="BQ695" s="195"/>
      <c r="BR695" s="195"/>
      <c r="BS695" s="195"/>
      <c r="BT695" s="195"/>
      <c r="BU695" s="195"/>
    </row>
    <row r="696" ht="15.75" customHeight="1">
      <c r="A696" s="1004"/>
      <c r="B696" s="1004"/>
      <c r="C696" s="1005"/>
      <c r="D696" s="1005"/>
      <c r="E696" s="977"/>
      <c r="F696" s="1190"/>
      <c r="H696" s="1190"/>
      <c r="J696" s="1190"/>
      <c r="L696" s="1190"/>
      <c r="O696" s="1190"/>
      <c r="V696" s="1189"/>
      <c r="X696" s="1189"/>
      <c r="Z696" s="1190"/>
      <c r="AB696" s="1190"/>
      <c r="AH696" s="701"/>
      <c r="AJ696" s="701"/>
      <c r="BB696" s="1190"/>
      <c r="BD696" s="1190"/>
      <c r="BF696" s="1190"/>
      <c r="BH696" s="1190"/>
      <c r="BJ696" s="1190"/>
      <c r="BN696" s="206"/>
      <c r="BO696" s="206"/>
      <c r="BP696" s="206"/>
      <c r="BQ696" s="195"/>
      <c r="BR696" s="195"/>
      <c r="BS696" s="195"/>
      <c r="BT696" s="195"/>
      <c r="BU696" s="195"/>
    </row>
    <row r="697" ht="15.75" customHeight="1">
      <c r="A697" s="1004"/>
      <c r="B697" s="1004"/>
      <c r="C697" s="1005"/>
      <c r="D697" s="1005"/>
      <c r="E697" s="977"/>
      <c r="F697" s="1190"/>
      <c r="H697" s="1190"/>
      <c r="J697" s="1190"/>
      <c r="L697" s="1190"/>
      <c r="O697" s="1190"/>
      <c r="V697" s="1189"/>
      <c r="X697" s="1189"/>
      <c r="Z697" s="1190"/>
      <c r="AB697" s="1190"/>
      <c r="AH697" s="701"/>
      <c r="AJ697" s="701"/>
      <c r="BB697" s="1190"/>
      <c r="BD697" s="1190"/>
      <c r="BF697" s="1190"/>
      <c r="BH697" s="1190"/>
      <c r="BJ697" s="1190"/>
      <c r="BN697" s="206"/>
      <c r="BO697" s="206"/>
      <c r="BP697" s="206"/>
      <c r="BQ697" s="195"/>
      <c r="BR697" s="195"/>
      <c r="BS697" s="195"/>
      <c r="BT697" s="195"/>
      <c r="BU697" s="195"/>
    </row>
    <row r="698" ht="15.75" customHeight="1">
      <c r="A698" s="1004"/>
      <c r="B698" s="1004"/>
      <c r="C698" s="1005"/>
      <c r="D698" s="1005"/>
      <c r="E698" s="977"/>
      <c r="F698" s="1190"/>
      <c r="H698" s="1190"/>
      <c r="J698" s="1190"/>
      <c r="L698" s="1190"/>
      <c r="O698" s="1190"/>
      <c r="V698" s="1189"/>
      <c r="X698" s="1189"/>
      <c r="Z698" s="1190"/>
      <c r="AB698" s="1190"/>
      <c r="AH698" s="701"/>
      <c r="AJ698" s="701"/>
      <c r="BB698" s="1190"/>
      <c r="BD698" s="1190"/>
      <c r="BF698" s="1190"/>
      <c r="BH698" s="1190"/>
      <c r="BJ698" s="1190"/>
      <c r="BN698" s="206"/>
      <c r="BO698" s="206"/>
      <c r="BP698" s="206"/>
      <c r="BQ698" s="195"/>
      <c r="BR698" s="195"/>
      <c r="BS698" s="195"/>
      <c r="BT698" s="195"/>
      <c r="BU698" s="195"/>
    </row>
    <row r="699" ht="15.75" customHeight="1">
      <c r="A699" s="1004"/>
      <c r="B699" s="1004"/>
      <c r="C699" s="1005"/>
      <c r="D699" s="1005"/>
      <c r="E699" s="977"/>
      <c r="F699" s="1190"/>
      <c r="H699" s="1190"/>
      <c r="J699" s="1190"/>
      <c r="L699" s="1190"/>
      <c r="O699" s="1190"/>
      <c r="V699" s="1189"/>
      <c r="X699" s="1189"/>
      <c r="Z699" s="1190"/>
      <c r="AB699" s="1190"/>
      <c r="AH699" s="701"/>
      <c r="AJ699" s="701"/>
      <c r="BB699" s="1190"/>
      <c r="BD699" s="1190"/>
      <c r="BF699" s="1190"/>
      <c r="BH699" s="1190"/>
      <c r="BJ699" s="1190"/>
      <c r="BN699" s="206"/>
      <c r="BO699" s="206"/>
      <c r="BP699" s="206"/>
      <c r="BQ699" s="195"/>
      <c r="BR699" s="195"/>
      <c r="BS699" s="195"/>
      <c r="BT699" s="195"/>
      <c r="BU699" s="195"/>
    </row>
    <row r="700" ht="15.75" customHeight="1">
      <c r="A700" s="1004"/>
      <c r="B700" s="1004"/>
      <c r="C700" s="1005"/>
      <c r="D700" s="1005"/>
      <c r="E700" s="977"/>
      <c r="F700" s="1190"/>
      <c r="H700" s="1190"/>
      <c r="J700" s="1190"/>
      <c r="L700" s="1190"/>
      <c r="O700" s="1190"/>
      <c r="V700" s="1189"/>
      <c r="X700" s="1189"/>
      <c r="Z700" s="1190"/>
      <c r="AB700" s="1190"/>
      <c r="AH700" s="701"/>
      <c r="AJ700" s="701"/>
      <c r="BB700" s="1190"/>
      <c r="BD700" s="1190"/>
      <c r="BF700" s="1190"/>
      <c r="BH700" s="1190"/>
      <c r="BJ700" s="1190"/>
      <c r="BN700" s="206"/>
      <c r="BO700" s="206"/>
      <c r="BP700" s="206"/>
      <c r="BQ700" s="195"/>
      <c r="BR700" s="195"/>
      <c r="BS700" s="195"/>
      <c r="BT700" s="195"/>
      <c r="BU700" s="195"/>
    </row>
    <row r="701" ht="15.75" customHeight="1">
      <c r="A701" s="1004"/>
      <c r="B701" s="1004"/>
      <c r="C701" s="1005"/>
      <c r="D701" s="1005"/>
      <c r="E701" s="977"/>
      <c r="F701" s="1190"/>
      <c r="H701" s="1190"/>
      <c r="J701" s="1190"/>
      <c r="L701" s="1190"/>
      <c r="O701" s="1190"/>
      <c r="V701" s="1189"/>
      <c r="X701" s="1189"/>
      <c r="Z701" s="1190"/>
      <c r="AB701" s="1190"/>
      <c r="AH701" s="701"/>
      <c r="AJ701" s="701"/>
      <c r="BB701" s="1190"/>
      <c r="BD701" s="1190"/>
      <c r="BF701" s="1190"/>
      <c r="BH701" s="1190"/>
      <c r="BJ701" s="1190"/>
      <c r="BN701" s="206"/>
      <c r="BO701" s="206"/>
      <c r="BP701" s="206"/>
      <c r="BQ701" s="195"/>
      <c r="BR701" s="195"/>
      <c r="BS701" s="195"/>
      <c r="BT701" s="195"/>
      <c r="BU701" s="195"/>
    </row>
    <row r="702" ht="15.75" customHeight="1">
      <c r="A702" s="1004"/>
      <c r="B702" s="1004"/>
      <c r="C702" s="1005"/>
      <c r="D702" s="1005"/>
      <c r="E702" s="977"/>
      <c r="F702" s="1190"/>
      <c r="H702" s="1190"/>
      <c r="J702" s="1190"/>
      <c r="L702" s="1190"/>
      <c r="O702" s="1190"/>
      <c r="V702" s="1189"/>
      <c r="X702" s="1189"/>
      <c r="Z702" s="1190"/>
      <c r="AB702" s="1190"/>
      <c r="AH702" s="701"/>
      <c r="AJ702" s="701"/>
      <c r="BB702" s="1190"/>
      <c r="BD702" s="1190"/>
      <c r="BF702" s="1190"/>
      <c r="BH702" s="1190"/>
      <c r="BJ702" s="1190"/>
      <c r="BN702" s="206"/>
      <c r="BO702" s="206"/>
      <c r="BP702" s="206"/>
      <c r="BQ702" s="195"/>
      <c r="BR702" s="195"/>
      <c r="BS702" s="195"/>
      <c r="BT702" s="195"/>
      <c r="BU702" s="195"/>
    </row>
    <row r="703" ht="15.75" customHeight="1">
      <c r="A703" s="1004"/>
      <c r="B703" s="1004"/>
      <c r="C703" s="1005"/>
      <c r="D703" s="1005"/>
      <c r="E703" s="977"/>
      <c r="F703" s="1190"/>
      <c r="H703" s="1190"/>
      <c r="J703" s="1190"/>
      <c r="L703" s="1190"/>
      <c r="O703" s="1190"/>
      <c r="V703" s="1189"/>
      <c r="X703" s="1189"/>
      <c r="Z703" s="1190"/>
      <c r="AB703" s="1190"/>
      <c r="AH703" s="701"/>
      <c r="AJ703" s="701"/>
      <c r="BB703" s="1190"/>
      <c r="BD703" s="1190"/>
      <c r="BF703" s="1190"/>
      <c r="BH703" s="1190"/>
      <c r="BJ703" s="1190"/>
      <c r="BN703" s="206"/>
      <c r="BO703" s="206"/>
      <c r="BP703" s="206"/>
      <c r="BQ703" s="195"/>
      <c r="BR703" s="195"/>
      <c r="BS703" s="195"/>
      <c r="BT703" s="195"/>
      <c r="BU703" s="195"/>
    </row>
    <row r="704" ht="15.75" customHeight="1">
      <c r="A704" s="1004"/>
      <c r="B704" s="1004"/>
      <c r="C704" s="1005"/>
      <c r="D704" s="1005"/>
      <c r="E704" s="977"/>
      <c r="F704" s="1190"/>
      <c r="H704" s="1190"/>
      <c r="J704" s="1190"/>
      <c r="L704" s="1190"/>
      <c r="O704" s="1190"/>
      <c r="V704" s="1189"/>
      <c r="X704" s="1189"/>
      <c r="Z704" s="1190"/>
      <c r="AB704" s="1190"/>
      <c r="AH704" s="701"/>
      <c r="AJ704" s="701"/>
      <c r="BB704" s="1190"/>
      <c r="BD704" s="1190"/>
      <c r="BF704" s="1190"/>
      <c r="BH704" s="1190"/>
      <c r="BJ704" s="1190"/>
      <c r="BN704" s="206"/>
      <c r="BO704" s="206"/>
      <c r="BP704" s="206"/>
      <c r="BQ704" s="195"/>
      <c r="BR704" s="195"/>
      <c r="BS704" s="195"/>
      <c r="BT704" s="195"/>
      <c r="BU704" s="195"/>
    </row>
    <row r="705" ht="15.75" customHeight="1">
      <c r="A705" s="1004"/>
      <c r="B705" s="1004"/>
      <c r="C705" s="1005"/>
      <c r="D705" s="1005"/>
      <c r="E705" s="977"/>
      <c r="F705" s="1190"/>
      <c r="H705" s="1190"/>
      <c r="J705" s="1190"/>
      <c r="L705" s="1190"/>
      <c r="O705" s="1190"/>
      <c r="V705" s="1189"/>
      <c r="X705" s="1189"/>
      <c r="Z705" s="1190"/>
      <c r="AB705" s="1190"/>
      <c r="AH705" s="701"/>
      <c r="AJ705" s="701"/>
      <c r="BB705" s="1190"/>
      <c r="BD705" s="1190"/>
      <c r="BF705" s="1190"/>
      <c r="BH705" s="1190"/>
      <c r="BJ705" s="1190"/>
      <c r="BN705" s="206"/>
      <c r="BO705" s="206"/>
      <c r="BP705" s="206"/>
      <c r="BQ705" s="195"/>
      <c r="BR705" s="195"/>
      <c r="BS705" s="195"/>
      <c r="BT705" s="195"/>
      <c r="BU705" s="195"/>
    </row>
    <row r="706" ht="15.75" customHeight="1">
      <c r="A706" s="1004"/>
      <c r="B706" s="1004"/>
      <c r="C706" s="1005"/>
      <c r="D706" s="1005"/>
      <c r="E706" s="977"/>
      <c r="F706" s="1190"/>
      <c r="H706" s="1190"/>
      <c r="J706" s="1190"/>
      <c r="L706" s="1190"/>
      <c r="O706" s="1190"/>
      <c r="V706" s="1189"/>
      <c r="X706" s="1189"/>
      <c r="Z706" s="1190"/>
      <c r="AB706" s="1190"/>
      <c r="AH706" s="701"/>
      <c r="AJ706" s="701"/>
      <c r="BB706" s="1190"/>
      <c r="BD706" s="1190"/>
      <c r="BF706" s="1190"/>
      <c r="BH706" s="1190"/>
      <c r="BJ706" s="1190"/>
      <c r="BN706" s="206"/>
      <c r="BO706" s="206"/>
      <c r="BP706" s="206"/>
      <c r="BQ706" s="195"/>
      <c r="BR706" s="195"/>
      <c r="BS706" s="195"/>
      <c r="BT706" s="195"/>
      <c r="BU706" s="195"/>
    </row>
    <row r="707" ht="15.75" customHeight="1">
      <c r="A707" s="1004"/>
      <c r="B707" s="1004"/>
      <c r="C707" s="1005"/>
      <c r="D707" s="1005"/>
      <c r="E707" s="977"/>
      <c r="F707" s="1190"/>
      <c r="H707" s="1190"/>
      <c r="J707" s="1190"/>
      <c r="L707" s="1190"/>
      <c r="O707" s="1190"/>
      <c r="V707" s="1189"/>
      <c r="X707" s="1189"/>
      <c r="Z707" s="1190"/>
      <c r="AB707" s="1190"/>
      <c r="AH707" s="701"/>
      <c r="AJ707" s="701"/>
      <c r="BB707" s="1190"/>
      <c r="BD707" s="1190"/>
      <c r="BF707" s="1190"/>
      <c r="BH707" s="1190"/>
      <c r="BJ707" s="1190"/>
      <c r="BN707" s="206"/>
      <c r="BO707" s="206"/>
      <c r="BP707" s="206"/>
      <c r="BQ707" s="195"/>
      <c r="BR707" s="195"/>
      <c r="BS707" s="195"/>
      <c r="BT707" s="195"/>
      <c r="BU707" s="195"/>
    </row>
    <row r="708" ht="15.75" customHeight="1">
      <c r="A708" s="1004"/>
      <c r="B708" s="1004"/>
      <c r="C708" s="1005"/>
      <c r="D708" s="1005"/>
      <c r="E708" s="977"/>
      <c r="F708" s="1190"/>
      <c r="H708" s="1190"/>
      <c r="J708" s="1190"/>
      <c r="L708" s="1190"/>
      <c r="O708" s="1190"/>
      <c r="V708" s="1189"/>
      <c r="X708" s="1189"/>
      <c r="Z708" s="1190"/>
      <c r="AB708" s="1190"/>
      <c r="AH708" s="701"/>
      <c r="AJ708" s="701"/>
      <c r="BB708" s="1190"/>
      <c r="BD708" s="1190"/>
      <c r="BF708" s="1190"/>
      <c r="BH708" s="1190"/>
      <c r="BJ708" s="1190"/>
      <c r="BN708" s="206"/>
      <c r="BO708" s="206"/>
      <c r="BP708" s="206"/>
      <c r="BQ708" s="195"/>
      <c r="BR708" s="195"/>
      <c r="BS708" s="195"/>
      <c r="BT708" s="195"/>
      <c r="BU708" s="195"/>
    </row>
    <row r="709" ht="15.75" customHeight="1">
      <c r="A709" s="1004"/>
      <c r="B709" s="1004"/>
      <c r="C709" s="1005"/>
      <c r="D709" s="1005"/>
      <c r="E709" s="977"/>
      <c r="F709" s="1190"/>
      <c r="H709" s="1190"/>
      <c r="J709" s="1190"/>
      <c r="L709" s="1190"/>
      <c r="O709" s="1190"/>
      <c r="V709" s="1189"/>
      <c r="X709" s="1189"/>
      <c r="Z709" s="1190"/>
      <c r="AB709" s="1190"/>
      <c r="AH709" s="701"/>
      <c r="AJ709" s="701"/>
      <c r="BB709" s="1190"/>
      <c r="BD709" s="1190"/>
      <c r="BF709" s="1190"/>
      <c r="BH709" s="1190"/>
      <c r="BJ709" s="1190"/>
      <c r="BN709" s="206"/>
      <c r="BO709" s="206"/>
      <c r="BP709" s="206"/>
      <c r="BQ709" s="195"/>
      <c r="BR709" s="195"/>
      <c r="BS709" s="195"/>
      <c r="BT709" s="195"/>
      <c r="BU709" s="195"/>
    </row>
    <row r="710" ht="15.75" customHeight="1">
      <c r="A710" s="1004"/>
      <c r="B710" s="1004"/>
      <c r="C710" s="1005"/>
      <c r="D710" s="1005"/>
      <c r="E710" s="977"/>
      <c r="F710" s="1190"/>
      <c r="H710" s="1190"/>
      <c r="J710" s="1190"/>
      <c r="L710" s="1190"/>
      <c r="O710" s="1190"/>
      <c r="V710" s="1189"/>
      <c r="X710" s="1189"/>
      <c r="Z710" s="1190"/>
      <c r="AB710" s="1190"/>
      <c r="AH710" s="701"/>
      <c r="AJ710" s="701"/>
      <c r="BB710" s="1190"/>
      <c r="BD710" s="1190"/>
      <c r="BF710" s="1190"/>
      <c r="BH710" s="1190"/>
      <c r="BJ710" s="1190"/>
      <c r="BN710" s="206"/>
      <c r="BO710" s="206"/>
      <c r="BP710" s="206"/>
      <c r="BQ710" s="195"/>
      <c r="BR710" s="195"/>
      <c r="BS710" s="195"/>
      <c r="BT710" s="195"/>
      <c r="BU710" s="195"/>
    </row>
    <row r="711" ht="15.75" customHeight="1">
      <c r="A711" s="1004"/>
      <c r="B711" s="1004"/>
      <c r="C711" s="1005"/>
      <c r="D711" s="1005"/>
      <c r="E711" s="977"/>
      <c r="F711" s="1190"/>
      <c r="H711" s="1190"/>
      <c r="J711" s="1190"/>
      <c r="L711" s="1190"/>
      <c r="O711" s="1190"/>
      <c r="V711" s="1189"/>
      <c r="X711" s="1189"/>
      <c r="Z711" s="1190"/>
      <c r="AB711" s="1190"/>
      <c r="AH711" s="701"/>
      <c r="AJ711" s="701"/>
      <c r="BB711" s="1190"/>
      <c r="BD711" s="1190"/>
      <c r="BF711" s="1190"/>
      <c r="BH711" s="1190"/>
      <c r="BJ711" s="1190"/>
      <c r="BN711" s="206"/>
      <c r="BO711" s="206"/>
      <c r="BP711" s="206"/>
      <c r="BQ711" s="195"/>
      <c r="BR711" s="195"/>
      <c r="BS711" s="195"/>
      <c r="BT711" s="195"/>
      <c r="BU711" s="195"/>
    </row>
    <row r="712" ht="15.75" customHeight="1">
      <c r="A712" s="1004"/>
      <c r="B712" s="1004"/>
      <c r="C712" s="1005"/>
      <c r="D712" s="1005"/>
      <c r="E712" s="977"/>
      <c r="F712" s="1190"/>
      <c r="H712" s="1190"/>
      <c r="J712" s="1190"/>
      <c r="L712" s="1190"/>
      <c r="O712" s="1190"/>
      <c r="V712" s="1189"/>
      <c r="X712" s="1189"/>
      <c r="Z712" s="1190"/>
      <c r="AB712" s="1190"/>
      <c r="AH712" s="701"/>
      <c r="AJ712" s="701"/>
      <c r="BB712" s="1190"/>
      <c r="BD712" s="1190"/>
      <c r="BF712" s="1190"/>
      <c r="BH712" s="1190"/>
      <c r="BJ712" s="1190"/>
      <c r="BN712" s="206"/>
      <c r="BO712" s="206"/>
      <c r="BP712" s="206"/>
      <c r="BQ712" s="195"/>
      <c r="BR712" s="195"/>
      <c r="BS712" s="195"/>
      <c r="BT712" s="195"/>
      <c r="BU712" s="195"/>
    </row>
    <row r="713" ht="15.75" customHeight="1">
      <c r="A713" s="1004"/>
      <c r="B713" s="1004"/>
      <c r="C713" s="1005"/>
      <c r="D713" s="1005"/>
      <c r="E713" s="977"/>
      <c r="F713" s="1190"/>
      <c r="H713" s="1190"/>
      <c r="J713" s="1190"/>
      <c r="L713" s="1190"/>
      <c r="O713" s="1190"/>
      <c r="V713" s="1189"/>
      <c r="X713" s="1189"/>
      <c r="Z713" s="1190"/>
      <c r="AB713" s="1190"/>
      <c r="AH713" s="701"/>
      <c r="AJ713" s="701"/>
      <c r="BB713" s="1190"/>
      <c r="BD713" s="1190"/>
      <c r="BF713" s="1190"/>
      <c r="BH713" s="1190"/>
      <c r="BJ713" s="1190"/>
      <c r="BN713" s="206"/>
      <c r="BO713" s="206"/>
      <c r="BP713" s="206"/>
      <c r="BQ713" s="195"/>
      <c r="BR713" s="195"/>
      <c r="BS713" s="195"/>
      <c r="BT713" s="195"/>
      <c r="BU713" s="195"/>
    </row>
    <row r="714" ht="15.75" customHeight="1">
      <c r="A714" s="1004"/>
      <c r="B714" s="1004"/>
      <c r="C714" s="1005"/>
      <c r="D714" s="1005"/>
      <c r="E714" s="977"/>
      <c r="F714" s="1190"/>
      <c r="H714" s="1190"/>
      <c r="J714" s="1190"/>
      <c r="L714" s="1190"/>
      <c r="O714" s="1190"/>
      <c r="V714" s="1189"/>
      <c r="X714" s="1189"/>
      <c r="Z714" s="1190"/>
      <c r="AB714" s="1190"/>
      <c r="AH714" s="701"/>
      <c r="AJ714" s="701"/>
      <c r="BB714" s="1190"/>
      <c r="BD714" s="1190"/>
      <c r="BF714" s="1190"/>
      <c r="BH714" s="1190"/>
      <c r="BJ714" s="1190"/>
      <c r="BN714" s="206"/>
      <c r="BO714" s="206"/>
      <c r="BP714" s="206"/>
      <c r="BQ714" s="195"/>
      <c r="BR714" s="195"/>
      <c r="BS714" s="195"/>
      <c r="BT714" s="195"/>
      <c r="BU714" s="195"/>
    </row>
    <row r="715" ht="15.75" customHeight="1">
      <c r="A715" s="1004"/>
      <c r="B715" s="1004"/>
      <c r="C715" s="1005"/>
      <c r="D715" s="1005"/>
      <c r="E715" s="977"/>
      <c r="F715" s="1190"/>
      <c r="H715" s="1190"/>
      <c r="J715" s="1190"/>
      <c r="L715" s="1190"/>
      <c r="O715" s="1190"/>
      <c r="V715" s="1189"/>
      <c r="X715" s="1189"/>
      <c r="Z715" s="1190"/>
      <c r="AB715" s="1190"/>
      <c r="AH715" s="701"/>
      <c r="AJ715" s="701"/>
      <c r="BB715" s="1190"/>
      <c r="BD715" s="1190"/>
      <c r="BF715" s="1190"/>
      <c r="BH715" s="1190"/>
      <c r="BJ715" s="1190"/>
      <c r="BN715" s="206"/>
      <c r="BO715" s="206"/>
      <c r="BP715" s="206"/>
      <c r="BQ715" s="195"/>
      <c r="BR715" s="195"/>
      <c r="BS715" s="195"/>
      <c r="BT715" s="195"/>
      <c r="BU715" s="195"/>
    </row>
    <row r="716" ht="15.75" customHeight="1">
      <c r="A716" s="1004"/>
      <c r="B716" s="1004"/>
      <c r="C716" s="1005"/>
      <c r="D716" s="1005"/>
      <c r="E716" s="977"/>
      <c r="F716" s="1190"/>
      <c r="H716" s="1190"/>
      <c r="J716" s="1190"/>
      <c r="L716" s="1190"/>
      <c r="O716" s="1190"/>
      <c r="V716" s="1189"/>
      <c r="X716" s="1189"/>
      <c r="Z716" s="1190"/>
      <c r="AB716" s="1190"/>
      <c r="AH716" s="701"/>
      <c r="AJ716" s="701"/>
      <c r="BB716" s="1190"/>
      <c r="BD716" s="1190"/>
      <c r="BF716" s="1190"/>
      <c r="BH716" s="1190"/>
      <c r="BJ716" s="1190"/>
      <c r="BN716" s="206"/>
      <c r="BO716" s="206"/>
      <c r="BP716" s="206"/>
      <c r="BQ716" s="195"/>
      <c r="BR716" s="195"/>
      <c r="BS716" s="195"/>
      <c r="BT716" s="195"/>
      <c r="BU716" s="195"/>
    </row>
    <row r="717" ht="15.75" customHeight="1">
      <c r="A717" s="1004"/>
      <c r="B717" s="1004"/>
      <c r="C717" s="1005"/>
      <c r="D717" s="1005"/>
      <c r="E717" s="977"/>
      <c r="F717" s="1190"/>
      <c r="H717" s="1190"/>
      <c r="J717" s="1190"/>
      <c r="L717" s="1190"/>
      <c r="O717" s="1190"/>
      <c r="V717" s="1189"/>
      <c r="X717" s="1189"/>
      <c r="Z717" s="1190"/>
      <c r="AB717" s="1190"/>
      <c r="AH717" s="701"/>
      <c r="AJ717" s="701"/>
      <c r="BB717" s="1190"/>
      <c r="BD717" s="1190"/>
      <c r="BF717" s="1190"/>
      <c r="BH717" s="1190"/>
      <c r="BJ717" s="1190"/>
      <c r="BN717" s="206"/>
      <c r="BO717" s="206"/>
      <c r="BP717" s="206"/>
      <c r="BQ717" s="195"/>
      <c r="BR717" s="195"/>
      <c r="BS717" s="195"/>
      <c r="BT717" s="195"/>
      <c r="BU717" s="195"/>
    </row>
    <row r="718" ht="15.75" customHeight="1">
      <c r="A718" s="1004"/>
      <c r="B718" s="1004"/>
      <c r="C718" s="1005"/>
      <c r="D718" s="1005"/>
      <c r="E718" s="977"/>
      <c r="F718" s="1190"/>
      <c r="H718" s="1190"/>
      <c r="J718" s="1190"/>
      <c r="L718" s="1190"/>
      <c r="O718" s="1190"/>
      <c r="V718" s="1189"/>
      <c r="X718" s="1189"/>
      <c r="Z718" s="1190"/>
      <c r="AB718" s="1190"/>
      <c r="AH718" s="701"/>
      <c r="AJ718" s="701"/>
      <c r="BB718" s="1190"/>
      <c r="BD718" s="1190"/>
      <c r="BF718" s="1190"/>
      <c r="BH718" s="1190"/>
      <c r="BJ718" s="1190"/>
      <c r="BN718" s="206"/>
      <c r="BO718" s="206"/>
      <c r="BP718" s="206"/>
      <c r="BQ718" s="195"/>
      <c r="BR718" s="195"/>
      <c r="BS718" s="195"/>
      <c r="BT718" s="195"/>
      <c r="BU718" s="195"/>
    </row>
    <row r="719" ht="15.75" customHeight="1">
      <c r="A719" s="1004"/>
      <c r="B719" s="1004"/>
      <c r="C719" s="1005"/>
      <c r="D719" s="1005"/>
      <c r="E719" s="977"/>
      <c r="F719" s="1190"/>
      <c r="H719" s="1190"/>
      <c r="J719" s="1190"/>
      <c r="L719" s="1190"/>
      <c r="O719" s="1190"/>
      <c r="V719" s="1189"/>
      <c r="X719" s="1189"/>
      <c r="Z719" s="1190"/>
      <c r="AB719" s="1190"/>
      <c r="AH719" s="701"/>
      <c r="AJ719" s="701"/>
      <c r="BB719" s="1190"/>
      <c r="BD719" s="1190"/>
      <c r="BF719" s="1190"/>
      <c r="BH719" s="1190"/>
      <c r="BJ719" s="1190"/>
      <c r="BN719" s="206"/>
      <c r="BO719" s="206"/>
      <c r="BP719" s="206"/>
      <c r="BQ719" s="195"/>
      <c r="BR719" s="195"/>
      <c r="BS719" s="195"/>
      <c r="BT719" s="195"/>
      <c r="BU719" s="195"/>
    </row>
    <row r="720" ht="15.75" customHeight="1">
      <c r="A720" s="1004"/>
      <c r="B720" s="1004"/>
      <c r="C720" s="1005"/>
      <c r="D720" s="1005"/>
      <c r="E720" s="977"/>
      <c r="F720" s="1190"/>
      <c r="H720" s="1190"/>
      <c r="J720" s="1190"/>
      <c r="L720" s="1190"/>
      <c r="O720" s="1190"/>
      <c r="V720" s="1189"/>
      <c r="X720" s="1189"/>
      <c r="Z720" s="1190"/>
      <c r="AB720" s="1190"/>
      <c r="AH720" s="701"/>
      <c r="AJ720" s="701"/>
      <c r="BB720" s="1190"/>
      <c r="BD720" s="1190"/>
      <c r="BF720" s="1190"/>
      <c r="BH720" s="1190"/>
      <c r="BJ720" s="1190"/>
      <c r="BN720" s="206"/>
      <c r="BO720" s="206"/>
      <c r="BP720" s="206"/>
      <c r="BQ720" s="195"/>
      <c r="BR720" s="195"/>
      <c r="BS720" s="195"/>
      <c r="BT720" s="195"/>
      <c r="BU720" s="195"/>
    </row>
    <row r="721" ht="15.75" customHeight="1">
      <c r="A721" s="1004"/>
      <c r="B721" s="1004"/>
      <c r="C721" s="1005"/>
      <c r="D721" s="1005"/>
      <c r="E721" s="977"/>
      <c r="F721" s="1190"/>
      <c r="H721" s="1190"/>
      <c r="J721" s="1190"/>
      <c r="L721" s="1190"/>
      <c r="O721" s="1190"/>
      <c r="V721" s="1189"/>
      <c r="X721" s="1189"/>
      <c r="Z721" s="1190"/>
      <c r="AB721" s="1190"/>
      <c r="AH721" s="701"/>
      <c r="AJ721" s="701"/>
      <c r="BB721" s="1190"/>
      <c r="BD721" s="1190"/>
      <c r="BF721" s="1190"/>
      <c r="BH721" s="1190"/>
      <c r="BJ721" s="1190"/>
      <c r="BN721" s="206"/>
      <c r="BO721" s="206"/>
      <c r="BP721" s="206"/>
      <c r="BQ721" s="195"/>
      <c r="BR721" s="195"/>
      <c r="BS721" s="195"/>
      <c r="BT721" s="195"/>
      <c r="BU721" s="195"/>
    </row>
    <row r="722" ht="15.75" customHeight="1">
      <c r="A722" s="1004"/>
      <c r="B722" s="1004"/>
      <c r="C722" s="1005"/>
      <c r="D722" s="1005"/>
      <c r="E722" s="977"/>
      <c r="F722" s="1190"/>
      <c r="H722" s="1190"/>
      <c r="J722" s="1190"/>
      <c r="L722" s="1190"/>
      <c r="O722" s="1190"/>
      <c r="V722" s="1189"/>
      <c r="X722" s="1189"/>
      <c r="Z722" s="1190"/>
      <c r="AB722" s="1190"/>
      <c r="AH722" s="701"/>
      <c r="AJ722" s="701"/>
      <c r="BB722" s="1190"/>
      <c r="BD722" s="1190"/>
      <c r="BF722" s="1190"/>
      <c r="BH722" s="1190"/>
      <c r="BJ722" s="1190"/>
      <c r="BN722" s="206"/>
      <c r="BO722" s="206"/>
      <c r="BP722" s="206"/>
      <c r="BQ722" s="195"/>
      <c r="BR722" s="195"/>
      <c r="BS722" s="195"/>
      <c r="BT722" s="195"/>
      <c r="BU722" s="195"/>
    </row>
    <row r="723" ht="15.75" customHeight="1">
      <c r="A723" s="1004"/>
      <c r="B723" s="1004"/>
      <c r="C723" s="1005"/>
      <c r="D723" s="1005"/>
      <c r="E723" s="977"/>
      <c r="F723" s="1190"/>
      <c r="H723" s="1190"/>
      <c r="J723" s="1190"/>
      <c r="L723" s="1190"/>
      <c r="O723" s="1190"/>
      <c r="V723" s="1189"/>
      <c r="X723" s="1189"/>
      <c r="Z723" s="1190"/>
      <c r="AB723" s="1190"/>
      <c r="AH723" s="701"/>
      <c r="AJ723" s="701"/>
      <c r="BB723" s="1190"/>
      <c r="BD723" s="1190"/>
      <c r="BF723" s="1190"/>
      <c r="BH723" s="1190"/>
      <c r="BJ723" s="1190"/>
      <c r="BN723" s="206"/>
      <c r="BO723" s="206"/>
      <c r="BP723" s="206"/>
      <c r="BQ723" s="195"/>
      <c r="BR723" s="195"/>
      <c r="BS723" s="195"/>
      <c r="BT723" s="195"/>
      <c r="BU723" s="195"/>
    </row>
    <row r="724" ht="15.75" customHeight="1">
      <c r="A724" s="1004"/>
      <c r="B724" s="1004"/>
      <c r="C724" s="1005"/>
      <c r="D724" s="1005"/>
      <c r="E724" s="977"/>
      <c r="F724" s="1190"/>
      <c r="H724" s="1190"/>
      <c r="J724" s="1190"/>
      <c r="L724" s="1190"/>
      <c r="O724" s="1190"/>
      <c r="V724" s="1189"/>
      <c r="X724" s="1189"/>
      <c r="Z724" s="1190"/>
      <c r="AB724" s="1190"/>
      <c r="AH724" s="701"/>
      <c r="AJ724" s="701"/>
      <c r="BB724" s="1190"/>
      <c r="BD724" s="1190"/>
      <c r="BF724" s="1190"/>
      <c r="BH724" s="1190"/>
      <c r="BJ724" s="1190"/>
      <c r="BN724" s="206"/>
      <c r="BO724" s="206"/>
      <c r="BP724" s="206"/>
      <c r="BQ724" s="195"/>
      <c r="BR724" s="195"/>
      <c r="BS724" s="195"/>
      <c r="BT724" s="195"/>
      <c r="BU724" s="195"/>
    </row>
    <row r="725" ht="15.75" customHeight="1">
      <c r="A725" s="1004"/>
      <c r="B725" s="1004"/>
      <c r="C725" s="1005"/>
      <c r="D725" s="1005"/>
      <c r="E725" s="977"/>
      <c r="F725" s="1190"/>
      <c r="H725" s="1190"/>
      <c r="J725" s="1190"/>
      <c r="L725" s="1190"/>
      <c r="O725" s="1190"/>
      <c r="V725" s="1189"/>
      <c r="X725" s="1189"/>
      <c r="Z725" s="1190"/>
      <c r="AB725" s="1190"/>
      <c r="AH725" s="701"/>
      <c r="AJ725" s="701"/>
      <c r="BB725" s="1190"/>
      <c r="BD725" s="1190"/>
      <c r="BF725" s="1190"/>
      <c r="BH725" s="1190"/>
      <c r="BJ725" s="1190"/>
      <c r="BN725" s="206"/>
      <c r="BO725" s="206"/>
      <c r="BP725" s="206"/>
      <c r="BQ725" s="195"/>
      <c r="BR725" s="195"/>
      <c r="BS725" s="195"/>
      <c r="BT725" s="195"/>
      <c r="BU725" s="195"/>
    </row>
    <row r="726" ht="15.75" customHeight="1">
      <c r="A726" s="1004"/>
      <c r="B726" s="1004"/>
      <c r="C726" s="1005"/>
      <c r="D726" s="1005"/>
      <c r="E726" s="977"/>
      <c r="F726" s="1190"/>
      <c r="H726" s="1190"/>
      <c r="J726" s="1190"/>
      <c r="L726" s="1190"/>
      <c r="O726" s="1190"/>
      <c r="V726" s="1189"/>
      <c r="X726" s="1189"/>
      <c r="Z726" s="1190"/>
      <c r="AB726" s="1190"/>
      <c r="AH726" s="701"/>
      <c r="AJ726" s="701"/>
      <c r="BB726" s="1190"/>
      <c r="BD726" s="1190"/>
      <c r="BF726" s="1190"/>
      <c r="BH726" s="1190"/>
      <c r="BJ726" s="1190"/>
      <c r="BN726" s="206"/>
      <c r="BO726" s="206"/>
      <c r="BP726" s="206"/>
      <c r="BQ726" s="195"/>
      <c r="BR726" s="195"/>
      <c r="BS726" s="195"/>
      <c r="BT726" s="195"/>
      <c r="BU726" s="195"/>
    </row>
    <row r="727" ht="15.75" customHeight="1">
      <c r="A727" s="1004"/>
      <c r="B727" s="1004"/>
      <c r="C727" s="1005"/>
      <c r="D727" s="1005"/>
      <c r="E727" s="977"/>
      <c r="F727" s="1190"/>
      <c r="H727" s="1190"/>
      <c r="J727" s="1190"/>
      <c r="L727" s="1190"/>
      <c r="O727" s="1190"/>
      <c r="V727" s="1189"/>
      <c r="X727" s="1189"/>
      <c r="Z727" s="1190"/>
      <c r="AB727" s="1190"/>
      <c r="AH727" s="701"/>
      <c r="AJ727" s="701"/>
      <c r="BB727" s="1190"/>
      <c r="BD727" s="1190"/>
      <c r="BF727" s="1190"/>
      <c r="BH727" s="1190"/>
      <c r="BJ727" s="1190"/>
      <c r="BN727" s="206"/>
      <c r="BO727" s="206"/>
      <c r="BP727" s="206"/>
      <c r="BQ727" s="195"/>
      <c r="BR727" s="195"/>
      <c r="BS727" s="195"/>
      <c r="BT727" s="195"/>
      <c r="BU727" s="195"/>
    </row>
    <row r="728" ht="15.75" customHeight="1">
      <c r="A728" s="1004"/>
      <c r="B728" s="1004"/>
      <c r="C728" s="1005"/>
      <c r="D728" s="1005"/>
      <c r="E728" s="977"/>
      <c r="F728" s="1190"/>
      <c r="H728" s="1190"/>
      <c r="J728" s="1190"/>
      <c r="L728" s="1190"/>
      <c r="O728" s="1190"/>
      <c r="V728" s="1189"/>
      <c r="X728" s="1189"/>
      <c r="Z728" s="1190"/>
      <c r="AB728" s="1190"/>
      <c r="AH728" s="701"/>
      <c r="AJ728" s="701"/>
      <c r="BB728" s="1190"/>
      <c r="BD728" s="1190"/>
      <c r="BF728" s="1190"/>
      <c r="BH728" s="1190"/>
      <c r="BJ728" s="1190"/>
      <c r="BN728" s="206"/>
      <c r="BO728" s="206"/>
      <c r="BP728" s="206"/>
      <c r="BQ728" s="195"/>
      <c r="BR728" s="195"/>
      <c r="BS728" s="195"/>
      <c r="BT728" s="195"/>
      <c r="BU728" s="195"/>
    </row>
    <row r="729" ht="15.75" customHeight="1">
      <c r="A729" s="1004"/>
      <c r="B729" s="1004"/>
      <c r="C729" s="1005"/>
      <c r="D729" s="1005"/>
      <c r="E729" s="977"/>
      <c r="F729" s="1190"/>
      <c r="H729" s="1190"/>
      <c r="J729" s="1190"/>
      <c r="L729" s="1190"/>
      <c r="O729" s="1190"/>
      <c r="V729" s="1189"/>
      <c r="X729" s="1189"/>
      <c r="Z729" s="1190"/>
      <c r="AB729" s="1190"/>
      <c r="AH729" s="701"/>
      <c r="AJ729" s="701"/>
      <c r="BB729" s="1190"/>
      <c r="BD729" s="1190"/>
      <c r="BF729" s="1190"/>
      <c r="BH729" s="1190"/>
      <c r="BJ729" s="1190"/>
      <c r="BN729" s="206"/>
      <c r="BO729" s="206"/>
      <c r="BP729" s="206"/>
      <c r="BQ729" s="195"/>
      <c r="BR729" s="195"/>
      <c r="BS729" s="195"/>
      <c r="BT729" s="195"/>
      <c r="BU729" s="195"/>
    </row>
    <row r="730" ht="15.75" customHeight="1">
      <c r="A730" s="1004"/>
      <c r="B730" s="1004"/>
      <c r="C730" s="1005"/>
      <c r="D730" s="1005"/>
      <c r="E730" s="977"/>
      <c r="F730" s="1190"/>
      <c r="H730" s="1190"/>
      <c r="J730" s="1190"/>
      <c r="L730" s="1190"/>
      <c r="O730" s="1190"/>
      <c r="V730" s="1189"/>
      <c r="X730" s="1189"/>
      <c r="Z730" s="1190"/>
      <c r="AB730" s="1190"/>
      <c r="AH730" s="701"/>
      <c r="AJ730" s="701"/>
      <c r="BB730" s="1190"/>
      <c r="BD730" s="1190"/>
      <c r="BF730" s="1190"/>
      <c r="BH730" s="1190"/>
      <c r="BJ730" s="1190"/>
      <c r="BN730" s="206"/>
      <c r="BO730" s="206"/>
      <c r="BP730" s="206"/>
      <c r="BQ730" s="195"/>
      <c r="BR730" s="195"/>
      <c r="BS730" s="195"/>
      <c r="BT730" s="195"/>
      <c r="BU730" s="195"/>
    </row>
    <row r="731" ht="15.75" customHeight="1">
      <c r="A731" s="1004"/>
      <c r="B731" s="1004"/>
      <c r="C731" s="1005"/>
      <c r="D731" s="1005"/>
      <c r="E731" s="977"/>
      <c r="F731" s="1190"/>
      <c r="H731" s="1190"/>
      <c r="J731" s="1190"/>
      <c r="L731" s="1190"/>
      <c r="O731" s="1190"/>
      <c r="V731" s="1189"/>
      <c r="X731" s="1189"/>
      <c r="Z731" s="1190"/>
      <c r="AB731" s="1190"/>
      <c r="AH731" s="701"/>
      <c r="AJ731" s="701"/>
      <c r="BB731" s="1190"/>
      <c r="BD731" s="1190"/>
      <c r="BF731" s="1190"/>
      <c r="BH731" s="1190"/>
      <c r="BJ731" s="1190"/>
      <c r="BN731" s="206"/>
      <c r="BO731" s="206"/>
      <c r="BP731" s="206"/>
      <c r="BQ731" s="195"/>
      <c r="BR731" s="195"/>
      <c r="BS731" s="195"/>
      <c r="BT731" s="195"/>
      <c r="BU731" s="195"/>
    </row>
    <row r="732" ht="15.75" customHeight="1">
      <c r="A732" s="1004"/>
      <c r="B732" s="1004"/>
      <c r="C732" s="1005"/>
      <c r="D732" s="1005"/>
      <c r="E732" s="977"/>
      <c r="F732" s="1190"/>
      <c r="H732" s="1190"/>
      <c r="J732" s="1190"/>
      <c r="L732" s="1190"/>
      <c r="O732" s="1190"/>
      <c r="V732" s="1189"/>
      <c r="X732" s="1189"/>
      <c r="Z732" s="1190"/>
      <c r="AB732" s="1190"/>
      <c r="AH732" s="701"/>
      <c r="AJ732" s="701"/>
      <c r="BB732" s="1190"/>
      <c r="BD732" s="1190"/>
      <c r="BF732" s="1190"/>
      <c r="BH732" s="1190"/>
      <c r="BJ732" s="1190"/>
      <c r="BN732" s="206"/>
      <c r="BO732" s="206"/>
      <c r="BP732" s="206"/>
      <c r="BQ732" s="195"/>
      <c r="BR732" s="195"/>
      <c r="BS732" s="195"/>
      <c r="BT732" s="195"/>
      <c r="BU732" s="195"/>
    </row>
    <row r="733" ht="15.75" customHeight="1">
      <c r="A733" s="1004"/>
      <c r="B733" s="1004"/>
      <c r="C733" s="1005"/>
      <c r="D733" s="1005"/>
      <c r="E733" s="977"/>
      <c r="F733" s="1190"/>
      <c r="H733" s="1190"/>
      <c r="J733" s="1190"/>
      <c r="L733" s="1190"/>
      <c r="O733" s="1190"/>
      <c r="V733" s="1189"/>
      <c r="X733" s="1189"/>
      <c r="Z733" s="1190"/>
      <c r="AB733" s="1190"/>
      <c r="AH733" s="701"/>
      <c r="AJ733" s="701"/>
      <c r="BB733" s="1190"/>
      <c r="BD733" s="1190"/>
      <c r="BF733" s="1190"/>
      <c r="BH733" s="1190"/>
      <c r="BJ733" s="1190"/>
      <c r="BN733" s="206"/>
      <c r="BO733" s="206"/>
      <c r="BP733" s="206"/>
      <c r="BQ733" s="195"/>
      <c r="BR733" s="195"/>
      <c r="BS733" s="195"/>
      <c r="BT733" s="195"/>
      <c r="BU733" s="195"/>
    </row>
    <row r="734" ht="15.75" customHeight="1">
      <c r="A734" s="1004"/>
      <c r="B734" s="1004"/>
      <c r="C734" s="1005"/>
      <c r="D734" s="1005"/>
      <c r="E734" s="977"/>
      <c r="F734" s="1190"/>
      <c r="H734" s="1190"/>
      <c r="J734" s="1190"/>
      <c r="L734" s="1190"/>
      <c r="O734" s="1190"/>
      <c r="V734" s="1189"/>
      <c r="X734" s="1189"/>
      <c r="Z734" s="1190"/>
      <c r="AB734" s="1190"/>
      <c r="AH734" s="701"/>
      <c r="AJ734" s="701"/>
      <c r="BB734" s="1190"/>
      <c r="BD734" s="1190"/>
      <c r="BF734" s="1190"/>
      <c r="BH734" s="1190"/>
      <c r="BJ734" s="1190"/>
      <c r="BN734" s="206"/>
      <c r="BO734" s="206"/>
      <c r="BP734" s="206"/>
      <c r="BQ734" s="195"/>
      <c r="BR734" s="195"/>
      <c r="BS734" s="195"/>
      <c r="BT734" s="195"/>
      <c r="BU734" s="195"/>
    </row>
    <row r="735" ht="15.75" customHeight="1">
      <c r="A735" s="1004"/>
      <c r="B735" s="1004"/>
      <c r="C735" s="1005"/>
      <c r="D735" s="1005"/>
      <c r="E735" s="977"/>
      <c r="F735" s="1190"/>
      <c r="H735" s="1190"/>
      <c r="J735" s="1190"/>
      <c r="L735" s="1190"/>
      <c r="O735" s="1190"/>
      <c r="V735" s="1189"/>
      <c r="X735" s="1189"/>
      <c r="Z735" s="1190"/>
      <c r="AB735" s="1190"/>
      <c r="AH735" s="701"/>
      <c r="AJ735" s="701"/>
      <c r="BB735" s="1190"/>
      <c r="BD735" s="1190"/>
      <c r="BF735" s="1190"/>
      <c r="BH735" s="1190"/>
      <c r="BJ735" s="1190"/>
      <c r="BN735" s="206"/>
      <c r="BO735" s="206"/>
      <c r="BP735" s="206"/>
      <c r="BQ735" s="195"/>
      <c r="BR735" s="195"/>
      <c r="BS735" s="195"/>
      <c r="BT735" s="195"/>
      <c r="BU735" s="195"/>
    </row>
    <row r="736" ht="15.75" customHeight="1">
      <c r="A736" s="1004"/>
      <c r="B736" s="1004"/>
      <c r="C736" s="1005"/>
      <c r="D736" s="1005"/>
      <c r="E736" s="977"/>
      <c r="F736" s="1190"/>
      <c r="H736" s="1190"/>
      <c r="J736" s="1190"/>
      <c r="L736" s="1190"/>
      <c r="O736" s="1190"/>
      <c r="V736" s="1189"/>
      <c r="X736" s="1189"/>
      <c r="Z736" s="1190"/>
      <c r="AB736" s="1190"/>
      <c r="AH736" s="701"/>
      <c r="AJ736" s="701"/>
      <c r="BB736" s="1190"/>
      <c r="BD736" s="1190"/>
      <c r="BF736" s="1190"/>
      <c r="BH736" s="1190"/>
      <c r="BJ736" s="1190"/>
      <c r="BN736" s="206"/>
      <c r="BO736" s="206"/>
      <c r="BP736" s="206"/>
      <c r="BQ736" s="195"/>
      <c r="BR736" s="195"/>
      <c r="BS736" s="195"/>
      <c r="BT736" s="195"/>
      <c r="BU736" s="195"/>
    </row>
    <row r="737" ht="15.75" customHeight="1">
      <c r="A737" s="1004"/>
      <c r="B737" s="1004"/>
      <c r="C737" s="1005"/>
      <c r="D737" s="1005"/>
      <c r="E737" s="977"/>
      <c r="F737" s="1190"/>
      <c r="H737" s="1190"/>
      <c r="J737" s="1190"/>
      <c r="L737" s="1190"/>
      <c r="O737" s="1190"/>
      <c r="V737" s="1189"/>
      <c r="X737" s="1189"/>
      <c r="Z737" s="1190"/>
      <c r="AB737" s="1190"/>
      <c r="AH737" s="701"/>
      <c r="AJ737" s="701"/>
      <c r="BB737" s="1190"/>
      <c r="BD737" s="1190"/>
      <c r="BF737" s="1190"/>
      <c r="BH737" s="1190"/>
      <c r="BJ737" s="1190"/>
      <c r="BN737" s="206"/>
      <c r="BO737" s="206"/>
      <c r="BP737" s="206"/>
      <c r="BQ737" s="195"/>
      <c r="BR737" s="195"/>
      <c r="BS737" s="195"/>
      <c r="BT737" s="195"/>
      <c r="BU737" s="195"/>
    </row>
    <row r="738" ht="15.75" customHeight="1">
      <c r="A738" s="1004"/>
      <c r="B738" s="1004"/>
      <c r="C738" s="1005"/>
      <c r="D738" s="1005"/>
      <c r="E738" s="977"/>
      <c r="F738" s="1190"/>
      <c r="H738" s="1190"/>
      <c r="J738" s="1190"/>
      <c r="L738" s="1190"/>
      <c r="O738" s="1190"/>
      <c r="V738" s="1189"/>
      <c r="X738" s="1189"/>
      <c r="Z738" s="1190"/>
      <c r="AB738" s="1190"/>
      <c r="AH738" s="701"/>
      <c r="AJ738" s="701"/>
      <c r="BB738" s="1190"/>
      <c r="BD738" s="1190"/>
      <c r="BF738" s="1190"/>
      <c r="BH738" s="1190"/>
      <c r="BJ738" s="1190"/>
      <c r="BN738" s="206"/>
      <c r="BO738" s="206"/>
      <c r="BP738" s="206"/>
      <c r="BQ738" s="195"/>
      <c r="BR738" s="195"/>
      <c r="BS738" s="195"/>
      <c r="BT738" s="195"/>
      <c r="BU738" s="195"/>
    </row>
    <row r="739" ht="15.75" customHeight="1">
      <c r="A739" s="1004"/>
      <c r="B739" s="1004"/>
      <c r="C739" s="1005"/>
      <c r="D739" s="1005"/>
      <c r="E739" s="977"/>
      <c r="F739" s="1190"/>
      <c r="H739" s="1190"/>
      <c r="J739" s="1190"/>
      <c r="L739" s="1190"/>
      <c r="O739" s="1190"/>
      <c r="V739" s="1189"/>
      <c r="X739" s="1189"/>
      <c r="Z739" s="1190"/>
      <c r="AB739" s="1190"/>
      <c r="AH739" s="701"/>
      <c r="AJ739" s="701"/>
      <c r="BB739" s="1190"/>
      <c r="BD739" s="1190"/>
      <c r="BF739" s="1190"/>
      <c r="BH739" s="1190"/>
      <c r="BJ739" s="1190"/>
      <c r="BN739" s="206"/>
      <c r="BO739" s="206"/>
      <c r="BP739" s="206"/>
      <c r="BQ739" s="195"/>
      <c r="BR739" s="195"/>
      <c r="BS739" s="195"/>
      <c r="BT739" s="195"/>
      <c r="BU739" s="195"/>
    </row>
    <row r="740" ht="15.75" customHeight="1">
      <c r="A740" s="1004"/>
      <c r="B740" s="1004"/>
      <c r="C740" s="1005"/>
      <c r="D740" s="1005"/>
      <c r="E740" s="977"/>
      <c r="F740" s="1190"/>
      <c r="H740" s="1190"/>
      <c r="J740" s="1190"/>
      <c r="L740" s="1190"/>
      <c r="O740" s="1190"/>
      <c r="V740" s="1189"/>
      <c r="X740" s="1189"/>
      <c r="Z740" s="1190"/>
      <c r="AB740" s="1190"/>
      <c r="AH740" s="701"/>
      <c r="AJ740" s="701"/>
      <c r="BB740" s="1190"/>
      <c r="BD740" s="1190"/>
      <c r="BF740" s="1190"/>
      <c r="BH740" s="1190"/>
      <c r="BJ740" s="1190"/>
      <c r="BN740" s="206"/>
      <c r="BO740" s="206"/>
      <c r="BP740" s="206"/>
      <c r="BQ740" s="195"/>
      <c r="BR740" s="195"/>
      <c r="BS740" s="195"/>
      <c r="BT740" s="195"/>
      <c r="BU740" s="195"/>
    </row>
    <row r="741" ht="15.75" customHeight="1">
      <c r="A741" s="1004"/>
      <c r="B741" s="1004"/>
      <c r="C741" s="1005"/>
      <c r="D741" s="1005"/>
      <c r="E741" s="977"/>
      <c r="F741" s="1190"/>
      <c r="H741" s="1190"/>
      <c r="J741" s="1190"/>
      <c r="L741" s="1190"/>
      <c r="O741" s="1190"/>
      <c r="V741" s="1189"/>
      <c r="X741" s="1189"/>
      <c r="Z741" s="1190"/>
      <c r="AB741" s="1190"/>
      <c r="AH741" s="701"/>
      <c r="AJ741" s="701"/>
      <c r="BB741" s="1190"/>
      <c r="BD741" s="1190"/>
      <c r="BF741" s="1190"/>
      <c r="BH741" s="1190"/>
      <c r="BJ741" s="1190"/>
      <c r="BN741" s="206"/>
      <c r="BO741" s="206"/>
      <c r="BP741" s="206"/>
      <c r="BQ741" s="195"/>
      <c r="BR741" s="195"/>
      <c r="BS741" s="195"/>
      <c r="BT741" s="195"/>
      <c r="BU741" s="195"/>
    </row>
    <row r="742" ht="15.75" customHeight="1">
      <c r="A742" s="1004"/>
      <c r="B742" s="1004"/>
      <c r="C742" s="1005"/>
      <c r="D742" s="1005"/>
      <c r="E742" s="977"/>
      <c r="F742" s="1190"/>
      <c r="H742" s="1190"/>
      <c r="J742" s="1190"/>
      <c r="L742" s="1190"/>
      <c r="O742" s="1190"/>
      <c r="V742" s="1189"/>
      <c r="X742" s="1189"/>
      <c r="Z742" s="1190"/>
      <c r="AB742" s="1190"/>
      <c r="AH742" s="701"/>
      <c r="AJ742" s="701"/>
      <c r="BB742" s="1190"/>
      <c r="BD742" s="1190"/>
      <c r="BF742" s="1190"/>
      <c r="BH742" s="1190"/>
      <c r="BJ742" s="1190"/>
      <c r="BN742" s="206"/>
      <c r="BO742" s="206"/>
      <c r="BP742" s="206"/>
      <c r="BQ742" s="195"/>
      <c r="BR742" s="195"/>
      <c r="BS742" s="195"/>
      <c r="BT742" s="195"/>
      <c r="BU742" s="195"/>
    </row>
    <row r="743" ht="15.75" customHeight="1">
      <c r="A743" s="1004"/>
      <c r="B743" s="1004"/>
      <c r="C743" s="1005"/>
      <c r="D743" s="1005"/>
      <c r="E743" s="977"/>
      <c r="F743" s="1190"/>
      <c r="H743" s="1190"/>
      <c r="J743" s="1190"/>
      <c r="L743" s="1190"/>
      <c r="O743" s="1190"/>
      <c r="V743" s="1189"/>
      <c r="X743" s="1189"/>
      <c r="Z743" s="1190"/>
      <c r="AB743" s="1190"/>
      <c r="AH743" s="701"/>
      <c r="AJ743" s="701"/>
      <c r="BB743" s="1190"/>
      <c r="BD743" s="1190"/>
      <c r="BF743" s="1190"/>
      <c r="BH743" s="1190"/>
      <c r="BJ743" s="1190"/>
      <c r="BN743" s="206"/>
      <c r="BO743" s="206"/>
      <c r="BP743" s="206"/>
      <c r="BQ743" s="195"/>
      <c r="BR743" s="195"/>
      <c r="BS743" s="195"/>
      <c r="BT743" s="195"/>
      <c r="BU743" s="195"/>
    </row>
    <row r="744" ht="15.75" customHeight="1">
      <c r="A744" s="1004"/>
      <c r="B744" s="1004"/>
      <c r="C744" s="1005"/>
      <c r="D744" s="1005"/>
      <c r="E744" s="977"/>
      <c r="F744" s="1190"/>
      <c r="H744" s="1190"/>
      <c r="J744" s="1190"/>
      <c r="L744" s="1190"/>
      <c r="O744" s="1190"/>
      <c r="V744" s="1189"/>
      <c r="X744" s="1189"/>
      <c r="Z744" s="1190"/>
      <c r="AB744" s="1190"/>
      <c r="AH744" s="701"/>
      <c r="AJ744" s="701"/>
      <c r="BB744" s="1190"/>
      <c r="BD744" s="1190"/>
      <c r="BF744" s="1190"/>
      <c r="BH744" s="1190"/>
      <c r="BJ744" s="1190"/>
      <c r="BN744" s="206"/>
      <c r="BO744" s="206"/>
      <c r="BP744" s="206"/>
      <c r="BQ744" s="195"/>
      <c r="BR744" s="195"/>
      <c r="BS744" s="195"/>
      <c r="BT744" s="195"/>
      <c r="BU744" s="195"/>
    </row>
    <row r="745" ht="15.75" customHeight="1">
      <c r="A745" s="1004"/>
      <c r="B745" s="1004"/>
      <c r="C745" s="1005"/>
      <c r="D745" s="1005"/>
      <c r="E745" s="977"/>
      <c r="F745" s="1190"/>
      <c r="H745" s="1190"/>
      <c r="J745" s="1190"/>
      <c r="L745" s="1190"/>
      <c r="O745" s="1190"/>
      <c r="V745" s="1189"/>
      <c r="X745" s="1189"/>
      <c r="Z745" s="1190"/>
      <c r="AB745" s="1190"/>
      <c r="AH745" s="701"/>
      <c r="AJ745" s="701"/>
      <c r="BB745" s="1190"/>
      <c r="BD745" s="1190"/>
      <c r="BF745" s="1190"/>
      <c r="BH745" s="1190"/>
      <c r="BJ745" s="1190"/>
      <c r="BN745" s="206"/>
      <c r="BO745" s="206"/>
      <c r="BP745" s="206"/>
      <c r="BQ745" s="195"/>
      <c r="BR745" s="195"/>
      <c r="BS745" s="195"/>
      <c r="BT745" s="195"/>
      <c r="BU745" s="195"/>
    </row>
    <row r="746" ht="15.75" customHeight="1">
      <c r="A746" s="1004"/>
      <c r="B746" s="1004"/>
      <c r="C746" s="1005"/>
      <c r="D746" s="1005"/>
      <c r="E746" s="977"/>
      <c r="F746" s="1190"/>
      <c r="H746" s="1190"/>
      <c r="J746" s="1190"/>
      <c r="L746" s="1190"/>
      <c r="O746" s="1190"/>
      <c r="V746" s="1189"/>
      <c r="X746" s="1189"/>
      <c r="Z746" s="1190"/>
      <c r="AB746" s="1190"/>
      <c r="AH746" s="701"/>
      <c r="AJ746" s="701"/>
      <c r="BB746" s="1190"/>
      <c r="BD746" s="1190"/>
      <c r="BF746" s="1190"/>
      <c r="BH746" s="1190"/>
      <c r="BJ746" s="1190"/>
      <c r="BN746" s="206"/>
      <c r="BO746" s="206"/>
      <c r="BP746" s="206"/>
      <c r="BQ746" s="195"/>
      <c r="BR746" s="195"/>
      <c r="BS746" s="195"/>
      <c r="BT746" s="195"/>
      <c r="BU746" s="195"/>
    </row>
    <row r="747" ht="15.75" customHeight="1">
      <c r="A747" s="1004"/>
      <c r="B747" s="1004"/>
      <c r="C747" s="1005"/>
      <c r="D747" s="1005"/>
      <c r="E747" s="977"/>
      <c r="F747" s="1190"/>
      <c r="H747" s="1190"/>
      <c r="J747" s="1190"/>
      <c r="L747" s="1190"/>
      <c r="O747" s="1190"/>
      <c r="V747" s="1189"/>
      <c r="X747" s="1189"/>
      <c r="Z747" s="1190"/>
      <c r="AB747" s="1190"/>
      <c r="AH747" s="701"/>
      <c r="AJ747" s="701"/>
      <c r="BB747" s="1190"/>
      <c r="BD747" s="1190"/>
      <c r="BF747" s="1190"/>
      <c r="BH747" s="1190"/>
      <c r="BJ747" s="1190"/>
      <c r="BN747" s="206"/>
      <c r="BO747" s="206"/>
      <c r="BP747" s="206"/>
      <c r="BQ747" s="195"/>
      <c r="BR747" s="195"/>
      <c r="BS747" s="195"/>
      <c r="BT747" s="195"/>
      <c r="BU747" s="195"/>
    </row>
    <row r="748" ht="15.75" customHeight="1">
      <c r="A748" s="1004"/>
      <c r="B748" s="1004"/>
      <c r="C748" s="1005"/>
      <c r="D748" s="1005"/>
      <c r="E748" s="977"/>
      <c r="F748" s="1190"/>
      <c r="H748" s="1190"/>
      <c r="J748" s="1190"/>
      <c r="L748" s="1190"/>
      <c r="O748" s="1190"/>
      <c r="V748" s="1189"/>
      <c r="X748" s="1189"/>
      <c r="Z748" s="1190"/>
      <c r="AB748" s="1190"/>
      <c r="AH748" s="701"/>
      <c r="AJ748" s="701"/>
      <c r="BB748" s="1190"/>
      <c r="BD748" s="1190"/>
      <c r="BF748" s="1190"/>
      <c r="BH748" s="1190"/>
      <c r="BJ748" s="1190"/>
      <c r="BN748" s="206"/>
      <c r="BO748" s="206"/>
      <c r="BP748" s="206"/>
      <c r="BQ748" s="195"/>
      <c r="BR748" s="195"/>
      <c r="BS748" s="195"/>
      <c r="BT748" s="195"/>
      <c r="BU748" s="195"/>
    </row>
    <row r="749" ht="15.75" customHeight="1">
      <c r="A749" s="1004"/>
      <c r="B749" s="1004"/>
      <c r="C749" s="1005"/>
      <c r="D749" s="1005"/>
      <c r="E749" s="977"/>
      <c r="F749" s="1190"/>
      <c r="H749" s="1190"/>
      <c r="J749" s="1190"/>
      <c r="L749" s="1190"/>
      <c r="O749" s="1190"/>
      <c r="V749" s="1189"/>
      <c r="X749" s="1189"/>
      <c r="Z749" s="1190"/>
      <c r="AB749" s="1190"/>
      <c r="AH749" s="701"/>
      <c r="AJ749" s="701"/>
      <c r="BB749" s="1190"/>
      <c r="BD749" s="1190"/>
      <c r="BF749" s="1190"/>
      <c r="BH749" s="1190"/>
      <c r="BJ749" s="1190"/>
      <c r="BN749" s="206"/>
      <c r="BO749" s="206"/>
      <c r="BP749" s="206"/>
      <c r="BQ749" s="195"/>
      <c r="BR749" s="195"/>
      <c r="BS749" s="195"/>
      <c r="BT749" s="195"/>
      <c r="BU749" s="195"/>
    </row>
    <row r="750" ht="15.75" customHeight="1">
      <c r="A750" s="1004"/>
      <c r="B750" s="1004"/>
      <c r="C750" s="1005"/>
      <c r="D750" s="1005"/>
      <c r="E750" s="977"/>
      <c r="F750" s="1190"/>
      <c r="H750" s="1190"/>
      <c r="J750" s="1190"/>
      <c r="L750" s="1190"/>
      <c r="O750" s="1190"/>
      <c r="V750" s="1189"/>
      <c r="X750" s="1189"/>
      <c r="Z750" s="1190"/>
      <c r="AB750" s="1190"/>
      <c r="AH750" s="701"/>
      <c r="AJ750" s="701"/>
      <c r="BB750" s="1190"/>
      <c r="BD750" s="1190"/>
      <c r="BF750" s="1190"/>
      <c r="BH750" s="1190"/>
      <c r="BJ750" s="1190"/>
      <c r="BN750" s="206"/>
      <c r="BO750" s="206"/>
      <c r="BP750" s="206"/>
      <c r="BQ750" s="195"/>
      <c r="BR750" s="195"/>
      <c r="BS750" s="195"/>
      <c r="BT750" s="195"/>
      <c r="BU750" s="195"/>
    </row>
    <row r="751" ht="15.75" customHeight="1">
      <c r="A751" s="1004"/>
      <c r="B751" s="1004"/>
      <c r="C751" s="1005"/>
      <c r="D751" s="1005"/>
      <c r="E751" s="977"/>
      <c r="F751" s="1190"/>
      <c r="H751" s="1190"/>
      <c r="J751" s="1190"/>
      <c r="L751" s="1190"/>
      <c r="O751" s="1190"/>
      <c r="V751" s="1189"/>
      <c r="X751" s="1189"/>
      <c r="Z751" s="1190"/>
      <c r="AB751" s="1190"/>
      <c r="AH751" s="701"/>
      <c r="AJ751" s="701"/>
      <c r="BB751" s="1190"/>
      <c r="BD751" s="1190"/>
      <c r="BF751" s="1190"/>
      <c r="BH751" s="1190"/>
      <c r="BJ751" s="1190"/>
      <c r="BN751" s="206"/>
      <c r="BO751" s="206"/>
      <c r="BP751" s="206"/>
      <c r="BQ751" s="195"/>
      <c r="BR751" s="195"/>
      <c r="BS751" s="195"/>
      <c r="BT751" s="195"/>
      <c r="BU751" s="195"/>
    </row>
    <row r="752" ht="15.75" customHeight="1">
      <c r="A752" s="1004"/>
      <c r="B752" s="1004"/>
      <c r="C752" s="1005"/>
      <c r="D752" s="1005"/>
      <c r="E752" s="977"/>
      <c r="F752" s="1190"/>
      <c r="H752" s="1190"/>
      <c r="J752" s="1190"/>
      <c r="L752" s="1190"/>
      <c r="O752" s="1190"/>
      <c r="V752" s="1189"/>
      <c r="X752" s="1189"/>
      <c r="Z752" s="1190"/>
      <c r="AB752" s="1190"/>
      <c r="AH752" s="701"/>
      <c r="AJ752" s="701"/>
      <c r="BB752" s="1190"/>
      <c r="BD752" s="1190"/>
      <c r="BF752" s="1190"/>
      <c r="BH752" s="1190"/>
      <c r="BJ752" s="1190"/>
      <c r="BN752" s="206"/>
      <c r="BO752" s="206"/>
      <c r="BP752" s="206"/>
      <c r="BQ752" s="195"/>
      <c r="BR752" s="195"/>
      <c r="BS752" s="195"/>
      <c r="BT752" s="195"/>
      <c r="BU752" s="195"/>
    </row>
    <row r="753" ht="15.75" customHeight="1">
      <c r="A753" s="1004"/>
      <c r="B753" s="1004"/>
      <c r="C753" s="1005"/>
      <c r="D753" s="1005"/>
      <c r="E753" s="977"/>
      <c r="F753" s="1190"/>
      <c r="H753" s="1190"/>
      <c r="J753" s="1190"/>
      <c r="L753" s="1190"/>
      <c r="O753" s="1190"/>
      <c r="V753" s="1189"/>
      <c r="X753" s="1189"/>
      <c r="Z753" s="1190"/>
      <c r="AB753" s="1190"/>
      <c r="AH753" s="701"/>
      <c r="AJ753" s="701"/>
      <c r="BB753" s="1190"/>
      <c r="BD753" s="1190"/>
      <c r="BF753" s="1190"/>
      <c r="BH753" s="1190"/>
      <c r="BJ753" s="1190"/>
      <c r="BN753" s="206"/>
      <c r="BO753" s="206"/>
      <c r="BP753" s="206"/>
      <c r="BQ753" s="195"/>
      <c r="BR753" s="195"/>
      <c r="BS753" s="195"/>
      <c r="BT753" s="195"/>
      <c r="BU753" s="195"/>
    </row>
    <row r="754" ht="15.75" customHeight="1">
      <c r="A754" s="1004"/>
      <c r="B754" s="1004"/>
      <c r="C754" s="1005"/>
      <c r="D754" s="1005"/>
      <c r="E754" s="977"/>
      <c r="F754" s="1190"/>
      <c r="H754" s="1190"/>
      <c r="J754" s="1190"/>
      <c r="L754" s="1190"/>
      <c r="O754" s="1190"/>
      <c r="V754" s="1189"/>
      <c r="X754" s="1189"/>
      <c r="Z754" s="1190"/>
      <c r="AB754" s="1190"/>
      <c r="AH754" s="701"/>
      <c r="AJ754" s="701"/>
      <c r="BB754" s="1190"/>
      <c r="BD754" s="1190"/>
      <c r="BF754" s="1190"/>
      <c r="BH754" s="1190"/>
      <c r="BJ754" s="1190"/>
      <c r="BN754" s="206"/>
      <c r="BO754" s="206"/>
      <c r="BP754" s="206"/>
      <c r="BQ754" s="195"/>
      <c r="BR754" s="195"/>
      <c r="BS754" s="195"/>
      <c r="BT754" s="195"/>
      <c r="BU754" s="195"/>
    </row>
    <row r="755" ht="15.75" customHeight="1">
      <c r="A755" s="1004"/>
      <c r="B755" s="1004"/>
      <c r="C755" s="1005"/>
      <c r="D755" s="1005"/>
      <c r="E755" s="977"/>
      <c r="F755" s="1190"/>
      <c r="H755" s="1190"/>
      <c r="J755" s="1190"/>
      <c r="L755" s="1190"/>
      <c r="O755" s="1190"/>
      <c r="V755" s="1189"/>
      <c r="X755" s="1189"/>
      <c r="Z755" s="1190"/>
      <c r="AB755" s="1190"/>
      <c r="AH755" s="701"/>
      <c r="AJ755" s="701"/>
      <c r="BB755" s="1190"/>
      <c r="BD755" s="1190"/>
      <c r="BF755" s="1190"/>
      <c r="BH755" s="1190"/>
      <c r="BJ755" s="1190"/>
      <c r="BN755" s="206"/>
      <c r="BO755" s="206"/>
      <c r="BP755" s="206"/>
      <c r="BQ755" s="195"/>
      <c r="BR755" s="195"/>
      <c r="BS755" s="195"/>
      <c r="BT755" s="195"/>
      <c r="BU755" s="195"/>
    </row>
    <row r="756" ht="15.75" customHeight="1">
      <c r="A756" s="1004"/>
      <c r="B756" s="1004"/>
      <c r="C756" s="1005"/>
      <c r="D756" s="1005"/>
      <c r="E756" s="977"/>
      <c r="F756" s="1190"/>
      <c r="H756" s="1190"/>
      <c r="J756" s="1190"/>
      <c r="L756" s="1190"/>
      <c r="O756" s="1190"/>
      <c r="V756" s="1189"/>
      <c r="X756" s="1189"/>
      <c r="Z756" s="1190"/>
      <c r="AB756" s="1190"/>
      <c r="AH756" s="701"/>
      <c r="AJ756" s="701"/>
      <c r="BB756" s="1190"/>
      <c r="BD756" s="1190"/>
      <c r="BF756" s="1190"/>
      <c r="BH756" s="1190"/>
      <c r="BJ756" s="1190"/>
      <c r="BN756" s="206"/>
      <c r="BO756" s="206"/>
      <c r="BP756" s="206"/>
      <c r="BQ756" s="195"/>
      <c r="BR756" s="195"/>
      <c r="BS756" s="195"/>
      <c r="BT756" s="195"/>
      <c r="BU756" s="195"/>
    </row>
    <row r="757" ht="15.75" customHeight="1">
      <c r="A757" s="1004"/>
      <c r="B757" s="1004"/>
      <c r="C757" s="1005"/>
      <c r="D757" s="1005"/>
      <c r="E757" s="977"/>
      <c r="F757" s="1190"/>
      <c r="H757" s="1190"/>
      <c r="J757" s="1190"/>
      <c r="L757" s="1190"/>
      <c r="O757" s="1190"/>
      <c r="V757" s="1189"/>
      <c r="X757" s="1189"/>
      <c r="Z757" s="1190"/>
      <c r="AB757" s="1190"/>
      <c r="AH757" s="701"/>
      <c r="AJ757" s="701"/>
      <c r="BB757" s="1190"/>
      <c r="BD757" s="1190"/>
      <c r="BF757" s="1190"/>
      <c r="BH757" s="1190"/>
      <c r="BJ757" s="1190"/>
      <c r="BN757" s="206"/>
      <c r="BO757" s="206"/>
      <c r="BP757" s="206"/>
      <c r="BQ757" s="195"/>
      <c r="BR757" s="195"/>
      <c r="BS757" s="195"/>
      <c r="BT757" s="195"/>
      <c r="BU757" s="195"/>
    </row>
    <row r="758" ht="15.75" customHeight="1">
      <c r="A758" s="1004"/>
      <c r="B758" s="1004"/>
      <c r="C758" s="1005"/>
      <c r="D758" s="1005"/>
      <c r="E758" s="977"/>
      <c r="F758" s="1190"/>
      <c r="H758" s="1190"/>
      <c r="J758" s="1190"/>
      <c r="L758" s="1190"/>
      <c r="O758" s="1190"/>
      <c r="V758" s="1189"/>
      <c r="X758" s="1189"/>
      <c r="Z758" s="1190"/>
      <c r="AB758" s="1190"/>
      <c r="AH758" s="701"/>
      <c r="AJ758" s="701"/>
      <c r="BB758" s="1190"/>
      <c r="BD758" s="1190"/>
      <c r="BF758" s="1190"/>
      <c r="BH758" s="1190"/>
      <c r="BJ758" s="1190"/>
      <c r="BN758" s="206"/>
      <c r="BO758" s="206"/>
      <c r="BP758" s="206"/>
      <c r="BQ758" s="195"/>
      <c r="BR758" s="195"/>
      <c r="BS758" s="195"/>
      <c r="BT758" s="195"/>
      <c r="BU758" s="195"/>
    </row>
    <row r="759" ht="15.75" customHeight="1">
      <c r="A759" s="1004"/>
      <c r="B759" s="1004"/>
      <c r="C759" s="1005"/>
      <c r="D759" s="1005"/>
      <c r="E759" s="977"/>
      <c r="F759" s="1190"/>
      <c r="H759" s="1190"/>
      <c r="J759" s="1190"/>
      <c r="L759" s="1190"/>
      <c r="O759" s="1190"/>
      <c r="V759" s="1189"/>
      <c r="X759" s="1189"/>
      <c r="Z759" s="1190"/>
      <c r="AB759" s="1190"/>
      <c r="AH759" s="701"/>
      <c r="AJ759" s="701"/>
      <c r="BB759" s="1190"/>
      <c r="BD759" s="1190"/>
      <c r="BF759" s="1190"/>
      <c r="BH759" s="1190"/>
      <c r="BJ759" s="1190"/>
      <c r="BN759" s="206"/>
      <c r="BO759" s="206"/>
      <c r="BP759" s="206"/>
      <c r="BQ759" s="195"/>
      <c r="BR759" s="195"/>
      <c r="BS759" s="195"/>
      <c r="BT759" s="195"/>
      <c r="BU759" s="195"/>
    </row>
    <row r="760" ht="15.75" customHeight="1">
      <c r="A760" s="1004"/>
      <c r="B760" s="1004"/>
      <c r="C760" s="1005"/>
      <c r="D760" s="1005"/>
      <c r="E760" s="977"/>
      <c r="F760" s="1190"/>
      <c r="H760" s="1190"/>
      <c r="J760" s="1190"/>
      <c r="L760" s="1190"/>
      <c r="O760" s="1190"/>
      <c r="V760" s="1189"/>
      <c r="X760" s="1189"/>
      <c r="Z760" s="1190"/>
      <c r="AB760" s="1190"/>
      <c r="AH760" s="701"/>
      <c r="AJ760" s="701"/>
      <c r="BB760" s="1190"/>
      <c r="BD760" s="1190"/>
      <c r="BF760" s="1190"/>
      <c r="BH760" s="1190"/>
      <c r="BJ760" s="1190"/>
      <c r="BN760" s="206"/>
      <c r="BO760" s="206"/>
      <c r="BP760" s="206"/>
      <c r="BQ760" s="195"/>
      <c r="BR760" s="195"/>
      <c r="BS760" s="195"/>
      <c r="BT760" s="195"/>
      <c r="BU760" s="195"/>
    </row>
    <row r="761" ht="15.75" customHeight="1">
      <c r="A761" s="1004"/>
      <c r="B761" s="1004"/>
      <c r="C761" s="1005"/>
      <c r="D761" s="1005"/>
      <c r="E761" s="977"/>
      <c r="F761" s="1190"/>
      <c r="H761" s="1190"/>
      <c r="J761" s="1190"/>
      <c r="L761" s="1190"/>
      <c r="O761" s="1190"/>
      <c r="V761" s="1189"/>
      <c r="X761" s="1189"/>
      <c r="Z761" s="1190"/>
      <c r="AB761" s="1190"/>
      <c r="AH761" s="701"/>
      <c r="AJ761" s="701"/>
      <c r="BB761" s="1190"/>
      <c r="BD761" s="1190"/>
      <c r="BF761" s="1190"/>
      <c r="BH761" s="1190"/>
      <c r="BJ761" s="1190"/>
      <c r="BN761" s="206"/>
      <c r="BO761" s="206"/>
      <c r="BP761" s="206"/>
      <c r="BQ761" s="195"/>
      <c r="BR761" s="195"/>
      <c r="BS761" s="195"/>
      <c r="BT761" s="195"/>
      <c r="BU761" s="195"/>
    </row>
    <row r="762" ht="15.75" customHeight="1">
      <c r="A762" s="1004"/>
      <c r="B762" s="1004"/>
      <c r="C762" s="1005"/>
      <c r="D762" s="1005"/>
      <c r="E762" s="977"/>
      <c r="F762" s="1190"/>
      <c r="H762" s="1190"/>
      <c r="J762" s="1190"/>
      <c r="L762" s="1190"/>
      <c r="O762" s="1190"/>
      <c r="V762" s="1189"/>
      <c r="X762" s="1189"/>
      <c r="Z762" s="1190"/>
      <c r="AB762" s="1190"/>
      <c r="AH762" s="701"/>
      <c r="AJ762" s="701"/>
      <c r="BB762" s="1190"/>
      <c r="BD762" s="1190"/>
      <c r="BF762" s="1190"/>
      <c r="BH762" s="1190"/>
      <c r="BJ762" s="1190"/>
      <c r="BN762" s="206"/>
      <c r="BO762" s="206"/>
      <c r="BP762" s="206"/>
      <c r="BQ762" s="195"/>
      <c r="BR762" s="195"/>
      <c r="BS762" s="195"/>
      <c r="BT762" s="195"/>
      <c r="BU762" s="195"/>
    </row>
    <row r="763" ht="15.75" customHeight="1">
      <c r="A763" s="1004"/>
      <c r="B763" s="1004"/>
      <c r="C763" s="1005"/>
      <c r="D763" s="1005"/>
      <c r="E763" s="977"/>
      <c r="F763" s="1190"/>
      <c r="H763" s="1190"/>
      <c r="J763" s="1190"/>
      <c r="L763" s="1190"/>
      <c r="O763" s="1190"/>
      <c r="V763" s="1189"/>
      <c r="X763" s="1189"/>
      <c r="Z763" s="1190"/>
      <c r="AB763" s="1190"/>
      <c r="AH763" s="701"/>
      <c r="AJ763" s="701"/>
      <c r="BB763" s="1190"/>
      <c r="BD763" s="1190"/>
      <c r="BF763" s="1190"/>
      <c r="BH763" s="1190"/>
      <c r="BJ763" s="1190"/>
      <c r="BN763" s="206"/>
      <c r="BO763" s="206"/>
      <c r="BP763" s="206"/>
      <c r="BQ763" s="195"/>
      <c r="BR763" s="195"/>
      <c r="BS763" s="195"/>
      <c r="BT763" s="195"/>
      <c r="BU763" s="195"/>
    </row>
    <row r="764" ht="15.75" customHeight="1">
      <c r="A764" s="1004"/>
      <c r="B764" s="1004"/>
      <c r="C764" s="1005"/>
      <c r="D764" s="1005"/>
      <c r="E764" s="977"/>
      <c r="F764" s="1190"/>
      <c r="H764" s="1190"/>
      <c r="J764" s="1190"/>
      <c r="L764" s="1190"/>
      <c r="O764" s="1190"/>
      <c r="V764" s="1189"/>
      <c r="X764" s="1189"/>
      <c r="Z764" s="1190"/>
      <c r="AB764" s="1190"/>
      <c r="AH764" s="701"/>
      <c r="AJ764" s="701"/>
      <c r="BB764" s="1190"/>
      <c r="BD764" s="1190"/>
      <c r="BF764" s="1190"/>
      <c r="BH764" s="1190"/>
      <c r="BJ764" s="1190"/>
      <c r="BN764" s="206"/>
      <c r="BO764" s="206"/>
      <c r="BP764" s="206"/>
      <c r="BQ764" s="195"/>
      <c r="BR764" s="195"/>
      <c r="BS764" s="195"/>
      <c r="BT764" s="195"/>
      <c r="BU764" s="195"/>
    </row>
    <row r="765" ht="15.75" customHeight="1">
      <c r="A765" s="1004"/>
      <c r="B765" s="1004"/>
      <c r="C765" s="1005"/>
      <c r="D765" s="1005"/>
      <c r="E765" s="977"/>
      <c r="F765" s="1190"/>
      <c r="H765" s="1190"/>
      <c r="J765" s="1190"/>
      <c r="L765" s="1190"/>
      <c r="O765" s="1190"/>
      <c r="V765" s="1189"/>
      <c r="X765" s="1189"/>
      <c r="Z765" s="1190"/>
      <c r="AB765" s="1190"/>
      <c r="AH765" s="701"/>
      <c r="AJ765" s="701"/>
      <c r="BB765" s="1190"/>
      <c r="BD765" s="1190"/>
      <c r="BF765" s="1190"/>
      <c r="BH765" s="1190"/>
      <c r="BJ765" s="1190"/>
      <c r="BN765" s="206"/>
      <c r="BO765" s="206"/>
      <c r="BP765" s="206"/>
      <c r="BQ765" s="195"/>
      <c r="BR765" s="195"/>
      <c r="BS765" s="195"/>
      <c r="BT765" s="195"/>
      <c r="BU765" s="195"/>
    </row>
    <row r="766" ht="15.75" customHeight="1">
      <c r="A766" s="1004"/>
      <c r="B766" s="1004"/>
      <c r="C766" s="1005"/>
      <c r="D766" s="1005"/>
      <c r="E766" s="977"/>
      <c r="F766" s="1190"/>
      <c r="H766" s="1190"/>
      <c r="J766" s="1190"/>
      <c r="L766" s="1190"/>
      <c r="O766" s="1190"/>
      <c r="V766" s="1189"/>
      <c r="X766" s="1189"/>
      <c r="Z766" s="1190"/>
      <c r="AB766" s="1190"/>
      <c r="AH766" s="701"/>
      <c r="AJ766" s="701"/>
      <c r="BB766" s="1190"/>
      <c r="BD766" s="1190"/>
      <c r="BF766" s="1190"/>
      <c r="BH766" s="1190"/>
      <c r="BJ766" s="1190"/>
      <c r="BN766" s="206"/>
      <c r="BO766" s="206"/>
      <c r="BP766" s="206"/>
      <c r="BQ766" s="195"/>
      <c r="BR766" s="195"/>
      <c r="BS766" s="195"/>
      <c r="BT766" s="195"/>
      <c r="BU766" s="195"/>
    </row>
    <row r="767" ht="15.75" customHeight="1">
      <c r="A767" s="1004"/>
      <c r="B767" s="1004"/>
      <c r="C767" s="1005"/>
      <c r="D767" s="1005"/>
      <c r="E767" s="977"/>
      <c r="F767" s="1190"/>
      <c r="H767" s="1190"/>
      <c r="J767" s="1190"/>
      <c r="L767" s="1190"/>
      <c r="O767" s="1190"/>
      <c r="V767" s="1189"/>
      <c r="X767" s="1189"/>
      <c r="Z767" s="1190"/>
      <c r="AB767" s="1190"/>
      <c r="AH767" s="701"/>
      <c r="AJ767" s="701"/>
      <c r="BB767" s="1190"/>
      <c r="BD767" s="1190"/>
      <c r="BF767" s="1190"/>
      <c r="BH767" s="1190"/>
      <c r="BJ767" s="1190"/>
      <c r="BN767" s="206"/>
      <c r="BO767" s="206"/>
      <c r="BP767" s="206"/>
      <c r="BQ767" s="195"/>
      <c r="BR767" s="195"/>
      <c r="BS767" s="195"/>
      <c r="BT767" s="195"/>
      <c r="BU767" s="195"/>
    </row>
    <row r="768" ht="15.75" customHeight="1">
      <c r="A768" s="1004"/>
      <c r="B768" s="1004"/>
      <c r="C768" s="1005"/>
      <c r="D768" s="1005"/>
      <c r="E768" s="977"/>
      <c r="F768" s="1190"/>
      <c r="H768" s="1190"/>
      <c r="J768" s="1190"/>
      <c r="L768" s="1190"/>
      <c r="O768" s="1190"/>
      <c r="V768" s="1189"/>
      <c r="X768" s="1189"/>
      <c r="Z768" s="1190"/>
      <c r="AB768" s="1190"/>
      <c r="AH768" s="701"/>
      <c r="AJ768" s="701"/>
      <c r="BB768" s="1190"/>
      <c r="BD768" s="1190"/>
      <c r="BF768" s="1190"/>
      <c r="BH768" s="1190"/>
      <c r="BJ768" s="1190"/>
      <c r="BN768" s="206"/>
      <c r="BO768" s="206"/>
      <c r="BP768" s="206"/>
      <c r="BQ768" s="195"/>
      <c r="BR768" s="195"/>
      <c r="BS768" s="195"/>
      <c r="BT768" s="195"/>
      <c r="BU768" s="195"/>
    </row>
    <row r="769" ht="15.75" customHeight="1">
      <c r="A769" s="1004"/>
      <c r="B769" s="1004"/>
      <c r="C769" s="1005"/>
      <c r="D769" s="1005"/>
      <c r="E769" s="977"/>
      <c r="F769" s="1190"/>
      <c r="H769" s="1190"/>
      <c r="J769" s="1190"/>
      <c r="L769" s="1190"/>
      <c r="O769" s="1190"/>
      <c r="V769" s="1189"/>
      <c r="X769" s="1189"/>
      <c r="Z769" s="1190"/>
      <c r="AB769" s="1190"/>
      <c r="AH769" s="701"/>
      <c r="AJ769" s="701"/>
      <c r="BB769" s="1190"/>
      <c r="BD769" s="1190"/>
      <c r="BF769" s="1190"/>
      <c r="BH769" s="1190"/>
      <c r="BJ769" s="1190"/>
      <c r="BN769" s="206"/>
      <c r="BO769" s="206"/>
      <c r="BP769" s="206"/>
      <c r="BQ769" s="195"/>
      <c r="BR769" s="195"/>
      <c r="BS769" s="195"/>
      <c r="BT769" s="195"/>
      <c r="BU769" s="195"/>
    </row>
    <row r="770" ht="15.75" customHeight="1">
      <c r="A770" s="1004"/>
      <c r="B770" s="1004"/>
      <c r="C770" s="1005"/>
      <c r="D770" s="1005"/>
      <c r="E770" s="977"/>
      <c r="F770" s="1190"/>
      <c r="H770" s="1190"/>
      <c r="J770" s="1190"/>
      <c r="L770" s="1190"/>
      <c r="O770" s="1190"/>
      <c r="V770" s="1189"/>
      <c r="X770" s="1189"/>
      <c r="Z770" s="1190"/>
      <c r="AB770" s="1190"/>
      <c r="AH770" s="701"/>
      <c r="AJ770" s="701"/>
      <c r="BB770" s="1190"/>
      <c r="BD770" s="1190"/>
      <c r="BF770" s="1190"/>
      <c r="BH770" s="1190"/>
      <c r="BJ770" s="1190"/>
      <c r="BN770" s="206"/>
      <c r="BO770" s="206"/>
      <c r="BP770" s="206"/>
      <c r="BQ770" s="195"/>
      <c r="BR770" s="195"/>
      <c r="BS770" s="195"/>
      <c r="BT770" s="195"/>
      <c r="BU770" s="195"/>
    </row>
    <row r="771" ht="15.75" customHeight="1">
      <c r="A771" s="1004"/>
      <c r="B771" s="1004"/>
      <c r="C771" s="1005"/>
      <c r="D771" s="1005"/>
      <c r="E771" s="977"/>
      <c r="F771" s="1190"/>
      <c r="H771" s="1190"/>
      <c r="J771" s="1190"/>
      <c r="L771" s="1190"/>
      <c r="O771" s="1190"/>
      <c r="V771" s="1189"/>
      <c r="X771" s="1189"/>
      <c r="Z771" s="1190"/>
      <c r="AB771" s="1190"/>
      <c r="AH771" s="701"/>
      <c r="AJ771" s="701"/>
      <c r="BB771" s="1190"/>
      <c r="BD771" s="1190"/>
      <c r="BF771" s="1190"/>
      <c r="BH771" s="1190"/>
      <c r="BJ771" s="1190"/>
      <c r="BN771" s="206"/>
      <c r="BO771" s="206"/>
      <c r="BP771" s="206"/>
      <c r="BQ771" s="195"/>
      <c r="BR771" s="195"/>
      <c r="BS771" s="195"/>
      <c r="BT771" s="195"/>
      <c r="BU771" s="195"/>
    </row>
    <row r="772" ht="15.75" customHeight="1">
      <c r="A772" s="1004"/>
      <c r="B772" s="1004"/>
      <c r="C772" s="1005"/>
      <c r="D772" s="1005"/>
      <c r="E772" s="977"/>
      <c r="F772" s="1190"/>
      <c r="H772" s="1190"/>
      <c r="J772" s="1190"/>
      <c r="L772" s="1190"/>
      <c r="O772" s="1190"/>
      <c r="V772" s="1189"/>
      <c r="X772" s="1189"/>
      <c r="Z772" s="1190"/>
      <c r="AB772" s="1190"/>
      <c r="AH772" s="701"/>
      <c r="AJ772" s="701"/>
      <c r="BB772" s="1190"/>
      <c r="BD772" s="1190"/>
      <c r="BF772" s="1190"/>
      <c r="BH772" s="1190"/>
      <c r="BJ772" s="1190"/>
      <c r="BN772" s="206"/>
      <c r="BO772" s="206"/>
      <c r="BP772" s="206"/>
      <c r="BQ772" s="195"/>
      <c r="BR772" s="195"/>
      <c r="BS772" s="195"/>
      <c r="BT772" s="195"/>
      <c r="BU772" s="195"/>
    </row>
    <row r="773" ht="15.75" customHeight="1">
      <c r="A773" s="1004"/>
      <c r="B773" s="1004"/>
      <c r="C773" s="1005"/>
      <c r="D773" s="1005"/>
      <c r="E773" s="977"/>
      <c r="F773" s="1190"/>
      <c r="H773" s="1190"/>
      <c r="J773" s="1190"/>
      <c r="L773" s="1190"/>
      <c r="O773" s="1190"/>
      <c r="V773" s="1189"/>
      <c r="X773" s="1189"/>
      <c r="Z773" s="1190"/>
      <c r="AB773" s="1190"/>
      <c r="AH773" s="701"/>
      <c r="AJ773" s="701"/>
      <c r="BB773" s="1190"/>
      <c r="BD773" s="1190"/>
      <c r="BF773" s="1190"/>
      <c r="BH773" s="1190"/>
      <c r="BJ773" s="1190"/>
      <c r="BN773" s="206"/>
      <c r="BO773" s="206"/>
      <c r="BP773" s="206"/>
      <c r="BQ773" s="195"/>
      <c r="BR773" s="195"/>
      <c r="BS773" s="195"/>
      <c r="BT773" s="195"/>
      <c r="BU773" s="195"/>
    </row>
    <row r="774" ht="15.75" customHeight="1">
      <c r="A774" s="1004"/>
      <c r="B774" s="1004"/>
      <c r="C774" s="1005"/>
      <c r="D774" s="1005"/>
      <c r="E774" s="977"/>
      <c r="F774" s="1190"/>
      <c r="H774" s="1190"/>
      <c r="J774" s="1190"/>
      <c r="L774" s="1190"/>
      <c r="O774" s="1190"/>
      <c r="V774" s="1189"/>
      <c r="X774" s="1189"/>
      <c r="Z774" s="1190"/>
      <c r="AB774" s="1190"/>
      <c r="AH774" s="701"/>
      <c r="AJ774" s="701"/>
      <c r="BB774" s="1190"/>
      <c r="BD774" s="1190"/>
      <c r="BF774" s="1190"/>
      <c r="BH774" s="1190"/>
      <c r="BJ774" s="1190"/>
      <c r="BN774" s="206"/>
      <c r="BO774" s="206"/>
      <c r="BP774" s="206"/>
      <c r="BQ774" s="195"/>
      <c r="BR774" s="195"/>
      <c r="BS774" s="195"/>
      <c r="BT774" s="195"/>
      <c r="BU774" s="195"/>
    </row>
    <row r="775" ht="15.75" customHeight="1">
      <c r="A775" s="1004"/>
      <c r="B775" s="1004"/>
      <c r="C775" s="1005"/>
      <c r="D775" s="1005"/>
      <c r="E775" s="977"/>
      <c r="F775" s="1190"/>
      <c r="H775" s="1190"/>
      <c r="J775" s="1190"/>
      <c r="L775" s="1190"/>
      <c r="O775" s="1190"/>
      <c r="V775" s="1189"/>
      <c r="X775" s="1189"/>
      <c r="Z775" s="1190"/>
      <c r="AB775" s="1190"/>
      <c r="AH775" s="701"/>
      <c r="AJ775" s="701"/>
      <c r="BB775" s="1190"/>
      <c r="BD775" s="1190"/>
      <c r="BF775" s="1190"/>
      <c r="BH775" s="1190"/>
      <c r="BJ775" s="1190"/>
      <c r="BN775" s="206"/>
      <c r="BO775" s="206"/>
      <c r="BP775" s="206"/>
      <c r="BQ775" s="195"/>
      <c r="BR775" s="195"/>
      <c r="BS775" s="195"/>
      <c r="BT775" s="195"/>
      <c r="BU775" s="195"/>
    </row>
    <row r="776" ht="15.75" customHeight="1">
      <c r="A776" s="1004"/>
      <c r="B776" s="1004"/>
      <c r="C776" s="1005"/>
      <c r="D776" s="1005"/>
      <c r="E776" s="977"/>
      <c r="F776" s="1190"/>
      <c r="H776" s="1190"/>
      <c r="J776" s="1190"/>
      <c r="L776" s="1190"/>
      <c r="O776" s="1190"/>
      <c r="V776" s="1189"/>
      <c r="X776" s="1189"/>
      <c r="Z776" s="1190"/>
      <c r="AB776" s="1190"/>
      <c r="AH776" s="701"/>
      <c r="AJ776" s="701"/>
      <c r="BB776" s="1190"/>
      <c r="BD776" s="1190"/>
      <c r="BF776" s="1190"/>
      <c r="BH776" s="1190"/>
      <c r="BJ776" s="1190"/>
      <c r="BN776" s="206"/>
      <c r="BO776" s="206"/>
      <c r="BP776" s="206"/>
      <c r="BQ776" s="195"/>
      <c r="BR776" s="195"/>
      <c r="BS776" s="195"/>
      <c r="BT776" s="195"/>
      <c r="BU776" s="195"/>
    </row>
    <row r="777" ht="15.75" customHeight="1">
      <c r="A777" s="1004"/>
      <c r="B777" s="1004"/>
      <c r="C777" s="1005"/>
      <c r="D777" s="1005"/>
      <c r="E777" s="977"/>
      <c r="F777" s="1190"/>
      <c r="H777" s="1190"/>
      <c r="J777" s="1190"/>
      <c r="L777" s="1190"/>
      <c r="O777" s="1190"/>
      <c r="V777" s="1189"/>
      <c r="X777" s="1189"/>
      <c r="Z777" s="1190"/>
      <c r="AB777" s="1190"/>
      <c r="AH777" s="701"/>
      <c r="AJ777" s="701"/>
      <c r="BB777" s="1190"/>
      <c r="BD777" s="1190"/>
      <c r="BF777" s="1190"/>
      <c r="BH777" s="1190"/>
      <c r="BJ777" s="1190"/>
      <c r="BN777" s="206"/>
      <c r="BO777" s="206"/>
      <c r="BP777" s="206"/>
      <c r="BQ777" s="195"/>
      <c r="BR777" s="195"/>
      <c r="BS777" s="195"/>
      <c r="BT777" s="195"/>
      <c r="BU777" s="195"/>
    </row>
    <row r="778" ht="15.75" customHeight="1">
      <c r="A778" s="1004"/>
      <c r="B778" s="1004"/>
      <c r="C778" s="1005"/>
      <c r="D778" s="1005"/>
      <c r="E778" s="977"/>
      <c r="F778" s="1190"/>
      <c r="H778" s="1190"/>
      <c r="J778" s="1190"/>
      <c r="L778" s="1190"/>
      <c r="O778" s="1190"/>
      <c r="V778" s="1189"/>
      <c r="X778" s="1189"/>
      <c r="Z778" s="1190"/>
      <c r="AB778" s="1190"/>
      <c r="AH778" s="701"/>
      <c r="AJ778" s="701"/>
      <c r="BB778" s="1190"/>
      <c r="BD778" s="1190"/>
      <c r="BF778" s="1190"/>
      <c r="BH778" s="1190"/>
      <c r="BJ778" s="1190"/>
      <c r="BN778" s="206"/>
      <c r="BO778" s="206"/>
      <c r="BP778" s="206"/>
      <c r="BQ778" s="195"/>
      <c r="BR778" s="195"/>
      <c r="BS778" s="195"/>
      <c r="BT778" s="195"/>
      <c r="BU778" s="195"/>
    </row>
    <row r="779" ht="15.75" customHeight="1">
      <c r="A779" s="1004"/>
      <c r="B779" s="1004"/>
      <c r="C779" s="1005"/>
      <c r="D779" s="1005"/>
      <c r="E779" s="977"/>
      <c r="F779" s="1190"/>
      <c r="H779" s="1190"/>
      <c r="J779" s="1190"/>
      <c r="L779" s="1190"/>
      <c r="O779" s="1190"/>
      <c r="V779" s="1189"/>
      <c r="X779" s="1189"/>
      <c r="Z779" s="1190"/>
      <c r="AB779" s="1190"/>
      <c r="AH779" s="701"/>
      <c r="AJ779" s="701"/>
      <c r="BB779" s="1190"/>
      <c r="BD779" s="1190"/>
      <c r="BF779" s="1190"/>
      <c r="BH779" s="1190"/>
      <c r="BJ779" s="1190"/>
      <c r="BN779" s="206"/>
      <c r="BO779" s="206"/>
      <c r="BP779" s="206"/>
      <c r="BQ779" s="195"/>
      <c r="BR779" s="195"/>
      <c r="BS779" s="195"/>
      <c r="BT779" s="195"/>
      <c r="BU779" s="195"/>
    </row>
    <row r="780" ht="15.75" customHeight="1">
      <c r="A780" s="1004"/>
      <c r="B780" s="1004"/>
      <c r="C780" s="1005"/>
      <c r="D780" s="1005"/>
      <c r="E780" s="977"/>
      <c r="F780" s="1190"/>
      <c r="H780" s="1190"/>
      <c r="J780" s="1190"/>
      <c r="L780" s="1190"/>
      <c r="O780" s="1190"/>
      <c r="V780" s="1189"/>
      <c r="X780" s="1189"/>
      <c r="Z780" s="1190"/>
      <c r="AB780" s="1190"/>
      <c r="AH780" s="701"/>
      <c r="AJ780" s="701"/>
      <c r="BB780" s="1190"/>
      <c r="BD780" s="1190"/>
      <c r="BF780" s="1190"/>
      <c r="BH780" s="1190"/>
      <c r="BJ780" s="1190"/>
      <c r="BN780" s="206"/>
      <c r="BO780" s="206"/>
      <c r="BP780" s="206"/>
      <c r="BQ780" s="195"/>
      <c r="BR780" s="195"/>
      <c r="BS780" s="195"/>
      <c r="BT780" s="195"/>
      <c r="BU780" s="195"/>
    </row>
    <row r="781" ht="15.75" customHeight="1">
      <c r="A781" s="1004"/>
      <c r="B781" s="1004"/>
      <c r="C781" s="1005"/>
      <c r="D781" s="1005"/>
      <c r="E781" s="977"/>
      <c r="F781" s="1190"/>
      <c r="H781" s="1190"/>
      <c r="J781" s="1190"/>
      <c r="L781" s="1190"/>
      <c r="O781" s="1190"/>
      <c r="V781" s="1189"/>
      <c r="X781" s="1189"/>
      <c r="Z781" s="1190"/>
      <c r="AB781" s="1190"/>
      <c r="AH781" s="701"/>
      <c r="AJ781" s="701"/>
      <c r="BB781" s="1190"/>
      <c r="BD781" s="1190"/>
      <c r="BF781" s="1190"/>
      <c r="BH781" s="1190"/>
      <c r="BJ781" s="1190"/>
      <c r="BN781" s="206"/>
      <c r="BO781" s="206"/>
      <c r="BP781" s="206"/>
      <c r="BQ781" s="195"/>
      <c r="BR781" s="195"/>
      <c r="BS781" s="195"/>
      <c r="BT781" s="195"/>
      <c r="BU781" s="195"/>
    </row>
    <row r="782" ht="15.75" customHeight="1">
      <c r="A782" s="1004"/>
      <c r="B782" s="1004"/>
      <c r="C782" s="1005"/>
      <c r="D782" s="1005"/>
      <c r="E782" s="977"/>
      <c r="F782" s="1190"/>
      <c r="H782" s="1190"/>
      <c r="J782" s="1190"/>
      <c r="L782" s="1190"/>
      <c r="O782" s="1190"/>
      <c r="V782" s="1189"/>
      <c r="X782" s="1189"/>
      <c r="Z782" s="1190"/>
      <c r="AB782" s="1190"/>
      <c r="AH782" s="701"/>
      <c r="AJ782" s="701"/>
      <c r="BB782" s="1190"/>
      <c r="BD782" s="1190"/>
      <c r="BF782" s="1190"/>
      <c r="BH782" s="1190"/>
      <c r="BJ782" s="1190"/>
      <c r="BN782" s="206"/>
      <c r="BO782" s="206"/>
      <c r="BP782" s="206"/>
      <c r="BQ782" s="195"/>
      <c r="BR782" s="195"/>
      <c r="BS782" s="195"/>
      <c r="BT782" s="195"/>
      <c r="BU782" s="195"/>
    </row>
    <row r="783" ht="15.75" customHeight="1">
      <c r="A783" s="1004"/>
      <c r="B783" s="1004"/>
      <c r="C783" s="1005"/>
      <c r="D783" s="1005"/>
      <c r="E783" s="977"/>
      <c r="F783" s="1190"/>
      <c r="H783" s="1190"/>
      <c r="J783" s="1190"/>
      <c r="L783" s="1190"/>
      <c r="O783" s="1190"/>
      <c r="V783" s="1189"/>
      <c r="X783" s="1189"/>
      <c r="Z783" s="1190"/>
      <c r="AB783" s="1190"/>
      <c r="AH783" s="701"/>
      <c r="AJ783" s="701"/>
      <c r="BB783" s="1190"/>
      <c r="BD783" s="1190"/>
      <c r="BF783" s="1190"/>
      <c r="BH783" s="1190"/>
      <c r="BJ783" s="1190"/>
      <c r="BN783" s="206"/>
      <c r="BO783" s="206"/>
      <c r="BP783" s="206"/>
      <c r="BQ783" s="195"/>
      <c r="BR783" s="195"/>
      <c r="BS783" s="195"/>
      <c r="BT783" s="195"/>
      <c r="BU783" s="195"/>
    </row>
    <row r="784" ht="15.75" customHeight="1">
      <c r="A784" s="1004"/>
      <c r="B784" s="1004"/>
      <c r="C784" s="1005"/>
      <c r="D784" s="1005"/>
      <c r="E784" s="977"/>
      <c r="F784" s="1190"/>
      <c r="H784" s="1190"/>
      <c r="J784" s="1190"/>
      <c r="L784" s="1190"/>
      <c r="O784" s="1190"/>
      <c r="V784" s="1189"/>
      <c r="X784" s="1189"/>
      <c r="Z784" s="1190"/>
      <c r="AB784" s="1190"/>
      <c r="AH784" s="701"/>
      <c r="AJ784" s="701"/>
      <c r="BB784" s="1190"/>
      <c r="BD784" s="1190"/>
      <c r="BF784" s="1190"/>
      <c r="BH784" s="1190"/>
      <c r="BJ784" s="1190"/>
      <c r="BN784" s="206"/>
      <c r="BO784" s="206"/>
      <c r="BP784" s="206"/>
      <c r="BQ784" s="195"/>
      <c r="BR784" s="195"/>
      <c r="BS784" s="195"/>
      <c r="BT784" s="195"/>
      <c r="BU784" s="195"/>
    </row>
    <row r="785" ht="15.75" customHeight="1">
      <c r="A785" s="1004"/>
      <c r="B785" s="1004"/>
      <c r="C785" s="1005"/>
      <c r="D785" s="1005"/>
      <c r="E785" s="977"/>
      <c r="F785" s="1190"/>
      <c r="H785" s="1190"/>
      <c r="J785" s="1190"/>
      <c r="L785" s="1190"/>
      <c r="O785" s="1190"/>
      <c r="V785" s="1189"/>
      <c r="X785" s="1189"/>
      <c r="Z785" s="1190"/>
      <c r="AB785" s="1190"/>
      <c r="AH785" s="701"/>
      <c r="AJ785" s="701"/>
      <c r="BB785" s="1190"/>
      <c r="BD785" s="1190"/>
      <c r="BF785" s="1190"/>
      <c r="BH785" s="1190"/>
      <c r="BJ785" s="1190"/>
      <c r="BN785" s="206"/>
      <c r="BO785" s="206"/>
      <c r="BP785" s="206"/>
      <c r="BQ785" s="195"/>
      <c r="BR785" s="195"/>
      <c r="BS785" s="195"/>
      <c r="BT785" s="195"/>
      <c r="BU785" s="195"/>
    </row>
    <row r="786" ht="15.75" customHeight="1">
      <c r="A786" s="1004"/>
      <c r="B786" s="1004"/>
      <c r="C786" s="1005"/>
      <c r="D786" s="1005"/>
      <c r="E786" s="977"/>
      <c r="F786" s="1190"/>
      <c r="H786" s="1190"/>
      <c r="J786" s="1190"/>
      <c r="L786" s="1190"/>
      <c r="O786" s="1190"/>
      <c r="V786" s="1189"/>
      <c r="X786" s="1189"/>
      <c r="Z786" s="1190"/>
      <c r="AB786" s="1190"/>
      <c r="AH786" s="701"/>
      <c r="AJ786" s="701"/>
      <c r="BB786" s="1190"/>
      <c r="BD786" s="1190"/>
      <c r="BF786" s="1190"/>
      <c r="BH786" s="1190"/>
      <c r="BJ786" s="1190"/>
      <c r="BN786" s="206"/>
      <c r="BO786" s="206"/>
      <c r="BP786" s="206"/>
      <c r="BQ786" s="195"/>
      <c r="BR786" s="195"/>
      <c r="BS786" s="195"/>
      <c r="BT786" s="195"/>
      <c r="BU786" s="195"/>
    </row>
    <row r="787" ht="15.75" customHeight="1">
      <c r="A787" s="1004"/>
      <c r="B787" s="1004"/>
      <c r="C787" s="1005"/>
      <c r="D787" s="1005"/>
      <c r="E787" s="977"/>
      <c r="F787" s="1190"/>
      <c r="H787" s="1190"/>
      <c r="J787" s="1190"/>
      <c r="L787" s="1190"/>
      <c r="O787" s="1190"/>
      <c r="V787" s="1189"/>
      <c r="X787" s="1189"/>
      <c r="Z787" s="1190"/>
      <c r="AB787" s="1190"/>
      <c r="AH787" s="701"/>
      <c r="AJ787" s="701"/>
      <c r="BB787" s="1190"/>
      <c r="BD787" s="1190"/>
      <c r="BF787" s="1190"/>
      <c r="BH787" s="1190"/>
      <c r="BJ787" s="1190"/>
      <c r="BN787" s="206"/>
      <c r="BO787" s="206"/>
      <c r="BP787" s="206"/>
      <c r="BQ787" s="195"/>
      <c r="BR787" s="195"/>
      <c r="BS787" s="195"/>
      <c r="BT787" s="195"/>
      <c r="BU787" s="195"/>
    </row>
    <row r="788" ht="15.75" customHeight="1">
      <c r="A788" s="1004"/>
      <c r="B788" s="1004"/>
      <c r="C788" s="1005"/>
      <c r="D788" s="1005"/>
      <c r="E788" s="977"/>
      <c r="F788" s="1190"/>
      <c r="H788" s="1190"/>
      <c r="J788" s="1190"/>
      <c r="L788" s="1190"/>
      <c r="O788" s="1190"/>
      <c r="V788" s="1189"/>
      <c r="X788" s="1189"/>
      <c r="Z788" s="1190"/>
      <c r="AB788" s="1190"/>
      <c r="AH788" s="701"/>
      <c r="AJ788" s="701"/>
      <c r="BB788" s="1190"/>
      <c r="BD788" s="1190"/>
      <c r="BF788" s="1190"/>
      <c r="BH788" s="1190"/>
      <c r="BJ788" s="1190"/>
      <c r="BN788" s="206"/>
      <c r="BO788" s="206"/>
      <c r="BP788" s="206"/>
      <c r="BQ788" s="195"/>
      <c r="BR788" s="195"/>
      <c r="BS788" s="195"/>
      <c r="BT788" s="195"/>
      <c r="BU788" s="195"/>
    </row>
    <row r="789" ht="15.75" customHeight="1">
      <c r="A789" s="1004"/>
      <c r="B789" s="1004"/>
      <c r="C789" s="1005"/>
      <c r="D789" s="1005"/>
      <c r="E789" s="977"/>
      <c r="F789" s="1190"/>
      <c r="H789" s="1190"/>
      <c r="J789" s="1190"/>
      <c r="L789" s="1190"/>
      <c r="O789" s="1190"/>
      <c r="V789" s="1189"/>
      <c r="X789" s="1189"/>
      <c r="Z789" s="1190"/>
      <c r="AB789" s="1190"/>
      <c r="AH789" s="701"/>
      <c r="AJ789" s="701"/>
      <c r="BB789" s="1190"/>
      <c r="BD789" s="1190"/>
      <c r="BF789" s="1190"/>
      <c r="BH789" s="1190"/>
      <c r="BJ789" s="1190"/>
      <c r="BN789" s="206"/>
      <c r="BO789" s="206"/>
      <c r="BP789" s="206"/>
      <c r="BQ789" s="195"/>
      <c r="BR789" s="195"/>
      <c r="BS789" s="195"/>
      <c r="BT789" s="195"/>
      <c r="BU789" s="195"/>
    </row>
    <row r="790" ht="15.75" customHeight="1">
      <c r="A790" s="1004"/>
      <c r="B790" s="1004"/>
      <c r="C790" s="1005"/>
      <c r="D790" s="1005"/>
      <c r="E790" s="977"/>
      <c r="F790" s="1190"/>
      <c r="H790" s="1190"/>
      <c r="J790" s="1190"/>
      <c r="L790" s="1190"/>
      <c r="O790" s="1190"/>
      <c r="V790" s="1189"/>
      <c r="X790" s="1189"/>
      <c r="Z790" s="1190"/>
      <c r="AB790" s="1190"/>
      <c r="AH790" s="701"/>
      <c r="AJ790" s="701"/>
      <c r="BB790" s="1190"/>
      <c r="BD790" s="1190"/>
      <c r="BF790" s="1190"/>
      <c r="BH790" s="1190"/>
      <c r="BJ790" s="1190"/>
      <c r="BN790" s="206"/>
      <c r="BO790" s="206"/>
      <c r="BP790" s="206"/>
      <c r="BQ790" s="195"/>
      <c r="BR790" s="195"/>
      <c r="BS790" s="195"/>
      <c r="BT790" s="195"/>
      <c r="BU790" s="195"/>
    </row>
    <row r="791" ht="15.75" customHeight="1">
      <c r="A791" s="1004"/>
      <c r="B791" s="1004"/>
      <c r="C791" s="1005"/>
      <c r="D791" s="1005"/>
      <c r="E791" s="977"/>
      <c r="F791" s="1190"/>
      <c r="H791" s="1190"/>
      <c r="J791" s="1190"/>
      <c r="L791" s="1190"/>
      <c r="O791" s="1190"/>
      <c r="V791" s="1189"/>
      <c r="X791" s="1189"/>
      <c r="Z791" s="1190"/>
      <c r="AB791" s="1190"/>
      <c r="AH791" s="701"/>
      <c r="AJ791" s="701"/>
      <c r="BB791" s="1190"/>
      <c r="BD791" s="1190"/>
      <c r="BF791" s="1190"/>
      <c r="BH791" s="1190"/>
      <c r="BJ791" s="1190"/>
      <c r="BN791" s="206"/>
      <c r="BO791" s="206"/>
      <c r="BP791" s="206"/>
      <c r="BQ791" s="195"/>
      <c r="BR791" s="195"/>
      <c r="BS791" s="195"/>
      <c r="BT791" s="195"/>
      <c r="BU791" s="195"/>
    </row>
    <row r="792" ht="15.75" customHeight="1">
      <c r="A792" s="1004"/>
      <c r="B792" s="1004"/>
      <c r="C792" s="1005"/>
      <c r="D792" s="1005"/>
      <c r="E792" s="977"/>
      <c r="F792" s="1190"/>
      <c r="H792" s="1190"/>
      <c r="J792" s="1190"/>
      <c r="L792" s="1190"/>
      <c r="O792" s="1190"/>
      <c r="V792" s="1189"/>
      <c r="X792" s="1189"/>
      <c r="Z792" s="1190"/>
      <c r="AB792" s="1190"/>
      <c r="AH792" s="701"/>
      <c r="AJ792" s="701"/>
      <c r="BB792" s="1190"/>
      <c r="BD792" s="1190"/>
      <c r="BF792" s="1190"/>
      <c r="BH792" s="1190"/>
      <c r="BJ792" s="1190"/>
      <c r="BN792" s="206"/>
      <c r="BO792" s="206"/>
      <c r="BP792" s="206"/>
      <c r="BQ792" s="195"/>
      <c r="BR792" s="195"/>
      <c r="BS792" s="195"/>
      <c r="BT792" s="195"/>
      <c r="BU792" s="195"/>
    </row>
    <row r="793" ht="15.75" customHeight="1">
      <c r="A793" s="1004"/>
      <c r="B793" s="1004"/>
      <c r="C793" s="1005"/>
      <c r="D793" s="1005"/>
      <c r="E793" s="977"/>
      <c r="F793" s="1190"/>
      <c r="H793" s="1190"/>
      <c r="J793" s="1190"/>
      <c r="L793" s="1190"/>
      <c r="O793" s="1190"/>
      <c r="V793" s="1189"/>
      <c r="X793" s="1189"/>
      <c r="Z793" s="1190"/>
      <c r="AB793" s="1190"/>
      <c r="AH793" s="701"/>
      <c r="AJ793" s="701"/>
      <c r="BB793" s="1190"/>
      <c r="BD793" s="1190"/>
      <c r="BF793" s="1190"/>
      <c r="BH793" s="1190"/>
      <c r="BJ793" s="1190"/>
      <c r="BN793" s="206"/>
      <c r="BO793" s="206"/>
      <c r="BP793" s="206"/>
      <c r="BQ793" s="195"/>
      <c r="BR793" s="195"/>
      <c r="BS793" s="195"/>
      <c r="BT793" s="195"/>
      <c r="BU793" s="195"/>
    </row>
    <row r="794" ht="15.75" customHeight="1">
      <c r="A794" s="1004"/>
      <c r="B794" s="1004"/>
      <c r="C794" s="1005"/>
      <c r="D794" s="1005"/>
      <c r="E794" s="977"/>
      <c r="F794" s="1190"/>
      <c r="H794" s="1190"/>
      <c r="J794" s="1190"/>
      <c r="L794" s="1190"/>
      <c r="O794" s="1190"/>
      <c r="V794" s="1189"/>
      <c r="X794" s="1189"/>
      <c r="Z794" s="1190"/>
      <c r="AB794" s="1190"/>
      <c r="AH794" s="701"/>
      <c r="AJ794" s="701"/>
      <c r="BB794" s="1190"/>
      <c r="BD794" s="1190"/>
      <c r="BF794" s="1190"/>
      <c r="BH794" s="1190"/>
      <c r="BJ794" s="1190"/>
      <c r="BN794" s="206"/>
      <c r="BO794" s="206"/>
      <c r="BP794" s="206"/>
      <c r="BQ794" s="195"/>
      <c r="BR794" s="195"/>
      <c r="BS794" s="195"/>
      <c r="BT794" s="195"/>
      <c r="BU794" s="195"/>
    </row>
    <row r="795" ht="15.75" customHeight="1">
      <c r="A795" s="1004"/>
      <c r="B795" s="1004"/>
      <c r="C795" s="1005"/>
      <c r="D795" s="1005"/>
      <c r="E795" s="977"/>
      <c r="F795" s="1190"/>
      <c r="H795" s="1190"/>
      <c r="J795" s="1190"/>
      <c r="L795" s="1190"/>
      <c r="O795" s="1190"/>
      <c r="V795" s="1189"/>
      <c r="X795" s="1189"/>
      <c r="Z795" s="1190"/>
      <c r="AB795" s="1190"/>
      <c r="AH795" s="701"/>
      <c r="AJ795" s="701"/>
      <c r="BB795" s="1190"/>
      <c r="BD795" s="1190"/>
      <c r="BF795" s="1190"/>
      <c r="BH795" s="1190"/>
      <c r="BJ795" s="1190"/>
      <c r="BN795" s="206"/>
      <c r="BO795" s="206"/>
      <c r="BP795" s="206"/>
      <c r="BQ795" s="195"/>
      <c r="BR795" s="195"/>
      <c r="BS795" s="195"/>
      <c r="BT795" s="195"/>
      <c r="BU795" s="195"/>
    </row>
    <row r="796" ht="15.75" customHeight="1">
      <c r="A796" s="1004"/>
      <c r="B796" s="1004"/>
      <c r="C796" s="1005"/>
      <c r="D796" s="1005"/>
      <c r="E796" s="977"/>
      <c r="F796" s="1190"/>
      <c r="H796" s="1190"/>
      <c r="J796" s="1190"/>
      <c r="L796" s="1190"/>
      <c r="O796" s="1190"/>
      <c r="V796" s="1189"/>
      <c r="X796" s="1189"/>
      <c r="Z796" s="1190"/>
      <c r="AB796" s="1190"/>
      <c r="AH796" s="701"/>
      <c r="AJ796" s="701"/>
      <c r="BB796" s="1190"/>
      <c r="BD796" s="1190"/>
      <c r="BF796" s="1190"/>
      <c r="BH796" s="1190"/>
      <c r="BJ796" s="1190"/>
      <c r="BN796" s="206"/>
      <c r="BO796" s="206"/>
      <c r="BP796" s="206"/>
      <c r="BQ796" s="195"/>
      <c r="BR796" s="195"/>
      <c r="BS796" s="195"/>
      <c r="BT796" s="195"/>
      <c r="BU796" s="195"/>
    </row>
    <row r="797" ht="15.75" customHeight="1">
      <c r="A797" s="1004"/>
      <c r="B797" s="1004"/>
      <c r="C797" s="1005"/>
      <c r="D797" s="1005"/>
      <c r="E797" s="977"/>
      <c r="F797" s="1190"/>
      <c r="H797" s="1190"/>
      <c r="J797" s="1190"/>
      <c r="L797" s="1190"/>
      <c r="O797" s="1190"/>
      <c r="V797" s="1189"/>
      <c r="X797" s="1189"/>
      <c r="Z797" s="1190"/>
      <c r="AB797" s="1190"/>
      <c r="AH797" s="701"/>
      <c r="AJ797" s="701"/>
      <c r="BB797" s="1190"/>
      <c r="BD797" s="1190"/>
      <c r="BF797" s="1190"/>
      <c r="BH797" s="1190"/>
      <c r="BJ797" s="1190"/>
      <c r="BN797" s="206"/>
      <c r="BO797" s="206"/>
      <c r="BP797" s="206"/>
      <c r="BQ797" s="195"/>
      <c r="BR797" s="195"/>
      <c r="BS797" s="195"/>
      <c r="BT797" s="195"/>
      <c r="BU797" s="195"/>
    </row>
    <row r="798" ht="15.75" customHeight="1">
      <c r="A798" s="1004"/>
      <c r="B798" s="1004"/>
      <c r="C798" s="1005"/>
      <c r="D798" s="1005"/>
      <c r="E798" s="977"/>
      <c r="F798" s="1190"/>
      <c r="H798" s="1190"/>
      <c r="J798" s="1190"/>
      <c r="L798" s="1190"/>
      <c r="O798" s="1190"/>
      <c r="V798" s="1189"/>
      <c r="X798" s="1189"/>
      <c r="Z798" s="1190"/>
      <c r="AB798" s="1190"/>
      <c r="AH798" s="701"/>
      <c r="AJ798" s="701"/>
      <c r="BB798" s="1190"/>
      <c r="BD798" s="1190"/>
      <c r="BF798" s="1190"/>
      <c r="BH798" s="1190"/>
      <c r="BJ798" s="1190"/>
      <c r="BN798" s="206"/>
      <c r="BO798" s="206"/>
      <c r="BP798" s="206"/>
      <c r="BQ798" s="195"/>
      <c r="BR798" s="195"/>
      <c r="BS798" s="195"/>
      <c r="BT798" s="195"/>
      <c r="BU798" s="195"/>
    </row>
    <row r="799" ht="15.75" customHeight="1">
      <c r="A799" s="1004"/>
      <c r="B799" s="1004"/>
      <c r="C799" s="1005"/>
      <c r="D799" s="1005"/>
      <c r="E799" s="977"/>
      <c r="F799" s="1190"/>
      <c r="H799" s="1190"/>
      <c r="J799" s="1190"/>
      <c r="L799" s="1190"/>
      <c r="O799" s="1190"/>
      <c r="V799" s="1189"/>
      <c r="X799" s="1189"/>
      <c r="Z799" s="1190"/>
      <c r="AB799" s="1190"/>
      <c r="AH799" s="701"/>
      <c r="AJ799" s="701"/>
      <c r="BB799" s="1190"/>
      <c r="BD799" s="1190"/>
      <c r="BF799" s="1190"/>
      <c r="BH799" s="1190"/>
      <c r="BJ799" s="1190"/>
      <c r="BN799" s="206"/>
      <c r="BO799" s="206"/>
      <c r="BP799" s="206"/>
      <c r="BQ799" s="195"/>
      <c r="BR799" s="195"/>
      <c r="BS799" s="195"/>
      <c r="BT799" s="195"/>
      <c r="BU799" s="195"/>
    </row>
    <row r="800" ht="15.75" customHeight="1">
      <c r="A800" s="1004"/>
      <c r="B800" s="1004"/>
      <c r="C800" s="1005"/>
      <c r="D800" s="1005"/>
      <c r="E800" s="977"/>
      <c r="F800" s="1190"/>
      <c r="H800" s="1190"/>
      <c r="J800" s="1190"/>
      <c r="L800" s="1190"/>
      <c r="O800" s="1190"/>
      <c r="V800" s="1189"/>
      <c r="X800" s="1189"/>
      <c r="Z800" s="1190"/>
      <c r="AB800" s="1190"/>
      <c r="AH800" s="701"/>
      <c r="AJ800" s="701"/>
      <c r="BB800" s="1190"/>
      <c r="BD800" s="1190"/>
      <c r="BF800" s="1190"/>
      <c r="BH800" s="1190"/>
      <c r="BJ800" s="1190"/>
      <c r="BN800" s="206"/>
      <c r="BO800" s="206"/>
      <c r="BP800" s="206"/>
      <c r="BQ800" s="195"/>
      <c r="BR800" s="195"/>
      <c r="BS800" s="195"/>
      <c r="BT800" s="195"/>
      <c r="BU800" s="195"/>
    </row>
    <row r="801" ht="15.75" customHeight="1">
      <c r="A801" s="1004"/>
      <c r="B801" s="1004"/>
      <c r="C801" s="1005"/>
      <c r="D801" s="1005"/>
      <c r="E801" s="977"/>
      <c r="F801" s="1190"/>
      <c r="H801" s="1190"/>
      <c r="J801" s="1190"/>
      <c r="L801" s="1190"/>
      <c r="O801" s="1190"/>
      <c r="V801" s="1189"/>
      <c r="X801" s="1189"/>
      <c r="Z801" s="1190"/>
      <c r="AB801" s="1190"/>
      <c r="AH801" s="701"/>
      <c r="AJ801" s="701"/>
      <c r="BB801" s="1190"/>
      <c r="BD801" s="1190"/>
      <c r="BF801" s="1190"/>
      <c r="BH801" s="1190"/>
      <c r="BJ801" s="1190"/>
      <c r="BN801" s="206"/>
      <c r="BO801" s="206"/>
      <c r="BP801" s="206"/>
      <c r="BQ801" s="195"/>
      <c r="BR801" s="195"/>
      <c r="BS801" s="195"/>
      <c r="BT801" s="195"/>
      <c r="BU801" s="195"/>
    </row>
    <row r="802" ht="15.75" customHeight="1">
      <c r="A802" s="1004"/>
      <c r="B802" s="1004"/>
      <c r="C802" s="1005"/>
      <c r="D802" s="1005"/>
      <c r="E802" s="977"/>
      <c r="F802" s="1190"/>
      <c r="H802" s="1190"/>
      <c r="J802" s="1190"/>
      <c r="L802" s="1190"/>
      <c r="O802" s="1190"/>
      <c r="V802" s="1189"/>
      <c r="X802" s="1189"/>
      <c r="Z802" s="1190"/>
      <c r="AB802" s="1190"/>
      <c r="AH802" s="701"/>
      <c r="AJ802" s="701"/>
      <c r="BB802" s="1190"/>
      <c r="BD802" s="1190"/>
      <c r="BF802" s="1190"/>
      <c r="BH802" s="1190"/>
      <c r="BJ802" s="1190"/>
      <c r="BN802" s="206"/>
      <c r="BO802" s="206"/>
      <c r="BP802" s="206"/>
      <c r="BQ802" s="195"/>
      <c r="BR802" s="195"/>
      <c r="BS802" s="195"/>
      <c r="BT802" s="195"/>
      <c r="BU802" s="195"/>
    </row>
    <row r="803" ht="15.75" customHeight="1">
      <c r="A803" s="1004"/>
      <c r="B803" s="1004"/>
      <c r="C803" s="1005"/>
      <c r="D803" s="1005"/>
      <c r="E803" s="977"/>
      <c r="F803" s="1190"/>
      <c r="H803" s="1190"/>
      <c r="J803" s="1190"/>
      <c r="L803" s="1190"/>
      <c r="O803" s="1190"/>
      <c r="V803" s="1189"/>
      <c r="X803" s="1189"/>
      <c r="Z803" s="1190"/>
      <c r="AB803" s="1190"/>
      <c r="AH803" s="701"/>
      <c r="AJ803" s="701"/>
      <c r="BB803" s="1190"/>
      <c r="BD803" s="1190"/>
      <c r="BF803" s="1190"/>
      <c r="BH803" s="1190"/>
      <c r="BJ803" s="1190"/>
      <c r="BN803" s="206"/>
      <c r="BO803" s="206"/>
      <c r="BP803" s="206"/>
      <c r="BQ803" s="195"/>
      <c r="BR803" s="195"/>
      <c r="BS803" s="195"/>
      <c r="BT803" s="195"/>
      <c r="BU803" s="195"/>
    </row>
    <row r="804" ht="15.75" customHeight="1">
      <c r="A804" s="1004"/>
      <c r="B804" s="1004"/>
      <c r="C804" s="1005"/>
      <c r="D804" s="1005"/>
      <c r="E804" s="977"/>
      <c r="F804" s="1190"/>
      <c r="H804" s="1190"/>
      <c r="J804" s="1190"/>
      <c r="L804" s="1190"/>
      <c r="O804" s="1190"/>
      <c r="V804" s="1189"/>
      <c r="X804" s="1189"/>
      <c r="Z804" s="1190"/>
      <c r="AB804" s="1190"/>
      <c r="AH804" s="701"/>
      <c r="AJ804" s="701"/>
      <c r="BB804" s="1190"/>
      <c r="BD804" s="1190"/>
      <c r="BF804" s="1190"/>
      <c r="BH804" s="1190"/>
      <c r="BJ804" s="1190"/>
      <c r="BN804" s="206"/>
      <c r="BO804" s="206"/>
      <c r="BP804" s="206"/>
      <c r="BQ804" s="195"/>
      <c r="BR804" s="195"/>
      <c r="BS804" s="195"/>
      <c r="BT804" s="195"/>
      <c r="BU804" s="195"/>
    </row>
    <row r="805" ht="15.75" customHeight="1">
      <c r="A805" s="1004"/>
      <c r="B805" s="1004"/>
      <c r="C805" s="1005"/>
      <c r="D805" s="1005"/>
      <c r="E805" s="977"/>
      <c r="F805" s="1190"/>
      <c r="H805" s="1190"/>
      <c r="J805" s="1190"/>
      <c r="L805" s="1190"/>
      <c r="O805" s="1190"/>
      <c r="V805" s="1189"/>
      <c r="X805" s="1189"/>
      <c r="Z805" s="1190"/>
      <c r="AB805" s="1190"/>
      <c r="AH805" s="701"/>
      <c r="AJ805" s="701"/>
      <c r="BB805" s="1190"/>
      <c r="BD805" s="1190"/>
      <c r="BF805" s="1190"/>
      <c r="BH805" s="1190"/>
      <c r="BJ805" s="1190"/>
      <c r="BN805" s="206"/>
      <c r="BO805" s="206"/>
      <c r="BP805" s="206"/>
      <c r="BQ805" s="195"/>
      <c r="BR805" s="195"/>
      <c r="BS805" s="195"/>
      <c r="BT805" s="195"/>
      <c r="BU805" s="195"/>
    </row>
    <row r="806" ht="15.75" customHeight="1">
      <c r="A806" s="1004"/>
      <c r="B806" s="1004"/>
      <c r="C806" s="1005"/>
      <c r="D806" s="1005"/>
      <c r="E806" s="977"/>
      <c r="F806" s="1190"/>
      <c r="H806" s="1190"/>
      <c r="J806" s="1190"/>
      <c r="L806" s="1190"/>
      <c r="O806" s="1190"/>
      <c r="V806" s="1189"/>
      <c r="X806" s="1189"/>
      <c r="Z806" s="1190"/>
      <c r="AB806" s="1190"/>
      <c r="AH806" s="701"/>
      <c r="AJ806" s="701"/>
      <c r="BB806" s="1190"/>
      <c r="BD806" s="1190"/>
      <c r="BF806" s="1190"/>
      <c r="BH806" s="1190"/>
      <c r="BJ806" s="1190"/>
      <c r="BN806" s="206"/>
      <c r="BO806" s="206"/>
      <c r="BP806" s="206"/>
      <c r="BQ806" s="195"/>
      <c r="BR806" s="195"/>
      <c r="BS806" s="195"/>
      <c r="BT806" s="195"/>
      <c r="BU806" s="195"/>
    </row>
    <row r="807" ht="15.75" customHeight="1">
      <c r="A807" s="1004"/>
      <c r="B807" s="1004"/>
      <c r="C807" s="1005"/>
      <c r="D807" s="1005"/>
      <c r="E807" s="977"/>
      <c r="F807" s="1190"/>
      <c r="H807" s="1190"/>
      <c r="J807" s="1190"/>
      <c r="L807" s="1190"/>
      <c r="O807" s="1190"/>
      <c r="V807" s="1189"/>
      <c r="X807" s="1189"/>
      <c r="Z807" s="1190"/>
      <c r="AB807" s="1190"/>
      <c r="AH807" s="701"/>
      <c r="AJ807" s="701"/>
      <c r="BB807" s="1190"/>
      <c r="BD807" s="1190"/>
      <c r="BF807" s="1190"/>
      <c r="BH807" s="1190"/>
      <c r="BJ807" s="1190"/>
      <c r="BN807" s="206"/>
      <c r="BO807" s="206"/>
      <c r="BP807" s="206"/>
      <c r="BQ807" s="195"/>
      <c r="BR807" s="195"/>
      <c r="BS807" s="195"/>
      <c r="BT807" s="195"/>
      <c r="BU807" s="195"/>
    </row>
    <row r="808" ht="15.75" customHeight="1">
      <c r="A808" s="1004"/>
      <c r="B808" s="1004"/>
      <c r="C808" s="1005"/>
      <c r="D808" s="1005"/>
      <c r="E808" s="977"/>
      <c r="F808" s="1190"/>
      <c r="H808" s="1190"/>
      <c r="J808" s="1190"/>
      <c r="L808" s="1190"/>
      <c r="O808" s="1190"/>
      <c r="V808" s="1189"/>
      <c r="X808" s="1189"/>
      <c r="Z808" s="1190"/>
      <c r="AB808" s="1190"/>
      <c r="AH808" s="701"/>
      <c r="AJ808" s="701"/>
      <c r="BB808" s="1190"/>
      <c r="BD808" s="1190"/>
      <c r="BF808" s="1190"/>
      <c r="BH808" s="1190"/>
      <c r="BJ808" s="1190"/>
      <c r="BN808" s="206"/>
      <c r="BO808" s="206"/>
      <c r="BP808" s="206"/>
      <c r="BQ808" s="195"/>
      <c r="BR808" s="195"/>
      <c r="BS808" s="195"/>
      <c r="BT808" s="195"/>
      <c r="BU808" s="195"/>
    </row>
    <row r="809" ht="15.75" customHeight="1">
      <c r="A809" s="1004"/>
      <c r="B809" s="1004"/>
      <c r="C809" s="1005"/>
      <c r="D809" s="1005"/>
      <c r="E809" s="977"/>
      <c r="F809" s="1190"/>
      <c r="H809" s="1190"/>
      <c r="J809" s="1190"/>
      <c r="L809" s="1190"/>
      <c r="O809" s="1190"/>
      <c r="V809" s="1189"/>
      <c r="X809" s="1189"/>
      <c r="Z809" s="1190"/>
      <c r="AB809" s="1190"/>
      <c r="AH809" s="701"/>
      <c r="AJ809" s="701"/>
      <c r="BB809" s="1190"/>
      <c r="BD809" s="1190"/>
      <c r="BF809" s="1190"/>
      <c r="BH809" s="1190"/>
      <c r="BJ809" s="1190"/>
      <c r="BN809" s="206"/>
      <c r="BO809" s="206"/>
      <c r="BP809" s="206"/>
      <c r="BQ809" s="195"/>
      <c r="BR809" s="195"/>
      <c r="BS809" s="195"/>
      <c r="BT809" s="195"/>
      <c r="BU809" s="195"/>
    </row>
    <row r="810" ht="15.75" customHeight="1">
      <c r="A810" s="1004"/>
      <c r="B810" s="1004"/>
      <c r="C810" s="1005"/>
      <c r="D810" s="1005"/>
      <c r="E810" s="977"/>
      <c r="F810" s="1190"/>
      <c r="H810" s="1190"/>
      <c r="J810" s="1190"/>
      <c r="L810" s="1190"/>
      <c r="O810" s="1190"/>
      <c r="V810" s="1189"/>
      <c r="X810" s="1189"/>
      <c r="Z810" s="1190"/>
      <c r="AB810" s="1190"/>
      <c r="AH810" s="701"/>
      <c r="AJ810" s="701"/>
      <c r="BB810" s="1190"/>
      <c r="BD810" s="1190"/>
      <c r="BF810" s="1190"/>
      <c r="BH810" s="1190"/>
      <c r="BJ810" s="1190"/>
      <c r="BN810" s="206"/>
      <c r="BO810" s="206"/>
      <c r="BP810" s="206"/>
      <c r="BQ810" s="195"/>
      <c r="BR810" s="195"/>
      <c r="BS810" s="195"/>
      <c r="BT810" s="195"/>
      <c r="BU810" s="195"/>
    </row>
    <row r="811" ht="15.75" customHeight="1">
      <c r="A811" s="1004"/>
      <c r="B811" s="1004"/>
      <c r="C811" s="1005"/>
      <c r="D811" s="1005"/>
      <c r="E811" s="977"/>
      <c r="F811" s="1190"/>
      <c r="H811" s="1190"/>
      <c r="J811" s="1190"/>
      <c r="L811" s="1190"/>
      <c r="O811" s="1190"/>
      <c r="V811" s="1189"/>
      <c r="X811" s="1189"/>
      <c r="Z811" s="1190"/>
      <c r="AB811" s="1190"/>
      <c r="AH811" s="701"/>
      <c r="AJ811" s="701"/>
      <c r="BB811" s="1190"/>
      <c r="BD811" s="1190"/>
      <c r="BF811" s="1190"/>
      <c r="BH811" s="1190"/>
      <c r="BJ811" s="1190"/>
      <c r="BN811" s="206"/>
      <c r="BO811" s="206"/>
      <c r="BP811" s="206"/>
      <c r="BQ811" s="195"/>
      <c r="BR811" s="195"/>
      <c r="BS811" s="195"/>
      <c r="BT811" s="195"/>
      <c r="BU811" s="195"/>
    </row>
    <row r="812" ht="15.75" customHeight="1">
      <c r="A812" s="1004"/>
      <c r="B812" s="1004"/>
      <c r="C812" s="1005"/>
      <c r="D812" s="1005"/>
      <c r="E812" s="977"/>
      <c r="F812" s="1190"/>
      <c r="H812" s="1190"/>
      <c r="J812" s="1190"/>
      <c r="L812" s="1190"/>
      <c r="O812" s="1190"/>
      <c r="V812" s="1189"/>
      <c r="X812" s="1189"/>
      <c r="Z812" s="1190"/>
      <c r="AB812" s="1190"/>
      <c r="AH812" s="701"/>
      <c r="AJ812" s="701"/>
      <c r="BB812" s="1190"/>
      <c r="BD812" s="1190"/>
      <c r="BF812" s="1190"/>
      <c r="BH812" s="1190"/>
      <c r="BJ812" s="1190"/>
      <c r="BN812" s="206"/>
      <c r="BO812" s="206"/>
      <c r="BP812" s="206"/>
      <c r="BQ812" s="195"/>
      <c r="BR812" s="195"/>
      <c r="BS812" s="195"/>
      <c r="BT812" s="195"/>
      <c r="BU812" s="195"/>
    </row>
    <row r="813" ht="15.75" customHeight="1">
      <c r="A813" s="1004"/>
      <c r="B813" s="1004"/>
      <c r="C813" s="1005"/>
      <c r="D813" s="1005"/>
      <c r="E813" s="977"/>
      <c r="F813" s="1190"/>
      <c r="H813" s="1190"/>
      <c r="J813" s="1190"/>
      <c r="L813" s="1190"/>
      <c r="O813" s="1190"/>
      <c r="V813" s="1189"/>
      <c r="X813" s="1189"/>
      <c r="Z813" s="1190"/>
      <c r="AB813" s="1190"/>
      <c r="AH813" s="701"/>
      <c r="AJ813" s="701"/>
      <c r="BB813" s="1190"/>
      <c r="BD813" s="1190"/>
      <c r="BF813" s="1190"/>
      <c r="BH813" s="1190"/>
      <c r="BJ813" s="1190"/>
      <c r="BN813" s="206"/>
      <c r="BO813" s="206"/>
      <c r="BP813" s="206"/>
      <c r="BQ813" s="195"/>
      <c r="BR813" s="195"/>
      <c r="BS813" s="195"/>
      <c r="BT813" s="195"/>
      <c r="BU813" s="195"/>
    </row>
    <row r="814" ht="15.75" customHeight="1">
      <c r="A814" s="1004"/>
      <c r="B814" s="1004"/>
      <c r="C814" s="1005"/>
      <c r="D814" s="1005"/>
      <c r="E814" s="977"/>
      <c r="F814" s="1190"/>
      <c r="H814" s="1190"/>
      <c r="J814" s="1190"/>
      <c r="L814" s="1190"/>
      <c r="O814" s="1190"/>
      <c r="V814" s="1189"/>
      <c r="X814" s="1189"/>
      <c r="Z814" s="1190"/>
      <c r="AB814" s="1190"/>
      <c r="AH814" s="701"/>
      <c r="AJ814" s="701"/>
      <c r="BB814" s="1190"/>
      <c r="BD814" s="1190"/>
      <c r="BF814" s="1190"/>
      <c r="BH814" s="1190"/>
      <c r="BJ814" s="1190"/>
      <c r="BN814" s="206"/>
      <c r="BO814" s="206"/>
      <c r="BP814" s="206"/>
      <c r="BQ814" s="195"/>
      <c r="BR814" s="195"/>
      <c r="BS814" s="195"/>
      <c r="BT814" s="195"/>
      <c r="BU814" s="195"/>
    </row>
    <row r="815" ht="15.75" customHeight="1">
      <c r="A815" s="1004"/>
      <c r="B815" s="1004"/>
      <c r="C815" s="1005"/>
      <c r="D815" s="1005"/>
      <c r="E815" s="977"/>
      <c r="F815" s="1190"/>
      <c r="H815" s="1190"/>
      <c r="J815" s="1190"/>
      <c r="L815" s="1190"/>
      <c r="O815" s="1190"/>
      <c r="V815" s="1189"/>
      <c r="X815" s="1189"/>
      <c r="Z815" s="1190"/>
      <c r="AB815" s="1190"/>
      <c r="AH815" s="701"/>
      <c r="AJ815" s="701"/>
      <c r="BB815" s="1190"/>
      <c r="BD815" s="1190"/>
      <c r="BF815" s="1190"/>
      <c r="BH815" s="1190"/>
      <c r="BJ815" s="1190"/>
      <c r="BN815" s="206"/>
      <c r="BO815" s="206"/>
      <c r="BP815" s="206"/>
      <c r="BQ815" s="195"/>
      <c r="BR815" s="195"/>
      <c r="BS815" s="195"/>
      <c r="BT815" s="195"/>
      <c r="BU815" s="195"/>
    </row>
    <row r="816" ht="15.75" customHeight="1">
      <c r="A816" s="1004"/>
      <c r="B816" s="1004"/>
      <c r="C816" s="1005"/>
      <c r="D816" s="1005"/>
      <c r="E816" s="977"/>
      <c r="F816" s="1190"/>
      <c r="H816" s="1190"/>
      <c r="J816" s="1190"/>
      <c r="L816" s="1190"/>
      <c r="O816" s="1190"/>
      <c r="V816" s="1189"/>
      <c r="X816" s="1189"/>
      <c r="Z816" s="1190"/>
      <c r="AB816" s="1190"/>
      <c r="AH816" s="701"/>
      <c r="AJ816" s="701"/>
      <c r="BB816" s="1190"/>
      <c r="BD816" s="1190"/>
      <c r="BF816" s="1190"/>
      <c r="BH816" s="1190"/>
      <c r="BJ816" s="1190"/>
      <c r="BN816" s="206"/>
      <c r="BO816" s="206"/>
      <c r="BP816" s="206"/>
      <c r="BQ816" s="195"/>
      <c r="BR816" s="195"/>
      <c r="BS816" s="195"/>
      <c r="BT816" s="195"/>
      <c r="BU816" s="195"/>
    </row>
    <row r="817" ht="15.75" customHeight="1">
      <c r="A817" s="1004"/>
      <c r="B817" s="1004"/>
      <c r="C817" s="1005"/>
      <c r="D817" s="1005"/>
      <c r="E817" s="977"/>
      <c r="F817" s="1190"/>
      <c r="H817" s="1190"/>
      <c r="J817" s="1190"/>
      <c r="L817" s="1190"/>
      <c r="O817" s="1190"/>
      <c r="V817" s="1189"/>
      <c r="X817" s="1189"/>
      <c r="Z817" s="1190"/>
      <c r="AB817" s="1190"/>
      <c r="AH817" s="701"/>
      <c r="AJ817" s="701"/>
      <c r="BB817" s="1190"/>
      <c r="BD817" s="1190"/>
      <c r="BF817" s="1190"/>
      <c r="BH817" s="1190"/>
      <c r="BJ817" s="1190"/>
      <c r="BN817" s="206"/>
      <c r="BO817" s="206"/>
      <c r="BP817" s="206"/>
      <c r="BQ817" s="195"/>
      <c r="BR817" s="195"/>
      <c r="BS817" s="195"/>
      <c r="BT817" s="195"/>
      <c r="BU817" s="195"/>
    </row>
    <row r="818" ht="15.75" customHeight="1">
      <c r="A818" s="1004"/>
      <c r="B818" s="1004"/>
      <c r="C818" s="1005"/>
      <c r="D818" s="1005"/>
      <c r="E818" s="977"/>
      <c r="F818" s="1190"/>
      <c r="H818" s="1190"/>
      <c r="J818" s="1190"/>
      <c r="L818" s="1190"/>
      <c r="O818" s="1190"/>
      <c r="V818" s="1189"/>
      <c r="X818" s="1189"/>
      <c r="Z818" s="1190"/>
      <c r="AB818" s="1190"/>
      <c r="AH818" s="701"/>
      <c r="AJ818" s="701"/>
      <c r="BB818" s="1190"/>
      <c r="BD818" s="1190"/>
      <c r="BF818" s="1190"/>
      <c r="BH818" s="1190"/>
      <c r="BJ818" s="1190"/>
      <c r="BN818" s="206"/>
      <c r="BO818" s="206"/>
      <c r="BP818" s="206"/>
      <c r="BQ818" s="195"/>
      <c r="BR818" s="195"/>
      <c r="BS818" s="195"/>
      <c r="BT818" s="195"/>
      <c r="BU818" s="195"/>
    </row>
    <row r="819" ht="15.75" customHeight="1">
      <c r="A819" s="1004"/>
      <c r="B819" s="1004"/>
      <c r="C819" s="1005"/>
      <c r="D819" s="1005"/>
      <c r="E819" s="977"/>
      <c r="F819" s="1190"/>
      <c r="H819" s="1190"/>
      <c r="J819" s="1190"/>
      <c r="L819" s="1190"/>
      <c r="O819" s="1190"/>
      <c r="V819" s="1189"/>
      <c r="X819" s="1189"/>
      <c r="Z819" s="1190"/>
      <c r="AB819" s="1190"/>
      <c r="AH819" s="701"/>
      <c r="AJ819" s="701"/>
      <c r="BB819" s="1190"/>
      <c r="BD819" s="1190"/>
      <c r="BF819" s="1190"/>
      <c r="BH819" s="1190"/>
      <c r="BJ819" s="1190"/>
      <c r="BN819" s="206"/>
      <c r="BO819" s="206"/>
      <c r="BP819" s="206"/>
      <c r="BQ819" s="195"/>
      <c r="BR819" s="195"/>
      <c r="BS819" s="195"/>
      <c r="BT819" s="195"/>
      <c r="BU819" s="195"/>
    </row>
    <row r="820" ht="15.75" customHeight="1">
      <c r="A820" s="1004"/>
      <c r="B820" s="1004"/>
      <c r="C820" s="1005"/>
      <c r="D820" s="1005"/>
      <c r="E820" s="977"/>
      <c r="F820" s="1190"/>
      <c r="H820" s="1190"/>
      <c r="J820" s="1190"/>
      <c r="L820" s="1190"/>
      <c r="O820" s="1190"/>
      <c r="V820" s="1189"/>
      <c r="X820" s="1189"/>
      <c r="Z820" s="1190"/>
      <c r="AB820" s="1190"/>
      <c r="AH820" s="701"/>
      <c r="AJ820" s="701"/>
      <c r="BB820" s="1190"/>
      <c r="BD820" s="1190"/>
      <c r="BF820" s="1190"/>
      <c r="BH820" s="1190"/>
      <c r="BJ820" s="1190"/>
      <c r="BN820" s="206"/>
      <c r="BO820" s="206"/>
      <c r="BP820" s="206"/>
      <c r="BQ820" s="195"/>
      <c r="BR820" s="195"/>
      <c r="BS820" s="195"/>
      <c r="BT820" s="195"/>
      <c r="BU820" s="195"/>
    </row>
    <row r="821" ht="15.75" customHeight="1">
      <c r="A821" s="1004"/>
      <c r="B821" s="1004"/>
      <c r="C821" s="1005"/>
      <c r="D821" s="1005"/>
      <c r="E821" s="977"/>
      <c r="F821" s="1190"/>
      <c r="H821" s="1190"/>
      <c r="J821" s="1190"/>
      <c r="L821" s="1190"/>
      <c r="O821" s="1190"/>
      <c r="V821" s="1189"/>
      <c r="X821" s="1189"/>
      <c r="Z821" s="1190"/>
      <c r="AB821" s="1190"/>
      <c r="AH821" s="701"/>
      <c r="AJ821" s="701"/>
      <c r="BB821" s="1190"/>
      <c r="BD821" s="1190"/>
      <c r="BF821" s="1190"/>
      <c r="BH821" s="1190"/>
      <c r="BJ821" s="1190"/>
      <c r="BN821" s="206"/>
      <c r="BO821" s="206"/>
      <c r="BP821" s="206"/>
      <c r="BQ821" s="195"/>
      <c r="BR821" s="195"/>
      <c r="BS821" s="195"/>
      <c r="BT821" s="195"/>
      <c r="BU821" s="195"/>
    </row>
    <row r="822" ht="15.75" customHeight="1">
      <c r="A822" s="1004"/>
      <c r="B822" s="1004"/>
      <c r="C822" s="1005"/>
      <c r="D822" s="1005"/>
      <c r="E822" s="977"/>
      <c r="F822" s="1190"/>
      <c r="H822" s="1190"/>
      <c r="J822" s="1190"/>
      <c r="L822" s="1190"/>
      <c r="O822" s="1190"/>
      <c r="V822" s="1189"/>
      <c r="X822" s="1189"/>
      <c r="Z822" s="1190"/>
      <c r="AB822" s="1190"/>
      <c r="AH822" s="701"/>
      <c r="AJ822" s="701"/>
      <c r="BB822" s="1190"/>
      <c r="BD822" s="1190"/>
      <c r="BF822" s="1190"/>
      <c r="BH822" s="1190"/>
      <c r="BJ822" s="1190"/>
      <c r="BN822" s="206"/>
      <c r="BO822" s="206"/>
      <c r="BP822" s="206"/>
      <c r="BQ822" s="195"/>
      <c r="BR822" s="195"/>
      <c r="BS822" s="195"/>
      <c r="BT822" s="195"/>
      <c r="BU822" s="195"/>
    </row>
    <row r="823" ht="15.75" customHeight="1">
      <c r="A823" s="1004"/>
      <c r="B823" s="1004"/>
      <c r="C823" s="1005"/>
      <c r="D823" s="1005"/>
      <c r="E823" s="977"/>
      <c r="F823" s="1190"/>
      <c r="H823" s="1190"/>
      <c r="J823" s="1190"/>
      <c r="L823" s="1190"/>
      <c r="O823" s="1190"/>
      <c r="V823" s="1189"/>
      <c r="X823" s="1189"/>
      <c r="Z823" s="1190"/>
      <c r="AB823" s="1190"/>
      <c r="AH823" s="701"/>
      <c r="AJ823" s="701"/>
      <c r="BB823" s="1190"/>
      <c r="BD823" s="1190"/>
      <c r="BF823" s="1190"/>
      <c r="BH823" s="1190"/>
      <c r="BJ823" s="1190"/>
      <c r="BN823" s="206"/>
      <c r="BO823" s="206"/>
      <c r="BP823" s="206"/>
      <c r="BQ823" s="195"/>
      <c r="BR823" s="195"/>
      <c r="BS823" s="195"/>
      <c r="BT823" s="195"/>
      <c r="BU823" s="195"/>
    </row>
    <row r="824" ht="15.75" customHeight="1">
      <c r="A824" s="1004"/>
      <c r="B824" s="1004"/>
      <c r="C824" s="1005"/>
      <c r="D824" s="1005"/>
      <c r="E824" s="977"/>
      <c r="F824" s="1190"/>
      <c r="H824" s="1190"/>
      <c r="J824" s="1190"/>
      <c r="L824" s="1190"/>
      <c r="O824" s="1190"/>
      <c r="V824" s="1189"/>
      <c r="X824" s="1189"/>
      <c r="Z824" s="1190"/>
      <c r="AB824" s="1190"/>
      <c r="AH824" s="701"/>
      <c r="AJ824" s="701"/>
      <c r="BB824" s="1190"/>
      <c r="BD824" s="1190"/>
      <c r="BF824" s="1190"/>
      <c r="BH824" s="1190"/>
      <c r="BJ824" s="1190"/>
      <c r="BN824" s="206"/>
      <c r="BO824" s="206"/>
      <c r="BP824" s="206"/>
      <c r="BQ824" s="195"/>
      <c r="BR824" s="195"/>
      <c r="BS824" s="195"/>
      <c r="BT824" s="195"/>
      <c r="BU824" s="195"/>
    </row>
    <row r="825" ht="15.75" customHeight="1">
      <c r="A825" s="1004"/>
      <c r="B825" s="1004"/>
      <c r="C825" s="1005"/>
      <c r="D825" s="1005"/>
      <c r="E825" s="977"/>
      <c r="F825" s="1190"/>
      <c r="H825" s="1190"/>
      <c r="J825" s="1190"/>
      <c r="L825" s="1190"/>
      <c r="O825" s="1190"/>
      <c r="V825" s="1189"/>
      <c r="X825" s="1189"/>
      <c r="Z825" s="1190"/>
      <c r="AB825" s="1190"/>
      <c r="AH825" s="701"/>
      <c r="AJ825" s="701"/>
      <c r="BB825" s="1190"/>
      <c r="BD825" s="1190"/>
      <c r="BF825" s="1190"/>
      <c r="BH825" s="1190"/>
      <c r="BJ825" s="1190"/>
      <c r="BN825" s="206"/>
      <c r="BO825" s="206"/>
      <c r="BP825" s="206"/>
      <c r="BQ825" s="195"/>
      <c r="BR825" s="195"/>
      <c r="BS825" s="195"/>
      <c r="BT825" s="195"/>
      <c r="BU825" s="195"/>
    </row>
    <row r="826" ht="15.75" customHeight="1">
      <c r="A826" s="1004"/>
      <c r="B826" s="1004"/>
      <c r="C826" s="1005"/>
      <c r="D826" s="1005"/>
      <c r="E826" s="977"/>
      <c r="F826" s="1190"/>
      <c r="H826" s="1190"/>
      <c r="J826" s="1190"/>
      <c r="L826" s="1190"/>
      <c r="O826" s="1190"/>
      <c r="V826" s="1189"/>
      <c r="X826" s="1189"/>
      <c r="Z826" s="1190"/>
      <c r="AB826" s="1190"/>
      <c r="AH826" s="701"/>
      <c r="AJ826" s="701"/>
      <c r="BB826" s="1190"/>
      <c r="BD826" s="1190"/>
      <c r="BF826" s="1190"/>
      <c r="BH826" s="1190"/>
      <c r="BJ826" s="1190"/>
      <c r="BN826" s="206"/>
      <c r="BO826" s="206"/>
      <c r="BP826" s="206"/>
      <c r="BQ826" s="195"/>
      <c r="BR826" s="195"/>
      <c r="BS826" s="195"/>
      <c r="BT826" s="195"/>
      <c r="BU826" s="195"/>
    </row>
    <row r="827" ht="15.75" customHeight="1">
      <c r="A827" s="1004"/>
      <c r="B827" s="1004"/>
      <c r="C827" s="1005"/>
      <c r="D827" s="1005"/>
      <c r="E827" s="977"/>
      <c r="F827" s="1190"/>
      <c r="H827" s="1190"/>
      <c r="J827" s="1190"/>
      <c r="L827" s="1190"/>
      <c r="O827" s="1190"/>
      <c r="V827" s="1189"/>
      <c r="X827" s="1189"/>
      <c r="Z827" s="1190"/>
      <c r="AB827" s="1190"/>
      <c r="AH827" s="701"/>
      <c r="AJ827" s="701"/>
      <c r="BB827" s="1190"/>
      <c r="BD827" s="1190"/>
      <c r="BF827" s="1190"/>
      <c r="BH827" s="1190"/>
      <c r="BJ827" s="1190"/>
      <c r="BN827" s="206"/>
      <c r="BO827" s="206"/>
      <c r="BP827" s="206"/>
      <c r="BQ827" s="195"/>
      <c r="BR827" s="195"/>
      <c r="BS827" s="195"/>
      <c r="BT827" s="195"/>
      <c r="BU827" s="195"/>
    </row>
    <row r="828" ht="15.75" customHeight="1">
      <c r="A828" s="1004"/>
      <c r="B828" s="1004"/>
      <c r="C828" s="1005"/>
      <c r="D828" s="1005"/>
      <c r="E828" s="977"/>
      <c r="F828" s="1190"/>
      <c r="H828" s="1190"/>
      <c r="J828" s="1190"/>
      <c r="L828" s="1190"/>
      <c r="O828" s="1190"/>
      <c r="V828" s="1189"/>
      <c r="X828" s="1189"/>
      <c r="Z828" s="1190"/>
      <c r="AB828" s="1190"/>
      <c r="AH828" s="701"/>
      <c r="AJ828" s="701"/>
      <c r="BB828" s="1190"/>
      <c r="BD828" s="1190"/>
      <c r="BF828" s="1190"/>
      <c r="BH828" s="1190"/>
      <c r="BJ828" s="1190"/>
      <c r="BN828" s="206"/>
      <c r="BO828" s="206"/>
      <c r="BP828" s="206"/>
      <c r="BQ828" s="195"/>
      <c r="BR828" s="195"/>
      <c r="BS828" s="195"/>
      <c r="BT828" s="195"/>
      <c r="BU828" s="195"/>
    </row>
    <row r="829" ht="15.75" customHeight="1">
      <c r="A829" s="1004"/>
      <c r="B829" s="1004"/>
      <c r="C829" s="1005"/>
      <c r="D829" s="1005"/>
      <c r="E829" s="977"/>
      <c r="F829" s="1190"/>
      <c r="H829" s="1190"/>
      <c r="J829" s="1190"/>
      <c r="L829" s="1190"/>
      <c r="O829" s="1190"/>
      <c r="V829" s="1189"/>
      <c r="X829" s="1189"/>
      <c r="Z829" s="1190"/>
      <c r="AB829" s="1190"/>
      <c r="AH829" s="701"/>
      <c r="AJ829" s="701"/>
      <c r="BB829" s="1190"/>
      <c r="BD829" s="1190"/>
      <c r="BF829" s="1190"/>
      <c r="BH829" s="1190"/>
      <c r="BJ829" s="1190"/>
      <c r="BN829" s="206"/>
      <c r="BO829" s="206"/>
      <c r="BP829" s="206"/>
      <c r="BQ829" s="195"/>
      <c r="BR829" s="195"/>
      <c r="BS829" s="195"/>
      <c r="BT829" s="195"/>
      <c r="BU829" s="195"/>
    </row>
    <row r="830" ht="15.75" customHeight="1">
      <c r="A830" s="1004"/>
      <c r="B830" s="1004"/>
      <c r="C830" s="1005"/>
      <c r="D830" s="1005"/>
      <c r="E830" s="977"/>
      <c r="F830" s="1190"/>
      <c r="H830" s="1190"/>
      <c r="J830" s="1190"/>
      <c r="L830" s="1190"/>
      <c r="O830" s="1190"/>
      <c r="V830" s="1189"/>
      <c r="X830" s="1189"/>
      <c r="Z830" s="1190"/>
      <c r="AB830" s="1190"/>
      <c r="AH830" s="701"/>
      <c r="AJ830" s="701"/>
      <c r="BB830" s="1190"/>
      <c r="BD830" s="1190"/>
      <c r="BF830" s="1190"/>
      <c r="BH830" s="1190"/>
      <c r="BJ830" s="1190"/>
      <c r="BN830" s="206"/>
      <c r="BO830" s="206"/>
      <c r="BP830" s="206"/>
      <c r="BQ830" s="195"/>
      <c r="BR830" s="195"/>
      <c r="BS830" s="195"/>
      <c r="BT830" s="195"/>
      <c r="BU830" s="195"/>
    </row>
    <row r="831" ht="15.75" customHeight="1">
      <c r="A831" s="1004"/>
      <c r="B831" s="1004"/>
      <c r="C831" s="1005"/>
      <c r="D831" s="1005"/>
      <c r="E831" s="977"/>
      <c r="F831" s="1190"/>
      <c r="H831" s="1190"/>
      <c r="J831" s="1190"/>
      <c r="L831" s="1190"/>
      <c r="O831" s="1190"/>
      <c r="V831" s="1189"/>
      <c r="X831" s="1189"/>
      <c r="Z831" s="1190"/>
      <c r="AB831" s="1190"/>
      <c r="AH831" s="701"/>
      <c r="AJ831" s="701"/>
      <c r="BB831" s="1190"/>
      <c r="BD831" s="1190"/>
      <c r="BF831" s="1190"/>
      <c r="BH831" s="1190"/>
      <c r="BJ831" s="1190"/>
      <c r="BN831" s="206"/>
      <c r="BO831" s="206"/>
      <c r="BP831" s="206"/>
      <c r="BQ831" s="195"/>
      <c r="BR831" s="195"/>
      <c r="BS831" s="195"/>
      <c r="BT831" s="195"/>
      <c r="BU831" s="195"/>
    </row>
    <row r="832" ht="15.75" customHeight="1">
      <c r="A832" s="1004"/>
      <c r="B832" s="1004"/>
      <c r="C832" s="1005"/>
      <c r="D832" s="1005"/>
      <c r="E832" s="977"/>
      <c r="F832" s="1190"/>
      <c r="H832" s="1190"/>
      <c r="J832" s="1190"/>
      <c r="L832" s="1190"/>
      <c r="O832" s="1190"/>
      <c r="V832" s="1189"/>
      <c r="X832" s="1189"/>
      <c r="Z832" s="1190"/>
      <c r="AB832" s="1190"/>
      <c r="AH832" s="701"/>
      <c r="AJ832" s="701"/>
      <c r="BB832" s="1190"/>
      <c r="BD832" s="1190"/>
      <c r="BF832" s="1190"/>
      <c r="BH832" s="1190"/>
      <c r="BJ832" s="1190"/>
      <c r="BN832" s="206"/>
      <c r="BO832" s="206"/>
      <c r="BP832" s="206"/>
      <c r="BQ832" s="195"/>
      <c r="BR832" s="195"/>
      <c r="BS832" s="195"/>
      <c r="BT832" s="195"/>
      <c r="BU832" s="195"/>
    </row>
    <row r="833" ht="15.75" customHeight="1">
      <c r="A833" s="1004"/>
      <c r="B833" s="1004"/>
      <c r="C833" s="1005"/>
      <c r="D833" s="1005"/>
      <c r="E833" s="977"/>
      <c r="F833" s="1190"/>
      <c r="H833" s="1190"/>
      <c r="J833" s="1190"/>
      <c r="L833" s="1190"/>
      <c r="O833" s="1190"/>
      <c r="V833" s="1189"/>
      <c r="X833" s="1189"/>
      <c r="Z833" s="1190"/>
      <c r="AB833" s="1190"/>
      <c r="AH833" s="701"/>
      <c r="AJ833" s="701"/>
      <c r="BB833" s="1190"/>
      <c r="BD833" s="1190"/>
      <c r="BF833" s="1190"/>
      <c r="BH833" s="1190"/>
      <c r="BJ833" s="1190"/>
      <c r="BN833" s="206"/>
      <c r="BO833" s="206"/>
      <c r="BP833" s="206"/>
      <c r="BQ833" s="195"/>
      <c r="BR833" s="195"/>
      <c r="BS833" s="195"/>
      <c r="BT833" s="195"/>
      <c r="BU833" s="195"/>
    </row>
    <row r="834" ht="15.75" customHeight="1">
      <c r="A834" s="1004"/>
      <c r="B834" s="1004"/>
      <c r="C834" s="1005"/>
      <c r="D834" s="1005"/>
      <c r="E834" s="977"/>
      <c r="F834" s="1190"/>
      <c r="H834" s="1190"/>
      <c r="J834" s="1190"/>
      <c r="L834" s="1190"/>
      <c r="O834" s="1190"/>
      <c r="V834" s="1189"/>
      <c r="X834" s="1189"/>
      <c r="Z834" s="1190"/>
      <c r="AB834" s="1190"/>
      <c r="AH834" s="701"/>
      <c r="AJ834" s="701"/>
      <c r="BB834" s="1190"/>
      <c r="BD834" s="1190"/>
      <c r="BF834" s="1190"/>
      <c r="BH834" s="1190"/>
      <c r="BJ834" s="1190"/>
      <c r="BN834" s="206"/>
      <c r="BO834" s="206"/>
      <c r="BP834" s="206"/>
      <c r="BQ834" s="195"/>
      <c r="BR834" s="195"/>
      <c r="BS834" s="195"/>
      <c r="BT834" s="195"/>
      <c r="BU834" s="195"/>
    </row>
    <row r="835" ht="15.75" customHeight="1">
      <c r="A835" s="1004"/>
      <c r="B835" s="1004"/>
      <c r="C835" s="1005"/>
      <c r="D835" s="1005"/>
      <c r="E835" s="977"/>
      <c r="F835" s="1190"/>
      <c r="H835" s="1190"/>
      <c r="J835" s="1190"/>
      <c r="L835" s="1190"/>
      <c r="O835" s="1190"/>
      <c r="V835" s="1189"/>
      <c r="X835" s="1189"/>
      <c r="Z835" s="1190"/>
      <c r="AB835" s="1190"/>
      <c r="AH835" s="701"/>
      <c r="AJ835" s="701"/>
      <c r="BB835" s="1190"/>
      <c r="BD835" s="1190"/>
      <c r="BF835" s="1190"/>
      <c r="BH835" s="1190"/>
      <c r="BJ835" s="1190"/>
      <c r="BN835" s="206"/>
      <c r="BO835" s="206"/>
      <c r="BP835" s="206"/>
      <c r="BQ835" s="195"/>
      <c r="BR835" s="195"/>
      <c r="BS835" s="195"/>
      <c r="BT835" s="195"/>
      <c r="BU835" s="195"/>
    </row>
    <row r="836" ht="15.75" customHeight="1">
      <c r="A836" s="1004"/>
      <c r="B836" s="1004"/>
      <c r="C836" s="1005"/>
      <c r="D836" s="1005"/>
      <c r="E836" s="977"/>
      <c r="F836" s="1190"/>
      <c r="H836" s="1190"/>
      <c r="J836" s="1190"/>
      <c r="L836" s="1190"/>
      <c r="O836" s="1190"/>
      <c r="V836" s="1189"/>
      <c r="X836" s="1189"/>
      <c r="Z836" s="1190"/>
      <c r="AB836" s="1190"/>
      <c r="AH836" s="701"/>
      <c r="AJ836" s="701"/>
      <c r="BB836" s="1190"/>
      <c r="BD836" s="1190"/>
      <c r="BF836" s="1190"/>
      <c r="BH836" s="1190"/>
      <c r="BJ836" s="1190"/>
      <c r="BN836" s="206"/>
      <c r="BO836" s="206"/>
      <c r="BP836" s="206"/>
      <c r="BQ836" s="195"/>
      <c r="BR836" s="195"/>
      <c r="BS836" s="195"/>
      <c r="BT836" s="195"/>
      <c r="BU836" s="195"/>
    </row>
    <row r="837" ht="15.75" customHeight="1">
      <c r="A837" s="1004"/>
      <c r="B837" s="1004"/>
      <c r="C837" s="1005"/>
      <c r="D837" s="1005"/>
      <c r="E837" s="977"/>
      <c r="F837" s="1190"/>
      <c r="H837" s="1190"/>
      <c r="J837" s="1190"/>
      <c r="L837" s="1190"/>
      <c r="O837" s="1190"/>
      <c r="V837" s="1189"/>
      <c r="X837" s="1189"/>
      <c r="Z837" s="1190"/>
      <c r="AB837" s="1190"/>
      <c r="AH837" s="701"/>
      <c r="AJ837" s="701"/>
      <c r="BB837" s="1190"/>
      <c r="BD837" s="1190"/>
      <c r="BF837" s="1190"/>
      <c r="BH837" s="1190"/>
      <c r="BJ837" s="1190"/>
      <c r="BN837" s="206"/>
      <c r="BO837" s="206"/>
      <c r="BP837" s="206"/>
      <c r="BQ837" s="195"/>
      <c r="BR837" s="195"/>
      <c r="BS837" s="195"/>
      <c r="BT837" s="195"/>
      <c r="BU837" s="195"/>
    </row>
    <row r="838" ht="15.75" customHeight="1">
      <c r="A838" s="1004"/>
      <c r="B838" s="1004"/>
      <c r="C838" s="1005"/>
      <c r="D838" s="1005"/>
      <c r="E838" s="977"/>
      <c r="F838" s="1190"/>
      <c r="H838" s="1190"/>
      <c r="J838" s="1190"/>
      <c r="L838" s="1190"/>
      <c r="O838" s="1190"/>
      <c r="V838" s="1189"/>
      <c r="X838" s="1189"/>
      <c r="Z838" s="1190"/>
      <c r="AB838" s="1190"/>
      <c r="AH838" s="701"/>
      <c r="AJ838" s="701"/>
      <c r="BB838" s="1190"/>
      <c r="BD838" s="1190"/>
      <c r="BF838" s="1190"/>
      <c r="BH838" s="1190"/>
      <c r="BJ838" s="1190"/>
      <c r="BN838" s="206"/>
      <c r="BO838" s="206"/>
      <c r="BP838" s="206"/>
      <c r="BQ838" s="195"/>
      <c r="BR838" s="195"/>
      <c r="BS838" s="195"/>
      <c r="BT838" s="195"/>
      <c r="BU838" s="195"/>
    </row>
    <row r="839" ht="15.75" customHeight="1">
      <c r="A839" s="1004"/>
      <c r="B839" s="1004"/>
      <c r="C839" s="1005"/>
      <c r="D839" s="1005"/>
      <c r="E839" s="977"/>
      <c r="F839" s="1190"/>
      <c r="H839" s="1190"/>
      <c r="J839" s="1190"/>
      <c r="L839" s="1190"/>
      <c r="O839" s="1190"/>
      <c r="V839" s="1189"/>
      <c r="X839" s="1189"/>
      <c r="Z839" s="1190"/>
      <c r="AB839" s="1190"/>
      <c r="AH839" s="701"/>
      <c r="AJ839" s="701"/>
      <c r="BB839" s="1190"/>
      <c r="BD839" s="1190"/>
      <c r="BF839" s="1190"/>
      <c r="BH839" s="1190"/>
      <c r="BJ839" s="1190"/>
      <c r="BN839" s="206"/>
      <c r="BO839" s="206"/>
      <c r="BP839" s="206"/>
      <c r="BQ839" s="195"/>
      <c r="BR839" s="195"/>
      <c r="BS839" s="195"/>
      <c r="BT839" s="195"/>
      <c r="BU839" s="195"/>
    </row>
    <row r="840" ht="15.75" customHeight="1">
      <c r="A840" s="1004"/>
      <c r="B840" s="1004"/>
      <c r="C840" s="1005"/>
      <c r="D840" s="1005"/>
      <c r="E840" s="977"/>
      <c r="F840" s="1190"/>
      <c r="H840" s="1190"/>
      <c r="J840" s="1190"/>
      <c r="L840" s="1190"/>
      <c r="O840" s="1190"/>
      <c r="V840" s="1189"/>
      <c r="X840" s="1189"/>
      <c r="Z840" s="1190"/>
      <c r="AB840" s="1190"/>
      <c r="AH840" s="701"/>
      <c r="AJ840" s="701"/>
      <c r="BB840" s="1190"/>
      <c r="BD840" s="1190"/>
      <c r="BF840" s="1190"/>
      <c r="BH840" s="1190"/>
      <c r="BJ840" s="1190"/>
      <c r="BN840" s="206"/>
      <c r="BO840" s="206"/>
      <c r="BP840" s="206"/>
      <c r="BQ840" s="195"/>
      <c r="BR840" s="195"/>
      <c r="BS840" s="195"/>
      <c r="BT840" s="195"/>
      <c r="BU840" s="195"/>
    </row>
    <row r="841" ht="15.75" customHeight="1">
      <c r="A841" s="1004"/>
      <c r="B841" s="1004"/>
      <c r="C841" s="1005"/>
      <c r="D841" s="1005"/>
      <c r="E841" s="977"/>
      <c r="F841" s="1190"/>
      <c r="H841" s="1190"/>
      <c r="J841" s="1190"/>
      <c r="L841" s="1190"/>
      <c r="O841" s="1190"/>
      <c r="V841" s="1189"/>
      <c r="X841" s="1189"/>
      <c r="Z841" s="1190"/>
      <c r="AB841" s="1190"/>
      <c r="AH841" s="701"/>
      <c r="AJ841" s="701"/>
      <c r="BB841" s="1190"/>
      <c r="BD841" s="1190"/>
      <c r="BF841" s="1190"/>
      <c r="BH841" s="1190"/>
      <c r="BJ841" s="1190"/>
      <c r="BN841" s="206"/>
      <c r="BO841" s="206"/>
      <c r="BP841" s="206"/>
      <c r="BQ841" s="195"/>
      <c r="BR841" s="195"/>
      <c r="BS841" s="195"/>
      <c r="BT841" s="195"/>
      <c r="BU841" s="195"/>
    </row>
    <row r="842" ht="15.75" customHeight="1">
      <c r="A842" s="1004"/>
      <c r="B842" s="1004"/>
      <c r="C842" s="1005"/>
      <c r="D842" s="1005"/>
      <c r="E842" s="977"/>
      <c r="F842" s="1190"/>
      <c r="H842" s="1190"/>
      <c r="J842" s="1190"/>
      <c r="L842" s="1190"/>
      <c r="O842" s="1190"/>
      <c r="V842" s="1189"/>
      <c r="X842" s="1189"/>
      <c r="Z842" s="1190"/>
      <c r="AB842" s="1190"/>
      <c r="AH842" s="701"/>
      <c r="AJ842" s="701"/>
      <c r="BB842" s="1190"/>
      <c r="BD842" s="1190"/>
      <c r="BF842" s="1190"/>
      <c r="BH842" s="1190"/>
      <c r="BJ842" s="1190"/>
      <c r="BN842" s="206"/>
      <c r="BO842" s="206"/>
      <c r="BP842" s="206"/>
      <c r="BQ842" s="195"/>
      <c r="BR842" s="195"/>
      <c r="BS842" s="195"/>
      <c r="BT842" s="195"/>
      <c r="BU842" s="195"/>
    </row>
    <row r="843" ht="15.75" customHeight="1">
      <c r="A843" s="1004"/>
      <c r="B843" s="1004"/>
      <c r="C843" s="1005"/>
      <c r="D843" s="1005"/>
      <c r="E843" s="977"/>
      <c r="F843" s="1190"/>
      <c r="H843" s="1190"/>
      <c r="J843" s="1190"/>
      <c r="L843" s="1190"/>
      <c r="O843" s="1190"/>
      <c r="V843" s="1189"/>
      <c r="X843" s="1189"/>
      <c r="Z843" s="1190"/>
      <c r="AB843" s="1190"/>
      <c r="AH843" s="701"/>
      <c r="AJ843" s="701"/>
      <c r="BB843" s="1190"/>
      <c r="BD843" s="1190"/>
      <c r="BF843" s="1190"/>
      <c r="BH843" s="1190"/>
      <c r="BJ843" s="1190"/>
      <c r="BN843" s="206"/>
      <c r="BO843" s="206"/>
      <c r="BP843" s="206"/>
      <c r="BQ843" s="195"/>
      <c r="BR843" s="195"/>
      <c r="BS843" s="195"/>
      <c r="BT843" s="195"/>
      <c r="BU843" s="195"/>
    </row>
    <row r="844" ht="15.75" customHeight="1">
      <c r="A844" s="1004"/>
      <c r="B844" s="1004"/>
      <c r="C844" s="1005"/>
      <c r="D844" s="1005"/>
      <c r="E844" s="977"/>
      <c r="F844" s="1190"/>
      <c r="H844" s="1190"/>
      <c r="J844" s="1190"/>
      <c r="L844" s="1190"/>
      <c r="O844" s="1190"/>
      <c r="V844" s="1189"/>
      <c r="X844" s="1189"/>
      <c r="Z844" s="1190"/>
      <c r="AB844" s="1190"/>
      <c r="AH844" s="701"/>
      <c r="AJ844" s="701"/>
      <c r="BB844" s="1190"/>
      <c r="BD844" s="1190"/>
      <c r="BF844" s="1190"/>
      <c r="BH844" s="1190"/>
      <c r="BJ844" s="1190"/>
      <c r="BN844" s="206"/>
      <c r="BO844" s="206"/>
      <c r="BP844" s="206"/>
      <c r="BQ844" s="195"/>
      <c r="BR844" s="195"/>
      <c r="BS844" s="195"/>
      <c r="BT844" s="195"/>
      <c r="BU844" s="195"/>
    </row>
    <row r="845" ht="15.75" customHeight="1">
      <c r="A845" s="1004"/>
      <c r="B845" s="1004"/>
      <c r="C845" s="1005"/>
      <c r="D845" s="1005"/>
      <c r="E845" s="977"/>
      <c r="F845" s="1190"/>
      <c r="H845" s="1190"/>
      <c r="J845" s="1190"/>
      <c r="L845" s="1190"/>
      <c r="O845" s="1190"/>
      <c r="V845" s="1189"/>
      <c r="X845" s="1189"/>
      <c r="Z845" s="1190"/>
      <c r="AB845" s="1190"/>
      <c r="AH845" s="701"/>
      <c r="AJ845" s="701"/>
      <c r="BB845" s="1190"/>
      <c r="BD845" s="1190"/>
      <c r="BF845" s="1190"/>
      <c r="BH845" s="1190"/>
      <c r="BJ845" s="1190"/>
      <c r="BN845" s="206"/>
      <c r="BO845" s="206"/>
      <c r="BP845" s="206"/>
      <c r="BQ845" s="195"/>
      <c r="BR845" s="195"/>
      <c r="BS845" s="195"/>
      <c r="BT845" s="195"/>
      <c r="BU845" s="195"/>
    </row>
    <row r="846" ht="15.75" customHeight="1">
      <c r="A846" s="1004"/>
      <c r="B846" s="1004"/>
      <c r="C846" s="1005"/>
      <c r="D846" s="1005"/>
      <c r="E846" s="977"/>
      <c r="F846" s="1190"/>
      <c r="H846" s="1190"/>
      <c r="J846" s="1190"/>
      <c r="L846" s="1190"/>
      <c r="O846" s="1190"/>
      <c r="V846" s="1189"/>
      <c r="X846" s="1189"/>
      <c r="Z846" s="1190"/>
      <c r="AB846" s="1190"/>
      <c r="AH846" s="701"/>
      <c r="AJ846" s="701"/>
      <c r="BB846" s="1190"/>
      <c r="BD846" s="1190"/>
      <c r="BF846" s="1190"/>
      <c r="BH846" s="1190"/>
      <c r="BJ846" s="1190"/>
      <c r="BN846" s="206"/>
      <c r="BO846" s="206"/>
      <c r="BP846" s="206"/>
      <c r="BQ846" s="195"/>
      <c r="BR846" s="195"/>
      <c r="BS846" s="195"/>
      <c r="BT846" s="195"/>
      <c r="BU846" s="195"/>
    </row>
    <row r="847" ht="15.75" customHeight="1">
      <c r="A847" s="1004"/>
      <c r="B847" s="1004"/>
      <c r="C847" s="1005"/>
      <c r="D847" s="1005"/>
      <c r="E847" s="977"/>
      <c r="F847" s="1190"/>
      <c r="H847" s="1190"/>
      <c r="J847" s="1190"/>
      <c r="L847" s="1190"/>
      <c r="O847" s="1190"/>
      <c r="V847" s="1189"/>
      <c r="X847" s="1189"/>
      <c r="Z847" s="1190"/>
      <c r="AB847" s="1190"/>
      <c r="AH847" s="701"/>
      <c r="AJ847" s="701"/>
      <c r="BB847" s="1190"/>
      <c r="BD847" s="1190"/>
      <c r="BF847" s="1190"/>
      <c r="BH847" s="1190"/>
      <c r="BJ847" s="1190"/>
      <c r="BN847" s="206"/>
      <c r="BO847" s="206"/>
      <c r="BP847" s="206"/>
      <c r="BQ847" s="195"/>
      <c r="BR847" s="195"/>
      <c r="BS847" s="195"/>
      <c r="BT847" s="195"/>
      <c r="BU847" s="195"/>
    </row>
    <row r="848" ht="15.75" customHeight="1">
      <c r="A848" s="1004"/>
      <c r="B848" s="1004"/>
      <c r="C848" s="1005"/>
      <c r="D848" s="1005"/>
      <c r="E848" s="977"/>
      <c r="F848" s="1190"/>
      <c r="H848" s="1190"/>
      <c r="J848" s="1190"/>
      <c r="L848" s="1190"/>
      <c r="O848" s="1190"/>
      <c r="V848" s="1189"/>
      <c r="X848" s="1189"/>
      <c r="Z848" s="1190"/>
      <c r="AB848" s="1190"/>
      <c r="AH848" s="701"/>
      <c r="AJ848" s="701"/>
      <c r="BB848" s="1190"/>
      <c r="BD848" s="1190"/>
      <c r="BF848" s="1190"/>
      <c r="BH848" s="1190"/>
      <c r="BJ848" s="1190"/>
      <c r="BN848" s="206"/>
      <c r="BO848" s="206"/>
      <c r="BP848" s="206"/>
      <c r="BQ848" s="195"/>
      <c r="BR848" s="195"/>
      <c r="BS848" s="195"/>
      <c r="BT848" s="195"/>
      <c r="BU848" s="195"/>
    </row>
    <row r="849" ht="15.75" customHeight="1">
      <c r="A849" s="1004"/>
      <c r="B849" s="1004"/>
      <c r="C849" s="1005"/>
      <c r="D849" s="1005"/>
      <c r="E849" s="977"/>
      <c r="F849" s="1190"/>
      <c r="H849" s="1190"/>
      <c r="J849" s="1190"/>
      <c r="L849" s="1190"/>
      <c r="O849" s="1190"/>
      <c r="V849" s="1189"/>
      <c r="X849" s="1189"/>
      <c r="Z849" s="1190"/>
      <c r="AB849" s="1190"/>
      <c r="AH849" s="701"/>
      <c r="AJ849" s="701"/>
      <c r="BB849" s="1190"/>
      <c r="BD849" s="1190"/>
      <c r="BF849" s="1190"/>
      <c r="BH849" s="1190"/>
      <c r="BJ849" s="1190"/>
      <c r="BN849" s="206"/>
      <c r="BO849" s="206"/>
      <c r="BP849" s="206"/>
      <c r="BQ849" s="195"/>
      <c r="BR849" s="195"/>
      <c r="BS849" s="195"/>
      <c r="BT849" s="195"/>
      <c r="BU849" s="195"/>
    </row>
    <row r="850" ht="15.75" customHeight="1">
      <c r="A850" s="1004"/>
      <c r="B850" s="1004"/>
      <c r="C850" s="1005"/>
      <c r="D850" s="1005"/>
      <c r="E850" s="977"/>
      <c r="F850" s="1190"/>
      <c r="H850" s="1190"/>
      <c r="J850" s="1190"/>
      <c r="L850" s="1190"/>
      <c r="O850" s="1190"/>
      <c r="V850" s="1189"/>
      <c r="X850" s="1189"/>
      <c r="Z850" s="1190"/>
      <c r="AB850" s="1190"/>
      <c r="AH850" s="701"/>
      <c r="AJ850" s="701"/>
      <c r="BB850" s="1190"/>
      <c r="BD850" s="1190"/>
      <c r="BF850" s="1190"/>
      <c r="BH850" s="1190"/>
      <c r="BJ850" s="1190"/>
      <c r="BN850" s="206"/>
      <c r="BO850" s="206"/>
      <c r="BP850" s="206"/>
      <c r="BQ850" s="195"/>
      <c r="BR850" s="195"/>
      <c r="BS850" s="195"/>
      <c r="BT850" s="195"/>
      <c r="BU850" s="195"/>
    </row>
    <row r="851" ht="15.75" customHeight="1">
      <c r="A851" s="1004"/>
      <c r="B851" s="1004"/>
      <c r="C851" s="1005"/>
      <c r="D851" s="1005"/>
      <c r="E851" s="977"/>
      <c r="F851" s="1190"/>
      <c r="H851" s="1190"/>
      <c r="J851" s="1190"/>
      <c r="L851" s="1190"/>
      <c r="O851" s="1190"/>
      <c r="V851" s="1189"/>
      <c r="X851" s="1189"/>
      <c r="Z851" s="1190"/>
      <c r="AB851" s="1190"/>
      <c r="AH851" s="701"/>
      <c r="AJ851" s="701"/>
      <c r="BB851" s="1190"/>
      <c r="BD851" s="1190"/>
      <c r="BF851" s="1190"/>
      <c r="BH851" s="1190"/>
      <c r="BJ851" s="1190"/>
      <c r="BN851" s="206"/>
      <c r="BO851" s="206"/>
      <c r="BP851" s="206"/>
      <c r="BQ851" s="195"/>
      <c r="BR851" s="195"/>
      <c r="BS851" s="195"/>
      <c r="BT851" s="195"/>
      <c r="BU851" s="195"/>
    </row>
    <row r="852" ht="15.75" customHeight="1">
      <c r="A852" s="1004"/>
      <c r="B852" s="1004"/>
      <c r="C852" s="1005"/>
      <c r="D852" s="1005"/>
      <c r="E852" s="977"/>
      <c r="F852" s="1190"/>
      <c r="H852" s="1190"/>
      <c r="J852" s="1190"/>
      <c r="L852" s="1190"/>
      <c r="O852" s="1190"/>
      <c r="V852" s="1189"/>
      <c r="X852" s="1189"/>
      <c r="Z852" s="1190"/>
      <c r="AB852" s="1190"/>
      <c r="AH852" s="701"/>
      <c r="AJ852" s="701"/>
      <c r="BB852" s="1190"/>
      <c r="BD852" s="1190"/>
      <c r="BF852" s="1190"/>
      <c r="BH852" s="1190"/>
      <c r="BJ852" s="1190"/>
      <c r="BN852" s="206"/>
      <c r="BO852" s="206"/>
      <c r="BP852" s="206"/>
      <c r="BQ852" s="195"/>
      <c r="BR852" s="195"/>
      <c r="BS852" s="195"/>
      <c r="BT852" s="195"/>
      <c r="BU852" s="195"/>
    </row>
    <row r="853" ht="15.75" customHeight="1">
      <c r="A853" s="1004"/>
      <c r="B853" s="1004"/>
      <c r="C853" s="1005"/>
      <c r="D853" s="1005"/>
      <c r="E853" s="977"/>
      <c r="F853" s="1190"/>
      <c r="H853" s="1190"/>
      <c r="J853" s="1190"/>
      <c r="L853" s="1190"/>
      <c r="O853" s="1190"/>
      <c r="V853" s="1189"/>
      <c r="X853" s="1189"/>
      <c r="Z853" s="1190"/>
      <c r="AB853" s="1190"/>
      <c r="AH853" s="701"/>
      <c r="AJ853" s="701"/>
      <c r="BB853" s="1190"/>
      <c r="BD853" s="1190"/>
      <c r="BF853" s="1190"/>
      <c r="BH853" s="1190"/>
      <c r="BJ853" s="1190"/>
      <c r="BN853" s="206"/>
      <c r="BO853" s="206"/>
      <c r="BP853" s="206"/>
      <c r="BQ853" s="195"/>
      <c r="BR853" s="195"/>
      <c r="BS853" s="195"/>
      <c r="BT853" s="195"/>
      <c r="BU853" s="195"/>
    </row>
    <row r="854" ht="15.75" customHeight="1">
      <c r="A854" s="1004"/>
      <c r="B854" s="1004"/>
      <c r="C854" s="1005"/>
      <c r="D854" s="1005"/>
      <c r="E854" s="977"/>
      <c r="F854" s="1190"/>
      <c r="H854" s="1190"/>
      <c r="J854" s="1190"/>
      <c r="L854" s="1190"/>
      <c r="O854" s="1190"/>
      <c r="V854" s="1189"/>
      <c r="X854" s="1189"/>
      <c r="Z854" s="1190"/>
      <c r="AB854" s="1190"/>
      <c r="AH854" s="701"/>
      <c r="AJ854" s="701"/>
      <c r="BB854" s="1190"/>
      <c r="BD854" s="1190"/>
      <c r="BF854" s="1190"/>
      <c r="BH854" s="1190"/>
      <c r="BJ854" s="1190"/>
      <c r="BN854" s="206"/>
      <c r="BO854" s="206"/>
      <c r="BP854" s="206"/>
      <c r="BQ854" s="195"/>
      <c r="BR854" s="195"/>
      <c r="BS854" s="195"/>
      <c r="BT854" s="195"/>
      <c r="BU854" s="195"/>
    </row>
    <row r="855" ht="15.75" customHeight="1">
      <c r="A855" s="1004"/>
      <c r="B855" s="1004"/>
      <c r="C855" s="1005"/>
      <c r="D855" s="1005"/>
      <c r="E855" s="977"/>
      <c r="F855" s="1190"/>
      <c r="H855" s="1190"/>
      <c r="J855" s="1190"/>
      <c r="L855" s="1190"/>
      <c r="O855" s="1190"/>
      <c r="V855" s="1189"/>
      <c r="X855" s="1189"/>
      <c r="Z855" s="1190"/>
      <c r="AB855" s="1190"/>
      <c r="AH855" s="701"/>
      <c r="AJ855" s="701"/>
      <c r="BB855" s="1190"/>
      <c r="BD855" s="1190"/>
      <c r="BF855" s="1190"/>
      <c r="BH855" s="1190"/>
      <c r="BJ855" s="1190"/>
      <c r="BN855" s="206"/>
      <c r="BO855" s="206"/>
      <c r="BP855" s="206"/>
      <c r="BQ855" s="195"/>
      <c r="BR855" s="195"/>
      <c r="BS855" s="195"/>
      <c r="BT855" s="195"/>
      <c r="BU855" s="195"/>
    </row>
    <row r="856" ht="15.75" customHeight="1">
      <c r="A856" s="1004"/>
      <c r="B856" s="1004"/>
      <c r="C856" s="1005"/>
      <c r="D856" s="1005"/>
      <c r="E856" s="977"/>
      <c r="F856" s="1190"/>
      <c r="H856" s="1190"/>
      <c r="J856" s="1190"/>
      <c r="L856" s="1190"/>
      <c r="O856" s="1190"/>
      <c r="V856" s="1189"/>
      <c r="X856" s="1189"/>
      <c r="Z856" s="1190"/>
      <c r="AB856" s="1190"/>
      <c r="AH856" s="701"/>
      <c r="AJ856" s="701"/>
      <c r="BB856" s="1190"/>
      <c r="BD856" s="1190"/>
      <c r="BF856" s="1190"/>
      <c r="BH856" s="1190"/>
      <c r="BJ856" s="1190"/>
      <c r="BN856" s="206"/>
      <c r="BO856" s="206"/>
      <c r="BP856" s="206"/>
      <c r="BQ856" s="195"/>
      <c r="BR856" s="195"/>
      <c r="BS856" s="195"/>
      <c r="BT856" s="195"/>
      <c r="BU856" s="195"/>
    </row>
    <row r="857" ht="15.75" customHeight="1">
      <c r="A857" s="1004"/>
      <c r="B857" s="1004"/>
      <c r="C857" s="1005"/>
      <c r="D857" s="1005"/>
      <c r="E857" s="977"/>
      <c r="F857" s="1190"/>
      <c r="H857" s="1190"/>
      <c r="J857" s="1190"/>
      <c r="L857" s="1190"/>
      <c r="O857" s="1190"/>
      <c r="V857" s="1189"/>
      <c r="X857" s="1189"/>
      <c r="Z857" s="1190"/>
      <c r="AB857" s="1190"/>
      <c r="AH857" s="701"/>
      <c r="AJ857" s="701"/>
      <c r="BB857" s="1190"/>
      <c r="BD857" s="1190"/>
      <c r="BF857" s="1190"/>
      <c r="BH857" s="1190"/>
      <c r="BJ857" s="1190"/>
      <c r="BN857" s="206"/>
      <c r="BO857" s="206"/>
      <c r="BP857" s="206"/>
      <c r="BQ857" s="195"/>
      <c r="BR857" s="195"/>
      <c r="BS857" s="195"/>
      <c r="BT857" s="195"/>
      <c r="BU857" s="195"/>
    </row>
    <row r="858" ht="15.75" customHeight="1">
      <c r="A858" s="1004"/>
      <c r="B858" s="1004"/>
      <c r="C858" s="1005"/>
      <c r="D858" s="1005"/>
      <c r="E858" s="977"/>
      <c r="F858" s="1190"/>
      <c r="H858" s="1190"/>
      <c r="J858" s="1190"/>
      <c r="L858" s="1190"/>
      <c r="O858" s="1190"/>
      <c r="V858" s="1189"/>
      <c r="X858" s="1189"/>
      <c r="Z858" s="1190"/>
      <c r="AB858" s="1190"/>
      <c r="AH858" s="701"/>
      <c r="AJ858" s="701"/>
      <c r="BB858" s="1190"/>
      <c r="BD858" s="1190"/>
      <c r="BF858" s="1190"/>
      <c r="BH858" s="1190"/>
      <c r="BJ858" s="1190"/>
      <c r="BN858" s="206"/>
      <c r="BO858" s="206"/>
      <c r="BP858" s="206"/>
      <c r="BQ858" s="195"/>
      <c r="BR858" s="195"/>
      <c r="BS858" s="195"/>
      <c r="BT858" s="195"/>
      <c r="BU858" s="195"/>
    </row>
    <row r="859" ht="15.75" customHeight="1">
      <c r="A859" s="1004"/>
      <c r="B859" s="1004"/>
      <c r="C859" s="1005"/>
      <c r="D859" s="1005"/>
      <c r="E859" s="977"/>
      <c r="F859" s="1190"/>
      <c r="H859" s="1190"/>
      <c r="J859" s="1190"/>
      <c r="L859" s="1190"/>
      <c r="O859" s="1190"/>
      <c r="V859" s="1189"/>
      <c r="X859" s="1189"/>
      <c r="Z859" s="1190"/>
      <c r="AB859" s="1190"/>
      <c r="AH859" s="701"/>
      <c r="AJ859" s="701"/>
      <c r="BB859" s="1190"/>
      <c r="BD859" s="1190"/>
      <c r="BF859" s="1190"/>
      <c r="BH859" s="1190"/>
      <c r="BJ859" s="1190"/>
      <c r="BN859" s="206"/>
      <c r="BO859" s="206"/>
      <c r="BP859" s="206"/>
      <c r="BQ859" s="195"/>
      <c r="BR859" s="195"/>
      <c r="BS859" s="195"/>
      <c r="BT859" s="195"/>
      <c r="BU859" s="195"/>
    </row>
    <row r="860" ht="15.75" customHeight="1">
      <c r="A860" s="1004"/>
      <c r="B860" s="1004"/>
      <c r="C860" s="1005"/>
      <c r="D860" s="1005"/>
      <c r="E860" s="977"/>
      <c r="F860" s="1190"/>
      <c r="H860" s="1190"/>
      <c r="J860" s="1190"/>
      <c r="L860" s="1190"/>
      <c r="O860" s="1190"/>
      <c r="V860" s="1189"/>
      <c r="X860" s="1189"/>
      <c r="Z860" s="1190"/>
      <c r="AB860" s="1190"/>
      <c r="AH860" s="701"/>
      <c r="AJ860" s="701"/>
      <c r="BB860" s="1190"/>
      <c r="BD860" s="1190"/>
      <c r="BF860" s="1190"/>
      <c r="BH860" s="1190"/>
      <c r="BJ860" s="1190"/>
      <c r="BN860" s="206"/>
      <c r="BO860" s="206"/>
      <c r="BP860" s="206"/>
      <c r="BQ860" s="195"/>
      <c r="BR860" s="195"/>
      <c r="BS860" s="195"/>
      <c r="BT860" s="195"/>
      <c r="BU860" s="195"/>
    </row>
    <row r="861" ht="15.75" customHeight="1">
      <c r="A861" s="1004"/>
      <c r="B861" s="1004"/>
      <c r="C861" s="1005"/>
      <c r="D861" s="1005"/>
      <c r="E861" s="977"/>
      <c r="F861" s="1190"/>
      <c r="H861" s="1190"/>
      <c r="J861" s="1190"/>
      <c r="L861" s="1190"/>
      <c r="O861" s="1190"/>
      <c r="V861" s="1189"/>
      <c r="X861" s="1189"/>
      <c r="Z861" s="1190"/>
      <c r="AB861" s="1190"/>
      <c r="AH861" s="701"/>
      <c r="AJ861" s="701"/>
      <c r="BB861" s="1190"/>
      <c r="BD861" s="1190"/>
      <c r="BF861" s="1190"/>
      <c r="BH861" s="1190"/>
      <c r="BJ861" s="1190"/>
      <c r="BN861" s="206"/>
      <c r="BO861" s="206"/>
      <c r="BP861" s="206"/>
      <c r="BQ861" s="195"/>
      <c r="BR861" s="195"/>
      <c r="BS861" s="195"/>
      <c r="BT861" s="195"/>
      <c r="BU861" s="195"/>
    </row>
    <row r="862" ht="15.75" customHeight="1">
      <c r="A862" s="1004"/>
      <c r="B862" s="1004"/>
      <c r="C862" s="1005"/>
      <c r="D862" s="1005"/>
      <c r="E862" s="977"/>
      <c r="F862" s="1190"/>
      <c r="H862" s="1190"/>
      <c r="J862" s="1190"/>
      <c r="L862" s="1190"/>
      <c r="O862" s="1190"/>
      <c r="V862" s="1189"/>
      <c r="X862" s="1189"/>
      <c r="Z862" s="1190"/>
      <c r="AB862" s="1190"/>
      <c r="AH862" s="701"/>
      <c r="AJ862" s="701"/>
      <c r="BB862" s="1190"/>
      <c r="BD862" s="1190"/>
      <c r="BF862" s="1190"/>
      <c r="BH862" s="1190"/>
      <c r="BJ862" s="1190"/>
      <c r="BN862" s="206"/>
      <c r="BO862" s="206"/>
      <c r="BP862" s="206"/>
      <c r="BQ862" s="195"/>
      <c r="BR862" s="195"/>
      <c r="BS862" s="195"/>
      <c r="BT862" s="195"/>
      <c r="BU862" s="195"/>
    </row>
    <row r="863" ht="15.75" customHeight="1">
      <c r="A863" s="1004"/>
      <c r="B863" s="1004"/>
      <c r="C863" s="1005"/>
      <c r="D863" s="1005"/>
      <c r="E863" s="977"/>
      <c r="F863" s="1190"/>
      <c r="H863" s="1190"/>
      <c r="J863" s="1190"/>
      <c r="L863" s="1190"/>
      <c r="O863" s="1190"/>
      <c r="V863" s="1189"/>
      <c r="X863" s="1189"/>
      <c r="Z863" s="1190"/>
      <c r="AB863" s="1190"/>
      <c r="AH863" s="701"/>
      <c r="AJ863" s="701"/>
      <c r="BB863" s="1190"/>
      <c r="BD863" s="1190"/>
      <c r="BF863" s="1190"/>
      <c r="BH863" s="1190"/>
      <c r="BJ863" s="1190"/>
      <c r="BN863" s="206"/>
      <c r="BO863" s="206"/>
      <c r="BP863" s="206"/>
      <c r="BQ863" s="195"/>
      <c r="BR863" s="195"/>
      <c r="BS863" s="195"/>
      <c r="BT863" s="195"/>
      <c r="BU863" s="195"/>
    </row>
    <row r="864" ht="15.75" customHeight="1">
      <c r="A864" s="1004"/>
      <c r="B864" s="1004"/>
      <c r="C864" s="1005"/>
      <c r="D864" s="1005"/>
      <c r="E864" s="977"/>
      <c r="F864" s="1190"/>
      <c r="H864" s="1190"/>
      <c r="J864" s="1190"/>
      <c r="L864" s="1190"/>
      <c r="O864" s="1190"/>
      <c r="V864" s="1189"/>
      <c r="X864" s="1189"/>
      <c r="Z864" s="1190"/>
      <c r="AB864" s="1190"/>
      <c r="AH864" s="701"/>
      <c r="AJ864" s="701"/>
      <c r="BB864" s="1190"/>
      <c r="BD864" s="1190"/>
      <c r="BF864" s="1190"/>
      <c r="BH864" s="1190"/>
      <c r="BJ864" s="1190"/>
      <c r="BN864" s="206"/>
      <c r="BO864" s="206"/>
      <c r="BP864" s="206"/>
      <c r="BQ864" s="195"/>
      <c r="BR864" s="195"/>
      <c r="BS864" s="195"/>
      <c r="BT864" s="195"/>
      <c r="BU864" s="195"/>
    </row>
    <row r="865" ht="15.75" customHeight="1">
      <c r="A865" s="1004"/>
      <c r="B865" s="1004"/>
      <c r="C865" s="1005"/>
      <c r="D865" s="1005"/>
      <c r="E865" s="977"/>
      <c r="F865" s="1190"/>
      <c r="H865" s="1190"/>
      <c r="J865" s="1190"/>
      <c r="L865" s="1190"/>
      <c r="O865" s="1190"/>
      <c r="V865" s="1189"/>
      <c r="X865" s="1189"/>
      <c r="Z865" s="1190"/>
      <c r="AB865" s="1190"/>
      <c r="AH865" s="701"/>
      <c r="AJ865" s="701"/>
      <c r="BB865" s="1190"/>
      <c r="BD865" s="1190"/>
      <c r="BF865" s="1190"/>
      <c r="BH865" s="1190"/>
      <c r="BJ865" s="1190"/>
      <c r="BN865" s="206"/>
      <c r="BO865" s="206"/>
      <c r="BP865" s="206"/>
      <c r="BQ865" s="195"/>
      <c r="BR865" s="195"/>
      <c r="BS865" s="195"/>
      <c r="BT865" s="195"/>
      <c r="BU865" s="195"/>
    </row>
    <row r="866" ht="15.75" customHeight="1">
      <c r="A866" s="1004"/>
      <c r="B866" s="1004"/>
      <c r="C866" s="1005"/>
      <c r="D866" s="1005"/>
      <c r="E866" s="977"/>
      <c r="F866" s="1190"/>
      <c r="H866" s="1190"/>
      <c r="J866" s="1190"/>
      <c r="L866" s="1190"/>
      <c r="O866" s="1190"/>
      <c r="V866" s="1189"/>
      <c r="X866" s="1189"/>
      <c r="Z866" s="1190"/>
      <c r="AB866" s="1190"/>
      <c r="AH866" s="701"/>
      <c r="AJ866" s="701"/>
      <c r="BB866" s="1190"/>
      <c r="BD866" s="1190"/>
      <c r="BF866" s="1190"/>
      <c r="BH866" s="1190"/>
      <c r="BJ866" s="1190"/>
      <c r="BN866" s="206"/>
      <c r="BO866" s="206"/>
      <c r="BP866" s="206"/>
      <c r="BQ866" s="195"/>
      <c r="BR866" s="195"/>
      <c r="BS866" s="195"/>
      <c r="BT866" s="195"/>
      <c r="BU866" s="195"/>
    </row>
    <row r="867" ht="15.75" customHeight="1">
      <c r="A867" s="1004"/>
      <c r="B867" s="1004"/>
      <c r="C867" s="1005"/>
      <c r="D867" s="1005"/>
      <c r="E867" s="977"/>
      <c r="F867" s="1190"/>
      <c r="H867" s="1190"/>
      <c r="J867" s="1190"/>
      <c r="L867" s="1190"/>
      <c r="O867" s="1190"/>
      <c r="V867" s="1189"/>
      <c r="X867" s="1189"/>
      <c r="Z867" s="1190"/>
      <c r="AB867" s="1190"/>
      <c r="AH867" s="701"/>
      <c r="AJ867" s="701"/>
      <c r="BB867" s="1190"/>
      <c r="BD867" s="1190"/>
      <c r="BF867" s="1190"/>
      <c r="BH867" s="1190"/>
      <c r="BJ867" s="1190"/>
      <c r="BN867" s="206"/>
      <c r="BO867" s="206"/>
      <c r="BP867" s="206"/>
      <c r="BQ867" s="195"/>
      <c r="BR867" s="195"/>
      <c r="BS867" s="195"/>
      <c r="BT867" s="195"/>
      <c r="BU867" s="195"/>
    </row>
    <row r="868" ht="15.75" customHeight="1">
      <c r="A868" s="1004"/>
      <c r="B868" s="1004"/>
      <c r="C868" s="1005"/>
      <c r="D868" s="1005"/>
      <c r="E868" s="977"/>
      <c r="F868" s="1190"/>
      <c r="H868" s="1190"/>
      <c r="J868" s="1190"/>
      <c r="L868" s="1190"/>
      <c r="O868" s="1190"/>
      <c r="V868" s="1189"/>
      <c r="X868" s="1189"/>
      <c r="Z868" s="1190"/>
      <c r="AB868" s="1190"/>
      <c r="AH868" s="701"/>
      <c r="AJ868" s="701"/>
      <c r="BB868" s="1190"/>
      <c r="BD868" s="1190"/>
      <c r="BF868" s="1190"/>
      <c r="BH868" s="1190"/>
      <c r="BJ868" s="1190"/>
      <c r="BN868" s="206"/>
      <c r="BO868" s="206"/>
      <c r="BP868" s="206"/>
      <c r="BQ868" s="195"/>
      <c r="BR868" s="195"/>
      <c r="BS868" s="195"/>
      <c r="BT868" s="195"/>
      <c r="BU868" s="195"/>
    </row>
    <row r="869" ht="15.75" customHeight="1">
      <c r="A869" s="1004"/>
      <c r="B869" s="1004"/>
      <c r="C869" s="1005"/>
      <c r="D869" s="1005"/>
      <c r="E869" s="977"/>
      <c r="F869" s="1190"/>
      <c r="H869" s="1190"/>
      <c r="J869" s="1190"/>
      <c r="L869" s="1190"/>
      <c r="O869" s="1190"/>
      <c r="V869" s="1189"/>
      <c r="X869" s="1189"/>
      <c r="Z869" s="1190"/>
      <c r="AB869" s="1190"/>
      <c r="AH869" s="701"/>
      <c r="AJ869" s="701"/>
      <c r="BB869" s="1190"/>
      <c r="BD869" s="1190"/>
      <c r="BF869" s="1190"/>
      <c r="BH869" s="1190"/>
      <c r="BJ869" s="1190"/>
      <c r="BN869" s="206"/>
      <c r="BO869" s="206"/>
      <c r="BP869" s="206"/>
      <c r="BQ869" s="195"/>
      <c r="BR869" s="195"/>
      <c r="BS869" s="195"/>
      <c r="BT869" s="195"/>
      <c r="BU869" s="195"/>
    </row>
    <row r="870" ht="15.75" customHeight="1">
      <c r="A870" s="1004"/>
      <c r="B870" s="1004"/>
      <c r="C870" s="1005"/>
      <c r="D870" s="1005"/>
      <c r="E870" s="977"/>
      <c r="F870" s="1190"/>
      <c r="H870" s="1190"/>
      <c r="J870" s="1190"/>
      <c r="L870" s="1190"/>
      <c r="O870" s="1190"/>
      <c r="V870" s="1189"/>
      <c r="X870" s="1189"/>
      <c r="Z870" s="1190"/>
      <c r="AB870" s="1190"/>
      <c r="AH870" s="701"/>
      <c r="AJ870" s="701"/>
      <c r="BB870" s="1190"/>
      <c r="BD870" s="1190"/>
      <c r="BF870" s="1190"/>
      <c r="BH870" s="1190"/>
      <c r="BJ870" s="1190"/>
      <c r="BN870" s="206"/>
      <c r="BO870" s="206"/>
      <c r="BP870" s="206"/>
      <c r="BQ870" s="195"/>
      <c r="BR870" s="195"/>
      <c r="BS870" s="195"/>
      <c r="BT870" s="195"/>
      <c r="BU870" s="195"/>
    </row>
    <row r="871" ht="15.75" customHeight="1">
      <c r="A871" s="1004"/>
      <c r="B871" s="1004"/>
      <c r="C871" s="1005"/>
      <c r="D871" s="1005"/>
      <c r="E871" s="977"/>
      <c r="F871" s="1190"/>
      <c r="H871" s="1190"/>
      <c r="J871" s="1190"/>
      <c r="L871" s="1190"/>
      <c r="O871" s="1190"/>
      <c r="V871" s="1189"/>
      <c r="X871" s="1189"/>
      <c r="Z871" s="1190"/>
      <c r="AB871" s="1190"/>
      <c r="AH871" s="701"/>
      <c r="AJ871" s="701"/>
      <c r="BB871" s="1190"/>
      <c r="BD871" s="1190"/>
      <c r="BF871" s="1190"/>
      <c r="BH871" s="1190"/>
      <c r="BJ871" s="1190"/>
      <c r="BN871" s="206"/>
      <c r="BO871" s="206"/>
      <c r="BP871" s="206"/>
      <c r="BQ871" s="195"/>
      <c r="BR871" s="195"/>
      <c r="BS871" s="195"/>
      <c r="BT871" s="195"/>
      <c r="BU871" s="195"/>
    </row>
    <row r="872" ht="15.75" customHeight="1">
      <c r="A872" s="1004"/>
      <c r="B872" s="1004"/>
      <c r="C872" s="1005"/>
      <c r="D872" s="1005"/>
      <c r="E872" s="977"/>
      <c r="F872" s="1190"/>
      <c r="H872" s="1190"/>
      <c r="J872" s="1190"/>
      <c r="L872" s="1190"/>
      <c r="O872" s="1190"/>
      <c r="V872" s="1189"/>
      <c r="X872" s="1189"/>
      <c r="Z872" s="1190"/>
      <c r="AB872" s="1190"/>
      <c r="AH872" s="701"/>
      <c r="AJ872" s="701"/>
      <c r="BB872" s="1190"/>
      <c r="BD872" s="1190"/>
      <c r="BF872" s="1190"/>
      <c r="BH872" s="1190"/>
      <c r="BJ872" s="1190"/>
      <c r="BN872" s="206"/>
      <c r="BO872" s="206"/>
      <c r="BP872" s="206"/>
      <c r="BQ872" s="195"/>
      <c r="BR872" s="195"/>
      <c r="BS872" s="195"/>
      <c r="BT872" s="195"/>
      <c r="BU872" s="195"/>
    </row>
    <row r="873" ht="15.75" customHeight="1">
      <c r="A873" s="1004"/>
      <c r="B873" s="1004"/>
      <c r="C873" s="1005"/>
      <c r="D873" s="1005"/>
      <c r="E873" s="977"/>
      <c r="F873" s="1190"/>
      <c r="H873" s="1190"/>
      <c r="J873" s="1190"/>
      <c r="L873" s="1190"/>
      <c r="O873" s="1190"/>
      <c r="V873" s="1189"/>
      <c r="X873" s="1189"/>
      <c r="Z873" s="1190"/>
      <c r="AB873" s="1190"/>
      <c r="AH873" s="701"/>
      <c r="AJ873" s="701"/>
      <c r="BB873" s="1190"/>
      <c r="BD873" s="1190"/>
      <c r="BF873" s="1190"/>
      <c r="BH873" s="1190"/>
      <c r="BJ873" s="1190"/>
      <c r="BN873" s="206"/>
      <c r="BO873" s="206"/>
      <c r="BP873" s="206"/>
      <c r="BQ873" s="195"/>
      <c r="BR873" s="195"/>
      <c r="BS873" s="195"/>
      <c r="BT873" s="195"/>
      <c r="BU873" s="195"/>
    </row>
    <row r="874" ht="15.75" customHeight="1">
      <c r="A874" s="1004"/>
      <c r="B874" s="1004"/>
      <c r="C874" s="1005"/>
      <c r="D874" s="1005"/>
      <c r="E874" s="977"/>
      <c r="F874" s="1190"/>
      <c r="H874" s="1190"/>
      <c r="J874" s="1190"/>
      <c r="L874" s="1190"/>
      <c r="O874" s="1190"/>
      <c r="V874" s="1189"/>
      <c r="X874" s="1189"/>
      <c r="Z874" s="1190"/>
      <c r="AB874" s="1190"/>
      <c r="AH874" s="701"/>
      <c r="AJ874" s="701"/>
      <c r="BB874" s="1190"/>
      <c r="BD874" s="1190"/>
      <c r="BF874" s="1190"/>
      <c r="BH874" s="1190"/>
      <c r="BJ874" s="1190"/>
      <c r="BN874" s="206"/>
      <c r="BO874" s="206"/>
      <c r="BP874" s="206"/>
      <c r="BQ874" s="195"/>
      <c r="BR874" s="195"/>
      <c r="BS874" s="195"/>
      <c r="BT874" s="195"/>
      <c r="BU874" s="195"/>
    </row>
    <row r="875" ht="15.75" customHeight="1">
      <c r="A875" s="1004"/>
      <c r="B875" s="1004"/>
      <c r="C875" s="1005"/>
      <c r="D875" s="1005"/>
      <c r="E875" s="977"/>
      <c r="F875" s="1190"/>
      <c r="H875" s="1190"/>
      <c r="J875" s="1190"/>
      <c r="L875" s="1190"/>
      <c r="O875" s="1190"/>
      <c r="V875" s="1189"/>
      <c r="X875" s="1189"/>
      <c r="Z875" s="1190"/>
      <c r="AB875" s="1190"/>
      <c r="AH875" s="701"/>
      <c r="AJ875" s="701"/>
      <c r="BB875" s="1190"/>
      <c r="BD875" s="1190"/>
      <c r="BF875" s="1190"/>
      <c r="BH875" s="1190"/>
      <c r="BJ875" s="1190"/>
      <c r="BN875" s="206"/>
      <c r="BO875" s="206"/>
      <c r="BP875" s="206"/>
      <c r="BQ875" s="195"/>
      <c r="BR875" s="195"/>
      <c r="BS875" s="195"/>
      <c r="BT875" s="195"/>
      <c r="BU875" s="195"/>
    </row>
    <row r="876" ht="15.75" customHeight="1">
      <c r="A876" s="1004"/>
      <c r="B876" s="1004"/>
      <c r="C876" s="1005"/>
      <c r="D876" s="1005"/>
      <c r="E876" s="977"/>
      <c r="F876" s="1190"/>
      <c r="H876" s="1190"/>
      <c r="J876" s="1190"/>
      <c r="L876" s="1190"/>
      <c r="O876" s="1190"/>
      <c r="V876" s="1189"/>
      <c r="X876" s="1189"/>
      <c r="Z876" s="1190"/>
      <c r="AB876" s="1190"/>
      <c r="AH876" s="701"/>
      <c r="AJ876" s="701"/>
      <c r="BB876" s="1190"/>
      <c r="BD876" s="1190"/>
      <c r="BF876" s="1190"/>
      <c r="BH876" s="1190"/>
      <c r="BJ876" s="1190"/>
      <c r="BN876" s="206"/>
      <c r="BO876" s="206"/>
      <c r="BP876" s="206"/>
      <c r="BQ876" s="195"/>
      <c r="BR876" s="195"/>
      <c r="BS876" s="195"/>
      <c r="BT876" s="195"/>
      <c r="BU876" s="195"/>
    </row>
    <row r="877" ht="15.75" customHeight="1">
      <c r="A877" s="1004"/>
      <c r="B877" s="1004"/>
      <c r="C877" s="1005"/>
      <c r="D877" s="1005"/>
      <c r="E877" s="977"/>
      <c r="F877" s="1190"/>
      <c r="H877" s="1190"/>
      <c r="J877" s="1190"/>
      <c r="L877" s="1190"/>
      <c r="O877" s="1190"/>
      <c r="V877" s="1189"/>
      <c r="X877" s="1189"/>
      <c r="Z877" s="1190"/>
      <c r="AB877" s="1190"/>
      <c r="AH877" s="701"/>
      <c r="AJ877" s="701"/>
      <c r="BB877" s="1190"/>
      <c r="BD877" s="1190"/>
      <c r="BF877" s="1190"/>
      <c r="BH877" s="1190"/>
      <c r="BJ877" s="1190"/>
      <c r="BN877" s="206"/>
      <c r="BO877" s="206"/>
      <c r="BP877" s="206"/>
      <c r="BQ877" s="195"/>
      <c r="BR877" s="195"/>
      <c r="BS877" s="195"/>
      <c r="BT877" s="195"/>
      <c r="BU877" s="195"/>
    </row>
    <row r="878" ht="15.75" customHeight="1">
      <c r="A878" s="1004"/>
      <c r="B878" s="1004"/>
      <c r="C878" s="1005"/>
      <c r="D878" s="1005"/>
      <c r="E878" s="977"/>
      <c r="F878" s="1190"/>
      <c r="H878" s="1190"/>
      <c r="J878" s="1190"/>
      <c r="L878" s="1190"/>
      <c r="O878" s="1190"/>
      <c r="V878" s="1189"/>
      <c r="X878" s="1189"/>
      <c r="Z878" s="1190"/>
      <c r="AB878" s="1190"/>
      <c r="AH878" s="701"/>
      <c r="AJ878" s="701"/>
      <c r="BB878" s="1190"/>
      <c r="BD878" s="1190"/>
      <c r="BF878" s="1190"/>
      <c r="BH878" s="1190"/>
      <c r="BJ878" s="1190"/>
      <c r="BN878" s="206"/>
      <c r="BO878" s="206"/>
      <c r="BP878" s="206"/>
      <c r="BQ878" s="195"/>
      <c r="BR878" s="195"/>
      <c r="BS878" s="195"/>
      <c r="BT878" s="195"/>
      <c r="BU878" s="195"/>
    </row>
    <row r="879" ht="15.75" customHeight="1">
      <c r="A879" s="1004"/>
      <c r="B879" s="1004"/>
      <c r="C879" s="1005"/>
      <c r="D879" s="1005"/>
      <c r="E879" s="977"/>
      <c r="F879" s="1190"/>
      <c r="H879" s="1190"/>
      <c r="J879" s="1190"/>
      <c r="L879" s="1190"/>
      <c r="O879" s="1190"/>
      <c r="V879" s="1189"/>
      <c r="X879" s="1189"/>
      <c r="Z879" s="1190"/>
      <c r="AB879" s="1190"/>
      <c r="AH879" s="701"/>
      <c r="AJ879" s="701"/>
      <c r="BB879" s="1190"/>
      <c r="BD879" s="1190"/>
      <c r="BF879" s="1190"/>
      <c r="BH879" s="1190"/>
      <c r="BJ879" s="1190"/>
      <c r="BN879" s="206"/>
      <c r="BO879" s="206"/>
      <c r="BP879" s="206"/>
      <c r="BQ879" s="195"/>
      <c r="BR879" s="195"/>
      <c r="BS879" s="195"/>
      <c r="BT879" s="195"/>
      <c r="BU879" s="195"/>
    </row>
    <row r="880" ht="15.75" customHeight="1">
      <c r="A880" s="1004"/>
      <c r="B880" s="1004"/>
      <c r="C880" s="1005"/>
      <c r="D880" s="1005"/>
      <c r="E880" s="977"/>
      <c r="F880" s="1190"/>
      <c r="H880" s="1190"/>
      <c r="J880" s="1190"/>
      <c r="L880" s="1190"/>
      <c r="O880" s="1190"/>
      <c r="V880" s="1189"/>
      <c r="X880" s="1189"/>
      <c r="Z880" s="1190"/>
      <c r="AB880" s="1190"/>
      <c r="AH880" s="701"/>
      <c r="AJ880" s="701"/>
      <c r="BB880" s="1190"/>
      <c r="BD880" s="1190"/>
      <c r="BF880" s="1190"/>
      <c r="BH880" s="1190"/>
      <c r="BJ880" s="1190"/>
      <c r="BN880" s="206"/>
      <c r="BO880" s="206"/>
      <c r="BP880" s="206"/>
      <c r="BQ880" s="195"/>
      <c r="BR880" s="195"/>
      <c r="BS880" s="195"/>
      <c r="BT880" s="195"/>
      <c r="BU880" s="195"/>
    </row>
    <row r="881" ht="15.75" customHeight="1">
      <c r="A881" s="1004"/>
      <c r="B881" s="1004"/>
      <c r="C881" s="1005"/>
      <c r="D881" s="1005"/>
      <c r="E881" s="977"/>
      <c r="F881" s="1190"/>
      <c r="H881" s="1190"/>
      <c r="J881" s="1190"/>
      <c r="L881" s="1190"/>
      <c r="O881" s="1190"/>
      <c r="V881" s="1189"/>
      <c r="X881" s="1189"/>
      <c r="Z881" s="1190"/>
      <c r="AB881" s="1190"/>
      <c r="AH881" s="701"/>
      <c r="AJ881" s="701"/>
      <c r="BB881" s="1190"/>
      <c r="BD881" s="1190"/>
      <c r="BF881" s="1190"/>
      <c r="BH881" s="1190"/>
      <c r="BJ881" s="1190"/>
      <c r="BN881" s="206"/>
      <c r="BO881" s="206"/>
      <c r="BP881" s="206"/>
      <c r="BQ881" s="195"/>
      <c r="BR881" s="195"/>
      <c r="BS881" s="195"/>
      <c r="BT881" s="195"/>
      <c r="BU881" s="195"/>
    </row>
    <row r="882" ht="15.75" customHeight="1">
      <c r="A882" s="1004"/>
      <c r="B882" s="1004"/>
      <c r="C882" s="1005"/>
      <c r="D882" s="1005"/>
      <c r="E882" s="977"/>
      <c r="F882" s="1190"/>
      <c r="H882" s="1190"/>
      <c r="J882" s="1190"/>
      <c r="L882" s="1190"/>
      <c r="O882" s="1190"/>
      <c r="V882" s="1189"/>
      <c r="X882" s="1189"/>
      <c r="Z882" s="1190"/>
      <c r="AB882" s="1190"/>
      <c r="AH882" s="701"/>
      <c r="AJ882" s="701"/>
      <c r="BB882" s="1190"/>
      <c r="BD882" s="1190"/>
      <c r="BF882" s="1190"/>
      <c r="BH882" s="1190"/>
      <c r="BJ882" s="1190"/>
      <c r="BN882" s="206"/>
      <c r="BO882" s="206"/>
      <c r="BP882" s="206"/>
      <c r="BQ882" s="195"/>
      <c r="BR882" s="195"/>
      <c r="BS882" s="195"/>
      <c r="BT882" s="195"/>
      <c r="BU882" s="195"/>
    </row>
    <row r="883" ht="15.75" customHeight="1">
      <c r="A883" s="1004"/>
      <c r="B883" s="1004"/>
      <c r="C883" s="1005"/>
      <c r="D883" s="1005"/>
      <c r="E883" s="977"/>
      <c r="F883" s="1190"/>
      <c r="H883" s="1190"/>
      <c r="J883" s="1190"/>
      <c r="L883" s="1190"/>
      <c r="O883" s="1190"/>
      <c r="V883" s="1189"/>
      <c r="X883" s="1189"/>
      <c r="Z883" s="1190"/>
      <c r="AB883" s="1190"/>
      <c r="AH883" s="701"/>
      <c r="AJ883" s="701"/>
      <c r="BB883" s="1190"/>
      <c r="BD883" s="1190"/>
      <c r="BF883" s="1190"/>
      <c r="BH883" s="1190"/>
      <c r="BJ883" s="1190"/>
      <c r="BN883" s="206"/>
      <c r="BO883" s="206"/>
      <c r="BP883" s="206"/>
      <c r="BQ883" s="195"/>
      <c r="BR883" s="195"/>
      <c r="BS883" s="195"/>
      <c r="BT883" s="195"/>
      <c r="BU883" s="195"/>
    </row>
    <row r="884" ht="15.75" customHeight="1">
      <c r="A884" s="1004"/>
      <c r="B884" s="1004"/>
      <c r="C884" s="1005"/>
      <c r="D884" s="1005"/>
      <c r="E884" s="977"/>
      <c r="F884" s="1190"/>
      <c r="H884" s="1190"/>
      <c r="J884" s="1190"/>
      <c r="L884" s="1190"/>
      <c r="O884" s="1190"/>
      <c r="V884" s="1189"/>
      <c r="X884" s="1189"/>
      <c r="Z884" s="1190"/>
      <c r="AB884" s="1190"/>
      <c r="AH884" s="701"/>
      <c r="AJ884" s="701"/>
      <c r="BB884" s="1190"/>
      <c r="BD884" s="1190"/>
      <c r="BF884" s="1190"/>
      <c r="BH884" s="1190"/>
      <c r="BJ884" s="1190"/>
      <c r="BN884" s="206"/>
      <c r="BO884" s="206"/>
      <c r="BP884" s="206"/>
      <c r="BQ884" s="195"/>
      <c r="BR884" s="195"/>
      <c r="BS884" s="195"/>
      <c r="BT884" s="195"/>
      <c r="BU884" s="195"/>
    </row>
    <row r="885" ht="15.75" customHeight="1">
      <c r="A885" s="1004"/>
      <c r="B885" s="1004"/>
      <c r="C885" s="1005"/>
      <c r="D885" s="1005"/>
      <c r="E885" s="977"/>
      <c r="F885" s="1190"/>
      <c r="H885" s="1190"/>
      <c r="J885" s="1190"/>
      <c r="L885" s="1190"/>
      <c r="O885" s="1190"/>
      <c r="V885" s="1189"/>
      <c r="X885" s="1189"/>
      <c r="Z885" s="1190"/>
      <c r="AB885" s="1190"/>
      <c r="AH885" s="701"/>
      <c r="AJ885" s="701"/>
      <c r="BB885" s="1190"/>
      <c r="BD885" s="1190"/>
      <c r="BF885" s="1190"/>
      <c r="BH885" s="1190"/>
      <c r="BJ885" s="1190"/>
      <c r="BN885" s="206"/>
      <c r="BO885" s="206"/>
      <c r="BP885" s="206"/>
      <c r="BQ885" s="195"/>
      <c r="BR885" s="195"/>
      <c r="BS885" s="195"/>
      <c r="BT885" s="195"/>
      <c r="BU885" s="195"/>
    </row>
    <row r="886" ht="15.75" customHeight="1">
      <c r="A886" s="1004"/>
      <c r="B886" s="1004"/>
      <c r="C886" s="1005"/>
      <c r="D886" s="1005"/>
      <c r="E886" s="977"/>
      <c r="F886" s="1190"/>
      <c r="H886" s="1190"/>
      <c r="J886" s="1190"/>
      <c r="L886" s="1190"/>
      <c r="O886" s="1190"/>
      <c r="V886" s="1189"/>
      <c r="X886" s="1189"/>
      <c r="Z886" s="1190"/>
      <c r="AB886" s="1190"/>
      <c r="AH886" s="701"/>
      <c r="AJ886" s="701"/>
      <c r="BB886" s="1190"/>
      <c r="BD886" s="1190"/>
      <c r="BF886" s="1190"/>
      <c r="BH886" s="1190"/>
      <c r="BJ886" s="1190"/>
      <c r="BN886" s="206"/>
      <c r="BO886" s="206"/>
      <c r="BP886" s="206"/>
      <c r="BQ886" s="195"/>
      <c r="BR886" s="195"/>
      <c r="BS886" s="195"/>
      <c r="BT886" s="195"/>
      <c r="BU886" s="195"/>
    </row>
    <row r="887" ht="15.75" customHeight="1">
      <c r="A887" s="1004"/>
      <c r="B887" s="1004"/>
      <c r="C887" s="1005"/>
      <c r="D887" s="1005"/>
      <c r="E887" s="977"/>
      <c r="F887" s="1190"/>
      <c r="H887" s="1190"/>
      <c r="J887" s="1190"/>
      <c r="L887" s="1190"/>
      <c r="O887" s="1190"/>
      <c r="V887" s="1189"/>
      <c r="X887" s="1189"/>
      <c r="Z887" s="1190"/>
      <c r="AB887" s="1190"/>
      <c r="AH887" s="701"/>
      <c r="AJ887" s="701"/>
      <c r="BB887" s="1190"/>
      <c r="BD887" s="1190"/>
      <c r="BF887" s="1190"/>
      <c r="BH887" s="1190"/>
      <c r="BJ887" s="1190"/>
      <c r="BN887" s="206"/>
      <c r="BO887" s="206"/>
      <c r="BP887" s="206"/>
      <c r="BQ887" s="195"/>
      <c r="BR887" s="195"/>
      <c r="BS887" s="195"/>
      <c r="BT887" s="195"/>
      <c r="BU887" s="195"/>
    </row>
    <row r="888" ht="15.75" customHeight="1">
      <c r="A888" s="1004"/>
      <c r="B888" s="1004"/>
      <c r="C888" s="1005"/>
      <c r="D888" s="1005"/>
      <c r="E888" s="977"/>
      <c r="F888" s="1190"/>
      <c r="H888" s="1190"/>
      <c r="J888" s="1190"/>
      <c r="L888" s="1190"/>
      <c r="O888" s="1190"/>
      <c r="V888" s="1189"/>
      <c r="X888" s="1189"/>
      <c r="Z888" s="1190"/>
      <c r="AB888" s="1190"/>
      <c r="AH888" s="701"/>
      <c r="AJ888" s="701"/>
      <c r="BB888" s="1190"/>
      <c r="BD888" s="1190"/>
      <c r="BF888" s="1190"/>
      <c r="BH888" s="1190"/>
      <c r="BJ888" s="1190"/>
      <c r="BN888" s="206"/>
      <c r="BO888" s="206"/>
      <c r="BP888" s="206"/>
      <c r="BQ888" s="195"/>
      <c r="BR888" s="195"/>
      <c r="BS888" s="195"/>
      <c r="BT888" s="195"/>
      <c r="BU888" s="195"/>
    </row>
    <row r="889" ht="15.75" customHeight="1">
      <c r="A889" s="1004"/>
      <c r="B889" s="1004"/>
      <c r="C889" s="1005"/>
      <c r="D889" s="1005"/>
      <c r="E889" s="977"/>
      <c r="F889" s="1190"/>
      <c r="H889" s="1190"/>
      <c r="J889" s="1190"/>
      <c r="L889" s="1190"/>
      <c r="O889" s="1190"/>
      <c r="V889" s="1189"/>
      <c r="X889" s="1189"/>
      <c r="Z889" s="1190"/>
      <c r="AB889" s="1190"/>
      <c r="AH889" s="701"/>
      <c r="AJ889" s="701"/>
      <c r="BB889" s="1190"/>
      <c r="BD889" s="1190"/>
      <c r="BF889" s="1190"/>
      <c r="BH889" s="1190"/>
      <c r="BJ889" s="1190"/>
      <c r="BN889" s="206"/>
      <c r="BO889" s="206"/>
      <c r="BP889" s="206"/>
      <c r="BQ889" s="195"/>
      <c r="BR889" s="195"/>
      <c r="BS889" s="195"/>
      <c r="BT889" s="195"/>
      <c r="BU889" s="195"/>
    </row>
    <row r="890" ht="15.75" customHeight="1">
      <c r="A890" s="1004"/>
      <c r="B890" s="1004"/>
      <c r="C890" s="1005"/>
      <c r="D890" s="1005"/>
      <c r="E890" s="977"/>
      <c r="F890" s="1190"/>
      <c r="H890" s="1190"/>
      <c r="J890" s="1190"/>
      <c r="L890" s="1190"/>
      <c r="O890" s="1190"/>
      <c r="V890" s="1189"/>
      <c r="X890" s="1189"/>
      <c r="Z890" s="1190"/>
      <c r="AB890" s="1190"/>
      <c r="AH890" s="701"/>
      <c r="AJ890" s="701"/>
      <c r="BB890" s="1190"/>
      <c r="BD890" s="1190"/>
      <c r="BF890" s="1190"/>
      <c r="BH890" s="1190"/>
      <c r="BJ890" s="1190"/>
      <c r="BN890" s="206"/>
      <c r="BO890" s="206"/>
      <c r="BP890" s="206"/>
      <c r="BQ890" s="195"/>
      <c r="BR890" s="195"/>
      <c r="BS890" s="195"/>
      <c r="BT890" s="195"/>
      <c r="BU890" s="195"/>
    </row>
    <row r="891" ht="15.75" customHeight="1">
      <c r="A891" s="1004"/>
      <c r="B891" s="1004"/>
      <c r="C891" s="1005"/>
      <c r="D891" s="1005"/>
      <c r="E891" s="977"/>
      <c r="F891" s="1190"/>
      <c r="H891" s="1190"/>
      <c r="J891" s="1190"/>
      <c r="L891" s="1190"/>
      <c r="O891" s="1190"/>
      <c r="V891" s="1189"/>
      <c r="X891" s="1189"/>
      <c r="Z891" s="1190"/>
      <c r="AB891" s="1190"/>
      <c r="AH891" s="701"/>
      <c r="AJ891" s="701"/>
      <c r="BB891" s="1190"/>
      <c r="BD891" s="1190"/>
      <c r="BF891" s="1190"/>
      <c r="BH891" s="1190"/>
      <c r="BJ891" s="1190"/>
      <c r="BN891" s="206"/>
      <c r="BO891" s="206"/>
      <c r="BP891" s="206"/>
      <c r="BQ891" s="195"/>
      <c r="BR891" s="195"/>
      <c r="BS891" s="195"/>
      <c r="BT891" s="195"/>
      <c r="BU891" s="195"/>
    </row>
    <row r="892" ht="15.75" customHeight="1">
      <c r="A892" s="1004"/>
      <c r="B892" s="1004"/>
      <c r="C892" s="1005"/>
      <c r="D892" s="1005"/>
      <c r="E892" s="977"/>
      <c r="F892" s="1190"/>
      <c r="H892" s="1190"/>
      <c r="J892" s="1190"/>
      <c r="L892" s="1190"/>
      <c r="O892" s="1190"/>
      <c r="V892" s="1189"/>
      <c r="X892" s="1189"/>
      <c r="Z892" s="1190"/>
      <c r="AB892" s="1190"/>
      <c r="AH892" s="701"/>
      <c r="AJ892" s="701"/>
      <c r="BB892" s="1190"/>
      <c r="BD892" s="1190"/>
      <c r="BF892" s="1190"/>
      <c r="BH892" s="1190"/>
      <c r="BJ892" s="1190"/>
      <c r="BN892" s="206"/>
      <c r="BO892" s="206"/>
      <c r="BP892" s="206"/>
      <c r="BQ892" s="195"/>
      <c r="BR892" s="195"/>
      <c r="BS892" s="195"/>
      <c r="BT892" s="195"/>
      <c r="BU892" s="195"/>
    </row>
    <row r="893" ht="15.75" customHeight="1">
      <c r="A893" s="1004"/>
      <c r="B893" s="1004"/>
      <c r="C893" s="1005"/>
      <c r="D893" s="1005"/>
      <c r="E893" s="977"/>
      <c r="F893" s="1190"/>
      <c r="H893" s="1190"/>
      <c r="J893" s="1190"/>
      <c r="L893" s="1190"/>
      <c r="O893" s="1190"/>
      <c r="V893" s="1189"/>
      <c r="X893" s="1189"/>
      <c r="Z893" s="1190"/>
      <c r="AB893" s="1190"/>
      <c r="AH893" s="701"/>
      <c r="AJ893" s="701"/>
      <c r="BB893" s="1190"/>
      <c r="BD893" s="1190"/>
      <c r="BF893" s="1190"/>
      <c r="BH893" s="1190"/>
      <c r="BJ893" s="1190"/>
      <c r="BN893" s="206"/>
      <c r="BO893" s="206"/>
      <c r="BP893" s="206"/>
      <c r="BQ893" s="195"/>
      <c r="BR893" s="195"/>
      <c r="BS893" s="195"/>
      <c r="BT893" s="195"/>
      <c r="BU893" s="195"/>
    </row>
    <row r="894" ht="15.75" customHeight="1">
      <c r="A894" s="1004"/>
      <c r="B894" s="1004"/>
      <c r="C894" s="1005"/>
      <c r="D894" s="1005"/>
      <c r="E894" s="977"/>
      <c r="F894" s="1190"/>
      <c r="H894" s="1190"/>
      <c r="J894" s="1190"/>
      <c r="L894" s="1190"/>
      <c r="O894" s="1190"/>
      <c r="V894" s="1189"/>
      <c r="X894" s="1189"/>
      <c r="Z894" s="1190"/>
      <c r="AB894" s="1190"/>
      <c r="AH894" s="701"/>
      <c r="AJ894" s="701"/>
      <c r="BB894" s="1190"/>
      <c r="BD894" s="1190"/>
      <c r="BF894" s="1190"/>
      <c r="BH894" s="1190"/>
      <c r="BJ894" s="1190"/>
      <c r="BN894" s="206"/>
      <c r="BO894" s="206"/>
      <c r="BP894" s="206"/>
      <c r="BQ894" s="195"/>
      <c r="BR894" s="195"/>
      <c r="BS894" s="195"/>
      <c r="BT894" s="195"/>
      <c r="BU894" s="195"/>
    </row>
    <row r="895" ht="15.75" customHeight="1">
      <c r="A895" s="1004"/>
      <c r="B895" s="1004"/>
      <c r="C895" s="1005"/>
      <c r="D895" s="1005"/>
      <c r="E895" s="977"/>
      <c r="F895" s="1190"/>
      <c r="H895" s="1190"/>
      <c r="J895" s="1190"/>
      <c r="L895" s="1190"/>
      <c r="O895" s="1190"/>
      <c r="V895" s="1189"/>
      <c r="X895" s="1189"/>
      <c r="Z895" s="1190"/>
      <c r="AB895" s="1190"/>
      <c r="AH895" s="701"/>
      <c r="AJ895" s="701"/>
      <c r="BB895" s="1190"/>
      <c r="BD895" s="1190"/>
      <c r="BF895" s="1190"/>
      <c r="BH895" s="1190"/>
      <c r="BJ895" s="1190"/>
      <c r="BN895" s="206"/>
      <c r="BO895" s="206"/>
      <c r="BP895" s="206"/>
      <c r="BQ895" s="195"/>
      <c r="BR895" s="195"/>
      <c r="BS895" s="195"/>
      <c r="BT895" s="195"/>
      <c r="BU895" s="195"/>
    </row>
    <row r="896" ht="15.75" customHeight="1">
      <c r="A896" s="1004"/>
      <c r="B896" s="1004"/>
      <c r="C896" s="1005"/>
      <c r="D896" s="1005"/>
      <c r="E896" s="977"/>
      <c r="F896" s="1190"/>
      <c r="H896" s="1190"/>
      <c r="J896" s="1190"/>
      <c r="L896" s="1190"/>
      <c r="O896" s="1190"/>
      <c r="V896" s="1189"/>
      <c r="X896" s="1189"/>
      <c r="Z896" s="1190"/>
      <c r="AB896" s="1190"/>
      <c r="AH896" s="701"/>
      <c r="AJ896" s="701"/>
      <c r="BB896" s="1190"/>
      <c r="BD896" s="1190"/>
      <c r="BF896" s="1190"/>
      <c r="BH896" s="1190"/>
      <c r="BJ896" s="1190"/>
      <c r="BN896" s="206"/>
      <c r="BO896" s="206"/>
      <c r="BP896" s="206"/>
      <c r="BQ896" s="195"/>
      <c r="BR896" s="195"/>
      <c r="BS896" s="195"/>
      <c r="BT896" s="195"/>
      <c r="BU896" s="195"/>
    </row>
    <row r="897" ht="15.75" customHeight="1">
      <c r="A897" s="1004"/>
      <c r="B897" s="1004"/>
      <c r="C897" s="1005"/>
      <c r="D897" s="1005"/>
      <c r="E897" s="977"/>
      <c r="F897" s="1190"/>
      <c r="H897" s="1190"/>
      <c r="J897" s="1190"/>
      <c r="L897" s="1190"/>
      <c r="O897" s="1190"/>
      <c r="V897" s="1189"/>
      <c r="X897" s="1189"/>
      <c r="Z897" s="1190"/>
      <c r="AB897" s="1190"/>
      <c r="AH897" s="701"/>
      <c r="AJ897" s="701"/>
      <c r="BB897" s="1190"/>
      <c r="BD897" s="1190"/>
      <c r="BF897" s="1190"/>
      <c r="BH897" s="1190"/>
      <c r="BJ897" s="1190"/>
      <c r="BN897" s="206"/>
      <c r="BO897" s="206"/>
      <c r="BP897" s="206"/>
      <c r="BQ897" s="195"/>
      <c r="BR897" s="195"/>
      <c r="BS897" s="195"/>
      <c r="BT897" s="195"/>
      <c r="BU897" s="195"/>
    </row>
    <row r="898" ht="15.75" customHeight="1">
      <c r="A898" s="1004"/>
      <c r="B898" s="1004"/>
      <c r="C898" s="1005"/>
      <c r="D898" s="1005"/>
      <c r="E898" s="977"/>
      <c r="F898" s="1190"/>
      <c r="H898" s="1190"/>
      <c r="J898" s="1190"/>
      <c r="L898" s="1190"/>
      <c r="O898" s="1190"/>
      <c r="V898" s="1189"/>
      <c r="X898" s="1189"/>
      <c r="Z898" s="1190"/>
      <c r="AB898" s="1190"/>
      <c r="AH898" s="701"/>
      <c r="AJ898" s="701"/>
      <c r="BB898" s="1190"/>
      <c r="BD898" s="1190"/>
      <c r="BF898" s="1190"/>
      <c r="BH898" s="1190"/>
      <c r="BJ898" s="1190"/>
      <c r="BN898" s="206"/>
      <c r="BO898" s="206"/>
      <c r="BP898" s="206"/>
      <c r="BQ898" s="195"/>
      <c r="BR898" s="195"/>
      <c r="BS898" s="195"/>
      <c r="BT898" s="195"/>
      <c r="BU898" s="195"/>
    </row>
    <row r="899" ht="15.75" customHeight="1">
      <c r="A899" s="1004"/>
      <c r="B899" s="1004"/>
      <c r="C899" s="1005"/>
      <c r="D899" s="1005"/>
      <c r="E899" s="977"/>
      <c r="F899" s="1190"/>
      <c r="H899" s="1190"/>
      <c r="J899" s="1190"/>
      <c r="L899" s="1190"/>
      <c r="O899" s="1190"/>
      <c r="V899" s="1189"/>
      <c r="X899" s="1189"/>
      <c r="Z899" s="1190"/>
      <c r="AB899" s="1190"/>
      <c r="AH899" s="701"/>
      <c r="AJ899" s="701"/>
      <c r="BB899" s="1190"/>
      <c r="BD899" s="1190"/>
      <c r="BF899" s="1190"/>
      <c r="BH899" s="1190"/>
      <c r="BJ899" s="1190"/>
      <c r="BN899" s="206"/>
      <c r="BO899" s="206"/>
      <c r="BP899" s="206"/>
      <c r="BQ899" s="195"/>
      <c r="BR899" s="195"/>
      <c r="BS899" s="195"/>
      <c r="BT899" s="195"/>
      <c r="BU899" s="195"/>
    </row>
    <row r="900" ht="15.75" customHeight="1">
      <c r="A900" s="1004"/>
      <c r="B900" s="1004"/>
      <c r="C900" s="1005"/>
      <c r="D900" s="1005"/>
      <c r="E900" s="977"/>
      <c r="F900" s="1190"/>
      <c r="H900" s="1190"/>
      <c r="J900" s="1190"/>
      <c r="L900" s="1190"/>
      <c r="O900" s="1190"/>
      <c r="V900" s="1189"/>
      <c r="X900" s="1189"/>
      <c r="Z900" s="1190"/>
      <c r="AB900" s="1190"/>
      <c r="AH900" s="701"/>
      <c r="AJ900" s="701"/>
      <c r="BB900" s="1190"/>
      <c r="BD900" s="1190"/>
      <c r="BF900" s="1190"/>
      <c r="BH900" s="1190"/>
      <c r="BJ900" s="1190"/>
      <c r="BN900" s="206"/>
      <c r="BO900" s="206"/>
      <c r="BP900" s="206"/>
      <c r="BQ900" s="195"/>
      <c r="BR900" s="195"/>
      <c r="BS900" s="195"/>
      <c r="BT900" s="195"/>
      <c r="BU900" s="195"/>
    </row>
    <row r="901" ht="15.75" customHeight="1">
      <c r="A901" s="1004"/>
      <c r="B901" s="1004"/>
      <c r="C901" s="1005"/>
      <c r="D901" s="1005"/>
      <c r="E901" s="977"/>
      <c r="F901" s="1190"/>
      <c r="H901" s="1190"/>
      <c r="J901" s="1190"/>
      <c r="L901" s="1190"/>
      <c r="O901" s="1190"/>
      <c r="V901" s="1189"/>
      <c r="X901" s="1189"/>
      <c r="Z901" s="1190"/>
      <c r="AB901" s="1190"/>
      <c r="AH901" s="701"/>
      <c r="AJ901" s="701"/>
      <c r="BB901" s="1190"/>
      <c r="BD901" s="1190"/>
      <c r="BF901" s="1190"/>
      <c r="BH901" s="1190"/>
      <c r="BJ901" s="1190"/>
      <c r="BN901" s="206"/>
      <c r="BO901" s="206"/>
      <c r="BP901" s="206"/>
      <c r="BQ901" s="195"/>
      <c r="BR901" s="195"/>
      <c r="BS901" s="195"/>
      <c r="BT901" s="195"/>
      <c r="BU901" s="195"/>
    </row>
    <row r="902" ht="15.75" customHeight="1">
      <c r="A902" s="1004"/>
      <c r="B902" s="1004"/>
      <c r="C902" s="1005"/>
      <c r="D902" s="1005"/>
      <c r="E902" s="977"/>
      <c r="F902" s="1190"/>
      <c r="H902" s="1190"/>
      <c r="J902" s="1190"/>
      <c r="L902" s="1190"/>
      <c r="O902" s="1190"/>
      <c r="V902" s="1189"/>
      <c r="X902" s="1189"/>
      <c r="Z902" s="1190"/>
      <c r="AB902" s="1190"/>
      <c r="AH902" s="701"/>
      <c r="AJ902" s="701"/>
      <c r="BB902" s="1190"/>
      <c r="BD902" s="1190"/>
      <c r="BF902" s="1190"/>
      <c r="BH902" s="1190"/>
      <c r="BJ902" s="1190"/>
      <c r="BN902" s="206"/>
      <c r="BO902" s="206"/>
      <c r="BP902" s="206"/>
      <c r="BQ902" s="195"/>
      <c r="BR902" s="195"/>
      <c r="BS902" s="195"/>
      <c r="BT902" s="195"/>
      <c r="BU902" s="195"/>
    </row>
    <row r="903" ht="15.75" customHeight="1">
      <c r="A903" s="1004"/>
      <c r="B903" s="1004"/>
      <c r="C903" s="1005"/>
      <c r="D903" s="1005"/>
      <c r="E903" s="977"/>
      <c r="F903" s="1190"/>
      <c r="H903" s="1190"/>
      <c r="J903" s="1190"/>
      <c r="L903" s="1190"/>
      <c r="O903" s="1190"/>
      <c r="V903" s="1189"/>
      <c r="X903" s="1189"/>
      <c r="Z903" s="1190"/>
      <c r="AB903" s="1190"/>
      <c r="AH903" s="701"/>
      <c r="AJ903" s="701"/>
      <c r="BB903" s="1190"/>
      <c r="BD903" s="1190"/>
      <c r="BF903" s="1190"/>
      <c r="BH903" s="1190"/>
      <c r="BJ903" s="1190"/>
      <c r="BN903" s="206"/>
      <c r="BO903" s="206"/>
      <c r="BP903" s="206"/>
      <c r="BQ903" s="195"/>
      <c r="BR903" s="195"/>
      <c r="BS903" s="195"/>
      <c r="BT903" s="195"/>
      <c r="BU903" s="195"/>
    </row>
    <row r="904" ht="15.75" customHeight="1">
      <c r="A904" s="1004"/>
      <c r="B904" s="1004"/>
      <c r="C904" s="1005"/>
      <c r="D904" s="1005"/>
      <c r="E904" s="977"/>
      <c r="F904" s="1190"/>
      <c r="H904" s="1190"/>
      <c r="J904" s="1190"/>
      <c r="L904" s="1190"/>
      <c r="O904" s="1190"/>
      <c r="V904" s="1189"/>
      <c r="X904" s="1189"/>
      <c r="Z904" s="1190"/>
      <c r="AB904" s="1190"/>
      <c r="AH904" s="701"/>
      <c r="AJ904" s="701"/>
      <c r="BB904" s="1190"/>
      <c r="BD904" s="1190"/>
      <c r="BF904" s="1190"/>
      <c r="BH904" s="1190"/>
      <c r="BJ904" s="1190"/>
      <c r="BN904" s="206"/>
      <c r="BO904" s="206"/>
      <c r="BP904" s="206"/>
      <c r="BQ904" s="195"/>
      <c r="BR904" s="195"/>
      <c r="BS904" s="195"/>
      <c r="BT904" s="195"/>
      <c r="BU904" s="195"/>
    </row>
    <row r="905" ht="15.75" customHeight="1">
      <c r="A905" s="1004"/>
      <c r="B905" s="1004"/>
      <c r="C905" s="1005"/>
      <c r="D905" s="1005"/>
      <c r="E905" s="977"/>
      <c r="F905" s="1190"/>
      <c r="H905" s="1190"/>
      <c r="J905" s="1190"/>
      <c r="L905" s="1190"/>
      <c r="O905" s="1190"/>
      <c r="V905" s="1189"/>
      <c r="X905" s="1189"/>
      <c r="Z905" s="1190"/>
      <c r="AB905" s="1190"/>
      <c r="AH905" s="701"/>
      <c r="AJ905" s="701"/>
      <c r="BB905" s="1190"/>
      <c r="BD905" s="1190"/>
      <c r="BF905" s="1190"/>
      <c r="BH905" s="1190"/>
      <c r="BJ905" s="1190"/>
      <c r="BN905" s="206"/>
      <c r="BO905" s="206"/>
      <c r="BP905" s="206"/>
      <c r="BQ905" s="195"/>
      <c r="BR905" s="195"/>
      <c r="BS905" s="195"/>
      <c r="BT905" s="195"/>
      <c r="BU905" s="195"/>
    </row>
    <row r="906" ht="15.75" customHeight="1">
      <c r="A906" s="1004"/>
      <c r="B906" s="1004"/>
      <c r="C906" s="1005"/>
      <c r="D906" s="1005"/>
      <c r="E906" s="977"/>
      <c r="F906" s="1190"/>
      <c r="H906" s="1190"/>
      <c r="J906" s="1190"/>
      <c r="L906" s="1190"/>
      <c r="O906" s="1190"/>
      <c r="V906" s="1189"/>
      <c r="X906" s="1189"/>
      <c r="Z906" s="1190"/>
      <c r="AB906" s="1190"/>
      <c r="AH906" s="701"/>
      <c r="AJ906" s="701"/>
      <c r="BB906" s="1190"/>
      <c r="BD906" s="1190"/>
      <c r="BF906" s="1190"/>
      <c r="BH906" s="1190"/>
      <c r="BJ906" s="1190"/>
      <c r="BN906" s="206"/>
      <c r="BO906" s="206"/>
      <c r="BP906" s="206"/>
      <c r="BQ906" s="195"/>
      <c r="BR906" s="195"/>
      <c r="BS906" s="195"/>
      <c r="BT906" s="195"/>
      <c r="BU906" s="195"/>
    </row>
    <row r="907" ht="15.75" customHeight="1">
      <c r="A907" s="1004"/>
      <c r="B907" s="1004"/>
      <c r="C907" s="1005"/>
      <c r="D907" s="1005"/>
      <c r="E907" s="977"/>
      <c r="F907" s="1190"/>
      <c r="H907" s="1190"/>
      <c r="J907" s="1190"/>
      <c r="L907" s="1190"/>
      <c r="O907" s="1190"/>
      <c r="V907" s="1189"/>
      <c r="X907" s="1189"/>
      <c r="Z907" s="1190"/>
      <c r="AB907" s="1190"/>
      <c r="AH907" s="701"/>
      <c r="AJ907" s="701"/>
      <c r="BB907" s="1190"/>
      <c r="BD907" s="1190"/>
      <c r="BF907" s="1190"/>
      <c r="BH907" s="1190"/>
      <c r="BJ907" s="1190"/>
      <c r="BN907" s="206"/>
      <c r="BO907" s="206"/>
      <c r="BP907" s="206"/>
      <c r="BQ907" s="195"/>
      <c r="BR907" s="195"/>
      <c r="BS907" s="195"/>
      <c r="BT907" s="195"/>
      <c r="BU907" s="195"/>
    </row>
    <row r="908" ht="15.75" customHeight="1">
      <c r="A908" s="1004"/>
      <c r="B908" s="1004"/>
      <c r="C908" s="1005"/>
      <c r="D908" s="1005"/>
      <c r="E908" s="977"/>
      <c r="F908" s="1190"/>
      <c r="H908" s="1190"/>
      <c r="J908" s="1190"/>
      <c r="L908" s="1190"/>
      <c r="O908" s="1190"/>
      <c r="V908" s="1189"/>
      <c r="X908" s="1189"/>
      <c r="Z908" s="1190"/>
      <c r="AB908" s="1190"/>
      <c r="AH908" s="701"/>
      <c r="AJ908" s="701"/>
      <c r="BB908" s="1190"/>
      <c r="BD908" s="1190"/>
      <c r="BF908" s="1190"/>
      <c r="BH908" s="1190"/>
      <c r="BJ908" s="1190"/>
      <c r="BN908" s="206"/>
      <c r="BO908" s="206"/>
      <c r="BP908" s="206"/>
      <c r="BQ908" s="195"/>
      <c r="BR908" s="195"/>
      <c r="BS908" s="195"/>
      <c r="BT908" s="195"/>
      <c r="BU908" s="195"/>
    </row>
    <row r="909" ht="15.75" customHeight="1">
      <c r="A909" s="1004"/>
      <c r="B909" s="1004"/>
      <c r="C909" s="1005"/>
      <c r="D909" s="1005"/>
      <c r="E909" s="977"/>
      <c r="F909" s="1190"/>
      <c r="H909" s="1190"/>
      <c r="J909" s="1190"/>
      <c r="L909" s="1190"/>
      <c r="O909" s="1190"/>
      <c r="V909" s="1189"/>
      <c r="X909" s="1189"/>
      <c r="Z909" s="1190"/>
      <c r="AB909" s="1190"/>
      <c r="AH909" s="701"/>
      <c r="AJ909" s="701"/>
      <c r="BB909" s="1190"/>
      <c r="BD909" s="1190"/>
      <c r="BF909" s="1190"/>
      <c r="BH909" s="1190"/>
      <c r="BJ909" s="1190"/>
      <c r="BN909" s="206"/>
      <c r="BO909" s="206"/>
      <c r="BP909" s="206"/>
      <c r="BQ909" s="195"/>
      <c r="BR909" s="195"/>
      <c r="BS909" s="195"/>
      <c r="BT909" s="195"/>
      <c r="BU909" s="195"/>
    </row>
    <row r="910" ht="15.75" customHeight="1">
      <c r="A910" s="1004"/>
      <c r="B910" s="1004"/>
      <c r="C910" s="1005"/>
      <c r="D910" s="1005"/>
      <c r="E910" s="977"/>
      <c r="F910" s="1190"/>
      <c r="H910" s="1190"/>
      <c r="J910" s="1190"/>
      <c r="L910" s="1190"/>
      <c r="O910" s="1190"/>
      <c r="V910" s="1189"/>
      <c r="X910" s="1189"/>
      <c r="Z910" s="1190"/>
      <c r="AB910" s="1190"/>
      <c r="AH910" s="701"/>
      <c r="AJ910" s="701"/>
      <c r="BB910" s="1190"/>
      <c r="BD910" s="1190"/>
      <c r="BF910" s="1190"/>
      <c r="BH910" s="1190"/>
      <c r="BJ910" s="1190"/>
      <c r="BN910" s="206"/>
      <c r="BO910" s="206"/>
      <c r="BP910" s="206"/>
      <c r="BQ910" s="195"/>
      <c r="BR910" s="195"/>
      <c r="BS910" s="195"/>
      <c r="BT910" s="195"/>
      <c r="BU910" s="195"/>
    </row>
    <row r="911" ht="15.75" customHeight="1">
      <c r="A911" s="1004"/>
      <c r="B911" s="1004"/>
      <c r="C911" s="1005"/>
      <c r="D911" s="1005"/>
      <c r="E911" s="977"/>
      <c r="F911" s="1190"/>
      <c r="H911" s="1190"/>
      <c r="J911" s="1190"/>
      <c r="L911" s="1190"/>
      <c r="O911" s="1190"/>
      <c r="V911" s="1189"/>
      <c r="X911" s="1189"/>
      <c r="Z911" s="1190"/>
      <c r="AB911" s="1190"/>
      <c r="AH911" s="701"/>
      <c r="AJ911" s="701"/>
      <c r="BB911" s="1190"/>
      <c r="BD911" s="1190"/>
      <c r="BF911" s="1190"/>
      <c r="BH911" s="1190"/>
      <c r="BJ911" s="1190"/>
      <c r="BN911" s="206"/>
      <c r="BO911" s="206"/>
      <c r="BP911" s="206"/>
      <c r="BQ911" s="195"/>
      <c r="BR911" s="195"/>
      <c r="BS911" s="195"/>
      <c r="BT911" s="195"/>
      <c r="BU911" s="195"/>
    </row>
    <row r="912" ht="15.75" customHeight="1">
      <c r="A912" s="1004"/>
      <c r="B912" s="1004"/>
      <c r="C912" s="1005"/>
      <c r="D912" s="1005"/>
      <c r="E912" s="977"/>
      <c r="F912" s="1190"/>
      <c r="H912" s="1190"/>
      <c r="J912" s="1190"/>
      <c r="L912" s="1190"/>
      <c r="O912" s="1190"/>
      <c r="V912" s="1189"/>
      <c r="X912" s="1189"/>
      <c r="Z912" s="1190"/>
      <c r="AB912" s="1190"/>
      <c r="AH912" s="701"/>
      <c r="AJ912" s="701"/>
      <c r="BB912" s="1190"/>
      <c r="BD912" s="1190"/>
      <c r="BF912" s="1190"/>
      <c r="BH912" s="1190"/>
      <c r="BJ912" s="1190"/>
      <c r="BN912" s="206"/>
      <c r="BO912" s="206"/>
      <c r="BP912" s="206"/>
      <c r="BQ912" s="195"/>
      <c r="BR912" s="195"/>
      <c r="BS912" s="195"/>
      <c r="BT912" s="195"/>
      <c r="BU912" s="195"/>
    </row>
    <row r="913" ht="15.75" customHeight="1">
      <c r="A913" s="1004"/>
      <c r="B913" s="1004"/>
      <c r="C913" s="1005"/>
      <c r="D913" s="1005"/>
      <c r="E913" s="977"/>
      <c r="F913" s="1190"/>
      <c r="H913" s="1190"/>
      <c r="J913" s="1190"/>
      <c r="L913" s="1190"/>
      <c r="O913" s="1190"/>
      <c r="V913" s="1189"/>
      <c r="X913" s="1189"/>
      <c r="Z913" s="1190"/>
      <c r="AB913" s="1190"/>
      <c r="AH913" s="701"/>
      <c r="AJ913" s="701"/>
      <c r="BB913" s="1190"/>
      <c r="BD913" s="1190"/>
      <c r="BF913" s="1190"/>
      <c r="BH913" s="1190"/>
      <c r="BJ913" s="1190"/>
      <c r="BN913" s="206"/>
      <c r="BO913" s="206"/>
      <c r="BP913" s="206"/>
      <c r="BQ913" s="195"/>
      <c r="BR913" s="195"/>
      <c r="BS913" s="195"/>
      <c r="BT913" s="195"/>
      <c r="BU913" s="195"/>
    </row>
    <row r="914" ht="15.75" customHeight="1">
      <c r="A914" s="1004"/>
      <c r="B914" s="1004"/>
      <c r="C914" s="1005"/>
      <c r="D914" s="1005"/>
      <c r="E914" s="977"/>
      <c r="F914" s="1190"/>
      <c r="H914" s="1190"/>
      <c r="J914" s="1190"/>
      <c r="L914" s="1190"/>
      <c r="O914" s="1190"/>
      <c r="V914" s="1189"/>
      <c r="X914" s="1189"/>
      <c r="Z914" s="1190"/>
      <c r="AB914" s="1190"/>
      <c r="AH914" s="701"/>
      <c r="AJ914" s="701"/>
      <c r="BB914" s="1190"/>
      <c r="BD914" s="1190"/>
      <c r="BF914" s="1190"/>
      <c r="BH914" s="1190"/>
      <c r="BJ914" s="1190"/>
      <c r="BN914" s="206"/>
      <c r="BO914" s="206"/>
      <c r="BP914" s="206"/>
      <c r="BQ914" s="195"/>
      <c r="BR914" s="195"/>
      <c r="BS914" s="195"/>
      <c r="BT914" s="195"/>
      <c r="BU914" s="195"/>
    </row>
    <row r="915" ht="15.75" customHeight="1">
      <c r="A915" s="1004"/>
      <c r="B915" s="1004"/>
      <c r="C915" s="1005"/>
      <c r="D915" s="1005"/>
      <c r="E915" s="977"/>
      <c r="F915" s="1190"/>
      <c r="H915" s="1190"/>
      <c r="J915" s="1190"/>
      <c r="L915" s="1190"/>
      <c r="O915" s="1190"/>
      <c r="V915" s="1189"/>
      <c r="X915" s="1189"/>
      <c r="Z915" s="1190"/>
      <c r="AB915" s="1190"/>
      <c r="AH915" s="701"/>
      <c r="AJ915" s="701"/>
      <c r="BB915" s="1190"/>
      <c r="BD915" s="1190"/>
      <c r="BF915" s="1190"/>
      <c r="BH915" s="1190"/>
      <c r="BJ915" s="1190"/>
      <c r="BN915" s="206"/>
      <c r="BO915" s="206"/>
      <c r="BP915" s="206"/>
      <c r="BQ915" s="195"/>
      <c r="BR915" s="195"/>
      <c r="BS915" s="195"/>
      <c r="BT915" s="195"/>
      <c r="BU915" s="195"/>
    </row>
    <row r="916" ht="15.75" customHeight="1">
      <c r="A916" s="1004"/>
      <c r="B916" s="1004"/>
      <c r="C916" s="1005"/>
      <c r="D916" s="1005"/>
      <c r="E916" s="977"/>
      <c r="F916" s="1190"/>
      <c r="H916" s="1190"/>
      <c r="J916" s="1190"/>
      <c r="L916" s="1190"/>
      <c r="O916" s="1190"/>
      <c r="V916" s="1189"/>
      <c r="X916" s="1189"/>
      <c r="Z916" s="1190"/>
      <c r="AB916" s="1190"/>
      <c r="AH916" s="701"/>
      <c r="AJ916" s="701"/>
      <c r="BB916" s="1190"/>
      <c r="BD916" s="1190"/>
      <c r="BF916" s="1190"/>
      <c r="BH916" s="1190"/>
      <c r="BJ916" s="1190"/>
      <c r="BN916" s="206"/>
      <c r="BO916" s="206"/>
      <c r="BP916" s="206"/>
      <c r="BQ916" s="195"/>
      <c r="BR916" s="195"/>
      <c r="BS916" s="195"/>
      <c r="BT916" s="195"/>
      <c r="BU916" s="195"/>
    </row>
    <row r="917" ht="15.75" customHeight="1">
      <c r="A917" s="1004"/>
      <c r="B917" s="1004"/>
      <c r="C917" s="1005"/>
      <c r="D917" s="1005"/>
      <c r="E917" s="977"/>
      <c r="F917" s="1190"/>
      <c r="H917" s="1190"/>
      <c r="J917" s="1190"/>
      <c r="L917" s="1190"/>
      <c r="O917" s="1190"/>
      <c r="V917" s="1189"/>
      <c r="X917" s="1189"/>
      <c r="Z917" s="1190"/>
      <c r="AB917" s="1190"/>
      <c r="AH917" s="701"/>
      <c r="AJ917" s="701"/>
      <c r="BB917" s="1190"/>
      <c r="BD917" s="1190"/>
      <c r="BF917" s="1190"/>
      <c r="BH917" s="1190"/>
      <c r="BJ917" s="1190"/>
      <c r="BN917" s="206"/>
      <c r="BO917" s="206"/>
      <c r="BP917" s="206"/>
      <c r="BQ917" s="195"/>
      <c r="BR917" s="195"/>
      <c r="BS917" s="195"/>
      <c r="BT917" s="195"/>
      <c r="BU917" s="195"/>
    </row>
    <row r="918" ht="15.75" customHeight="1">
      <c r="A918" s="1004"/>
      <c r="B918" s="1004"/>
      <c r="C918" s="1005"/>
      <c r="D918" s="1005"/>
      <c r="E918" s="977"/>
      <c r="F918" s="1190"/>
      <c r="H918" s="1190"/>
      <c r="J918" s="1190"/>
      <c r="L918" s="1190"/>
      <c r="O918" s="1190"/>
      <c r="V918" s="1189"/>
      <c r="X918" s="1189"/>
      <c r="Z918" s="1190"/>
      <c r="AB918" s="1190"/>
      <c r="AH918" s="701"/>
      <c r="AJ918" s="701"/>
      <c r="BB918" s="1190"/>
      <c r="BD918" s="1190"/>
      <c r="BF918" s="1190"/>
      <c r="BH918" s="1190"/>
      <c r="BJ918" s="1190"/>
      <c r="BN918" s="206"/>
      <c r="BO918" s="206"/>
      <c r="BP918" s="206"/>
      <c r="BQ918" s="195"/>
      <c r="BR918" s="195"/>
      <c r="BS918" s="195"/>
      <c r="BT918" s="195"/>
      <c r="BU918" s="195"/>
    </row>
    <row r="919" ht="15.75" customHeight="1">
      <c r="A919" s="1004"/>
      <c r="B919" s="1004"/>
      <c r="C919" s="1005"/>
      <c r="D919" s="1005"/>
      <c r="E919" s="977"/>
      <c r="F919" s="1190"/>
      <c r="H919" s="1190"/>
      <c r="J919" s="1190"/>
      <c r="L919" s="1190"/>
      <c r="O919" s="1190"/>
      <c r="V919" s="1189"/>
      <c r="X919" s="1189"/>
      <c r="Z919" s="1190"/>
      <c r="AB919" s="1190"/>
      <c r="AH919" s="701"/>
      <c r="AJ919" s="701"/>
      <c r="BB919" s="1190"/>
      <c r="BD919" s="1190"/>
      <c r="BF919" s="1190"/>
      <c r="BH919" s="1190"/>
      <c r="BJ919" s="1190"/>
      <c r="BN919" s="206"/>
      <c r="BO919" s="206"/>
      <c r="BP919" s="206"/>
      <c r="BQ919" s="195"/>
      <c r="BR919" s="195"/>
      <c r="BS919" s="195"/>
      <c r="BT919" s="195"/>
      <c r="BU919" s="195"/>
    </row>
    <row r="920" ht="15.75" customHeight="1">
      <c r="A920" s="1004"/>
      <c r="B920" s="1004"/>
      <c r="C920" s="1005"/>
      <c r="D920" s="1005"/>
      <c r="E920" s="977"/>
      <c r="F920" s="1190"/>
      <c r="H920" s="1190"/>
      <c r="J920" s="1190"/>
      <c r="L920" s="1190"/>
      <c r="O920" s="1190"/>
      <c r="V920" s="1189"/>
      <c r="X920" s="1189"/>
      <c r="Z920" s="1190"/>
      <c r="AB920" s="1190"/>
      <c r="AH920" s="701"/>
      <c r="AJ920" s="701"/>
      <c r="BB920" s="1190"/>
      <c r="BD920" s="1190"/>
      <c r="BF920" s="1190"/>
      <c r="BH920" s="1190"/>
      <c r="BJ920" s="1190"/>
      <c r="BN920" s="206"/>
      <c r="BO920" s="206"/>
      <c r="BP920" s="206"/>
      <c r="BQ920" s="195"/>
      <c r="BR920" s="195"/>
      <c r="BS920" s="195"/>
      <c r="BT920" s="195"/>
      <c r="BU920" s="195"/>
    </row>
    <row r="921" ht="15.75" customHeight="1">
      <c r="A921" s="1004"/>
      <c r="B921" s="1004"/>
      <c r="C921" s="1005"/>
      <c r="D921" s="1005"/>
      <c r="E921" s="977"/>
      <c r="F921" s="1190"/>
      <c r="H921" s="1190"/>
      <c r="J921" s="1190"/>
      <c r="L921" s="1190"/>
      <c r="O921" s="1190"/>
      <c r="V921" s="1189"/>
      <c r="X921" s="1189"/>
      <c r="Z921" s="1190"/>
      <c r="AB921" s="1190"/>
      <c r="AH921" s="701"/>
      <c r="AJ921" s="701"/>
      <c r="BB921" s="1190"/>
      <c r="BD921" s="1190"/>
      <c r="BF921" s="1190"/>
      <c r="BH921" s="1190"/>
      <c r="BJ921" s="1190"/>
      <c r="BN921" s="206"/>
      <c r="BO921" s="206"/>
      <c r="BP921" s="206"/>
      <c r="BQ921" s="195"/>
      <c r="BR921" s="195"/>
      <c r="BS921" s="195"/>
      <c r="BT921" s="195"/>
      <c r="BU921" s="195"/>
    </row>
    <row r="922" ht="15.75" customHeight="1">
      <c r="A922" s="1004"/>
      <c r="B922" s="1004"/>
      <c r="C922" s="1005"/>
      <c r="D922" s="1005"/>
      <c r="E922" s="977"/>
      <c r="F922" s="1190"/>
      <c r="H922" s="1190"/>
      <c r="J922" s="1190"/>
      <c r="L922" s="1190"/>
      <c r="O922" s="1190"/>
      <c r="V922" s="1189"/>
      <c r="X922" s="1189"/>
      <c r="Z922" s="1190"/>
      <c r="AB922" s="1190"/>
      <c r="AH922" s="701"/>
      <c r="AJ922" s="701"/>
      <c r="BB922" s="1190"/>
      <c r="BD922" s="1190"/>
      <c r="BF922" s="1190"/>
      <c r="BH922" s="1190"/>
      <c r="BJ922" s="1190"/>
      <c r="BN922" s="206"/>
      <c r="BO922" s="206"/>
      <c r="BP922" s="206"/>
      <c r="BQ922" s="195"/>
      <c r="BR922" s="195"/>
      <c r="BS922" s="195"/>
      <c r="BT922" s="195"/>
      <c r="BU922" s="195"/>
    </row>
    <row r="923" ht="15.75" customHeight="1">
      <c r="A923" s="1004"/>
      <c r="B923" s="1004"/>
      <c r="C923" s="1005"/>
      <c r="D923" s="1005"/>
      <c r="E923" s="977"/>
      <c r="F923" s="1190"/>
      <c r="H923" s="1190"/>
      <c r="J923" s="1190"/>
      <c r="L923" s="1190"/>
      <c r="O923" s="1190"/>
      <c r="V923" s="1189"/>
      <c r="X923" s="1189"/>
      <c r="Z923" s="1190"/>
      <c r="AB923" s="1190"/>
      <c r="AH923" s="701"/>
      <c r="AJ923" s="701"/>
      <c r="BB923" s="1190"/>
      <c r="BD923" s="1190"/>
      <c r="BF923" s="1190"/>
      <c r="BH923" s="1190"/>
      <c r="BJ923" s="1190"/>
      <c r="BN923" s="206"/>
      <c r="BO923" s="206"/>
      <c r="BP923" s="206"/>
      <c r="BQ923" s="195"/>
      <c r="BR923" s="195"/>
      <c r="BS923" s="195"/>
      <c r="BT923" s="195"/>
      <c r="BU923" s="195"/>
    </row>
    <row r="924" ht="15.75" customHeight="1">
      <c r="A924" s="1004"/>
      <c r="B924" s="1004"/>
      <c r="C924" s="1005"/>
      <c r="D924" s="1005"/>
      <c r="E924" s="977"/>
      <c r="F924" s="1190"/>
      <c r="H924" s="1190"/>
      <c r="J924" s="1190"/>
      <c r="L924" s="1190"/>
      <c r="O924" s="1190"/>
      <c r="V924" s="1189"/>
      <c r="X924" s="1189"/>
      <c r="Z924" s="1190"/>
      <c r="AB924" s="1190"/>
      <c r="AH924" s="701"/>
      <c r="AJ924" s="701"/>
      <c r="BB924" s="1190"/>
      <c r="BD924" s="1190"/>
      <c r="BF924" s="1190"/>
      <c r="BH924" s="1190"/>
      <c r="BJ924" s="1190"/>
      <c r="BN924" s="206"/>
      <c r="BO924" s="206"/>
      <c r="BP924" s="206"/>
      <c r="BQ924" s="195"/>
      <c r="BR924" s="195"/>
      <c r="BS924" s="195"/>
      <c r="BT924" s="195"/>
      <c r="BU924" s="195"/>
    </row>
    <row r="925" ht="15.75" customHeight="1">
      <c r="A925" s="1004"/>
      <c r="B925" s="1004"/>
      <c r="C925" s="1005"/>
      <c r="D925" s="1005"/>
      <c r="E925" s="977"/>
      <c r="F925" s="1190"/>
      <c r="H925" s="1190"/>
      <c r="J925" s="1190"/>
      <c r="L925" s="1190"/>
      <c r="O925" s="1190"/>
      <c r="V925" s="1189"/>
      <c r="X925" s="1189"/>
      <c r="Z925" s="1190"/>
      <c r="AB925" s="1190"/>
      <c r="AH925" s="701"/>
      <c r="AJ925" s="701"/>
      <c r="BB925" s="1190"/>
      <c r="BD925" s="1190"/>
      <c r="BF925" s="1190"/>
      <c r="BH925" s="1190"/>
      <c r="BJ925" s="1190"/>
      <c r="BN925" s="206"/>
      <c r="BO925" s="206"/>
      <c r="BP925" s="206"/>
      <c r="BQ925" s="195"/>
      <c r="BR925" s="195"/>
      <c r="BS925" s="195"/>
      <c r="BT925" s="195"/>
      <c r="BU925" s="195"/>
    </row>
    <row r="926" ht="15.75" customHeight="1">
      <c r="A926" s="1004"/>
      <c r="B926" s="1004"/>
      <c r="C926" s="1005"/>
      <c r="D926" s="1005"/>
      <c r="E926" s="977"/>
      <c r="F926" s="1190"/>
      <c r="H926" s="1190"/>
      <c r="J926" s="1190"/>
      <c r="L926" s="1190"/>
      <c r="O926" s="1190"/>
      <c r="V926" s="1189"/>
      <c r="X926" s="1189"/>
      <c r="Z926" s="1190"/>
      <c r="AB926" s="1190"/>
      <c r="AH926" s="701"/>
      <c r="AJ926" s="701"/>
      <c r="BB926" s="1190"/>
      <c r="BD926" s="1190"/>
      <c r="BF926" s="1190"/>
      <c r="BH926" s="1190"/>
      <c r="BJ926" s="1190"/>
      <c r="BN926" s="206"/>
      <c r="BO926" s="206"/>
      <c r="BP926" s="206"/>
      <c r="BQ926" s="195"/>
      <c r="BR926" s="195"/>
      <c r="BS926" s="195"/>
      <c r="BT926" s="195"/>
      <c r="BU926" s="195"/>
    </row>
    <row r="927" ht="15.75" customHeight="1">
      <c r="A927" s="1004"/>
      <c r="B927" s="1004"/>
      <c r="C927" s="1005"/>
      <c r="D927" s="1005"/>
      <c r="E927" s="977"/>
      <c r="F927" s="1190"/>
      <c r="H927" s="1190"/>
      <c r="J927" s="1190"/>
      <c r="L927" s="1190"/>
      <c r="O927" s="1190"/>
      <c r="V927" s="1189"/>
      <c r="X927" s="1189"/>
      <c r="Z927" s="1190"/>
      <c r="AB927" s="1190"/>
      <c r="AH927" s="701"/>
      <c r="AJ927" s="701"/>
      <c r="BB927" s="1190"/>
      <c r="BD927" s="1190"/>
      <c r="BF927" s="1190"/>
      <c r="BH927" s="1190"/>
      <c r="BJ927" s="1190"/>
      <c r="BN927" s="206"/>
      <c r="BO927" s="206"/>
      <c r="BP927" s="206"/>
      <c r="BQ927" s="195"/>
      <c r="BR927" s="195"/>
      <c r="BS927" s="195"/>
      <c r="BT927" s="195"/>
      <c r="BU927" s="195"/>
    </row>
    <row r="928" ht="15.75" customHeight="1">
      <c r="A928" s="1004"/>
      <c r="B928" s="1004"/>
      <c r="C928" s="1005"/>
      <c r="D928" s="1005"/>
      <c r="E928" s="977"/>
      <c r="F928" s="1190"/>
      <c r="H928" s="1190"/>
      <c r="J928" s="1190"/>
      <c r="L928" s="1190"/>
      <c r="O928" s="1190"/>
      <c r="V928" s="1189"/>
      <c r="X928" s="1189"/>
      <c r="Z928" s="1190"/>
      <c r="AB928" s="1190"/>
      <c r="AH928" s="701"/>
      <c r="AJ928" s="701"/>
      <c r="BB928" s="1190"/>
      <c r="BD928" s="1190"/>
      <c r="BF928" s="1190"/>
      <c r="BH928" s="1190"/>
      <c r="BJ928" s="1190"/>
      <c r="BN928" s="206"/>
      <c r="BO928" s="206"/>
      <c r="BP928" s="206"/>
      <c r="BQ928" s="195"/>
      <c r="BR928" s="195"/>
      <c r="BS928" s="195"/>
      <c r="BT928" s="195"/>
      <c r="BU928" s="195"/>
    </row>
    <row r="929" ht="15.75" customHeight="1">
      <c r="A929" s="1004"/>
      <c r="B929" s="1004"/>
      <c r="C929" s="1005"/>
      <c r="D929" s="1005"/>
      <c r="E929" s="977"/>
      <c r="F929" s="1190"/>
      <c r="H929" s="1190"/>
      <c r="J929" s="1190"/>
      <c r="L929" s="1190"/>
      <c r="O929" s="1190"/>
      <c r="V929" s="1189"/>
      <c r="X929" s="1189"/>
      <c r="Z929" s="1190"/>
      <c r="AB929" s="1190"/>
      <c r="AH929" s="701"/>
      <c r="AJ929" s="701"/>
      <c r="BB929" s="1190"/>
      <c r="BD929" s="1190"/>
      <c r="BF929" s="1190"/>
      <c r="BH929" s="1190"/>
      <c r="BJ929" s="1190"/>
      <c r="BN929" s="206"/>
      <c r="BO929" s="206"/>
      <c r="BP929" s="206"/>
      <c r="BQ929" s="195"/>
      <c r="BR929" s="195"/>
      <c r="BS929" s="195"/>
      <c r="BT929" s="195"/>
      <c r="BU929" s="195"/>
    </row>
    <row r="930" ht="15.75" customHeight="1">
      <c r="A930" s="1004"/>
      <c r="B930" s="1004"/>
      <c r="C930" s="1005"/>
      <c r="D930" s="1005"/>
      <c r="E930" s="977"/>
      <c r="F930" s="1190"/>
      <c r="H930" s="1190"/>
      <c r="J930" s="1190"/>
      <c r="L930" s="1190"/>
      <c r="O930" s="1190"/>
      <c r="V930" s="1189"/>
      <c r="X930" s="1189"/>
      <c r="Z930" s="1190"/>
      <c r="AB930" s="1190"/>
      <c r="AH930" s="701"/>
      <c r="AJ930" s="701"/>
      <c r="BB930" s="1190"/>
      <c r="BD930" s="1190"/>
      <c r="BF930" s="1190"/>
      <c r="BH930" s="1190"/>
      <c r="BJ930" s="1190"/>
      <c r="BN930" s="206"/>
      <c r="BO930" s="206"/>
      <c r="BP930" s="206"/>
      <c r="BQ930" s="195"/>
      <c r="BR930" s="195"/>
      <c r="BS930" s="195"/>
      <c r="BT930" s="195"/>
      <c r="BU930" s="195"/>
    </row>
    <row r="931" ht="15.75" customHeight="1">
      <c r="A931" s="1004"/>
      <c r="B931" s="1004"/>
      <c r="C931" s="1005"/>
      <c r="D931" s="1005"/>
      <c r="E931" s="977"/>
      <c r="F931" s="1190"/>
      <c r="H931" s="1190"/>
      <c r="J931" s="1190"/>
      <c r="L931" s="1190"/>
      <c r="O931" s="1190"/>
      <c r="V931" s="1189"/>
      <c r="X931" s="1189"/>
      <c r="Z931" s="1190"/>
      <c r="AB931" s="1190"/>
      <c r="AH931" s="701"/>
      <c r="AJ931" s="701"/>
      <c r="BB931" s="1190"/>
      <c r="BD931" s="1190"/>
      <c r="BF931" s="1190"/>
      <c r="BH931" s="1190"/>
      <c r="BJ931" s="1190"/>
      <c r="BN931" s="206"/>
      <c r="BO931" s="206"/>
      <c r="BP931" s="206"/>
      <c r="BQ931" s="195"/>
      <c r="BR931" s="195"/>
      <c r="BS931" s="195"/>
      <c r="BT931" s="195"/>
      <c r="BU931" s="195"/>
    </row>
    <row r="932" ht="15.75" customHeight="1">
      <c r="A932" s="1004"/>
      <c r="B932" s="1004"/>
      <c r="C932" s="1005"/>
      <c r="D932" s="1005"/>
      <c r="E932" s="977"/>
      <c r="F932" s="1190"/>
      <c r="H932" s="1190"/>
      <c r="J932" s="1190"/>
      <c r="L932" s="1190"/>
      <c r="O932" s="1190"/>
      <c r="V932" s="1189"/>
      <c r="X932" s="1189"/>
      <c r="Z932" s="1190"/>
      <c r="AB932" s="1190"/>
      <c r="AH932" s="701"/>
      <c r="AJ932" s="701"/>
      <c r="BB932" s="1190"/>
      <c r="BD932" s="1190"/>
      <c r="BF932" s="1190"/>
      <c r="BH932" s="1190"/>
      <c r="BJ932" s="1190"/>
      <c r="BN932" s="206"/>
      <c r="BO932" s="206"/>
      <c r="BP932" s="206"/>
      <c r="BQ932" s="195"/>
      <c r="BR932" s="195"/>
      <c r="BS932" s="195"/>
      <c r="BT932" s="195"/>
      <c r="BU932" s="195"/>
    </row>
    <row r="933" ht="15.75" customHeight="1">
      <c r="A933" s="1004"/>
      <c r="B933" s="1004"/>
      <c r="C933" s="1005"/>
      <c r="D933" s="1005"/>
      <c r="E933" s="977"/>
      <c r="F933" s="1190"/>
      <c r="H933" s="1190"/>
      <c r="J933" s="1190"/>
      <c r="L933" s="1190"/>
      <c r="O933" s="1190"/>
      <c r="V933" s="1189"/>
      <c r="X933" s="1189"/>
      <c r="Z933" s="1190"/>
      <c r="AB933" s="1190"/>
      <c r="AH933" s="701"/>
      <c r="AJ933" s="701"/>
      <c r="BB933" s="1190"/>
      <c r="BD933" s="1190"/>
      <c r="BF933" s="1190"/>
      <c r="BH933" s="1190"/>
      <c r="BJ933" s="1190"/>
      <c r="BN933" s="206"/>
      <c r="BO933" s="206"/>
      <c r="BP933" s="206"/>
      <c r="BQ933" s="195"/>
      <c r="BR933" s="195"/>
      <c r="BS933" s="195"/>
      <c r="BT933" s="195"/>
      <c r="BU933" s="195"/>
    </row>
    <row r="934" ht="15.75" customHeight="1">
      <c r="A934" s="1004"/>
      <c r="B934" s="1004"/>
      <c r="C934" s="1005"/>
      <c r="D934" s="1005"/>
      <c r="E934" s="977"/>
      <c r="F934" s="1190"/>
      <c r="H934" s="1190"/>
      <c r="J934" s="1190"/>
      <c r="L934" s="1190"/>
      <c r="O934" s="1190"/>
      <c r="V934" s="1189"/>
      <c r="X934" s="1189"/>
      <c r="Z934" s="1190"/>
      <c r="AB934" s="1190"/>
      <c r="AH934" s="701"/>
      <c r="AJ934" s="701"/>
      <c r="BB934" s="1190"/>
      <c r="BD934" s="1190"/>
      <c r="BF934" s="1190"/>
      <c r="BH934" s="1190"/>
      <c r="BJ934" s="1190"/>
      <c r="BN934" s="206"/>
      <c r="BO934" s="206"/>
      <c r="BP934" s="206"/>
      <c r="BQ934" s="195"/>
      <c r="BR934" s="195"/>
      <c r="BS934" s="195"/>
      <c r="BT934" s="195"/>
      <c r="BU934" s="195"/>
    </row>
    <row r="935" ht="15.75" customHeight="1">
      <c r="A935" s="1004"/>
      <c r="B935" s="1004"/>
      <c r="C935" s="1005"/>
      <c r="D935" s="1005"/>
      <c r="E935" s="977"/>
      <c r="F935" s="1190"/>
      <c r="H935" s="1190"/>
      <c r="J935" s="1190"/>
      <c r="L935" s="1190"/>
      <c r="O935" s="1190"/>
      <c r="V935" s="1189"/>
      <c r="X935" s="1189"/>
      <c r="Z935" s="1190"/>
      <c r="AB935" s="1190"/>
      <c r="AH935" s="701"/>
      <c r="AJ935" s="701"/>
      <c r="BB935" s="1190"/>
      <c r="BD935" s="1190"/>
      <c r="BF935" s="1190"/>
      <c r="BH935" s="1190"/>
      <c r="BJ935" s="1190"/>
      <c r="BN935" s="206"/>
      <c r="BO935" s="206"/>
      <c r="BP935" s="206"/>
      <c r="BQ935" s="195"/>
      <c r="BR935" s="195"/>
      <c r="BS935" s="195"/>
      <c r="BT935" s="195"/>
      <c r="BU935" s="195"/>
    </row>
    <row r="936" ht="15.75" customHeight="1">
      <c r="A936" s="1004"/>
      <c r="B936" s="1004"/>
      <c r="C936" s="1005"/>
      <c r="D936" s="1005"/>
      <c r="E936" s="977"/>
      <c r="F936" s="1190"/>
      <c r="H936" s="1190"/>
      <c r="J936" s="1190"/>
      <c r="L936" s="1190"/>
      <c r="O936" s="1190"/>
      <c r="V936" s="1189"/>
      <c r="X936" s="1189"/>
      <c r="Z936" s="1190"/>
      <c r="AB936" s="1190"/>
      <c r="AH936" s="701"/>
      <c r="AJ936" s="701"/>
      <c r="BB936" s="1190"/>
      <c r="BD936" s="1190"/>
      <c r="BF936" s="1190"/>
      <c r="BH936" s="1190"/>
      <c r="BJ936" s="1190"/>
      <c r="BN936" s="206"/>
      <c r="BO936" s="206"/>
      <c r="BP936" s="206"/>
      <c r="BQ936" s="195"/>
      <c r="BR936" s="195"/>
      <c r="BS936" s="195"/>
      <c r="BT936" s="195"/>
      <c r="BU936" s="195"/>
    </row>
    <row r="937" ht="15.75" customHeight="1">
      <c r="A937" s="1004"/>
      <c r="B937" s="1004"/>
      <c r="C937" s="1005"/>
      <c r="D937" s="1005"/>
      <c r="E937" s="977"/>
      <c r="F937" s="1190"/>
      <c r="H937" s="1190"/>
      <c r="J937" s="1190"/>
      <c r="L937" s="1190"/>
      <c r="O937" s="1190"/>
      <c r="V937" s="1189"/>
      <c r="X937" s="1189"/>
      <c r="Z937" s="1190"/>
      <c r="AB937" s="1190"/>
      <c r="AH937" s="701"/>
      <c r="AJ937" s="701"/>
      <c r="BB937" s="1190"/>
      <c r="BD937" s="1190"/>
      <c r="BF937" s="1190"/>
      <c r="BH937" s="1190"/>
      <c r="BJ937" s="1190"/>
      <c r="BN937" s="206"/>
      <c r="BO937" s="206"/>
      <c r="BP937" s="206"/>
      <c r="BQ937" s="195"/>
      <c r="BR937" s="195"/>
      <c r="BS937" s="195"/>
      <c r="BT937" s="195"/>
      <c r="BU937" s="195"/>
    </row>
    <row r="938" ht="15.75" customHeight="1">
      <c r="A938" s="1004"/>
      <c r="B938" s="1004"/>
      <c r="C938" s="1005"/>
      <c r="D938" s="1005"/>
      <c r="E938" s="977"/>
      <c r="F938" s="1190"/>
      <c r="H938" s="1190"/>
      <c r="J938" s="1190"/>
      <c r="L938" s="1190"/>
      <c r="O938" s="1190"/>
      <c r="V938" s="1189"/>
      <c r="X938" s="1189"/>
      <c r="Z938" s="1190"/>
      <c r="AB938" s="1190"/>
      <c r="AH938" s="701"/>
      <c r="AJ938" s="701"/>
      <c r="BB938" s="1190"/>
      <c r="BD938" s="1190"/>
      <c r="BF938" s="1190"/>
      <c r="BH938" s="1190"/>
      <c r="BJ938" s="1190"/>
      <c r="BN938" s="206"/>
      <c r="BO938" s="206"/>
      <c r="BP938" s="206"/>
      <c r="BQ938" s="195"/>
      <c r="BR938" s="195"/>
      <c r="BS938" s="195"/>
      <c r="BT938" s="195"/>
      <c r="BU938" s="195"/>
    </row>
    <row r="939" ht="15.75" customHeight="1">
      <c r="A939" s="1004"/>
      <c r="B939" s="1004"/>
      <c r="C939" s="1005"/>
      <c r="D939" s="1005"/>
      <c r="E939" s="977"/>
      <c r="F939" s="1190"/>
      <c r="H939" s="1190"/>
      <c r="J939" s="1190"/>
      <c r="L939" s="1190"/>
      <c r="O939" s="1190"/>
      <c r="V939" s="1189"/>
      <c r="X939" s="1189"/>
      <c r="Z939" s="1190"/>
      <c r="AB939" s="1190"/>
      <c r="AH939" s="701"/>
      <c r="AJ939" s="701"/>
      <c r="BB939" s="1190"/>
      <c r="BD939" s="1190"/>
      <c r="BF939" s="1190"/>
      <c r="BH939" s="1190"/>
      <c r="BJ939" s="1190"/>
      <c r="BN939" s="206"/>
      <c r="BO939" s="206"/>
      <c r="BP939" s="206"/>
      <c r="BQ939" s="195"/>
      <c r="BR939" s="195"/>
      <c r="BS939" s="195"/>
      <c r="BT939" s="195"/>
      <c r="BU939" s="195"/>
    </row>
    <row r="940" ht="15.75" customHeight="1">
      <c r="A940" s="1004"/>
      <c r="B940" s="1004"/>
      <c r="C940" s="1005"/>
      <c r="D940" s="1005"/>
      <c r="E940" s="977"/>
      <c r="F940" s="1190"/>
      <c r="H940" s="1190"/>
      <c r="J940" s="1190"/>
      <c r="L940" s="1190"/>
      <c r="O940" s="1190"/>
      <c r="V940" s="1189"/>
      <c r="X940" s="1189"/>
      <c r="Z940" s="1190"/>
      <c r="AB940" s="1190"/>
      <c r="AH940" s="701"/>
      <c r="AJ940" s="701"/>
      <c r="BB940" s="1190"/>
      <c r="BD940" s="1190"/>
      <c r="BF940" s="1190"/>
      <c r="BH940" s="1190"/>
      <c r="BJ940" s="1190"/>
      <c r="BN940" s="206"/>
      <c r="BO940" s="206"/>
      <c r="BP940" s="206"/>
      <c r="BQ940" s="195"/>
      <c r="BR940" s="195"/>
      <c r="BS940" s="195"/>
      <c r="BT940" s="195"/>
      <c r="BU940" s="195"/>
    </row>
    <row r="941" ht="15.75" customHeight="1">
      <c r="A941" s="1004"/>
      <c r="B941" s="1004"/>
      <c r="C941" s="1005"/>
      <c r="D941" s="1005"/>
      <c r="E941" s="977"/>
      <c r="F941" s="1190"/>
      <c r="H941" s="1190"/>
      <c r="J941" s="1190"/>
      <c r="L941" s="1190"/>
      <c r="O941" s="1190"/>
      <c r="V941" s="1189"/>
      <c r="X941" s="1189"/>
      <c r="Z941" s="1190"/>
      <c r="AB941" s="1190"/>
      <c r="AH941" s="701"/>
      <c r="AJ941" s="701"/>
      <c r="BB941" s="1190"/>
      <c r="BD941" s="1190"/>
      <c r="BF941" s="1190"/>
      <c r="BH941" s="1190"/>
      <c r="BJ941" s="1190"/>
      <c r="BN941" s="206"/>
      <c r="BO941" s="206"/>
      <c r="BP941" s="206"/>
      <c r="BQ941" s="195"/>
      <c r="BR941" s="195"/>
      <c r="BS941" s="195"/>
      <c r="BT941" s="195"/>
      <c r="BU941" s="195"/>
    </row>
    <row r="942" ht="15.75" customHeight="1">
      <c r="A942" s="1004"/>
      <c r="B942" s="1004"/>
      <c r="C942" s="1005"/>
      <c r="D942" s="1005"/>
      <c r="E942" s="977"/>
      <c r="F942" s="1190"/>
      <c r="H942" s="1190"/>
      <c r="J942" s="1190"/>
      <c r="L942" s="1190"/>
      <c r="O942" s="1190"/>
      <c r="V942" s="1189"/>
      <c r="X942" s="1189"/>
      <c r="Z942" s="1190"/>
      <c r="AB942" s="1190"/>
      <c r="AH942" s="701"/>
      <c r="AJ942" s="701"/>
      <c r="BB942" s="1190"/>
      <c r="BD942" s="1190"/>
      <c r="BF942" s="1190"/>
      <c r="BH942" s="1190"/>
      <c r="BJ942" s="1190"/>
      <c r="BN942" s="206"/>
      <c r="BO942" s="206"/>
      <c r="BP942" s="206"/>
      <c r="BQ942" s="195"/>
      <c r="BR942" s="195"/>
      <c r="BS942" s="195"/>
      <c r="BT942" s="195"/>
      <c r="BU942" s="195"/>
    </row>
    <row r="943" ht="15.75" customHeight="1">
      <c r="A943" s="1004"/>
      <c r="B943" s="1004"/>
      <c r="C943" s="1005"/>
      <c r="D943" s="1005"/>
      <c r="E943" s="977"/>
      <c r="F943" s="1190"/>
      <c r="H943" s="1190"/>
      <c r="J943" s="1190"/>
      <c r="L943" s="1190"/>
      <c r="O943" s="1190"/>
      <c r="V943" s="1189"/>
      <c r="X943" s="1189"/>
      <c r="Z943" s="1190"/>
      <c r="AB943" s="1190"/>
      <c r="AH943" s="701"/>
      <c r="AJ943" s="701"/>
      <c r="BB943" s="1190"/>
      <c r="BD943" s="1190"/>
      <c r="BF943" s="1190"/>
      <c r="BH943" s="1190"/>
      <c r="BJ943" s="1190"/>
      <c r="BN943" s="206"/>
      <c r="BO943" s="206"/>
      <c r="BP943" s="206"/>
      <c r="BQ943" s="195"/>
      <c r="BR943" s="195"/>
      <c r="BS943" s="195"/>
      <c r="BT943" s="195"/>
      <c r="BU943" s="195"/>
    </row>
    <row r="944" ht="15.75" customHeight="1">
      <c r="A944" s="1004"/>
      <c r="B944" s="1004"/>
      <c r="C944" s="1005"/>
      <c r="D944" s="1005"/>
      <c r="E944" s="977"/>
      <c r="F944" s="1190"/>
      <c r="H944" s="1190"/>
      <c r="J944" s="1190"/>
      <c r="L944" s="1190"/>
      <c r="O944" s="1190"/>
      <c r="V944" s="1189"/>
      <c r="X944" s="1189"/>
      <c r="Z944" s="1190"/>
      <c r="AB944" s="1190"/>
      <c r="AH944" s="701"/>
      <c r="AJ944" s="701"/>
      <c r="BB944" s="1190"/>
      <c r="BD944" s="1190"/>
      <c r="BF944" s="1190"/>
      <c r="BH944" s="1190"/>
      <c r="BJ944" s="1190"/>
      <c r="BN944" s="206"/>
      <c r="BO944" s="206"/>
      <c r="BP944" s="206"/>
      <c r="BQ944" s="195"/>
      <c r="BR944" s="195"/>
      <c r="BS944" s="195"/>
      <c r="BT944" s="195"/>
      <c r="BU944" s="195"/>
    </row>
    <row r="945" ht="15.75" customHeight="1">
      <c r="A945" s="1004"/>
      <c r="B945" s="1004"/>
      <c r="C945" s="1005"/>
      <c r="D945" s="1005"/>
      <c r="E945" s="977"/>
      <c r="F945" s="1190"/>
      <c r="H945" s="1190"/>
      <c r="J945" s="1190"/>
      <c r="L945" s="1190"/>
      <c r="O945" s="1190"/>
      <c r="V945" s="1189"/>
      <c r="X945" s="1189"/>
      <c r="Z945" s="1190"/>
      <c r="AB945" s="1190"/>
      <c r="AH945" s="701"/>
      <c r="AJ945" s="701"/>
      <c r="BB945" s="1190"/>
      <c r="BD945" s="1190"/>
      <c r="BF945" s="1190"/>
      <c r="BH945" s="1190"/>
      <c r="BJ945" s="1190"/>
      <c r="BN945" s="206"/>
      <c r="BO945" s="206"/>
      <c r="BP945" s="206"/>
      <c r="BQ945" s="195"/>
      <c r="BR945" s="195"/>
      <c r="BS945" s="195"/>
      <c r="BT945" s="195"/>
      <c r="BU945" s="195"/>
    </row>
    <row r="946" ht="15.75" customHeight="1">
      <c r="A946" s="1004"/>
      <c r="B946" s="1004"/>
      <c r="C946" s="1005"/>
      <c r="D946" s="1005"/>
      <c r="E946" s="977"/>
      <c r="F946" s="1190"/>
      <c r="H946" s="1190"/>
      <c r="J946" s="1190"/>
      <c r="L946" s="1190"/>
      <c r="O946" s="1190"/>
      <c r="V946" s="1189"/>
      <c r="X946" s="1189"/>
      <c r="Z946" s="1190"/>
      <c r="AB946" s="1190"/>
      <c r="AH946" s="701"/>
      <c r="AJ946" s="701"/>
      <c r="BB946" s="1190"/>
      <c r="BD946" s="1190"/>
      <c r="BF946" s="1190"/>
      <c r="BH946" s="1190"/>
      <c r="BJ946" s="1190"/>
      <c r="BN946" s="206"/>
      <c r="BO946" s="206"/>
      <c r="BP946" s="206"/>
      <c r="BQ946" s="195"/>
      <c r="BR946" s="195"/>
      <c r="BS946" s="195"/>
      <c r="BT946" s="195"/>
      <c r="BU946" s="195"/>
    </row>
    <row r="947" ht="15.75" customHeight="1">
      <c r="A947" s="1004"/>
      <c r="B947" s="1004"/>
      <c r="C947" s="1005"/>
      <c r="D947" s="1005"/>
      <c r="E947" s="977"/>
      <c r="F947" s="1190"/>
      <c r="H947" s="1190"/>
      <c r="J947" s="1190"/>
      <c r="L947" s="1190"/>
      <c r="O947" s="1190"/>
      <c r="V947" s="1189"/>
      <c r="X947" s="1189"/>
      <c r="Z947" s="1190"/>
      <c r="AB947" s="1190"/>
      <c r="AH947" s="701"/>
      <c r="AJ947" s="701"/>
      <c r="BB947" s="1190"/>
      <c r="BD947" s="1190"/>
      <c r="BF947" s="1190"/>
      <c r="BH947" s="1190"/>
      <c r="BJ947" s="1190"/>
      <c r="BN947" s="206"/>
      <c r="BO947" s="206"/>
      <c r="BP947" s="206"/>
      <c r="BQ947" s="195"/>
      <c r="BR947" s="195"/>
      <c r="BS947" s="195"/>
      <c r="BT947" s="195"/>
      <c r="BU947" s="195"/>
    </row>
    <row r="948" ht="15.75" customHeight="1">
      <c r="A948" s="1004"/>
      <c r="B948" s="1004"/>
      <c r="C948" s="1005"/>
      <c r="D948" s="1005"/>
      <c r="E948" s="977"/>
      <c r="F948" s="1190"/>
      <c r="H948" s="1190"/>
      <c r="J948" s="1190"/>
      <c r="L948" s="1190"/>
      <c r="O948" s="1190"/>
      <c r="V948" s="1189"/>
      <c r="X948" s="1189"/>
      <c r="Z948" s="1190"/>
      <c r="AB948" s="1190"/>
      <c r="AH948" s="701"/>
      <c r="AJ948" s="701"/>
      <c r="BB948" s="1190"/>
      <c r="BD948" s="1190"/>
      <c r="BF948" s="1190"/>
      <c r="BH948" s="1190"/>
      <c r="BJ948" s="1190"/>
      <c r="BN948" s="206"/>
      <c r="BO948" s="206"/>
      <c r="BP948" s="206"/>
      <c r="BQ948" s="195"/>
      <c r="BR948" s="195"/>
      <c r="BS948" s="195"/>
      <c r="BT948" s="195"/>
      <c r="BU948" s="195"/>
    </row>
    <row r="949" ht="15.75" customHeight="1">
      <c r="A949" s="1004"/>
      <c r="B949" s="1004"/>
      <c r="C949" s="1005"/>
      <c r="D949" s="1005"/>
      <c r="E949" s="977"/>
      <c r="F949" s="1190"/>
      <c r="H949" s="1190"/>
      <c r="J949" s="1190"/>
      <c r="L949" s="1190"/>
      <c r="O949" s="1190"/>
      <c r="V949" s="1189"/>
      <c r="X949" s="1189"/>
      <c r="Z949" s="1190"/>
      <c r="AB949" s="1190"/>
      <c r="AH949" s="701"/>
      <c r="AJ949" s="701"/>
      <c r="BB949" s="1190"/>
      <c r="BD949" s="1190"/>
      <c r="BF949" s="1190"/>
      <c r="BH949" s="1190"/>
      <c r="BJ949" s="1190"/>
      <c r="BN949" s="206"/>
      <c r="BO949" s="206"/>
      <c r="BP949" s="206"/>
      <c r="BQ949" s="195"/>
      <c r="BR949" s="195"/>
      <c r="BS949" s="195"/>
      <c r="BT949" s="195"/>
      <c r="BU949" s="195"/>
    </row>
    <row r="950" ht="15.75" customHeight="1">
      <c r="A950" s="1004"/>
      <c r="B950" s="1004"/>
      <c r="C950" s="1005"/>
      <c r="D950" s="1005"/>
      <c r="E950" s="977"/>
      <c r="F950" s="1190"/>
      <c r="H950" s="1190"/>
      <c r="J950" s="1190"/>
      <c r="L950" s="1190"/>
      <c r="O950" s="1190"/>
      <c r="V950" s="1189"/>
      <c r="X950" s="1189"/>
      <c r="Z950" s="1190"/>
      <c r="AB950" s="1190"/>
      <c r="AH950" s="701"/>
      <c r="AJ950" s="701"/>
      <c r="BB950" s="1190"/>
      <c r="BD950" s="1190"/>
      <c r="BF950" s="1190"/>
      <c r="BH950" s="1190"/>
      <c r="BJ950" s="1190"/>
      <c r="BN950" s="206"/>
      <c r="BO950" s="206"/>
      <c r="BP950" s="206"/>
      <c r="BQ950" s="195"/>
      <c r="BR950" s="195"/>
      <c r="BS950" s="195"/>
      <c r="BT950" s="195"/>
      <c r="BU950" s="195"/>
    </row>
    <row r="951" ht="15.75" customHeight="1">
      <c r="A951" s="1004"/>
      <c r="B951" s="1004"/>
      <c r="C951" s="1005"/>
      <c r="D951" s="1005"/>
      <c r="E951" s="977"/>
      <c r="F951" s="1190"/>
      <c r="H951" s="1190"/>
      <c r="J951" s="1190"/>
      <c r="L951" s="1190"/>
      <c r="O951" s="1190"/>
      <c r="V951" s="1189"/>
      <c r="X951" s="1189"/>
      <c r="Z951" s="1190"/>
      <c r="AB951" s="1190"/>
      <c r="AH951" s="701"/>
      <c r="AJ951" s="701"/>
      <c r="BB951" s="1190"/>
      <c r="BD951" s="1190"/>
      <c r="BF951" s="1190"/>
      <c r="BH951" s="1190"/>
      <c r="BJ951" s="1190"/>
      <c r="BN951" s="206"/>
      <c r="BO951" s="206"/>
      <c r="BP951" s="206"/>
      <c r="BQ951" s="195"/>
      <c r="BR951" s="195"/>
      <c r="BS951" s="195"/>
      <c r="BT951" s="195"/>
      <c r="BU951" s="195"/>
    </row>
    <row r="952" ht="15.75" customHeight="1">
      <c r="A952" s="1004"/>
      <c r="B952" s="1004"/>
      <c r="C952" s="1005"/>
      <c r="D952" s="1005"/>
      <c r="E952" s="977"/>
      <c r="F952" s="1190"/>
      <c r="H952" s="1190"/>
      <c r="J952" s="1190"/>
      <c r="L952" s="1190"/>
      <c r="O952" s="1190"/>
      <c r="V952" s="1189"/>
      <c r="X952" s="1189"/>
      <c r="Z952" s="1190"/>
      <c r="AB952" s="1190"/>
      <c r="AH952" s="701"/>
      <c r="AJ952" s="701"/>
      <c r="BB952" s="1190"/>
      <c r="BD952" s="1190"/>
      <c r="BF952" s="1190"/>
      <c r="BH952" s="1190"/>
      <c r="BJ952" s="1190"/>
      <c r="BN952" s="206"/>
      <c r="BO952" s="206"/>
      <c r="BP952" s="206"/>
      <c r="BQ952" s="195"/>
      <c r="BR952" s="195"/>
      <c r="BS952" s="195"/>
      <c r="BT952" s="195"/>
      <c r="BU952" s="195"/>
    </row>
    <row r="953" ht="15.75" customHeight="1">
      <c r="A953" s="1004"/>
      <c r="B953" s="1004"/>
      <c r="C953" s="1005"/>
      <c r="D953" s="1005"/>
      <c r="E953" s="977"/>
      <c r="F953" s="1190"/>
      <c r="H953" s="1190"/>
      <c r="J953" s="1190"/>
      <c r="L953" s="1190"/>
      <c r="O953" s="1190"/>
      <c r="V953" s="1189"/>
      <c r="X953" s="1189"/>
      <c r="Z953" s="1190"/>
      <c r="AB953" s="1190"/>
      <c r="AH953" s="701"/>
      <c r="AJ953" s="701"/>
      <c r="BB953" s="1190"/>
      <c r="BD953" s="1190"/>
      <c r="BF953" s="1190"/>
      <c r="BH953" s="1190"/>
      <c r="BJ953" s="1190"/>
      <c r="BN953" s="206"/>
      <c r="BO953" s="206"/>
      <c r="BP953" s="206"/>
      <c r="BQ953" s="195"/>
      <c r="BR953" s="195"/>
      <c r="BS953" s="195"/>
      <c r="BT953" s="195"/>
      <c r="BU953" s="195"/>
    </row>
    <row r="954" ht="15.75" customHeight="1">
      <c r="A954" s="1004"/>
      <c r="B954" s="1004"/>
      <c r="C954" s="1005"/>
      <c r="D954" s="1005"/>
      <c r="E954" s="977"/>
      <c r="F954" s="1190"/>
      <c r="H954" s="1190"/>
      <c r="J954" s="1190"/>
      <c r="L954" s="1190"/>
      <c r="O954" s="1190"/>
      <c r="V954" s="1189"/>
      <c r="X954" s="1189"/>
      <c r="Z954" s="1190"/>
      <c r="AB954" s="1190"/>
      <c r="AH954" s="701"/>
      <c r="AJ954" s="701"/>
      <c r="BB954" s="1190"/>
      <c r="BD954" s="1190"/>
      <c r="BF954" s="1190"/>
      <c r="BH954" s="1190"/>
      <c r="BJ954" s="1190"/>
      <c r="BN954" s="206"/>
      <c r="BO954" s="206"/>
      <c r="BP954" s="206"/>
      <c r="BQ954" s="195"/>
      <c r="BR954" s="195"/>
      <c r="BS954" s="195"/>
      <c r="BT954" s="195"/>
      <c r="BU954" s="195"/>
    </row>
    <row r="955" ht="15.75" customHeight="1">
      <c r="A955" s="1004"/>
      <c r="B955" s="1004"/>
      <c r="C955" s="1005"/>
      <c r="D955" s="1005"/>
      <c r="E955" s="977"/>
      <c r="F955" s="1190"/>
      <c r="H955" s="1190"/>
      <c r="J955" s="1190"/>
      <c r="L955" s="1190"/>
      <c r="O955" s="1190"/>
      <c r="V955" s="1189"/>
      <c r="X955" s="1189"/>
      <c r="Z955" s="1190"/>
      <c r="AB955" s="1190"/>
      <c r="AH955" s="701"/>
      <c r="AJ955" s="701"/>
      <c r="BB955" s="1190"/>
      <c r="BD955" s="1190"/>
      <c r="BF955" s="1190"/>
      <c r="BH955" s="1190"/>
      <c r="BJ955" s="1190"/>
      <c r="BN955" s="206"/>
      <c r="BO955" s="206"/>
      <c r="BP955" s="206"/>
      <c r="BQ955" s="195"/>
      <c r="BR955" s="195"/>
      <c r="BS955" s="195"/>
      <c r="BT955" s="195"/>
      <c r="BU955" s="195"/>
    </row>
    <row r="956" ht="15.75" customHeight="1">
      <c r="A956" s="1004"/>
      <c r="B956" s="1004"/>
      <c r="C956" s="1005"/>
      <c r="D956" s="1005"/>
      <c r="E956" s="977"/>
      <c r="F956" s="1190"/>
      <c r="H956" s="1190"/>
      <c r="J956" s="1190"/>
      <c r="L956" s="1190"/>
      <c r="O956" s="1190"/>
      <c r="V956" s="1189"/>
      <c r="X956" s="1189"/>
      <c r="Z956" s="1190"/>
      <c r="AB956" s="1190"/>
      <c r="AH956" s="701"/>
      <c r="AJ956" s="701"/>
      <c r="BB956" s="1190"/>
      <c r="BD956" s="1190"/>
      <c r="BF956" s="1190"/>
      <c r="BH956" s="1190"/>
      <c r="BJ956" s="1190"/>
      <c r="BN956" s="206"/>
      <c r="BO956" s="206"/>
      <c r="BP956" s="206"/>
      <c r="BQ956" s="195"/>
      <c r="BR956" s="195"/>
      <c r="BS956" s="195"/>
      <c r="BT956" s="195"/>
      <c r="BU956" s="195"/>
    </row>
    <row r="957" ht="15.75" customHeight="1">
      <c r="A957" s="1004"/>
      <c r="B957" s="1004"/>
      <c r="C957" s="1005"/>
      <c r="D957" s="1005"/>
      <c r="E957" s="977"/>
      <c r="F957" s="1190"/>
      <c r="H957" s="1190"/>
      <c r="J957" s="1190"/>
      <c r="L957" s="1190"/>
      <c r="O957" s="1190"/>
      <c r="V957" s="1189"/>
      <c r="X957" s="1189"/>
      <c r="Z957" s="1190"/>
      <c r="AB957" s="1190"/>
      <c r="AH957" s="701"/>
      <c r="AJ957" s="701"/>
      <c r="BB957" s="1190"/>
      <c r="BD957" s="1190"/>
      <c r="BF957" s="1190"/>
      <c r="BH957" s="1190"/>
      <c r="BJ957" s="1190"/>
      <c r="BN957" s="206"/>
      <c r="BO957" s="206"/>
      <c r="BP957" s="206"/>
      <c r="BQ957" s="195"/>
      <c r="BR957" s="195"/>
      <c r="BS957" s="195"/>
      <c r="BT957" s="195"/>
      <c r="BU957" s="195"/>
    </row>
    <row r="958" ht="15.75" customHeight="1">
      <c r="A958" s="1004"/>
      <c r="B958" s="1004"/>
      <c r="C958" s="1005"/>
      <c r="D958" s="1005"/>
      <c r="E958" s="977"/>
      <c r="F958" s="1190"/>
      <c r="H958" s="1190"/>
      <c r="J958" s="1190"/>
      <c r="L958" s="1190"/>
      <c r="O958" s="1190"/>
      <c r="V958" s="1189"/>
      <c r="X958" s="1189"/>
      <c r="Z958" s="1190"/>
      <c r="AB958" s="1190"/>
      <c r="AH958" s="701"/>
      <c r="AJ958" s="701"/>
      <c r="BB958" s="1190"/>
      <c r="BD958" s="1190"/>
      <c r="BF958" s="1190"/>
      <c r="BH958" s="1190"/>
      <c r="BJ958" s="1190"/>
      <c r="BN958" s="206"/>
      <c r="BO958" s="206"/>
      <c r="BP958" s="206"/>
      <c r="BQ958" s="195"/>
      <c r="BR958" s="195"/>
      <c r="BS958" s="195"/>
      <c r="BT958" s="195"/>
      <c r="BU958" s="195"/>
    </row>
    <row r="959" ht="15.75" customHeight="1">
      <c r="A959" s="1004"/>
      <c r="B959" s="1004"/>
      <c r="C959" s="1005"/>
      <c r="D959" s="1005"/>
      <c r="E959" s="977"/>
      <c r="F959" s="1190"/>
      <c r="H959" s="1190"/>
      <c r="J959" s="1190"/>
      <c r="L959" s="1190"/>
      <c r="O959" s="1190"/>
      <c r="V959" s="1189"/>
      <c r="X959" s="1189"/>
      <c r="Z959" s="1190"/>
      <c r="AB959" s="1190"/>
      <c r="AH959" s="701"/>
      <c r="AJ959" s="701"/>
      <c r="BB959" s="1190"/>
      <c r="BD959" s="1190"/>
      <c r="BF959" s="1190"/>
      <c r="BH959" s="1190"/>
      <c r="BJ959" s="1190"/>
      <c r="BN959" s="206"/>
      <c r="BO959" s="206"/>
      <c r="BP959" s="206"/>
      <c r="BQ959" s="195"/>
      <c r="BR959" s="195"/>
      <c r="BS959" s="195"/>
      <c r="BT959" s="195"/>
      <c r="BU959" s="195"/>
    </row>
    <row r="960" ht="15.75" customHeight="1">
      <c r="A960" s="1004"/>
      <c r="B960" s="1004"/>
      <c r="C960" s="1005"/>
      <c r="D960" s="1005"/>
      <c r="E960" s="977"/>
      <c r="F960" s="1190"/>
      <c r="H960" s="1190"/>
      <c r="J960" s="1190"/>
      <c r="L960" s="1190"/>
      <c r="O960" s="1190"/>
      <c r="V960" s="1189"/>
      <c r="X960" s="1189"/>
      <c r="Z960" s="1190"/>
      <c r="AB960" s="1190"/>
      <c r="AH960" s="701"/>
      <c r="AJ960" s="701"/>
      <c r="BB960" s="1190"/>
      <c r="BD960" s="1190"/>
      <c r="BF960" s="1190"/>
      <c r="BH960" s="1190"/>
      <c r="BJ960" s="1190"/>
      <c r="BN960" s="206"/>
      <c r="BO960" s="206"/>
      <c r="BP960" s="206"/>
      <c r="BQ960" s="195"/>
      <c r="BR960" s="195"/>
      <c r="BS960" s="195"/>
      <c r="BT960" s="195"/>
      <c r="BU960" s="195"/>
    </row>
    <row r="961" ht="15.75" customHeight="1">
      <c r="A961" s="1004"/>
      <c r="B961" s="1004"/>
      <c r="C961" s="1005"/>
      <c r="D961" s="1005"/>
      <c r="E961" s="977"/>
      <c r="F961" s="1190"/>
      <c r="H961" s="1190"/>
      <c r="J961" s="1190"/>
      <c r="L961" s="1190"/>
      <c r="O961" s="1190"/>
      <c r="V961" s="1189"/>
      <c r="X961" s="1189"/>
      <c r="Z961" s="1190"/>
      <c r="AB961" s="1190"/>
      <c r="AH961" s="701"/>
      <c r="AJ961" s="701"/>
      <c r="BB961" s="1190"/>
      <c r="BD961" s="1190"/>
      <c r="BF961" s="1190"/>
      <c r="BH961" s="1190"/>
      <c r="BJ961" s="1190"/>
      <c r="BN961" s="206"/>
      <c r="BO961" s="206"/>
      <c r="BP961" s="206"/>
      <c r="BQ961" s="195"/>
      <c r="BR961" s="195"/>
      <c r="BS961" s="195"/>
      <c r="BT961" s="195"/>
      <c r="BU961" s="195"/>
    </row>
    <row r="962" ht="15.75" customHeight="1">
      <c r="A962" s="1004"/>
      <c r="B962" s="1004"/>
      <c r="C962" s="1005"/>
      <c r="D962" s="1005"/>
      <c r="E962" s="977"/>
      <c r="F962" s="1190"/>
      <c r="H962" s="1190"/>
      <c r="J962" s="1190"/>
      <c r="L962" s="1190"/>
      <c r="O962" s="1190"/>
      <c r="V962" s="1189"/>
      <c r="X962" s="1189"/>
      <c r="Z962" s="1190"/>
      <c r="AB962" s="1190"/>
      <c r="AH962" s="701"/>
      <c r="AJ962" s="701"/>
      <c r="BB962" s="1190"/>
      <c r="BD962" s="1190"/>
      <c r="BF962" s="1190"/>
      <c r="BH962" s="1190"/>
      <c r="BJ962" s="1190"/>
      <c r="BN962" s="206"/>
      <c r="BO962" s="206"/>
      <c r="BP962" s="206"/>
      <c r="BQ962" s="195"/>
      <c r="BR962" s="195"/>
      <c r="BS962" s="195"/>
      <c r="BT962" s="195"/>
      <c r="BU962" s="195"/>
    </row>
    <row r="963" ht="15.75" customHeight="1">
      <c r="A963" s="1004"/>
      <c r="B963" s="1004"/>
      <c r="C963" s="1005"/>
      <c r="D963" s="1005"/>
      <c r="E963" s="977"/>
      <c r="F963" s="1190"/>
      <c r="H963" s="1190"/>
      <c r="J963" s="1190"/>
      <c r="L963" s="1190"/>
      <c r="O963" s="1190"/>
      <c r="V963" s="1189"/>
      <c r="X963" s="1189"/>
      <c r="Z963" s="1190"/>
      <c r="AB963" s="1190"/>
      <c r="AH963" s="701"/>
      <c r="AJ963" s="701"/>
      <c r="BB963" s="1190"/>
      <c r="BD963" s="1190"/>
      <c r="BF963" s="1190"/>
      <c r="BH963" s="1190"/>
      <c r="BJ963" s="1190"/>
      <c r="BN963" s="206"/>
      <c r="BO963" s="206"/>
      <c r="BP963" s="206"/>
      <c r="BQ963" s="195"/>
      <c r="BR963" s="195"/>
      <c r="BS963" s="195"/>
      <c r="BT963" s="195"/>
      <c r="BU963" s="195"/>
    </row>
    <row r="964" ht="15.75" customHeight="1">
      <c r="A964" s="1004"/>
      <c r="B964" s="1004"/>
      <c r="C964" s="1005"/>
      <c r="D964" s="1005"/>
      <c r="E964" s="977"/>
      <c r="F964" s="1190"/>
      <c r="H964" s="1190"/>
      <c r="J964" s="1190"/>
      <c r="L964" s="1190"/>
      <c r="O964" s="1190"/>
      <c r="V964" s="1189"/>
      <c r="X964" s="1189"/>
      <c r="Z964" s="1190"/>
      <c r="AB964" s="1190"/>
      <c r="AH964" s="701"/>
      <c r="AJ964" s="701"/>
      <c r="BB964" s="1190"/>
      <c r="BD964" s="1190"/>
      <c r="BF964" s="1190"/>
      <c r="BH964" s="1190"/>
      <c r="BJ964" s="1190"/>
      <c r="BN964" s="206"/>
      <c r="BO964" s="206"/>
      <c r="BP964" s="206"/>
      <c r="BQ964" s="195"/>
      <c r="BR964" s="195"/>
      <c r="BS964" s="195"/>
      <c r="BT964" s="195"/>
      <c r="BU964" s="195"/>
    </row>
    <row r="965" ht="15.75" customHeight="1">
      <c r="A965" s="1004"/>
      <c r="B965" s="1004"/>
      <c r="C965" s="1005"/>
      <c r="D965" s="1005"/>
      <c r="E965" s="977"/>
      <c r="F965" s="1190"/>
      <c r="H965" s="1190"/>
      <c r="J965" s="1190"/>
      <c r="L965" s="1190"/>
      <c r="O965" s="1190"/>
      <c r="V965" s="1189"/>
      <c r="X965" s="1189"/>
      <c r="Z965" s="1190"/>
      <c r="AB965" s="1190"/>
      <c r="AH965" s="701"/>
      <c r="AJ965" s="701"/>
      <c r="BB965" s="1190"/>
      <c r="BD965" s="1190"/>
      <c r="BF965" s="1190"/>
      <c r="BH965" s="1190"/>
      <c r="BJ965" s="1190"/>
      <c r="BN965" s="206"/>
      <c r="BO965" s="206"/>
      <c r="BP965" s="206"/>
      <c r="BQ965" s="195"/>
      <c r="BR965" s="195"/>
      <c r="BS965" s="195"/>
      <c r="BT965" s="195"/>
      <c r="BU965" s="195"/>
    </row>
    <row r="966" ht="15.75" customHeight="1">
      <c r="A966" s="1004"/>
      <c r="B966" s="1004"/>
      <c r="C966" s="1005"/>
      <c r="D966" s="1005"/>
      <c r="E966" s="977"/>
      <c r="F966" s="1190"/>
      <c r="H966" s="1190"/>
      <c r="J966" s="1190"/>
      <c r="L966" s="1190"/>
      <c r="O966" s="1190"/>
      <c r="V966" s="1189"/>
      <c r="X966" s="1189"/>
      <c r="Z966" s="1190"/>
      <c r="AB966" s="1190"/>
      <c r="AH966" s="701"/>
      <c r="AJ966" s="701"/>
      <c r="BB966" s="1190"/>
      <c r="BD966" s="1190"/>
      <c r="BF966" s="1190"/>
      <c r="BH966" s="1190"/>
      <c r="BJ966" s="1190"/>
      <c r="BN966" s="206"/>
      <c r="BO966" s="206"/>
      <c r="BP966" s="206"/>
      <c r="BQ966" s="195"/>
      <c r="BR966" s="195"/>
      <c r="BS966" s="195"/>
      <c r="BT966" s="195"/>
      <c r="BU966" s="195"/>
    </row>
    <row r="967" ht="15.75" customHeight="1">
      <c r="A967" s="1004"/>
      <c r="B967" s="1004"/>
      <c r="C967" s="1005"/>
      <c r="D967" s="1005"/>
      <c r="E967" s="977"/>
      <c r="F967" s="1190"/>
      <c r="H967" s="1190"/>
      <c r="J967" s="1190"/>
      <c r="L967" s="1190"/>
      <c r="O967" s="1190"/>
      <c r="V967" s="1189"/>
      <c r="X967" s="1189"/>
      <c r="Z967" s="1190"/>
      <c r="AB967" s="1190"/>
      <c r="AH967" s="701"/>
      <c r="AJ967" s="701"/>
      <c r="BB967" s="1190"/>
      <c r="BD967" s="1190"/>
      <c r="BF967" s="1190"/>
      <c r="BH967" s="1190"/>
      <c r="BJ967" s="1190"/>
      <c r="BN967" s="206"/>
      <c r="BO967" s="206"/>
      <c r="BP967" s="206"/>
      <c r="BQ967" s="195"/>
      <c r="BR967" s="195"/>
      <c r="BS967" s="195"/>
      <c r="BT967" s="195"/>
      <c r="BU967" s="195"/>
    </row>
    <row r="968" ht="15.75" customHeight="1">
      <c r="A968" s="1004"/>
      <c r="B968" s="1004"/>
      <c r="C968" s="1005"/>
      <c r="D968" s="1005"/>
      <c r="E968" s="977"/>
      <c r="F968" s="1190"/>
      <c r="H968" s="1190"/>
      <c r="J968" s="1190"/>
      <c r="L968" s="1190"/>
      <c r="O968" s="1190"/>
      <c r="V968" s="1189"/>
      <c r="X968" s="1189"/>
      <c r="Z968" s="1190"/>
      <c r="AB968" s="1190"/>
      <c r="AH968" s="701"/>
      <c r="AJ968" s="701"/>
      <c r="BB968" s="1190"/>
      <c r="BD968" s="1190"/>
      <c r="BF968" s="1190"/>
      <c r="BH968" s="1190"/>
      <c r="BJ968" s="1190"/>
      <c r="BN968" s="206"/>
      <c r="BO968" s="206"/>
      <c r="BP968" s="206"/>
      <c r="BQ968" s="195"/>
      <c r="BR968" s="195"/>
      <c r="BS968" s="195"/>
      <c r="BT968" s="195"/>
      <c r="BU968" s="195"/>
    </row>
    <row r="969" ht="15.75" customHeight="1">
      <c r="A969" s="1004"/>
      <c r="B969" s="1004"/>
      <c r="C969" s="1005"/>
      <c r="D969" s="1005"/>
      <c r="E969" s="977"/>
      <c r="F969" s="1190"/>
      <c r="H969" s="1190"/>
      <c r="J969" s="1190"/>
      <c r="L969" s="1190"/>
      <c r="O969" s="1190"/>
      <c r="V969" s="1189"/>
      <c r="X969" s="1189"/>
      <c r="Z969" s="1190"/>
      <c r="AB969" s="1190"/>
      <c r="AH969" s="701"/>
      <c r="AJ969" s="701"/>
      <c r="BB969" s="1190"/>
      <c r="BD969" s="1190"/>
      <c r="BF969" s="1190"/>
      <c r="BH969" s="1190"/>
      <c r="BJ969" s="1190"/>
      <c r="BN969" s="206"/>
      <c r="BO969" s="206"/>
      <c r="BP969" s="206"/>
      <c r="BQ969" s="195"/>
      <c r="BR969" s="195"/>
      <c r="BS969" s="195"/>
      <c r="BT969" s="195"/>
      <c r="BU969" s="195"/>
    </row>
    <row r="970" ht="15.75" customHeight="1">
      <c r="A970" s="1004"/>
      <c r="B970" s="1004"/>
      <c r="C970" s="1005"/>
      <c r="D970" s="1005"/>
      <c r="E970" s="977"/>
      <c r="F970" s="1190"/>
      <c r="H970" s="1190"/>
      <c r="J970" s="1190"/>
      <c r="L970" s="1190"/>
      <c r="O970" s="1190"/>
      <c r="V970" s="1189"/>
      <c r="X970" s="1189"/>
      <c r="Z970" s="1190"/>
      <c r="AB970" s="1190"/>
      <c r="AH970" s="701"/>
      <c r="AJ970" s="701"/>
      <c r="BB970" s="1190"/>
      <c r="BD970" s="1190"/>
      <c r="BF970" s="1190"/>
      <c r="BH970" s="1190"/>
      <c r="BJ970" s="1190"/>
      <c r="BN970" s="206"/>
      <c r="BO970" s="206"/>
      <c r="BP970" s="206"/>
      <c r="BQ970" s="195"/>
      <c r="BR970" s="195"/>
      <c r="BS970" s="195"/>
      <c r="BT970" s="195"/>
      <c r="BU970" s="195"/>
    </row>
    <row r="971" ht="15.75" customHeight="1">
      <c r="A971" s="1004"/>
      <c r="B971" s="1004"/>
      <c r="C971" s="1005"/>
      <c r="D971" s="1005"/>
      <c r="E971" s="977"/>
      <c r="F971" s="1190"/>
      <c r="H971" s="1190"/>
      <c r="J971" s="1190"/>
      <c r="L971" s="1190"/>
      <c r="O971" s="1190"/>
      <c r="V971" s="1189"/>
      <c r="X971" s="1189"/>
      <c r="Z971" s="1190"/>
      <c r="AB971" s="1190"/>
      <c r="AH971" s="701"/>
      <c r="AJ971" s="701"/>
      <c r="BB971" s="1190"/>
      <c r="BD971" s="1190"/>
      <c r="BF971" s="1190"/>
      <c r="BH971" s="1190"/>
      <c r="BJ971" s="1190"/>
      <c r="BN971" s="206"/>
      <c r="BO971" s="206"/>
      <c r="BP971" s="206"/>
      <c r="BQ971" s="195"/>
      <c r="BR971" s="195"/>
      <c r="BS971" s="195"/>
      <c r="BT971" s="195"/>
      <c r="BU971" s="195"/>
    </row>
    <row r="972" ht="15.75" customHeight="1">
      <c r="A972" s="1004"/>
      <c r="B972" s="1004"/>
      <c r="C972" s="1005"/>
      <c r="D972" s="1005"/>
      <c r="E972" s="977"/>
      <c r="F972" s="1190"/>
      <c r="H972" s="1190"/>
      <c r="J972" s="1190"/>
      <c r="L972" s="1190"/>
      <c r="O972" s="1190"/>
      <c r="V972" s="1189"/>
      <c r="X972" s="1189"/>
      <c r="Z972" s="1190"/>
      <c r="AB972" s="1190"/>
      <c r="AH972" s="701"/>
      <c r="AJ972" s="701"/>
      <c r="BB972" s="1190"/>
      <c r="BD972" s="1190"/>
      <c r="BF972" s="1190"/>
      <c r="BH972" s="1190"/>
      <c r="BJ972" s="1190"/>
      <c r="BN972" s="206"/>
      <c r="BO972" s="206"/>
      <c r="BP972" s="206"/>
      <c r="BQ972" s="195"/>
      <c r="BR972" s="195"/>
      <c r="BS972" s="195"/>
      <c r="BT972" s="195"/>
      <c r="BU972" s="195"/>
    </row>
    <row r="973" ht="15.75" customHeight="1">
      <c r="A973" s="1004"/>
      <c r="B973" s="1004"/>
      <c r="C973" s="1005"/>
      <c r="D973" s="1005"/>
      <c r="E973" s="977"/>
      <c r="F973" s="1190"/>
      <c r="H973" s="1190"/>
      <c r="J973" s="1190"/>
      <c r="L973" s="1190"/>
      <c r="O973" s="1190"/>
      <c r="V973" s="1189"/>
      <c r="X973" s="1189"/>
      <c r="Z973" s="1190"/>
      <c r="AB973" s="1190"/>
      <c r="AH973" s="701"/>
      <c r="AJ973" s="701"/>
      <c r="BB973" s="1190"/>
      <c r="BD973" s="1190"/>
      <c r="BF973" s="1190"/>
      <c r="BH973" s="1190"/>
      <c r="BJ973" s="1190"/>
      <c r="BN973" s="206"/>
      <c r="BO973" s="206"/>
      <c r="BP973" s="206"/>
      <c r="BQ973" s="195"/>
      <c r="BR973" s="195"/>
      <c r="BS973" s="195"/>
      <c r="BT973" s="195"/>
      <c r="BU973" s="195"/>
    </row>
    <row r="974" ht="15.75" customHeight="1">
      <c r="A974" s="1004"/>
      <c r="B974" s="1004"/>
      <c r="C974" s="1005"/>
      <c r="D974" s="1005"/>
      <c r="E974" s="977"/>
      <c r="F974" s="1190"/>
      <c r="H974" s="1190"/>
      <c r="J974" s="1190"/>
      <c r="L974" s="1190"/>
      <c r="O974" s="1190"/>
      <c r="V974" s="1189"/>
      <c r="X974" s="1189"/>
      <c r="Z974" s="1190"/>
      <c r="AB974" s="1190"/>
      <c r="AH974" s="701"/>
      <c r="AJ974" s="701"/>
      <c r="BB974" s="1190"/>
      <c r="BD974" s="1190"/>
      <c r="BF974" s="1190"/>
      <c r="BH974" s="1190"/>
      <c r="BJ974" s="1190"/>
      <c r="BN974" s="206"/>
      <c r="BO974" s="206"/>
      <c r="BP974" s="206"/>
      <c r="BQ974" s="195"/>
      <c r="BR974" s="195"/>
      <c r="BS974" s="195"/>
      <c r="BT974" s="195"/>
      <c r="BU974" s="195"/>
    </row>
    <row r="975" ht="15.75" customHeight="1">
      <c r="A975" s="1004"/>
      <c r="B975" s="1004"/>
      <c r="C975" s="1005"/>
      <c r="D975" s="1005"/>
      <c r="E975" s="977"/>
      <c r="F975" s="1190"/>
      <c r="H975" s="1190"/>
      <c r="J975" s="1190"/>
      <c r="L975" s="1190"/>
      <c r="O975" s="1190"/>
      <c r="V975" s="1189"/>
      <c r="X975" s="1189"/>
      <c r="Z975" s="1190"/>
      <c r="AB975" s="1190"/>
      <c r="AH975" s="701"/>
      <c r="AJ975" s="701"/>
      <c r="BB975" s="1190"/>
      <c r="BD975" s="1190"/>
      <c r="BF975" s="1190"/>
      <c r="BH975" s="1190"/>
      <c r="BJ975" s="1190"/>
      <c r="BN975" s="206"/>
      <c r="BO975" s="206"/>
      <c r="BP975" s="206"/>
      <c r="BQ975" s="195"/>
      <c r="BR975" s="195"/>
      <c r="BS975" s="195"/>
      <c r="BT975" s="195"/>
      <c r="BU975" s="195"/>
    </row>
    <row r="976" ht="15.75" customHeight="1">
      <c r="A976" s="1004"/>
      <c r="B976" s="1004"/>
      <c r="C976" s="1005"/>
      <c r="D976" s="1005"/>
      <c r="E976" s="977"/>
      <c r="F976" s="1190"/>
      <c r="H976" s="1190"/>
      <c r="J976" s="1190"/>
      <c r="L976" s="1190"/>
      <c r="O976" s="1190"/>
      <c r="V976" s="1189"/>
      <c r="X976" s="1189"/>
      <c r="Z976" s="1190"/>
      <c r="AB976" s="1190"/>
      <c r="AH976" s="701"/>
      <c r="AJ976" s="701"/>
      <c r="BB976" s="1190"/>
      <c r="BD976" s="1190"/>
      <c r="BF976" s="1190"/>
      <c r="BH976" s="1190"/>
      <c r="BJ976" s="1190"/>
      <c r="BN976" s="206"/>
      <c r="BO976" s="206"/>
      <c r="BP976" s="206"/>
      <c r="BQ976" s="195"/>
      <c r="BR976" s="195"/>
      <c r="BS976" s="195"/>
      <c r="BT976" s="195"/>
      <c r="BU976" s="195"/>
    </row>
    <row r="977" ht="15.75" customHeight="1">
      <c r="A977" s="1004"/>
      <c r="B977" s="1004"/>
      <c r="C977" s="1005"/>
      <c r="D977" s="1005"/>
      <c r="E977" s="977"/>
      <c r="F977" s="1190"/>
      <c r="H977" s="1190"/>
      <c r="J977" s="1190"/>
      <c r="L977" s="1190"/>
      <c r="O977" s="1190"/>
      <c r="V977" s="1189"/>
      <c r="X977" s="1189"/>
      <c r="Z977" s="1190"/>
      <c r="AB977" s="1190"/>
      <c r="AH977" s="701"/>
      <c r="AJ977" s="701"/>
      <c r="BB977" s="1190"/>
      <c r="BD977" s="1190"/>
      <c r="BF977" s="1190"/>
      <c r="BH977" s="1190"/>
      <c r="BJ977" s="1190"/>
      <c r="BN977" s="206"/>
      <c r="BO977" s="206"/>
      <c r="BP977" s="206"/>
      <c r="BQ977" s="195"/>
      <c r="BR977" s="195"/>
      <c r="BS977" s="195"/>
      <c r="BT977" s="195"/>
      <c r="BU977" s="195"/>
    </row>
    <row r="978" ht="15.75" customHeight="1">
      <c r="A978" s="1004"/>
      <c r="B978" s="1004"/>
      <c r="C978" s="1005"/>
      <c r="D978" s="1005"/>
      <c r="E978" s="977"/>
      <c r="F978" s="1190"/>
      <c r="H978" s="1190"/>
      <c r="J978" s="1190"/>
      <c r="L978" s="1190"/>
      <c r="O978" s="1190"/>
      <c r="V978" s="1189"/>
      <c r="X978" s="1189"/>
      <c r="Z978" s="1190"/>
      <c r="AB978" s="1190"/>
      <c r="AH978" s="701"/>
      <c r="AJ978" s="701"/>
      <c r="BB978" s="1190"/>
      <c r="BD978" s="1190"/>
      <c r="BF978" s="1190"/>
      <c r="BH978" s="1190"/>
      <c r="BJ978" s="1190"/>
      <c r="BN978" s="206"/>
      <c r="BO978" s="206"/>
      <c r="BP978" s="206"/>
      <c r="BQ978" s="195"/>
      <c r="BR978" s="195"/>
      <c r="BS978" s="195"/>
      <c r="BT978" s="195"/>
      <c r="BU978" s="195"/>
    </row>
    <row r="979" ht="15.75" customHeight="1">
      <c r="A979" s="1004"/>
      <c r="B979" s="1004"/>
      <c r="C979" s="1005"/>
      <c r="D979" s="1005"/>
      <c r="E979" s="977"/>
      <c r="F979" s="1190"/>
      <c r="H979" s="1190"/>
      <c r="J979" s="1190"/>
      <c r="L979" s="1190"/>
      <c r="O979" s="1190"/>
      <c r="V979" s="1189"/>
      <c r="X979" s="1189"/>
      <c r="Z979" s="1190"/>
      <c r="AB979" s="1190"/>
      <c r="AH979" s="701"/>
      <c r="AJ979" s="701"/>
      <c r="BB979" s="1190"/>
      <c r="BD979" s="1190"/>
      <c r="BF979" s="1190"/>
      <c r="BH979" s="1190"/>
      <c r="BJ979" s="1190"/>
      <c r="BN979" s="206"/>
      <c r="BO979" s="206"/>
      <c r="BP979" s="206"/>
      <c r="BQ979" s="195"/>
      <c r="BR979" s="195"/>
      <c r="BS979" s="195"/>
      <c r="BT979" s="195"/>
      <c r="BU979" s="195"/>
    </row>
    <row r="980" ht="15.75" customHeight="1">
      <c r="A980" s="1004"/>
      <c r="B980" s="1004"/>
      <c r="C980" s="1005"/>
      <c r="D980" s="1005"/>
      <c r="E980" s="977"/>
      <c r="F980" s="1190"/>
      <c r="H980" s="1190"/>
      <c r="J980" s="1190"/>
      <c r="L980" s="1190"/>
      <c r="O980" s="1190"/>
      <c r="V980" s="1189"/>
      <c r="X980" s="1189"/>
      <c r="Z980" s="1190"/>
      <c r="AB980" s="1190"/>
      <c r="AH980" s="701"/>
      <c r="AJ980" s="701"/>
      <c r="BB980" s="1190"/>
      <c r="BD980" s="1190"/>
      <c r="BF980" s="1190"/>
      <c r="BH980" s="1190"/>
      <c r="BJ980" s="1190"/>
      <c r="BN980" s="206"/>
      <c r="BO980" s="206"/>
      <c r="BP980" s="206"/>
      <c r="BQ980" s="195"/>
      <c r="BR980" s="195"/>
      <c r="BS980" s="195"/>
      <c r="BT980" s="195"/>
      <c r="BU980" s="195"/>
    </row>
    <row r="981" ht="15.75" customHeight="1">
      <c r="A981" s="1004"/>
      <c r="B981" s="1004"/>
      <c r="C981" s="1005"/>
      <c r="D981" s="1005"/>
      <c r="E981" s="977"/>
      <c r="F981" s="1190"/>
      <c r="H981" s="1190"/>
      <c r="J981" s="1190"/>
      <c r="L981" s="1190"/>
      <c r="O981" s="1190"/>
      <c r="V981" s="1189"/>
      <c r="X981" s="1189"/>
      <c r="Z981" s="1190"/>
      <c r="AB981" s="1190"/>
      <c r="AH981" s="701"/>
      <c r="AJ981" s="701"/>
      <c r="BB981" s="1190"/>
      <c r="BD981" s="1190"/>
      <c r="BF981" s="1190"/>
      <c r="BH981" s="1190"/>
      <c r="BJ981" s="1190"/>
      <c r="BN981" s="206"/>
      <c r="BO981" s="206"/>
      <c r="BP981" s="206"/>
      <c r="BQ981" s="195"/>
      <c r="BR981" s="195"/>
      <c r="BS981" s="195"/>
      <c r="BT981" s="195"/>
      <c r="BU981" s="195"/>
    </row>
    <row r="982" ht="15.75" customHeight="1">
      <c r="A982" s="1004"/>
      <c r="B982" s="1004"/>
      <c r="C982" s="1005"/>
      <c r="D982" s="1005"/>
      <c r="E982" s="977"/>
      <c r="F982" s="1190"/>
      <c r="H982" s="1190"/>
      <c r="J982" s="1190"/>
      <c r="L982" s="1190"/>
      <c r="O982" s="1190"/>
      <c r="V982" s="1189"/>
      <c r="X982" s="1189"/>
      <c r="Z982" s="1190"/>
      <c r="AB982" s="1190"/>
      <c r="AH982" s="701"/>
      <c r="AJ982" s="701"/>
      <c r="BB982" s="1190"/>
      <c r="BD982" s="1190"/>
      <c r="BF982" s="1190"/>
      <c r="BH982" s="1190"/>
      <c r="BJ982" s="1190"/>
      <c r="BN982" s="206"/>
      <c r="BO982" s="206"/>
      <c r="BP982" s="206"/>
      <c r="BQ982" s="195"/>
      <c r="BR982" s="195"/>
      <c r="BS982" s="195"/>
      <c r="BT982" s="195"/>
      <c r="BU982" s="195"/>
    </row>
    <row r="983" ht="15.75" customHeight="1">
      <c r="A983" s="1004"/>
      <c r="B983" s="1004"/>
      <c r="C983" s="1005"/>
      <c r="D983" s="1005"/>
      <c r="E983" s="977"/>
      <c r="F983" s="1190"/>
      <c r="H983" s="1190"/>
      <c r="J983" s="1190"/>
      <c r="L983" s="1190"/>
      <c r="O983" s="1190"/>
      <c r="V983" s="1189"/>
      <c r="X983" s="1189"/>
      <c r="Z983" s="1190"/>
      <c r="AB983" s="1190"/>
      <c r="AH983" s="701"/>
      <c r="AJ983" s="701"/>
      <c r="BB983" s="1190"/>
      <c r="BD983" s="1190"/>
      <c r="BF983" s="1190"/>
      <c r="BH983" s="1190"/>
      <c r="BJ983" s="1190"/>
      <c r="BN983" s="206"/>
      <c r="BO983" s="206"/>
      <c r="BP983" s="206"/>
      <c r="BQ983" s="195"/>
      <c r="BR983" s="195"/>
      <c r="BS983" s="195"/>
      <c r="BT983" s="195"/>
      <c r="BU983" s="195"/>
    </row>
    <row r="984" ht="15.75" customHeight="1">
      <c r="A984" s="1004"/>
      <c r="B984" s="1004"/>
      <c r="C984" s="1005"/>
      <c r="D984" s="1005"/>
      <c r="E984" s="977"/>
      <c r="F984" s="1190"/>
      <c r="H984" s="1190"/>
      <c r="J984" s="1190"/>
      <c r="L984" s="1190"/>
      <c r="O984" s="1190"/>
      <c r="V984" s="1189"/>
      <c r="X984" s="1189"/>
      <c r="Z984" s="1190"/>
      <c r="AB984" s="1190"/>
      <c r="AH984" s="701"/>
      <c r="AJ984" s="701"/>
      <c r="BB984" s="1190"/>
      <c r="BD984" s="1190"/>
      <c r="BF984" s="1190"/>
      <c r="BH984" s="1190"/>
      <c r="BJ984" s="1190"/>
      <c r="BN984" s="206"/>
      <c r="BO984" s="206"/>
      <c r="BP984" s="206"/>
      <c r="BQ984" s="195"/>
      <c r="BR984" s="195"/>
      <c r="BS984" s="195"/>
      <c r="BT984" s="195"/>
      <c r="BU984" s="195"/>
    </row>
    <row r="985" ht="15.75" customHeight="1">
      <c r="A985" s="1004"/>
      <c r="B985" s="1004"/>
      <c r="C985" s="1005"/>
      <c r="D985" s="1005"/>
      <c r="E985" s="977"/>
      <c r="F985" s="1190"/>
      <c r="H985" s="1190"/>
      <c r="J985" s="1190"/>
      <c r="L985" s="1190"/>
      <c r="O985" s="1190"/>
      <c r="V985" s="1189"/>
      <c r="X985" s="1189"/>
      <c r="Z985" s="1190"/>
      <c r="AB985" s="1190"/>
      <c r="AH985" s="701"/>
      <c r="AJ985" s="701"/>
      <c r="BB985" s="1190"/>
      <c r="BD985" s="1190"/>
      <c r="BF985" s="1190"/>
      <c r="BH985" s="1190"/>
      <c r="BJ985" s="1190"/>
      <c r="BN985" s="206"/>
      <c r="BO985" s="206"/>
      <c r="BP985" s="206"/>
      <c r="BQ985" s="195"/>
      <c r="BR985" s="195"/>
      <c r="BS985" s="195"/>
      <c r="BT985" s="195"/>
      <c r="BU985" s="195"/>
    </row>
    <row r="986" ht="15.75" customHeight="1">
      <c r="A986" s="1004"/>
      <c r="B986" s="1004"/>
      <c r="C986" s="1005"/>
      <c r="D986" s="1005"/>
      <c r="E986" s="977"/>
      <c r="F986" s="1190"/>
      <c r="H986" s="1190"/>
      <c r="J986" s="1190"/>
      <c r="L986" s="1190"/>
      <c r="O986" s="1190"/>
      <c r="V986" s="1189"/>
      <c r="X986" s="1189"/>
      <c r="Z986" s="1190"/>
      <c r="AB986" s="1190"/>
      <c r="AH986" s="701"/>
      <c r="AJ986" s="701"/>
      <c r="BB986" s="1190"/>
      <c r="BD986" s="1190"/>
      <c r="BF986" s="1190"/>
      <c r="BH986" s="1190"/>
      <c r="BJ986" s="1190"/>
      <c r="BN986" s="206"/>
      <c r="BO986" s="206"/>
      <c r="BP986" s="206"/>
      <c r="BQ986" s="195"/>
      <c r="BR986" s="195"/>
      <c r="BS986" s="195"/>
      <c r="BT986" s="195"/>
      <c r="BU986" s="195"/>
    </row>
    <row r="987" ht="15.75" customHeight="1">
      <c r="A987" s="1004"/>
      <c r="B987" s="1004"/>
      <c r="C987" s="1005"/>
      <c r="D987" s="1005"/>
      <c r="E987" s="977"/>
      <c r="F987" s="1190"/>
      <c r="H987" s="1190"/>
      <c r="J987" s="1190"/>
      <c r="L987" s="1190"/>
      <c r="O987" s="1190"/>
      <c r="V987" s="1189"/>
      <c r="X987" s="1189"/>
      <c r="Z987" s="1190"/>
      <c r="AB987" s="1190"/>
      <c r="AH987" s="701"/>
      <c r="AJ987" s="701"/>
      <c r="BB987" s="1190"/>
      <c r="BD987" s="1190"/>
      <c r="BF987" s="1190"/>
      <c r="BH987" s="1190"/>
      <c r="BJ987" s="1190"/>
      <c r="BN987" s="206"/>
      <c r="BO987" s="206"/>
      <c r="BP987" s="206"/>
      <c r="BQ987" s="195"/>
      <c r="BR987" s="195"/>
      <c r="BS987" s="195"/>
      <c r="BT987" s="195"/>
      <c r="BU987" s="195"/>
    </row>
    <row r="988" ht="15.75" customHeight="1">
      <c r="A988" s="1004"/>
      <c r="B988" s="1004"/>
      <c r="C988" s="1005"/>
      <c r="D988" s="1005"/>
      <c r="E988" s="977"/>
      <c r="F988" s="1190"/>
      <c r="H988" s="1190"/>
      <c r="J988" s="1190"/>
      <c r="L988" s="1190"/>
      <c r="O988" s="1190"/>
      <c r="V988" s="1189"/>
      <c r="X988" s="1189"/>
      <c r="Z988" s="1190"/>
      <c r="AB988" s="1190"/>
      <c r="AH988" s="701"/>
      <c r="AJ988" s="701"/>
      <c r="BB988" s="1190"/>
      <c r="BD988" s="1190"/>
      <c r="BF988" s="1190"/>
      <c r="BH988" s="1190"/>
      <c r="BJ988" s="1190"/>
      <c r="BN988" s="206"/>
      <c r="BO988" s="206"/>
      <c r="BP988" s="206"/>
      <c r="BQ988" s="195"/>
      <c r="BR988" s="195"/>
      <c r="BS988" s="195"/>
      <c r="BT988" s="195"/>
      <c r="BU988" s="195"/>
    </row>
    <row r="989" ht="15.75" customHeight="1">
      <c r="A989" s="1004"/>
      <c r="B989" s="1004"/>
      <c r="C989" s="1005"/>
      <c r="D989" s="1005"/>
      <c r="E989" s="977"/>
      <c r="F989" s="1190"/>
      <c r="H989" s="1190"/>
      <c r="J989" s="1190"/>
      <c r="L989" s="1190"/>
      <c r="O989" s="1190"/>
      <c r="V989" s="1189"/>
      <c r="X989" s="1189"/>
      <c r="Z989" s="1190"/>
      <c r="AB989" s="1190"/>
      <c r="AH989" s="701"/>
      <c r="AJ989" s="701"/>
      <c r="BB989" s="1190"/>
      <c r="BD989" s="1190"/>
      <c r="BF989" s="1190"/>
      <c r="BH989" s="1190"/>
      <c r="BJ989" s="1190"/>
      <c r="BN989" s="206"/>
      <c r="BO989" s="206"/>
      <c r="BP989" s="206"/>
      <c r="BQ989" s="195"/>
      <c r="BR989" s="195"/>
      <c r="BS989" s="195"/>
      <c r="BT989" s="195"/>
      <c r="BU989" s="195"/>
    </row>
    <row r="990" ht="15.75" customHeight="1">
      <c r="A990" s="1004"/>
      <c r="B990" s="1004"/>
      <c r="C990" s="1005"/>
      <c r="D990" s="1005"/>
      <c r="E990" s="977"/>
      <c r="F990" s="1190"/>
      <c r="H990" s="1190"/>
      <c r="J990" s="1190"/>
      <c r="L990" s="1190"/>
      <c r="O990" s="1190"/>
      <c r="V990" s="1189"/>
      <c r="X990" s="1189"/>
      <c r="Z990" s="1190"/>
      <c r="AB990" s="1190"/>
      <c r="AH990" s="701"/>
      <c r="AJ990" s="701"/>
      <c r="BB990" s="1190"/>
      <c r="BD990" s="1190"/>
      <c r="BF990" s="1190"/>
      <c r="BH990" s="1190"/>
      <c r="BJ990" s="1190"/>
      <c r="BN990" s="206"/>
      <c r="BO990" s="206"/>
      <c r="BP990" s="206"/>
      <c r="BQ990" s="195"/>
      <c r="BR990" s="195"/>
      <c r="BS990" s="195"/>
      <c r="BT990" s="195"/>
      <c r="BU990" s="195"/>
    </row>
    <row r="991" ht="15.75" customHeight="1">
      <c r="A991" s="1004"/>
      <c r="B991" s="1004"/>
      <c r="C991" s="1005"/>
      <c r="D991" s="1005"/>
      <c r="E991" s="977"/>
      <c r="F991" s="1190"/>
      <c r="H991" s="1190"/>
      <c r="J991" s="1190"/>
      <c r="L991" s="1190"/>
      <c r="O991" s="1190"/>
      <c r="V991" s="1189"/>
      <c r="X991" s="1189"/>
      <c r="Z991" s="1190"/>
      <c r="AB991" s="1190"/>
      <c r="AH991" s="701"/>
      <c r="AJ991" s="701"/>
      <c r="BB991" s="1190"/>
      <c r="BD991" s="1190"/>
      <c r="BF991" s="1190"/>
      <c r="BH991" s="1190"/>
      <c r="BJ991" s="1190"/>
      <c r="BN991" s="206"/>
      <c r="BO991" s="206"/>
      <c r="BP991" s="206"/>
      <c r="BQ991" s="195"/>
      <c r="BR991" s="195"/>
      <c r="BS991" s="195"/>
      <c r="BT991" s="195"/>
      <c r="BU991" s="195"/>
    </row>
    <row r="992" ht="15.75" customHeight="1">
      <c r="A992" s="1004"/>
      <c r="B992" s="1004"/>
      <c r="C992" s="1005"/>
      <c r="D992" s="1005"/>
      <c r="E992" s="977"/>
      <c r="F992" s="1190"/>
      <c r="H992" s="1190"/>
      <c r="J992" s="1190"/>
      <c r="L992" s="1190"/>
      <c r="O992" s="1190"/>
      <c r="V992" s="1189"/>
      <c r="X992" s="1189"/>
      <c r="Z992" s="1190"/>
      <c r="AB992" s="1190"/>
      <c r="AH992" s="701"/>
      <c r="AJ992" s="701"/>
      <c r="BB992" s="1190"/>
      <c r="BD992" s="1190"/>
      <c r="BF992" s="1190"/>
      <c r="BH992" s="1190"/>
      <c r="BJ992" s="1190"/>
      <c r="BN992" s="206"/>
      <c r="BO992" s="206"/>
      <c r="BP992" s="206"/>
      <c r="BQ992" s="195"/>
      <c r="BR992" s="195"/>
      <c r="BS992" s="195"/>
      <c r="BT992" s="195"/>
      <c r="BU992" s="195"/>
    </row>
    <row r="993" ht="15.75" customHeight="1">
      <c r="A993" s="1004"/>
      <c r="B993" s="1004"/>
      <c r="C993" s="1005"/>
      <c r="D993" s="1005"/>
      <c r="E993" s="977"/>
      <c r="F993" s="1190"/>
      <c r="H993" s="1190"/>
      <c r="J993" s="1190"/>
      <c r="L993" s="1190"/>
      <c r="O993" s="1190"/>
      <c r="V993" s="1189"/>
      <c r="X993" s="1189"/>
      <c r="Z993" s="1190"/>
      <c r="AB993" s="1190"/>
      <c r="AH993" s="701"/>
      <c r="AJ993" s="701"/>
      <c r="BB993" s="1190"/>
      <c r="BD993" s="1190"/>
      <c r="BF993" s="1190"/>
      <c r="BH993" s="1190"/>
      <c r="BJ993" s="1190"/>
      <c r="BN993" s="206"/>
      <c r="BO993" s="206"/>
      <c r="BP993" s="206"/>
      <c r="BQ993" s="195"/>
      <c r="BR993" s="195"/>
      <c r="BS993" s="195"/>
      <c r="BT993" s="195"/>
      <c r="BU993" s="195"/>
    </row>
    <row r="994" ht="15.75" customHeight="1">
      <c r="A994" s="1004"/>
      <c r="B994" s="1004"/>
      <c r="C994" s="1005"/>
      <c r="D994" s="1005"/>
      <c r="E994" s="977"/>
      <c r="F994" s="1190"/>
      <c r="H994" s="1190"/>
      <c r="J994" s="1190"/>
      <c r="L994" s="1190"/>
      <c r="O994" s="1190"/>
      <c r="V994" s="1189"/>
      <c r="X994" s="1189"/>
      <c r="Z994" s="1190"/>
      <c r="AB994" s="1190"/>
      <c r="AH994" s="701"/>
      <c r="AJ994" s="701"/>
      <c r="BB994" s="1190"/>
      <c r="BD994" s="1190"/>
      <c r="BF994" s="1190"/>
      <c r="BH994" s="1190"/>
      <c r="BJ994" s="1190"/>
      <c r="BN994" s="206"/>
      <c r="BO994" s="206"/>
      <c r="BP994" s="206"/>
      <c r="BQ994" s="195"/>
      <c r="BR994" s="195"/>
      <c r="BS994" s="195"/>
      <c r="BT994" s="195"/>
      <c r="BU994" s="195"/>
    </row>
    <row r="995" ht="15.75" customHeight="1">
      <c r="A995" s="1004"/>
      <c r="B995" s="1004"/>
      <c r="C995" s="1005"/>
      <c r="D995" s="1005"/>
      <c r="E995" s="977"/>
      <c r="F995" s="1190"/>
      <c r="H995" s="1190"/>
      <c r="J995" s="1190"/>
      <c r="L995" s="1190"/>
      <c r="O995" s="1190"/>
      <c r="V995" s="1189"/>
      <c r="X995" s="1189"/>
      <c r="Z995" s="1190"/>
      <c r="AB995" s="1190"/>
      <c r="AH995" s="701"/>
      <c r="AJ995" s="701"/>
      <c r="BB995" s="1190"/>
      <c r="BD995" s="1190"/>
      <c r="BF995" s="1190"/>
      <c r="BH995" s="1190"/>
      <c r="BJ995" s="1190"/>
      <c r="BN995" s="206"/>
      <c r="BO995" s="206"/>
      <c r="BP995" s="206"/>
      <c r="BQ995" s="195"/>
      <c r="BR995" s="195"/>
      <c r="BS995" s="195"/>
      <c r="BT995" s="195"/>
      <c r="BU995" s="195"/>
    </row>
    <row r="996" ht="15.75" customHeight="1">
      <c r="A996" s="1004"/>
      <c r="B996" s="1004"/>
      <c r="C996" s="1005"/>
      <c r="D996" s="1005"/>
      <c r="E996" s="977"/>
      <c r="F996" s="1190"/>
      <c r="H996" s="1190"/>
      <c r="J996" s="1190"/>
      <c r="L996" s="1190"/>
      <c r="O996" s="1190"/>
      <c r="V996" s="1189"/>
      <c r="X996" s="1189"/>
      <c r="Z996" s="1190"/>
      <c r="AB996" s="1190"/>
      <c r="AH996" s="701"/>
      <c r="AJ996" s="701"/>
      <c r="BB996" s="1190"/>
      <c r="BD996" s="1190"/>
      <c r="BF996" s="1190"/>
      <c r="BH996" s="1190"/>
      <c r="BJ996" s="1190"/>
      <c r="BN996" s="206"/>
      <c r="BO996" s="206"/>
      <c r="BP996" s="206"/>
      <c r="BQ996" s="195"/>
      <c r="BR996" s="195"/>
      <c r="BS996" s="195"/>
      <c r="BT996" s="195"/>
      <c r="BU996" s="195"/>
    </row>
    <row r="997" ht="15.75" customHeight="1">
      <c r="A997" s="1004"/>
      <c r="B997" s="1004"/>
      <c r="C997" s="1005"/>
      <c r="D997" s="1005"/>
      <c r="E997" s="977"/>
      <c r="F997" s="1190"/>
      <c r="H997" s="1190"/>
      <c r="J997" s="1190"/>
      <c r="L997" s="1190"/>
      <c r="O997" s="1190"/>
      <c r="V997" s="1189"/>
      <c r="X997" s="1189"/>
      <c r="Z997" s="1190"/>
      <c r="AB997" s="1190"/>
      <c r="AH997" s="701"/>
      <c r="AJ997" s="701"/>
      <c r="BB997" s="1190"/>
      <c r="BD997" s="1190"/>
      <c r="BF997" s="1190"/>
      <c r="BH997" s="1190"/>
      <c r="BJ997" s="1190"/>
      <c r="BN997" s="206"/>
      <c r="BO997" s="206"/>
      <c r="BP997" s="206"/>
      <c r="BQ997" s="195"/>
      <c r="BR997" s="195"/>
      <c r="BS997" s="195"/>
      <c r="BT997" s="195"/>
      <c r="BU997" s="195"/>
    </row>
    <row r="998" ht="15.75" customHeight="1">
      <c r="A998" s="1004"/>
      <c r="B998" s="1004"/>
      <c r="C998" s="1005"/>
      <c r="D998" s="1005"/>
      <c r="E998" s="977"/>
      <c r="F998" s="1190"/>
      <c r="H998" s="1190"/>
      <c r="J998" s="1190"/>
      <c r="L998" s="1190"/>
      <c r="O998" s="1190"/>
      <c r="V998" s="1189"/>
      <c r="X998" s="1189"/>
      <c r="Z998" s="1190"/>
      <c r="AB998" s="1190"/>
      <c r="AH998" s="701"/>
      <c r="AJ998" s="701"/>
      <c r="BB998" s="1190"/>
      <c r="BD998" s="1190"/>
      <c r="BF998" s="1190"/>
      <c r="BH998" s="1190"/>
      <c r="BJ998" s="1190"/>
      <c r="BN998" s="206"/>
      <c r="BO998" s="206"/>
      <c r="BP998" s="206"/>
      <c r="BQ998" s="195"/>
      <c r="BR998" s="195"/>
      <c r="BS998" s="195"/>
      <c r="BT998" s="195"/>
      <c r="BU998" s="195"/>
    </row>
    <row r="999" ht="15.75" customHeight="1">
      <c r="A999" s="1004"/>
      <c r="B999" s="1004"/>
      <c r="C999" s="1005"/>
      <c r="D999" s="1005"/>
      <c r="E999" s="977"/>
      <c r="F999" s="1190"/>
      <c r="H999" s="1190"/>
      <c r="J999" s="1190"/>
      <c r="L999" s="1190"/>
      <c r="O999" s="1190"/>
      <c r="V999" s="1189"/>
      <c r="X999" s="1189"/>
      <c r="Z999" s="1190"/>
      <c r="AB999" s="1190"/>
      <c r="AH999" s="701"/>
      <c r="AJ999" s="701"/>
      <c r="BB999" s="1190"/>
      <c r="BD999" s="1190"/>
      <c r="BF999" s="1190"/>
      <c r="BH999" s="1190"/>
      <c r="BJ999" s="1190"/>
      <c r="BN999" s="206"/>
      <c r="BO999" s="206"/>
      <c r="BP999" s="206"/>
      <c r="BQ999" s="195"/>
      <c r="BR999" s="195"/>
      <c r="BS999" s="195"/>
      <c r="BT999" s="195"/>
      <c r="BU999" s="195"/>
    </row>
    <row r="1000" ht="15.75" customHeight="1">
      <c r="A1000" s="1004"/>
      <c r="B1000" s="1004"/>
      <c r="C1000" s="1005"/>
      <c r="D1000" s="1005"/>
      <c r="E1000" s="977"/>
      <c r="F1000" s="1190"/>
      <c r="H1000" s="1190"/>
      <c r="J1000" s="1190"/>
      <c r="L1000" s="1190"/>
      <c r="O1000" s="1190"/>
      <c r="V1000" s="1189"/>
      <c r="X1000" s="1189"/>
      <c r="Z1000" s="1190"/>
      <c r="AB1000" s="1190"/>
      <c r="AH1000" s="701"/>
      <c r="AJ1000" s="701"/>
      <c r="BB1000" s="1190"/>
      <c r="BD1000" s="1190"/>
      <c r="BF1000" s="1190"/>
      <c r="BH1000" s="1190"/>
      <c r="BJ1000" s="1190"/>
      <c r="BN1000" s="206"/>
      <c r="BO1000" s="206"/>
      <c r="BP1000" s="206"/>
      <c r="BQ1000" s="195"/>
      <c r="BR1000" s="195"/>
      <c r="BS1000" s="195"/>
      <c r="BT1000" s="195"/>
      <c r="BU1000" s="195"/>
    </row>
    <row r="1001" ht="15.75" customHeight="1">
      <c r="A1001" s="1004"/>
      <c r="B1001" s="1004"/>
      <c r="C1001" s="1005"/>
      <c r="D1001" s="1005"/>
      <c r="E1001" s="977"/>
      <c r="F1001" s="1190"/>
      <c r="H1001" s="1190"/>
      <c r="J1001" s="1190"/>
      <c r="L1001" s="1190"/>
      <c r="O1001" s="1190"/>
      <c r="V1001" s="1189"/>
      <c r="X1001" s="1189"/>
      <c r="Z1001" s="1190"/>
      <c r="AB1001" s="1190"/>
      <c r="AH1001" s="701"/>
      <c r="AJ1001" s="701"/>
      <c r="BB1001" s="1190"/>
      <c r="BD1001" s="1190"/>
      <c r="BF1001" s="1190"/>
      <c r="BH1001" s="1190"/>
      <c r="BJ1001" s="1190"/>
      <c r="BN1001" s="206"/>
      <c r="BO1001" s="206"/>
      <c r="BP1001" s="206"/>
      <c r="BQ1001" s="195"/>
      <c r="BR1001" s="195"/>
      <c r="BS1001" s="195"/>
      <c r="BT1001" s="195"/>
      <c r="BU1001" s="195"/>
    </row>
    <row r="1002" ht="15.75" customHeight="1">
      <c r="A1002" s="1004"/>
      <c r="B1002" s="1004"/>
      <c r="C1002" s="1005"/>
      <c r="D1002" s="1005"/>
      <c r="E1002" s="977"/>
      <c r="F1002" s="1190"/>
      <c r="H1002" s="1190"/>
      <c r="J1002" s="1190"/>
      <c r="L1002" s="1190"/>
      <c r="O1002" s="1190"/>
      <c r="V1002" s="1189"/>
      <c r="X1002" s="1189"/>
      <c r="Z1002" s="1190"/>
      <c r="AB1002" s="1190"/>
      <c r="AH1002" s="701"/>
      <c r="AJ1002" s="701"/>
      <c r="BB1002" s="1190"/>
      <c r="BD1002" s="1190"/>
      <c r="BF1002" s="1190"/>
      <c r="BH1002" s="1190"/>
      <c r="BJ1002" s="1190"/>
      <c r="BN1002" s="206"/>
      <c r="BO1002" s="206"/>
      <c r="BP1002" s="206"/>
      <c r="BQ1002" s="195"/>
      <c r="BR1002" s="195"/>
      <c r="BS1002" s="195"/>
      <c r="BT1002" s="195"/>
      <c r="BU1002" s="195"/>
    </row>
    <row r="1003" ht="15.75" customHeight="1">
      <c r="A1003" s="1004"/>
      <c r="B1003" s="1004"/>
      <c r="C1003" s="1005"/>
      <c r="D1003" s="1005"/>
      <c r="E1003" s="977"/>
      <c r="F1003" s="1190"/>
      <c r="H1003" s="1190"/>
      <c r="J1003" s="1190"/>
      <c r="L1003" s="1190"/>
      <c r="O1003" s="1190"/>
      <c r="V1003" s="1189"/>
      <c r="X1003" s="1189"/>
      <c r="Z1003" s="1190"/>
      <c r="AB1003" s="1190"/>
      <c r="AH1003" s="701"/>
      <c r="AJ1003" s="701"/>
      <c r="BB1003" s="1190"/>
      <c r="BD1003" s="1190"/>
      <c r="BF1003" s="1190"/>
      <c r="BH1003" s="1190"/>
      <c r="BJ1003" s="1190"/>
      <c r="BN1003" s="206"/>
      <c r="BO1003" s="206"/>
      <c r="BP1003" s="206"/>
      <c r="BQ1003" s="195"/>
      <c r="BR1003" s="195"/>
      <c r="BS1003" s="195"/>
      <c r="BT1003" s="195"/>
      <c r="BU1003" s="195"/>
    </row>
    <row r="1004" ht="15.75" customHeight="1">
      <c r="A1004" s="1004"/>
      <c r="B1004" s="1004"/>
      <c r="C1004" s="1005"/>
      <c r="D1004" s="1005"/>
      <c r="E1004" s="977"/>
      <c r="F1004" s="1190"/>
      <c r="H1004" s="1190"/>
      <c r="J1004" s="1190"/>
      <c r="L1004" s="1190"/>
      <c r="O1004" s="1190"/>
      <c r="V1004" s="1189"/>
      <c r="X1004" s="1189"/>
      <c r="Z1004" s="1190"/>
      <c r="AB1004" s="1190"/>
      <c r="AH1004" s="701"/>
      <c r="AJ1004" s="701"/>
      <c r="BB1004" s="1190"/>
      <c r="BD1004" s="1190"/>
      <c r="BF1004" s="1190"/>
      <c r="BH1004" s="1190"/>
      <c r="BJ1004" s="1190"/>
      <c r="BN1004" s="206"/>
      <c r="BO1004" s="206"/>
      <c r="BP1004" s="206"/>
      <c r="BQ1004" s="195"/>
      <c r="BR1004" s="195"/>
      <c r="BS1004" s="195"/>
      <c r="BT1004" s="195"/>
      <c r="BU1004" s="195"/>
    </row>
    <row r="1005" ht="15.75" customHeight="1">
      <c r="A1005" s="1004"/>
      <c r="B1005" s="1004"/>
      <c r="C1005" s="1005"/>
      <c r="D1005" s="1005"/>
      <c r="E1005" s="977"/>
      <c r="F1005" s="1190"/>
      <c r="H1005" s="1190"/>
      <c r="J1005" s="1190"/>
      <c r="L1005" s="1190"/>
      <c r="O1005" s="1190"/>
      <c r="V1005" s="1189"/>
      <c r="X1005" s="1189"/>
      <c r="Z1005" s="1190"/>
      <c r="AB1005" s="1190"/>
      <c r="AH1005" s="701"/>
      <c r="AJ1005" s="701"/>
      <c r="BB1005" s="1190"/>
      <c r="BD1005" s="1190"/>
      <c r="BF1005" s="1190"/>
      <c r="BH1005" s="1190"/>
      <c r="BJ1005" s="1190"/>
      <c r="BN1005" s="206"/>
      <c r="BO1005" s="206"/>
      <c r="BP1005" s="206"/>
      <c r="BQ1005" s="195"/>
      <c r="BR1005" s="195"/>
      <c r="BS1005" s="195"/>
      <c r="BT1005" s="195"/>
      <c r="BU1005" s="195"/>
    </row>
    <row r="1006" ht="15.75" customHeight="1">
      <c r="A1006" s="1004"/>
      <c r="B1006" s="1004"/>
      <c r="C1006" s="1005"/>
      <c r="D1006" s="1005"/>
      <c r="E1006" s="977"/>
      <c r="F1006" s="1190"/>
      <c r="H1006" s="1190"/>
      <c r="J1006" s="1190"/>
      <c r="L1006" s="1190"/>
      <c r="O1006" s="1190"/>
      <c r="V1006" s="1189"/>
      <c r="X1006" s="1189"/>
      <c r="Z1006" s="1190"/>
      <c r="AB1006" s="1190"/>
      <c r="AH1006" s="701"/>
      <c r="AJ1006" s="701"/>
      <c r="BB1006" s="1190"/>
      <c r="BD1006" s="1190"/>
      <c r="BF1006" s="1190"/>
      <c r="BH1006" s="1190"/>
      <c r="BJ1006" s="1190"/>
      <c r="BN1006" s="206"/>
      <c r="BO1006" s="206"/>
      <c r="BP1006" s="206"/>
      <c r="BQ1006" s="195"/>
      <c r="BR1006" s="195"/>
      <c r="BS1006" s="195"/>
      <c r="BT1006" s="195"/>
      <c r="BU1006" s="195"/>
    </row>
    <row r="1007" ht="15.75" customHeight="1">
      <c r="A1007" s="1004"/>
      <c r="B1007" s="1004"/>
      <c r="C1007" s="1005"/>
      <c r="D1007" s="1005"/>
      <c r="E1007" s="977"/>
      <c r="F1007" s="1190"/>
      <c r="H1007" s="1190"/>
      <c r="J1007" s="1190"/>
      <c r="L1007" s="1190"/>
      <c r="O1007" s="1190"/>
      <c r="V1007" s="1189"/>
      <c r="X1007" s="1189"/>
      <c r="Z1007" s="1190"/>
      <c r="AB1007" s="1190"/>
      <c r="AH1007" s="701"/>
      <c r="AJ1007" s="701"/>
      <c r="BB1007" s="1190"/>
      <c r="BD1007" s="1190"/>
      <c r="BF1007" s="1190"/>
      <c r="BH1007" s="1190"/>
      <c r="BJ1007" s="1190"/>
      <c r="BN1007" s="206"/>
      <c r="BO1007" s="206"/>
      <c r="BP1007" s="206"/>
      <c r="BQ1007" s="195"/>
      <c r="BR1007" s="195"/>
      <c r="BS1007" s="195"/>
      <c r="BT1007" s="195"/>
      <c r="BU1007" s="195"/>
    </row>
    <row r="1008" ht="15.75" customHeight="1">
      <c r="A1008" s="1004"/>
      <c r="B1008" s="1004"/>
      <c r="C1008" s="1005"/>
      <c r="D1008" s="1005"/>
      <c r="E1008" s="977"/>
      <c r="F1008" s="1190"/>
      <c r="H1008" s="1190"/>
      <c r="J1008" s="1190"/>
      <c r="L1008" s="1190"/>
      <c r="O1008" s="1190"/>
      <c r="V1008" s="1189"/>
      <c r="X1008" s="1189"/>
      <c r="Z1008" s="1190"/>
      <c r="AB1008" s="1190"/>
      <c r="AH1008" s="701"/>
      <c r="AJ1008" s="701"/>
      <c r="BB1008" s="1190"/>
      <c r="BD1008" s="1190"/>
      <c r="BF1008" s="1190"/>
      <c r="BH1008" s="1190"/>
      <c r="BJ1008" s="1190"/>
      <c r="BN1008" s="206"/>
      <c r="BO1008" s="206"/>
      <c r="BP1008" s="206"/>
      <c r="BQ1008" s="195"/>
      <c r="BR1008" s="195"/>
      <c r="BS1008" s="195"/>
      <c r="BT1008" s="195"/>
      <c r="BU1008" s="195"/>
    </row>
    <row r="1009" ht="15.75" customHeight="1">
      <c r="A1009" s="1004"/>
      <c r="B1009" s="1004"/>
      <c r="C1009" s="1005"/>
      <c r="D1009" s="1005"/>
      <c r="E1009" s="977"/>
      <c r="F1009" s="1190"/>
      <c r="H1009" s="1190"/>
      <c r="J1009" s="1190"/>
      <c r="L1009" s="1190"/>
      <c r="O1009" s="1190"/>
      <c r="V1009" s="1189"/>
      <c r="X1009" s="1189"/>
      <c r="Z1009" s="1190"/>
      <c r="AB1009" s="1190"/>
      <c r="AH1009" s="701"/>
      <c r="AJ1009" s="701"/>
      <c r="BB1009" s="1190"/>
      <c r="BD1009" s="1190"/>
      <c r="BF1009" s="1190"/>
      <c r="BH1009" s="1190"/>
      <c r="BJ1009" s="1190"/>
      <c r="BN1009" s="206"/>
      <c r="BO1009" s="206"/>
      <c r="BP1009" s="206"/>
      <c r="BQ1009" s="195"/>
      <c r="BR1009" s="195"/>
      <c r="BS1009" s="195"/>
      <c r="BT1009" s="195"/>
      <c r="BU1009" s="195"/>
    </row>
    <row r="1010" ht="15.75" customHeight="1">
      <c r="A1010" s="1004"/>
      <c r="B1010" s="1004"/>
      <c r="C1010" s="1005"/>
      <c r="D1010" s="1005"/>
      <c r="E1010" s="977"/>
      <c r="F1010" s="1190"/>
      <c r="H1010" s="1190"/>
      <c r="J1010" s="1190"/>
      <c r="L1010" s="1190"/>
      <c r="O1010" s="1190"/>
      <c r="V1010" s="1189"/>
      <c r="X1010" s="1189"/>
      <c r="Z1010" s="1190"/>
      <c r="AB1010" s="1190"/>
      <c r="AH1010" s="701"/>
      <c r="AJ1010" s="701"/>
      <c r="BB1010" s="1190"/>
      <c r="BD1010" s="1190"/>
      <c r="BF1010" s="1190"/>
      <c r="BH1010" s="1190"/>
      <c r="BJ1010" s="1190"/>
      <c r="BN1010" s="206"/>
      <c r="BO1010" s="206"/>
      <c r="BP1010" s="206"/>
      <c r="BQ1010" s="195"/>
      <c r="BR1010" s="195"/>
      <c r="BS1010" s="195"/>
      <c r="BT1010" s="195"/>
      <c r="BU1010" s="195"/>
    </row>
    <row r="1011" ht="15.75" customHeight="1">
      <c r="A1011" s="1004"/>
      <c r="B1011" s="1004"/>
      <c r="C1011" s="1005"/>
      <c r="D1011" s="1005"/>
      <c r="E1011" s="977"/>
      <c r="F1011" s="1190"/>
      <c r="H1011" s="1190"/>
      <c r="J1011" s="1190"/>
      <c r="L1011" s="1190"/>
      <c r="O1011" s="1190"/>
      <c r="V1011" s="1189"/>
      <c r="X1011" s="1189"/>
      <c r="Z1011" s="1190"/>
      <c r="AB1011" s="1190"/>
      <c r="AH1011" s="701"/>
      <c r="AJ1011" s="701"/>
      <c r="BB1011" s="1190"/>
      <c r="BD1011" s="1190"/>
      <c r="BF1011" s="1190"/>
      <c r="BH1011" s="1190"/>
      <c r="BJ1011" s="1190"/>
      <c r="BN1011" s="206"/>
      <c r="BO1011" s="206"/>
      <c r="BP1011" s="206"/>
      <c r="BQ1011" s="195"/>
      <c r="BR1011" s="195"/>
      <c r="BS1011" s="195"/>
      <c r="BT1011" s="195"/>
      <c r="BU1011" s="195"/>
    </row>
    <row r="1012" ht="15.75" customHeight="1">
      <c r="A1012" s="1004"/>
      <c r="B1012" s="1004"/>
      <c r="C1012" s="1005"/>
      <c r="D1012" s="1005"/>
      <c r="E1012" s="977"/>
      <c r="F1012" s="1190"/>
      <c r="H1012" s="1190"/>
      <c r="J1012" s="1190"/>
      <c r="L1012" s="1190"/>
      <c r="O1012" s="1190"/>
      <c r="V1012" s="1189"/>
      <c r="X1012" s="1189"/>
      <c r="Z1012" s="1190"/>
      <c r="AB1012" s="1190"/>
      <c r="AH1012" s="701"/>
      <c r="AJ1012" s="701"/>
      <c r="BB1012" s="1190"/>
      <c r="BD1012" s="1190"/>
      <c r="BF1012" s="1190"/>
      <c r="BH1012" s="1190"/>
      <c r="BJ1012" s="1190"/>
      <c r="BN1012" s="206"/>
      <c r="BO1012" s="206"/>
      <c r="BP1012" s="206"/>
      <c r="BQ1012" s="195"/>
      <c r="BR1012" s="195"/>
      <c r="BS1012" s="195"/>
      <c r="BT1012" s="195"/>
      <c r="BU1012" s="195"/>
    </row>
    <row r="1013" ht="15.75" customHeight="1">
      <c r="A1013" s="1004"/>
      <c r="B1013" s="1004"/>
      <c r="C1013" s="1005"/>
      <c r="D1013" s="1005"/>
      <c r="E1013" s="977"/>
      <c r="F1013" s="1190"/>
      <c r="H1013" s="1190"/>
      <c r="J1013" s="1190"/>
      <c r="L1013" s="1190"/>
      <c r="O1013" s="1190"/>
      <c r="V1013" s="1189"/>
      <c r="X1013" s="1189"/>
      <c r="Z1013" s="1190"/>
      <c r="AB1013" s="1190"/>
      <c r="AH1013" s="701"/>
      <c r="AJ1013" s="701"/>
      <c r="BB1013" s="1190"/>
      <c r="BD1013" s="1190"/>
      <c r="BF1013" s="1190"/>
      <c r="BH1013" s="1190"/>
      <c r="BJ1013" s="1190"/>
      <c r="BN1013" s="206"/>
      <c r="BO1013" s="206"/>
      <c r="BP1013" s="206"/>
      <c r="BQ1013" s="195"/>
      <c r="BR1013" s="195"/>
      <c r="BS1013" s="195"/>
      <c r="BT1013" s="195"/>
      <c r="BU1013" s="195"/>
    </row>
    <row r="1014" ht="15.75" customHeight="1">
      <c r="A1014" s="1004"/>
      <c r="B1014" s="1004"/>
      <c r="C1014" s="1005"/>
      <c r="D1014" s="1005"/>
      <c r="E1014" s="977"/>
      <c r="F1014" s="1190"/>
      <c r="H1014" s="1190"/>
      <c r="J1014" s="1190"/>
      <c r="L1014" s="1190"/>
      <c r="O1014" s="1190"/>
      <c r="V1014" s="1189"/>
      <c r="X1014" s="1189"/>
      <c r="Z1014" s="1190"/>
      <c r="AB1014" s="1190"/>
      <c r="AH1014" s="701"/>
      <c r="AJ1014" s="701"/>
      <c r="BB1014" s="1190"/>
      <c r="BD1014" s="1190"/>
      <c r="BF1014" s="1190"/>
      <c r="BH1014" s="1190"/>
      <c r="BJ1014" s="1190"/>
      <c r="BN1014" s="206"/>
      <c r="BO1014" s="206"/>
      <c r="BP1014" s="206"/>
      <c r="BQ1014" s="195"/>
      <c r="BR1014" s="195"/>
      <c r="BS1014" s="195"/>
      <c r="BT1014" s="195"/>
      <c r="BU1014" s="195"/>
    </row>
    <row r="1015" ht="15.75" customHeight="1">
      <c r="A1015" s="1004"/>
      <c r="B1015" s="1004"/>
      <c r="C1015" s="1005"/>
      <c r="D1015" s="1005"/>
      <c r="E1015" s="977"/>
      <c r="F1015" s="1190"/>
      <c r="H1015" s="1190"/>
      <c r="J1015" s="1190"/>
      <c r="L1015" s="1190"/>
      <c r="O1015" s="1190"/>
      <c r="V1015" s="1189"/>
      <c r="X1015" s="1189"/>
      <c r="Z1015" s="1190"/>
      <c r="AB1015" s="1190"/>
      <c r="AH1015" s="701"/>
      <c r="AJ1015" s="701"/>
      <c r="BB1015" s="1190"/>
      <c r="BD1015" s="1190"/>
      <c r="BF1015" s="1190"/>
      <c r="BH1015" s="1190"/>
      <c r="BJ1015" s="1190"/>
      <c r="BN1015" s="206"/>
      <c r="BO1015" s="206"/>
      <c r="BP1015" s="206"/>
      <c r="BQ1015" s="195"/>
      <c r="BR1015" s="195"/>
      <c r="BS1015" s="195"/>
      <c r="BT1015" s="195"/>
      <c r="BU1015" s="195"/>
    </row>
    <row r="1016" ht="15.75" customHeight="1">
      <c r="A1016" s="1004"/>
      <c r="B1016" s="1004"/>
      <c r="C1016" s="1005"/>
      <c r="D1016" s="1005"/>
      <c r="E1016" s="977"/>
      <c r="F1016" s="1190"/>
      <c r="H1016" s="1190"/>
      <c r="J1016" s="1190"/>
      <c r="L1016" s="1190"/>
      <c r="O1016" s="1190"/>
      <c r="V1016" s="1189"/>
      <c r="X1016" s="1189"/>
      <c r="Z1016" s="1190"/>
      <c r="AB1016" s="1190"/>
      <c r="AH1016" s="701"/>
      <c r="AJ1016" s="701"/>
      <c r="BB1016" s="1190"/>
      <c r="BD1016" s="1190"/>
      <c r="BF1016" s="1190"/>
      <c r="BH1016" s="1190"/>
      <c r="BJ1016" s="1190"/>
      <c r="BN1016" s="206"/>
      <c r="BO1016" s="206"/>
      <c r="BP1016" s="206"/>
      <c r="BQ1016" s="195"/>
      <c r="BR1016" s="195"/>
      <c r="BS1016" s="195"/>
      <c r="BT1016" s="195"/>
      <c r="BU1016" s="195"/>
    </row>
    <row r="1017" ht="15.75" customHeight="1">
      <c r="A1017" s="1004"/>
      <c r="B1017" s="1004"/>
      <c r="C1017" s="1005"/>
      <c r="D1017" s="1005"/>
      <c r="E1017" s="977"/>
      <c r="F1017" s="1190"/>
      <c r="H1017" s="1190"/>
      <c r="J1017" s="1190"/>
      <c r="L1017" s="1190"/>
      <c r="O1017" s="1190"/>
      <c r="V1017" s="1189"/>
      <c r="X1017" s="1189"/>
      <c r="Z1017" s="1190"/>
      <c r="AB1017" s="1190"/>
      <c r="AH1017" s="701"/>
      <c r="AJ1017" s="701"/>
      <c r="BB1017" s="1190"/>
      <c r="BD1017" s="1190"/>
      <c r="BF1017" s="1190"/>
      <c r="BH1017" s="1190"/>
      <c r="BJ1017" s="1190"/>
      <c r="BN1017" s="206"/>
      <c r="BO1017" s="206"/>
      <c r="BP1017" s="206"/>
      <c r="BQ1017" s="195"/>
      <c r="BR1017" s="195"/>
      <c r="BS1017" s="195"/>
      <c r="BT1017" s="195"/>
      <c r="BU1017" s="195"/>
    </row>
    <row r="1018" ht="15.75" customHeight="1">
      <c r="A1018" s="1004"/>
      <c r="B1018" s="1004"/>
      <c r="C1018" s="1005"/>
      <c r="D1018" s="1005"/>
      <c r="E1018" s="977"/>
      <c r="F1018" s="1190"/>
      <c r="H1018" s="1190"/>
      <c r="J1018" s="1190"/>
      <c r="L1018" s="1190"/>
      <c r="O1018" s="1190"/>
      <c r="V1018" s="1189"/>
      <c r="X1018" s="1189"/>
      <c r="Z1018" s="1190"/>
      <c r="AB1018" s="1190"/>
      <c r="AH1018" s="701"/>
      <c r="AJ1018" s="701"/>
      <c r="BB1018" s="1190"/>
      <c r="BD1018" s="1190"/>
      <c r="BF1018" s="1190"/>
      <c r="BH1018" s="1190"/>
      <c r="BJ1018" s="1190"/>
      <c r="BN1018" s="206"/>
      <c r="BO1018" s="206"/>
      <c r="BP1018" s="206"/>
      <c r="BQ1018" s="195"/>
      <c r="BR1018" s="195"/>
      <c r="BS1018" s="195"/>
      <c r="BT1018" s="195"/>
      <c r="BU1018" s="195"/>
    </row>
    <row r="1019" ht="15.75" customHeight="1">
      <c r="A1019" s="1004"/>
      <c r="B1019" s="1004"/>
      <c r="C1019" s="1005"/>
      <c r="D1019" s="1005"/>
      <c r="E1019" s="977"/>
      <c r="F1019" s="1190"/>
      <c r="H1019" s="1190"/>
      <c r="J1019" s="1190"/>
      <c r="L1019" s="1190"/>
      <c r="O1019" s="1190"/>
      <c r="V1019" s="1189"/>
      <c r="X1019" s="1189"/>
      <c r="Z1019" s="1190"/>
      <c r="AB1019" s="1190"/>
      <c r="AH1019" s="701"/>
      <c r="AJ1019" s="701"/>
      <c r="BB1019" s="1190"/>
      <c r="BD1019" s="1190"/>
      <c r="BF1019" s="1190"/>
      <c r="BH1019" s="1190"/>
      <c r="BJ1019" s="1190"/>
      <c r="BN1019" s="206"/>
      <c r="BO1019" s="206"/>
      <c r="BP1019" s="206"/>
      <c r="BQ1019" s="195"/>
      <c r="BR1019" s="195"/>
      <c r="BS1019" s="195"/>
      <c r="BT1019" s="195"/>
      <c r="BU1019" s="195"/>
    </row>
    <row r="1020" ht="15.75" customHeight="1">
      <c r="A1020" s="1004"/>
      <c r="B1020" s="1004"/>
      <c r="C1020" s="1005"/>
      <c r="D1020" s="1005"/>
      <c r="E1020" s="977"/>
      <c r="F1020" s="1190"/>
      <c r="H1020" s="1190"/>
      <c r="J1020" s="1190"/>
      <c r="L1020" s="1190"/>
      <c r="O1020" s="1190"/>
      <c r="V1020" s="1189"/>
      <c r="X1020" s="1189"/>
      <c r="Z1020" s="1190"/>
      <c r="AB1020" s="1190"/>
      <c r="AH1020" s="701"/>
      <c r="AJ1020" s="701"/>
      <c r="BB1020" s="1190"/>
      <c r="BD1020" s="1190"/>
      <c r="BF1020" s="1190"/>
      <c r="BH1020" s="1190"/>
      <c r="BJ1020" s="1190"/>
      <c r="BN1020" s="206"/>
      <c r="BO1020" s="206"/>
      <c r="BP1020" s="206"/>
      <c r="BQ1020" s="195"/>
      <c r="BR1020" s="195"/>
      <c r="BS1020" s="195"/>
      <c r="BT1020" s="195"/>
      <c r="BU1020" s="195"/>
    </row>
    <row r="1021" ht="15.75" customHeight="1">
      <c r="A1021" s="1004"/>
      <c r="B1021" s="1004"/>
      <c r="C1021" s="1005"/>
      <c r="D1021" s="1005"/>
      <c r="E1021" s="977"/>
      <c r="F1021" s="1190"/>
      <c r="H1021" s="1190"/>
      <c r="J1021" s="1190"/>
      <c r="L1021" s="1190"/>
      <c r="O1021" s="1190"/>
      <c r="V1021" s="1189"/>
      <c r="X1021" s="1189"/>
      <c r="Z1021" s="1190"/>
      <c r="AB1021" s="1190"/>
      <c r="AH1021" s="701"/>
      <c r="AJ1021" s="701"/>
      <c r="BB1021" s="1190"/>
      <c r="BD1021" s="1190"/>
      <c r="BF1021" s="1190"/>
      <c r="BH1021" s="1190"/>
      <c r="BJ1021" s="1190"/>
      <c r="BN1021" s="206"/>
      <c r="BO1021" s="206"/>
      <c r="BP1021" s="206"/>
      <c r="BQ1021" s="195"/>
      <c r="BR1021" s="195"/>
      <c r="BS1021" s="195"/>
      <c r="BT1021" s="195"/>
      <c r="BU1021" s="195"/>
    </row>
    <row r="1022" ht="15.75" customHeight="1">
      <c r="A1022" s="1004"/>
      <c r="B1022" s="1004"/>
      <c r="C1022" s="1005"/>
      <c r="D1022" s="1005"/>
      <c r="E1022" s="977"/>
      <c r="F1022" s="1190"/>
      <c r="H1022" s="1190"/>
      <c r="J1022" s="1190"/>
      <c r="L1022" s="1190"/>
      <c r="O1022" s="1190"/>
      <c r="V1022" s="1189"/>
      <c r="X1022" s="1189"/>
      <c r="Z1022" s="1190"/>
      <c r="AB1022" s="1190"/>
      <c r="AH1022" s="701"/>
      <c r="AJ1022" s="701"/>
      <c r="BB1022" s="1190"/>
      <c r="BD1022" s="1190"/>
      <c r="BF1022" s="1190"/>
      <c r="BH1022" s="1190"/>
      <c r="BJ1022" s="1190"/>
      <c r="BN1022" s="206"/>
      <c r="BO1022" s="206"/>
      <c r="BP1022" s="206"/>
      <c r="BQ1022" s="195"/>
      <c r="BR1022" s="195"/>
      <c r="BS1022" s="195"/>
      <c r="BT1022" s="195"/>
      <c r="BU1022" s="195"/>
    </row>
    <row r="1023" ht="15.75" customHeight="1">
      <c r="A1023" s="1004"/>
      <c r="B1023" s="1004"/>
      <c r="C1023" s="1005"/>
      <c r="D1023" s="1005"/>
      <c r="E1023" s="977"/>
      <c r="F1023" s="1190"/>
      <c r="H1023" s="1190"/>
      <c r="J1023" s="1190"/>
      <c r="L1023" s="1190"/>
      <c r="O1023" s="1190"/>
      <c r="V1023" s="1189"/>
      <c r="X1023" s="1189"/>
      <c r="Z1023" s="1190"/>
      <c r="AB1023" s="1190"/>
      <c r="AH1023" s="701"/>
      <c r="AJ1023" s="701"/>
      <c r="BB1023" s="1190"/>
      <c r="BD1023" s="1190"/>
      <c r="BF1023" s="1190"/>
      <c r="BH1023" s="1190"/>
      <c r="BJ1023" s="1190"/>
      <c r="BN1023" s="206"/>
      <c r="BO1023" s="206"/>
      <c r="BP1023" s="206"/>
      <c r="BQ1023" s="195"/>
      <c r="BR1023" s="195"/>
      <c r="BS1023" s="195"/>
      <c r="BT1023" s="195"/>
      <c r="BU1023" s="195"/>
    </row>
    <row r="1024" ht="15.75" customHeight="1">
      <c r="A1024" s="1004"/>
      <c r="B1024" s="1004"/>
      <c r="C1024" s="1005"/>
      <c r="D1024" s="1005"/>
      <c r="E1024" s="977"/>
      <c r="F1024" s="1190"/>
      <c r="H1024" s="1190"/>
      <c r="J1024" s="1190"/>
      <c r="L1024" s="1190"/>
      <c r="O1024" s="1190"/>
      <c r="V1024" s="1189"/>
      <c r="X1024" s="1189"/>
      <c r="Z1024" s="1190"/>
      <c r="AB1024" s="1190"/>
      <c r="AH1024" s="701"/>
      <c r="AJ1024" s="701"/>
      <c r="BB1024" s="1190"/>
      <c r="BD1024" s="1190"/>
      <c r="BF1024" s="1190"/>
      <c r="BH1024" s="1190"/>
      <c r="BJ1024" s="1190"/>
      <c r="BN1024" s="206"/>
      <c r="BO1024" s="206"/>
      <c r="BP1024" s="206"/>
      <c r="BQ1024" s="195"/>
      <c r="BR1024" s="195"/>
      <c r="BS1024" s="195"/>
      <c r="BT1024" s="195"/>
      <c r="BU1024" s="195"/>
    </row>
    <row r="1025" ht="15.75" customHeight="1">
      <c r="A1025" s="1004"/>
      <c r="B1025" s="1004"/>
      <c r="C1025" s="1005"/>
      <c r="D1025" s="1005"/>
      <c r="E1025" s="977"/>
      <c r="F1025" s="1190"/>
      <c r="H1025" s="1190"/>
      <c r="J1025" s="1190"/>
      <c r="L1025" s="1190"/>
      <c r="O1025" s="1190"/>
      <c r="V1025" s="1189"/>
      <c r="X1025" s="1189"/>
      <c r="Z1025" s="1190"/>
      <c r="AB1025" s="1190"/>
      <c r="AH1025" s="701"/>
      <c r="AJ1025" s="701"/>
      <c r="BB1025" s="1190"/>
      <c r="BD1025" s="1190"/>
      <c r="BF1025" s="1190"/>
      <c r="BH1025" s="1190"/>
      <c r="BJ1025" s="1190"/>
      <c r="BN1025" s="206"/>
      <c r="BO1025" s="206"/>
      <c r="BP1025" s="206"/>
      <c r="BQ1025" s="195"/>
      <c r="BR1025" s="195"/>
      <c r="BS1025" s="195"/>
      <c r="BT1025" s="195"/>
      <c r="BU1025" s="195"/>
    </row>
    <row r="1026" ht="15.75" customHeight="1">
      <c r="A1026" s="1004"/>
      <c r="B1026" s="1004"/>
      <c r="C1026" s="1005"/>
      <c r="D1026" s="1005"/>
      <c r="E1026" s="977"/>
      <c r="F1026" s="1190"/>
      <c r="H1026" s="1190"/>
      <c r="J1026" s="1190"/>
      <c r="L1026" s="1190"/>
      <c r="O1026" s="1190"/>
      <c r="V1026" s="1189"/>
      <c r="X1026" s="1189"/>
      <c r="Z1026" s="1190"/>
      <c r="AB1026" s="1190"/>
      <c r="AH1026" s="701"/>
      <c r="AJ1026" s="701"/>
      <c r="BB1026" s="1190"/>
      <c r="BD1026" s="1190"/>
      <c r="BF1026" s="1190"/>
      <c r="BH1026" s="1190"/>
      <c r="BJ1026" s="1190"/>
      <c r="BN1026" s="206"/>
      <c r="BO1026" s="206"/>
      <c r="BP1026" s="206"/>
      <c r="BQ1026" s="195"/>
      <c r="BR1026" s="195"/>
      <c r="BS1026" s="195"/>
      <c r="BT1026" s="195"/>
      <c r="BU1026" s="195"/>
    </row>
    <row r="1027" ht="15.75" customHeight="1">
      <c r="A1027" s="1004"/>
      <c r="B1027" s="1004"/>
      <c r="C1027" s="1005"/>
      <c r="D1027" s="1005"/>
      <c r="E1027" s="977"/>
      <c r="F1027" s="1190"/>
      <c r="H1027" s="1190"/>
      <c r="J1027" s="1190"/>
      <c r="L1027" s="1190"/>
      <c r="O1027" s="1190"/>
      <c r="V1027" s="1189"/>
      <c r="X1027" s="1189"/>
      <c r="Z1027" s="1190"/>
      <c r="AB1027" s="1190"/>
      <c r="AH1027" s="701"/>
      <c r="AJ1027" s="701"/>
      <c r="BB1027" s="1190"/>
      <c r="BD1027" s="1190"/>
      <c r="BF1027" s="1190"/>
      <c r="BH1027" s="1190"/>
      <c r="BJ1027" s="1190"/>
      <c r="BN1027" s="206"/>
      <c r="BO1027" s="206"/>
      <c r="BP1027" s="206"/>
      <c r="BQ1027" s="195"/>
      <c r="BR1027" s="195"/>
      <c r="BS1027" s="195"/>
      <c r="BT1027" s="195"/>
      <c r="BU1027" s="195"/>
    </row>
    <row r="1028" ht="15.75" customHeight="1">
      <c r="A1028" s="1004"/>
      <c r="B1028" s="1004"/>
      <c r="C1028" s="1005"/>
      <c r="D1028" s="1005"/>
      <c r="E1028" s="977"/>
      <c r="F1028" s="1190"/>
      <c r="H1028" s="1190"/>
      <c r="J1028" s="1190"/>
      <c r="L1028" s="1190"/>
      <c r="O1028" s="1190"/>
      <c r="V1028" s="1189"/>
      <c r="X1028" s="1189"/>
      <c r="Z1028" s="1190"/>
      <c r="AB1028" s="1190"/>
      <c r="AH1028" s="701"/>
      <c r="AJ1028" s="701"/>
      <c r="BB1028" s="1190"/>
      <c r="BD1028" s="1190"/>
      <c r="BF1028" s="1190"/>
      <c r="BH1028" s="1190"/>
      <c r="BJ1028" s="1190"/>
      <c r="BN1028" s="206"/>
      <c r="BO1028" s="206"/>
      <c r="BP1028" s="206"/>
      <c r="BQ1028" s="195"/>
      <c r="BR1028" s="195"/>
      <c r="BS1028" s="195"/>
      <c r="BT1028" s="195"/>
      <c r="BU1028" s="195"/>
    </row>
    <row r="1029" ht="15.75" customHeight="1">
      <c r="A1029" s="1004"/>
      <c r="B1029" s="1004"/>
      <c r="C1029" s="1005"/>
      <c r="D1029" s="1005"/>
      <c r="E1029" s="977"/>
      <c r="F1029" s="1190"/>
      <c r="H1029" s="1190"/>
      <c r="J1029" s="1190"/>
      <c r="L1029" s="1190"/>
      <c r="O1029" s="1190"/>
      <c r="V1029" s="1189"/>
      <c r="X1029" s="1189"/>
      <c r="Z1029" s="1190"/>
      <c r="AB1029" s="1190"/>
      <c r="AH1029" s="701"/>
      <c r="AJ1029" s="701"/>
      <c r="BB1029" s="1190"/>
      <c r="BD1029" s="1190"/>
      <c r="BF1029" s="1190"/>
      <c r="BH1029" s="1190"/>
      <c r="BJ1029" s="1190"/>
      <c r="BN1029" s="206"/>
      <c r="BO1029" s="206"/>
      <c r="BP1029" s="206"/>
      <c r="BQ1029" s="195"/>
      <c r="BR1029" s="195"/>
      <c r="BS1029" s="195"/>
      <c r="BT1029" s="195"/>
      <c r="BU1029" s="195"/>
    </row>
    <row r="1030" ht="15.75" customHeight="1">
      <c r="A1030" s="1004"/>
      <c r="B1030" s="1004"/>
      <c r="C1030" s="1005"/>
      <c r="D1030" s="1005"/>
      <c r="E1030" s="977"/>
      <c r="F1030" s="1190"/>
      <c r="H1030" s="1190"/>
      <c r="J1030" s="1190"/>
      <c r="L1030" s="1190"/>
      <c r="O1030" s="1190"/>
      <c r="V1030" s="1189"/>
      <c r="X1030" s="1189"/>
      <c r="Z1030" s="1190"/>
      <c r="AB1030" s="1190"/>
      <c r="AH1030" s="701"/>
      <c r="AJ1030" s="701"/>
      <c r="BB1030" s="1190"/>
      <c r="BD1030" s="1190"/>
      <c r="BF1030" s="1190"/>
      <c r="BH1030" s="1190"/>
      <c r="BJ1030" s="1190"/>
      <c r="BN1030" s="206"/>
      <c r="BO1030" s="206"/>
      <c r="BP1030" s="206"/>
      <c r="BQ1030" s="195"/>
      <c r="BR1030" s="195"/>
      <c r="BS1030" s="195"/>
      <c r="BT1030" s="195"/>
      <c r="BU1030" s="195"/>
    </row>
    <row r="1031" ht="15.75" customHeight="1">
      <c r="A1031" s="1004"/>
      <c r="B1031" s="1004"/>
      <c r="C1031" s="1005"/>
      <c r="D1031" s="1005"/>
      <c r="E1031" s="977"/>
      <c r="F1031" s="1190"/>
      <c r="H1031" s="1190"/>
      <c r="J1031" s="1190"/>
      <c r="L1031" s="1190"/>
      <c r="O1031" s="1190"/>
      <c r="V1031" s="1189"/>
      <c r="X1031" s="1189"/>
      <c r="Z1031" s="1190"/>
      <c r="AB1031" s="1190"/>
      <c r="AH1031" s="701"/>
      <c r="AJ1031" s="701"/>
      <c r="BB1031" s="1190"/>
      <c r="BD1031" s="1190"/>
      <c r="BF1031" s="1190"/>
      <c r="BH1031" s="1190"/>
      <c r="BJ1031" s="1190"/>
      <c r="BN1031" s="206"/>
      <c r="BO1031" s="206"/>
      <c r="BP1031" s="206"/>
      <c r="BQ1031" s="195"/>
      <c r="BR1031" s="195"/>
      <c r="BS1031" s="195"/>
      <c r="BT1031" s="195"/>
      <c r="BU1031" s="195"/>
    </row>
    <row r="1032" ht="15.75" customHeight="1">
      <c r="A1032" s="1004"/>
      <c r="B1032" s="1004"/>
      <c r="C1032" s="1005"/>
      <c r="D1032" s="1005"/>
      <c r="E1032" s="977"/>
      <c r="F1032" s="1190"/>
      <c r="H1032" s="1190"/>
      <c r="J1032" s="1190"/>
      <c r="L1032" s="1190"/>
      <c r="O1032" s="1190"/>
      <c r="V1032" s="1189"/>
      <c r="X1032" s="1189"/>
      <c r="Z1032" s="1190"/>
      <c r="AB1032" s="1190"/>
      <c r="AH1032" s="701"/>
      <c r="AJ1032" s="701"/>
      <c r="BB1032" s="1190"/>
      <c r="BD1032" s="1190"/>
      <c r="BF1032" s="1190"/>
      <c r="BH1032" s="1190"/>
      <c r="BJ1032" s="1190"/>
      <c r="BN1032" s="206"/>
      <c r="BO1032" s="206"/>
      <c r="BP1032" s="206"/>
      <c r="BQ1032" s="195"/>
      <c r="BR1032" s="195"/>
      <c r="BS1032" s="195"/>
      <c r="BT1032" s="195"/>
      <c r="BU1032" s="195"/>
    </row>
    <row r="1033" ht="15.75" customHeight="1">
      <c r="A1033" s="1004"/>
      <c r="B1033" s="1004"/>
      <c r="C1033" s="1005"/>
      <c r="D1033" s="1005"/>
      <c r="E1033" s="977"/>
      <c r="F1033" s="1190"/>
      <c r="H1033" s="1190"/>
      <c r="J1033" s="1190"/>
      <c r="L1033" s="1190"/>
      <c r="O1033" s="1190"/>
      <c r="V1033" s="1189"/>
      <c r="X1033" s="1189"/>
      <c r="Z1033" s="1190"/>
      <c r="AB1033" s="1190"/>
      <c r="AH1033" s="701"/>
      <c r="AJ1033" s="701"/>
      <c r="BB1033" s="1190"/>
      <c r="BD1033" s="1190"/>
      <c r="BF1033" s="1190"/>
      <c r="BH1033" s="1190"/>
      <c r="BJ1033" s="1190"/>
      <c r="BN1033" s="206"/>
      <c r="BO1033" s="206"/>
      <c r="BP1033" s="206"/>
      <c r="BQ1033" s="195"/>
      <c r="BR1033" s="195"/>
      <c r="BS1033" s="195"/>
      <c r="BT1033" s="195"/>
      <c r="BU1033" s="195"/>
    </row>
    <row r="1034" ht="15.75" customHeight="1">
      <c r="A1034" s="1004"/>
      <c r="B1034" s="1004"/>
      <c r="C1034" s="1005"/>
      <c r="D1034" s="1005"/>
      <c r="E1034" s="977"/>
      <c r="F1034" s="1190"/>
      <c r="H1034" s="1190"/>
      <c r="J1034" s="1190"/>
      <c r="L1034" s="1190"/>
      <c r="O1034" s="1190"/>
      <c r="V1034" s="1189"/>
      <c r="X1034" s="1189"/>
      <c r="Z1034" s="1190"/>
      <c r="AB1034" s="1190"/>
      <c r="AH1034" s="701"/>
      <c r="AJ1034" s="701"/>
      <c r="BB1034" s="1190"/>
      <c r="BD1034" s="1190"/>
      <c r="BF1034" s="1190"/>
      <c r="BH1034" s="1190"/>
      <c r="BJ1034" s="1190"/>
      <c r="BN1034" s="206"/>
      <c r="BO1034" s="206"/>
      <c r="BP1034" s="206"/>
      <c r="BQ1034" s="195"/>
      <c r="BR1034" s="195"/>
      <c r="BS1034" s="195"/>
      <c r="BT1034" s="195"/>
      <c r="BU1034" s="195"/>
    </row>
    <row r="1035" ht="15.75" customHeight="1">
      <c r="A1035" s="1004"/>
      <c r="B1035" s="1004"/>
      <c r="C1035" s="1005"/>
      <c r="D1035" s="1005"/>
      <c r="E1035" s="977"/>
      <c r="F1035" s="1190"/>
      <c r="H1035" s="1190"/>
      <c r="J1035" s="1190"/>
      <c r="L1035" s="1190"/>
      <c r="O1035" s="1190"/>
      <c r="V1035" s="1189"/>
      <c r="X1035" s="1189"/>
      <c r="Z1035" s="1190"/>
      <c r="AB1035" s="1190"/>
      <c r="AH1035" s="701"/>
      <c r="AJ1035" s="701"/>
      <c r="BB1035" s="1190"/>
      <c r="BD1035" s="1190"/>
      <c r="BF1035" s="1190"/>
      <c r="BH1035" s="1190"/>
      <c r="BJ1035" s="1190"/>
      <c r="BN1035" s="206"/>
      <c r="BO1035" s="206"/>
      <c r="BP1035" s="206"/>
      <c r="BQ1035" s="195"/>
      <c r="BR1035" s="195"/>
      <c r="BS1035" s="195"/>
      <c r="BT1035" s="195"/>
      <c r="BU1035" s="195"/>
    </row>
    <row r="1036" ht="15.75" customHeight="1">
      <c r="A1036" s="1004"/>
      <c r="B1036" s="1004"/>
      <c r="C1036" s="1005"/>
      <c r="D1036" s="1005"/>
      <c r="E1036" s="977"/>
      <c r="F1036" s="1190"/>
      <c r="H1036" s="1190"/>
      <c r="J1036" s="1190"/>
      <c r="L1036" s="1190"/>
      <c r="O1036" s="1190"/>
      <c r="V1036" s="1189"/>
      <c r="X1036" s="1189"/>
      <c r="Z1036" s="1190"/>
      <c r="AB1036" s="1190"/>
      <c r="AH1036" s="701"/>
      <c r="AJ1036" s="701"/>
      <c r="BB1036" s="1190"/>
      <c r="BD1036" s="1190"/>
      <c r="BF1036" s="1190"/>
      <c r="BH1036" s="1190"/>
      <c r="BJ1036" s="1190"/>
      <c r="BN1036" s="206"/>
      <c r="BO1036" s="206"/>
      <c r="BP1036" s="206"/>
      <c r="BQ1036" s="195"/>
      <c r="BR1036" s="195"/>
      <c r="BS1036" s="195"/>
      <c r="BT1036" s="195"/>
      <c r="BU1036" s="195"/>
    </row>
    <row r="1037" ht="15.75" customHeight="1">
      <c r="A1037" s="1004"/>
      <c r="B1037" s="1004"/>
      <c r="C1037" s="1005"/>
      <c r="D1037" s="1005"/>
      <c r="E1037" s="977"/>
      <c r="F1037" s="1190"/>
      <c r="H1037" s="1190"/>
      <c r="J1037" s="1190"/>
      <c r="L1037" s="1190"/>
      <c r="O1037" s="1190"/>
      <c r="V1037" s="1189"/>
      <c r="X1037" s="1189"/>
      <c r="Z1037" s="1190"/>
      <c r="AB1037" s="1190"/>
      <c r="AH1037" s="701"/>
      <c r="AJ1037" s="701"/>
      <c r="BB1037" s="1190"/>
      <c r="BD1037" s="1190"/>
      <c r="BF1037" s="1190"/>
      <c r="BH1037" s="1190"/>
      <c r="BJ1037" s="1190"/>
      <c r="BN1037" s="206"/>
      <c r="BO1037" s="206"/>
      <c r="BP1037" s="206"/>
      <c r="BQ1037" s="195"/>
      <c r="BR1037" s="195"/>
      <c r="BS1037" s="195"/>
      <c r="BT1037" s="195"/>
      <c r="BU1037" s="195"/>
    </row>
    <row r="1038" ht="15.75" customHeight="1">
      <c r="A1038" s="1004"/>
      <c r="B1038" s="1004"/>
      <c r="C1038" s="1005"/>
      <c r="D1038" s="1005"/>
      <c r="E1038" s="977"/>
      <c r="F1038" s="1190"/>
      <c r="H1038" s="1190"/>
      <c r="J1038" s="1190"/>
      <c r="L1038" s="1190"/>
      <c r="O1038" s="1190"/>
      <c r="V1038" s="1189"/>
      <c r="X1038" s="1189"/>
      <c r="Z1038" s="1190"/>
      <c r="AB1038" s="1190"/>
      <c r="AH1038" s="701"/>
      <c r="AJ1038" s="701"/>
      <c r="BB1038" s="1190"/>
      <c r="BD1038" s="1190"/>
      <c r="BF1038" s="1190"/>
      <c r="BH1038" s="1190"/>
      <c r="BJ1038" s="1190"/>
      <c r="BN1038" s="206"/>
      <c r="BO1038" s="206"/>
      <c r="BP1038" s="206"/>
      <c r="BQ1038" s="195"/>
      <c r="BR1038" s="195"/>
      <c r="BS1038" s="195"/>
      <c r="BT1038" s="195"/>
      <c r="BU1038" s="195"/>
    </row>
    <row r="1039" ht="15.75" customHeight="1">
      <c r="A1039" s="1004"/>
      <c r="B1039" s="1004"/>
      <c r="C1039" s="1005"/>
      <c r="D1039" s="1005"/>
      <c r="E1039" s="977"/>
      <c r="F1039" s="1190"/>
      <c r="H1039" s="1190"/>
      <c r="J1039" s="1190"/>
      <c r="L1039" s="1190"/>
      <c r="O1039" s="1190"/>
      <c r="V1039" s="1189"/>
      <c r="X1039" s="1189"/>
      <c r="Z1039" s="1190"/>
      <c r="AB1039" s="1190"/>
      <c r="AH1039" s="701"/>
      <c r="AJ1039" s="701"/>
      <c r="BB1039" s="1190"/>
      <c r="BD1039" s="1190"/>
      <c r="BF1039" s="1190"/>
      <c r="BH1039" s="1190"/>
      <c r="BJ1039" s="1190"/>
      <c r="BN1039" s="206"/>
      <c r="BO1039" s="206"/>
      <c r="BP1039" s="206"/>
      <c r="BQ1039" s="195"/>
      <c r="BR1039" s="195"/>
      <c r="BS1039" s="195"/>
      <c r="BT1039" s="195"/>
      <c r="BU1039" s="195"/>
    </row>
    <row r="1040" ht="15.75" customHeight="1">
      <c r="A1040" s="1004"/>
      <c r="B1040" s="1004"/>
      <c r="C1040" s="1005"/>
      <c r="D1040" s="1005"/>
      <c r="E1040" s="977"/>
      <c r="F1040" s="1190"/>
      <c r="H1040" s="1190"/>
      <c r="J1040" s="1190"/>
      <c r="L1040" s="1190"/>
      <c r="O1040" s="1190"/>
      <c r="V1040" s="1189"/>
      <c r="X1040" s="1189"/>
      <c r="Z1040" s="1190"/>
      <c r="AB1040" s="1190"/>
      <c r="AH1040" s="701"/>
      <c r="AJ1040" s="701"/>
      <c r="BB1040" s="1190"/>
      <c r="BD1040" s="1190"/>
      <c r="BF1040" s="1190"/>
      <c r="BH1040" s="1190"/>
      <c r="BJ1040" s="1190"/>
      <c r="BN1040" s="206"/>
      <c r="BO1040" s="206"/>
      <c r="BP1040" s="206"/>
      <c r="BQ1040" s="195"/>
      <c r="BR1040" s="195"/>
      <c r="BS1040" s="195"/>
      <c r="BT1040" s="195"/>
      <c r="BU1040" s="195"/>
    </row>
    <row r="1041" ht="15.75" customHeight="1">
      <c r="A1041" s="1004"/>
      <c r="B1041" s="1004"/>
      <c r="C1041" s="1005"/>
      <c r="D1041" s="1005"/>
      <c r="E1041" s="977"/>
      <c r="F1041" s="1190"/>
      <c r="H1041" s="1190"/>
      <c r="J1041" s="1190"/>
      <c r="L1041" s="1190"/>
      <c r="O1041" s="1190"/>
      <c r="V1041" s="1189"/>
      <c r="X1041" s="1189"/>
      <c r="Z1041" s="1190"/>
      <c r="AB1041" s="1190"/>
      <c r="AH1041" s="701"/>
      <c r="AJ1041" s="701"/>
      <c r="BB1041" s="1190"/>
      <c r="BD1041" s="1190"/>
      <c r="BF1041" s="1190"/>
      <c r="BH1041" s="1190"/>
      <c r="BJ1041" s="1190"/>
      <c r="BN1041" s="206"/>
      <c r="BO1041" s="206"/>
      <c r="BP1041" s="206"/>
      <c r="BQ1041" s="195"/>
      <c r="BR1041" s="195"/>
      <c r="BS1041" s="195"/>
      <c r="BT1041" s="195"/>
      <c r="BU1041" s="195"/>
    </row>
    <row r="1042" ht="15.75" customHeight="1">
      <c r="A1042" s="1004"/>
      <c r="B1042" s="1004"/>
      <c r="C1042" s="1005"/>
      <c r="D1042" s="1005"/>
      <c r="E1042" s="977"/>
      <c r="F1042" s="1190"/>
      <c r="H1042" s="1190"/>
      <c r="J1042" s="1190"/>
      <c r="L1042" s="1190"/>
      <c r="O1042" s="1190"/>
      <c r="V1042" s="1189"/>
      <c r="X1042" s="1189"/>
      <c r="Z1042" s="1190"/>
      <c r="AB1042" s="1190"/>
      <c r="AH1042" s="701"/>
      <c r="AJ1042" s="701"/>
      <c r="BB1042" s="1190"/>
      <c r="BD1042" s="1190"/>
      <c r="BF1042" s="1190"/>
      <c r="BH1042" s="1190"/>
      <c r="BJ1042" s="1190"/>
      <c r="BN1042" s="206"/>
      <c r="BO1042" s="206"/>
      <c r="BP1042" s="206"/>
      <c r="BQ1042" s="195"/>
      <c r="BR1042" s="195"/>
      <c r="BS1042" s="195"/>
      <c r="BT1042" s="195"/>
      <c r="BU1042" s="195"/>
    </row>
    <row r="1043" ht="15.75" customHeight="1">
      <c r="A1043" s="1004"/>
      <c r="B1043" s="1004"/>
      <c r="C1043" s="1005"/>
      <c r="D1043" s="1005"/>
      <c r="E1043" s="977"/>
      <c r="F1043" s="1190"/>
      <c r="H1043" s="1190"/>
      <c r="J1043" s="1190"/>
      <c r="L1043" s="1190"/>
      <c r="O1043" s="1190"/>
      <c r="V1043" s="1189"/>
      <c r="X1043" s="1189"/>
      <c r="Z1043" s="1190"/>
      <c r="AB1043" s="1190"/>
      <c r="AH1043" s="701"/>
      <c r="AJ1043" s="701"/>
      <c r="BB1043" s="1190"/>
      <c r="BD1043" s="1190"/>
      <c r="BF1043" s="1190"/>
      <c r="BH1043" s="1190"/>
      <c r="BJ1043" s="1190"/>
      <c r="BN1043" s="206"/>
      <c r="BO1043" s="206"/>
      <c r="BP1043" s="206"/>
      <c r="BQ1043" s="195"/>
      <c r="BR1043" s="195"/>
      <c r="BS1043" s="195"/>
      <c r="BT1043" s="195"/>
      <c r="BU1043" s="195"/>
    </row>
    <row r="1044" ht="15.75" customHeight="1">
      <c r="A1044" s="1004"/>
      <c r="B1044" s="1004"/>
      <c r="C1044" s="1005"/>
      <c r="D1044" s="1005"/>
      <c r="E1044" s="977"/>
      <c r="F1044" s="1190"/>
      <c r="H1044" s="1190"/>
      <c r="J1044" s="1190"/>
      <c r="L1044" s="1190"/>
      <c r="O1044" s="1190"/>
      <c r="V1044" s="1189"/>
      <c r="X1044" s="1189"/>
      <c r="Z1044" s="1190"/>
      <c r="AB1044" s="1190"/>
      <c r="AH1044" s="701"/>
      <c r="AJ1044" s="701"/>
      <c r="BB1044" s="1190"/>
      <c r="BD1044" s="1190"/>
      <c r="BF1044" s="1190"/>
      <c r="BH1044" s="1190"/>
      <c r="BJ1044" s="1190"/>
      <c r="BN1044" s="206"/>
      <c r="BO1044" s="206"/>
      <c r="BP1044" s="206"/>
      <c r="BQ1044" s="195"/>
      <c r="BR1044" s="195"/>
      <c r="BS1044" s="195"/>
      <c r="BT1044" s="195"/>
      <c r="BU1044" s="195"/>
    </row>
    <row r="1045" ht="15.75" customHeight="1">
      <c r="A1045" s="1004"/>
      <c r="B1045" s="1004"/>
      <c r="C1045" s="1005"/>
      <c r="D1045" s="1005"/>
      <c r="E1045" s="977"/>
      <c r="F1045" s="1190"/>
      <c r="H1045" s="1190"/>
      <c r="J1045" s="1190"/>
      <c r="L1045" s="1190"/>
      <c r="O1045" s="1190"/>
      <c r="V1045" s="1189"/>
      <c r="X1045" s="1189"/>
      <c r="Z1045" s="1190"/>
      <c r="AB1045" s="1190"/>
      <c r="AH1045" s="701"/>
      <c r="AJ1045" s="701"/>
      <c r="BB1045" s="1190"/>
      <c r="BD1045" s="1190"/>
      <c r="BF1045" s="1190"/>
      <c r="BH1045" s="1190"/>
      <c r="BJ1045" s="1190"/>
      <c r="BN1045" s="206"/>
      <c r="BO1045" s="206"/>
      <c r="BP1045" s="206"/>
      <c r="BQ1045" s="195"/>
      <c r="BR1045" s="195"/>
      <c r="BS1045" s="195"/>
      <c r="BT1045" s="195"/>
      <c r="BU1045" s="195"/>
    </row>
    <row r="1046" ht="15.75" customHeight="1">
      <c r="A1046" s="1004"/>
      <c r="B1046" s="1004"/>
      <c r="C1046" s="1005"/>
      <c r="D1046" s="1005"/>
      <c r="E1046" s="977"/>
      <c r="F1046" s="1190"/>
      <c r="H1046" s="1190"/>
      <c r="J1046" s="1190"/>
      <c r="L1046" s="1190"/>
      <c r="O1046" s="1190"/>
      <c r="V1046" s="1189"/>
      <c r="X1046" s="1189"/>
      <c r="Z1046" s="1190"/>
      <c r="AB1046" s="1190"/>
      <c r="AH1046" s="701"/>
      <c r="AJ1046" s="701"/>
      <c r="BB1046" s="1190"/>
      <c r="BD1046" s="1190"/>
      <c r="BF1046" s="1190"/>
      <c r="BH1046" s="1190"/>
      <c r="BJ1046" s="1190"/>
      <c r="BN1046" s="206"/>
      <c r="BO1046" s="206"/>
      <c r="BP1046" s="206"/>
      <c r="BQ1046" s="195"/>
      <c r="BR1046" s="195"/>
      <c r="BS1046" s="195"/>
      <c r="BT1046" s="195"/>
      <c r="BU1046" s="195"/>
    </row>
    <row r="1047" ht="15.75" customHeight="1">
      <c r="A1047" s="1004"/>
      <c r="B1047" s="1004"/>
      <c r="C1047" s="1005"/>
      <c r="D1047" s="1005"/>
      <c r="E1047" s="977"/>
      <c r="F1047" s="1190"/>
      <c r="H1047" s="1190"/>
      <c r="J1047" s="1190"/>
      <c r="L1047" s="1190"/>
      <c r="O1047" s="1190"/>
      <c r="V1047" s="1189"/>
      <c r="X1047" s="1189"/>
      <c r="Z1047" s="1190"/>
      <c r="AB1047" s="1190"/>
      <c r="AH1047" s="701"/>
      <c r="AJ1047" s="701"/>
      <c r="BB1047" s="1190"/>
      <c r="BD1047" s="1190"/>
      <c r="BF1047" s="1190"/>
      <c r="BH1047" s="1190"/>
      <c r="BJ1047" s="1190"/>
      <c r="BN1047" s="206"/>
      <c r="BO1047" s="206"/>
      <c r="BP1047" s="206"/>
      <c r="BQ1047" s="195"/>
      <c r="BR1047" s="195"/>
      <c r="BS1047" s="195"/>
      <c r="BT1047" s="195"/>
      <c r="BU1047" s="195"/>
    </row>
    <row r="1048" ht="15.75" customHeight="1">
      <c r="A1048" s="1004"/>
      <c r="B1048" s="1004"/>
      <c r="C1048" s="1005"/>
      <c r="D1048" s="1005"/>
      <c r="E1048" s="977"/>
      <c r="F1048" s="1190"/>
      <c r="H1048" s="1190"/>
      <c r="J1048" s="1190"/>
      <c r="L1048" s="1190"/>
      <c r="O1048" s="1190"/>
      <c r="V1048" s="1189"/>
      <c r="X1048" s="1189"/>
      <c r="Z1048" s="1190"/>
      <c r="AB1048" s="1190"/>
      <c r="AH1048" s="701"/>
      <c r="AJ1048" s="701"/>
      <c r="BB1048" s="1190"/>
      <c r="BD1048" s="1190"/>
      <c r="BF1048" s="1190"/>
      <c r="BH1048" s="1190"/>
      <c r="BJ1048" s="1190"/>
      <c r="BN1048" s="206"/>
      <c r="BO1048" s="206"/>
      <c r="BP1048" s="206"/>
      <c r="BQ1048" s="195"/>
      <c r="BR1048" s="195"/>
      <c r="BS1048" s="195"/>
      <c r="BT1048" s="195"/>
      <c r="BU1048" s="195"/>
    </row>
    <row r="1049" ht="15.75" customHeight="1">
      <c r="A1049" s="1004"/>
      <c r="B1049" s="1004"/>
      <c r="C1049" s="1005"/>
      <c r="D1049" s="1005"/>
      <c r="E1049" s="977"/>
      <c r="F1049" s="1190"/>
      <c r="H1049" s="1190"/>
      <c r="J1049" s="1190"/>
      <c r="L1049" s="1190"/>
      <c r="O1049" s="1190"/>
      <c r="V1049" s="1189"/>
      <c r="X1049" s="1189"/>
      <c r="Z1049" s="1190"/>
      <c r="AB1049" s="1190"/>
      <c r="AH1049" s="701"/>
      <c r="AJ1049" s="701"/>
      <c r="BB1049" s="1190"/>
      <c r="BD1049" s="1190"/>
      <c r="BF1049" s="1190"/>
      <c r="BH1049" s="1190"/>
      <c r="BJ1049" s="1190"/>
      <c r="BN1049" s="206"/>
      <c r="BO1049" s="206"/>
      <c r="BP1049" s="206"/>
      <c r="BQ1049" s="195"/>
      <c r="BR1049" s="195"/>
      <c r="BS1049" s="195"/>
      <c r="BT1049" s="195"/>
      <c r="BU1049" s="195"/>
    </row>
    <row r="1050" ht="15.75" customHeight="1">
      <c r="A1050" s="1004"/>
      <c r="B1050" s="1004"/>
      <c r="C1050" s="1005"/>
      <c r="D1050" s="1005"/>
      <c r="E1050" s="977"/>
      <c r="F1050" s="1190"/>
      <c r="H1050" s="1190"/>
      <c r="J1050" s="1190"/>
      <c r="L1050" s="1190"/>
      <c r="O1050" s="1190"/>
      <c r="V1050" s="1189"/>
      <c r="X1050" s="1189"/>
      <c r="Z1050" s="1190"/>
      <c r="AB1050" s="1190"/>
      <c r="AH1050" s="701"/>
      <c r="AJ1050" s="701"/>
      <c r="BB1050" s="1190"/>
      <c r="BD1050" s="1190"/>
      <c r="BF1050" s="1190"/>
      <c r="BH1050" s="1190"/>
      <c r="BJ1050" s="1190"/>
      <c r="BN1050" s="206"/>
      <c r="BO1050" s="206"/>
      <c r="BP1050" s="206"/>
      <c r="BQ1050" s="195"/>
      <c r="BR1050" s="195"/>
      <c r="BS1050" s="195"/>
      <c r="BT1050" s="195"/>
      <c r="BU1050" s="195"/>
    </row>
    <row r="1051" ht="15.75" customHeight="1">
      <c r="A1051" s="1004"/>
      <c r="B1051" s="1004"/>
      <c r="C1051" s="1005"/>
      <c r="D1051" s="1005"/>
      <c r="E1051" s="977"/>
      <c r="F1051" s="1190"/>
      <c r="H1051" s="1190"/>
      <c r="J1051" s="1190"/>
      <c r="L1051" s="1190"/>
      <c r="O1051" s="1190"/>
      <c r="V1051" s="1189"/>
      <c r="X1051" s="1189"/>
      <c r="Z1051" s="1190"/>
      <c r="AB1051" s="1190"/>
      <c r="AH1051" s="701"/>
      <c r="AJ1051" s="701"/>
      <c r="BB1051" s="1190"/>
      <c r="BD1051" s="1190"/>
      <c r="BF1051" s="1190"/>
      <c r="BH1051" s="1190"/>
      <c r="BJ1051" s="1190"/>
      <c r="BN1051" s="206"/>
      <c r="BO1051" s="206"/>
      <c r="BP1051" s="206"/>
      <c r="BQ1051" s="195"/>
      <c r="BR1051" s="195"/>
      <c r="BS1051" s="195"/>
      <c r="BT1051" s="195"/>
      <c r="BU1051" s="195"/>
    </row>
    <row r="1052" ht="15.75" customHeight="1">
      <c r="A1052" s="1004"/>
      <c r="B1052" s="1004"/>
      <c r="C1052" s="1005"/>
      <c r="D1052" s="1005"/>
      <c r="E1052" s="977"/>
      <c r="F1052" s="1190"/>
      <c r="H1052" s="1190"/>
      <c r="J1052" s="1190"/>
      <c r="L1052" s="1190"/>
      <c r="O1052" s="1190"/>
      <c r="V1052" s="1189"/>
      <c r="X1052" s="1189"/>
      <c r="Z1052" s="1190"/>
      <c r="AB1052" s="1190"/>
      <c r="AH1052" s="701"/>
      <c r="AJ1052" s="701"/>
      <c r="BB1052" s="1190"/>
      <c r="BD1052" s="1190"/>
      <c r="BF1052" s="1190"/>
      <c r="BH1052" s="1190"/>
      <c r="BJ1052" s="1190"/>
      <c r="BN1052" s="206"/>
      <c r="BO1052" s="206"/>
      <c r="BP1052" s="206"/>
      <c r="BQ1052" s="195"/>
      <c r="BR1052" s="195"/>
      <c r="BS1052" s="195"/>
      <c r="BT1052" s="195"/>
      <c r="BU1052" s="195"/>
    </row>
    <row r="1053" ht="15.75" customHeight="1">
      <c r="A1053" s="1004"/>
      <c r="B1053" s="1004"/>
      <c r="C1053" s="1005"/>
      <c r="D1053" s="1005"/>
      <c r="E1053" s="977"/>
      <c r="F1053" s="1190"/>
      <c r="H1053" s="1190"/>
      <c r="J1053" s="1190"/>
      <c r="L1053" s="1190"/>
      <c r="O1053" s="1190"/>
      <c r="V1053" s="1189"/>
      <c r="X1053" s="1189"/>
      <c r="Z1053" s="1190"/>
      <c r="AB1053" s="1190"/>
      <c r="AH1053" s="701"/>
      <c r="AJ1053" s="701"/>
      <c r="BB1053" s="1190"/>
      <c r="BD1053" s="1190"/>
      <c r="BF1053" s="1190"/>
      <c r="BH1053" s="1190"/>
      <c r="BJ1053" s="1190"/>
      <c r="BN1053" s="206"/>
      <c r="BO1053" s="206"/>
      <c r="BP1053" s="206"/>
      <c r="BQ1053" s="195"/>
      <c r="BR1053" s="195"/>
      <c r="BS1053" s="195"/>
      <c r="BT1053" s="195"/>
      <c r="BU1053" s="195"/>
    </row>
    <row r="1054" ht="15.75" customHeight="1">
      <c r="A1054" s="1004"/>
      <c r="B1054" s="1004"/>
      <c r="C1054" s="1005"/>
      <c r="D1054" s="1005"/>
      <c r="E1054" s="977"/>
      <c r="F1054" s="1190"/>
      <c r="H1054" s="1190"/>
      <c r="J1054" s="1190"/>
      <c r="L1054" s="1190"/>
      <c r="O1054" s="1190"/>
      <c r="V1054" s="1189"/>
      <c r="X1054" s="1189"/>
      <c r="Z1054" s="1190"/>
      <c r="AB1054" s="1190"/>
      <c r="AH1054" s="701"/>
      <c r="AJ1054" s="701"/>
      <c r="BB1054" s="1190"/>
      <c r="BD1054" s="1190"/>
      <c r="BF1054" s="1190"/>
      <c r="BH1054" s="1190"/>
      <c r="BJ1054" s="1190"/>
      <c r="BN1054" s="206"/>
      <c r="BO1054" s="206"/>
      <c r="BP1054" s="206"/>
      <c r="BQ1054" s="195"/>
      <c r="BR1054" s="195"/>
      <c r="BS1054" s="195"/>
      <c r="BT1054" s="195"/>
      <c r="BU1054" s="195"/>
    </row>
    <row r="1055" ht="15.75" customHeight="1">
      <c r="A1055" s="1004"/>
      <c r="B1055" s="1004"/>
      <c r="C1055" s="1005"/>
      <c r="D1055" s="1005"/>
      <c r="E1055" s="977"/>
      <c r="F1055" s="1190"/>
      <c r="H1055" s="1190"/>
      <c r="J1055" s="1190"/>
      <c r="L1055" s="1190"/>
      <c r="O1055" s="1190"/>
      <c r="V1055" s="1189"/>
      <c r="X1055" s="1189"/>
      <c r="Z1055" s="1190"/>
      <c r="AB1055" s="1190"/>
      <c r="AH1055" s="701"/>
      <c r="AJ1055" s="701"/>
      <c r="BB1055" s="1190"/>
      <c r="BD1055" s="1190"/>
      <c r="BF1055" s="1190"/>
      <c r="BH1055" s="1190"/>
      <c r="BJ1055" s="1190"/>
      <c r="BN1055" s="206"/>
      <c r="BO1055" s="206"/>
      <c r="BP1055" s="206"/>
      <c r="BQ1055" s="195"/>
      <c r="BR1055" s="195"/>
      <c r="BS1055" s="195"/>
      <c r="BT1055" s="195"/>
      <c r="BU1055" s="195"/>
    </row>
    <row r="1056" ht="15.75" customHeight="1">
      <c r="A1056" s="1004"/>
      <c r="B1056" s="1004"/>
      <c r="C1056" s="1005"/>
      <c r="D1056" s="1005"/>
      <c r="E1056" s="977"/>
      <c r="F1056" s="1190"/>
      <c r="H1056" s="1190"/>
      <c r="J1056" s="1190"/>
      <c r="L1056" s="1190"/>
      <c r="O1056" s="1190"/>
      <c r="V1056" s="1189"/>
      <c r="X1056" s="1189"/>
      <c r="Z1056" s="1190"/>
      <c r="AB1056" s="1190"/>
      <c r="AH1056" s="701"/>
      <c r="AJ1056" s="701"/>
      <c r="BB1056" s="1190"/>
      <c r="BD1056" s="1190"/>
      <c r="BF1056" s="1190"/>
      <c r="BH1056" s="1190"/>
      <c r="BJ1056" s="1190"/>
      <c r="BN1056" s="206"/>
      <c r="BO1056" s="206"/>
      <c r="BP1056" s="206"/>
      <c r="BQ1056" s="195"/>
      <c r="BR1056" s="195"/>
      <c r="BS1056" s="195"/>
      <c r="BT1056" s="195"/>
      <c r="BU1056" s="195"/>
    </row>
    <row r="1057" ht="15.75" customHeight="1">
      <c r="A1057" s="1004"/>
      <c r="B1057" s="1004"/>
      <c r="C1057" s="1005"/>
      <c r="D1057" s="1005"/>
      <c r="E1057" s="977"/>
      <c r="F1057" s="1190"/>
      <c r="H1057" s="1190"/>
      <c r="J1057" s="1190"/>
      <c r="L1057" s="1190"/>
      <c r="O1057" s="1190"/>
      <c r="V1057" s="1189"/>
      <c r="X1057" s="1189"/>
      <c r="Z1057" s="1190"/>
      <c r="AB1057" s="1190"/>
      <c r="AH1057" s="701"/>
      <c r="AJ1057" s="701"/>
      <c r="BB1057" s="1190"/>
      <c r="BD1057" s="1190"/>
      <c r="BF1057" s="1190"/>
      <c r="BH1057" s="1190"/>
      <c r="BJ1057" s="1190"/>
      <c r="BN1057" s="206"/>
      <c r="BO1057" s="206"/>
      <c r="BP1057" s="206"/>
      <c r="BQ1057" s="195"/>
      <c r="BR1057" s="195"/>
      <c r="BS1057" s="195"/>
      <c r="BT1057" s="195"/>
      <c r="BU1057" s="195"/>
    </row>
    <row r="1058" ht="15.75" customHeight="1">
      <c r="A1058" s="1004"/>
      <c r="B1058" s="1004"/>
      <c r="C1058" s="1005"/>
      <c r="D1058" s="1005"/>
      <c r="E1058" s="977"/>
      <c r="F1058" s="1190"/>
      <c r="H1058" s="1190"/>
      <c r="J1058" s="1190"/>
      <c r="L1058" s="1190"/>
      <c r="O1058" s="1190"/>
      <c r="V1058" s="1189"/>
      <c r="X1058" s="1189"/>
      <c r="Z1058" s="1190"/>
      <c r="AB1058" s="1190"/>
      <c r="AH1058" s="701"/>
      <c r="AJ1058" s="701"/>
      <c r="BB1058" s="1190"/>
      <c r="BD1058" s="1190"/>
      <c r="BF1058" s="1190"/>
      <c r="BH1058" s="1190"/>
      <c r="BJ1058" s="1190"/>
      <c r="BN1058" s="206"/>
      <c r="BO1058" s="206"/>
      <c r="BP1058" s="206"/>
      <c r="BQ1058" s="195"/>
      <c r="BR1058" s="195"/>
      <c r="BS1058" s="195"/>
      <c r="BT1058" s="195"/>
      <c r="BU1058" s="195"/>
    </row>
    <row r="1059" ht="15.75" customHeight="1">
      <c r="A1059" s="1004"/>
      <c r="B1059" s="1004"/>
      <c r="C1059" s="1005"/>
      <c r="D1059" s="1005"/>
      <c r="E1059" s="977"/>
      <c r="F1059" s="1190"/>
      <c r="H1059" s="1190"/>
      <c r="J1059" s="1190"/>
      <c r="L1059" s="1190"/>
      <c r="O1059" s="1190"/>
      <c r="V1059" s="1189"/>
      <c r="X1059" s="1189"/>
      <c r="Z1059" s="1190"/>
      <c r="AB1059" s="1190"/>
      <c r="AH1059" s="701"/>
      <c r="AJ1059" s="701"/>
      <c r="BB1059" s="1190"/>
      <c r="BD1059" s="1190"/>
      <c r="BF1059" s="1190"/>
      <c r="BH1059" s="1190"/>
      <c r="BJ1059" s="1190"/>
      <c r="BN1059" s="206"/>
      <c r="BO1059" s="206"/>
      <c r="BP1059" s="206"/>
      <c r="BQ1059" s="195"/>
      <c r="BR1059" s="195"/>
      <c r="BS1059" s="195"/>
      <c r="BT1059" s="195"/>
      <c r="BU1059" s="195"/>
    </row>
    <row r="1060" ht="15.75" customHeight="1">
      <c r="A1060" s="1004"/>
      <c r="B1060" s="1004"/>
      <c r="C1060" s="1005"/>
      <c r="D1060" s="1005"/>
      <c r="E1060" s="977"/>
      <c r="F1060" s="1190"/>
      <c r="H1060" s="1190"/>
      <c r="J1060" s="1190"/>
      <c r="L1060" s="1190"/>
      <c r="O1060" s="1190"/>
      <c r="V1060" s="1189"/>
      <c r="X1060" s="1189"/>
      <c r="Z1060" s="1190"/>
      <c r="AB1060" s="1190"/>
      <c r="AH1060" s="701"/>
      <c r="AJ1060" s="701"/>
      <c r="BB1060" s="1190"/>
      <c r="BD1060" s="1190"/>
      <c r="BF1060" s="1190"/>
      <c r="BH1060" s="1190"/>
      <c r="BJ1060" s="1190"/>
      <c r="BN1060" s="206"/>
      <c r="BO1060" s="206"/>
      <c r="BP1060" s="206"/>
      <c r="BQ1060" s="195"/>
      <c r="BR1060" s="195"/>
      <c r="BS1060" s="195"/>
      <c r="BT1060" s="195"/>
      <c r="BU1060" s="195"/>
    </row>
    <row r="1061" ht="15.75" customHeight="1">
      <c r="A1061" s="1004"/>
      <c r="B1061" s="1004"/>
      <c r="C1061" s="1005"/>
      <c r="D1061" s="1005"/>
      <c r="E1061" s="977"/>
      <c r="F1061" s="1190"/>
      <c r="H1061" s="1190"/>
      <c r="J1061" s="1190"/>
      <c r="L1061" s="1190"/>
      <c r="O1061" s="1190"/>
      <c r="V1061" s="1189"/>
      <c r="X1061" s="1189"/>
      <c r="Z1061" s="1190"/>
      <c r="AB1061" s="1190"/>
      <c r="AH1061" s="701"/>
      <c r="AJ1061" s="701"/>
      <c r="BB1061" s="1190"/>
      <c r="BD1061" s="1190"/>
      <c r="BF1061" s="1190"/>
      <c r="BH1061" s="1190"/>
      <c r="BJ1061" s="1190"/>
      <c r="BN1061" s="206"/>
      <c r="BO1061" s="206"/>
      <c r="BP1061" s="206"/>
      <c r="BQ1061" s="195"/>
      <c r="BR1061" s="195"/>
      <c r="BS1061" s="195"/>
      <c r="BT1061" s="195"/>
      <c r="BU1061" s="195"/>
    </row>
    <row r="1062" ht="15.75" customHeight="1">
      <c r="A1062" s="1004"/>
      <c r="B1062" s="1004"/>
      <c r="C1062" s="1005"/>
      <c r="D1062" s="1005"/>
      <c r="E1062" s="977"/>
      <c r="F1062" s="1190"/>
      <c r="H1062" s="1190"/>
      <c r="J1062" s="1190"/>
      <c r="L1062" s="1190"/>
      <c r="O1062" s="1190"/>
      <c r="V1062" s="1189"/>
      <c r="X1062" s="1189"/>
      <c r="Z1062" s="1190"/>
      <c r="AB1062" s="1190"/>
      <c r="AH1062" s="701"/>
      <c r="AJ1062" s="701"/>
      <c r="BB1062" s="1190"/>
      <c r="BD1062" s="1190"/>
      <c r="BF1062" s="1190"/>
      <c r="BH1062" s="1190"/>
      <c r="BJ1062" s="1190"/>
      <c r="BN1062" s="206"/>
      <c r="BO1062" s="206"/>
      <c r="BP1062" s="206"/>
      <c r="BQ1062" s="195"/>
      <c r="BR1062" s="195"/>
      <c r="BS1062" s="195"/>
      <c r="BT1062" s="195"/>
      <c r="BU1062" s="195"/>
    </row>
    <row r="1063" ht="15.75" customHeight="1">
      <c r="A1063" s="1004"/>
      <c r="B1063" s="1004"/>
      <c r="C1063" s="1005"/>
      <c r="D1063" s="1005"/>
      <c r="E1063" s="977"/>
      <c r="F1063" s="1190"/>
      <c r="H1063" s="1190"/>
      <c r="J1063" s="1190"/>
      <c r="L1063" s="1190"/>
      <c r="O1063" s="1190"/>
      <c r="V1063" s="1189"/>
      <c r="X1063" s="1189"/>
      <c r="Z1063" s="1190"/>
      <c r="AB1063" s="1190"/>
      <c r="AH1063" s="701"/>
      <c r="AJ1063" s="701"/>
      <c r="BB1063" s="1190"/>
      <c r="BD1063" s="1190"/>
      <c r="BF1063" s="1190"/>
      <c r="BH1063" s="1190"/>
      <c r="BJ1063" s="1190"/>
      <c r="BN1063" s="206"/>
      <c r="BO1063" s="206"/>
      <c r="BP1063" s="206"/>
      <c r="BQ1063" s="195"/>
      <c r="BR1063" s="195"/>
      <c r="BS1063" s="195"/>
      <c r="BT1063" s="195"/>
      <c r="BU1063" s="195"/>
    </row>
    <row r="1064" ht="15.75" customHeight="1">
      <c r="A1064" s="1004"/>
      <c r="B1064" s="1004"/>
      <c r="C1064" s="1005"/>
      <c r="D1064" s="1005"/>
      <c r="E1064" s="977"/>
      <c r="F1064" s="1190"/>
      <c r="H1064" s="1190"/>
      <c r="J1064" s="1190"/>
      <c r="L1064" s="1190"/>
      <c r="O1064" s="1190"/>
      <c r="V1064" s="1189"/>
      <c r="X1064" s="1189"/>
      <c r="Z1064" s="1190"/>
      <c r="AB1064" s="1190"/>
      <c r="AH1064" s="701"/>
      <c r="AJ1064" s="701"/>
      <c r="BB1064" s="1190"/>
      <c r="BD1064" s="1190"/>
      <c r="BF1064" s="1190"/>
      <c r="BH1064" s="1190"/>
      <c r="BJ1064" s="1190"/>
      <c r="BN1064" s="206"/>
      <c r="BO1064" s="206"/>
      <c r="BP1064" s="206"/>
      <c r="BQ1064" s="195"/>
      <c r="BR1064" s="195"/>
      <c r="BS1064" s="195"/>
      <c r="BT1064" s="195"/>
      <c r="BU1064" s="195"/>
    </row>
    <row r="1065" ht="15.75" customHeight="1">
      <c r="A1065" s="1004"/>
      <c r="B1065" s="1004"/>
      <c r="C1065" s="1005"/>
      <c r="D1065" s="1005"/>
      <c r="E1065" s="977"/>
      <c r="F1065" s="1190"/>
      <c r="H1065" s="1190"/>
      <c r="J1065" s="1190"/>
      <c r="L1065" s="1190"/>
      <c r="O1065" s="1190"/>
      <c r="V1065" s="1189"/>
      <c r="X1065" s="1189"/>
      <c r="Z1065" s="1190"/>
      <c r="AB1065" s="1190"/>
      <c r="AH1065" s="701"/>
      <c r="AJ1065" s="701"/>
      <c r="BB1065" s="1190"/>
      <c r="BD1065" s="1190"/>
      <c r="BF1065" s="1190"/>
      <c r="BH1065" s="1190"/>
      <c r="BJ1065" s="1190"/>
      <c r="BN1065" s="206"/>
      <c r="BO1065" s="206"/>
      <c r="BP1065" s="206"/>
      <c r="BQ1065" s="195"/>
      <c r="BR1065" s="195"/>
      <c r="BS1065" s="195"/>
      <c r="BT1065" s="195"/>
      <c r="BU1065" s="195"/>
    </row>
    <row r="1066" ht="15.75" customHeight="1">
      <c r="A1066" s="1004"/>
      <c r="B1066" s="1004"/>
      <c r="C1066" s="1005"/>
      <c r="D1066" s="1005"/>
      <c r="E1066" s="977"/>
      <c r="F1066" s="1190"/>
      <c r="H1066" s="1190"/>
      <c r="J1066" s="1190"/>
      <c r="L1066" s="1190"/>
      <c r="O1066" s="1190"/>
      <c r="V1066" s="1189"/>
      <c r="X1066" s="1189"/>
      <c r="Z1066" s="1190"/>
      <c r="AB1066" s="1190"/>
      <c r="AH1066" s="701"/>
      <c r="AJ1066" s="701"/>
      <c r="BB1066" s="1190"/>
      <c r="BD1066" s="1190"/>
      <c r="BF1066" s="1190"/>
      <c r="BH1066" s="1190"/>
      <c r="BJ1066" s="1190"/>
      <c r="BN1066" s="206"/>
      <c r="BO1066" s="206"/>
      <c r="BP1066" s="206"/>
      <c r="BQ1066" s="195"/>
      <c r="BR1066" s="195"/>
      <c r="BS1066" s="195"/>
      <c r="BT1066" s="195"/>
      <c r="BU1066" s="195"/>
    </row>
    <row r="1067" ht="15.75" customHeight="1">
      <c r="A1067" s="1004"/>
      <c r="B1067" s="1004"/>
      <c r="C1067" s="1005"/>
      <c r="D1067" s="1005"/>
      <c r="E1067" s="977"/>
      <c r="F1067" s="1190"/>
      <c r="H1067" s="1190"/>
      <c r="J1067" s="1190"/>
      <c r="L1067" s="1190"/>
      <c r="O1067" s="1190"/>
      <c r="V1067" s="1189"/>
      <c r="X1067" s="1189"/>
      <c r="Z1067" s="1190"/>
      <c r="AB1067" s="1190"/>
      <c r="AH1067" s="701"/>
      <c r="AJ1067" s="701"/>
      <c r="BB1067" s="1190"/>
      <c r="BD1067" s="1190"/>
      <c r="BF1067" s="1190"/>
      <c r="BH1067" s="1190"/>
      <c r="BJ1067" s="1190"/>
      <c r="BN1067" s="206"/>
      <c r="BO1067" s="206"/>
      <c r="BP1067" s="206"/>
      <c r="BQ1067" s="195"/>
      <c r="BR1067" s="195"/>
      <c r="BS1067" s="195"/>
      <c r="BT1067" s="195"/>
      <c r="BU1067" s="195"/>
    </row>
    <row r="1068" ht="15.75" customHeight="1">
      <c r="A1068" s="1004"/>
      <c r="B1068" s="1004"/>
      <c r="C1068" s="1005"/>
      <c r="D1068" s="1005"/>
      <c r="E1068" s="977"/>
      <c r="F1068" s="1190"/>
      <c r="H1068" s="1190"/>
      <c r="J1068" s="1190"/>
      <c r="L1068" s="1190"/>
      <c r="O1068" s="1190"/>
      <c r="V1068" s="1189"/>
      <c r="X1068" s="1189"/>
      <c r="Z1068" s="1190"/>
      <c r="AB1068" s="1190"/>
      <c r="AH1068" s="701"/>
      <c r="AJ1068" s="701"/>
      <c r="BB1068" s="1190"/>
      <c r="BD1068" s="1190"/>
      <c r="BF1068" s="1190"/>
      <c r="BH1068" s="1190"/>
      <c r="BJ1068" s="1190"/>
      <c r="BN1068" s="206"/>
      <c r="BO1068" s="206"/>
      <c r="BP1068" s="206"/>
      <c r="BQ1068" s="195"/>
      <c r="BR1068" s="195"/>
      <c r="BS1068" s="195"/>
      <c r="BT1068" s="195"/>
      <c r="BU1068" s="195"/>
    </row>
    <row r="1069" ht="15.75" customHeight="1">
      <c r="A1069" s="1004"/>
      <c r="B1069" s="1004"/>
      <c r="C1069" s="1005"/>
      <c r="D1069" s="1005"/>
      <c r="E1069" s="977"/>
      <c r="F1069" s="1190"/>
      <c r="H1069" s="1190"/>
      <c r="J1069" s="1190"/>
      <c r="L1069" s="1190"/>
      <c r="O1069" s="1190"/>
      <c r="V1069" s="1189"/>
      <c r="X1069" s="1189"/>
      <c r="Z1069" s="1190"/>
      <c r="AB1069" s="1190"/>
      <c r="AH1069" s="701"/>
      <c r="AJ1069" s="701"/>
      <c r="BB1069" s="1190"/>
      <c r="BD1069" s="1190"/>
      <c r="BF1069" s="1190"/>
      <c r="BH1069" s="1190"/>
      <c r="BJ1069" s="1190"/>
      <c r="BN1069" s="206"/>
      <c r="BO1069" s="206"/>
      <c r="BP1069" s="206"/>
      <c r="BQ1069" s="195"/>
      <c r="BR1069" s="195"/>
      <c r="BS1069" s="195"/>
      <c r="BT1069" s="195"/>
      <c r="BU1069" s="195"/>
    </row>
    <row r="1070" ht="15.75" customHeight="1">
      <c r="A1070" s="1004"/>
      <c r="B1070" s="1004"/>
      <c r="C1070" s="1005"/>
      <c r="D1070" s="1005"/>
      <c r="E1070" s="977"/>
      <c r="F1070" s="1190"/>
      <c r="H1070" s="1190"/>
      <c r="J1070" s="1190"/>
      <c r="L1070" s="1190"/>
      <c r="O1070" s="1190"/>
      <c r="V1070" s="1189"/>
      <c r="X1070" s="1189"/>
      <c r="Z1070" s="1190"/>
      <c r="AB1070" s="1190"/>
      <c r="AH1070" s="701"/>
      <c r="AJ1070" s="701"/>
      <c r="BB1070" s="1190"/>
      <c r="BD1070" s="1190"/>
      <c r="BF1070" s="1190"/>
      <c r="BH1070" s="1190"/>
      <c r="BJ1070" s="1190"/>
      <c r="BN1070" s="206"/>
      <c r="BO1070" s="206"/>
      <c r="BP1070" s="206"/>
      <c r="BQ1070" s="195"/>
      <c r="BR1070" s="195"/>
      <c r="BS1070" s="195"/>
      <c r="BT1070" s="195"/>
      <c r="BU1070" s="195"/>
    </row>
    <row r="1071" ht="15.75" customHeight="1">
      <c r="A1071" s="1004"/>
      <c r="B1071" s="1004"/>
      <c r="C1071" s="1005"/>
      <c r="D1071" s="1005"/>
      <c r="E1071" s="977"/>
      <c r="F1071" s="1190"/>
      <c r="H1071" s="1190"/>
      <c r="J1071" s="1190"/>
      <c r="L1071" s="1190"/>
      <c r="O1071" s="1190"/>
      <c r="V1071" s="1189"/>
      <c r="X1071" s="1189"/>
      <c r="Z1071" s="1190"/>
      <c r="AB1071" s="1190"/>
      <c r="AH1071" s="701"/>
      <c r="AJ1071" s="701"/>
      <c r="BB1071" s="1190"/>
      <c r="BD1071" s="1190"/>
      <c r="BF1071" s="1190"/>
      <c r="BH1071" s="1190"/>
      <c r="BJ1071" s="1190"/>
      <c r="BN1071" s="206"/>
      <c r="BO1071" s="206"/>
      <c r="BP1071" s="206"/>
      <c r="BQ1071" s="195"/>
      <c r="BR1071" s="195"/>
      <c r="BS1071" s="195"/>
      <c r="BT1071" s="195"/>
      <c r="BU1071" s="195"/>
    </row>
    <row r="1072" ht="15.75" customHeight="1">
      <c r="A1072" s="1004"/>
      <c r="B1072" s="1004"/>
      <c r="C1072" s="1005"/>
      <c r="D1072" s="1005"/>
      <c r="E1072" s="977"/>
      <c r="F1072" s="1190"/>
      <c r="H1072" s="1190"/>
      <c r="J1072" s="1190"/>
      <c r="L1072" s="1190"/>
      <c r="O1072" s="1190"/>
      <c r="V1072" s="1189"/>
      <c r="X1072" s="1189"/>
      <c r="Z1072" s="1190"/>
      <c r="AB1072" s="1190"/>
      <c r="AH1072" s="701"/>
      <c r="AJ1072" s="701"/>
      <c r="BB1072" s="1190"/>
      <c r="BD1072" s="1190"/>
      <c r="BF1072" s="1190"/>
      <c r="BH1072" s="1190"/>
      <c r="BJ1072" s="1190"/>
      <c r="BN1072" s="206"/>
      <c r="BO1072" s="206"/>
      <c r="BP1072" s="206"/>
      <c r="BQ1072" s="195"/>
      <c r="BR1072" s="195"/>
      <c r="BS1072" s="195"/>
      <c r="BT1072" s="195"/>
      <c r="BU1072" s="195"/>
    </row>
    <row r="1073" ht="15.75" customHeight="1">
      <c r="A1073" s="1004"/>
      <c r="B1073" s="1004"/>
      <c r="C1073" s="1005"/>
      <c r="D1073" s="1005"/>
      <c r="E1073" s="977"/>
      <c r="F1073" s="1190"/>
      <c r="H1073" s="1190"/>
      <c r="J1073" s="1190"/>
      <c r="L1073" s="1190"/>
      <c r="O1073" s="1190"/>
      <c r="V1073" s="1189"/>
      <c r="X1073" s="1189"/>
      <c r="Z1073" s="1190"/>
      <c r="AB1073" s="1190"/>
      <c r="AH1073" s="701"/>
      <c r="AJ1073" s="701"/>
      <c r="BB1073" s="1190"/>
      <c r="BD1073" s="1190"/>
      <c r="BF1073" s="1190"/>
      <c r="BH1073" s="1190"/>
      <c r="BJ1073" s="1190"/>
      <c r="BN1073" s="206"/>
      <c r="BO1073" s="206"/>
      <c r="BP1073" s="206"/>
      <c r="BQ1073" s="195"/>
      <c r="BR1073" s="195"/>
      <c r="BS1073" s="195"/>
      <c r="BT1073" s="195"/>
      <c r="BU1073" s="195"/>
    </row>
    <row r="1074" ht="15.75" customHeight="1">
      <c r="A1074" s="1004"/>
      <c r="B1074" s="1004"/>
      <c r="C1074" s="1005"/>
      <c r="D1074" s="1005"/>
      <c r="E1074" s="977"/>
      <c r="F1074" s="1190"/>
      <c r="H1074" s="1190"/>
      <c r="J1074" s="1190"/>
      <c r="L1074" s="1190"/>
      <c r="O1074" s="1190"/>
      <c r="V1074" s="1189"/>
      <c r="X1074" s="1189"/>
      <c r="Z1074" s="1190"/>
      <c r="AB1074" s="1190"/>
      <c r="AH1074" s="701"/>
      <c r="AJ1074" s="701"/>
      <c r="BB1074" s="1190"/>
      <c r="BD1074" s="1190"/>
      <c r="BF1074" s="1190"/>
      <c r="BH1074" s="1190"/>
      <c r="BJ1074" s="1190"/>
      <c r="BN1074" s="206"/>
      <c r="BO1074" s="206"/>
      <c r="BP1074" s="206"/>
      <c r="BQ1074" s="195"/>
      <c r="BR1074" s="195"/>
      <c r="BS1074" s="195"/>
      <c r="BT1074" s="195"/>
      <c r="BU1074" s="195"/>
    </row>
    <row r="1075" ht="15.75" customHeight="1">
      <c r="A1075" s="1004"/>
      <c r="B1075" s="1004"/>
      <c r="C1075" s="1005"/>
      <c r="D1075" s="1005"/>
      <c r="E1075" s="977"/>
      <c r="F1075" s="1190"/>
      <c r="H1075" s="1190"/>
      <c r="J1075" s="1190"/>
      <c r="L1075" s="1190"/>
      <c r="O1075" s="1190"/>
      <c r="V1075" s="1189"/>
      <c r="X1075" s="1189"/>
      <c r="Z1075" s="1190"/>
      <c r="AB1075" s="1190"/>
      <c r="AH1075" s="701"/>
      <c r="AJ1075" s="701"/>
      <c r="BB1075" s="1190"/>
      <c r="BD1075" s="1190"/>
      <c r="BF1075" s="1190"/>
      <c r="BH1075" s="1190"/>
      <c r="BJ1075" s="1190"/>
      <c r="BN1075" s="206"/>
      <c r="BO1075" s="206"/>
      <c r="BP1075" s="206"/>
      <c r="BQ1075" s="195"/>
      <c r="BR1075" s="195"/>
      <c r="BS1075" s="195"/>
      <c r="BT1075" s="195"/>
      <c r="BU1075" s="195"/>
    </row>
    <row r="1076" ht="15.75" customHeight="1">
      <c r="A1076" s="1004"/>
      <c r="B1076" s="1004"/>
      <c r="C1076" s="1005"/>
      <c r="D1076" s="1005"/>
      <c r="E1076" s="977"/>
      <c r="F1076" s="1190"/>
      <c r="H1076" s="1190"/>
      <c r="J1076" s="1190"/>
      <c r="L1076" s="1190"/>
      <c r="O1076" s="1190"/>
      <c r="V1076" s="1189"/>
      <c r="X1076" s="1189"/>
      <c r="Z1076" s="1190"/>
      <c r="AB1076" s="1190"/>
      <c r="AH1076" s="701"/>
      <c r="AJ1076" s="701"/>
      <c r="BB1076" s="1190"/>
      <c r="BD1076" s="1190"/>
      <c r="BF1076" s="1190"/>
      <c r="BH1076" s="1190"/>
      <c r="BJ1076" s="1190"/>
      <c r="BN1076" s="206"/>
      <c r="BO1076" s="206"/>
      <c r="BP1076" s="206"/>
      <c r="BQ1076" s="195"/>
      <c r="BR1076" s="195"/>
      <c r="BS1076" s="195"/>
      <c r="BT1076" s="195"/>
      <c r="BU1076" s="195"/>
    </row>
    <row r="1077" ht="15.75" customHeight="1">
      <c r="A1077" s="1004"/>
      <c r="B1077" s="1004"/>
      <c r="C1077" s="1005"/>
      <c r="D1077" s="1005"/>
      <c r="E1077" s="977"/>
      <c r="F1077" s="1190"/>
      <c r="H1077" s="1190"/>
      <c r="J1077" s="1190"/>
      <c r="L1077" s="1190"/>
      <c r="O1077" s="1190"/>
      <c r="V1077" s="1189"/>
      <c r="X1077" s="1189"/>
      <c r="Z1077" s="1190"/>
      <c r="AB1077" s="1190"/>
      <c r="AH1077" s="701"/>
      <c r="AJ1077" s="701"/>
      <c r="BB1077" s="1190"/>
      <c r="BD1077" s="1190"/>
      <c r="BF1077" s="1190"/>
      <c r="BH1077" s="1190"/>
      <c r="BJ1077" s="1190"/>
      <c r="BN1077" s="206"/>
      <c r="BO1077" s="206"/>
      <c r="BP1077" s="206"/>
      <c r="BQ1077" s="195"/>
      <c r="BR1077" s="195"/>
      <c r="BS1077" s="195"/>
      <c r="BT1077" s="195"/>
      <c r="BU1077" s="195"/>
    </row>
    <row r="1078" ht="15.75" customHeight="1">
      <c r="A1078" s="1004"/>
      <c r="B1078" s="1004"/>
      <c r="C1078" s="1005"/>
      <c r="D1078" s="1005"/>
      <c r="E1078" s="977"/>
      <c r="F1078" s="1190"/>
      <c r="H1078" s="1190"/>
      <c r="J1078" s="1190"/>
      <c r="L1078" s="1190"/>
      <c r="O1078" s="1190"/>
      <c r="V1078" s="1189"/>
      <c r="X1078" s="1189"/>
      <c r="Z1078" s="1190"/>
      <c r="AB1078" s="1190"/>
      <c r="AH1078" s="701"/>
      <c r="AJ1078" s="701"/>
      <c r="BB1078" s="1190"/>
      <c r="BD1078" s="1190"/>
      <c r="BF1078" s="1190"/>
      <c r="BH1078" s="1190"/>
      <c r="BJ1078" s="1190"/>
      <c r="BN1078" s="206"/>
      <c r="BO1078" s="206"/>
      <c r="BP1078" s="206"/>
      <c r="BQ1078" s="195"/>
      <c r="BR1078" s="195"/>
      <c r="BS1078" s="195"/>
      <c r="BT1078" s="195"/>
      <c r="BU1078" s="195"/>
    </row>
    <row r="1079" ht="15.75" customHeight="1">
      <c r="A1079" s="1004"/>
      <c r="B1079" s="1004"/>
      <c r="C1079" s="1005"/>
      <c r="D1079" s="1005"/>
      <c r="E1079" s="977"/>
      <c r="F1079" s="1190"/>
      <c r="H1079" s="1190"/>
      <c r="J1079" s="1190"/>
      <c r="L1079" s="1190"/>
      <c r="O1079" s="1190"/>
      <c r="V1079" s="1189"/>
      <c r="X1079" s="1189"/>
      <c r="Z1079" s="1190"/>
      <c r="AB1079" s="1190"/>
      <c r="AH1079" s="701"/>
      <c r="AJ1079" s="701"/>
      <c r="BB1079" s="1190"/>
      <c r="BD1079" s="1190"/>
      <c r="BF1079" s="1190"/>
      <c r="BH1079" s="1190"/>
      <c r="BJ1079" s="1190"/>
      <c r="BN1079" s="206"/>
      <c r="BO1079" s="206"/>
      <c r="BP1079" s="206"/>
      <c r="BQ1079" s="195"/>
      <c r="BR1079" s="195"/>
      <c r="BS1079" s="195"/>
      <c r="BT1079" s="195"/>
      <c r="BU1079" s="195"/>
    </row>
    <row r="1080" ht="15.75" customHeight="1">
      <c r="A1080" s="1004"/>
      <c r="B1080" s="1004"/>
      <c r="C1080" s="1005"/>
      <c r="D1080" s="1005"/>
      <c r="E1080" s="977"/>
      <c r="F1080" s="1190"/>
      <c r="H1080" s="1190"/>
      <c r="J1080" s="1190"/>
      <c r="L1080" s="1190"/>
      <c r="O1080" s="1190"/>
      <c r="V1080" s="1189"/>
      <c r="X1080" s="1189"/>
      <c r="Z1080" s="1190"/>
      <c r="AB1080" s="1190"/>
      <c r="AH1080" s="701"/>
      <c r="AJ1080" s="701"/>
      <c r="BB1080" s="1190"/>
      <c r="BD1080" s="1190"/>
      <c r="BF1080" s="1190"/>
      <c r="BH1080" s="1190"/>
      <c r="BJ1080" s="1190"/>
      <c r="BN1080" s="206"/>
      <c r="BO1080" s="206"/>
      <c r="BP1080" s="206"/>
      <c r="BQ1080" s="195"/>
      <c r="BR1080" s="195"/>
      <c r="BS1080" s="195"/>
      <c r="BT1080" s="195"/>
      <c r="BU1080" s="195"/>
    </row>
    <row r="1081" ht="15.75" customHeight="1">
      <c r="A1081" s="1004"/>
      <c r="B1081" s="1004"/>
      <c r="C1081" s="1005"/>
      <c r="D1081" s="1005"/>
      <c r="E1081" s="977"/>
      <c r="F1081" s="1190"/>
      <c r="H1081" s="1190"/>
      <c r="J1081" s="1190"/>
      <c r="L1081" s="1190"/>
      <c r="O1081" s="1190"/>
      <c r="V1081" s="1189"/>
      <c r="X1081" s="1189"/>
      <c r="Z1081" s="1190"/>
      <c r="AB1081" s="1190"/>
      <c r="AH1081" s="701"/>
      <c r="AJ1081" s="701"/>
      <c r="BB1081" s="1190"/>
      <c r="BD1081" s="1190"/>
      <c r="BF1081" s="1190"/>
      <c r="BH1081" s="1190"/>
      <c r="BJ1081" s="1190"/>
      <c r="BN1081" s="206"/>
      <c r="BO1081" s="206"/>
      <c r="BP1081" s="206"/>
      <c r="BQ1081" s="195"/>
      <c r="BR1081" s="195"/>
      <c r="BS1081" s="195"/>
      <c r="BT1081" s="195"/>
      <c r="BU1081" s="195"/>
    </row>
    <row r="1082" ht="15.75" customHeight="1">
      <c r="A1082" s="1004"/>
      <c r="B1082" s="1004"/>
      <c r="C1082" s="1005"/>
      <c r="D1082" s="1005"/>
      <c r="E1082" s="977"/>
      <c r="F1082" s="1190"/>
      <c r="H1082" s="1190"/>
      <c r="J1082" s="1190"/>
      <c r="L1082" s="1190"/>
      <c r="O1082" s="1190"/>
      <c r="V1082" s="1189"/>
      <c r="X1082" s="1189"/>
      <c r="Z1082" s="1190"/>
      <c r="AB1082" s="1190"/>
      <c r="AH1082" s="701"/>
      <c r="AJ1082" s="701"/>
      <c r="BB1082" s="1190"/>
      <c r="BD1082" s="1190"/>
      <c r="BF1082" s="1190"/>
      <c r="BH1082" s="1190"/>
      <c r="BJ1082" s="1190"/>
      <c r="BN1082" s="206"/>
      <c r="BO1082" s="206"/>
      <c r="BP1082" s="206"/>
      <c r="BQ1082" s="195"/>
      <c r="BR1082" s="195"/>
      <c r="BS1082" s="195"/>
      <c r="BT1082" s="195"/>
      <c r="BU1082" s="195"/>
    </row>
    <row r="1083" ht="15.75" customHeight="1">
      <c r="A1083" s="1004"/>
      <c r="B1083" s="1004"/>
      <c r="C1083" s="1005"/>
      <c r="D1083" s="1005"/>
      <c r="E1083" s="977"/>
      <c r="F1083" s="1190"/>
      <c r="H1083" s="1190"/>
      <c r="J1083" s="1190"/>
      <c r="L1083" s="1190"/>
      <c r="O1083" s="1190"/>
      <c r="V1083" s="1189"/>
      <c r="X1083" s="1189"/>
      <c r="Z1083" s="1190"/>
      <c r="AB1083" s="1190"/>
      <c r="AH1083" s="701"/>
      <c r="AJ1083" s="701"/>
      <c r="BB1083" s="1190"/>
      <c r="BD1083" s="1190"/>
      <c r="BF1083" s="1190"/>
      <c r="BH1083" s="1190"/>
      <c r="BJ1083" s="1190"/>
      <c r="BN1083" s="206"/>
      <c r="BO1083" s="206"/>
      <c r="BP1083" s="206"/>
      <c r="BQ1083" s="195"/>
      <c r="BR1083" s="195"/>
      <c r="BS1083" s="195"/>
      <c r="BT1083" s="195"/>
      <c r="BU1083" s="195"/>
    </row>
    <row r="1084" ht="15.75" customHeight="1">
      <c r="A1084" s="1004"/>
      <c r="B1084" s="1004"/>
      <c r="C1084" s="1005"/>
      <c r="D1084" s="1005"/>
      <c r="E1084" s="977"/>
      <c r="F1084" s="1190"/>
      <c r="H1084" s="1190"/>
      <c r="J1084" s="1190"/>
      <c r="L1084" s="1190"/>
      <c r="O1084" s="1190"/>
      <c r="V1084" s="1189"/>
      <c r="X1084" s="1189"/>
      <c r="Z1084" s="1190"/>
      <c r="AB1084" s="1190"/>
      <c r="AH1084" s="701"/>
      <c r="AJ1084" s="701"/>
      <c r="BB1084" s="1190"/>
      <c r="BD1084" s="1190"/>
      <c r="BF1084" s="1190"/>
      <c r="BH1084" s="1190"/>
      <c r="BJ1084" s="1190"/>
      <c r="BN1084" s="206"/>
      <c r="BO1084" s="206"/>
      <c r="BP1084" s="206"/>
      <c r="BQ1084" s="195"/>
      <c r="BR1084" s="195"/>
      <c r="BS1084" s="195"/>
      <c r="BT1084" s="195"/>
      <c r="BU1084" s="195"/>
    </row>
    <row r="1085" ht="15.75" customHeight="1">
      <c r="A1085" s="1004"/>
      <c r="B1085" s="1004"/>
      <c r="C1085" s="1005"/>
      <c r="D1085" s="1005"/>
      <c r="E1085" s="977"/>
      <c r="F1085" s="1190"/>
      <c r="H1085" s="1190"/>
      <c r="J1085" s="1190"/>
      <c r="L1085" s="1190"/>
      <c r="O1085" s="1190"/>
      <c r="V1085" s="1189"/>
      <c r="X1085" s="1189"/>
      <c r="Z1085" s="1190"/>
      <c r="AB1085" s="1190"/>
      <c r="AH1085" s="701"/>
      <c r="AJ1085" s="701"/>
      <c r="BB1085" s="1190"/>
      <c r="BD1085" s="1190"/>
      <c r="BF1085" s="1190"/>
      <c r="BH1085" s="1190"/>
      <c r="BJ1085" s="1190"/>
      <c r="BN1085" s="206"/>
      <c r="BO1085" s="206"/>
      <c r="BP1085" s="206"/>
      <c r="BQ1085" s="195"/>
      <c r="BR1085" s="195"/>
      <c r="BS1085" s="195"/>
      <c r="BT1085" s="195"/>
      <c r="BU1085" s="195"/>
    </row>
    <row r="1086" ht="15.75" customHeight="1">
      <c r="A1086" s="1004"/>
      <c r="B1086" s="1004"/>
      <c r="C1086" s="1005"/>
      <c r="D1086" s="1005"/>
      <c r="E1086" s="977"/>
      <c r="F1086" s="1190"/>
      <c r="H1086" s="1190"/>
      <c r="J1086" s="1190"/>
      <c r="L1086" s="1190"/>
      <c r="O1086" s="1190"/>
      <c r="V1086" s="1189"/>
      <c r="X1086" s="1189"/>
      <c r="Z1086" s="1190"/>
      <c r="AB1086" s="1190"/>
      <c r="AH1086" s="701"/>
      <c r="AJ1086" s="701"/>
      <c r="BB1086" s="1190"/>
      <c r="BD1086" s="1190"/>
      <c r="BF1086" s="1190"/>
      <c r="BH1086" s="1190"/>
      <c r="BJ1086" s="1190"/>
      <c r="BN1086" s="206"/>
      <c r="BO1086" s="206"/>
      <c r="BP1086" s="206"/>
      <c r="BQ1086" s="195"/>
      <c r="BR1086" s="195"/>
      <c r="BS1086" s="195"/>
      <c r="BT1086" s="195"/>
      <c r="BU1086" s="195"/>
    </row>
    <row r="1087" ht="15.75" customHeight="1">
      <c r="A1087" s="1004"/>
      <c r="B1087" s="1004"/>
      <c r="C1087" s="1005"/>
      <c r="D1087" s="1005"/>
      <c r="E1087" s="977"/>
      <c r="F1087" s="1190"/>
      <c r="H1087" s="1190"/>
      <c r="J1087" s="1190"/>
      <c r="L1087" s="1190"/>
      <c r="O1087" s="1190"/>
      <c r="V1087" s="1189"/>
      <c r="X1087" s="1189"/>
      <c r="Z1087" s="1190"/>
      <c r="AB1087" s="1190"/>
      <c r="AH1087" s="701"/>
      <c r="AJ1087" s="701"/>
      <c r="BB1087" s="1190"/>
      <c r="BD1087" s="1190"/>
      <c r="BF1087" s="1190"/>
      <c r="BH1087" s="1190"/>
      <c r="BJ1087" s="1190"/>
      <c r="BN1087" s="206"/>
      <c r="BO1087" s="206"/>
      <c r="BP1087" s="206"/>
      <c r="BQ1087" s="195"/>
      <c r="BR1087" s="195"/>
      <c r="BS1087" s="195"/>
      <c r="BT1087" s="195"/>
      <c r="BU1087" s="195"/>
    </row>
    <row r="1088" ht="15.75" customHeight="1">
      <c r="A1088" s="1004"/>
      <c r="B1088" s="1004"/>
      <c r="C1088" s="1005"/>
      <c r="D1088" s="1005"/>
      <c r="E1088" s="977"/>
      <c r="F1088" s="1190"/>
      <c r="H1088" s="1190"/>
      <c r="J1088" s="1190"/>
      <c r="L1088" s="1190"/>
      <c r="O1088" s="1190"/>
      <c r="V1088" s="1189"/>
      <c r="X1088" s="1189"/>
      <c r="Z1088" s="1190"/>
      <c r="AB1088" s="1190"/>
      <c r="AH1088" s="701"/>
      <c r="AJ1088" s="701"/>
      <c r="BB1088" s="1190"/>
      <c r="BD1088" s="1190"/>
      <c r="BF1088" s="1190"/>
      <c r="BH1088" s="1190"/>
      <c r="BJ1088" s="1190"/>
      <c r="BN1088" s="206"/>
      <c r="BO1088" s="206"/>
      <c r="BP1088" s="206"/>
      <c r="BQ1088" s="195"/>
      <c r="BR1088" s="195"/>
      <c r="BS1088" s="195"/>
      <c r="BT1088" s="195"/>
      <c r="BU1088" s="195"/>
    </row>
    <row r="1089" ht="15.75" customHeight="1">
      <c r="A1089" s="1004"/>
      <c r="B1089" s="1004"/>
      <c r="C1089" s="1005"/>
      <c r="D1089" s="1005"/>
      <c r="E1089" s="977"/>
      <c r="F1089" s="1190"/>
      <c r="H1089" s="1190"/>
      <c r="J1089" s="1190"/>
      <c r="L1089" s="1190"/>
      <c r="O1089" s="1190"/>
      <c r="V1089" s="1189"/>
      <c r="X1089" s="1189"/>
      <c r="Z1089" s="1190"/>
      <c r="AB1089" s="1190"/>
      <c r="AH1089" s="701"/>
      <c r="AJ1089" s="701"/>
      <c r="BB1089" s="1190"/>
      <c r="BD1089" s="1190"/>
      <c r="BF1089" s="1190"/>
      <c r="BH1089" s="1190"/>
      <c r="BJ1089" s="1190"/>
      <c r="BN1089" s="206"/>
      <c r="BO1089" s="206"/>
      <c r="BP1089" s="206"/>
      <c r="BQ1089" s="195"/>
      <c r="BR1089" s="195"/>
      <c r="BS1089" s="195"/>
      <c r="BT1089" s="195"/>
      <c r="BU1089" s="195"/>
    </row>
    <row r="1090" ht="15.75" customHeight="1">
      <c r="A1090" s="1004"/>
      <c r="B1090" s="1004"/>
      <c r="C1090" s="1005"/>
      <c r="D1090" s="1005"/>
      <c r="E1090" s="977"/>
      <c r="F1090" s="1190"/>
      <c r="H1090" s="1190"/>
      <c r="J1090" s="1190"/>
      <c r="L1090" s="1190"/>
      <c r="O1090" s="1190"/>
      <c r="V1090" s="1189"/>
      <c r="X1090" s="1189"/>
      <c r="Z1090" s="1190"/>
      <c r="AB1090" s="1190"/>
      <c r="AH1090" s="701"/>
      <c r="AJ1090" s="701"/>
      <c r="BB1090" s="1190"/>
      <c r="BD1090" s="1190"/>
      <c r="BF1090" s="1190"/>
      <c r="BH1090" s="1190"/>
      <c r="BJ1090" s="1190"/>
      <c r="BN1090" s="206"/>
      <c r="BO1090" s="206"/>
      <c r="BP1090" s="206"/>
      <c r="BQ1090" s="195"/>
      <c r="BR1090" s="195"/>
      <c r="BS1090" s="195"/>
      <c r="BT1090" s="195"/>
      <c r="BU1090" s="195"/>
    </row>
    <row r="1091" ht="15.75" customHeight="1">
      <c r="A1091" s="1004"/>
      <c r="B1091" s="1004"/>
      <c r="C1091" s="1005"/>
      <c r="D1091" s="1005"/>
      <c r="E1091" s="977"/>
      <c r="F1091" s="1190"/>
      <c r="H1091" s="1190"/>
      <c r="J1091" s="1190"/>
      <c r="L1091" s="1190"/>
      <c r="O1091" s="1190"/>
      <c r="V1091" s="1189"/>
      <c r="X1091" s="1189"/>
      <c r="Z1091" s="1190"/>
      <c r="AB1091" s="1190"/>
      <c r="AH1091" s="701"/>
      <c r="AJ1091" s="701"/>
      <c r="BB1091" s="1190"/>
      <c r="BD1091" s="1190"/>
      <c r="BF1091" s="1190"/>
      <c r="BH1091" s="1190"/>
      <c r="BJ1091" s="1190"/>
      <c r="BN1091" s="206"/>
      <c r="BO1091" s="206"/>
      <c r="BP1091" s="206"/>
      <c r="BQ1091" s="195"/>
      <c r="BR1091" s="195"/>
      <c r="BS1091" s="195"/>
      <c r="BT1091" s="195"/>
      <c r="BU1091" s="195"/>
    </row>
    <row r="1092" ht="15.75" customHeight="1">
      <c r="A1092" s="1004"/>
      <c r="B1092" s="1004"/>
      <c r="C1092" s="1005"/>
      <c r="D1092" s="1005"/>
      <c r="E1092" s="977"/>
      <c r="F1092" s="1190"/>
      <c r="H1092" s="1190"/>
      <c r="J1092" s="1190"/>
      <c r="L1092" s="1190"/>
      <c r="O1092" s="1190"/>
      <c r="V1092" s="1189"/>
      <c r="X1092" s="1189"/>
      <c r="Z1092" s="1190"/>
      <c r="AB1092" s="1190"/>
      <c r="AH1092" s="701"/>
      <c r="AJ1092" s="701"/>
      <c r="BB1092" s="1190"/>
      <c r="BD1092" s="1190"/>
      <c r="BF1092" s="1190"/>
      <c r="BH1092" s="1190"/>
      <c r="BJ1092" s="1190"/>
      <c r="BN1092" s="206"/>
      <c r="BO1092" s="206"/>
      <c r="BP1092" s="206"/>
      <c r="BQ1092" s="195"/>
      <c r="BR1092" s="195"/>
      <c r="BS1092" s="195"/>
      <c r="BT1092" s="195"/>
      <c r="BU1092" s="195"/>
    </row>
    <row r="1093" ht="15.75" customHeight="1">
      <c r="A1093" s="1004"/>
      <c r="B1093" s="1004"/>
      <c r="C1093" s="1005"/>
      <c r="D1093" s="1005"/>
      <c r="E1093" s="977"/>
      <c r="F1093" s="1190"/>
      <c r="H1093" s="1190"/>
      <c r="J1093" s="1190"/>
      <c r="L1093" s="1190"/>
      <c r="O1093" s="1190"/>
      <c r="V1093" s="1189"/>
      <c r="X1093" s="1189"/>
      <c r="Z1093" s="1190"/>
      <c r="AB1093" s="1190"/>
      <c r="AH1093" s="701"/>
      <c r="AJ1093" s="701"/>
      <c r="BB1093" s="1190"/>
      <c r="BD1093" s="1190"/>
      <c r="BF1093" s="1190"/>
      <c r="BH1093" s="1190"/>
      <c r="BJ1093" s="1190"/>
      <c r="BN1093" s="206"/>
      <c r="BO1093" s="206"/>
      <c r="BP1093" s="206"/>
      <c r="BQ1093" s="195"/>
      <c r="BR1093" s="195"/>
      <c r="BS1093" s="195"/>
      <c r="BT1093" s="195"/>
      <c r="BU1093" s="195"/>
    </row>
    <row r="1094" ht="15.75" customHeight="1">
      <c r="A1094" s="1004"/>
      <c r="B1094" s="1004"/>
      <c r="C1094" s="1005"/>
      <c r="D1094" s="1005"/>
      <c r="E1094" s="977"/>
      <c r="F1094" s="1190"/>
      <c r="H1094" s="1190"/>
      <c r="J1094" s="1190"/>
      <c r="L1094" s="1190"/>
      <c r="O1094" s="1190"/>
      <c r="V1094" s="1189"/>
      <c r="X1094" s="1189"/>
      <c r="Z1094" s="1190"/>
      <c r="AB1094" s="1190"/>
      <c r="AH1094" s="701"/>
      <c r="AJ1094" s="701"/>
      <c r="BB1094" s="1190"/>
      <c r="BD1094" s="1190"/>
      <c r="BF1094" s="1190"/>
      <c r="BH1094" s="1190"/>
      <c r="BJ1094" s="1190"/>
      <c r="BN1094" s="206"/>
      <c r="BO1094" s="206"/>
      <c r="BP1094" s="206"/>
      <c r="BQ1094" s="195"/>
      <c r="BR1094" s="195"/>
      <c r="BS1094" s="195"/>
      <c r="BT1094" s="195"/>
      <c r="BU1094" s="195"/>
    </row>
    <row r="1095" ht="15.75" customHeight="1">
      <c r="A1095" s="1004"/>
      <c r="B1095" s="1004"/>
      <c r="C1095" s="1005"/>
      <c r="D1095" s="1005"/>
      <c r="E1095" s="977"/>
      <c r="F1095" s="1190"/>
      <c r="H1095" s="1190"/>
      <c r="J1095" s="1190"/>
      <c r="L1095" s="1190"/>
      <c r="O1095" s="1190"/>
      <c r="V1095" s="1189"/>
      <c r="X1095" s="1189"/>
      <c r="Z1095" s="1190"/>
      <c r="AB1095" s="1190"/>
      <c r="AH1095" s="701"/>
      <c r="AJ1095" s="701"/>
      <c r="BB1095" s="1190"/>
      <c r="BD1095" s="1190"/>
      <c r="BF1095" s="1190"/>
      <c r="BH1095" s="1190"/>
      <c r="BJ1095" s="1190"/>
      <c r="BN1095" s="206"/>
      <c r="BO1095" s="206"/>
      <c r="BP1095" s="206"/>
      <c r="BQ1095" s="195"/>
      <c r="BR1095" s="195"/>
      <c r="BS1095" s="195"/>
      <c r="BT1095" s="195"/>
      <c r="BU1095" s="195"/>
    </row>
    <row r="1096" ht="15.75" customHeight="1">
      <c r="A1096" s="1004"/>
      <c r="B1096" s="1004"/>
      <c r="C1096" s="1005"/>
      <c r="D1096" s="1005"/>
      <c r="E1096" s="977"/>
      <c r="F1096" s="1190"/>
      <c r="H1096" s="1190"/>
      <c r="J1096" s="1190"/>
      <c r="L1096" s="1190"/>
      <c r="O1096" s="1190"/>
      <c r="V1096" s="1189"/>
      <c r="X1096" s="1189"/>
      <c r="Z1096" s="1190"/>
      <c r="AB1096" s="1190"/>
      <c r="AH1096" s="701"/>
      <c r="AJ1096" s="701"/>
      <c r="BB1096" s="1190"/>
      <c r="BD1096" s="1190"/>
      <c r="BF1096" s="1190"/>
      <c r="BH1096" s="1190"/>
      <c r="BJ1096" s="1190"/>
      <c r="BN1096" s="206"/>
      <c r="BO1096" s="206"/>
      <c r="BP1096" s="206"/>
      <c r="BQ1096" s="195"/>
      <c r="BR1096" s="195"/>
      <c r="BS1096" s="195"/>
      <c r="BT1096" s="195"/>
      <c r="BU1096" s="195"/>
    </row>
    <row r="1097" ht="15.75" customHeight="1">
      <c r="A1097" s="1004"/>
      <c r="B1097" s="1004"/>
      <c r="C1097" s="1005"/>
      <c r="D1097" s="1005"/>
      <c r="E1097" s="977"/>
      <c r="F1097" s="1190"/>
      <c r="H1097" s="1190"/>
      <c r="J1097" s="1190"/>
      <c r="L1097" s="1190"/>
      <c r="O1097" s="1190"/>
      <c r="V1097" s="1189"/>
      <c r="X1097" s="1189"/>
      <c r="Z1097" s="1190"/>
      <c r="AB1097" s="1190"/>
      <c r="AH1097" s="701"/>
      <c r="AJ1097" s="701"/>
      <c r="BB1097" s="1190"/>
      <c r="BD1097" s="1190"/>
      <c r="BF1097" s="1190"/>
      <c r="BH1097" s="1190"/>
      <c r="BJ1097" s="1190"/>
      <c r="BN1097" s="206"/>
      <c r="BO1097" s="206"/>
      <c r="BP1097" s="206"/>
      <c r="BQ1097" s="195"/>
      <c r="BR1097" s="195"/>
      <c r="BS1097" s="195"/>
      <c r="BT1097" s="195"/>
      <c r="BU1097" s="195"/>
    </row>
    <row r="1098" ht="15.75" customHeight="1">
      <c r="A1098" s="1004"/>
      <c r="B1098" s="1004"/>
      <c r="C1098" s="1005"/>
      <c r="D1098" s="1005"/>
      <c r="E1098" s="977"/>
      <c r="F1098" s="1190"/>
      <c r="H1098" s="1190"/>
      <c r="J1098" s="1190"/>
      <c r="L1098" s="1190"/>
      <c r="O1098" s="1190"/>
      <c r="V1098" s="1189"/>
      <c r="X1098" s="1189"/>
      <c r="Z1098" s="1190"/>
      <c r="AB1098" s="1190"/>
      <c r="AH1098" s="701"/>
      <c r="AJ1098" s="701"/>
      <c r="BB1098" s="1190"/>
      <c r="BD1098" s="1190"/>
      <c r="BF1098" s="1190"/>
      <c r="BH1098" s="1190"/>
      <c r="BJ1098" s="1190"/>
      <c r="BN1098" s="206"/>
      <c r="BO1098" s="206"/>
      <c r="BP1098" s="206"/>
      <c r="BQ1098" s="195"/>
      <c r="BR1098" s="195"/>
      <c r="BS1098" s="195"/>
      <c r="BT1098" s="195"/>
      <c r="BU1098" s="195"/>
    </row>
    <row r="1099" ht="15.75" customHeight="1">
      <c r="A1099" s="1004"/>
      <c r="B1099" s="1004"/>
      <c r="C1099" s="1005"/>
      <c r="D1099" s="1005"/>
      <c r="E1099" s="977"/>
      <c r="F1099" s="1190"/>
      <c r="H1099" s="1190"/>
      <c r="J1099" s="1190"/>
      <c r="L1099" s="1190"/>
      <c r="O1099" s="1190"/>
      <c r="V1099" s="1189"/>
      <c r="X1099" s="1189"/>
      <c r="Z1099" s="1190"/>
      <c r="AB1099" s="1190"/>
      <c r="AH1099" s="701"/>
      <c r="AJ1099" s="701"/>
      <c r="BB1099" s="1190"/>
      <c r="BD1099" s="1190"/>
      <c r="BF1099" s="1190"/>
      <c r="BH1099" s="1190"/>
      <c r="BJ1099" s="1190"/>
      <c r="BN1099" s="206"/>
      <c r="BO1099" s="206"/>
      <c r="BP1099" s="206"/>
      <c r="BQ1099" s="195"/>
      <c r="BR1099" s="195"/>
      <c r="BS1099" s="195"/>
      <c r="BT1099" s="195"/>
      <c r="BU1099" s="195"/>
    </row>
    <row r="1100" ht="15.75" customHeight="1">
      <c r="A1100" s="1004"/>
      <c r="B1100" s="1004"/>
      <c r="C1100" s="1005"/>
      <c r="D1100" s="1005"/>
      <c r="E1100" s="977"/>
      <c r="F1100" s="1190"/>
      <c r="H1100" s="1190"/>
      <c r="J1100" s="1190"/>
      <c r="L1100" s="1190"/>
      <c r="O1100" s="1190"/>
      <c r="V1100" s="1189"/>
      <c r="X1100" s="1189"/>
      <c r="Z1100" s="1190"/>
      <c r="AB1100" s="1190"/>
      <c r="AH1100" s="701"/>
      <c r="AJ1100" s="701"/>
      <c r="BB1100" s="1190"/>
      <c r="BD1100" s="1190"/>
      <c r="BF1100" s="1190"/>
      <c r="BH1100" s="1190"/>
      <c r="BJ1100" s="1190"/>
      <c r="BN1100" s="206"/>
      <c r="BO1100" s="206"/>
      <c r="BP1100" s="206"/>
      <c r="BQ1100" s="195"/>
      <c r="BR1100" s="195"/>
      <c r="BS1100" s="195"/>
      <c r="BT1100" s="195"/>
      <c r="BU1100" s="195"/>
    </row>
    <row r="1101" ht="15.75" customHeight="1">
      <c r="A1101" s="1004"/>
      <c r="B1101" s="1004"/>
      <c r="C1101" s="1005"/>
      <c r="D1101" s="1005"/>
      <c r="E1101" s="977"/>
      <c r="F1101" s="1190"/>
      <c r="H1101" s="1190"/>
      <c r="J1101" s="1190"/>
      <c r="L1101" s="1190"/>
      <c r="O1101" s="1190"/>
      <c r="V1101" s="1189"/>
      <c r="X1101" s="1189"/>
      <c r="Z1101" s="1190"/>
      <c r="AB1101" s="1190"/>
      <c r="AH1101" s="701"/>
      <c r="AJ1101" s="701"/>
      <c r="BB1101" s="1190"/>
      <c r="BD1101" s="1190"/>
      <c r="BF1101" s="1190"/>
      <c r="BH1101" s="1190"/>
      <c r="BJ1101" s="1190"/>
      <c r="BN1101" s="206"/>
      <c r="BO1101" s="206"/>
      <c r="BP1101" s="206"/>
      <c r="BQ1101" s="195"/>
      <c r="BR1101" s="195"/>
      <c r="BS1101" s="195"/>
      <c r="BT1101" s="195"/>
      <c r="BU1101" s="195"/>
    </row>
    <row r="1102" ht="15.75" customHeight="1">
      <c r="A1102" s="1004"/>
      <c r="B1102" s="1004"/>
      <c r="C1102" s="1005"/>
      <c r="D1102" s="1005"/>
      <c r="E1102" s="977"/>
      <c r="F1102" s="1190"/>
      <c r="H1102" s="1190"/>
      <c r="J1102" s="1190"/>
      <c r="L1102" s="1190"/>
      <c r="O1102" s="1190"/>
      <c r="V1102" s="1189"/>
      <c r="X1102" s="1189"/>
      <c r="Z1102" s="1190"/>
      <c r="AB1102" s="1190"/>
      <c r="AH1102" s="701"/>
      <c r="AJ1102" s="701"/>
      <c r="BB1102" s="1190"/>
      <c r="BD1102" s="1190"/>
      <c r="BF1102" s="1190"/>
      <c r="BH1102" s="1190"/>
      <c r="BJ1102" s="1190"/>
      <c r="BN1102" s="206"/>
      <c r="BO1102" s="206"/>
      <c r="BP1102" s="206"/>
      <c r="BQ1102" s="195"/>
      <c r="BR1102" s="195"/>
      <c r="BS1102" s="195"/>
      <c r="BT1102" s="195"/>
      <c r="BU1102" s="195"/>
    </row>
    <row r="1103" ht="15.75" customHeight="1">
      <c r="A1103" s="1004"/>
      <c r="B1103" s="1004"/>
      <c r="C1103" s="1005"/>
      <c r="D1103" s="1005"/>
      <c r="E1103" s="977"/>
      <c r="F1103" s="1190"/>
      <c r="H1103" s="1190"/>
      <c r="J1103" s="1190"/>
      <c r="L1103" s="1190"/>
      <c r="O1103" s="1190"/>
      <c r="V1103" s="1189"/>
      <c r="X1103" s="1189"/>
      <c r="Z1103" s="1190"/>
      <c r="AB1103" s="1190"/>
      <c r="AH1103" s="701"/>
      <c r="AJ1103" s="701"/>
      <c r="BB1103" s="1190"/>
      <c r="BD1103" s="1190"/>
      <c r="BF1103" s="1190"/>
      <c r="BH1103" s="1190"/>
      <c r="BJ1103" s="1190"/>
      <c r="BN1103" s="206"/>
      <c r="BO1103" s="206"/>
      <c r="BP1103" s="206"/>
      <c r="BQ1103" s="195"/>
      <c r="BR1103" s="195"/>
      <c r="BS1103" s="195"/>
      <c r="BT1103" s="195"/>
      <c r="BU1103" s="195"/>
    </row>
    <row r="1104" ht="15.75" customHeight="1">
      <c r="A1104" s="1004"/>
      <c r="B1104" s="1004"/>
      <c r="C1104" s="1005"/>
      <c r="D1104" s="1005"/>
      <c r="E1104" s="977"/>
      <c r="F1104" s="1190"/>
      <c r="H1104" s="1190"/>
      <c r="J1104" s="1190"/>
      <c r="L1104" s="1190"/>
      <c r="O1104" s="1190"/>
      <c r="V1104" s="1189"/>
      <c r="X1104" s="1189"/>
      <c r="Z1104" s="1190"/>
      <c r="AB1104" s="1190"/>
      <c r="AH1104" s="701"/>
      <c r="AJ1104" s="701"/>
      <c r="BB1104" s="1190"/>
      <c r="BD1104" s="1190"/>
      <c r="BF1104" s="1190"/>
      <c r="BH1104" s="1190"/>
      <c r="BJ1104" s="1190"/>
      <c r="BN1104" s="206"/>
      <c r="BO1104" s="206"/>
      <c r="BP1104" s="206"/>
      <c r="BQ1104" s="195"/>
      <c r="BR1104" s="195"/>
      <c r="BS1104" s="195"/>
      <c r="BT1104" s="195"/>
      <c r="BU1104" s="195"/>
    </row>
    <row r="1105" ht="15.75" customHeight="1">
      <c r="A1105" s="1004"/>
      <c r="B1105" s="1004"/>
      <c r="C1105" s="1005"/>
      <c r="D1105" s="1005"/>
      <c r="E1105" s="977"/>
      <c r="F1105" s="1190"/>
      <c r="H1105" s="1190"/>
      <c r="J1105" s="1190"/>
      <c r="L1105" s="1190"/>
      <c r="O1105" s="1190"/>
      <c r="V1105" s="1189"/>
      <c r="X1105" s="1189"/>
      <c r="Z1105" s="1190"/>
      <c r="AB1105" s="1190"/>
      <c r="AH1105" s="701"/>
      <c r="AJ1105" s="701"/>
      <c r="BB1105" s="1190"/>
      <c r="BD1105" s="1190"/>
      <c r="BF1105" s="1190"/>
      <c r="BH1105" s="1190"/>
      <c r="BJ1105" s="1190"/>
      <c r="BN1105" s="206"/>
      <c r="BO1105" s="206"/>
      <c r="BP1105" s="206"/>
      <c r="BQ1105" s="195"/>
      <c r="BR1105" s="195"/>
      <c r="BS1105" s="195"/>
      <c r="BT1105" s="195"/>
      <c r="BU1105" s="195"/>
    </row>
    <row r="1106" ht="15.75" customHeight="1">
      <c r="A1106" s="1004"/>
      <c r="B1106" s="1004"/>
      <c r="C1106" s="1005"/>
      <c r="D1106" s="1005"/>
      <c r="E1106" s="977"/>
      <c r="F1106" s="1190"/>
      <c r="H1106" s="1190"/>
      <c r="J1106" s="1190"/>
      <c r="L1106" s="1190"/>
      <c r="O1106" s="1190"/>
      <c r="V1106" s="1189"/>
      <c r="X1106" s="1189"/>
      <c r="Z1106" s="1190"/>
      <c r="AB1106" s="1190"/>
      <c r="AH1106" s="701"/>
      <c r="AJ1106" s="701"/>
      <c r="BB1106" s="1190"/>
      <c r="BD1106" s="1190"/>
      <c r="BF1106" s="1190"/>
      <c r="BH1106" s="1190"/>
      <c r="BJ1106" s="1190"/>
      <c r="BN1106" s="206"/>
      <c r="BO1106" s="206"/>
      <c r="BP1106" s="206"/>
      <c r="BQ1106" s="195"/>
      <c r="BR1106" s="195"/>
      <c r="BS1106" s="195"/>
      <c r="BT1106" s="195"/>
      <c r="BU1106" s="195"/>
    </row>
    <row r="1107" ht="15.75" customHeight="1">
      <c r="A1107" s="1004"/>
      <c r="B1107" s="1004"/>
      <c r="C1107" s="1005"/>
      <c r="D1107" s="1005"/>
      <c r="E1107" s="977"/>
      <c r="F1107" s="1190"/>
      <c r="H1107" s="1190"/>
      <c r="J1107" s="1190"/>
      <c r="L1107" s="1190"/>
      <c r="O1107" s="1190"/>
      <c r="V1107" s="1189"/>
      <c r="X1107" s="1189"/>
      <c r="Z1107" s="1190"/>
      <c r="AB1107" s="1190"/>
      <c r="AH1107" s="701"/>
      <c r="AJ1107" s="701"/>
      <c r="BB1107" s="1190"/>
      <c r="BD1107" s="1190"/>
      <c r="BF1107" s="1190"/>
      <c r="BH1107" s="1190"/>
      <c r="BJ1107" s="1190"/>
      <c r="BN1107" s="206"/>
      <c r="BO1107" s="206"/>
      <c r="BP1107" s="206"/>
      <c r="BQ1107" s="195"/>
      <c r="BR1107" s="195"/>
      <c r="BS1107" s="195"/>
      <c r="BT1107" s="195"/>
      <c r="BU1107" s="195"/>
    </row>
    <row r="1108" ht="15.75" customHeight="1">
      <c r="A1108" s="1004"/>
      <c r="B1108" s="1004"/>
      <c r="C1108" s="1005"/>
      <c r="D1108" s="1005"/>
      <c r="E1108" s="977"/>
      <c r="F1108" s="1190"/>
      <c r="H1108" s="1190"/>
      <c r="J1108" s="1190"/>
      <c r="L1108" s="1190"/>
      <c r="O1108" s="1190"/>
      <c r="V1108" s="1189"/>
      <c r="X1108" s="1189"/>
      <c r="Z1108" s="1190"/>
      <c r="AB1108" s="1190"/>
      <c r="AH1108" s="701"/>
      <c r="AJ1108" s="701"/>
      <c r="BB1108" s="1190"/>
      <c r="BD1108" s="1190"/>
      <c r="BF1108" s="1190"/>
      <c r="BH1108" s="1190"/>
      <c r="BJ1108" s="1190"/>
      <c r="BN1108" s="206"/>
      <c r="BO1108" s="206"/>
      <c r="BP1108" s="206"/>
      <c r="BQ1108" s="195"/>
      <c r="BR1108" s="195"/>
      <c r="BS1108" s="195"/>
      <c r="BT1108" s="195"/>
      <c r="BU1108" s="195"/>
    </row>
    <row r="1109" ht="15.75" customHeight="1">
      <c r="A1109" s="1004"/>
      <c r="B1109" s="1004"/>
      <c r="C1109" s="1005"/>
      <c r="D1109" s="1005"/>
      <c r="E1109" s="977"/>
      <c r="F1109" s="1190"/>
      <c r="H1109" s="1190"/>
      <c r="J1109" s="1190"/>
      <c r="L1109" s="1190"/>
      <c r="O1109" s="1190"/>
      <c r="V1109" s="1189"/>
      <c r="X1109" s="1189"/>
      <c r="Z1109" s="1190"/>
      <c r="AB1109" s="1190"/>
      <c r="AH1109" s="701"/>
      <c r="AJ1109" s="701"/>
      <c r="BB1109" s="1190"/>
      <c r="BD1109" s="1190"/>
      <c r="BF1109" s="1190"/>
      <c r="BH1109" s="1190"/>
      <c r="BJ1109" s="1190"/>
      <c r="BN1109" s="206"/>
      <c r="BO1109" s="206"/>
      <c r="BP1109" s="206"/>
      <c r="BQ1109" s="195"/>
      <c r="BR1109" s="195"/>
      <c r="BS1109" s="195"/>
      <c r="BT1109" s="195"/>
      <c r="BU1109" s="195"/>
    </row>
    <row r="1110" ht="15.75" customHeight="1">
      <c r="A1110" s="1004"/>
      <c r="B1110" s="1004"/>
      <c r="C1110" s="1005"/>
      <c r="D1110" s="1005"/>
      <c r="E1110" s="977"/>
      <c r="F1110" s="1190"/>
      <c r="H1110" s="1190"/>
      <c r="J1110" s="1190"/>
      <c r="L1110" s="1190"/>
      <c r="O1110" s="1190"/>
      <c r="V1110" s="1189"/>
      <c r="X1110" s="1189"/>
      <c r="Z1110" s="1190"/>
      <c r="AB1110" s="1190"/>
      <c r="AH1110" s="701"/>
      <c r="AJ1110" s="701"/>
      <c r="BB1110" s="1190"/>
      <c r="BD1110" s="1190"/>
      <c r="BF1110" s="1190"/>
      <c r="BH1110" s="1190"/>
      <c r="BJ1110" s="1190"/>
      <c r="BN1110" s="206"/>
      <c r="BO1110" s="206"/>
      <c r="BP1110" s="206"/>
      <c r="BQ1110" s="195"/>
      <c r="BR1110" s="195"/>
      <c r="BS1110" s="195"/>
      <c r="BT1110" s="195"/>
      <c r="BU1110" s="195"/>
    </row>
    <row r="1111" ht="15.75" customHeight="1">
      <c r="A1111" s="1004"/>
      <c r="B1111" s="1004"/>
      <c r="C1111" s="1005"/>
      <c r="D1111" s="1005"/>
      <c r="E1111" s="977"/>
      <c r="F1111" s="1190"/>
      <c r="H1111" s="1190"/>
      <c r="J1111" s="1190"/>
      <c r="L1111" s="1190"/>
      <c r="O1111" s="1190"/>
      <c r="V1111" s="1189"/>
      <c r="X1111" s="1189"/>
      <c r="Z1111" s="1190"/>
      <c r="AB1111" s="1190"/>
      <c r="AH1111" s="701"/>
      <c r="AJ1111" s="701"/>
      <c r="BB1111" s="1190"/>
      <c r="BD1111" s="1190"/>
      <c r="BF1111" s="1190"/>
      <c r="BH1111" s="1190"/>
      <c r="BJ1111" s="1190"/>
      <c r="BN1111" s="206"/>
      <c r="BO1111" s="206"/>
      <c r="BP1111" s="206"/>
      <c r="BQ1111" s="195"/>
      <c r="BR1111" s="195"/>
      <c r="BS1111" s="195"/>
      <c r="BT1111" s="195"/>
      <c r="BU1111" s="195"/>
    </row>
    <row r="1112" ht="15.75" customHeight="1">
      <c r="A1112" s="1004"/>
      <c r="B1112" s="1004"/>
      <c r="C1112" s="1005"/>
      <c r="D1112" s="1005"/>
      <c r="E1112" s="977"/>
      <c r="F1112" s="1190"/>
      <c r="H1112" s="1190"/>
      <c r="J1112" s="1190"/>
      <c r="L1112" s="1190"/>
      <c r="O1112" s="1190"/>
      <c r="V1112" s="1189"/>
      <c r="X1112" s="1189"/>
      <c r="Z1112" s="1190"/>
      <c r="AB1112" s="1190"/>
      <c r="AH1112" s="701"/>
      <c r="AJ1112" s="701"/>
      <c r="BB1112" s="1190"/>
      <c r="BD1112" s="1190"/>
      <c r="BF1112" s="1190"/>
      <c r="BH1112" s="1190"/>
      <c r="BJ1112" s="1190"/>
      <c r="BN1112" s="206"/>
      <c r="BO1112" s="206"/>
      <c r="BP1112" s="206"/>
      <c r="BQ1112" s="195"/>
      <c r="BR1112" s="195"/>
      <c r="BS1112" s="195"/>
      <c r="BT1112" s="195"/>
      <c r="BU1112" s="195"/>
    </row>
    <row r="1113" ht="15.75" customHeight="1">
      <c r="A1113" s="1004"/>
      <c r="B1113" s="1004"/>
      <c r="C1113" s="1005"/>
      <c r="D1113" s="1005"/>
      <c r="E1113" s="977"/>
      <c r="F1113" s="1190"/>
      <c r="H1113" s="1190"/>
      <c r="J1113" s="1190"/>
      <c r="L1113" s="1190"/>
      <c r="O1113" s="1190"/>
      <c r="V1113" s="1189"/>
      <c r="X1113" s="1189"/>
      <c r="Z1113" s="1190"/>
      <c r="AB1113" s="1190"/>
      <c r="AH1113" s="701"/>
      <c r="AJ1113" s="701"/>
      <c r="BB1113" s="1190"/>
      <c r="BD1113" s="1190"/>
      <c r="BF1113" s="1190"/>
      <c r="BH1113" s="1190"/>
      <c r="BJ1113" s="1190"/>
      <c r="BN1113" s="206"/>
      <c r="BO1113" s="206"/>
      <c r="BP1113" s="206"/>
      <c r="BQ1113" s="195"/>
      <c r="BR1113" s="195"/>
      <c r="BS1113" s="195"/>
      <c r="BT1113" s="195"/>
      <c r="BU1113" s="195"/>
    </row>
    <row r="1114" ht="15.75" customHeight="1">
      <c r="A1114" s="1004"/>
      <c r="B1114" s="1004"/>
      <c r="C1114" s="1005"/>
      <c r="D1114" s="1005"/>
      <c r="E1114" s="977"/>
      <c r="F1114" s="1190"/>
      <c r="H1114" s="1190"/>
      <c r="J1114" s="1190"/>
      <c r="L1114" s="1190"/>
      <c r="O1114" s="1190"/>
      <c r="V1114" s="1189"/>
      <c r="X1114" s="1189"/>
      <c r="Z1114" s="1190"/>
      <c r="AB1114" s="1190"/>
      <c r="AH1114" s="701"/>
      <c r="AJ1114" s="701"/>
      <c r="BB1114" s="1190"/>
      <c r="BD1114" s="1190"/>
      <c r="BF1114" s="1190"/>
      <c r="BH1114" s="1190"/>
      <c r="BJ1114" s="1190"/>
      <c r="BN1114" s="206"/>
      <c r="BO1114" s="206"/>
      <c r="BP1114" s="206"/>
      <c r="BQ1114" s="195"/>
      <c r="BR1114" s="195"/>
      <c r="BS1114" s="195"/>
      <c r="BT1114" s="195"/>
      <c r="BU1114" s="195"/>
    </row>
    <row r="1115" ht="15.75" customHeight="1">
      <c r="A1115" s="1004"/>
      <c r="B1115" s="1004"/>
      <c r="C1115" s="1005"/>
      <c r="D1115" s="1005"/>
      <c r="E1115" s="977"/>
      <c r="F1115" s="1190"/>
      <c r="H1115" s="1190"/>
      <c r="J1115" s="1190"/>
      <c r="L1115" s="1190"/>
      <c r="O1115" s="1190"/>
      <c r="V1115" s="1189"/>
      <c r="X1115" s="1189"/>
      <c r="Z1115" s="1190"/>
      <c r="AB1115" s="1190"/>
      <c r="AH1115" s="701"/>
      <c r="AJ1115" s="701"/>
      <c r="BB1115" s="1190"/>
      <c r="BD1115" s="1190"/>
      <c r="BF1115" s="1190"/>
      <c r="BH1115" s="1190"/>
      <c r="BJ1115" s="1190"/>
      <c r="BN1115" s="206"/>
      <c r="BO1115" s="206"/>
      <c r="BP1115" s="206"/>
      <c r="BQ1115" s="195"/>
      <c r="BR1115" s="195"/>
      <c r="BS1115" s="195"/>
      <c r="BT1115" s="195"/>
      <c r="BU1115" s="195"/>
    </row>
    <row r="1116" ht="15.75" customHeight="1">
      <c r="A1116" s="1004"/>
      <c r="B1116" s="1004"/>
      <c r="C1116" s="1005"/>
      <c r="D1116" s="1005"/>
      <c r="E1116" s="977"/>
      <c r="F1116" s="1190"/>
      <c r="H1116" s="1190"/>
      <c r="J1116" s="1190"/>
      <c r="L1116" s="1190"/>
      <c r="O1116" s="1190"/>
      <c r="V1116" s="1189"/>
      <c r="X1116" s="1189"/>
      <c r="Z1116" s="1190"/>
      <c r="AB1116" s="1190"/>
      <c r="AH1116" s="701"/>
      <c r="AJ1116" s="701"/>
      <c r="BB1116" s="1190"/>
      <c r="BD1116" s="1190"/>
      <c r="BF1116" s="1190"/>
      <c r="BH1116" s="1190"/>
      <c r="BJ1116" s="1190"/>
      <c r="BN1116" s="206"/>
      <c r="BO1116" s="206"/>
      <c r="BP1116" s="206"/>
      <c r="BQ1116" s="195"/>
      <c r="BR1116" s="195"/>
      <c r="BS1116" s="195"/>
      <c r="BT1116" s="195"/>
      <c r="BU1116" s="195"/>
    </row>
    <row r="1117" ht="15.75" customHeight="1">
      <c r="A1117" s="1004"/>
      <c r="B1117" s="1004"/>
      <c r="C1117" s="1005"/>
      <c r="D1117" s="1005"/>
      <c r="E1117" s="977"/>
      <c r="F1117" s="1190"/>
      <c r="H1117" s="1190"/>
      <c r="J1117" s="1190"/>
      <c r="L1117" s="1190"/>
      <c r="O1117" s="1190"/>
      <c r="V1117" s="1189"/>
      <c r="X1117" s="1189"/>
      <c r="Z1117" s="1190"/>
      <c r="AB1117" s="1190"/>
      <c r="AH1117" s="701"/>
      <c r="AJ1117" s="701"/>
      <c r="BB1117" s="1190"/>
      <c r="BD1117" s="1190"/>
      <c r="BF1117" s="1190"/>
      <c r="BH1117" s="1190"/>
      <c r="BJ1117" s="1190"/>
      <c r="BN1117" s="206"/>
      <c r="BO1117" s="206"/>
      <c r="BP1117" s="206"/>
      <c r="BQ1117" s="195"/>
      <c r="BR1117" s="195"/>
      <c r="BS1117" s="195"/>
      <c r="BT1117" s="195"/>
      <c r="BU1117" s="195"/>
    </row>
    <row r="1118" ht="15.75" customHeight="1">
      <c r="A1118" s="1004"/>
      <c r="B1118" s="1004"/>
      <c r="C1118" s="1005"/>
      <c r="D1118" s="1005"/>
      <c r="E1118" s="977"/>
      <c r="F1118" s="1190"/>
      <c r="H1118" s="1190"/>
      <c r="J1118" s="1190"/>
      <c r="L1118" s="1190"/>
      <c r="O1118" s="1190"/>
      <c r="V1118" s="1189"/>
      <c r="X1118" s="1189"/>
      <c r="Z1118" s="1190"/>
      <c r="AB1118" s="1190"/>
      <c r="AH1118" s="701"/>
      <c r="AJ1118" s="701"/>
      <c r="BB1118" s="1190"/>
      <c r="BD1118" s="1190"/>
      <c r="BF1118" s="1190"/>
      <c r="BH1118" s="1190"/>
      <c r="BJ1118" s="1190"/>
      <c r="BN1118" s="206"/>
      <c r="BO1118" s="206"/>
      <c r="BP1118" s="206"/>
      <c r="BQ1118" s="195"/>
      <c r="BR1118" s="195"/>
      <c r="BS1118" s="195"/>
      <c r="BT1118" s="195"/>
      <c r="BU1118" s="195"/>
    </row>
    <row r="1119" ht="15.75" customHeight="1">
      <c r="A1119" s="1004"/>
      <c r="B1119" s="1004"/>
      <c r="C1119" s="1005"/>
      <c r="D1119" s="1005"/>
      <c r="E1119" s="977"/>
      <c r="F1119" s="1190"/>
      <c r="H1119" s="1190"/>
      <c r="J1119" s="1190"/>
      <c r="L1119" s="1190"/>
      <c r="O1119" s="1190"/>
      <c r="V1119" s="1189"/>
      <c r="X1119" s="1189"/>
      <c r="Z1119" s="1190"/>
      <c r="AB1119" s="1190"/>
      <c r="AH1119" s="701"/>
      <c r="AJ1119" s="701"/>
      <c r="BB1119" s="1190"/>
      <c r="BD1119" s="1190"/>
      <c r="BF1119" s="1190"/>
      <c r="BH1119" s="1190"/>
      <c r="BJ1119" s="1190"/>
      <c r="BN1119" s="206"/>
      <c r="BO1119" s="206"/>
      <c r="BP1119" s="206"/>
      <c r="BQ1119" s="195"/>
      <c r="BR1119" s="195"/>
      <c r="BS1119" s="195"/>
      <c r="BT1119" s="195"/>
      <c r="BU1119" s="195"/>
    </row>
    <row r="1120" ht="15.75" customHeight="1">
      <c r="A1120" s="1004"/>
      <c r="B1120" s="1004"/>
      <c r="C1120" s="1005"/>
      <c r="D1120" s="1005"/>
      <c r="E1120" s="977"/>
      <c r="F1120" s="1190"/>
      <c r="H1120" s="1190"/>
      <c r="J1120" s="1190"/>
      <c r="L1120" s="1190"/>
      <c r="O1120" s="1190"/>
      <c r="V1120" s="1189"/>
      <c r="X1120" s="1189"/>
      <c r="Z1120" s="1190"/>
      <c r="AB1120" s="1190"/>
      <c r="AH1120" s="701"/>
      <c r="AJ1120" s="701"/>
      <c r="BB1120" s="1190"/>
      <c r="BD1120" s="1190"/>
      <c r="BF1120" s="1190"/>
      <c r="BH1120" s="1190"/>
      <c r="BJ1120" s="1190"/>
      <c r="BN1120" s="206"/>
      <c r="BO1120" s="206"/>
      <c r="BP1120" s="206"/>
      <c r="BQ1120" s="195"/>
      <c r="BR1120" s="195"/>
      <c r="BS1120" s="195"/>
      <c r="BT1120" s="195"/>
      <c r="BU1120" s="195"/>
    </row>
    <row r="1121" ht="15.75" customHeight="1">
      <c r="A1121" s="1004"/>
      <c r="B1121" s="1004"/>
      <c r="C1121" s="1005"/>
      <c r="D1121" s="1005"/>
      <c r="E1121" s="977"/>
      <c r="F1121" s="1190"/>
      <c r="H1121" s="1190"/>
      <c r="J1121" s="1190"/>
      <c r="L1121" s="1190"/>
      <c r="O1121" s="1190"/>
      <c r="V1121" s="1189"/>
      <c r="X1121" s="1189"/>
      <c r="Z1121" s="1190"/>
      <c r="AB1121" s="1190"/>
      <c r="AH1121" s="701"/>
      <c r="AJ1121" s="701"/>
      <c r="BB1121" s="1190"/>
      <c r="BD1121" s="1190"/>
      <c r="BF1121" s="1190"/>
      <c r="BH1121" s="1190"/>
      <c r="BJ1121" s="1190"/>
      <c r="BN1121" s="206"/>
      <c r="BO1121" s="206"/>
      <c r="BP1121" s="206"/>
      <c r="BQ1121" s="195"/>
      <c r="BR1121" s="195"/>
      <c r="BS1121" s="195"/>
      <c r="BT1121" s="195"/>
      <c r="BU1121" s="195"/>
    </row>
    <row r="1122" ht="15.75" customHeight="1">
      <c r="A1122" s="1004"/>
      <c r="B1122" s="1004"/>
      <c r="C1122" s="1005"/>
      <c r="D1122" s="1005"/>
      <c r="E1122" s="977"/>
      <c r="F1122" s="1190"/>
      <c r="H1122" s="1190"/>
      <c r="J1122" s="1190"/>
      <c r="L1122" s="1190"/>
      <c r="O1122" s="1190"/>
      <c r="V1122" s="1189"/>
      <c r="X1122" s="1189"/>
      <c r="Z1122" s="1190"/>
      <c r="AB1122" s="1190"/>
      <c r="AH1122" s="701"/>
      <c r="AJ1122" s="701"/>
      <c r="BB1122" s="1190"/>
      <c r="BD1122" s="1190"/>
      <c r="BF1122" s="1190"/>
      <c r="BH1122" s="1190"/>
      <c r="BJ1122" s="1190"/>
      <c r="BN1122" s="206"/>
      <c r="BO1122" s="206"/>
      <c r="BP1122" s="206"/>
      <c r="BQ1122" s="195"/>
      <c r="BR1122" s="195"/>
      <c r="BS1122" s="195"/>
      <c r="BT1122" s="195"/>
      <c r="BU1122" s="195"/>
    </row>
    <row r="1123" ht="15.75" customHeight="1">
      <c r="A1123" s="1004"/>
      <c r="B1123" s="1004"/>
      <c r="C1123" s="1005"/>
      <c r="D1123" s="1005"/>
      <c r="E1123" s="977"/>
      <c r="F1123" s="1190"/>
      <c r="H1123" s="1190"/>
      <c r="J1123" s="1190"/>
      <c r="L1123" s="1190"/>
      <c r="O1123" s="1190"/>
      <c r="V1123" s="1189"/>
      <c r="X1123" s="1189"/>
      <c r="Z1123" s="1190"/>
      <c r="AB1123" s="1190"/>
      <c r="AH1123" s="701"/>
      <c r="AJ1123" s="701"/>
      <c r="BB1123" s="1190"/>
      <c r="BD1123" s="1190"/>
      <c r="BF1123" s="1190"/>
      <c r="BH1123" s="1190"/>
      <c r="BJ1123" s="1190"/>
      <c r="BN1123" s="206"/>
      <c r="BO1123" s="206"/>
      <c r="BP1123" s="206"/>
      <c r="BQ1123" s="195"/>
      <c r="BR1123" s="195"/>
      <c r="BS1123" s="195"/>
      <c r="BT1123" s="195"/>
      <c r="BU1123" s="195"/>
    </row>
    <row r="1124" ht="15.75" customHeight="1">
      <c r="A1124" s="1004"/>
      <c r="B1124" s="1004"/>
      <c r="C1124" s="1005"/>
      <c r="D1124" s="1005"/>
      <c r="E1124" s="977"/>
      <c r="F1124" s="1190"/>
      <c r="H1124" s="1190"/>
      <c r="J1124" s="1190"/>
      <c r="L1124" s="1190"/>
      <c r="O1124" s="1190"/>
      <c r="V1124" s="1189"/>
      <c r="X1124" s="1189"/>
      <c r="Z1124" s="1190"/>
      <c r="AB1124" s="1190"/>
      <c r="AH1124" s="701"/>
      <c r="AJ1124" s="701"/>
      <c r="BB1124" s="1190"/>
      <c r="BD1124" s="1190"/>
      <c r="BF1124" s="1190"/>
      <c r="BH1124" s="1190"/>
      <c r="BJ1124" s="1190"/>
      <c r="BN1124" s="206"/>
      <c r="BO1124" s="206"/>
      <c r="BP1124" s="206"/>
      <c r="BQ1124" s="195"/>
      <c r="BR1124" s="195"/>
      <c r="BS1124" s="195"/>
      <c r="BT1124" s="195"/>
      <c r="BU1124" s="195"/>
    </row>
    <row r="1125" ht="15.75" customHeight="1">
      <c r="A1125" s="1004"/>
      <c r="B1125" s="1004"/>
      <c r="C1125" s="1005"/>
      <c r="D1125" s="1005"/>
      <c r="E1125" s="977"/>
      <c r="F1125" s="1190"/>
      <c r="H1125" s="1190"/>
      <c r="J1125" s="1190"/>
      <c r="L1125" s="1190"/>
      <c r="O1125" s="1190"/>
      <c r="V1125" s="1189"/>
      <c r="X1125" s="1189"/>
      <c r="Z1125" s="1190"/>
      <c r="AB1125" s="1190"/>
      <c r="AH1125" s="701"/>
      <c r="AJ1125" s="701"/>
      <c r="BB1125" s="1190"/>
      <c r="BD1125" s="1190"/>
      <c r="BF1125" s="1190"/>
      <c r="BH1125" s="1190"/>
      <c r="BJ1125" s="1190"/>
      <c r="BN1125" s="206"/>
      <c r="BO1125" s="206"/>
      <c r="BP1125" s="206"/>
      <c r="BQ1125" s="195"/>
      <c r="BR1125" s="195"/>
      <c r="BS1125" s="195"/>
      <c r="BT1125" s="195"/>
      <c r="BU1125" s="195"/>
    </row>
    <row r="1126" ht="15.75" customHeight="1">
      <c r="A1126" s="1004"/>
      <c r="B1126" s="1004"/>
      <c r="C1126" s="1005"/>
      <c r="D1126" s="1005"/>
      <c r="E1126" s="977"/>
      <c r="F1126" s="1190"/>
      <c r="H1126" s="1190"/>
      <c r="J1126" s="1190"/>
      <c r="L1126" s="1190"/>
      <c r="O1126" s="1190"/>
      <c r="V1126" s="1189"/>
      <c r="X1126" s="1189"/>
      <c r="Z1126" s="1190"/>
      <c r="AB1126" s="1190"/>
      <c r="AH1126" s="701"/>
      <c r="AJ1126" s="701"/>
      <c r="BB1126" s="1190"/>
      <c r="BD1126" s="1190"/>
      <c r="BF1126" s="1190"/>
      <c r="BH1126" s="1190"/>
      <c r="BJ1126" s="1190"/>
      <c r="BN1126" s="206"/>
      <c r="BO1126" s="206"/>
      <c r="BP1126" s="206"/>
      <c r="BQ1126" s="195"/>
      <c r="BR1126" s="195"/>
      <c r="BS1126" s="195"/>
      <c r="BT1126" s="195"/>
      <c r="BU1126" s="195"/>
    </row>
    <row r="1127" ht="15.75" customHeight="1">
      <c r="A1127" s="1004"/>
      <c r="B1127" s="1004"/>
      <c r="C1127" s="1005"/>
      <c r="D1127" s="1005"/>
      <c r="E1127" s="977"/>
      <c r="F1127" s="1190"/>
      <c r="H1127" s="1190"/>
      <c r="J1127" s="1190"/>
      <c r="L1127" s="1190"/>
      <c r="O1127" s="1190"/>
      <c r="V1127" s="1189"/>
      <c r="X1127" s="1189"/>
      <c r="Z1127" s="1190"/>
      <c r="AB1127" s="1190"/>
      <c r="AH1127" s="701"/>
      <c r="AJ1127" s="701"/>
      <c r="BB1127" s="1190"/>
      <c r="BD1127" s="1190"/>
      <c r="BF1127" s="1190"/>
      <c r="BH1127" s="1190"/>
      <c r="BJ1127" s="1190"/>
      <c r="BN1127" s="206"/>
      <c r="BO1127" s="206"/>
      <c r="BP1127" s="206"/>
      <c r="BQ1127" s="195"/>
      <c r="BR1127" s="195"/>
      <c r="BS1127" s="195"/>
      <c r="BT1127" s="195"/>
      <c r="BU1127" s="195"/>
    </row>
    <row r="1128" ht="15.75" customHeight="1">
      <c r="A1128" s="1004"/>
      <c r="B1128" s="1004"/>
      <c r="C1128" s="1005"/>
      <c r="D1128" s="1005"/>
      <c r="E1128" s="977"/>
      <c r="F1128" s="1190"/>
      <c r="H1128" s="1190"/>
      <c r="J1128" s="1190"/>
      <c r="L1128" s="1190"/>
      <c r="O1128" s="1190"/>
      <c r="V1128" s="1189"/>
      <c r="X1128" s="1189"/>
      <c r="Z1128" s="1190"/>
      <c r="AB1128" s="1190"/>
      <c r="AH1128" s="701"/>
      <c r="AJ1128" s="701"/>
      <c r="BB1128" s="1190"/>
      <c r="BD1128" s="1190"/>
      <c r="BF1128" s="1190"/>
      <c r="BH1128" s="1190"/>
      <c r="BJ1128" s="1190"/>
      <c r="BN1128" s="206"/>
      <c r="BO1128" s="206"/>
      <c r="BP1128" s="206"/>
      <c r="BQ1128" s="195"/>
      <c r="BR1128" s="195"/>
      <c r="BS1128" s="195"/>
      <c r="BT1128" s="195"/>
      <c r="BU1128" s="195"/>
    </row>
    <row r="1129" ht="15.75" customHeight="1">
      <c r="A1129" s="1004"/>
      <c r="B1129" s="1004"/>
      <c r="C1129" s="1005"/>
      <c r="D1129" s="1005"/>
      <c r="E1129" s="977"/>
      <c r="F1129" s="1190"/>
      <c r="H1129" s="1190"/>
      <c r="J1129" s="1190"/>
      <c r="L1129" s="1190"/>
      <c r="O1129" s="1190"/>
      <c r="V1129" s="1189"/>
      <c r="X1129" s="1189"/>
      <c r="Z1129" s="1190"/>
      <c r="AB1129" s="1190"/>
      <c r="AH1129" s="701"/>
      <c r="AJ1129" s="701"/>
      <c r="BB1129" s="1190"/>
      <c r="BD1129" s="1190"/>
      <c r="BF1129" s="1190"/>
      <c r="BH1129" s="1190"/>
      <c r="BJ1129" s="1190"/>
      <c r="BN1129" s="206"/>
      <c r="BO1129" s="206"/>
      <c r="BP1129" s="206"/>
      <c r="BQ1129" s="195"/>
      <c r="BR1129" s="195"/>
      <c r="BS1129" s="195"/>
      <c r="BT1129" s="195"/>
      <c r="BU1129" s="195"/>
    </row>
    <row r="1130" ht="15.75" customHeight="1">
      <c r="A1130" s="1004"/>
      <c r="B1130" s="1004"/>
      <c r="C1130" s="1005"/>
      <c r="D1130" s="1005"/>
      <c r="E1130" s="977"/>
      <c r="F1130" s="1190"/>
      <c r="H1130" s="1190"/>
      <c r="J1130" s="1190"/>
      <c r="L1130" s="1190"/>
      <c r="O1130" s="1190"/>
      <c r="V1130" s="1189"/>
      <c r="X1130" s="1189"/>
      <c r="Z1130" s="1190"/>
      <c r="AB1130" s="1190"/>
      <c r="AH1130" s="701"/>
      <c r="AJ1130" s="701"/>
      <c r="BB1130" s="1190"/>
      <c r="BD1130" s="1190"/>
      <c r="BF1130" s="1190"/>
      <c r="BH1130" s="1190"/>
      <c r="BJ1130" s="1190"/>
      <c r="BN1130" s="206"/>
      <c r="BO1130" s="206"/>
      <c r="BP1130" s="206"/>
      <c r="BQ1130" s="195"/>
      <c r="BR1130" s="195"/>
      <c r="BS1130" s="195"/>
      <c r="BT1130" s="195"/>
      <c r="BU1130" s="195"/>
    </row>
    <row r="1131" ht="15.75" customHeight="1">
      <c r="A1131" s="1004"/>
      <c r="B1131" s="1004"/>
      <c r="C1131" s="1005"/>
      <c r="D1131" s="1005"/>
      <c r="E1131" s="977"/>
      <c r="F1131" s="1190"/>
      <c r="H1131" s="1190"/>
      <c r="J1131" s="1190"/>
      <c r="L1131" s="1190"/>
      <c r="O1131" s="1190"/>
      <c r="V1131" s="1189"/>
      <c r="X1131" s="1189"/>
      <c r="Z1131" s="1190"/>
      <c r="AB1131" s="1190"/>
      <c r="AH1131" s="701"/>
      <c r="AJ1131" s="701"/>
      <c r="BB1131" s="1190"/>
      <c r="BD1131" s="1190"/>
      <c r="BF1131" s="1190"/>
      <c r="BH1131" s="1190"/>
      <c r="BJ1131" s="1190"/>
      <c r="BN1131" s="206"/>
      <c r="BO1131" s="206"/>
      <c r="BP1131" s="206"/>
      <c r="BQ1131" s="195"/>
      <c r="BR1131" s="195"/>
      <c r="BS1131" s="195"/>
      <c r="BT1131" s="195"/>
      <c r="BU1131" s="195"/>
    </row>
    <row r="1132" ht="15.75" customHeight="1">
      <c r="A1132" s="1004"/>
      <c r="B1132" s="1004"/>
      <c r="C1132" s="1005"/>
      <c r="D1132" s="1005"/>
      <c r="E1132" s="977"/>
      <c r="F1132" s="1190"/>
      <c r="H1132" s="1190"/>
      <c r="J1132" s="1190"/>
      <c r="L1132" s="1190"/>
      <c r="O1132" s="1190"/>
      <c r="V1132" s="1189"/>
      <c r="X1132" s="1189"/>
      <c r="Z1132" s="1190"/>
      <c r="AB1132" s="1190"/>
      <c r="AH1132" s="701"/>
      <c r="AJ1132" s="701"/>
      <c r="BB1132" s="1190"/>
      <c r="BD1132" s="1190"/>
      <c r="BF1132" s="1190"/>
      <c r="BH1132" s="1190"/>
      <c r="BJ1132" s="1190"/>
      <c r="BN1132" s="206"/>
      <c r="BO1132" s="206"/>
      <c r="BP1132" s="206"/>
      <c r="BQ1132" s="195"/>
      <c r="BR1132" s="195"/>
      <c r="BS1132" s="195"/>
      <c r="BT1132" s="195"/>
      <c r="BU1132" s="195"/>
    </row>
    <row r="1133" ht="15.75" customHeight="1">
      <c r="A1133" s="1004"/>
      <c r="B1133" s="1004"/>
      <c r="C1133" s="1005"/>
      <c r="D1133" s="1005"/>
      <c r="E1133" s="977"/>
      <c r="F1133" s="1190"/>
      <c r="H1133" s="1190"/>
      <c r="J1133" s="1190"/>
      <c r="L1133" s="1190"/>
      <c r="O1133" s="1190"/>
      <c r="V1133" s="1189"/>
      <c r="X1133" s="1189"/>
      <c r="Z1133" s="1190"/>
      <c r="AB1133" s="1190"/>
      <c r="AH1133" s="701"/>
      <c r="AJ1133" s="701"/>
      <c r="BB1133" s="1190"/>
      <c r="BD1133" s="1190"/>
      <c r="BF1133" s="1190"/>
      <c r="BH1133" s="1190"/>
      <c r="BJ1133" s="1190"/>
      <c r="BN1133" s="206"/>
      <c r="BO1133" s="206"/>
      <c r="BP1133" s="206"/>
      <c r="BQ1133" s="195"/>
      <c r="BR1133" s="195"/>
      <c r="BS1133" s="195"/>
      <c r="BT1133" s="195"/>
      <c r="BU1133" s="195"/>
    </row>
    <row r="1134" ht="15.75" customHeight="1">
      <c r="A1134" s="1004"/>
      <c r="B1134" s="1004"/>
      <c r="C1134" s="1005"/>
      <c r="D1134" s="1005"/>
      <c r="E1134" s="977"/>
      <c r="F1134" s="1190"/>
      <c r="H1134" s="1190"/>
      <c r="J1134" s="1190"/>
      <c r="L1134" s="1190"/>
      <c r="O1134" s="1190"/>
      <c r="V1134" s="1189"/>
      <c r="X1134" s="1189"/>
      <c r="Z1134" s="1190"/>
      <c r="AB1134" s="1190"/>
      <c r="AH1134" s="701"/>
      <c r="AJ1134" s="701"/>
      <c r="BB1134" s="1190"/>
      <c r="BD1134" s="1190"/>
      <c r="BF1134" s="1190"/>
      <c r="BH1134" s="1190"/>
      <c r="BJ1134" s="1190"/>
      <c r="BN1134" s="206"/>
      <c r="BO1134" s="206"/>
      <c r="BP1134" s="206"/>
      <c r="BQ1134" s="195"/>
      <c r="BR1134" s="195"/>
      <c r="BS1134" s="195"/>
      <c r="BT1134" s="195"/>
      <c r="BU1134" s="195"/>
    </row>
    <row r="1135" ht="15.75" customHeight="1">
      <c r="A1135" s="1004"/>
      <c r="B1135" s="1004"/>
      <c r="C1135" s="1005"/>
      <c r="D1135" s="1005"/>
      <c r="E1135" s="977"/>
      <c r="F1135" s="1190"/>
      <c r="H1135" s="1190"/>
      <c r="J1135" s="1190"/>
      <c r="L1135" s="1190"/>
      <c r="O1135" s="1190"/>
      <c r="V1135" s="1189"/>
      <c r="X1135" s="1189"/>
      <c r="Z1135" s="1190"/>
      <c r="AB1135" s="1190"/>
      <c r="AH1135" s="701"/>
      <c r="AJ1135" s="701"/>
      <c r="BB1135" s="1190"/>
      <c r="BD1135" s="1190"/>
      <c r="BF1135" s="1190"/>
      <c r="BH1135" s="1190"/>
      <c r="BJ1135" s="1190"/>
      <c r="BN1135" s="206"/>
      <c r="BO1135" s="206"/>
      <c r="BP1135" s="206"/>
      <c r="BQ1135" s="195"/>
      <c r="BR1135" s="195"/>
      <c r="BS1135" s="195"/>
      <c r="BT1135" s="195"/>
      <c r="BU1135" s="195"/>
    </row>
    <row r="1136" ht="15.75" customHeight="1">
      <c r="A1136" s="1004"/>
      <c r="B1136" s="1004"/>
      <c r="C1136" s="1005"/>
      <c r="D1136" s="1005"/>
      <c r="E1136" s="977"/>
      <c r="F1136" s="1190"/>
      <c r="H1136" s="1190"/>
      <c r="J1136" s="1190"/>
      <c r="L1136" s="1190"/>
      <c r="O1136" s="1190"/>
      <c r="V1136" s="1189"/>
      <c r="X1136" s="1189"/>
      <c r="Z1136" s="1190"/>
      <c r="AB1136" s="1190"/>
      <c r="AH1136" s="701"/>
      <c r="AJ1136" s="701"/>
      <c r="BB1136" s="1190"/>
      <c r="BD1136" s="1190"/>
      <c r="BF1136" s="1190"/>
      <c r="BH1136" s="1190"/>
      <c r="BJ1136" s="1190"/>
      <c r="BN1136" s="206"/>
      <c r="BO1136" s="206"/>
      <c r="BP1136" s="206"/>
      <c r="BQ1136" s="195"/>
      <c r="BR1136" s="195"/>
      <c r="BS1136" s="195"/>
      <c r="BT1136" s="195"/>
      <c r="BU1136" s="195"/>
    </row>
    <row r="1137" ht="15.75" customHeight="1">
      <c r="A1137" s="1004"/>
      <c r="B1137" s="1004"/>
      <c r="C1137" s="1005"/>
      <c r="D1137" s="1005"/>
      <c r="E1137" s="977"/>
      <c r="F1137" s="1190"/>
      <c r="H1137" s="1190"/>
      <c r="J1137" s="1190"/>
      <c r="L1137" s="1190"/>
      <c r="O1137" s="1190"/>
      <c r="V1137" s="1189"/>
      <c r="X1137" s="1189"/>
      <c r="Z1137" s="1190"/>
      <c r="AB1137" s="1190"/>
      <c r="AH1137" s="701"/>
      <c r="AJ1137" s="701"/>
      <c r="BB1137" s="1190"/>
      <c r="BD1137" s="1190"/>
      <c r="BF1137" s="1190"/>
      <c r="BH1137" s="1190"/>
      <c r="BJ1137" s="1190"/>
      <c r="BN1137" s="206"/>
      <c r="BO1137" s="206"/>
      <c r="BP1137" s="206"/>
      <c r="BQ1137" s="195"/>
      <c r="BR1137" s="195"/>
      <c r="BS1137" s="195"/>
      <c r="BT1137" s="195"/>
      <c r="BU1137" s="195"/>
    </row>
    <row r="1138" ht="15.75" customHeight="1">
      <c r="A1138" s="1004"/>
      <c r="B1138" s="1004"/>
      <c r="C1138" s="1005"/>
      <c r="D1138" s="1005"/>
      <c r="E1138" s="977"/>
      <c r="F1138" s="1190"/>
      <c r="H1138" s="1190"/>
      <c r="J1138" s="1190"/>
      <c r="L1138" s="1190"/>
      <c r="O1138" s="1190"/>
      <c r="V1138" s="1189"/>
      <c r="X1138" s="1189"/>
      <c r="Z1138" s="1190"/>
      <c r="AB1138" s="1190"/>
      <c r="AH1138" s="701"/>
      <c r="AJ1138" s="701"/>
      <c r="BB1138" s="1190"/>
      <c r="BD1138" s="1190"/>
      <c r="BF1138" s="1190"/>
      <c r="BH1138" s="1190"/>
      <c r="BJ1138" s="1190"/>
      <c r="BN1138" s="206"/>
      <c r="BO1138" s="206"/>
      <c r="BP1138" s="206"/>
      <c r="BQ1138" s="195"/>
      <c r="BR1138" s="195"/>
      <c r="BS1138" s="195"/>
      <c r="BT1138" s="195"/>
      <c r="BU1138" s="195"/>
    </row>
    <row r="1139" ht="15.75" customHeight="1">
      <c r="A1139" s="1004"/>
      <c r="B1139" s="1004"/>
      <c r="C1139" s="1005"/>
      <c r="D1139" s="1005"/>
      <c r="E1139" s="977"/>
      <c r="F1139" s="1190"/>
      <c r="H1139" s="1190"/>
      <c r="J1139" s="1190"/>
      <c r="L1139" s="1190"/>
      <c r="O1139" s="1190"/>
      <c r="V1139" s="1189"/>
      <c r="X1139" s="1189"/>
      <c r="Z1139" s="1190"/>
      <c r="AB1139" s="1190"/>
      <c r="AH1139" s="701"/>
      <c r="AJ1139" s="701"/>
      <c r="BB1139" s="1190"/>
      <c r="BD1139" s="1190"/>
      <c r="BF1139" s="1190"/>
      <c r="BH1139" s="1190"/>
      <c r="BJ1139" s="1190"/>
      <c r="BN1139" s="206"/>
      <c r="BO1139" s="206"/>
      <c r="BP1139" s="206"/>
      <c r="BQ1139" s="195"/>
      <c r="BR1139" s="195"/>
      <c r="BS1139" s="195"/>
      <c r="BT1139" s="195"/>
      <c r="BU1139" s="195"/>
    </row>
    <row r="1140" ht="15.75" customHeight="1">
      <c r="A1140" s="1004"/>
      <c r="B1140" s="1004"/>
      <c r="C1140" s="1005"/>
      <c r="D1140" s="1005"/>
      <c r="E1140" s="977"/>
      <c r="F1140" s="1190"/>
      <c r="H1140" s="1190"/>
      <c r="J1140" s="1190"/>
      <c r="L1140" s="1190"/>
      <c r="O1140" s="1190"/>
      <c r="V1140" s="1189"/>
      <c r="X1140" s="1189"/>
      <c r="Z1140" s="1190"/>
      <c r="AB1140" s="1190"/>
      <c r="AH1140" s="701"/>
      <c r="AJ1140" s="701"/>
      <c r="BB1140" s="1190"/>
      <c r="BD1140" s="1190"/>
      <c r="BF1140" s="1190"/>
      <c r="BH1140" s="1190"/>
      <c r="BJ1140" s="1190"/>
      <c r="BN1140" s="206"/>
      <c r="BO1140" s="206"/>
      <c r="BP1140" s="206"/>
      <c r="BQ1140" s="195"/>
      <c r="BR1140" s="195"/>
      <c r="BS1140" s="195"/>
      <c r="BT1140" s="195"/>
      <c r="BU1140" s="195"/>
    </row>
    <row r="1141" ht="15.75" customHeight="1">
      <c r="A1141" s="1004"/>
      <c r="B1141" s="1004"/>
      <c r="C1141" s="1005"/>
      <c r="D1141" s="1005"/>
      <c r="E1141" s="977"/>
      <c r="F1141" s="1190"/>
      <c r="H1141" s="1190"/>
      <c r="J1141" s="1190"/>
      <c r="L1141" s="1190"/>
      <c r="O1141" s="1190"/>
      <c r="V1141" s="1189"/>
      <c r="X1141" s="1189"/>
      <c r="Z1141" s="1190"/>
      <c r="AB1141" s="1190"/>
      <c r="AH1141" s="701"/>
      <c r="AJ1141" s="701"/>
      <c r="BB1141" s="1190"/>
      <c r="BD1141" s="1190"/>
      <c r="BF1141" s="1190"/>
      <c r="BH1141" s="1190"/>
      <c r="BJ1141" s="1190"/>
      <c r="BN1141" s="206"/>
      <c r="BO1141" s="206"/>
      <c r="BP1141" s="206"/>
      <c r="BQ1141" s="195"/>
      <c r="BR1141" s="195"/>
      <c r="BS1141" s="195"/>
      <c r="BT1141" s="195"/>
      <c r="BU1141" s="195"/>
    </row>
    <row r="1142" ht="15.75" customHeight="1">
      <c r="A1142" s="1004"/>
      <c r="B1142" s="1004"/>
      <c r="C1142" s="1005"/>
      <c r="D1142" s="1005"/>
      <c r="E1142" s="977"/>
      <c r="F1142" s="1190"/>
      <c r="H1142" s="1190"/>
      <c r="J1142" s="1190"/>
      <c r="L1142" s="1190"/>
      <c r="O1142" s="1190"/>
      <c r="V1142" s="1189"/>
      <c r="X1142" s="1189"/>
      <c r="Z1142" s="1190"/>
      <c r="AB1142" s="1190"/>
      <c r="AH1142" s="701"/>
      <c r="AJ1142" s="701"/>
      <c r="BB1142" s="1190"/>
      <c r="BD1142" s="1190"/>
      <c r="BF1142" s="1190"/>
      <c r="BH1142" s="1190"/>
      <c r="BJ1142" s="1190"/>
      <c r="BN1142" s="206"/>
      <c r="BO1142" s="206"/>
      <c r="BP1142" s="206"/>
      <c r="BQ1142" s="195"/>
      <c r="BR1142" s="195"/>
      <c r="BS1142" s="195"/>
      <c r="BT1142" s="195"/>
      <c r="BU1142" s="195"/>
    </row>
  </sheetData>
  <mergeCells count="4420">
    <mergeCell ref="F122:G122"/>
    <mergeCell ref="H122:I122"/>
    <mergeCell ref="J122:K122"/>
    <mergeCell ref="L122:M122"/>
    <mergeCell ref="N122:O122"/>
    <mergeCell ref="P122:Q122"/>
    <mergeCell ref="R122:S122"/>
    <mergeCell ref="A125:B125"/>
    <mergeCell ref="T122:U122"/>
    <mergeCell ref="V122:W122"/>
    <mergeCell ref="X122:Y122"/>
    <mergeCell ref="Z122:AA122"/>
    <mergeCell ref="AB122:AC122"/>
    <mergeCell ref="AD122:AE122"/>
    <mergeCell ref="AF122:AG122"/>
    <mergeCell ref="AF123:AG123"/>
    <mergeCell ref="BJ122:BK122"/>
    <mergeCell ref="BL122:BM122"/>
    <mergeCell ref="BL123:BM123"/>
    <mergeCell ref="BN123:BO123"/>
    <mergeCell ref="AV122:AW122"/>
    <mergeCell ref="AX122:AY122"/>
    <mergeCell ref="AZ122:BA122"/>
    <mergeCell ref="BB122:BC122"/>
    <mergeCell ref="BD122:BE122"/>
    <mergeCell ref="BF122:BG122"/>
    <mergeCell ref="BH122:BI122"/>
    <mergeCell ref="AN123:AO123"/>
    <mergeCell ref="AP123:AQ123"/>
    <mergeCell ref="AR123:AS123"/>
    <mergeCell ref="AN124:AO124"/>
    <mergeCell ref="AP124:AQ124"/>
    <mergeCell ref="AR124:AS124"/>
    <mergeCell ref="AH122:AI122"/>
    <mergeCell ref="AJ122:AK122"/>
    <mergeCell ref="AL122:AM122"/>
    <mergeCell ref="AN122:AO122"/>
    <mergeCell ref="AP122:AQ122"/>
    <mergeCell ref="AR122:AS122"/>
    <mergeCell ref="AT122:AU122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P158:Q158"/>
    <mergeCell ref="R158:S158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AJ158:AK158"/>
    <mergeCell ref="AL158:AM158"/>
    <mergeCell ref="AN158:AO158"/>
    <mergeCell ref="AP158:AQ158"/>
    <mergeCell ref="BF158:BG158"/>
    <mergeCell ref="BH158:BI158"/>
    <mergeCell ref="BJ158:BK158"/>
    <mergeCell ref="BL158:BM158"/>
    <mergeCell ref="BN158:BO158"/>
    <mergeCell ref="AR158:AS158"/>
    <mergeCell ref="AT158:AU158"/>
    <mergeCell ref="AV158:AW158"/>
    <mergeCell ref="AX158:AY158"/>
    <mergeCell ref="AZ158:BA158"/>
    <mergeCell ref="BB158:BC158"/>
    <mergeCell ref="BD158:BE158"/>
    <mergeCell ref="A157:B157"/>
    <mergeCell ref="C157:D157"/>
    <mergeCell ref="F158:G158"/>
    <mergeCell ref="H158:I158"/>
    <mergeCell ref="J158:K158"/>
    <mergeCell ref="L158:M158"/>
    <mergeCell ref="N158:O158"/>
    <mergeCell ref="AV115:AW115"/>
    <mergeCell ref="AX115:AY115"/>
    <mergeCell ref="AH115:AI115"/>
    <mergeCell ref="AJ115:AK115"/>
    <mergeCell ref="AL115:AM115"/>
    <mergeCell ref="AN115:AO115"/>
    <mergeCell ref="AP115:AQ115"/>
    <mergeCell ref="AR115:AS115"/>
    <mergeCell ref="AT115:AU115"/>
    <mergeCell ref="AZ116:BA116"/>
    <mergeCell ref="BB116:BC116"/>
    <mergeCell ref="AL116:AM116"/>
    <mergeCell ref="AN116:AO116"/>
    <mergeCell ref="AP116:AQ116"/>
    <mergeCell ref="AR116:AS116"/>
    <mergeCell ref="AT116:AU116"/>
    <mergeCell ref="AV116:AW116"/>
    <mergeCell ref="AX116:AY116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L114:AM114"/>
    <mergeCell ref="AN114:AO114"/>
    <mergeCell ref="AP114:AQ114"/>
    <mergeCell ref="AR114:AS114"/>
    <mergeCell ref="AT114:AU114"/>
    <mergeCell ref="BJ114:BK114"/>
    <mergeCell ref="BL114:BM114"/>
    <mergeCell ref="BN114:BO114"/>
    <mergeCell ref="F114:G114"/>
    <mergeCell ref="H114:I114"/>
    <mergeCell ref="J114:K114"/>
    <mergeCell ref="L114:M114"/>
    <mergeCell ref="N114:O114"/>
    <mergeCell ref="P114:Q114"/>
    <mergeCell ref="R114:S114"/>
    <mergeCell ref="AV114:AW114"/>
    <mergeCell ref="AX114:AY114"/>
    <mergeCell ref="AZ114:BA114"/>
    <mergeCell ref="BB114:BC114"/>
    <mergeCell ref="BD114:BE114"/>
    <mergeCell ref="BF114:BG114"/>
    <mergeCell ref="BH114:BI114"/>
    <mergeCell ref="F116:G116"/>
    <mergeCell ref="H116:I116"/>
    <mergeCell ref="J116:K116"/>
    <mergeCell ref="L116:M116"/>
    <mergeCell ref="N116:O116"/>
    <mergeCell ref="P116:Q116"/>
    <mergeCell ref="R116:S116"/>
    <mergeCell ref="BD115:BE115"/>
    <mergeCell ref="BD116:BE116"/>
    <mergeCell ref="BF116:BG116"/>
    <mergeCell ref="BH116:BI116"/>
    <mergeCell ref="BJ116:BK116"/>
    <mergeCell ref="BL116:BM116"/>
    <mergeCell ref="BN116:BO116"/>
    <mergeCell ref="AZ115:BA115"/>
    <mergeCell ref="BB115:BC115"/>
    <mergeCell ref="BF115:BG115"/>
    <mergeCell ref="BH115:BI115"/>
    <mergeCell ref="BJ115:BK115"/>
    <mergeCell ref="BL115:BM115"/>
    <mergeCell ref="BN115:BO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AJ117:AK117"/>
    <mergeCell ref="AL117:AM117"/>
    <mergeCell ref="AN117:AO117"/>
    <mergeCell ref="AP117:AQ117"/>
    <mergeCell ref="AR117:AS117"/>
    <mergeCell ref="AT117:AU117"/>
    <mergeCell ref="BJ117:BK117"/>
    <mergeCell ref="BL117:BM117"/>
    <mergeCell ref="BN117:BO117"/>
    <mergeCell ref="AV117:AW117"/>
    <mergeCell ref="AX117:AY117"/>
    <mergeCell ref="AZ117:BA117"/>
    <mergeCell ref="BB117:BC117"/>
    <mergeCell ref="BD117:BE117"/>
    <mergeCell ref="BF117:BG117"/>
    <mergeCell ref="BH117:BI117"/>
    <mergeCell ref="F117:G117"/>
    <mergeCell ref="H117:I117"/>
    <mergeCell ref="J117:K117"/>
    <mergeCell ref="L117:M117"/>
    <mergeCell ref="N117:O117"/>
    <mergeCell ref="P117:Q117"/>
    <mergeCell ref="R117:S117"/>
    <mergeCell ref="AV119:AW119"/>
    <mergeCell ref="AX119:AY119"/>
    <mergeCell ref="AH119:AI119"/>
    <mergeCell ref="AJ119:AK119"/>
    <mergeCell ref="AL119:AM119"/>
    <mergeCell ref="AN119:AO119"/>
    <mergeCell ref="AP119:AQ119"/>
    <mergeCell ref="AR119:AS119"/>
    <mergeCell ref="AT119:AU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AL121:AM121"/>
    <mergeCell ref="AN121:AO121"/>
    <mergeCell ref="AP121:AQ121"/>
    <mergeCell ref="AR121:AS121"/>
    <mergeCell ref="AT121:AU121"/>
    <mergeCell ref="BJ121:BK121"/>
    <mergeCell ref="BL121:BM121"/>
    <mergeCell ref="BN121:BO121"/>
    <mergeCell ref="AV121:AW121"/>
    <mergeCell ref="AX121:AY121"/>
    <mergeCell ref="AZ121:BA121"/>
    <mergeCell ref="BB121:BC121"/>
    <mergeCell ref="BD121:BE121"/>
    <mergeCell ref="BF121:BG121"/>
    <mergeCell ref="BH121:BI121"/>
    <mergeCell ref="F121:G121"/>
    <mergeCell ref="H121:I121"/>
    <mergeCell ref="J121:K121"/>
    <mergeCell ref="L121:M121"/>
    <mergeCell ref="N121:O121"/>
    <mergeCell ref="P121:Q121"/>
    <mergeCell ref="R121:S121"/>
    <mergeCell ref="AV160:AW160"/>
    <mergeCell ref="AX160:AY160"/>
    <mergeCell ref="AH160:AI160"/>
    <mergeCell ref="AJ160:AK160"/>
    <mergeCell ref="AL160:AM160"/>
    <mergeCell ref="AN160:AO160"/>
    <mergeCell ref="AP160:AQ160"/>
    <mergeCell ref="AR160:AS160"/>
    <mergeCell ref="AT160:AU160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L163:AM163"/>
    <mergeCell ref="AN163:AO163"/>
    <mergeCell ref="AP163:AQ163"/>
    <mergeCell ref="AR163:AS163"/>
    <mergeCell ref="AT163:AU163"/>
    <mergeCell ref="BJ163:BK163"/>
    <mergeCell ref="BL163:BM163"/>
    <mergeCell ref="BN163:BO163"/>
    <mergeCell ref="F163:G163"/>
    <mergeCell ref="H163:I163"/>
    <mergeCell ref="J163:K163"/>
    <mergeCell ref="L163:M163"/>
    <mergeCell ref="N163:O163"/>
    <mergeCell ref="P163:Q163"/>
    <mergeCell ref="R163:S163"/>
    <mergeCell ref="AV163:AW163"/>
    <mergeCell ref="AX163:AY163"/>
    <mergeCell ref="AZ163:BA163"/>
    <mergeCell ref="BB163:BC163"/>
    <mergeCell ref="BD163:BE163"/>
    <mergeCell ref="BF163:BG163"/>
    <mergeCell ref="BH163:BI163"/>
    <mergeCell ref="F165:G165"/>
    <mergeCell ref="H165:I165"/>
    <mergeCell ref="J165:K165"/>
    <mergeCell ref="L165:M165"/>
    <mergeCell ref="N165:O165"/>
    <mergeCell ref="P165:Q165"/>
    <mergeCell ref="R165:S165"/>
    <mergeCell ref="BD164:BE164"/>
    <mergeCell ref="BD165:BE165"/>
    <mergeCell ref="BF165:BG165"/>
    <mergeCell ref="BH165:BI165"/>
    <mergeCell ref="BJ165:BK165"/>
    <mergeCell ref="BL165:BM165"/>
    <mergeCell ref="BN165:BO165"/>
    <mergeCell ref="AZ164:BA164"/>
    <mergeCell ref="BB164:BC164"/>
    <mergeCell ref="BF164:BG164"/>
    <mergeCell ref="BH164:BI164"/>
    <mergeCell ref="BJ164:BK164"/>
    <mergeCell ref="BL164:BM164"/>
    <mergeCell ref="BN164:BO164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AZ161:BA161"/>
    <mergeCell ref="BB161:BC161"/>
    <mergeCell ref="AL161:AM161"/>
    <mergeCell ref="AN161:AO161"/>
    <mergeCell ref="AP161:AQ161"/>
    <mergeCell ref="AR161:AS161"/>
    <mergeCell ref="AT161:AU161"/>
    <mergeCell ref="AV161:AW161"/>
    <mergeCell ref="AX161:AY161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L159:AM159"/>
    <mergeCell ref="AN159:AO159"/>
    <mergeCell ref="AP159:AQ159"/>
    <mergeCell ref="AR159:AS159"/>
    <mergeCell ref="AT159:AU159"/>
    <mergeCell ref="BJ159:BK159"/>
    <mergeCell ref="BL159:BM159"/>
    <mergeCell ref="BN159:BO159"/>
    <mergeCell ref="F159:G159"/>
    <mergeCell ref="H159:I159"/>
    <mergeCell ref="J159:K159"/>
    <mergeCell ref="L159:M159"/>
    <mergeCell ref="N159:O159"/>
    <mergeCell ref="P159:Q159"/>
    <mergeCell ref="R159:S159"/>
    <mergeCell ref="AV159:AW159"/>
    <mergeCell ref="AX159:AY159"/>
    <mergeCell ref="AZ159:BA159"/>
    <mergeCell ref="BB159:BC159"/>
    <mergeCell ref="BD159:BE159"/>
    <mergeCell ref="BF159:BG159"/>
    <mergeCell ref="BH159:BI159"/>
    <mergeCell ref="F161:G161"/>
    <mergeCell ref="H161:I161"/>
    <mergeCell ref="J161:K161"/>
    <mergeCell ref="L161:M161"/>
    <mergeCell ref="N161:O161"/>
    <mergeCell ref="P161:Q161"/>
    <mergeCell ref="R161:S161"/>
    <mergeCell ref="BD160:BE160"/>
    <mergeCell ref="BD161:BE161"/>
    <mergeCell ref="BF161:BG161"/>
    <mergeCell ref="BH161:BI161"/>
    <mergeCell ref="BJ161:BK161"/>
    <mergeCell ref="BL161:BM161"/>
    <mergeCell ref="BN161:BO161"/>
    <mergeCell ref="AZ160:BA160"/>
    <mergeCell ref="BB160:BC160"/>
    <mergeCell ref="BF160:BG160"/>
    <mergeCell ref="BH160:BI160"/>
    <mergeCell ref="BJ160:BK160"/>
    <mergeCell ref="BL160:BM160"/>
    <mergeCell ref="BN160:BO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AJ162:AK162"/>
    <mergeCell ref="AL162:AM162"/>
    <mergeCell ref="AN162:AO162"/>
    <mergeCell ref="AP162:AQ162"/>
    <mergeCell ref="AR162:AS162"/>
    <mergeCell ref="AT162:AU162"/>
    <mergeCell ref="BJ162:BK162"/>
    <mergeCell ref="BL162:BM162"/>
    <mergeCell ref="BN162:BO162"/>
    <mergeCell ref="AV162:AW162"/>
    <mergeCell ref="AX162:AY162"/>
    <mergeCell ref="AZ162:BA162"/>
    <mergeCell ref="BB162:BC162"/>
    <mergeCell ref="BD162:BE162"/>
    <mergeCell ref="BF162:BG162"/>
    <mergeCell ref="BH162:BI162"/>
    <mergeCell ref="F162:G162"/>
    <mergeCell ref="H162:I162"/>
    <mergeCell ref="J162:K162"/>
    <mergeCell ref="L162:M162"/>
    <mergeCell ref="N162:O162"/>
    <mergeCell ref="P162:Q162"/>
    <mergeCell ref="R162:S162"/>
    <mergeCell ref="AV164:AW164"/>
    <mergeCell ref="AX164:AY164"/>
    <mergeCell ref="AH164:AI164"/>
    <mergeCell ref="AJ164:AK164"/>
    <mergeCell ref="AL164:AM164"/>
    <mergeCell ref="AN164:AO164"/>
    <mergeCell ref="AP164:AQ164"/>
    <mergeCell ref="AR164:AS164"/>
    <mergeCell ref="AT164:AU164"/>
    <mergeCell ref="AZ165:BA165"/>
    <mergeCell ref="BB165:BC165"/>
    <mergeCell ref="AL165:AM165"/>
    <mergeCell ref="AN165:AO165"/>
    <mergeCell ref="AP165:AQ165"/>
    <mergeCell ref="AR165:AS165"/>
    <mergeCell ref="AT165:AU165"/>
    <mergeCell ref="AV165:AW165"/>
    <mergeCell ref="AX165:AY165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AJ166:AK166"/>
    <mergeCell ref="AL166:AM166"/>
    <mergeCell ref="AN166:AO166"/>
    <mergeCell ref="AP166:AQ166"/>
    <mergeCell ref="AR166:AS166"/>
    <mergeCell ref="AT166:AU166"/>
    <mergeCell ref="BJ166:BK166"/>
    <mergeCell ref="BL166:BM166"/>
    <mergeCell ref="BN166:BO166"/>
    <mergeCell ref="AV166:AW166"/>
    <mergeCell ref="AX166:AY166"/>
    <mergeCell ref="AZ166:BA166"/>
    <mergeCell ref="BB166:BC166"/>
    <mergeCell ref="BD166:BE166"/>
    <mergeCell ref="BF166:BG166"/>
    <mergeCell ref="BH166:BI166"/>
    <mergeCell ref="F166:G166"/>
    <mergeCell ref="H166:I166"/>
    <mergeCell ref="J166:K166"/>
    <mergeCell ref="L166:M166"/>
    <mergeCell ref="N166:O166"/>
    <mergeCell ref="P166:Q166"/>
    <mergeCell ref="R166:S166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Z173:BA173"/>
    <mergeCell ref="BB173:BC173"/>
    <mergeCell ref="AL173:AM173"/>
    <mergeCell ref="AN173:AO173"/>
    <mergeCell ref="AP173:AQ173"/>
    <mergeCell ref="AR173:AS173"/>
    <mergeCell ref="AT173:AU173"/>
    <mergeCell ref="AV173:AW173"/>
    <mergeCell ref="AX173:AY173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AJ171:AK171"/>
    <mergeCell ref="AL171:AM171"/>
    <mergeCell ref="AN171:AO171"/>
    <mergeCell ref="AP171:AQ171"/>
    <mergeCell ref="AR171:AS171"/>
    <mergeCell ref="AT171:AU171"/>
    <mergeCell ref="BJ171:BK171"/>
    <mergeCell ref="BL171:BM171"/>
    <mergeCell ref="BN171:BO171"/>
    <mergeCell ref="F171:G171"/>
    <mergeCell ref="H171:I171"/>
    <mergeCell ref="J171:K171"/>
    <mergeCell ref="L171:M171"/>
    <mergeCell ref="N171:O171"/>
    <mergeCell ref="P171:Q171"/>
    <mergeCell ref="R171:S171"/>
    <mergeCell ref="AV171:AW171"/>
    <mergeCell ref="AX171:AY171"/>
    <mergeCell ref="AZ171:BA171"/>
    <mergeCell ref="BB171:BC171"/>
    <mergeCell ref="BD171:BE171"/>
    <mergeCell ref="BF171:BG171"/>
    <mergeCell ref="BH171:BI171"/>
    <mergeCell ref="F173:G173"/>
    <mergeCell ref="H173:I173"/>
    <mergeCell ref="J173:K173"/>
    <mergeCell ref="L173:M173"/>
    <mergeCell ref="N173:O173"/>
    <mergeCell ref="P173:Q173"/>
    <mergeCell ref="R173:S173"/>
    <mergeCell ref="BD172:BE172"/>
    <mergeCell ref="BD173:BE173"/>
    <mergeCell ref="BF173:BG173"/>
    <mergeCell ref="BH173:BI173"/>
    <mergeCell ref="BJ173:BK173"/>
    <mergeCell ref="BL173:BM173"/>
    <mergeCell ref="BN173:BO173"/>
    <mergeCell ref="AZ172:BA172"/>
    <mergeCell ref="BB172:BC172"/>
    <mergeCell ref="BF172:BG172"/>
    <mergeCell ref="BH172:BI172"/>
    <mergeCell ref="BJ172:BK172"/>
    <mergeCell ref="BL172:BM172"/>
    <mergeCell ref="BN172:BO172"/>
    <mergeCell ref="AV168:AW168"/>
    <mergeCell ref="AX168:AY168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Z169:BA169"/>
    <mergeCell ref="BB169:BC169"/>
    <mergeCell ref="AL169:AM169"/>
    <mergeCell ref="AN169:AO169"/>
    <mergeCell ref="AP169:AQ169"/>
    <mergeCell ref="AR169:AS169"/>
    <mergeCell ref="AT169:AU169"/>
    <mergeCell ref="AV169:AW169"/>
    <mergeCell ref="AX169:AY169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AJ167:AK167"/>
    <mergeCell ref="AL167:AM167"/>
    <mergeCell ref="AN167:AO167"/>
    <mergeCell ref="AP167:AQ167"/>
    <mergeCell ref="AR167:AS167"/>
    <mergeCell ref="AT167:AU167"/>
    <mergeCell ref="BJ167:BK167"/>
    <mergeCell ref="BL167:BM167"/>
    <mergeCell ref="BN167:BO167"/>
    <mergeCell ref="F167:G167"/>
    <mergeCell ref="H167:I167"/>
    <mergeCell ref="J167:K167"/>
    <mergeCell ref="L167:M167"/>
    <mergeCell ref="N167:O167"/>
    <mergeCell ref="P167:Q167"/>
    <mergeCell ref="R167:S167"/>
    <mergeCell ref="AV167:AW167"/>
    <mergeCell ref="AX167:AY167"/>
    <mergeCell ref="AZ167:BA167"/>
    <mergeCell ref="BB167:BC167"/>
    <mergeCell ref="BD167:BE167"/>
    <mergeCell ref="BF167:BG167"/>
    <mergeCell ref="BH167:BI167"/>
    <mergeCell ref="F169:G169"/>
    <mergeCell ref="H169:I169"/>
    <mergeCell ref="J169:K169"/>
    <mergeCell ref="L169:M169"/>
    <mergeCell ref="N169:O169"/>
    <mergeCell ref="P169:Q169"/>
    <mergeCell ref="R169:S169"/>
    <mergeCell ref="BD168:BE168"/>
    <mergeCell ref="BD169:BE169"/>
    <mergeCell ref="BF169:BG169"/>
    <mergeCell ref="BH169:BI169"/>
    <mergeCell ref="BJ169:BK169"/>
    <mergeCell ref="BL169:BM169"/>
    <mergeCell ref="BN169:BO169"/>
    <mergeCell ref="AZ168:BA168"/>
    <mergeCell ref="BB168:BC168"/>
    <mergeCell ref="BF168:BG168"/>
    <mergeCell ref="BH168:BI168"/>
    <mergeCell ref="BJ168:BK168"/>
    <mergeCell ref="BL168:BM168"/>
    <mergeCell ref="BN168:BO168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BJ170:BK170"/>
    <mergeCell ref="BL170:BM170"/>
    <mergeCell ref="BN170:BO170"/>
    <mergeCell ref="AV170:AW170"/>
    <mergeCell ref="AX170:AY170"/>
    <mergeCell ref="AZ170:BA170"/>
    <mergeCell ref="BB170:BC170"/>
    <mergeCell ref="BD170:BE170"/>
    <mergeCell ref="BF170:BG170"/>
    <mergeCell ref="BH170:BI170"/>
    <mergeCell ref="F170:G170"/>
    <mergeCell ref="H170:I170"/>
    <mergeCell ref="J170:K170"/>
    <mergeCell ref="L170:M170"/>
    <mergeCell ref="N170:O170"/>
    <mergeCell ref="P170:Q170"/>
    <mergeCell ref="R170:S170"/>
    <mergeCell ref="AV172:AW172"/>
    <mergeCell ref="AX172:AY172"/>
    <mergeCell ref="AH172:AI172"/>
    <mergeCell ref="AJ172:AK172"/>
    <mergeCell ref="AL172:AM172"/>
    <mergeCell ref="AN172:AO172"/>
    <mergeCell ref="AP172:AQ172"/>
    <mergeCell ref="AR172:AS172"/>
    <mergeCell ref="AT172:AU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AJ174:AK174"/>
    <mergeCell ref="AL174:AM174"/>
    <mergeCell ref="AN174:AO174"/>
    <mergeCell ref="AP174:AQ174"/>
    <mergeCell ref="AR174:AS174"/>
    <mergeCell ref="AT174:AU174"/>
    <mergeCell ref="BJ174:BK174"/>
    <mergeCell ref="BL174:BM174"/>
    <mergeCell ref="BN174:BO174"/>
    <mergeCell ref="AV174:AW174"/>
    <mergeCell ref="AX174:AY174"/>
    <mergeCell ref="AZ174:BA174"/>
    <mergeCell ref="BB174:BC174"/>
    <mergeCell ref="BD174:BE174"/>
    <mergeCell ref="BF174:BG174"/>
    <mergeCell ref="BH174:BI174"/>
    <mergeCell ref="F174:G174"/>
    <mergeCell ref="H174:I174"/>
    <mergeCell ref="J174:K174"/>
    <mergeCell ref="L174:M174"/>
    <mergeCell ref="N174:O174"/>
    <mergeCell ref="P174:Q174"/>
    <mergeCell ref="R174:S174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Z240:BA240"/>
    <mergeCell ref="BB240:BC240"/>
    <mergeCell ref="AL240:AM240"/>
    <mergeCell ref="AN240:AO240"/>
    <mergeCell ref="AP240:AQ240"/>
    <mergeCell ref="AR240:AS240"/>
    <mergeCell ref="AT240:AU240"/>
    <mergeCell ref="AV240:AW240"/>
    <mergeCell ref="AX240:AY240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AJ238:AK238"/>
    <mergeCell ref="AL238:AM238"/>
    <mergeCell ref="AN238:AO238"/>
    <mergeCell ref="AP238:AQ238"/>
    <mergeCell ref="AR238:AS238"/>
    <mergeCell ref="AT238:AU238"/>
    <mergeCell ref="BJ238:BK238"/>
    <mergeCell ref="BL238:BM238"/>
    <mergeCell ref="BN238:BO238"/>
    <mergeCell ref="F238:G238"/>
    <mergeCell ref="H238:I238"/>
    <mergeCell ref="J238:K238"/>
    <mergeCell ref="L238:M238"/>
    <mergeCell ref="N238:O238"/>
    <mergeCell ref="P238:Q238"/>
    <mergeCell ref="R238:S238"/>
    <mergeCell ref="AV238:AW238"/>
    <mergeCell ref="AX238:AY238"/>
    <mergeCell ref="AZ238:BA238"/>
    <mergeCell ref="BB238:BC238"/>
    <mergeCell ref="BD238:BE238"/>
    <mergeCell ref="BF238:BG238"/>
    <mergeCell ref="BH238:BI238"/>
    <mergeCell ref="F240:G240"/>
    <mergeCell ref="H240:I240"/>
    <mergeCell ref="J240:K240"/>
    <mergeCell ref="L240:M240"/>
    <mergeCell ref="N240:O240"/>
    <mergeCell ref="P240:Q240"/>
    <mergeCell ref="R240:S240"/>
    <mergeCell ref="BD239:BE239"/>
    <mergeCell ref="BD240:BE240"/>
    <mergeCell ref="BF240:BG240"/>
    <mergeCell ref="BH240:BI240"/>
    <mergeCell ref="BJ240:BK240"/>
    <mergeCell ref="BL240:BM240"/>
    <mergeCell ref="BN240:BO240"/>
    <mergeCell ref="AZ239:BA239"/>
    <mergeCell ref="BB239:BC239"/>
    <mergeCell ref="BF239:BG239"/>
    <mergeCell ref="BH239:BI239"/>
    <mergeCell ref="BJ239:BK239"/>
    <mergeCell ref="BL239:BM239"/>
    <mergeCell ref="BN239:BO239"/>
    <mergeCell ref="AV235:AW235"/>
    <mergeCell ref="AX235:AY235"/>
    <mergeCell ref="AH235:AI235"/>
    <mergeCell ref="AJ235:AK235"/>
    <mergeCell ref="AL235:AM235"/>
    <mergeCell ref="AN235:AO235"/>
    <mergeCell ref="AP235:AQ235"/>
    <mergeCell ref="AR235:AS235"/>
    <mergeCell ref="AT235:AU235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Z236:BA236"/>
    <mergeCell ref="BB236:BC236"/>
    <mergeCell ref="AL236:AM236"/>
    <mergeCell ref="AN236:AO236"/>
    <mergeCell ref="AP236:AQ236"/>
    <mergeCell ref="AR236:AS236"/>
    <mergeCell ref="AT236:AU236"/>
    <mergeCell ref="AV236:AW236"/>
    <mergeCell ref="AX236:AY236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AJ234:AK234"/>
    <mergeCell ref="AL234:AM234"/>
    <mergeCell ref="AN234:AO234"/>
    <mergeCell ref="AP234:AQ234"/>
    <mergeCell ref="AR234:AS234"/>
    <mergeCell ref="AT234:AU234"/>
    <mergeCell ref="BJ234:BK234"/>
    <mergeCell ref="BL234:BM234"/>
    <mergeCell ref="BN234:BO234"/>
    <mergeCell ref="F234:G234"/>
    <mergeCell ref="H234:I234"/>
    <mergeCell ref="J234:K234"/>
    <mergeCell ref="L234:M234"/>
    <mergeCell ref="N234:O234"/>
    <mergeCell ref="P234:Q234"/>
    <mergeCell ref="R234:S234"/>
    <mergeCell ref="AV234:AW234"/>
    <mergeCell ref="AX234:AY234"/>
    <mergeCell ref="AZ234:BA234"/>
    <mergeCell ref="BB234:BC234"/>
    <mergeCell ref="BD234:BE234"/>
    <mergeCell ref="BF234:BG234"/>
    <mergeCell ref="BH234:BI234"/>
    <mergeCell ref="F236:G236"/>
    <mergeCell ref="H236:I236"/>
    <mergeCell ref="J236:K236"/>
    <mergeCell ref="L236:M236"/>
    <mergeCell ref="N236:O236"/>
    <mergeCell ref="P236:Q236"/>
    <mergeCell ref="R236:S236"/>
    <mergeCell ref="BD235:BE235"/>
    <mergeCell ref="BD236:BE236"/>
    <mergeCell ref="BF236:BG236"/>
    <mergeCell ref="BH236:BI236"/>
    <mergeCell ref="BJ236:BK236"/>
    <mergeCell ref="BL236:BM236"/>
    <mergeCell ref="BN236:BO236"/>
    <mergeCell ref="AZ235:BA235"/>
    <mergeCell ref="BB235:BC235"/>
    <mergeCell ref="BF235:BG235"/>
    <mergeCell ref="BH235:BI235"/>
    <mergeCell ref="BJ235:BK235"/>
    <mergeCell ref="BL235:BM235"/>
    <mergeCell ref="BN235:BO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AJ237:AK237"/>
    <mergeCell ref="AL237:AM237"/>
    <mergeCell ref="AN237:AO237"/>
    <mergeCell ref="AP237:AQ237"/>
    <mergeCell ref="AR237:AS237"/>
    <mergeCell ref="AT237:AU237"/>
    <mergeCell ref="BJ237:BK237"/>
    <mergeCell ref="BL237:BM237"/>
    <mergeCell ref="BN237:BO237"/>
    <mergeCell ref="AV237:AW237"/>
    <mergeCell ref="AX237:AY237"/>
    <mergeCell ref="AZ237:BA237"/>
    <mergeCell ref="BB237:BC237"/>
    <mergeCell ref="BD237:BE237"/>
    <mergeCell ref="BF237:BG237"/>
    <mergeCell ref="BH237:BI237"/>
    <mergeCell ref="F237:G237"/>
    <mergeCell ref="H237:I237"/>
    <mergeCell ref="J237:K237"/>
    <mergeCell ref="L237:M237"/>
    <mergeCell ref="N237:O237"/>
    <mergeCell ref="P237:Q237"/>
    <mergeCell ref="R237:S237"/>
    <mergeCell ref="AV239:AW239"/>
    <mergeCell ref="AX239:AY239"/>
    <mergeCell ref="AH239:AI239"/>
    <mergeCell ref="AJ239:AK239"/>
    <mergeCell ref="AL239:AM239"/>
    <mergeCell ref="AN239:AO239"/>
    <mergeCell ref="AP239:AQ239"/>
    <mergeCell ref="AR239:AS239"/>
    <mergeCell ref="AT239:AU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Z232:BA232"/>
    <mergeCell ref="BB232:BC232"/>
    <mergeCell ref="AL232:AM232"/>
    <mergeCell ref="AN232:AO232"/>
    <mergeCell ref="AP232:AQ232"/>
    <mergeCell ref="AR232:AS232"/>
    <mergeCell ref="AT232:AU232"/>
    <mergeCell ref="AV232:AW232"/>
    <mergeCell ref="AX232:AY232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AJ230:AK230"/>
    <mergeCell ref="AL230:AM230"/>
    <mergeCell ref="AN230:AO230"/>
    <mergeCell ref="AP230:AQ230"/>
    <mergeCell ref="AR230:AS230"/>
    <mergeCell ref="AT230:AU230"/>
    <mergeCell ref="BJ230:BK230"/>
    <mergeCell ref="BL230:BM230"/>
    <mergeCell ref="BN230:BO230"/>
    <mergeCell ref="F230:G230"/>
    <mergeCell ref="H230:I230"/>
    <mergeCell ref="J230:K230"/>
    <mergeCell ref="L230:M230"/>
    <mergeCell ref="N230:O230"/>
    <mergeCell ref="P230:Q230"/>
    <mergeCell ref="R230:S230"/>
    <mergeCell ref="AV230:AW230"/>
    <mergeCell ref="AX230:AY230"/>
    <mergeCell ref="AZ230:BA230"/>
    <mergeCell ref="BB230:BC230"/>
    <mergeCell ref="BD230:BE230"/>
    <mergeCell ref="BF230:BG230"/>
    <mergeCell ref="BH230:BI230"/>
    <mergeCell ref="F232:G232"/>
    <mergeCell ref="H232:I232"/>
    <mergeCell ref="J232:K232"/>
    <mergeCell ref="L232:M232"/>
    <mergeCell ref="N232:O232"/>
    <mergeCell ref="P232:Q232"/>
    <mergeCell ref="R232:S232"/>
    <mergeCell ref="BD231:BE231"/>
    <mergeCell ref="BD232:BE232"/>
    <mergeCell ref="BF232:BG232"/>
    <mergeCell ref="BH232:BI232"/>
    <mergeCell ref="BJ232:BK232"/>
    <mergeCell ref="BL232:BM232"/>
    <mergeCell ref="BN232:BO232"/>
    <mergeCell ref="AZ231:BA231"/>
    <mergeCell ref="BB231:BC231"/>
    <mergeCell ref="BF231:BG231"/>
    <mergeCell ref="BH231:BI231"/>
    <mergeCell ref="BJ231:BK231"/>
    <mergeCell ref="BL231:BM231"/>
    <mergeCell ref="BN231:BO231"/>
    <mergeCell ref="AV227:AW227"/>
    <mergeCell ref="AX227:AY227"/>
    <mergeCell ref="AH227:AI227"/>
    <mergeCell ref="AJ227:AK227"/>
    <mergeCell ref="AL227:AM227"/>
    <mergeCell ref="AN227:AO227"/>
    <mergeCell ref="AP227:AQ227"/>
    <mergeCell ref="AR227:AS227"/>
    <mergeCell ref="AT227:AU227"/>
    <mergeCell ref="AZ228:BA228"/>
    <mergeCell ref="BB228:BC228"/>
    <mergeCell ref="AL228:AM228"/>
    <mergeCell ref="AN228:AO228"/>
    <mergeCell ref="AP228:AQ228"/>
    <mergeCell ref="AR228:AS228"/>
    <mergeCell ref="AT228:AU228"/>
    <mergeCell ref="AV228:AW228"/>
    <mergeCell ref="AX228:AY228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AJ226:AK226"/>
    <mergeCell ref="AL226:AM226"/>
    <mergeCell ref="AN226:AO226"/>
    <mergeCell ref="AP226:AQ226"/>
    <mergeCell ref="AR226:AS226"/>
    <mergeCell ref="AT226:AU226"/>
    <mergeCell ref="BJ226:BK226"/>
    <mergeCell ref="BL226:BM226"/>
    <mergeCell ref="BN226:BO226"/>
    <mergeCell ref="F226:G226"/>
    <mergeCell ref="H226:I226"/>
    <mergeCell ref="J226:K226"/>
    <mergeCell ref="L226:M226"/>
    <mergeCell ref="N226:O226"/>
    <mergeCell ref="P226:Q226"/>
    <mergeCell ref="R226:S226"/>
    <mergeCell ref="AV226:AW226"/>
    <mergeCell ref="AX226:AY226"/>
    <mergeCell ref="AZ226:BA226"/>
    <mergeCell ref="BB226:BC226"/>
    <mergeCell ref="BD226:BE226"/>
    <mergeCell ref="BF226:BG226"/>
    <mergeCell ref="BH226:BI226"/>
    <mergeCell ref="F228:G228"/>
    <mergeCell ref="H228:I228"/>
    <mergeCell ref="J228:K228"/>
    <mergeCell ref="L228:M228"/>
    <mergeCell ref="N228:O228"/>
    <mergeCell ref="P228:Q228"/>
    <mergeCell ref="R228:S228"/>
    <mergeCell ref="BD227:BE227"/>
    <mergeCell ref="BD228:BE228"/>
    <mergeCell ref="BF228:BG228"/>
    <mergeCell ref="BH228:BI228"/>
    <mergeCell ref="BJ228:BK228"/>
    <mergeCell ref="BL228:BM228"/>
    <mergeCell ref="BN228:BO228"/>
    <mergeCell ref="AZ227:BA227"/>
    <mergeCell ref="BB227:BC227"/>
    <mergeCell ref="BF227:BG227"/>
    <mergeCell ref="BH227:BI227"/>
    <mergeCell ref="BJ227:BK227"/>
    <mergeCell ref="BL227:BM227"/>
    <mergeCell ref="BN227:BO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O229"/>
    <mergeCell ref="AP229:AQ229"/>
    <mergeCell ref="AR229:AS229"/>
    <mergeCell ref="AT229:AU229"/>
    <mergeCell ref="BJ229:BK229"/>
    <mergeCell ref="BL229:BM229"/>
    <mergeCell ref="BN229:BO229"/>
    <mergeCell ref="AV229:AW229"/>
    <mergeCell ref="AX229:AY229"/>
    <mergeCell ref="AZ229:BA229"/>
    <mergeCell ref="BB229:BC229"/>
    <mergeCell ref="BD229:BE229"/>
    <mergeCell ref="BF229:BG229"/>
    <mergeCell ref="BH229:BI229"/>
    <mergeCell ref="F229:G229"/>
    <mergeCell ref="H229:I229"/>
    <mergeCell ref="J229:K229"/>
    <mergeCell ref="L229:M229"/>
    <mergeCell ref="N229:O229"/>
    <mergeCell ref="P229:Q229"/>
    <mergeCell ref="R229:S229"/>
    <mergeCell ref="AV231:AW231"/>
    <mergeCell ref="AX231:AY231"/>
    <mergeCell ref="BR240:BS240"/>
    <mergeCell ref="AH231:AI231"/>
    <mergeCell ref="AJ231:AK231"/>
    <mergeCell ref="AL231:AM231"/>
    <mergeCell ref="AN231:AO231"/>
    <mergeCell ref="AP231:AQ231"/>
    <mergeCell ref="AR231:AS231"/>
    <mergeCell ref="AT231:AU231"/>
    <mergeCell ref="F241:G241"/>
    <mergeCell ref="H241:I241"/>
    <mergeCell ref="J241:K241"/>
    <mergeCell ref="L241:M241"/>
    <mergeCell ref="N241:O241"/>
    <mergeCell ref="P241:Q241"/>
    <mergeCell ref="R241:S241"/>
    <mergeCell ref="A245:B245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AJ241:AK241"/>
    <mergeCell ref="AL241:AM241"/>
    <mergeCell ref="AN241:AO241"/>
    <mergeCell ref="AP241:AQ241"/>
    <mergeCell ref="AR241:AS241"/>
    <mergeCell ref="AT241:AU241"/>
    <mergeCell ref="AV241:AW241"/>
    <mergeCell ref="AX241:AY241"/>
    <mergeCell ref="AZ241:BA241"/>
    <mergeCell ref="BB241:BC241"/>
    <mergeCell ref="BD241:BE241"/>
    <mergeCell ref="BF241:BG241"/>
    <mergeCell ref="BH241:BI241"/>
    <mergeCell ref="BJ243:BK243"/>
    <mergeCell ref="BJ244:BK244"/>
    <mergeCell ref="BJ245:BK245"/>
    <mergeCell ref="BJ241:BK241"/>
    <mergeCell ref="BL241:BM241"/>
    <mergeCell ref="BN241:BO241"/>
    <mergeCell ref="BR241:BS241"/>
    <mergeCell ref="BJ242:BK242"/>
    <mergeCell ref="BL242:BM242"/>
    <mergeCell ref="BN242:BO242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BJ233:BK233"/>
    <mergeCell ref="BL233:BM233"/>
    <mergeCell ref="BN233:BO233"/>
    <mergeCell ref="AV233:AW233"/>
    <mergeCell ref="AX233:AY233"/>
    <mergeCell ref="AZ233:BA233"/>
    <mergeCell ref="BB233:BC233"/>
    <mergeCell ref="BD233:BE233"/>
    <mergeCell ref="BF233:BG233"/>
    <mergeCell ref="BH233:BI233"/>
    <mergeCell ref="F233:G233"/>
    <mergeCell ref="H233:I233"/>
    <mergeCell ref="J233:K233"/>
    <mergeCell ref="L233:M233"/>
    <mergeCell ref="N233:O233"/>
    <mergeCell ref="P233:Q233"/>
    <mergeCell ref="R233:S233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P281:Q281"/>
    <mergeCell ref="R281:S281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AJ281:AK281"/>
    <mergeCell ref="AL281:AM281"/>
    <mergeCell ref="AN281:AO281"/>
    <mergeCell ref="AP281:AQ281"/>
    <mergeCell ref="BF281:BG281"/>
    <mergeCell ref="BH281:BI281"/>
    <mergeCell ref="BJ281:BK281"/>
    <mergeCell ref="BL281:BM281"/>
    <mergeCell ref="BN281:BO281"/>
    <mergeCell ref="AR281:AS281"/>
    <mergeCell ref="AT281:AU281"/>
    <mergeCell ref="AV281:AW281"/>
    <mergeCell ref="AX281:AY281"/>
    <mergeCell ref="AZ281:BA281"/>
    <mergeCell ref="BB281:BC281"/>
    <mergeCell ref="BD281:BE281"/>
    <mergeCell ref="A280:B280"/>
    <mergeCell ref="C280:D280"/>
    <mergeCell ref="F281:G281"/>
    <mergeCell ref="H281:I281"/>
    <mergeCell ref="J281:K281"/>
    <mergeCell ref="L281:M281"/>
    <mergeCell ref="N281:O281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Z288:BA288"/>
    <mergeCell ref="BB288:BC288"/>
    <mergeCell ref="AL288:AM288"/>
    <mergeCell ref="AN288:AO288"/>
    <mergeCell ref="AP288:AQ288"/>
    <mergeCell ref="AR288:AS288"/>
    <mergeCell ref="AT288:AU288"/>
    <mergeCell ref="AV288:AW288"/>
    <mergeCell ref="AX288:AY288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AJ286:AK286"/>
    <mergeCell ref="AL286:AM286"/>
    <mergeCell ref="AN286:AO286"/>
    <mergeCell ref="AP286:AQ286"/>
    <mergeCell ref="AR286:AS286"/>
    <mergeCell ref="AT286:AU286"/>
    <mergeCell ref="BJ286:BK286"/>
    <mergeCell ref="BL286:BM286"/>
    <mergeCell ref="BN286:BO286"/>
    <mergeCell ref="F286:G286"/>
    <mergeCell ref="H286:I286"/>
    <mergeCell ref="J286:K286"/>
    <mergeCell ref="L286:M286"/>
    <mergeCell ref="N286:O286"/>
    <mergeCell ref="P286:Q286"/>
    <mergeCell ref="R286:S286"/>
    <mergeCell ref="AV286:AW286"/>
    <mergeCell ref="AX286:AY286"/>
    <mergeCell ref="AZ286:BA286"/>
    <mergeCell ref="BB286:BC286"/>
    <mergeCell ref="BD286:BE286"/>
    <mergeCell ref="BF286:BG286"/>
    <mergeCell ref="BH286:BI286"/>
    <mergeCell ref="F288:G288"/>
    <mergeCell ref="H288:I288"/>
    <mergeCell ref="J288:K288"/>
    <mergeCell ref="L288:M288"/>
    <mergeCell ref="N288:O288"/>
    <mergeCell ref="P288:Q288"/>
    <mergeCell ref="R288:S288"/>
    <mergeCell ref="BD287:BE287"/>
    <mergeCell ref="BD288:BE288"/>
    <mergeCell ref="BF288:BG288"/>
    <mergeCell ref="BH288:BI288"/>
    <mergeCell ref="BJ288:BK288"/>
    <mergeCell ref="BL288:BM288"/>
    <mergeCell ref="BN288:BO288"/>
    <mergeCell ref="AZ287:BA287"/>
    <mergeCell ref="BB287:BC287"/>
    <mergeCell ref="BF287:BG287"/>
    <mergeCell ref="BH287:BI287"/>
    <mergeCell ref="BJ287:BK287"/>
    <mergeCell ref="BL287:BM287"/>
    <mergeCell ref="BN287:BO287"/>
    <mergeCell ref="AV283:AW283"/>
    <mergeCell ref="AX283:AY283"/>
    <mergeCell ref="AH283:AI283"/>
    <mergeCell ref="AJ283:AK283"/>
    <mergeCell ref="AL283:AM283"/>
    <mergeCell ref="AN283:AO283"/>
    <mergeCell ref="AP283:AQ283"/>
    <mergeCell ref="AR283:AS283"/>
    <mergeCell ref="AT283:AU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Z284:BA284"/>
    <mergeCell ref="BB284:BC284"/>
    <mergeCell ref="AL284:AM284"/>
    <mergeCell ref="AN284:AO284"/>
    <mergeCell ref="AP284:AQ284"/>
    <mergeCell ref="AR284:AS284"/>
    <mergeCell ref="AT284:AU284"/>
    <mergeCell ref="AV284:AW284"/>
    <mergeCell ref="AX284:AY284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AJ282:AK282"/>
    <mergeCell ref="AL282:AM282"/>
    <mergeCell ref="AN282:AO282"/>
    <mergeCell ref="AP282:AQ282"/>
    <mergeCell ref="AR282:AS282"/>
    <mergeCell ref="AT282:AU282"/>
    <mergeCell ref="BJ282:BK282"/>
    <mergeCell ref="BL282:BM282"/>
    <mergeCell ref="BN282:BO282"/>
    <mergeCell ref="F282:G282"/>
    <mergeCell ref="H282:I282"/>
    <mergeCell ref="J282:K282"/>
    <mergeCell ref="L282:M282"/>
    <mergeCell ref="N282:O282"/>
    <mergeCell ref="P282:Q282"/>
    <mergeCell ref="R282:S282"/>
    <mergeCell ref="AV282:AW282"/>
    <mergeCell ref="AX282:AY282"/>
    <mergeCell ref="AZ282:BA282"/>
    <mergeCell ref="BB282:BC282"/>
    <mergeCell ref="BD282:BE282"/>
    <mergeCell ref="BF282:BG282"/>
    <mergeCell ref="BH282:BI282"/>
    <mergeCell ref="F284:G284"/>
    <mergeCell ref="H284:I284"/>
    <mergeCell ref="J284:K284"/>
    <mergeCell ref="L284:M284"/>
    <mergeCell ref="N284:O284"/>
    <mergeCell ref="P284:Q284"/>
    <mergeCell ref="R284:S284"/>
    <mergeCell ref="BD283:BE283"/>
    <mergeCell ref="BD284:BE284"/>
    <mergeCell ref="BF284:BG284"/>
    <mergeCell ref="BH284:BI284"/>
    <mergeCell ref="BJ284:BK284"/>
    <mergeCell ref="BL284:BM284"/>
    <mergeCell ref="BN284:BO284"/>
    <mergeCell ref="AZ283:BA283"/>
    <mergeCell ref="BB283:BC283"/>
    <mergeCell ref="BF283:BG283"/>
    <mergeCell ref="BH283:BI283"/>
    <mergeCell ref="BJ283:BK283"/>
    <mergeCell ref="BL283:BM283"/>
    <mergeCell ref="BN283:BO283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L285:AM285"/>
    <mergeCell ref="AN285:AO285"/>
    <mergeCell ref="AP285:AQ285"/>
    <mergeCell ref="AR285:AS285"/>
    <mergeCell ref="AT285:AU285"/>
    <mergeCell ref="BJ285:BK285"/>
    <mergeCell ref="BL285:BM285"/>
    <mergeCell ref="BN285:BO285"/>
    <mergeCell ref="AV285:AW285"/>
    <mergeCell ref="AX285:AY285"/>
    <mergeCell ref="AZ285:BA285"/>
    <mergeCell ref="BB285:BC285"/>
    <mergeCell ref="BD285:BE285"/>
    <mergeCell ref="BF285:BG285"/>
    <mergeCell ref="BH285:BI285"/>
    <mergeCell ref="F285:G285"/>
    <mergeCell ref="H285:I285"/>
    <mergeCell ref="J285:K285"/>
    <mergeCell ref="L285:M285"/>
    <mergeCell ref="N285:O285"/>
    <mergeCell ref="P285:Q285"/>
    <mergeCell ref="R285:S285"/>
    <mergeCell ref="AV287:AW287"/>
    <mergeCell ref="AX287:AY287"/>
    <mergeCell ref="AH287:AI287"/>
    <mergeCell ref="AJ287:AK287"/>
    <mergeCell ref="AL287:AM287"/>
    <mergeCell ref="AN287:AO287"/>
    <mergeCell ref="AP287:AQ287"/>
    <mergeCell ref="AR287:AS287"/>
    <mergeCell ref="AT287:AU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AJ289:AK289"/>
    <mergeCell ref="AL289:AM289"/>
    <mergeCell ref="AN289:AO289"/>
    <mergeCell ref="AP289:AQ289"/>
    <mergeCell ref="AR289:AS289"/>
    <mergeCell ref="AT289:AU289"/>
    <mergeCell ref="BJ289:BK289"/>
    <mergeCell ref="BL289:BM289"/>
    <mergeCell ref="BN289:BO289"/>
    <mergeCell ref="AV289:AW289"/>
    <mergeCell ref="AX289:AY289"/>
    <mergeCell ref="AZ289:BA289"/>
    <mergeCell ref="BB289:BC289"/>
    <mergeCell ref="BD289:BE289"/>
    <mergeCell ref="BF289:BG289"/>
    <mergeCell ref="BH289:BI289"/>
    <mergeCell ref="F289:G289"/>
    <mergeCell ref="H289:I289"/>
    <mergeCell ref="J289:K289"/>
    <mergeCell ref="L289:M289"/>
    <mergeCell ref="N289:O289"/>
    <mergeCell ref="P289:Q289"/>
    <mergeCell ref="R289:S289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AZ296:BA296"/>
    <mergeCell ref="BB296:BC296"/>
    <mergeCell ref="AL296:AM296"/>
    <mergeCell ref="AN296:AO296"/>
    <mergeCell ref="AP296:AQ296"/>
    <mergeCell ref="AR296:AS296"/>
    <mergeCell ref="AT296:AU296"/>
    <mergeCell ref="AV296:AW296"/>
    <mergeCell ref="AX296:AY296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L294:AM294"/>
    <mergeCell ref="AN294:AO294"/>
    <mergeCell ref="AP294:AQ294"/>
    <mergeCell ref="AR294:AS294"/>
    <mergeCell ref="AT294:AU294"/>
    <mergeCell ref="BJ294:BK294"/>
    <mergeCell ref="BL294:BM294"/>
    <mergeCell ref="BN294:BO294"/>
    <mergeCell ref="F294:G294"/>
    <mergeCell ref="H294:I294"/>
    <mergeCell ref="J294:K294"/>
    <mergeCell ref="L294:M294"/>
    <mergeCell ref="N294:O294"/>
    <mergeCell ref="P294:Q294"/>
    <mergeCell ref="R294:S294"/>
    <mergeCell ref="AV294:AW294"/>
    <mergeCell ref="AX294:AY294"/>
    <mergeCell ref="AZ294:BA294"/>
    <mergeCell ref="BB294:BC294"/>
    <mergeCell ref="BD294:BE294"/>
    <mergeCell ref="BF294:BG294"/>
    <mergeCell ref="BH294:BI294"/>
    <mergeCell ref="F296:G296"/>
    <mergeCell ref="H296:I296"/>
    <mergeCell ref="J296:K296"/>
    <mergeCell ref="L296:M296"/>
    <mergeCell ref="N296:O296"/>
    <mergeCell ref="P296:Q296"/>
    <mergeCell ref="R296:S296"/>
    <mergeCell ref="BD295:BE295"/>
    <mergeCell ref="BD296:BE296"/>
    <mergeCell ref="BF296:BG296"/>
    <mergeCell ref="BH296:BI296"/>
    <mergeCell ref="BJ296:BK296"/>
    <mergeCell ref="BL296:BM296"/>
    <mergeCell ref="BN296:BO296"/>
    <mergeCell ref="AZ295:BA295"/>
    <mergeCell ref="BB295:BC295"/>
    <mergeCell ref="BF295:BG295"/>
    <mergeCell ref="BH295:BI295"/>
    <mergeCell ref="BJ295:BK295"/>
    <mergeCell ref="BL295:BM295"/>
    <mergeCell ref="BN295:BO295"/>
    <mergeCell ref="AV291:AW291"/>
    <mergeCell ref="AX291:AY291"/>
    <mergeCell ref="AH291:AI291"/>
    <mergeCell ref="AJ291:AK291"/>
    <mergeCell ref="AL291:AM291"/>
    <mergeCell ref="AN291:AO291"/>
    <mergeCell ref="AP291:AQ291"/>
    <mergeCell ref="AR291:AS291"/>
    <mergeCell ref="AT291:AU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Z292:BA292"/>
    <mergeCell ref="BB292:BC292"/>
    <mergeCell ref="AL292:AM292"/>
    <mergeCell ref="AN292:AO292"/>
    <mergeCell ref="AP292:AQ292"/>
    <mergeCell ref="AR292:AS292"/>
    <mergeCell ref="AT292:AU292"/>
    <mergeCell ref="AV292:AW292"/>
    <mergeCell ref="AX292:AY292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AJ290:AK290"/>
    <mergeCell ref="AL290:AM290"/>
    <mergeCell ref="AN290:AO290"/>
    <mergeCell ref="AP290:AQ290"/>
    <mergeCell ref="AR290:AS290"/>
    <mergeCell ref="AT290:AU290"/>
    <mergeCell ref="BJ290:BK290"/>
    <mergeCell ref="BL290:BM290"/>
    <mergeCell ref="BN290:BO290"/>
    <mergeCell ref="F290:G290"/>
    <mergeCell ref="H290:I290"/>
    <mergeCell ref="J290:K290"/>
    <mergeCell ref="L290:M290"/>
    <mergeCell ref="N290:O290"/>
    <mergeCell ref="P290:Q290"/>
    <mergeCell ref="R290:S290"/>
    <mergeCell ref="AV290:AW290"/>
    <mergeCell ref="AX290:AY290"/>
    <mergeCell ref="AZ290:BA290"/>
    <mergeCell ref="BB290:BC290"/>
    <mergeCell ref="BD290:BE290"/>
    <mergeCell ref="BF290:BG290"/>
    <mergeCell ref="BH290:BI290"/>
    <mergeCell ref="F292:G292"/>
    <mergeCell ref="H292:I292"/>
    <mergeCell ref="J292:K292"/>
    <mergeCell ref="L292:M292"/>
    <mergeCell ref="N292:O292"/>
    <mergeCell ref="P292:Q292"/>
    <mergeCell ref="R292:S292"/>
    <mergeCell ref="BD291:BE291"/>
    <mergeCell ref="BD292:BE292"/>
    <mergeCell ref="BF292:BG292"/>
    <mergeCell ref="BH292:BI292"/>
    <mergeCell ref="BJ292:BK292"/>
    <mergeCell ref="BL292:BM292"/>
    <mergeCell ref="BN292:BO292"/>
    <mergeCell ref="AZ291:BA291"/>
    <mergeCell ref="BB291:BC291"/>
    <mergeCell ref="BF291:BG291"/>
    <mergeCell ref="BH291:BI291"/>
    <mergeCell ref="BJ291:BK291"/>
    <mergeCell ref="BL291:BM291"/>
    <mergeCell ref="BN291:BO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AJ293:AK293"/>
    <mergeCell ref="AL293:AM293"/>
    <mergeCell ref="AN293:AO293"/>
    <mergeCell ref="AP293:AQ293"/>
    <mergeCell ref="AR293:AS293"/>
    <mergeCell ref="AT293:AU293"/>
    <mergeCell ref="BJ293:BK293"/>
    <mergeCell ref="BL293:BM293"/>
    <mergeCell ref="BN293:BO293"/>
    <mergeCell ref="AV293:AW293"/>
    <mergeCell ref="AX293:AY293"/>
    <mergeCell ref="AZ293:BA293"/>
    <mergeCell ref="BB293:BC293"/>
    <mergeCell ref="BD293:BE293"/>
    <mergeCell ref="BF293:BG293"/>
    <mergeCell ref="BH293:BI293"/>
    <mergeCell ref="F293:G293"/>
    <mergeCell ref="H293:I293"/>
    <mergeCell ref="J293:K293"/>
    <mergeCell ref="L293:M293"/>
    <mergeCell ref="N293:O293"/>
    <mergeCell ref="P293:Q293"/>
    <mergeCell ref="R293:S293"/>
    <mergeCell ref="AV295:AW295"/>
    <mergeCell ref="AX295:AY295"/>
    <mergeCell ref="AH295:AI295"/>
    <mergeCell ref="AJ295:AK295"/>
    <mergeCell ref="AL295:AM295"/>
    <mergeCell ref="AN295:AO295"/>
    <mergeCell ref="AP295:AQ295"/>
    <mergeCell ref="AR295:AS295"/>
    <mergeCell ref="AT295:AU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AJ297:AK297"/>
    <mergeCell ref="AL297:AM297"/>
    <mergeCell ref="AN297:AO297"/>
    <mergeCell ref="AP297:AQ297"/>
    <mergeCell ref="AR297:AS297"/>
    <mergeCell ref="AT297:AU297"/>
    <mergeCell ref="BJ297:BK297"/>
    <mergeCell ref="BL297:BM297"/>
    <mergeCell ref="BN297:BO297"/>
    <mergeCell ref="AV297:AW297"/>
    <mergeCell ref="AX297:AY297"/>
    <mergeCell ref="AZ297:BA297"/>
    <mergeCell ref="BB297:BC297"/>
    <mergeCell ref="BD297:BE297"/>
    <mergeCell ref="BF297:BG297"/>
    <mergeCell ref="BH297:BI297"/>
    <mergeCell ref="F297:G297"/>
    <mergeCell ref="H297:I297"/>
    <mergeCell ref="J297:K297"/>
    <mergeCell ref="L297:M297"/>
    <mergeCell ref="N297:O297"/>
    <mergeCell ref="P297:Q297"/>
    <mergeCell ref="R297:S297"/>
    <mergeCell ref="BJ316:BK316"/>
    <mergeCell ref="BL316:BM316"/>
    <mergeCell ref="BJ312:BK312"/>
    <mergeCell ref="BJ313:BK313"/>
    <mergeCell ref="BL313:BM313"/>
    <mergeCell ref="BJ314:BK314"/>
    <mergeCell ref="BL314:BM314"/>
    <mergeCell ref="BJ315:BK315"/>
    <mergeCell ref="BL315:BM315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AX310:AY310"/>
    <mergeCell ref="AZ310:BA310"/>
    <mergeCell ref="BB310:BC310"/>
    <mergeCell ref="BD310:BE310"/>
    <mergeCell ref="BF310:BG310"/>
    <mergeCell ref="BH310:BI310"/>
    <mergeCell ref="R310:S310"/>
    <mergeCell ref="R311:S311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AJ311:AK311"/>
    <mergeCell ref="AL311:AM311"/>
    <mergeCell ref="AN311:AO311"/>
    <mergeCell ref="AP311:AQ311"/>
    <mergeCell ref="BJ317:BK317"/>
    <mergeCell ref="BL317:BM317"/>
    <mergeCell ref="BJ310:BK310"/>
    <mergeCell ref="BL310:BM310"/>
    <mergeCell ref="BN310:BO310"/>
    <mergeCell ref="BJ311:BK311"/>
    <mergeCell ref="BL311:BM311"/>
    <mergeCell ref="BN311:BO311"/>
    <mergeCell ref="BL312:BM312"/>
    <mergeCell ref="AV307:AW307"/>
    <mergeCell ref="AX307:AY307"/>
    <mergeCell ref="AH307:AI307"/>
    <mergeCell ref="AJ307:AK307"/>
    <mergeCell ref="AL307:AM307"/>
    <mergeCell ref="AN307:AO307"/>
    <mergeCell ref="AP307:AQ307"/>
    <mergeCell ref="AR307:AS307"/>
    <mergeCell ref="AT307:AU307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Z308:BA308"/>
    <mergeCell ref="BB308:BC308"/>
    <mergeCell ref="AL308:AM308"/>
    <mergeCell ref="AN308:AO308"/>
    <mergeCell ref="AP308:AQ308"/>
    <mergeCell ref="AR308:AS308"/>
    <mergeCell ref="AT308:AU308"/>
    <mergeCell ref="AV308:AW308"/>
    <mergeCell ref="AX308:AY308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AJ306:AK306"/>
    <mergeCell ref="AL306:AM306"/>
    <mergeCell ref="AN306:AO306"/>
    <mergeCell ref="AP306:AQ306"/>
    <mergeCell ref="AR306:AS306"/>
    <mergeCell ref="AT306:AU306"/>
    <mergeCell ref="BJ306:BK306"/>
    <mergeCell ref="BL306:BM306"/>
    <mergeCell ref="BN306:BO306"/>
    <mergeCell ref="F306:G306"/>
    <mergeCell ref="H306:I306"/>
    <mergeCell ref="J306:K306"/>
    <mergeCell ref="L306:M306"/>
    <mergeCell ref="N306:O306"/>
    <mergeCell ref="P306:Q306"/>
    <mergeCell ref="R306:S306"/>
    <mergeCell ref="AV306:AW306"/>
    <mergeCell ref="AX306:AY306"/>
    <mergeCell ref="AZ306:BA306"/>
    <mergeCell ref="BB306:BC306"/>
    <mergeCell ref="BD306:BE306"/>
    <mergeCell ref="BF306:BG306"/>
    <mergeCell ref="BH306:BI306"/>
    <mergeCell ref="F308:G308"/>
    <mergeCell ref="H308:I308"/>
    <mergeCell ref="J308:K308"/>
    <mergeCell ref="L308:M308"/>
    <mergeCell ref="N308:O308"/>
    <mergeCell ref="P308:Q308"/>
    <mergeCell ref="R308:S308"/>
    <mergeCell ref="BD307:BE307"/>
    <mergeCell ref="BD308:BE308"/>
    <mergeCell ref="BF308:BG308"/>
    <mergeCell ref="BH308:BI308"/>
    <mergeCell ref="BJ308:BK308"/>
    <mergeCell ref="BL308:BM308"/>
    <mergeCell ref="BN308:BO308"/>
    <mergeCell ref="AZ307:BA307"/>
    <mergeCell ref="BB307:BC307"/>
    <mergeCell ref="BF307:BG307"/>
    <mergeCell ref="BH307:BI307"/>
    <mergeCell ref="BJ307:BK307"/>
    <mergeCell ref="BL307:BM307"/>
    <mergeCell ref="BN307:BO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AJ309:AK309"/>
    <mergeCell ref="AL309:AM309"/>
    <mergeCell ref="AN309:AO309"/>
    <mergeCell ref="AP309:AQ309"/>
    <mergeCell ref="AR309:AS309"/>
    <mergeCell ref="AT309:AU309"/>
    <mergeCell ref="BJ309:BK309"/>
    <mergeCell ref="BL309:BM309"/>
    <mergeCell ref="BN309:BO309"/>
    <mergeCell ref="AV309:AW309"/>
    <mergeCell ref="AX309:AY309"/>
    <mergeCell ref="AZ309:BA309"/>
    <mergeCell ref="BB309:BC309"/>
    <mergeCell ref="BD309:BE309"/>
    <mergeCell ref="BF309:BG309"/>
    <mergeCell ref="BH309:BI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F311:G311"/>
    <mergeCell ref="F312:G312"/>
    <mergeCell ref="P310:Q310"/>
    <mergeCell ref="R312:S312"/>
    <mergeCell ref="R313:S313"/>
    <mergeCell ref="R314:S314"/>
    <mergeCell ref="R315:S315"/>
    <mergeCell ref="R316:S316"/>
    <mergeCell ref="R317:S317"/>
    <mergeCell ref="F313:G313"/>
    <mergeCell ref="F314:G314"/>
    <mergeCell ref="F315:G315"/>
    <mergeCell ref="F316:G316"/>
    <mergeCell ref="F317:G317"/>
    <mergeCell ref="F318:G318"/>
    <mergeCell ref="F319:G319"/>
    <mergeCell ref="R325:S325"/>
    <mergeCell ref="R326:S326"/>
    <mergeCell ref="R327:S327"/>
    <mergeCell ref="R328:S328"/>
    <mergeCell ref="R329:S329"/>
    <mergeCell ref="R330:S330"/>
    <mergeCell ref="R318:S318"/>
    <mergeCell ref="R319:S319"/>
    <mergeCell ref="R320:S320"/>
    <mergeCell ref="R321:S321"/>
    <mergeCell ref="R322:S322"/>
    <mergeCell ref="R323:S323"/>
    <mergeCell ref="R324:S324"/>
    <mergeCell ref="F327:G327"/>
    <mergeCell ref="F328:G328"/>
    <mergeCell ref="F320:G320"/>
    <mergeCell ref="F321:G321"/>
    <mergeCell ref="F322:G322"/>
    <mergeCell ref="F323:G323"/>
    <mergeCell ref="F324:G324"/>
    <mergeCell ref="F325:G325"/>
    <mergeCell ref="F326:G326"/>
    <mergeCell ref="AR311:AS311"/>
    <mergeCell ref="AX311:AY311"/>
    <mergeCell ref="AX312:AY312"/>
    <mergeCell ref="AX313:AY313"/>
    <mergeCell ref="AX314:AY314"/>
    <mergeCell ref="AX315:AY315"/>
    <mergeCell ref="AX316:AY316"/>
    <mergeCell ref="AX317:AY317"/>
    <mergeCell ref="AX318:AY318"/>
    <mergeCell ref="BJ318:BK318"/>
    <mergeCell ref="BL318:BM318"/>
    <mergeCell ref="AX319:AY319"/>
    <mergeCell ref="BL319:BM319"/>
    <mergeCell ref="BL320:BM320"/>
    <mergeCell ref="BL324:BM324"/>
    <mergeCell ref="BL325:BM325"/>
    <mergeCell ref="BL326:BM326"/>
    <mergeCell ref="BL327:BM327"/>
    <mergeCell ref="BL328:BM328"/>
    <mergeCell ref="BL329:BM329"/>
    <mergeCell ref="BJ319:BK319"/>
    <mergeCell ref="BJ320:BK320"/>
    <mergeCell ref="BJ321:BK321"/>
    <mergeCell ref="BL321:BM321"/>
    <mergeCell ref="BJ322:BK322"/>
    <mergeCell ref="BL322:BM322"/>
    <mergeCell ref="BL323:BM323"/>
    <mergeCell ref="AX327:AY327"/>
    <mergeCell ref="AX328:AY328"/>
    <mergeCell ref="AX329:AY329"/>
    <mergeCell ref="AX330:AY330"/>
    <mergeCell ref="AX320:AY320"/>
    <mergeCell ref="AX321:AY321"/>
    <mergeCell ref="AX322:AY322"/>
    <mergeCell ref="AX323:AY323"/>
    <mergeCell ref="AX324:AY324"/>
    <mergeCell ref="AX325:AY325"/>
    <mergeCell ref="AX326:AY326"/>
    <mergeCell ref="BJ330:BK330"/>
    <mergeCell ref="BJ331:BK331"/>
    <mergeCell ref="BJ332:BK332"/>
    <mergeCell ref="BJ323:BK323"/>
    <mergeCell ref="BJ324:BK324"/>
    <mergeCell ref="BJ325:BK325"/>
    <mergeCell ref="BJ326:BK326"/>
    <mergeCell ref="BJ327:BK327"/>
    <mergeCell ref="BJ328:BK328"/>
    <mergeCell ref="BJ329:BK329"/>
    <mergeCell ref="AH63:AI63"/>
    <mergeCell ref="AJ63:AK63"/>
    <mergeCell ref="AH65:AI65"/>
    <mergeCell ref="AL65:AM65"/>
    <mergeCell ref="T63:U63"/>
    <mergeCell ref="V63:W63"/>
    <mergeCell ref="X63:Y63"/>
    <mergeCell ref="Z63:AA63"/>
    <mergeCell ref="AB63:AC63"/>
    <mergeCell ref="AD63:AE63"/>
    <mergeCell ref="AF63:AG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BJ64:BK64"/>
    <mergeCell ref="BL64:BM64"/>
    <mergeCell ref="BN64:BO64"/>
    <mergeCell ref="BL65:BM65"/>
    <mergeCell ref="BN65:BO65"/>
    <mergeCell ref="AV64:AW64"/>
    <mergeCell ref="AX64:AY64"/>
    <mergeCell ref="AZ64:BA64"/>
    <mergeCell ref="BB64:BC64"/>
    <mergeCell ref="BD64:BE64"/>
    <mergeCell ref="BF64:BG64"/>
    <mergeCell ref="BH64:BI64"/>
    <mergeCell ref="R64:S64"/>
    <mergeCell ref="T65:U65"/>
    <mergeCell ref="Z65:AA65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BH97:BI97"/>
    <mergeCell ref="BJ97:BK97"/>
    <mergeCell ref="BL97:BM97"/>
    <mergeCell ref="BN97:BO97"/>
    <mergeCell ref="AT97:AU97"/>
    <mergeCell ref="AV97:AW97"/>
    <mergeCell ref="AX97:AY97"/>
    <mergeCell ref="AZ97:BA97"/>
    <mergeCell ref="BB97:BC97"/>
    <mergeCell ref="BD97:BE97"/>
    <mergeCell ref="BF97:BG97"/>
    <mergeCell ref="C96:D96"/>
    <mergeCell ref="F97:G97"/>
    <mergeCell ref="H97:I97"/>
    <mergeCell ref="J97:K97"/>
    <mergeCell ref="L97:M97"/>
    <mergeCell ref="N97:O97"/>
    <mergeCell ref="P97:Q97"/>
    <mergeCell ref="AV58:AW58"/>
    <mergeCell ref="AX58:AY58"/>
    <mergeCell ref="AH58:AI58"/>
    <mergeCell ref="AJ58:AK58"/>
    <mergeCell ref="AL58:AM58"/>
    <mergeCell ref="AN58:AO58"/>
    <mergeCell ref="AP58:AQ58"/>
    <mergeCell ref="AR58:AS58"/>
    <mergeCell ref="AT58:AU58"/>
    <mergeCell ref="AZ59:BA59"/>
    <mergeCell ref="BB59:BC59"/>
    <mergeCell ref="AL59:AM59"/>
    <mergeCell ref="AN59:AO59"/>
    <mergeCell ref="AP59:AQ59"/>
    <mergeCell ref="AR59:AS59"/>
    <mergeCell ref="AT59:AU59"/>
    <mergeCell ref="AV59:AW59"/>
    <mergeCell ref="AX59:AY59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BJ57:BK57"/>
    <mergeCell ref="BL57:BM57"/>
    <mergeCell ref="BN57:BO57"/>
    <mergeCell ref="F57:G57"/>
    <mergeCell ref="H57:I57"/>
    <mergeCell ref="J57:K57"/>
    <mergeCell ref="L57:M57"/>
    <mergeCell ref="N57:O57"/>
    <mergeCell ref="P57:Q57"/>
    <mergeCell ref="R57:S57"/>
    <mergeCell ref="AV57:AW57"/>
    <mergeCell ref="AX57:AY57"/>
    <mergeCell ref="AZ57:BA57"/>
    <mergeCell ref="BB57:BC57"/>
    <mergeCell ref="BD57:BE57"/>
    <mergeCell ref="BF57:BG57"/>
    <mergeCell ref="BH57:BI57"/>
    <mergeCell ref="F59:G59"/>
    <mergeCell ref="H59:I59"/>
    <mergeCell ref="J59:K59"/>
    <mergeCell ref="L59:M59"/>
    <mergeCell ref="N59:O59"/>
    <mergeCell ref="P59:Q59"/>
    <mergeCell ref="R59:S59"/>
    <mergeCell ref="BD58:BE58"/>
    <mergeCell ref="BD59:BE59"/>
    <mergeCell ref="BF59:BG59"/>
    <mergeCell ref="BH59:BI59"/>
    <mergeCell ref="BJ59:BK59"/>
    <mergeCell ref="BL59:BM59"/>
    <mergeCell ref="BN59:BO59"/>
    <mergeCell ref="AZ58:BA58"/>
    <mergeCell ref="BB58:BC58"/>
    <mergeCell ref="BF58:BG58"/>
    <mergeCell ref="BH58:BI58"/>
    <mergeCell ref="BJ58:BK58"/>
    <mergeCell ref="BL58:BM58"/>
    <mergeCell ref="BN58:BO58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BJ60:BK60"/>
    <mergeCell ref="BL60:BM60"/>
    <mergeCell ref="BN60:BO60"/>
    <mergeCell ref="AV60:AW60"/>
    <mergeCell ref="AX60:AY60"/>
    <mergeCell ref="AZ60:BA60"/>
    <mergeCell ref="BB60:BC60"/>
    <mergeCell ref="BD60:BE60"/>
    <mergeCell ref="BF60:BG60"/>
    <mergeCell ref="BH60:BI60"/>
    <mergeCell ref="F60:G60"/>
    <mergeCell ref="H60:I60"/>
    <mergeCell ref="J60:K60"/>
    <mergeCell ref="L60:M60"/>
    <mergeCell ref="N60:O60"/>
    <mergeCell ref="P60:Q60"/>
    <mergeCell ref="R60:S60"/>
    <mergeCell ref="AV62:AW62"/>
    <mergeCell ref="AX62:AY62"/>
    <mergeCell ref="AH62:AI62"/>
    <mergeCell ref="AJ62:AK62"/>
    <mergeCell ref="AL62:AM62"/>
    <mergeCell ref="AN62:AO62"/>
    <mergeCell ref="AP62:AQ62"/>
    <mergeCell ref="AR62:AS62"/>
    <mergeCell ref="AT62:AU62"/>
    <mergeCell ref="F65:G65"/>
    <mergeCell ref="F67:G67"/>
    <mergeCell ref="L67:M67"/>
    <mergeCell ref="P67:Q67"/>
    <mergeCell ref="T67:U67"/>
    <mergeCell ref="X67:Y67"/>
    <mergeCell ref="AF67:AG67"/>
    <mergeCell ref="AL67:AM67"/>
    <mergeCell ref="AR67:AS67"/>
    <mergeCell ref="AV67:AW67"/>
    <mergeCell ref="F64:G64"/>
    <mergeCell ref="H64:I64"/>
    <mergeCell ref="J64:K64"/>
    <mergeCell ref="L64:M64"/>
    <mergeCell ref="N64:O64"/>
    <mergeCell ref="P64:Q64"/>
    <mergeCell ref="A67:B67"/>
    <mergeCell ref="AV99:AW99"/>
    <mergeCell ref="AX99:AY99"/>
    <mergeCell ref="AH99:AI99"/>
    <mergeCell ref="AJ99:AK99"/>
    <mergeCell ref="AL99:AM99"/>
    <mergeCell ref="AN99:AO99"/>
    <mergeCell ref="AP99:AQ99"/>
    <mergeCell ref="AR99:AS99"/>
    <mergeCell ref="AT99:AU99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AL102:AM102"/>
    <mergeCell ref="AN102:AO102"/>
    <mergeCell ref="AP102:AQ102"/>
    <mergeCell ref="AR102:AS102"/>
    <mergeCell ref="AT102:AU102"/>
    <mergeCell ref="BJ102:BK102"/>
    <mergeCell ref="BL102:BM102"/>
    <mergeCell ref="BN102:BO102"/>
    <mergeCell ref="F102:G102"/>
    <mergeCell ref="H102:I102"/>
    <mergeCell ref="J102:K102"/>
    <mergeCell ref="L102:M102"/>
    <mergeCell ref="N102:O102"/>
    <mergeCell ref="P102:Q102"/>
    <mergeCell ref="R102:S102"/>
    <mergeCell ref="AV102:AW102"/>
    <mergeCell ref="AX102:AY102"/>
    <mergeCell ref="AZ102:BA102"/>
    <mergeCell ref="BB102:BC102"/>
    <mergeCell ref="BD102:BE102"/>
    <mergeCell ref="BF102:BG102"/>
    <mergeCell ref="BH102:BI102"/>
    <mergeCell ref="F104:G104"/>
    <mergeCell ref="H104:I104"/>
    <mergeCell ref="J104:K104"/>
    <mergeCell ref="L104:M104"/>
    <mergeCell ref="N104:O104"/>
    <mergeCell ref="P104:Q104"/>
    <mergeCell ref="R104:S104"/>
    <mergeCell ref="BD103:BE103"/>
    <mergeCell ref="BD104:BE104"/>
    <mergeCell ref="BF104:BG104"/>
    <mergeCell ref="BH104:BI104"/>
    <mergeCell ref="BJ104:BK104"/>
    <mergeCell ref="BL104:BM104"/>
    <mergeCell ref="BN104:BO104"/>
    <mergeCell ref="AZ103:BA103"/>
    <mergeCell ref="BB103:BC103"/>
    <mergeCell ref="BF103:BG103"/>
    <mergeCell ref="BH103:BI103"/>
    <mergeCell ref="BJ103:BK103"/>
    <mergeCell ref="BL103:BM103"/>
    <mergeCell ref="BN103:BO103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Z100:BA100"/>
    <mergeCell ref="BB100:BC100"/>
    <mergeCell ref="AL100:AM100"/>
    <mergeCell ref="AN100:AO100"/>
    <mergeCell ref="AP100:AQ100"/>
    <mergeCell ref="AR100:AS100"/>
    <mergeCell ref="AT100:AU100"/>
    <mergeCell ref="AV100:AW100"/>
    <mergeCell ref="AX100:AY100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BJ98:BK98"/>
    <mergeCell ref="BL98:BM98"/>
    <mergeCell ref="BN98:BO98"/>
    <mergeCell ref="F98:G98"/>
    <mergeCell ref="H98:I98"/>
    <mergeCell ref="J98:K98"/>
    <mergeCell ref="L98:M98"/>
    <mergeCell ref="N98:O98"/>
    <mergeCell ref="P98:Q98"/>
    <mergeCell ref="R98:S98"/>
    <mergeCell ref="AV98:AW98"/>
    <mergeCell ref="AX98:AY98"/>
    <mergeCell ref="AZ98:BA98"/>
    <mergeCell ref="BB98:BC98"/>
    <mergeCell ref="BD98:BE98"/>
    <mergeCell ref="BF98:BG98"/>
    <mergeCell ref="BH98:BI98"/>
    <mergeCell ref="F100:G100"/>
    <mergeCell ref="H100:I100"/>
    <mergeCell ref="J100:K100"/>
    <mergeCell ref="L100:M100"/>
    <mergeCell ref="N100:O100"/>
    <mergeCell ref="P100:Q100"/>
    <mergeCell ref="R100:S100"/>
    <mergeCell ref="BD99:BE99"/>
    <mergeCell ref="BD100:BE100"/>
    <mergeCell ref="BF100:BG100"/>
    <mergeCell ref="BH100:BI100"/>
    <mergeCell ref="BJ100:BK100"/>
    <mergeCell ref="BL100:BM100"/>
    <mergeCell ref="BN100:BO100"/>
    <mergeCell ref="AZ99:BA99"/>
    <mergeCell ref="BB99:BC99"/>
    <mergeCell ref="BF99:BG99"/>
    <mergeCell ref="BH99:BI99"/>
    <mergeCell ref="BJ99:BK99"/>
    <mergeCell ref="BL99:BM99"/>
    <mergeCell ref="BN99:BO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M101"/>
    <mergeCell ref="AN101:AO101"/>
    <mergeCell ref="AP101:AQ101"/>
    <mergeCell ref="AR101:AS101"/>
    <mergeCell ref="AT101:AU101"/>
    <mergeCell ref="BJ101:BK101"/>
    <mergeCell ref="BL101:BM101"/>
    <mergeCell ref="BN101:BO101"/>
    <mergeCell ref="AV101:AW101"/>
    <mergeCell ref="AX101:AY101"/>
    <mergeCell ref="AZ101:BA101"/>
    <mergeCell ref="BB101:BC101"/>
    <mergeCell ref="BD101:BE101"/>
    <mergeCell ref="BF101:BG101"/>
    <mergeCell ref="BH101:BI101"/>
    <mergeCell ref="F101:G101"/>
    <mergeCell ref="H101:I101"/>
    <mergeCell ref="J101:K101"/>
    <mergeCell ref="L101:M101"/>
    <mergeCell ref="N101:O101"/>
    <mergeCell ref="P101:Q101"/>
    <mergeCell ref="R101:S101"/>
    <mergeCell ref="AV103:AW103"/>
    <mergeCell ref="AX103:AY103"/>
    <mergeCell ref="AH103:AI103"/>
    <mergeCell ref="AJ103:AK103"/>
    <mergeCell ref="AL103:AM103"/>
    <mergeCell ref="AN103:AO103"/>
    <mergeCell ref="AP103:AQ103"/>
    <mergeCell ref="AR103:AS103"/>
    <mergeCell ref="AT103:AU103"/>
    <mergeCell ref="AZ104:BA104"/>
    <mergeCell ref="BB104:BC104"/>
    <mergeCell ref="AL104:AM104"/>
    <mergeCell ref="AN104:AO104"/>
    <mergeCell ref="AP104:AQ104"/>
    <mergeCell ref="AR104:AS104"/>
    <mergeCell ref="AT104:AU104"/>
    <mergeCell ref="AV104:AW104"/>
    <mergeCell ref="AX104:AY104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L105:AM105"/>
    <mergeCell ref="AN105:AO105"/>
    <mergeCell ref="AP105:AQ105"/>
    <mergeCell ref="AR105:AS105"/>
    <mergeCell ref="AT105:AU105"/>
    <mergeCell ref="BJ105:BK105"/>
    <mergeCell ref="BL105:BM105"/>
    <mergeCell ref="BN105:BO105"/>
    <mergeCell ref="AV105:AW105"/>
    <mergeCell ref="AX105:AY105"/>
    <mergeCell ref="AZ105:BA105"/>
    <mergeCell ref="BB105:BC105"/>
    <mergeCell ref="BD105:BE105"/>
    <mergeCell ref="BF105:BG105"/>
    <mergeCell ref="BH105:BI105"/>
    <mergeCell ref="F105:G105"/>
    <mergeCell ref="H105:I105"/>
    <mergeCell ref="J105:K105"/>
    <mergeCell ref="L105:M105"/>
    <mergeCell ref="N105:O105"/>
    <mergeCell ref="P105:Q105"/>
    <mergeCell ref="R105:S105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Z112:BA112"/>
    <mergeCell ref="BB112:BC112"/>
    <mergeCell ref="AL112:AM112"/>
    <mergeCell ref="AN112:AO112"/>
    <mergeCell ref="AP112:AQ112"/>
    <mergeCell ref="AR112:AS112"/>
    <mergeCell ref="AT112:AU112"/>
    <mergeCell ref="AV112:AW112"/>
    <mergeCell ref="AX112:AY112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L110:AM110"/>
    <mergeCell ref="AN110:AO110"/>
    <mergeCell ref="AP110:AQ110"/>
    <mergeCell ref="AR110:AS110"/>
    <mergeCell ref="AT110:AU110"/>
    <mergeCell ref="BJ110:BK110"/>
    <mergeCell ref="BL110:BM110"/>
    <mergeCell ref="BN110:BO110"/>
    <mergeCell ref="F110:G110"/>
    <mergeCell ref="H110:I110"/>
    <mergeCell ref="J110:K110"/>
    <mergeCell ref="L110:M110"/>
    <mergeCell ref="N110:O110"/>
    <mergeCell ref="P110:Q110"/>
    <mergeCell ref="R110:S110"/>
    <mergeCell ref="AV110:AW110"/>
    <mergeCell ref="AX110:AY110"/>
    <mergeCell ref="AZ110:BA110"/>
    <mergeCell ref="BB110:BC110"/>
    <mergeCell ref="BD110:BE110"/>
    <mergeCell ref="BF110:BG110"/>
    <mergeCell ref="BH110:BI110"/>
    <mergeCell ref="F112:G112"/>
    <mergeCell ref="H112:I112"/>
    <mergeCell ref="J112:K112"/>
    <mergeCell ref="L112:M112"/>
    <mergeCell ref="N112:O112"/>
    <mergeCell ref="P112:Q112"/>
    <mergeCell ref="R112:S112"/>
    <mergeCell ref="BD111:BE111"/>
    <mergeCell ref="BD112:BE112"/>
    <mergeCell ref="BF112:BG112"/>
    <mergeCell ref="BH112:BI112"/>
    <mergeCell ref="BJ112:BK112"/>
    <mergeCell ref="BL112:BM112"/>
    <mergeCell ref="BN112:BO112"/>
    <mergeCell ref="AZ111:BA111"/>
    <mergeCell ref="BB111:BC111"/>
    <mergeCell ref="BF111:BG111"/>
    <mergeCell ref="BH111:BI111"/>
    <mergeCell ref="BJ111:BK111"/>
    <mergeCell ref="BL111:BM111"/>
    <mergeCell ref="BN111:BO111"/>
    <mergeCell ref="AV107:AW107"/>
    <mergeCell ref="AX107:AY107"/>
    <mergeCell ref="AH107:AI107"/>
    <mergeCell ref="AJ107:AK107"/>
    <mergeCell ref="AL107:AM107"/>
    <mergeCell ref="AN107:AO107"/>
    <mergeCell ref="AP107:AQ107"/>
    <mergeCell ref="AR107:AS107"/>
    <mergeCell ref="AT107:AU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Z108:BA108"/>
    <mergeCell ref="BB108:BC108"/>
    <mergeCell ref="AL108:AM108"/>
    <mergeCell ref="AN108:AO108"/>
    <mergeCell ref="AP108:AQ108"/>
    <mergeCell ref="AR108:AS108"/>
    <mergeCell ref="AT108:AU108"/>
    <mergeCell ref="AV108:AW108"/>
    <mergeCell ref="AX108:AY108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M106"/>
    <mergeCell ref="AN106:AO106"/>
    <mergeCell ref="AP106:AQ106"/>
    <mergeCell ref="AR106:AS106"/>
    <mergeCell ref="AT106:AU106"/>
    <mergeCell ref="BJ106:BK106"/>
    <mergeCell ref="BL106:BM106"/>
    <mergeCell ref="BN106:BO106"/>
    <mergeCell ref="F106:G106"/>
    <mergeCell ref="H106:I106"/>
    <mergeCell ref="J106:K106"/>
    <mergeCell ref="L106:M106"/>
    <mergeCell ref="N106:O106"/>
    <mergeCell ref="P106:Q106"/>
    <mergeCell ref="R106:S106"/>
    <mergeCell ref="AV106:AW106"/>
    <mergeCell ref="AX106:AY106"/>
    <mergeCell ref="AZ106:BA106"/>
    <mergeCell ref="BB106:BC106"/>
    <mergeCell ref="BD106:BE106"/>
    <mergeCell ref="BF106:BG106"/>
    <mergeCell ref="BH106:BI106"/>
    <mergeCell ref="F108:G108"/>
    <mergeCell ref="H108:I108"/>
    <mergeCell ref="J108:K108"/>
    <mergeCell ref="L108:M108"/>
    <mergeCell ref="N108:O108"/>
    <mergeCell ref="P108:Q108"/>
    <mergeCell ref="R108:S108"/>
    <mergeCell ref="BD107:BE107"/>
    <mergeCell ref="BD108:BE108"/>
    <mergeCell ref="BF108:BG108"/>
    <mergeCell ref="BH108:BI108"/>
    <mergeCell ref="BJ108:BK108"/>
    <mergeCell ref="BL108:BM108"/>
    <mergeCell ref="BN108:BO108"/>
    <mergeCell ref="AZ107:BA107"/>
    <mergeCell ref="BB107:BC107"/>
    <mergeCell ref="BF107:BG107"/>
    <mergeCell ref="BH107:BI107"/>
    <mergeCell ref="BJ107:BK107"/>
    <mergeCell ref="BL107:BM107"/>
    <mergeCell ref="BN107:BO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AL109:AM109"/>
    <mergeCell ref="AN109:AO109"/>
    <mergeCell ref="AP109:AQ109"/>
    <mergeCell ref="AR109:AS109"/>
    <mergeCell ref="AT109:AU109"/>
    <mergeCell ref="BJ109:BK109"/>
    <mergeCell ref="BL109:BM109"/>
    <mergeCell ref="BN109:BO109"/>
    <mergeCell ref="AV109:AW109"/>
    <mergeCell ref="AX109:AY109"/>
    <mergeCell ref="AZ109:BA109"/>
    <mergeCell ref="BB109:BC109"/>
    <mergeCell ref="BD109:BE109"/>
    <mergeCell ref="BF109:BG109"/>
    <mergeCell ref="BH109:BI109"/>
    <mergeCell ref="F109:G109"/>
    <mergeCell ref="H109:I109"/>
    <mergeCell ref="J109:K109"/>
    <mergeCell ref="L109:M109"/>
    <mergeCell ref="N109:O109"/>
    <mergeCell ref="P109:Q109"/>
    <mergeCell ref="R109:S109"/>
    <mergeCell ref="AV111:AW111"/>
    <mergeCell ref="AX111:AY111"/>
    <mergeCell ref="AH111:AI111"/>
    <mergeCell ref="AJ111:AK111"/>
    <mergeCell ref="AL111:AM111"/>
    <mergeCell ref="AN111:AO111"/>
    <mergeCell ref="AP111:AQ111"/>
    <mergeCell ref="AR111:AS111"/>
    <mergeCell ref="AT111:AU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AL113:AM113"/>
    <mergeCell ref="AN113:AO113"/>
    <mergeCell ref="AP113:AQ113"/>
    <mergeCell ref="AR113:AS113"/>
    <mergeCell ref="AT113:AU113"/>
    <mergeCell ref="BJ113:BK113"/>
    <mergeCell ref="BL113:BM113"/>
    <mergeCell ref="BN113:BO113"/>
    <mergeCell ref="AV113:AW113"/>
    <mergeCell ref="AX113:AY113"/>
    <mergeCell ref="AZ113:BA113"/>
    <mergeCell ref="BB113:BC113"/>
    <mergeCell ref="BD113:BE113"/>
    <mergeCell ref="BF113:BG113"/>
    <mergeCell ref="BH113:BI113"/>
    <mergeCell ref="F113:G113"/>
    <mergeCell ref="H113:I113"/>
    <mergeCell ref="J113:K113"/>
    <mergeCell ref="L113:M113"/>
    <mergeCell ref="N113:O113"/>
    <mergeCell ref="P113:Q113"/>
    <mergeCell ref="R113:S113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A2:B2"/>
    <mergeCell ref="Q2:BP2"/>
    <mergeCell ref="BL33:BM33"/>
    <mergeCell ref="A36:B36"/>
    <mergeCell ref="C36:D36"/>
    <mergeCell ref="F37:G37"/>
    <mergeCell ref="H37:I37"/>
    <mergeCell ref="BN37:BO37"/>
    <mergeCell ref="BF38:BG38"/>
    <mergeCell ref="BH38:BI38"/>
    <mergeCell ref="BJ38:BK38"/>
    <mergeCell ref="BL38:BM38"/>
    <mergeCell ref="BN38:BO38"/>
    <mergeCell ref="AR38:AS38"/>
    <mergeCell ref="AT38:AU38"/>
    <mergeCell ref="AV38:AW38"/>
    <mergeCell ref="AX38:AY38"/>
    <mergeCell ref="AZ38:BA38"/>
    <mergeCell ref="BB38:BC38"/>
    <mergeCell ref="BD38:BE38"/>
    <mergeCell ref="AJ39:AK39"/>
    <mergeCell ref="AL39:AM39"/>
    <mergeCell ref="AN39:AO39"/>
    <mergeCell ref="AP39:AQ39"/>
    <mergeCell ref="AR39:AS39"/>
    <mergeCell ref="AT39:AU39"/>
    <mergeCell ref="AV39:AW39"/>
    <mergeCell ref="BL39:BM39"/>
    <mergeCell ref="BN39:BO39"/>
    <mergeCell ref="AX39:AY39"/>
    <mergeCell ref="AZ39:BA39"/>
    <mergeCell ref="BB39:BC39"/>
    <mergeCell ref="BD39:BE39"/>
    <mergeCell ref="BF39:BG39"/>
    <mergeCell ref="BH39:BI39"/>
    <mergeCell ref="BJ39:BK39"/>
    <mergeCell ref="N37:O37"/>
    <mergeCell ref="P37:Q37"/>
    <mergeCell ref="N38:O38"/>
    <mergeCell ref="P38:Q38"/>
    <mergeCell ref="R37:S37"/>
    <mergeCell ref="T37:U37"/>
    <mergeCell ref="R38:S38"/>
    <mergeCell ref="T38:U38"/>
    <mergeCell ref="V37:W37"/>
    <mergeCell ref="X37:Y37"/>
    <mergeCell ref="V38:W38"/>
    <mergeCell ref="X38:Y38"/>
    <mergeCell ref="Z37:AA37"/>
    <mergeCell ref="AB37:AC37"/>
    <mergeCell ref="Z38:AA38"/>
    <mergeCell ref="AB38:AC38"/>
    <mergeCell ref="AB39:AC39"/>
    <mergeCell ref="AH37:AI37"/>
    <mergeCell ref="AJ37:AK37"/>
    <mergeCell ref="AH38:AI38"/>
    <mergeCell ref="AJ38:AK38"/>
    <mergeCell ref="AL38:AM38"/>
    <mergeCell ref="AN38:AO38"/>
    <mergeCell ref="AP38:AQ38"/>
    <mergeCell ref="J37:K37"/>
    <mergeCell ref="L37:M37"/>
    <mergeCell ref="F38:G38"/>
    <mergeCell ref="H38:I38"/>
    <mergeCell ref="J38:K38"/>
    <mergeCell ref="L38:M38"/>
    <mergeCell ref="F39:G39"/>
    <mergeCell ref="L39:M39"/>
    <mergeCell ref="AD37:AE37"/>
    <mergeCell ref="AF37:AG37"/>
    <mergeCell ref="AD38:AE38"/>
    <mergeCell ref="AF38:AG38"/>
    <mergeCell ref="AD39:AE39"/>
    <mergeCell ref="AF39:AG39"/>
    <mergeCell ref="AH39:AI39"/>
    <mergeCell ref="X39:Y39"/>
    <mergeCell ref="Z39:AA39"/>
    <mergeCell ref="H39:I39"/>
    <mergeCell ref="J39:K39"/>
    <mergeCell ref="N39:O39"/>
    <mergeCell ref="P39:Q39"/>
    <mergeCell ref="R39:S39"/>
    <mergeCell ref="T39:U39"/>
    <mergeCell ref="V39:W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BJ40:BK40"/>
    <mergeCell ref="BL40:BM40"/>
    <mergeCell ref="BN40:BO40"/>
    <mergeCell ref="AV40:AW40"/>
    <mergeCell ref="AX40:AY40"/>
    <mergeCell ref="AZ40:BA40"/>
    <mergeCell ref="BB40:BC40"/>
    <mergeCell ref="BD40:BE40"/>
    <mergeCell ref="BF40:BG40"/>
    <mergeCell ref="BH40:BI40"/>
    <mergeCell ref="F40:G40"/>
    <mergeCell ref="H40:I40"/>
    <mergeCell ref="J40:K40"/>
    <mergeCell ref="L40:M40"/>
    <mergeCell ref="N40:O40"/>
    <mergeCell ref="P40:Q40"/>
    <mergeCell ref="R40:S40"/>
    <mergeCell ref="AV42:AW42"/>
    <mergeCell ref="AX42:AY42"/>
    <mergeCell ref="AH42:AI42"/>
    <mergeCell ref="AJ42:AK42"/>
    <mergeCell ref="AL42:AM42"/>
    <mergeCell ref="AN42:AO42"/>
    <mergeCell ref="AP42:AQ42"/>
    <mergeCell ref="AR42:AS42"/>
    <mergeCell ref="AT42:AU42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BJ45:BK45"/>
    <mergeCell ref="BL45:BM45"/>
    <mergeCell ref="BN45:BO45"/>
    <mergeCell ref="F45:G45"/>
    <mergeCell ref="H45:I45"/>
    <mergeCell ref="J45:K45"/>
    <mergeCell ref="L45:M45"/>
    <mergeCell ref="N45:O45"/>
    <mergeCell ref="P45:Q45"/>
    <mergeCell ref="R45:S45"/>
    <mergeCell ref="AV45:AW45"/>
    <mergeCell ref="AX45:AY45"/>
    <mergeCell ref="AZ45:BA45"/>
    <mergeCell ref="BB45:BC45"/>
    <mergeCell ref="BD45:BE45"/>
    <mergeCell ref="BF45:BG45"/>
    <mergeCell ref="BH45:BI45"/>
    <mergeCell ref="F47:G47"/>
    <mergeCell ref="H47:I47"/>
    <mergeCell ref="J47:K47"/>
    <mergeCell ref="L47:M47"/>
    <mergeCell ref="N47:O47"/>
    <mergeCell ref="P47:Q47"/>
    <mergeCell ref="R47:S47"/>
    <mergeCell ref="BD46:BE46"/>
    <mergeCell ref="BD47:BE47"/>
    <mergeCell ref="BF47:BG47"/>
    <mergeCell ref="BH47:BI47"/>
    <mergeCell ref="BJ47:BK47"/>
    <mergeCell ref="BL47:BM47"/>
    <mergeCell ref="BN47:BO47"/>
    <mergeCell ref="AZ46:BA46"/>
    <mergeCell ref="BB46:BC46"/>
    <mergeCell ref="BF46:BG46"/>
    <mergeCell ref="BH46:BI46"/>
    <mergeCell ref="BJ46:BK46"/>
    <mergeCell ref="BL46:BM46"/>
    <mergeCell ref="BN46:BO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BJ48:BK48"/>
    <mergeCell ref="BL48:BM48"/>
    <mergeCell ref="BN48:BO48"/>
    <mergeCell ref="AV48:AW48"/>
    <mergeCell ref="AX48:AY48"/>
    <mergeCell ref="AZ48:BA48"/>
    <mergeCell ref="BB48:BC48"/>
    <mergeCell ref="BD48:BE48"/>
    <mergeCell ref="BF48:BG48"/>
    <mergeCell ref="BH48:BI48"/>
    <mergeCell ref="F48:G48"/>
    <mergeCell ref="H48:I48"/>
    <mergeCell ref="J48:K48"/>
    <mergeCell ref="L48:M48"/>
    <mergeCell ref="N48:O48"/>
    <mergeCell ref="P48:Q48"/>
    <mergeCell ref="R48:S48"/>
    <mergeCell ref="AZ43:BA43"/>
    <mergeCell ref="BB43:BC43"/>
    <mergeCell ref="AL43:AM43"/>
    <mergeCell ref="AN43:AO43"/>
    <mergeCell ref="AP43:AQ43"/>
    <mergeCell ref="AR43:AS43"/>
    <mergeCell ref="AT43:AU43"/>
    <mergeCell ref="AV43:AW43"/>
    <mergeCell ref="AX43:AY43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BJ41:BK41"/>
    <mergeCell ref="BL41:BM41"/>
    <mergeCell ref="BN41:BO41"/>
    <mergeCell ref="F41:G41"/>
    <mergeCell ref="H41:I41"/>
    <mergeCell ref="J41:K41"/>
    <mergeCell ref="L41:M41"/>
    <mergeCell ref="N41:O41"/>
    <mergeCell ref="P41:Q41"/>
    <mergeCell ref="R41:S41"/>
    <mergeCell ref="AV41:AW41"/>
    <mergeCell ref="AX41:AY41"/>
    <mergeCell ref="AZ41:BA41"/>
    <mergeCell ref="BB41:BC41"/>
    <mergeCell ref="BD41:BE41"/>
    <mergeCell ref="BF41:BG41"/>
    <mergeCell ref="BH41:BI41"/>
    <mergeCell ref="F43:G43"/>
    <mergeCell ref="H43:I43"/>
    <mergeCell ref="J43:K43"/>
    <mergeCell ref="L43:M43"/>
    <mergeCell ref="N43:O43"/>
    <mergeCell ref="P43:Q43"/>
    <mergeCell ref="R43:S43"/>
    <mergeCell ref="BD42:BE42"/>
    <mergeCell ref="BD43:BE43"/>
    <mergeCell ref="BF43:BG43"/>
    <mergeCell ref="BH43:BI43"/>
    <mergeCell ref="BJ43:BK43"/>
    <mergeCell ref="BL43:BM43"/>
    <mergeCell ref="BN43:BO43"/>
    <mergeCell ref="AZ42:BA42"/>
    <mergeCell ref="BB42:BC42"/>
    <mergeCell ref="BF42:BG42"/>
    <mergeCell ref="BH42:BI42"/>
    <mergeCell ref="BJ42:BK42"/>
    <mergeCell ref="BL42:BM42"/>
    <mergeCell ref="BN42:B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BJ44:BK44"/>
    <mergeCell ref="BL44:BM44"/>
    <mergeCell ref="BN44:BO44"/>
    <mergeCell ref="AV44:AW44"/>
    <mergeCell ref="AX44:AY44"/>
    <mergeCell ref="AZ44:BA44"/>
    <mergeCell ref="BB44:BC44"/>
    <mergeCell ref="BD44:BE44"/>
    <mergeCell ref="BF44:BG44"/>
    <mergeCell ref="BH44:BI44"/>
    <mergeCell ref="F44:G44"/>
    <mergeCell ref="H44:I44"/>
    <mergeCell ref="J44:K44"/>
    <mergeCell ref="L44:M44"/>
    <mergeCell ref="N44:O44"/>
    <mergeCell ref="P44:Q44"/>
    <mergeCell ref="R44:S44"/>
    <mergeCell ref="AV46:AW46"/>
    <mergeCell ref="AX46:AY46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Z47:BA47"/>
    <mergeCell ref="BB47:BC47"/>
    <mergeCell ref="AL47:AM47"/>
    <mergeCell ref="AN47:AO47"/>
    <mergeCell ref="AP47:AQ47"/>
    <mergeCell ref="AR47:AS47"/>
    <mergeCell ref="AT47:AU47"/>
    <mergeCell ref="AV47:AW47"/>
    <mergeCell ref="AX47:AY47"/>
    <mergeCell ref="AV50:AW50"/>
    <mergeCell ref="AX50:AY50"/>
    <mergeCell ref="AH50:AI50"/>
    <mergeCell ref="AJ50:AK50"/>
    <mergeCell ref="AL50:AM50"/>
    <mergeCell ref="AN50:AO50"/>
    <mergeCell ref="AP50:AQ50"/>
    <mergeCell ref="AR50:AS50"/>
    <mergeCell ref="AT50:AU50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BJ53:BK53"/>
    <mergeCell ref="BL53:BM53"/>
    <mergeCell ref="BN53:BO53"/>
    <mergeCell ref="F53:G53"/>
    <mergeCell ref="H53:I53"/>
    <mergeCell ref="J53:K53"/>
    <mergeCell ref="L53:M53"/>
    <mergeCell ref="N53:O53"/>
    <mergeCell ref="P53:Q53"/>
    <mergeCell ref="R53:S53"/>
    <mergeCell ref="AV53:AW53"/>
    <mergeCell ref="AX53:AY53"/>
    <mergeCell ref="AZ53:BA53"/>
    <mergeCell ref="BB53:BC53"/>
    <mergeCell ref="BD53:BE53"/>
    <mergeCell ref="BF53:BG53"/>
    <mergeCell ref="BH53:BI53"/>
    <mergeCell ref="F55:G55"/>
    <mergeCell ref="H55:I55"/>
    <mergeCell ref="J55:K55"/>
    <mergeCell ref="L55:M55"/>
    <mergeCell ref="N55:O55"/>
    <mergeCell ref="P55:Q55"/>
    <mergeCell ref="R55:S55"/>
    <mergeCell ref="BD54:BE54"/>
    <mergeCell ref="BD55:BE55"/>
    <mergeCell ref="BF55:BG55"/>
    <mergeCell ref="BH55:BI55"/>
    <mergeCell ref="BJ55:BK55"/>
    <mergeCell ref="BL55:BM55"/>
    <mergeCell ref="BN55:BO55"/>
    <mergeCell ref="AZ54:BA54"/>
    <mergeCell ref="BB54:BC54"/>
    <mergeCell ref="BF54:BG54"/>
    <mergeCell ref="BH54:BI54"/>
    <mergeCell ref="BJ54:BK54"/>
    <mergeCell ref="BL54:BM54"/>
    <mergeCell ref="BN54:BO54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Z51:BA51"/>
    <mergeCell ref="BB51:BC51"/>
    <mergeCell ref="AL51:AM51"/>
    <mergeCell ref="AN51:AO51"/>
    <mergeCell ref="AP51:AQ51"/>
    <mergeCell ref="AR51:AS51"/>
    <mergeCell ref="AT51:AU51"/>
    <mergeCell ref="AV51:AW51"/>
    <mergeCell ref="AX51:AY51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BJ49:BK49"/>
    <mergeCell ref="BL49:BM49"/>
    <mergeCell ref="BN49:BO49"/>
    <mergeCell ref="F49:G49"/>
    <mergeCell ref="H49:I49"/>
    <mergeCell ref="J49:K49"/>
    <mergeCell ref="L49:M49"/>
    <mergeCell ref="N49:O49"/>
    <mergeCell ref="P49:Q49"/>
    <mergeCell ref="R49:S49"/>
    <mergeCell ref="AV49:AW49"/>
    <mergeCell ref="AX49:AY49"/>
    <mergeCell ref="AZ49:BA49"/>
    <mergeCell ref="BB49:BC49"/>
    <mergeCell ref="BD49:BE49"/>
    <mergeCell ref="BF49:BG49"/>
    <mergeCell ref="BH49:BI49"/>
    <mergeCell ref="F51:G51"/>
    <mergeCell ref="H51:I51"/>
    <mergeCell ref="J51:K51"/>
    <mergeCell ref="L51:M51"/>
    <mergeCell ref="N51:O51"/>
    <mergeCell ref="P51:Q51"/>
    <mergeCell ref="R51:S51"/>
    <mergeCell ref="BD50:BE50"/>
    <mergeCell ref="BD51:BE51"/>
    <mergeCell ref="BF51:BG51"/>
    <mergeCell ref="BH51:BI51"/>
    <mergeCell ref="BJ51:BK51"/>
    <mergeCell ref="BL51:BM51"/>
    <mergeCell ref="BN51:BO51"/>
    <mergeCell ref="AZ50:BA50"/>
    <mergeCell ref="BB50:BC50"/>
    <mergeCell ref="BF50:BG50"/>
    <mergeCell ref="BH50:BI50"/>
    <mergeCell ref="BJ50:BK50"/>
    <mergeCell ref="BL50:BM50"/>
    <mergeCell ref="BN50:BO50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BJ52:BK52"/>
    <mergeCell ref="BL52:BM52"/>
    <mergeCell ref="BN52:BO52"/>
    <mergeCell ref="AV52:AW52"/>
    <mergeCell ref="AX52:AY52"/>
    <mergeCell ref="AZ52:BA52"/>
    <mergeCell ref="BB52:BC52"/>
    <mergeCell ref="BD52:BE52"/>
    <mergeCell ref="BF52:BG52"/>
    <mergeCell ref="BH52:BI52"/>
    <mergeCell ref="F52:G52"/>
    <mergeCell ref="H52:I52"/>
    <mergeCell ref="J52:K52"/>
    <mergeCell ref="L52:M52"/>
    <mergeCell ref="N52:O52"/>
    <mergeCell ref="P52:Q52"/>
    <mergeCell ref="R52:S52"/>
    <mergeCell ref="AV54:AW54"/>
    <mergeCell ref="AX54:AY54"/>
    <mergeCell ref="AH54:AI54"/>
    <mergeCell ref="AJ54:AK54"/>
    <mergeCell ref="AL54:AM54"/>
    <mergeCell ref="AN54:AO54"/>
    <mergeCell ref="AP54:AQ54"/>
    <mergeCell ref="AR54:AS54"/>
    <mergeCell ref="AT54:AU54"/>
    <mergeCell ref="AZ55:BA55"/>
    <mergeCell ref="BB55:BC55"/>
    <mergeCell ref="AL55:AM55"/>
    <mergeCell ref="AN55:AO55"/>
    <mergeCell ref="AP55:AQ55"/>
    <mergeCell ref="AR55:AS55"/>
    <mergeCell ref="AT55:AU55"/>
    <mergeCell ref="AV55:AW55"/>
    <mergeCell ref="AX55:AY55"/>
    <mergeCell ref="AH55:AI55"/>
    <mergeCell ref="AJ55:AK55"/>
    <mergeCell ref="T55:U55"/>
    <mergeCell ref="V55:W55"/>
    <mergeCell ref="X55:Y55"/>
    <mergeCell ref="Z55:AA55"/>
    <mergeCell ref="AB55:AC55"/>
    <mergeCell ref="AD55:AE55"/>
    <mergeCell ref="AF55:AG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BJ56:BK56"/>
    <mergeCell ref="BL56:BM56"/>
    <mergeCell ref="BN56:BO56"/>
    <mergeCell ref="AV56:AW56"/>
    <mergeCell ref="AX56:AY56"/>
    <mergeCell ref="AZ56:BA56"/>
    <mergeCell ref="BB56:BC56"/>
    <mergeCell ref="BD56:BE56"/>
    <mergeCell ref="BF56:BG56"/>
    <mergeCell ref="BH56:BI56"/>
    <mergeCell ref="F56:G56"/>
    <mergeCell ref="H56:I56"/>
    <mergeCell ref="J56:K56"/>
    <mergeCell ref="L56:M56"/>
    <mergeCell ref="N56:O56"/>
    <mergeCell ref="P56:Q56"/>
    <mergeCell ref="R56:S56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Z63:BA63"/>
    <mergeCell ref="BB63:BC63"/>
    <mergeCell ref="AL63:AM63"/>
    <mergeCell ref="AN63:AO63"/>
    <mergeCell ref="AP63:AQ63"/>
    <mergeCell ref="AR63:AS63"/>
    <mergeCell ref="AT63:AU63"/>
    <mergeCell ref="AV63:AW63"/>
    <mergeCell ref="AX63:AY63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BJ61:BK61"/>
    <mergeCell ref="BL61:BM61"/>
    <mergeCell ref="BN61:BO61"/>
    <mergeCell ref="F61:G61"/>
    <mergeCell ref="H61:I61"/>
    <mergeCell ref="J61:K61"/>
    <mergeCell ref="L61:M61"/>
    <mergeCell ref="N61:O61"/>
    <mergeCell ref="P61:Q61"/>
    <mergeCell ref="R61:S61"/>
    <mergeCell ref="AV61:AW61"/>
    <mergeCell ref="AX61:AY61"/>
    <mergeCell ref="AZ61:BA61"/>
    <mergeCell ref="BB61:BC61"/>
    <mergeCell ref="BD61:BE61"/>
    <mergeCell ref="BF61:BG61"/>
    <mergeCell ref="BH61:BI61"/>
    <mergeCell ref="F63:G63"/>
    <mergeCell ref="H63:I63"/>
    <mergeCell ref="J63:K63"/>
    <mergeCell ref="L63:M63"/>
    <mergeCell ref="N63:O63"/>
    <mergeCell ref="P63:Q63"/>
    <mergeCell ref="R63:S63"/>
    <mergeCell ref="BD62:BE62"/>
    <mergeCell ref="BD63:BE63"/>
    <mergeCell ref="BF63:BG63"/>
    <mergeCell ref="BH63:BI63"/>
    <mergeCell ref="BJ63:BK63"/>
    <mergeCell ref="BL63:BM63"/>
    <mergeCell ref="BN63:BO63"/>
    <mergeCell ref="AZ62:BA62"/>
    <mergeCell ref="BB62:BC62"/>
    <mergeCell ref="BF62:BG62"/>
    <mergeCell ref="BH62:BI62"/>
    <mergeCell ref="BJ62:BK62"/>
    <mergeCell ref="BL62:BM62"/>
    <mergeCell ref="BN62:BO62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Z120:BA120"/>
    <mergeCell ref="BB120:BC120"/>
    <mergeCell ref="AL120:AM120"/>
    <mergeCell ref="AN120:AO120"/>
    <mergeCell ref="AP120:AQ120"/>
    <mergeCell ref="AR120:AS120"/>
    <mergeCell ref="AT120:AU120"/>
    <mergeCell ref="AV120:AW120"/>
    <mergeCell ref="AX120:AY120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AJ118:AK118"/>
    <mergeCell ref="AL118:AM118"/>
    <mergeCell ref="AN118:AO118"/>
    <mergeCell ref="AP118:AQ118"/>
    <mergeCell ref="AR118:AS118"/>
    <mergeCell ref="AT118:AU118"/>
    <mergeCell ref="BJ118:BK118"/>
    <mergeCell ref="BL118:BM118"/>
    <mergeCell ref="BN118:BO118"/>
    <mergeCell ref="F118:G118"/>
    <mergeCell ref="H118:I118"/>
    <mergeCell ref="J118:K118"/>
    <mergeCell ref="L118:M118"/>
    <mergeCell ref="N118:O118"/>
    <mergeCell ref="P118:Q118"/>
    <mergeCell ref="R118:S118"/>
    <mergeCell ref="AV118:AW118"/>
    <mergeCell ref="AX118:AY118"/>
    <mergeCell ref="AZ118:BA118"/>
    <mergeCell ref="BB118:BC118"/>
    <mergeCell ref="BD118:BE118"/>
    <mergeCell ref="BF118:BG118"/>
    <mergeCell ref="BH118:BI118"/>
    <mergeCell ref="F120:G120"/>
    <mergeCell ref="H120:I120"/>
    <mergeCell ref="J120:K120"/>
    <mergeCell ref="L120:M120"/>
    <mergeCell ref="N120:O120"/>
    <mergeCell ref="P120:Q120"/>
    <mergeCell ref="R120:S120"/>
    <mergeCell ref="BD119:BE119"/>
    <mergeCell ref="BD120:BE120"/>
    <mergeCell ref="BF120:BG120"/>
    <mergeCell ref="BH120:BI120"/>
    <mergeCell ref="BJ120:BK120"/>
    <mergeCell ref="BL120:BM120"/>
    <mergeCell ref="BN120:BO120"/>
    <mergeCell ref="AZ119:BA119"/>
    <mergeCell ref="BB119:BC119"/>
    <mergeCell ref="BF119:BG119"/>
    <mergeCell ref="BH119:BI119"/>
    <mergeCell ref="BJ119:BK119"/>
    <mergeCell ref="BL119:BM119"/>
    <mergeCell ref="BN119:BO119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Z181:BA181"/>
    <mergeCell ref="BB181:BC181"/>
    <mergeCell ref="AL181:AM181"/>
    <mergeCell ref="AN181:AO181"/>
    <mergeCell ref="AP181:AQ181"/>
    <mergeCell ref="AR181:AS181"/>
    <mergeCell ref="AT181:AU181"/>
    <mergeCell ref="AV181:AW181"/>
    <mergeCell ref="AX181:AY181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BJ179:BK179"/>
    <mergeCell ref="BL179:BM179"/>
    <mergeCell ref="BN179:BO179"/>
    <mergeCell ref="F179:G179"/>
    <mergeCell ref="H179:I179"/>
    <mergeCell ref="J179:K179"/>
    <mergeCell ref="L179:M179"/>
    <mergeCell ref="N179:O179"/>
    <mergeCell ref="P179:Q179"/>
    <mergeCell ref="R179:S179"/>
    <mergeCell ref="AV179:AW179"/>
    <mergeCell ref="AX179:AY179"/>
    <mergeCell ref="AZ179:BA179"/>
    <mergeCell ref="BB179:BC179"/>
    <mergeCell ref="BD179:BE179"/>
    <mergeCell ref="BF179:BG179"/>
    <mergeCell ref="BH179:BI179"/>
    <mergeCell ref="F181:G181"/>
    <mergeCell ref="H181:I181"/>
    <mergeCell ref="J181:K181"/>
    <mergeCell ref="L181:M181"/>
    <mergeCell ref="N181:O181"/>
    <mergeCell ref="P181:Q181"/>
    <mergeCell ref="R181:S181"/>
    <mergeCell ref="BD180:BE180"/>
    <mergeCell ref="BD181:BE181"/>
    <mergeCell ref="BF181:BG181"/>
    <mergeCell ref="BH181:BI181"/>
    <mergeCell ref="BJ181:BK181"/>
    <mergeCell ref="BL181:BM181"/>
    <mergeCell ref="BN181:BO181"/>
    <mergeCell ref="AZ180:BA180"/>
    <mergeCell ref="BB180:BC180"/>
    <mergeCell ref="BF180:BG180"/>
    <mergeCell ref="BH180:BI180"/>
    <mergeCell ref="BJ180:BK180"/>
    <mergeCell ref="BL180:BM180"/>
    <mergeCell ref="BN180:BO180"/>
    <mergeCell ref="AV176:AW176"/>
    <mergeCell ref="AX176:AY176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Z177:BA177"/>
    <mergeCell ref="BB177:BC177"/>
    <mergeCell ref="AL177:AM177"/>
    <mergeCell ref="AN177:AO177"/>
    <mergeCell ref="AP177:AQ177"/>
    <mergeCell ref="AR177:AS177"/>
    <mergeCell ref="AT177:AU177"/>
    <mergeCell ref="AV177:AW177"/>
    <mergeCell ref="AX177:AY177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AJ175:AK175"/>
    <mergeCell ref="AL175:AM175"/>
    <mergeCell ref="AN175:AO175"/>
    <mergeCell ref="AP175:AQ175"/>
    <mergeCell ref="AR175:AS175"/>
    <mergeCell ref="AT175:AU175"/>
    <mergeCell ref="BJ175:BK175"/>
    <mergeCell ref="BL175:BM175"/>
    <mergeCell ref="BN175:BO175"/>
    <mergeCell ref="F175:G175"/>
    <mergeCell ref="H175:I175"/>
    <mergeCell ref="J175:K175"/>
    <mergeCell ref="L175:M175"/>
    <mergeCell ref="N175:O175"/>
    <mergeCell ref="P175:Q175"/>
    <mergeCell ref="R175:S175"/>
    <mergeCell ref="AV175:AW175"/>
    <mergeCell ref="AX175:AY175"/>
    <mergeCell ref="AZ175:BA175"/>
    <mergeCell ref="BB175:BC175"/>
    <mergeCell ref="BD175:BE175"/>
    <mergeCell ref="BF175:BG175"/>
    <mergeCell ref="BH175:BI175"/>
    <mergeCell ref="F177:G177"/>
    <mergeCell ref="H177:I177"/>
    <mergeCell ref="J177:K177"/>
    <mergeCell ref="L177:M177"/>
    <mergeCell ref="N177:O177"/>
    <mergeCell ref="P177:Q177"/>
    <mergeCell ref="R177:S177"/>
    <mergeCell ref="BD176:BE176"/>
    <mergeCell ref="BD177:BE177"/>
    <mergeCell ref="BF177:BG177"/>
    <mergeCell ref="BH177:BI177"/>
    <mergeCell ref="BJ177:BK177"/>
    <mergeCell ref="BL177:BM177"/>
    <mergeCell ref="BN177:BO177"/>
    <mergeCell ref="AZ176:BA176"/>
    <mergeCell ref="BB176:BC176"/>
    <mergeCell ref="BF176:BG176"/>
    <mergeCell ref="BH176:BI176"/>
    <mergeCell ref="BJ176:BK176"/>
    <mergeCell ref="BL176:BM176"/>
    <mergeCell ref="BN176:BO176"/>
    <mergeCell ref="AH177:AI177"/>
    <mergeCell ref="AJ177:AK177"/>
    <mergeCell ref="T177:U177"/>
    <mergeCell ref="V177:W177"/>
    <mergeCell ref="X177:Y177"/>
    <mergeCell ref="Z177:AA177"/>
    <mergeCell ref="AB177:AC177"/>
    <mergeCell ref="AD177:AE177"/>
    <mergeCell ref="AF177:AG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AJ178:AK178"/>
    <mergeCell ref="AL178:AM178"/>
    <mergeCell ref="AN178:AO178"/>
    <mergeCell ref="AP178:AQ178"/>
    <mergeCell ref="AR178:AS178"/>
    <mergeCell ref="AT178:AU178"/>
    <mergeCell ref="BJ178:BK178"/>
    <mergeCell ref="BL178:BM178"/>
    <mergeCell ref="BN178:BO178"/>
    <mergeCell ref="AV178:AW178"/>
    <mergeCell ref="AX178:AY178"/>
    <mergeCell ref="AZ178:BA178"/>
    <mergeCell ref="BB178:BC178"/>
    <mergeCell ref="BD178:BE178"/>
    <mergeCell ref="BF178:BG178"/>
    <mergeCell ref="BH178:BI178"/>
    <mergeCell ref="F178:G178"/>
    <mergeCell ref="H178:I178"/>
    <mergeCell ref="J178:K178"/>
    <mergeCell ref="L178:M178"/>
    <mergeCell ref="N178:O178"/>
    <mergeCell ref="P178:Q178"/>
    <mergeCell ref="R178:S178"/>
    <mergeCell ref="AV180:AW180"/>
    <mergeCell ref="AX180:AY180"/>
    <mergeCell ref="AH180:AI180"/>
    <mergeCell ref="AJ180:AK180"/>
    <mergeCell ref="AL180:AM180"/>
    <mergeCell ref="AN180:AO180"/>
    <mergeCell ref="AP180:AQ180"/>
    <mergeCell ref="AR180:AS180"/>
    <mergeCell ref="AT180:AU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AJ182:AK182"/>
    <mergeCell ref="AL182:AM182"/>
    <mergeCell ref="AN182:AO182"/>
    <mergeCell ref="AP182:AQ182"/>
    <mergeCell ref="AR182:AS182"/>
    <mergeCell ref="AT182:AU182"/>
    <mergeCell ref="BJ182:BK182"/>
    <mergeCell ref="BL182:BM182"/>
    <mergeCell ref="BN182:BO182"/>
    <mergeCell ref="AV182:AW182"/>
    <mergeCell ref="AX182:AY182"/>
    <mergeCell ref="AZ182:BA182"/>
    <mergeCell ref="BB182:BC182"/>
    <mergeCell ref="BD182:BE182"/>
    <mergeCell ref="BF182:BG182"/>
    <mergeCell ref="BH182:B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AJ183:AK183"/>
    <mergeCell ref="AL183:AM183"/>
    <mergeCell ref="AN183:AO183"/>
    <mergeCell ref="AP183:AQ183"/>
    <mergeCell ref="AR183:AS183"/>
    <mergeCell ref="AT183:AU183"/>
    <mergeCell ref="BJ183:BK183"/>
    <mergeCell ref="BL183:BM183"/>
    <mergeCell ref="BN183:BO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Z184:AA184"/>
    <mergeCell ref="AB184:AC184"/>
    <mergeCell ref="AD184:AE184"/>
    <mergeCell ref="AF184:AG184"/>
    <mergeCell ref="AZ184:BA184"/>
    <mergeCell ref="BB184:BC184"/>
    <mergeCell ref="BD184:BE184"/>
    <mergeCell ref="BF184:BG184"/>
    <mergeCell ref="BH184:BI184"/>
    <mergeCell ref="BJ184:BK184"/>
    <mergeCell ref="BL184:BM184"/>
    <mergeCell ref="BN184:BO184"/>
    <mergeCell ref="AV183:AW183"/>
    <mergeCell ref="AX183:AY183"/>
    <mergeCell ref="AZ183:BA183"/>
    <mergeCell ref="BB183:BC183"/>
    <mergeCell ref="BD183:BE183"/>
    <mergeCell ref="BF183:BG183"/>
    <mergeCell ref="BH183:BI183"/>
    <mergeCell ref="BJ216:BK216"/>
    <mergeCell ref="BL216:BM216"/>
    <mergeCell ref="AV216:AW216"/>
    <mergeCell ref="AX216:AY216"/>
    <mergeCell ref="AZ216:BA216"/>
    <mergeCell ref="BB216:BC216"/>
    <mergeCell ref="BD216:BE216"/>
    <mergeCell ref="BF216:BG216"/>
    <mergeCell ref="BH216:BI216"/>
    <mergeCell ref="AV184:AW184"/>
    <mergeCell ref="AX184:AY184"/>
    <mergeCell ref="AH184:AI184"/>
    <mergeCell ref="AJ184:AK184"/>
    <mergeCell ref="AL184:AM184"/>
    <mergeCell ref="AN184:AO184"/>
    <mergeCell ref="AP184:AQ184"/>
    <mergeCell ref="AR184:AS184"/>
    <mergeCell ref="AT184:AU184"/>
    <mergeCell ref="BL185:BM185"/>
    <mergeCell ref="BN185:BO185"/>
    <mergeCell ref="BJ185:BK185"/>
    <mergeCell ref="BJ186:BK186"/>
    <mergeCell ref="BJ187:BK187"/>
    <mergeCell ref="BJ188:BK188"/>
    <mergeCell ref="R185:S185"/>
    <mergeCell ref="V185:W185"/>
    <mergeCell ref="X185:Y185"/>
    <mergeCell ref="Z185:AA185"/>
    <mergeCell ref="AB185:AC185"/>
    <mergeCell ref="AN185:AO185"/>
    <mergeCell ref="AB186:AC186"/>
    <mergeCell ref="A188:B188"/>
    <mergeCell ref="C215:D215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16"/>
    <mergeCell ref="AB216:AC216"/>
    <mergeCell ref="BN216:BO216"/>
    <mergeCell ref="AR216:AS216"/>
    <mergeCell ref="AT216:AU216"/>
    <mergeCell ref="AD216:AE216"/>
    <mergeCell ref="AF216:AG216"/>
    <mergeCell ref="AH216:AI216"/>
    <mergeCell ref="AJ216:AK216"/>
    <mergeCell ref="AL216:AM216"/>
    <mergeCell ref="AN216:AO216"/>
    <mergeCell ref="AP216:AQ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AJ217:AK217"/>
    <mergeCell ref="AL217:AM217"/>
    <mergeCell ref="AN217:AO217"/>
    <mergeCell ref="AP217:AQ217"/>
    <mergeCell ref="AR217:AS217"/>
    <mergeCell ref="AT217:AU217"/>
    <mergeCell ref="BJ217:BK217"/>
    <mergeCell ref="BL217:BM217"/>
    <mergeCell ref="BN217:BO217"/>
    <mergeCell ref="AV217:AW217"/>
    <mergeCell ref="AX217:AY217"/>
    <mergeCell ref="AZ217:BA217"/>
    <mergeCell ref="BB217:BC217"/>
    <mergeCell ref="BD217:BE217"/>
    <mergeCell ref="BF217:BG217"/>
    <mergeCell ref="BH217:BI217"/>
    <mergeCell ref="F217:G217"/>
    <mergeCell ref="H217:I217"/>
    <mergeCell ref="J217:K217"/>
    <mergeCell ref="L217:M217"/>
    <mergeCell ref="N217:O217"/>
    <mergeCell ref="P217:Q217"/>
    <mergeCell ref="R217:S217"/>
    <mergeCell ref="AV219:AW219"/>
    <mergeCell ref="AX219:AY219"/>
    <mergeCell ref="AH219:AI219"/>
    <mergeCell ref="AJ219:AK219"/>
    <mergeCell ref="AL219:AM219"/>
    <mergeCell ref="AN219:AO219"/>
    <mergeCell ref="AP219:AQ219"/>
    <mergeCell ref="AR219:AS219"/>
    <mergeCell ref="AT219:AU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Z220:BA220"/>
    <mergeCell ref="BB220:BC220"/>
    <mergeCell ref="AL220:AM220"/>
    <mergeCell ref="AN220:AO220"/>
    <mergeCell ref="AP220:AQ220"/>
    <mergeCell ref="AR220:AS220"/>
    <mergeCell ref="AT220:AU220"/>
    <mergeCell ref="AV220:AW220"/>
    <mergeCell ref="AX220:AY220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AJ218:AK218"/>
    <mergeCell ref="AL218:AM218"/>
    <mergeCell ref="AN218:AO218"/>
    <mergeCell ref="AP218:AQ218"/>
    <mergeCell ref="AR218:AS218"/>
    <mergeCell ref="AT218:AU218"/>
    <mergeCell ref="BJ218:BK218"/>
    <mergeCell ref="BL218:BM218"/>
    <mergeCell ref="BN218:BO218"/>
    <mergeCell ref="F218:G218"/>
    <mergeCell ref="H218:I218"/>
    <mergeCell ref="J218:K218"/>
    <mergeCell ref="L218:M218"/>
    <mergeCell ref="N218:O218"/>
    <mergeCell ref="P218:Q218"/>
    <mergeCell ref="R218:S218"/>
    <mergeCell ref="AV218:AW218"/>
    <mergeCell ref="AX218:AY218"/>
    <mergeCell ref="AZ218:BA218"/>
    <mergeCell ref="BB218:BC218"/>
    <mergeCell ref="BD218:BE218"/>
    <mergeCell ref="BF218:BG218"/>
    <mergeCell ref="BH218:BI218"/>
    <mergeCell ref="F220:G220"/>
    <mergeCell ref="H220:I220"/>
    <mergeCell ref="J220:K220"/>
    <mergeCell ref="L220:M220"/>
    <mergeCell ref="N220:O220"/>
    <mergeCell ref="P220:Q220"/>
    <mergeCell ref="R220:S220"/>
    <mergeCell ref="BD219:BE219"/>
    <mergeCell ref="BD220:BE220"/>
    <mergeCell ref="BF220:BG220"/>
    <mergeCell ref="BH220:BI220"/>
    <mergeCell ref="BJ220:BK220"/>
    <mergeCell ref="BL220:BM220"/>
    <mergeCell ref="BN220:BO220"/>
    <mergeCell ref="AZ219:BA219"/>
    <mergeCell ref="BB219:BC219"/>
    <mergeCell ref="BF219:BG219"/>
    <mergeCell ref="BH219:BI219"/>
    <mergeCell ref="BJ219:BK219"/>
    <mergeCell ref="BL219:BM219"/>
    <mergeCell ref="BN219:B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AJ221:AK221"/>
    <mergeCell ref="AL221:AM221"/>
    <mergeCell ref="AN221:AO221"/>
    <mergeCell ref="AP221:AQ221"/>
    <mergeCell ref="AR221:AS221"/>
    <mergeCell ref="AT221:AU221"/>
    <mergeCell ref="BJ221:BK221"/>
    <mergeCell ref="BL221:BM221"/>
    <mergeCell ref="BN221:BO221"/>
    <mergeCell ref="AV221:AW221"/>
    <mergeCell ref="AX221:AY221"/>
    <mergeCell ref="AZ221:BA221"/>
    <mergeCell ref="BB221:BC221"/>
    <mergeCell ref="BD221:BE221"/>
    <mergeCell ref="BF221:BG221"/>
    <mergeCell ref="BH221:BI221"/>
    <mergeCell ref="F221:G221"/>
    <mergeCell ref="H221:I221"/>
    <mergeCell ref="J221:K221"/>
    <mergeCell ref="L221:M221"/>
    <mergeCell ref="N221:O221"/>
    <mergeCell ref="P221:Q221"/>
    <mergeCell ref="R221:S221"/>
    <mergeCell ref="AV223:AW223"/>
    <mergeCell ref="AX223:AY223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AZ224:BA224"/>
    <mergeCell ref="BB224:BC224"/>
    <mergeCell ref="AL224:AM224"/>
    <mergeCell ref="AN224:AO224"/>
    <mergeCell ref="AP224:AQ224"/>
    <mergeCell ref="AR224:AS224"/>
    <mergeCell ref="AT224:AU224"/>
    <mergeCell ref="AV224:AW224"/>
    <mergeCell ref="AX224:AY224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L222:AM222"/>
    <mergeCell ref="AN222:AO222"/>
    <mergeCell ref="AP222:AQ222"/>
    <mergeCell ref="AR222:AS222"/>
    <mergeCell ref="AT222:AU222"/>
    <mergeCell ref="BJ222:BK222"/>
    <mergeCell ref="BL222:BM222"/>
    <mergeCell ref="BN222:BO222"/>
    <mergeCell ref="F222:G222"/>
    <mergeCell ref="H222:I222"/>
    <mergeCell ref="J222:K222"/>
    <mergeCell ref="L222:M222"/>
    <mergeCell ref="N222:O222"/>
    <mergeCell ref="P222:Q222"/>
    <mergeCell ref="R222:S222"/>
    <mergeCell ref="AV222:AW222"/>
    <mergeCell ref="AX222:AY222"/>
    <mergeCell ref="AZ222:BA222"/>
    <mergeCell ref="BB222:BC222"/>
    <mergeCell ref="BD222:BE222"/>
    <mergeCell ref="BF222:BG222"/>
    <mergeCell ref="BH222:BI222"/>
    <mergeCell ref="F224:G224"/>
    <mergeCell ref="H224:I224"/>
    <mergeCell ref="J224:K224"/>
    <mergeCell ref="L224:M224"/>
    <mergeCell ref="N224:O224"/>
    <mergeCell ref="P224:Q224"/>
    <mergeCell ref="R224:S224"/>
    <mergeCell ref="BD223:BE223"/>
    <mergeCell ref="BD224:BE224"/>
    <mergeCell ref="BF224:BG224"/>
    <mergeCell ref="BH224:BI224"/>
    <mergeCell ref="BJ224:BK224"/>
    <mergeCell ref="BL224:BM224"/>
    <mergeCell ref="BN224:BO224"/>
    <mergeCell ref="AZ223:BA223"/>
    <mergeCell ref="BB223:BC223"/>
    <mergeCell ref="BF223:BG223"/>
    <mergeCell ref="BH223:BI223"/>
    <mergeCell ref="BJ223:BK223"/>
    <mergeCell ref="BL223:BM223"/>
    <mergeCell ref="BN223:BO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AJ225:AK225"/>
    <mergeCell ref="AL225:AM225"/>
    <mergeCell ref="AN225:AO225"/>
    <mergeCell ref="AP225:AQ225"/>
    <mergeCell ref="AR225:AS225"/>
    <mergeCell ref="AT225:AU225"/>
    <mergeCell ref="BJ225:BK225"/>
    <mergeCell ref="BL225:BM225"/>
    <mergeCell ref="BN225:BO225"/>
    <mergeCell ref="AV225:AW225"/>
    <mergeCell ref="AX225:AY225"/>
    <mergeCell ref="AZ225:BA225"/>
    <mergeCell ref="BB225:BC225"/>
    <mergeCell ref="BD225:BE225"/>
    <mergeCell ref="BF225:BG225"/>
    <mergeCell ref="BH225:BI225"/>
    <mergeCell ref="F225:G225"/>
    <mergeCell ref="H225:I225"/>
    <mergeCell ref="J225:K225"/>
    <mergeCell ref="L225:M225"/>
    <mergeCell ref="N225:O225"/>
    <mergeCell ref="P225:Q225"/>
    <mergeCell ref="R225:S225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Z304:BA304"/>
    <mergeCell ref="BB304:BC304"/>
    <mergeCell ref="AL304:AM304"/>
    <mergeCell ref="AN304:AO304"/>
    <mergeCell ref="AP304:AQ304"/>
    <mergeCell ref="AR304:AS304"/>
    <mergeCell ref="AT304:AU304"/>
    <mergeCell ref="AV304:AW304"/>
    <mergeCell ref="AX304:AY304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AJ302:AK302"/>
    <mergeCell ref="AL302:AM302"/>
    <mergeCell ref="AN302:AO302"/>
    <mergeCell ref="AP302:AQ302"/>
    <mergeCell ref="AR302:AS302"/>
    <mergeCell ref="AT302:AU302"/>
    <mergeCell ref="BJ302:BK302"/>
    <mergeCell ref="BL302:BM302"/>
    <mergeCell ref="BN302:BO302"/>
    <mergeCell ref="F302:G302"/>
    <mergeCell ref="H302:I302"/>
    <mergeCell ref="J302:K302"/>
    <mergeCell ref="L302:M302"/>
    <mergeCell ref="N302:O302"/>
    <mergeCell ref="P302:Q302"/>
    <mergeCell ref="R302:S302"/>
    <mergeCell ref="AV302:AW302"/>
    <mergeCell ref="AX302:AY302"/>
    <mergeCell ref="AZ302:BA302"/>
    <mergeCell ref="BB302:BC302"/>
    <mergeCell ref="BD302:BE302"/>
    <mergeCell ref="BF302:BG302"/>
    <mergeCell ref="BH302:BI302"/>
    <mergeCell ref="F304:G304"/>
    <mergeCell ref="H304:I304"/>
    <mergeCell ref="J304:K304"/>
    <mergeCell ref="L304:M304"/>
    <mergeCell ref="N304:O304"/>
    <mergeCell ref="P304:Q304"/>
    <mergeCell ref="R304:S304"/>
    <mergeCell ref="BD303:BE303"/>
    <mergeCell ref="BD304:BE304"/>
    <mergeCell ref="BF304:BG304"/>
    <mergeCell ref="BH304:BI304"/>
    <mergeCell ref="BJ304:BK304"/>
    <mergeCell ref="BL304:BM304"/>
    <mergeCell ref="BN304:BO304"/>
    <mergeCell ref="AZ303:BA303"/>
    <mergeCell ref="BB303:BC303"/>
    <mergeCell ref="BF303:BG303"/>
    <mergeCell ref="BH303:BI303"/>
    <mergeCell ref="BJ303:BK303"/>
    <mergeCell ref="BL303:BM303"/>
    <mergeCell ref="BN303:BO303"/>
    <mergeCell ref="AV299:AW299"/>
    <mergeCell ref="AX299:AY299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Z300:BA300"/>
    <mergeCell ref="BB300:BC300"/>
    <mergeCell ref="AL300:AM300"/>
    <mergeCell ref="AN300:AO300"/>
    <mergeCell ref="AP300:AQ300"/>
    <mergeCell ref="AR300:AS300"/>
    <mergeCell ref="AT300:AU300"/>
    <mergeCell ref="AV300:AW300"/>
    <mergeCell ref="AX300:AY300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AJ298:AK298"/>
    <mergeCell ref="AL298:AM298"/>
    <mergeCell ref="AN298:AO298"/>
    <mergeCell ref="AP298:AQ298"/>
    <mergeCell ref="AR298:AS298"/>
    <mergeCell ref="AT298:AU298"/>
    <mergeCell ref="BJ298:BK298"/>
    <mergeCell ref="BL298:BM298"/>
    <mergeCell ref="BN298:BO298"/>
    <mergeCell ref="F298:G298"/>
    <mergeCell ref="H298:I298"/>
    <mergeCell ref="J298:K298"/>
    <mergeCell ref="L298:M298"/>
    <mergeCell ref="N298:O298"/>
    <mergeCell ref="P298:Q298"/>
    <mergeCell ref="R298:S298"/>
    <mergeCell ref="AV298:AW298"/>
    <mergeCell ref="AX298:AY298"/>
    <mergeCell ref="AZ298:BA298"/>
    <mergeCell ref="BB298:BC298"/>
    <mergeCell ref="BD298:BE298"/>
    <mergeCell ref="BF298:BG298"/>
    <mergeCell ref="BH298:BI298"/>
    <mergeCell ref="F300:G300"/>
    <mergeCell ref="H300:I300"/>
    <mergeCell ref="J300:K300"/>
    <mergeCell ref="L300:M300"/>
    <mergeCell ref="N300:O300"/>
    <mergeCell ref="P300:Q300"/>
    <mergeCell ref="R300:S300"/>
    <mergeCell ref="BD299:BE299"/>
    <mergeCell ref="BD300:BE300"/>
    <mergeCell ref="BF300:BG300"/>
    <mergeCell ref="BH300:BI300"/>
    <mergeCell ref="BJ300:BK300"/>
    <mergeCell ref="BL300:BM300"/>
    <mergeCell ref="BN300:BO300"/>
    <mergeCell ref="AZ299:BA299"/>
    <mergeCell ref="BB299:BC299"/>
    <mergeCell ref="BF299:BG299"/>
    <mergeCell ref="BH299:BI299"/>
    <mergeCell ref="BJ299:BK299"/>
    <mergeCell ref="BL299:BM299"/>
    <mergeCell ref="BN299:BO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AJ301:AK301"/>
    <mergeCell ref="AL301:AM301"/>
    <mergeCell ref="AN301:AO301"/>
    <mergeCell ref="AP301:AQ301"/>
    <mergeCell ref="AR301:AS301"/>
    <mergeCell ref="AT301:AU301"/>
    <mergeCell ref="BJ301:BK301"/>
    <mergeCell ref="BL301:BM301"/>
    <mergeCell ref="BN301:BO301"/>
    <mergeCell ref="AV301:AW301"/>
    <mergeCell ref="AX301:AY301"/>
    <mergeCell ref="AZ301:BA301"/>
    <mergeCell ref="BB301:BC301"/>
    <mergeCell ref="BD301:BE301"/>
    <mergeCell ref="BF301:BG301"/>
    <mergeCell ref="BH301:BI301"/>
    <mergeCell ref="F301:G301"/>
    <mergeCell ref="H301:I301"/>
    <mergeCell ref="J301:K301"/>
    <mergeCell ref="L301:M301"/>
    <mergeCell ref="N301:O301"/>
    <mergeCell ref="P301:Q301"/>
    <mergeCell ref="R301:S301"/>
    <mergeCell ref="AV303:AW303"/>
    <mergeCell ref="AX303:AY303"/>
    <mergeCell ref="AH303:AI303"/>
    <mergeCell ref="AJ303:AK303"/>
    <mergeCell ref="AL303:AM303"/>
    <mergeCell ref="AN303:AO303"/>
    <mergeCell ref="AP303:AQ303"/>
    <mergeCell ref="AR303:AS303"/>
    <mergeCell ref="AT303:AU303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BJ305:BK305"/>
    <mergeCell ref="BL305:BM305"/>
    <mergeCell ref="BN305:BO305"/>
    <mergeCell ref="AV305:AW305"/>
    <mergeCell ref="AX305:AY305"/>
    <mergeCell ref="AZ305:BA305"/>
    <mergeCell ref="BB305:BC305"/>
    <mergeCell ref="BD305:BE305"/>
    <mergeCell ref="BF305:BG305"/>
    <mergeCell ref="BH305:BI305"/>
    <mergeCell ref="F305:G305"/>
    <mergeCell ref="H305:I305"/>
    <mergeCell ref="J305:K305"/>
    <mergeCell ref="L305:M305"/>
    <mergeCell ref="N305:O305"/>
    <mergeCell ref="P305:Q305"/>
    <mergeCell ref="R305:S305"/>
  </mergeCells>
  <dataValidations>
    <dataValidation type="list" allowBlank="1" showErrorMessage="1" sqref="A4:A32 A68:A93 A127:A153 A189:A213 A246:A271 A273:A276">
      <formula1>"Да,Нет"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9.44"/>
    <col customWidth="1" min="3" max="3" width="12.89"/>
    <col customWidth="1" min="4" max="4" width="65.78"/>
    <col customWidth="1" min="5" max="5" width="53.0"/>
    <col customWidth="1" min="6" max="6" width="13.22"/>
    <col customWidth="1" min="7" max="7" width="47.78"/>
    <col customWidth="1" min="8" max="8" width="21.11"/>
    <col customWidth="1" min="9" max="9" width="12.0"/>
    <col customWidth="1" min="10" max="10" width="43.78"/>
    <col customWidth="1" min="11" max="11" width="7.67"/>
    <col customWidth="1" min="12" max="12" width="17.56"/>
    <col customWidth="1" min="13" max="13" width="10.78"/>
    <col customWidth="1" min="14" max="14" width="30.44"/>
  </cols>
  <sheetData>
    <row r="1">
      <c r="B1" s="195"/>
      <c r="C1" s="195"/>
      <c r="D1" s="1400"/>
      <c r="E1" s="1400"/>
      <c r="H1" s="195"/>
      <c r="I1" s="195"/>
    </row>
    <row r="2">
      <c r="A2" s="2389"/>
      <c r="B2" s="2390"/>
      <c r="C2" s="2390" t="s">
        <v>3134</v>
      </c>
      <c r="D2" s="2390"/>
      <c r="E2" s="2390"/>
      <c r="F2" s="2391"/>
      <c r="H2" s="2392" t="s">
        <v>3135</v>
      </c>
      <c r="I2" s="2393"/>
      <c r="J2" s="2394"/>
      <c r="L2" s="2392" t="s">
        <v>3136</v>
      </c>
      <c r="M2" s="2393"/>
      <c r="N2" s="2394"/>
    </row>
    <row r="3">
      <c r="A3" s="2395" t="s">
        <v>1364</v>
      </c>
      <c r="B3" s="2396" t="s">
        <v>3137</v>
      </c>
      <c r="C3" s="2396"/>
      <c r="D3" s="2397" t="s">
        <v>1366</v>
      </c>
      <c r="E3" s="2398" t="s">
        <v>3138</v>
      </c>
      <c r="F3" s="2399" t="s">
        <v>3139</v>
      </c>
      <c r="G3" s="2399" t="s">
        <v>3140</v>
      </c>
      <c r="H3" s="2400" t="s">
        <v>3141</v>
      </c>
      <c r="I3" s="2401" t="s">
        <v>3142</v>
      </c>
      <c r="J3" s="2402" t="s">
        <v>3143</v>
      </c>
      <c r="K3" s="195"/>
      <c r="L3" s="2400" t="s">
        <v>3141</v>
      </c>
      <c r="M3" s="2401" t="s">
        <v>3142</v>
      </c>
      <c r="N3" s="2402" t="s">
        <v>3144</v>
      </c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</row>
    <row r="4">
      <c r="A4" s="2403">
        <v>1.0</v>
      </c>
      <c r="B4" s="2404"/>
      <c r="C4" s="2404"/>
      <c r="D4" s="2405" t="s">
        <v>1370</v>
      </c>
      <c r="E4" s="2406" t="s">
        <v>3145</v>
      </c>
      <c r="F4" s="1268" t="s">
        <v>3146</v>
      </c>
      <c r="H4" s="2407" t="s">
        <v>3147</v>
      </c>
      <c r="I4" s="145">
        <v>8.9088730913E10</v>
      </c>
      <c r="J4" s="2408" t="s">
        <v>3148</v>
      </c>
      <c r="L4" s="2409" t="s">
        <v>3149</v>
      </c>
      <c r="M4" s="2410">
        <v>8.9829368651E10</v>
      </c>
      <c r="N4" s="2411" t="s">
        <v>3150</v>
      </c>
    </row>
    <row r="5">
      <c r="A5" s="2403">
        <v>3.0</v>
      </c>
      <c r="B5" s="2404"/>
      <c r="C5" s="2404"/>
      <c r="D5" s="2405" t="s">
        <v>3151</v>
      </c>
      <c r="E5" s="2406"/>
      <c r="F5" s="1268" t="s">
        <v>3146</v>
      </c>
      <c r="H5" s="2412" t="s">
        <v>3152</v>
      </c>
      <c r="I5" s="2413">
        <v>8.9995667673E10</v>
      </c>
      <c r="J5" s="2414" t="s">
        <v>3153</v>
      </c>
      <c r="L5" s="2415" t="s">
        <v>3154</v>
      </c>
      <c r="M5" s="2416">
        <v>8.9220043037E10</v>
      </c>
      <c r="N5" s="2417" t="s">
        <v>3155</v>
      </c>
    </row>
    <row r="6">
      <c r="A6" s="2403">
        <v>4.0</v>
      </c>
      <c r="B6" s="2404"/>
      <c r="C6" s="2404"/>
      <c r="D6" s="2405" t="s">
        <v>1377</v>
      </c>
      <c r="E6" s="2418" t="s">
        <v>3156</v>
      </c>
      <c r="F6" s="2419" t="s">
        <v>3146</v>
      </c>
      <c r="G6" s="1014" t="s">
        <v>3157</v>
      </c>
      <c r="H6" s="2412" t="s">
        <v>3158</v>
      </c>
      <c r="I6" s="2413">
        <v>8.9088712478E10</v>
      </c>
      <c r="J6" s="2414" t="s">
        <v>3159</v>
      </c>
      <c r="L6" s="2415" t="s">
        <v>3160</v>
      </c>
      <c r="M6" s="2416">
        <v>8.9630104509E10</v>
      </c>
      <c r="N6" s="2417" t="s">
        <v>3161</v>
      </c>
    </row>
    <row r="7">
      <c r="A7" s="2403">
        <v>4.0</v>
      </c>
      <c r="B7" s="2404"/>
      <c r="C7" s="2404"/>
      <c r="D7" s="2405" t="s">
        <v>3162</v>
      </c>
      <c r="E7" s="2420" t="s">
        <v>3163</v>
      </c>
      <c r="F7" s="2419" t="s">
        <v>3146</v>
      </c>
      <c r="G7" s="701"/>
      <c r="H7" s="2421" t="s">
        <v>3164</v>
      </c>
      <c r="I7" s="743">
        <v>8.9199566624E10</v>
      </c>
      <c r="J7" s="2422" t="s">
        <v>3165</v>
      </c>
      <c r="L7" s="2415" t="s">
        <v>3166</v>
      </c>
      <c r="M7" s="2416">
        <v>8.9080001151E10</v>
      </c>
      <c r="N7" s="2417" t="s">
        <v>3167</v>
      </c>
    </row>
    <row r="8">
      <c r="A8" s="2403">
        <v>5.0</v>
      </c>
      <c r="B8" s="2404" t="s">
        <v>3168</v>
      </c>
      <c r="C8" s="2404"/>
      <c r="D8" s="2405" t="s">
        <v>1380</v>
      </c>
      <c r="E8" s="2420" t="s">
        <v>3169</v>
      </c>
      <c r="F8" s="2419" t="s">
        <v>3170</v>
      </c>
      <c r="G8" s="701"/>
      <c r="H8" s="2423" t="s">
        <v>3171</v>
      </c>
      <c r="I8" s="2424">
        <v>8.9223040548E10</v>
      </c>
      <c r="J8" s="2425" t="s">
        <v>3172</v>
      </c>
      <c r="L8" s="2409" t="s">
        <v>3173</v>
      </c>
      <c r="M8" s="2410">
        <v>8.9612145794E10</v>
      </c>
      <c r="N8" s="2426" t="s">
        <v>3174</v>
      </c>
    </row>
    <row r="9">
      <c r="A9" s="2403">
        <v>5.0</v>
      </c>
      <c r="B9" s="2404"/>
      <c r="C9" s="2404"/>
      <c r="D9" s="2405" t="s">
        <v>3175</v>
      </c>
      <c r="E9" s="2418" t="s">
        <v>3176</v>
      </c>
      <c r="F9" s="2427"/>
      <c r="G9" s="701"/>
      <c r="H9" s="2428" t="s">
        <v>3177</v>
      </c>
      <c r="I9" s="2429">
        <v>8.9323235251E10</v>
      </c>
      <c r="J9" s="2430" t="s">
        <v>3178</v>
      </c>
      <c r="L9" s="2415" t="s">
        <v>3179</v>
      </c>
      <c r="M9" s="2416">
        <v>8.9199294047E10</v>
      </c>
      <c r="N9" s="2417" t="s">
        <v>3180</v>
      </c>
    </row>
    <row r="10">
      <c r="A10" s="2403">
        <v>6.0</v>
      </c>
      <c r="B10" s="2404"/>
      <c r="C10" s="2404"/>
      <c r="D10" s="2405" t="s">
        <v>1383</v>
      </c>
      <c r="E10" s="2418" t="s">
        <v>3181</v>
      </c>
      <c r="F10" s="2419" t="s">
        <v>3146</v>
      </c>
      <c r="G10" s="1014" t="s">
        <v>3182</v>
      </c>
      <c r="H10" s="2412"/>
      <c r="I10" s="2413"/>
      <c r="J10" s="2431"/>
      <c r="L10" s="2415" t="s">
        <v>3154</v>
      </c>
      <c r="M10" s="2416">
        <v>8.9829146031E10</v>
      </c>
      <c r="N10" s="2417" t="s">
        <v>3183</v>
      </c>
    </row>
    <row r="11">
      <c r="A11" s="2403">
        <v>7.0</v>
      </c>
      <c r="B11" s="2404" t="s">
        <v>3168</v>
      </c>
      <c r="C11" s="2404"/>
      <c r="D11" s="2405" t="s">
        <v>1385</v>
      </c>
      <c r="E11" s="2420" t="s">
        <v>3184</v>
      </c>
      <c r="F11" s="2419" t="s">
        <v>3170</v>
      </c>
      <c r="G11" s="1014" t="s">
        <v>3185</v>
      </c>
      <c r="H11" s="2432"/>
      <c r="I11" s="2413"/>
      <c r="J11" s="2431"/>
      <c r="L11" s="2415" t="s">
        <v>3173</v>
      </c>
      <c r="M11" s="2416">
        <v>8.9220455276E10</v>
      </c>
      <c r="N11" s="2417" t="s">
        <v>3186</v>
      </c>
    </row>
    <row r="12">
      <c r="A12" s="2403">
        <v>8.0</v>
      </c>
      <c r="B12" s="2404" t="s">
        <v>3168</v>
      </c>
      <c r="C12" s="2404"/>
      <c r="D12" s="2405" t="s">
        <v>1388</v>
      </c>
      <c r="E12" s="2420" t="s">
        <v>3187</v>
      </c>
      <c r="F12" s="2419" t="s">
        <v>3170</v>
      </c>
      <c r="G12" s="1014" t="s">
        <v>3185</v>
      </c>
      <c r="H12" s="2433"/>
      <c r="I12" s="2434"/>
      <c r="J12" s="2435"/>
      <c r="L12" s="2415" t="s">
        <v>3188</v>
      </c>
      <c r="M12" s="2416">
        <v>8.922044101E10</v>
      </c>
      <c r="N12" s="2417" t="s">
        <v>3189</v>
      </c>
    </row>
    <row r="13">
      <c r="A13" s="2403">
        <v>9.0</v>
      </c>
      <c r="B13" s="2404" t="s">
        <v>3168</v>
      </c>
      <c r="C13" s="2404"/>
      <c r="D13" s="2405" t="s">
        <v>1390</v>
      </c>
      <c r="E13" s="2420" t="s">
        <v>3190</v>
      </c>
      <c r="F13" s="2419" t="s">
        <v>3170</v>
      </c>
      <c r="G13" s="1014" t="s">
        <v>3191</v>
      </c>
      <c r="H13" s="195"/>
      <c r="I13" s="195"/>
      <c r="L13" s="2415" t="s">
        <v>3192</v>
      </c>
      <c r="M13" s="2416">
        <v>8.9138926273E10</v>
      </c>
      <c r="N13" s="2417" t="s">
        <v>3193</v>
      </c>
    </row>
    <row r="14">
      <c r="A14" s="2403">
        <v>10.0</v>
      </c>
      <c r="B14" s="2404" t="s">
        <v>3168</v>
      </c>
      <c r="C14" s="2404"/>
      <c r="D14" s="2405" t="s">
        <v>1392</v>
      </c>
      <c r="E14" s="2420" t="s">
        <v>3194</v>
      </c>
      <c r="F14" s="2419" t="s">
        <v>3146</v>
      </c>
      <c r="G14" s="2419" t="s">
        <v>3146</v>
      </c>
      <c r="H14" s="195"/>
      <c r="I14" s="195"/>
      <c r="L14" s="2415" t="s">
        <v>3154</v>
      </c>
      <c r="M14" s="2416">
        <v>8.9220735152E10</v>
      </c>
      <c r="N14" s="2417" t="s">
        <v>3195</v>
      </c>
    </row>
    <row r="15">
      <c r="A15" s="2403">
        <v>10.0</v>
      </c>
      <c r="B15" s="2404" t="s">
        <v>3168</v>
      </c>
      <c r="C15" s="2404"/>
      <c r="D15" s="2405" t="s">
        <v>3196</v>
      </c>
      <c r="E15" s="2420" t="s">
        <v>3197</v>
      </c>
      <c r="F15" s="2436"/>
      <c r="G15" s="1014"/>
      <c r="H15" s="2437" t="s">
        <v>3141</v>
      </c>
      <c r="I15" s="2438" t="s">
        <v>3142</v>
      </c>
      <c r="J15" s="2439" t="s">
        <v>3143</v>
      </c>
      <c r="L15" s="2415" t="s">
        <v>3198</v>
      </c>
      <c r="M15" s="2416">
        <v>8.9097409186E10</v>
      </c>
      <c r="N15" s="2417" t="s">
        <v>3199</v>
      </c>
    </row>
    <row r="16">
      <c r="A16" s="2403">
        <v>11.0</v>
      </c>
      <c r="B16" s="2404"/>
      <c r="C16" s="2404"/>
      <c r="D16" s="2405"/>
      <c r="E16" s="2420"/>
      <c r="F16" s="2419" t="s">
        <v>3146</v>
      </c>
      <c r="G16" s="701"/>
      <c r="H16" s="2412" t="s">
        <v>3200</v>
      </c>
      <c r="I16" s="2413">
        <v>8.9088697647E10</v>
      </c>
      <c r="J16" s="2431" t="s">
        <v>3201</v>
      </c>
      <c r="L16" s="2415" t="s">
        <v>3202</v>
      </c>
      <c r="M16" s="2416">
        <v>8.9138905536E10</v>
      </c>
      <c r="N16" s="2417" t="s">
        <v>3203</v>
      </c>
    </row>
    <row r="17">
      <c r="A17" s="2403">
        <v>12.0</v>
      </c>
      <c r="B17" s="2404" t="s">
        <v>3168</v>
      </c>
      <c r="C17" s="2404">
        <v>132.0</v>
      </c>
      <c r="D17" s="2405" t="s">
        <v>3204</v>
      </c>
      <c r="E17" s="2420" t="s">
        <v>3205</v>
      </c>
      <c r="F17" s="2419" t="s">
        <v>3170</v>
      </c>
      <c r="G17" s="701"/>
      <c r="H17" s="2432"/>
      <c r="I17" s="2413">
        <v>8.9220749799E10</v>
      </c>
      <c r="J17" s="2431" t="s">
        <v>3201</v>
      </c>
      <c r="L17" s="2415" t="s">
        <v>3206</v>
      </c>
      <c r="M17" s="2416">
        <v>8.9526722314E10</v>
      </c>
      <c r="N17" s="2417" t="s">
        <v>3207</v>
      </c>
    </row>
    <row r="18">
      <c r="A18" s="2403">
        <v>13.0</v>
      </c>
      <c r="B18" s="2404" t="s">
        <v>3168</v>
      </c>
      <c r="C18" s="2404">
        <v>134.0</v>
      </c>
      <c r="D18" s="2405" t="s">
        <v>1399</v>
      </c>
      <c r="E18" s="2420" t="s">
        <v>3205</v>
      </c>
      <c r="F18" s="2419" t="s">
        <v>3170</v>
      </c>
      <c r="G18" s="701"/>
      <c r="H18" s="2433"/>
      <c r="I18" s="2434">
        <v>8.9827772606E10</v>
      </c>
      <c r="J18" s="2435" t="s">
        <v>3201</v>
      </c>
      <c r="L18" s="2415" t="s">
        <v>3208</v>
      </c>
      <c r="M18" s="2416">
        <v>8.9223954048E10</v>
      </c>
      <c r="N18" s="2417" t="s">
        <v>3209</v>
      </c>
    </row>
    <row r="19">
      <c r="A19" s="2403">
        <v>14.0</v>
      </c>
      <c r="B19" s="2404" t="s">
        <v>3168</v>
      </c>
      <c r="C19" s="2404"/>
      <c r="D19" s="2405" t="s">
        <v>1400</v>
      </c>
      <c r="E19" s="2420" t="s">
        <v>3210</v>
      </c>
      <c r="F19" s="2419" t="s">
        <v>3170</v>
      </c>
      <c r="G19" s="701"/>
      <c r="H19" s="195"/>
      <c r="I19" s="195"/>
      <c r="L19" s="2415" t="s">
        <v>3211</v>
      </c>
      <c r="M19" s="2416">
        <v>8.9220723506E10</v>
      </c>
      <c r="N19" s="2417" t="s">
        <v>3212</v>
      </c>
    </row>
    <row r="20">
      <c r="A20" s="2403">
        <v>15.0</v>
      </c>
      <c r="B20" s="2404" t="s">
        <v>3168</v>
      </c>
      <c r="C20" s="2404"/>
      <c r="D20" s="2405" t="s">
        <v>1404</v>
      </c>
      <c r="E20" s="2420" t="s">
        <v>3213</v>
      </c>
      <c r="F20" s="2419" t="s">
        <v>3170</v>
      </c>
      <c r="G20" s="1014" t="s">
        <v>3185</v>
      </c>
      <c r="H20" s="195"/>
      <c r="I20" s="195"/>
      <c r="L20" s="2415" t="s">
        <v>3214</v>
      </c>
      <c r="M20" s="2416">
        <v>8.9220400302E10</v>
      </c>
      <c r="N20" s="2417" t="s">
        <v>3215</v>
      </c>
    </row>
    <row r="21">
      <c r="A21" s="2403">
        <v>16.0</v>
      </c>
      <c r="B21" s="2404" t="s">
        <v>3168</v>
      </c>
      <c r="C21" s="2404"/>
      <c r="D21" s="2405" t="s">
        <v>1405</v>
      </c>
      <c r="E21" s="2420" t="s">
        <v>3216</v>
      </c>
      <c r="F21" s="2419" t="s">
        <v>3170</v>
      </c>
      <c r="G21" s="701"/>
      <c r="H21" s="2392" t="s">
        <v>3217</v>
      </c>
      <c r="I21" s="2393"/>
      <c r="J21" s="2394"/>
      <c r="L21" s="2415" t="s">
        <v>3218</v>
      </c>
      <c r="M21" s="2416">
        <v>8.9199218937E10</v>
      </c>
      <c r="N21" s="2417" t="s">
        <v>152</v>
      </c>
    </row>
    <row r="22">
      <c r="A22" s="2403">
        <v>17.0</v>
      </c>
      <c r="B22" s="2404" t="s">
        <v>3168</v>
      </c>
      <c r="C22" s="2404"/>
      <c r="D22" s="2405" t="s">
        <v>3219</v>
      </c>
      <c r="E22" s="2420" t="s">
        <v>3220</v>
      </c>
      <c r="F22" s="2419" t="s">
        <v>3146</v>
      </c>
      <c r="G22" s="1014" t="s">
        <v>3221</v>
      </c>
      <c r="H22" s="2400" t="s">
        <v>3141</v>
      </c>
      <c r="I22" s="2401" t="s">
        <v>3142</v>
      </c>
      <c r="J22" s="2402"/>
      <c r="L22" s="2423" t="s">
        <v>3222</v>
      </c>
      <c r="M22" s="2424">
        <v>8.90262422E10</v>
      </c>
      <c r="N22" s="2425" t="s">
        <v>3223</v>
      </c>
    </row>
    <row r="23">
      <c r="A23" s="2403">
        <v>18.0</v>
      </c>
      <c r="B23" s="2404" t="s">
        <v>3168</v>
      </c>
      <c r="C23" s="2404">
        <v>69.0</v>
      </c>
      <c r="D23" s="2405" t="s">
        <v>3224</v>
      </c>
      <c r="E23" s="2420"/>
      <c r="F23" s="2419" t="s">
        <v>3170</v>
      </c>
      <c r="G23" s="1014" t="s">
        <v>3225</v>
      </c>
      <c r="H23" s="2440" t="s">
        <v>3226</v>
      </c>
      <c r="I23" s="2441">
        <v>8.9044939782E10</v>
      </c>
      <c r="J23" s="2442" t="s">
        <v>3227</v>
      </c>
      <c r="L23" s="50" t="s">
        <v>3228</v>
      </c>
      <c r="M23" s="50">
        <v>602345.0</v>
      </c>
    </row>
    <row r="24">
      <c r="A24" s="2403">
        <v>19.0</v>
      </c>
      <c r="B24" s="2404" t="s">
        <v>3168</v>
      </c>
      <c r="C24" s="2404"/>
      <c r="D24" s="2405" t="s">
        <v>1410</v>
      </c>
      <c r="E24" s="2420" t="s">
        <v>3210</v>
      </c>
      <c r="F24" s="2419" t="s">
        <v>3146</v>
      </c>
      <c r="G24" s="701"/>
      <c r="H24" s="2443" t="s">
        <v>3229</v>
      </c>
      <c r="I24" s="2424">
        <v>383313.0</v>
      </c>
      <c r="J24" s="2425" t="s">
        <v>152</v>
      </c>
    </row>
    <row r="25">
      <c r="A25" s="2403">
        <v>20.0</v>
      </c>
      <c r="B25" s="2404"/>
      <c r="C25" s="2404"/>
      <c r="D25" s="2405" t="s">
        <v>1411</v>
      </c>
      <c r="E25" s="2420" t="s">
        <v>3230</v>
      </c>
      <c r="F25" s="2419" t="s">
        <v>3146</v>
      </c>
      <c r="G25" s="2419" t="s">
        <v>3146</v>
      </c>
      <c r="H25" s="195"/>
      <c r="I25" s="195"/>
    </row>
    <row r="26">
      <c r="A26" s="2403">
        <v>21.0</v>
      </c>
      <c r="B26" s="2404"/>
      <c r="C26" s="2404"/>
      <c r="D26" s="2405" t="s">
        <v>1412</v>
      </c>
      <c r="E26" s="2444" t="s">
        <v>3231</v>
      </c>
      <c r="F26" s="2419" t="s">
        <v>3146</v>
      </c>
      <c r="G26" s="1014" t="s">
        <v>3232</v>
      </c>
      <c r="H26" s="195"/>
      <c r="I26" s="195"/>
    </row>
    <row r="27">
      <c r="A27" s="2403">
        <v>22.0</v>
      </c>
      <c r="B27" s="2404"/>
      <c r="C27" s="2404">
        <v>214.0</v>
      </c>
      <c r="D27" s="2405" t="s">
        <v>1414</v>
      </c>
      <c r="E27" s="2420" t="s">
        <v>3233</v>
      </c>
      <c r="F27" s="2419" t="s">
        <v>3146</v>
      </c>
      <c r="G27" s="701"/>
      <c r="H27" s="195"/>
      <c r="I27" s="195"/>
    </row>
    <row r="28">
      <c r="A28" s="2403">
        <v>23.0</v>
      </c>
      <c r="B28" s="2404"/>
      <c r="C28" s="2404"/>
      <c r="D28" s="2405" t="s">
        <v>3234</v>
      </c>
      <c r="E28" s="2444" t="s">
        <v>3235</v>
      </c>
      <c r="F28" s="2419" t="s">
        <v>3236</v>
      </c>
      <c r="G28" s="701"/>
      <c r="H28" s="195"/>
      <c r="I28" s="195"/>
    </row>
    <row r="29">
      <c r="A29" s="2403">
        <v>24.0</v>
      </c>
      <c r="B29" s="2404" t="s">
        <v>3168</v>
      </c>
      <c r="C29" s="2404"/>
      <c r="D29" s="2405" t="s">
        <v>3237</v>
      </c>
      <c r="E29" s="2420" t="s">
        <v>3238</v>
      </c>
      <c r="F29" s="2419" t="s">
        <v>3236</v>
      </c>
      <c r="G29" s="1014"/>
      <c r="H29" s="195"/>
      <c r="I29" s="2445"/>
    </row>
    <row r="30">
      <c r="A30" s="2403">
        <v>25.0</v>
      </c>
      <c r="B30" s="2404" t="s">
        <v>3168</v>
      </c>
      <c r="C30" s="2404"/>
      <c r="D30" s="2405" t="s">
        <v>3239</v>
      </c>
      <c r="E30" s="2420" t="s">
        <v>3240</v>
      </c>
      <c r="F30" s="2446" t="s">
        <v>3241</v>
      </c>
      <c r="G30" s="1014" t="s">
        <v>3242</v>
      </c>
      <c r="H30" s="195"/>
      <c r="I30" s="2445"/>
    </row>
    <row r="31">
      <c r="A31" s="2403">
        <v>26.0</v>
      </c>
      <c r="B31" s="2404"/>
      <c r="C31" s="2404">
        <v>254.0</v>
      </c>
      <c r="D31" s="2405" t="s">
        <v>3243</v>
      </c>
      <c r="E31" s="2420" t="s">
        <v>3244</v>
      </c>
      <c r="F31" s="2419" t="s">
        <v>3146</v>
      </c>
      <c r="G31" s="1014" t="s">
        <v>3245</v>
      </c>
      <c r="H31" s="195"/>
      <c r="I31" s="2445"/>
    </row>
    <row r="32">
      <c r="A32" s="2403">
        <v>27.0</v>
      </c>
      <c r="B32" s="2404"/>
      <c r="C32" s="2404">
        <v>327.0</v>
      </c>
      <c r="D32" s="2405" t="s">
        <v>3243</v>
      </c>
      <c r="E32" s="2420" t="s">
        <v>3244</v>
      </c>
      <c r="F32" s="2419" t="s">
        <v>3146</v>
      </c>
      <c r="G32" s="1014" t="s">
        <v>3246</v>
      </c>
      <c r="H32" s="195"/>
      <c r="I32" s="2445"/>
    </row>
    <row r="33">
      <c r="A33" s="2403">
        <v>28.0</v>
      </c>
      <c r="B33" s="2404"/>
      <c r="C33" s="2404"/>
      <c r="D33" s="2405" t="s">
        <v>3247</v>
      </c>
      <c r="E33" s="2420" t="s">
        <v>3248</v>
      </c>
      <c r="F33" s="2419" t="s">
        <v>3170</v>
      </c>
      <c r="G33" s="701"/>
      <c r="H33" s="195"/>
      <c r="I33" s="2445"/>
    </row>
    <row r="34">
      <c r="A34" s="2403">
        <v>29.0</v>
      </c>
      <c r="B34" s="2404"/>
      <c r="C34" s="2404"/>
      <c r="D34" s="2405" t="s">
        <v>3249</v>
      </c>
      <c r="E34" s="2420" t="s">
        <v>3250</v>
      </c>
      <c r="F34" s="2419" t="s">
        <v>3236</v>
      </c>
      <c r="G34" s="701"/>
      <c r="H34" s="195"/>
      <c r="I34" s="2445"/>
    </row>
    <row r="35">
      <c r="A35" s="2403" t="s">
        <v>297</v>
      </c>
      <c r="B35" s="2404"/>
      <c r="C35" s="2404"/>
      <c r="D35" s="2405" t="s">
        <v>1416</v>
      </c>
      <c r="E35" s="2406" t="s">
        <v>3251</v>
      </c>
      <c r="F35" s="962"/>
      <c r="H35" s="195"/>
      <c r="I35" s="2445"/>
    </row>
    <row r="36">
      <c r="A36" s="2403" t="s">
        <v>297</v>
      </c>
      <c r="B36" s="2447"/>
      <c r="C36" s="2447"/>
      <c r="D36" s="2448" t="s">
        <v>3252</v>
      </c>
      <c r="E36" s="2449" t="s">
        <v>3253</v>
      </c>
      <c r="F36" s="962"/>
      <c r="H36" s="195"/>
      <c r="I36" s="2445"/>
    </row>
    <row r="37">
      <c r="A37" s="2403" t="s">
        <v>297</v>
      </c>
      <c r="B37" s="2447"/>
      <c r="C37" s="2447"/>
      <c r="D37" s="2448" t="s">
        <v>3252</v>
      </c>
      <c r="E37" s="2450" t="s">
        <v>3254</v>
      </c>
      <c r="F37" s="962"/>
      <c r="H37" s="195"/>
      <c r="I37" s="2445"/>
    </row>
    <row r="38">
      <c r="A38" s="2403" t="s">
        <v>297</v>
      </c>
      <c r="B38" s="2447"/>
      <c r="C38" s="2447"/>
      <c r="D38" s="2448" t="s">
        <v>3252</v>
      </c>
      <c r="E38" s="2450" t="s">
        <v>3255</v>
      </c>
      <c r="F38" s="962"/>
      <c r="H38" s="195"/>
      <c r="I38" s="2445"/>
    </row>
    <row r="39">
      <c r="A39" s="2403" t="s">
        <v>297</v>
      </c>
      <c r="B39" s="2447"/>
      <c r="C39" s="2447"/>
      <c r="D39" s="2448" t="s">
        <v>3252</v>
      </c>
      <c r="E39" s="2450" t="s">
        <v>3256</v>
      </c>
      <c r="F39" s="962"/>
      <c r="H39" s="195"/>
      <c r="I39" s="2445"/>
    </row>
    <row r="40">
      <c r="A40" s="2403" t="s">
        <v>297</v>
      </c>
      <c r="B40" s="2447"/>
      <c r="C40" s="2447"/>
      <c r="D40" s="2448" t="s">
        <v>3257</v>
      </c>
      <c r="E40" s="2451" t="s">
        <v>3258</v>
      </c>
      <c r="F40" s="962"/>
      <c r="H40" s="195"/>
      <c r="I40" s="2445"/>
    </row>
    <row r="41">
      <c r="A41" s="2403" t="s">
        <v>297</v>
      </c>
      <c r="B41" s="2447"/>
      <c r="C41" s="2447"/>
      <c r="D41" s="2448" t="s">
        <v>3257</v>
      </c>
      <c r="E41" s="2449" t="s">
        <v>3259</v>
      </c>
      <c r="F41" s="962"/>
      <c r="H41" s="195"/>
      <c r="I41" s="2445"/>
    </row>
    <row r="42">
      <c r="A42" s="2403" t="s">
        <v>297</v>
      </c>
      <c r="B42" s="2447"/>
      <c r="C42" s="2447"/>
      <c r="D42" s="2448" t="s">
        <v>3260</v>
      </c>
      <c r="E42" s="2450" t="s">
        <v>3261</v>
      </c>
      <c r="F42" s="962"/>
      <c r="H42" s="195"/>
      <c r="I42" s="2445"/>
    </row>
    <row r="43">
      <c r="A43" s="2403" t="s">
        <v>297</v>
      </c>
      <c r="B43" s="2452"/>
      <c r="C43" s="2452"/>
      <c r="D43" s="2453" t="s">
        <v>3262</v>
      </c>
      <c r="E43" s="2449" t="s">
        <v>3263</v>
      </c>
      <c r="F43" s="962"/>
      <c r="H43" s="195"/>
      <c r="I43" s="2445"/>
    </row>
    <row r="44">
      <c r="A44" s="2454" t="s">
        <v>297</v>
      </c>
      <c r="B44" s="2455"/>
      <c r="C44" s="2455"/>
      <c r="D44" s="2456" t="s">
        <v>3262</v>
      </c>
      <c r="E44" s="2457" t="s">
        <v>3264</v>
      </c>
      <c r="F44" s="962"/>
      <c r="H44" s="195"/>
      <c r="I44" s="2445"/>
    </row>
    <row r="45">
      <c r="A45" s="2458" t="s">
        <v>3265</v>
      </c>
      <c r="B45" s="2459"/>
      <c r="C45" s="2459"/>
      <c r="D45" s="2453" t="s">
        <v>3266</v>
      </c>
      <c r="E45" s="2460" t="s">
        <v>3267</v>
      </c>
      <c r="F45" s="962"/>
      <c r="H45" s="195"/>
      <c r="I45" s="2445"/>
    </row>
    <row r="46">
      <c r="A46" s="2461" t="s">
        <v>3268</v>
      </c>
      <c r="B46" s="95"/>
      <c r="C46" s="95"/>
      <c r="D46" s="2462"/>
      <c r="E46" s="2460" t="s">
        <v>3269</v>
      </c>
      <c r="F46" s="962"/>
      <c r="H46" s="195"/>
      <c r="I46" s="2445"/>
    </row>
    <row r="47">
      <c r="B47" s="195"/>
      <c r="C47" s="195"/>
      <c r="D47" s="1400"/>
      <c r="E47" s="1400"/>
      <c r="H47" s="195"/>
      <c r="I47" s="2445"/>
    </row>
    <row r="48">
      <c r="B48" s="195"/>
      <c r="C48" s="195"/>
      <c r="D48" s="1400"/>
      <c r="E48" s="1400"/>
      <c r="H48" s="195"/>
      <c r="I48" s="195"/>
    </row>
    <row r="49">
      <c r="B49" s="195"/>
      <c r="C49" s="195"/>
      <c r="D49" s="1400"/>
      <c r="E49" s="1400"/>
      <c r="H49" s="195"/>
      <c r="I49" s="195"/>
    </row>
    <row r="50">
      <c r="B50" s="195"/>
      <c r="C50" s="195"/>
      <c r="D50" s="1400"/>
      <c r="E50" s="1400"/>
      <c r="H50" s="195"/>
      <c r="I50" s="195"/>
    </row>
    <row r="51">
      <c r="B51" s="195"/>
      <c r="C51" s="195"/>
      <c r="D51" s="1400"/>
      <c r="E51" s="1400"/>
      <c r="H51" s="195"/>
      <c r="I51" s="195"/>
    </row>
    <row r="52">
      <c r="B52" s="195"/>
      <c r="C52" s="195"/>
      <c r="D52" s="1400"/>
      <c r="E52" s="1400"/>
      <c r="H52" s="195"/>
      <c r="I52" s="195"/>
    </row>
    <row r="53">
      <c r="B53" s="195"/>
      <c r="C53" s="195"/>
      <c r="D53" s="1400"/>
      <c r="E53" s="1400"/>
      <c r="H53" s="195"/>
      <c r="I53" s="195"/>
    </row>
    <row r="54">
      <c r="B54" s="195"/>
      <c r="C54" s="195"/>
      <c r="D54" s="1400"/>
      <c r="E54" s="1400"/>
      <c r="H54" s="195"/>
      <c r="I54" s="195"/>
    </row>
    <row r="55">
      <c r="B55" s="195"/>
      <c r="C55" s="195"/>
      <c r="D55" s="1400"/>
      <c r="E55" s="1400"/>
      <c r="H55" s="195"/>
      <c r="I55" s="195"/>
    </row>
    <row r="56">
      <c r="B56" s="195"/>
      <c r="C56" s="195"/>
      <c r="D56" s="1400"/>
      <c r="E56" s="1400"/>
      <c r="H56" s="195"/>
      <c r="I56" s="195"/>
    </row>
    <row r="57">
      <c r="B57" s="195"/>
      <c r="C57" s="195"/>
      <c r="D57" s="1400"/>
      <c r="E57" s="1400"/>
      <c r="H57" s="195"/>
      <c r="I57" s="195"/>
    </row>
    <row r="58">
      <c r="B58" s="195"/>
      <c r="C58" s="195"/>
      <c r="D58" s="1400"/>
      <c r="E58" s="1400"/>
      <c r="H58" s="195"/>
      <c r="I58" s="195"/>
    </row>
    <row r="59">
      <c r="B59" s="195"/>
      <c r="C59" s="195"/>
      <c r="D59" s="1400"/>
      <c r="E59" s="1400"/>
      <c r="H59" s="195"/>
      <c r="I59" s="195"/>
    </row>
    <row r="60">
      <c r="B60" s="195"/>
      <c r="C60" s="195"/>
      <c r="D60" s="1400"/>
      <c r="E60" s="1400"/>
      <c r="H60" s="195"/>
      <c r="I60" s="195"/>
    </row>
    <row r="61">
      <c r="B61" s="195"/>
      <c r="C61" s="195"/>
      <c r="D61" s="1400"/>
      <c r="E61" s="1400"/>
      <c r="H61" s="195"/>
      <c r="I61" s="195"/>
    </row>
    <row r="62">
      <c r="B62" s="195"/>
      <c r="C62" s="195"/>
      <c r="D62" s="1400"/>
      <c r="E62" s="1400"/>
      <c r="H62" s="195"/>
      <c r="I62" s="195"/>
    </row>
    <row r="63">
      <c r="B63" s="195"/>
      <c r="C63" s="195"/>
      <c r="D63" s="1400"/>
      <c r="E63" s="1400"/>
      <c r="H63" s="195"/>
      <c r="I63" s="195"/>
    </row>
    <row r="64">
      <c r="B64" s="195"/>
      <c r="C64" s="195"/>
      <c r="D64" s="1400"/>
      <c r="E64" s="1400"/>
      <c r="H64" s="195"/>
      <c r="I64" s="195"/>
    </row>
    <row r="65">
      <c r="B65" s="195"/>
      <c r="C65" s="195"/>
      <c r="D65" s="1400"/>
      <c r="E65" s="1400"/>
      <c r="H65" s="195"/>
      <c r="I65" s="195"/>
    </row>
    <row r="66">
      <c r="B66" s="195"/>
      <c r="C66" s="195"/>
      <c r="D66" s="1400"/>
      <c r="E66" s="1400"/>
      <c r="H66" s="195"/>
      <c r="I66" s="195"/>
    </row>
    <row r="67">
      <c r="B67" s="195"/>
      <c r="C67" s="195"/>
      <c r="D67" s="1400"/>
      <c r="E67" s="1400"/>
      <c r="H67" s="195"/>
      <c r="I67" s="195"/>
    </row>
    <row r="68">
      <c r="B68" s="195"/>
      <c r="C68" s="195"/>
      <c r="D68" s="1400"/>
      <c r="E68" s="1400"/>
      <c r="H68" s="195"/>
      <c r="I68" s="195"/>
    </row>
    <row r="69">
      <c r="B69" s="195"/>
      <c r="C69" s="195"/>
      <c r="D69" s="1400"/>
      <c r="E69" s="1400"/>
      <c r="H69" s="195"/>
      <c r="I69" s="195"/>
    </row>
    <row r="70">
      <c r="B70" s="195"/>
      <c r="C70" s="195"/>
      <c r="D70" s="1400"/>
      <c r="E70" s="1400"/>
      <c r="H70" s="195"/>
      <c r="I70" s="195"/>
    </row>
    <row r="71">
      <c r="B71" s="195"/>
      <c r="C71" s="195"/>
      <c r="D71" s="1400"/>
      <c r="E71" s="1400"/>
      <c r="H71" s="195"/>
      <c r="I71" s="195"/>
    </row>
    <row r="72">
      <c r="B72" s="195"/>
      <c r="C72" s="195"/>
      <c r="D72" s="1400"/>
      <c r="E72" s="1400"/>
      <c r="H72" s="195"/>
      <c r="I72" s="195"/>
    </row>
    <row r="73">
      <c r="B73" s="195"/>
      <c r="C73" s="195"/>
      <c r="D73" s="1400"/>
      <c r="E73" s="1400"/>
      <c r="H73" s="195"/>
      <c r="I73" s="195"/>
    </row>
    <row r="74">
      <c r="B74" s="195"/>
      <c r="C74" s="195"/>
      <c r="D74" s="1400"/>
      <c r="E74" s="1400"/>
      <c r="H74" s="195"/>
      <c r="I74" s="195"/>
    </row>
    <row r="75">
      <c r="B75" s="195"/>
      <c r="C75" s="195"/>
      <c r="D75" s="1400"/>
      <c r="E75" s="1400"/>
      <c r="H75" s="195"/>
      <c r="I75" s="195"/>
    </row>
    <row r="76">
      <c r="B76" s="195"/>
      <c r="C76" s="195"/>
      <c r="D76" s="1400"/>
      <c r="E76" s="1400"/>
      <c r="H76" s="195"/>
      <c r="I76" s="195"/>
    </row>
    <row r="77">
      <c r="B77" s="195"/>
      <c r="C77" s="195"/>
      <c r="D77" s="1400"/>
      <c r="E77" s="1400"/>
      <c r="H77" s="195"/>
      <c r="I77" s="195"/>
    </row>
    <row r="78">
      <c r="B78" s="195"/>
      <c r="C78" s="195"/>
      <c r="D78" s="1400"/>
      <c r="E78" s="1400"/>
      <c r="H78" s="195"/>
      <c r="I78" s="195"/>
    </row>
    <row r="79">
      <c r="B79" s="195"/>
      <c r="C79" s="195"/>
      <c r="D79" s="1400"/>
      <c r="E79" s="1400"/>
      <c r="H79" s="195"/>
      <c r="I79" s="195"/>
    </row>
    <row r="80">
      <c r="B80" s="195"/>
      <c r="C80" s="195"/>
      <c r="D80" s="1400"/>
      <c r="E80" s="1400"/>
      <c r="H80" s="195"/>
      <c r="I80" s="195"/>
    </row>
    <row r="81">
      <c r="B81" s="195"/>
      <c r="C81" s="195"/>
      <c r="D81" s="1400"/>
      <c r="E81" s="1400"/>
      <c r="H81" s="195"/>
      <c r="I81" s="195"/>
    </row>
    <row r="82">
      <c r="B82" s="195"/>
      <c r="C82" s="195"/>
      <c r="D82" s="1400"/>
      <c r="E82" s="1400"/>
      <c r="H82" s="195"/>
      <c r="I82" s="195"/>
    </row>
    <row r="83">
      <c r="B83" s="195"/>
      <c r="C83" s="195"/>
      <c r="D83" s="1400"/>
      <c r="E83" s="1400"/>
      <c r="H83" s="195"/>
      <c r="I83" s="195"/>
    </row>
    <row r="84">
      <c r="B84" s="195"/>
      <c r="C84" s="195"/>
      <c r="D84" s="1400"/>
      <c r="E84" s="1400"/>
      <c r="H84" s="195"/>
      <c r="I84" s="195"/>
    </row>
    <row r="85">
      <c r="B85" s="195"/>
      <c r="C85" s="195"/>
      <c r="D85" s="1400"/>
      <c r="E85" s="1400"/>
      <c r="H85" s="195"/>
      <c r="I85" s="195"/>
    </row>
    <row r="86">
      <c r="B86" s="195"/>
      <c r="C86" s="195"/>
      <c r="D86" s="1400"/>
      <c r="E86" s="1400"/>
      <c r="H86" s="195"/>
      <c r="I86" s="195"/>
    </row>
    <row r="87">
      <c r="B87" s="195"/>
      <c r="C87" s="195"/>
      <c r="D87" s="1400"/>
      <c r="E87" s="1400"/>
      <c r="H87" s="195"/>
      <c r="I87" s="195"/>
    </row>
    <row r="88">
      <c r="B88" s="195"/>
      <c r="C88" s="195"/>
      <c r="D88" s="1400"/>
      <c r="E88" s="1400"/>
      <c r="H88" s="195"/>
      <c r="I88" s="195"/>
    </row>
    <row r="89">
      <c r="B89" s="195"/>
      <c r="C89" s="195"/>
      <c r="D89" s="1400"/>
      <c r="E89" s="1400"/>
      <c r="H89" s="195"/>
      <c r="I89" s="195"/>
    </row>
    <row r="90">
      <c r="B90" s="195"/>
      <c r="C90" s="195"/>
      <c r="D90" s="1400"/>
      <c r="E90" s="1400"/>
      <c r="H90" s="195"/>
      <c r="I90" s="195"/>
    </row>
    <row r="91">
      <c r="B91" s="195"/>
      <c r="C91" s="195"/>
      <c r="D91" s="1400"/>
      <c r="E91" s="1400"/>
      <c r="H91" s="195"/>
      <c r="I91" s="195"/>
    </row>
    <row r="92">
      <c r="B92" s="195"/>
      <c r="C92" s="195"/>
      <c r="D92" s="1400"/>
      <c r="E92" s="1400"/>
      <c r="H92" s="195"/>
      <c r="I92" s="195"/>
    </row>
    <row r="93">
      <c r="B93" s="195"/>
      <c r="C93" s="195"/>
      <c r="D93" s="1400"/>
      <c r="E93" s="1400"/>
      <c r="H93" s="195"/>
      <c r="I93" s="195"/>
    </row>
    <row r="94">
      <c r="B94" s="195"/>
      <c r="C94" s="195"/>
      <c r="D94" s="1400"/>
      <c r="E94" s="1400"/>
      <c r="H94" s="195"/>
      <c r="I94" s="195"/>
    </row>
    <row r="95">
      <c r="B95" s="195"/>
      <c r="C95" s="195"/>
      <c r="D95" s="1400"/>
      <c r="E95" s="1400"/>
      <c r="H95" s="195"/>
      <c r="I95" s="195"/>
    </row>
    <row r="96">
      <c r="B96" s="195"/>
      <c r="C96" s="195"/>
      <c r="D96" s="1400"/>
      <c r="E96" s="1400"/>
      <c r="H96" s="195"/>
      <c r="I96" s="195"/>
    </row>
    <row r="97">
      <c r="B97" s="195"/>
      <c r="C97" s="195"/>
      <c r="D97" s="1400"/>
      <c r="E97" s="1400"/>
      <c r="H97" s="195"/>
      <c r="I97" s="195"/>
    </row>
    <row r="98">
      <c r="B98" s="195"/>
      <c r="C98" s="195"/>
      <c r="D98" s="1400"/>
      <c r="E98" s="1400"/>
      <c r="H98" s="195"/>
      <c r="I98" s="195"/>
    </row>
    <row r="99">
      <c r="B99" s="195"/>
      <c r="C99" s="195"/>
      <c r="D99" s="1400"/>
      <c r="E99" s="1400"/>
      <c r="H99" s="195"/>
      <c r="I99" s="195"/>
    </row>
    <row r="100">
      <c r="B100" s="195"/>
      <c r="C100" s="195"/>
      <c r="D100" s="1400"/>
      <c r="E100" s="1400"/>
      <c r="H100" s="195"/>
      <c r="I100" s="195"/>
    </row>
    <row r="101">
      <c r="B101" s="195"/>
      <c r="C101" s="195"/>
      <c r="D101" s="1400"/>
      <c r="E101" s="1400"/>
      <c r="H101" s="195"/>
      <c r="I101" s="195"/>
    </row>
    <row r="102">
      <c r="B102" s="195"/>
      <c r="C102" s="195"/>
      <c r="D102" s="1400"/>
      <c r="E102" s="1400"/>
      <c r="H102" s="195"/>
      <c r="I102" s="195"/>
    </row>
    <row r="103">
      <c r="B103" s="195"/>
      <c r="C103" s="195"/>
      <c r="D103" s="1400"/>
      <c r="E103" s="1400"/>
      <c r="H103" s="195"/>
      <c r="I103" s="195"/>
    </row>
    <row r="104">
      <c r="B104" s="195"/>
      <c r="C104" s="195"/>
      <c r="D104" s="1400"/>
      <c r="E104" s="1400"/>
      <c r="H104" s="195"/>
      <c r="I104" s="195"/>
    </row>
    <row r="105">
      <c r="B105" s="195"/>
      <c r="C105" s="195"/>
      <c r="D105" s="1400"/>
      <c r="E105" s="1400"/>
      <c r="H105" s="195"/>
      <c r="I105" s="195"/>
    </row>
    <row r="106">
      <c r="B106" s="195"/>
      <c r="C106" s="195"/>
      <c r="D106" s="1400"/>
      <c r="E106" s="1400"/>
      <c r="H106" s="195"/>
      <c r="I106" s="195"/>
    </row>
    <row r="107">
      <c r="B107" s="195"/>
      <c r="C107" s="195"/>
      <c r="D107" s="1400"/>
      <c r="E107" s="1400"/>
      <c r="H107" s="195"/>
      <c r="I107" s="195"/>
    </row>
    <row r="108">
      <c r="B108" s="195"/>
      <c r="C108" s="195"/>
      <c r="D108" s="1400"/>
      <c r="E108" s="1400"/>
      <c r="H108" s="195"/>
      <c r="I108" s="195"/>
    </row>
    <row r="109">
      <c r="B109" s="195"/>
      <c r="C109" s="195"/>
      <c r="D109" s="1400"/>
      <c r="E109" s="1400"/>
      <c r="H109" s="195"/>
      <c r="I109" s="195"/>
    </row>
    <row r="110">
      <c r="B110" s="195"/>
      <c r="C110" s="195"/>
      <c r="D110" s="1400"/>
      <c r="E110" s="1400"/>
      <c r="H110" s="195"/>
      <c r="I110" s="195"/>
    </row>
    <row r="111">
      <c r="B111" s="195"/>
      <c r="C111" s="195"/>
      <c r="D111" s="1400"/>
      <c r="E111" s="1400"/>
      <c r="H111" s="195"/>
      <c r="I111" s="195"/>
    </row>
    <row r="112">
      <c r="B112" s="195"/>
      <c r="C112" s="195"/>
      <c r="D112" s="1400"/>
      <c r="E112" s="1400"/>
      <c r="H112" s="195"/>
      <c r="I112" s="195"/>
    </row>
    <row r="113">
      <c r="B113" s="195"/>
      <c r="C113" s="195"/>
      <c r="D113" s="1400"/>
      <c r="E113" s="1400"/>
      <c r="H113" s="195"/>
      <c r="I113" s="195"/>
    </row>
    <row r="114">
      <c r="B114" s="195"/>
      <c r="C114" s="195"/>
      <c r="D114" s="1400"/>
      <c r="E114" s="1400"/>
      <c r="H114" s="195"/>
      <c r="I114" s="195"/>
    </row>
    <row r="115">
      <c r="B115" s="195"/>
      <c r="C115" s="195"/>
      <c r="D115" s="1400"/>
      <c r="E115" s="1400"/>
      <c r="H115" s="195"/>
      <c r="I115" s="195"/>
    </row>
    <row r="116">
      <c r="B116" s="195"/>
      <c r="C116" s="195"/>
      <c r="D116" s="1400"/>
      <c r="E116" s="1400"/>
      <c r="H116" s="195"/>
      <c r="I116" s="195"/>
    </row>
    <row r="117">
      <c r="B117" s="195"/>
      <c r="C117" s="195"/>
      <c r="D117" s="1400"/>
      <c r="E117" s="1400"/>
      <c r="H117" s="195"/>
      <c r="I117" s="195"/>
    </row>
    <row r="118">
      <c r="B118" s="195"/>
      <c r="C118" s="195"/>
      <c r="D118" s="1400"/>
      <c r="E118" s="1400"/>
      <c r="H118" s="195"/>
      <c r="I118" s="195"/>
    </row>
    <row r="119">
      <c r="B119" s="195"/>
      <c r="C119" s="195"/>
      <c r="D119" s="1400"/>
      <c r="E119" s="1400"/>
      <c r="H119" s="195"/>
      <c r="I119" s="195"/>
    </row>
    <row r="120">
      <c r="B120" s="195"/>
      <c r="C120" s="195"/>
      <c r="D120" s="1400"/>
      <c r="E120" s="1400"/>
      <c r="H120" s="195"/>
      <c r="I120" s="195"/>
    </row>
    <row r="121">
      <c r="B121" s="195"/>
      <c r="C121" s="195"/>
      <c r="D121" s="1400"/>
      <c r="E121" s="1400"/>
      <c r="H121" s="195"/>
      <c r="I121" s="195"/>
    </row>
    <row r="122">
      <c r="B122" s="195"/>
      <c r="C122" s="195"/>
      <c r="D122" s="1400"/>
      <c r="E122" s="1400"/>
      <c r="H122" s="195"/>
      <c r="I122" s="195"/>
    </row>
    <row r="123">
      <c r="B123" s="195"/>
      <c r="C123" s="195"/>
      <c r="D123" s="1400"/>
      <c r="E123" s="1400"/>
      <c r="H123" s="195"/>
      <c r="I123" s="195"/>
    </row>
    <row r="124">
      <c r="B124" s="195"/>
      <c r="C124" s="195"/>
      <c r="D124" s="1400"/>
      <c r="E124" s="1400"/>
      <c r="H124" s="195"/>
      <c r="I124" s="195"/>
    </row>
    <row r="125">
      <c r="B125" s="195"/>
      <c r="C125" s="195"/>
      <c r="D125" s="1400"/>
      <c r="E125" s="1400"/>
      <c r="H125" s="195"/>
      <c r="I125" s="195"/>
    </row>
    <row r="126">
      <c r="B126" s="195"/>
      <c r="C126" s="195"/>
      <c r="D126" s="1400"/>
      <c r="E126" s="1400"/>
      <c r="H126" s="195"/>
      <c r="I126" s="195"/>
    </row>
    <row r="127">
      <c r="B127" s="195"/>
      <c r="C127" s="195"/>
      <c r="D127" s="1400"/>
      <c r="E127" s="1400"/>
      <c r="H127" s="195"/>
      <c r="I127" s="195"/>
    </row>
    <row r="128">
      <c r="B128" s="195"/>
      <c r="C128" s="195"/>
      <c r="D128" s="1400"/>
      <c r="E128" s="1400"/>
      <c r="H128" s="195"/>
      <c r="I128" s="195"/>
    </row>
    <row r="129">
      <c r="B129" s="195"/>
      <c r="C129" s="195"/>
      <c r="D129" s="1400"/>
      <c r="E129" s="1400"/>
      <c r="H129" s="195"/>
      <c r="I129" s="195"/>
    </row>
    <row r="130">
      <c r="B130" s="195"/>
      <c r="C130" s="195"/>
      <c r="D130" s="1400"/>
      <c r="E130" s="1400"/>
      <c r="H130" s="195"/>
      <c r="I130" s="195"/>
    </row>
    <row r="131">
      <c r="B131" s="195"/>
      <c r="C131" s="195"/>
      <c r="D131" s="1400"/>
      <c r="E131" s="1400"/>
      <c r="H131" s="195"/>
      <c r="I131" s="195"/>
    </row>
    <row r="132">
      <c r="B132" s="195"/>
      <c r="C132" s="195"/>
      <c r="D132" s="1400"/>
      <c r="E132" s="1400"/>
      <c r="H132" s="195"/>
      <c r="I132" s="195"/>
    </row>
    <row r="133">
      <c r="B133" s="195"/>
      <c r="C133" s="195"/>
      <c r="D133" s="1400"/>
      <c r="E133" s="1400"/>
      <c r="H133" s="195"/>
      <c r="I133" s="195"/>
    </row>
    <row r="134">
      <c r="B134" s="195"/>
      <c r="C134" s="195"/>
      <c r="D134" s="1400"/>
      <c r="E134" s="1400"/>
      <c r="H134" s="195"/>
      <c r="I134" s="195"/>
    </row>
    <row r="135">
      <c r="B135" s="195"/>
      <c r="C135" s="195"/>
      <c r="D135" s="1400"/>
      <c r="E135" s="1400"/>
      <c r="H135" s="195"/>
      <c r="I135" s="195"/>
    </row>
    <row r="136">
      <c r="B136" s="195"/>
      <c r="C136" s="195"/>
      <c r="D136" s="1400"/>
      <c r="E136" s="1400"/>
      <c r="H136" s="195"/>
      <c r="I136" s="195"/>
    </row>
    <row r="137">
      <c r="B137" s="195"/>
      <c r="C137" s="195"/>
      <c r="D137" s="1400"/>
      <c r="E137" s="1400"/>
      <c r="H137" s="195"/>
      <c r="I137" s="195"/>
    </row>
    <row r="138">
      <c r="B138" s="195"/>
      <c r="C138" s="195"/>
      <c r="D138" s="1400"/>
      <c r="E138" s="1400"/>
      <c r="H138" s="195"/>
      <c r="I138" s="195"/>
    </row>
    <row r="139">
      <c r="B139" s="195"/>
      <c r="C139" s="195"/>
      <c r="D139" s="1400"/>
      <c r="E139" s="1400"/>
      <c r="H139" s="195"/>
      <c r="I139" s="195"/>
    </row>
    <row r="140">
      <c r="B140" s="195"/>
      <c r="C140" s="195"/>
      <c r="D140" s="1400"/>
      <c r="E140" s="1400"/>
      <c r="H140" s="195"/>
      <c r="I140" s="195"/>
    </row>
    <row r="141">
      <c r="B141" s="195"/>
      <c r="C141" s="195"/>
      <c r="D141" s="1400"/>
      <c r="E141" s="1400"/>
      <c r="H141" s="195"/>
      <c r="I141" s="195"/>
    </row>
    <row r="142">
      <c r="B142" s="195"/>
      <c r="C142" s="195"/>
      <c r="D142" s="1400"/>
      <c r="E142" s="1400"/>
      <c r="H142" s="195"/>
      <c r="I142" s="195"/>
    </row>
    <row r="143">
      <c r="B143" s="195"/>
      <c r="C143" s="195"/>
      <c r="D143" s="1400"/>
      <c r="E143" s="1400"/>
      <c r="H143" s="195"/>
      <c r="I143" s="195"/>
    </row>
    <row r="144">
      <c r="B144" s="195"/>
      <c r="C144" s="195"/>
      <c r="D144" s="1400"/>
      <c r="E144" s="1400"/>
      <c r="H144" s="195"/>
      <c r="I144" s="195"/>
    </row>
    <row r="145">
      <c r="B145" s="195"/>
      <c r="C145" s="195"/>
      <c r="D145" s="1400"/>
      <c r="E145" s="1400"/>
      <c r="H145" s="195"/>
      <c r="I145" s="195"/>
    </row>
    <row r="146">
      <c r="B146" s="195"/>
      <c r="C146" s="195"/>
      <c r="D146" s="1400"/>
      <c r="E146" s="1400"/>
      <c r="H146" s="195"/>
      <c r="I146" s="195"/>
    </row>
    <row r="147">
      <c r="B147" s="195"/>
      <c r="C147" s="195"/>
      <c r="D147" s="1400"/>
      <c r="E147" s="1400"/>
      <c r="H147" s="195"/>
      <c r="I147" s="195"/>
    </row>
    <row r="148">
      <c r="B148" s="195"/>
      <c r="C148" s="195"/>
      <c r="D148" s="1400"/>
      <c r="E148" s="1400"/>
      <c r="H148" s="195"/>
      <c r="I148" s="195"/>
    </row>
    <row r="149">
      <c r="B149" s="195"/>
      <c r="C149" s="195"/>
      <c r="D149" s="1400"/>
      <c r="E149" s="1400"/>
      <c r="H149" s="195"/>
      <c r="I149" s="195"/>
    </row>
    <row r="150">
      <c r="B150" s="195"/>
      <c r="C150" s="195"/>
      <c r="D150" s="1400"/>
      <c r="E150" s="1400"/>
      <c r="H150" s="195"/>
      <c r="I150" s="195"/>
    </row>
    <row r="151">
      <c r="B151" s="195"/>
      <c r="C151" s="195"/>
      <c r="D151" s="1400"/>
      <c r="E151" s="1400"/>
      <c r="H151" s="195"/>
      <c r="I151" s="195"/>
    </row>
    <row r="152">
      <c r="B152" s="195"/>
      <c r="C152" s="195"/>
      <c r="D152" s="1400"/>
      <c r="E152" s="1400"/>
      <c r="H152" s="195"/>
      <c r="I152" s="195"/>
    </row>
    <row r="153">
      <c r="B153" s="195"/>
      <c r="C153" s="195"/>
      <c r="D153" s="1400"/>
      <c r="E153" s="1400"/>
      <c r="H153" s="195"/>
      <c r="I153" s="195"/>
    </row>
    <row r="154">
      <c r="B154" s="195"/>
      <c r="C154" s="195"/>
      <c r="D154" s="1400"/>
      <c r="E154" s="1400"/>
      <c r="H154" s="195"/>
      <c r="I154" s="195"/>
    </row>
    <row r="155">
      <c r="B155" s="195"/>
      <c r="C155" s="195"/>
      <c r="D155" s="1400"/>
      <c r="E155" s="1400"/>
      <c r="H155" s="195"/>
      <c r="I155" s="195"/>
    </row>
    <row r="156">
      <c r="B156" s="195"/>
      <c r="C156" s="195"/>
      <c r="D156" s="1400"/>
      <c r="E156" s="1400"/>
      <c r="H156" s="195"/>
      <c r="I156" s="195"/>
    </row>
    <row r="157">
      <c r="B157" s="195"/>
      <c r="C157" s="195"/>
      <c r="D157" s="1400"/>
      <c r="E157" s="1400"/>
      <c r="H157" s="195"/>
      <c r="I157" s="195"/>
    </row>
    <row r="158">
      <c r="B158" s="195"/>
      <c r="C158" s="195"/>
      <c r="D158" s="1400"/>
      <c r="E158" s="1400"/>
      <c r="H158" s="195"/>
      <c r="I158" s="195"/>
    </row>
    <row r="159">
      <c r="B159" s="195"/>
      <c r="C159" s="195"/>
      <c r="D159" s="1400"/>
      <c r="E159" s="1400"/>
      <c r="H159" s="195"/>
      <c r="I159" s="195"/>
    </row>
    <row r="160">
      <c r="B160" s="195"/>
      <c r="C160" s="195"/>
      <c r="D160" s="1400"/>
      <c r="E160" s="1400"/>
      <c r="H160" s="195"/>
      <c r="I160" s="195"/>
    </row>
    <row r="161">
      <c r="B161" s="195"/>
      <c r="C161" s="195"/>
      <c r="D161" s="1400"/>
      <c r="E161" s="1400"/>
      <c r="H161" s="195"/>
      <c r="I161" s="195"/>
    </row>
    <row r="162">
      <c r="B162" s="195"/>
      <c r="C162" s="195"/>
      <c r="D162" s="1400"/>
      <c r="E162" s="1400"/>
      <c r="H162" s="195"/>
      <c r="I162" s="195"/>
    </row>
    <row r="163">
      <c r="B163" s="195"/>
      <c r="C163" s="195"/>
      <c r="D163" s="1400"/>
      <c r="E163" s="1400"/>
      <c r="H163" s="195"/>
      <c r="I163" s="195"/>
    </row>
    <row r="164">
      <c r="B164" s="195"/>
      <c r="C164" s="195"/>
      <c r="D164" s="1400"/>
      <c r="E164" s="1400"/>
      <c r="H164" s="195"/>
      <c r="I164" s="195"/>
    </row>
    <row r="165">
      <c r="B165" s="195"/>
      <c r="C165" s="195"/>
      <c r="D165" s="1400"/>
      <c r="E165" s="1400"/>
      <c r="H165" s="195"/>
      <c r="I165" s="195"/>
    </row>
    <row r="166">
      <c r="B166" s="195"/>
      <c r="C166" s="195"/>
      <c r="D166" s="1400"/>
      <c r="E166" s="1400"/>
      <c r="H166" s="195"/>
      <c r="I166" s="195"/>
    </row>
    <row r="167">
      <c r="B167" s="195"/>
      <c r="C167" s="195"/>
      <c r="D167" s="1400"/>
      <c r="E167" s="1400"/>
      <c r="H167" s="195"/>
      <c r="I167" s="195"/>
    </row>
    <row r="168">
      <c r="B168" s="195"/>
      <c r="C168" s="195"/>
      <c r="D168" s="1400"/>
      <c r="E168" s="1400"/>
      <c r="H168" s="195"/>
      <c r="I168" s="195"/>
    </row>
    <row r="169">
      <c r="B169" s="195"/>
      <c r="C169" s="195"/>
      <c r="D169" s="1400"/>
      <c r="E169" s="1400"/>
      <c r="H169" s="195"/>
      <c r="I169" s="195"/>
    </row>
    <row r="170">
      <c r="B170" s="195"/>
      <c r="C170" s="195"/>
      <c r="D170" s="1400"/>
      <c r="E170" s="1400"/>
      <c r="H170" s="195"/>
      <c r="I170" s="195"/>
    </row>
    <row r="171">
      <c r="B171" s="195"/>
      <c r="C171" s="195"/>
      <c r="D171" s="1400"/>
      <c r="E171" s="1400"/>
      <c r="H171" s="195"/>
      <c r="I171" s="195"/>
    </row>
    <row r="172">
      <c r="B172" s="195"/>
      <c r="C172" s="195"/>
      <c r="D172" s="1400"/>
      <c r="E172" s="1400"/>
      <c r="H172" s="195"/>
      <c r="I172" s="195"/>
    </row>
    <row r="173">
      <c r="B173" s="195"/>
      <c r="C173" s="195"/>
      <c r="D173" s="1400"/>
      <c r="E173" s="1400"/>
      <c r="H173" s="195"/>
      <c r="I173" s="195"/>
    </row>
    <row r="174">
      <c r="B174" s="195"/>
      <c r="C174" s="195"/>
      <c r="D174" s="1400"/>
      <c r="E174" s="1400"/>
      <c r="H174" s="195"/>
      <c r="I174" s="195"/>
    </row>
    <row r="175">
      <c r="B175" s="195"/>
      <c r="C175" s="195"/>
      <c r="D175" s="1400"/>
      <c r="E175" s="1400"/>
      <c r="H175" s="195"/>
      <c r="I175" s="195"/>
    </row>
    <row r="176">
      <c r="B176" s="195"/>
      <c r="C176" s="195"/>
      <c r="D176" s="1400"/>
      <c r="E176" s="1400"/>
      <c r="H176" s="195"/>
      <c r="I176" s="195"/>
    </row>
    <row r="177">
      <c r="B177" s="195"/>
      <c r="C177" s="195"/>
      <c r="D177" s="1400"/>
      <c r="E177" s="1400"/>
      <c r="H177" s="195"/>
      <c r="I177" s="195"/>
    </row>
    <row r="178">
      <c r="B178" s="195"/>
      <c r="C178" s="195"/>
      <c r="D178" s="1400"/>
      <c r="E178" s="1400"/>
      <c r="H178" s="195"/>
      <c r="I178" s="195"/>
    </row>
    <row r="179">
      <c r="B179" s="195"/>
      <c r="C179" s="195"/>
      <c r="D179" s="1400"/>
      <c r="E179" s="1400"/>
      <c r="H179" s="195"/>
      <c r="I179" s="195"/>
    </row>
    <row r="180">
      <c r="B180" s="195"/>
      <c r="C180" s="195"/>
      <c r="D180" s="1400"/>
      <c r="E180" s="1400"/>
      <c r="H180" s="195"/>
      <c r="I180" s="195"/>
    </row>
    <row r="181">
      <c r="B181" s="195"/>
      <c r="C181" s="195"/>
      <c r="D181" s="1400"/>
      <c r="E181" s="1400"/>
      <c r="H181" s="195"/>
      <c r="I181" s="195"/>
    </row>
    <row r="182">
      <c r="B182" s="195"/>
      <c r="C182" s="195"/>
      <c r="D182" s="1400"/>
      <c r="E182" s="1400"/>
      <c r="H182" s="195"/>
      <c r="I182" s="195"/>
    </row>
    <row r="183">
      <c r="B183" s="195"/>
      <c r="C183" s="195"/>
      <c r="D183" s="1400"/>
      <c r="E183" s="1400"/>
      <c r="H183" s="195"/>
      <c r="I183" s="195"/>
    </row>
    <row r="184">
      <c r="B184" s="195"/>
      <c r="C184" s="195"/>
      <c r="D184" s="1400"/>
      <c r="E184" s="1400"/>
      <c r="H184" s="195"/>
      <c r="I184" s="195"/>
    </row>
    <row r="185">
      <c r="B185" s="195"/>
      <c r="C185" s="195"/>
      <c r="D185" s="1400"/>
      <c r="E185" s="1400"/>
      <c r="H185" s="195"/>
      <c r="I185" s="195"/>
    </row>
    <row r="186">
      <c r="B186" s="195"/>
      <c r="C186" s="195"/>
      <c r="D186" s="1400"/>
      <c r="E186" s="1400"/>
      <c r="H186" s="195"/>
      <c r="I186" s="195"/>
    </row>
    <row r="187">
      <c r="B187" s="195"/>
      <c r="C187" s="195"/>
      <c r="D187" s="1400"/>
      <c r="E187" s="1400"/>
      <c r="H187" s="195"/>
      <c r="I187" s="195"/>
    </row>
    <row r="188">
      <c r="B188" s="195"/>
      <c r="C188" s="195"/>
      <c r="D188" s="1400"/>
      <c r="E188" s="1400"/>
      <c r="H188" s="195"/>
      <c r="I188" s="195"/>
    </row>
    <row r="189">
      <c r="B189" s="195"/>
      <c r="C189" s="195"/>
      <c r="D189" s="1400"/>
      <c r="E189" s="1400"/>
      <c r="H189" s="195"/>
      <c r="I189" s="195"/>
    </row>
    <row r="190">
      <c r="B190" s="195"/>
      <c r="C190" s="195"/>
      <c r="D190" s="1400"/>
      <c r="E190" s="1400"/>
      <c r="H190" s="195"/>
      <c r="I190" s="195"/>
    </row>
    <row r="191">
      <c r="B191" s="195"/>
      <c r="C191" s="195"/>
      <c r="D191" s="1400"/>
      <c r="E191" s="1400"/>
      <c r="H191" s="195"/>
      <c r="I191" s="195"/>
    </row>
    <row r="192">
      <c r="B192" s="195"/>
      <c r="C192" s="195"/>
      <c r="D192" s="1400"/>
      <c r="E192" s="1400"/>
      <c r="H192" s="195"/>
      <c r="I192" s="195"/>
    </row>
    <row r="193">
      <c r="B193" s="195"/>
      <c r="C193" s="195"/>
      <c r="D193" s="1400"/>
      <c r="E193" s="1400"/>
      <c r="H193" s="195"/>
      <c r="I193" s="195"/>
    </row>
    <row r="194">
      <c r="B194" s="195"/>
      <c r="C194" s="195"/>
      <c r="D194" s="1400"/>
      <c r="E194" s="1400"/>
      <c r="H194" s="195"/>
      <c r="I194" s="195"/>
    </row>
    <row r="195">
      <c r="B195" s="195"/>
      <c r="C195" s="195"/>
      <c r="D195" s="1400"/>
      <c r="E195" s="1400"/>
      <c r="H195" s="195"/>
      <c r="I195" s="195"/>
    </row>
    <row r="196">
      <c r="B196" s="195"/>
      <c r="C196" s="195"/>
      <c r="D196" s="1400"/>
      <c r="E196" s="1400"/>
      <c r="H196" s="195"/>
      <c r="I196" s="195"/>
    </row>
    <row r="197">
      <c r="B197" s="195"/>
      <c r="C197" s="195"/>
      <c r="D197" s="1400"/>
      <c r="E197" s="1400"/>
      <c r="H197" s="195"/>
      <c r="I197" s="195"/>
    </row>
    <row r="198">
      <c r="B198" s="195"/>
      <c r="C198" s="195"/>
      <c r="D198" s="1400"/>
      <c r="E198" s="1400"/>
      <c r="H198" s="195"/>
      <c r="I198" s="195"/>
    </row>
    <row r="199">
      <c r="B199" s="195"/>
      <c r="C199" s="195"/>
      <c r="D199" s="1400"/>
      <c r="E199" s="1400"/>
      <c r="H199" s="195"/>
      <c r="I199" s="195"/>
    </row>
    <row r="200">
      <c r="B200" s="195"/>
      <c r="C200" s="195"/>
      <c r="D200" s="1400"/>
      <c r="E200" s="1400"/>
      <c r="H200" s="195"/>
      <c r="I200" s="195"/>
    </row>
    <row r="201">
      <c r="B201" s="195"/>
      <c r="C201" s="195"/>
      <c r="D201" s="1400"/>
      <c r="E201" s="1400"/>
      <c r="H201" s="195"/>
      <c r="I201" s="195"/>
    </row>
    <row r="202">
      <c r="B202" s="195"/>
      <c r="C202" s="195"/>
      <c r="D202" s="1400"/>
      <c r="E202" s="1400"/>
      <c r="H202" s="195"/>
      <c r="I202" s="195"/>
    </row>
    <row r="203">
      <c r="B203" s="195"/>
      <c r="C203" s="195"/>
      <c r="D203" s="1400"/>
      <c r="E203" s="1400"/>
      <c r="H203" s="195"/>
      <c r="I203" s="195"/>
    </row>
    <row r="204">
      <c r="B204" s="195"/>
      <c r="C204" s="195"/>
      <c r="D204" s="1400"/>
      <c r="E204" s="1400"/>
      <c r="H204" s="195"/>
      <c r="I204" s="195"/>
    </row>
    <row r="205">
      <c r="B205" s="195"/>
      <c r="C205" s="195"/>
      <c r="D205" s="1400"/>
      <c r="E205" s="1400"/>
      <c r="H205" s="195"/>
      <c r="I205" s="195"/>
    </row>
    <row r="206">
      <c r="B206" s="195"/>
      <c r="C206" s="195"/>
      <c r="D206" s="1400"/>
      <c r="E206" s="1400"/>
      <c r="H206" s="195"/>
      <c r="I206" s="195"/>
    </row>
    <row r="207">
      <c r="B207" s="195"/>
      <c r="C207" s="195"/>
      <c r="D207" s="1400"/>
      <c r="E207" s="1400"/>
      <c r="H207" s="195"/>
      <c r="I207" s="195"/>
    </row>
    <row r="208">
      <c r="B208" s="195"/>
      <c r="C208" s="195"/>
      <c r="D208" s="1400"/>
      <c r="E208" s="1400"/>
      <c r="H208" s="195"/>
      <c r="I208" s="195"/>
    </row>
    <row r="209">
      <c r="B209" s="195"/>
      <c r="C209" s="195"/>
      <c r="D209" s="1400"/>
      <c r="E209" s="1400"/>
      <c r="H209" s="195"/>
      <c r="I209" s="195"/>
    </row>
    <row r="210">
      <c r="B210" s="195"/>
      <c r="C210" s="195"/>
      <c r="D210" s="1400"/>
      <c r="E210" s="1400"/>
      <c r="H210" s="195"/>
      <c r="I210" s="195"/>
    </row>
    <row r="211">
      <c r="B211" s="195"/>
      <c r="C211" s="195"/>
      <c r="D211" s="1400"/>
      <c r="E211" s="1400"/>
      <c r="H211" s="195"/>
      <c r="I211" s="195"/>
    </row>
    <row r="212">
      <c r="B212" s="195"/>
      <c r="C212" s="195"/>
      <c r="D212" s="1400"/>
      <c r="E212" s="1400"/>
      <c r="H212" s="195"/>
      <c r="I212" s="195"/>
    </row>
    <row r="213">
      <c r="B213" s="195"/>
      <c r="C213" s="195"/>
      <c r="D213" s="1400"/>
      <c r="E213" s="1400"/>
      <c r="H213" s="195"/>
      <c r="I213" s="195"/>
    </row>
    <row r="214">
      <c r="B214" s="195"/>
      <c r="C214" s="195"/>
      <c r="D214" s="1400"/>
      <c r="E214" s="1400"/>
      <c r="H214" s="195"/>
      <c r="I214" s="195"/>
    </row>
    <row r="215">
      <c r="B215" s="195"/>
      <c r="C215" s="195"/>
      <c r="D215" s="1400"/>
      <c r="E215" s="1400"/>
      <c r="H215" s="195"/>
      <c r="I215" s="195"/>
    </row>
    <row r="216">
      <c r="B216" s="195"/>
      <c r="C216" s="195"/>
      <c r="D216" s="1400"/>
      <c r="E216" s="1400"/>
      <c r="H216" s="195"/>
      <c r="I216" s="195"/>
    </row>
    <row r="217">
      <c r="B217" s="195"/>
      <c r="C217" s="195"/>
      <c r="D217" s="1400"/>
      <c r="E217" s="1400"/>
      <c r="H217" s="195"/>
      <c r="I217" s="195"/>
    </row>
    <row r="218">
      <c r="B218" s="195"/>
      <c r="C218" s="195"/>
      <c r="D218" s="1400"/>
      <c r="E218" s="1400"/>
      <c r="H218" s="195"/>
      <c r="I218" s="195"/>
    </row>
    <row r="219">
      <c r="B219" s="195"/>
      <c r="C219" s="195"/>
      <c r="D219" s="1400"/>
      <c r="E219" s="1400"/>
      <c r="H219" s="195"/>
      <c r="I219" s="195"/>
    </row>
    <row r="220">
      <c r="B220" s="195"/>
      <c r="C220" s="195"/>
      <c r="D220" s="1400"/>
      <c r="E220" s="1400"/>
      <c r="H220" s="195"/>
      <c r="I220" s="195"/>
    </row>
    <row r="221">
      <c r="B221" s="195"/>
      <c r="C221" s="195"/>
      <c r="D221" s="1400"/>
      <c r="E221" s="1400"/>
      <c r="H221" s="195"/>
      <c r="I221" s="195"/>
    </row>
    <row r="222">
      <c r="B222" s="195"/>
      <c r="C222" s="195"/>
      <c r="D222" s="1400"/>
      <c r="E222" s="1400"/>
      <c r="H222" s="195"/>
      <c r="I222" s="195"/>
    </row>
    <row r="223">
      <c r="B223" s="195"/>
      <c r="C223" s="195"/>
      <c r="D223" s="1400"/>
      <c r="E223" s="1400"/>
      <c r="H223" s="195"/>
      <c r="I223" s="195"/>
    </row>
    <row r="224">
      <c r="B224" s="195"/>
      <c r="C224" s="195"/>
      <c r="D224" s="1400"/>
      <c r="E224" s="1400"/>
      <c r="H224" s="195"/>
      <c r="I224" s="195"/>
    </row>
    <row r="225">
      <c r="B225" s="195"/>
      <c r="C225" s="195"/>
      <c r="D225" s="1400"/>
      <c r="E225" s="1400"/>
      <c r="H225" s="195"/>
      <c r="I225" s="195"/>
    </row>
    <row r="226">
      <c r="B226" s="195"/>
      <c r="C226" s="195"/>
      <c r="D226" s="1400"/>
      <c r="E226" s="1400"/>
      <c r="H226" s="195"/>
      <c r="I226" s="195"/>
    </row>
    <row r="227">
      <c r="B227" s="195"/>
      <c r="C227" s="195"/>
      <c r="D227" s="1400"/>
      <c r="E227" s="1400"/>
      <c r="H227" s="195"/>
      <c r="I227" s="195"/>
    </row>
    <row r="228">
      <c r="B228" s="195"/>
      <c r="C228" s="195"/>
      <c r="D228" s="1400"/>
      <c r="E228" s="1400"/>
      <c r="H228" s="195"/>
      <c r="I228" s="195"/>
    </row>
    <row r="229">
      <c r="B229" s="195"/>
      <c r="C229" s="195"/>
      <c r="D229" s="1400"/>
      <c r="E229" s="1400"/>
      <c r="H229" s="195"/>
      <c r="I229" s="195"/>
    </row>
    <row r="230">
      <c r="B230" s="195"/>
      <c r="C230" s="195"/>
      <c r="D230" s="1400"/>
      <c r="E230" s="1400"/>
      <c r="H230" s="195"/>
      <c r="I230" s="195"/>
    </row>
    <row r="231">
      <c r="B231" s="195"/>
      <c r="C231" s="195"/>
      <c r="D231" s="1400"/>
      <c r="E231" s="1400"/>
      <c r="H231" s="195"/>
      <c r="I231" s="195"/>
    </row>
    <row r="232">
      <c r="B232" s="195"/>
      <c r="C232" s="195"/>
      <c r="D232" s="1400"/>
      <c r="E232" s="1400"/>
      <c r="H232" s="195"/>
      <c r="I232" s="195"/>
    </row>
    <row r="233">
      <c r="B233" s="195"/>
      <c r="C233" s="195"/>
      <c r="D233" s="1400"/>
      <c r="E233" s="1400"/>
      <c r="H233" s="195"/>
      <c r="I233" s="195"/>
    </row>
    <row r="234">
      <c r="B234" s="195"/>
      <c r="C234" s="195"/>
      <c r="D234" s="1400"/>
      <c r="E234" s="1400"/>
      <c r="H234" s="195"/>
      <c r="I234" s="195"/>
    </row>
    <row r="235">
      <c r="B235" s="195"/>
      <c r="C235" s="195"/>
      <c r="D235" s="1400"/>
      <c r="E235" s="1400"/>
      <c r="H235" s="195"/>
      <c r="I235" s="195"/>
    </row>
    <row r="236">
      <c r="B236" s="195"/>
      <c r="C236" s="195"/>
      <c r="D236" s="1400"/>
      <c r="E236" s="1400"/>
      <c r="H236" s="195"/>
      <c r="I236" s="195"/>
    </row>
    <row r="237">
      <c r="B237" s="195"/>
      <c r="C237" s="195"/>
      <c r="D237" s="1400"/>
      <c r="E237" s="1400"/>
      <c r="H237" s="195"/>
      <c r="I237" s="195"/>
    </row>
    <row r="238">
      <c r="B238" s="195"/>
      <c r="C238" s="195"/>
      <c r="D238" s="1400"/>
      <c r="E238" s="1400"/>
      <c r="H238" s="195"/>
      <c r="I238" s="195"/>
    </row>
    <row r="239">
      <c r="B239" s="195"/>
      <c r="C239" s="195"/>
      <c r="D239" s="1400"/>
      <c r="E239" s="1400"/>
      <c r="H239" s="195"/>
      <c r="I239" s="195"/>
    </row>
    <row r="240">
      <c r="B240" s="195"/>
      <c r="C240" s="195"/>
      <c r="D240" s="1400"/>
      <c r="E240" s="1400"/>
      <c r="H240" s="195"/>
      <c r="I240" s="195"/>
    </row>
    <row r="241">
      <c r="B241" s="195"/>
      <c r="C241" s="195"/>
      <c r="D241" s="1400"/>
      <c r="E241" s="1400"/>
      <c r="H241" s="195"/>
      <c r="I241" s="195"/>
    </row>
    <row r="242">
      <c r="B242" s="195"/>
      <c r="C242" s="195"/>
      <c r="D242" s="1400"/>
      <c r="E242" s="1400"/>
      <c r="H242" s="195"/>
      <c r="I242" s="195"/>
    </row>
    <row r="243">
      <c r="B243" s="195"/>
      <c r="C243" s="195"/>
      <c r="D243" s="1400"/>
      <c r="E243" s="1400"/>
      <c r="H243" s="195"/>
      <c r="I243" s="195"/>
    </row>
    <row r="244">
      <c r="B244" s="195"/>
      <c r="C244" s="195"/>
      <c r="D244" s="1400"/>
      <c r="E244" s="1400"/>
      <c r="H244" s="195"/>
      <c r="I244" s="195"/>
    </row>
    <row r="245">
      <c r="B245" s="195"/>
      <c r="C245" s="195"/>
      <c r="D245" s="1400"/>
      <c r="E245" s="1400"/>
      <c r="H245" s="195"/>
      <c r="I245" s="195"/>
    </row>
    <row r="246">
      <c r="B246" s="195"/>
      <c r="C246" s="195"/>
      <c r="D246" s="1400"/>
      <c r="E246" s="1400"/>
      <c r="H246" s="195"/>
      <c r="I246" s="195"/>
    </row>
    <row r="247">
      <c r="B247" s="195"/>
      <c r="C247" s="195"/>
      <c r="D247" s="1400"/>
      <c r="E247" s="1400"/>
      <c r="H247" s="195"/>
      <c r="I247" s="195"/>
    </row>
    <row r="248">
      <c r="B248" s="195"/>
      <c r="C248" s="195"/>
      <c r="D248" s="1400"/>
      <c r="E248" s="1400"/>
      <c r="H248" s="195"/>
      <c r="I248" s="195"/>
    </row>
    <row r="249">
      <c r="B249" s="195"/>
      <c r="C249" s="195"/>
      <c r="D249" s="1400"/>
      <c r="E249" s="1400"/>
      <c r="H249" s="195"/>
      <c r="I249" s="195"/>
    </row>
    <row r="250">
      <c r="B250" s="195"/>
      <c r="C250" s="195"/>
      <c r="D250" s="1400"/>
      <c r="E250" s="1400"/>
      <c r="H250" s="195"/>
      <c r="I250" s="195"/>
    </row>
    <row r="251">
      <c r="B251" s="195"/>
      <c r="C251" s="195"/>
      <c r="D251" s="1400"/>
      <c r="E251" s="1400"/>
      <c r="H251" s="195"/>
      <c r="I251" s="195"/>
    </row>
    <row r="252">
      <c r="B252" s="195"/>
      <c r="C252" s="195"/>
      <c r="D252" s="1400"/>
      <c r="E252" s="1400"/>
      <c r="H252" s="195"/>
      <c r="I252" s="195"/>
    </row>
    <row r="253">
      <c r="B253" s="195"/>
      <c r="C253" s="195"/>
      <c r="D253" s="1400"/>
      <c r="E253" s="1400"/>
      <c r="H253" s="195"/>
      <c r="I253" s="195"/>
    </row>
    <row r="254">
      <c r="B254" s="195"/>
      <c r="C254" s="195"/>
      <c r="D254" s="1400"/>
      <c r="E254" s="1400"/>
      <c r="H254" s="195"/>
      <c r="I254" s="195"/>
    </row>
    <row r="255">
      <c r="B255" s="195"/>
      <c r="C255" s="195"/>
      <c r="D255" s="1400"/>
      <c r="E255" s="1400"/>
      <c r="H255" s="195"/>
      <c r="I255" s="195"/>
    </row>
    <row r="256">
      <c r="B256" s="195"/>
      <c r="C256" s="195"/>
      <c r="D256" s="1400"/>
      <c r="E256" s="1400"/>
      <c r="H256" s="195"/>
      <c r="I256" s="195"/>
    </row>
    <row r="257">
      <c r="B257" s="195"/>
      <c r="C257" s="195"/>
      <c r="D257" s="1400"/>
      <c r="E257" s="1400"/>
      <c r="H257" s="195"/>
      <c r="I257" s="195"/>
    </row>
    <row r="258">
      <c r="B258" s="195"/>
      <c r="C258" s="195"/>
      <c r="D258" s="1400"/>
      <c r="E258" s="1400"/>
      <c r="H258" s="195"/>
      <c r="I258" s="195"/>
    </row>
    <row r="259">
      <c r="B259" s="195"/>
      <c r="C259" s="195"/>
      <c r="D259" s="1400"/>
      <c r="E259" s="1400"/>
      <c r="H259" s="195"/>
      <c r="I259" s="195"/>
    </row>
    <row r="260">
      <c r="B260" s="195"/>
      <c r="C260" s="195"/>
      <c r="D260" s="1400"/>
      <c r="E260" s="1400"/>
      <c r="H260" s="195"/>
      <c r="I260" s="195"/>
    </row>
    <row r="261">
      <c r="B261" s="195"/>
      <c r="C261" s="195"/>
      <c r="D261" s="1400"/>
      <c r="E261" s="1400"/>
      <c r="H261" s="195"/>
      <c r="I261" s="195"/>
    </row>
    <row r="262">
      <c r="B262" s="195"/>
      <c r="C262" s="195"/>
      <c r="D262" s="1400"/>
      <c r="E262" s="1400"/>
      <c r="H262" s="195"/>
      <c r="I262" s="195"/>
    </row>
    <row r="263">
      <c r="B263" s="195"/>
      <c r="C263" s="195"/>
      <c r="D263" s="1400"/>
      <c r="E263" s="1400"/>
      <c r="H263" s="195"/>
      <c r="I263" s="195"/>
    </row>
    <row r="264">
      <c r="B264" s="195"/>
      <c r="C264" s="195"/>
      <c r="D264" s="1400"/>
      <c r="E264" s="1400"/>
      <c r="H264" s="195"/>
      <c r="I264" s="195"/>
    </row>
    <row r="265">
      <c r="B265" s="195"/>
      <c r="C265" s="195"/>
      <c r="D265" s="1400"/>
      <c r="E265" s="1400"/>
      <c r="H265" s="195"/>
      <c r="I265" s="195"/>
    </row>
    <row r="266">
      <c r="B266" s="195"/>
      <c r="C266" s="195"/>
      <c r="D266" s="1400"/>
      <c r="E266" s="1400"/>
      <c r="H266" s="195"/>
      <c r="I266" s="195"/>
    </row>
    <row r="267">
      <c r="B267" s="195"/>
      <c r="C267" s="195"/>
      <c r="D267" s="1400"/>
      <c r="E267" s="1400"/>
      <c r="H267" s="195"/>
      <c r="I267" s="195"/>
    </row>
    <row r="268">
      <c r="B268" s="195"/>
      <c r="C268" s="195"/>
      <c r="D268" s="1400"/>
      <c r="E268" s="1400"/>
      <c r="H268" s="195"/>
      <c r="I268" s="195"/>
    </row>
    <row r="269">
      <c r="B269" s="195"/>
      <c r="C269" s="195"/>
      <c r="D269" s="1400"/>
      <c r="E269" s="1400"/>
      <c r="H269" s="195"/>
      <c r="I269" s="195"/>
    </row>
    <row r="270">
      <c r="B270" s="195"/>
      <c r="C270" s="195"/>
      <c r="D270" s="1400"/>
      <c r="E270" s="1400"/>
      <c r="H270" s="195"/>
      <c r="I270" s="195"/>
    </row>
    <row r="271">
      <c r="B271" s="195"/>
      <c r="C271" s="195"/>
      <c r="D271" s="1400"/>
      <c r="E271" s="1400"/>
      <c r="H271" s="195"/>
      <c r="I271" s="195"/>
    </row>
    <row r="272">
      <c r="B272" s="195"/>
      <c r="C272" s="195"/>
      <c r="D272" s="1400"/>
      <c r="E272" s="1400"/>
      <c r="H272" s="195"/>
      <c r="I272" s="195"/>
    </row>
    <row r="273">
      <c r="B273" s="195"/>
      <c r="C273" s="195"/>
      <c r="D273" s="1400"/>
      <c r="E273" s="1400"/>
      <c r="H273" s="195"/>
      <c r="I273" s="195"/>
    </row>
    <row r="274">
      <c r="B274" s="195"/>
      <c r="C274" s="195"/>
      <c r="D274" s="1400"/>
      <c r="E274" s="1400"/>
      <c r="H274" s="195"/>
      <c r="I274" s="195"/>
    </row>
    <row r="275">
      <c r="B275" s="195"/>
      <c r="C275" s="195"/>
      <c r="D275" s="1400"/>
      <c r="E275" s="1400"/>
      <c r="H275" s="195"/>
      <c r="I275" s="195"/>
    </row>
    <row r="276">
      <c r="B276" s="195"/>
      <c r="C276" s="195"/>
      <c r="D276" s="1400"/>
      <c r="E276" s="1400"/>
      <c r="H276" s="195"/>
      <c r="I276" s="195"/>
    </row>
    <row r="277">
      <c r="B277" s="195"/>
      <c r="C277" s="195"/>
      <c r="D277" s="1400"/>
      <c r="E277" s="1400"/>
      <c r="H277" s="195"/>
      <c r="I277" s="195"/>
    </row>
    <row r="278">
      <c r="B278" s="195"/>
      <c r="C278" s="195"/>
      <c r="D278" s="1400"/>
      <c r="E278" s="1400"/>
      <c r="H278" s="195"/>
      <c r="I278" s="195"/>
    </row>
    <row r="279">
      <c r="B279" s="195"/>
      <c r="C279" s="195"/>
      <c r="D279" s="1400"/>
      <c r="E279" s="1400"/>
      <c r="H279" s="195"/>
      <c r="I279" s="195"/>
    </row>
    <row r="280">
      <c r="B280" s="195"/>
      <c r="C280" s="195"/>
      <c r="D280" s="1400"/>
      <c r="E280" s="1400"/>
      <c r="H280" s="195"/>
      <c r="I280" s="195"/>
    </row>
    <row r="281">
      <c r="B281" s="195"/>
      <c r="C281" s="195"/>
      <c r="D281" s="1400"/>
      <c r="E281" s="1400"/>
      <c r="H281" s="195"/>
      <c r="I281" s="195"/>
    </row>
    <row r="282">
      <c r="B282" s="195"/>
      <c r="C282" s="195"/>
      <c r="D282" s="1400"/>
      <c r="E282" s="1400"/>
      <c r="H282" s="195"/>
      <c r="I282" s="195"/>
    </row>
    <row r="283">
      <c r="B283" s="195"/>
      <c r="C283" s="195"/>
      <c r="D283" s="1400"/>
      <c r="E283" s="1400"/>
      <c r="H283" s="195"/>
      <c r="I283" s="195"/>
    </row>
    <row r="284">
      <c r="B284" s="195"/>
      <c r="C284" s="195"/>
      <c r="D284" s="1400"/>
      <c r="E284" s="1400"/>
      <c r="H284" s="195"/>
      <c r="I284" s="195"/>
    </row>
    <row r="285">
      <c r="B285" s="195"/>
      <c r="C285" s="195"/>
      <c r="D285" s="1400"/>
      <c r="E285" s="1400"/>
      <c r="H285" s="195"/>
      <c r="I285" s="195"/>
    </row>
    <row r="286">
      <c r="B286" s="195"/>
      <c r="C286" s="195"/>
      <c r="D286" s="1400"/>
      <c r="E286" s="1400"/>
      <c r="H286" s="195"/>
      <c r="I286" s="195"/>
    </row>
    <row r="287">
      <c r="B287" s="195"/>
      <c r="C287" s="195"/>
      <c r="D287" s="1400"/>
      <c r="E287" s="1400"/>
      <c r="H287" s="195"/>
      <c r="I287" s="195"/>
    </row>
    <row r="288">
      <c r="B288" s="195"/>
      <c r="C288" s="195"/>
      <c r="D288" s="1400"/>
      <c r="E288" s="1400"/>
      <c r="H288" s="195"/>
      <c r="I288" s="195"/>
    </row>
    <row r="289">
      <c r="B289" s="195"/>
      <c r="C289" s="195"/>
      <c r="D289" s="1400"/>
      <c r="E289" s="1400"/>
      <c r="H289" s="195"/>
      <c r="I289" s="195"/>
    </row>
    <row r="290">
      <c r="B290" s="195"/>
      <c r="C290" s="195"/>
      <c r="D290" s="1400"/>
      <c r="E290" s="1400"/>
      <c r="H290" s="195"/>
      <c r="I290" s="195"/>
    </row>
    <row r="291">
      <c r="B291" s="195"/>
      <c r="C291" s="195"/>
      <c r="D291" s="1400"/>
      <c r="E291" s="1400"/>
      <c r="H291" s="195"/>
      <c r="I291" s="195"/>
    </row>
    <row r="292">
      <c r="B292" s="195"/>
      <c r="C292" s="195"/>
      <c r="D292" s="1400"/>
      <c r="E292" s="1400"/>
      <c r="H292" s="195"/>
      <c r="I292" s="195"/>
    </row>
    <row r="293">
      <c r="B293" s="195"/>
      <c r="C293" s="195"/>
      <c r="D293" s="1400"/>
      <c r="E293" s="1400"/>
      <c r="H293" s="195"/>
      <c r="I293" s="195"/>
    </row>
    <row r="294">
      <c r="B294" s="195"/>
      <c r="C294" s="195"/>
      <c r="D294" s="1400"/>
      <c r="E294" s="1400"/>
      <c r="H294" s="195"/>
      <c r="I294" s="195"/>
    </row>
    <row r="295">
      <c r="B295" s="195"/>
      <c r="C295" s="195"/>
      <c r="D295" s="1400"/>
      <c r="E295" s="1400"/>
      <c r="H295" s="195"/>
      <c r="I295" s="195"/>
    </row>
    <row r="296">
      <c r="B296" s="195"/>
      <c r="C296" s="195"/>
      <c r="D296" s="1400"/>
      <c r="E296" s="1400"/>
      <c r="H296" s="195"/>
      <c r="I296" s="195"/>
    </row>
    <row r="297">
      <c r="B297" s="195"/>
      <c r="C297" s="195"/>
      <c r="D297" s="1400"/>
      <c r="E297" s="1400"/>
      <c r="H297" s="195"/>
      <c r="I297" s="195"/>
    </row>
    <row r="298">
      <c r="B298" s="195"/>
      <c r="C298" s="195"/>
      <c r="D298" s="1400"/>
      <c r="E298" s="1400"/>
      <c r="H298" s="195"/>
      <c r="I298" s="195"/>
    </row>
    <row r="299">
      <c r="B299" s="195"/>
      <c r="C299" s="195"/>
      <c r="D299" s="1400"/>
      <c r="E299" s="1400"/>
      <c r="H299" s="195"/>
      <c r="I299" s="195"/>
    </row>
    <row r="300">
      <c r="B300" s="195"/>
      <c r="C300" s="195"/>
      <c r="D300" s="1400"/>
      <c r="E300" s="1400"/>
      <c r="H300" s="195"/>
      <c r="I300" s="195"/>
    </row>
    <row r="301">
      <c r="B301" s="195"/>
      <c r="C301" s="195"/>
      <c r="D301" s="1400"/>
      <c r="E301" s="1400"/>
      <c r="H301" s="195"/>
      <c r="I301" s="195"/>
    </row>
    <row r="302">
      <c r="B302" s="195"/>
      <c r="C302" s="195"/>
      <c r="D302" s="1400"/>
      <c r="E302" s="1400"/>
      <c r="H302" s="195"/>
      <c r="I302" s="195"/>
    </row>
    <row r="303">
      <c r="B303" s="195"/>
      <c r="C303" s="195"/>
      <c r="D303" s="1400"/>
      <c r="E303" s="1400"/>
      <c r="H303" s="195"/>
      <c r="I303" s="195"/>
    </row>
    <row r="304">
      <c r="B304" s="195"/>
      <c r="C304" s="195"/>
      <c r="D304" s="1400"/>
      <c r="E304" s="1400"/>
      <c r="H304" s="195"/>
      <c r="I304" s="195"/>
    </row>
    <row r="305">
      <c r="B305" s="195"/>
      <c r="C305" s="195"/>
      <c r="D305" s="1400"/>
      <c r="E305" s="1400"/>
      <c r="H305" s="195"/>
      <c r="I305" s="195"/>
    </row>
    <row r="306">
      <c r="B306" s="195"/>
      <c r="C306" s="195"/>
      <c r="D306" s="1400"/>
      <c r="E306" s="1400"/>
      <c r="H306" s="195"/>
      <c r="I306" s="195"/>
    </row>
    <row r="307">
      <c r="B307" s="195"/>
      <c r="C307" s="195"/>
      <c r="D307" s="1400"/>
      <c r="E307" s="1400"/>
      <c r="H307" s="195"/>
      <c r="I307" s="195"/>
    </row>
    <row r="308">
      <c r="B308" s="195"/>
      <c r="C308" s="195"/>
      <c r="D308" s="1400"/>
      <c r="E308" s="1400"/>
      <c r="H308" s="195"/>
      <c r="I308" s="195"/>
    </row>
    <row r="309">
      <c r="B309" s="195"/>
      <c r="C309" s="195"/>
      <c r="D309" s="1400"/>
      <c r="E309" s="1400"/>
      <c r="H309" s="195"/>
      <c r="I309" s="195"/>
    </row>
    <row r="310">
      <c r="B310" s="195"/>
      <c r="C310" s="195"/>
      <c r="D310" s="1400"/>
      <c r="E310" s="1400"/>
      <c r="H310" s="195"/>
      <c r="I310" s="195"/>
    </row>
    <row r="311">
      <c r="B311" s="195"/>
      <c r="C311" s="195"/>
      <c r="D311" s="1400"/>
      <c r="E311" s="1400"/>
      <c r="H311" s="195"/>
      <c r="I311" s="195"/>
    </row>
    <row r="312">
      <c r="B312" s="195"/>
      <c r="C312" s="195"/>
      <c r="D312" s="1400"/>
      <c r="E312" s="1400"/>
      <c r="H312" s="195"/>
      <c r="I312" s="195"/>
    </row>
    <row r="313">
      <c r="B313" s="195"/>
      <c r="C313" s="195"/>
      <c r="D313" s="1400"/>
      <c r="E313" s="1400"/>
      <c r="H313" s="195"/>
      <c r="I313" s="195"/>
    </row>
    <row r="314">
      <c r="B314" s="195"/>
      <c r="C314" s="195"/>
      <c r="D314" s="1400"/>
      <c r="E314" s="1400"/>
      <c r="H314" s="195"/>
      <c r="I314" s="195"/>
    </row>
    <row r="315">
      <c r="B315" s="195"/>
      <c r="C315" s="195"/>
      <c r="D315" s="1400"/>
      <c r="E315" s="1400"/>
      <c r="H315" s="195"/>
      <c r="I315" s="195"/>
    </row>
    <row r="316">
      <c r="B316" s="195"/>
      <c r="C316" s="195"/>
      <c r="D316" s="1400"/>
      <c r="E316" s="1400"/>
      <c r="H316" s="195"/>
      <c r="I316" s="195"/>
    </row>
    <row r="317">
      <c r="B317" s="195"/>
      <c r="C317" s="195"/>
      <c r="D317" s="1400"/>
      <c r="E317" s="1400"/>
      <c r="H317" s="195"/>
      <c r="I317" s="195"/>
    </row>
    <row r="318">
      <c r="B318" s="195"/>
      <c r="C318" s="195"/>
      <c r="D318" s="1400"/>
      <c r="E318" s="1400"/>
      <c r="H318" s="195"/>
      <c r="I318" s="195"/>
    </row>
    <row r="319">
      <c r="B319" s="195"/>
      <c r="C319" s="195"/>
      <c r="D319" s="1400"/>
      <c r="E319" s="1400"/>
      <c r="H319" s="195"/>
      <c r="I319" s="195"/>
    </row>
    <row r="320">
      <c r="B320" s="195"/>
      <c r="C320" s="195"/>
      <c r="D320" s="1400"/>
      <c r="E320" s="1400"/>
      <c r="H320" s="195"/>
      <c r="I320" s="195"/>
    </row>
    <row r="321">
      <c r="B321" s="195"/>
      <c r="C321" s="195"/>
      <c r="D321" s="1400"/>
      <c r="E321" s="1400"/>
      <c r="H321" s="195"/>
      <c r="I321" s="195"/>
    </row>
    <row r="322">
      <c r="B322" s="195"/>
      <c r="C322" s="195"/>
      <c r="D322" s="1400"/>
      <c r="E322" s="1400"/>
      <c r="H322" s="195"/>
      <c r="I322" s="195"/>
    </row>
    <row r="323">
      <c r="B323" s="195"/>
      <c r="C323" s="195"/>
      <c r="D323" s="1400"/>
      <c r="E323" s="1400"/>
      <c r="H323" s="195"/>
      <c r="I323" s="195"/>
    </row>
    <row r="324">
      <c r="B324" s="195"/>
      <c r="C324" s="195"/>
      <c r="D324" s="1400"/>
      <c r="E324" s="1400"/>
      <c r="H324" s="195"/>
      <c r="I324" s="195"/>
    </row>
    <row r="325">
      <c r="B325" s="195"/>
      <c r="C325" s="195"/>
      <c r="D325" s="1400"/>
      <c r="E325" s="1400"/>
      <c r="H325" s="195"/>
      <c r="I325" s="195"/>
    </row>
    <row r="326">
      <c r="B326" s="195"/>
      <c r="C326" s="195"/>
      <c r="D326" s="1400"/>
      <c r="E326" s="1400"/>
      <c r="H326" s="195"/>
      <c r="I326" s="195"/>
    </row>
    <row r="327">
      <c r="B327" s="195"/>
      <c r="C327" s="195"/>
      <c r="D327" s="1400"/>
      <c r="E327" s="1400"/>
      <c r="H327" s="195"/>
      <c r="I327" s="195"/>
    </row>
    <row r="328">
      <c r="B328" s="195"/>
      <c r="C328" s="195"/>
      <c r="D328" s="1400"/>
      <c r="E328" s="1400"/>
      <c r="H328" s="195"/>
      <c r="I328" s="195"/>
    </row>
    <row r="329">
      <c r="B329" s="195"/>
      <c r="C329" s="195"/>
      <c r="D329" s="1400"/>
      <c r="E329" s="1400"/>
      <c r="H329" s="195"/>
      <c r="I329" s="195"/>
    </row>
    <row r="330">
      <c r="B330" s="195"/>
      <c r="C330" s="195"/>
      <c r="D330" s="1400"/>
      <c r="E330" s="1400"/>
      <c r="H330" s="195"/>
      <c r="I330" s="195"/>
    </row>
    <row r="331">
      <c r="B331" s="195"/>
      <c r="C331" s="195"/>
      <c r="D331" s="1400"/>
      <c r="E331" s="1400"/>
      <c r="H331" s="195"/>
      <c r="I331" s="195"/>
    </row>
    <row r="332">
      <c r="B332" s="195"/>
      <c r="C332" s="195"/>
      <c r="D332" s="1400"/>
      <c r="E332" s="1400"/>
      <c r="H332" s="195"/>
      <c r="I332" s="195"/>
    </row>
    <row r="333">
      <c r="B333" s="195"/>
      <c r="C333" s="195"/>
      <c r="D333" s="1400"/>
      <c r="E333" s="1400"/>
      <c r="H333" s="195"/>
      <c r="I333" s="195"/>
    </row>
    <row r="334">
      <c r="B334" s="195"/>
      <c r="C334" s="195"/>
      <c r="D334" s="1400"/>
      <c r="E334" s="1400"/>
      <c r="H334" s="195"/>
      <c r="I334" s="195"/>
    </row>
    <row r="335">
      <c r="B335" s="195"/>
      <c r="C335" s="195"/>
      <c r="D335" s="1400"/>
      <c r="E335" s="1400"/>
      <c r="H335" s="195"/>
      <c r="I335" s="195"/>
    </row>
    <row r="336">
      <c r="B336" s="195"/>
      <c r="C336" s="195"/>
      <c r="D336" s="1400"/>
      <c r="E336" s="1400"/>
      <c r="H336" s="195"/>
      <c r="I336" s="195"/>
    </row>
    <row r="337">
      <c r="B337" s="195"/>
      <c r="C337" s="195"/>
      <c r="D337" s="1400"/>
      <c r="E337" s="1400"/>
      <c r="H337" s="195"/>
      <c r="I337" s="195"/>
    </row>
    <row r="338">
      <c r="B338" s="195"/>
      <c r="C338" s="195"/>
      <c r="D338" s="1400"/>
      <c r="E338" s="1400"/>
      <c r="H338" s="195"/>
      <c r="I338" s="195"/>
    </row>
    <row r="339">
      <c r="B339" s="195"/>
      <c r="C339" s="195"/>
      <c r="D339" s="1400"/>
      <c r="E339" s="1400"/>
      <c r="H339" s="195"/>
      <c r="I339" s="195"/>
    </row>
    <row r="340">
      <c r="B340" s="195"/>
      <c r="C340" s="195"/>
      <c r="D340" s="1400"/>
      <c r="E340" s="1400"/>
      <c r="H340" s="195"/>
      <c r="I340" s="195"/>
    </row>
    <row r="341">
      <c r="B341" s="195"/>
      <c r="C341" s="195"/>
      <c r="D341" s="1400"/>
      <c r="E341" s="1400"/>
      <c r="H341" s="195"/>
      <c r="I341" s="195"/>
    </row>
    <row r="342">
      <c r="B342" s="195"/>
      <c r="C342" s="195"/>
      <c r="D342" s="1400"/>
      <c r="E342" s="1400"/>
      <c r="H342" s="195"/>
      <c r="I342" s="195"/>
    </row>
    <row r="343">
      <c r="B343" s="195"/>
      <c r="C343" s="195"/>
      <c r="D343" s="1400"/>
      <c r="E343" s="1400"/>
      <c r="H343" s="195"/>
      <c r="I343" s="195"/>
    </row>
    <row r="344">
      <c r="B344" s="195"/>
      <c r="C344" s="195"/>
      <c r="D344" s="1400"/>
      <c r="E344" s="1400"/>
      <c r="H344" s="195"/>
      <c r="I344" s="195"/>
    </row>
    <row r="345">
      <c r="B345" s="195"/>
      <c r="C345" s="195"/>
      <c r="D345" s="1400"/>
      <c r="E345" s="1400"/>
      <c r="H345" s="195"/>
      <c r="I345" s="195"/>
    </row>
    <row r="346">
      <c r="B346" s="195"/>
      <c r="C346" s="195"/>
      <c r="D346" s="1400"/>
      <c r="E346" s="1400"/>
      <c r="H346" s="195"/>
      <c r="I346" s="195"/>
    </row>
    <row r="347">
      <c r="B347" s="195"/>
      <c r="C347" s="195"/>
      <c r="D347" s="1400"/>
      <c r="E347" s="1400"/>
      <c r="H347" s="195"/>
      <c r="I347" s="195"/>
    </row>
    <row r="348">
      <c r="B348" s="195"/>
      <c r="C348" s="195"/>
      <c r="D348" s="1400"/>
      <c r="E348" s="1400"/>
      <c r="H348" s="195"/>
      <c r="I348" s="195"/>
    </row>
    <row r="349">
      <c r="B349" s="195"/>
      <c r="C349" s="195"/>
      <c r="D349" s="1400"/>
      <c r="E349" s="1400"/>
      <c r="H349" s="195"/>
      <c r="I349" s="195"/>
    </row>
    <row r="350">
      <c r="B350" s="195"/>
      <c r="C350" s="195"/>
      <c r="D350" s="1400"/>
      <c r="E350" s="1400"/>
      <c r="H350" s="195"/>
      <c r="I350" s="195"/>
    </row>
    <row r="351">
      <c r="B351" s="195"/>
      <c r="C351" s="195"/>
      <c r="D351" s="1400"/>
      <c r="E351" s="1400"/>
      <c r="H351" s="195"/>
      <c r="I351" s="195"/>
    </row>
    <row r="352">
      <c r="B352" s="195"/>
      <c r="C352" s="195"/>
      <c r="D352" s="1400"/>
      <c r="E352" s="1400"/>
      <c r="H352" s="195"/>
      <c r="I352" s="195"/>
    </row>
    <row r="353">
      <c r="B353" s="195"/>
      <c r="C353" s="195"/>
      <c r="D353" s="1400"/>
      <c r="E353" s="1400"/>
      <c r="H353" s="195"/>
      <c r="I353" s="195"/>
    </row>
    <row r="354">
      <c r="B354" s="195"/>
      <c r="C354" s="195"/>
      <c r="D354" s="1400"/>
      <c r="E354" s="1400"/>
      <c r="H354" s="195"/>
      <c r="I354" s="195"/>
    </row>
    <row r="355">
      <c r="B355" s="195"/>
      <c r="C355" s="195"/>
      <c r="D355" s="1400"/>
      <c r="E355" s="1400"/>
      <c r="H355" s="195"/>
      <c r="I355" s="195"/>
    </row>
    <row r="356">
      <c r="B356" s="195"/>
      <c r="C356" s="195"/>
      <c r="D356" s="1400"/>
      <c r="E356" s="1400"/>
      <c r="H356" s="195"/>
      <c r="I356" s="195"/>
    </row>
    <row r="357">
      <c r="B357" s="195"/>
      <c r="C357" s="195"/>
      <c r="D357" s="1400"/>
      <c r="E357" s="1400"/>
      <c r="H357" s="195"/>
      <c r="I357" s="195"/>
    </row>
    <row r="358">
      <c r="B358" s="195"/>
      <c r="C358" s="195"/>
      <c r="D358" s="1400"/>
      <c r="E358" s="1400"/>
      <c r="H358" s="195"/>
      <c r="I358" s="195"/>
    </row>
    <row r="359">
      <c r="B359" s="195"/>
      <c r="C359" s="195"/>
      <c r="D359" s="1400"/>
      <c r="E359" s="1400"/>
      <c r="H359" s="195"/>
      <c r="I359" s="195"/>
    </row>
    <row r="360">
      <c r="B360" s="195"/>
      <c r="C360" s="195"/>
      <c r="D360" s="1400"/>
      <c r="E360" s="1400"/>
      <c r="H360" s="195"/>
      <c r="I360" s="195"/>
    </row>
    <row r="361">
      <c r="B361" s="195"/>
      <c r="C361" s="195"/>
      <c r="D361" s="1400"/>
      <c r="E361" s="1400"/>
      <c r="H361" s="195"/>
      <c r="I361" s="195"/>
    </row>
    <row r="362">
      <c r="B362" s="195"/>
      <c r="C362" s="195"/>
      <c r="D362" s="1400"/>
      <c r="E362" s="1400"/>
      <c r="H362" s="195"/>
      <c r="I362" s="195"/>
    </row>
    <row r="363">
      <c r="B363" s="195"/>
      <c r="C363" s="195"/>
      <c r="D363" s="1400"/>
      <c r="E363" s="1400"/>
      <c r="H363" s="195"/>
      <c r="I363" s="195"/>
    </row>
    <row r="364">
      <c r="B364" s="195"/>
      <c r="C364" s="195"/>
      <c r="D364" s="1400"/>
      <c r="E364" s="1400"/>
      <c r="H364" s="195"/>
      <c r="I364" s="195"/>
    </row>
    <row r="365">
      <c r="B365" s="195"/>
      <c r="C365" s="195"/>
      <c r="D365" s="1400"/>
      <c r="E365" s="1400"/>
      <c r="H365" s="195"/>
      <c r="I365" s="195"/>
    </row>
    <row r="366">
      <c r="B366" s="195"/>
      <c r="C366" s="195"/>
      <c r="D366" s="1400"/>
      <c r="E366" s="1400"/>
      <c r="H366" s="195"/>
      <c r="I366" s="195"/>
    </row>
    <row r="367">
      <c r="B367" s="195"/>
      <c r="C367" s="195"/>
      <c r="D367" s="1400"/>
      <c r="E367" s="1400"/>
      <c r="H367" s="195"/>
      <c r="I367" s="195"/>
    </row>
    <row r="368">
      <c r="B368" s="195"/>
      <c r="C368" s="195"/>
      <c r="D368" s="1400"/>
      <c r="E368" s="1400"/>
      <c r="H368" s="195"/>
      <c r="I368" s="195"/>
    </row>
    <row r="369">
      <c r="B369" s="195"/>
      <c r="C369" s="195"/>
      <c r="D369" s="1400"/>
      <c r="E369" s="1400"/>
      <c r="H369" s="195"/>
      <c r="I369" s="195"/>
    </row>
    <row r="370">
      <c r="B370" s="195"/>
      <c r="C370" s="195"/>
      <c r="D370" s="1400"/>
      <c r="E370" s="1400"/>
      <c r="H370" s="195"/>
      <c r="I370" s="195"/>
    </row>
    <row r="371">
      <c r="B371" s="195"/>
      <c r="C371" s="195"/>
      <c r="D371" s="1400"/>
      <c r="E371" s="1400"/>
      <c r="H371" s="195"/>
      <c r="I371" s="195"/>
    </row>
    <row r="372">
      <c r="B372" s="195"/>
      <c r="C372" s="195"/>
      <c r="D372" s="1400"/>
      <c r="E372" s="1400"/>
      <c r="H372" s="195"/>
      <c r="I372" s="195"/>
    </row>
    <row r="373">
      <c r="B373" s="195"/>
      <c r="C373" s="195"/>
      <c r="D373" s="1400"/>
      <c r="E373" s="1400"/>
      <c r="H373" s="195"/>
      <c r="I373" s="195"/>
    </row>
    <row r="374">
      <c r="B374" s="195"/>
      <c r="C374" s="195"/>
      <c r="D374" s="1400"/>
      <c r="E374" s="1400"/>
      <c r="H374" s="195"/>
      <c r="I374" s="195"/>
    </row>
    <row r="375">
      <c r="B375" s="195"/>
      <c r="C375" s="195"/>
      <c r="D375" s="1400"/>
      <c r="E375" s="1400"/>
      <c r="H375" s="195"/>
      <c r="I375" s="195"/>
    </row>
    <row r="376">
      <c r="B376" s="195"/>
      <c r="C376" s="195"/>
      <c r="D376" s="1400"/>
      <c r="E376" s="1400"/>
      <c r="H376" s="195"/>
      <c r="I376" s="195"/>
    </row>
    <row r="377">
      <c r="B377" s="195"/>
      <c r="C377" s="195"/>
      <c r="D377" s="1400"/>
      <c r="E377" s="1400"/>
      <c r="H377" s="195"/>
      <c r="I377" s="195"/>
    </row>
    <row r="378">
      <c r="B378" s="195"/>
      <c r="C378" s="195"/>
      <c r="D378" s="1400"/>
      <c r="E378" s="1400"/>
      <c r="H378" s="195"/>
      <c r="I378" s="195"/>
    </row>
    <row r="379">
      <c r="B379" s="195"/>
      <c r="C379" s="195"/>
      <c r="D379" s="1400"/>
      <c r="E379" s="1400"/>
      <c r="H379" s="195"/>
      <c r="I379" s="195"/>
    </row>
    <row r="380">
      <c r="B380" s="195"/>
      <c r="C380" s="195"/>
      <c r="D380" s="1400"/>
      <c r="E380" s="1400"/>
      <c r="H380" s="195"/>
      <c r="I380" s="195"/>
    </row>
    <row r="381">
      <c r="B381" s="195"/>
      <c r="C381" s="195"/>
      <c r="D381" s="1400"/>
      <c r="E381" s="1400"/>
      <c r="H381" s="195"/>
      <c r="I381" s="195"/>
    </row>
    <row r="382">
      <c r="B382" s="195"/>
      <c r="C382" s="195"/>
      <c r="D382" s="1400"/>
      <c r="E382" s="1400"/>
      <c r="H382" s="195"/>
      <c r="I382" s="195"/>
    </row>
    <row r="383">
      <c r="B383" s="195"/>
      <c r="C383" s="195"/>
      <c r="D383" s="1400"/>
      <c r="E383" s="1400"/>
      <c r="H383" s="195"/>
      <c r="I383" s="195"/>
    </row>
    <row r="384">
      <c r="B384" s="195"/>
      <c r="C384" s="195"/>
      <c r="D384" s="1400"/>
      <c r="E384" s="1400"/>
      <c r="H384" s="195"/>
      <c r="I384" s="195"/>
    </row>
    <row r="385">
      <c r="B385" s="195"/>
      <c r="C385" s="195"/>
      <c r="D385" s="1400"/>
      <c r="E385" s="1400"/>
      <c r="H385" s="195"/>
      <c r="I385" s="195"/>
    </row>
    <row r="386">
      <c r="B386" s="195"/>
      <c r="C386" s="195"/>
      <c r="D386" s="1400"/>
      <c r="E386" s="1400"/>
      <c r="H386" s="195"/>
      <c r="I386" s="195"/>
    </row>
    <row r="387">
      <c r="B387" s="195"/>
      <c r="C387" s="195"/>
      <c r="D387" s="1400"/>
      <c r="E387" s="1400"/>
      <c r="H387" s="195"/>
      <c r="I387" s="195"/>
    </row>
    <row r="388">
      <c r="B388" s="195"/>
      <c r="C388" s="195"/>
      <c r="D388" s="1400"/>
      <c r="E388" s="1400"/>
      <c r="H388" s="195"/>
      <c r="I388" s="195"/>
    </row>
    <row r="389">
      <c r="B389" s="195"/>
      <c r="C389" s="195"/>
      <c r="D389" s="1400"/>
      <c r="E389" s="1400"/>
      <c r="H389" s="195"/>
      <c r="I389" s="195"/>
    </row>
    <row r="390">
      <c r="B390" s="195"/>
      <c r="C390" s="195"/>
      <c r="D390" s="1400"/>
      <c r="E390" s="1400"/>
      <c r="H390" s="195"/>
      <c r="I390" s="195"/>
    </row>
    <row r="391">
      <c r="B391" s="195"/>
      <c r="C391" s="195"/>
      <c r="D391" s="1400"/>
      <c r="E391" s="1400"/>
      <c r="H391" s="195"/>
      <c r="I391" s="195"/>
    </row>
    <row r="392">
      <c r="B392" s="195"/>
      <c r="C392" s="195"/>
      <c r="D392" s="1400"/>
      <c r="E392" s="1400"/>
      <c r="H392" s="195"/>
      <c r="I392" s="195"/>
    </row>
    <row r="393">
      <c r="B393" s="195"/>
      <c r="C393" s="195"/>
      <c r="D393" s="1400"/>
      <c r="E393" s="1400"/>
      <c r="H393" s="195"/>
      <c r="I393" s="195"/>
    </row>
    <row r="394">
      <c r="B394" s="195"/>
      <c r="C394" s="195"/>
      <c r="D394" s="1400"/>
      <c r="E394" s="1400"/>
      <c r="H394" s="195"/>
      <c r="I394" s="195"/>
    </row>
    <row r="395">
      <c r="B395" s="195"/>
      <c r="C395" s="195"/>
      <c r="D395" s="1400"/>
      <c r="E395" s="1400"/>
      <c r="H395" s="195"/>
      <c r="I395" s="195"/>
    </row>
    <row r="396">
      <c r="B396" s="195"/>
      <c r="C396" s="195"/>
      <c r="D396" s="1400"/>
      <c r="E396" s="1400"/>
      <c r="H396" s="195"/>
      <c r="I396" s="195"/>
    </row>
    <row r="397">
      <c r="B397" s="195"/>
      <c r="C397" s="195"/>
      <c r="D397" s="1400"/>
      <c r="E397" s="1400"/>
      <c r="H397" s="195"/>
      <c r="I397" s="195"/>
    </row>
    <row r="398">
      <c r="B398" s="195"/>
      <c r="C398" s="195"/>
      <c r="D398" s="1400"/>
      <c r="E398" s="1400"/>
      <c r="H398" s="195"/>
      <c r="I398" s="195"/>
    </row>
    <row r="399">
      <c r="B399" s="195"/>
      <c r="C399" s="195"/>
      <c r="D399" s="1400"/>
      <c r="E399" s="1400"/>
      <c r="H399" s="195"/>
      <c r="I399" s="195"/>
    </row>
    <row r="400">
      <c r="B400" s="195"/>
      <c r="C400" s="195"/>
      <c r="D400" s="1400"/>
      <c r="E400" s="1400"/>
      <c r="H400" s="195"/>
      <c r="I400" s="195"/>
    </row>
    <row r="401">
      <c r="B401" s="195"/>
      <c r="C401" s="195"/>
      <c r="D401" s="1400"/>
      <c r="E401" s="1400"/>
      <c r="H401" s="195"/>
      <c r="I401" s="195"/>
    </row>
    <row r="402">
      <c r="B402" s="195"/>
      <c r="C402" s="195"/>
      <c r="D402" s="1400"/>
      <c r="E402" s="1400"/>
      <c r="H402" s="195"/>
      <c r="I402" s="195"/>
    </row>
    <row r="403">
      <c r="B403" s="195"/>
      <c r="C403" s="195"/>
      <c r="D403" s="1400"/>
      <c r="E403" s="1400"/>
      <c r="H403" s="195"/>
      <c r="I403" s="195"/>
    </row>
    <row r="404">
      <c r="B404" s="195"/>
      <c r="C404" s="195"/>
      <c r="D404" s="1400"/>
      <c r="E404" s="1400"/>
      <c r="H404" s="195"/>
      <c r="I404" s="195"/>
    </row>
    <row r="405">
      <c r="B405" s="195"/>
      <c r="C405" s="195"/>
      <c r="D405" s="1400"/>
      <c r="E405" s="1400"/>
      <c r="H405" s="195"/>
      <c r="I405" s="195"/>
    </row>
    <row r="406">
      <c r="B406" s="195"/>
      <c r="C406" s="195"/>
      <c r="D406" s="1400"/>
      <c r="E406" s="1400"/>
      <c r="H406" s="195"/>
      <c r="I406" s="195"/>
    </row>
    <row r="407">
      <c r="B407" s="195"/>
      <c r="C407" s="195"/>
      <c r="D407" s="1400"/>
      <c r="E407" s="1400"/>
      <c r="H407" s="195"/>
      <c r="I407" s="195"/>
    </row>
    <row r="408">
      <c r="B408" s="195"/>
      <c r="C408" s="195"/>
      <c r="D408" s="1400"/>
      <c r="E408" s="1400"/>
      <c r="H408" s="195"/>
      <c r="I408" s="195"/>
    </row>
    <row r="409">
      <c r="B409" s="195"/>
      <c r="C409" s="195"/>
      <c r="D409" s="1400"/>
      <c r="E409" s="1400"/>
      <c r="H409" s="195"/>
      <c r="I409" s="195"/>
    </row>
    <row r="410">
      <c r="B410" s="195"/>
      <c r="C410" s="195"/>
      <c r="D410" s="1400"/>
      <c r="E410" s="1400"/>
      <c r="H410" s="195"/>
      <c r="I410" s="195"/>
    </row>
    <row r="411">
      <c r="B411" s="195"/>
      <c r="C411" s="195"/>
      <c r="D411" s="1400"/>
      <c r="E411" s="1400"/>
      <c r="H411" s="195"/>
      <c r="I411" s="195"/>
    </row>
    <row r="412">
      <c r="B412" s="195"/>
      <c r="C412" s="195"/>
      <c r="D412" s="1400"/>
      <c r="E412" s="1400"/>
      <c r="H412" s="195"/>
      <c r="I412" s="195"/>
    </row>
    <row r="413">
      <c r="B413" s="195"/>
      <c r="C413" s="195"/>
      <c r="D413" s="1400"/>
      <c r="E413" s="1400"/>
      <c r="H413" s="195"/>
      <c r="I413" s="195"/>
    </row>
    <row r="414">
      <c r="B414" s="195"/>
      <c r="C414" s="195"/>
      <c r="D414" s="1400"/>
      <c r="E414" s="1400"/>
      <c r="H414" s="195"/>
      <c r="I414" s="195"/>
    </row>
    <row r="415">
      <c r="B415" s="195"/>
      <c r="C415" s="195"/>
      <c r="D415" s="1400"/>
      <c r="E415" s="1400"/>
      <c r="H415" s="195"/>
      <c r="I415" s="195"/>
    </row>
    <row r="416">
      <c r="B416" s="195"/>
      <c r="C416" s="195"/>
      <c r="D416" s="1400"/>
      <c r="E416" s="1400"/>
      <c r="H416" s="195"/>
      <c r="I416" s="195"/>
    </row>
    <row r="417">
      <c r="B417" s="195"/>
      <c r="C417" s="195"/>
      <c r="D417" s="1400"/>
      <c r="E417" s="1400"/>
      <c r="H417" s="195"/>
      <c r="I417" s="195"/>
    </row>
    <row r="418">
      <c r="B418" s="195"/>
      <c r="C418" s="195"/>
      <c r="D418" s="1400"/>
      <c r="E418" s="1400"/>
      <c r="H418" s="195"/>
      <c r="I418" s="195"/>
    </row>
    <row r="419">
      <c r="B419" s="195"/>
      <c r="C419" s="195"/>
      <c r="D419" s="1400"/>
      <c r="E419" s="1400"/>
      <c r="H419" s="195"/>
      <c r="I419" s="195"/>
    </row>
    <row r="420">
      <c r="B420" s="195"/>
      <c r="C420" s="195"/>
      <c r="D420" s="1400"/>
      <c r="E420" s="1400"/>
      <c r="H420" s="195"/>
      <c r="I420" s="195"/>
    </row>
    <row r="421">
      <c r="B421" s="195"/>
      <c r="C421" s="195"/>
      <c r="D421" s="1400"/>
      <c r="E421" s="1400"/>
      <c r="H421" s="195"/>
      <c r="I421" s="195"/>
    </row>
    <row r="422">
      <c r="B422" s="195"/>
      <c r="C422" s="195"/>
      <c r="D422" s="1400"/>
      <c r="E422" s="1400"/>
      <c r="H422" s="195"/>
      <c r="I422" s="195"/>
    </row>
    <row r="423">
      <c r="B423" s="195"/>
      <c r="C423" s="195"/>
      <c r="D423" s="1400"/>
      <c r="E423" s="1400"/>
      <c r="H423" s="195"/>
      <c r="I423" s="195"/>
    </row>
    <row r="424">
      <c r="B424" s="195"/>
      <c r="C424" s="195"/>
      <c r="D424" s="1400"/>
      <c r="E424" s="1400"/>
      <c r="H424" s="195"/>
      <c r="I424" s="195"/>
    </row>
    <row r="425">
      <c r="B425" s="195"/>
      <c r="C425" s="195"/>
      <c r="D425" s="1400"/>
      <c r="E425" s="1400"/>
      <c r="H425" s="195"/>
      <c r="I425" s="195"/>
    </row>
    <row r="426">
      <c r="B426" s="195"/>
      <c r="C426" s="195"/>
      <c r="D426" s="1400"/>
      <c r="E426" s="1400"/>
      <c r="H426" s="195"/>
      <c r="I426" s="195"/>
    </row>
    <row r="427">
      <c r="B427" s="195"/>
      <c r="C427" s="195"/>
      <c r="D427" s="1400"/>
      <c r="E427" s="1400"/>
      <c r="H427" s="195"/>
      <c r="I427" s="195"/>
    </row>
    <row r="428">
      <c r="B428" s="195"/>
      <c r="C428" s="195"/>
      <c r="D428" s="1400"/>
      <c r="E428" s="1400"/>
      <c r="H428" s="195"/>
      <c r="I428" s="195"/>
    </row>
    <row r="429">
      <c r="B429" s="195"/>
      <c r="C429" s="195"/>
      <c r="D429" s="1400"/>
      <c r="E429" s="1400"/>
      <c r="H429" s="195"/>
      <c r="I429" s="195"/>
    </row>
    <row r="430">
      <c r="B430" s="195"/>
      <c r="C430" s="195"/>
      <c r="D430" s="1400"/>
      <c r="E430" s="1400"/>
      <c r="H430" s="195"/>
      <c r="I430" s="195"/>
    </row>
    <row r="431">
      <c r="B431" s="195"/>
      <c r="C431" s="195"/>
      <c r="D431" s="1400"/>
      <c r="E431" s="1400"/>
      <c r="H431" s="195"/>
      <c r="I431" s="195"/>
    </row>
    <row r="432">
      <c r="B432" s="195"/>
      <c r="C432" s="195"/>
      <c r="D432" s="1400"/>
      <c r="E432" s="1400"/>
      <c r="H432" s="195"/>
      <c r="I432" s="195"/>
    </row>
    <row r="433">
      <c r="B433" s="195"/>
      <c r="C433" s="195"/>
      <c r="D433" s="1400"/>
      <c r="E433" s="1400"/>
      <c r="H433" s="195"/>
      <c r="I433" s="195"/>
    </row>
    <row r="434">
      <c r="B434" s="195"/>
      <c r="C434" s="195"/>
      <c r="D434" s="1400"/>
      <c r="E434" s="1400"/>
      <c r="H434" s="195"/>
      <c r="I434" s="195"/>
    </row>
    <row r="435">
      <c r="B435" s="195"/>
      <c r="C435" s="195"/>
      <c r="D435" s="1400"/>
      <c r="E435" s="1400"/>
      <c r="H435" s="195"/>
      <c r="I435" s="195"/>
    </row>
    <row r="436">
      <c r="B436" s="195"/>
      <c r="C436" s="195"/>
      <c r="D436" s="1400"/>
      <c r="E436" s="1400"/>
      <c r="H436" s="195"/>
      <c r="I436" s="195"/>
    </row>
    <row r="437">
      <c r="B437" s="195"/>
      <c r="C437" s="195"/>
      <c r="D437" s="1400"/>
      <c r="E437" s="1400"/>
      <c r="H437" s="195"/>
      <c r="I437" s="195"/>
    </row>
    <row r="438">
      <c r="B438" s="195"/>
      <c r="C438" s="195"/>
      <c r="D438" s="1400"/>
      <c r="E438" s="1400"/>
      <c r="H438" s="195"/>
      <c r="I438" s="195"/>
    </row>
    <row r="439">
      <c r="B439" s="195"/>
      <c r="C439" s="195"/>
      <c r="D439" s="1400"/>
      <c r="E439" s="1400"/>
      <c r="H439" s="195"/>
      <c r="I439" s="195"/>
    </row>
    <row r="440">
      <c r="B440" s="195"/>
      <c r="C440" s="195"/>
      <c r="D440" s="1400"/>
      <c r="E440" s="1400"/>
      <c r="H440" s="195"/>
      <c r="I440" s="195"/>
    </row>
    <row r="441">
      <c r="B441" s="195"/>
      <c r="C441" s="195"/>
      <c r="D441" s="1400"/>
      <c r="E441" s="1400"/>
      <c r="H441" s="195"/>
      <c r="I441" s="195"/>
    </row>
    <row r="442">
      <c r="B442" s="195"/>
      <c r="C442" s="195"/>
      <c r="D442" s="1400"/>
      <c r="E442" s="1400"/>
      <c r="H442" s="195"/>
      <c r="I442" s="195"/>
    </row>
    <row r="443">
      <c r="B443" s="195"/>
      <c r="C443" s="195"/>
      <c r="D443" s="1400"/>
      <c r="E443" s="1400"/>
      <c r="H443" s="195"/>
      <c r="I443" s="195"/>
    </row>
    <row r="444">
      <c r="B444" s="195"/>
      <c r="C444" s="195"/>
      <c r="D444" s="1400"/>
      <c r="E444" s="1400"/>
      <c r="H444" s="195"/>
      <c r="I444" s="195"/>
    </row>
    <row r="445">
      <c r="B445" s="195"/>
      <c r="C445" s="195"/>
      <c r="D445" s="1400"/>
      <c r="E445" s="1400"/>
      <c r="H445" s="195"/>
      <c r="I445" s="195"/>
    </row>
    <row r="446">
      <c r="B446" s="195"/>
      <c r="C446" s="195"/>
      <c r="D446" s="1400"/>
      <c r="E446" s="1400"/>
      <c r="H446" s="195"/>
      <c r="I446" s="195"/>
    </row>
    <row r="447">
      <c r="B447" s="195"/>
      <c r="C447" s="195"/>
      <c r="D447" s="1400"/>
      <c r="E447" s="1400"/>
      <c r="H447" s="195"/>
      <c r="I447" s="195"/>
    </row>
    <row r="448">
      <c r="B448" s="195"/>
      <c r="C448" s="195"/>
      <c r="D448" s="1400"/>
      <c r="E448" s="1400"/>
      <c r="H448" s="195"/>
      <c r="I448" s="195"/>
    </row>
    <row r="449">
      <c r="B449" s="195"/>
      <c r="C449" s="195"/>
      <c r="D449" s="1400"/>
      <c r="E449" s="1400"/>
      <c r="H449" s="195"/>
      <c r="I449" s="195"/>
    </row>
    <row r="450">
      <c r="B450" s="195"/>
      <c r="C450" s="195"/>
      <c r="D450" s="1400"/>
      <c r="E450" s="1400"/>
      <c r="H450" s="195"/>
      <c r="I450" s="195"/>
    </row>
    <row r="451">
      <c r="B451" s="195"/>
      <c r="C451" s="195"/>
      <c r="D451" s="1400"/>
      <c r="E451" s="1400"/>
      <c r="H451" s="195"/>
      <c r="I451" s="195"/>
    </row>
    <row r="452">
      <c r="B452" s="195"/>
      <c r="C452" s="195"/>
      <c r="D452" s="1400"/>
      <c r="E452" s="1400"/>
      <c r="H452" s="195"/>
      <c r="I452" s="195"/>
    </row>
    <row r="453">
      <c r="B453" s="195"/>
      <c r="C453" s="195"/>
      <c r="D453" s="1400"/>
      <c r="E453" s="1400"/>
      <c r="H453" s="195"/>
      <c r="I453" s="195"/>
    </row>
    <row r="454">
      <c r="B454" s="195"/>
      <c r="C454" s="195"/>
      <c r="D454" s="1400"/>
      <c r="E454" s="1400"/>
      <c r="H454" s="195"/>
      <c r="I454" s="195"/>
    </row>
    <row r="455">
      <c r="B455" s="195"/>
      <c r="C455" s="195"/>
      <c r="D455" s="1400"/>
      <c r="E455" s="1400"/>
      <c r="H455" s="195"/>
      <c r="I455" s="195"/>
    </row>
    <row r="456">
      <c r="B456" s="195"/>
      <c r="C456" s="195"/>
      <c r="D456" s="1400"/>
      <c r="E456" s="1400"/>
      <c r="H456" s="195"/>
      <c r="I456" s="195"/>
    </row>
    <row r="457">
      <c r="B457" s="195"/>
      <c r="C457" s="195"/>
      <c r="D457" s="1400"/>
      <c r="E457" s="1400"/>
      <c r="H457" s="195"/>
      <c r="I457" s="195"/>
    </row>
    <row r="458">
      <c r="B458" s="195"/>
      <c r="C458" s="195"/>
      <c r="D458" s="1400"/>
      <c r="E458" s="1400"/>
      <c r="H458" s="195"/>
      <c r="I458" s="195"/>
    </row>
    <row r="459">
      <c r="B459" s="195"/>
      <c r="C459" s="195"/>
      <c r="D459" s="1400"/>
      <c r="E459" s="1400"/>
      <c r="H459" s="195"/>
      <c r="I459" s="195"/>
    </row>
    <row r="460">
      <c r="B460" s="195"/>
      <c r="C460" s="195"/>
      <c r="D460" s="1400"/>
      <c r="E460" s="1400"/>
      <c r="H460" s="195"/>
      <c r="I460" s="195"/>
    </row>
    <row r="461">
      <c r="B461" s="195"/>
      <c r="C461" s="195"/>
      <c r="D461" s="1400"/>
      <c r="E461" s="1400"/>
      <c r="H461" s="195"/>
      <c r="I461" s="195"/>
    </row>
    <row r="462">
      <c r="B462" s="195"/>
      <c r="C462" s="195"/>
      <c r="D462" s="1400"/>
      <c r="E462" s="1400"/>
      <c r="H462" s="195"/>
      <c r="I462" s="195"/>
    </row>
    <row r="463">
      <c r="B463" s="195"/>
      <c r="C463" s="195"/>
      <c r="D463" s="1400"/>
      <c r="E463" s="1400"/>
      <c r="H463" s="195"/>
      <c r="I463" s="195"/>
    </row>
    <row r="464">
      <c r="B464" s="195"/>
      <c r="C464" s="195"/>
      <c r="D464" s="1400"/>
      <c r="E464" s="1400"/>
      <c r="H464" s="195"/>
      <c r="I464" s="195"/>
    </row>
    <row r="465">
      <c r="B465" s="195"/>
      <c r="C465" s="195"/>
      <c r="D465" s="1400"/>
      <c r="E465" s="1400"/>
      <c r="H465" s="195"/>
      <c r="I465" s="195"/>
    </row>
    <row r="466">
      <c r="B466" s="195"/>
      <c r="C466" s="195"/>
      <c r="D466" s="1400"/>
      <c r="E466" s="1400"/>
      <c r="H466" s="195"/>
      <c r="I466" s="195"/>
    </row>
    <row r="467">
      <c r="B467" s="195"/>
      <c r="C467" s="195"/>
      <c r="D467" s="1400"/>
      <c r="E467" s="1400"/>
      <c r="H467" s="195"/>
      <c r="I467" s="195"/>
    </row>
    <row r="468">
      <c r="B468" s="195"/>
      <c r="C468" s="195"/>
      <c r="D468" s="1400"/>
      <c r="E468" s="1400"/>
      <c r="H468" s="195"/>
      <c r="I468" s="195"/>
    </row>
    <row r="469">
      <c r="B469" s="195"/>
      <c r="C469" s="195"/>
      <c r="D469" s="1400"/>
      <c r="E469" s="1400"/>
      <c r="H469" s="195"/>
      <c r="I469" s="195"/>
    </row>
    <row r="470">
      <c r="B470" s="195"/>
      <c r="C470" s="195"/>
      <c r="D470" s="1400"/>
      <c r="E470" s="1400"/>
      <c r="H470" s="195"/>
      <c r="I470" s="195"/>
    </row>
    <row r="471">
      <c r="B471" s="195"/>
      <c r="C471" s="195"/>
      <c r="D471" s="1400"/>
      <c r="E471" s="1400"/>
      <c r="H471" s="195"/>
      <c r="I471" s="195"/>
    </row>
    <row r="472">
      <c r="B472" s="195"/>
      <c r="C472" s="195"/>
      <c r="D472" s="1400"/>
      <c r="E472" s="1400"/>
      <c r="H472" s="195"/>
      <c r="I472" s="195"/>
    </row>
    <row r="473">
      <c r="B473" s="195"/>
      <c r="C473" s="195"/>
      <c r="D473" s="1400"/>
      <c r="E473" s="1400"/>
      <c r="H473" s="195"/>
      <c r="I473" s="195"/>
    </row>
    <row r="474">
      <c r="B474" s="195"/>
      <c r="C474" s="195"/>
      <c r="D474" s="1400"/>
      <c r="E474" s="1400"/>
      <c r="H474" s="195"/>
      <c r="I474" s="195"/>
    </row>
    <row r="475">
      <c r="B475" s="195"/>
      <c r="C475" s="195"/>
      <c r="D475" s="1400"/>
      <c r="E475" s="1400"/>
      <c r="H475" s="195"/>
      <c r="I475" s="195"/>
    </row>
    <row r="476">
      <c r="B476" s="195"/>
      <c r="C476" s="195"/>
      <c r="D476" s="1400"/>
      <c r="E476" s="1400"/>
      <c r="H476" s="195"/>
      <c r="I476" s="195"/>
    </row>
    <row r="477">
      <c r="B477" s="195"/>
      <c r="C477" s="195"/>
      <c r="D477" s="1400"/>
      <c r="E477" s="1400"/>
      <c r="H477" s="195"/>
      <c r="I477" s="195"/>
    </row>
    <row r="478">
      <c r="B478" s="195"/>
      <c r="C478" s="195"/>
      <c r="D478" s="1400"/>
      <c r="E478" s="1400"/>
      <c r="H478" s="195"/>
      <c r="I478" s="195"/>
    </row>
    <row r="479">
      <c r="B479" s="195"/>
      <c r="C479" s="195"/>
      <c r="D479" s="1400"/>
      <c r="E479" s="1400"/>
      <c r="H479" s="195"/>
      <c r="I479" s="195"/>
    </row>
    <row r="480">
      <c r="B480" s="195"/>
      <c r="C480" s="195"/>
      <c r="D480" s="1400"/>
      <c r="E480" s="1400"/>
      <c r="H480" s="195"/>
      <c r="I480" s="195"/>
    </row>
    <row r="481">
      <c r="B481" s="195"/>
      <c r="C481" s="195"/>
      <c r="D481" s="1400"/>
      <c r="E481" s="1400"/>
      <c r="H481" s="195"/>
      <c r="I481" s="195"/>
    </row>
    <row r="482">
      <c r="B482" s="195"/>
      <c r="C482" s="195"/>
      <c r="D482" s="1400"/>
      <c r="E482" s="1400"/>
      <c r="H482" s="195"/>
      <c r="I482" s="195"/>
    </row>
    <row r="483">
      <c r="B483" s="195"/>
      <c r="C483" s="195"/>
      <c r="D483" s="1400"/>
      <c r="E483" s="1400"/>
      <c r="H483" s="195"/>
      <c r="I483" s="195"/>
    </row>
    <row r="484">
      <c r="B484" s="195"/>
      <c r="C484" s="195"/>
      <c r="D484" s="1400"/>
      <c r="E484" s="1400"/>
      <c r="H484" s="195"/>
      <c r="I484" s="195"/>
    </row>
    <row r="485">
      <c r="B485" s="195"/>
      <c r="C485" s="195"/>
      <c r="D485" s="1400"/>
      <c r="E485" s="1400"/>
      <c r="H485" s="195"/>
      <c r="I485" s="195"/>
    </row>
    <row r="486">
      <c r="B486" s="195"/>
      <c r="C486" s="195"/>
      <c r="D486" s="1400"/>
      <c r="E486" s="1400"/>
      <c r="H486" s="195"/>
      <c r="I486" s="195"/>
    </row>
    <row r="487">
      <c r="B487" s="195"/>
      <c r="C487" s="195"/>
      <c r="D487" s="1400"/>
      <c r="E487" s="1400"/>
      <c r="H487" s="195"/>
      <c r="I487" s="195"/>
    </row>
    <row r="488">
      <c r="B488" s="195"/>
      <c r="C488" s="195"/>
      <c r="D488" s="1400"/>
      <c r="E488" s="1400"/>
      <c r="H488" s="195"/>
      <c r="I488" s="195"/>
    </row>
    <row r="489">
      <c r="B489" s="195"/>
      <c r="C489" s="195"/>
      <c r="D489" s="1400"/>
      <c r="E489" s="1400"/>
      <c r="H489" s="195"/>
      <c r="I489" s="195"/>
    </row>
    <row r="490">
      <c r="B490" s="195"/>
      <c r="C490" s="195"/>
      <c r="D490" s="1400"/>
      <c r="E490" s="1400"/>
      <c r="H490" s="195"/>
      <c r="I490" s="195"/>
    </row>
    <row r="491">
      <c r="B491" s="195"/>
      <c r="C491" s="195"/>
      <c r="D491" s="1400"/>
      <c r="E491" s="1400"/>
      <c r="H491" s="195"/>
      <c r="I491" s="195"/>
    </row>
    <row r="492">
      <c r="B492" s="195"/>
      <c r="C492" s="195"/>
      <c r="D492" s="1400"/>
      <c r="E492" s="1400"/>
      <c r="H492" s="195"/>
      <c r="I492" s="195"/>
    </row>
    <row r="493">
      <c r="B493" s="195"/>
      <c r="C493" s="195"/>
      <c r="D493" s="1400"/>
      <c r="E493" s="1400"/>
      <c r="H493" s="195"/>
      <c r="I493" s="195"/>
    </row>
    <row r="494">
      <c r="B494" s="195"/>
      <c r="C494" s="195"/>
      <c r="D494" s="1400"/>
      <c r="E494" s="1400"/>
      <c r="H494" s="195"/>
      <c r="I494" s="195"/>
    </row>
    <row r="495">
      <c r="B495" s="195"/>
      <c r="C495" s="195"/>
      <c r="D495" s="1400"/>
      <c r="E495" s="1400"/>
      <c r="H495" s="195"/>
      <c r="I495" s="195"/>
    </row>
    <row r="496">
      <c r="B496" s="195"/>
      <c r="C496" s="195"/>
      <c r="D496" s="1400"/>
      <c r="E496" s="1400"/>
      <c r="H496" s="195"/>
      <c r="I496" s="195"/>
    </row>
    <row r="497">
      <c r="B497" s="195"/>
      <c r="C497" s="195"/>
      <c r="D497" s="1400"/>
      <c r="E497" s="1400"/>
      <c r="H497" s="195"/>
      <c r="I497" s="195"/>
    </row>
    <row r="498">
      <c r="B498" s="195"/>
      <c r="C498" s="195"/>
      <c r="D498" s="1400"/>
      <c r="E498" s="1400"/>
      <c r="H498" s="195"/>
      <c r="I498" s="195"/>
    </row>
    <row r="499">
      <c r="B499" s="195"/>
      <c r="C499" s="195"/>
      <c r="D499" s="1400"/>
      <c r="E499" s="1400"/>
      <c r="H499" s="195"/>
      <c r="I499" s="195"/>
    </row>
    <row r="500">
      <c r="B500" s="195"/>
      <c r="C500" s="195"/>
      <c r="D500" s="1400"/>
      <c r="E500" s="1400"/>
      <c r="H500" s="195"/>
      <c r="I500" s="195"/>
    </row>
    <row r="501">
      <c r="B501" s="195"/>
      <c r="C501" s="195"/>
      <c r="D501" s="1400"/>
      <c r="E501" s="1400"/>
      <c r="H501" s="195"/>
      <c r="I501" s="195"/>
    </row>
    <row r="502">
      <c r="B502" s="195"/>
      <c r="C502" s="195"/>
      <c r="D502" s="1400"/>
      <c r="E502" s="1400"/>
      <c r="H502" s="195"/>
      <c r="I502" s="195"/>
    </row>
    <row r="503">
      <c r="B503" s="195"/>
      <c r="C503" s="195"/>
      <c r="D503" s="1400"/>
      <c r="E503" s="1400"/>
      <c r="H503" s="195"/>
      <c r="I503" s="195"/>
    </row>
    <row r="504">
      <c r="B504" s="195"/>
      <c r="C504" s="195"/>
      <c r="D504" s="1400"/>
      <c r="E504" s="1400"/>
      <c r="H504" s="195"/>
      <c r="I504" s="195"/>
    </row>
    <row r="505">
      <c r="B505" s="195"/>
      <c r="C505" s="195"/>
      <c r="D505" s="1400"/>
      <c r="E505" s="1400"/>
      <c r="H505" s="195"/>
      <c r="I505" s="195"/>
    </row>
    <row r="506">
      <c r="B506" s="195"/>
      <c r="C506" s="195"/>
      <c r="D506" s="1400"/>
      <c r="E506" s="1400"/>
      <c r="H506" s="195"/>
      <c r="I506" s="195"/>
    </row>
    <row r="507">
      <c r="B507" s="195"/>
      <c r="C507" s="195"/>
      <c r="D507" s="1400"/>
      <c r="E507" s="1400"/>
      <c r="H507" s="195"/>
      <c r="I507" s="195"/>
    </row>
    <row r="508">
      <c r="B508" s="195"/>
      <c r="C508" s="195"/>
      <c r="D508" s="1400"/>
      <c r="E508" s="1400"/>
      <c r="H508" s="195"/>
      <c r="I508" s="195"/>
    </row>
    <row r="509">
      <c r="B509" s="195"/>
      <c r="C509" s="195"/>
      <c r="D509" s="1400"/>
      <c r="E509" s="1400"/>
      <c r="H509" s="195"/>
      <c r="I509" s="195"/>
    </row>
    <row r="510">
      <c r="B510" s="195"/>
      <c r="C510" s="195"/>
      <c r="D510" s="1400"/>
      <c r="E510" s="1400"/>
      <c r="H510" s="195"/>
      <c r="I510" s="195"/>
    </row>
    <row r="511">
      <c r="B511" s="195"/>
      <c r="C511" s="195"/>
      <c r="D511" s="1400"/>
      <c r="E511" s="1400"/>
      <c r="H511" s="195"/>
      <c r="I511" s="195"/>
    </row>
    <row r="512">
      <c r="B512" s="195"/>
      <c r="C512" s="195"/>
      <c r="D512" s="1400"/>
      <c r="E512" s="1400"/>
      <c r="H512" s="195"/>
      <c r="I512" s="195"/>
    </row>
    <row r="513">
      <c r="B513" s="195"/>
      <c r="C513" s="195"/>
      <c r="D513" s="1400"/>
      <c r="E513" s="1400"/>
      <c r="H513" s="195"/>
      <c r="I513" s="195"/>
    </row>
    <row r="514">
      <c r="B514" s="195"/>
      <c r="C514" s="195"/>
      <c r="D514" s="1400"/>
      <c r="E514" s="1400"/>
      <c r="H514" s="195"/>
      <c r="I514" s="195"/>
    </row>
    <row r="515">
      <c r="B515" s="195"/>
      <c r="C515" s="195"/>
      <c r="D515" s="1400"/>
      <c r="E515" s="1400"/>
      <c r="H515" s="195"/>
      <c r="I515" s="195"/>
    </row>
    <row r="516">
      <c r="B516" s="195"/>
      <c r="C516" s="195"/>
      <c r="D516" s="1400"/>
      <c r="E516" s="1400"/>
      <c r="H516" s="195"/>
      <c r="I516" s="195"/>
    </row>
    <row r="517">
      <c r="B517" s="195"/>
      <c r="C517" s="195"/>
      <c r="D517" s="1400"/>
      <c r="E517" s="1400"/>
      <c r="H517" s="195"/>
      <c r="I517" s="195"/>
    </row>
    <row r="518">
      <c r="B518" s="195"/>
      <c r="C518" s="195"/>
      <c r="D518" s="1400"/>
      <c r="E518" s="1400"/>
      <c r="H518" s="195"/>
      <c r="I518" s="195"/>
    </row>
    <row r="519">
      <c r="B519" s="195"/>
      <c r="C519" s="195"/>
      <c r="D519" s="1400"/>
      <c r="E519" s="1400"/>
      <c r="H519" s="195"/>
      <c r="I519" s="195"/>
    </row>
    <row r="520">
      <c r="B520" s="195"/>
      <c r="C520" s="195"/>
      <c r="D520" s="1400"/>
      <c r="E520" s="1400"/>
      <c r="H520" s="195"/>
      <c r="I520" s="195"/>
    </row>
    <row r="521">
      <c r="B521" s="195"/>
      <c r="C521" s="195"/>
      <c r="D521" s="1400"/>
      <c r="E521" s="1400"/>
      <c r="H521" s="195"/>
      <c r="I521" s="195"/>
    </row>
    <row r="522">
      <c r="B522" s="195"/>
      <c r="C522" s="195"/>
      <c r="D522" s="1400"/>
      <c r="E522" s="1400"/>
      <c r="H522" s="195"/>
      <c r="I522" s="195"/>
    </row>
    <row r="523">
      <c r="B523" s="195"/>
      <c r="C523" s="195"/>
      <c r="D523" s="1400"/>
      <c r="E523" s="1400"/>
      <c r="H523" s="195"/>
      <c r="I523" s="195"/>
    </row>
    <row r="524">
      <c r="B524" s="195"/>
      <c r="C524" s="195"/>
      <c r="D524" s="1400"/>
      <c r="E524" s="1400"/>
      <c r="H524" s="195"/>
      <c r="I524" s="195"/>
    </row>
    <row r="525">
      <c r="B525" s="195"/>
      <c r="C525" s="195"/>
      <c r="D525" s="1400"/>
      <c r="E525" s="1400"/>
      <c r="H525" s="195"/>
      <c r="I525" s="195"/>
    </row>
    <row r="526">
      <c r="B526" s="195"/>
      <c r="C526" s="195"/>
      <c r="D526" s="1400"/>
      <c r="E526" s="1400"/>
      <c r="H526" s="195"/>
      <c r="I526" s="195"/>
    </row>
    <row r="527">
      <c r="B527" s="195"/>
      <c r="C527" s="195"/>
      <c r="D527" s="1400"/>
      <c r="E527" s="1400"/>
      <c r="H527" s="195"/>
      <c r="I527" s="195"/>
    </row>
    <row r="528">
      <c r="B528" s="195"/>
      <c r="C528" s="195"/>
      <c r="D528" s="1400"/>
      <c r="E528" s="1400"/>
      <c r="H528" s="195"/>
      <c r="I528" s="195"/>
    </row>
    <row r="529">
      <c r="B529" s="195"/>
      <c r="C529" s="195"/>
      <c r="D529" s="1400"/>
      <c r="E529" s="1400"/>
      <c r="H529" s="195"/>
      <c r="I529" s="195"/>
    </row>
    <row r="530">
      <c r="B530" s="195"/>
      <c r="C530" s="195"/>
      <c r="D530" s="1400"/>
      <c r="E530" s="1400"/>
      <c r="H530" s="195"/>
      <c r="I530" s="195"/>
    </row>
    <row r="531">
      <c r="B531" s="195"/>
      <c r="C531" s="195"/>
      <c r="D531" s="1400"/>
      <c r="E531" s="1400"/>
      <c r="H531" s="195"/>
      <c r="I531" s="195"/>
    </row>
    <row r="532">
      <c r="B532" s="195"/>
      <c r="C532" s="195"/>
      <c r="D532" s="1400"/>
      <c r="E532" s="1400"/>
      <c r="H532" s="195"/>
      <c r="I532" s="195"/>
    </row>
    <row r="533">
      <c r="B533" s="195"/>
      <c r="C533" s="195"/>
      <c r="D533" s="1400"/>
      <c r="E533" s="1400"/>
      <c r="H533" s="195"/>
      <c r="I533" s="195"/>
    </row>
    <row r="534">
      <c r="B534" s="195"/>
      <c r="C534" s="195"/>
      <c r="D534" s="1400"/>
      <c r="E534" s="1400"/>
      <c r="H534" s="195"/>
      <c r="I534" s="195"/>
    </row>
    <row r="535">
      <c r="B535" s="195"/>
      <c r="C535" s="195"/>
      <c r="D535" s="1400"/>
      <c r="E535" s="1400"/>
      <c r="H535" s="195"/>
      <c r="I535" s="195"/>
    </row>
    <row r="536">
      <c r="B536" s="195"/>
      <c r="C536" s="195"/>
      <c r="D536" s="1400"/>
      <c r="E536" s="1400"/>
      <c r="H536" s="195"/>
      <c r="I536" s="195"/>
    </row>
    <row r="537">
      <c r="B537" s="195"/>
      <c r="C537" s="195"/>
      <c r="D537" s="1400"/>
      <c r="E537" s="1400"/>
      <c r="H537" s="195"/>
      <c r="I537" s="195"/>
    </row>
    <row r="538">
      <c r="B538" s="195"/>
      <c r="C538" s="195"/>
      <c r="D538" s="1400"/>
      <c r="E538" s="1400"/>
      <c r="H538" s="195"/>
      <c r="I538" s="195"/>
    </row>
    <row r="539">
      <c r="B539" s="195"/>
      <c r="C539" s="195"/>
      <c r="D539" s="1400"/>
      <c r="E539" s="1400"/>
      <c r="H539" s="195"/>
      <c r="I539" s="195"/>
    </row>
    <row r="540">
      <c r="B540" s="195"/>
      <c r="C540" s="195"/>
      <c r="D540" s="1400"/>
      <c r="E540" s="1400"/>
      <c r="H540" s="195"/>
      <c r="I540" s="195"/>
    </row>
    <row r="541">
      <c r="B541" s="195"/>
      <c r="C541" s="195"/>
      <c r="D541" s="1400"/>
      <c r="E541" s="1400"/>
      <c r="H541" s="195"/>
      <c r="I541" s="195"/>
    </row>
    <row r="542">
      <c r="B542" s="195"/>
      <c r="C542" s="195"/>
      <c r="D542" s="1400"/>
      <c r="E542" s="1400"/>
      <c r="H542" s="195"/>
      <c r="I542" s="195"/>
    </row>
    <row r="543">
      <c r="B543" s="195"/>
      <c r="C543" s="195"/>
      <c r="D543" s="1400"/>
      <c r="E543" s="1400"/>
      <c r="H543" s="195"/>
      <c r="I543" s="195"/>
    </row>
    <row r="544">
      <c r="B544" s="195"/>
      <c r="C544" s="195"/>
      <c r="D544" s="1400"/>
      <c r="E544" s="1400"/>
      <c r="H544" s="195"/>
      <c r="I544" s="195"/>
    </row>
    <row r="545">
      <c r="B545" s="195"/>
      <c r="C545" s="195"/>
      <c r="D545" s="1400"/>
      <c r="E545" s="1400"/>
      <c r="H545" s="195"/>
      <c r="I545" s="195"/>
    </row>
    <row r="546">
      <c r="B546" s="195"/>
      <c r="C546" s="195"/>
      <c r="D546" s="1400"/>
      <c r="E546" s="1400"/>
      <c r="H546" s="195"/>
      <c r="I546" s="195"/>
    </row>
    <row r="547">
      <c r="B547" s="195"/>
      <c r="C547" s="195"/>
      <c r="D547" s="1400"/>
      <c r="E547" s="1400"/>
      <c r="H547" s="195"/>
      <c r="I547" s="195"/>
    </row>
    <row r="548">
      <c r="B548" s="195"/>
      <c r="C548" s="195"/>
      <c r="D548" s="1400"/>
      <c r="E548" s="1400"/>
      <c r="H548" s="195"/>
      <c r="I548" s="195"/>
    </row>
    <row r="549">
      <c r="B549" s="195"/>
      <c r="C549" s="195"/>
      <c r="D549" s="1400"/>
      <c r="E549" s="1400"/>
      <c r="H549" s="195"/>
      <c r="I549" s="195"/>
    </row>
    <row r="550">
      <c r="B550" s="195"/>
      <c r="C550" s="195"/>
      <c r="D550" s="1400"/>
      <c r="E550" s="1400"/>
      <c r="H550" s="195"/>
      <c r="I550" s="195"/>
    </row>
    <row r="551">
      <c r="B551" s="195"/>
      <c r="C551" s="195"/>
      <c r="D551" s="1400"/>
      <c r="E551" s="1400"/>
      <c r="H551" s="195"/>
      <c r="I551" s="195"/>
    </row>
    <row r="552">
      <c r="B552" s="195"/>
      <c r="C552" s="195"/>
      <c r="D552" s="1400"/>
      <c r="E552" s="1400"/>
      <c r="H552" s="195"/>
      <c r="I552" s="195"/>
    </row>
    <row r="553">
      <c r="B553" s="195"/>
      <c r="C553" s="195"/>
      <c r="D553" s="1400"/>
      <c r="E553" s="1400"/>
      <c r="H553" s="195"/>
      <c r="I553" s="195"/>
    </row>
    <row r="554">
      <c r="B554" s="195"/>
      <c r="C554" s="195"/>
      <c r="D554" s="1400"/>
      <c r="E554" s="1400"/>
      <c r="H554" s="195"/>
      <c r="I554" s="195"/>
    </row>
    <row r="555">
      <c r="B555" s="195"/>
      <c r="C555" s="195"/>
      <c r="D555" s="1400"/>
      <c r="E555" s="1400"/>
      <c r="H555" s="195"/>
      <c r="I555" s="195"/>
    </row>
    <row r="556">
      <c r="B556" s="195"/>
      <c r="C556" s="195"/>
      <c r="D556" s="1400"/>
      <c r="E556" s="1400"/>
      <c r="H556" s="195"/>
      <c r="I556" s="195"/>
    </row>
    <row r="557">
      <c r="B557" s="195"/>
      <c r="C557" s="195"/>
      <c r="D557" s="1400"/>
      <c r="E557" s="1400"/>
      <c r="H557" s="195"/>
      <c r="I557" s="195"/>
    </row>
    <row r="558">
      <c r="B558" s="195"/>
      <c r="C558" s="195"/>
      <c r="D558" s="1400"/>
      <c r="E558" s="1400"/>
      <c r="H558" s="195"/>
      <c r="I558" s="195"/>
    </row>
    <row r="559">
      <c r="B559" s="195"/>
      <c r="C559" s="195"/>
      <c r="D559" s="1400"/>
      <c r="E559" s="1400"/>
      <c r="H559" s="195"/>
      <c r="I559" s="195"/>
    </row>
    <row r="560">
      <c r="B560" s="195"/>
      <c r="C560" s="195"/>
      <c r="D560" s="1400"/>
      <c r="E560" s="1400"/>
      <c r="H560" s="195"/>
      <c r="I560" s="195"/>
    </row>
    <row r="561">
      <c r="B561" s="195"/>
      <c r="C561" s="195"/>
      <c r="D561" s="1400"/>
      <c r="E561" s="1400"/>
      <c r="H561" s="195"/>
      <c r="I561" s="195"/>
    </row>
    <row r="562">
      <c r="B562" s="195"/>
      <c r="C562" s="195"/>
      <c r="D562" s="1400"/>
      <c r="E562" s="1400"/>
      <c r="H562" s="195"/>
      <c r="I562" s="195"/>
    </row>
    <row r="563">
      <c r="B563" s="195"/>
      <c r="C563" s="195"/>
      <c r="D563" s="1400"/>
      <c r="E563" s="1400"/>
      <c r="H563" s="195"/>
      <c r="I563" s="195"/>
    </row>
    <row r="564">
      <c r="B564" s="195"/>
      <c r="C564" s="195"/>
      <c r="D564" s="1400"/>
      <c r="E564" s="1400"/>
      <c r="H564" s="195"/>
      <c r="I564" s="195"/>
    </row>
    <row r="565">
      <c r="B565" s="195"/>
      <c r="C565" s="195"/>
      <c r="D565" s="1400"/>
      <c r="E565" s="1400"/>
      <c r="H565" s="195"/>
      <c r="I565" s="195"/>
    </row>
    <row r="566">
      <c r="B566" s="195"/>
      <c r="C566" s="195"/>
      <c r="D566" s="1400"/>
      <c r="E566" s="1400"/>
      <c r="H566" s="195"/>
      <c r="I566" s="195"/>
    </row>
    <row r="567">
      <c r="B567" s="195"/>
      <c r="C567" s="195"/>
      <c r="D567" s="1400"/>
      <c r="E567" s="1400"/>
      <c r="H567" s="195"/>
      <c r="I567" s="195"/>
    </row>
    <row r="568">
      <c r="B568" s="195"/>
      <c r="C568" s="195"/>
      <c r="D568" s="1400"/>
      <c r="E568" s="1400"/>
      <c r="H568" s="195"/>
      <c r="I568" s="195"/>
    </row>
    <row r="569">
      <c r="B569" s="195"/>
      <c r="C569" s="195"/>
      <c r="D569" s="1400"/>
      <c r="E569" s="1400"/>
      <c r="H569" s="195"/>
      <c r="I569" s="195"/>
    </row>
    <row r="570">
      <c r="B570" s="195"/>
      <c r="C570" s="195"/>
      <c r="D570" s="1400"/>
      <c r="E570" s="1400"/>
      <c r="H570" s="195"/>
      <c r="I570" s="195"/>
    </row>
    <row r="571">
      <c r="B571" s="195"/>
      <c r="C571" s="195"/>
      <c r="D571" s="1400"/>
      <c r="E571" s="1400"/>
      <c r="H571" s="195"/>
      <c r="I571" s="195"/>
    </row>
    <row r="572">
      <c r="B572" s="195"/>
      <c r="C572" s="195"/>
      <c r="D572" s="1400"/>
      <c r="E572" s="1400"/>
      <c r="H572" s="195"/>
      <c r="I572" s="195"/>
    </row>
    <row r="573">
      <c r="B573" s="195"/>
      <c r="C573" s="195"/>
      <c r="D573" s="1400"/>
      <c r="E573" s="1400"/>
      <c r="H573" s="195"/>
      <c r="I573" s="195"/>
    </row>
    <row r="574">
      <c r="B574" s="195"/>
      <c r="C574" s="195"/>
      <c r="D574" s="1400"/>
      <c r="E574" s="1400"/>
      <c r="H574" s="195"/>
      <c r="I574" s="195"/>
    </row>
    <row r="575">
      <c r="B575" s="195"/>
      <c r="C575" s="195"/>
      <c r="D575" s="1400"/>
      <c r="E575" s="1400"/>
      <c r="H575" s="195"/>
      <c r="I575" s="195"/>
    </row>
    <row r="576">
      <c r="B576" s="195"/>
      <c r="C576" s="195"/>
      <c r="D576" s="1400"/>
      <c r="E576" s="1400"/>
      <c r="H576" s="195"/>
      <c r="I576" s="195"/>
    </row>
    <row r="577">
      <c r="B577" s="195"/>
      <c r="C577" s="195"/>
      <c r="D577" s="1400"/>
      <c r="E577" s="1400"/>
      <c r="H577" s="195"/>
      <c r="I577" s="195"/>
    </row>
    <row r="578">
      <c r="B578" s="195"/>
      <c r="C578" s="195"/>
      <c r="D578" s="1400"/>
      <c r="E578" s="1400"/>
      <c r="H578" s="195"/>
      <c r="I578" s="195"/>
    </row>
    <row r="579">
      <c r="B579" s="195"/>
      <c r="C579" s="195"/>
      <c r="D579" s="1400"/>
      <c r="E579" s="1400"/>
      <c r="H579" s="195"/>
      <c r="I579" s="195"/>
    </row>
    <row r="580">
      <c r="B580" s="195"/>
      <c r="C580" s="195"/>
      <c r="D580" s="1400"/>
      <c r="E580" s="1400"/>
      <c r="H580" s="195"/>
      <c r="I580" s="195"/>
    </row>
    <row r="581">
      <c r="B581" s="195"/>
      <c r="C581" s="195"/>
      <c r="D581" s="1400"/>
      <c r="E581" s="1400"/>
      <c r="H581" s="195"/>
      <c r="I581" s="195"/>
    </row>
    <row r="582">
      <c r="B582" s="195"/>
      <c r="C582" s="195"/>
      <c r="D582" s="1400"/>
      <c r="E582" s="1400"/>
      <c r="H582" s="195"/>
      <c r="I582" s="195"/>
    </row>
    <row r="583">
      <c r="B583" s="195"/>
      <c r="C583" s="195"/>
      <c r="D583" s="1400"/>
      <c r="E583" s="1400"/>
      <c r="H583" s="195"/>
      <c r="I583" s="195"/>
    </row>
    <row r="584">
      <c r="B584" s="195"/>
      <c r="C584" s="195"/>
      <c r="D584" s="1400"/>
      <c r="E584" s="1400"/>
      <c r="H584" s="195"/>
      <c r="I584" s="195"/>
    </row>
    <row r="585">
      <c r="B585" s="195"/>
      <c r="C585" s="195"/>
      <c r="D585" s="1400"/>
      <c r="E585" s="1400"/>
      <c r="H585" s="195"/>
      <c r="I585" s="195"/>
    </row>
    <row r="586">
      <c r="B586" s="195"/>
      <c r="C586" s="195"/>
      <c r="D586" s="1400"/>
      <c r="E586" s="1400"/>
      <c r="H586" s="195"/>
      <c r="I586" s="195"/>
    </row>
    <row r="587">
      <c r="B587" s="195"/>
      <c r="C587" s="195"/>
      <c r="D587" s="1400"/>
      <c r="E587" s="1400"/>
      <c r="H587" s="195"/>
      <c r="I587" s="195"/>
    </row>
    <row r="588">
      <c r="B588" s="195"/>
      <c r="C588" s="195"/>
      <c r="D588" s="1400"/>
      <c r="E588" s="1400"/>
      <c r="H588" s="195"/>
      <c r="I588" s="195"/>
    </row>
    <row r="589">
      <c r="B589" s="195"/>
      <c r="C589" s="195"/>
      <c r="D589" s="1400"/>
      <c r="E589" s="1400"/>
      <c r="H589" s="195"/>
      <c r="I589" s="195"/>
    </row>
    <row r="590">
      <c r="B590" s="195"/>
      <c r="C590" s="195"/>
      <c r="D590" s="1400"/>
      <c r="E590" s="1400"/>
      <c r="H590" s="195"/>
      <c r="I590" s="195"/>
    </row>
    <row r="591">
      <c r="B591" s="195"/>
      <c r="C591" s="195"/>
      <c r="D591" s="1400"/>
      <c r="E591" s="1400"/>
      <c r="H591" s="195"/>
      <c r="I591" s="195"/>
    </row>
    <row r="592">
      <c r="B592" s="195"/>
      <c r="C592" s="195"/>
      <c r="D592" s="1400"/>
      <c r="E592" s="1400"/>
      <c r="H592" s="195"/>
      <c r="I592" s="195"/>
    </row>
    <row r="593">
      <c r="B593" s="195"/>
      <c r="C593" s="195"/>
      <c r="D593" s="1400"/>
      <c r="E593" s="1400"/>
      <c r="H593" s="195"/>
      <c r="I593" s="195"/>
    </row>
    <row r="594">
      <c r="B594" s="195"/>
      <c r="C594" s="195"/>
      <c r="D594" s="1400"/>
      <c r="E594" s="1400"/>
      <c r="H594" s="195"/>
      <c r="I594" s="195"/>
    </row>
    <row r="595">
      <c r="B595" s="195"/>
      <c r="C595" s="195"/>
      <c r="D595" s="1400"/>
      <c r="E595" s="1400"/>
      <c r="H595" s="195"/>
      <c r="I595" s="195"/>
    </row>
    <row r="596">
      <c r="B596" s="195"/>
      <c r="C596" s="195"/>
      <c r="D596" s="1400"/>
      <c r="E596" s="1400"/>
      <c r="H596" s="195"/>
      <c r="I596" s="195"/>
    </row>
    <row r="597">
      <c r="B597" s="195"/>
      <c r="C597" s="195"/>
      <c r="D597" s="1400"/>
      <c r="E597" s="1400"/>
      <c r="H597" s="195"/>
      <c r="I597" s="195"/>
    </row>
    <row r="598">
      <c r="B598" s="195"/>
      <c r="C598" s="195"/>
      <c r="D598" s="1400"/>
      <c r="E598" s="1400"/>
      <c r="H598" s="195"/>
      <c r="I598" s="195"/>
    </row>
    <row r="599">
      <c r="B599" s="195"/>
      <c r="C599" s="195"/>
      <c r="D599" s="1400"/>
      <c r="E599" s="1400"/>
      <c r="H599" s="195"/>
      <c r="I599" s="195"/>
    </row>
    <row r="600">
      <c r="B600" s="195"/>
      <c r="C600" s="195"/>
      <c r="D600" s="1400"/>
      <c r="E600" s="1400"/>
      <c r="H600" s="195"/>
      <c r="I600" s="195"/>
    </row>
    <row r="601">
      <c r="B601" s="195"/>
      <c r="C601" s="195"/>
      <c r="D601" s="1400"/>
      <c r="E601" s="1400"/>
      <c r="H601" s="195"/>
      <c r="I601" s="195"/>
    </row>
    <row r="602">
      <c r="B602" s="195"/>
      <c r="C602" s="195"/>
      <c r="D602" s="1400"/>
      <c r="E602" s="1400"/>
      <c r="H602" s="195"/>
      <c r="I602" s="195"/>
    </row>
    <row r="603">
      <c r="B603" s="195"/>
      <c r="C603" s="195"/>
      <c r="D603" s="1400"/>
      <c r="E603" s="1400"/>
      <c r="H603" s="195"/>
      <c r="I603" s="195"/>
    </row>
    <row r="604">
      <c r="B604" s="195"/>
      <c r="C604" s="195"/>
      <c r="D604" s="1400"/>
      <c r="E604" s="1400"/>
      <c r="H604" s="195"/>
      <c r="I604" s="195"/>
    </row>
    <row r="605">
      <c r="B605" s="195"/>
      <c r="C605" s="195"/>
      <c r="D605" s="1400"/>
      <c r="E605" s="1400"/>
      <c r="H605" s="195"/>
      <c r="I605" s="195"/>
    </row>
    <row r="606">
      <c r="B606" s="195"/>
      <c r="C606" s="195"/>
      <c r="D606" s="1400"/>
      <c r="E606" s="1400"/>
      <c r="H606" s="195"/>
      <c r="I606" s="195"/>
    </row>
    <row r="607">
      <c r="B607" s="195"/>
      <c r="C607" s="195"/>
      <c r="D607" s="1400"/>
      <c r="E607" s="1400"/>
      <c r="H607" s="195"/>
      <c r="I607" s="195"/>
    </row>
    <row r="608">
      <c r="B608" s="195"/>
      <c r="C608" s="195"/>
      <c r="D608" s="1400"/>
      <c r="E608" s="1400"/>
      <c r="H608" s="195"/>
      <c r="I608" s="195"/>
    </row>
    <row r="609">
      <c r="B609" s="195"/>
      <c r="C609" s="195"/>
      <c r="D609" s="1400"/>
      <c r="E609" s="1400"/>
      <c r="H609" s="195"/>
      <c r="I609" s="195"/>
    </row>
    <row r="610">
      <c r="B610" s="195"/>
      <c r="C610" s="195"/>
      <c r="D610" s="1400"/>
      <c r="E610" s="1400"/>
      <c r="H610" s="195"/>
      <c r="I610" s="195"/>
    </row>
    <row r="611">
      <c r="B611" s="195"/>
      <c r="C611" s="195"/>
      <c r="D611" s="1400"/>
      <c r="E611" s="1400"/>
      <c r="H611" s="195"/>
      <c r="I611" s="195"/>
    </row>
    <row r="612">
      <c r="B612" s="195"/>
      <c r="C612" s="195"/>
      <c r="D612" s="1400"/>
      <c r="E612" s="1400"/>
      <c r="H612" s="195"/>
      <c r="I612" s="195"/>
    </row>
    <row r="613">
      <c r="B613" s="195"/>
      <c r="C613" s="195"/>
      <c r="D613" s="1400"/>
      <c r="E613" s="1400"/>
      <c r="H613" s="195"/>
      <c r="I613" s="195"/>
    </row>
    <row r="614">
      <c r="B614" s="195"/>
      <c r="C614" s="195"/>
      <c r="D614" s="1400"/>
      <c r="E614" s="1400"/>
      <c r="H614" s="195"/>
      <c r="I614" s="195"/>
    </row>
    <row r="615">
      <c r="B615" s="195"/>
      <c r="C615" s="195"/>
      <c r="D615" s="1400"/>
      <c r="E615" s="1400"/>
      <c r="H615" s="195"/>
      <c r="I615" s="195"/>
    </row>
    <row r="616">
      <c r="B616" s="195"/>
      <c r="C616" s="195"/>
      <c r="D616" s="1400"/>
      <c r="E616" s="1400"/>
      <c r="H616" s="195"/>
      <c r="I616" s="195"/>
    </row>
    <row r="617">
      <c r="B617" s="195"/>
      <c r="C617" s="195"/>
      <c r="D617" s="1400"/>
      <c r="E617" s="1400"/>
      <c r="H617" s="195"/>
      <c r="I617" s="195"/>
    </row>
    <row r="618">
      <c r="B618" s="195"/>
      <c r="C618" s="195"/>
      <c r="D618" s="1400"/>
      <c r="E618" s="1400"/>
      <c r="H618" s="195"/>
      <c r="I618" s="195"/>
    </row>
    <row r="619">
      <c r="B619" s="195"/>
      <c r="C619" s="195"/>
      <c r="D619" s="1400"/>
      <c r="E619" s="1400"/>
      <c r="H619" s="195"/>
      <c r="I619" s="195"/>
    </row>
    <row r="620">
      <c r="B620" s="195"/>
      <c r="C620" s="195"/>
      <c r="D620" s="1400"/>
      <c r="E620" s="1400"/>
      <c r="H620" s="195"/>
      <c r="I620" s="195"/>
    </row>
    <row r="621">
      <c r="B621" s="195"/>
      <c r="C621" s="195"/>
      <c r="D621" s="1400"/>
      <c r="E621" s="1400"/>
      <c r="H621" s="195"/>
      <c r="I621" s="195"/>
    </row>
    <row r="622">
      <c r="B622" s="195"/>
      <c r="C622" s="195"/>
      <c r="D622" s="1400"/>
      <c r="E622" s="1400"/>
      <c r="H622" s="195"/>
      <c r="I622" s="195"/>
    </row>
    <row r="623">
      <c r="B623" s="195"/>
      <c r="C623" s="195"/>
      <c r="D623" s="1400"/>
      <c r="E623" s="1400"/>
      <c r="H623" s="195"/>
      <c r="I623" s="195"/>
    </row>
    <row r="624">
      <c r="B624" s="195"/>
      <c r="C624" s="195"/>
      <c r="D624" s="1400"/>
      <c r="E624" s="1400"/>
      <c r="H624" s="195"/>
      <c r="I624" s="195"/>
    </row>
    <row r="625">
      <c r="B625" s="195"/>
      <c r="C625" s="195"/>
      <c r="D625" s="1400"/>
      <c r="E625" s="1400"/>
      <c r="H625" s="195"/>
      <c r="I625" s="195"/>
    </row>
    <row r="626">
      <c r="B626" s="195"/>
      <c r="C626" s="195"/>
      <c r="D626" s="1400"/>
      <c r="E626" s="1400"/>
      <c r="H626" s="195"/>
      <c r="I626" s="195"/>
    </row>
    <row r="627">
      <c r="B627" s="195"/>
      <c r="C627" s="195"/>
      <c r="D627" s="1400"/>
      <c r="E627" s="1400"/>
      <c r="H627" s="195"/>
      <c r="I627" s="195"/>
    </row>
    <row r="628">
      <c r="B628" s="195"/>
      <c r="C628" s="195"/>
      <c r="D628" s="1400"/>
      <c r="E628" s="1400"/>
      <c r="H628" s="195"/>
      <c r="I628" s="195"/>
    </row>
    <row r="629">
      <c r="B629" s="195"/>
      <c r="C629" s="195"/>
      <c r="D629" s="1400"/>
      <c r="E629" s="1400"/>
      <c r="H629" s="195"/>
      <c r="I629" s="195"/>
    </row>
    <row r="630">
      <c r="B630" s="195"/>
      <c r="C630" s="195"/>
      <c r="D630" s="1400"/>
      <c r="E630" s="1400"/>
      <c r="H630" s="195"/>
      <c r="I630" s="195"/>
    </row>
    <row r="631">
      <c r="B631" s="195"/>
      <c r="C631" s="195"/>
      <c r="D631" s="1400"/>
      <c r="E631" s="1400"/>
      <c r="H631" s="195"/>
      <c r="I631" s="195"/>
    </row>
    <row r="632">
      <c r="B632" s="195"/>
      <c r="C632" s="195"/>
      <c r="D632" s="1400"/>
      <c r="E632" s="1400"/>
      <c r="H632" s="195"/>
      <c r="I632" s="195"/>
    </row>
    <row r="633">
      <c r="B633" s="195"/>
      <c r="C633" s="195"/>
      <c r="D633" s="1400"/>
      <c r="E633" s="1400"/>
      <c r="H633" s="195"/>
      <c r="I633" s="195"/>
    </row>
    <row r="634">
      <c r="B634" s="195"/>
      <c r="C634" s="195"/>
      <c r="D634" s="1400"/>
      <c r="E634" s="1400"/>
      <c r="H634" s="195"/>
      <c r="I634" s="195"/>
    </row>
    <row r="635">
      <c r="B635" s="195"/>
      <c r="C635" s="195"/>
      <c r="D635" s="1400"/>
      <c r="E635" s="1400"/>
      <c r="H635" s="195"/>
      <c r="I635" s="195"/>
    </row>
    <row r="636">
      <c r="B636" s="195"/>
      <c r="C636" s="195"/>
      <c r="D636" s="1400"/>
      <c r="E636" s="1400"/>
      <c r="H636" s="195"/>
      <c r="I636" s="195"/>
    </row>
    <row r="637">
      <c r="B637" s="195"/>
      <c r="C637" s="195"/>
      <c r="D637" s="1400"/>
      <c r="E637" s="1400"/>
      <c r="H637" s="195"/>
      <c r="I637" s="195"/>
    </row>
    <row r="638">
      <c r="B638" s="195"/>
      <c r="C638" s="195"/>
      <c r="D638" s="1400"/>
      <c r="E638" s="1400"/>
      <c r="H638" s="195"/>
      <c r="I638" s="195"/>
    </row>
    <row r="639">
      <c r="B639" s="195"/>
      <c r="C639" s="195"/>
      <c r="D639" s="1400"/>
      <c r="E639" s="1400"/>
      <c r="H639" s="195"/>
      <c r="I639" s="195"/>
    </row>
    <row r="640">
      <c r="B640" s="195"/>
      <c r="C640" s="195"/>
      <c r="D640" s="1400"/>
      <c r="E640" s="1400"/>
      <c r="H640" s="195"/>
      <c r="I640" s="195"/>
    </row>
    <row r="641">
      <c r="B641" s="195"/>
      <c r="C641" s="195"/>
      <c r="D641" s="1400"/>
      <c r="E641" s="1400"/>
      <c r="H641" s="195"/>
      <c r="I641" s="195"/>
    </row>
    <row r="642">
      <c r="B642" s="195"/>
      <c r="C642" s="195"/>
      <c r="D642" s="1400"/>
      <c r="E642" s="1400"/>
      <c r="H642" s="195"/>
      <c r="I642" s="195"/>
    </row>
    <row r="643">
      <c r="B643" s="195"/>
      <c r="C643" s="195"/>
      <c r="D643" s="1400"/>
      <c r="E643" s="1400"/>
      <c r="H643" s="195"/>
      <c r="I643" s="195"/>
    </row>
    <row r="644">
      <c r="B644" s="195"/>
      <c r="C644" s="195"/>
      <c r="D644" s="1400"/>
      <c r="E644" s="1400"/>
      <c r="H644" s="195"/>
      <c r="I644" s="195"/>
    </row>
    <row r="645">
      <c r="B645" s="195"/>
      <c r="C645" s="195"/>
      <c r="D645" s="1400"/>
      <c r="E645" s="1400"/>
      <c r="H645" s="195"/>
      <c r="I645" s="195"/>
    </row>
    <row r="646">
      <c r="B646" s="195"/>
      <c r="C646" s="195"/>
      <c r="D646" s="1400"/>
      <c r="E646" s="1400"/>
      <c r="H646" s="195"/>
      <c r="I646" s="195"/>
    </row>
    <row r="647">
      <c r="B647" s="195"/>
      <c r="C647" s="195"/>
      <c r="D647" s="1400"/>
      <c r="E647" s="1400"/>
      <c r="H647" s="195"/>
      <c r="I647" s="195"/>
    </row>
    <row r="648">
      <c r="B648" s="195"/>
      <c r="C648" s="195"/>
      <c r="D648" s="1400"/>
      <c r="E648" s="1400"/>
      <c r="H648" s="195"/>
      <c r="I648" s="195"/>
    </row>
    <row r="649">
      <c r="B649" s="195"/>
      <c r="C649" s="195"/>
      <c r="D649" s="1400"/>
      <c r="E649" s="1400"/>
      <c r="H649" s="195"/>
      <c r="I649" s="195"/>
    </row>
    <row r="650">
      <c r="B650" s="195"/>
      <c r="C650" s="195"/>
      <c r="D650" s="1400"/>
      <c r="E650" s="1400"/>
      <c r="H650" s="195"/>
      <c r="I650" s="195"/>
    </row>
    <row r="651">
      <c r="B651" s="195"/>
      <c r="C651" s="195"/>
      <c r="D651" s="1400"/>
      <c r="E651" s="1400"/>
      <c r="H651" s="195"/>
      <c r="I651" s="195"/>
    </row>
    <row r="652">
      <c r="B652" s="195"/>
      <c r="C652" s="195"/>
      <c r="D652" s="1400"/>
      <c r="E652" s="1400"/>
      <c r="H652" s="195"/>
      <c r="I652" s="195"/>
    </row>
    <row r="653">
      <c r="B653" s="195"/>
      <c r="C653" s="195"/>
      <c r="D653" s="1400"/>
      <c r="E653" s="1400"/>
      <c r="H653" s="195"/>
      <c r="I653" s="195"/>
    </row>
    <row r="654">
      <c r="B654" s="195"/>
      <c r="C654" s="195"/>
      <c r="D654" s="1400"/>
      <c r="E654" s="1400"/>
      <c r="H654" s="195"/>
      <c r="I654" s="195"/>
    </row>
    <row r="655">
      <c r="B655" s="195"/>
      <c r="C655" s="195"/>
      <c r="D655" s="1400"/>
      <c r="E655" s="1400"/>
      <c r="H655" s="195"/>
      <c r="I655" s="195"/>
    </row>
    <row r="656">
      <c r="B656" s="195"/>
      <c r="C656" s="195"/>
      <c r="D656" s="1400"/>
      <c r="E656" s="1400"/>
      <c r="H656" s="195"/>
      <c r="I656" s="195"/>
    </row>
    <row r="657">
      <c r="B657" s="195"/>
      <c r="C657" s="195"/>
      <c r="D657" s="1400"/>
      <c r="E657" s="1400"/>
      <c r="H657" s="195"/>
      <c r="I657" s="195"/>
    </row>
    <row r="658">
      <c r="B658" s="195"/>
      <c r="C658" s="195"/>
      <c r="D658" s="1400"/>
      <c r="E658" s="1400"/>
      <c r="H658" s="195"/>
      <c r="I658" s="195"/>
    </row>
    <row r="659">
      <c r="B659" s="195"/>
      <c r="C659" s="195"/>
      <c r="D659" s="1400"/>
      <c r="E659" s="1400"/>
      <c r="H659" s="195"/>
      <c r="I659" s="195"/>
    </row>
    <row r="660">
      <c r="B660" s="195"/>
      <c r="C660" s="195"/>
      <c r="D660" s="1400"/>
      <c r="E660" s="1400"/>
      <c r="H660" s="195"/>
      <c r="I660" s="195"/>
    </row>
    <row r="661">
      <c r="B661" s="195"/>
      <c r="C661" s="195"/>
      <c r="D661" s="1400"/>
      <c r="E661" s="1400"/>
      <c r="H661" s="195"/>
      <c r="I661" s="195"/>
    </row>
    <row r="662">
      <c r="B662" s="195"/>
      <c r="C662" s="195"/>
      <c r="D662" s="1400"/>
      <c r="E662" s="1400"/>
      <c r="H662" s="195"/>
      <c r="I662" s="195"/>
    </row>
    <row r="663">
      <c r="B663" s="195"/>
      <c r="C663" s="195"/>
      <c r="D663" s="1400"/>
      <c r="E663" s="1400"/>
      <c r="H663" s="195"/>
      <c r="I663" s="195"/>
    </row>
    <row r="664">
      <c r="B664" s="195"/>
      <c r="C664" s="195"/>
      <c r="D664" s="1400"/>
      <c r="E664" s="1400"/>
      <c r="H664" s="195"/>
      <c r="I664" s="195"/>
    </row>
    <row r="665">
      <c r="B665" s="195"/>
      <c r="C665" s="195"/>
      <c r="D665" s="1400"/>
      <c r="E665" s="1400"/>
      <c r="H665" s="195"/>
      <c r="I665" s="195"/>
    </row>
    <row r="666">
      <c r="B666" s="195"/>
      <c r="C666" s="195"/>
      <c r="D666" s="1400"/>
      <c r="E666" s="1400"/>
      <c r="H666" s="195"/>
      <c r="I666" s="195"/>
    </row>
    <row r="667">
      <c r="B667" s="195"/>
      <c r="C667" s="195"/>
      <c r="D667" s="1400"/>
      <c r="E667" s="1400"/>
      <c r="H667" s="195"/>
      <c r="I667" s="195"/>
    </row>
    <row r="668">
      <c r="B668" s="195"/>
      <c r="C668" s="195"/>
      <c r="D668" s="1400"/>
      <c r="E668" s="1400"/>
      <c r="H668" s="195"/>
      <c r="I668" s="195"/>
    </row>
    <row r="669">
      <c r="B669" s="195"/>
      <c r="C669" s="195"/>
      <c r="D669" s="1400"/>
      <c r="E669" s="1400"/>
      <c r="H669" s="195"/>
      <c r="I669" s="195"/>
    </row>
    <row r="670">
      <c r="B670" s="195"/>
      <c r="C670" s="195"/>
      <c r="D670" s="1400"/>
      <c r="E670" s="1400"/>
      <c r="H670" s="195"/>
      <c r="I670" s="195"/>
    </row>
    <row r="671">
      <c r="B671" s="195"/>
      <c r="C671" s="195"/>
      <c r="D671" s="1400"/>
      <c r="E671" s="1400"/>
      <c r="H671" s="195"/>
      <c r="I671" s="195"/>
    </row>
    <row r="672">
      <c r="B672" s="195"/>
      <c r="C672" s="195"/>
      <c r="D672" s="1400"/>
      <c r="E672" s="1400"/>
      <c r="H672" s="195"/>
      <c r="I672" s="195"/>
    </row>
    <row r="673">
      <c r="B673" s="195"/>
      <c r="C673" s="195"/>
      <c r="D673" s="1400"/>
      <c r="E673" s="1400"/>
      <c r="H673" s="195"/>
      <c r="I673" s="195"/>
    </row>
    <row r="674">
      <c r="B674" s="195"/>
      <c r="C674" s="195"/>
      <c r="D674" s="1400"/>
      <c r="E674" s="1400"/>
      <c r="H674" s="195"/>
      <c r="I674" s="195"/>
    </row>
    <row r="675">
      <c r="B675" s="195"/>
      <c r="C675" s="195"/>
      <c r="D675" s="1400"/>
      <c r="E675" s="1400"/>
      <c r="H675" s="195"/>
      <c r="I675" s="195"/>
    </row>
    <row r="676">
      <c r="B676" s="195"/>
      <c r="C676" s="195"/>
      <c r="D676" s="1400"/>
      <c r="E676" s="1400"/>
      <c r="H676" s="195"/>
      <c r="I676" s="195"/>
    </row>
    <row r="677">
      <c r="B677" s="195"/>
      <c r="C677" s="195"/>
      <c r="D677" s="1400"/>
      <c r="E677" s="1400"/>
      <c r="H677" s="195"/>
      <c r="I677" s="195"/>
    </row>
    <row r="678">
      <c r="B678" s="195"/>
      <c r="C678" s="195"/>
      <c r="D678" s="1400"/>
      <c r="E678" s="1400"/>
      <c r="H678" s="195"/>
      <c r="I678" s="195"/>
    </row>
    <row r="679">
      <c r="B679" s="195"/>
      <c r="C679" s="195"/>
      <c r="D679" s="1400"/>
      <c r="E679" s="1400"/>
      <c r="H679" s="195"/>
      <c r="I679" s="195"/>
    </row>
    <row r="680">
      <c r="B680" s="195"/>
      <c r="C680" s="195"/>
      <c r="D680" s="1400"/>
      <c r="E680" s="1400"/>
      <c r="H680" s="195"/>
      <c r="I680" s="195"/>
    </row>
    <row r="681">
      <c r="B681" s="195"/>
      <c r="C681" s="195"/>
      <c r="D681" s="1400"/>
      <c r="E681" s="1400"/>
      <c r="H681" s="195"/>
      <c r="I681" s="195"/>
    </row>
    <row r="682">
      <c r="B682" s="195"/>
      <c r="C682" s="195"/>
      <c r="D682" s="1400"/>
      <c r="E682" s="1400"/>
      <c r="H682" s="195"/>
      <c r="I682" s="195"/>
    </row>
    <row r="683">
      <c r="B683" s="195"/>
      <c r="C683" s="195"/>
      <c r="D683" s="1400"/>
      <c r="E683" s="1400"/>
      <c r="H683" s="195"/>
      <c r="I683" s="195"/>
    </row>
    <row r="684">
      <c r="B684" s="195"/>
      <c r="C684" s="195"/>
      <c r="D684" s="1400"/>
      <c r="E684" s="1400"/>
      <c r="H684" s="195"/>
      <c r="I684" s="195"/>
    </row>
    <row r="685">
      <c r="B685" s="195"/>
      <c r="C685" s="195"/>
      <c r="D685" s="1400"/>
      <c r="E685" s="1400"/>
      <c r="H685" s="195"/>
      <c r="I685" s="195"/>
    </row>
    <row r="686">
      <c r="B686" s="195"/>
      <c r="C686" s="195"/>
      <c r="D686" s="1400"/>
      <c r="E686" s="1400"/>
      <c r="H686" s="195"/>
      <c r="I686" s="195"/>
    </row>
    <row r="687">
      <c r="B687" s="195"/>
      <c r="C687" s="195"/>
      <c r="D687" s="1400"/>
      <c r="E687" s="1400"/>
      <c r="H687" s="195"/>
      <c r="I687" s="195"/>
    </row>
    <row r="688">
      <c r="B688" s="195"/>
      <c r="C688" s="195"/>
      <c r="D688" s="1400"/>
      <c r="E688" s="1400"/>
      <c r="H688" s="195"/>
      <c r="I688" s="195"/>
    </row>
    <row r="689">
      <c r="B689" s="195"/>
      <c r="C689" s="195"/>
      <c r="D689" s="1400"/>
      <c r="E689" s="1400"/>
      <c r="H689" s="195"/>
      <c r="I689" s="195"/>
    </row>
    <row r="690">
      <c r="B690" s="195"/>
      <c r="C690" s="195"/>
      <c r="D690" s="1400"/>
      <c r="E690" s="1400"/>
      <c r="H690" s="195"/>
      <c r="I690" s="195"/>
    </row>
    <row r="691">
      <c r="B691" s="195"/>
      <c r="C691" s="195"/>
      <c r="D691" s="1400"/>
      <c r="E691" s="1400"/>
      <c r="H691" s="195"/>
      <c r="I691" s="195"/>
    </row>
    <row r="692">
      <c r="B692" s="195"/>
      <c r="C692" s="195"/>
      <c r="D692" s="1400"/>
      <c r="E692" s="1400"/>
      <c r="H692" s="195"/>
      <c r="I692" s="195"/>
    </row>
    <row r="693">
      <c r="B693" s="195"/>
      <c r="C693" s="195"/>
      <c r="D693" s="1400"/>
      <c r="E693" s="1400"/>
      <c r="H693" s="195"/>
      <c r="I693" s="195"/>
    </row>
    <row r="694">
      <c r="B694" s="195"/>
      <c r="C694" s="195"/>
      <c r="D694" s="1400"/>
      <c r="E694" s="1400"/>
      <c r="H694" s="195"/>
      <c r="I694" s="195"/>
    </row>
    <row r="695">
      <c r="B695" s="195"/>
      <c r="C695" s="195"/>
      <c r="D695" s="1400"/>
      <c r="E695" s="1400"/>
      <c r="H695" s="195"/>
      <c r="I695" s="195"/>
    </row>
    <row r="696">
      <c r="B696" s="195"/>
      <c r="C696" s="195"/>
      <c r="D696" s="1400"/>
      <c r="E696" s="1400"/>
      <c r="H696" s="195"/>
      <c r="I696" s="195"/>
    </row>
    <row r="697">
      <c r="B697" s="195"/>
      <c r="C697" s="195"/>
      <c r="D697" s="1400"/>
      <c r="E697" s="1400"/>
      <c r="H697" s="195"/>
      <c r="I697" s="195"/>
    </row>
    <row r="698">
      <c r="B698" s="195"/>
      <c r="C698" s="195"/>
      <c r="D698" s="1400"/>
      <c r="E698" s="1400"/>
      <c r="H698" s="195"/>
      <c r="I698" s="195"/>
    </row>
    <row r="699">
      <c r="B699" s="195"/>
      <c r="C699" s="195"/>
      <c r="D699" s="1400"/>
      <c r="E699" s="1400"/>
      <c r="H699" s="195"/>
      <c r="I699" s="195"/>
    </row>
    <row r="700">
      <c r="B700" s="195"/>
      <c r="C700" s="195"/>
      <c r="D700" s="1400"/>
      <c r="E700" s="1400"/>
      <c r="H700" s="195"/>
      <c r="I700" s="195"/>
    </row>
    <row r="701">
      <c r="B701" s="195"/>
      <c r="C701" s="195"/>
      <c r="D701" s="1400"/>
      <c r="E701" s="1400"/>
      <c r="H701" s="195"/>
      <c r="I701" s="195"/>
    </row>
    <row r="702">
      <c r="B702" s="195"/>
      <c r="C702" s="195"/>
      <c r="D702" s="1400"/>
      <c r="E702" s="1400"/>
      <c r="H702" s="195"/>
      <c r="I702" s="195"/>
    </row>
    <row r="703">
      <c r="B703" s="195"/>
      <c r="C703" s="195"/>
      <c r="D703" s="1400"/>
      <c r="E703" s="1400"/>
      <c r="H703" s="195"/>
      <c r="I703" s="195"/>
    </row>
    <row r="704">
      <c r="B704" s="195"/>
      <c r="C704" s="195"/>
      <c r="D704" s="1400"/>
      <c r="E704" s="1400"/>
      <c r="H704" s="195"/>
      <c r="I704" s="195"/>
    </row>
    <row r="705">
      <c r="B705" s="195"/>
      <c r="C705" s="195"/>
      <c r="D705" s="1400"/>
      <c r="E705" s="1400"/>
      <c r="H705" s="195"/>
      <c r="I705" s="195"/>
    </row>
    <row r="706">
      <c r="B706" s="195"/>
      <c r="C706" s="195"/>
      <c r="D706" s="1400"/>
      <c r="E706" s="1400"/>
      <c r="H706" s="195"/>
      <c r="I706" s="195"/>
    </row>
    <row r="707">
      <c r="B707" s="195"/>
      <c r="C707" s="195"/>
      <c r="D707" s="1400"/>
      <c r="E707" s="1400"/>
      <c r="H707" s="195"/>
      <c r="I707" s="195"/>
    </row>
    <row r="708">
      <c r="B708" s="195"/>
      <c r="C708" s="195"/>
      <c r="D708" s="1400"/>
      <c r="E708" s="1400"/>
      <c r="H708" s="195"/>
      <c r="I708" s="195"/>
    </row>
    <row r="709">
      <c r="B709" s="195"/>
      <c r="C709" s="195"/>
      <c r="D709" s="1400"/>
      <c r="E709" s="1400"/>
      <c r="H709" s="195"/>
      <c r="I709" s="195"/>
    </row>
    <row r="710">
      <c r="B710" s="195"/>
      <c r="C710" s="195"/>
      <c r="D710" s="1400"/>
      <c r="E710" s="1400"/>
      <c r="H710" s="195"/>
      <c r="I710" s="195"/>
    </row>
    <row r="711">
      <c r="B711" s="195"/>
      <c r="C711" s="195"/>
      <c r="D711" s="1400"/>
      <c r="E711" s="1400"/>
      <c r="H711" s="195"/>
      <c r="I711" s="195"/>
    </row>
    <row r="712">
      <c r="B712" s="195"/>
      <c r="C712" s="195"/>
      <c r="D712" s="1400"/>
      <c r="E712" s="1400"/>
      <c r="H712" s="195"/>
      <c r="I712" s="195"/>
    </row>
    <row r="713">
      <c r="B713" s="195"/>
      <c r="C713" s="195"/>
      <c r="D713" s="1400"/>
      <c r="E713" s="1400"/>
      <c r="H713" s="195"/>
      <c r="I713" s="195"/>
    </row>
    <row r="714">
      <c r="B714" s="195"/>
      <c r="C714" s="195"/>
      <c r="D714" s="1400"/>
      <c r="E714" s="1400"/>
      <c r="H714" s="195"/>
      <c r="I714" s="195"/>
    </row>
    <row r="715">
      <c r="B715" s="195"/>
      <c r="C715" s="195"/>
      <c r="D715" s="1400"/>
      <c r="E715" s="1400"/>
      <c r="H715" s="195"/>
      <c r="I715" s="195"/>
    </row>
    <row r="716">
      <c r="B716" s="195"/>
      <c r="C716" s="195"/>
      <c r="D716" s="1400"/>
      <c r="E716" s="1400"/>
      <c r="H716" s="195"/>
      <c r="I716" s="195"/>
    </row>
    <row r="717">
      <c r="B717" s="195"/>
      <c r="C717" s="195"/>
      <c r="D717" s="1400"/>
      <c r="E717" s="1400"/>
      <c r="H717" s="195"/>
      <c r="I717" s="195"/>
    </row>
    <row r="718">
      <c r="B718" s="195"/>
      <c r="C718" s="195"/>
      <c r="D718" s="1400"/>
      <c r="E718" s="1400"/>
      <c r="H718" s="195"/>
      <c r="I718" s="195"/>
    </row>
    <row r="719">
      <c r="B719" s="195"/>
      <c r="C719" s="195"/>
      <c r="D719" s="1400"/>
      <c r="E719" s="1400"/>
      <c r="H719" s="195"/>
      <c r="I719" s="195"/>
    </row>
    <row r="720">
      <c r="B720" s="195"/>
      <c r="C720" s="195"/>
      <c r="D720" s="1400"/>
      <c r="E720" s="1400"/>
      <c r="H720" s="195"/>
      <c r="I720" s="195"/>
    </row>
    <row r="721">
      <c r="B721" s="195"/>
      <c r="C721" s="195"/>
      <c r="D721" s="1400"/>
      <c r="E721" s="1400"/>
      <c r="H721" s="195"/>
      <c r="I721" s="195"/>
    </row>
    <row r="722">
      <c r="B722" s="195"/>
      <c r="C722" s="195"/>
      <c r="D722" s="1400"/>
      <c r="E722" s="1400"/>
      <c r="H722" s="195"/>
      <c r="I722" s="195"/>
    </row>
    <row r="723">
      <c r="B723" s="195"/>
      <c r="C723" s="195"/>
      <c r="D723" s="1400"/>
      <c r="E723" s="1400"/>
      <c r="H723" s="195"/>
      <c r="I723" s="195"/>
    </row>
    <row r="724">
      <c r="B724" s="195"/>
      <c r="C724" s="195"/>
      <c r="D724" s="1400"/>
      <c r="E724" s="1400"/>
      <c r="H724" s="195"/>
      <c r="I724" s="195"/>
    </row>
    <row r="725">
      <c r="B725" s="195"/>
      <c r="C725" s="195"/>
      <c r="D725" s="1400"/>
      <c r="E725" s="1400"/>
      <c r="H725" s="195"/>
      <c r="I725" s="195"/>
    </row>
    <row r="726">
      <c r="B726" s="195"/>
      <c r="C726" s="195"/>
      <c r="D726" s="1400"/>
      <c r="E726" s="1400"/>
      <c r="H726" s="195"/>
      <c r="I726" s="195"/>
    </row>
    <row r="727">
      <c r="B727" s="195"/>
      <c r="C727" s="195"/>
      <c r="D727" s="1400"/>
      <c r="E727" s="1400"/>
      <c r="H727" s="195"/>
      <c r="I727" s="195"/>
    </row>
    <row r="728">
      <c r="B728" s="195"/>
      <c r="C728" s="195"/>
      <c r="D728" s="1400"/>
      <c r="E728" s="1400"/>
      <c r="H728" s="195"/>
      <c r="I728" s="195"/>
    </row>
    <row r="729">
      <c r="B729" s="195"/>
      <c r="C729" s="195"/>
      <c r="D729" s="1400"/>
      <c r="E729" s="1400"/>
      <c r="H729" s="195"/>
      <c r="I729" s="195"/>
    </row>
    <row r="730">
      <c r="B730" s="195"/>
      <c r="C730" s="195"/>
      <c r="D730" s="1400"/>
      <c r="E730" s="1400"/>
      <c r="H730" s="195"/>
      <c r="I730" s="195"/>
    </row>
    <row r="731">
      <c r="B731" s="195"/>
      <c r="C731" s="195"/>
      <c r="D731" s="1400"/>
      <c r="E731" s="1400"/>
      <c r="H731" s="195"/>
      <c r="I731" s="195"/>
    </row>
    <row r="732">
      <c r="B732" s="195"/>
      <c r="C732" s="195"/>
      <c r="D732" s="1400"/>
      <c r="E732" s="1400"/>
      <c r="H732" s="195"/>
      <c r="I732" s="195"/>
    </row>
    <row r="733">
      <c r="B733" s="195"/>
      <c r="C733" s="195"/>
      <c r="D733" s="1400"/>
      <c r="E733" s="1400"/>
      <c r="H733" s="195"/>
      <c r="I733" s="195"/>
    </row>
    <row r="734">
      <c r="B734" s="195"/>
      <c r="C734" s="195"/>
      <c r="D734" s="1400"/>
      <c r="E734" s="1400"/>
      <c r="H734" s="195"/>
      <c r="I734" s="195"/>
    </row>
    <row r="735">
      <c r="B735" s="195"/>
      <c r="C735" s="195"/>
      <c r="D735" s="1400"/>
      <c r="E735" s="1400"/>
      <c r="H735" s="195"/>
      <c r="I735" s="195"/>
    </row>
    <row r="736">
      <c r="B736" s="195"/>
      <c r="C736" s="195"/>
      <c r="D736" s="1400"/>
      <c r="E736" s="1400"/>
      <c r="H736" s="195"/>
      <c r="I736" s="195"/>
    </row>
    <row r="737">
      <c r="B737" s="195"/>
      <c r="C737" s="195"/>
      <c r="D737" s="1400"/>
      <c r="E737" s="1400"/>
      <c r="H737" s="195"/>
      <c r="I737" s="195"/>
    </row>
    <row r="738">
      <c r="B738" s="195"/>
      <c r="C738" s="195"/>
      <c r="D738" s="1400"/>
      <c r="E738" s="1400"/>
      <c r="H738" s="195"/>
      <c r="I738" s="195"/>
    </row>
    <row r="739">
      <c r="B739" s="195"/>
      <c r="C739" s="195"/>
      <c r="D739" s="1400"/>
      <c r="E739" s="1400"/>
      <c r="H739" s="195"/>
      <c r="I739" s="195"/>
    </row>
    <row r="740">
      <c r="B740" s="195"/>
      <c r="C740" s="195"/>
      <c r="D740" s="1400"/>
      <c r="E740" s="1400"/>
      <c r="H740" s="195"/>
      <c r="I740" s="195"/>
    </row>
    <row r="741">
      <c r="B741" s="195"/>
      <c r="C741" s="195"/>
      <c r="D741" s="1400"/>
      <c r="E741" s="1400"/>
      <c r="H741" s="195"/>
      <c r="I741" s="195"/>
    </row>
    <row r="742">
      <c r="B742" s="195"/>
      <c r="C742" s="195"/>
      <c r="D742" s="1400"/>
      <c r="E742" s="1400"/>
      <c r="H742" s="195"/>
      <c r="I742" s="195"/>
    </row>
    <row r="743">
      <c r="B743" s="195"/>
      <c r="C743" s="195"/>
      <c r="D743" s="1400"/>
      <c r="E743" s="1400"/>
      <c r="H743" s="195"/>
      <c r="I743" s="195"/>
    </row>
    <row r="744">
      <c r="B744" s="195"/>
      <c r="C744" s="195"/>
      <c r="D744" s="1400"/>
      <c r="E744" s="1400"/>
      <c r="H744" s="195"/>
      <c r="I744" s="195"/>
    </row>
    <row r="745">
      <c r="B745" s="195"/>
      <c r="C745" s="195"/>
      <c r="D745" s="1400"/>
      <c r="E745" s="1400"/>
      <c r="H745" s="195"/>
      <c r="I745" s="195"/>
    </row>
    <row r="746">
      <c r="B746" s="195"/>
      <c r="C746" s="195"/>
      <c r="D746" s="1400"/>
      <c r="E746" s="1400"/>
      <c r="H746" s="195"/>
      <c r="I746" s="195"/>
    </row>
    <row r="747">
      <c r="B747" s="195"/>
      <c r="C747" s="195"/>
      <c r="D747" s="1400"/>
      <c r="E747" s="1400"/>
      <c r="H747" s="195"/>
      <c r="I747" s="195"/>
    </row>
    <row r="748">
      <c r="B748" s="195"/>
      <c r="C748" s="195"/>
      <c r="D748" s="1400"/>
      <c r="E748" s="1400"/>
      <c r="H748" s="195"/>
      <c r="I748" s="195"/>
    </row>
    <row r="749">
      <c r="B749" s="195"/>
      <c r="C749" s="195"/>
      <c r="D749" s="1400"/>
      <c r="E749" s="1400"/>
      <c r="H749" s="195"/>
      <c r="I749" s="195"/>
    </row>
    <row r="750">
      <c r="B750" s="195"/>
      <c r="C750" s="195"/>
      <c r="D750" s="1400"/>
      <c r="E750" s="1400"/>
      <c r="H750" s="195"/>
      <c r="I750" s="195"/>
    </row>
    <row r="751">
      <c r="B751" s="195"/>
      <c r="C751" s="195"/>
      <c r="D751" s="1400"/>
      <c r="E751" s="1400"/>
      <c r="H751" s="195"/>
      <c r="I751" s="195"/>
    </row>
    <row r="752">
      <c r="B752" s="195"/>
      <c r="C752" s="195"/>
      <c r="D752" s="1400"/>
      <c r="E752" s="1400"/>
      <c r="H752" s="195"/>
      <c r="I752" s="195"/>
    </row>
    <row r="753">
      <c r="B753" s="195"/>
      <c r="C753" s="195"/>
      <c r="D753" s="1400"/>
      <c r="E753" s="1400"/>
      <c r="H753" s="195"/>
      <c r="I753" s="195"/>
    </row>
    <row r="754">
      <c r="B754" s="195"/>
      <c r="C754" s="195"/>
      <c r="D754" s="1400"/>
      <c r="E754" s="1400"/>
      <c r="H754" s="195"/>
      <c r="I754" s="195"/>
    </row>
    <row r="755">
      <c r="B755" s="195"/>
      <c r="C755" s="195"/>
      <c r="D755" s="1400"/>
      <c r="E755" s="1400"/>
      <c r="H755" s="195"/>
      <c r="I755" s="195"/>
    </row>
    <row r="756">
      <c r="B756" s="195"/>
      <c r="C756" s="195"/>
      <c r="D756" s="1400"/>
      <c r="E756" s="1400"/>
      <c r="H756" s="195"/>
      <c r="I756" s="195"/>
    </row>
    <row r="757">
      <c r="B757" s="195"/>
      <c r="C757" s="195"/>
      <c r="D757" s="1400"/>
      <c r="E757" s="1400"/>
      <c r="H757" s="195"/>
      <c r="I757" s="195"/>
    </row>
    <row r="758">
      <c r="B758" s="195"/>
      <c r="C758" s="195"/>
      <c r="D758" s="1400"/>
      <c r="E758" s="1400"/>
      <c r="H758" s="195"/>
      <c r="I758" s="195"/>
    </row>
    <row r="759">
      <c r="B759" s="195"/>
      <c r="C759" s="195"/>
      <c r="D759" s="1400"/>
      <c r="E759" s="1400"/>
      <c r="H759" s="195"/>
      <c r="I759" s="195"/>
    </row>
    <row r="760">
      <c r="B760" s="195"/>
      <c r="C760" s="195"/>
      <c r="D760" s="1400"/>
      <c r="E760" s="1400"/>
      <c r="H760" s="195"/>
      <c r="I760" s="195"/>
    </row>
    <row r="761">
      <c r="B761" s="195"/>
      <c r="C761" s="195"/>
      <c r="D761" s="1400"/>
      <c r="E761" s="1400"/>
      <c r="H761" s="195"/>
      <c r="I761" s="195"/>
    </row>
    <row r="762">
      <c r="B762" s="195"/>
      <c r="C762" s="195"/>
      <c r="D762" s="1400"/>
      <c r="E762" s="1400"/>
      <c r="H762" s="195"/>
      <c r="I762" s="195"/>
    </row>
    <row r="763">
      <c r="B763" s="195"/>
      <c r="C763" s="195"/>
      <c r="D763" s="1400"/>
      <c r="E763" s="1400"/>
      <c r="H763" s="195"/>
      <c r="I763" s="195"/>
    </row>
    <row r="764">
      <c r="B764" s="195"/>
      <c r="C764" s="195"/>
      <c r="D764" s="1400"/>
      <c r="E764" s="1400"/>
      <c r="H764" s="195"/>
      <c r="I764" s="195"/>
    </row>
    <row r="765">
      <c r="B765" s="195"/>
      <c r="C765" s="195"/>
      <c r="D765" s="1400"/>
      <c r="E765" s="1400"/>
      <c r="H765" s="195"/>
      <c r="I765" s="195"/>
    </row>
    <row r="766">
      <c r="B766" s="195"/>
      <c r="C766" s="195"/>
      <c r="D766" s="1400"/>
      <c r="E766" s="1400"/>
      <c r="H766" s="195"/>
      <c r="I766" s="195"/>
    </row>
    <row r="767">
      <c r="B767" s="195"/>
      <c r="C767" s="195"/>
      <c r="D767" s="1400"/>
      <c r="E767" s="1400"/>
      <c r="H767" s="195"/>
      <c r="I767" s="195"/>
    </row>
    <row r="768">
      <c r="B768" s="195"/>
      <c r="C768" s="195"/>
      <c r="D768" s="1400"/>
      <c r="E768" s="1400"/>
      <c r="H768" s="195"/>
      <c r="I768" s="195"/>
    </row>
    <row r="769">
      <c r="B769" s="195"/>
      <c r="C769" s="195"/>
      <c r="D769" s="1400"/>
      <c r="E769" s="1400"/>
      <c r="H769" s="195"/>
      <c r="I769" s="195"/>
    </row>
    <row r="770">
      <c r="B770" s="195"/>
      <c r="C770" s="195"/>
      <c r="D770" s="1400"/>
      <c r="E770" s="1400"/>
      <c r="H770" s="195"/>
      <c r="I770" s="195"/>
    </row>
    <row r="771">
      <c r="B771" s="195"/>
      <c r="C771" s="195"/>
      <c r="D771" s="1400"/>
      <c r="E771" s="1400"/>
      <c r="H771" s="195"/>
      <c r="I771" s="195"/>
    </row>
    <row r="772">
      <c r="B772" s="195"/>
      <c r="C772" s="195"/>
      <c r="D772" s="1400"/>
      <c r="E772" s="1400"/>
      <c r="H772" s="195"/>
      <c r="I772" s="195"/>
    </row>
    <row r="773">
      <c r="B773" s="195"/>
      <c r="C773" s="195"/>
      <c r="D773" s="1400"/>
      <c r="E773" s="1400"/>
      <c r="H773" s="195"/>
      <c r="I773" s="195"/>
    </row>
    <row r="774">
      <c r="B774" s="195"/>
      <c r="C774" s="195"/>
      <c r="D774" s="1400"/>
      <c r="E774" s="1400"/>
      <c r="H774" s="195"/>
      <c r="I774" s="195"/>
    </row>
    <row r="775">
      <c r="B775" s="195"/>
      <c r="C775" s="195"/>
      <c r="D775" s="1400"/>
      <c r="E775" s="1400"/>
      <c r="H775" s="195"/>
      <c r="I775" s="195"/>
    </row>
    <row r="776">
      <c r="B776" s="195"/>
      <c r="C776" s="195"/>
      <c r="D776" s="1400"/>
      <c r="E776" s="1400"/>
      <c r="H776" s="195"/>
      <c r="I776" s="195"/>
    </row>
    <row r="777">
      <c r="B777" s="195"/>
      <c r="C777" s="195"/>
      <c r="D777" s="1400"/>
      <c r="E777" s="1400"/>
      <c r="H777" s="195"/>
      <c r="I777" s="195"/>
    </row>
    <row r="778">
      <c r="B778" s="195"/>
      <c r="C778" s="195"/>
      <c r="D778" s="1400"/>
      <c r="E778" s="1400"/>
      <c r="H778" s="195"/>
      <c r="I778" s="195"/>
    </row>
    <row r="779">
      <c r="B779" s="195"/>
      <c r="C779" s="195"/>
      <c r="D779" s="1400"/>
      <c r="E779" s="1400"/>
      <c r="H779" s="195"/>
      <c r="I779" s="195"/>
    </row>
    <row r="780">
      <c r="B780" s="195"/>
      <c r="C780" s="195"/>
      <c r="D780" s="1400"/>
      <c r="E780" s="1400"/>
      <c r="H780" s="195"/>
      <c r="I780" s="195"/>
    </row>
    <row r="781">
      <c r="B781" s="195"/>
      <c r="C781" s="195"/>
      <c r="D781" s="1400"/>
      <c r="E781" s="1400"/>
      <c r="H781" s="195"/>
      <c r="I781" s="195"/>
    </row>
    <row r="782">
      <c r="B782" s="195"/>
      <c r="C782" s="195"/>
      <c r="D782" s="1400"/>
      <c r="E782" s="1400"/>
      <c r="H782" s="195"/>
      <c r="I782" s="195"/>
    </row>
    <row r="783">
      <c r="B783" s="195"/>
      <c r="C783" s="195"/>
      <c r="D783" s="1400"/>
      <c r="E783" s="1400"/>
      <c r="H783" s="195"/>
      <c r="I783" s="195"/>
    </row>
    <row r="784">
      <c r="B784" s="195"/>
      <c r="C784" s="195"/>
      <c r="D784" s="1400"/>
      <c r="E784" s="1400"/>
      <c r="H784" s="195"/>
      <c r="I784" s="195"/>
    </row>
    <row r="785">
      <c r="B785" s="195"/>
      <c r="C785" s="195"/>
      <c r="D785" s="1400"/>
      <c r="E785" s="1400"/>
      <c r="H785" s="195"/>
      <c r="I785" s="195"/>
    </row>
    <row r="786">
      <c r="B786" s="195"/>
      <c r="C786" s="195"/>
      <c r="D786" s="1400"/>
      <c r="E786" s="1400"/>
      <c r="H786" s="195"/>
      <c r="I786" s="195"/>
    </row>
    <row r="787">
      <c r="B787" s="195"/>
      <c r="C787" s="195"/>
      <c r="D787" s="1400"/>
      <c r="E787" s="1400"/>
      <c r="H787" s="195"/>
      <c r="I787" s="195"/>
    </row>
    <row r="788">
      <c r="B788" s="195"/>
      <c r="C788" s="195"/>
      <c r="D788" s="1400"/>
      <c r="E788" s="1400"/>
      <c r="H788" s="195"/>
      <c r="I788" s="195"/>
    </row>
    <row r="789">
      <c r="B789" s="195"/>
      <c r="C789" s="195"/>
      <c r="D789" s="1400"/>
      <c r="E789" s="1400"/>
      <c r="H789" s="195"/>
      <c r="I789" s="195"/>
    </row>
    <row r="790">
      <c r="B790" s="195"/>
      <c r="C790" s="195"/>
      <c r="D790" s="1400"/>
      <c r="E790" s="1400"/>
      <c r="H790" s="195"/>
      <c r="I790" s="195"/>
    </row>
    <row r="791">
      <c r="B791" s="195"/>
      <c r="C791" s="195"/>
      <c r="D791" s="1400"/>
      <c r="E791" s="1400"/>
      <c r="H791" s="195"/>
      <c r="I791" s="195"/>
    </row>
    <row r="792">
      <c r="B792" s="195"/>
      <c r="C792" s="195"/>
      <c r="D792" s="1400"/>
      <c r="E792" s="1400"/>
      <c r="H792" s="195"/>
      <c r="I792" s="195"/>
    </row>
    <row r="793">
      <c r="B793" s="195"/>
      <c r="C793" s="195"/>
      <c r="D793" s="1400"/>
      <c r="E793" s="1400"/>
      <c r="H793" s="195"/>
      <c r="I793" s="195"/>
    </row>
    <row r="794">
      <c r="B794" s="195"/>
      <c r="C794" s="195"/>
      <c r="D794" s="1400"/>
      <c r="E794" s="1400"/>
      <c r="H794" s="195"/>
      <c r="I794" s="195"/>
    </row>
    <row r="795">
      <c r="B795" s="195"/>
      <c r="C795" s="195"/>
      <c r="D795" s="1400"/>
      <c r="E795" s="1400"/>
      <c r="H795" s="195"/>
      <c r="I795" s="195"/>
    </row>
    <row r="796">
      <c r="B796" s="195"/>
      <c r="C796" s="195"/>
      <c r="D796" s="1400"/>
      <c r="E796" s="1400"/>
      <c r="H796" s="195"/>
      <c r="I796" s="195"/>
    </row>
    <row r="797">
      <c r="B797" s="195"/>
      <c r="C797" s="195"/>
      <c r="D797" s="1400"/>
      <c r="E797" s="1400"/>
      <c r="H797" s="195"/>
      <c r="I797" s="195"/>
    </row>
    <row r="798">
      <c r="B798" s="195"/>
      <c r="C798" s="195"/>
      <c r="D798" s="1400"/>
      <c r="E798" s="1400"/>
      <c r="H798" s="195"/>
      <c r="I798" s="195"/>
    </row>
    <row r="799">
      <c r="B799" s="195"/>
      <c r="C799" s="195"/>
      <c r="D799" s="1400"/>
      <c r="E799" s="1400"/>
      <c r="H799" s="195"/>
      <c r="I799" s="195"/>
    </row>
    <row r="800">
      <c r="B800" s="195"/>
      <c r="C800" s="195"/>
      <c r="D800" s="1400"/>
      <c r="E800" s="1400"/>
      <c r="H800" s="195"/>
      <c r="I800" s="195"/>
    </row>
    <row r="801">
      <c r="B801" s="195"/>
      <c r="C801" s="195"/>
      <c r="D801" s="1400"/>
      <c r="E801" s="1400"/>
      <c r="H801" s="195"/>
      <c r="I801" s="195"/>
    </row>
    <row r="802">
      <c r="B802" s="195"/>
      <c r="C802" s="195"/>
      <c r="D802" s="1400"/>
      <c r="E802" s="1400"/>
      <c r="H802" s="195"/>
      <c r="I802" s="195"/>
    </row>
    <row r="803">
      <c r="B803" s="195"/>
      <c r="C803" s="195"/>
      <c r="D803" s="1400"/>
      <c r="E803" s="1400"/>
      <c r="H803" s="195"/>
      <c r="I803" s="195"/>
    </row>
    <row r="804">
      <c r="B804" s="195"/>
      <c r="C804" s="195"/>
      <c r="D804" s="1400"/>
      <c r="E804" s="1400"/>
      <c r="H804" s="195"/>
      <c r="I804" s="195"/>
    </row>
    <row r="805">
      <c r="B805" s="195"/>
      <c r="C805" s="195"/>
      <c r="D805" s="1400"/>
      <c r="E805" s="1400"/>
      <c r="H805" s="195"/>
      <c r="I805" s="195"/>
    </row>
    <row r="806">
      <c r="B806" s="195"/>
      <c r="C806" s="195"/>
      <c r="D806" s="1400"/>
      <c r="E806" s="1400"/>
      <c r="H806" s="195"/>
      <c r="I806" s="195"/>
    </row>
    <row r="807">
      <c r="B807" s="195"/>
      <c r="C807" s="195"/>
      <c r="D807" s="1400"/>
      <c r="E807" s="1400"/>
      <c r="H807" s="195"/>
      <c r="I807" s="195"/>
    </row>
    <row r="808">
      <c r="B808" s="195"/>
      <c r="C808" s="195"/>
      <c r="D808" s="1400"/>
      <c r="E808" s="1400"/>
      <c r="H808" s="195"/>
      <c r="I808" s="195"/>
    </row>
    <row r="809">
      <c r="B809" s="195"/>
      <c r="C809" s="195"/>
      <c r="D809" s="1400"/>
      <c r="E809" s="1400"/>
      <c r="H809" s="195"/>
      <c r="I809" s="195"/>
    </row>
    <row r="810">
      <c r="B810" s="195"/>
      <c r="C810" s="195"/>
      <c r="D810" s="1400"/>
      <c r="E810" s="1400"/>
      <c r="H810" s="195"/>
      <c r="I810" s="195"/>
    </row>
    <row r="811">
      <c r="B811" s="195"/>
      <c r="C811" s="195"/>
      <c r="D811" s="1400"/>
      <c r="E811" s="1400"/>
      <c r="H811" s="195"/>
      <c r="I811" s="195"/>
    </row>
    <row r="812">
      <c r="B812" s="195"/>
      <c r="C812" s="195"/>
      <c r="D812" s="1400"/>
      <c r="E812" s="1400"/>
      <c r="H812" s="195"/>
      <c r="I812" s="195"/>
    </row>
    <row r="813">
      <c r="B813" s="195"/>
      <c r="C813" s="195"/>
      <c r="D813" s="1400"/>
      <c r="E813" s="1400"/>
      <c r="H813" s="195"/>
      <c r="I813" s="195"/>
    </row>
    <row r="814">
      <c r="B814" s="195"/>
      <c r="C814" s="195"/>
      <c r="D814" s="1400"/>
      <c r="E814" s="1400"/>
      <c r="H814" s="195"/>
      <c r="I814" s="195"/>
    </row>
    <row r="815">
      <c r="B815" s="195"/>
      <c r="C815" s="195"/>
      <c r="D815" s="1400"/>
      <c r="E815" s="1400"/>
      <c r="H815" s="195"/>
      <c r="I815" s="195"/>
    </row>
    <row r="816">
      <c r="B816" s="195"/>
      <c r="C816" s="195"/>
      <c r="D816" s="1400"/>
      <c r="E816" s="1400"/>
      <c r="H816" s="195"/>
      <c r="I816" s="195"/>
    </row>
    <row r="817">
      <c r="B817" s="195"/>
      <c r="C817" s="195"/>
      <c r="D817" s="1400"/>
      <c r="E817" s="1400"/>
      <c r="H817" s="195"/>
      <c r="I817" s="195"/>
    </row>
    <row r="818">
      <c r="B818" s="195"/>
      <c r="C818" s="195"/>
      <c r="D818" s="1400"/>
      <c r="E818" s="1400"/>
      <c r="H818" s="195"/>
      <c r="I818" s="195"/>
    </row>
    <row r="819">
      <c r="B819" s="195"/>
      <c r="C819" s="195"/>
      <c r="D819" s="1400"/>
      <c r="E819" s="1400"/>
      <c r="H819" s="195"/>
      <c r="I819" s="195"/>
    </row>
    <row r="820">
      <c r="B820" s="195"/>
      <c r="C820" s="195"/>
      <c r="D820" s="1400"/>
      <c r="E820" s="1400"/>
      <c r="H820" s="195"/>
      <c r="I820" s="195"/>
    </row>
    <row r="821">
      <c r="B821" s="195"/>
      <c r="C821" s="195"/>
      <c r="D821" s="1400"/>
      <c r="E821" s="1400"/>
      <c r="H821" s="195"/>
      <c r="I821" s="195"/>
    </row>
    <row r="822">
      <c r="B822" s="195"/>
      <c r="C822" s="195"/>
      <c r="D822" s="1400"/>
      <c r="E822" s="1400"/>
      <c r="H822" s="195"/>
      <c r="I822" s="195"/>
    </row>
    <row r="823">
      <c r="B823" s="195"/>
      <c r="C823" s="195"/>
      <c r="D823" s="1400"/>
      <c r="E823" s="1400"/>
      <c r="H823" s="195"/>
      <c r="I823" s="195"/>
    </row>
    <row r="824">
      <c r="B824" s="195"/>
      <c r="C824" s="195"/>
      <c r="D824" s="1400"/>
      <c r="E824" s="1400"/>
      <c r="H824" s="195"/>
      <c r="I824" s="195"/>
    </row>
    <row r="825">
      <c r="B825" s="195"/>
      <c r="C825" s="195"/>
      <c r="D825" s="1400"/>
      <c r="E825" s="1400"/>
      <c r="H825" s="195"/>
      <c r="I825" s="195"/>
    </row>
    <row r="826">
      <c r="B826" s="195"/>
      <c r="C826" s="195"/>
      <c r="D826" s="1400"/>
      <c r="E826" s="1400"/>
      <c r="H826" s="195"/>
      <c r="I826" s="195"/>
    </row>
    <row r="827">
      <c r="B827" s="195"/>
      <c r="C827" s="195"/>
      <c r="D827" s="1400"/>
      <c r="E827" s="1400"/>
      <c r="H827" s="195"/>
      <c r="I827" s="195"/>
    </row>
    <row r="828">
      <c r="B828" s="195"/>
      <c r="C828" s="195"/>
      <c r="D828" s="1400"/>
      <c r="E828" s="1400"/>
      <c r="H828" s="195"/>
      <c r="I828" s="195"/>
    </row>
    <row r="829">
      <c r="B829" s="195"/>
      <c r="C829" s="195"/>
      <c r="D829" s="1400"/>
      <c r="E829" s="1400"/>
      <c r="H829" s="195"/>
      <c r="I829" s="195"/>
    </row>
    <row r="830">
      <c r="B830" s="195"/>
      <c r="C830" s="195"/>
      <c r="D830" s="1400"/>
      <c r="E830" s="1400"/>
      <c r="H830" s="195"/>
      <c r="I830" s="195"/>
    </row>
    <row r="831">
      <c r="B831" s="195"/>
      <c r="C831" s="195"/>
      <c r="D831" s="1400"/>
      <c r="E831" s="1400"/>
      <c r="H831" s="195"/>
      <c r="I831" s="195"/>
    </row>
    <row r="832">
      <c r="B832" s="195"/>
      <c r="C832" s="195"/>
      <c r="D832" s="1400"/>
      <c r="E832" s="1400"/>
      <c r="H832" s="195"/>
      <c r="I832" s="195"/>
    </row>
    <row r="833">
      <c r="B833" s="195"/>
      <c r="C833" s="195"/>
      <c r="D833" s="1400"/>
      <c r="E833" s="1400"/>
      <c r="H833" s="195"/>
      <c r="I833" s="195"/>
    </row>
    <row r="834">
      <c r="B834" s="195"/>
      <c r="C834" s="195"/>
      <c r="D834" s="1400"/>
      <c r="E834" s="1400"/>
      <c r="H834" s="195"/>
      <c r="I834" s="195"/>
    </row>
    <row r="835">
      <c r="B835" s="195"/>
      <c r="C835" s="195"/>
      <c r="D835" s="1400"/>
      <c r="E835" s="1400"/>
      <c r="H835" s="195"/>
      <c r="I835" s="195"/>
    </row>
    <row r="836">
      <c r="B836" s="195"/>
      <c r="C836" s="195"/>
      <c r="D836" s="1400"/>
      <c r="E836" s="1400"/>
      <c r="H836" s="195"/>
      <c r="I836" s="195"/>
    </row>
    <row r="837">
      <c r="B837" s="195"/>
      <c r="C837" s="195"/>
      <c r="D837" s="1400"/>
      <c r="E837" s="1400"/>
      <c r="H837" s="195"/>
      <c r="I837" s="195"/>
    </row>
    <row r="838">
      <c r="B838" s="195"/>
      <c r="C838" s="195"/>
      <c r="D838" s="1400"/>
      <c r="E838" s="1400"/>
      <c r="H838" s="195"/>
      <c r="I838" s="195"/>
    </row>
    <row r="839">
      <c r="B839" s="195"/>
      <c r="C839" s="195"/>
      <c r="D839" s="1400"/>
      <c r="E839" s="1400"/>
      <c r="H839" s="195"/>
      <c r="I839" s="195"/>
    </row>
    <row r="840">
      <c r="B840" s="195"/>
      <c r="C840" s="195"/>
      <c r="D840" s="1400"/>
      <c r="E840" s="1400"/>
      <c r="H840" s="195"/>
      <c r="I840" s="195"/>
    </row>
    <row r="841">
      <c r="B841" s="195"/>
      <c r="C841" s="195"/>
      <c r="D841" s="1400"/>
      <c r="E841" s="1400"/>
      <c r="H841" s="195"/>
      <c r="I841" s="195"/>
    </row>
    <row r="842">
      <c r="B842" s="195"/>
      <c r="C842" s="195"/>
      <c r="D842" s="1400"/>
      <c r="E842" s="1400"/>
      <c r="H842" s="195"/>
      <c r="I842" s="195"/>
    </row>
    <row r="843">
      <c r="B843" s="195"/>
      <c r="C843" s="195"/>
      <c r="D843" s="1400"/>
      <c r="E843" s="1400"/>
      <c r="H843" s="195"/>
      <c r="I843" s="195"/>
    </row>
    <row r="844">
      <c r="B844" s="195"/>
      <c r="C844" s="195"/>
      <c r="D844" s="1400"/>
      <c r="E844" s="1400"/>
      <c r="H844" s="195"/>
      <c r="I844" s="195"/>
    </row>
    <row r="845">
      <c r="B845" s="195"/>
      <c r="C845" s="195"/>
      <c r="D845" s="1400"/>
      <c r="E845" s="1400"/>
      <c r="H845" s="195"/>
      <c r="I845" s="195"/>
    </row>
    <row r="846">
      <c r="B846" s="195"/>
      <c r="C846" s="195"/>
      <c r="D846" s="1400"/>
      <c r="E846" s="1400"/>
      <c r="H846" s="195"/>
      <c r="I846" s="195"/>
    </row>
    <row r="847">
      <c r="B847" s="195"/>
      <c r="C847" s="195"/>
      <c r="D847" s="1400"/>
      <c r="E847" s="1400"/>
      <c r="H847" s="195"/>
      <c r="I847" s="195"/>
    </row>
    <row r="848">
      <c r="B848" s="195"/>
      <c r="C848" s="195"/>
      <c r="D848" s="1400"/>
      <c r="E848" s="1400"/>
      <c r="H848" s="195"/>
      <c r="I848" s="195"/>
    </row>
    <row r="849">
      <c r="B849" s="195"/>
      <c r="C849" s="195"/>
      <c r="D849" s="1400"/>
      <c r="E849" s="1400"/>
      <c r="H849" s="195"/>
      <c r="I849" s="195"/>
    </row>
    <row r="850">
      <c r="B850" s="195"/>
      <c r="C850" s="195"/>
      <c r="D850" s="1400"/>
      <c r="E850" s="1400"/>
      <c r="H850" s="195"/>
      <c r="I850" s="195"/>
    </row>
    <row r="851">
      <c r="B851" s="195"/>
      <c r="C851" s="195"/>
      <c r="D851" s="1400"/>
      <c r="E851" s="1400"/>
      <c r="H851" s="195"/>
      <c r="I851" s="195"/>
    </row>
    <row r="852">
      <c r="B852" s="195"/>
      <c r="C852" s="195"/>
      <c r="D852" s="1400"/>
      <c r="E852" s="1400"/>
      <c r="H852" s="195"/>
      <c r="I852" s="195"/>
    </row>
    <row r="853">
      <c r="B853" s="195"/>
      <c r="C853" s="195"/>
      <c r="D853" s="1400"/>
      <c r="E853" s="1400"/>
      <c r="H853" s="195"/>
      <c r="I853" s="195"/>
    </row>
    <row r="854">
      <c r="B854" s="195"/>
      <c r="C854" s="195"/>
      <c r="D854" s="1400"/>
      <c r="E854" s="1400"/>
      <c r="H854" s="195"/>
      <c r="I854" s="195"/>
    </row>
    <row r="855">
      <c r="B855" s="195"/>
      <c r="C855" s="195"/>
      <c r="D855" s="1400"/>
      <c r="E855" s="1400"/>
      <c r="H855" s="195"/>
      <c r="I855" s="195"/>
    </row>
    <row r="856">
      <c r="B856" s="195"/>
      <c r="C856" s="195"/>
      <c r="D856" s="1400"/>
      <c r="E856" s="1400"/>
      <c r="H856" s="195"/>
      <c r="I856" s="195"/>
    </row>
    <row r="857">
      <c r="B857" s="195"/>
      <c r="C857" s="195"/>
      <c r="D857" s="1400"/>
      <c r="E857" s="1400"/>
      <c r="H857" s="195"/>
      <c r="I857" s="195"/>
    </row>
    <row r="858">
      <c r="B858" s="195"/>
      <c r="C858" s="195"/>
      <c r="D858" s="1400"/>
      <c r="E858" s="1400"/>
      <c r="H858" s="195"/>
      <c r="I858" s="195"/>
    </row>
    <row r="859">
      <c r="B859" s="195"/>
      <c r="C859" s="195"/>
      <c r="D859" s="1400"/>
      <c r="E859" s="1400"/>
      <c r="H859" s="195"/>
      <c r="I859" s="195"/>
    </row>
    <row r="860">
      <c r="B860" s="195"/>
      <c r="C860" s="195"/>
      <c r="D860" s="1400"/>
      <c r="E860" s="1400"/>
      <c r="H860" s="195"/>
      <c r="I860" s="195"/>
    </row>
    <row r="861">
      <c r="B861" s="195"/>
      <c r="C861" s="195"/>
      <c r="D861" s="1400"/>
      <c r="E861" s="1400"/>
      <c r="H861" s="195"/>
      <c r="I861" s="195"/>
    </row>
    <row r="862">
      <c r="B862" s="195"/>
      <c r="C862" s="195"/>
      <c r="D862" s="1400"/>
      <c r="E862" s="1400"/>
      <c r="H862" s="195"/>
      <c r="I862" s="195"/>
    </row>
    <row r="863">
      <c r="B863" s="195"/>
      <c r="C863" s="195"/>
      <c r="D863" s="1400"/>
      <c r="E863" s="1400"/>
      <c r="H863" s="195"/>
      <c r="I863" s="195"/>
    </row>
    <row r="864">
      <c r="B864" s="195"/>
      <c r="C864" s="195"/>
      <c r="D864" s="1400"/>
      <c r="E864" s="1400"/>
      <c r="H864" s="195"/>
      <c r="I864" s="195"/>
    </row>
    <row r="865">
      <c r="B865" s="195"/>
      <c r="C865" s="195"/>
      <c r="D865" s="1400"/>
      <c r="E865" s="1400"/>
      <c r="H865" s="195"/>
      <c r="I865" s="195"/>
    </row>
    <row r="866">
      <c r="B866" s="195"/>
      <c r="C866" s="195"/>
      <c r="D866" s="1400"/>
      <c r="E866" s="1400"/>
      <c r="H866" s="195"/>
      <c r="I866" s="195"/>
    </row>
    <row r="867">
      <c r="B867" s="195"/>
      <c r="C867" s="195"/>
      <c r="D867" s="1400"/>
      <c r="E867" s="1400"/>
      <c r="H867" s="195"/>
      <c r="I867" s="195"/>
    </row>
    <row r="868">
      <c r="B868" s="195"/>
      <c r="C868" s="195"/>
      <c r="D868" s="1400"/>
      <c r="E868" s="1400"/>
      <c r="H868" s="195"/>
      <c r="I868" s="195"/>
    </row>
    <row r="869">
      <c r="B869" s="195"/>
      <c r="C869" s="195"/>
      <c r="D869" s="1400"/>
      <c r="E869" s="1400"/>
      <c r="H869" s="195"/>
      <c r="I869" s="195"/>
    </row>
    <row r="870">
      <c r="B870" s="195"/>
      <c r="C870" s="195"/>
      <c r="D870" s="1400"/>
      <c r="E870" s="1400"/>
      <c r="H870" s="195"/>
      <c r="I870" s="195"/>
    </row>
    <row r="871">
      <c r="B871" s="195"/>
      <c r="C871" s="195"/>
      <c r="D871" s="1400"/>
      <c r="E871" s="1400"/>
      <c r="H871" s="195"/>
      <c r="I871" s="195"/>
    </row>
    <row r="872">
      <c r="B872" s="195"/>
      <c r="C872" s="195"/>
      <c r="D872" s="1400"/>
      <c r="E872" s="1400"/>
      <c r="H872" s="195"/>
      <c r="I872" s="195"/>
    </row>
    <row r="873">
      <c r="B873" s="195"/>
      <c r="C873" s="195"/>
      <c r="D873" s="1400"/>
      <c r="E873" s="1400"/>
      <c r="H873" s="195"/>
      <c r="I873" s="195"/>
    </row>
    <row r="874">
      <c r="B874" s="195"/>
      <c r="C874" s="195"/>
      <c r="D874" s="1400"/>
      <c r="E874" s="1400"/>
      <c r="H874" s="195"/>
      <c r="I874" s="195"/>
    </row>
    <row r="875">
      <c r="B875" s="195"/>
      <c r="C875" s="195"/>
      <c r="D875" s="1400"/>
      <c r="E875" s="1400"/>
      <c r="H875" s="195"/>
      <c r="I875" s="195"/>
    </row>
    <row r="876">
      <c r="B876" s="195"/>
      <c r="C876" s="195"/>
      <c r="D876" s="1400"/>
      <c r="E876" s="1400"/>
      <c r="H876" s="195"/>
      <c r="I876" s="195"/>
    </row>
    <row r="877">
      <c r="B877" s="195"/>
      <c r="C877" s="195"/>
      <c r="D877" s="1400"/>
      <c r="E877" s="1400"/>
      <c r="H877" s="195"/>
      <c r="I877" s="195"/>
    </row>
    <row r="878">
      <c r="B878" s="195"/>
      <c r="C878" s="195"/>
      <c r="D878" s="1400"/>
      <c r="E878" s="1400"/>
      <c r="H878" s="195"/>
      <c r="I878" s="195"/>
    </row>
    <row r="879">
      <c r="B879" s="195"/>
      <c r="C879" s="195"/>
      <c r="D879" s="1400"/>
      <c r="E879" s="1400"/>
      <c r="H879" s="195"/>
      <c r="I879" s="195"/>
    </row>
    <row r="880">
      <c r="B880" s="195"/>
      <c r="C880" s="195"/>
      <c r="D880" s="1400"/>
      <c r="E880" s="1400"/>
      <c r="H880" s="195"/>
      <c r="I880" s="195"/>
    </row>
    <row r="881">
      <c r="B881" s="195"/>
      <c r="C881" s="195"/>
      <c r="D881" s="1400"/>
      <c r="E881" s="1400"/>
      <c r="H881" s="195"/>
      <c r="I881" s="195"/>
    </row>
    <row r="882">
      <c r="B882" s="195"/>
      <c r="C882" s="195"/>
      <c r="D882" s="1400"/>
      <c r="E882" s="1400"/>
      <c r="H882" s="195"/>
      <c r="I882" s="195"/>
    </row>
    <row r="883">
      <c r="B883" s="195"/>
      <c r="C883" s="195"/>
      <c r="D883" s="1400"/>
      <c r="E883" s="1400"/>
      <c r="H883" s="195"/>
      <c r="I883" s="195"/>
    </row>
    <row r="884">
      <c r="B884" s="195"/>
      <c r="C884" s="195"/>
      <c r="D884" s="1400"/>
      <c r="E884" s="1400"/>
      <c r="H884" s="195"/>
      <c r="I884" s="195"/>
    </row>
    <row r="885">
      <c r="B885" s="195"/>
      <c r="C885" s="195"/>
      <c r="D885" s="1400"/>
      <c r="E885" s="1400"/>
      <c r="H885" s="195"/>
      <c r="I885" s="195"/>
    </row>
    <row r="886">
      <c r="B886" s="195"/>
      <c r="C886" s="195"/>
      <c r="D886" s="1400"/>
      <c r="E886" s="1400"/>
      <c r="H886" s="195"/>
      <c r="I886" s="195"/>
    </row>
    <row r="887">
      <c r="B887" s="195"/>
      <c r="C887" s="195"/>
      <c r="D887" s="1400"/>
      <c r="E887" s="1400"/>
      <c r="H887" s="195"/>
      <c r="I887" s="195"/>
    </row>
    <row r="888">
      <c r="B888" s="195"/>
      <c r="C888" s="195"/>
      <c r="D888" s="1400"/>
      <c r="E888" s="1400"/>
      <c r="H888" s="195"/>
      <c r="I888" s="195"/>
    </row>
    <row r="889">
      <c r="B889" s="195"/>
      <c r="C889" s="195"/>
      <c r="D889" s="1400"/>
      <c r="E889" s="1400"/>
      <c r="H889" s="195"/>
      <c r="I889" s="195"/>
    </row>
    <row r="890">
      <c r="B890" s="195"/>
      <c r="C890" s="195"/>
      <c r="D890" s="1400"/>
      <c r="E890" s="1400"/>
      <c r="H890" s="195"/>
      <c r="I890" s="195"/>
    </row>
    <row r="891">
      <c r="B891" s="195"/>
      <c r="C891" s="195"/>
      <c r="D891" s="1400"/>
      <c r="E891" s="1400"/>
      <c r="H891" s="195"/>
      <c r="I891" s="195"/>
    </row>
    <row r="892">
      <c r="B892" s="195"/>
      <c r="C892" s="195"/>
      <c r="D892" s="1400"/>
      <c r="E892" s="1400"/>
      <c r="H892" s="195"/>
      <c r="I892" s="195"/>
    </row>
    <row r="893">
      <c r="B893" s="195"/>
      <c r="C893" s="195"/>
      <c r="D893" s="1400"/>
      <c r="E893" s="1400"/>
      <c r="H893" s="195"/>
      <c r="I893" s="195"/>
    </row>
    <row r="894">
      <c r="B894" s="195"/>
      <c r="C894" s="195"/>
      <c r="D894" s="1400"/>
      <c r="E894" s="1400"/>
      <c r="H894" s="195"/>
      <c r="I894" s="195"/>
    </row>
    <row r="895">
      <c r="B895" s="195"/>
      <c r="C895" s="195"/>
      <c r="D895" s="1400"/>
      <c r="E895" s="1400"/>
      <c r="H895" s="195"/>
      <c r="I895" s="195"/>
    </row>
    <row r="896">
      <c r="B896" s="195"/>
      <c r="C896" s="195"/>
      <c r="D896" s="1400"/>
      <c r="E896" s="1400"/>
      <c r="H896" s="195"/>
      <c r="I896" s="195"/>
    </row>
    <row r="897">
      <c r="B897" s="195"/>
      <c r="C897" s="195"/>
      <c r="D897" s="1400"/>
      <c r="E897" s="1400"/>
      <c r="H897" s="195"/>
      <c r="I897" s="195"/>
    </row>
    <row r="898">
      <c r="B898" s="195"/>
      <c r="C898" s="195"/>
      <c r="D898" s="1400"/>
      <c r="E898" s="1400"/>
      <c r="H898" s="195"/>
      <c r="I898" s="195"/>
    </row>
    <row r="899">
      <c r="B899" s="195"/>
      <c r="C899" s="195"/>
      <c r="D899" s="1400"/>
      <c r="E899" s="1400"/>
      <c r="H899" s="195"/>
      <c r="I899" s="195"/>
    </row>
    <row r="900">
      <c r="B900" s="195"/>
      <c r="C900" s="195"/>
      <c r="D900" s="1400"/>
      <c r="E900" s="1400"/>
      <c r="H900" s="195"/>
      <c r="I900" s="195"/>
    </row>
    <row r="901">
      <c r="B901" s="195"/>
      <c r="C901" s="195"/>
      <c r="D901" s="1400"/>
      <c r="E901" s="1400"/>
      <c r="H901" s="195"/>
      <c r="I901" s="195"/>
    </row>
    <row r="902">
      <c r="B902" s="195"/>
      <c r="C902" s="195"/>
      <c r="D902" s="1400"/>
      <c r="E902" s="1400"/>
      <c r="H902" s="195"/>
      <c r="I902" s="195"/>
    </row>
    <row r="903">
      <c r="B903" s="195"/>
      <c r="C903" s="195"/>
      <c r="D903" s="1400"/>
      <c r="E903" s="1400"/>
      <c r="H903" s="195"/>
      <c r="I903" s="195"/>
    </row>
    <row r="904">
      <c r="B904" s="195"/>
      <c r="C904" s="195"/>
      <c r="D904" s="1400"/>
      <c r="E904" s="1400"/>
      <c r="H904" s="195"/>
      <c r="I904" s="195"/>
    </row>
    <row r="905">
      <c r="B905" s="195"/>
      <c r="C905" s="195"/>
      <c r="D905" s="1400"/>
      <c r="E905" s="1400"/>
      <c r="H905" s="195"/>
      <c r="I905" s="195"/>
    </row>
    <row r="906">
      <c r="B906" s="195"/>
      <c r="C906" s="195"/>
      <c r="D906" s="1400"/>
      <c r="E906" s="1400"/>
      <c r="H906" s="195"/>
      <c r="I906" s="195"/>
    </row>
    <row r="907">
      <c r="B907" s="195"/>
      <c r="C907" s="195"/>
      <c r="D907" s="1400"/>
      <c r="E907" s="1400"/>
      <c r="H907" s="195"/>
      <c r="I907" s="195"/>
    </row>
    <row r="908">
      <c r="B908" s="195"/>
      <c r="C908" s="195"/>
      <c r="D908" s="1400"/>
      <c r="E908" s="1400"/>
      <c r="H908" s="195"/>
      <c r="I908" s="195"/>
    </row>
    <row r="909">
      <c r="B909" s="195"/>
      <c r="C909" s="195"/>
      <c r="D909" s="1400"/>
      <c r="E909" s="1400"/>
      <c r="H909" s="195"/>
      <c r="I909" s="195"/>
    </row>
    <row r="910">
      <c r="B910" s="195"/>
      <c r="C910" s="195"/>
      <c r="D910" s="1400"/>
      <c r="E910" s="1400"/>
      <c r="H910" s="195"/>
      <c r="I910" s="195"/>
    </row>
    <row r="911">
      <c r="B911" s="195"/>
      <c r="C911" s="195"/>
      <c r="D911" s="1400"/>
      <c r="E911" s="1400"/>
      <c r="H911" s="195"/>
      <c r="I911" s="195"/>
    </row>
    <row r="912">
      <c r="B912" s="195"/>
      <c r="C912" s="195"/>
      <c r="D912" s="1400"/>
      <c r="E912" s="1400"/>
      <c r="H912" s="195"/>
      <c r="I912" s="195"/>
    </row>
    <row r="913">
      <c r="B913" s="195"/>
      <c r="C913" s="195"/>
      <c r="D913" s="1400"/>
      <c r="E913" s="1400"/>
      <c r="H913" s="195"/>
      <c r="I913" s="195"/>
    </row>
    <row r="914">
      <c r="B914" s="195"/>
      <c r="C914" s="195"/>
      <c r="D914" s="1400"/>
      <c r="E914" s="1400"/>
      <c r="H914" s="195"/>
      <c r="I914" s="195"/>
    </row>
    <row r="915">
      <c r="B915" s="195"/>
      <c r="C915" s="195"/>
      <c r="D915" s="1400"/>
      <c r="E915" s="1400"/>
      <c r="H915" s="195"/>
      <c r="I915" s="195"/>
    </row>
    <row r="916">
      <c r="B916" s="195"/>
      <c r="C916" s="195"/>
      <c r="D916" s="1400"/>
      <c r="E916" s="1400"/>
      <c r="H916" s="195"/>
      <c r="I916" s="195"/>
    </row>
    <row r="917">
      <c r="B917" s="195"/>
      <c r="C917" s="195"/>
      <c r="D917" s="1400"/>
      <c r="E917" s="1400"/>
      <c r="H917" s="195"/>
      <c r="I917" s="195"/>
    </row>
    <row r="918">
      <c r="B918" s="195"/>
      <c r="C918" s="195"/>
      <c r="D918" s="1400"/>
      <c r="E918" s="1400"/>
      <c r="H918" s="195"/>
      <c r="I918" s="195"/>
    </row>
    <row r="919">
      <c r="B919" s="195"/>
      <c r="C919" s="195"/>
      <c r="D919" s="1400"/>
      <c r="E919" s="1400"/>
      <c r="H919" s="195"/>
      <c r="I919" s="195"/>
    </row>
    <row r="920">
      <c r="B920" s="195"/>
      <c r="C920" s="195"/>
      <c r="D920" s="1400"/>
      <c r="E920" s="1400"/>
      <c r="H920" s="195"/>
      <c r="I920" s="195"/>
    </row>
    <row r="921">
      <c r="B921" s="195"/>
      <c r="C921" s="195"/>
      <c r="D921" s="1400"/>
      <c r="E921" s="1400"/>
      <c r="H921" s="195"/>
      <c r="I921" s="195"/>
    </row>
    <row r="922">
      <c r="B922" s="195"/>
      <c r="C922" s="195"/>
      <c r="D922" s="1400"/>
      <c r="E922" s="1400"/>
      <c r="H922" s="195"/>
      <c r="I922" s="195"/>
    </row>
    <row r="923">
      <c r="B923" s="195"/>
      <c r="C923" s="195"/>
      <c r="D923" s="1400"/>
      <c r="E923" s="1400"/>
      <c r="H923" s="195"/>
      <c r="I923" s="195"/>
    </row>
    <row r="924">
      <c r="B924" s="195"/>
      <c r="C924" s="195"/>
      <c r="D924" s="1400"/>
      <c r="E924" s="1400"/>
      <c r="H924" s="195"/>
      <c r="I924" s="195"/>
    </row>
    <row r="925">
      <c r="B925" s="195"/>
      <c r="C925" s="195"/>
      <c r="D925" s="1400"/>
      <c r="E925" s="1400"/>
      <c r="H925" s="195"/>
      <c r="I925" s="195"/>
    </row>
    <row r="926">
      <c r="B926" s="195"/>
      <c r="C926" s="195"/>
      <c r="D926" s="1400"/>
      <c r="E926" s="1400"/>
      <c r="H926" s="195"/>
      <c r="I926" s="195"/>
    </row>
    <row r="927">
      <c r="B927" s="195"/>
      <c r="C927" s="195"/>
      <c r="D927" s="1400"/>
      <c r="E927" s="1400"/>
      <c r="H927" s="195"/>
      <c r="I927" s="195"/>
    </row>
    <row r="928">
      <c r="B928" s="195"/>
      <c r="C928" s="195"/>
      <c r="D928" s="1400"/>
      <c r="E928" s="1400"/>
      <c r="H928" s="195"/>
      <c r="I928" s="195"/>
    </row>
    <row r="929">
      <c r="B929" s="195"/>
      <c r="C929" s="195"/>
      <c r="D929" s="1400"/>
      <c r="E929" s="1400"/>
      <c r="H929" s="195"/>
      <c r="I929" s="195"/>
    </row>
    <row r="930">
      <c r="B930" s="195"/>
      <c r="C930" s="195"/>
      <c r="D930" s="1400"/>
      <c r="E930" s="1400"/>
      <c r="H930" s="195"/>
      <c r="I930" s="195"/>
    </row>
    <row r="931">
      <c r="B931" s="195"/>
      <c r="C931" s="195"/>
      <c r="D931" s="1400"/>
      <c r="E931" s="1400"/>
      <c r="H931" s="195"/>
      <c r="I931" s="195"/>
    </row>
    <row r="932">
      <c r="B932" s="195"/>
      <c r="C932" s="195"/>
      <c r="D932" s="1400"/>
      <c r="E932" s="1400"/>
      <c r="H932" s="195"/>
      <c r="I932" s="195"/>
    </row>
    <row r="933">
      <c r="B933" s="195"/>
      <c r="C933" s="195"/>
      <c r="D933" s="1400"/>
      <c r="E933" s="1400"/>
      <c r="H933" s="195"/>
      <c r="I933" s="195"/>
    </row>
    <row r="934">
      <c r="B934" s="195"/>
      <c r="C934" s="195"/>
      <c r="D934" s="1400"/>
      <c r="E934" s="1400"/>
      <c r="H934" s="195"/>
      <c r="I934" s="195"/>
    </row>
    <row r="935">
      <c r="B935" s="195"/>
      <c r="C935" s="195"/>
      <c r="D935" s="1400"/>
      <c r="E935" s="1400"/>
      <c r="H935" s="195"/>
      <c r="I935" s="195"/>
    </row>
    <row r="936">
      <c r="B936" s="195"/>
      <c r="C936" s="195"/>
      <c r="D936" s="1400"/>
      <c r="E936" s="1400"/>
      <c r="H936" s="195"/>
      <c r="I936" s="195"/>
    </row>
    <row r="937">
      <c r="B937" s="195"/>
      <c r="C937" s="195"/>
      <c r="D937" s="1400"/>
      <c r="E937" s="1400"/>
      <c r="H937" s="195"/>
      <c r="I937" s="195"/>
    </row>
    <row r="938">
      <c r="B938" s="195"/>
      <c r="C938" s="195"/>
      <c r="D938" s="1400"/>
      <c r="E938" s="1400"/>
      <c r="H938" s="195"/>
      <c r="I938" s="195"/>
    </row>
    <row r="939">
      <c r="B939" s="195"/>
      <c r="C939" s="195"/>
      <c r="D939" s="1400"/>
      <c r="E939" s="1400"/>
      <c r="H939" s="195"/>
      <c r="I939" s="195"/>
    </row>
    <row r="940">
      <c r="B940" s="195"/>
      <c r="C940" s="195"/>
      <c r="D940" s="1400"/>
      <c r="E940" s="1400"/>
      <c r="H940" s="195"/>
      <c r="I940" s="195"/>
    </row>
    <row r="941">
      <c r="B941" s="195"/>
      <c r="C941" s="195"/>
      <c r="D941" s="1400"/>
      <c r="E941" s="1400"/>
      <c r="H941" s="195"/>
      <c r="I941" s="195"/>
    </row>
    <row r="942">
      <c r="B942" s="195"/>
      <c r="C942" s="195"/>
      <c r="D942" s="1400"/>
      <c r="E942" s="1400"/>
      <c r="H942" s="195"/>
      <c r="I942" s="195"/>
    </row>
    <row r="943">
      <c r="B943" s="195"/>
      <c r="C943" s="195"/>
      <c r="D943" s="1400"/>
      <c r="E943" s="1400"/>
      <c r="H943" s="195"/>
      <c r="I943" s="195"/>
    </row>
    <row r="944">
      <c r="B944" s="195"/>
      <c r="C944" s="195"/>
      <c r="D944" s="1400"/>
      <c r="E944" s="1400"/>
      <c r="H944" s="195"/>
      <c r="I944" s="195"/>
    </row>
    <row r="945">
      <c r="B945" s="195"/>
      <c r="C945" s="195"/>
      <c r="D945" s="1400"/>
      <c r="E945" s="1400"/>
      <c r="H945" s="195"/>
      <c r="I945" s="195"/>
    </row>
    <row r="946">
      <c r="B946" s="195"/>
      <c r="C946" s="195"/>
      <c r="D946" s="1400"/>
      <c r="E946" s="1400"/>
      <c r="H946" s="195"/>
      <c r="I946" s="195"/>
    </row>
    <row r="947">
      <c r="B947" s="195"/>
      <c r="C947" s="195"/>
      <c r="D947" s="1400"/>
      <c r="E947" s="1400"/>
      <c r="H947" s="195"/>
      <c r="I947" s="195"/>
    </row>
    <row r="948">
      <c r="B948" s="195"/>
      <c r="C948" s="195"/>
      <c r="D948" s="1400"/>
      <c r="E948" s="1400"/>
      <c r="H948" s="195"/>
      <c r="I948" s="195"/>
    </row>
    <row r="949">
      <c r="B949" s="195"/>
      <c r="C949" s="195"/>
      <c r="D949" s="1400"/>
      <c r="E949" s="1400"/>
      <c r="H949" s="195"/>
      <c r="I949" s="195"/>
    </row>
    <row r="950">
      <c r="B950" s="195"/>
      <c r="C950" s="195"/>
      <c r="D950" s="1400"/>
      <c r="E950" s="1400"/>
      <c r="H950" s="195"/>
      <c r="I950" s="195"/>
    </row>
    <row r="951">
      <c r="B951" s="195"/>
      <c r="C951" s="195"/>
      <c r="D951" s="1400"/>
      <c r="E951" s="1400"/>
      <c r="H951" s="195"/>
      <c r="I951" s="195"/>
    </row>
    <row r="952">
      <c r="B952" s="195"/>
      <c r="C952" s="195"/>
      <c r="D952" s="1400"/>
      <c r="E952" s="1400"/>
      <c r="H952" s="195"/>
      <c r="I952" s="195"/>
    </row>
    <row r="953">
      <c r="B953" s="195"/>
      <c r="C953" s="195"/>
      <c r="D953" s="1400"/>
      <c r="E953" s="1400"/>
      <c r="H953" s="195"/>
      <c r="I953" s="195"/>
    </row>
    <row r="954">
      <c r="B954" s="195"/>
      <c r="C954" s="195"/>
      <c r="D954" s="1400"/>
      <c r="E954" s="1400"/>
      <c r="H954" s="195"/>
      <c r="I954" s="195"/>
    </row>
    <row r="955">
      <c r="B955" s="195"/>
      <c r="C955" s="195"/>
      <c r="D955" s="1400"/>
      <c r="E955" s="1400"/>
      <c r="H955" s="195"/>
      <c r="I955" s="195"/>
    </row>
    <row r="956">
      <c r="B956" s="195"/>
      <c r="C956" s="195"/>
      <c r="D956" s="1400"/>
      <c r="E956" s="1400"/>
      <c r="H956" s="195"/>
      <c r="I956" s="195"/>
    </row>
    <row r="957">
      <c r="B957" s="195"/>
      <c r="C957" s="195"/>
      <c r="D957" s="1400"/>
      <c r="E957" s="1400"/>
      <c r="H957" s="195"/>
      <c r="I957" s="195"/>
    </row>
    <row r="958">
      <c r="B958" s="195"/>
      <c r="C958" s="195"/>
      <c r="D958" s="1400"/>
      <c r="E958" s="1400"/>
      <c r="H958" s="195"/>
      <c r="I958" s="195"/>
    </row>
    <row r="959">
      <c r="B959" s="195"/>
      <c r="C959" s="195"/>
      <c r="D959" s="1400"/>
      <c r="E959" s="1400"/>
      <c r="H959" s="195"/>
      <c r="I959" s="195"/>
    </row>
    <row r="960">
      <c r="B960" s="195"/>
      <c r="C960" s="195"/>
      <c r="D960" s="1400"/>
      <c r="E960" s="1400"/>
      <c r="H960" s="195"/>
      <c r="I960" s="195"/>
    </row>
    <row r="961">
      <c r="B961" s="195"/>
      <c r="C961" s="195"/>
      <c r="D961" s="1400"/>
      <c r="E961" s="1400"/>
      <c r="H961" s="195"/>
      <c r="I961" s="195"/>
    </row>
    <row r="962">
      <c r="B962" s="195"/>
      <c r="C962" s="195"/>
      <c r="D962" s="1400"/>
      <c r="E962" s="1400"/>
      <c r="H962" s="195"/>
      <c r="I962" s="195"/>
    </row>
    <row r="963">
      <c r="B963" s="195"/>
      <c r="C963" s="195"/>
      <c r="D963" s="1400"/>
      <c r="E963" s="1400"/>
      <c r="H963" s="195"/>
      <c r="I963" s="195"/>
    </row>
    <row r="964">
      <c r="B964" s="195"/>
      <c r="C964" s="195"/>
      <c r="D964" s="1400"/>
      <c r="E964" s="1400"/>
      <c r="H964" s="195"/>
      <c r="I964" s="195"/>
    </row>
    <row r="965">
      <c r="B965" s="195"/>
      <c r="C965" s="195"/>
      <c r="D965" s="1400"/>
      <c r="E965" s="1400"/>
      <c r="H965" s="195"/>
      <c r="I965" s="195"/>
    </row>
    <row r="966">
      <c r="B966" s="195"/>
      <c r="C966" s="195"/>
      <c r="D966" s="1400"/>
      <c r="E966" s="1400"/>
      <c r="H966" s="195"/>
      <c r="I966" s="195"/>
    </row>
    <row r="967">
      <c r="B967" s="195"/>
      <c r="C967" s="195"/>
      <c r="D967" s="1400"/>
      <c r="E967" s="1400"/>
      <c r="H967" s="195"/>
      <c r="I967" s="195"/>
    </row>
    <row r="968">
      <c r="B968" s="195"/>
      <c r="C968" s="195"/>
      <c r="D968" s="1400"/>
      <c r="E968" s="1400"/>
      <c r="H968" s="195"/>
      <c r="I968" s="195"/>
    </row>
    <row r="969">
      <c r="B969" s="195"/>
      <c r="C969" s="195"/>
      <c r="D969" s="1400"/>
      <c r="E969" s="1400"/>
      <c r="H969" s="195"/>
      <c r="I969" s="195"/>
    </row>
    <row r="970">
      <c r="B970" s="195"/>
      <c r="C970" s="195"/>
      <c r="D970" s="1400"/>
      <c r="E970" s="1400"/>
      <c r="H970" s="195"/>
      <c r="I970" s="195"/>
    </row>
    <row r="971">
      <c r="B971" s="195"/>
      <c r="C971" s="195"/>
      <c r="D971" s="1400"/>
      <c r="E971" s="1400"/>
      <c r="H971" s="195"/>
      <c r="I971" s="195"/>
    </row>
    <row r="972">
      <c r="B972" s="195"/>
      <c r="C972" s="195"/>
      <c r="D972" s="1400"/>
      <c r="E972" s="1400"/>
      <c r="H972" s="195"/>
      <c r="I972" s="195"/>
    </row>
    <row r="973">
      <c r="B973" s="195"/>
      <c r="C973" s="195"/>
      <c r="D973" s="1400"/>
      <c r="E973" s="1400"/>
      <c r="H973" s="195"/>
      <c r="I973" s="195"/>
    </row>
    <row r="974">
      <c r="B974" s="195"/>
      <c r="C974" s="195"/>
      <c r="D974" s="1400"/>
      <c r="E974" s="1400"/>
      <c r="H974" s="195"/>
      <c r="I974" s="195"/>
    </row>
    <row r="975">
      <c r="B975" s="195"/>
      <c r="C975" s="195"/>
      <c r="D975" s="1400"/>
      <c r="E975" s="1400"/>
      <c r="H975" s="195"/>
      <c r="I975" s="195"/>
    </row>
    <row r="976">
      <c r="B976" s="195"/>
      <c r="C976" s="195"/>
      <c r="D976" s="1400"/>
      <c r="E976" s="1400"/>
      <c r="H976" s="195"/>
      <c r="I976" s="195"/>
    </row>
    <row r="977">
      <c r="B977" s="195"/>
      <c r="C977" s="195"/>
      <c r="D977" s="1400"/>
      <c r="E977" s="1400"/>
      <c r="H977" s="195"/>
      <c r="I977" s="195"/>
    </row>
    <row r="978">
      <c r="B978" s="195"/>
      <c r="C978" s="195"/>
      <c r="D978" s="1400"/>
      <c r="E978" s="1400"/>
      <c r="H978" s="195"/>
      <c r="I978" s="195"/>
    </row>
    <row r="979">
      <c r="B979" s="195"/>
      <c r="C979" s="195"/>
      <c r="D979" s="1400"/>
      <c r="E979" s="1400"/>
      <c r="H979" s="195"/>
      <c r="I979" s="195"/>
    </row>
    <row r="980">
      <c r="B980" s="195"/>
      <c r="C980" s="195"/>
      <c r="D980" s="1400"/>
      <c r="E980" s="1400"/>
      <c r="H980" s="195"/>
      <c r="I980" s="195"/>
    </row>
    <row r="981">
      <c r="B981" s="195"/>
      <c r="C981" s="195"/>
      <c r="D981" s="1400"/>
      <c r="E981" s="1400"/>
    </row>
    <row r="982">
      <c r="B982" s="195"/>
      <c r="C982" s="195"/>
      <c r="D982" s="1400"/>
      <c r="E982" s="1400"/>
    </row>
    <row r="983">
      <c r="B983" s="195"/>
      <c r="C983" s="195"/>
      <c r="D983" s="1400"/>
      <c r="E983" s="1400"/>
    </row>
    <row r="984">
      <c r="B984" s="195"/>
      <c r="C984" s="195"/>
      <c r="D984" s="1400"/>
      <c r="E984" s="1400"/>
    </row>
    <row r="985">
      <c r="B985" s="195"/>
      <c r="C985" s="195"/>
      <c r="D985" s="1400"/>
      <c r="E985" s="1400"/>
    </row>
    <row r="986">
      <c r="B986" s="195"/>
      <c r="C986" s="195"/>
      <c r="D986" s="1400"/>
      <c r="E986" s="1400"/>
    </row>
    <row r="987">
      <c r="B987" s="195"/>
      <c r="C987" s="195"/>
      <c r="D987" s="1400"/>
      <c r="E987" s="1400"/>
    </row>
    <row r="988">
      <c r="B988" s="195"/>
      <c r="C988" s="195"/>
      <c r="D988" s="1400"/>
      <c r="E988" s="1400"/>
    </row>
    <row r="989">
      <c r="B989" s="195"/>
      <c r="C989" s="195"/>
      <c r="D989" s="1400"/>
      <c r="E989" s="1400"/>
    </row>
    <row r="990">
      <c r="B990" s="195"/>
      <c r="C990" s="195"/>
      <c r="D990" s="1400"/>
      <c r="E990" s="1400"/>
    </row>
    <row r="991">
      <c r="B991" s="195"/>
      <c r="C991" s="195"/>
      <c r="D991" s="1400"/>
      <c r="E991" s="1400"/>
    </row>
    <row r="992">
      <c r="B992" s="195"/>
      <c r="C992" s="195"/>
      <c r="D992" s="1400"/>
      <c r="E992" s="1400"/>
    </row>
    <row r="993">
      <c r="B993" s="195"/>
      <c r="C993" s="195"/>
      <c r="D993" s="1400"/>
      <c r="E993" s="1400"/>
    </row>
    <row r="994">
      <c r="B994" s="195"/>
      <c r="C994" s="195"/>
      <c r="D994" s="1400"/>
      <c r="E994" s="1400"/>
    </row>
    <row r="995">
      <c r="B995" s="195"/>
      <c r="C995" s="195"/>
      <c r="D995" s="1400"/>
      <c r="E995" s="1400"/>
    </row>
    <row r="996">
      <c r="B996" s="195"/>
      <c r="C996" s="195"/>
      <c r="D996" s="1400"/>
      <c r="E996" s="1400"/>
    </row>
    <row r="997">
      <c r="B997" s="195"/>
      <c r="C997" s="195"/>
      <c r="D997" s="1400"/>
      <c r="E997" s="1400"/>
    </row>
    <row r="998">
      <c r="B998" s="195"/>
      <c r="C998" s="195"/>
      <c r="D998" s="1400"/>
      <c r="E998" s="1400"/>
    </row>
    <row r="999">
      <c r="B999" s="195"/>
      <c r="C999" s="195"/>
      <c r="D999" s="1400"/>
      <c r="E999" s="1400"/>
    </row>
    <row r="1000">
      <c r="B1000" s="195"/>
      <c r="C1000" s="195"/>
      <c r="D1000" s="1400"/>
      <c r="E1000" s="1400"/>
    </row>
    <row r="1001">
      <c r="B1001" s="195"/>
      <c r="C1001" s="195"/>
      <c r="D1001" s="1400"/>
      <c r="E1001" s="1400"/>
    </row>
    <row r="1002">
      <c r="B1002" s="195"/>
      <c r="C1002" s="195"/>
      <c r="D1002" s="1400"/>
      <c r="E1002" s="1400"/>
    </row>
    <row r="1003">
      <c r="B1003" s="195"/>
      <c r="C1003" s="195"/>
      <c r="D1003" s="1400"/>
      <c r="E1003" s="1400"/>
    </row>
    <row r="1004">
      <c r="B1004" s="195"/>
      <c r="C1004" s="195"/>
      <c r="D1004" s="1400"/>
      <c r="E1004" s="1400"/>
    </row>
    <row r="1005">
      <c r="B1005" s="195"/>
      <c r="C1005" s="195"/>
      <c r="D1005" s="1400"/>
      <c r="E1005" s="1400"/>
    </row>
    <row r="1006">
      <c r="B1006" s="195"/>
      <c r="C1006" s="195"/>
      <c r="D1006" s="1400"/>
      <c r="E1006" s="1400"/>
    </row>
    <row r="1007">
      <c r="B1007" s="195"/>
      <c r="C1007" s="195"/>
      <c r="D1007" s="1400"/>
      <c r="E1007" s="1400"/>
    </row>
    <row r="1008">
      <c r="B1008" s="195"/>
      <c r="C1008" s="195"/>
      <c r="D1008" s="1400"/>
      <c r="E1008" s="1400"/>
    </row>
    <row r="1009">
      <c r="B1009" s="195"/>
      <c r="C1009" s="195"/>
      <c r="D1009" s="1400"/>
      <c r="E1009" s="1400"/>
    </row>
  </sheetData>
  <mergeCells count="3">
    <mergeCell ref="H2:J2"/>
    <mergeCell ref="L2:N2"/>
    <mergeCell ref="H21:J21"/>
  </mergeCells>
  <dataValidations>
    <dataValidation type="list" allowBlank="1" showErrorMessage="1" sqref="B4:B1009">
      <formula1>"да,нет"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1.22" defaultRowHeight="15.0"/>
  <cols>
    <col customWidth="1" min="1" max="1" width="29.22"/>
    <col customWidth="1" min="2" max="2" width="11.56"/>
    <col customWidth="1" min="3" max="3" width="9.89"/>
    <col customWidth="1" min="4" max="4" width="22.22"/>
    <col customWidth="1" min="5" max="5" width="10.22"/>
    <col customWidth="1" min="6" max="6" width="13.67"/>
    <col customWidth="1" min="7" max="7" width="23.78"/>
    <col customWidth="1" min="8" max="8" width="30.22"/>
    <col customWidth="1" min="9" max="9" width="70.0"/>
    <col customWidth="1" min="10" max="10" width="12.67"/>
    <col customWidth="1" min="11" max="11" width="3.44"/>
    <col customWidth="1" min="12" max="12" width="4.11"/>
    <col customWidth="1" min="13" max="13" width="3.44"/>
    <col customWidth="1" min="14" max="14" width="4.22"/>
    <col customWidth="1" min="15" max="15" width="3.22"/>
    <col customWidth="1" min="16" max="16" width="4.33"/>
    <col customWidth="1" min="17" max="17" width="3.56"/>
    <col customWidth="1" min="18" max="21" width="3.67"/>
    <col customWidth="1" min="22" max="22" width="3.89"/>
    <col customWidth="1" min="23" max="26" width="3.67"/>
    <col customWidth="1" min="27" max="27" width="7.67"/>
    <col customWidth="1" min="28" max="28" width="6.11"/>
    <col customWidth="1" hidden="1" min="29" max="29" width="5.11"/>
    <col customWidth="1" hidden="1" min="30" max="30" width="5.0"/>
    <col customWidth="1" min="31" max="32" width="4.89"/>
  </cols>
  <sheetData>
    <row r="1" ht="15.75" customHeight="1">
      <c r="A1" s="1"/>
      <c r="B1" s="2463"/>
      <c r="C1" s="2463"/>
      <c r="D1" s="2463"/>
      <c r="E1" s="2464"/>
      <c r="F1" s="2465"/>
      <c r="G1" s="2466"/>
      <c r="H1" s="2465"/>
      <c r="I1" s="2465"/>
      <c r="J1" s="2465"/>
      <c r="K1" s="2465"/>
      <c r="L1" s="2465"/>
      <c r="M1" s="2465"/>
      <c r="N1" s="2465"/>
      <c r="O1" s="2465"/>
      <c r="P1" s="2465"/>
      <c r="Q1" s="2467"/>
      <c r="R1" s="2467"/>
      <c r="S1" s="2467"/>
      <c r="T1" s="2467"/>
      <c r="U1" s="2467"/>
      <c r="V1" s="2467"/>
      <c r="W1" s="2467"/>
      <c r="X1" s="2467"/>
      <c r="Y1" s="2467"/>
      <c r="Z1" s="2467"/>
      <c r="AA1" s="2467"/>
      <c r="AB1" s="2467"/>
    </row>
    <row r="2" ht="18.75" customHeight="1">
      <c r="A2" s="2468" t="s">
        <v>3270</v>
      </c>
      <c r="B2" s="68"/>
      <c r="C2" s="68"/>
      <c r="D2" s="68"/>
      <c r="E2" s="68"/>
      <c r="F2" s="69"/>
      <c r="G2" s="2469" t="s">
        <v>3271</v>
      </c>
      <c r="H2" s="2468" t="s">
        <v>3272</v>
      </c>
      <c r="I2" s="69"/>
      <c r="J2" s="2470" t="s">
        <v>3273</v>
      </c>
      <c r="K2" s="2465"/>
      <c r="L2" s="2465"/>
      <c r="M2" s="2465"/>
      <c r="N2" s="2465"/>
      <c r="O2" s="2465"/>
      <c r="P2" s="2465"/>
      <c r="Q2" s="2467"/>
      <c r="R2" s="2467"/>
      <c r="S2" s="2467"/>
      <c r="T2" s="2467"/>
      <c r="U2" s="2467"/>
      <c r="V2" s="2467"/>
      <c r="W2" s="2467"/>
      <c r="X2" s="2467"/>
      <c r="Y2" s="2467"/>
      <c r="Z2" s="2467"/>
      <c r="AA2" s="2467"/>
      <c r="AB2" s="2467"/>
      <c r="AC2" s="2471"/>
      <c r="AD2" s="2472"/>
      <c r="AE2" s="1840"/>
      <c r="AF2" s="1840"/>
    </row>
    <row r="3" ht="18.75" customHeight="1">
      <c r="A3" s="2473" t="s">
        <v>3274</v>
      </c>
      <c r="B3" s="2474" t="s">
        <v>3275</v>
      </c>
      <c r="C3" s="69"/>
      <c r="D3" s="2474" t="s">
        <v>1430</v>
      </c>
      <c r="E3" s="69"/>
      <c r="F3" s="2467"/>
      <c r="G3" s="2475"/>
      <c r="H3" s="2474" t="s">
        <v>70</v>
      </c>
      <c r="I3" s="69"/>
      <c r="J3" s="2465"/>
      <c r="K3" s="2465"/>
      <c r="L3" s="2465"/>
      <c r="M3" s="2465"/>
      <c r="N3" s="2465"/>
      <c r="O3" s="2465"/>
      <c r="P3" s="2465"/>
      <c r="Q3" s="2467"/>
      <c r="R3" s="2467"/>
      <c r="S3" s="2467"/>
      <c r="T3" s="2467"/>
      <c r="U3" s="2467"/>
      <c r="V3" s="2467"/>
      <c r="W3" s="2467"/>
      <c r="X3" s="2467"/>
      <c r="Y3" s="2467"/>
      <c r="Z3" s="2467"/>
      <c r="AA3" s="2467"/>
      <c r="AB3" s="2467"/>
      <c r="AC3" s="2476" t="s">
        <v>1334</v>
      </c>
      <c r="AD3" s="1076" t="s">
        <v>1335</v>
      </c>
      <c r="AE3" s="11"/>
      <c r="AF3" s="11"/>
    </row>
    <row r="4" ht="18.75" customHeight="1">
      <c r="A4" s="2477" t="s">
        <v>3276</v>
      </c>
      <c r="B4" s="68"/>
      <c r="C4" s="68"/>
      <c r="D4" s="68"/>
      <c r="E4" s="68"/>
      <c r="F4" s="68"/>
      <c r="G4" s="68"/>
      <c r="H4" s="68"/>
      <c r="I4" s="68"/>
      <c r="J4" s="69"/>
      <c r="K4" s="2465"/>
      <c r="L4" s="2465"/>
      <c r="M4" s="2465"/>
      <c r="N4" s="2465"/>
      <c r="O4" s="2465"/>
      <c r="P4" s="2465"/>
      <c r="Q4" s="2467"/>
      <c r="R4" s="2467"/>
      <c r="S4" s="2467"/>
      <c r="T4" s="2467"/>
      <c r="U4" s="2467"/>
      <c r="V4" s="2467"/>
      <c r="W4" s="2467"/>
      <c r="X4" s="2467"/>
      <c r="Y4" s="2467"/>
      <c r="Z4" s="2467"/>
      <c r="AA4" s="2467"/>
      <c r="AB4" s="2467"/>
      <c r="AC4" s="2478">
        <v>0.15</v>
      </c>
      <c r="AD4" s="1099" t="str">
        <f>#REF!*AC4</f>
        <v>#REF!</v>
      </c>
      <c r="AE4" s="1186"/>
      <c r="AF4" s="1186"/>
    </row>
    <row r="5" ht="18.75" customHeight="1">
      <c r="A5" s="2479" t="s">
        <v>471</v>
      </c>
      <c r="B5" s="2479" t="s">
        <v>3277</v>
      </c>
      <c r="C5" s="2479" t="s">
        <v>3278</v>
      </c>
      <c r="D5" s="2479" t="s">
        <v>1430</v>
      </c>
      <c r="E5" s="2479" t="s">
        <v>3278</v>
      </c>
      <c r="F5" s="2480" t="s">
        <v>3279</v>
      </c>
      <c r="G5" s="2481" t="s">
        <v>3280</v>
      </c>
      <c r="H5" s="2482" t="s">
        <v>3281</v>
      </c>
      <c r="I5" s="2482" t="s">
        <v>3282</v>
      </c>
      <c r="J5" s="2483" t="s">
        <v>3283</v>
      </c>
      <c r="K5" s="2465"/>
      <c r="L5" s="2465"/>
      <c r="M5" s="2465"/>
      <c r="N5" s="2465"/>
      <c r="O5" s="2465"/>
      <c r="P5" s="2465"/>
      <c r="Q5" s="2467"/>
      <c r="R5" s="2467"/>
      <c r="S5" s="2467"/>
      <c r="T5" s="2467"/>
      <c r="U5" s="2467"/>
      <c r="V5" s="2467"/>
      <c r="W5" s="2467"/>
      <c r="X5" s="2467"/>
      <c r="Y5" s="2467"/>
      <c r="Z5" s="2467"/>
      <c r="AA5" s="2467"/>
      <c r="AB5" s="2467"/>
      <c r="AC5" s="2478"/>
      <c r="AD5" s="1099"/>
      <c r="AE5" s="1186"/>
      <c r="AF5" s="1186"/>
    </row>
    <row r="6" ht="18.75" customHeight="1">
      <c r="A6" s="2484" t="s">
        <v>3284</v>
      </c>
      <c r="B6" s="2485" t="s">
        <v>488</v>
      </c>
      <c r="C6" s="2486" t="s">
        <v>3285</v>
      </c>
      <c r="D6" s="2487" t="s">
        <v>3286</v>
      </c>
      <c r="E6" s="2488"/>
      <c r="F6" s="2489" t="s">
        <v>3287</v>
      </c>
      <c r="G6" s="2490" t="s">
        <v>3288</v>
      </c>
      <c r="H6" s="2486" t="s">
        <v>3289</v>
      </c>
      <c r="I6" s="2491" t="s">
        <v>3290</v>
      </c>
      <c r="J6" s="2492" t="s">
        <v>3291</v>
      </c>
      <c r="K6" s="2465"/>
      <c r="L6" s="2465"/>
      <c r="M6" s="2465"/>
      <c r="N6" s="2465"/>
      <c r="O6" s="2465"/>
      <c r="P6" s="2465"/>
      <c r="Q6" s="2467"/>
      <c r="R6" s="2467"/>
      <c r="S6" s="2467"/>
      <c r="T6" s="2467"/>
      <c r="U6" s="2467"/>
      <c r="V6" s="2467"/>
      <c r="W6" s="2467"/>
      <c r="X6" s="2467"/>
      <c r="Y6" s="2467"/>
      <c r="Z6" s="2467"/>
      <c r="AA6" s="2467"/>
      <c r="AB6" s="2467"/>
      <c r="AC6" s="2478">
        <v>0.1</v>
      </c>
      <c r="AD6" s="1099" t="str">
        <f t="shared" ref="AD6:AD8" si="1">#REF!*AC6</f>
        <v>#REF!</v>
      </c>
      <c r="AE6" s="1186"/>
      <c r="AF6" s="1186"/>
    </row>
    <row r="7" ht="18.75" customHeight="1">
      <c r="A7" s="2493" t="s">
        <v>530</v>
      </c>
      <c r="B7" s="2493" t="s">
        <v>496</v>
      </c>
      <c r="C7" s="2486" t="s">
        <v>510</v>
      </c>
      <c r="D7" s="2494" t="s">
        <v>493</v>
      </c>
      <c r="E7" s="2486" t="s">
        <v>3292</v>
      </c>
      <c r="F7" s="2486">
        <v>250.0</v>
      </c>
      <c r="G7" s="598"/>
      <c r="H7" s="2486" t="s">
        <v>3293</v>
      </c>
      <c r="I7" s="2489" t="s">
        <v>3294</v>
      </c>
      <c r="J7" s="598"/>
      <c r="K7" s="2465"/>
      <c r="L7" s="2465"/>
      <c r="M7" s="2465"/>
      <c r="N7" s="2465"/>
      <c r="O7" s="2465"/>
      <c r="P7" s="2465"/>
      <c r="Q7" s="2467"/>
      <c r="R7" s="2467"/>
      <c r="S7" s="2467"/>
      <c r="T7" s="2467"/>
      <c r="U7" s="2467"/>
      <c r="V7" s="2467"/>
      <c r="W7" s="2467"/>
      <c r="X7" s="2467"/>
      <c r="Y7" s="2467"/>
      <c r="Z7" s="2467"/>
      <c r="AA7" s="2467"/>
      <c r="AB7" s="2467"/>
      <c r="AC7" s="2478">
        <v>0.1</v>
      </c>
      <c r="AD7" s="1099" t="str">
        <f t="shared" si="1"/>
        <v>#REF!</v>
      </c>
      <c r="AE7" s="1186"/>
      <c r="AF7" s="1186"/>
    </row>
    <row r="8" ht="18.75" customHeight="1">
      <c r="A8" s="2495" t="s">
        <v>1606</v>
      </c>
      <c r="B8" s="2496" t="s">
        <v>504</v>
      </c>
      <c r="C8" s="2486" t="s">
        <v>489</v>
      </c>
      <c r="D8" s="2494" t="s">
        <v>493</v>
      </c>
      <c r="E8" s="2489" t="s">
        <v>386</v>
      </c>
      <c r="F8" s="2489" t="s">
        <v>3295</v>
      </c>
      <c r="G8" s="574"/>
      <c r="H8" s="2486" t="s">
        <v>3296</v>
      </c>
      <c r="I8" s="2486" t="s">
        <v>3297</v>
      </c>
      <c r="J8" s="574"/>
      <c r="K8" s="2465"/>
      <c r="L8" s="2465"/>
      <c r="M8" s="2465"/>
      <c r="N8" s="2465"/>
      <c r="O8" s="2465"/>
      <c r="P8" s="2465"/>
      <c r="Q8" s="2467"/>
      <c r="R8" s="2467"/>
      <c r="S8" s="2467"/>
      <c r="T8" s="2467"/>
      <c r="U8" s="2467"/>
      <c r="V8" s="2467"/>
      <c r="W8" s="2467"/>
      <c r="X8" s="2467"/>
      <c r="Y8" s="2467"/>
      <c r="Z8" s="2467"/>
      <c r="AA8" s="2467"/>
      <c r="AB8" s="2467"/>
      <c r="AC8" s="2478">
        <v>0.1</v>
      </c>
      <c r="AD8" s="1099" t="str">
        <f t="shared" si="1"/>
        <v>#REF!</v>
      </c>
      <c r="AE8" s="1186"/>
      <c r="AF8" s="1186"/>
    </row>
    <row r="9" ht="18.75" customHeight="1">
      <c r="A9" s="509"/>
      <c r="B9" s="509"/>
      <c r="C9" s="509"/>
      <c r="D9" s="509"/>
      <c r="E9" s="2488"/>
      <c r="F9" s="2488"/>
      <c r="G9" s="2475"/>
      <c r="H9" s="2488"/>
      <c r="I9" s="2488"/>
      <c r="J9" s="2465"/>
      <c r="K9" s="2465"/>
      <c r="L9" s="2465"/>
      <c r="M9" s="2465"/>
      <c r="N9" s="2465"/>
      <c r="O9" s="2465"/>
      <c r="P9" s="2465"/>
      <c r="Q9" s="2467"/>
      <c r="R9" s="2467"/>
      <c r="S9" s="2467"/>
      <c r="T9" s="2467"/>
      <c r="U9" s="2467"/>
      <c r="V9" s="2467"/>
      <c r="W9" s="2467"/>
      <c r="X9" s="2467"/>
      <c r="Y9" s="2467"/>
      <c r="Z9" s="2467"/>
      <c r="AA9" s="2467"/>
      <c r="AB9" s="2467"/>
      <c r="AC9" s="2478"/>
      <c r="AD9" s="1099"/>
      <c r="AE9" s="1186"/>
      <c r="AF9" s="1186"/>
    </row>
    <row r="10" ht="18.75" customHeight="1">
      <c r="A10" s="2497" t="s">
        <v>3298</v>
      </c>
      <c r="B10" s="68"/>
      <c r="C10" s="68"/>
      <c r="D10" s="68"/>
      <c r="E10" s="68"/>
      <c r="F10" s="68"/>
      <c r="G10" s="68"/>
      <c r="H10" s="68"/>
      <c r="I10" s="68"/>
      <c r="J10" s="69"/>
      <c r="K10" s="2465"/>
      <c r="L10" s="2465"/>
      <c r="M10" s="2465"/>
      <c r="N10" s="2465"/>
      <c r="O10" s="2465"/>
      <c r="P10" s="2465"/>
      <c r="Q10" s="2467"/>
      <c r="R10" s="2467"/>
      <c r="S10" s="2467"/>
      <c r="T10" s="2467"/>
      <c r="U10" s="2467"/>
      <c r="V10" s="2467"/>
      <c r="W10" s="2467"/>
      <c r="X10" s="2467"/>
      <c r="Y10" s="2467"/>
      <c r="Z10" s="2467"/>
      <c r="AA10" s="2467"/>
      <c r="AB10" s="2467"/>
      <c r="AC10" s="2478">
        <v>0.25</v>
      </c>
      <c r="AD10" s="1099" t="str">
        <f t="shared" ref="AD10:AD12" si="2">#REF!*AC10</f>
        <v>#REF!</v>
      </c>
      <c r="AE10" s="1186"/>
      <c r="AF10" s="1186"/>
    </row>
    <row r="11" ht="18.75" customHeight="1">
      <c r="A11" s="2479" t="s">
        <v>471</v>
      </c>
      <c r="B11" s="2479" t="s">
        <v>3277</v>
      </c>
      <c r="C11" s="2479" t="s">
        <v>3278</v>
      </c>
      <c r="D11" s="2479" t="s">
        <v>1430</v>
      </c>
      <c r="E11" s="2479" t="s">
        <v>3278</v>
      </c>
      <c r="F11" s="2479" t="s">
        <v>3279</v>
      </c>
      <c r="G11" s="2481" t="s">
        <v>3280</v>
      </c>
      <c r="H11" s="2482" t="s">
        <v>3281</v>
      </c>
      <c r="I11" s="2488"/>
      <c r="J11" s="2492" t="s">
        <v>3299</v>
      </c>
      <c r="K11" s="2465"/>
      <c r="L11" s="2465"/>
      <c r="M11" s="2465"/>
      <c r="N11" s="2465"/>
      <c r="O11" s="2465"/>
      <c r="P11" s="2465"/>
      <c r="Q11" s="2467"/>
      <c r="R11" s="2467"/>
      <c r="S11" s="2467"/>
      <c r="T11" s="2467"/>
      <c r="U11" s="2467"/>
      <c r="V11" s="2467"/>
      <c r="W11" s="2467"/>
      <c r="X11" s="2467"/>
      <c r="Y11" s="2467"/>
      <c r="Z11" s="2467"/>
      <c r="AA11" s="2467"/>
      <c r="AB11" s="2467"/>
      <c r="AC11" s="2478">
        <v>0.3</v>
      </c>
      <c r="AD11" s="1099" t="str">
        <f t="shared" si="2"/>
        <v>#REF!</v>
      </c>
      <c r="AE11" s="1186"/>
      <c r="AF11" s="1186"/>
    </row>
    <row r="12" ht="18.75" customHeight="1">
      <c r="A12" s="2493" t="s">
        <v>3300</v>
      </c>
      <c r="B12" s="2485" t="s">
        <v>3301</v>
      </c>
      <c r="C12" s="2486" t="s">
        <v>3302</v>
      </c>
      <c r="D12" s="2494" t="s">
        <v>3303</v>
      </c>
      <c r="E12" s="2489" t="s">
        <v>386</v>
      </c>
      <c r="F12" s="2489" t="s">
        <v>3295</v>
      </c>
      <c r="G12" s="2490" t="s">
        <v>323</v>
      </c>
      <c r="H12" s="2486" t="s">
        <v>3304</v>
      </c>
      <c r="I12" s="2486" t="s">
        <v>3305</v>
      </c>
      <c r="J12" s="574"/>
      <c r="K12" s="2465"/>
      <c r="L12" s="2465"/>
      <c r="M12" s="2465"/>
      <c r="N12" s="2465"/>
      <c r="O12" s="2465"/>
      <c r="P12" s="2465"/>
      <c r="Q12" s="2467"/>
      <c r="R12" s="2467"/>
      <c r="S12" s="2467"/>
      <c r="T12" s="2467"/>
      <c r="U12" s="2467"/>
      <c r="V12" s="2467"/>
      <c r="W12" s="2467"/>
      <c r="X12" s="2467"/>
      <c r="Y12" s="2467"/>
      <c r="Z12" s="2467"/>
      <c r="AA12" s="2467"/>
      <c r="AB12" s="2467"/>
      <c r="AC12" s="2478">
        <v>0.3</v>
      </c>
      <c r="AD12" s="1099" t="str">
        <f t="shared" si="2"/>
        <v>#REF!</v>
      </c>
      <c r="AE12" s="1186"/>
      <c r="AF12" s="1186"/>
    </row>
    <row r="13" ht="15.75" customHeight="1">
      <c r="A13" s="2493" t="s">
        <v>3306</v>
      </c>
      <c r="B13" s="2493" t="s">
        <v>496</v>
      </c>
      <c r="C13" s="2486" t="s">
        <v>3285</v>
      </c>
      <c r="D13" s="2498" t="s">
        <v>392</v>
      </c>
      <c r="E13" s="2499"/>
      <c r="F13" s="2489" t="s">
        <v>3287</v>
      </c>
      <c r="G13" s="598"/>
      <c r="H13" s="2486" t="s">
        <v>3307</v>
      </c>
      <c r="I13" s="2489" t="s">
        <v>3308</v>
      </c>
      <c r="J13" s="2492" t="s">
        <v>3309</v>
      </c>
      <c r="K13" s="2465"/>
      <c r="L13" s="2465"/>
      <c r="M13" s="2465"/>
      <c r="N13" s="2465"/>
      <c r="O13" s="2465"/>
      <c r="P13" s="2465"/>
      <c r="Q13" s="2467"/>
      <c r="R13" s="2467"/>
      <c r="S13" s="2467"/>
      <c r="T13" s="2467"/>
      <c r="U13" s="2467"/>
      <c r="V13" s="2467"/>
      <c r="W13" s="2467"/>
      <c r="X13" s="2467"/>
      <c r="Y13" s="2467"/>
      <c r="Z13" s="2467"/>
      <c r="AA13" s="2467"/>
      <c r="AB13" s="2467"/>
      <c r="AC13" s="1165" t="s">
        <v>1352</v>
      </c>
      <c r="AD13" s="1166" t="str">
        <f>SUM(AD4:AD12)</f>
        <v>#REF!</v>
      </c>
      <c r="AE13" s="2500"/>
      <c r="AF13" s="2500"/>
    </row>
    <row r="14" ht="15.75" customHeight="1">
      <c r="A14" s="2484" t="s">
        <v>313</v>
      </c>
      <c r="B14" s="2485" t="s">
        <v>488</v>
      </c>
      <c r="C14" s="2486" t="s">
        <v>510</v>
      </c>
      <c r="D14" s="2501" t="s">
        <v>487</v>
      </c>
      <c r="E14" s="2499"/>
      <c r="F14" s="2489" t="s">
        <v>3310</v>
      </c>
      <c r="G14" s="574"/>
      <c r="H14" s="2486" t="s">
        <v>3311</v>
      </c>
      <c r="I14" s="2486" t="s">
        <v>3312</v>
      </c>
      <c r="J14" s="574"/>
      <c r="K14" s="2465"/>
      <c r="L14" s="2465"/>
      <c r="M14" s="2465"/>
      <c r="N14" s="2465"/>
      <c r="O14" s="2465"/>
      <c r="P14" s="2465"/>
      <c r="Q14" s="2467"/>
      <c r="R14" s="2467"/>
      <c r="S14" s="2467"/>
      <c r="T14" s="2467"/>
      <c r="U14" s="2467"/>
      <c r="V14" s="2467"/>
      <c r="W14" s="2467"/>
      <c r="X14" s="2467"/>
      <c r="Y14" s="2467"/>
      <c r="Z14" s="2467"/>
      <c r="AA14" s="2467"/>
      <c r="AB14" s="2467"/>
      <c r="AD14" s="1192"/>
      <c r="AE14" s="1007"/>
      <c r="AF14" s="1007"/>
    </row>
    <row r="15" ht="15.75" customHeight="1">
      <c r="A15" s="509"/>
      <c r="B15" s="509"/>
      <c r="C15" s="509"/>
      <c r="D15" s="1"/>
      <c r="E15" s="2465"/>
      <c r="F15" s="2488"/>
      <c r="G15" s="2475"/>
      <c r="H15" s="2488"/>
      <c r="I15" s="2488"/>
      <c r="J15" s="2465"/>
      <c r="K15" s="2465"/>
      <c r="L15" s="2465"/>
      <c r="M15" s="2465"/>
      <c r="N15" s="2465"/>
      <c r="O15" s="2465"/>
      <c r="P15" s="2465"/>
      <c r="Q15" s="2467"/>
      <c r="R15" s="2467"/>
      <c r="S15" s="2467"/>
      <c r="T15" s="2467"/>
      <c r="U15" s="2467"/>
      <c r="V15" s="2467"/>
      <c r="W15" s="2467"/>
      <c r="X15" s="2467"/>
      <c r="Y15" s="2467"/>
      <c r="Z15" s="2467"/>
      <c r="AA15" s="2467"/>
      <c r="AB15" s="2467"/>
      <c r="AD15" s="1192"/>
      <c r="AE15" s="2502"/>
      <c r="AF15" s="2502"/>
    </row>
    <row r="16" ht="15.75" customHeight="1">
      <c r="A16" s="2497" t="s">
        <v>3313</v>
      </c>
      <c r="B16" s="68"/>
      <c r="C16" s="68"/>
      <c r="D16" s="68"/>
      <c r="E16" s="68"/>
      <c r="F16" s="68"/>
      <c r="G16" s="68"/>
      <c r="H16" s="68"/>
      <c r="I16" s="68"/>
      <c r="J16" s="69"/>
      <c r="K16" s="2465"/>
      <c r="L16" s="2465"/>
      <c r="M16" s="2465"/>
      <c r="N16" s="2465"/>
      <c r="O16" s="2465"/>
      <c r="P16" s="2465"/>
      <c r="Q16" s="2467"/>
      <c r="R16" s="2467"/>
      <c r="S16" s="2467"/>
      <c r="T16" s="2467"/>
      <c r="U16" s="2467"/>
      <c r="V16" s="2467"/>
      <c r="W16" s="2467"/>
      <c r="X16" s="2467"/>
      <c r="Y16" s="2467"/>
      <c r="Z16" s="2467"/>
      <c r="AA16" s="2467"/>
      <c r="AB16" s="2467"/>
      <c r="AC16" s="977"/>
      <c r="AD16" s="1192"/>
      <c r="AE16" s="2503"/>
      <c r="AF16" s="2503"/>
    </row>
    <row r="17" ht="21.75" customHeight="1">
      <c r="A17" s="2479" t="s">
        <v>471</v>
      </c>
      <c r="B17" s="2479" t="s">
        <v>3277</v>
      </c>
      <c r="C17" s="2479" t="s">
        <v>3278</v>
      </c>
      <c r="D17" s="2479" t="s">
        <v>1430</v>
      </c>
      <c r="E17" s="2479" t="s">
        <v>3278</v>
      </c>
      <c r="F17" s="2479" t="s">
        <v>3279</v>
      </c>
      <c r="G17" s="2481" t="s">
        <v>3280</v>
      </c>
      <c r="H17" s="2482" t="s">
        <v>3281</v>
      </c>
      <c r="I17" s="2488"/>
      <c r="J17" s="2465"/>
      <c r="K17" s="2465"/>
      <c r="L17" s="2465"/>
      <c r="M17" s="2465"/>
      <c r="N17" s="2465"/>
      <c r="O17" s="2465"/>
      <c r="P17" s="2465"/>
      <c r="Q17" s="2467"/>
      <c r="R17" s="2467"/>
      <c r="S17" s="2467"/>
      <c r="T17" s="2467"/>
      <c r="U17" s="2467"/>
      <c r="V17" s="2467"/>
      <c r="W17" s="2467"/>
      <c r="X17" s="2467"/>
      <c r="Y17" s="2467"/>
      <c r="Z17" s="2467"/>
      <c r="AA17" s="2467"/>
      <c r="AB17" s="2467"/>
      <c r="AC17" s="533"/>
      <c r="AD17" s="2504"/>
      <c r="AE17" s="533"/>
      <c r="AF17" s="533"/>
    </row>
    <row r="18" ht="20.25" customHeight="1">
      <c r="A18" s="2505" t="s">
        <v>653</v>
      </c>
      <c r="B18" s="2505" t="s">
        <v>546</v>
      </c>
      <c r="C18" s="2486" t="s">
        <v>3314</v>
      </c>
      <c r="D18" s="2494" t="s">
        <v>493</v>
      </c>
      <c r="E18" s="2486" t="s">
        <v>386</v>
      </c>
      <c r="F18" s="2486" t="s">
        <v>3287</v>
      </c>
      <c r="G18" s="2506" t="s">
        <v>3315</v>
      </c>
      <c r="H18" s="2486" t="s">
        <v>3316</v>
      </c>
      <c r="I18" s="2486" t="s">
        <v>3317</v>
      </c>
      <c r="J18" s="2492" t="s">
        <v>3318</v>
      </c>
      <c r="K18" s="2465"/>
      <c r="L18" s="2465"/>
      <c r="M18" s="2465"/>
      <c r="N18" s="2465"/>
      <c r="O18" s="2465"/>
      <c r="P18" s="2465"/>
      <c r="Q18" s="2467"/>
      <c r="R18" s="2467"/>
      <c r="S18" s="2467"/>
      <c r="T18" s="2467"/>
      <c r="U18" s="2467"/>
      <c r="V18" s="2467"/>
      <c r="W18" s="2467"/>
      <c r="X18" s="2467"/>
      <c r="Y18" s="2467"/>
      <c r="Z18" s="2467"/>
      <c r="AA18" s="2467"/>
      <c r="AB18" s="2467"/>
      <c r="AD18" s="1192"/>
    </row>
    <row r="19" ht="20.25" customHeight="1">
      <c r="A19" s="2505" t="s">
        <v>655</v>
      </c>
      <c r="B19" s="2505" t="s">
        <v>546</v>
      </c>
      <c r="C19" s="2486" t="s">
        <v>3314</v>
      </c>
      <c r="D19" s="2501" t="s">
        <v>487</v>
      </c>
      <c r="E19" s="2499"/>
      <c r="F19" s="2486" t="s">
        <v>3287</v>
      </c>
      <c r="G19" s="598"/>
      <c r="H19" s="2486" t="s">
        <v>3319</v>
      </c>
      <c r="I19" s="2491" t="s">
        <v>3320</v>
      </c>
      <c r="J19" s="598"/>
      <c r="K19" s="2465"/>
      <c r="L19" s="2465"/>
      <c r="M19" s="2465"/>
      <c r="N19" s="2465"/>
      <c r="O19" s="2465"/>
      <c r="P19" s="2465"/>
      <c r="Q19" s="2467"/>
      <c r="R19" s="2467"/>
      <c r="S19" s="2467"/>
      <c r="T19" s="2467"/>
      <c r="U19" s="2467"/>
      <c r="V19" s="2467"/>
      <c r="W19" s="2467"/>
      <c r="X19" s="2467"/>
      <c r="Y19" s="2467"/>
      <c r="Z19" s="2467"/>
      <c r="AA19" s="2467"/>
      <c r="AB19" s="2467"/>
      <c r="AD19" s="1192"/>
    </row>
    <row r="20" ht="20.25" customHeight="1">
      <c r="A20" s="2505" t="s">
        <v>657</v>
      </c>
      <c r="B20" s="2505" t="s">
        <v>546</v>
      </c>
      <c r="C20" s="2486" t="s">
        <v>3314</v>
      </c>
      <c r="D20" s="2487" t="s">
        <v>3286</v>
      </c>
      <c r="E20" s="2488"/>
      <c r="F20" s="2489" t="s">
        <v>3287</v>
      </c>
      <c r="G20" s="574"/>
      <c r="H20" s="2486" t="s">
        <v>3321</v>
      </c>
      <c r="I20" s="2486" t="s">
        <v>3322</v>
      </c>
      <c r="J20" s="574"/>
      <c r="K20" s="2465"/>
      <c r="L20" s="2465"/>
      <c r="M20" s="2465"/>
      <c r="N20" s="2465"/>
      <c r="O20" s="2465"/>
      <c r="P20" s="2465"/>
      <c r="Q20" s="2467"/>
      <c r="R20" s="2467"/>
      <c r="S20" s="2467"/>
      <c r="T20" s="2467"/>
      <c r="U20" s="2467"/>
      <c r="V20" s="2467"/>
      <c r="W20" s="2467"/>
      <c r="X20" s="2467"/>
      <c r="Y20" s="2467"/>
      <c r="Z20" s="2467"/>
      <c r="AA20" s="2467"/>
      <c r="AB20" s="2467"/>
      <c r="AD20" s="1192"/>
    </row>
    <row r="21" ht="20.25" customHeight="1">
      <c r="A21" s="509"/>
      <c r="B21" s="509"/>
      <c r="C21" s="509"/>
      <c r="D21" s="509"/>
      <c r="E21" s="2488"/>
      <c r="F21" s="2488"/>
      <c r="G21" s="2475"/>
      <c r="H21" s="2488"/>
      <c r="I21" s="2488"/>
      <c r="J21" s="2465"/>
      <c r="K21" s="2465"/>
      <c r="L21" s="2465"/>
      <c r="M21" s="2465"/>
      <c r="N21" s="2465"/>
      <c r="O21" s="2465"/>
      <c r="P21" s="2465"/>
      <c r="Q21" s="2467"/>
      <c r="R21" s="2467"/>
      <c r="S21" s="2467"/>
      <c r="T21" s="2467"/>
      <c r="U21" s="2467"/>
      <c r="V21" s="2467"/>
      <c r="W21" s="2467"/>
      <c r="X21" s="2467"/>
      <c r="Y21" s="2467"/>
      <c r="Z21" s="2467"/>
      <c r="AA21" s="2467"/>
      <c r="AB21" s="2467"/>
      <c r="AD21" s="1192"/>
    </row>
    <row r="22" ht="20.25" customHeight="1">
      <c r="A22" s="2497" t="s">
        <v>3323</v>
      </c>
      <c r="B22" s="68"/>
      <c r="C22" s="68"/>
      <c r="D22" s="68"/>
      <c r="E22" s="68"/>
      <c r="F22" s="68"/>
      <c r="G22" s="68"/>
      <c r="H22" s="68"/>
      <c r="I22" s="68"/>
      <c r="J22" s="69"/>
      <c r="K22" s="2465"/>
      <c r="L22" s="2465"/>
      <c r="M22" s="2465"/>
      <c r="N22" s="2465"/>
      <c r="O22" s="2465"/>
      <c r="P22" s="2465"/>
      <c r="Q22" s="2467"/>
      <c r="R22" s="2467"/>
      <c r="S22" s="2467"/>
      <c r="T22" s="2467"/>
      <c r="U22" s="2467"/>
      <c r="V22" s="2467"/>
      <c r="W22" s="2467"/>
      <c r="X22" s="2467"/>
      <c r="Y22" s="2467"/>
      <c r="Z22" s="2467"/>
      <c r="AA22" s="2467"/>
      <c r="AB22" s="2467"/>
      <c r="AD22" s="1192"/>
    </row>
    <row r="23" ht="20.25" customHeight="1">
      <c r="A23" s="2479" t="s">
        <v>471</v>
      </c>
      <c r="B23" s="2479" t="s">
        <v>3277</v>
      </c>
      <c r="C23" s="2479" t="s">
        <v>3278</v>
      </c>
      <c r="D23" s="2479" t="s">
        <v>1430</v>
      </c>
      <c r="E23" s="2479" t="s">
        <v>3278</v>
      </c>
      <c r="F23" s="2479" t="s">
        <v>3279</v>
      </c>
      <c r="G23" s="2481" t="s">
        <v>3280</v>
      </c>
      <c r="H23" s="2482" t="s">
        <v>3281</v>
      </c>
      <c r="I23" s="2488"/>
      <c r="J23" s="2492" t="s">
        <v>3324</v>
      </c>
      <c r="K23" s="2465"/>
      <c r="L23" s="2465"/>
      <c r="M23" s="2465"/>
      <c r="N23" s="2465"/>
      <c r="O23" s="2465"/>
      <c r="P23" s="2465"/>
      <c r="Q23" s="2467"/>
      <c r="R23" s="2467"/>
      <c r="S23" s="2467"/>
      <c r="T23" s="2467"/>
      <c r="U23" s="2467"/>
      <c r="V23" s="2467"/>
      <c r="W23" s="2467"/>
      <c r="X23" s="2467"/>
      <c r="Y23" s="2467"/>
      <c r="Z23" s="2467"/>
      <c r="AA23" s="2467"/>
      <c r="AB23" s="2467"/>
      <c r="AD23" s="1192"/>
    </row>
    <row r="24" ht="20.25" customHeight="1">
      <c r="A24" s="2484" t="s">
        <v>3325</v>
      </c>
      <c r="B24" s="2485" t="s">
        <v>488</v>
      </c>
      <c r="C24" s="2486" t="s">
        <v>3302</v>
      </c>
      <c r="D24" s="2487" t="s">
        <v>3286</v>
      </c>
      <c r="E24" s="2499"/>
      <c r="F24" s="2486" t="s">
        <v>3287</v>
      </c>
      <c r="G24" s="2490" t="s">
        <v>3326</v>
      </c>
      <c r="H24" s="2486" t="s">
        <v>3327</v>
      </c>
      <c r="I24" s="2486" t="s">
        <v>3328</v>
      </c>
      <c r="J24" s="574"/>
      <c r="K24" s="2465"/>
      <c r="L24" s="2465"/>
      <c r="M24" s="2465"/>
      <c r="N24" s="2465"/>
      <c r="O24" s="2465"/>
      <c r="P24" s="2465"/>
      <c r="Q24" s="2467"/>
      <c r="R24" s="2467"/>
      <c r="S24" s="2467"/>
      <c r="T24" s="2467"/>
      <c r="U24" s="2467"/>
      <c r="V24" s="2467"/>
      <c r="W24" s="2467"/>
      <c r="X24" s="2467"/>
      <c r="Y24" s="2467"/>
      <c r="Z24" s="2467"/>
      <c r="AA24" s="2467"/>
      <c r="AB24" s="2467"/>
      <c r="AD24" s="1192"/>
    </row>
    <row r="25" ht="20.25" customHeight="1">
      <c r="A25" s="2493" t="s">
        <v>2020</v>
      </c>
      <c r="B25" s="2485" t="s">
        <v>3301</v>
      </c>
      <c r="C25" s="2486" t="s">
        <v>3329</v>
      </c>
      <c r="D25" s="2499"/>
      <c r="E25" s="2499"/>
      <c r="F25" s="2486" t="s">
        <v>3330</v>
      </c>
      <c r="G25" s="598"/>
      <c r="H25" s="2486" t="s">
        <v>3331</v>
      </c>
      <c r="I25" s="2486" t="s">
        <v>3332</v>
      </c>
      <c r="J25" s="2492" t="s">
        <v>3333</v>
      </c>
      <c r="K25" s="2465"/>
      <c r="L25" s="2465"/>
      <c r="M25" s="2465"/>
      <c r="N25" s="2465"/>
      <c r="O25" s="2465"/>
      <c r="P25" s="2465"/>
      <c r="Q25" s="2467"/>
      <c r="R25" s="2467"/>
      <c r="S25" s="2467"/>
      <c r="T25" s="2467"/>
      <c r="U25" s="2467"/>
      <c r="V25" s="2467"/>
      <c r="W25" s="2467"/>
      <c r="X25" s="2467"/>
      <c r="Y25" s="2467"/>
      <c r="Z25" s="2467"/>
      <c r="AA25" s="2467"/>
      <c r="AB25" s="2467"/>
      <c r="AD25" s="1192"/>
    </row>
    <row r="26" ht="20.25" customHeight="1">
      <c r="A26" s="2493" t="s">
        <v>3334</v>
      </c>
      <c r="B26" s="2493" t="s">
        <v>496</v>
      </c>
      <c r="C26" s="2486" t="s">
        <v>3314</v>
      </c>
      <c r="D26" s="2494" t="s">
        <v>493</v>
      </c>
      <c r="E26" s="2489" t="s">
        <v>3285</v>
      </c>
      <c r="F26" s="2486">
        <v>250.0</v>
      </c>
      <c r="G26" s="574"/>
      <c r="H26" s="2486" t="s">
        <v>3335</v>
      </c>
      <c r="I26" s="2489" t="s">
        <v>3336</v>
      </c>
      <c r="J26" s="574"/>
      <c r="K26" s="2465"/>
      <c r="L26" s="2465"/>
      <c r="M26" s="2465"/>
      <c r="N26" s="2465"/>
      <c r="O26" s="2465"/>
      <c r="P26" s="2465"/>
      <c r="Q26" s="2467"/>
      <c r="R26" s="2467"/>
      <c r="S26" s="2467"/>
      <c r="T26" s="2467"/>
      <c r="U26" s="2467"/>
      <c r="V26" s="2467"/>
      <c r="W26" s="2467"/>
      <c r="X26" s="2467"/>
      <c r="Y26" s="2467"/>
      <c r="Z26" s="2467"/>
      <c r="AA26" s="2467"/>
      <c r="AB26" s="2467"/>
      <c r="AD26" s="1192"/>
    </row>
    <row r="27">
      <c r="A27" s="509"/>
      <c r="B27" s="509"/>
      <c r="C27" s="509"/>
      <c r="D27" s="509"/>
      <c r="E27" s="2488"/>
      <c r="F27" s="2488"/>
      <c r="G27" s="2475"/>
      <c r="H27" s="2488"/>
      <c r="I27" s="2488"/>
      <c r="J27" s="2465"/>
      <c r="K27" s="2465"/>
      <c r="L27" s="2465"/>
      <c r="M27" s="2465"/>
      <c r="N27" s="2465"/>
      <c r="O27" s="2465"/>
      <c r="P27" s="2465"/>
      <c r="Q27" s="2467"/>
      <c r="R27" s="2467"/>
      <c r="S27" s="2467"/>
      <c r="T27" s="2467"/>
      <c r="U27" s="2467"/>
      <c r="V27" s="2467"/>
      <c r="W27" s="2467"/>
      <c r="X27" s="2467"/>
      <c r="Y27" s="2467"/>
      <c r="Z27" s="2467"/>
      <c r="AA27" s="2467"/>
      <c r="AB27" s="2467"/>
      <c r="AC27" s="1215"/>
      <c r="AD27" s="1216"/>
    </row>
    <row r="28" ht="15.75" customHeight="1">
      <c r="A28" s="2497" t="s">
        <v>3337</v>
      </c>
      <c r="B28" s="68"/>
      <c r="C28" s="68"/>
      <c r="D28" s="68"/>
      <c r="E28" s="68"/>
      <c r="F28" s="68"/>
      <c r="G28" s="68"/>
      <c r="H28" s="68"/>
      <c r="I28" s="68"/>
      <c r="J28" s="69"/>
      <c r="K28" s="2465"/>
      <c r="L28" s="2465"/>
      <c r="M28" s="2465"/>
      <c r="N28" s="2465"/>
      <c r="O28" s="2465"/>
      <c r="P28" s="2465"/>
      <c r="Q28" s="2467"/>
      <c r="R28" s="2467"/>
      <c r="S28" s="2467"/>
      <c r="T28" s="2467"/>
      <c r="U28" s="2467"/>
      <c r="V28" s="2467"/>
      <c r="W28" s="2467"/>
      <c r="X28" s="2467"/>
      <c r="Y28" s="2467"/>
      <c r="Z28" s="2467"/>
      <c r="AA28" s="2467"/>
      <c r="AB28" s="2467"/>
    </row>
    <row r="29" ht="15.75" customHeight="1">
      <c r="A29" s="2479" t="s">
        <v>471</v>
      </c>
      <c r="B29" s="2479" t="s">
        <v>3277</v>
      </c>
      <c r="C29" s="2479" t="s">
        <v>3278</v>
      </c>
      <c r="D29" s="2479" t="s">
        <v>1430</v>
      </c>
      <c r="E29" s="2479" t="s">
        <v>3278</v>
      </c>
      <c r="F29" s="2479" t="s">
        <v>3279</v>
      </c>
      <c r="G29" s="2481" t="s">
        <v>3280</v>
      </c>
      <c r="H29" s="2482" t="s">
        <v>3281</v>
      </c>
      <c r="I29" s="2488"/>
      <c r="J29" s="2465"/>
      <c r="K29" s="2465"/>
      <c r="L29" s="2465"/>
      <c r="M29" s="2465"/>
      <c r="N29" s="2465"/>
      <c r="O29" s="2465"/>
      <c r="P29" s="2465"/>
      <c r="Q29" s="2465"/>
      <c r="R29" s="2465"/>
      <c r="S29" s="2465"/>
      <c r="T29" s="2465"/>
      <c r="U29" s="2465"/>
      <c r="V29" s="2465"/>
      <c r="W29" s="2465"/>
      <c r="X29" s="2465"/>
      <c r="Y29" s="2465"/>
      <c r="Z29" s="2465"/>
      <c r="AA29" s="1"/>
      <c r="AB29" s="1"/>
    </row>
    <row r="30" ht="15.75" customHeight="1">
      <c r="A30" s="2484" t="s">
        <v>3338</v>
      </c>
      <c r="B30" s="2485" t="s">
        <v>488</v>
      </c>
      <c r="C30" s="2486" t="s">
        <v>3302</v>
      </c>
      <c r="D30" s="2494" t="s">
        <v>493</v>
      </c>
      <c r="E30" s="2486" t="s">
        <v>3314</v>
      </c>
      <c r="F30" s="2486" t="s">
        <v>3295</v>
      </c>
      <c r="G30" s="2506" t="s">
        <v>3339</v>
      </c>
      <c r="H30" s="2486" t="s">
        <v>3340</v>
      </c>
      <c r="I30" s="2486" t="s">
        <v>3341</v>
      </c>
      <c r="J30" s="2492" t="s">
        <v>380</v>
      </c>
      <c r="K30" s="2465"/>
      <c r="L30" s="2465"/>
      <c r="M30" s="2465"/>
      <c r="N30" s="2465"/>
      <c r="O30" s="2465"/>
      <c r="P30" s="2465"/>
      <c r="Q30" s="2465"/>
      <c r="R30" s="2465"/>
      <c r="S30" s="2465"/>
      <c r="T30" s="2465"/>
      <c r="U30" s="2465"/>
      <c r="V30" s="2465"/>
      <c r="W30" s="2465"/>
      <c r="X30" s="2465"/>
      <c r="Y30" s="2465"/>
      <c r="Z30" s="2465"/>
      <c r="AA30" s="1"/>
      <c r="AB30" s="1"/>
    </row>
    <row r="31" ht="15.75" customHeight="1">
      <c r="A31" s="2495" t="s">
        <v>3342</v>
      </c>
      <c r="B31" s="2496" t="s">
        <v>504</v>
      </c>
      <c r="C31" s="2486" t="s">
        <v>3343</v>
      </c>
      <c r="D31" s="2498" t="s">
        <v>392</v>
      </c>
      <c r="E31" s="2488"/>
      <c r="F31" s="2489" t="s">
        <v>3344</v>
      </c>
      <c r="G31" s="598"/>
      <c r="H31" s="2486" t="s">
        <v>1107</v>
      </c>
      <c r="I31" s="2488"/>
      <c r="J31" s="598"/>
      <c r="K31" s="2465"/>
      <c r="L31" s="2465"/>
      <c r="M31" s="2465"/>
      <c r="N31" s="2465"/>
      <c r="O31" s="2465"/>
      <c r="P31" s="2465"/>
      <c r="Q31" s="2465"/>
      <c r="R31" s="2465"/>
      <c r="S31" s="2465"/>
      <c r="T31" s="2465"/>
      <c r="U31" s="2465"/>
      <c r="V31" s="2465"/>
      <c r="W31" s="2465"/>
      <c r="X31" s="2465"/>
      <c r="Y31" s="2465"/>
      <c r="Z31" s="2465"/>
      <c r="AA31" s="1"/>
      <c r="AB31" s="1"/>
    </row>
    <row r="32" ht="15.75" customHeight="1">
      <c r="A32" s="2493" t="s">
        <v>441</v>
      </c>
      <c r="B32" s="2493" t="s">
        <v>496</v>
      </c>
      <c r="C32" s="2486" t="s">
        <v>3285</v>
      </c>
      <c r="D32" s="2501" t="s">
        <v>487</v>
      </c>
      <c r="E32" s="2499"/>
      <c r="F32" s="2486" t="s">
        <v>3287</v>
      </c>
      <c r="G32" s="574"/>
      <c r="H32" s="2486" t="s">
        <v>3345</v>
      </c>
      <c r="I32" s="2491" t="s">
        <v>3346</v>
      </c>
      <c r="J32" s="574"/>
      <c r="K32" s="2465"/>
      <c r="L32" s="2465"/>
      <c r="M32" s="2465"/>
      <c r="N32" s="2465"/>
      <c r="O32" s="2465"/>
      <c r="P32" s="2465"/>
      <c r="Q32" s="2465"/>
      <c r="R32" s="2465"/>
      <c r="S32" s="2465"/>
      <c r="T32" s="2465"/>
      <c r="U32" s="2465"/>
      <c r="V32" s="2465"/>
      <c r="W32" s="2465"/>
      <c r="X32" s="2465"/>
      <c r="Y32" s="2465"/>
      <c r="Z32" s="2465"/>
      <c r="AA32" s="1"/>
      <c r="AB32" s="1"/>
    </row>
    <row r="33" ht="15.75" customHeight="1">
      <c r="A33" s="1"/>
      <c r="B33" s="1"/>
      <c r="C33" s="1"/>
      <c r="D33" s="1"/>
      <c r="E33" s="2465"/>
      <c r="F33" s="2465"/>
      <c r="G33" s="2466"/>
      <c r="H33" s="2465"/>
      <c r="I33" s="2465"/>
      <c r="J33" s="2465"/>
      <c r="K33" s="2465"/>
      <c r="L33" s="2465"/>
      <c r="M33" s="2465"/>
      <c r="N33" s="2465"/>
      <c r="O33" s="2465"/>
      <c r="P33" s="2465"/>
      <c r="Q33" s="2465"/>
      <c r="R33" s="2465"/>
      <c r="S33" s="2465"/>
      <c r="T33" s="2465"/>
      <c r="U33" s="2465"/>
      <c r="V33" s="2465"/>
      <c r="W33" s="2465"/>
      <c r="X33" s="2465"/>
      <c r="Y33" s="2465"/>
      <c r="Z33" s="2465"/>
      <c r="AA33" s="1"/>
      <c r="AB33" s="1"/>
    </row>
    <row r="34" ht="15.75" customHeight="1">
      <c r="A34" s="1"/>
      <c r="B34" s="1"/>
      <c r="C34" s="1"/>
      <c r="D34" s="1"/>
      <c r="E34" s="2465"/>
      <c r="F34" s="2465"/>
      <c r="G34" s="2466"/>
      <c r="H34" s="2465"/>
      <c r="I34" s="2465"/>
      <c r="J34" s="2465"/>
      <c r="K34" s="2465"/>
      <c r="L34" s="2465"/>
      <c r="M34" s="2465"/>
      <c r="N34" s="2465"/>
      <c r="O34" s="2465"/>
      <c r="P34" s="2465"/>
      <c r="Q34" s="2465"/>
      <c r="R34" s="2465"/>
      <c r="S34" s="2465"/>
      <c r="T34" s="2465"/>
      <c r="U34" s="2465"/>
      <c r="V34" s="2465"/>
      <c r="W34" s="2465"/>
      <c r="X34" s="2465"/>
      <c r="Y34" s="2465"/>
      <c r="Z34" s="2465"/>
      <c r="AA34" s="1"/>
      <c r="AB34" s="1"/>
    </row>
    <row r="35" ht="15.75" customHeight="1">
      <c r="A35" s="1"/>
      <c r="B35" s="2507" t="s">
        <v>3347</v>
      </c>
      <c r="C35" s="1"/>
      <c r="D35" s="2507" t="s">
        <v>3348</v>
      </c>
      <c r="E35" s="2465"/>
      <c r="F35" s="2465"/>
      <c r="G35" s="2508" t="s">
        <v>3349</v>
      </c>
      <c r="H35" s="2507" t="s">
        <v>3350</v>
      </c>
      <c r="I35" s="2465"/>
      <c r="J35" s="2509" t="s">
        <v>125</v>
      </c>
      <c r="K35" s="2507" t="s">
        <v>3350</v>
      </c>
      <c r="L35" s="2465"/>
      <c r="M35" s="2465"/>
      <c r="N35" s="2465"/>
      <c r="O35" s="2465"/>
      <c r="P35" s="2465"/>
      <c r="Q35" s="2465"/>
      <c r="R35" s="2465"/>
      <c r="S35" s="2465"/>
      <c r="T35" s="2465"/>
      <c r="U35" s="2465"/>
      <c r="V35" s="2465"/>
      <c r="W35" s="2465"/>
      <c r="X35" s="2465"/>
      <c r="Y35" s="2465"/>
      <c r="Z35" s="2465"/>
      <c r="AA35" s="1"/>
      <c r="AB35" s="1"/>
    </row>
    <row r="36" ht="15.75" customHeight="1">
      <c r="A36" s="1"/>
      <c r="B36" s="2510" t="s">
        <v>155</v>
      </c>
      <c r="C36" s="1"/>
      <c r="D36" s="2507" t="s">
        <v>3351</v>
      </c>
      <c r="E36" s="2465"/>
      <c r="F36" s="2507">
        <v>1.0</v>
      </c>
      <c r="G36" s="2511" t="s">
        <v>3326</v>
      </c>
      <c r="H36" s="2465"/>
      <c r="I36" s="2507">
        <v>1.0</v>
      </c>
      <c r="J36" s="2512" t="s">
        <v>3352</v>
      </c>
      <c r="K36" s="2465"/>
      <c r="L36" s="2465"/>
      <c r="M36" s="2465"/>
      <c r="N36" s="2465"/>
      <c r="O36" s="2465"/>
      <c r="P36" s="2465"/>
      <c r="Q36" s="2465"/>
      <c r="R36" s="2465"/>
      <c r="S36" s="2465"/>
      <c r="T36" s="2465"/>
      <c r="U36" s="2465"/>
      <c r="V36" s="2465"/>
      <c r="W36" s="2465"/>
      <c r="X36" s="2465"/>
      <c r="Y36" s="2465"/>
      <c r="Z36" s="2465"/>
      <c r="AA36" s="1"/>
      <c r="AB36" s="1"/>
    </row>
    <row r="37" ht="15.75" customHeight="1">
      <c r="A37" s="1"/>
      <c r="B37" s="2513" t="s">
        <v>3353</v>
      </c>
      <c r="C37" s="1"/>
      <c r="D37" s="2507" t="s">
        <v>3354</v>
      </c>
      <c r="E37" s="2465"/>
      <c r="F37" s="2507">
        <v>2.0</v>
      </c>
      <c r="G37" s="2511" t="s">
        <v>3355</v>
      </c>
      <c r="H37" s="2465"/>
      <c r="I37" s="2507">
        <v>2.0</v>
      </c>
      <c r="J37" s="2512" t="s">
        <v>3356</v>
      </c>
      <c r="K37" s="2465"/>
      <c r="L37" s="2465"/>
      <c r="M37" s="2465"/>
      <c r="N37" s="2465"/>
      <c r="O37" s="2465"/>
      <c r="P37" s="2465"/>
      <c r="Q37" s="2465"/>
      <c r="R37" s="2465"/>
      <c r="S37" s="2465"/>
      <c r="T37" s="2465"/>
      <c r="U37" s="2465"/>
      <c r="V37" s="2465"/>
      <c r="W37" s="2465"/>
      <c r="X37" s="2465"/>
      <c r="Y37" s="2465"/>
      <c r="Z37" s="2465"/>
      <c r="AA37" s="1"/>
      <c r="AB37" s="1"/>
    </row>
    <row r="38" ht="15.75" customHeight="1">
      <c r="A38" s="1"/>
      <c r="B38" s="2514" t="s">
        <v>3357</v>
      </c>
      <c r="C38" s="1"/>
      <c r="D38" s="2507" t="s">
        <v>3358</v>
      </c>
      <c r="E38" s="2465"/>
      <c r="F38" s="2507">
        <v>3.0</v>
      </c>
      <c r="G38" s="2511" t="s">
        <v>3315</v>
      </c>
      <c r="H38" s="2507" t="s">
        <v>3359</v>
      </c>
      <c r="I38" s="2507">
        <v>3.0</v>
      </c>
      <c r="J38" s="2512" t="s">
        <v>3360</v>
      </c>
      <c r="K38" s="2465"/>
      <c r="L38" s="2465"/>
      <c r="M38" s="2465"/>
      <c r="N38" s="2465"/>
      <c r="O38" s="2465"/>
      <c r="P38" s="2465"/>
      <c r="Q38" s="2465"/>
      <c r="R38" s="2465"/>
      <c r="S38" s="2465"/>
      <c r="T38" s="2465"/>
      <c r="U38" s="2465"/>
      <c r="V38" s="2465"/>
      <c r="W38" s="2465"/>
      <c r="X38" s="2465"/>
      <c r="Y38" s="2465"/>
      <c r="Z38" s="2465"/>
      <c r="AA38" s="1"/>
      <c r="AB38" s="1"/>
    </row>
    <row r="39" ht="15.75" customHeight="1">
      <c r="A39" s="1"/>
      <c r="B39" s="1"/>
      <c r="C39" s="1"/>
      <c r="D39" s="2515" t="s">
        <v>3361</v>
      </c>
      <c r="E39" s="2465"/>
      <c r="F39" s="2507">
        <v>4.0</v>
      </c>
      <c r="G39" s="2511" t="s">
        <v>323</v>
      </c>
      <c r="H39" s="2465"/>
      <c r="I39" s="2507">
        <v>4.0</v>
      </c>
      <c r="J39" s="2512" t="s">
        <v>3362</v>
      </c>
      <c r="K39" s="2465"/>
      <c r="L39" s="2465"/>
      <c r="M39" s="2465"/>
      <c r="N39" s="2465"/>
      <c r="O39" s="2465"/>
      <c r="P39" s="2465"/>
      <c r="Q39" s="2465"/>
      <c r="R39" s="2465"/>
      <c r="S39" s="2465"/>
      <c r="T39" s="2465"/>
      <c r="U39" s="2465"/>
      <c r="V39" s="2465"/>
      <c r="W39" s="2465"/>
      <c r="X39" s="2465"/>
      <c r="Y39" s="2465"/>
      <c r="Z39" s="2465"/>
      <c r="AA39" s="1"/>
      <c r="AB39" s="1"/>
    </row>
    <row r="40" ht="15.75" customHeight="1">
      <c r="A40" s="1"/>
      <c r="B40" s="1"/>
      <c r="C40" s="1"/>
      <c r="D40" s="1"/>
      <c r="E40" s="2465"/>
      <c r="F40" s="2507">
        <v>5.0</v>
      </c>
      <c r="G40" s="2511" t="s">
        <v>3363</v>
      </c>
      <c r="H40" s="2465"/>
      <c r="I40" s="2507">
        <v>5.0</v>
      </c>
      <c r="J40" s="2512" t="s">
        <v>3364</v>
      </c>
      <c r="K40" s="2465"/>
      <c r="L40" s="2465"/>
      <c r="M40" s="2465"/>
      <c r="N40" s="2465"/>
      <c r="O40" s="2465"/>
      <c r="P40" s="2465"/>
      <c r="Q40" s="2465"/>
      <c r="R40" s="2465"/>
      <c r="S40" s="2465"/>
      <c r="T40" s="2465"/>
      <c r="U40" s="2465"/>
      <c r="V40" s="2465"/>
      <c r="W40" s="2465"/>
      <c r="X40" s="2465"/>
      <c r="Y40" s="2465"/>
      <c r="Z40" s="2465"/>
      <c r="AA40" s="1"/>
      <c r="AB40" s="1"/>
    </row>
    <row r="41" ht="15.75" customHeight="1">
      <c r="A41" s="1"/>
      <c r="B41" s="1"/>
      <c r="C41" s="1"/>
      <c r="D41" s="1"/>
      <c r="E41" s="2465"/>
      <c r="F41" s="2507">
        <v>6.0</v>
      </c>
      <c r="G41" s="2511" t="s">
        <v>2831</v>
      </c>
      <c r="H41" s="2465"/>
      <c r="I41" s="2507">
        <v>6.0</v>
      </c>
      <c r="J41" s="2512" t="s">
        <v>3365</v>
      </c>
      <c r="K41" s="2465"/>
      <c r="L41" s="2465"/>
      <c r="M41" s="2465"/>
      <c r="N41" s="2465"/>
      <c r="O41" s="2465"/>
      <c r="P41" s="2465"/>
      <c r="Q41" s="2465"/>
      <c r="R41" s="2465"/>
      <c r="S41" s="2465"/>
      <c r="T41" s="2465"/>
      <c r="U41" s="2465"/>
      <c r="V41" s="2465"/>
      <c r="W41" s="2465"/>
      <c r="X41" s="2465"/>
      <c r="Y41" s="2465"/>
      <c r="Z41" s="2465"/>
      <c r="AA41" s="1"/>
      <c r="AB41" s="1"/>
    </row>
    <row r="42" ht="15.75" customHeight="1">
      <c r="A42" s="1"/>
      <c r="B42" s="2507" t="s">
        <v>3366</v>
      </c>
      <c r="C42" s="2507" t="s">
        <v>3367</v>
      </c>
      <c r="D42" s="1"/>
      <c r="E42" s="2465"/>
      <c r="F42" s="2507">
        <v>7.0</v>
      </c>
      <c r="G42" s="2511" t="s">
        <v>3368</v>
      </c>
      <c r="H42" s="2465"/>
      <c r="I42" s="2507">
        <v>7.0</v>
      </c>
      <c r="J42" s="2512" t="s">
        <v>3369</v>
      </c>
      <c r="K42" s="2465"/>
      <c r="L42" s="2465"/>
      <c r="M42" s="2465"/>
      <c r="N42" s="2465"/>
      <c r="O42" s="2465"/>
      <c r="P42" s="2465"/>
      <c r="Q42" s="2465"/>
      <c r="R42" s="2465"/>
      <c r="S42" s="2465"/>
      <c r="T42" s="2465"/>
      <c r="U42" s="2465"/>
      <c r="V42" s="2465"/>
      <c r="W42" s="2465"/>
      <c r="X42" s="2465"/>
      <c r="Y42" s="2465"/>
      <c r="Z42" s="2465"/>
      <c r="AA42" s="1"/>
      <c r="AB42" s="1"/>
    </row>
    <row r="43" ht="15.75" customHeight="1">
      <c r="A43" s="1"/>
      <c r="B43" s="2507" t="s">
        <v>3370</v>
      </c>
      <c r="C43" s="2507" t="s">
        <v>3371</v>
      </c>
      <c r="D43" s="1"/>
      <c r="E43" s="2465"/>
      <c r="F43" s="2507">
        <v>8.0</v>
      </c>
      <c r="G43" s="2511" t="s">
        <v>3372</v>
      </c>
      <c r="H43" s="2507" t="s">
        <v>3373</v>
      </c>
      <c r="I43" s="2507">
        <v>8.0</v>
      </c>
      <c r="J43" s="2512" t="s">
        <v>3374</v>
      </c>
      <c r="K43" s="2465"/>
      <c r="L43" s="2465"/>
      <c r="M43" s="2465"/>
      <c r="N43" s="2465"/>
      <c r="O43" s="2465"/>
      <c r="P43" s="2465"/>
      <c r="Q43" s="2465"/>
      <c r="R43" s="2465"/>
      <c r="S43" s="2465"/>
      <c r="T43" s="2465"/>
      <c r="U43" s="2465"/>
      <c r="V43" s="2465"/>
      <c r="W43" s="2465"/>
      <c r="X43" s="2465"/>
      <c r="Y43" s="2465"/>
      <c r="Z43" s="2465"/>
      <c r="AA43" s="1"/>
      <c r="AB43" s="1"/>
    </row>
    <row r="44" ht="15.75" customHeight="1">
      <c r="A44" s="1"/>
      <c r="B44" s="2507" t="s">
        <v>3375</v>
      </c>
      <c r="C44" s="1"/>
      <c r="D44" s="1"/>
      <c r="E44" s="2465"/>
      <c r="F44" s="2507">
        <v>9.0</v>
      </c>
      <c r="G44" s="2511" t="s">
        <v>3376</v>
      </c>
      <c r="H44" s="2465"/>
      <c r="I44" s="2507">
        <v>9.0</v>
      </c>
      <c r="J44" s="2465"/>
      <c r="K44" s="2465"/>
      <c r="L44" s="2465"/>
      <c r="M44" s="2465"/>
      <c r="N44" s="2465"/>
      <c r="O44" s="2465"/>
      <c r="P44" s="2465"/>
      <c r="Q44" s="2465"/>
      <c r="R44" s="2465"/>
      <c r="S44" s="2465"/>
      <c r="T44" s="2465"/>
      <c r="U44" s="2465"/>
      <c r="V44" s="2465"/>
      <c r="W44" s="2465"/>
      <c r="X44" s="2465"/>
      <c r="Y44" s="2465"/>
      <c r="Z44" s="2465"/>
      <c r="AA44" s="1"/>
      <c r="AB44" s="1"/>
    </row>
    <row r="45" ht="15.75" customHeight="1">
      <c r="A45" s="1"/>
      <c r="B45" s="2507" t="s">
        <v>3377</v>
      </c>
      <c r="C45" s="1"/>
      <c r="D45" s="1"/>
      <c r="E45" s="2465"/>
      <c r="F45" s="2507">
        <v>10.0</v>
      </c>
      <c r="G45" s="2466"/>
      <c r="H45" s="2465"/>
      <c r="I45" s="2465"/>
      <c r="J45" s="2465"/>
      <c r="K45" s="2465"/>
      <c r="L45" s="2465"/>
      <c r="M45" s="2465"/>
      <c r="N45" s="2465"/>
      <c r="O45" s="2465"/>
      <c r="P45" s="2465"/>
      <c r="Q45" s="2465"/>
      <c r="R45" s="2465"/>
      <c r="S45" s="2465"/>
      <c r="T45" s="2465"/>
      <c r="U45" s="2465"/>
      <c r="V45" s="2465"/>
      <c r="W45" s="2465"/>
      <c r="X45" s="2465"/>
      <c r="Y45" s="2465"/>
      <c r="Z45" s="2465"/>
      <c r="AA45" s="1"/>
      <c r="AB45" s="1"/>
    </row>
    <row r="46" ht="15.75" customHeight="1">
      <c r="A46" s="1"/>
      <c r="B46" s="1"/>
      <c r="C46" s="1"/>
      <c r="D46" s="1"/>
      <c r="E46" s="2465"/>
      <c r="F46" s="2465"/>
      <c r="G46" s="2466"/>
      <c r="H46" s="2465"/>
      <c r="I46" s="2465"/>
      <c r="J46" s="2465"/>
      <c r="K46" s="2465"/>
      <c r="L46" s="2465"/>
      <c r="M46" s="2465"/>
      <c r="N46" s="2465"/>
      <c r="O46" s="2465"/>
      <c r="P46" s="2465"/>
      <c r="Q46" s="2465"/>
      <c r="R46" s="2465"/>
      <c r="S46" s="2465"/>
      <c r="T46" s="2465"/>
      <c r="U46" s="2465"/>
      <c r="V46" s="2465"/>
      <c r="W46" s="2465"/>
      <c r="X46" s="2465"/>
      <c r="Y46" s="2465"/>
      <c r="Z46" s="2465"/>
      <c r="AA46" s="1"/>
      <c r="AB46" s="1"/>
    </row>
    <row r="47" ht="15.75" customHeight="1">
      <c r="A47" s="1"/>
      <c r="B47" s="1"/>
      <c r="C47" s="1"/>
      <c r="D47" s="1"/>
      <c r="E47" s="2465"/>
      <c r="F47" s="2465"/>
      <c r="G47" s="2466"/>
      <c r="H47" s="2465"/>
      <c r="I47" s="2465"/>
      <c r="J47" s="2465"/>
      <c r="K47" s="2465"/>
      <c r="L47" s="2465"/>
      <c r="M47" s="2465"/>
      <c r="N47" s="2465"/>
      <c r="O47" s="2465"/>
      <c r="P47" s="2465"/>
      <c r="Q47" s="2465"/>
      <c r="R47" s="2465"/>
      <c r="S47" s="2465"/>
      <c r="T47" s="2465"/>
      <c r="U47" s="2465"/>
      <c r="V47" s="2465"/>
      <c r="W47" s="2465"/>
      <c r="X47" s="2465"/>
      <c r="Y47" s="2465"/>
      <c r="Z47" s="2465"/>
      <c r="AA47" s="1"/>
      <c r="AB47" s="1"/>
    </row>
    <row r="48" ht="15.75" customHeight="1">
      <c r="A48" s="1"/>
      <c r="B48" s="1"/>
      <c r="C48" s="1"/>
      <c r="D48" s="1"/>
      <c r="E48" s="2465"/>
      <c r="F48" s="2465"/>
      <c r="G48" s="2466"/>
      <c r="H48" s="2465"/>
      <c r="I48" s="2465"/>
      <c r="J48" s="2465"/>
      <c r="K48" s="2465"/>
      <c r="L48" s="2465"/>
      <c r="M48" s="2465"/>
      <c r="N48" s="2465"/>
      <c r="O48" s="2465"/>
      <c r="P48" s="2465"/>
      <c r="Q48" s="2465"/>
      <c r="R48" s="2465"/>
      <c r="S48" s="2465"/>
      <c r="T48" s="2465"/>
      <c r="U48" s="2465"/>
      <c r="V48" s="2465"/>
      <c r="W48" s="2465"/>
      <c r="X48" s="2465"/>
      <c r="Y48" s="2465"/>
      <c r="Z48" s="2465"/>
      <c r="AA48" s="1"/>
      <c r="AB48" s="1"/>
    </row>
    <row r="49" ht="15.75" customHeight="1">
      <c r="A49" s="1"/>
      <c r="B49" s="1"/>
      <c r="C49" s="1"/>
      <c r="D49" s="1"/>
      <c r="E49" s="2465"/>
      <c r="F49" s="2465"/>
      <c r="G49" s="2466"/>
      <c r="H49" s="2465"/>
      <c r="I49" s="2465"/>
      <c r="J49" s="2465"/>
      <c r="K49" s="2465"/>
      <c r="L49" s="2465"/>
      <c r="M49" s="2465"/>
      <c r="N49" s="2465"/>
      <c r="O49" s="2465"/>
      <c r="P49" s="2465"/>
      <c r="Q49" s="2465"/>
      <c r="R49" s="2465"/>
      <c r="S49" s="2465"/>
      <c r="T49" s="2465"/>
      <c r="U49" s="2465"/>
      <c r="V49" s="2465"/>
      <c r="W49" s="2465"/>
      <c r="X49" s="2465"/>
      <c r="Y49" s="2465"/>
      <c r="Z49" s="2465"/>
      <c r="AA49" s="1"/>
      <c r="AB49" s="1"/>
    </row>
    <row r="50" ht="15.75" customHeight="1">
      <c r="A50" s="2516"/>
      <c r="B50" s="2517"/>
      <c r="C50" s="2517"/>
      <c r="D50" s="2517"/>
      <c r="E50" s="2518"/>
      <c r="F50" s="2519"/>
      <c r="G50" s="2520"/>
      <c r="H50" s="2519"/>
      <c r="I50" s="2519"/>
      <c r="J50" s="2467"/>
      <c r="K50" s="2465"/>
      <c r="L50" s="2465"/>
      <c r="M50" s="2465"/>
      <c r="N50" s="2465"/>
      <c r="O50" s="2465"/>
      <c r="P50" s="2465"/>
      <c r="Q50" s="2465"/>
      <c r="R50" s="2465"/>
      <c r="S50" s="2465"/>
      <c r="T50" s="2465"/>
      <c r="U50" s="2465"/>
      <c r="V50" s="2465"/>
      <c r="W50" s="2465"/>
      <c r="X50" s="2465"/>
      <c r="Y50" s="2465"/>
      <c r="Z50" s="2465"/>
      <c r="AA50" s="1"/>
      <c r="AB50" s="1"/>
    </row>
    <row r="51" ht="15.75" customHeight="1">
      <c r="A51" s="2521" t="s">
        <v>3270</v>
      </c>
      <c r="B51" s="530"/>
      <c r="C51" s="530"/>
      <c r="D51" s="530"/>
      <c r="E51" s="530"/>
      <c r="F51" s="532"/>
      <c r="G51" s="2522" t="s">
        <v>3271</v>
      </c>
      <c r="H51" s="2523" t="s">
        <v>3272</v>
      </c>
      <c r="I51" s="532"/>
      <c r="J51" s="2470" t="s">
        <v>3273</v>
      </c>
      <c r="K51" s="2465"/>
      <c r="L51" s="2465"/>
      <c r="M51" s="2465"/>
      <c r="N51" s="2465"/>
      <c r="O51" s="2465"/>
      <c r="P51" s="2465"/>
      <c r="Q51" s="2465"/>
      <c r="R51" s="2465"/>
      <c r="S51" s="2465"/>
      <c r="T51" s="2465"/>
      <c r="U51" s="2465"/>
      <c r="V51" s="2465"/>
      <c r="W51" s="2465"/>
      <c r="X51" s="2465"/>
      <c r="Y51" s="2465"/>
      <c r="Z51" s="2465"/>
      <c r="AA51" s="1"/>
      <c r="AB51" s="1"/>
    </row>
    <row r="52" ht="15.75" customHeight="1">
      <c r="A52" s="2524" t="s">
        <v>3378</v>
      </c>
      <c r="B52" s="2525" t="s">
        <v>3275</v>
      </c>
      <c r="C52" s="532"/>
      <c r="D52" s="2525" t="s">
        <v>1430</v>
      </c>
      <c r="E52" s="532"/>
      <c r="F52" s="2488"/>
      <c r="G52" s="2526"/>
      <c r="H52" s="2527" t="s">
        <v>70</v>
      </c>
      <c r="I52" s="532"/>
      <c r="J52" s="2465"/>
      <c r="K52" s="2465"/>
      <c r="L52" s="2465"/>
      <c r="M52" s="2465"/>
      <c r="N52" s="2465"/>
      <c r="O52" s="2465"/>
      <c r="P52" s="2465"/>
      <c r="Q52" s="2465"/>
      <c r="R52" s="2465"/>
      <c r="S52" s="2465"/>
      <c r="T52" s="2465"/>
      <c r="U52" s="2465"/>
      <c r="V52" s="2465"/>
      <c r="W52" s="2465"/>
      <c r="X52" s="2465"/>
      <c r="Y52" s="2465"/>
      <c r="Z52" s="2465"/>
      <c r="AA52" s="1"/>
      <c r="AB52" s="1"/>
    </row>
    <row r="53" ht="15.75" customHeight="1">
      <c r="A53" s="2528" t="s">
        <v>3276</v>
      </c>
      <c r="B53" s="530"/>
      <c r="C53" s="530"/>
      <c r="D53" s="530"/>
      <c r="E53" s="530"/>
      <c r="F53" s="530"/>
      <c r="G53" s="530"/>
      <c r="H53" s="530"/>
      <c r="I53" s="530"/>
      <c r="J53" s="532"/>
      <c r="K53" s="2465"/>
      <c r="L53" s="2465"/>
      <c r="M53" s="2465"/>
      <c r="N53" s="2465"/>
      <c r="O53" s="2465"/>
      <c r="P53" s="2465"/>
      <c r="Q53" s="2465"/>
      <c r="R53" s="2465"/>
      <c r="S53" s="2465"/>
      <c r="T53" s="2465"/>
      <c r="U53" s="2465"/>
      <c r="V53" s="2465"/>
      <c r="W53" s="2465"/>
      <c r="X53" s="2465"/>
      <c r="Y53" s="2465"/>
      <c r="Z53" s="2465"/>
      <c r="AA53" s="1"/>
      <c r="AB53" s="1"/>
    </row>
    <row r="54" ht="15.75" customHeight="1">
      <c r="A54" s="2529" t="s">
        <v>471</v>
      </c>
      <c r="B54" s="2530" t="s">
        <v>3277</v>
      </c>
      <c r="C54" s="2530" t="s">
        <v>3278</v>
      </c>
      <c r="D54" s="2530" t="s">
        <v>1430</v>
      </c>
      <c r="E54" s="2531" t="s">
        <v>3278</v>
      </c>
      <c r="F54" s="2480" t="s">
        <v>3279</v>
      </c>
      <c r="G54" s="2532" t="s">
        <v>3280</v>
      </c>
      <c r="H54" s="2533" t="s">
        <v>3281</v>
      </c>
      <c r="I54" s="2533" t="s">
        <v>3282</v>
      </c>
      <c r="J54" s="2534" t="s">
        <v>3283</v>
      </c>
      <c r="K54" s="2465"/>
      <c r="L54" s="2465"/>
      <c r="M54" s="2465"/>
      <c r="N54" s="2465"/>
      <c r="O54" s="2465"/>
      <c r="P54" s="2465"/>
      <c r="Q54" s="2465"/>
      <c r="R54" s="2465"/>
      <c r="S54" s="2465"/>
      <c r="T54" s="2465"/>
      <c r="U54" s="2465"/>
      <c r="V54" s="2465"/>
      <c r="W54" s="2465"/>
      <c r="X54" s="2465"/>
      <c r="Y54" s="2465"/>
      <c r="Z54" s="2465"/>
      <c r="AA54" s="1"/>
      <c r="AB54" s="1"/>
    </row>
    <row r="55" ht="15.75" customHeight="1">
      <c r="A55" s="2535" t="s">
        <v>3379</v>
      </c>
      <c r="B55" s="2536" t="s">
        <v>488</v>
      </c>
      <c r="C55" s="2537" t="s">
        <v>510</v>
      </c>
      <c r="D55" s="2538" t="s">
        <v>487</v>
      </c>
      <c r="E55" s="2539" t="s">
        <v>3380</v>
      </c>
      <c r="F55" s="2540">
        <v>250.0</v>
      </c>
      <c r="G55" s="2541" t="s">
        <v>3381</v>
      </c>
      <c r="H55" s="2537" t="s">
        <v>3382</v>
      </c>
      <c r="I55" s="509"/>
      <c r="J55" s="2542" t="s">
        <v>3291</v>
      </c>
      <c r="K55" s="1"/>
      <c r="L55" s="1"/>
      <c r="M55" s="1"/>
      <c r="N55" s="1"/>
      <c r="O55" s="1"/>
      <c r="P55" s="1"/>
      <c r="Q55" s="2465"/>
      <c r="R55" s="2465"/>
      <c r="S55" s="2465"/>
      <c r="T55" s="2465"/>
      <c r="U55" s="2465"/>
      <c r="V55" s="2465"/>
      <c r="W55" s="2465"/>
      <c r="X55" s="2465"/>
      <c r="Y55" s="2465"/>
      <c r="Z55" s="2465"/>
      <c r="AA55" s="1"/>
      <c r="AB55" s="1"/>
    </row>
    <row r="56" ht="15.75" customHeight="1">
      <c r="A56" s="2543" t="s">
        <v>3383</v>
      </c>
      <c r="B56" s="2544" t="s">
        <v>496</v>
      </c>
      <c r="C56" s="2537" t="s">
        <v>3285</v>
      </c>
      <c r="D56" s="2537" t="s">
        <v>3384</v>
      </c>
      <c r="E56" s="2545"/>
      <c r="F56" s="2537" t="s">
        <v>3287</v>
      </c>
      <c r="G56" s="2546"/>
      <c r="H56" s="2547" t="s">
        <v>3385</v>
      </c>
      <c r="I56" s="2548" t="s">
        <v>3386</v>
      </c>
      <c r="J56" s="598"/>
      <c r="K56" s="1"/>
      <c r="L56" s="1"/>
      <c r="M56" s="1"/>
      <c r="N56" s="1"/>
      <c r="O56" s="1"/>
      <c r="P56" s="1"/>
      <c r="Q56" s="2465"/>
      <c r="R56" s="2465"/>
      <c r="S56" s="2465"/>
      <c r="T56" s="2465"/>
      <c r="U56" s="2465"/>
      <c r="V56" s="2465"/>
      <c r="W56" s="2465"/>
      <c r="X56" s="2465"/>
      <c r="Y56" s="2465"/>
      <c r="Z56" s="2465"/>
      <c r="AA56" s="1"/>
      <c r="AB56" s="1"/>
    </row>
    <row r="57" ht="15.75" customHeight="1">
      <c r="A57" s="2549" t="s">
        <v>3387</v>
      </c>
      <c r="B57" s="2550" t="s">
        <v>504</v>
      </c>
      <c r="C57" s="2537" t="s">
        <v>510</v>
      </c>
      <c r="D57" s="2551" t="s">
        <v>493</v>
      </c>
      <c r="E57" s="2539" t="s">
        <v>386</v>
      </c>
      <c r="F57" s="2540" t="s">
        <v>3295</v>
      </c>
      <c r="G57" s="532"/>
      <c r="H57" s="2537" t="s">
        <v>3388</v>
      </c>
      <c r="I57" s="2548" t="s">
        <v>3389</v>
      </c>
      <c r="J57" s="574"/>
      <c r="K57" s="1"/>
      <c r="L57" s="1"/>
      <c r="M57" s="1"/>
      <c r="N57" s="1"/>
      <c r="O57" s="1"/>
      <c r="P57" s="1"/>
      <c r="Q57" s="2465"/>
      <c r="R57" s="2465"/>
      <c r="S57" s="2465"/>
      <c r="T57" s="2465"/>
      <c r="U57" s="2465"/>
      <c r="V57" s="2465"/>
      <c r="W57" s="2465"/>
      <c r="X57" s="2465"/>
      <c r="Y57" s="2465"/>
      <c r="Z57" s="2465"/>
      <c r="AA57" s="1"/>
      <c r="AB57" s="1"/>
    </row>
    <row r="58" ht="15.75" customHeight="1">
      <c r="A58" s="2552"/>
      <c r="B58" s="2545"/>
      <c r="C58" s="2545"/>
      <c r="D58" s="2545"/>
      <c r="E58" s="2545"/>
      <c r="F58" s="2545"/>
      <c r="G58" s="2553"/>
      <c r="H58" s="2545"/>
      <c r="I58" s="2545"/>
      <c r="J58" s="1"/>
      <c r="K58" s="1"/>
      <c r="L58" s="1"/>
      <c r="M58" s="1"/>
      <c r="N58" s="1"/>
      <c r="O58" s="1"/>
      <c r="P58" s="1"/>
      <c r="Q58" s="2465"/>
      <c r="R58" s="2465"/>
      <c r="S58" s="2465"/>
      <c r="T58" s="2465"/>
      <c r="U58" s="2465"/>
      <c r="V58" s="2465"/>
      <c r="W58" s="2465"/>
      <c r="X58" s="2465"/>
      <c r="Y58" s="2465"/>
      <c r="Z58" s="2465"/>
      <c r="AA58" s="1"/>
      <c r="AB58" s="1"/>
    </row>
    <row r="59" ht="15.75" customHeight="1">
      <c r="A59" s="2554" t="s">
        <v>3298</v>
      </c>
      <c r="B59" s="530"/>
      <c r="C59" s="530"/>
      <c r="D59" s="530"/>
      <c r="E59" s="530"/>
      <c r="F59" s="530"/>
      <c r="G59" s="530"/>
      <c r="H59" s="530"/>
      <c r="I59" s="530"/>
      <c r="J59" s="532"/>
      <c r="K59" s="1"/>
      <c r="L59" s="1"/>
      <c r="M59" s="1"/>
      <c r="N59" s="1"/>
      <c r="O59" s="1"/>
      <c r="P59" s="1"/>
      <c r="Q59" s="2465"/>
      <c r="R59" s="2465"/>
      <c r="S59" s="2465"/>
      <c r="T59" s="2465"/>
      <c r="U59" s="2465"/>
      <c r="V59" s="2465"/>
      <c r="W59" s="2465"/>
      <c r="X59" s="2465"/>
      <c r="Y59" s="2465"/>
      <c r="Z59" s="2465"/>
      <c r="AA59" s="1"/>
      <c r="AB59" s="1"/>
    </row>
    <row r="60" ht="15.75" customHeight="1">
      <c r="A60" s="2555" t="s">
        <v>471</v>
      </c>
      <c r="B60" s="2530" t="s">
        <v>3277</v>
      </c>
      <c r="C60" s="2530" t="s">
        <v>3278</v>
      </c>
      <c r="D60" s="2530" t="s">
        <v>1430</v>
      </c>
      <c r="E60" s="2530" t="s">
        <v>3278</v>
      </c>
      <c r="F60" s="2556" t="s">
        <v>3279</v>
      </c>
      <c r="G60" s="2557" t="s">
        <v>3280</v>
      </c>
      <c r="H60" s="448" t="s">
        <v>3281</v>
      </c>
      <c r="I60" s="2545"/>
      <c r="J60" s="2542" t="s">
        <v>3299</v>
      </c>
      <c r="K60" s="1"/>
      <c r="L60" s="1"/>
      <c r="M60" s="1"/>
      <c r="N60" s="1"/>
      <c r="O60" s="1"/>
      <c r="P60" s="1"/>
      <c r="Q60" s="2465"/>
      <c r="R60" s="2465"/>
      <c r="S60" s="2465"/>
      <c r="T60" s="2465"/>
      <c r="U60" s="2465"/>
      <c r="V60" s="2465"/>
      <c r="W60" s="2465"/>
      <c r="X60" s="2465"/>
      <c r="Y60" s="2465"/>
      <c r="Z60" s="2465"/>
      <c r="AA60" s="1"/>
      <c r="AB60" s="1"/>
    </row>
    <row r="61" ht="15.75" customHeight="1">
      <c r="A61" s="2558" t="s">
        <v>1663</v>
      </c>
      <c r="B61" s="2550" t="s">
        <v>504</v>
      </c>
      <c r="C61" s="2537" t="s">
        <v>489</v>
      </c>
      <c r="D61" s="2559" t="s">
        <v>392</v>
      </c>
      <c r="E61" s="2545"/>
      <c r="F61" s="2540" t="s">
        <v>3344</v>
      </c>
      <c r="G61" s="2541" t="s">
        <v>3355</v>
      </c>
      <c r="H61" s="2537" t="s">
        <v>3390</v>
      </c>
      <c r="I61" s="2547" t="s">
        <v>3391</v>
      </c>
      <c r="J61" s="574"/>
      <c r="K61" s="1"/>
      <c r="L61" s="1"/>
      <c r="M61" s="1"/>
      <c r="N61" s="1"/>
      <c r="O61" s="1"/>
      <c r="P61" s="1"/>
      <c r="Q61" s="2465"/>
      <c r="R61" s="2465"/>
      <c r="S61" s="2465"/>
      <c r="T61" s="2465"/>
      <c r="U61" s="2465"/>
      <c r="V61" s="2465"/>
      <c r="W61" s="2465"/>
      <c r="X61" s="2465"/>
      <c r="Y61" s="2465"/>
      <c r="Z61" s="2465"/>
      <c r="AA61" s="1"/>
      <c r="AB61" s="1"/>
    </row>
    <row r="62" ht="15.75" customHeight="1">
      <c r="A62" s="2560" t="s">
        <v>3392</v>
      </c>
      <c r="B62" s="2536" t="s">
        <v>488</v>
      </c>
      <c r="C62" s="2537" t="s">
        <v>510</v>
      </c>
      <c r="D62" s="2551" t="s">
        <v>493</v>
      </c>
      <c r="E62" s="2473" t="s">
        <v>386</v>
      </c>
      <c r="F62" s="2561" t="s">
        <v>3393</v>
      </c>
      <c r="G62" s="2546"/>
      <c r="H62" s="2473" t="s">
        <v>3394</v>
      </c>
      <c r="I62" s="2548" t="s">
        <v>3395</v>
      </c>
      <c r="J62" s="2542" t="s">
        <v>3309</v>
      </c>
      <c r="K62" s="1"/>
      <c r="L62" s="1"/>
      <c r="M62" s="1"/>
      <c r="N62" s="1"/>
      <c r="O62" s="1"/>
      <c r="P62" s="1"/>
      <c r="Q62" s="2465"/>
      <c r="R62" s="2465"/>
      <c r="S62" s="2465"/>
      <c r="T62" s="2465"/>
      <c r="U62" s="2465"/>
      <c r="V62" s="2465"/>
      <c r="W62" s="2465"/>
      <c r="X62" s="2465"/>
      <c r="Y62" s="2465"/>
      <c r="Z62" s="2465"/>
      <c r="AA62" s="1"/>
      <c r="AB62" s="1"/>
    </row>
    <row r="63" ht="15.75" customHeight="1">
      <c r="A63" s="2543" t="s">
        <v>3396</v>
      </c>
      <c r="B63" s="2544" t="s">
        <v>496</v>
      </c>
      <c r="C63" s="2537" t="s">
        <v>489</v>
      </c>
      <c r="D63" s="2551" t="s">
        <v>493</v>
      </c>
      <c r="E63" s="2473" t="s">
        <v>3314</v>
      </c>
      <c r="F63" s="2561" t="s">
        <v>3295</v>
      </c>
      <c r="G63" s="532"/>
      <c r="H63" s="2537" t="s">
        <v>3397</v>
      </c>
      <c r="I63" s="2547" t="s">
        <v>3398</v>
      </c>
      <c r="J63" s="574"/>
      <c r="K63" s="1"/>
      <c r="L63" s="1"/>
      <c r="M63" s="1"/>
      <c r="N63" s="1"/>
      <c r="O63" s="1"/>
      <c r="P63" s="1"/>
      <c r="Q63" s="2465"/>
      <c r="R63" s="2465"/>
      <c r="S63" s="2465"/>
      <c r="T63" s="2465"/>
      <c r="U63" s="2465"/>
      <c r="V63" s="2465"/>
      <c r="W63" s="2465"/>
      <c r="X63" s="2465"/>
      <c r="Y63" s="2465"/>
      <c r="Z63" s="2465"/>
      <c r="AA63" s="1"/>
      <c r="AB63" s="1"/>
    </row>
    <row r="64" ht="15.75" customHeight="1">
      <c r="A64" s="2552"/>
      <c r="B64" s="2545"/>
      <c r="C64" s="2545"/>
      <c r="D64" s="2516"/>
      <c r="E64" s="2545"/>
      <c r="F64" s="2545"/>
      <c r="G64" s="2553"/>
      <c r="H64" s="2545"/>
      <c r="I64" s="2545"/>
      <c r="J64" s="1"/>
      <c r="K64" s="1"/>
      <c r="L64" s="1"/>
      <c r="M64" s="1"/>
      <c r="N64" s="1"/>
      <c r="O64" s="1"/>
      <c r="P64" s="1"/>
      <c r="Q64" s="2465"/>
      <c r="R64" s="2465"/>
      <c r="S64" s="2465"/>
      <c r="T64" s="2465"/>
      <c r="U64" s="2465"/>
      <c r="V64" s="2465"/>
      <c r="W64" s="2465"/>
      <c r="X64" s="2465"/>
      <c r="Y64" s="2465"/>
      <c r="Z64" s="2465"/>
      <c r="AA64" s="1"/>
      <c r="AB64" s="1"/>
    </row>
    <row r="65" ht="15.75" customHeight="1">
      <c r="A65" s="2554" t="s">
        <v>3313</v>
      </c>
      <c r="B65" s="530"/>
      <c r="C65" s="530"/>
      <c r="D65" s="530"/>
      <c r="E65" s="530"/>
      <c r="F65" s="530"/>
      <c r="G65" s="530"/>
      <c r="H65" s="530"/>
      <c r="I65" s="530"/>
      <c r="J65" s="532"/>
      <c r="K65" s="1"/>
      <c r="L65" s="1"/>
      <c r="M65" s="1"/>
      <c r="N65" s="1"/>
      <c r="O65" s="1"/>
      <c r="P65" s="1"/>
      <c r="Q65" s="2465"/>
      <c r="R65" s="2465"/>
      <c r="S65" s="2465"/>
      <c r="T65" s="2465"/>
      <c r="U65" s="2465"/>
      <c r="V65" s="2465"/>
      <c r="W65" s="2465"/>
      <c r="X65" s="2465"/>
      <c r="Y65" s="2465"/>
      <c r="Z65" s="2465"/>
      <c r="AA65" s="1"/>
      <c r="AB65" s="1"/>
    </row>
    <row r="66" ht="15.75" customHeight="1">
      <c r="A66" s="2555" t="s">
        <v>471</v>
      </c>
      <c r="B66" s="2530" t="s">
        <v>3277</v>
      </c>
      <c r="C66" s="2530" t="s">
        <v>3278</v>
      </c>
      <c r="D66" s="2530" t="s">
        <v>1430</v>
      </c>
      <c r="E66" s="2530" t="s">
        <v>3278</v>
      </c>
      <c r="F66" s="2556" t="s">
        <v>3279</v>
      </c>
      <c r="G66" s="2557" t="s">
        <v>3280</v>
      </c>
      <c r="H66" s="448" t="s">
        <v>3281</v>
      </c>
      <c r="I66" s="2545"/>
      <c r="J66" s="1"/>
      <c r="K66" s="1"/>
      <c r="L66" s="1"/>
      <c r="M66" s="1"/>
      <c r="N66" s="1"/>
      <c r="O66" s="1"/>
      <c r="P66" s="1"/>
      <c r="Q66" s="2465"/>
      <c r="R66" s="2465"/>
      <c r="S66" s="2465"/>
      <c r="T66" s="2465"/>
      <c r="U66" s="2465"/>
      <c r="V66" s="2465"/>
      <c r="W66" s="2465"/>
      <c r="X66" s="2465"/>
      <c r="Y66" s="2465"/>
      <c r="Z66" s="2465"/>
      <c r="AA66" s="1"/>
      <c r="AB66" s="1"/>
    </row>
    <row r="67" ht="15.75" customHeight="1">
      <c r="A67" s="2562" t="s">
        <v>1438</v>
      </c>
      <c r="B67" s="2563" t="s">
        <v>546</v>
      </c>
      <c r="C67" s="2537" t="s">
        <v>3314</v>
      </c>
      <c r="D67" s="2538" t="s">
        <v>487</v>
      </c>
      <c r="E67" s="2545"/>
      <c r="F67" s="2473" t="s">
        <v>3287</v>
      </c>
      <c r="G67" s="2541" t="s">
        <v>3363</v>
      </c>
      <c r="H67" s="2537" t="s">
        <v>3399</v>
      </c>
      <c r="I67" s="2547" t="s">
        <v>3400</v>
      </c>
      <c r="J67" s="2542" t="s">
        <v>3318</v>
      </c>
      <c r="K67" s="1"/>
      <c r="L67" s="1"/>
      <c r="M67" s="1"/>
      <c r="N67" s="1"/>
      <c r="O67" s="1"/>
      <c r="P67" s="1"/>
      <c r="Q67" s="2465"/>
      <c r="R67" s="2465"/>
      <c r="S67" s="2465"/>
      <c r="T67" s="2465"/>
      <c r="U67" s="2465"/>
      <c r="V67" s="2465"/>
      <c r="W67" s="2465"/>
      <c r="X67" s="2465"/>
      <c r="Y67" s="2465"/>
      <c r="Z67" s="2465"/>
      <c r="AA67" s="1"/>
      <c r="AB67" s="1"/>
    </row>
    <row r="68" ht="15.75" customHeight="1">
      <c r="A68" s="2562" t="s">
        <v>1440</v>
      </c>
      <c r="B68" s="2563" t="s">
        <v>546</v>
      </c>
      <c r="C68" s="2537" t="s">
        <v>3314</v>
      </c>
      <c r="D68" s="2551" t="s">
        <v>493</v>
      </c>
      <c r="E68" s="2537" t="s">
        <v>386</v>
      </c>
      <c r="F68" s="2473" t="s">
        <v>3287</v>
      </c>
      <c r="G68" s="2546"/>
      <c r="H68" s="2537" t="s">
        <v>3401</v>
      </c>
      <c r="I68" s="2547" t="s">
        <v>3402</v>
      </c>
      <c r="J68" s="598"/>
      <c r="K68" s="1"/>
      <c r="L68" s="1"/>
      <c r="M68" s="1"/>
      <c r="N68" s="1"/>
      <c r="O68" s="1"/>
      <c r="P68" s="1"/>
      <c r="Q68" s="2465"/>
      <c r="R68" s="2465"/>
      <c r="S68" s="2465"/>
      <c r="T68" s="2465"/>
      <c r="U68" s="2465"/>
      <c r="V68" s="2465"/>
      <c r="W68" s="2465"/>
      <c r="X68" s="2465"/>
      <c r="Y68" s="2465"/>
      <c r="Z68" s="2465"/>
      <c r="AA68" s="1"/>
      <c r="AB68" s="1"/>
    </row>
    <row r="69" ht="15.75" customHeight="1">
      <c r="A69" s="2562" t="s">
        <v>3403</v>
      </c>
      <c r="B69" s="2563" t="s">
        <v>546</v>
      </c>
      <c r="C69" s="2537" t="s">
        <v>3314</v>
      </c>
      <c r="D69" s="2564" t="s">
        <v>3286</v>
      </c>
      <c r="E69" s="2545"/>
      <c r="F69" s="2473" t="s">
        <v>3287</v>
      </c>
      <c r="G69" s="532"/>
      <c r="H69" s="2537" t="s">
        <v>3404</v>
      </c>
      <c r="I69" s="2547" t="s">
        <v>3405</v>
      </c>
      <c r="J69" s="574"/>
      <c r="K69" s="1"/>
      <c r="L69" s="1"/>
      <c r="M69" s="1"/>
      <c r="N69" s="1"/>
      <c r="O69" s="1"/>
      <c r="P69" s="1"/>
      <c r="Q69" s="2465"/>
      <c r="R69" s="2465"/>
      <c r="S69" s="2465"/>
      <c r="T69" s="2465"/>
      <c r="U69" s="2465"/>
      <c r="V69" s="2465"/>
      <c r="W69" s="2465"/>
      <c r="X69" s="2465"/>
      <c r="Y69" s="2465"/>
      <c r="Z69" s="2465"/>
      <c r="AA69" s="1"/>
      <c r="AB69" s="1"/>
    </row>
    <row r="70" ht="15.75" customHeight="1">
      <c r="A70" s="2552"/>
      <c r="B70" s="2545"/>
      <c r="C70" s="2545"/>
      <c r="D70" s="2545"/>
      <c r="E70" s="2545"/>
      <c r="F70" s="2545"/>
      <c r="G70" s="2553"/>
      <c r="H70" s="2545"/>
      <c r="I70" s="2545"/>
      <c r="J70" s="1"/>
      <c r="K70" s="1"/>
      <c r="L70" s="1"/>
      <c r="M70" s="1"/>
      <c r="N70" s="1"/>
      <c r="O70" s="1"/>
      <c r="P70" s="1"/>
      <c r="Q70" s="2465"/>
      <c r="R70" s="2465"/>
      <c r="S70" s="2465"/>
      <c r="T70" s="2465"/>
      <c r="U70" s="2465"/>
      <c r="V70" s="2465"/>
      <c r="W70" s="2465"/>
      <c r="X70" s="2465"/>
      <c r="Y70" s="2465"/>
      <c r="Z70" s="2465"/>
      <c r="AA70" s="1"/>
      <c r="AB70" s="1"/>
    </row>
    <row r="71" ht="15.75" customHeight="1">
      <c r="A71" s="2554" t="s">
        <v>3323</v>
      </c>
      <c r="B71" s="530"/>
      <c r="C71" s="530"/>
      <c r="D71" s="530"/>
      <c r="E71" s="530"/>
      <c r="F71" s="530"/>
      <c r="G71" s="530"/>
      <c r="H71" s="530"/>
      <c r="I71" s="530"/>
      <c r="J71" s="532"/>
      <c r="K71" s="1"/>
      <c r="L71" s="1"/>
      <c r="M71" s="1"/>
      <c r="N71" s="1"/>
      <c r="O71" s="1"/>
      <c r="P71" s="1"/>
      <c r="Q71" s="2465"/>
      <c r="R71" s="2465"/>
      <c r="S71" s="2465"/>
      <c r="T71" s="2465"/>
      <c r="U71" s="2465"/>
      <c r="V71" s="2465"/>
      <c r="W71" s="2465"/>
      <c r="X71" s="2465"/>
      <c r="Y71" s="2465"/>
      <c r="Z71" s="2465"/>
      <c r="AA71" s="1"/>
      <c r="AB71" s="1"/>
    </row>
    <row r="72" ht="15.75" customHeight="1">
      <c r="A72" s="2555" t="s">
        <v>471</v>
      </c>
      <c r="B72" s="2530" t="s">
        <v>3277</v>
      </c>
      <c r="C72" s="2530" t="s">
        <v>3278</v>
      </c>
      <c r="D72" s="2530" t="s">
        <v>1430</v>
      </c>
      <c r="E72" s="2530" t="s">
        <v>3278</v>
      </c>
      <c r="F72" s="2556" t="s">
        <v>3279</v>
      </c>
      <c r="G72" s="2557" t="s">
        <v>3280</v>
      </c>
      <c r="H72" s="448" t="s">
        <v>3281</v>
      </c>
      <c r="I72" s="2545"/>
      <c r="J72" s="2542" t="s">
        <v>3324</v>
      </c>
      <c r="K72" s="1"/>
      <c r="L72" s="1"/>
      <c r="M72" s="1"/>
      <c r="N72" s="1"/>
      <c r="O72" s="1"/>
      <c r="P72" s="1"/>
      <c r="Q72" s="2465"/>
      <c r="R72" s="2465"/>
      <c r="S72" s="2465"/>
      <c r="T72" s="2465"/>
      <c r="U72" s="2465"/>
      <c r="V72" s="2465"/>
      <c r="W72" s="2465"/>
      <c r="X72" s="2465"/>
      <c r="Y72" s="2465"/>
      <c r="Z72" s="2465"/>
      <c r="AA72" s="1"/>
      <c r="AB72" s="1"/>
    </row>
    <row r="73" ht="15.75" customHeight="1">
      <c r="A73" s="2560" t="s">
        <v>1445</v>
      </c>
      <c r="B73" s="2536" t="s">
        <v>488</v>
      </c>
      <c r="C73" s="2537" t="s">
        <v>3314</v>
      </c>
      <c r="D73" s="2559" t="s">
        <v>392</v>
      </c>
      <c r="E73" s="2545"/>
      <c r="F73" s="2537" t="s">
        <v>3406</v>
      </c>
      <c r="G73" s="2567" t="s">
        <v>3407</v>
      </c>
      <c r="H73" s="2537" t="s">
        <v>3408</v>
      </c>
      <c r="I73" s="2547" t="s">
        <v>3409</v>
      </c>
      <c r="J73" s="574"/>
      <c r="K73" s="1"/>
      <c r="L73" s="1"/>
      <c r="M73" s="1"/>
      <c r="N73" s="1"/>
      <c r="O73" s="1"/>
      <c r="P73" s="1"/>
      <c r="Q73" s="2465"/>
      <c r="R73" s="2465"/>
      <c r="S73" s="2465"/>
      <c r="T73" s="2465"/>
      <c r="U73" s="2465"/>
      <c r="V73" s="2465"/>
      <c r="W73" s="2465"/>
      <c r="X73" s="2465"/>
      <c r="Y73" s="2465"/>
      <c r="Z73" s="2465"/>
      <c r="AA73" s="1"/>
      <c r="AB73" s="1"/>
    </row>
    <row r="74" ht="15.75" customHeight="1">
      <c r="A74" s="2543" t="s">
        <v>3410</v>
      </c>
      <c r="B74" s="2544" t="s">
        <v>496</v>
      </c>
      <c r="C74" s="2537" t="s">
        <v>3285</v>
      </c>
      <c r="D74" s="2564" t="s">
        <v>3286</v>
      </c>
      <c r="E74" s="2545"/>
      <c r="F74" s="2537" t="s">
        <v>3287</v>
      </c>
      <c r="G74" s="2546"/>
      <c r="H74" s="2537" t="s">
        <v>3411</v>
      </c>
      <c r="I74" s="2547" t="s">
        <v>3412</v>
      </c>
      <c r="J74" s="2542" t="s">
        <v>3333</v>
      </c>
      <c r="K74" s="1"/>
      <c r="L74" s="1"/>
      <c r="M74" s="1"/>
      <c r="N74" s="1"/>
      <c r="O74" s="1"/>
      <c r="P74" s="1"/>
      <c r="Q74" s="2465"/>
      <c r="R74" s="2465"/>
      <c r="S74" s="2465"/>
      <c r="T74" s="2465"/>
      <c r="U74" s="2465"/>
      <c r="V74" s="2465"/>
      <c r="W74" s="2465"/>
      <c r="X74" s="2465"/>
      <c r="Y74" s="2465"/>
      <c r="Z74" s="2465"/>
      <c r="AA74" s="1"/>
      <c r="AB74" s="1"/>
    </row>
    <row r="75" ht="15.75" customHeight="1">
      <c r="A75" s="2560" t="s">
        <v>709</v>
      </c>
      <c r="B75" s="2536" t="s">
        <v>488</v>
      </c>
      <c r="C75" s="2537" t="s">
        <v>3285</v>
      </c>
      <c r="D75" s="2551" t="s">
        <v>493</v>
      </c>
      <c r="E75" s="2571" t="s">
        <v>386</v>
      </c>
      <c r="F75" s="2473" t="s">
        <v>3393</v>
      </c>
      <c r="G75" s="532"/>
      <c r="H75" s="2473" t="s">
        <v>3413</v>
      </c>
      <c r="I75" s="2548" t="s">
        <v>3414</v>
      </c>
      <c r="J75" s="574"/>
      <c r="K75" s="1"/>
      <c r="L75" s="1"/>
      <c r="M75" s="1"/>
      <c r="N75" s="1"/>
      <c r="O75" s="1"/>
      <c r="P75" s="1"/>
      <c r="Q75" s="2465"/>
      <c r="R75" s="2465"/>
      <c r="S75" s="2465"/>
      <c r="T75" s="2465"/>
      <c r="U75" s="2465"/>
      <c r="V75" s="2465"/>
      <c r="W75" s="2465"/>
      <c r="X75" s="2465"/>
      <c r="Y75" s="2465"/>
      <c r="Z75" s="2465"/>
      <c r="AA75" s="1"/>
      <c r="AB75" s="1"/>
    </row>
    <row r="76" ht="15.75" customHeight="1">
      <c r="A76" s="2552"/>
      <c r="B76" s="2545"/>
      <c r="C76" s="2545"/>
      <c r="D76" s="2545"/>
      <c r="E76" s="2545"/>
      <c r="F76" s="2545"/>
      <c r="G76" s="2553"/>
      <c r="H76" s="2545"/>
      <c r="I76" s="2545"/>
      <c r="J76" s="1"/>
      <c r="K76" s="1"/>
      <c r="L76" s="1"/>
      <c r="M76" s="1"/>
      <c r="N76" s="1"/>
      <c r="O76" s="1"/>
      <c r="P76" s="1"/>
      <c r="Q76" s="2465"/>
      <c r="R76" s="2465"/>
      <c r="S76" s="2465"/>
      <c r="T76" s="2465"/>
      <c r="U76" s="2465"/>
      <c r="V76" s="2465"/>
      <c r="W76" s="2465"/>
      <c r="X76" s="2465"/>
      <c r="Y76" s="2465"/>
      <c r="Z76" s="2465"/>
      <c r="AA76" s="1"/>
      <c r="AB76" s="1"/>
    </row>
    <row r="77" ht="15.75" customHeight="1">
      <c r="A77" s="2554" t="s">
        <v>3337</v>
      </c>
      <c r="B77" s="530"/>
      <c r="C77" s="530"/>
      <c r="D77" s="530"/>
      <c r="E77" s="530"/>
      <c r="F77" s="530"/>
      <c r="G77" s="530"/>
      <c r="H77" s="530"/>
      <c r="I77" s="530"/>
      <c r="J77" s="532"/>
      <c r="K77" s="1"/>
      <c r="L77" s="1"/>
      <c r="M77" s="1"/>
      <c r="N77" s="1"/>
      <c r="O77" s="1"/>
      <c r="P77" s="1"/>
      <c r="Q77" s="2465"/>
      <c r="R77" s="2465"/>
      <c r="S77" s="2465"/>
      <c r="T77" s="2465"/>
      <c r="U77" s="2465"/>
      <c r="V77" s="2465"/>
      <c r="W77" s="2465"/>
      <c r="X77" s="2465"/>
      <c r="Y77" s="2465"/>
      <c r="Z77" s="2465"/>
      <c r="AA77" s="1"/>
      <c r="AB77" s="1"/>
    </row>
    <row r="78" ht="15.75" customHeight="1">
      <c r="A78" s="2555" t="s">
        <v>471</v>
      </c>
      <c r="B78" s="2530" t="s">
        <v>3277</v>
      </c>
      <c r="C78" s="2530" t="s">
        <v>3278</v>
      </c>
      <c r="D78" s="2530" t="s">
        <v>1430</v>
      </c>
      <c r="E78" s="2530" t="s">
        <v>3278</v>
      </c>
      <c r="F78" s="2556" t="s">
        <v>3279</v>
      </c>
      <c r="G78" s="2557" t="s">
        <v>3280</v>
      </c>
      <c r="H78" s="448" t="s">
        <v>3281</v>
      </c>
      <c r="I78" s="2545"/>
      <c r="J78" s="1"/>
      <c r="K78" s="1"/>
      <c r="L78" s="1"/>
      <c r="M78" s="1"/>
      <c r="N78" s="1"/>
      <c r="O78" s="1"/>
      <c r="P78" s="1"/>
      <c r="Q78" s="2465"/>
      <c r="R78" s="2465"/>
      <c r="S78" s="2465"/>
      <c r="T78" s="2465"/>
      <c r="U78" s="2465"/>
      <c r="V78" s="2465"/>
      <c r="W78" s="2465"/>
      <c r="X78" s="2465"/>
      <c r="Y78" s="2465"/>
      <c r="Z78" s="2465"/>
      <c r="AA78" s="1"/>
      <c r="AB78" s="1"/>
    </row>
    <row r="79" ht="15.75" customHeight="1">
      <c r="A79" s="2560" t="s">
        <v>3418</v>
      </c>
      <c r="B79" s="2536" t="s">
        <v>488</v>
      </c>
      <c r="C79" s="2537" t="s">
        <v>510</v>
      </c>
      <c r="D79" s="2538" t="s">
        <v>487</v>
      </c>
      <c r="E79" s="2473" t="s">
        <v>3314</v>
      </c>
      <c r="F79" s="2537" t="s">
        <v>3393</v>
      </c>
      <c r="G79" s="2541" t="s">
        <v>3376</v>
      </c>
      <c r="H79" s="2537" t="s">
        <v>3419</v>
      </c>
      <c r="I79" s="2547" t="s">
        <v>3420</v>
      </c>
      <c r="J79" s="2542" t="s">
        <v>380</v>
      </c>
      <c r="K79" s="1"/>
      <c r="L79" s="1"/>
      <c r="M79" s="1"/>
      <c r="N79" s="1"/>
      <c r="O79" s="1"/>
      <c r="P79" s="1"/>
      <c r="Q79" s="2465"/>
      <c r="R79" s="2465"/>
      <c r="S79" s="2465"/>
      <c r="T79" s="2465"/>
      <c r="U79" s="2465"/>
      <c r="V79" s="2465"/>
      <c r="W79" s="2465"/>
      <c r="X79" s="2465"/>
      <c r="Y79" s="2465"/>
      <c r="Z79" s="2465"/>
      <c r="AA79" s="1"/>
      <c r="AB79" s="1"/>
    </row>
    <row r="80" ht="15.75" customHeight="1">
      <c r="A80" s="2577" t="s">
        <v>2696</v>
      </c>
      <c r="B80" s="2550" t="s">
        <v>504</v>
      </c>
      <c r="C80" s="2537" t="s">
        <v>3423</v>
      </c>
      <c r="D80" s="2559" t="s">
        <v>392</v>
      </c>
      <c r="E80" s="2545"/>
      <c r="F80" s="2540" t="s">
        <v>3310</v>
      </c>
      <c r="G80" s="2546"/>
      <c r="H80" s="2473" t="s">
        <v>3426</v>
      </c>
      <c r="I80" s="2539" t="s">
        <v>3427</v>
      </c>
      <c r="J80" s="598"/>
      <c r="K80" s="1"/>
      <c r="L80" s="1"/>
      <c r="M80" s="1"/>
      <c r="N80" s="1"/>
      <c r="O80" s="1"/>
      <c r="P80" s="1"/>
      <c r="Q80" s="2465"/>
      <c r="R80" s="2465"/>
      <c r="S80" s="2465"/>
      <c r="T80" s="2465"/>
      <c r="U80" s="2465"/>
      <c r="V80" s="2465"/>
      <c r="W80" s="2465"/>
      <c r="X80" s="2465"/>
      <c r="Y80" s="2465"/>
      <c r="Z80" s="2465"/>
      <c r="AA80" s="1"/>
      <c r="AB80" s="1"/>
    </row>
    <row r="81" ht="15.75" customHeight="1">
      <c r="A81" s="2543" t="s">
        <v>3428</v>
      </c>
      <c r="B81" s="2544" t="s">
        <v>496</v>
      </c>
      <c r="C81" s="2537" t="s">
        <v>3430</v>
      </c>
      <c r="D81" s="2551" t="s">
        <v>493</v>
      </c>
      <c r="E81" s="2537" t="s">
        <v>386</v>
      </c>
      <c r="F81" s="2537" t="s">
        <v>3393</v>
      </c>
      <c r="G81" s="532"/>
      <c r="H81" s="2537" t="s">
        <v>3431</v>
      </c>
      <c r="I81" s="2547" t="s">
        <v>3432</v>
      </c>
      <c r="J81" s="574"/>
      <c r="K81" s="1"/>
      <c r="L81" s="1"/>
      <c r="M81" s="1"/>
      <c r="N81" s="1"/>
      <c r="O81" s="1"/>
      <c r="P81" s="1"/>
      <c r="Q81" s="2465"/>
      <c r="R81" s="2465"/>
      <c r="S81" s="2465"/>
      <c r="T81" s="2465"/>
      <c r="U81" s="2465"/>
      <c r="V81" s="2465"/>
      <c r="W81" s="2465"/>
      <c r="X81" s="2465"/>
      <c r="Y81" s="2465"/>
      <c r="Z81" s="2465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2580"/>
      <c r="H82" s="1"/>
      <c r="I82" s="1"/>
      <c r="J82" s="1"/>
      <c r="K82" s="1"/>
      <c r="L82" s="1"/>
      <c r="M82" s="1"/>
      <c r="N82" s="1"/>
      <c r="O82" s="1"/>
      <c r="P82" s="1"/>
      <c r="Q82" s="2465"/>
      <c r="R82" s="2465"/>
      <c r="S82" s="2465"/>
      <c r="T82" s="2465"/>
      <c r="U82" s="2465"/>
      <c r="V82" s="2465"/>
      <c r="W82" s="2465"/>
      <c r="X82" s="2465"/>
      <c r="Y82" s="2465"/>
      <c r="Z82" s="2465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2580"/>
      <c r="H83" s="1"/>
      <c r="I83" s="1"/>
      <c r="J83" s="1"/>
      <c r="K83" s="1"/>
      <c r="L83" s="1"/>
      <c r="M83" s="1"/>
      <c r="N83" s="1"/>
      <c r="O83" s="1"/>
      <c r="P83" s="1"/>
      <c r="Q83" s="2465"/>
      <c r="R83" s="2465"/>
      <c r="S83" s="2465"/>
      <c r="T83" s="2465"/>
      <c r="U83" s="2465"/>
      <c r="V83" s="2465"/>
      <c r="W83" s="2465"/>
      <c r="X83" s="2465"/>
      <c r="Y83" s="2465"/>
      <c r="Z83" s="2465"/>
      <c r="AA83" s="1"/>
      <c r="AB83" s="1"/>
    </row>
    <row r="84" ht="15.75" customHeight="1">
      <c r="A84" s="1"/>
      <c r="B84" s="2581" t="s">
        <v>3433</v>
      </c>
      <c r="C84" s="1"/>
      <c r="D84" s="2581" t="s">
        <v>3348</v>
      </c>
      <c r="E84" s="2465"/>
      <c r="F84" s="2465"/>
      <c r="G84" s="2582" t="s">
        <v>3349</v>
      </c>
      <c r="H84" s="2583" t="s">
        <v>3350</v>
      </c>
      <c r="I84" s="2465"/>
      <c r="J84" s="2483" t="s">
        <v>125</v>
      </c>
      <c r="K84" s="2583" t="s">
        <v>3350</v>
      </c>
      <c r="L84" s="2465"/>
      <c r="M84" s="2465"/>
      <c r="N84" s="2465"/>
      <c r="O84" s="2465"/>
      <c r="P84" s="2465"/>
      <c r="Q84" s="2465"/>
      <c r="R84" s="2465"/>
      <c r="S84" s="2465"/>
      <c r="T84" s="2465"/>
      <c r="U84" s="2465"/>
      <c r="V84" s="2465"/>
      <c r="W84" s="2465"/>
      <c r="X84" s="2465"/>
      <c r="Y84" s="2465"/>
      <c r="Z84" s="2465"/>
      <c r="AA84" s="1"/>
      <c r="AB84" s="1"/>
    </row>
    <row r="85" ht="15.75" customHeight="1">
      <c r="A85" s="1"/>
      <c r="B85" s="2585" t="s">
        <v>155</v>
      </c>
      <c r="C85" s="1"/>
      <c r="D85" s="2586" t="s">
        <v>3351</v>
      </c>
      <c r="E85" s="2465"/>
      <c r="F85" s="2583">
        <v>1.0</v>
      </c>
      <c r="G85" s="2588" t="s">
        <v>3326</v>
      </c>
      <c r="H85" s="2465"/>
      <c r="I85" s="2583">
        <v>1.0</v>
      </c>
      <c r="J85" s="2589" t="s">
        <v>3352</v>
      </c>
      <c r="K85" s="2465"/>
      <c r="L85" s="2465"/>
      <c r="M85" s="2465"/>
      <c r="N85" s="2465"/>
      <c r="O85" s="2465"/>
      <c r="P85" s="2465"/>
      <c r="Q85" s="2465"/>
      <c r="R85" s="2465"/>
      <c r="S85" s="2465"/>
      <c r="T85" s="2465"/>
      <c r="U85" s="2465"/>
      <c r="V85" s="2465"/>
      <c r="W85" s="2465"/>
      <c r="X85" s="2465"/>
      <c r="Y85" s="2465"/>
      <c r="Z85" s="2465"/>
      <c r="AA85" s="1"/>
      <c r="AB85" s="1"/>
    </row>
    <row r="86" ht="15.75" customHeight="1">
      <c r="A86" s="1"/>
      <c r="B86" s="2591" t="s">
        <v>3434</v>
      </c>
      <c r="C86" s="1"/>
      <c r="D86" s="2592" t="s">
        <v>3435</v>
      </c>
      <c r="E86" s="2465"/>
      <c r="F86" s="2583">
        <v>2.0</v>
      </c>
      <c r="G86" s="2588" t="s">
        <v>3355</v>
      </c>
      <c r="H86" s="2465"/>
      <c r="I86" s="2583">
        <v>2.0</v>
      </c>
      <c r="J86" s="2589" t="s">
        <v>3356</v>
      </c>
      <c r="K86" s="2465"/>
      <c r="L86" s="2465"/>
      <c r="M86" s="2465"/>
      <c r="N86" s="2465"/>
      <c r="O86" s="2465"/>
      <c r="P86" s="2465"/>
      <c r="Q86" s="2465"/>
      <c r="R86" s="2465"/>
      <c r="S86" s="2465"/>
      <c r="T86" s="2465"/>
      <c r="U86" s="2465"/>
      <c r="V86" s="2465"/>
      <c r="W86" s="2465"/>
      <c r="X86" s="2465"/>
      <c r="Y86" s="2465"/>
      <c r="Z86" s="2465"/>
      <c r="AA86" s="1"/>
      <c r="AB86" s="1"/>
    </row>
    <row r="87" ht="15.75" customHeight="1">
      <c r="A87" s="1"/>
      <c r="B87" s="2594" t="s">
        <v>3437</v>
      </c>
      <c r="C87" s="1"/>
      <c r="D87" s="2595" t="s">
        <v>3358</v>
      </c>
      <c r="E87" s="2465"/>
      <c r="F87" s="2583">
        <v>3.0</v>
      </c>
      <c r="G87" s="2588" t="s">
        <v>3315</v>
      </c>
      <c r="H87" s="2583" t="s">
        <v>3359</v>
      </c>
      <c r="I87" s="2583">
        <v>3.0</v>
      </c>
      <c r="J87" s="2589" t="s">
        <v>3360</v>
      </c>
      <c r="K87" s="2465"/>
      <c r="L87" s="2465"/>
      <c r="M87" s="2465"/>
      <c r="N87" s="2465"/>
      <c r="O87" s="2465"/>
      <c r="P87" s="2465"/>
      <c r="Q87" s="2465"/>
      <c r="R87" s="2465"/>
      <c r="S87" s="2465"/>
      <c r="T87" s="2465"/>
      <c r="U87" s="2465"/>
      <c r="V87" s="2465"/>
      <c r="W87" s="2465"/>
      <c r="X87" s="2465"/>
      <c r="Y87" s="2465"/>
      <c r="Z87" s="2465"/>
      <c r="AA87" s="1"/>
      <c r="AB87" s="1"/>
    </row>
    <row r="88" ht="15.75" customHeight="1">
      <c r="A88" s="1"/>
      <c r="B88" s="2596" t="s">
        <v>203</v>
      </c>
      <c r="C88" s="1"/>
      <c r="D88" s="2597" t="s">
        <v>3361</v>
      </c>
      <c r="E88" s="2465"/>
      <c r="F88" s="2583">
        <v>4.0</v>
      </c>
      <c r="G88" s="2588" t="s">
        <v>323</v>
      </c>
      <c r="H88" s="2465"/>
      <c r="I88" s="2583">
        <v>4.0</v>
      </c>
      <c r="J88" s="2589" t="s">
        <v>3362</v>
      </c>
      <c r="K88" s="2465"/>
      <c r="L88" s="2465"/>
      <c r="M88" s="2465"/>
      <c r="N88" s="2465"/>
      <c r="O88" s="2465"/>
      <c r="P88" s="2465"/>
      <c r="Q88" s="2465"/>
      <c r="R88" s="2465"/>
      <c r="S88" s="2465"/>
      <c r="T88" s="2465"/>
      <c r="U88" s="2465"/>
      <c r="V88" s="2465"/>
      <c r="W88" s="2465"/>
      <c r="X88" s="2465"/>
      <c r="Y88" s="2465"/>
      <c r="Z88" s="2465"/>
      <c r="AA88" s="1"/>
      <c r="AB88" s="1"/>
    </row>
    <row r="89" ht="15.75" customHeight="1">
      <c r="A89" s="1"/>
      <c r="B89" s="1"/>
      <c r="C89" s="1"/>
      <c r="D89" s="1"/>
      <c r="E89" s="2465"/>
      <c r="F89" s="2583">
        <v>5.0</v>
      </c>
      <c r="G89" s="2588" t="s">
        <v>3363</v>
      </c>
      <c r="H89" s="2465"/>
      <c r="I89" s="2583">
        <v>5.0</v>
      </c>
      <c r="J89" s="2589" t="s">
        <v>3364</v>
      </c>
      <c r="K89" s="2465"/>
      <c r="L89" s="2465"/>
      <c r="M89" s="2465"/>
      <c r="N89" s="2465"/>
      <c r="O89" s="2465"/>
      <c r="P89" s="2465"/>
      <c r="Q89" s="2465"/>
      <c r="R89" s="2465"/>
      <c r="S89" s="2465"/>
      <c r="T89" s="2465"/>
      <c r="U89" s="2465"/>
      <c r="V89" s="2465"/>
      <c r="W89" s="2465"/>
      <c r="X89" s="2465"/>
      <c r="Y89" s="2465"/>
      <c r="Z89" s="2465"/>
      <c r="AA89" s="1"/>
      <c r="AB89" s="1"/>
    </row>
    <row r="90" ht="15.75" customHeight="1">
      <c r="A90" s="1"/>
      <c r="B90" s="1"/>
      <c r="C90" s="1"/>
      <c r="D90" s="1"/>
      <c r="E90" s="2465"/>
      <c r="F90" s="2583">
        <v>6.0</v>
      </c>
      <c r="G90" s="2588" t="s">
        <v>2831</v>
      </c>
      <c r="H90" s="2465"/>
      <c r="I90" s="2583">
        <v>6.0</v>
      </c>
      <c r="J90" s="2589" t="s">
        <v>3365</v>
      </c>
      <c r="K90" s="2465"/>
      <c r="L90" s="2465"/>
      <c r="M90" s="2465"/>
      <c r="N90" s="2465"/>
      <c r="O90" s="2465"/>
      <c r="P90" s="2465"/>
      <c r="Q90" s="2465"/>
      <c r="R90" s="2465"/>
      <c r="S90" s="2465"/>
      <c r="T90" s="2465"/>
      <c r="U90" s="2465"/>
      <c r="V90" s="2465"/>
      <c r="W90" s="2465"/>
      <c r="X90" s="2465"/>
      <c r="Y90" s="2465"/>
      <c r="Z90" s="2465"/>
      <c r="AA90" s="1"/>
      <c r="AB90" s="1"/>
    </row>
    <row r="91" ht="15.75" customHeight="1">
      <c r="A91" s="1"/>
      <c r="B91" s="1"/>
      <c r="C91" s="1"/>
      <c r="D91" s="1"/>
      <c r="E91" s="2465"/>
      <c r="F91" s="2583">
        <v>7.0</v>
      </c>
      <c r="G91" s="2588" t="s">
        <v>3368</v>
      </c>
      <c r="H91" s="2465"/>
      <c r="I91" s="2583">
        <v>7.0</v>
      </c>
      <c r="J91" s="2589" t="s">
        <v>3369</v>
      </c>
      <c r="K91" s="2465"/>
      <c r="L91" s="2465"/>
      <c r="M91" s="2465"/>
      <c r="N91" s="2465"/>
      <c r="O91" s="2465"/>
      <c r="P91" s="2465"/>
      <c r="Q91" s="2465"/>
      <c r="R91" s="2465"/>
      <c r="S91" s="2465"/>
      <c r="T91" s="2465"/>
      <c r="U91" s="2465"/>
      <c r="V91" s="2465"/>
      <c r="W91" s="2465"/>
      <c r="X91" s="2465"/>
      <c r="Y91" s="2465"/>
      <c r="Z91" s="2465"/>
      <c r="AA91" s="1"/>
      <c r="AB91" s="1"/>
    </row>
    <row r="92" ht="15.75" customHeight="1">
      <c r="A92" s="1"/>
      <c r="B92" s="1"/>
      <c r="C92" s="1"/>
      <c r="D92" s="1"/>
      <c r="E92" s="2465"/>
      <c r="F92" s="2583">
        <v>8.0</v>
      </c>
      <c r="G92" s="2588" t="s">
        <v>3372</v>
      </c>
      <c r="H92" s="2583" t="s">
        <v>3373</v>
      </c>
      <c r="I92" s="2583">
        <v>8.0</v>
      </c>
      <c r="J92" s="2589" t="s">
        <v>3374</v>
      </c>
      <c r="K92" s="2465"/>
      <c r="L92" s="2465"/>
      <c r="M92" s="2465"/>
      <c r="N92" s="2465"/>
      <c r="O92" s="2465"/>
      <c r="P92" s="2465"/>
      <c r="Q92" s="2465"/>
      <c r="R92" s="2465"/>
      <c r="S92" s="2465"/>
      <c r="T92" s="2465"/>
      <c r="U92" s="2465"/>
      <c r="V92" s="2465"/>
      <c r="W92" s="2465"/>
      <c r="X92" s="2465"/>
      <c r="Y92" s="2465"/>
      <c r="Z92" s="2465"/>
      <c r="AA92" s="1"/>
      <c r="AB92" s="1"/>
    </row>
    <row r="93" ht="15.75" customHeight="1">
      <c r="A93" s="1"/>
      <c r="B93" s="1"/>
      <c r="C93" s="1"/>
      <c r="D93" s="1"/>
      <c r="E93" s="2465"/>
      <c r="F93" s="2583">
        <v>9.0</v>
      </c>
      <c r="G93" s="2588" t="s">
        <v>3376</v>
      </c>
      <c r="H93" s="2465"/>
      <c r="I93" s="2583">
        <v>9.0</v>
      </c>
      <c r="J93" s="2465"/>
      <c r="K93" s="2465"/>
      <c r="L93" s="2465"/>
      <c r="M93" s="2465"/>
      <c r="N93" s="2465"/>
      <c r="O93" s="2465"/>
      <c r="P93" s="2465"/>
      <c r="Q93" s="2465"/>
      <c r="R93" s="2465"/>
      <c r="S93" s="2465"/>
      <c r="T93" s="2465"/>
      <c r="U93" s="2465"/>
      <c r="V93" s="2465"/>
      <c r="W93" s="2465"/>
      <c r="X93" s="2465"/>
      <c r="Y93" s="2465"/>
      <c r="Z93" s="2465"/>
      <c r="AA93" s="1"/>
      <c r="AB93" s="1"/>
    </row>
    <row r="94" ht="15.75" customHeight="1">
      <c r="A94" s="1"/>
      <c r="B94" s="1"/>
      <c r="C94" s="1"/>
      <c r="D94" s="1"/>
      <c r="E94" s="2465"/>
      <c r="F94" s="2583">
        <v>10.0</v>
      </c>
      <c r="G94" s="2466"/>
      <c r="H94" s="2465"/>
      <c r="I94" s="2465"/>
      <c r="J94" s="2465"/>
      <c r="K94" s="2465"/>
      <c r="L94" s="2465"/>
      <c r="M94" s="2465"/>
      <c r="N94" s="2465"/>
      <c r="O94" s="2465"/>
      <c r="P94" s="2465"/>
      <c r="Q94" s="2465"/>
      <c r="R94" s="2465"/>
      <c r="S94" s="2465"/>
      <c r="T94" s="2465"/>
      <c r="U94" s="2465"/>
      <c r="V94" s="2465"/>
      <c r="W94" s="2465"/>
      <c r="X94" s="2465"/>
      <c r="Y94" s="2465"/>
      <c r="Z94" s="2465"/>
      <c r="AA94" s="1"/>
      <c r="AB94" s="1"/>
    </row>
    <row r="95" ht="15.75" customHeight="1">
      <c r="A95" s="1"/>
      <c r="B95" s="1"/>
      <c r="C95" s="1"/>
      <c r="D95" s="1"/>
      <c r="E95" s="2465"/>
      <c r="F95" s="2465"/>
      <c r="G95" s="2466"/>
      <c r="H95" s="2465"/>
      <c r="I95" s="2465"/>
      <c r="J95" s="2465"/>
      <c r="K95" s="2465"/>
      <c r="L95" s="2465"/>
      <c r="M95" s="2465"/>
      <c r="N95" s="2465"/>
      <c r="O95" s="2465"/>
      <c r="P95" s="2465"/>
      <c r="Q95" s="2465"/>
      <c r="R95" s="2465"/>
      <c r="S95" s="2465"/>
      <c r="T95" s="2465"/>
      <c r="U95" s="2465"/>
      <c r="V95" s="2465"/>
      <c r="W95" s="2465"/>
      <c r="X95" s="2465"/>
      <c r="Y95" s="2465"/>
      <c r="Z95" s="2465"/>
      <c r="AA95" s="1"/>
      <c r="AB95" s="1"/>
    </row>
    <row r="96" ht="15.75" customHeight="1">
      <c r="A96" s="1"/>
      <c r="B96" s="1"/>
      <c r="C96" s="1"/>
      <c r="D96" s="1"/>
      <c r="E96" s="2465"/>
      <c r="F96" s="2465"/>
      <c r="G96" s="2466"/>
      <c r="H96" s="2465"/>
      <c r="I96" s="2465"/>
      <c r="J96" s="2465"/>
      <c r="K96" s="2465"/>
      <c r="L96" s="2465"/>
      <c r="M96" s="2465"/>
      <c r="N96" s="2465"/>
      <c r="O96" s="2465"/>
      <c r="P96" s="2465"/>
      <c r="Q96" s="2465"/>
      <c r="R96" s="2465"/>
      <c r="S96" s="2465"/>
      <c r="T96" s="2465"/>
      <c r="U96" s="2465"/>
      <c r="V96" s="2465"/>
      <c r="W96" s="2465"/>
      <c r="X96" s="2465"/>
      <c r="Y96" s="2465"/>
      <c r="Z96" s="2465"/>
      <c r="AA96" s="1"/>
      <c r="AB96" s="1"/>
    </row>
    <row r="97" ht="15.75" customHeight="1">
      <c r="A97" s="1"/>
      <c r="B97" s="1"/>
      <c r="C97" s="1"/>
      <c r="D97" s="1"/>
      <c r="E97" s="2465"/>
      <c r="F97" s="2465"/>
      <c r="G97" s="2466"/>
      <c r="H97" s="2465"/>
      <c r="I97" s="2465"/>
      <c r="J97" s="2465"/>
      <c r="K97" s="2465"/>
      <c r="L97" s="2465"/>
      <c r="M97" s="2465"/>
      <c r="N97" s="2465"/>
      <c r="O97" s="2465"/>
      <c r="P97" s="2465"/>
      <c r="Q97" s="2465"/>
      <c r="R97" s="2465"/>
      <c r="S97" s="2465"/>
      <c r="T97" s="2465"/>
      <c r="U97" s="2465"/>
      <c r="V97" s="2465"/>
      <c r="W97" s="2465"/>
      <c r="X97" s="2465"/>
      <c r="Y97" s="2465"/>
      <c r="Z97" s="2465"/>
      <c r="AA97" s="1"/>
      <c r="AB97" s="1"/>
    </row>
    <row r="98" ht="15.75" customHeight="1">
      <c r="A98" s="1"/>
      <c r="B98" s="1"/>
      <c r="C98" s="1"/>
      <c r="D98" s="1"/>
      <c r="E98" s="2465"/>
      <c r="F98" s="2465"/>
      <c r="G98" s="2466"/>
      <c r="H98" s="2465"/>
      <c r="I98" s="2465"/>
      <c r="J98" s="2465"/>
      <c r="K98" s="2465"/>
      <c r="L98" s="2465"/>
      <c r="M98" s="2465"/>
      <c r="N98" s="2465"/>
      <c r="O98" s="2465"/>
      <c r="P98" s="2465"/>
      <c r="Q98" s="2465"/>
      <c r="R98" s="2465"/>
      <c r="S98" s="2465"/>
      <c r="T98" s="2465"/>
      <c r="U98" s="2465"/>
      <c r="V98" s="2465"/>
      <c r="W98" s="2465"/>
      <c r="X98" s="2465"/>
      <c r="Y98" s="2465"/>
      <c r="Z98" s="2465"/>
      <c r="AA98" s="1"/>
      <c r="AB98" s="1"/>
    </row>
    <row r="99" ht="15.75" customHeight="1">
      <c r="A99" s="1"/>
      <c r="B99" s="1"/>
      <c r="C99" s="1"/>
      <c r="D99" s="1"/>
      <c r="E99" s="2465"/>
      <c r="F99" s="2465"/>
      <c r="G99" s="2588" t="s">
        <v>3438</v>
      </c>
      <c r="H99" s="2465"/>
      <c r="I99" s="2465"/>
      <c r="J99" s="2589" t="s">
        <v>3439</v>
      </c>
      <c r="K99" s="2465"/>
      <c r="L99" s="2465"/>
      <c r="M99" s="2465"/>
      <c r="N99" s="2465"/>
      <c r="O99" s="2465"/>
      <c r="P99" s="2465"/>
      <c r="Q99" s="2465"/>
      <c r="R99" s="2465"/>
      <c r="S99" s="2465"/>
      <c r="T99" s="2465"/>
      <c r="U99" s="2465"/>
      <c r="V99" s="2465"/>
      <c r="W99" s="2465"/>
      <c r="X99" s="2465"/>
      <c r="Y99" s="2465"/>
      <c r="Z99" s="2465"/>
      <c r="AA99" s="1"/>
      <c r="AB99" s="1"/>
    </row>
    <row r="100" ht="15.75" customHeight="1">
      <c r="A100" s="1"/>
      <c r="B100" s="1"/>
      <c r="C100" s="1"/>
      <c r="D100" s="1"/>
      <c r="E100" s="2465"/>
      <c r="F100" s="2465"/>
      <c r="G100" s="2466"/>
      <c r="H100" s="2465"/>
      <c r="I100" s="2465"/>
      <c r="J100" s="2465"/>
      <c r="K100" s="2465"/>
      <c r="L100" s="2465"/>
      <c r="M100" s="2465"/>
      <c r="N100" s="2465"/>
      <c r="O100" s="2465"/>
      <c r="P100" s="2465"/>
      <c r="Q100" s="2465"/>
      <c r="R100" s="2465"/>
      <c r="S100" s="2465"/>
      <c r="T100" s="2465"/>
      <c r="U100" s="2465"/>
      <c r="V100" s="2465"/>
      <c r="W100" s="2465"/>
      <c r="X100" s="2465"/>
      <c r="Y100" s="2465"/>
      <c r="Z100" s="2465"/>
      <c r="AA100" s="1"/>
      <c r="AB100" s="1"/>
    </row>
    <row r="101" ht="15.75" customHeight="1">
      <c r="A101" s="1"/>
      <c r="B101" s="1"/>
      <c r="C101" s="1"/>
      <c r="D101" s="1"/>
      <c r="E101" s="2465"/>
      <c r="F101" s="2465"/>
      <c r="G101" s="2466"/>
      <c r="H101" s="2465"/>
      <c r="I101" s="2465"/>
      <c r="J101" s="2465"/>
      <c r="K101" s="2465"/>
      <c r="L101" s="2465"/>
      <c r="M101" s="2465"/>
      <c r="N101" s="2465"/>
      <c r="O101" s="2465"/>
      <c r="P101" s="2465"/>
      <c r="Q101" s="2465"/>
      <c r="R101" s="2465"/>
      <c r="S101" s="2465"/>
      <c r="T101" s="2465"/>
      <c r="U101" s="2465"/>
      <c r="V101" s="2465"/>
      <c r="W101" s="2465"/>
      <c r="X101" s="2465"/>
      <c r="Y101" s="2465"/>
      <c r="Z101" s="2465"/>
      <c r="AA101" s="1"/>
      <c r="AB101" s="1"/>
    </row>
    <row r="102" ht="15.75" customHeight="1">
      <c r="A102" s="1"/>
      <c r="B102" s="1"/>
      <c r="C102" s="1"/>
      <c r="D102" s="1"/>
      <c r="E102" s="2465"/>
      <c r="F102" s="2465"/>
      <c r="G102" s="2466"/>
      <c r="H102" s="2465"/>
      <c r="I102" s="2465"/>
      <c r="J102" s="2465"/>
      <c r="K102" s="2465"/>
      <c r="L102" s="2465"/>
      <c r="M102" s="2465"/>
      <c r="N102" s="2465"/>
      <c r="O102" s="2465"/>
      <c r="P102" s="2465"/>
      <c r="Q102" s="2465"/>
      <c r="R102" s="2465"/>
      <c r="S102" s="2465"/>
      <c r="T102" s="2465"/>
      <c r="U102" s="2465"/>
      <c r="V102" s="2465"/>
      <c r="W102" s="2465"/>
      <c r="X102" s="2465"/>
      <c r="Y102" s="2465"/>
      <c r="Z102" s="2465"/>
      <c r="AA102" s="1"/>
      <c r="AB102" s="1"/>
    </row>
    <row r="103" ht="15.75" customHeight="1">
      <c r="A103" s="1"/>
      <c r="B103" s="1"/>
      <c r="C103" s="1"/>
      <c r="D103" s="1"/>
      <c r="E103" s="2465"/>
      <c r="F103" s="2465"/>
      <c r="G103" s="2466"/>
      <c r="H103" s="2465"/>
      <c r="I103" s="2465"/>
      <c r="J103" s="2465"/>
      <c r="K103" s="2465"/>
      <c r="L103" s="2465"/>
      <c r="M103" s="2465"/>
      <c r="N103" s="2465"/>
      <c r="O103" s="2465"/>
      <c r="P103" s="2465"/>
      <c r="Q103" s="2465"/>
      <c r="R103" s="2465"/>
      <c r="S103" s="2465"/>
      <c r="T103" s="2465"/>
      <c r="U103" s="2465"/>
      <c r="V103" s="2465"/>
      <c r="W103" s="2465"/>
      <c r="X103" s="2465"/>
      <c r="Y103" s="2465"/>
      <c r="Z103" s="2465"/>
      <c r="AA103" s="1"/>
      <c r="AB103" s="1"/>
    </row>
    <row r="104" ht="15.75" customHeight="1">
      <c r="A104" s="1"/>
      <c r="B104" s="1"/>
      <c r="C104" s="1"/>
      <c r="D104" s="1"/>
      <c r="E104" s="2465"/>
      <c r="F104" s="2465"/>
      <c r="G104" s="2466"/>
      <c r="H104" s="2465"/>
      <c r="I104" s="2465"/>
      <c r="J104" s="2465"/>
      <c r="K104" s="2465"/>
      <c r="L104" s="2465"/>
      <c r="M104" s="2465"/>
      <c r="N104" s="2465"/>
      <c r="O104" s="2465"/>
      <c r="P104" s="2465"/>
      <c r="Q104" s="2465"/>
      <c r="R104" s="2465"/>
      <c r="S104" s="2465"/>
      <c r="T104" s="2465"/>
      <c r="U104" s="2465"/>
      <c r="V104" s="2465"/>
      <c r="W104" s="2465"/>
      <c r="X104" s="2465"/>
      <c r="Y104" s="2465"/>
      <c r="Z104" s="2465"/>
      <c r="AA104" s="1"/>
      <c r="AB104" s="1"/>
    </row>
    <row r="105" ht="15.75" customHeight="1">
      <c r="A105" s="1"/>
      <c r="B105" s="1"/>
      <c r="C105" s="1"/>
      <c r="D105" s="1"/>
      <c r="E105" s="2465"/>
      <c r="F105" s="2465"/>
      <c r="G105" s="2466"/>
      <c r="H105" s="2465"/>
      <c r="I105" s="2465"/>
      <c r="J105" s="2465"/>
      <c r="K105" s="2465"/>
      <c r="L105" s="2465"/>
      <c r="M105" s="2465"/>
      <c r="N105" s="2465"/>
      <c r="O105" s="2465"/>
      <c r="P105" s="2465"/>
      <c r="Q105" s="2465"/>
      <c r="R105" s="2465"/>
      <c r="S105" s="2465"/>
      <c r="T105" s="2465"/>
      <c r="U105" s="2465"/>
      <c r="V105" s="2465"/>
      <c r="W105" s="2465"/>
      <c r="X105" s="2465"/>
      <c r="Y105" s="2465"/>
      <c r="Z105" s="2465"/>
      <c r="AA105" s="1"/>
      <c r="AB105" s="1"/>
    </row>
    <row r="106" ht="15.75" customHeight="1">
      <c r="A106" s="1"/>
      <c r="B106" s="1"/>
      <c r="C106" s="1"/>
      <c r="D106" s="1"/>
      <c r="E106" s="2465"/>
      <c r="F106" s="2465"/>
      <c r="G106" s="2466"/>
      <c r="H106" s="2465"/>
      <c r="I106" s="2465"/>
      <c r="J106" s="2465"/>
      <c r="K106" s="2465"/>
      <c r="L106" s="2465"/>
      <c r="M106" s="2465"/>
      <c r="N106" s="2465"/>
      <c r="O106" s="2465"/>
      <c r="P106" s="2465"/>
      <c r="Q106" s="2465"/>
      <c r="R106" s="2465"/>
      <c r="S106" s="2465"/>
      <c r="T106" s="2465"/>
      <c r="U106" s="2465"/>
      <c r="V106" s="2465"/>
      <c r="W106" s="2465"/>
      <c r="X106" s="2465"/>
      <c r="Y106" s="2465"/>
      <c r="Z106" s="2465"/>
      <c r="AA106" s="1"/>
      <c r="AB106" s="1"/>
    </row>
    <row r="107" ht="15.75" customHeight="1">
      <c r="A107" s="1"/>
      <c r="B107" s="1"/>
      <c r="C107" s="1"/>
      <c r="D107" s="1"/>
      <c r="E107" s="2465"/>
      <c r="F107" s="2465"/>
      <c r="G107" s="2466"/>
      <c r="H107" s="2465"/>
      <c r="I107" s="2465"/>
      <c r="J107" s="2465"/>
      <c r="K107" s="2465"/>
      <c r="L107" s="2465"/>
      <c r="M107" s="2465"/>
      <c r="N107" s="2465"/>
      <c r="O107" s="2465"/>
      <c r="P107" s="2465"/>
      <c r="Q107" s="2465"/>
      <c r="R107" s="2465"/>
      <c r="S107" s="2465"/>
      <c r="T107" s="2465"/>
      <c r="U107" s="2465"/>
      <c r="V107" s="2465"/>
      <c r="W107" s="2465"/>
      <c r="X107" s="2465"/>
      <c r="Y107" s="2465"/>
      <c r="Z107" s="2465"/>
      <c r="AA107" s="1"/>
      <c r="AB107" s="1"/>
    </row>
    <row r="108" ht="15.75" customHeight="1">
      <c r="A108" s="1"/>
      <c r="B108" s="1"/>
      <c r="C108" s="1"/>
      <c r="D108" s="1"/>
      <c r="E108" s="2465"/>
      <c r="F108" s="2465"/>
      <c r="G108" s="2466"/>
      <c r="H108" s="2465"/>
      <c r="I108" s="2465"/>
      <c r="J108" s="2465"/>
      <c r="K108" s="2465"/>
      <c r="L108" s="2465"/>
      <c r="M108" s="2465"/>
      <c r="N108" s="2465"/>
      <c r="O108" s="2465"/>
      <c r="P108" s="2465"/>
      <c r="Q108" s="2465"/>
      <c r="R108" s="2465"/>
      <c r="S108" s="2465"/>
      <c r="T108" s="2465"/>
      <c r="U108" s="2465"/>
      <c r="V108" s="2465"/>
      <c r="W108" s="2465"/>
      <c r="X108" s="2465"/>
      <c r="Y108" s="2465"/>
      <c r="Z108" s="2465"/>
      <c r="AA108" s="1"/>
      <c r="AB108" s="1"/>
    </row>
    <row r="109" ht="15.75" customHeight="1">
      <c r="A109" s="1"/>
      <c r="B109" s="1"/>
      <c r="C109" s="1"/>
      <c r="D109" s="1"/>
      <c r="E109" s="2465"/>
      <c r="F109" s="2465"/>
      <c r="G109" s="2466"/>
      <c r="H109" s="2465"/>
      <c r="I109" s="2465"/>
      <c r="J109" s="2465"/>
      <c r="K109" s="2465"/>
      <c r="L109" s="2465"/>
      <c r="M109" s="2465"/>
      <c r="N109" s="2465"/>
      <c r="O109" s="2465"/>
      <c r="P109" s="2465"/>
      <c r="Q109" s="2465"/>
      <c r="R109" s="2465"/>
      <c r="S109" s="2465"/>
      <c r="T109" s="2465"/>
      <c r="U109" s="2465"/>
      <c r="V109" s="2465"/>
      <c r="W109" s="2465"/>
      <c r="X109" s="2465"/>
      <c r="Y109" s="2465"/>
      <c r="Z109" s="2465"/>
      <c r="AA109" s="1"/>
      <c r="AB109" s="1"/>
    </row>
    <row r="110" ht="15.75" customHeight="1">
      <c r="A110" s="1"/>
      <c r="B110" s="1"/>
      <c r="C110" s="1"/>
      <c r="D110" s="1"/>
      <c r="E110" s="2465"/>
      <c r="F110" s="2465"/>
      <c r="G110" s="2466"/>
      <c r="H110" s="2465"/>
      <c r="I110" s="2465"/>
      <c r="J110" s="2465"/>
      <c r="K110" s="2465"/>
      <c r="L110" s="2465"/>
      <c r="M110" s="2465"/>
      <c r="N110" s="2465"/>
      <c r="O110" s="2465"/>
      <c r="P110" s="2465"/>
      <c r="Q110" s="2465"/>
      <c r="R110" s="2465"/>
      <c r="S110" s="2465"/>
      <c r="T110" s="2465"/>
      <c r="U110" s="2465"/>
      <c r="V110" s="2465"/>
      <c r="W110" s="2465"/>
      <c r="X110" s="2465"/>
      <c r="Y110" s="2465"/>
      <c r="Z110" s="2465"/>
      <c r="AA110" s="1"/>
      <c r="AB110" s="1"/>
    </row>
    <row r="111" ht="15.75" customHeight="1">
      <c r="A111" s="1"/>
      <c r="B111" s="1"/>
      <c r="C111" s="1"/>
      <c r="D111" s="1"/>
      <c r="E111" s="2465"/>
      <c r="F111" s="2465"/>
      <c r="G111" s="2466"/>
      <c r="H111" s="2465"/>
      <c r="I111" s="2465"/>
      <c r="J111" s="2465"/>
      <c r="K111" s="2465"/>
      <c r="L111" s="2465"/>
      <c r="M111" s="2465"/>
      <c r="N111" s="2465"/>
      <c r="O111" s="2465"/>
      <c r="P111" s="2465"/>
      <c r="Q111" s="2465"/>
      <c r="R111" s="2465"/>
      <c r="S111" s="2465"/>
      <c r="T111" s="2465"/>
      <c r="U111" s="2465"/>
      <c r="V111" s="2465"/>
      <c r="W111" s="2465"/>
      <c r="X111" s="2465"/>
      <c r="Y111" s="2465"/>
      <c r="Z111" s="2465"/>
      <c r="AA111" s="1"/>
      <c r="AB111" s="1"/>
    </row>
    <row r="112" ht="15.75" customHeight="1">
      <c r="A112" s="1"/>
      <c r="B112" s="1"/>
      <c r="C112" s="1"/>
      <c r="D112" s="1"/>
      <c r="E112" s="2465"/>
      <c r="F112" s="2465"/>
      <c r="G112" s="2466"/>
      <c r="H112" s="2465"/>
      <c r="I112" s="2465"/>
      <c r="J112" s="2465"/>
      <c r="K112" s="2465"/>
      <c r="L112" s="2465"/>
      <c r="M112" s="2465"/>
      <c r="N112" s="2465"/>
      <c r="O112" s="2465"/>
      <c r="P112" s="2465"/>
      <c r="Q112" s="2465"/>
      <c r="R112" s="2465"/>
      <c r="S112" s="2465"/>
      <c r="T112" s="2465"/>
      <c r="U112" s="2465"/>
      <c r="V112" s="2465"/>
      <c r="W112" s="2465"/>
      <c r="X112" s="2465"/>
      <c r="Y112" s="2465"/>
      <c r="Z112" s="2465"/>
      <c r="AA112" s="1"/>
      <c r="AB112" s="1"/>
    </row>
    <row r="113" ht="15.75" customHeight="1">
      <c r="A113" s="1"/>
      <c r="B113" s="1"/>
      <c r="C113" s="1"/>
      <c r="D113" s="1"/>
      <c r="E113" s="2465"/>
      <c r="F113" s="2465"/>
      <c r="G113" s="2466"/>
      <c r="H113" s="2465"/>
      <c r="I113" s="2465"/>
      <c r="J113" s="2465"/>
      <c r="K113" s="2465"/>
      <c r="L113" s="2465"/>
      <c r="M113" s="2465"/>
      <c r="N113" s="2465"/>
      <c r="O113" s="2465"/>
      <c r="P113" s="2465"/>
      <c r="Q113" s="2465"/>
      <c r="R113" s="2465"/>
      <c r="S113" s="2465"/>
      <c r="T113" s="2465"/>
      <c r="U113" s="2465"/>
      <c r="V113" s="2465"/>
      <c r="W113" s="2465"/>
      <c r="X113" s="2465"/>
      <c r="Y113" s="2465"/>
      <c r="Z113" s="2465"/>
      <c r="AA113" s="1"/>
      <c r="AB113" s="1"/>
    </row>
    <row r="114" ht="15.75" customHeight="1">
      <c r="A114" s="1"/>
      <c r="B114" s="1"/>
      <c r="C114" s="1"/>
      <c r="D114" s="1"/>
      <c r="E114" s="2465"/>
      <c r="F114" s="2465"/>
      <c r="G114" s="2466"/>
      <c r="H114" s="2465"/>
      <c r="I114" s="2465"/>
      <c r="J114" s="2465"/>
      <c r="K114" s="2465"/>
      <c r="L114" s="2465"/>
      <c r="M114" s="2465"/>
      <c r="N114" s="2465"/>
      <c r="O114" s="2465"/>
      <c r="P114" s="2465"/>
      <c r="Q114" s="2465"/>
      <c r="R114" s="2465"/>
      <c r="S114" s="2465"/>
      <c r="T114" s="2465"/>
      <c r="U114" s="2465"/>
      <c r="V114" s="2465"/>
      <c r="W114" s="2465"/>
      <c r="X114" s="2465"/>
      <c r="Y114" s="2465"/>
      <c r="Z114" s="2465"/>
      <c r="AA114" s="1"/>
      <c r="AB114" s="1"/>
    </row>
    <row r="115" ht="15.75" customHeight="1">
      <c r="A115" s="1"/>
      <c r="B115" s="1"/>
      <c r="C115" s="1"/>
      <c r="D115" s="1"/>
      <c r="E115" s="2465"/>
      <c r="F115" s="2465"/>
      <c r="G115" s="2466"/>
      <c r="H115" s="2465"/>
      <c r="I115" s="2465"/>
      <c r="J115" s="2465"/>
      <c r="K115" s="2465"/>
      <c r="L115" s="2465"/>
      <c r="M115" s="2465"/>
      <c r="N115" s="2465"/>
      <c r="O115" s="2465"/>
      <c r="P115" s="2465"/>
      <c r="Q115" s="2465"/>
      <c r="R115" s="2465"/>
      <c r="S115" s="2465"/>
      <c r="T115" s="2465"/>
      <c r="U115" s="2465"/>
      <c r="V115" s="2465"/>
      <c r="W115" s="2465"/>
      <c r="X115" s="2465"/>
      <c r="Y115" s="2465"/>
      <c r="Z115" s="2465"/>
      <c r="AA115" s="1"/>
      <c r="AB115" s="1"/>
    </row>
    <row r="116" ht="15.75" customHeight="1">
      <c r="A116" s="1"/>
      <c r="B116" s="1"/>
      <c r="C116" s="1"/>
      <c r="D116" s="1"/>
      <c r="E116" s="2465"/>
      <c r="F116" s="2465"/>
      <c r="G116" s="2466"/>
      <c r="H116" s="2465"/>
      <c r="I116" s="2465"/>
      <c r="J116" s="2465"/>
      <c r="K116" s="2465"/>
      <c r="L116" s="2465"/>
      <c r="M116" s="2465"/>
      <c r="N116" s="2465"/>
      <c r="O116" s="2465"/>
      <c r="P116" s="2465"/>
      <c r="Q116" s="2465"/>
      <c r="R116" s="2465"/>
      <c r="S116" s="2465"/>
      <c r="T116" s="2465"/>
      <c r="U116" s="2465"/>
      <c r="V116" s="2465"/>
      <c r="W116" s="2465"/>
      <c r="X116" s="2465"/>
      <c r="Y116" s="2465"/>
      <c r="Z116" s="2465"/>
      <c r="AA116" s="1"/>
      <c r="AB116" s="1"/>
    </row>
    <row r="117" ht="15.75" customHeight="1">
      <c r="A117" s="1"/>
      <c r="B117" s="1"/>
      <c r="C117" s="1"/>
      <c r="D117" s="1"/>
      <c r="E117" s="2465"/>
      <c r="F117" s="2465"/>
      <c r="G117" s="2466"/>
      <c r="H117" s="2465"/>
      <c r="I117" s="2465"/>
      <c r="J117" s="2465"/>
      <c r="K117" s="2465"/>
      <c r="L117" s="2465"/>
      <c r="M117" s="2465"/>
      <c r="N117" s="2465"/>
      <c r="O117" s="2465"/>
      <c r="P117" s="2465"/>
      <c r="Q117" s="2465"/>
      <c r="R117" s="2465"/>
      <c r="S117" s="2465"/>
      <c r="T117" s="2465"/>
      <c r="U117" s="2465"/>
      <c r="V117" s="2465"/>
      <c r="W117" s="2465"/>
      <c r="X117" s="2465"/>
      <c r="Y117" s="2465"/>
      <c r="Z117" s="2465"/>
      <c r="AA117" s="1"/>
      <c r="AB117" s="1"/>
    </row>
    <row r="118" ht="15.75" customHeight="1">
      <c r="A118" s="1"/>
      <c r="B118" s="1"/>
      <c r="C118" s="1"/>
      <c r="D118" s="1"/>
      <c r="E118" s="2465"/>
      <c r="F118" s="2465"/>
      <c r="G118" s="2466"/>
      <c r="H118" s="2465"/>
      <c r="I118" s="2465"/>
      <c r="J118" s="2465"/>
      <c r="K118" s="2465"/>
      <c r="L118" s="2465"/>
      <c r="M118" s="2465"/>
      <c r="N118" s="2465"/>
      <c r="O118" s="2465"/>
      <c r="P118" s="2465"/>
      <c r="Q118" s="2465"/>
      <c r="R118" s="2465"/>
      <c r="S118" s="2465"/>
      <c r="T118" s="2465"/>
      <c r="U118" s="2465"/>
      <c r="V118" s="2465"/>
      <c r="W118" s="2465"/>
      <c r="X118" s="2465"/>
      <c r="Y118" s="2465"/>
      <c r="Z118" s="2465"/>
      <c r="AA118" s="1"/>
      <c r="AB118" s="1"/>
    </row>
    <row r="119" ht="15.75" customHeight="1">
      <c r="A119" s="1"/>
      <c r="B119" s="1"/>
      <c r="C119" s="1"/>
      <c r="D119" s="1"/>
      <c r="E119" s="2465"/>
      <c r="F119" s="2465"/>
      <c r="G119" s="2466"/>
      <c r="H119" s="2465"/>
      <c r="I119" s="2465"/>
      <c r="J119" s="2465"/>
      <c r="K119" s="2465"/>
      <c r="L119" s="2465"/>
      <c r="M119" s="2465"/>
      <c r="N119" s="2465"/>
      <c r="O119" s="2465"/>
      <c r="P119" s="2465"/>
      <c r="Q119" s="2465"/>
      <c r="R119" s="2465"/>
      <c r="S119" s="2465"/>
      <c r="T119" s="2465"/>
      <c r="U119" s="2465"/>
      <c r="V119" s="2465"/>
      <c r="W119" s="2465"/>
      <c r="X119" s="2465"/>
      <c r="Y119" s="2465"/>
      <c r="Z119" s="2465"/>
      <c r="AA119" s="1"/>
      <c r="AB119" s="1"/>
    </row>
    <row r="120" ht="15.75" customHeight="1">
      <c r="A120" s="1"/>
      <c r="B120" s="1"/>
      <c r="C120" s="1"/>
      <c r="D120" s="1"/>
      <c r="E120" s="2465"/>
      <c r="F120" s="2465"/>
      <c r="G120" s="2466"/>
      <c r="H120" s="2465"/>
      <c r="I120" s="2465"/>
      <c r="J120" s="2465"/>
      <c r="K120" s="2465"/>
      <c r="L120" s="2465"/>
      <c r="M120" s="2465"/>
      <c r="N120" s="2465"/>
      <c r="O120" s="2465"/>
      <c r="P120" s="2465"/>
      <c r="Q120" s="2465"/>
      <c r="R120" s="2465"/>
      <c r="S120" s="2465"/>
      <c r="T120" s="2465"/>
      <c r="U120" s="2465"/>
      <c r="V120" s="2465"/>
      <c r="W120" s="2465"/>
      <c r="X120" s="2465"/>
      <c r="Y120" s="2465"/>
      <c r="Z120" s="2465"/>
      <c r="AA120" s="1"/>
      <c r="AB120" s="1"/>
    </row>
    <row r="121" ht="15.75" customHeight="1">
      <c r="A121" s="1"/>
      <c r="B121" s="1"/>
      <c r="C121" s="1"/>
      <c r="D121" s="1"/>
      <c r="E121" s="2465"/>
      <c r="F121" s="2465"/>
      <c r="G121" s="2466"/>
      <c r="H121" s="2465"/>
      <c r="I121" s="2465"/>
      <c r="J121" s="2465"/>
      <c r="K121" s="2465"/>
      <c r="L121" s="2465"/>
      <c r="M121" s="2465"/>
      <c r="N121" s="2465"/>
      <c r="O121" s="2465"/>
      <c r="P121" s="2465"/>
      <c r="Q121" s="2465"/>
      <c r="R121" s="2465"/>
      <c r="S121" s="2465"/>
      <c r="T121" s="2465"/>
      <c r="U121" s="2465"/>
      <c r="V121" s="2465"/>
      <c r="W121" s="2465"/>
      <c r="X121" s="2465"/>
      <c r="Y121" s="2465"/>
      <c r="Z121" s="2465"/>
      <c r="AA121" s="1"/>
      <c r="AB121" s="1"/>
    </row>
    <row r="122" ht="15.75" customHeight="1">
      <c r="A122" s="1"/>
      <c r="B122" s="1"/>
      <c r="C122" s="1"/>
      <c r="D122" s="1"/>
      <c r="E122" s="2465"/>
      <c r="F122" s="2465"/>
      <c r="G122" s="2466"/>
      <c r="H122" s="2465"/>
      <c r="I122" s="2465"/>
      <c r="J122" s="2465"/>
      <c r="K122" s="2465"/>
      <c r="L122" s="2465"/>
      <c r="M122" s="2465"/>
      <c r="N122" s="2465"/>
      <c r="O122" s="2465"/>
      <c r="P122" s="2465"/>
      <c r="Q122" s="2465"/>
      <c r="R122" s="2465"/>
      <c r="S122" s="2465"/>
      <c r="T122" s="2465"/>
      <c r="U122" s="2465"/>
      <c r="V122" s="2465"/>
      <c r="W122" s="2465"/>
      <c r="X122" s="2465"/>
      <c r="Y122" s="2465"/>
      <c r="Z122" s="2465"/>
      <c r="AA122" s="1"/>
      <c r="AB122" s="1"/>
    </row>
    <row r="123" ht="15.75" customHeight="1">
      <c r="A123" s="1"/>
      <c r="B123" s="1"/>
      <c r="C123" s="1"/>
      <c r="D123" s="1"/>
      <c r="E123" s="2465"/>
      <c r="F123" s="2465"/>
      <c r="G123" s="2466"/>
      <c r="H123" s="2465"/>
      <c r="I123" s="2465"/>
      <c r="J123" s="2465"/>
      <c r="K123" s="2465"/>
      <c r="L123" s="2465"/>
      <c r="M123" s="2465"/>
      <c r="N123" s="2465"/>
      <c r="O123" s="2465"/>
      <c r="P123" s="2465"/>
      <c r="Q123" s="2465"/>
      <c r="R123" s="2465"/>
      <c r="S123" s="2465"/>
      <c r="T123" s="2465"/>
      <c r="U123" s="2465"/>
      <c r="V123" s="2465"/>
      <c r="W123" s="2465"/>
      <c r="X123" s="2465"/>
      <c r="Y123" s="2465"/>
      <c r="Z123" s="2465"/>
      <c r="AA123" s="1"/>
      <c r="AB123" s="1"/>
    </row>
    <row r="124" ht="15.75" customHeight="1">
      <c r="A124" s="1"/>
      <c r="B124" s="1"/>
      <c r="C124" s="1"/>
      <c r="D124" s="1"/>
      <c r="E124" s="2465"/>
      <c r="F124" s="2465"/>
      <c r="G124" s="2466"/>
      <c r="H124" s="2465"/>
      <c r="I124" s="2465"/>
      <c r="J124" s="2465"/>
      <c r="K124" s="2465"/>
      <c r="L124" s="2465"/>
      <c r="M124" s="2465"/>
      <c r="N124" s="2465"/>
      <c r="O124" s="2465"/>
      <c r="P124" s="2465"/>
      <c r="Q124" s="2465"/>
      <c r="R124" s="2465"/>
      <c r="S124" s="2465"/>
      <c r="T124" s="2465"/>
      <c r="U124" s="2465"/>
      <c r="V124" s="2465"/>
      <c r="W124" s="2465"/>
      <c r="X124" s="2465"/>
      <c r="Y124" s="2465"/>
      <c r="Z124" s="2465"/>
      <c r="AA124" s="1"/>
      <c r="AB124" s="1"/>
    </row>
    <row r="125" ht="15.75" customHeight="1">
      <c r="A125" s="1"/>
      <c r="B125" s="1"/>
      <c r="C125" s="1"/>
      <c r="D125" s="1"/>
      <c r="E125" s="2465"/>
      <c r="F125" s="2465"/>
      <c r="G125" s="2466"/>
      <c r="H125" s="2465"/>
      <c r="I125" s="2465"/>
      <c r="J125" s="2465"/>
      <c r="K125" s="2465"/>
      <c r="L125" s="2465"/>
      <c r="M125" s="2465"/>
      <c r="N125" s="2465"/>
      <c r="O125" s="2465"/>
      <c r="P125" s="2465"/>
      <c r="Q125" s="2465"/>
      <c r="R125" s="2465"/>
      <c r="S125" s="2465"/>
      <c r="T125" s="2465"/>
      <c r="U125" s="2465"/>
      <c r="V125" s="2465"/>
      <c r="W125" s="2465"/>
      <c r="X125" s="2465"/>
      <c r="Y125" s="2465"/>
      <c r="Z125" s="2465"/>
      <c r="AA125" s="1"/>
      <c r="AB125" s="1"/>
    </row>
    <row r="126" ht="15.75" customHeight="1">
      <c r="A126" s="1"/>
      <c r="B126" s="1"/>
      <c r="C126" s="1"/>
      <c r="D126" s="1"/>
      <c r="E126" s="2465"/>
      <c r="F126" s="2465"/>
      <c r="G126" s="2466"/>
      <c r="H126" s="2465"/>
      <c r="I126" s="2465"/>
      <c r="J126" s="2465"/>
      <c r="K126" s="2465"/>
      <c r="L126" s="2465"/>
      <c r="M126" s="2465"/>
      <c r="N126" s="2465"/>
      <c r="O126" s="2465"/>
      <c r="P126" s="2465"/>
      <c r="Q126" s="2465"/>
      <c r="R126" s="2465"/>
      <c r="S126" s="2465"/>
      <c r="T126" s="2465"/>
      <c r="U126" s="2465"/>
      <c r="V126" s="2465"/>
      <c r="W126" s="2465"/>
      <c r="X126" s="2465"/>
      <c r="Y126" s="2465"/>
      <c r="Z126" s="2465"/>
      <c r="AA126" s="1"/>
      <c r="AB126" s="1"/>
    </row>
    <row r="127" ht="15.75" customHeight="1">
      <c r="A127" s="1"/>
      <c r="B127" s="1"/>
      <c r="C127" s="1"/>
      <c r="D127" s="1"/>
      <c r="E127" s="2465"/>
      <c r="F127" s="2465"/>
      <c r="G127" s="2466"/>
      <c r="H127" s="2465"/>
      <c r="I127" s="2465"/>
      <c r="J127" s="2465"/>
      <c r="K127" s="2465"/>
      <c r="L127" s="2465"/>
      <c r="M127" s="2465"/>
      <c r="N127" s="2465"/>
      <c r="O127" s="2465"/>
      <c r="P127" s="2465"/>
      <c r="Q127" s="2465"/>
      <c r="R127" s="2465"/>
      <c r="S127" s="2465"/>
      <c r="T127" s="2465"/>
      <c r="U127" s="2465"/>
      <c r="V127" s="2465"/>
      <c r="W127" s="2465"/>
      <c r="X127" s="2465"/>
      <c r="Y127" s="2465"/>
      <c r="Z127" s="2465"/>
      <c r="AA127" s="1"/>
      <c r="AB127" s="1"/>
    </row>
    <row r="128" ht="15.75" customHeight="1">
      <c r="A128" s="1"/>
      <c r="B128" s="1"/>
      <c r="C128" s="1"/>
      <c r="D128" s="1"/>
      <c r="E128" s="2465"/>
      <c r="F128" s="2465"/>
      <c r="G128" s="2466"/>
      <c r="H128" s="2465"/>
      <c r="I128" s="2465"/>
      <c r="J128" s="2465"/>
      <c r="K128" s="2465"/>
      <c r="L128" s="2465"/>
      <c r="M128" s="2465"/>
      <c r="N128" s="2465"/>
      <c r="O128" s="2465"/>
      <c r="P128" s="2465"/>
      <c r="Q128" s="2465"/>
      <c r="R128" s="2465"/>
      <c r="S128" s="2465"/>
      <c r="T128" s="2465"/>
      <c r="U128" s="2465"/>
      <c r="V128" s="2465"/>
      <c r="W128" s="2465"/>
      <c r="X128" s="2465"/>
      <c r="Y128" s="2465"/>
      <c r="Z128" s="2465"/>
      <c r="AA128" s="1"/>
      <c r="AB128" s="1"/>
    </row>
    <row r="129" ht="15.75" customHeight="1">
      <c r="A129" s="1"/>
      <c r="B129" s="1"/>
      <c r="C129" s="1"/>
      <c r="D129" s="1"/>
      <c r="E129" s="2465"/>
      <c r="F129" s="2465"/>
      <c r="G129" s="2466"/>
      <c r="H129" s="2465"/>
      <c r="I129" s="2465"/>
      <c r="J129" s="2465"/>
      <c r="K129" s="2465"/>
      <c r="L129" s="2465"/>
      <c r="M129" s="2465"/>
      <c r="N129" s="2465"/>
      <c r="O129" s="2465"/>
      <c r="P129" s="2465"/>
      <c r="Q129" s="2465"/>
      <c r="R129" s="2465"/>
      <c r="S129" s="2465"/>
      <c r="T129" s="2465"/>
      <c r="U129" s="2465"/>
      <c r="V129" s="2465"/>
      <c r="W129" s="2465"/>
      <c r="X129" s="2465"/>
      <c r="Y129" s="2465"/>
      <c r="Z129" s="2465"/>
      <c r="AA129" s="1"/>
      <c r="AB129" s="1"/>
    </row>
    <row r="130" ht="15.75" customHeight="1">
      <c r="A130" s="1"/>
      <c r="B130" s="1"/>
      <c r="C130" s="1"/>
      <c r="D130" s="1"/>
      <c r="E130" s="2465"/>
      <c r="F130" s="2465"/>
      <c r="G130" s="2466"/>
      <c r="H130" s="2465"/>
      <c r="I130" s="2465"/>
      <c r="J130" s="2465"/>
      <c r="K130" s="2465"/>
      <c r="L130" s="2465"/>
      <c r="M130" s="2465"/>
      <c r="N130" s="2465"/>
      <c r="O130" s="2465"/>
      <c r="P130" s="2465"/>
      <c r="Q130" s="2465"/>
      <c r="R130" s="2465"/>
      <c r="S130" s="2465"/>
      <c r="T130" s="2465"/>
      <c r="U130" s="2465"/>
      <c r="V130" s="2465"/>
      <c r="W130" s="2465"/>
      <c r="X130" s="2465"/>
      <c r="Y130" s="2465"/>
      <c r="Z130" s="2465"/>
      <c r="AA130" s="1"/>
      <c r="AB130" s="1"/>
    </row>
    <row r="131" ht="15.75" customHeight="1">
      <c r="A131" s="1"/>
      <c r="B131" s="1"/>
      <c r="C131" s="1"/>
      <c r="D131" s="1"/>
      <c r="E131" s="2465"/>
      <c r="F131" s="2465"/>
      <c r="G131" s="2466"/>
      <c r="H131" s="2465"/>
      <c r="I131" s="2465"/>
      <c r="J131" s="2465"/>
      <c r="K131" s="2465"/>
      <c r="L131" s="2465"/>
      <c r="M131" s="2465"/>
      <c r="N131" s="2465"/>
      <c r="O131" s="2465"/>
      <c r="P131" s="2465"/>
      <c r="Q131" s="2465"/>
      <c r="R131" s="2465"/>
      <c r="S131" s="2465"/>
      <c r="T131" s="2465"/>
      <c r="U131" s="2465"/>
      <c r="V131" s="2465"/>
      <c r="W131" s="2465"/>
      <c r="X131" s="2465"/>
      <c r="Y131" s="2465"/>
      <c r="Z131" s="2465"/>
      <c r="AA131" s="1"/>
      <c r="AB131" s="1"/>
    </row>
    <row r="132" ht="15.75" customHeight="1">
      <c r="A132" s="1"/>
      <c r="B132" s="1"/>
      <c r="C132" s="1"/>
      <c r="D132" s="1"/>
      <c r="E132" s="2465"/>
      <c r="F132" s="2465"/>
      <c r="G132" s="2466"/>
      <c r="H132" s="2465"/>
      <c r="I132" s="2465"/>
      <c r="J132" s="2465"/>
      <c r="K132" s="2465"/>
      <c r="L132" s="2465"/>
      <c r="M132" s="2465"/>
      <c r="N132" s="2465"/>
      <c r="O132" s="2465"/>
      <c r="P132" s="2465"/>
      <c r="Q132" s="2465"/>
      <c r="R132" s="2465"/>
      <c r="S132" s="2465"/>
      <c r="T132" s="2465"/>
      <c r="U132" s="2465"/>
      <c r="V132" s="2465"/>
      <c r="W132" s="2465"/>
      <c r="X132" s="2465"/>
      <c r="Y132" s="2465"/>
      <c r="Z132" s="2465"/>
      <c r="AA132" s="1"/>
      <c r="AB132" s="1"/>
    </row>
    <row r="133" ht="15.75" customHeight="1">
      <c r="A133" s="1"/>
      <c r="B133" s="1"/>
      <c r="C133" s="1"/>
      <c r="D133" s="1"/>
      <c r="E133" s="2465"/>
      <c r="F133" s="2465"/>
      <c r="G133" s="2466"/>
      <c r="H133" s="2465"/>
      <c r="I133" s="2465"/>
      <c r="J133" s="2465"/>
      <c r="K133" s="2465"/>
      <c r="L133" s="2465"/>
      <c r="M133" s="2465"/>
      <c r="N133" s="2465"/>
      <c r="O133" s="2465"/>
      <c r="P133" s="2465"/>
      <c r="Q133" s="2465"/>
      <c r="R133" s="2465"/>
      <c r="S133" s="2465"/>
      <c r="T133" s="2465"/>
      <c r="U133" s="2465"/>
      <c r="V133" s="2465"/>
      <c r="W133" s="2465"/>
      <c r="X133" s="2465"/>
      <c r="Y133" s="2465"/>
      <c r="Z133" s="2465"/>
      <c r="AA133" s="1"/>
      <c r="AB133" s="1"/>
    </row>
    <row r="134" ht="15.75" customHeight="1">
      <c r="A134" s="1"/>
      <c r="B134" s="1"/>
      <c r="C134" s="1"/>
      <c r="D134" s="1"/>
      <c r="E134" s="2465"/>
      <c r="F134" s="2465"/>
      <c r="G134" s="2466"/>
      <c r="H134" s="2465"/>
      <c r="I134" s="2465"/>
      <c r="J134" s="2465"/>
      <c r="K134" s="2465"/>
      <c r="L134" s="2465"/>
      <c r="M134" s="2465"/>
      <c r="N134" s="2465"/>
      <c r="O134" s="2465"/>
      <c r="P134" s="2465"/>
      <c r="Q134" s="2465"/>
      <c r="R134" s="2465"/>
      <c r="S134" s="2465"/>
      <c r="T134" s="2465"/>
      <c r="U134" s="2465"/>
      <c r="V134" s="2465"/>
      <c r="W134" s="2465"/>
      <c r="X134" s="2465"/>
      <c r="Y134" s="2465"/>
      <c r="Z134" s="2465"/>
      <c r="AA134" s="1"/>
      <c r="AB134" s="1"/>
    </row>
    <row r="135" ht="15.75" customHeight="1">
      <c r="A135" s="1"/>
      <c r="B135" s="1"/>
      <c r="C135" s="1"/>
      <c r="D135" s="1"/>
      <c r="E135" s="2465"/>
      <c r="F135" s="2465"/>
      <c r="G135" s="2466"/>
      <c r="H135" s="2465"/>
      <c r="I135" s="2465"/>
      <c r="J135" s="2465"/>
      <c r="K135" s="2465"/>
      <c r="L135" s="2465"/>
      <c r="M135" s="2465"/>
      <c r="N135" s="2465"/>
      <c r="O135" s="2465"/>
      <c r="P135" s="2465"/>
      <c r="Q135" s="2465"/>
      <c r="R135" s="2465"/>
      <c r="S135" s="2465"/>
      <c r="T135" s="2465"/>
      <c r="U135" s="2465"/>
      <c r="V135" s="2465"/>
      <c r="W135" s="2465"/>
      <c r="X135" s="2465"/>
      <c r="Y135" s="2465"/>
      <c r="Z135" s="2465"/>
      <c r="AA135" s="1"/>
      <c r="AB135" s="1"/>
    </row>
    <row r="136" ht="15.75" customHeight="1">
      <c r="A136" s="1"/>
      <c r="B136" s="1"/>
      <c r="C136" s="1"/>
      <c r="D136" s="1"/>
      <c r="E136" s="2465"/>
      <c r="F136" s="2465"/>
      <c r="G136" s="2466"/>
      <c r="H136" s="2465"/>
      <c r="I136" s="2465"/>
      <c r="J136" s="2465"/>
      <c r="K136" s="2465"/>
      <c r="L136" s="2465"/>
      <c r="M136" s="2465"/>
      <c r="N136" s="2465"/>
      <c r="O136" s="2465"/>
      <c r="P136" s="2465"/>
      <c r="Q136" s="2465"/>
      <c r="R136" s="2465"/>
      <c r="S136" s="2465"/>
      <c r="T136" s="2465"/>
      <c r="U136" s="2465"/>
      <c r="V136" s="2465"/>
      <c r="W136" s="2465"/>
      <c r="X136" s="2465"/>
      <c r="Y136" s="2465"/>
      <c r="Z136" s="2465"/>
      <c r="AA136" s="1"/>
      <c r="AB136" s="1"/>
    </row>
    <row r="137" ht="15.75" customHeight="1">
      <c r="A137" s="1"/>
      <c r="B137" s="1"/>
      <c r="C137" s="1"/>
      <c r="D137" s="1"/>
      <c r="E137" s="2465"/>
      <c r="F137" s="2465"/>
      <c r="G137" s="2466"/>
      <c r="H137" s="2465"/>
      <c r="I137" s="2465"/>
      <c r="J137" s="2465"/>
      <c r="K137" s="2465"/>
      <c r="L137" s="2465"/>
      <c r="M137" s="2465"/>
      <c r="N137" s="2465"/>
      <c r="O137" s="2465"/>
      <c r="P137" s="2465"/>
      <c r="Q137" s="2465"/>
      <c r="R137" s="2465"/>
      <c r="S137" s="2465"/>
      <c r="T137" s="2465"/>
      <c r="U137" s="2465"/>
      <c r="V137" s="2465"/>
      <c r="W137" s="2465"/>
      <c r="X137" s="2465"/>
      <c r="Y137" s="2465"/>
      <c r="Z137" s="2465"/>
      <c r="AA137" s="1"/>
      <c r="AB137" s="1"/>
    </row>
    <row r="138" ht="15.75" customHeight="1">
      <c r="A138" s="1"/>
      <c r="B138" s="1"/>
      <c r="C138" s="1"/>
      <c r="D138" s="1"/>
      <c r="E138" s="2465"/>
      <c r="F138" s="2465"/>
      <c r="G138" s="2466"/>
      <c r="H138" s="2465"/>
      <c r="I138" s="2465"/>
      <c r="J138" s="2465"/>
      <c r="K138" s="2465"/>
      <c r="L138" s="2465"/>
      <c r="M138" s="2465"/>
      <c r="N138" s="2465"/>
      <c r="O138" s="2465"/>
      <c r="P138" s="2465"/>
      <c r="Q138" s="2465"/>
      <c r="R138" s="2465"/>
      <c r="S138" s="2465"/>
      <c r="T138" s="2465"/>
      <c r="U138" s="2465"/>
      <c r="V138" s="2465"/>
      <c r="W138" s="2465"/>
      <c r="X138" s="2465"/>
      <c r="Y138" s="2465"/>
      <c r="Z138" s="2465"/>
      <c r="AA138" s="1"/>
      <c r="AB138" s="1"/>
    </row>
    <row r="139" ht="15.75" customHeight="1">
      <c r="A139" s="1"/>
      <c r="B139" s="1"/>
      <c r="C139" s="1"/>
      <c r="D139" s="1"/>
      <c r="E139" s="2465"/>
      <c r="F139" s="2465"/>
      <c r="G139" s="2466"/>
      <c r="H139" s="2465"/>
      <c r="I139" s="2465"/>
      <c r="J139" s="2465"/>
      <c r="K139" s="2465"/>
      <c r="L139" s="2465"/>
      <c r="M139" s="2465"/>
      <c r="N139" s="2465"/>
      <c r="O139" s="2465"/>
      <c r="P139" s="2465"/>
      <c r="Q139" s="2465"/>
      <c r="R139" s="2465"/>
      <c r="S139" s="2465"/>
      <c r="T139" s="2465"/>
      <c r="U139" s="2465"/>
      <c r="V139" s="2465"/>
      <c r="W139" s="2465"/>
      <c r="X139" s="2465"/>
      <c r="Y139" s="2465"/>
      <c r="Z139" s="2465"/>
      <c r="AA139" s="1"/>
      <c r="AB139" s="1"/>
    </row>
    <row r="140" ht="15.75" customHeight="1">
      <c r="A140" s="1"/>
      <c r="B140" s="1"/>
      <c r="C140" s="1"/>
      <c r="D140" s="1"/>
      <c r="E140" s="2465"/>
      <c r="F140" s="2465"/>
      <c r="G140" s="2466"/>
      <c r="H140" s="2465"/>
      <c r="I140" s="2465"/>
      <c r="J140" s="2465"/>
      <c r="K140" s="2465"/>
      <c r="L140" s="2465"/>
      <c r="M140" s="2465"/>
      <c r="N140" s="2465"/>
      <c r="O140" s="2465"/>
      <c r="P140" s="2465"/>
      <c r="Q140" s="2465"/>
      <c r="R140" s="2465"/>
      <c r="S140" s="2465"/>
      <c r="T140" s="2465"/>
      <c r="U140" s="2465"/>
      <c r="V140" s="2465"/>
      <c r="W140" s="2465"/>
      <c r="X140" s="2465"/>
      <c r="Y140" s="2465"/>
      <c r="Z140" s="2465"/>
      <c r="AA140" s="1"/>
      <c r="AB140" s="1"/>
    </row>
    <row r="141" ht="15.75" customHeight="1">
      <c r="A141" s="1"/>
      <c r="B141" s="1"/>
      <c r="C141" s="1"/>
      <c r="D141" s="1"/>
      <c r="E141" s="2465"/>
      <c r="F141" s="2465"/>
      <c r="G141" s="2466"/>
      <c r="H141" s="2465"/>
      <c r="I141" s="2465"/>
      <c r="J141" s="2465"/>
      <c r="K141" s="2465"/>
      <c r="L141" s="2465"/>
      <c r="M141" s="2465"/>
      <c r="N141" s="2465"/>
      <c r="O141" s="2465"/>
      <c r="P141" s="2465"/>
      <c r="Q141" s="2465"/>
      <c r="R141" s="2465"/>
      <c r="S141" s="2465"/>
      <c r="T141" s="2465"/>
      <c r="U141" s="2465"/>
      <c r="V141" s="2465"/>
      <c r="W141" s="2465"/>
      <c r="X141" s="2465"/>
      <c r="Y141" s="2465"/>
      <c r="Z141" s="2465"/>
      <c r="AA141" s="1"/>
      <c r="AB141" s="1"/>
    </row>
    <row r="142" ht="15.75" customHeight="1">
      <c r="A142" s="1"/>
      <c r="B142" s="1"/>
      <c r="C142" s="1"/>
      <c r="D142" s="1"/>
      <c r="E142" s="2465"/>
      <c r="F142" s="2465"/>
      <c r="G142" s="2466"/>
      <c r="H142" s="2465"/>
      <c r="I142" s="2465"/>
      <c r="J142" s="2465"/>
      <c r="K142" s="2465"/>
      <c r="L142" s="2465"/>
      <c r="M142" s="2465"/>
      <c r="N142" s="2465"/>
      <c r="O142" s="2465"/>
      <c r="P142" s="2465"/>
      <c r="Q142" s="2465"/>
      <c r="R142" s="2465"/>
      <c r="S142" s="2465"/>
      <c r="T142" s="2465"/>
      <c r="U142" s="2465"/>
      <c r="V142" s="2465"/>
      <c r="W142" s="2465"/>
      <c r="X142" s="2465"/>
      <c r="Y142" s="2465"/>
      <c r="Z142" s="2465"/>
      <c r="AA142" s="1"/>
      <c r="AB142" s="1"/>
    </row>
    <row r="143" ht="15.75" customHeight="1">
      <c r="A143" s="1"/>
      <c r="B143" s="1"/>
      <c r="C143" s="1"/>
      <c r="D143" s="1"/>
      <c r="E143" s="2465"/>
      <c r="F143" s="2465"/>
      <c r="G143" s="2466"/>
      <c r="H143" s="2465"/>
      <c r="I143" s="2465"/>
      <c r="J143" s="2465"/>
      <c r="K143" s="2465"/>
      <c r="L143" s="2465"/>
      <c r="M143" s="2465"/>
      <c r="N143" s="2465"/>
      <c r="O143" s="2465"/>
      <c r="P143" s="2465"/>
      <c r="Q143" s="2465"/>
      <c r="R143" s="2465"/>
      <c r="S143" s="2465"/>
      <c r="T143" s="2465"/>
      <c r="U143" s="2465"/>
      <c r="V143" s="2465"/>
      <c r="W143" s="2465"/>
      <c r="X143" s="2465"/>
      <c r="Y143" s="2465"/>
      <c r="Z143" s="2465"/>
      <c r="AA143" s="1"/>
      <c r="AB143" s="1"/>
    </row>
    <row r="144" ht="15.75" customHeight="1">
      <c r="A144" s="1"/>
      <c r="B144" s="1"/>
      <c r="C144" s="1"/>
      <c r="D144" s="1"/>
      <c r="E144" s="2465"/>
      <c r="F144" s="2465"/>
      <c r="G144" s="2466"/>
      <c r="H144" s="2465"/>
      <c r="I144" s="2465"/>
      <c r="J144" s="2465"/>
      <c r="K144" s="2465"/>
      <c r="L144" s="2465"/>
      <c r="M144" s="2465"/>
      <c r="N144" s="2465"/>
      <c r="O144" s="2465"/>
      <c r="P144" s="2465"/>
      <c r="Q144" s="2465"/>
      <c r="R144" s="2465"/>
      <c r="S144" s="2465"/>
      <c r="T144" s="2465"/>
      <c r="U144" s="2465"/>
      <c r="V144" s="2465"/>
      <c r="W144" s="2465"/>
      <c r="X144" s="2465"/>
      <c r="Y144" s="2465"/>
      <c r="Z144" s="2465"/>
      <c r="AA144" s="1"/>
      <c r="AB144" s="1"/>
    </row>
    <row r="145" ht="15.75" customHeight="1">
      <c r="A145" s="1"/>
      <c r="B145" s="1"/>
      <c r="C145" s="1"/>
      <c r="D145" s="1"/>
      <c r="E145" s="2465"/>
      <c r="F145" s="2465"/>
      <c r="G145" s="2466"/>
      <c r="H145" s="2465"/>
      <c r="I145" s="2465"/>
      <c r="J145" s="2465"/>
      <c r="K145" s="2465"/>
      <c r="L145" s="2465"/>
      <c r="M145" s="2465"/>
      <c r="N145" s="2465"/>
      <c r="O145" s="2465"/>
      <c r="P145" s="2465"/>
      <c r="Q145" s="2465"/>
      <c r="R145" s="2465"/>
      <c r="S145" s="2465"/>
      <c r="T145" s="2465"/>
      <c r="U145" s="2465"/>
      <c r="V145" s="2465"/>
      <c r="W145" s="2465"/>
      <c r="X145" s="2465"/>
      <c r="Y145" s="2465"/>
      <c r="Z145" s="2465"/>
      <c r="AA145" s="1"/>
      <c r="AB145" s="1"/>
    </row>
    <row r="146" ht="15.75" customHeight="1">
      <c r="A146" s="1"/>
      <c r="B146" s="1"/>
      <c r="C146" s="1"/>
      <c r="D146" s="1"/>
      <c r="E146" s="2465"/>
      <c r="F146" s="2465"/>
      <c r="G146" s="2466"/>
      <c r="H146" s="2465"/>
      <c r="I146" s="2465"/>
      <c r="J146" s="2465"/>
      <c r="K146" s="2465"/>
      <c r="L146" s="2465"/>
      <c r="M146" s="2465"/>
      <c r="N146" s="2465"/>
      <c r="O146" s="2465"/>
      <c r="P146" s="2465"/>
      <c r="Q146" s="2465"/>
      <c r="R146" s="2465"/>
      <c r="S146" s="2465"/>
      <c r="T146" s="2465"/>
      <c r="U146" s="2465"/>
      <c r="V146" s="2465"/>
      <c r="W146" s="2465"/>
      <c r="X146" s="2465"/>
      <c r="Y146" s="2465"/>
      <c r="Z146" s="2465"/>
      <c r="AA146" s="1"/>
      <c r="AB146" s="1"/>
    </row>
    <row r="147" ht="15.75" customHeight="1">
      <c r="A147" s="1"/>
      <c r="B147" s="1"/>
      <c r="C147" s="1"/>
      <c r="D147" s="1"/>
      <c r="E147" s="2465"/>
      <c r="F147" s="2465"/>
      <c r="G147" s="2466"/>
      <c r="H147" s="2465"/>
      <c r="I147" s="2465"/>
      <c r="J147" s="2465"/>
      <c r="K147" s="2465"/>
      <c r="L147" s="2465"/>
      <c r="M147" s="2465"/>
      <c r="N147" s="2465"/>
      <c r="O147" s="2465"/>
      <c r="P147" s="2465"/>
      <c r="Q147" s="2465"/>
      <c r="R147" s="2465"/>
      <c r="S147" s="2465"/>
      <c r="T147" s="2465"/>
      <c r="U147" s="2465"/>
      <c r="V147" s="2465"/>
      <c r="W147" s="2465"/>
      <c r="X147" s="2465"/>
      <c r="Y147" s="2465"/>
      <c r="Z147" s="2465"/>
      <c r="AA147" s="1"/>
      <c r="AB147" s="1"/>
    </row>
    <row r="148" ht="15.75" customHeight="1">
      <c r="A148" s="1"/>
      <c r="B148" s="1"/>
      <c r="C148" s="1"/>
      <c r="D148" s="1"/>
      <c r="E148" s="2465"/>
      <c r="F148" s="2465"/>
      <c r="G148" s="2466"/>
      <c r="H148" s="2465"/>
      <c r="I148" s="2465"/>
      <c r="J148" s="2465"/>
      <c r="K148" s="2465"/>
      <c r="L148" s="2465"/>
      <c r="M148" s="2465"/>
      <c r="N148" s="2465"/>
      <c r="O148" s="2465"/>
      <c r="P148" s="2465"/>
      <c r="Q148" s="2465"/>
      <c r="R148" s="2465"/>
      <c r="S148" s="2465"/>
      <c r="T148" s="2465"/>
      <c r="U148" s="2465"/>
      <c r="V148" s="2465"/>
      <c r="W148" s="2465"/>
      <c r="X148" s="2465"/>
      <c r="Y148" s="2465"/>
      <c r="Z148" s="2465"/>
      <c r="AA148" s="1"/>
      <c r="AB148" s="1"/>
    </row>
    <row r="149" ht="15.75" customHeight="1">
      <c r="A149" s="1"/>
      <c r="B149" s="1"/>
      <c r="C149" s="1"/>
      <c r="D149" s="1"/>
      <c r="E149" s="2465"/>
      <c r="F149" s="2465"/>
      <c r="G149" s="2466"/>
      <c r="H149" s="2465"/>
      <c r="I149" s="2465"/>
      <c r="J149" s="2465"/>
      <c r="K149" s="2465"/>
      <c r="L149" s="2465"/>
      <c r="M149" s="2465"/>
      <c r="N149" s="2465"/>
      <c r="O149" s="2465"/>
      <c r="P149" s="2465"/>
      <c r="Q149" s="2465"/>
      <c r="R149" s="2465"/>
      <c r="S149" s="2465"/>
      <c r="T149" s="2465"/>
      <c r="U149" s="2465"/>
      <c r="V149" s="2465"/>
      <c r="W149" s="2465"/>
      <c r="X149" s="2465"/>
      <c r="Y149" s="2465"/>
      <c r="Z149" s="2465"/>
      <c r="AA149" s="1"/>
      <c r="AB149" s="1"/>
    </row>
    <row r="150" ht="15.75" customHeight="1">
      <c r="A150" s="1"/>
      <c r="B150" s="1"/>
      <c r="C150" s="1"/>
      <c r="D150" s="1"/>
      <c r="E150" s="2465"/>
      <c r="F150" s="2465"/>
      <c r="G150" s="2466"/>
      <c r="H150" s="2465"/>
      <c r="I150" s="2465"/>
      <c r="J150" s="2465"/>
      <c r="K150" s="2465"/>
      <c r="L150" s="2465"/>
      <c r="M150" s="2465"/>
      <c r="N150" s="2465"/>
      <c r="O150" s="2465"/>
      <c r="P150" s="2465"/>
      <c r="Q150" s="2465"/>
      <c r="R150" s="2465"/>
      <c r="S150" s="2465"/>
      <c r="T150" s="2465"/>
      <c r="U150" s="2465"/>
      <c r="V150" s="2465"/>
      <c r="W150" s="2465"/>
      <c r="X150" s="2465"/>
      <c r="Y150" s="2465"/>
      <c r="Z150" s="2465"/>
      <c r="AA150" s="1"/>
      <c r="AB150" s="1"/>
    </row>
    <row r="151" ht="15.75" customHeight="1">
      <c r="A151" s="1"/>
      <c r="B151" s="1"/>
      <c r="C151" s="1"/>
      <c r="D151" s="1"/>
      <c r="E151" s="2465"/>
      <c r="F151" s="2465"/>
      <c r="G151" s="2466"/>
      <c r="H151" s="2465"/>
      <c r="I151" s="2465"/>
      <c r="J151" s="2465"/>
      <c r="K151" s="2465"/>
      <c r="L151" s="2465"/>
      <c r="M151" s="2465"/>
      <c r="N151" s="2465"/>
      <c r="O151" s="2465"/>
      <c r="P151" s="2465"/>
      <c r="Q151" s="2465"/>
      <c r="R151" s="2465"/>
      <c r="S151" s="2465"/>
      <c r="T151" s="2465"/>
      <c r="U151" s="2465"/>
      <c r="V151" s="2465"/>
      <c r="W151" s="2465"/>
      <c r="X151" s="2465"/>
      <c r="Y151" s="2465"/>
      <c r="Z151" s="2465"/>
      <c r="AA151" s="1"/>
      <c r="AB151" s="1"/>
    </row>
    <row r="152" ht="15.75" customHeight="1">
      <c r="A152" s="1"/>
      <c r="B152" s="1"/>
      <c r="C152" s="1"/>
      <c r="D152" s="1"/>
      <c r="E152" s="2465"/>
      <c r="F152" s="2465"/>
      <c r="G152" s="2466"/>
      <c r="H152" s="2465"/>
      <c r="I152" s="2465"/>
      <c r="J152" s="2465"/>
      <c r="K152" s="2465"/>
      <c r="L152" s="2465"/>
      <c r="M152" s="2465"/>
      <c r="N152" s="2465"/>
      <c r="O152" s="2465"/>
      <c r="P152" s="2465"/>
      <c r="Q152" s="2465"/>
      <c r="R152" s="2465"/>
      <c r="S152" s="2465"/>
      <c r="T152" s="2465"/>
      <c r="U152" s="2465"/>
      <c r="V152" s="2465"/>
      <c r="W152" s="2465"/>
      <c r="X152" s="2465"/>
      <c r="Y152" s="2465"/>
      <c r="Z152" s="2465"/>
      <c r="AA152" s="1"/>
      <c r="AB152" s="1"/>
    </row>
    <row r="153" ht="15.75" customHeight="1">
      <c r="A153" s="1"/>
      <c r="B153" s="1"/>
      <c r="C153" s="1"/>
      <c r="D153" s="1"/>
      <c r="E153" s="2465"/>
      <c r="F153" s="2465"/>
      <c r="G153" s="2466"/>
      <c r="H153" s="2465"/>
      <c r="I153" s="2465"/>
      <c r="J153" s="2465"/>
      <c r="K153" s="2465"/>
      <c r="L153" s="2465"/>
      <c r="M153" s="2465"/>
      <c r="N153" s="2465"/>
      <c r="O153" s="2465"/>
      <c r="P153" s="2465"/>
      <c r="Q153" s="2465"/>
      <c r="R153" s="2465"/>
      <c r="S153" s="2465"/>
      <c r="T153" s="2465"/>
      <c r="U153" s="2465"/>
      <c r="V153" s="2465"/>
      <c r="W153" s="2465"/>
      <c r="X153" s="2465"/>
      <c r="Y153" s="2465"/>
      <c r="Z153" s="2465"/>
      <c r="AA153" s="1"/>
      <c r="AB153" s="1"/>
    </row>
    <row r="154" ht="15.75" customHeight="1">
      <c r="A154" s="1"/>
      <c r="B154" s="1"/>
      <c r="C154" s="1"/>
      <c r="D154" s="1"/>
      <c r="E154" s="2465"/>
      <c r="F154" s="2465"/>
      <c r="G154" s="2466"/>
      <c r="H154" s="2465"/>
      <c r="I154" s="2465"/>
      <c r="J154" s="2465"/>
      <c r="K154" s="2465"/>
      <c r="L154" s="2465"/>
      <c r="M154" s="2465"/>
      <c r="N154" s="2465"/>
      <c r="O154" s="2465"/>
      <c r="P154" s="2465"/>
      <c r="Q154" s="2465"/>
      <c r="R154" s="2465"/>
      <c r="S154" s="2465"/>
      <c r="T154" s="2465"/>
      <c r="U154" s="2465"/>
      <c r="V154" s="2465"/>
      <c r="W154" s="2465"/>
      <c r="X154" s="2465"/>
      <c r="Y154" s="2465"/>
      <c r="Z154" s="2465"/>
      <c r="AA154" s="1"/>
      <c r="AB154" s="1"/>
    </row>
    <row r="155" ht="15.75" customHeight="1">
      <c r="A155" s="1"/>
      <c r="B155" s="1"/>
      <c r="C155" s="1"/>
      <c r="D155" s="1"/>
      <c r="E155" s="2465"/>
      <c r="F155" s="2465"/>
      <c r="G155" s="2466"/>
      <c r="H155" s="2465"/>
      <c r="I155" s="2465"/>
      <c r="J155" s="2465"/>
      <c r="K155" s="2465"/>
      <c r="L155" s="2465"/>
      <c r="M155" s="2465"/>
      <c r="N155" s="2465"/>
      <c r="O155" s="2465"/>
      <c r="P155" s="2465"/>
      <c r="Q155" s="2465"/>
      <c r="R155" s="2465"/>
      <c r="S155" s="2465"/>
      <c r="T155" s="2465"/>
      <c r="U155" s="2465"/>
      <c r="V155" s="2465"/>
      <c r="W155" s="2465"/>
      <c r="X155" s="2465"/>
      <c r="Y155" s="2465"/>
      <c r="Z155" s="2465"/>
      <c r="AA155" s="1"/>
      <c r="AB155" s="1"/>
    </row>
    <row r="156" ht="15.75" customHeight="1">
      <c r="A156" s="1"/>
      <c r="B156" s="1"/>
      <c r="C156" s="1"/>
      <c r="D156" s="1"/>
      <c r="E156" s="2465"/>
      <c r="F156" s="2465"/>
      <c r="G156" s="2466"/>
      <c r="H156" s="2465"/>
      <c r="I156" s="2465"/>
      <c r="J156" s="2465"/>
      <c r="K156" s="2465"/>
      <c r="L156" s="2465"/>
      <c r="M156" s="2465"/>
      <c r="N156" s="2465"/>
      <c r="O156" s="2465"/>
      <c r="P156" s="2465"/>
      <c r="Q156" s="2465"/>
      <c r="R156" s="2465"/>
      <c r="S156" s="2465"/>
      <c r="T156" s="2465"/>
      <c r="U156" s="2465"/>
      <c r="V156" s="2465"/>
      <c r="W156" s="2465"/>
      <c r="X156" s="2465"/>
      <c r="Y156" s="2465"/>
      <c r="Z156" s="2465"/>
      <c r="AA156" s="1"/>
      <c r="AB156" s="1"/>
    </row>
    <row r="157" ht="15.75" customHeight="1">
      <c r="A157" s="1"/>
      <c r="B157" s="1"/>
      <c r="C157" s="1"/>
      <c r="D157" s="1"/>
      <c r="E157" s="2465"/>
      <c r="F157" s="2465"/>
      <c r="G157" s="2466"/>
      <c r="H157" s="2465"/>
      <c r="I157" s="2465"/>
      <c r="J157" s="2465"/>
      <c r="K157" s="2465"/>
      <c r="L157" s="2465"/>
      <c r="M157" s="2465"/>
      <c r="N157" s="2465"/>
      <c r="O157" s="2465"/>
      <c r="P157" s="2465"/>
      <c r="Q157" s="2465"/>
      <c r="R157" s="2465"/>
      <c r="S157" s="2465"/>
      <c r="T157" s="2465"/>
      <c r="U157" s="2465"/>
      <c r="V157" s="2465"/>
      <c r="W157" s="2465"/>
      <c r="X157" s="2465"/>
      <c r="Y157" s="2465"/>
      <c r="Z157" s="2465"/>
      <c r="AA157" s="1"/>
      <c r="AB157" s="1"/>
    </row>
    <row r="158" ht="15.75" customHeight="1">
      <c r="A158" s="1"/>
      <c r="B158" s="1"/>
      <c r="C158" s="1"/>
      <c r="D158" s="1"/>
      <c r="E158" s="2465"/>
      <c r="F158" s="2465"/>
      <c r="G158" s="2466"/>
      <c r="H158" s="2465"/>
      <c r="I158" s="2465"/>
      <c r="J158" s="2465"/>
      <c r="K158" s="2465"/>
      <c r="L158" s="2465"/>
      <c r="M158" s="2465"/>
      <c r="N158" s="2465"/>
      <c r="O158" s="2465"/>
      <c r="P158" s="2465"/>
      <c r="Q158" s="2465"/>
      <c r="R158" s="2465"/>
      <c r="S158" s="2465"/>
      <c r="T158" s="2465"/>
      <c r="U158" s="2465"/>
      <c r="V158" s="2465"/>
      <c r="W158" s="2465"/>
      <c r="X158" s="2465"/>
      <c r="Y158" s="2465"/>
      <c r="Z158" s="2465"/>
      <c r="AA158" s="1"/>
      <c r="AB158" s="1"/>
    </row>
    <row r="159" ht="15.75" customHeight="1">
      <c r="A159" s="1"/>
      <c r="B159" s="1"/>
      <c r="C159" s="1"/>
      <c r="D159" s="1"/>
      <c r="E159" s="2465"/>
      <c r="F159" s="2465"/>
      <c r="G159" s="2466"/>
      <c r="H159" s="2465"/>
      <c r="I159" s="2465"/>
      <c r="J159" s="2465"/>
      <c r="K159" s="2465"/>
      <c r="L159" s="2465"/>
      <c r="M159" s="2465"/>
      <c r="N159" s="2465"/>
      <c r="O159" s="2465"/>
      <c r="P159" s="2465"/>
      <c r="Q159" s="2465"/>
      <c r="R159" s="2465"/>
      <c r="S159" s="2465"/>
      <c r="T159" s="2465"/>
      <c r="U159" s="2465"/>
      <c r="V159" s="2465"/>
      <c r="W159" s="2465"/>
      <c r="X159" s="2465"/>
      <c r="Y159" s="2465"/>
      <c r="Z159" s="2465"/>
      <c r="AA159" s="1"/>
      <c r="AB159" s="1"/>
    </row>
    <row r="160" ht="15.75" customHeight="1">
      <c r="A160" s="1"/>
      <c r="B160" s="1"/>
      <c r="C160" s="1"/>
      <c r="D160" s="1"/>
      <c r="E160" s="2465"/>
      <c r="F160" s="2465"/>
      <c r="G160" s="2466"/>
      <c r="H160" s="2465"/>
      <c r="I160" s="2465"/>
      <c r="J160" s="2465"/>
      <c r="K160" s="2465"/>
      <c r="L160" s="2465"/>
      <c r="M160" s="2465"/>
      <c r="N160" s="2465"/>
      <c r="O160" s="2465"/>
      <c r="P160" s="2465"/>
      <c r="Q160" s="2465"/>
      <c r="R160" s="2465"/>
      <c r="S160" s="2465"/>
      <c r="T160" s="2465"/>
      <c r="U160" s="2465"/>
      <c r="V160" s="2465"/>
      <c r="W160" s="2465"/>
      <c r="X160" s="2465"/>
      <c r="Y160" s="2465"/>
      <c r="Z160" s="2465"/>
      <c r="AA160" s="1"/>
      <c r="AB160" s="1"/>
    </row>
    <row r="161" ht="15.75" customHeight="1">
      <c r="A161" s="1"/>
      <c r="B161" s="1"/>
      <c r="C161" s="1"/>
      <c r="D161" s="1"/>
      <c r="E161" s="2465"/>
      <c r="F161" s="2465"/>
      <c r="G161" s="2466"/>
      <c r="H161" s="2465"/>
      <c r="I161" s="2465"/>
      <c r="J161" s="2465"/>
      <c r="K161" s="2465"/>
      <c r="L161" s="2465"/>
      <c r="M161" s="2465"/>
      <c r="N161" s="2465"/>
      <c r="O161" s="2465"/>
      <c r="P161" s="2465"/>
      <c r="Q161" s="2465"/>
      <c r="R161" s="2465"/>
      <c r="S161" s="2465"/>
      <c r="T161" s="2465"/>
      <c r="U161" s="2465"/>
      <c r="V161" s="2465"/>
      <c r="W161" s="2465"/>
      <c r="X161" s="2465"/>
      <c r="Y161" s="2465"/>
      <c r="Z161" s="2465"/>
      <c r="AA161" s="1"/>
      <c r="AB161" s="1"/>
    </row>
    <row r="162" ht="15.75" customHeight="1">
      <c r="A162" s="1"/>
      <c r="B162" s="1"/>
      <c r="C162" s="1"/>
      <c r="D162" s="1"/>
      <c r="E162" s="2465"/>
      <c r="F162" s="2465"/>
      <c r="G162" s="2466"/>
      <c r="H162" s="2465"/>
      <c r="I162" s="2465"/>
      <c r="J162" s="2465"/>
      <c r="K162" s="2465"/>
      <c r="L162" s="2465"/>
      <c r="M162" s="2465"/>
      <c r="N162" s="2465"/>
      <c r="O162" s="2465"/>
      <c r="P162" s="2465"/>
      <c r="Q162" s="2465"/>
      <c r="R162" s="2465"/>
      <c r="S162" s="2465"/>
      <c r="T162" s="2465"/>
      <c r="U162" s="2465"/>
      <c r="V162" s="2465"/>
      <c r="W162" s="2465"/>
      <c r="X162" s="2465"/>
      <c r="Y162" s="2465"/>
      <c r="Z162" s="2465"/>
      <c r="AA162" s="1"/>
      <c r="AB162" s="1"/>
    </row>
    <row r="163" ht="15.75" customHeight="1">
      <c r="A163" s="1"/>
      <c r="B163" s="1"/>
      <c r="C163" s="1"/>
      <c r="D163" s="1"/>
      <c r="E163" s="2465"/>
      <c r="F163" s="2465"/>
      <c r="G163" s="2466"/>
      <c r="H163" s="2465"/>
      <c r="I163" s="2465"/>
      <c r="J163" s="2465"/>
      <c r="K163" s="2465"/>
      <c r="L163" s="2465"/>
      <c r="M163" s="2465"/>
      <c r="N163" s="2465"/>
      <c r="O163" s="2465"/>
      <c r="P163" s="2465"/>
      <c r="Q163" s="2465"/>
      <c r="R163" s="2465"/>
      <c r="S163" s="2465"/>
      <c r="T163" s="2465"/>
      <c r="U163" s="2465"/>
      <c r="V163" s="2465"/>
      <c r="W163" s="2465"/>
      <c r="X163" s="2465"/>
      <c r="Y163" s="2465"/>
      <c r="Z163" s="2465"/>
      <c r="AA163" s="1"/>
      <c r="AB163" s="1"/>
    </row>
    <row r="164" ht="15.75" customHeight="1">
      <c r="A164" s="1"/>
      <c r="B164" s="1"/>
      <c r="C164" s="1"/>
      <c r="D164" s="1"/>
      <c r="E164" s="2465"/>
      <c r="F164" s="2465"/>
      <c r="G164" s="2466"/>
      <c r="H164" s="2465"/>
      <c r="I164" s="2465"/>
      <c r="J164" s="2465"/>
      <c r="K164" s="2465"/>
      <c r="L164" s="2465"/>
      <c r="M164" s="2465"/>
      <c r="N164" s="2465"/>
      <c r="O164" s="2465"/>
      <c r="P164" s="2465"/>
      <c r="Q164" s="2465"/>
      <c r="R164" s="2465"/>
      <c r="S164" s="2465"/>
      <c r="T164" s="2465"/>
      <c r="U164" s="2465"/>
      <c r="V164" s="2465"/>
      <c r="W164" s="2465"/>
      <c r="X164" s="2465"/>
      <c r="Y164" s="2465"/>
      <c r="Z164" s="2465"/>
      <c r="AA164" s="1"/>
      <c r="AB164" s="1"/>
    </row>
    <row r="165" ht="15.75" customHeight="1">
      <c r="A165" s="1"/>
      <c r="B165" s="1"/>
      <c r="C165" s="1"/>
      <c r="D165" s="1"/>
      <c r="E165" s="2465"/>
      <c r="F165" s="2465"/>
      <c r="G165" s="2466"/>
      <c r="H165" s="2465"/>
      <c r="I165" s="2465"/>
      <c r="J165" s="2465"/>
      <c r="K165" s="2465"/>
      <c r="L165" s="2465"/>
      <c r="M165" s="2465"/>
      <c r="N165" s="2465"/>
      <c r="O165" s="2465"/>
      <c r="P165" s="2465"/>
      <c r="Q165" s="2465"/>
      <c r="R165" s="2465"/>
      <c r="S165" s="2465"/>
      <c r="T165" s="2465"/>
      <c r="U165" s="2465"/>
      <c r="V165" s="2465"/>
      <c r="W165" s="2465"/>
      <c r="X165" s="2465"/>
      <c r="Y165" s="2465"/>
      <c r="Z165" s="2465"/>
      <c r="AA165" s="1"/>
      <c r="AB165" s="1"/>
    </row>
    <row r="166" ht="15.75" customHeight="1">
      <c r="A166" s="1"/>
      <c r="B166" s="1"/>
      <c r="C166" s="1"/>
      <c r="D166" s="1"/>
      <c r="E166" s="2465"/>
      <c r="F166" s="2465"/>
      <c r="G166" s="2466"/>
      <c r="H166" s="2465"/>
      <c r="I166" s="2465"/>
      <c r="J166" s="2465"/>
      <c r="K166" s="2465"/>
      <c r="L166" s="2465"/>
      <c r="M166" s="2465"/>
      <c r="N166" s="2465"/>
      <c r="O166" s="2465"/>
      <c r="P166" s="2465"/>
      <c r="Q166" s="2465"/>
      <c r="R166" s="2465"/>
      <c r="S166" s="2465"/>
      <c r="T166" s="2465"/>
      <c r="U166" s="2465"/>
      <c r="V166" s="2465"/>
      <c r="W166" s="2465"/>
      <c r="X166" s="2465"/>
      <c r="Y166" s="2465"/>
      <c r="Z166" s="2465"/>
      <c r="AA166" s="1"/>
      <c r="AB166" s="1"/>
    </row>
    <row r="167" ht="15.75" customHeight="1">
      <c r="A167" s="1"/>
      <c r="B167" s="1"/>
      <c r="C167" s="1"/>
      <c r="D167" s="1"/>
      <c r="E167" s="2465"/>
      <c r="F167" s="2465"/>
      <c r="G167" s="2466"/>
      <c r="H167" s="2465"/>
      <c r="I167" s="2465"/>
      <c r="J167" s="2465"/>
      <c r="K167" s="2465"/>
      <c r="L167" s="2465"/>
      <c r="M167" s="2465"/>
      <c r="N167" s="2465"/>
      <c r="O167" s="2465"/>
      <c r="P167" s="2465"/>
      <c r="Q167" s="2465"/>
      <c r="R167" s="2465"/>
      <c r="S167" s="2465"/>
      <c r="T167" s="2465"/>
      <c r="U167" s="2465"/>
      <c r="V167" s="2465"/>
      <c r="W167" s="2465"/>
      <c r="X167" s="2465"/>
      <c r="Y167" s="2465"/>
      <c r="Z167" s="2465"/>
      <c r="AA167" s="1"/>
      <c r="AB167" s="1"/>
    </row>
    <row r="168" ht="15.75" customHeight="1">
      <c r="A168" s="1"/>
      <c r="B168" s="1"/>
      <c r="C168" s="1"/>
      <c r="D168" s="1"/>
      <c r="E168" s="2465"/>
      <c r="F168" s="2465"/>
      <c r="G168" s="2466"/>
      <c r="H168" s="2465"/>
      <c r="I168" s="2465"/>
      <c r="J168" s="2465"/>
      <c r="K168" s="2465"/>
      <c r="L168" s="2465"/>
      <c r="M168" s="2465"/>
      <c r="N168" s="2465"/>
      <c r="O168" s="2465"/>
      <c r="P168" s="2465"/>
      <c r="Q168" s="2465"/>
      <c r="R168" s="2465"/>
      <c r="S168" s="2465"/>
      <c r="T168" s="2465"/>
      <c r="U168" s="2465"/>
      <c r="V168" s="2465"/>
      <c r="W168" s="2465"/>
      <c r="X168" s="2465"/>
      <c r="Y168" s="2465"/>
      <c r="Z168" s="2465"/>
      <c r="AA168" s="1"/>
      <c r="AB168" s="1"/>
    </row>
    <row r="169" ht="15.75" customHeight="1">
      <c r="A169" s="1"/>
      <c r="B169" s="1"/>
      <c r="C169" s="1"/>
      <c r="D169" s="1"/>
      <c r="E169" s="2465"/>
      <c r="F169" s="2465"/>
      <c r="G169" s="2466"/>
      <c r="H169" s="2465"/>
      <c r="I169" s="2465"/>
      <c r="J169" s="2465"/>
      <c r="K169" s="2465"/>
      <c r="L169" s="2465"/>
      <c r="M169" s="2465"/>
      <c r="N169" s="2465"/>
      <c r="O169" s="2465"/>
      <c r="P169" s="2465"/>
      <c r="Q169" s="2465"/>
      <c r="R169" s="2465"/>
      <c r="S169" s="2465"/>
      <c r="T169" s="2465"/>
      <c r="U169" s="2465"/>
      <c r="V169" s="2465"/>
      <c r="W169" s="2465"/>
      <c r="X169" s="2465"/>
      <c r="Y169" s="2465"/>
      <c r="Z169" s="2465"/>
      <c r="AA169" s="1"/>
      <c r="AB169" s="1"/>
    </row>
    <row r="170" ht="15.75" customHeight="1">
      <c r="A170" s="1"/>
      <c r="B170" s="1"/>
      <c r="C170" s="1"/>
      <c r="D170" s="1"/>
      <c r="E170" s="2465"/>
      <c r="F170" s="2465"/>
      <c r="G170" s="2466"/>
      <c r="H170" s="2465"/>
      <c r="I170" s="2465"/>
      <c r="J170" s="2465"/>
      <c r="K170" s="2465"/>
      <c r="L170" s="2465"/>
      <c r="M170" s="2465"/>
      <c r="N170" s="2465"/>
      <c r="O170" s="2465"/>
      <c r="P170" s="2465"/>
      <c r="Q170" s="2465"/>
      <c r="R170" s="2465"/>
      <c r="S170" s="2465"/>
      <c r="T170" s="2465"/>
      <c r="U170" s="2465"/>
      <c r="V170" s="2465"/>
      <c r="W170" s="2465"/>
      <c r="X170" s="2465"/>
      <c r="Y170" s="2465"/>
      <c r="Z170" s="2465"/>
      <c r="AA170" s="1"/>
      <c r="AB170" s="1"/>
    </row>
    <row r="171" ht="15.75" customHeight="1">
      <c r="A171" s="1"/>
      <c r="B171" s="1"/>
      <c r="C171" s="1"/>
      <c r="D171" s="1"/>
      <c r="E171" s="2465"/>
      <c r="F171" s="2465"/>
      <c r="G171" s="2466"/>
      <c r="H171" s="2465"/>
      <c r="I171" s="2465"/>
      <c r="J171" s="2465"/>
      <c r="K171" s="2465"/>
      <c r="L171" s="2465"/>
      <c r="M171" s="2465"/>
      <c r="N171" s="2465"/>
      <c r="O171" s="2465"/>
      <c r="P171" s="2465"/>
      <c r="Q171" s="2465"/>
      <c r="R171" s="2465"/>
      <c r="S171" s="2465"/>
      <c r="T171" s="2465"/>
      <c r="U171" s="2465"/>
      <c r="V171" s="2465"/>
      <c r="W171" s="2465"/>
      <c r="X171" s="2465"/>
      <c r="Y171" s="2465"/>
      <c r="Z171" s="2465"/>
      <c r="AA171" s="1"/>
      <c r="AB171" s="1"/>
    </row>
    <row r="172" ht="15.75" customHeight="1">
      <c r="A172" s="1"/>
      <c r="B172" s="1"/>
      <c r="C172" s="1"/>
      <c r="D172" s="1"/>
      <c r="E172" s="2465"/>
      <c r="F172" s="2465"/>
      <c r="G172" s="2466"/>
      <c r="H172" s="2465"/>
      <c r="I172" s="2465"/>
      <c r="J172" s="2465"/>
      <c r="K172" s="2465"/>
      <c r="L172" s="2465"/>
      <c r="M172" s="2465"/>
      <c r="N172" s="2465"/>
      <c r="O172" s="2465"/>
      <c r="P172" s="2465"/>
      <c r="Q172" s="2465"/>
      <c r="R172" s="2465"/>
      <c r="S172" s="2465"/>
      <c r="T172" s="2465"/>
      <c r="U172" s="2465"/>
      <c r="V172" s="2465"/>
      <c r="W172" s="2465"/>
      <c r="X172" s="2465"/>
      <c r="Y172" s="2465"/>
      <c r="Z172" s="2465"/>
      <c r="AA172" s="1"/>
      <c r="AB172" s="1"/>
    </row>
    <row r="173" ht="15.75" customHeight="1">
      <c r="A173" s="1"/>
      <c r="B173" s="1"/>
      <c r="C173" s="1"/>
      <c r="D173" s="1"/>
      <c r="E173" s="2465"/>
      <c r="F173" s="2465"/>
      <c r="G173" s="2466"/>
      <c r="H173" s="2465"/>
      <c r="I173" s="2465"/>
      <c r="J173" s="2465"/>
      <c r="K173" s="2465"/>
      <c r="L173" s="2465"/>
      <c r="M173" s="2465"/>
      <c r="N173" s="2465"/>
      <c r="O173" s="2465"/>
      <c r="P173" s="2465"/>
      <c r="Q173" s="2465"/>
      <c r="R173" s="2465"/>
      <c r="S173" s="2465"/>
      <c r="T173" s="2465"/>
      <c r="U173" s="2465"/>
      <c r="V173" s="2465"/>
      <c r="W173" s="2465"/>
      <c r="X173" s="2465"/>
      <c r="Y173" s="2465"/>
      <c r="Z173" s="2465"/>
      <c r="AA173" s="1"/>
      <c r="AB173" s="1"/>
    </row>
    <row r="174" ht="15.75" customHeight="1">
      <c r="A174" s="1"/>
      <c r="B174" s="1"/>
      <c r="C174" s="1"/>
      <c r="D174" s="1"/>
      <c r="E174" s="2465"/>
      <c r="F174" s="2465"/>
      <c r="G174" s="2466"/>
      <c r="H174" s="2465"/>
      <c r="I174" s="2465"/>
      <c r="J174" s="2465"/>
      <c r="K174" s="2465"/>
      <c r="L174" s="2465"/>
      <c r="M174" s="2465"/>
      <c r="N174" s="2465"/>
      <c r="O174" s="2465"/>
      <c r="P174" s="2465"/>
      <c r="Q174" s="2465"/>
      <c r="R174" s="2465"/>
      <c r="S174" s="2465"/>
      <c r="T174" s="2465"/>
      <c r="U174" s="2465"/>
      <c r="V174" s="2465"/>
      <c r="W174" s="2465"/>
      <c r="X174" s="2465"/>
      <c r="Y174" s="2465"/>
      <c r="Z174" s="2465"/>
      <c r="AA174" s="1"/>
      <c r="AB174" s="1"/>
    </row>
    <row r="175" ht="15.75" customHeight="1">
      <c r="A175" s="1"/>
      <c r="B175" s="1"/>
      <c r="C175" s="1"/>
      <c r="D175" s="1"/>
      <c r="E175" s="2465"/>
      <c r="F175" s="2465"/>
      <c r="G175" s="2466"/>
      <c r="H175" s="2465"/>
      <c r="I175" s="2465"/>
      <c r="J175" s="2465"/>
      <c r="K175" s="2465"/>
      <c r="L175" s="2465"/>
      <c r="M175" s="2465"/>
      <c r="N175" s="2465"/>
      <c r="O175" s="2465"/>
      <c r="P175" s="2465"/>
      <c r="Q175" s="2465"/>
      <c r="R175" s="2465"/>
      <c r="S175" s="2465"/>
      <c r="T175" s="2465"/>
      <c r="U175" s="2465"/>
      <c r="V175" s="2465"/>
      <c r="W175" s="2465"/>
      <c r="X175" s="2465"/>
      <c r="Y175" s="2465"/>
      <c r="Z175" s="2465"/>
      <c r="AA175" s="1"/>
      <c r="AB175" s="1"/>
    </row>
    <row r="176" ht="15.75" customHeight="1">
      <c r="A176" s="1"/>
      <c r="B176" s="1"/>
      <c r="C176" s="1"/>
      <c r="D176" s="1"/>
      <c r="E176" s="2465"/>
      <c r="F176" s="2465"/>
      <c r="G176" s="2466"/>
      <c r="H176" s="2465"/>
      <c r="I176" s="2465"/>
      <c r="J176" s="2465"/>
      <c r="K176" s="2465"/>
      <c r="L176" s="2465"/>
      <c r="M176" s="2465"/>
      <c r="N176" s="2465"/>
      <c r="O176" s="2465"/>
      <c r="P176" s="2465"/>
      <c r="Q176" s="2465"/>
      <c r="R176" s="2465"/>
      <c r="S176" s="2465"/>
      <c r="T176" s="2465"/>
      <c r="U176" s="2465"/>
      <c r="V176" s="2465"/>
      <c r="W176" s="2465"/>
      <c r="X176" s="2465"/>
      <c r="Y176" s="2465"/>
      <c r="Z176" s="2465"/>
      <c r="AA176" s="1"/>
      <c r="AB176" s="1"/>
    </row>
    <row r="177" ht="15.75" customHeight="1">
      <c r="A177" s="1"/>
      <c r="B177" s="1"/>
      <c r="C177" s="1"/>
      <c r="D177" s="1"/>
      <c r="E177" s="2465"/>
      <c r="F177" s="2465"/>
      <c r="G177" s="2466"/>
      <c r="H177" s="2465"/>
      <c r="I177" s="2465"/>
      <c r="J177" s="2465"/>
      <c r="K177" s="2465"/>
      <c r="L177" s="2465"/>
      <c r="M177" s="2465"/>
      <c r="N177" s="2465"/>
      <c r="O177" s="2465"/>
      <c r="P177" s="2465"/>
      <c r="Q177" s="2465"/>
      <c r="R177" s="2465"/>
      <c r="S177" s="2465"/>
      <c r="T177" s="2465"/>
      <c r="U177" s="2465"/>
      <c r="V177" s="2465"/>
      <c r="W177" s="2465"/>
      <c r="X177" s="2465"/>
      <c r="Y177" s="2465"/>
      <c r="Z177" s="2465"/>
      <c r="AA177" s="1"/>
      <c r="AB177" s="1"/>
    </row>
    <row r="178" ht="15.75" customHeight="1">
      <c r="A178" s="1"/>
      <c r="B178" s="1"/>
      <c r="C178" s="1"/>
      <c r="D178" s="1"/>
      <c r="E178" s="2465"/>
      <c r="F178" s="2465"/>
      <c r="G178" s="2466"/>
      <c r="H178" s="2465"/>
      <c r="I178" s="2465"/>
      <c r="J178" s="2465"/>
      <c r="K178" s="2465"/>
      <c r="L178" s="2465"/>
      <c r="M178" s="2465"/>
      <c r="N178" s="2465"/>
      <c r="O178" s="2465"/>
      <c r="P178" s="2465"/>
      <c r="Q178" s="2465"/>
      <c r="R178" s="2465"/>
      <c r="S178" s="2465"/>
      <c r="T178" s="2465"/>
      <c r="U178" s="2465"/>
      <c r="V178" s="2465"/>
      <c r="W178" s="2465"/>
      <c r="X178" s="2465"/>
      <c r="Y178" s="2465"/>
      <c r="Z178" s="2465"/>
      <c r="AA178" s="1"/>
      <c r="AB178" s="1"/>
    </row>
    <row r="179" ht="15.75" customHeight="1">
      <c r="A179" s="1"/>
      <c r="B179" s="1"/>
      <c r="C179" s="1"/>
      <c r="D179" s="1"/>
      <c r="E179" s="2465"/>
      <c r="F179" s="2465"/>
      <c r="G179" s="2466"/>
      <c r="H179" s="2465"/>
      <c r="I179" s="2465"/>
      <c r="J179" s="2465"/>
      <c r="K179" s="2465"/>
      <c r="L179" s="2465"/>
      <c r="M179" s="2465"/>
      <c r="N179" s="2465"/>
      <c r="O179" s="2465"/>
      <c r="P179" s="2465"/>
      <c r="Q179" s="2465"/>
      <c r="R179" s="2465"/>
      <c r="S179" s="2465"/>
      <c r="T179" s="2465"/>
      <c r="U179" s="2465"/>
      <c r="V179" s="2465"/>
      <c r="W179" s="2465"/>
      <c r="X179" s="2465"/>
      <c r="Y179" s="2465"/>
      <c r="Z179" s="2465"/>
      <c r="AA179" s="1"/>
      <c r="AB179" s="1"/>
    </row>
    <row r="180" ht="15.75" customHeight="1">
      <c r="A180" s="1"/>
      <c r="B180" s="1"/>
      <c r="C180" s="1"/>
      <c r="D180" s="1"/>
      <c r="E180" s="2465"/>
      <c r="F180" s="2465"/>
      <c r="G180" s="2466"/>
      <c r="H180" s="2465"/>
      <c r="I180" s="2465"/>
      <c r="J180" s="2465"/>
      <c r="K180" s="2465"/>
      <c r="L180" s="2465"/>
      <c r="M180" s="2465"/>
      <c r="N180" s="2465"/>
      <c r="O180" s="2465"/>
      <c r="P180" s="2465"/>
      <c r="Q180" s="2465"/>
      <c r="R180" s="2465"/>
      <c r="S180" s="2465"/>
      <c r="T180" s="2465"/>
      <c r="U180" s="2465"/>
      <c r="V180" s="2465"/>
      <c r="W180" s="2465"/>
      <c r="X180" s="2465"/>
      <c r="Y180" s="2465"/>
      <c r="Z180" s="2465"/>
      <c r="AA180" s="1"/>
      <c r="AB180" s="1"/>
    </row>
    <row r="181" ht="15.75" customHeight="1">
      <c r="A181" s="1"/>
      <c r="B181" s="1"/>
      <c r="C181" s="1"/>
      <c r="D181" s="1"/>
      <c r="E181" s="2465"/>
      <c r="F181" s="2465"/>
      <c r="G181" s="2466"/>
      <c r="H181" s="2465"/>
      <c r="I181" s="2465"/>
      <c r="J181" s="2465"/>
      <c r="K181" s="2465"/>
      <c r="L181" s="2465"/>
      <c r="M181" s="2465"/>
      <c r="N181" s="2465"/>
      <c r="O181" s="2465"/>
      <c r="P181" s="2465"/>
      <c r="Q181" s="2465"/>
      <c r="R181" s="2465"/>
      <c r="S181" s="2465"/>
      <c r="T181" s="2465"/>
      <c r="U181" s="2465"/>
      <c r="V181" s="2465"/>
      <c r="W181" s="2465"/>
      <c r="X181" s="2465"/>
      <c r="Y181" s="2465"/>
      <c r="Z181" s="2465"/>
      <c r="AA181" s="1"/>
      <c r="AB181" s="1"/>
    </row>
    <row r="182" ht="15.75" customHeight="1">
      <c r="A182" s="1"/>
      <c r="B182" s="1"/>
      <c r="C182" s="1"/>
      <c r="D182" s="1"/>
      <c r="E182" s="2465"/>
      <c r="F182" s="2465"/>
      <c r="G182" s="2466"/>
      <c r="H182" s="2465"/>
      <c r="I182" s="2465"/>
      <c r="J182" s="2465"/>
      <c r="K182" s="2465"/>
      <c r="L182" s="2465"/>
      <c r="M182" s="2465"/>
      <c r="N182" s="2465"/>
      <c r="O182" s="2465"/>
      <c r="P182" s="2465"/>
      <c r="Q182" s="2465"/>
      <c r="R182" s="2465"/>
      <c r="S182" s="2465"/>
      <c r="T182" s="2465"/>
      <c r="U182" s="2465"/>
      <c r="V182" s="2465"/>
      <c r="W182" s="2465"/>
      <c r="X182" s="2465"/>
      <c r="Y182" s="2465"/>
      <c r="Z182" s="2465"/>
      <c r="AA182" s="1"/>
      <c r="AB182" s="1"/>
    </row>
    <row r="183" ht="15.75" customHeight="1">
      <c r="A183" s="1"/>
      <c r="B183" s="1"/>
      <c r="C183" s="1"/>
      <c r="D183" s="1"/>
      <c r="E183" s="2465"/>
      <c r="F183" s="2465"/>
      <c r="G183" s="2466"/>
      <c r="H183" s="2465"/>
      <c r="I183" s="2465"/>
      <c r="J183" s="2465"/>
      <c r="K183" s="2465"/>
      <c r="L183" s="2465"/>
      <c r="M183" s="2465"/>
      <c r="N183" s="2465"/>
      <c r="O183" s="2465"/>
      <c r="P183" s="2465"/>
      <c r="Q183" s="2465"/>
      <c r="R183" s="2465"/>
      <c r="S183" s="2465"/>
      <c r="T183" s="2465"/>
      <c r="U183" s="2465"/>
      <c r="V183" s="2465"/>
      <c r="W183" s="2465"/>
      <c r="X183" s="2465"/>
      <c r="Y183" s="2465"/>
      <c r="Z183" s="2465"/>
      <c r="AA183" s="1"/>
      <c r="AB183" s="1"/>
    </row>
    <row r="184" ht="15.75" customHeight="1">
      <c r="A184" s="1"/>
      <c r="B184" s="1"/>
      <c r="C184" s="1"/>
      <c r="D184" s="1"/>
      <c r="E184" s="2465"/>
      <c r="F184" s="2465"/>
      <c r="G184" s="2466"/>
      <c r="H184" s="2465"/>
      <c r="I184" s="2465"/>
      <c r="J184" s="2465"/>
      <c r="K184" s="2465"/>
      <c r="L184" s="2465"/>
      <c r="M184" s="2465"/>
      <c r="N184" s="2465"/>
      <c r="O184" s="2465"/>
      <c r="P184" s="2465"/>
      <c r="Q184" s="2465"/>
      <c r="R184" s="2465"/>
      <c r="S184" s="2465"/>
      <c r="T184" s="2465"/>
      <c r="U184" s="2465"/>
      <c r="V184" s="2465"/>
      <c r="W184" s="2465"/>
      <c r="X184" s="2465"/>
      <c r="Y184" s="2465"/>
      <c r="Z184" s="2465"/>
      <c r="AA184" s="1"/>
      <c r="AB184" s="1"/>
    </row>
    <row r="185" ht="15.75" customHeight="1">
      <c r="A185" s="1"/>
      <c r="B185" s="1"/>
      <c r="C185" s="1"/>
      <c r="D185" s="1"/>
      <c r="E185" s="2465"/>
      <c r="F185" s="2465"/>
      <c r="G185" s="2466"/>
      <c r="H185" s="2465"/>
      <c r="I185" s="2465"/>
      <c r="J185" s="2465"/>
      <c r="K185" s="2465"/>
      <c r="L185" s="2465"/>
      <c r="M185" s="2465"/>
      <c r="N185" s="2465"/>
      <c r="O185" s="2465"/>
      <c r="P185" s="2465"/>
      <c r="Q185" s="2465"/>
      <c r="R185" s="2465"/>
      <c r="S185" s="2465"/>
      <c r="T185" s="2465"/>
      <c r="U185" s="2465"/>
      <c r="V185" s="2465"/>
      <c r="W185" s="2465"/>
      <c r="X185" s="2465"/>
      <c r="Y185" s="2465"/>
      <c r="Z185" s="2465"/>
      <c r="AA185" s="1"/>
      <c r="AB185" s="1"/>
    </row>
    <row r="186" ht="15.75" customHeight="1">
      <c r="A186" s="1"/>
      <c r="B186" s="1"/>
      <c r="C186" s="1"/>
      <c r="D186" s="1"/>
      <c r="E186" s="2465"/>
      <c r="F186" s="2465"/>
      <c r="G186" s="2466"/>
      <c r="H186" s="2465"/>
      <c r="I186" s="2465"/>
      <c r="J186" s="2465"/>
      <c r="K186" s="2465"/>
      <c r="L186" s="2465"/>
      <c r="M186" s="2465"/>
      <c r="N186" s="2465"/>
      <c r="O186" s="2465"/>
      <c r="P186" s="2465"/>
      <c r="Q186" s="2465"/>
      <c r="R186" s="2465"/>
      <c r="S186" s="2465"/>
      <c r="T186" s="2465"/>
      <c r="U186" s="2465"/>
      <c r="V186" s="2465"/>
      <c r="W186" s="2465"/>
      <c r="X186" s="2465"/>
      <c r="Y186" s="2465"/>
      <c r="Z186" s="2465"/>
      <c r="AA186" s="1"/>
      <c r="AB186" s="1"/>
    </row>
    <row r="187" ht="15.75" customHeight="1">
      <c r="A187" s="1"/>
      <c r="B187" s="1"/>
      <c r="C187" s="1"/>
      <c r="D187" s="1"/>
      <c r="E187" s="2465"/>
      <c r="F187" s="2465"/>
      <c r="G187" s="2466"/>
      <c r="H187" s="2465"/>
      <c r="I187" s="2465"/>
      <c r="J187" s="2465"/>
      <c r="K187" s="2465"/>
      <c r="L187" s="2465"/>
      <c r="M187" s="2465"/>
      <c r="N187" s="2465"/>
      <c r="O187" s="2465"/>
      <c r="P187" s="2465"/>
      <c r="Q187" s="2465"/>
      <c r="R187" s="2465"/>
      <c r="S187" s="2465"/>
      <c r="T187" s="2465"/>
      <c r="U187" s="2465"/>
      <c r="V187" s="2465"/>
      <c r="W187" s="2465"/>
      <c r="X187" s="2465"/>
      <c r="Y187" s="2465"/>
      <c r="Z187" s="2465"/>
      <c r="AA187" s="1"/>
      <c r="AB187" s="1"/>
    </row>
    <row r="188" ht="15.75" customHeight="1">
      <c r="A188" s="1"/>
      <c r="B188" s="1"/>
      <c r="C188" s="1"/>
      <c r="D188" s="1"/>
      <c r="E188" s="2465"/>
      <c r="F188" s="2465"/>
      <c r="G188" s="2466"/>
      <c r="H188" s="2465"/>
      <c r="I188" s="2465"/>
      <c r="J188" s="2465"/>
      <c r="K188" s="2465"/>
      <c r="L188" s="2465"/>
      <c r="M188" s="2465"/>
      <c r="N188" s="2465"/>
      <c r="O188" s="2465"/>
      <c r="P188" s="2465"/>
      <c r="Q188" s="2465"/>
      <c r="R188" s="2465"/>
      <c r="S188" s="2465"/>
      <c r="T188" s="2465"/>
      <c r="U188" s="2465"/>
      <c r="V188" s="2465"/>
      <c r="W188" s="2465"/>
      <c r="X188" s="2465"/>
      <c r="Y188" s="2465"/>
      <c r="Z188" s="2465"/>
      <c r="AA188" s="1"/>
      <c r="AB188" s="1"/>
    </row>
    <row r="189" ht="15.75" customHeight="1">
      <c r="A189" s="1"/>
      <c r="B189" s="1"/>
      <c r="C189" s="1"/>
      <c r="D189" s="1"/>
      <c r="E189" s="2465"/>
      <c r="F189" s="2465"/>
      <c r="G189" s="2466"/>
      <c r="H189" s="2465"/>
      <c r="I189" s="2465"/>
      <c r="J189" s="2465"/>
      <c r="K189" s="2465"/>
      <c r="L189" s="2465"/>
      <c r="M189" s="2465"/>
      <c r="N189" s="2465"/>
      <c r="O189" s="2465"/>
      <c r="P189" s="2465"/>
      <c r="Q189" s="2465"/>
      <c r="R189" s="2465"/>
      <c r="S189" s="2465"/>
      <c r="T189" s="2465"/>
      <c r="U189" s="2465"/>
      <c r="V189" s="2465"/>
      <c r="W189" s="2465"/>
      <c r="X189" s="2465"/>
      <c r="Y189" s="2465"/>
      <c r="Z189" s="2465"/>
      <c r="AA189" s="1"/>
      <c r="AB189" s="1"/>
    </row>
    <row r="190" ht="15.75" customHeight="1">
      <c r="A190" s="1"/>
      <c r="B190" s="1"/>
      <c r="C190" s="1"/>
      <c r="D190" s="1"/>
      <c r="E190" s="2465"/>
      <c r="F190" s="2465"/>
      <c r="G190" s="2466"/>
      <c r="H190" s="2465"/>
      <c r="I190" s="2465"/>
      <c r="J190" s="2465"/>
      <c r="K190" s="2465"/>
      <c r="L190" s="2465"/>
      <c r="M190" s="2465"/>
      <c r="N190" s="2465"/>
      <c r="O190" s="2465"/>
      <c r="P190" s="2465"/>
      <c r="Q190" s="2465"/>
      <c r="R190" s="2465"/>
      <c r="S190" s="2465"/>
      <c r="T190" s="2465"/>
      <c r="U190" s="2465"/>
      <c r="V190" s="2465"/>
      <c r="W190" s="2465"/>
      <c r="X190" s="2465"/>
      <c r="Y190" s="2465"/>
      <c r="Z190" s="2465"/>
      <c r="AA190" s="1"/>
      <c r="AB190" s="1"/>
    </row>
    <row r="191" ht="15.75" customHeight="1">
      <c r="A191" s="1"/>
      <c r="B191" s="1"/>
      <c r="C191" s="1"/>
      <c r="D191" s="1"/>
      <c r="E191" s="2465"/>
      <c r="F191" s="2465"/>
      <c r="G191" s="2466"/>
      <c r="H191" s="2465"/>
      <c r="I191" s="2465"/>
      <c r="J191" s="2465"/>
      <c r="K191" s="2465"/>
      <c r="L191" s="2465"/>
      <c r="M191" s="2465"/>
      <c r="N191" s="2465"/>
      <c r="O191" s="2465"/>
      <c r="P191" s="2465"/>
      <c r="Q191" s="2465"/>
      <c r="R191" s="2465"/>
      <c r="S191" s="2465"/>
      <c r="T191" s="2465"/>
      <c r="U191" s="2465"/>
      <c r="V191" s="2465"/>
      <c r="W191" s="2465"/>
      <c r="X191" s="2465"/>
      <c r="Y191" s="2465"/>
      <c r="Z191" s="2465"/>
      <c r="AA191" s="1"/>
      <c r="AB191" s="1"/>
    </row>
    <row r="192" ht="15.75" customHeight="1">
      <c r="A192" s="1"/>
      <c r="B192" s="1"/>
      <c r="C192" s="1"/>
      <c r="D192" s="1"/>
      <c r="E192" s="2465"/>
      <c r="F192" s="2465"/>
      <c r="G192" s="2466"/>
      <c r="H192" s="2465"/>
      <c r="I192" s="2465"/>
      <c r="J192" s="2465"/>
      <c r="K192" s="2465"/>
      <c r="L192" s="2465"/>
      <c r="M192" s="2465"/>
      <c r="N192" s="2465"/>
      <c r="O192" s="2465"/>
      <c r="P192" s="2465"/>
      <c r="Q192" s="2465"/>
      <c r="R192" s="2465"/>
      <c r="S192" s="2465"/>
      <c r="T192" s="2465"/>
      <c r="U192" s="2465"/>
      <c r="V192" s="2465"/>
      <c r="W192" s="2465"/>
      <c r="X192" s="2465"/>
      <c r="Y192" s="2465"/>
      <c r="Z192" s="2465"/>
      <c r="AA192" s="1"/>
      <c r="AB192" s="1"/>
    </row>
    <row r="193" ht="15.75" customHeight="1">
      <c r="A193" s="1"/>
      <c r="B193" s="1"/>
      <c r="C193" s="1"/>
      <c r="D193" s="1"/>
      <c r="E193" s="2465"/>
      <c r="F193" s="2465"/>
      <c r="G193" s="2466"/>
      <c r="H193" s="2465"/>
      <c r="I193" s="2465"/>
      <c r="J193" s="2465"/>
      <c r="K193" s="2465"/>
      <c r="L193" s="2465"/>
      <c r="M193" s="2465"/>
      <c r="N193" s="2465"/>
      <c r="O193" s="2465"/>
      <c r="P193" s="2465"/>
      <c r="Q193" s="2465"/>
      <c r="R193" s="2465"/>
      <c r="S193" s="2465"/>
      <c r="T193" s="2465"/>
      <c r="U193" s="2465"/>
      <c r="V193" s="2465"/>
      <c r="W193" s="2465"/>
      <c r="X193" s="2465"/>
      <c r="Y193" s="2465"/>
      <c r="Z193" s="2465"/>
      <c r="AA193" s="1"/>
      <c r="AB193" s="1"/>
    </row>
    <row r="194" ht="15.75" customHeight="1">
      <c r="A194" s="1"/>
      <c r="B194" s="1"/>
      <c r="C194" s="1"/>
      <c r="D194" s="1"/>
      <c r="E194" s="2465"/>
      <c r="F194" s="2465"/>
      <c r="G194" s="2466"/>
      <c r="H194" s="2465"/>
      <c r="I194" s="2465"/>
      <c r="J194" s="2465"/>
      <c r="K194" s="2465"/>
      <c r="L194" s="2465"/>
      <c r="M194" s="2465"/>
      <c r="N194" s="2465"/>
      <c r="O194" s="2465"/>
      <c r="P194" s="2465"/>
      <c r="Q194" s="2465"/>
      <c r="R194" s="2465"/>
      <c r="S194" s="2465"/>
      <c r="T194" s="2465"/>
      <c r="U194" s="2465"/>
      <c r="V194" s="2465"/>
      <c r="W194" s="2465"/>
      <c r="X194" s="2465"/>
      <c r="Y194" s="2465"/>
      <c r="Z194" s="2465"/>
      <c r="AA194" s="1"/>
      <c r="AB194" s="1"/>
    </row>
    <row r="195" ht="15.75" customHeight="1">
      <c r="A195" s="1"/>
      <c r="B195" s="1"/>
      <c r="C195" s="1"/>
      <c r="D195" s="1"/>
      <c r="E195" s="2465"/>
      <c r="F195" s="2465"/>
      <c r="G195" s="2466"/>
      <c r="H195" s="2465"/>
      <c r="I195" s="2465"/>
      <c r="J195" s="2465"/>
      <c r="K195" s="2465"/>
      <c r="L195" s="2465"/>
      <c r="M195" s="2465"/>
      <c r="N195" s="2465"/>
      <c r="O195" s="2465"/>
      <c r="P195" s="2465"/>
      <c r="Q195" s="2465"/>
      <c r="R195" s="2465"/>
      <c r="S195" s="2465"/>
      <c r="T195" s="2465"/>
      <c r="U195" s="2465"/>
      <c r="V195" s="2465"/>
      <c r="W195" s="2465"/>
      <c r="X195" s="2465"/>
      <c r="Y195" s="2465"/>
      <c r="Z195" s="2465"/>
      <c r="AA195" s="1"/>
      <c r="AB195" s="1"/>
    </row>
    <row r="196" ht="15.75" customHeight="1">
      <c r="A196" s="1"/>
      <c r="B196" s="1"/>
      <c r="C196" s="1"/>
      <c r="D196" s="1"/>
      <c r="E196" s="2465"/>
      <c r="F196" s="2465"/>
      <c r="G196" s="2466"/>
      <c r="H196" s="2465"/>
      <c r="I196" s="2465"/>
      <c r="J196" s="2465"/>
      <c r="K196" s="2465"/>
      <c r="L196" s="2465"/>
      <c r="M196" s="2465"/>
      <c r="N196" s="2465"/>
      <c r="O196" s="2465"/>
      <c r="P196" s="2465"/>
      <c r="Q196" s="2465"/>
      <c r="R196" s="2465"/>
      <c r="S196" s="2465"/>
      <c r="T196" s="2465"/>
      <c r="U196" s="2465"/>
      <c r="V196" s="2465"/>
      <c r="W196" s="2465"/>
      <c r="X196" s="2465"/>
      <c r="Y196" s="2465"/>
      <c r="Z196" s="2465"/>
      <c r="AA196" s="1"/>
      <c r="AB196" s="1"/>
    </row>
    <row r="197" ht="15.75" customHeight="1">
      <c r="A197" s="1"/>
      <c r="B197" s="1"/>
      <c r="C197" s="1"/>
      <c r="D197" s="1"/>
      <c r="E197" s="2465"/>
      <c r="F197" s="2465"/>
      <c r="G197" s="2466"/>
      <c r="H197" s="2465"/>
      <c r="I197" s="2465"/>
      <c r="J197" s="2465"/>
      <c r="K197" s="2465"/>
      <c r="L197" s="2465"/>
      <c r="M197" s="2465"/>
      <c r="N197" s="2465"/>
      <c r="O197" s="2465"/>
      <c r="P197" s="2465"/>
      <c r="Q197" s="2465"/>
      <c r="R197" s="2465"/>
      <c r="S197" s="2465"/>
      <c r="T197" s="2465"/>
      <c r="U197" s="2465"/>
      <c r="V197" s="2465"/>
      <c r="W197" s="2465"/>
      <c r="X197" s="2465"/>
      <c r="Y197" s="2465"/>
      <c r="Z197" s="2465"/>
      <c r="AA197" s="1"/>
      <c r="AB197" s="1"/>
    </row>
    <row r="198" ht="15.75" customHeight="1">
      <c r="A198" s="1"/>
      <c r="B198" s="1"/>
      <c r="C198" s="1"/>
      <c r="D198" s="1"/>
      <c r="E198" s="2465"/>
      <c r="F198" s="2465"/>
      <c r="G198" s="2466"/>
      <c r="H198" s="2465"/>
      <c r="I198" s="2465"/>
      <c r="J198" s="2465"/>
      <c r="K198" s="2465"/>
      <c r="L198" s="2465"/>
      <c r="M198" s="2465"/>
      <c r="N198" s="2465"/>
      <c r="O198" s="2465"/>
      <c r="P198" s="2465"/>
      <c r="Q198" s="2465"/>
      <c r="R198" s="2465"/>
      <c r="S198" s="2465"/>
      <c r="T198" s="2465"/>
      <c r="U198" s="2465"/>
      <c r="V198" s="2465"/>
      <c r="W198" s="2465"/>
      <c r="X198" s="2465"/>
      <c r="Y198" s="2465"/>
      <c r="Z198" s="2465"/>
      <c r="AA198" s="1"/>
      <c r="AB198" s="1"/>
    </row>
    <row r="199" ht="15.75" customHeight="1">
      <c r="A199" s="1"/>
      <c r="B199" s="1"/>
      <c r="C199" s="1"/>
      <c r="D199" s="1"/>
      <c r="E199" s="2465"/>
      <c r="F199" s="2465"/>
      <c r="G199" s="2466"/>
      <c r="H199" s="2465"/>
      <c r="I199" s="2465"/>
      <c r="J199" s="2465"/>
      <c r="K199" s="2465"/>
      <c r="L199" s="2465"/>
      <c r="M199" s="2465"/>
      <c r="N199" s="2465"/>
      <c r="O199" s="2465"/>
      <c r="P199" s="2465"/>
      <c r="Q199" s="2465"/>
      <c r="R199" s="2465"/>
      <c r="S199" s="2465"/>
      <c r="T199" s="2465"/>
      <c r="U199" s="2465"/>
      <c r="V199" s="2465"/>
      <c r="W199" s="2465"/>
      <c r="X199" s="2465"/>
      <c r="Y199" s="2465"/>
      <c r="Z199" s="2465"/>
      <c r="AA199" s="1"/>
      <c r="AB199" s="1"/>
    </row>
    <row r="200" ht="15.75" customHeight="1">
      <c r="A200" s="1"/>
      <c r="B200" s="1"/>
      <c r="C200" s="1"/>
      <c r="D200" s="1"/>
      <c r="E200" s="2465"/>
      <c r="F200" s="2465"/>
      <c r="G200" s="2466"/>
      <c r="H200" s="2465"/>
      <c r="I200" s="2465"/>
      <c r="J200" s="2465"/>
      <c r="K200" s="2465"/>
      <c r="L200" s="2465"/>
      <c r="M200" s="2465"/>
      <c r="N200" s="2465"/>
      <c r="O200" s="2465"/>
      <c r="P200" s="2465"/>
      <c r="Q200" s="2465"/>
      <c r="R200" s="2465"/>
      <c r="S200" s="2465"/>
      <c r="T200" s="2465"/>
      <c r="U200" s="2465"/>
      <c r="V200" s="2465"/>
      <c r="W200" s="2465"/>
      <c r="X200" s="2465"/>
      <c r="Y200" s="2465"/>
      <c r="Z200" s="2465"/>
      <c r="AA200" s="1"/>
      <c r="AB200" s="1"/>
    </row>
    <row r="201" ht="15.75" customHeight="1">
      <c r="A201" s="1"/>
      <c r="B201" s="1"/>
      <c r="C201" s="1"/>
      <c r="D201" s="1"/>
      <c r="E201" s="2465"/>
      <c r="F201" s="2465"/>
      <c r="G201" s="2466"/>
      <c r="H201" s="2465"/>
      <c r="I201" s="2465"/>
      <c r="J201" s="2465"/>
      <c r="K201" s="2465"/>
      <c r="L201" s="2465"/>
      <c r="M201" s="2465"/>
      <c r="N201" s="2465"/>
      <c r="O201" s="2465"/>
      <c r="P201" s="2465"/>
      <c r="Q201" s="2465"/>
      <c r="R201" s="2465"/>
      <c r="S201" s="2465"/>
      <c r="T201" s="2465"/>
      <c r="U201" s="2465"/>
      <c r="V201" s="2465"/>
      <c r="W201" s="2465"/>
      <c r="X201" s="2465"/>
      <c r="Y201" s="2465"/>
      <c r="Z201" s="2465"/>
      <c r="AA201" s="1"/>
      <c r="AB201" s="1"/>
    </row>
    <row r="202" ht="15.75" customHeight="1">
      <c r="A202" s="1"/>
      <c r="B202" s="1"/>
      <c r="C202" s="1"/>
      <c r="D202" s="1"/>
      <c r="E202" s="2465"/>
      <c r="F202" s="2465"/>
      <c r="G202" s="2466"/>
      <c r="H202" s="2465"/>
      <c r="I202" s="2465"/>
      <c r="J202" s="2465"/>
      <c r="K202" s="2465"/>
      <c r="L202" s="2465"/>
      <c r="M202" s="2465"/>
      <c r="N202" s="2465"/>
      <c r="O202" s="2465"/>
      <c r="P202" s="2465"/>
      <c r="Q202" s="2465"/>
      <c r="R202" s="2465"/>
      <c r="S202" s="2465"/>
      <c r="T202" s="2465"/>
      <c r="U202" s="2465"/>
      <c r="V202" s="2465"/>
      <c r="W202" s="2465"/>
      <c r="X202" s="2465"/>
      <c r="Y202" s="2465"/>
      <c r="Z202" s="2465"/>
      <c r="AA202" s="1"/>
      <c r="AB202" s="1"/>
    </row>
    <row r="203" ht="15.75" customHeight="1">
      <c r="A203" s="1"/>
      <c r="B203" s="1"/>
      <c r="C203" s="1"/>
      <c r="D203" s="1"/>
      <c r="E203" s="2465"/>
      <c r="F203" s="2465"/>
      <c r="G203" s="2466"/>
      <c r="H203" s="2465"/>
      <c r="I203" s="2465"/>
      <c r="J203" s="2465"/>
      <c r="K203" s="2465"/>
      <c r="L203" s="2465"/>
      <c r="M203" s="2465"/>
      <c r="N203" s="2465"/>
      <c r="O203" s="2465"/>
      <c r="P203" s="2465"/>
      <c r="Q203" s="2465"/>
      <c r="R203" s="2465"/>
      <c r="S203" s="2465"/>
      <c r="T203" s="2465"/>
      <c r="U203" s="2465"/>
      <c r="V203" s="2465"/>
      <c r="W203" s="2465"/>
      <c r="X203" s="2465"/>
      <c r="Y203" s="2465"/>
      <c r="Z203" s="2465"/>
      <c r="AA203" s="1"/>
      <c r="AB203" s="1"/>
    </row>
    <row r="204" ht="15.75" customHeight="1">
      <c r="A204" s="1"/>
      <c r="B204" s="1"/>
      <c r="C204" s="1"/>
      <c r="D204" s="1"/>
      <c r="E204" s="2465"/>
      <c r="F204" s="2465"/>
      <c r="G204" s="2466"/>
      <c r="H204" s="2465"/>
      <c r="I204" s="2465"/>
      <c r="J204" s="2465"/>
      <c r="K204" s="2465"/>
      <c r="L204" s="2465"/>
      <c r="M204" s="2465"/>
      <c r="N204" s="2465"/>
      <c r="O204" s="2465"/>
      <c r="P204" s="2465"/>
      <c r="Q204" s="2465"/>
      <c r="R204" s="2465"/>
      <c r="S204" s="2465"/>
      <c r="T204" s="2465"/>
      <c r="U204" s="2465"/>
      <c r="V204" s="2465"/>
      <c r="W204" s="2465"/>
      <c r="X204" s="2465"/>
      <c r="Y204" s="2465"/>
      <c r="Z204" s="2465"/>
      <c r="AA204" s="1"/>
      <c r="AB204" s="1"/>
    </row>
    <row r="205" ht="15.75" customHeight="1">
      <c r="A205" s="1"/>
      <c r="B205" s="1"/>
      <c r="C205" s="1"/>
      <c r="D205" s="1"/>
      <c r="E205" s="2465"/>
      <c r="F205" s="2465"/>
      <c r="G205" s="2466"/>
      <c r="H205" s="2465"/>
      <c r="I205" s="2465"/>
      <c r="J205" s="2465"/>
      <c r="K205" s="2465"/>
      <c r="L205" s="2465"/>
      <c r="M205" s="2465"/>
      <c r="N205" s="2465"/>
      <c r="O205" s="2465"/>
      <c r="P205" s="2465"/>
      <c r="Q205" s="2465"/>
      <c r="R205" s="2465"/>
      <c r="S205" s="2465"/>
      <c r="T205" s="2465"/>
      <c r="U205" s="2465"/>
      <c r="V205" s="2465"/>
      <c r="W205" s="2465"/>
      <c r="X205" s="2465"/>
      <c r="Y205" s="2465"/>
      <c r="Z205" s="2465"/>
      <c r="AA205" s="1"/>
      <c r="AB205" s="1"/>
    </row>
    <row r="206" ht="15.75" customHeight="1">
      <c r="A206" s="1"/>
      <c r="B206" s="1"/>
      <c r="C206" s="1"/>
      <c r="D206" s="1"/>
      <c r="E206" s="2465"/>
      <c r="F206" s="2465"/>
      <c r="G206" s="2466"/>
      <c r="H206" s="2465"/>
      <c r="I206" s="2465"/>
      <c r="J206" s="2465"/>
      <c r="K206" s="2465"/>
      <c r="L206" s="2465"/>
      <c r="M206" s="2465"/>
      <c r="N206" s="2465"/>
      <c r="O206" s="2465"/>
      <c r="P206" s="2465"/>
      <c r="Q206" s="2465"/>
      <c r="R206" s="2465"/>
      <c r="S206" s="2465"/>
      <c r="T206" s="2465"/>
      <c r="U206" s="2465"/>
      <c r="V206" s="2465"/>
      <c r="W206" s="2465"/>
      <c r="X206" s="2465"/>
      <c r="Y206" s="2465"/>
      <c r="Z206" s="2465"/>
      <c r="AA206" s="1"/>
      <c r="AB206" s="1"/>
    </row>
    <row r="207" ht="15.75" customHeight="1">
      <c r="A207" s="1"/>
      <c r="B207" s="1"/>
      <c r="C207" s="1"/>
      <c r="D207" s="1"/>
      <c r="E207" s="2465"/>
      <c r="F207" s="2465"/>
      <c r="G207" s="2466"/>
      <c r="H207" s="2465"/>
      <c r="I207" s="2465"/>
      <c r="J207" s="2465"/>
      <c r="K207" s="2465"/>
      <c r="L207" s="2465"/>
      <c r="M207" s="2465"/>
      <c r="N207" s="2465"/>
      <c r="O207" s="2465"/>
      <c r="P207" s="2465"/>
      <c r="Q207" s="2465"/>
      <c r="R207" s="2465"/>
      <c r="S207" s="2465"/>
      <c r="T207" s="2465"/>
      <c r="U207" s="2465"/>
      <c r="V207" s="2465"/>
      <c r="W207" s="2465"/>
      <c r="X207" s="2465"/>
      <c r="Y207" s="2465"/>
      <c r="Z207" s="2465"/>
      <c r="AA207" s="1"/>
      <c r="AB207" s="1"/>
    </row>
    <row r="208" ht="15.75" customHeight="1">
      <c r="A208" s="1"/>
      <c r="B208" s="1"/>
      <c r="C208" s="1"/>
      <c r="D208" s="1"/>
      <c r="E208" s="2465"/>
      <c r="F208" s="2465"/>
      <c r="G208" s="2466"/>
      <c r="H208" s="2465"/>
      <c r="I208" s="2465"/>
      <c r="J208" s="2465"/>
      <c r="K208" s="2465"/>
      <c r="L208" s="2465"/>
      <c r="M208" s="2465"/>
      <c r="N208" s="2465"/>
      <c r="O208" s="2465"/>
      <c r="P208" s="2465"/>
      <c r="Q208" s="2465"/>
      <c r="R208" s="2465"/>
      <c r="S208" s="2465"/>
      <c r="T208" s="2465"/>
      <c r="U208" s="2465"/>
      <c r="V208" s="2465"/>
      <c r="W208" s="2465"/>
      <c r="X208" s="2465"/>
      <c r="Y208" s="2465"/>
      <c r="Z208" s="2465"/>
      <c r="AA208" s="1"/>
      <c r="AB208" s="1"/>
    </row>
    <row r="209" ht="15.75" customHeight="1">
      <c r="A209" s="1"/>
      <c r="B209" s="1"/>
      <c r="C209" s="1"/>
      <c r="D209" s="1"/>
      <c r="E209" s="2465"/>
      <c r="F209" s="2465"/>
      <c r="G209" s="2466"/>
      <c r="H209" s="2465"/>
      <c r="I209" s="2465"/>
      <c r="J209" s="2465"/>
      <c r="K209" s="2465"/>
      <c r="L209" s="2465"/>
      <c r="M209" s="2465"/>
      <c r="N209" s="2465"/>
      <c r="O209" s="2465"/>
      <c r="P209" s="2465"/>
      <c r="Q209" s="2465"/>
      <c r="R209" s="2465"/>
      <c r="S209" s="2465"/>
      <c r="T209" s="2465"/>
      <c r="U209" s="2465"/>
      <c r="V209" s="2465"/>
      <c r="W209" s="2465"/>
      <c r="X209" s="2465"/>
      <c r="Y209" s="2465"/>
      <c r="Z209" s="2465"/>
      <c r="AA209" s="1"/>
      <c r="AB209" s="1"/>
    </row>
    <row r="210" ht="15.75" customHeight="1">
      <c r="A210" s="1"/>
      <c r="B210" s="1"/>
      <c r="C210" s="1"/>
      <c r="D210" s="1"/>
      <c r="E210" s="2465"/>
      <c r="F210" s="2465"/>
      <c r="G210" s="2466"/>
      <c r="H210" s="2465"/>
      <c r="I210" s="2465"/>
      <c r="J210" s="2465"/>
      <c r="K210" s="2465"/>
      <c r="L210" s="2465"/>
      <c r="M210" s="2465"/>
      <c r="N210" s="2465"/>
      <c r="O210" s="2465"/>
      <c r="P210" s="2465"/>
      <c r="Q210" s="2465"/>
      <c r="R210" s="2465"/>
      <c r="S210" s="2465"/>
      <c r="T210" s="2465"/>
      <c r="U210" s="2465"/>
      <c r="V210" s="2465"/>
      <c r="W210" s="2465"/>
      <c r="X210" s="2465"/>
      <c r="Y210" s="2465"/>
      <c r="Z210" s="2465"/>
      <c r="AA210" s="1"/>
      <c r="AB210" s="1"/>
    </row>
    <row r="211" ht="15.75" customHeight="1">
      <c r="A211" s="1"/>
      <c r="B211" s="1"/>
      <c r="C211" s="1"/>
      <c r="D211" s="1"/>
      <c r="E211" s="2465"/>
      <c r="F211" s="2465"/>
      <c r="G211" s="2466"/>
      <c r="H211" s="2465"/>
      <c r="I211" s="2465"/>
      <c r="J211" s="2465"/>
      <c r="K211" s="2465"/>
      <c r="L211" s="2465"/>
      <c r="M211" s="2465"/>
      <c r="N211" s="2465"/>
      <c r="O211" s="2465"/>
      <c r="P211" s="2465"/>
      <c r="Q211" s="2465"/>
      <c r="R211" s="2465"/>
      <c r="S211" s="2465"/>
      <c r="T211" s="2465"/>
      <c r="U211" s="2465"/>
      <c r="V211" s="2465"/>
      <c r="W211" s="2465"/>
      <c r="X211" s="2465"/>
      <c r="Y211" s="2465"/>
      <c r="Z211" s="2465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25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25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25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25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25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25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25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25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25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25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25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25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25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25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25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25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25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25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25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25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25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25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25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25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25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25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25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25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25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25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25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25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25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25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25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25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25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25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25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25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25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25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25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25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25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25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25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25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25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25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25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25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25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25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25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25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25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25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25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25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25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25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25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25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25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25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25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25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25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25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25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25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25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25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25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25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25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25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25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25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25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25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25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25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25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25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25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25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25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25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25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25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25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25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25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25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25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25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25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25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25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25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25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25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25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25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25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25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25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25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25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25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25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25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25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25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25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25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25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25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25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25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25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25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25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25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25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25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25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25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25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25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25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25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25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25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25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25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25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25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25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25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25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25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25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25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25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25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25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25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25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25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25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25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25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25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25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25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25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25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25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25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25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25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25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25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25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25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25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25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25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25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25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25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25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25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25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25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25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25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25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25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25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25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25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25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25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25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25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25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25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25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25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25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25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25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25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25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25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25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25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25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25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25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25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25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25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25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25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25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25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25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25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25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25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25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25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25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25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25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25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25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25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25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25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25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25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25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25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25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25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25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25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25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25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25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25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25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25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25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25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25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25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25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25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25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25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25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25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25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25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25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25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25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25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25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25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25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25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25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25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25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25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25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25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25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25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25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25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25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25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25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25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25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25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25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25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25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25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25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25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25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25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25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25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25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25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25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25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25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25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25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25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25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25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25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25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25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25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25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25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25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25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25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25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25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25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25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25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25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25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25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25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25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25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25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25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25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25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25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25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25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25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25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25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25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25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25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25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25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25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25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25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25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25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25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25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25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25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25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25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25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25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25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25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25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25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25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25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25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25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25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25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25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25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25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25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25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25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25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25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25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25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25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25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25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25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25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25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25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25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25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25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25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25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25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25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25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25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25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25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25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25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25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25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25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25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25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25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25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25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25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25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25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25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25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25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25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25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25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25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25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25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25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25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25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25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25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25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25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25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25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25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25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25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25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25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25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25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25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25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25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25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25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25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25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25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25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25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25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25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25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25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25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25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25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25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25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25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25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25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25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25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25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25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25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25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25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25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25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25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25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25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25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25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25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25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25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25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25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25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25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25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25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25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25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25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25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25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25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25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25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25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25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25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25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25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25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25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25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25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25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25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25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25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25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25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25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25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25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25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25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25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25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25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25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25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25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25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25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25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25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25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25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25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25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25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25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25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25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25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25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25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25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25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25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25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25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25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25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25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25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25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25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25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25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25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25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25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25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25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25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25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25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25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25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25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25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25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25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25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25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25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25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25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25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25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25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25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25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25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25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25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25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25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25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25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25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25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25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25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25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25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25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25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25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25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25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25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25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25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25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25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25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25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25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25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25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25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25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25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25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25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25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25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25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25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25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25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25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25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25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25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25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25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25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25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25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25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25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25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25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25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25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25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25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25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25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25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25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25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25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25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25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25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25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25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25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25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25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25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25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25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25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25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25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25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25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25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25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25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25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25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25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25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25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25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25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25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25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25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25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25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25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25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25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25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25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25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25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25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25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25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25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25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25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25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25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25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25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25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25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25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25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25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25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25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25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25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25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25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25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25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25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25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25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25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25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25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25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25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25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25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25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25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25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25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25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25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25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25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25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25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25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25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25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25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25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25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25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25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25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25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25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25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25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25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25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25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25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25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25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25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25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25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25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25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25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25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25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25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25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25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25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25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25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25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25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25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25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25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25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25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25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25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25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25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25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25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25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25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25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25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25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25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25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25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25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25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25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25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25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25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25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25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25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25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25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25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25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25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25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25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25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25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25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25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25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25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25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25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25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25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25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25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25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25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25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25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25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25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25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25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25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25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25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258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258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258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258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2580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2580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</sheetData>
  <mergeCells count="44">
    <mergeCell ref="A2:F2"/>
    <mergeCell ref="H2:I2"/>
    <mergeCell ref="B3:C3"/>
    <mergeCell ref="D3:E3"/>
    <mergeCell ref="H3:I3"/>
    <mergeCell ref="A4:J4"/>
    <mergeCell ref="G6:G8"/>
    <mergeCell ref="J6:J8"/>
    <mergeCell ref="A10:J10"/>
    <mergeCell ref="J11:J12"/>
    <mergeCell ref="G12:G14"/>
    <mergeCell ref="J13:J14"/>
    <mergeCell ref="A16:J16"/>
    <mergeCell ref="G18:G20"/>
    <mergeCell ref="J18:J20"/>
    <mergeCell ref="A22:J22"/>
    <mergeCell ref="J23:J24"/>
    <mergeCell ref="G24:G26"/>
    <mergeCell ref="J25:J26"/>
    <mergeCell ref="A28:J28"/>
    <mergeCell ref="J30:J32"/>
    <mergeCell ref="G30:G32"/>
    <mergeCell ref="A51:F51"/>
    <mergeCell ref="H51:I51"/>
    <mergeCell ref="B52:C52"/>
    <mergeCell ref="D52:E52"/>
    <mergeCell ref="H52:I52"/>
    <mergeCell ref="A53:J53"/>
    <mergeCell ref="J62:J63"/>
    <mergeCell ref="J67:J69"/>
    <mergeCell ref="J72:J73"/>
    <mergeCell ref="J74:J75"/>
    <mergeCell ref="J79:J81"/>
    <mergeCell ref="G67:G69"/>
    <mergeCell ref="G73:G75"/>
    <mergeCell ref="G79:G81"/>
    <mergeCell ref="G55:G57"/>
    <mergeCell ref="J55:J57"/>
    <mergeCell ref="A59:J59"/>
    <mergeCell ref="J60:J61"/>
    <mergeCell ref="G61:G63"/>
    <mergeCell ref="A65:J65"/>
    <mergeCell ref="A71:J71"/>
    <mergeCell ref="A77:J77"/>
  </mergeCells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9.0"/>
    <col customWidth="1" min="4" max="4" width="37.44"/>
    <col customWidth="1" min="5" max="5" width="6.11"/>
    <col customWidth="1" min="6" max="7" width="5.11"/>
    <col customWidth="1" min="8" max="8" width="10.33"/>
    <col customWidth="1" min="9" max="9" width="5.11"/>
    <col customWidth="1" min="10" max="10" width="10.44"/>
    <col customWidth="1" min="13" max="13" width="19.0"/>
    <col customWidth="1" min="14" max="14" width="17.89"/>
    <col customWidth="1" min="16" max="16" width="9.11"/>
    <col customWidth="1" min="18" max="18" width="7.78"/>
    <col customWidth="1" min="19" max="19" width="35.78"/>
  </cols>
  <sheetData>
    <row r="1">
      <c r="A1" s="2565" t="str">
        <f>'План 1-я неделя'!A2</f>
        <v>Дата:</v>
      </c>
      <c r="B1" s="2566">
        <f>'План 1-я неделя'!D2</f>
        <v>46257</v>
      </c>
      <c r="C1" s="2568"/>
      <c r="D1" s="2568" t="str">
        <f>'План 1-я неделя'!E2</f>
        <v>План на день кухня ВОСКРЕСЕНЬЕ</v>
      </c>
      <c r="H1" s="2569">
        <f>SUM(H3:H29)</f>
        <v>375002</v>
      </c>
      <c r="I1" s="2570"/>
      <c r="J1" s="2572">
        <f>SUM(J3:J29)</f>
        <v>0</v>
      </c>
      <c r="K1" s="2573">
        <f>J1-H1</f>
        <v>-375002</v>
      </c>
      <c r="L1" s="2574" t="s">
        <v>1283</v>
      </c>
      <c r="M1" s="2574" t="s">
        <v>1428</v>
      </c>
      <c r="N1" s="2574" t="s">
        <v>3415</v>
      </c>
      <c r="O1" s="2574" t="s">
        <v>3416</v>
      </c>
      <c r="R1" s="2574" t="s">
        <v>1283</v>
      </c>
      <c r="S1" s="2574" t="s">
        <v>3283</v>
      </c>
      <c r="T1" s="2574" t="s">
        <v>3417</v>
      </c>
    </row>
    <row r="2">
      <c r="A2" s="2575" t="str">
        <f>'План 1-я неделя'!B3</f>
        <v>Код</v>
      </c>
      <c r="B2" s="2575" t="str">
        <f>'План 1-я неделя'!C3</f>
        <v>Цена</v>
      </c>
      <c r="C2" s="2575" t="str">
        <f>'План 1-я неделя'!D3</f>
        <v>категория</v>
      </c>
      <c r="D2" s="2575" t="str">
        <f>'План 1-я неделя'!E3</f>
        <v>Название блюда</v>
      </c>
      <c r="E2" s="2576" t="str">
        <f>'План 1-я неделя'!BL3</f>
        <v>ТСПК</v>
      </c>
      <c r="F2" s="2165" t="str">
        <f>'План 1-я неделя'!BN3</f>
        <v>Стол</v>
      </c>
      <c r="G2" s="2165" t="s">
        <v>3421</v>
      </c>
      <c r="H2" s="2165" t="s">
        <v>3422</v>
      </c>
      <c r="I2" s="2578" t="s">
        <v>3424</v>
      </c>
      <c r="J2" s="2578" t="s">
        <v>3425</v>
      </c>
      <c r="K2" s="1328" t="s">
        <v>1331</v>
      </c>
      <c r="L2" s="145">
        <v>26.0</v>
      </c>
      <c r="M2" s="1268" t="s">
        <v>397</v>
      </c>
      <c r="N2" s="145">
        <v>34.25</v>
      </c>
      <c r="O2" s="145" t="s">
        <v>3429</v>
      </c>
      <c r="P2" s="2579"/>
      <c r="Q2" s="2579"/>
      <c r="R2" s="145">
        <v>26.0</v>
      </c>
      <c r="S2" s="1268" t="s">
        <v>397</v>
      </c>
      <c r="T2" s="1268" t="s">
        <v>1433</v>
      </c>
    </row>
    <row r="3">
      <c r="A3" s="962">
        <f>'План 1-я неделя'!B4</f>
        <v>4323</v>
      </c>
      <c r="B3" s="962">
        <f>'План 1-я неделя'!C4</f>
        <v>210</v>
      </c>
      <c r="C3" s="962" t="str">
        <f>'План 1-я неделя'!D4</f>
        <v>Завтрак</v>
      </c>
      <c r="D3" s="962" t="str">
        <f>'План 1-я неделя'!E4</f>
        <v>Груша запеченая с творожным кремом</v>
      </c>
      <c r="E3" s="2576" t="str">
        <f>'План 1-я неделя'!BL4</f>
        <v/>
      </c>
      <c r="F3" s="2165">
        <f>'План 1-я неделя'!BN4</f>
        <v>10</v>
      </c>
      <c r="G3" s="95">
        <f>'План 1-я неделя'!BP4+F3</f>
        <v>91</v>
      </c>
      <c r="H3" s="2584">
        <f t="shared" ref="H3:H29" si="1">B3*G3</f>
        <v>19110</v>
      </c>
      <c r="I3" s="2587">
        <f>'План 1-я неделя'!BQ4</f>
        <v>0</v>
      </c>
      <c r="J3" s="2590">
        <f t="shared" ref="J3:J29" si="2">I3*B3</f>
        <v>0</v>
      </c>
      <c r="K3" s="195">
        <f t="shared" ref="K3:K17" si="3">G3-E3-F3</f>
        <v>81</v>
      </c>
      <c r="L3" s="145">
        <v>2368.0</v>
      </c>
      <c r="M3" s="1268" t="s">
        <v>1822</v>
      </c>
      <c r="N3" s="2593">
        <v>149.0</v>
      </c>
      <c r="O3" s="145" t="s">
        <v>3329</v>
      </c>
      <c r="P3" s="2579"/>
      <c r="Q3" s="2579"/>
      <c r="R3" s="145">
        <v>33.0</v>
      </c>
      <c r="S3" s="1268" t="s">
        <v>524</v>
      </c>
      <c r="T3" s="1268" t="s">
        <v>3436</v>
      </c>
    </row>
    <row r="4">
      <c r="A4" s="962">
        <f>'План 1-я неделя'!B5</f>
        <v>1557</v>
      </c>
      <c r="B4" s="962">
        <f>'План 1-я неделя'!C5</f>
        <v>98</v>
      </c>
      <c r="C4" s="962" t="str">
        <f>'План 1-я неделя'!D5</f>
        <v>Завтрак</v>
      </c>
      <c r="D4" s="962" t="str">
        <f>'План 1-я неделя'!E5</f>
        <v>Каша пшенная (на молоке)</v>
      </c>
      <c r="E4" s="2576" t="str">
        <f>'План 1-я неделя'!BL5</f>
        <v/>
      </c>
      <c r="F4" s="2165" t="str">
        <f>'План 1-я неделя'!BN5</f>
        <v/>
      </c>
      <c r="G4" s="95">
        <f>'План 1-я неделя'!BP5+F4</f>
        <v>56</v>
      </c>
      <c r="H4" s="2584">
        <f t="shared" si="1"/>
        <v>5488</v>
      </c>
      <c r="I4" s="2587">
        <f>'План 1-я неделя'!BQ5</f>
        <v>0</v>
      </c>
      <c r="J4" s="2590">
        <f t="shared" si="2"/>
        <v>0</v>
      </c>
      <c r="K4" s="195">
        <f t="shared" si="3"/>
        <v>56</v>
      </c>
      <c r="L4" s="145">
        <v>3927.0</v>
      </c>
      <c r="M4" s="1268" t="s">
        <v>2946</v>
      </c>
      <c r="N4" s="145">
        <v>19.2</v>
      </c>
      <c r="O4" s="145" t="s">
        <v>3429</v>
      </c>
      <c r="P4" s="2579"/>
      <c r="Q4" s="2579"/>
      <c r="R4" s="145">
        <v>378.0</v>
      </c>
      <c r="S4" s="1268" t="s">
        <v>1118</v>
      </c>
      <c r="T4" s="1268" t="s">
        <v>3436</v>
      </c>
    </row>
    <row r="5">
      <c r="A5" s="962">
        <f>'План 1-я неделя'!B6</f>
        <v>1550</v>
      </c>
      <c r="B5" s="962">
        <f>'План 1-я неделя'!C6</f>
        <v>158</v>
      </c>
      <c r="C5" s="962" t="str">
        <f>'План 1-я неделя'!D6</f>
        <v>Завтрак</v>
      </c>
      <c r="D5" s="962" t="str">
        <f>'План 1-я неделя'!E6</f>
        <v>Омлет с овощами и сыром </v>
      </c>
      <c r="E5" s="2576" t="str">
        <f>'План 1-я неделя'!BL6</f>
        <v/>
      </c>
      <c r="F5" s="2165" t="str">
        <f>'План 1-я неделя'!BN6</f>
        <v/>
      </c>
      <c r="G5" s="95">
        <f>'План 1-я неделя'!BP6+F5</f>
        <v>122</v>
      </c>
      <c r="H5" s="2584">
        <f t="shared" si="1"/>
        <v>19276</v>
      </c>
      <c r="I5" s="2587">
        <f>'План 1-я неделя'!BQ6</f>
        <v>0</v>
      </c>
      <c r="J5" s="2590">
        <f t="shared" si="2"/>
        <v>0</v>
      </c>
      <c r="K5" s="195">
        <f t="shared" si="3"/>
        <v>122</v>
      </c>
      <c r="L5" s="145">
        <v>3928.0</v>
      </c>
      <c r="M5" s="1268" t="s">
        <v>2026</v>
      </c>
      <c r="N5" s="2593">
        <v>154.0</v>
      </c>
      <c r="O5" s="145" t="s">
        <v>3329</v>
      </c>
      <c r="P5" s="2579"/>
      <c r="Q5" s="2579"/>
      <c r="R5" s="145">
        <v>822.0</v>
      </c>
      <c r="S5" s="1268" t="s">
        <v>136</v>
      </c>
      <c r="T5" s="1268" t="s">
        <v>3436</v>
      </c>
    </row>
    <row r="6">
      <c r="A6" s="962">
        <f>'План 1-я неделя'!B7</f>
        <v>3076</v>
      </c>
      <c r="B6" s="962">
        <f>'План 1-я неделя'!C7</f>
        <v>98</v>
      </c>
      <c r="C6" s="962" t="str">
        <f>'План 1-я неделя'!D7</f>
        <v>Салат</v>
      </c>
      <c r="D6" s="962" t="str">
        <f>'План 1-я неделя'!E7</f>
        <v>Салат ''Оливье'' (колбаса варен)</v>
      </c>
      <c r="E6" s="2576">
        <f>'План 1-я неделя'!BL7</f>
        <v>44</v>
      </c>
      <c r="F6" s="2165">
        <f>'План 1-я неделя'!BN7</f>
        <v>5</v>
      </c>
      <c r="G6" s="95">
        <f>'План 1-я неделя'!BP7+F6</f>
        <v>135</v>
      </c>
      <c r="H6" s="2584">
        <f t="shared" si="1"/>
        <v>13230</v>
      </c>
      <c r="I6" s="2587">
        <f>'План 1-я неделя'!BQ7</f>
        <v>0</v>
      </c>
      <c r="J6" s="2590">
        <f t="shared" si="2"/>
        <v>0</v>
      </c>
      <c r="K6" s="195">
        <f t="shared" si="3"/>
        <v>86</v>
      </c>
      <c r="O6" s="2579"/>
      <c r="P6" s="2579"/>
      <c r="Q6" s="2579"/>
      <c r="R6" s="145">
        <v>1025.0</v>
      </c>
      <c r="S6" s="1268" t="s">
        <v>959</v>
      </c>
      <c r="T6" s="1268" t="s">
        <v>3436</v>
      </c>
    </row>
    <row r="7">
      <c r="A7" s="962">
        <f>'План 1-я неделя'!B8</f>
        <v>4009</v>
      </c>
      <c r="B7" s="962">
        <f>'План 1-я неделя'!C8</f>
        <v>98</v>
      </c>
      <c r="C7" s="962" t="str">
        <f>'План 1-я неделя'!D8</f>
        <v>Салат</v>
      </c>
      <c r="D7" s="962" t="str">
        <f>'План 1-я неделя'!E8</f>
        <v>Салат "Маковый" (курица, мак)</v>
      </c>
      <c r="E7" s="2576">
        <f>'План 1-я неделя'!BL8</f>
        <v>43</v>
      </c>
      <c r="F7" s="2165" t="str">
        <f>'План 1-я неделя'!BN8</f>
        <v/>
      </c>
      <c r="G7" s="95">
        <f>'План 1-я неделя'!BP8+F7</f>
        <v>108</v>
      </c>
      <c r="H7" s="2584">
        <f t="shared" si="1"/>
        <v>10584</v>
      </c>
      <c r="I7" s="2587">
        <f>'План 1-я неделя'!BQ8</f>
        <v>0</v>
      </c>
      <c r="J7" s="2590">
        <f t="shared" si="2"/>
        <v>0</v>
      </c>
      <c r="K7" s="195">
        <f t="shared" si="3"/>
        <v>65</v>
      </c>
      <c r="L7" s="2574" t="s">
        <v>1283</v>
      </c>
      <c r="M7" s="2574" t="s">
        <v>1430</v>
      </c>
      <c r="N7" s="2574" t="s">
        <v>3415</v>
      </c>
      <c r="O7" s="2574" t="s">
        <v>3416</v>
      </c>
      <c r="P7" s="2579"/>
      <c r="Q7" s="2579"/>
      <c r="R7" s="145">
        <v>1474.0</v>
      </c>
      <c r="S7" s="1268" t="s">
        <v>1035</v>
      </c>
      <c r="T7" s="1268" t="s">
        <v>3436</v>
      </c>
    </row>
    <row r="8">
      <c r="A8" s="962">
        <f>'План 1-я неделя'!B9</f>
        <v>3170</v>
      </c>
      <c r="B8" s="962">
        <f>'План 1-я неделя'!C9</f>
        <v>98</v>
      </c>
      <c r="C8" s="962" t="str">
        <f>'План 1-я неделя'!D9</f>
        <v>Салат</v>
      </c>
      <c r="D8" s="962" t="str">
        <f>'План 1-я неделя'!E9</f>
        <v>Салат ''Фунчоза'' 120 г</v>
      </c>
      <c r="E8" s="2576">
        <f>'План 1-я неделя'!BL9</f>
        <v>43</v>
      </c>
      <c r="F8" s="2165">
        <f>'План 1-я неделя'!BN9</f>
        <v>5</v>
      </c>
      <c r="G8" s="95">
        <f>'План 1-я неделя'!BP9+F8</f>
        <v>138</v>
      </c>
      <c r="H8" s="2584">
        <f t="shared" si="1"/>
        <v>13524</v>
      </c>
      <c r="I8" s="2587">
        <f>'План 1-я неделя'!BQ9</f>
        <v>0</v>
      </c>
      <c r="J8" s="2590">
        <f t="shared" si="2"/>
        <v>0</v>
      </c>
      <c r="K8" s="195">
        <f t="shared" si="3"/>
        <v>90</v>
      </c>
      <c r="L8" s="145">
        <v>487.0</v>
      </c>
      <c r="M8" s="1268" t="s">
        <v>1443</v>
      </c>
      <c r="N8" s="145">
        <v>41.1</v>
      </c>
      <c r="O8" s="145" t="s">
        <v>3429</v>
      </c>
      <c r="P8" s="2579"/>
      <c r="Q8" s="2579"/>
      <c r="R8" s="145">
        <v>2079.0</v>
      </c>
      <c r="S8" s="1268" t="s">
        <v>361</v>
      </c>
      <c r="T8" s="1268" t="s">
        <v>3436</v>
      </c>
    </row>
    <row r="9">
      <c r="A9" s="962">
        <f>'План 1-я неделя'!B10</f>
        <v>2621</v>
      </c>
      <c r="B9" s="962">
        <f>'План 1-я неделя'!C10</f>
        <v>244</v>
      </c>
      <c r="C9" s="962" t="str">
        <f>'План 1-я неделя'!D10</f>
        <v>Премиум</v>
      </c>
      <c r="D9" s="962" t="str">
        <f>'План 1-я неделя'!E10</f>
        <v>Салат ''Цезарь с курицей''</v>
      </c>
      <c r="E9" s="2576" t="str">
        <f>'План 1-я неделя'!BL10</f>
        <v/>
      </c>
      <c r="F9" s="2165" t="str">
        <f>'План 1-я неделя'!BN10</f>
        <v/>
      </c>
      <c r="G9" s="95">
        <f>'План 1-я неделя'!BP10+F9</f>
        <v>66</v>
      </c>
      <c r="H9" s="2584">
        <f t="shared" si="1"/>
        <v>16104</v>
      </c>
      <c r="I9" s="2587">
        <f>'План 1-я неделя'!BQ10</f>
        <v>0</v>
      </c>
      <c r="J9" s="2590">
        <f t="shared" si="2"/>
        <v>0</v>
      </c>
      <c r="K9" s="195">
        <f t="shared" si="3"/>
        <v>66</v>
      </c>
      <c r="L9" s="145">
        <v>2247.0</v>
      </c>
      <c r="M9" s="1268" t="s">
        <v>1441</v>
      </c>
      <c r="N9" s="145">
        <v>29.8</v>
      </c>
      <c r="O9" s="145" t="s">
        <v>3429</v>
      </c>
      <c r="P9" s="2579"/>
      <c r="Q9" s="2579"/>
      <c r="R9" s="145">
        <v>2203.0</v>
      </c>
      <c r="S9" s="1268" t="s">
        <v>1167</v>
      </c>
      <c r="T9" s="1268" t="s">
        <v>3436</v>
      </c>
    </row>
    <row r="10">
      <c r="A10" s="962">
        <f>'План 1-я неделя'!B11</f>
        <v>2203</v>
      </c>
      <c r="B10" s="962">
        <f>'План 1-я неделя'!C11</f>
        <v>96</v>
      </c>
      <c r="C10" s="962" t="str">
        <f>'План 1-я неделя'!D11</f>
        <v>Суп</v>
      </c>
      <c r="D10" s="962" t="str">
        <f>'План 1-я неделя'!E11</f>
        <v>Борщ с мясом</v>
      </c>
      <c r="E10" s="2576">
        <f>'План 1-я неделя'!BL11</f>
        <v>120</v>
      </c>
      <c r="F10" s="2165">
        <f>'План 1-я неделя'!BN11</f>
        <v>15</v>
      </c>
      <c r="G10" s="95">
        <f>'План 1-я неделя'!BP11+F10</f>
        <v>136</v>
      </c>
      <c r="H10" s="2584">
        <f t="shared" si="1"/>
        <v>13056</v>
      </c>
      <c r="I10" s="2587">
        <f>'План 1-я неделя'!BQ11</f>
        <v>0</v>
      </c>
      <c r="J10" s="2590">
        <f t="shared" si="2"/>
        <v>0</v>
      </c>
      <c r="K10" s="195">
        <f t="shared" si="3"/>
        <v>1</v>
      </c>
      <c r="L10" s="145">
        <v>2264.0</v>
      </c>
      <c r="M10" s="1268" t="s">
        <v>1447</v>
      </c>
      <c r="N10" s="145">
        <v>28.8</v>
      </c>
      <c r="O10" s="145" t="s">
        <v>3429</v>
      </c>
      <c r="P10" s="2579"/>
      <c r="Q10" s="2579"/>
      <c r="R10" s="145">
        <v>2847.0</v>
      </c>
      <c r="S10" s="1268" t="s">
        <v>999</v>
      </c>
      <c r="T10" s="1268" t="s">
        <v>3436</v>
      </c>
    </row>
    <row r="11">
      <c r="A11" s="962">
        <f>'План 1-я неделя'!B12</f>
        <v>100</v>
      </c>
      <c r="B11" s="962">
        <f>'План 1-я неделя'!C12</f>
        <v>90</v>
      </c>
      <c r="C11" s="962" t="str">
        <f>'План 1-я неделя'!D12</f>
        <v>Суп</v>
      </c>
      <c r="D11" s="962" t="str">
        <f>'План 1-я неделя'!E12</f>
        <v>Крем-суп овощной с курицей</v>
      </c>
      <c r="E11" s="2576" t="str">
        <f>'План 1-я неделя'!BL12</f>
        <v/>
      </c>
      <c r="F11" s="2165">
        <f>'План 1-я неделя'!BN12</f>
        <v>10</v>
      </c>
      <c r="G11" s="95">
        <f>'План 1-я неделя'!BP12+F11</f>
        <v>78</v>
      </c>
      <c r="H11" s="2584">
        <f t="shared" si="1"/>
        <v>7020</v>
      </c>
      <c r="I11" s="2598">
        <f>'План 1-я неделя'!BQ12</f>
        <v>0</v>
      </c>
      <c r="J11" s="2590">
        <f t="shared" si="2"/>
        <v>0</v>
      </c>
      <c r="K11" s="195">
        <f t="shared" si="3"/>
        <v>68</v>
      </c>
      <c r="O11" s="2579"/>
      <c r="P11" s="2579"/>
      <c r="Q11" s="2579"/>
      <c r="R11" s="145">
        <v>2931.0</v>
      </c>
      <c r="S11" s="1268" t="s">
        <v>508</v>
      </c>
      <c r="T11" s="1268" t="s">
        <v>3436</v>
      </c>
    </row>
    <row r="12">
      <c r="A12" s="962">
        <f>'План 1-я неделя'!B13</f>
        <v>4233</v>
      </c>
      <c r="B12" s="962">
        <f>'План 1-я неделя'!C13</f>
        <v>211</v>
      </c>
      <c r="C12" s="962" t="str">
        <f>'План 1-я неделя'!D13</f>
        <v>Второе</v>
      </c>
      <c r="D12" s="962" t="str">
        <f>'План 1-я неделя'!E13</f>
        <v>Свинина с тмином с тушеной капустой </v>
      </c>
      <c r="E12" s="2576">
        <f>'План 1-я неделя'!BL13</f>
        <v>25</v>
      </c>
      <c r="F12" s="2165">
        <f>'План 1-я неделя'!BN13</f>
        <v>10</v>
      </c>
      <c r="G12" s="95">
        <f>'План 1-я неделя'!BP13+F12</f>
        <v>108</v>
      </c>
      <c r="H12" s="2584">
        <f t="shared" si="1"/>
        <v>22788</v>
      </c>
      <c r="I12" s="2587">
        <f>'План 1-я неделя'!BQ13</f>
        <v>0</v>
      </c>
      <c r="J12" s="2590">
        <f t="shared" si="2"/>
        <v>0</v>
      </c>
      <c r="K12" s="195">
        <f t="shared" si="3"/>
        <v>73</v>
      </c>
      <c r="O12" s="2579"/>
      <c r="P12" s="2579"/>
      <c r="Q12" s="2579"/>
      <c r="R12" s="145">
        <v>3076.0</v>
      </c>
      <c r="S12" s="1268" t="s">
        <v>89</v>
      </c>
      <c r="T12" s="1268" t="s">
        <v>3436</v>
      </c>
    </row>
    <row r="13">
      <c r="A13" s="962">
        <f>'План 1-я неделя'!B14</f>
        <v>4014</v>
      </c>
      <c r="B13" s="962">
        <f>'План 1-я неделя'!C14</f>
        <v>241</v>
      </c>
      <c r="C13" s="962" t="str">
        <f>'План 1-я неделя'!D14</f>
        <v>Второе</v>
      </c>
      <c r="D13" s="962" t="str">
        <f>'План 1-я неделя'!E14</f>
        <v>Филе с сыром и печеным картофелем </v>
      </c>
      <c r="E13" s="2576" t="str">
        <f>'План 1-я неделя'!BL14</f>
        <v/>
      </c>
      <c r="F13" s="2165" t="str">
        <f>'План 1-я неделя'!BN14</f>
        <v/>
      </c>
      <c r="G13" s="95">
        <f>'План 1-я неделя'!BP14+F13</f>
        <v>158</v>
      </c>
      <c r="H13" s="2584">
        <f t="shared" si="1"/>
        <v>38078</v>
      </c>
      <c r="I13" s="2598">
        <f>'План 1-я неделя'!BQ14</f>
        <v>0</v>
      </c>
      <c r="J13" s="2590">
        <f t="shared" si="2"/>
        <v>0</v>
      </c>
      <c r="K13" s="195">
        <f t="shared" si="3"/>
        <v>158</v>
      </c>
      <c r="R13" s="145">
        <v>3194.0</v>
      </c>
      <c r="S13" s="1268" t="s">
        <v>1031</v>
      </c>
      <c r="T13" s="1268" t="s">
        <v>3436</v>
      </c>
    </row>
    <row r="14">
      <c r="A14" s="962">
        <f>'План 1-я неделя'!B15</f>
        <v>4196</v>
      </c>
      <c r="B14" s="962">
        <f>'План 1-я неделя'!C15</f>
        <v>243</v>
      </c>
      <c r="C14" s="962" t="str">
        <f>'План 1-я неделя'!D15</f>
        <v>Второе</v>
      </c>
      <c r="D14" s="962" t="str">
        <f>'План 1-я неделя'!E15</f>
        <v>Филе с сыром и макаронами</v>
      </c>
      <c r="E14" s="2576">
        <f>'План 1-я неделя'!BL15</f>
        <v>80</v>
      </c>
      <c r="F14" s="2165">
        <f>'План 1-я неделя'!BN15</f>
        <v>10</v>
      </c>
      <c r="G14" s="95">
        <f>'План 1-я неделя'!BP15+F14</f>
        <v>91</v>
      </c>
      <c r="H14" s="2584">
        <f t="shared" si="1"/>
        <v>22113</v>
      </c>
      <c r="I14" s="2587">
        <f>'План 1-я неделя'!BQ15</f>
        <v>0</v>
      </c>
      <c r="J14" s="2590">
        <f t="shared" si="2"/>
        <v>0</v>
      </c>
      <c r="K14" s="195">
        <f t="shared" si="3"/>
        <v>1</v>
      </c>
      <c r="R14" s="145">
        <v>3233.0</v>
      </c>
      <c r="S14" s="1268" t="s">
        <v>131</v>
      </c>
      <c r="T14" s="1268" t="s">
        <v>3436</v>
      </c>
    </row>
    <row r="15">
      <c r="A15" s="962">
        <f>'План 1-я неделя'!B16</f>
        <v>4324</v>
      </c>
      <c r="B15" s="962">
        <f>'План 1-я неделя'!C16</f>
        <v>208</v>
      </c>
      <c r="C15" s="962" t="str">
        <f>'План 1-я неделя'!D16</f>
        <v>Второе</v>
      </c>
      <c r="D15" s="962" t="str">
        <f>'План 1-я неделя'!E16</f>
        <v>Спагетти в сливочном соусе с грибами</v>
      </c>
      <c r="E15" s="2576" t="str">
        <f>'План 1-я неделя'!BL16</f>
        <v/>
      </c>
      <c r="F15" s="2165">
        <f>'План 1-я неделя'!BN16</f>
        <v>10</v>
      </c>
      <c r="G15" s="95">
        <f>'План 1-я неделя'!BP16+F15</f>
        <v>151</v>
      </c>
      <c r="H15" s="2584">
        <f t="shared" si="1"/>
        <v>31408</v>
      </c>
      <c r="I15" s="2598">
        <f>'План 1-я неделя'!BQ16</f>
        <v>0</v>
      </c>
      <c r="J15" s="2590">
        <f t="shared" si="2"/>
        <v>0</v>
      </c>
      <c r="K15" s="195">
        <f t="shared" si="3"/>
        <v>141</v>
      </c>
      <c r="R15" s="145">
        <v>3408.0</v>
      </c>
      <c r="S15" s="1268" t="s">
        <v>1204</v>
      </c>
      <c r="T15" s="1268" t="s">
        <v>3436</v>
      </c>
    </row>
    <row r="16">
      <c r="A16" s="962">
        <f>'План 1-я неделя'!B17</f>
        <v>3054</v>
      </c>
      <c r="B16" s="962">
        <f>'План 1-я неделя'!C17</f>
        <v>198</v>
      </c>
      <c r="C16" s="962" t="str">
        <f>'План 1-я неделя'!D17</f>
        <v>Второе</v>
      </c>
      <c r="D16" s="962" t="str">
        <f>'План 1-я неделя'!E17</f>
        <v>Минтай под овощами с рисом</v>
      </c>
      <c r="E16" s="2576">
        <f>'План 1-я неделя'!BL17</f>
        <v>25</v>
      </c>
      <c r="F16" s="2165" t="str">
        <f>'План 1-я неделя'!BN17</f>
        <v/>
      </c>
      <c r="G16" s="95">
        <f>'План 1-я неделя'!BP17+F16</f>
        <v>26</v>
      </c>
      <c r="H16" s="2584">
        <f t="shared" si="1"/>
        <v>5148</v>
      </c>
      <c r="I16" s="2598">
        <f>'План 1-я неделя'!BQ17</f>
        <v>0</v>
      </c>
      <c r="J16" s="2590">
        <f t="shared" si="2"/>
        <v>0</v>
      </c>
      <c r="K16" s="195">
        <f t="shared" si="3"/>
        <v>1</v>
      </c>
      <c r="R16" s="145">
        <v>3518.0</v>
      </c>
      <c r="S16" s="1268" t="s">
        <v>518</v>
      </c>
      <c r="T16" s="1268" t="s">
        <v>3436</v>
      </c>
    </row>
    <row r="17">
      <c r="A17" s="962">
        <f>'План 1-я неделя'!B18</f>
        <v>3239</v>
      </c>
      <c r="B17" s="962">
        <f>'План 1-я неделя'!C18</f>
        <v>215</v>
      </c>
      <c r="C17" s="962" t="str">
        <f>'План 1-я неделя'!D18</f>
        <v>Второе</v>
      </c>
      <c r="D17" s="962" t="str">
        <f>'План 1-я неделя'!E18</f>
        <v>Минтай под овощами с рисом Радуга</v>
      </c>
      <c r="E17" s="2576" t="str">
        <f>'План 1-я неделя'!BL18</f>
        <v/>
      </c>
      <c r="F17" s="2165" t="str">
        <f>'План 1-я неделя'!BN18</f>
        <v/>
      </c>
      <c r="G17" s="95">
        <f>'План 1-я неделя'!BP18+F17</f>
        <v>93</v>
      </c>
      <c r="H17" s="2584">
        <f t="shared" si="1"/>
        <v>19995</v>
      </c>
      <c r="I17" s="2598">
        <f>'План 1-я неделя'!BQ18</f>
        <v>0</v>
      </c>
      <c r="J17" s="2590">
        <f t="shared" si="2"/>
        <v>0</v>
      </c>
      <c r="K17" s="195">
        <f t="shared" si="3"/>
        <v>93</v>
      </c>
      <c r="R17" s="145">
        <v>3624.0</v>
      </c>
      <c r="S17" s="1268" t="s">
        <v>965</v>
      </c>
      <c r="T17" s="1268" t="s">
        <v>1437</v>
      </c>
    </row>
    <row r="18">
      <c r="A18" s="962">
        <f>'План 1-я неделя'!B19</f>
        <v>4283</v>
      </c>
      <c r="B18" s="962">
        <f>'План 1-я неделя'!C19</f>
        <v>288</v>
      </c>
      <c r="C18" s="962" t="str">
        <f>'План 1-я неделя'!D19</f>
        <v>Премиум</v>
      </c>
      <c r="D18" s="962" t="str">
        <f>'План 1-я неделя'!E19</f>
        <v>Плов ташкентский с говядиной</v>
      </c>
      <c r="E18" s="2576" t="str">
        <f>'План 1-я неделя'!BL19</f>
        <v/>
      </c>
      <c r="F18" s="2165" t="str">
        <f>'План 1-я неделя'!BN19</f>
        <v/>
      </c>
      <c r="G18" s="95">
        <f>'План 1-я неделя'!BP19+F18</f>
        <v>66</v>
      </c>
      <c r="H18" s="2584">
        <f t="shared" si="1"/>
        <v>19008</v>
      </c>
      <c r="I18" s="2598">
        <f>'План 1-я неделя'!BQ19</f>
        <v>0</v>
      </c>
      <c r="J18" s="2590">
        <f t="shared" si="2"/>
        <v>0</v>
      </c>
      <c r="K18" s="195"/>
      <c r="R18" s="145">
        <v>3679.0</v>
      </c>
      <c r="S18" s="1268" t="s">
        <v>784</v>
      </c>
      <c r="T18" s="1268" t="s">
        <v>3436</v>
      </c>
    </row>
    <row r="19">
      <c r="A19" s="962" t="str">
        <f>'План 1-я неделя'!B20</f>
        <v/>
      </c>
      <c r="B19" s="962" t="str">
        <f>'План 1-я неделя'!C20</f>
        <v/>
      </c>
      <c r="C19" s="962" t="str">
        <f>'План 1-я неделя'!D20</f>
        <v/>
      </c>
      <c r="D19" s="962" t="str">
        <f>'План 1-я неделя'!E20</f>
        <v/>
      </c>
      <c r="E19" s="2576" t="str">
        <f>'План 1-я неделя'!BL20</f>
        <v/>
      </c>
      <c r="F19" s="2165" t="str">
        <f>'План 1-я неделя'!BN20</f>
        <v/>
      </c>
      <c r="G19" s="95">
        <f>'План 1-я неделя'!BP20+F19</f>
        <v>1</v>
      </c>
      <c r="H19" s="2584">
        <f t="shared" si="1"/>
        <v>0</v>
      </c>
      <c r="I19" s="2598">
        <f>'План 1-я неделя'!BQ20</f>
        <v>0</v>
      </c>
      <c r="J19" s="2590">
        <f t="shared" si="2"/>
        <v>0</v>
      </c>
      <c r="K19" s="195"/>
      <c r="R19" s="145">
        <v>3779.0</v>
      </c>
      <c r="S19" s="1268" t="s">
        <v>1233</v>
      </c>
      <c r="T19" s="1268" t="s">
        <v>3436</v>
      </c>
    </row>
    <row r="20">
      <c r="A20" s="962">
        <f>'План 1-я неделя'!B21</f>
        <v>33</v>
      </c>
      <c r="B20" s="962">
        <f>'План 1-я неделя'!C21</f>
        <v>155</v>
      </c>
      <c r="C20" s="962" t="str">
        <f>'План 1-я неделя'!D21</f>
        <v>Сэндвич</v>
      </c>
      <c r="D20" s="962" t="str">
        <f>'План 1-я неделя'!E21</f>
        <v>Сэндвич с копчёной курицей и сыром</v>
      </c>
      <c r="E20" s="2576" t="str">
        <f>'План 1-я неделя'!BL21</f>
        <v/>
      </c>
      <c r="F20" s="2165" t="str">
        <f>'План 1-я неделя'!BN21</f>
        <v/>
      </c>
      <c r="G20" s="95">
        <f>'План 1-я неделя'!BP21+F20</f>
        <v>111</v>
      </c>
      <c r="H20" s="2584">
        <f t="shared" si="1"/>
        <v>17205</v>
      </c>
      <c r="I20" s="2587">
        <f>'План 1-я неделя'!BQ21</f>
        <v>0</v>
      </c>
      <c r="J20" s="2590">
        <f t="shared" si="2"/>
        <v>0</v>
      </c>
      <c r="K20" s="195">
        <f t="shared" ref="K20:K23" si="4">G20-E20-F20</f>
        <v>111</v>
      </c>
      <c r="R20" s="145">
        <v>3810.0</v>
      </c>
      <c r="S20" s="1268" t="s">
        <v>1534</v>
      </c>
      <c r="T20" s="1268" t="s">
        <v>3436</v>
      </c>
    </row>
    <row r="21">
      <c r="A21" s="962">
        <f>'План 1-я неделя'!B22</f>
        <v>5</v>
      </c>
      <c r="B21" s="962">
        <f>'План 1-я неделя'!C22</f>
        <v>155</v>
      </c>
      <c r="C21" s="962" t="str">
        <f>'План 1-я неделя'!D22</f>
        <v>Сэндвич</v>
      </c>
      <c r="D21" s="962" t="str">
        <f>'План 1-я неделя'!E22</f>
        <v>Сэндвич с ветчиной и сыром</v>
      </c>
      <c r="E21" s="2576" t="str">
        <f>'План 1-я неделя'!BL22</f>
        <v/>
      </c>
      <c r="F21" s="2165" t="str">
        <f>'План 1-я неделя'!BN22</f>
        <v/>
      </c>
      <c r="G21" s="95">
        <f>'План 1-я неделя'!BP22+F21</f>
        <v>147</v>
      </c>
      <c r="H21" s="2584">
        <f t="shared" si="1"/>
        <v>22785</v>
      </c>
      <c r="I21" s="2587">
        <f>'План 1-я неделя'!BQ22</f>
        <v>0</v>
      </c>
      <c r="J21" s="2590">
        <f t="shared" si="2"/>
        <v>0</v>
      </c>
      <c r="K21" s="195">
        <f t="shared" si="4"/>
        <v>147</v>
      </c>
    </row>
    <row r="22">
      <c r="A22" s="962">
        <f>'План 1-я неделя'!B23</f>
        <v>3738</v>
      </c>
      <c r="B22" s="962">
        <f>'План 1-я неделя'!C23</f>
        <v>173</v>
      </c>
      <c r="C22" s="962" t="str">
        <f>'План 1-я неделя'!D23</f>
        <v>Япония</v>
      </c>
      <c r="D22" s="962" t="str">
        <f>'План 1-я неделя'!E23</f>
        <v>Ролл сэндвич с крабом</v>
      </c>
      <c r="E22" s="2576" t="str">
        <f>'План 1-я неделя'!BL23</f>
        <v/>
      </c>
      <c r="F22" s="2165" t="str">
        <f>'План 1-я неделя'!BN23</f>
        <v/>
      </c>
      <c r="G22" s="95">
        <f>'План 1-я неделя'!BP23+F22</f>
        <v>66</v>
      </c>
      <c r="H22" s="2584">
        <f t="shared" si="1"/>
        <v>11418</v>
      </c>
      <c r="I22" s="2598">
        <f>'План 1-я неделя'!BQ23</f>
        <v>0</v>
      </c>
      <c r="J22" s="2590">
        <f t="shared" si="2"/>
        <v>0</v>
      </c>
      <c r="K22" s="195">
        <f t="shared" si="4"/>
        <v>66</v>
      </c>
    </row>
    <row r="23">
      <c r="A23" s="962" t="str">
        <f>'План 1-я неделя'!B24</f>
        <v/>
      </c>
      <c r="B23" s="962" t="str">
        <f>'План 1-я неделя'!C24</f>
        <v/>
      </c>
      <c r="C23" s="962" t="str">
        <f>'План 1-я неделя'!D24</f>
        <v/>
      </c>
      <c r="D23" s="962" t="str">
        <f>'План 1-я неделя'!E24</f>
        <v/>
      </c>
      <c r="E23" s="2576" t="str">
        <f>'План 1-я неделя'!BL24</f>
        <v/>
      </c>
      <c r="F23" s="2165" t="str">
        <f>'План 1-я неделя'!BN24</f>
        <v/>
      </c>
      <c r="G23" s="95">
        <f>'План 1-я неделя'!BP24+F23</f>
        <v>1</v>
      </c>
      <c r="H23" s="2584">
        <f t="shared" si="1"/>
        <v>0</v>
      </c>
      <c r="I23" s="2587">
        <f>'План 1-я неделя'!BQ24</f>
        <v>0</v>
      </c>
      <c r="J23" s="2590">
        <f t="shared" si="2"/>
        <v>0</v>
      </c>
      <c r="K23" s="195">
        <f t="shared" si="4"/>
        <v>1</v>
      </c>
    </row>
    <row r="24">
      <c r="A24" s="962">
        <f>'План 1-я неделя'!B25</f>
        <v>2079</v>
      </c>
      <c r="B24" s="962">
        <f>'План 1-я неделя'!C25</f>
        <v>105</v>
      </c>
      <c r="C24" s="962" t="str">
        <f>'План 1-я неделя'!D25</f>
        <v>Выпечка</v>
      </c>
      <c r="D24" s="962" t="str">
        <f>'План 1-я неделя'!E25</f>
        <v>Вафельная трубочка с вареной сгущенкой</v>
      </c>
      <c r="E24" s="2576" t="str">
        <f>'План 1-я неделя'!BL25</f>
        <v/>
      </c>
      <c r="F24" s="2165" t="str">
        <f>'План 1-я неделя'!BN25</f>
        <v/>
      </c>
      <c r="G24" s="95">
        <f>'План 1-я неделя'!BP25+F24</f>
        <v>271</v>
      </c>
      <c r="H24" s="2584">
        <f t="shared" si="1"/>
        <v>28455</v>
      </c>
      <c r="I24" s="2587">
        <f>'План 1-я неделя'!BQ25</f>
        <v>0</v>
      </c>
      <c r="J24" s="2590">
        <f t="shared" si="2"/>
        <v>0</v>
      </c>
      <c r="K24" s="195"/>
    </row>
    <row r="25">
      <c r="A25" s="962">
        <f>'План 1-я неделя'!B26</f>
        <v>3518</v>
      </c>
      <c r="B25" s="962">
        <f>'План 1-я неделя'!C26</f>
        <v>85</v>
      </c>
      <c r="C25" s="962" t="str">
        <f>'План 1-я неделя'!D26</f>
        <v>Выпечка</v>
      </c>
      <c r="D25" s="962" t="str">
        <f>'План 1-я неделя'!E26</f>
        <v>Слойка ''Нежная'' с сыром 100 г</v>
      </c>
      <c r="E25" s="2576" t="str">
        <f>'План 1-я неделя'!BL26</f>
        <v/>
      </c>
      <c r="F25" s="2165" t="str">
        <f>'План 1-я неделя'!BN26</f>
        <v/>
      </c>
      <c r="G25" s="95">
        <f>'План 1-я неделя'!BP26+F25</f>
        <v>1</v>
      </c>
      <c r="H25" s="2584">
        <f t="shared" si="1"/>
        <v>85</v>
      </c>
      <c r="I25" s="2587">
        <f>'План 1-я неделя'!BQ26</f>
        <v>0</v>
      </c>
      <c r="J25" s="2590">
        <f t="shared" si="2"/>
        <v>0</v>
      </c>
      <c r="K25" s="195"/>
    </row>
    <row r="26">
      <c r="A26" s="962">
        <f>'План 1-я неделя'!B27</f>
        <v>3999</v>
      </c>
      <c r="B26" s="962">
        <f>'План 1-я неделя'!C27</f>
        <v>98</v>
      </c>
      <c r="C26" s="962" t="str">
        <f>'План 1-я неделя'!D27</f>
        <v>Япония</v>
      </c>
      <c r="D26" s="962" t="str">
        <f>'План 1-я неделя'!E27</f>
        <v>Морс ягодный 0,5 л</v>
      </c>
      <c r="E26" s="2576" t="str">
        <f>'План 1-я неделя'!BL27</f>
        <v/>
      </c>
      <c r="F26" s="2165" t="str">
        <f>'План 1-я неделя'!BN27</f>
        <v/>
      </c>
      <c r="G26" s="95">
        <f>'План 1-я неделя'!BP27+F26</f>
        <v>183</v>
      </c>
      <c r="H26" s="2584">
        <f t="shared" si="1"/>
        <v>17934</v>
      </c>
      <c r="I26" s="2587">
        <f>'План 1-я неделя'!BQ27</f>
        <v>0</v>
      </c>
      <c r="J26" s="2590">
        <f t="shared" si="2"/>
        <v>0</v>
      </c>
      <c r="K26" s="195"/>
    </row>
    <row r="27">
      <c r="A27" s="962">
        <f>'План 1-я неделя'!B28</f>
        <v>822</v>
      </c>
      <c r="B27" s="962">
        <f>'План 1-я неделя'!C28</f>
        <v>5</v>
      </c>
      <c r="C27" s="962" t="str">
        <f>'План 1-я неделя'!D28</f>
        <v>Выпечка</v>
      </c>
      <c r="D27" s="962" t="str">
        <f>'План 1-я неделя'!E28</f>
        <v>Хлеб пшеничный</v>
      </c>
      <c r="E27" s="2576">
        <f>'План 1-я неделя'!BL28</f>
        <v>125</v>
      </c>
      <c r="F27" s="2165" t="str">
        <f>'План 1-я неделя'!BN28</f>
        <v/>
      </c>
      <c r="G27" s="95">
        <f>'План 1-я неделя'!BP28+F27</f>
        <v>238</v>
      </c>
      <c r="H27" s="2584">
        <f t="shared" si="1"/>
        <v>1190</v>
      </c>
      <c r="I27" s="2587">
        <f>'План 1-я неделя'!BQ28</f>
        <v>0</v>
      </c>
      <c r="J27" s="2590">
        <f t="shared" si="2"/>
        <v>0</v>
      </c>
      <c r="K27" s="195">
        <f>G27-E27-F27</f>
        <v>113</v>
      </c>
    </row>
    <row r="28">
      <c r="A28" s="962" t="str">
        <f>'План 1-я неделя'!B29</f>
        <v/>
      </c>
      <c r="B28" s="962" t="str">
        <f>'План 1-я неделя'!C29</f>
        <v/>
      </c>
      <c r="C28" s="962" t="str">
        <f>'План 1-я неделя'!D29</f>
        <v/>
      </c>
      <c r="D28" s="962" t="str">
        <f>'План 1-я неделя'!E29</f>
        <v/>
      </c>
      <c r="E28" s="2576" t="str">
        <f>'План 1-я неделя'!BL29</f>
        <v/>
      </c>
      <c r="F28" s="2165" t="str">
        <f>'План 1-я неделя'!BN29</f>
        <v/>
      </c>
      <c r="G28" s="95">
        <f>'План 1-я неделя'!BP29+F28</f>
        <v>1</v>
      </c>
      <c r="H28" s="2584">
        <f t="shared" si="1"/>
        <v>0</v>
      </c>
      <c r="I28" s="2587">
        <f>'План 1-я неделя'!BQ29</f>
        <v>0</v>
      </c>
      <c r="J28" s="2590">
        <f t="shared" si="2"/>
        <v>0</v>
      </c>
      <c r="K28" s="195"/>
    </row>
    <row r="29">
      <c r="A29" s="962" t="str">
        <f>'План 1-я неделя'!B30</f>
        <v/>
      </c>
      <c r="B29" s="962" t="str">
        <f>'План 1-я неделя'!C30</f>
        <v/>
      </c>
      <c r="C29" s="962" t="str">
        <f>'План 1-я неделя'!D30</f>
        <v/>
      </c>
      <c r="D29" s="962" t="str">
        <f>'План 1-я неделя'!E30</f>
        <v/>
      </c>
      <c r="E29" s="2576" t="str">
        <f>'План 1-я неделя'!BL30</f>
        <v/>
      </c>
      <c r="F29" s="2165">
        <f>'План 1-я неделя'!BN30</f>
        <v>20</v>
      </c>
      <c r="G29" s="95">
        <f>'План 1-я неделя'!BP30+F29</f>
        <v>21</v>
      </c>
      <c r="H29" s="2584">
        <f t="shared" si="1"/>
        <v>0</v>
      </c>
      <c r="I29" s="2587">
        <f>'План 1-я неделя'!BQ30</f>
        <v>0</v>
      </c>
      <c r="J29" s="2590">
        <f t="shared" si="2"/>
        <v>0</v>
      </c>
      <c r="K29" s="195"/>
    </row>
    <row r="30">
      <c r="I30" s="2570"/>
      <c r="J30" s="2599"/>
      <c r="K30" s="195"/>
    </row>
    <row r="31">
      <c r="A31" s="2600" t="str">
        <f>'План 1-я неделя'!A64</f>
        <v>Дата:  </v>
      </c>
      <c r="B31" s="2601">
        <f>'План 1-я неделя'!D64</f>
        <v>46230</v>
      </c>
      <c r="C31" s="2600"/>
      <c r="D31" s="2600" t="str">
        <f>'План 1-я неделя'!E64</f>
        <v>План на день кухня   ПОНЕДЕЛЬНИК</v>
      </c>
      <c r="H31" s="1346">
        <f>SUM(H33:H59)</f>
        <v>352910</v>
      </c>
      <c r="I31" s="2570"/>
      <c r="J31" s="2572">
        <f>SUM(J33:J59)</f>
        <v>0</v>
      </c>
      <c r="K31" s="2573">
        <f>J31-H31</f>
        <v>-352910</v>
      </c>
      <c r="L31" s="2574" t="s">
        <v>1283</v>
      </c>
      <c r="M31" s="2574" t="s">
        <v>1428</v>
      </c>
      <c r="N31" s="2574" t="s">
        <v>3415</v>
      </c>
      <c r="O31" s="2574" t="s">
        <v>3416</v>
      </c>
      <c r="R31" s="2574" t="s">
        <v>1283</v>
      </c>
      <c r="S31" s="2574" t="s">
        <v>3283</v>
      </c>
      <c r="T31" s="2574" t="s">
        <v>3417</v>
      </c>
    </row>
    <row r="32">
      <c r="A32" s="2575" t="str">
        <f>'План 1-я неделя'!B65</f>
        <v>Код</v>
      </c>
      <c r="B32" s="2575" t="str">
        <f>'План 1-я неделя'!C65</f>
        <v>Цена</v>
      </c>
      <c r="C32" s="2575" t="str">
        <f>'План 1-я неделя'!D65</f>
        <v>категория</v>
      </c>
      <c r="D32" s="2575" t="str">
        <f>'План 1-я неделя'!E65</f>
        <v>Название блюда</v>
      </c>
      <c r="E32" s="2576" t="str">
        <f>'План 1-я неделя'!BL65</f>
        <v>ТСПК</v>
      </c>
      <c r="F32" s="2165" t="str">
        <f>'План 1-я неделя'!BN65</f>
        <v>Стол</v>
      </c>
      <c r="G32" s="2165" t="s">
        <v>3421</v>
      </c>
      <c r="H32" s="2165" t="s">
        <v>3422</v>
      </c>
      <c r="I32" s="2578" t="s">
        <v>3424</v>
      </c>
      <c r="J32" s="2578" t="s">
        <v>3425</v>
      </c>
      <c r="K32" s="195"/>
      <c r="L32" s="145">
        <v>1269.0</v>
      </c>
      <c r="M32" s="1268" t="s">
        <v>1474</v>
      </c>
      <c r="N32" s="2593">
        <v>130.0</v>
      </c>
      <c r="O32" s="145" t="s">
        <v>3329</v>
      </c>
      <c r="R32" s="145">
        <v>8.0</v>
      </c>
      <c r="S32" s="1268" t="s">
        <v>272</v>
      </c>
      <c r="T32" s="1268" t="s">
        <v>3436</v>
      </c>
    </row>
    <row r="33">
      <c r="A33" s="962">
        <f>'План 1-я неделя'!B66</f>
        <v>3196</v>
      </c>
      <c r="B33" s="962">
        <f>'План 1-я неделя'!C66</f>
        <v>97</v>
      </c>
      <c r="C33" s="962" t="str">
        <f>'План 1-я неделя'!D66</f>
        <v>Завтрак</v>
      </c>
      <c r="D33" s="962" t="str">
        <f>'План 1-я неделя'!E66</f>
        <v>Манник ''Маковый''</v>
      </c>
      <c r="E33" s="2576" t="str">
        <f>'План 1-я неделя'!BL66</f>
        <v/>
      </c>
      <c r="F33" s="2165" t="str">
        <f>'План 1-я неделя'!BN66</f>
        <v/>
      </c>
      <c r="G33" s="962">
        <f>'План 1-я неделя'!BP66+F33</f>
        <v>110</v>
      </c>
      <c r="H33" s="962">
        <f t="shared" ref="H33:H59" si="5">B33*G33</f>
        <v>10670</v>
      </c>
      <c r="I33" s="2587">
        <f>'План 1-я неделя'!BQ66</f>
        <v>0</v>
      </c>
      <c r="J33" s="2600">
        <f t="shared" ref="J33:J59" si="6">B33*I33</f>
        <v>0</v>
      </c>
      <c r="K33" s="195"/>
      <c r="L33" s="145">
        <v>2442.0</v>
      </c>
      <c r="M33" s="1268" t="s">
        <v>1602</v>
      </c>
      <c r="N33" s="2593">
        <v>168.0</v>
      </c>
      <c r="O33" s="145" t="s">
        <v>3329</v>
      </c>
      <c r="R33" s="145">
        <v>47.0</v>
      </c>
      <c r="S33" s="1268" t="s">
        <v>2586</v>
      </c>
      <c r="T33" s="1268" t="s">
        <v>3436</v>
      </c>
    </row>
    <row r="34">
      <c r="A34" s="962">
        <f>'План 1-я неделя'!B67</f>
        <v>4235</v>
      </c>
      <c r="B34" s="962">
        <f>'План 1-я неделя'!C67</f>
        <v>158</v>
      </c>
      <c r="C34" s="962" t="str">
        <f>'План 1-я неделя'!D67</f>
        <v>Завтрак</v>
      </c>
      <c r="D34" s="962" t="str">
        <f>'План 1-я неделя'!E67</f>
        <v>Киш с курицей</v>
      </c>
      <c r="E34" s="2576" t="str">
        <f>'План 1-я неделя'!BL67</f>
        <v/>
      </c>
      <c r="F34" s="2165" t="str">
        <f>'План 1-я неделя'!BN67</f>
        <v/>
      </c>
      <c r="G34" s="962">
        <f>'План 1-я неделя'!BP67+F34</f>
        <v>110</v>
      </c>
      <c r="H34" s="962">
        <f t="shared" si="5"/>
        <v>17380</v>
      </c>
      <c r="I34" s="2587">
        <f>'План 1-я неделя'!BQ67</f>
        <v>0</v>
      </c>
      <c r="J34" s="2600">
        <f t="shared" si="6"/>
        <v>0</v>
      </c>
      <c r="K34" s="195"/>
      <c r="L34" s="145">
        <v>3929.0</v>
      </c>
      <c r="M34" s="1268" t="s">
        <v>2669</v>
      </c>
      <c r="N34" s="145">
        <v>11.9</v>
      </c>
      <c r="O34" s="145" t="s">
        <v>3429</v>
      </c>
      <c r="R34" s="145">
        <v>54.0</v>
      </c>
      <c r="S34" s="1268" t="s">
        <v>554</v>
      </c>
      <c r="T34" s="1268" t="s">
        <v>3436</v>
      </c>
    </row>
    <row r="35">
      <c r="A35" s="962">
        <f>'План 1-я неделя'!B68</f>
        <v>4254</v>
      </c>
      <c r="B35" s="962">
        <f>'План 1-я неделя'!C68</f>
        <v>186</v>
      </c>
      <c r="C35" s="962" t="str">
        <f>'План 1-я неделя'!D68</f>
        <v>Завтрак</v>
      </c>
      <c r="D35" s="962" t="str">
        <f>'План 1-я неделя'!E68</f>
        <v>Творожный чизкейк </v>
      </c>
      <c r="E35" s="2576" t="str">
        <f>'План 1-я неделя'!BL68</f>
        <v/>
      </c>
      <c r="F35" s="2165" t="str">
        <f>'План 1-я неделя'!BN68</f>
        <v/>
      </c>
      <c r="G35" s="962">
        <f>'План 1-я неделя'!BP68+F35</f>
        <v>96</v>
      </c>
      <c r="H35" s="962">
        <f t="shared" si="5"/>
        <v>17856</v>
      </c>
      <c r="I35" s="2587">
        <f>'План 1-я неделя'!BQ68</f>
        <v>0</v>
      </c>
      <c r="J35" s="2600">
        <f t="shared" si="6"/>
        <v>0</v>
      </c>
      <c r="K35" s="195"/>
      <c r="L35" s="145">
        <v>3931.0</v>
      </c>
      <c r="M35" s="1268" t="s">
        <v>1594</v>
      </c>
      <c r="N35" s="2593">
        <v>9.0</v>
      </c>
      <c r="O35" s="145" t="s">
        <v>3429</v>
      </c>
      <c r="R35" s="145">
        <v>238.0</v>
      </c>
      <c r="S35" s="1268" t="s">
        <v>296</v>
      </c>
      <c r="T35" s="1268" t="s">
        <v>3436</v>
      </c>
    </row>
    <row r="36">
      <c r="A36" s="962">
        <f>'План 1-я неделя'!B69</f>
        <v>4024</v>
      </c>
      <c r="B36" s="962">
        <f>'План 1-я неделя'!C69</f>
        <v>98</v>
      </c>
      <c r="C36" s="962" t="str">
        <f>'План 1-я неделя'!D69</f>
        <v>Салат</v>
      </c>
      <c r="D36" s="962" t="str">
        <f>'План 1-я неделя'!E69</f>
        <v>Салат "Чешский" (колбаса п/к)</v>
      </c>
      <c r="E36" s="2576">
        <f>'План 1-я неделя'!BL69</f>
        <v>44</v>
      </c>
      <c r="F36" s="2165" t="str">
        <f>'План 1-я неделя'!BN69</f>
        <v/>
      </c>
      <c r="G36" s="962">
        <f>'План 1-я неделя'!BP69+F36</f>
        <v>113</v>
      </c>
      <c r="H36" s="962">
        <f t="shared" si="5"/>
        <v>11074</v>
      </c>
      <c r="I36" s="2587">
        <f>'План 1-я неделя'!BQ69</f>
        <v>0</v>
      </c>
      <c r="J36" s="2600">
        <f t="shared" si="6"/>
        <v>0</v>
      </c>
      <c r="K36" s="195"/>
      <c r="R36" s="145">
        <v>822.0</v>
      </c>
      <c r="S36" s="1268" t="s">
        <v>136</v>
      </c>
      <c r="T36" s="1268" t="s">
        <v>3436</v>
      </c>
    </row>
    <row r="37">
      <c r="A37" s="962">
        <f>'План 1-я неделя'!B70</f>
        <v>3379</v>
      </c>
      <c r="B37" s="962">
        <f>'План 1-я неделя'!C70</f>
        <v>98</v>
      </c>
      <c r="C37" s="962" t="str">
        <f>'План 1-я неделя'!D70</f>
        <v>Салат</v>
      </c>
      <c r="D37" s="962" t="str">
        <f>'План 1-я неделя'!E70</f>
        <v>Салат ''Зайка'' 120 г</v>
      </c>
      <c r="E37" s="2576">
        <f>'План 1-я неделя'!BL70</f>
        <v>43</v>
      </c>
      <c r="F37" s="2165" t="str">
        <f>'План 1-я неделя'!BN70</f>
        <v/>
      </c>
      <c r="G37" s="962">
        <f>'План 1-я неделя'!BP70+F37</f>
        <v>152</v>
      </c>
      <c r="H37" s="962">
        <f t="shared" si="5"/>
        <v>14896</v>
      </c>
      <c r="I37" s="2587">
        <f>'План 1-я неделя'!BQ70</f>
        <v>0</v>
      </c>
      <c r="J37" s="2600">
        <f t="shared" si="6"/>
        <v>0</v>
      </c>
      <c r="K37" s="195"/>
      <c r="L37" s="2574" t="s">
        <v>1283</v>
      </c>
      <c r="M37" s="2574" t="s">
        <v>1430</v>
      </c>
      <c r="N37" s="2574" t="s">
        <v>3415</v>
      </c>
      <c r="O37" s="2574" t="s">
        <v>3416</v>
      </c>
      <c r="R37" s="145">
        <v>1128.0</v>
      </c>
      <c r="S37" s="1268" t="s">
        <v>961</v>
      </c>
      <c r="T37" s="1268" t="s">
        <v>3436</v>
      </c>
    </row>
    <row r="38">
      <c r="A38" s="962">
        <f>'План 1-я неделя'!B71</f>
        <v>3244</v>
      </c>
      <c r="B38" s="962">
        <f>'План 1-я неделя'!C71</f>
        <v>98</v>
      </c>
      <c r="C38" s="962" t="str">
        <f>'План 1-я неделя'!D71</f>
        <v>Салат</v>
      </c>
      <c r="D38" s="962" t="str">
        <f>'План 1-я неделя'!E71</f>
        <v>Салат ''Крабик'' с рисом</v>
      </c>
      <c r="E38" s="2576">
        <f>'План 1-я неделя'!BL71</f>
        <v>43</v>
      </c>
      <c r="F38" s="2165" t="str">
        <f>'План 1-я неделя'!BN71</f>
        <v/>
      </c>
      <c r="G38" s="962">
        <f>'План 1-я неделя'!BP71+F38</f>
        <v>171</v>
      </c>
      <c r="H38" s="962">
        <f t="shared" si="5"/>
        <v>16758</v>
      </c>
      <c r="I38" s="2587">
        <f>'План 1-я неделя'!BQ71</f>
        <v>0</v>
      </c>
      <c r="J38" s="2600">
        <f t="shared" si="6"/>
        <v>0</v>
      </c>
      <c r="K38" s="195"/>
      <c r="L38" s="145">
        <v>487.0</v>
      </c>
      <c r="M38" s="1268" t="s">
        <v>1443</v>
      </c>
      <c r="N38" s="145">
        <v>17.85</v>
      </c>
      <c r="O38" s="145" t="s">
        <v>3429</v>
      </c>
      <c r="R38" s="145">
        <v>1474.0</v>
      </c>
      <c r="S38" s="1268" t="s">
        <v>1035</v>
      </c>
      <c r="T38" s="1268" t="s">
        <v>3436</v>
      </c>
    </row>
    <row r="39">
      <c r="A39" s="962">
        <f>'План 1-я неделя'!B72</f>
        <v>3343</v>
      </c>
      <c r="B39" s="962">
        <f>'План 1-я неделя'!C72</f>
        <v>272</v>
      </c>
      <c r="C39" s="962" t="str">
        <f>'План 1-я неделя'!D72</f>
        <v>Премиум</v>
      </c>
      <c r="D39" s="962" t="str">
        <f>'План 1-я неделя'!E72</f>
        <v>Боул с тунцом , бобами эдамаме и овощами</v>
      </c>
      <c r="E39" s="2576" t="str">
        <f>'План 1-я неделя'!BL72</f>
        <v/>
      </c>
      <c r="F39" s="2165" t="str">
        <f>'План 1-я неделя'!BN72</f>
        <v/>
      </c>
      <c r="G39" s="962">
        <f>'План 1-я неделя'!BP72+F39</f>
        <v>56</v>
      </c>
      <c r="H39" s="962">
        <f t="shared" si="5"/>
        <v>15232</v>
      </c>
      <c r="I39" s="2587">
        <f>'План 1-я неделя'!BQ72</f>
        <v>0</v>
      </c>
      <c r="J39" s="2600">
        <f t="shared" si="6"/>
        <v>0</v>
      </c>
      <c r="K39" s="195"/>
      <c r="L39" s="145">
        <v>2247.0</v>
      </c>
      <c r="M39" s="1268" t="s">
        <v>1441</v>
      </c>
      <c r="N39" s="145">
        <v>33.6</v>
      </c>
      <c r="O39" s="145" t="s">
        <v>3429</v>
      </c>
      <c r="R39" s="145">
        <v>1922.0</v>
      </c>
      <c r="S39" s="1268" t="s">
        <v>1501</v>
      </c>
      <c r="T39" s="1268" t="s">
        <v>3436</v>
      </c>
    </row>
    <row r="40">
      <c r="A40" s="962">
        <f>'План 1-я неделя'!B73</f>
        <v>8</v>
      </c>
      <c r="B40" s="962">
        <f>'План 1-я неделя'!C73</f>
        <v>104</v>
      </c>
      <c r="C40" s="962" t="str">
        <f>'План 1-я неделя'!D73</f>
        <v>Суп</v>
      </c>
      <c r="D40" s="962" t="str">
        <f>'План 1-я неделя'!E73</f>
        <v>Суп гороховый 250 мл</v>
      </c>
      <c r="E40" s="2576">
        <f>'План 1-я неделя'!BL73</f>
        <v>110</v>
      </c>
      <c r="F40" s="2165" t="str">
        <f>'План 1-я неделя'!BN73</f>
        <v/>
      </c>
      <c r="G40" s="962">
        <f>'План 1-я неделя'!BP73+F40</f>
        <v>111</v>
      </c>
      <c r="H40" s="962">
        <f t="shared" si="5"/>
        <v>11544</v>
      </c>
      <c r="I40" s="2598">
        <f>'План 1-я неделя'!BQ73</f>
        <v>0</v>
      </c>
      <c r="J40" s="2600">
        <f t="shared" si="6"/>
        <v>0</v>
      </c>
      <c r="K40" s="195"/>
      <c r="L40" s="145">
        <v>2263.0</v>
      </c>
      <c r="M40" s="1268" t="s">
        <v>1436</v>
      </c>
      <c r="N40" s="2593">
        <v>26.0</v>
      </c>
      <c r="O40" s="145" t="s">
        <v>3429</v>
      </c>
      <c r="R40" s="145">
        <v>3092.0</v>
      </c>
      <c r="S40" s="1268" t="s">
        <v>1113</v>
      </c>
      <c r="T40" s="1268" t="s">
        <v>3436</v>
      </c>
    </row>
    <row r="41">
      <c r="A41" s="962" t="str">
        <f>'План 1-я неделя'!B74</f>
        <v/>
      </c>
      <c r="B41" s="962" t="str">
        <f>'План 1-я неделя'!C74</f>
        <v/>
      </c>
      <c r="C41" s="962" t="str">
        <f>'План 1-я неделя'!D74</f>
        <v/>
      </c>
      <c r="D41" s="962" t="str">
        <f>'План 1-я неделя'!E74</f>
        <v/>
      </c>
      <c r="E41" s="2576" t="str">
        <f>'План 1-я неделя'!BL74</f>
        <v/>
      </c>
      <c r="F41" s="2165" t="str">
        <f>'План 1-я неделя'!BN74</f>
        <v/>
      </c>
      <c r="G41" s="962">
        <f>'План 1-я неделя'!BP74+F41</f>
        <v>1</v>
      </c>
      <c r="H41" s="962">
        <f t="shared" si="5"/>
        <v>0</v>
      </c>
      <c r="I41" s="2598">
        <f>'План 1-я неделя'!BQ74</f>
        <v>0</v>
      </c>
      <c r="J41" s="2600">
        <f t="shared" si="6"/>
        <v>0</v>
      </c>
      <c r="K41" s="195"/>
      <c r="L41" s="145">
        <v>2278.0</v>
      </c>
      <c r="M41" s="1268" t="s">
        <v>1439</v>
      </c>
      <c r="N41" s="2593">
        <v>18.0</v>
      </c>
      <c r="O41" s="145" t="s">
        <v>3429</v>
      </c>
      <c r="R41" s="145">
        <v>3330.0</v>
      </c>
      <c r="S41" s="1268" t="s">
        <v>330</v>
      </c>
      <c r="T41" s="1268" t="s">
        <v>3436</v>
      </c>
    </row>
    <row r="42">
      <c r="A42" s="962">
        <f>'План 1-я неделя'!B75</f>
        <v>48</v>
      </c>
      <c r="B42" s="962">
        <f>'План 1-я неделя'!C75</f>
        <v>237</v>
      </c>
      <c r="C42" s="962" t="str">
        <f>'План 1-я неделя'!D75</f>
        <v>Второе</v>
      </c>
      <c r="D42" s="962" t="str">
        <f>'План 1-я неделя'!E75</f>
        <v>Голубец с картофельным пюре</v>
      </c>
      <c r="E42" s="2576" t="str">
        <f>'План 1-я неделя'!BL75</f>
        <v/>
      </c>
      <c r="F42" s="2165">
        <f>'План 1-я неделя'!BN75</f>
        <v>10</v>
      </c>
      <c r="G42" s="2602">
        <f>'План 1-я неделя'!BP75+F42</f>
        <v>119</v>
      </c>
      <c r="H42" s="962">
        <f t="shared" si="5"/>
        <v>28203</v>
      </c>
      <c r="I42" s="2598">
        <f>'План 1-я неделя'!BQ75</f>
        <v>0</v>
      </c>
      <c r="J42" s="2600">
        <f t="shared" si="6"/>
        <v>0</v>
      </c>
      <c r="K42" s="195"/>
      <c r="R42" s="145">
        <v>3435.0</v>
      </c>
      <c r="S42" s="1268" t="s">
        <v>276</v>
      </c>
      <c r="T42" s="1268" t="s">
        <v>3436</v>
      </c>
    </row>
    <row r="43">
      <c r="A43" s="962">
        <f>'План 1-я неделя'!B76</f>
        <v>3407</v>
      </c>
      <c r="B43" s="962">
        <f>'План 1-я неделя'!C76</f>
        <v>208</v>
      </c>
      <c r="C43" s="962" t="str">
        <f>'План 1-я неделя'!D76</f>
        <v>Второе</v>
      </c>
      <c r="D43" s="962" t="str">
        <f>'План 1-я неделя'!E76</f>
        <v>Минтай в кляре с булгуром</v>
      </c>
      <c r="E43" s="2576" t="str">
        <f>'План 1-я неделя'!BL76</f>
        <v/>
      </c>
      <c r="F43" s="2165" t="str">
        <f>'План 1-я неделя'!BN76</f>
        <v/>
      </c>
      <c r="G43" s="962">
        <f>'План 1-я неделя'!BP76+F43</f>
        <v>109</v>
      </c>
      <c r="H43" s="962">
        <f t="shared" si="5"/>
        <v>22672</v>
      </c>
      <c r="I43" s="2587">
        <f>'План 1-я неделя'!BQ76</f>
        <v>0</v>
      </c>
      <c r="J43" s="2600">
        <f t="shared" si="6"/>
        <v>0</v>
      </c>
      <c r="K43" s="195"/>
      <c r="R43" s="145">
        <v>3455.0</v>
      </c>
      <c r="S43" s="1268" t="s">
        <v>283</v>
      </c>
      <c r="T43" s="1268" t="s">
        <v>3436</v>
      </c>
    </row>
    <row r="44">
      <c r="A44" s="962">
        <f>'План 1-я неделя'!B77</f>
        <v>4030</v>
      </c>
      <c r="B44" s="962">
        <f>'План 1-я неделя'!C77</f>
        <v>204</v>
      </c>
      <c r="C44" s="962" t="str">
        <f>'План 1-я неделя'!D77</f>
        <v>Второе</v>
      </c>
      <c r="D44" s="962" t="str">
        <f>'План 1-я неделя'!E77</f>
        <v>Курочка с овощной сальсой и спагетти</v>
      </c>
      <c r="E44" s="2576" t="str">
        <f>'План 1-я неделя'!BL77</f>
        <v/>
      </c>
      <c r="F44" s="2165">
        <f>'План 1-я неделя'!BN77</f>
        <v>10</v>
      </c>
      <c r="G44" s="962">
        <f>'План 1-я неделя'!BP77+F44</f>
        <v>165</v>
      </c>
      <c r="H44" s="962">
        <f t="shared" si="5"/>
        <v>33660</v>
      </c>
      <c r="I44" s="2587">
        <f>'План 1-я неделя'!BQ77</f>
        <v>0</v>
      </c>
      <c r="J44" s="2600">
        <f t="shared" si="6"/>
        <v>0</v>
      </c>
      <c r="K44" s="195"/>
      <c r="R44" s="145">
        <v>3559.0</v>
      </c>
      <c r="S44" s="1268" t="s">
        <v>1169</v>
      </c>
      <c r="T44" s="1268" t="s">
        <v>3436</v>
      </c>
    </row>
    <row r="45">
      <c r="A45" s="962">
        <f>'План 1-я неделя'!B78</f>
        <v>886</v>
      </c>
      <c r="B45" s="962">
        <f>'План 1-я неделя'!C78</f>
        <v>198</v>
      </c>
      <c r="C45" s="962" t="str">
        <f>'План 1-я неделя'!D78</f>
        <v>Второе</v>
      </c>
      <c r="D45" s="962" t="str">
        <f>'План 1-я неделя'!E78</f>
        <v>Бедро запеченное с гречкой</v>
      </c>
      <c r="E45" s="2576">
        <f>'План 1-я неделя'!BL78</f>
        <v>30</v>
      </c>
      <c r="F45" s="2165" t="str">
        <f>'План 1-я неделя'!BN78</f>
        <v/>
      </c>
      <c r="G45" s="962">
        <f>'План 1-я неделя'!BP78+F45</f>
        <v>31</v>
      </c>
      <c r="H45" s="962">
        <f t="shared" si="5"/>
        <v>6138</v>
      </c>
      <c r="I45" s="2587">
        <f>'План 1-я неделя'!BQ78</f>
        <v>0</v>
      </c>
      <c r="J45" s="2600">
        <f t="shared" si="6"/>
        <v>0</v>
      </c>
      <c r="K45" s="195"/>
      <c r="R45" s="145">
        <v>3647.0</v>
      </c>
      <c r="S45" s="1268" t="s">
        <v>1115</v>
      </c>
      <c r="T45" s="1268" t="s">
        <v>3436</v>
      </c>
    </row>
    <row r="46">
      <c r="A46" s="962">
        <f>'План 1-я неделя'!B79</f>
        <v>958</v>
      </c>
      <c r="B46" s="962">
        <f>'План 1-я неделя'!C79</f>
        <v>193</v>
      </c>
      <c r="C46" s="962" t="str">
        <f>'План 1-я неделя'!D79</f>
        <v>Второе</v>
      </c>
      <c r="D46" s="962" t="str">
        <f>'План 1-я неделя'!E79</f>
        <v>Поджарка из курицы с рисом</v>
      </c>
      <c r="E46" s="2576">
        <f>'План 1-я неделя'!BL79</f>
        <v>30</v>
      </c>
      <c r="F46" s="2165" t="str">
        <f>'План 1-я неделя'!BN79</f>
        <v/>
      </c>
      <c r="G46" s="962">
        <f>'План 1-я неделя'!BP79+F46</f>
        <v>151</v>
      </c>
      <c r="H46" s="962">
        <f t="shared" si="5"/>
        <v>29143</v>
      </c>
      <c r="I46" s="2587">
        <f>'План 1-я неделя'!BQ79</f>
        <v>0</v>
      </c>
      <c r="J46" s="2600">
        <f t="shared" si="6"/>
        <v>0</v>
      </c>
      <c r="K46" s="195"/>
      <c r="R46" s="145">
        <v>3649.0</v>
      </c>
      <c r="S46" s="1268" t="s">
        <v>3440</v>
      </c>
      <c r="T46" s="1268" t="s">
        <v>3436</v>
      </c>
    </row>
    <row r="47">
      <c r="A47" s="962">
        <f>'План 1-я неделя'!B80</f>
        <v>4029</v>
      </c>
      <c r="B47" s="962">
        <f>'План 1-я неделя'!C80</f>
        <v>198</v>
      </c>
      <c r="C47" s="962" t="str">
        <f>'План 1-я неделя'!D80</f>
        <v>Второе</v>
      </c>
      <c r="D47" s="962" t="str">
        <f>'План 1-я неделя'!E80</f>
        <v>Жаркое по-домашнему со свининой</v>
      </c>
      <c r="E47" s="2576">
        <f>'План 1-я неделя'!BL80</f>
        <v>70</v>
      </c>
      <c r="F47" s="2165">
        <f>'План 1-я неделя'!BN80</f>
        <v>10</v>
      </c>
      <c r="G47" s="962">
        <f>'План 1-я неделя'!BP80+F47</f>
        <v>81</v>
      </c>
      <c r="H47" s="962">
        <f t="shared" si="5"/>
        <v>16038</v>
      </c>
      <c r="I47" s="2587">
        <f>'План 1-я неделя'!BQ80</f>
        <v>0</v>
      </c>
      <c r="J47" s="2600">
        <f t="shared" si="6"/>
        <v>0</v>
      </c>
      <c r="K47" s="195"/>
      <c r="R47" s="145">
        <v>3827.0</v>
      </c>
      <c r="S47" s="1268" t="s">
        <v>316</v>
      </c>
      <c r="T47" s="1268" t="s">
        <v>3436</v>
      </c>
    </row>
    <row r="48">
      <c r="A48" s="962">
        <f>'План 1-я неделя'!B81</f>
        <v>4286</v>
      </c>
      <c r="B48" s="962">
        <f>'План 1-я неделя'!C81</f>
        <v>295</v>
      </c>
      <c r="C48" s="962" t="str">
        <f>'План 1-я неделя'!D81</f>
        <v>Премиум</v>
      </c>
      <c r="D48" s="962" t="str">
        <f>'План 1-я неделя'!E81</f>
        <v>Фунчоза с овощами и креветками </v>
      </c>
      <c r="E48" s="2576" t="str">
        <f>'План 1-я неделя'!BL81</f>
        <v/>
      </c>
      <c r="F48" s="2165" t="str">
        <f>'План 1-я неделя'!BN81</f>
        <v/>
      </c>
      <c r="G48" s="962">
        <f>'План 1-я неделя'!BP81+F48</f>
        <v>67</v>
      </c>
      <c r="H48" s="962">
        <f t="shared" si="5"/>
        <v>19765</v>
      </c>
      <c r="I48" s="2587">
        <f>'План 1-я неделя'!BQ81</f>
        <v>0</v>
      </c>
      <c r="J48" s="2600">
        <f t="shared" si="6"/>
        <v>0</v>
      </c>
      <c r="K48" s="195"/>
      <c r="R48" s="145">
        <v>3868.0</v>
      </c>
      <c r="S48" s="1268" t="s">
        <v>2017</v>
      </c>
      <c r="T48" s="1268" t="s">
        <v>3436</v>
      </c>
    </row>
    <row r="49">
      <c r="A49" s="962" t="str">
        <f>'План 1-я неделя'!B82</f>
        <v/>
      </c>
      <c r="B49" s="962" t="str">
        <f>'План 1-я неделя'!C82</f>
        <v/>
      </c>
      <c r="C49" s="962" t="str">
        <f>'План 1-я неделя'!D82</f>
        <v/>
      </c>
      <c r="D49" s="962" t="str">
        <f>'План 1-я неделя'!E82</f>
        <v/>
      </c>
      <c r="E49" s="2576" t="str">
        <f>'План 1-я неделя'!BL82</f>
        <v/>
      </c>
      <c r="F49" s="2165" t="str">
        <f>'План 1-я неделя'!BN82</f>
        <v/>
      </c>
      <c r="G49" s="962">
        <f>'План 1-я неделя'!BP82+F49</f>
        <v>1</v>
      </c>
      <c r="H49" s="962">
        <f t="shared" si="5"/>
        <v>0</v>
      </c>
      <c r="I49" s="2587">
        <f>'План 1-я неделя'!BQ82</f>
        <v>0</v>
      </c>
      <c r="J49" s="2600">
        <f t="shared" si="6"/>
        <v>0</v>
      </c>
      <c r="K49" s="195"/>
    </row>
    <row r="50">
      <c r="A50" s="962">
        <f>'План 1-я неделя'!B83</f>
        <v>3330</v>
      </c>
      <c r="B50" s="962">
        <f>'План 1-я неделя'!C83</f>
        <v>172</v>
      </c>
      <c r="C50" s="962" t="str">
        <f>'План 1-я неделя'!D83</f>
        <v>Сэндвич</v>
      </c>
      <c r="D50" s="962" t="str">
        <f>'План 1-я неделя'!E83</f>
        <v>Сэндвич с курицей и соусом Барбекю</v>
      </c>
      <c r="E50" s="2576" t="str">
        <f>'План 1-я неделя'!BL83</f>
        <v/>
      </c>
      <c r="F50" s="2165" t="str">
        <f>'План 1-я неделя'!BN83</f>
        <v/>
      </c>
      <c r="G50" s="962">
        <f>'План 1-я неделя'!BP83+F50</f>
        <v>113</v>
      </c>
      <c r="H50" s="962">
        <f t="shared" si="5"/>
        <v>19436</v>
      </c>
      <c r="I50" s="2587">
        <f>'План 1-я неделя'!BQ83</f>
        <v>0</v>
      </c>
      <c r="J50" s="2600">
        <f t="shared" si="6"/>
        <v>0</v>
      </c>
      <c r="K50" s="195"/>
    </row>
    <row r="51">
      <c r="A51" s="962">
        <f>'План 1-я неделя'!B84</f>
        <v>3408</v>
      </c>
      <c r="B51" s="962">
        <f>'План 1-я неделя'!C84</f>
        <v>220</v>
      </c>
      <c r="C51" s="962" t="str">
        <f>'План 1-я неделя'!D84</f>
        <v>Сэндвич</v>
      </c>
      <c r="D51" s="962" t="str">
        <f>'План 1-я неделя'!E84</f>
        <v>Сэндвич ''Крем-чиз с рыбой''</v>
      </c>
      <c r="E51" s="2576" t="str">
        <f>'План 1-я неделя'!BL84</f>
        <v/>
      </c>
      <c r="F51" s="2165" t="str">
        <f>'План 1-я неделя'!BN84</f>
        <v/>
      </c>
      <c r="G51" s="962">
        <f>'План 1-я неделя'!BP84+F51</f>
        <v>121</v>
      </c>
      <c r="H51" s="962">
        <f t="shared" si="5"/>
        <v>26620</v>
      </c>
      <c r="I51" s="2587">
        <f>'План 1-я неделя'!BQ84</f>
        <v>0</v>
      </c>
      <c r="J51" s="2600">
        <f t="shared" si="6"/>
        <v>0</v>
      </c>
      <c r="K51" s="195"/>
    </row>
    <row r="52">
      <c r="A52" s="962">
        <f>'План 1-я неделя'!B85</f>
        <v>2929</v>
      </c>
      <c r="B52" s="962">
        <f>'План 1-я неделя'!C85</f>
        <v>143</v>
      </c>
      <c r="C52" s="962" t="str">
        <f>'План 1-я неделя'!D85</f>
        <v>Япония</v>
      </c>
      <c r="D52" s="962" t="str">
        <f>'План 1-я неделя'!E85</f>
        <v>Ролл сэндвич с курицей</v>
      </c>
      <c r="E52" s="2576" t="str">
        <f>'План 1-я неделя'!BL85</f>
        <v/>
      </c>
      <c r="F52" s="2165" t="str">
        <f>'План 1-я неделя'!BN85</f>
        <v/>
      </c>
      <c r="G52" s="962">
        <f>'План 1-я неделя'!BP85+F52</f>
        <v>92</v>
      </c>
      <c r="H52" s="962">
        <f t="shared" si="5"/>
        <v>13156</v>
      </c>
      <c r="I52" s="2587">
        <f>'План 1-я неделя'!BQ85</f>
        <v>0</v>
      </c>
      <c r="J52" s="2600">
        <f t="shared" si="6"/>
        <v>0</v>
      </c>
      <c r="K52" s="195"/>
    </row>
    <row r="53">
      <c r="A53" s="962">
        <f>'План 1-я неделя'!B86</f>
        <v>4173</v>
      </c>
      <c r="B53" s="962">
        <f>'План 1-я неделя'!C86</f>
        <v>98</v>
      </c>
      <c r="C53" s="962" t="str">
        <f>'План 1-я неделя'!D86</f>
        <v>Япония</v>
      </c>
      <c r="D53" s="962" t="str">
        <f>'План 1-я неделя'!E86</f>
        <v>Морс клюквенный 0,5 л</v>
      </c>
      <c r="E53" s="2576" t="str">
        <f>'План 1-я неделя'!BL86</f>
        <v/>
      </c>
      <c r="F53" s="2165" t="str">
        <f>'План 1-я неделя'!BN86</f>
        <v/>
      </c>
      <c r="G53" s="962">
        <f>'План 1-я неделя'!BP86+F53</f>
        <v>201</v>
      </c>
      <c r="H53" s="962">
        <f t="shared" si="5"/>
        <v>19698</v>
      </c>
      <c r="I53" s="2587">
        <f>'План 1-я неделя'!BQ86</f>
        <v>0</v>
      </c>
      <c r="J53" s="2600">
        <f t="shared" si="6"/>
        <v>0</v>
      </c>
      <c r="K53" s="195"/>
    </row>
    <row r="54">
      <c r="A54" s="962">
        <f>'План 1-я неделя'!B87</f>
        <v>822</v>
      </c>
      <c r="B54" s="962">
        <f>'План 1-я неделя'!C87</f>
        <v>5</v>
      </c>
      <c r="C54" s="962" t="str">
        <f>'План 1-я неделя'!D87</f>
        <v>Выпечка</v>
      </c>
      <c r="D54" s="962" t="str">
        <f>'План 1-я неделя'!E87</f>
        <v>Хлеб пшеничный</v>
      </c>
      <c r="E54" s="2576">
        <f>'План 1-я неделя'!BL87</f>
        <v>125</v>
      </c>
      <c r="F54" s="2165" t="str">
        <f>'План 1-я неделя'!BN87</f>
        <v/>
      </c>
      <c r="G54" s="962">
        <f>'План 1-я неделя'!BP87+F54</f>
        <v>210</v>
      </c>
      <c r="H54" s="962">
        <f t="shared" si="5"/>
        <v>1050</v>
      </c>
      <c r="I54" s="2587">
        <f>'План 1-я неделя'!BQ87</f>
        <v>0</v>
      </c>
      <c r="J54" s="2600">
        <f t="shared" si="6"/>
        <v>0</v>
      </c>
      <c r="K54" s="195"/>
    </row>
    <row r="55">
      <c r="A55" s="962">
        <f>'План 1-я неделя'!B88</f>
        <v>3435</v>
      </c>
      <c r="B55" s="962">
        <f>'План 1-я неделя'!C88</f>
        <v>51</v>
      </c>
      <c r="C55" s="962" t="str">
        <f>'План 1-я неделя'!D88</f>
        <v>Выпечка</v>
      </c>
      <c r="D55" s="962" t="str">
        <f>'План 1-я неделя'!E88</f>
        <v>Булочка с повидлом 80 г</v>
      </c>
      <c r="E55" s="2576">
        <f>'План 1-я неделя'!BL88</f>
        <v>10</v>
      </c>
      <c r="F55" s="2165" t="str">
        <f>'План 1-я неделя'!BN88</f>
        <v/>
      </c>
      <c r="G55" s="962">
        <f>'План 1-я неделя'!BP88+F55</f>
        <v>11</v>
      </c>
      <c r="H55" s="962">
        <f t="shared" si="5"/>
        <v>561</v>
      </c>
      <c r="I55" s="2587">
        <f>'План 1-я неделя'!BQ88</f>
        <v>0</v>
      </c>
      <c r="J55" s="2600">
        <f t="shared" si="6"/>
        <v>0</v>
      </c>
      <c r="K55" s="195"/>
    </row>
    <row r="56">
      <c r="A56" s="962">
        <f>'План 1-я неделя'!B89</f>
        <v>3455</v>
      </c>
      <c r="B56" s="962">
        <f>'План 1-я неделя'!C89</f>
        <v>85</v>
      </c>
      <c r="C56" s="962" t="str">
        <f>'План 1-я неделя'!D89</f>
        <v>Выпечка</v>
      </c>
      <c r="D56" s="962" t="str">
        <f>'План 1-я неделя'!E89</f>
        <v>Слойка с ветчиной и сыром 100г</v>
      </c>
      <c r="E56" s="2576">
        <f>'План 1-я неделя'!BL89</f>
        <v>15</v>
      </c>
      <c r="F56" s="2165" t="str">
        <f>'План 1-я неделя'!BN89</f>
        <v/>
      </c>
      <c r="G56" s="962">
        <f>'План 1-я неделя'!BP89+F56</f>
        <v>16</v>
      </c>
      <c r="H56" s="962">
        <f t="shared" si="5"/>
        <v>1360</v>
      </c>
      <c r="I56" s="2587">
        <f>'План 1-я неделя'!BQ89</f>
        <v>0</v>
      </c>
      <c r="J56" s="2600">
        <f t="shared" si="6"/>
        <v>0</v>
      </c>
      <c r="K56" s="195"/>
    </row>
    <row r="57">
      <c r="A57" s="962" t="str">
        <f>'План 1-я неделя'!B90</f>
        <v/>
      </c>
      <c r="B57" s="962" t="str">
        <f>'План 1-я неделя'!C90</f>
        <v/>
      </c>
      <c r="C57" s="962" t="str">
        <f>'План 1-я неделя'!D90</f>
        <v/>
      </c>
      <c r="D57" s="962" t="str">
        <f>'План 1-я неделя'!E90</f>
        <v/>
      </c>
      <c r="E57" s="2576" t="str">
        <f>'План 1-я неделя'!BL90</f>
        <v/>
      </c>
      <c r="F57" s="2165" t="str">
        <f>'План 1-я неделя'!BN90</f>
        <v/>
      </c>
      <c r="G57" s="962">
        <f>'План 1-я неделя'!BP90+F57</f>
        <v>1</v>
      </c>
      <c r="H57" s="962">
        <f t="shared" si="5"/>
        <v>0</v>
      </c>
      <c r="I57" s="2598">
        <f>'План 1-я неделя'!BQ90</f>
        <v>0</v>
      </c>
      <c r="J57" s="2600">
        <f t="shared" si="6"/>
        <v>0</v>
      </c>
      <c r="K57" s="195"/>
    </row>
    <row r="58">
      <c r="A58" s="962" t="str">
        <f>'План 1-я неделя'!B91</f>
        <v/>
      </c>
      <c r="B58" s="962" t="str">
        <f>'План 1-я неделя'!C91</f>
        <v/>
      </c>
      <c r="C58" s="962" t="str">
        <f>'План 1-я неделя'!D91</f>
        <v/>
      </c>
      <c r="D58" s="962" t="str">
        <f>'План 1-я неделя'!E91</f>
        <v/>
      </c>
      <c r="E58" s="2576" t="str">
        <f>'План 1-я неделя'!BL91</f>
        <v/>
      </c>
      <c r="F58" s="2165" t="str">
        <f>'План 1-я неделя'!BN91</f>
        <v/>
      </c>
      <c r="G58" s="962">
        <f>'План 1-я неделя'!BP91+F58</f>
        <v>1</v>
      </c>
      <c r="H58" s="962">
        <f t="shared" si="5"/>
        <v>0</v>
      </c>
      <c r="I58" s="2587">
        <f>'План 1-я неделя'!BQ91</f>
        <v>0</v>
      </c>
      <c r="J58" s="2600">
        <f t="shared" si="6"/>
        <v>0</v>
      </c>
      <c r="K58" s="195"/>
    </row>
    <row r="59">
      <c r="A59" s="962" t="str">
        <f>'План 1-я неделя'!B92</f>
        <v/>
      </c>
      <c r="B59" s="962" t="str">
        <f>'План 1-я неделя'!C92</f>
        <v/>
      </c>
      <c r="C59" s="962" t="str">
        <f>'План 1-я неделя'!D92</f>
        <v/>
      </c>
      <c r="D59" s="962" t="str">
        <f>'План 1-я неделя'!E92</f>
        <v/>
      </c>
      <c r="E59" s="2576" t="str">
        <f>'План 1-я неделя'!BL92</f>
        <v/>
      </c>
      <c r="F59" s="2165" t="str">
        <f>'План 1-я неделя'!BN92</f>
        <v/>
      </c>
      <c r="G59" s="962">
        <f>'План 1-я неделя'!BP92+F59</f>
        <v>1</v>
      </c>
      <c r="H59" s="962">
        <f t="shared" si="5"/>
        <v>0</v>
      </c>
      <c r="I59" s="2587">
        <f>'План 1-я неделя'!BQ92</f>
        <v>0</v>
      </c>
      <c r="J59" s="2600">
        <f t="shared" si="6"/>
        <v>0</v>
      </c>
      <c r="K59" s="195"/>
    </row>
    <row r="60">
      <c r="I60" s="2570"/>
      <c r="J60" s="2599"/>
      <c r="K60" s="195"/>
    </row>
    <row r="61">
      <c r="A61" s="2603" t="str">
        <f>'План 1-я неделя'!A126</f>
        <v>Дата:  </v>
      </c>
      <c r="B61" s="2604">
        <f>'План 1-я неделя'!D126</f>
        <v>46231</v>
      </c>
      <c r="C61" s="2603"/>
      <c r="D61" s="2603" t="str">
        <f>'План 1-я неделя'!E126</f>
        <v>План на день кухня     ВТОРНИК</v>
      </c>
      <c r="H61" s="1346">
        <f>SUM(H63:H89)</f>
        <v>307013</v>
      </c>
      <c r="I61" s="2570"/>
      <c r="J61" s="2572">
        <f>SUM(J63:J89)</f>
        <v>0</v>
      </c>
      <c r="K61" s="2573">
        <f>J61-H61</f>
        <v>-307013</v>
      </c>
      <c r="L61" s="2574" t="s">
        <v>1283</v>
      </c>
      <c r="M61" s="2574" t="s">
        <v>1428</v>
      </c>
      <c r="N61" s="2574" t="s">
        <v>3415</v>
      </c>
      <c r="O61" s="2574" t="s">
        <v>3416</v>
      </c>
      <c r="R61" s="2574" t="s">
        <v>1283</v>
      </c>
      <c r="S61" s="2574" t="s">
        <v>3283</v>
      </c>
      <c r="T61" s="2574" t="s">
        <v>3417</v>
      </c>
    </row>
    <row r="62">
      <c r="A62" s="2575" t="str">
        <f>'План 1-я неделя'!B127</f>
        <v>Код №</v>
      </c>
      <c r="B62" s="2575" t="str">
        <f>'План 1-я неделя'!C127</f>
        <v>Цена</v>
      </c>
      <c r="C62" s="2575" t="str">
        <f>'План 1-я неделя'!D127</f>
        <v>категория</v>
      </c>
      <c r="D62" s="2575" t="str">
        <f>'План 1-я неделя'!E127</f>
        <v>Название блюда</v>
      </c>
      <c r="E62" s="2576" t="str">
        <f>'План 1-я неделя'!BL127</f>
        <v>ТСПК</v>
      </c>
      <c r="F62" s="2165" t="str">
        <f>'План 1-я неделя'!BN127</f>
        <v>Стол</v>
      </c>
      <c r="G62" s="2165" t="s">
        <v>3421</v>
      </c>
      <c r="H62" s="2165" t="s">
        <v>3422</v>
      </c>
      <c r="I62" s="2578" t="s">
        <v>3424</v>
      </c>
      <c r="J62" s="2578" t="s">
        <v>3425</v>
      </c>
      <c r="K62" s="195"/>
      <c r="L62" s="145">
        <v>2249.0</v>
      </c>
      <c r="M62" s="1268" t="s">
        <v>1455</v>
      </c>
      <c r="N62" s="2593">
        <v>188.0</v>
      </c>
      <c r="O62" s="145" t="s">
        <v>3329</v>
      </c>
      <c r="R62" s="145">
        <v>822.0</v>
      </c>
      <c r="S62" s="1268" t="s">
        <v>136</v>
      </c>
      <c r="T62" s="1268" t="s">
        <v>3436</v>
      </c>
    </row>
    <row r="63">
      <c r="A63" s="962">
        <f>'План 1-я неделя'!B128</f>
        <v>1404</v>
      </c>
      <c r="B63" s="962">
        <f>'План 1-я неделя'!C128</f>
        <v>128</v>
      </c>
      <c r="C63" s="962" t="str">
        <f>'План 1-я неделя'!D128</f>
        <v>Завтрак</v>
      </c>
      <c r="D63" s="962" t="str">
        <f>'План 1-я неделя'!E128</f>
        <v>Драники со сметаной</v>
      </c>
      <c r="E63" s="2576" t="str">
        <f>'План 1-я неделя'!BL128</f>
        <v/>
      </c>
      <c r="F63" s="2165">
        <f>'План 1-я неделя'!BN128</f>
        <v>10</v>
      </c>
      <c r="G63" s="962">
        <f>'План 1-я неделя'!BP128+F63</f>
        <v>122</v>
      </c>
      <c r="H63" s="962">
        <f t="shared" ref="H63:H89" si="7">G63*B63</f>
        <v>15616</v>
      </c>
      <c r="I63" s="2587">
        <f>'План 1-я неделя'!BQ128</f>
        <v>0</v>
      </c>
      <c r="J63" s="2600">
        <f t="shared" ref="J63:J89" si="8">B63*I63</f>
        <v>0</v>
      </c>
      <c r="K63" s="195"/>
      <c r="L63" s="145">
        <v>3661.0</v>
      </c>
      <c r="M63" s="1268" t="s">
        <v>736</v>
      </c>
      <c r="N63" s="2593">
        <v>26.0</v>
      </c>
      <c r="O63" s="145" t="s">
        <v>3329</v>
      </c>
      <c r="R63" s="145">
        <v>867.0</v>
      </c>
      <c r="S63" s="1268" t="s">
        <v>1171</v>
      </c>
      <c r="T63" s="1268" t="s">
        <v>1437</v>
      </c>
    </row>
    <row r="64">
      <c r="A64" s="962">
        <f>'План 1-я неделя'!B129</f>
        <v>4036</v>
      </c>
      <c r="B64" s="962">
        <f>'План 1-я неделя'!C129</f>
        <v>114</v>
      </c>
      <c r="C64" s="962" t="str">
        <f>'План 1-я неделя'!D129</f>
        <v>Завтрак</v>
      </c>
      <c r="D64" s="962" t="str">
        <f>'План 1-я неделя'!E129</f>
        <v>Каша рисовая с вишней</v>
      </c>
      <c r="E64" s="2576" t="str">
        <f>'План 1-я неделя'!BL129</f>
        <v/>
      </c>
      <c r="F64" s="2165" t="str">
        <f>'План 1-я неделя'!BN129</f>
        <v/>
      </c>
      <c r="G64" s="962">
        <f>'План 1-я неделя'!BP129+F64</f>
        <v>71</v>
      </c>
      <c r="H64" s="962">
        <f t="shared" si="7"/>
        <v>8094</v>
      </c>
      <c r="I64" s="2587">
        <f>'План 1-я неделя'!BQ129</f>
        <v>0</v>
      </c>
      <c r="J64" s="2600">
        <f t="shared" si="8"/>
        <v>0</v>
      </c>
      <c r="K64" s="195"/>
      <c r="L64" s="145">
        <v>3933.0</v>
      </c>
      <c r="M64" s="1268" t="s">
        <v>1955</v>
      </c>
      <c r="N64" s="2593">
        <v>14.0</v>
      </c>
      <c r="O64" s="145" t="s">
        <v>3429</v>
      </c>
      <c r="R64" s="145">
        <v>1474.0</v>
      </c>
      <c r="S64" s="1268" t="s">
        <v>1035</v>
      </c>
      <c r="T64" s="1268" t="s">
        <v>3436</v>
      </c>
    </row>
    <row r="65">
      <c r="A65" s="962">
        <f>'План 1-я неделя'!B130</f>
        <v>2762</v>
      </c>
      <c r="B65" s="962">
        <f>'План 1-я неделя'!C130</f>
        <v>174</v>
      </c>
      <c r="C65" s="962" t="str">
        <f>'План 1-я неделя'!D130</f>
        <v>Завтрак</v>
      </c>
      <c r="D65" s="962" t="str">
        <f>'План 1-я неделя'!E130</f>
        <v>Запеканка творожная с курагой</v>
      </c>
      <c r="E65" s="2576" t="str">
        <f>'План 1-я неделя'!BL130</f>
        <v/>
      </c>
      <c r="F65" s="2165" t="str">
        <f>'План 1-я неделя'!BN130</f>
        <v/>
      </c>
      <c r="G65" s="962">
        <f>'План 1-я неделя'!BP130+F65</f>
        <v>140</v>
      </c>
      <c r="H65" s="962">
        <f t="shared" si="7"/>
        <v>24360</v>
      </c>
      <c r="I65" s="2587">
        <f>'План 1-я неделя'!BQ130</f>
        <v>0</v>
      </c>
      <c r="J65" s="2600">
        <f t="shared" si="8"/>
        <v>0</v>
      </c>
      <c r="K65" s="195"/>
      <c r="L65" s="145">
        <v>3934.0</v>
      </c>
      <c r="M65" s="1268" t="s">
        <v>1973</v>
      </c>
      <c r="N65" s="2593">
        <v>82.0</v>
      </c>
      <c r="O65" s="145" t="s">
        <v>3329</v>
      </c>
      <c r="R65" s="145">
        <v>1557.0</v>
      </c>
      <c r="S65" s="1268" t="s">
        <v>967</v>
      </c>
      <c r="T65" s="1268" t="s">
        <v>3436</v>
      </c>
    </row>
    <row r="66">
      <c r="A66" s="962">
        <f>'План 1-я неделя'!B131</f>
        <v>3230</v>
      </c>
      <c r="B66" s="962">
        <f>'План 1-я неделя'!C131</f>
        <v>98</v>
      </c>
      <c r="C66" s="962" t="str">
        <f>'План 1-я неделя'!D131</f>
        <v>Салат</v>
      </c>
      <c r="D66" s="962" t="str">
        <f>'План 1-я неделя'!E131</f>
        <v>Салат ''Винегрет с капустой'' 120 г</v>
      </c>
      <c r="E66" s="2576">
        <f>'План 1-я неделя'!BL131</f>
        <v>44</v>
      </c>
      <c r="F66" s="2165" t="str">
        <f>'План 1-я неделя'!BN131</f>
        <v/>
      </c>
      <c r="G66" s="962">
        <f>'План 1-я неделя'!BP131+F66</f>
        <v>118</v>
      </c>
      <c r="H66" s="962">
        <f t="shared" si="7"/>
        <v>11564</v>
      </c>
      <c r="I66" s="2587">
        <f>'План 1-я неделя'!BQ131</f>
        <v>0</v>
      </c>
      <c r="J66" s="2600">
        <f t="shared" si="8"/>
        <v>0</v>
      </c>
      <c r="K66" s="195"/>
      <c r="R66" s="145">
        <v>2541.0</v>
      </c>
      <c r="S66" s="1268" t="s">
        <v>646</v>
      </c>
      <c r="T66" s="1268" t="s">
        <v>1437</v>
      </c>
    </row>
    <row r="67">
      <c r="A67" s="962">
        <f>'План 1-я неделя'!B132</f>
        <v>3301</v>
      </c>
      <c r="B67" s="962">
        <f>'План 1-я неделя'!C132</f>
        <v>98</v>
      </c>
      <c r="C67" s="962" t="str">
        <f>'План 1-я неделя'!D132</f>
        <v>Салат</v>
      </c>
      <c r="D67" s="962" t="str">
        <f>'План 1-я неделя'!E132</f>
        <v>Салат ''Блинный'' (ветчина куриная)</v>
      </c>
      <c r="E67" s="2576">
        <f>'План 1-я неделя'!BL132</f>
        <v>43</v>
      </c>
      <c r="F67" s="2165" t="str">
        <f>'План 1-я неделя'!BN132</f>
        <v/>
      </c>
      <c r="G67" s="962">
        <f>'План 1-я неделя'!BP132+F67</f>
        <v>186</v>
      </c>
      <c r="H67" s="962">
        <f t="shared" si="7"/>
        <v>18228</v>
      </c>
      <c r="I67" s="2587">
        <f>'План 1-я неделя'!BQ132</f>
        <v>0</v>
      </c>
      <c r="J67" s="2600">
        <f t="shared" si="8"/>
        <v>0</v>
      </c>
      <c r="K67" s="195"/>
      <c r="L67" s="2574" t="s">
        <v>1283</v>
      </c>
      <c r="M67" s="2574" t="s">
        <v>1430</v>
      </c>
      <c r="N67" s="2574" t="s">
        <v>3415</v>
      </c>
      <c r="O67" s="2574" t="s">
        <v>3416</v>
      </c>
      <c r="R67" s="145">
        <v>2936.0</v>
      </c>
      <c r="S67" s="1268" t="s">
        <v>468</v>
      </c>
      <c r="T67" s="1268" t="s">
        <v>3436</v>
      </c>
    </row>
    <row r="68">
      <c r="A68" s="962">
        <f>'План 1-я неделя'!B133</f>
        <v>4038</v>
      </c>
      <c r="B68" s="962">
        <f>'План 1-я неделя'!C133</f>
        <v>98</v>
      </c>
      <c r="C68" s="962" t="str">
        <f>'План 1-я неделя'!D133</f>
        <v>Салат</v>
      </c>
      <c r="D68" s="962" t="str">
        <f>'План 1-я неделя'!E133</f>
        <v>Салат "Гавайский" (курица, ананас)</v>
      </c>
      <c r="E68" s="2576">
        <f>'План 1-я неделя'!BL133</f>
        <v>43</v>
      </c>
      <c r="F68" s="2165" t="str">
        <f>'План 1-я неделя'!BN133</f>
        <v/>
      </c>
      <c r="G68" s="962">
        <f>'План 1-я неделя'!BP133+F68</f>
        <v>123</v>
      </c>
      <c r="H68" s="962">
        <f t="shared" si="7"/>
        <v>12054</v>
      </c>
      <c r="I68" s="2587">
        <f>'План 1-я неделя'!BQ133</f>
        <v>0</v>
      </c>
      <c r="J68" s="2600">
        <f t="shared" si="8"/>
        <v>0</v>
      </c>
      <c r="K68" s="195"/>
      <c r="L68" s="145">
        <v>487.0</v>
      </c>
      <c r="M68" s="1268" t="s">
        <v>1443</v>
      </c>
      <c r="N68" s="145">
        <v>30.75</v>
      </c>
      <c r="O68" s="145" t="s">
        <v>3429</v>
      </c>
      <c r="R68" s="145">
        <v>3109.0</v>
      </c>
      <c r="S68" s="1268" t="s">
        <v>1054</v>
      </c>
      <c r="T68" s="1268" t="s">
        <v>3436</v>
      </c>
    </row>
    <row r="69">
      <c r="A69" s="962">
        <f>'План 1-я неделя'!B134</f>
        <v>4034</v>
      </c>
      <c r="B69" s="962">
        <f>'План 1-я неделя'!C134</f>
        <v>168</v>
      </c>
      <c r="C69" s="962" t="str">
        <f>'План 1-я неделя'!D134</f>
        <v>Премиум</v>
      </c>
      <c r="D69" s="962" t="str">
        <f>'План 1-я неделя'!E134</f>
        <v>Гранатовый браслет 220гр </v>
      </c>
      <c r="E69" s="2576" t="str">
        <f>'План 1-я неделя'!BL134</f>
        <v/>
      </c>
      <c r="F69" s="2165" t="str">
        <f>'План 1-я неделя'!BN134</f>
        <v/>
      </c>
      <c r="G69" s="962">
        <f>'План 1-я неделя'!BP134+F69</f>
        <v>84</v>
      </c>
      <c r="H69" s="962">
        <f t="shared" si="7"/>
        <v>14112</v>
      </c>
      <c r="I69" s="2587">
        <f>'План 1-я неделя'!BQ134</f>
        <v>0</v>
      </c>
      <c r="J69" s="2600">
        <f t="shared" si="8"/>
        <v>0</v>
      </c>
      <c r="K69" s="195"/>
      <c r="L69" s="145">
        <v>2247.0</v>
      </c>
      <c r="M69" s="1268" t="s">
        <v>1441</v>
      </c>
      <c r="N69" s="145">
        <v>54.2</v>
      </c>
      <c r="O69" s="145" t="s">
        <v>3429</v>
      </c>
      <c r="R69" s="145">
        <v>3140.0</v>
      </c>
      <c r="S69" s="1268" t="s">
        <v>436</v>
      </c>
      <c r="T69" s="1268" t="s">
        <v>3436</v>
      </c>
    </row>
    <row r="70">
      <c r="A70" s="962">
        <f>'План 1-я неделя'!B135</f>
        <v>386</v>
      </c>
      <c r="B70" s="962">
        <f>'План 1-я неделя'!C135</f>
        <v>88</v>
      </c>
      <c r="C70" s="962" t="str">
        <f>'План 1-я неделя'!D135</f>
        <v>Суп</v>
      </c>
      <c r="D70" s="962" t="str">
        <f>'План 1-я неделя'!E135</f>
        <v>Суп ''Харчо'' с курицей</v>
      </c>
      <c r="E70" s="2576">
        <f>'План 1-я неделя'!BL135</f>
        <v>120</v>
      </c>
      <c r="F70" s="2165">
        <f>'План 1-я неделя'!BN135</f>
        <v>10</v>
      </c>
      <c r="G70" s="962">
        <f>'План 1-я неделя'!BP135+F70</f>
        <v>131</v>
      </c>
      <c r="H70" s="962">
        <f t="shared" si="7"/>
        <v>11528</v>
      </c>
      <c r="I70" s="2587">
        <f>'План 1-я неделя'!BQ135</f>
        <v>0</v>
      </c>
      <c r="J70" s="2600">
        <f t="shared" si="8"/>
        <v>0</v>
      </c>
      <c r="K70" s="195"/>
      <c r="L70" s="145">
        <v>2263.0</v>
      </c>
      <c r="M70" s="1268" t="s">
        <v>1436</v>
      </c>
      <c r="N70" s="145">
        <v>14.6</v>
      </c>
      <c r="O70" s="145" t="s">
        <v>3429</v>
      </c>
      <c r="R70" s="145">
        <v>3301.0</v>
      </c>
      <c r="S70" s="1268" t="s">
        <v>2372</v>
      </c>
      <c r="T70" s="1268" t="s">
        <v>3436</v>
      </c>
    </row>
    <row r="71">
      <c r="A71" s="962">
        <f>'План 1-я неделя'!B136</f>
        <v>4274</v>
      </c>
      <c r="B71" s="962">
        <f>'План 1-я неделя'!C136</f>
        <v>139</v>
      </c>
      <c r="C71" s="962" t="str">
        <f>'План 1-я неделя'!D136</f>
        <v>Суп</v>
      </c>
      <c r="D71" s="962" t="str">
        <f>'План 1-я неделя'!E136</f>
        <v>Крем-суп из брокколи</v>
      </c>
      <c r="E71" s="2576" t="str">
        <f>'План 1-я неделя'!BL136</f>
        <v/>
      </c>
      <c r="F71" s="2165" t="str">
        <f>'План 1-я неделя'!BN136</f>
        <v/>
      </c>
      <c r="G71" s="962">
        <f>'План 1-я неделя'!BP136+F71</f>
        <v>37</v>
      </c>
      <c r="H71" s="962">
        <f t="shared" si="7"/>
        <v>5143</v>
      </c>
      <c r="I71" s="2587">
        <f>'План 1-я неделя'!BQ136</f>
        <v>0</v>
      </c>
      <c r="J71" s="2600">
        <f t="shared" si="8"/>
        <v>0</v>
      </c>
      <c r="K71" s="195"/>
      <c r="L71" s="145">
        <v>2264.0</v>
      </c>
      <c r="M71" s="1268" t="s">
        <v>1447</v>
      </c>
      <c r="N71" s="145">
        <v>22.5</v>
      </c>
      <c r="O71" s="145" t="s">
        <v>3429</v>
      </c>
      <c r="R71" s="145">
        <v>3375.0</v>
      </c>
      <c r="S71" s="1268" t="s">
        <v>302</v>
      </c>
      <c r="T71" s="1268" t="s">
        <v>3436</v>
      </c>
    </row>
    <row r="72">
      <c r="A72" s="962">
        <f>'План 1-я неделя'!B137</f>
        <v>761</v>
      </c>
      <c r="B72" s="962">
        <f>'План 1-я неделя'!C137</f>
        <v>238</v>
      </c>
      <c r="C72" s="962" t="str">
        <f>'План 1-я неделя'!D137</f>
        <v>Второе</v>
      </c>
      <c r="D72" s="962" t="str">
        <f>'План 1-я неделя'!E137</f>
        <v>Бризоль с рисом и овощами</v>
      </c>
      <c r="E72" s="2576" t="str">
        <f>'План 1-я неделя'!BL137</f>
        <v/>
      </c>
      <c r="F72" s="2165">
        <f>'План 1-я неделя'!BN137</f>
        <v>10</v>
      </c>
      <c r="G72" s="962">
        <f>'План 1-я неделя'!BP137+F72</f>
        <v>127</v>
      </c>
      <c r="H72" s="962">
        <f t="shared" si="7"/>
        <v>30226</v>
      </c>
      <c r="I72" s="2587">
        <f>'План 1-я неделя'!BQ137</f>
        <v>0</v>
      </c>
      <c r="J72" s="2600">
        <f t="shared" si="8"/>
        <v>0</v>
      </c>
      <c r="K72" s="195"/>
      <c r="L72" s="145">
        <v>2278.0</v>
      </c>
      <c r="M72" s="1268" t="s">
        <v>1439</v>
      </c>
      <c r="N72" s="145">
        <v>20.2</v>
      </c>
      <c r="O72" s="145" t="s">
        <v>3429</v>
      </c>
      <c r="R72" s="145">
        <v>3419.0</v>
      </c>
      <c r="S72" s="1268" t="s">
        <v>1124</v>
      </c>
      <c r="T72" s="1268" t="s">
        <v>1437</v>
      </c>
    </row>
    <row r="73">
      <c r="A73" s="962">
        <f>'План 1-я неделя'!B138</f>
        <v>4172</v>
      </c>
      <c r="B73" s="962">
        <f>'План 1-я неделя'!C138</f>
        <v>210</v>
      </c>
      <c r="C73" s="962" t="str">
        <f>'План 1-я неделя'!D138</f>
        <v>Второе</v>
      </c>
      <c r="D73" s="962" t="str">
        <f>'План 1-я неделя'!E138</f>
        <v>Свинина в соусе тонкацу со спагетти </v>
      </c>
      <c r="E73" s="2576" t="str">
        <f>'План 1-я неделя'!BL138</f>
        <v/>
      </c>
      <c r="F73" s="2165" t="str">
        <f>'План 1-я неделя'!BN138</f>
        <v/>
      </c>
      <c r="G73" s="962">
        <f>'План 1-я неделя'!BP138+F73</f>
        <v>61</v>
      </c>
      <c r="H73" s="962">
        <f t="shared" si="7"/>
        <v>12810</v>
      </c>
      <c r="I73" s="2587">
        <f>'План 1-я неделя'!BQ138</f>
        <v>0</v>
      </c>
      <c r="J73" s="2600">
        <f t="shared" si="8"/>
        <v>0</v>
      </c>
      <c r="K73" s="195"/>
      <c r="R73" s="145">
        <v>3486.0</v>
      </c>
      <c r="S73" s="1268" t="s">
        <v>303</v>
      </c>
      <c r="T73" s="1268" t="s">
        <v>3436</v>
      </c>
    </row>
    <row r="74">
      <c r="A74" s="962">
        <f>'План 1-я неделя'!B139</f>
        <v>4237</v>
      </c>
      <c r="B74" s="962">
        <f>'План 1-я неделя'!C139</f>
        <v>210</v>
      </c>
      <c r="C74" s="962" t="str">
        <f>'План 1-я неделя'!D139</f>
        <v>Второе</v>
      </c>
      <c r="D74" s="962" t="str">
        <f>'План 1-я неделя'!E139</f>
        <v>Свинина в соусе тонкацу с картофелем </v>
      </c>
      <c r="E74" s="2576">
        <f>'План 1-я неделя'!BL139</f>
        <v>70</v>
      </c>
      <c r="F74" s="2165" t="str">
        <f>'План 1-я неделя'!BN139</f>
        <v/>
      </c>
      <c r="G74" s="962">
        <f>'План 1-я неделя'!BP139+F74</f>
        <v>71</v>
      </c>
      <c r="H74" s="962">
        <f t="shared" si="7"/>
        <v>14910</v>
      </c>
      <c r="I74" s="2587">
        <f>'План 1-я неделя'!BQ139</f>
        <v>0</v>
      </c>
      <c r="J74" s="2600">
        <f t="shared" si="8"/>
        <v>0</v>
      </c>
      <c r="K74" s="195"/>
      <c r="R74" s="145">
        <v>3645.0</v>
      </c>
      <c r="S74" s="1268" t="s">
        <v>969</v>
      </c>
      <c r="T74" s="1268" t="s">
        <v>3436</v>
      </c>
    </row>
    <row r="75">
      <c r="A75" s="962">
        <f>'План 1-я неделя'!B140</f>
        <v>3437</v>
      </c>
      <c r="B75" s="962">
        <f>'План 1-я неделя'!C140</f>
        <v>198</v>
      </c>
      <c r="C75" s="962" t="str">
        <f>'План 1-я неделя'!D140</f>
        <v>Второе</v>
      </c>
      <c r="D75" s="962" t="str">
        <f>'План 1-я неделя'!E140</f>
        <v>Макароны по-флотски</v>
      </c>
      <c r="E75" s="2576">
        <f>'План 1-я неделя'!BL140</f>
        <v>30</v>
      </c>
      <c r="F75" s="2165">
        <f>'План 1-я неделя'!BN140</f>
        <v>10</v>
      </c>
      <c r="G75" s="962">
        <f>'План 1-я неделя'!BP140+F75</f>
        <v>121</v>
      </c>
      <c r="H75" s="962">
        <f t="shared" si="7"/>
        <v>23958</v>
      </c>
      <c r="I75" s="2587">
        <f>'План 1-я неделя'!BQ140</f>
        <v>0</v>
      </c>
      <c r="J75" s="2600">
        <f t="shared" si="8"/>
        <v>0</v>
      </c>
      <c r="K75" s="195"/>
      <c r="R75" s="145">
        <v>3657.0</v>
      </c>
      <c r="S75" s="1268" t="s">
        <v>1126</v>
      </c>
      <c r="T75" s="1268" t="s">
        <v>3436</v>
      </c>
    </row>
    <row r="76">
      <c r="A76" s="962">
        <f>'План 1-я неделя'!B141</f>
        <v>763</v>
      </c>
      <c r="B76" s="962">
        <f>'План 1-я неделя'!C141</f>
        <v>208</v>
      </c>
      <c r="C76" s="962" t="str">
        <f>'План 1-я неделя'!D141</f>
        <v>Второе</v>
      </c>
      <c r="D76" s="962" t="str">
        <f>'План 1-я неделя'!E141</f>
        <v>Котлета куриная с картофельным пюре</v>
      </c>
      <c r="E76" s="2576">
        <f>'План 1-я неделя'!BL141</f>
        <v>30</v>
      </c>
      <c r="F76" s="2165">
        <f>'План 1-я неделя'!BN141</f>
        <v>10</v>
      </c>
      <c r="G76" s="962">
        <f>'План 1-я неделя'!BP141+F76</f>
        <v>41</v>
      </c>
      <c r="H76" s="962">
        <f t="shared" si="7"/>
        <v>8528</v>
      </c>
      <c r="I76" s="2587">
        <f>'План 1-я неделя'!BQ141</f>
        <v>0</v>
      </c>
      <c r="J76" s="2600">
        <f t="shared" si="8"/>
        <v>0</v>
      </c>
      <c r="K76" s="195"/>
      <c r="R76" s="145">
        <v>3661.0</v>
      </c>
      <c r="S76" s="1268" t="s">
        <v>736</v>
      </c>
      <c r="T76" s="1268" t="s">
        <v>1433</v>
      </c>
    </row>
    <row r="77">
      <c r="A77" s="962">
        <f>'План 1-я неделя'!B142</f>
        <v>18</v>
      </c>
      <c r="B77" s="962">
        <f>'План 1-я неделя'!C142</f>
        <v>252</v>
      </c>
      <c r="C77" s="962" t="str">
        <f>'План 1-я неделя'!D142</f>
        <v>Второе</v>
      </c>
      <c r="D77" s="962" t="str">
        <f>'План 1-я неделя'!E142</f>
        <v>Лазанья из кабачка с курицей</v>
      </c>
      <c r="E77" s="2576" t="str">
        <f>'План 1-я неделя'!BL142</f>
        <v/>
      </c>
      <c r="F77" s="2165">
        <f>'План 1-я неделя'!BN142</f>
        <v>10</v>
      </c>
      <c r="G77" s="962">
        <f>'План 1-я неделя'!BP142+F77</f>
        <v>97</v>
      </c>
      <c r="H77" s="962">
        <f t="shared" si="7"/>
        <v>24444</v>
      </c>
      <c r="I77" s="2587">
        <f>'План 1-я неделя'!BQ142</f>
        <v>0</v>
      </c>
      <c r="J77" s="2600">
        <f t="shared" si="8"/>
        <v>0</v>
      </c>
      <c r="K77" s="195"/>
      <c r="R77" s="145">
        <v>3711.0</v>
      </c>
      <c r="S77" s="1268" t="s">
        <v>1972</v>
      </c>
      <c r="T77" s="1268" t="s">
        <v>1433</v>
      </c>
    </row>
    <row r="78">
      <c r="A78" s="962">
        <f>'План 1-я неделя'!B143</f>
        <v>4017</v>
      </c>
      <c r="B78" s="962">
        <f>'План 1-я неделя'!C143</f>
        <v>248</v>
      </c>
      <c r="C78" s="962" t="str">
        <f>'План 1-я неделя'!D143</f>
        <v>Премиум</v>
      </c>
      <c r="D78" s="962" t="str">
        <f>'План 1-я неделя'!E143</f>
        <v>Удон с курицей в азиатском соусе </v>
      </c>
      <c r="E78" s="2576" t="str">
        <f>'План 1-я неделя'!BL143</f>
        <v/>
      </c>
      <c r="F78" s="2165" t="str">
        <f>'План 1-я неделя'!BN143</f>
        <v/>
      </c>
      <c r="G78" s="962">
        <f>'План 1-я неделя'!BP143+F78</f>
        <v>97</v>
      </c>
      <c r="H78" s="962">
        <f t="shared" si="7"/>
        <v>24056</v>
      </c>
      <c r="I78" s="2598">
        <f>'План 1-я неделя'!BQ143</f>
        <v>0</v>
      </c>
      <c r="J78" s="2600">
        <f t="shared" si="8"/>
        <v>0</v>
      </c>
      <c r="K78" s="195"/>
      <c r="R78" s="145">
        <v>3722.0</v>
      </c>
      <c r="S78" s="1268" t="s">
        <v>304</v>
      </c>
      <c r="T78" s="1268" t="s">
        <v>3436</v>
      </c>
    </row>
    <row r="79">
      <c r="A79" s="962" t="str">
        <f>'План 1-я неделя'!B144</f>
        <v/>
      </c>
      <c r="B79" s="962" t="str">
        <f>'План 1-я неделя'!C144</f>
        <v/>
      </c>
      <c r="C79" s="962" t="str">
        <f>'План 1-я неделя'!D144</f>
        <v/>
      </c>
      <c r="D79" s="962" t="str">
        <f>'План 1-я неделя'!E144</f>
        <v/>
      </c>
      <c r="E79" s="2576">
        <f>'План 1-я неделя'!BL144</f>
        <v>10</v>
      </c>
      <c r="F79" s="2165" t="str">
        <f>'План 1-я неделя'!BN144</f>
        <v/>
      </c>
      <c r="G79" s="962">
        <f>'План 1-я неделя'!BP144+F79</f>
        <v>11</v>
      </c>
      <c r="H79" s="962">
        <f t="shared" si="7"/>
        <v>0</v>
      </c>
      <c r="I79" s="2587">
        <f>'План 1-я неделя'!BQ144</f>
        <v>0</v>
      </c>
      <c r="J79" s="2600">
        <f t="shared" si="8"/>
        <v>0</v>
      </c>
      <c r="K79" s="195"/>
      <c r="R79" s="145">
        <v>3771.0</v>
      </c>
      <c r="S79" s="1268" t="s">
        <v>727</v>
      </c>
      <c r="T79" s="1268" t="s">
        <v>1437</v>
      </c>
    </row>
    <row r="80">
      <c r="A80" s="962">
        <f>'План 1-я неделя'!B145</f>
        <v>3486</v>
      </c>
      <c r="B80" s="962">
        <f>'План 1-я неделя'!C145</f>
        <v>175</v>
      </c>
      <c r="C80" s="962" t="str">
        <f>'План 1-я неделя'!D145</f>
        <v>Сэндвич</v>
      </c>
      <c r="D80" s="962" t="str">
        <f>'План 1-я неделя'!E145</f>
        <v>Сэндвич с курицей и соусом карри</v>
      </c>
      <c r="E80" s="2576" t="str">
        <f>'План 1-я неделя'!BL145</f>
        <v/>
      </c>
      <c r="F80" s="2165" t="str">
        <f>'План 1-я неделя'!BN145</f>
        <v/>
      </c>
      <c r="G80" s="962">
        <f>'План 1-я неделя'!BP145+F80</f>
        <v>116</v>
      </c>
      <c r="H80" s="962">
        <f t="shared" si="7"/>
        <v>20300</v>
      </c>
      <c r="I80" s="2587">
        <f>'План 1-я неделя'!BQ145</f>
        <v>0</v>
      </c>
      <c r="J80" s="2600">
        <f t="shared" si="8"/>
        <v>0</v>
      </c>
      <c r="K80" s="195"/>
    </row>
    <row r="81">
      <c r="A81" s="962">
        <f>'План 1-я неделя'!B146</f>
        <v>3140</v>
      </c>
      <c r="B81" s="962">
        <f>'План 1-я неделя'!C146</f>
        <v>165</v>
      </c>
      <c r="C81" s="962" t="str">
        <f>'План 1-я неделя'!D146</f>
        <v>Сэндвич</v>
      </c>
      <c r="D81" s="962" t="str">
        <f>'План 1-я неделя'!E146</f>
        <v>Сэндвич ''Снежный краб'' с соусом спайси</v>
      </c>
      <c r="E81" s="2576" t="str">
        <f>'План 1-я неделя'!BL146</f>
        <v/>
      </c>
      <c r="F81" s="2165" t="str">
        <f>'План 1-я неделя'!BN146</f>
        <v/>
      </c>
      <c r="G81" s="962">
        <f>'План 1-я неделя'!BP146+F81</f>
        <v>93</v>
      </c>
      <c r="H81" s="962">
        <f t="shared" si="7"/>
        <v>15345</v>
      </c>
      <c r="I81" s="2587">
        <f>'План 1-я неделя'!BQ146</f>
        <v>0</v>
      </c>
      <c r="J81" s="2600">
        <f t="shared" si="8"/>
        <v>0</v>
      </c>
      <c r="K81" s="195"/>
    </row>
    <row r="82">
      <c r="A82" s="962">
        <f>'План 1-я неделя'!B147</f>
        <v>2943</v>
      </c>
      <c r="B82" s="962">
        <f>'План 1-я неделя'!C147</f>
        <v>152</v>
      </c>
      <c r="C82" s="962" t="str">
        <f>'План 1-я неделя'!D147</f>
        <v>Япония</v>
      </c>
      <c r="D82" s="962" t="str">
        <f>'План 1-я неделя'!E147</f>
        <v>Онигири с куриным филе в соусе спайси</v>
      </c>
      <c r="E82" s="2576" t="str">
        <f>'План 1-я неделя'!BL147</f>
        <v/>
      </c>
      <c r="F82" s="2165" t="str">
        <f>'План 1-я неделя'!BN147</f>
        <v/>
      </c>
      <c r="G82" s="962">
        <f>'План 1-я неделя'!BP147+F82</f>
        <v>72</v>
      </c>
      <c r="H82" s="962">
        <f t="shared" si="7"/>
        <v>10944</v>
      </c>
      <c r="I82" s="2587">
        <f>'План 1-я неделя'!BQ147</f>
        <v>0</v>
      </c>
      <c r="J82" s="2600">
        <f t="shared" si="8"/>
        <v>0</v>
      </c>
      <c r="K82" s="195"/>
    </row>
    <row r="83">
      <c r="A83" s="962">
        <f>'План 1-я неделя'!B148</f>
        <v>4000</v>
      </c>
      <c r="B83" s="962">
        <f>'План 1-я неделя'!C148</f>
        <v>98</v>
      </c>
      <c r="C83" s="962" t="str">
        <f>'План 1-я неделя'!D148</f>
        <v>Япония</v>
      </c>
      <c r="D83" s="962" t="str">
        <f>'План 1-я неделя'!E148</f>
        <v>Компот из сухофруктов 0,5 л</v>
      </c>
      <c r="E83" s="2576" t="str">
        <f>'План 1-я неделя'!BL148</f>
        <v/>
      </c>
      <c r="F83" s="2165" t="str">
        <f>'План 1-я неделя'!BN148</f>
        <v/>
      </c>
      <c r="G83" s="962">
        <f>'План 1-я неделя'!BP148+F83</f>
        <v>1</v>
      </c>
      <c r="H83" s="962">
        <f t="shared" si="7"/>
        <v>98</v>
      </c>
      <c r="I83" s="2598">
        <f>'План 1-я неделя'!BQ148</f>
        <v>0</v>
      </c>
      <c r="J83" s="2600">
        <f t="shared" si="8"/>
        <v>0</v>
      </c>
      <c r="K83" s="195"/>
    </row>
    <row r="84">
      <c r="A84" s="962">
        <f>'План 1-я неделя'!B149</f>
        <v>822</v>
      </c>
      <c r="B84" s="962">
        <f>'План 1-я неделя'!C149</f>
        <v>5</v>
      </c>
      <c r="C84" s="962" t="str">
        <f>'План 1-я неделя'!D149</f>
        <v>Выпечка</v>
      </c>
      <c r="D84" s="962" t="str">
        <f>'План 1-я неделя'!E149</f>
        <v>Хлеб пшеничный</v>
      </c>
      <c r="E84" s="2576">
        <f>'План 1-я неделя'!BL149</f>
        <v>120</v>
      </c>
      <c r="F84" s="2165" t="str">
        <f>'План 1-я неделя'!BN149</f>
        <v/>
      </c>
      <c r="G84" s="962">
        <f>'План 1-я неделя'!BP149+F84</f>
        <v>121</v>
      </c>
      <c r="H84" s="962">
        <f t="shared" si="7"/>
        <v>605</v>
      </c>
      <c r="I84" s="2587">
        <f>'План 1-я неделя'!BQ149</f>
        <v>0</v>
      </c>
      <c r="J84" s="2600">
        <f t="shared" si="8"/>
        <v>0</v>
      </c>
      <c r="K84" s="195"/>
    </row>
    <row r="85">
      <c r="A85" s="962">
        <f>'План 1-я неделя'!B150</f>
        <v>3375</v>
      </c>
      <c r="B85" s="962">
        <f>'План 1-я неделя'!C150</f>
        <v>90</v>
      </c>
      <c r="C85" s="962" t="str">
        <f>'План 1-я неделя'!D150</f>
        <v>Выпечка</v>
      </c>
      <c r="D85" s="962" t="str">
        <f>'План 1-я неделя'!E150</f>
        <v>Самса с куриной грудкой 150 грамм</v>
      </c>
      <c r="E85" s="2576" t="str">
        <f>'План 1-я неделя'!BL150</f>
        <v/>
      </c>
      <c r="F85" s="2165" t="str">
        <f>'План 1-я неделя'!BN150</f>
        <v/>
      </c>
      <c r="G85" s="962">
        <f>'План 1-я неделя'!BP150+F85</f>
        <v>1</v>
      </c>
      <c r="H85" s="962">
        <f t="shared" si="7"/>
        <v>90</v>
      </c>
      <c r="I85" s="2587">
        <f>'План 1-я неделя'!BQ150</f>
        <v>0</v>
      </c>
      <c r="J85" s="2600">
        <f t="shared" si="8"/>
        <v>0</v>
      </c>
      <c r="K85" s="195"/>
    </row>
    <row r="86">
      <c r="A86" s="962" t="str">
        <f>'План 1-я неделя'!B151</f>
        <v/>
      </c>
      <c r="B86" s="962" t="str">
        <f>'План 1-я неделя'!C151</f>
        <v/>
      </c>
      <c r="C86" s="962" t="str">
        <f>'План 1-я неделя'!D151</f>
        <v/>
      </c>
      <c r="D86" s="962" t="str">
        <f>'План 1-я неделя'!E151</f>
        <v/>
      </c>
      <c r="E86" s="2576" t="str">
        <f>'План 1-я неделя'!BL151</f>
        <v/>
      </c>
      <c r="F86" s="2165" t="str">
        <f>'План 1-я неделя'!BN151</f>
        <v/>
      </c>
      <c r="G86" s="962">
        <f>'План 1-я неделя'!BP151+F86</f>
        <v>1</v>
      </c>
      <c r="H86" s="962">
        <f t="shared" si="7"/>
        <v>0</v>
      </c>
      <c r="I86" s="2598">
        <f>'План 1-я неделя'!BQ151</f>
        <v>0</v>
      </c>
      <c r="J86" s="2600">
        <f t="shared" si="8"/>
        <v>0</v>
      </c>
      <c r="K86" s="195"/>
    </row>
    <row r="87">
      <c r="A87" s="962" t="str">
        <f>'План 1-я неделя'!B152</f>
        <v/>
      </c>
      <c r="B87" s="962" t="str">
        <f>'План 1-я неделя'!C152</f>
        <v/>
      </c>
      <c r="C87" s="962" t="str">
        <f>'План 1-я неделя'!D152</f>
        <v/>
      </c>
      <c r="D87" s="962" t="str">
        <f>'План 1-я неделя'!E152</f>
        <v/>
      </c>
      <c r="E87" s="2576" t="str">
        <f>'План 1-я неделя'!BL152</f>
        <v/>
      </c>
      <c r="F87" s="2165" t="str">
        <f>'План 1-я неделя'!BN152</f>
        <v/>
      </c>
      <c r="G87" s="962">
        <f>'План 1-я неделя'!BP152+F87</f>
        <v>1</v>
      </c>
      <c r="H87" s="962">
        <f t="shared" si="7"/>
        <v>0</v>
      </c>
      <c r="I87" s="2587">
        <f>'План 1-я неделя'!BQ152</f>
        <v>0</v>
      </c>
      <c r="J87" s="2600">
        <f t="shared" si="8"/>
        <v>0</v>
      </c>
      <c r="K87" s="195"/>
    </row>
    <row r="88">
      <c r="A88" s="962" t="str">
        <f>'План 1-я неделя'!B153</f>
        <v/>
      </c>
      <c r="B88" s="962" t="str">
        <f>'План 1-я неделя'!C153</f>
        <v/>
      </c>
      <c r="C88" s="962" t="str">
        <f>'План 1-я неделя'!D153</f>
        <v/>
      </c>
      <c r="D88" s="962" t="str">
        <f>'План 1-я неделя'!E153</f>
        <v/>
      </c>
      <c r="E88" s="2576" t="str">
        <f>'План 1-я неделя'!BL153</f>
        <v/>
      </c>
      <c r="F88" s="2165" t="str">
        <f>'План 1-я неделя'!BN153</f>
        <v/>
      </c>
      <c r="G88" s="962">
        <f>'План 1-я неделя'!BP153+F88</f>
        <v>1</v>
      </c>
      <c r="H88" s="962">
        <f t="shared" si="7"/>
        <v>0</v>
      </c>
      <c r="I88" s="2587">
        <f>'План 1-я неделя'!BQ153</f>
        <v>0</v>
      </c>
      <c r="J88" s="2600">
        <f t="shared" si="8"/>
        <v>0</v>
      </c>
      <c r="K88" s="195"/>
    </row>
    <row r="89">
      <c r="A89" s="962" t="str">
        <f>'План 1-я неделя'!B154</f>
        <v/>
      </c>
      <c r="B89" s="962" t="str">
        <f>'План 1-я неделя'!C154</f>
        <v/>
      </c>
      <c r="C89" s="962" t="str">
        <f>'План 1-я неделя'!D154</f>
        <v/>
      </c>
      <c r="D89" s="962" t="str">
        <f>'План 1-я неделя'!E154</f>
        <v/>
      </c>
      <c r="E89" s="2576" t="str">
        <f>'План 1-я неделя'!BL154</f>
        <v/>
      </c>
      <c r="F89" s="2165" t="str">
        <f>'План 1-я неделя'!BN154</f>
        <v/>
      </c>
      <c r="G89" s="962">
        <f>'План 1-я неделя'!BP154+F89</f>
        <v>1</v>
      </c>
      <c r="H89" s="962">
        <f t="shared" si="7"/>
        <v>0</v>
      </c>
      <c r="I89" s="2587">
        <f>'План 1-я неделя'!BQ154</f>
        <v>0</v>
      </c>
      <c r="J89" s="2600">
        <f t="shared" si="8"/>
        <v>0</v>
      </c>
      <c r="K89" s="195"/>
    </row>
    <row r="90">
      <c r="I90" s="2570"/>
      <c r="J90" s="2599"/>
      <c r="K90" s="195"/>
    </row>
    <row r="91">
      <c r="A91" s="2605" t="str">
        <f>'План 1-я неделя'!A190</f>
        <v>Дата:  </v>
      </c>
      <c r="B91" s="2606">
        <f>'План 1-я неделя'!D190</f>
        <v>46232</v>
      </c>
      <c r="C91" s="2605"/>
      <c r="D91" s="2605" t="str">
        <f>'План 1-я неделя'!E190</f>
        <v>План на день кухня               СРЕДА</v>
      </c>
      <c r="H91" s="1346">
        <f>SUM(H93:H119)</f>
        <v>383793</v>
      </c>
      <c r="I91" s="2570"/>
      <c r="J91" s="2572">
        <f>SUM(J93:J119)</f>
        <v>309747</v>
      </c>
      <c r="K91" s="2573">
        <f>J91-H91</f>
        <v>-74046</v>
      </c>
      <c r="L91" s="2574" t="s">
        <v>1283</v>
      </c>
      <c r="M91" s="2574" t="s">
        <v>1428</v>
      </c>
      <c r="N91" s="2574" t="s">
        <v>3415</v>
      </c>
      <c r="O91" s="2574" t="s">
        <v>3416</v>
      </c>
      <c r="R91" s="2574" t="s">
        <v>1283</v>
      </c>
      <c r="S91" s="2574" t="s">
        <v>3283</v>
      </c>
      <c r="T91" s="2574" t="s">
        <v>3417</v>
      </c>
    </row>
    <row r="92">
      <c r="A92" s="2575" t="str">
        <f>'План 1-я неделя'!B191</f>
        <v>Код №</v>
      </c>
      <c r="B92" s="2575" t="str">
        <f>'План 1-я неделя'!C191</f>
        <v>Цена</v>
      </c>
      <c r="C92" s="2575" t="str">
        <f>'План 1-я неделя'!D191</f>
        <v>категория</v>
      </c>
      <c r="D92" s="2575" t="str">
        <f>'План 1-я неделя'!E191</f>
        <v>Название блюда</v>
      </c>
      <c r="E92" s="2576" t="str">
        <f>'План 1-я неделя'!BL191</f>
        <v>ТСПК</v>
      </c>
      <c r="F92" s="2165" t="str">
        <f>'План 1-я неделя'!BN191</f>
        <v>Стол</v>
      </c>
      <c r="G92" s="2165" t="s">
        <v>3421</v>
      </c>
      <c r="H92" s="2165" t="s">
        <v>3422</v>
      </c>
      <c r="I92" s="2578" t="s">
        <v>3424</v>
      </c>
      <c r="J92" s="2578" t="s">
        <v>3425</v>
      </c>
      <c r="K92" s="195"/>
      <c r="L92" s="145">
        <v>3936.0</v>
      </c>
      <c r="M92" s="1268" t="s">
        <v>2206</v>
      </c>
      <c r="N92" s="145">
        <v>15.3</v>
      </c>
      <c r="O92" s="145" t="s">
        <v>3429</v>
      </c>
      <c r="R92" s="145">
        <v>380.0</v>
      </c>
      <c r="S92" s="1268" t="s">
        <v>323</v>
      </c>
      <c r="T92" s="1268" t="s">
        <v>3436</v>
      </c>
    </row>
    <row r="93">
      <c r="A93" s="962">
        <f>'План 1-я неделя'!B192</f>
        <v>4045</v>
      </c>
      <c r="B93" s="962">
        <f>'План 1-я неделя'!C192</f>
        <v>145</v>
      </c>
      <c r="C93" s="962" t="str">
        <f>'План 1-я неделя'!D192</f>
        <v>Завтрак</v>
      </c>
      <c r="D93" s="962" t="str">
        <f>'План 1-я неделя'!E192</f>
        <v>Панкейки шоколадные с вареньем</v>
      </c>
      <c r="E93" s="2576" t="str">
        <f>'План 1-я неделя'!BL192</f>
        <v/>
      </c>
      <c r="F93" s="2165" t="str">
        <f>'План 1-я неделя'!BN192</f>
        <v/>
      </c>
      <c r="G93" s="962">
        <f>'План 1-я неделя'!BP192+F93</f>
        <v>105</v>
      </c>
      <c r="H93" s="962">
        <f t="shared" ref="H93:H119" si="9">B93*G93</f>
        <v>15225</v>
      </c>
      <c r="I93" s="2587">
        <f>'План 1-я неделя'!BQ192</f>
        <v>104</v>
      </c>
      <c r="J93" s="2600">
        <f t="shared" ref="J93:J119" si="10">B93*I93</f>
        <v>15080</v>
      </c>
      <c r="K93" s="195"/>
      <c r="R93" s="145">
        <v>654.0</v>
      </c>
      <c r="S93" s="1268" t="s">
        <v>277</v>
      </c>
      <c r="T93" s="1268" t="s">
        <v>3436</v>
      </c>
    </row>
    <row r="94">
      <c r="A94" s="962">
        <f>'План 1-я неделя'!B193</f>
        <v>1922</v>
      </c>
      <c r="B94" s="962">
        <f>'План 1-я неделя'!C193</f>
        <v>120</v>
      </c>
      <c r="C94" s="962" t="str">
        <f>'План 1-я неделя'!D193</f>
        <v>Завтрак</v>
      </c>
      <c r="D94" s="962" t="str">
        <f>'План 1-я неделя'!E193</f>
        <v>Блины фаршированные сочной курочкой</v>
      </c>
      <c r="E94" s="2576" t="str">
        <f>'План 1-я неделя'!BL193</f>
        <v/>
      </c>
      <c r="F94" s="2165">
        <f>'План 1-я неделя'!BN193</f>
        <v>10</v>
      </c>
      <c r="G94" s="962">
        <f>'План 1-я неделя'!BP193+F94</f>
        <v>152</v>
      </c>
      <c r="H94" s="962">
        <f t="shared" si="9"/>
        <v>18240</v>
      </c>
      <c r="I94" s="2587">
        <f>'План 1-я неделя'!BQ193</f>
        <v>141</v>
      </c>
      <c r="J94" s="2600">
        <f t="shared" si="10"/>
        <v>16920</v>
      </c>
      <c r="K94" s="195"/>
      <c r="L94" s="2574" t="s">
        <v>1283</v>
      </c>
      <c r="M94" s="2574" t="s">
        <v>1430</v>
      </c>
      <c r="N94" s="2574" t="s">
        <v>3415</v>
      </c>
      <c r="O94" s="2574" t="s">
        <v>3416</v>
      </c>
      <c r="R94" s="145">
        <v>822.0</v>
      </c>
      <c r="S94" s="1268" t="s">
        <v>136</v>
      </c>
      <c r="T94" s="1268" t="s">
        <v>3436</v>
      </c>
    </row>
    <row r="95">
      <c r="A95" s="962">
        <f>'План 1-я неделя'!B194</f>
        <v>385</v>
      </c>
      <c r="B95" s="962">
        <f>'План 1-я неделя'!C194</f>
        <v>83</v>
      </c>
      <c r="C95" s="962" t="str">
        <f>'План 1-я неделя'!D194</f>
        <v>Завтрак</v>
      </c>
      <c r="D95" s="962" t="str">
        <f>'План 1-я неделя'!E194</f>
        <v>Омлет воздушный</v>
      </c>
      <c r="E95" s="2576" t="str">
        <f>'План 1-я неделя'!BL194</f>
        <v/>
      </c>
      <c r="F95" s="2165" t="str">
        <f>'План 1-я неделя'!BN194</f>
        <v/>
      </c>
      <c r="G95" s="962">
        <f>'План 1-я неделя'!BP194+F95</f>
        <v>95</v>
      </c>
      <c r="H95" s="962">
        <f t="shared" si="9"/>
        <v>7885</v>
      </c>
      <c r="I95" s="2587">
        <f>'План 1-я неделя'!BQ194</f>
        <v>93</v>
      </c>
      <c r="J95" s="2600">
        <f t="shared" si="10"/>
        <v>7719</v>
      </c>
      <c r="K95" s="195"/>
      <c r="L95" s="145">
        <v>487.0</v>
      </c>
      <c r="M95" s="1268" t="s">
        <v>1443</v>
      </c>
      <c r="N95" s="145">
        <v>16.05</v>
      </c>
      <c r="O95" s="145" t="s">
        <v>3429</v>
      </c>
      <c r="R95" s="145">
        <v>1158.0</v>
      </c>
      <c r="S95" s="1268" t="s">
        <v>709</v>
      </c>
      <c r="T95" s="1268" t="s">
        <v>1437</v>
      </c>
    </row>
    <row r="96">
      <c r="A96" s="962">
        <f>'План 1-я неделя'!B195</f>
        <v>3316</v>
      </c>
      <c r="B96" s="962">
        <f>'План 1-я неделя'!C195</f>
        <v>98</v>
      </c>
      <c r="C96" s="962" t="str">
        <f>'План 1-я неделя'!D195</f>
        <v>Салат</v>
      </c>
      <c r="D96" s="962" t="str">
        <f>'План 1-я неделя'!E195</f>
        <v>Салат ''Витаминный с крабом'' 120 г</v>
      </c>
      <c r="E96" s="2576">
        <f>'План 1-я неделя'!BL195</f>
        <v>40</v>
      </c>
      <c r="F96" s="2165">
        <f>'План 1-я неделя'!BN195</f>
        <v>8</v>
      </c>
      <c r="G96" s="962">
        <f>'План 1-я неделя'!BP195+F96</f>
        <v>177</v>
      </c>
      <c r="H96" s="962">
        <f t="shared" si="9"/>
        <v>17346</v>
      </c>
      <c r="I96" s="2587">
        <f>'План 1-я неделя'!BQ195</f>
        <v>128</v>
      </c>
      <c r="J96" s="2600">
        <f t="shared" si="10"/>
        <v>12544</v>
      </c>
      <c r="K96" s="195"/>
      <c r="L96" s="145">
        <v>2247.0</v>
      </c>
      <c r="M96" s="1268" t="s">
        <v>1441</v>
      </c>
      <c r="N96" s="145">
        <v>30.6</v>
      </c>
      <c r="O96" s="145" t="s">
        <v>3429</v>
      </c>
      <c r="R96" s="145">
        <v>2079.0</v>
      </c>
      <c r="S96" s="1268" t="s">
        <v>361</v>
      </c>
      <c r="T96" s="1268" t="s">
        <v>3436</v>
      </c>
    </row>
    <row r="97">
      <c r="A97" s="962">
        <f>'План 1-я неделя'!B196</f>
        <v>31</v>
      </c>
      <c r="B97" s="962">
        <f>'План 1-я неделя'!C196</f>
        <v>98</v>
      </c>
      <c r="C97" s="962" t="str">
        <f>'План 1-я неделя'!D196</f>
        <v>Салат</v>
      </c>
      <c r="D97" s="962" t="str">
        <f>'План 1-я неделя'!E196</f>
        <v>Салат ''Прага'' (ветчина кур.)</v>
      </c>
      <c r="E97" s="2576">
        <f>'План 1-я неделя'!BL196</f>
        <v>45</v>
      </c>
      <c r="F97" s="2165">
        <f>'План 1-я неделя'!BN196</f>
        <v>8</v>
      </c>
      <c r="G97" s="962">
        <f>'План 1-я неделя'!BP196+F97</f>
        <v>143</v>
      </c>
      <c r="H97" s="962">
        <f t="shared" si="9"/>
        <v>14014</v>
      </c>
      <c r="I97" s="2587">
        <f>'План 1-я неделя'!BQ196</f>
        <v>89</v>
      </c>
      <c r="J97" s="2600">
        <f t="shared" si="10"/>
        <v>8722</v>
      </c>
      <c r="K97" s="195"/>
      <c r="L97" s="145">
        <v>2278.0</v>
      </c>
      <c r="M97" s="1268" t="s">
        <v>1439</v>
      </c>
      <c r="N97" s="145">
        <v>27.6</v>
      </c>
      <c r="O97" s="145" t="s">
        <v>3429</v>
      </c>
      <c r="R97" s="145">
        <v>2782.0</v>
      </c>
      <c r="S97" s="1268" t="s">
        <v>307</v>
      </c>
      <c r="T97" s="1268" t="s">
        <v>3436</v>
      </c>
    </row>
    <row r="98">
      <c r="A98" s="962">
        <f>'План 1-я неделя'!B197</f>
        <v>4055</v>
      </c>
      <c r="B98" s="962">
        <f>'План 1-я неделя'!C197</f>
        <v>98</v>
      </c>
      <c r="C98" s="962" t="str">
        <f>'План 1-я неделя'!D197</f>
        <v>Салат</v>
      </c>
      <c r="D98" s="962" t="str">
        <f>'План 1-я неделя'!E197</f>
        <v>Салат "Чикаго" (кура копченая)</v>
      </c>
      <c r="E98" s="2576">
        <f>'План 1-я неделя'!BL197</f>
        <v>45</v>
      </c>
      <c r="F98" s="2165" t="str">
        <f>'План 1-я неделя'!BN197</f>
        <v/>
      </c>
      <c r="G98" s="962">
        <f>'План 1-я неделя'!BP197+F98</f>
        <v>148</v>
      </c>
      <c r="H98" s="962">
        <f t="shared" si="9"/>
        <v>14504</v>
      </c>
      <c r="I98" s="2587">
        <f>'План 1-я неделя'!BQ197</f>
        <v>102</v>
      </c>
      <c r="J98" s="2600">
        <f t="shared" si="10"/>
        <v>9996</v>
      </c>
      <c r="K98" s="195"/>
      <c r="R98" s="145">
        <v>2929.0</v>
      </c>
      <c r="S98" s="1268" t="s">
        <v>415</v>
      </c>
      <c r="T98" s="1268" t="s">
        <v>3436</v>
      </c>
    </row>
    <row r="99">
      <c r="A99" s="962">
        <f>'План 1-я неделя'!B198</f>
        <v>3306</v>
      </c>
      <c r="B99" s="962">
        <f>'План 1-я неделя'!C198</f>
        <v>237</v>
      </c>
      <c r="C99" s="962" t="str">
        <f>'План 1-я неделя'!D198</f>
        <v>Премиум</v>
      </c>
      <c r="D99" s="962" t="str">
        <f>'План 1-я неделя'!E198</f>
        <v>Боул с курицей, бобами эдамаме и овощами</v>
      </c>
      <c r="E99" s="2576" t="str">
        <f>'План 1-я неделя'!BL198</f>
        <v/>
      </c>
      <c r="F99" s="2165" t="str">
        <f>'План 1-я неделя'!BN198</f>
        <v/>
      </c>
      <c r="G99" s="962">
        <f>'План 1-я неделя'!BP198+F99</f>
        <v>78</v>
      </c>
      <c r="H99" s="962">
        <f t="shared" si="9"/>
        <v>18486</v>
      </c>
      <c r="I99" s="2587">
        <f>'План 1-я неделя'!BQ198</f>
        <v>77</v>
      </c>
      <c r="J99" s="2600">
        <f t="shared" si="10"/>
        <v>18249</v>
      </c>
      <c r="K99" s="195"/>
      <c r="R99" s="145">
        <v>3045.0</v>
      </c>
      <c r="S99" s="1268" t="s">
        <v>308</v>
      </c>
      <c r="T99" s="1268" t="s">
        <v>3436</v>
      </c>
    </row>
    <row r="100">
      <c r="A100" s="962">
        <f>'План 1-я неделя'!B199</f>
        <v>380</v>
      </c>
      <c r="B100" s="962">
        <f>'План 1-я неделя'!C199</f>
        <v>114</v>
      </c>
      <c r="C100" s="962" t="str">
        <f>'План 1-я неделя'!D199</f>
        <v>Суп</v>
      </c>
      <c r="D100" s="962" t="str">
        <f>'План 1-я неделя'!E199</f>
        <v>Солянка</v>
      </c>
      <c r="E100" s="2576">
        <f>'План 1-я неделя'!BL199</f>
        <v>110</v>
      </c>
      <c r="F100" s="2165">
        <f>'План 1-я неделя'!BN199</f>
        <v>10</v>
      </c>
      <c r="G100" s="962">
        <f>'План 1-я неделя'!BP199+F100</f>
        <v>121</v>
      </c>
      <c r="H100" s="962">
        <f t="shared" si="9"/>
        <v>13794</v>
      </c>
      <c r="I100" s="2587">
        <f>'План 1-я неделя'!BQ199</f>
        <v>0</v>
      </c>
      <c r="J100" s="2600">
        <f t="shared" si="10"/>
        <v>0</v>
      </c>
      <c r="K100" s="195"/>
      <c r="R100" s="145">
        <v>3145.0</v>
      </c>
      <c r="S100" s="1268" t="s">
        <v>1033</v>
      </c>
      <c r="T100" s="1268" t="s">
        <v>3436</v>
      </c>
    </row>
    <row r="101">
      <c r="A101" s="962">
        <f>'План 1-я неделя'!B200</f>
        <v>3832</v>
      </c>
      <c r="B101" s="962">
        <f>'План 1-я неделя'!C200</f>
        <v>184</v>
      </c>
      <c r="C101" s="962" t="str">
        <f>'План 1-я неделя'!D200</f>
        <v>Суп</v>
      </c>
      <c r="D101" s="962" t="str">
        <f>'План 1-я неделя'!E200</f>
        <v>Суп Минестроне</v>
      </c>
      <c r="E101" s="2576" t="str">
        <f>'План 1-я неделя'!BL200</f>
        <v/>
      </c>
      <c r="F101" s="2165" t="str">
        <f>'План 1-я неделя'!BN200</f>
        <v/>
      </c>
      <c r="G101" s="962">
        <f>'План 1-я неделя'!BP200+F101</f>
        <v>35</v>
      </c>
      <c r="H101" s="962">
        <f t="shared" si="9"/>
        <v>6440</v>
      </c>
      <c r="I101" s="2587">
        <f>'План 1-я неделя'!BQ200</f>
        <v>34</v>
      </c>
      <c r="J101" s="2600">
        <f t="shared" si="10"/>
        <v>6256</v>
      </c>
      <c r="K101" s="195"/>
      <c r="R101" s="145">
        <v>3170.0</v>
      </c>
      <c r="S101" s="1268" t="s">
        <v>528</v>
      </c>
      <c r="T101" s="1268" t="s">
        <v>3436</v>
      </c>
    </row>
    <row r="102">
      <c r="A102" s="962">
        <f>'План 1-я неделя'!B201</f>
        <v>4120</v>
      </c>
      <c r="B102" s="962">
        <f>'План 1-я неделя'!C201</f>
        <v>212</v>
      </c>
      <c r="C102" s="962" t="str">
        <f>'План 1-я неделя'!D201</f>
        <v>Второе</v>
      </c>
      <c r="D102" s="962" t="str">
        <f>'План 1-я неделя'!E201</f>
        <v>Курочка в сливочном соусе со спагетти</v>
      </c>
      <c r="E102" s="2576">
        <f>'План 1-я неделя'!BL201</f>
        <v>30</v>
      </c>
      <c r="F102" s="2165" t="str">
        <f>'План 1-я неделя'!BN201</f>
        <v/>
      </c>
      <c r="G102" s="2602">
        <f>'План 1-я неделя'!BP201+F102</f>
        <v>155</v>
      </c>
      <c r="H102" s="962">
        <f t="shared" si="9"/>
        <v>32860</v>
      </c>
      <c r="I102" s="2598">
        <f>'План 1-я неделя'!BQ201</f>
        <v>124</v>
      </c>
      <c r="J102" s="2600">
        <f t="shared" si="10"/>
        <v>26288</v>
      </c>
      <c r="K102" s="195"/>
      <c r="R102" s="145">
        <v>3399.0</v>
      </c>
      <c r="S102" s="1268" t="s">
        <v>1128</v>
      </c>
      <c r="T102" s="1268" t="s">
        <v>3436</v>
      </c>
    </row>
    <row r="103">
      <c r="A103" s="962">
        <f>'План 1-я неделя'!B202</f>
        <v>1873</v>
      </c>
      <c r="B103" s="962">
        <f>'План 1-я неделя'!C202</f>
        <v>221</v>
      </c>
      <c r="C103" s="962" t="str">
        <f>'План 1-я неделя'!D202</f>
        <v>Второе</v>
      </c>
      <c r="D103" s="962" t="str">
        <f>'План 1-я неделя'!E202</f>
        <v>Колбаса ''Баварская'' с пюре и тушеной капустой</v>
      </c>
      <c r="E103" s="2576" t="str">
        <f>'План 1-я неделя'!BL202</f>
        <v/>
      </c>
      <c r="F103" s="2165">
        <f>'План 1-я неделя'!BN202</f>
        <v>10</v>
      </c>
      <c r="G103" s="962">
        <f>'План 1-я неделя'!BP202+F103</f>
        <v>124</v>
      </c>
      <c r="H103" s="962">
        <f t="shared" si="9"/>
        <v>27404</v>
      </c>
      <c r="I103" s="2587">
        <f>'План 1-я неделя'!BQ202</f>
        <v>113</v>
      </c>
      <c r="J103" s="2600">
        <f t="shared" si="10"/>
        <v>24973</v>
      </c>
      <c r="K103" s="195"/>
      <c r="R103" s="145">
        <v>3454.0</v>
      </c>
      <c r="S103" s="1268" t="s">
        <v>346</v>
      </c>
      <c r="T103" s="1268" t="s">
        <v>3436</v>
      </c>
    </row>
    <row r="104">
      <c r="A104" s="962">
        <f>'План 1-я неделя'!B203</f>
        <v>1151</v>
      </c>
      <c r="B104" s="962">
        <f>'План 1-я неделя'!C203</f>
        <v>198</v>
      </c>
      <c r="C104" s="962" t="str">
        <f>'План 1-я неделя'!D203</f>
        <v>Второе</v>
      </c>
      <c r="D104" s="962" t="str">
        <f>'План 1-я неделя'!E203</f>
        <v>Тефтели куриные с гречкой</v>
      </c>
      <c r="E104" s="2576">
        <f>'План 1-я неделя'!BL203</f>
        <v>30</v>
      </c>
      <c r="F104" s="2165">
        <f>'План 1-я неделя'!BN203</f>
        <v>10</v>
      </c>
      <c r="G104" s="962">
        <f>'План 1-я неделя'!BP203+F104</f>
        <v>122</v>
      </c>
      <c r="H104" s="962">
        <f t="shared" si="9"/>
        <v>24156</v>
      </c>
      <c r="I104" s="2587">
        <f>'План 1-я неделя'!BQ203</f>
        <v>80</v>
      </c>
      <c r="J104" s="2600">
        <f t="shared" si="10"/>
        <v>15840</v>
      </c>
      <c r="K104" s="195"/>
      <c r="R104" s="145">
        <v>3519.0</v>
      </c>
      <c r="S104" s="1268" t="s">
        <v>582</v>
      </c>
      <c r="T104" s="1268" t="s">
        <v>3436</v>
      </c>
    </row>
    <row r="105">
      <c r="A105" s="962">
        <f>'План 1-я неделя'!B204</f>
        <v>4238</v>
      </c>
      <c r="B105" s="962">
        <f>'План 1-я неделя'!C204</f>
        <v>226</v>
      </c>
      <c r="C105" s="962" t="str">
        <f>'План 1-я неделя'!D204</f>
        <v>Второе</v>
      </c>
      <c r="D105" s="962" t="str">
        <f>'План 1-я неделя'!E204</f>
        <v>Тефтели куриные с овощами на пару</v>
      </c>
      <c r="E105" s="2576" t="str">
        <f>'План 1-я неделя'!BL204</f>
        <v/>
      </c>
      <c r="F105" s="2165">
        <f>'План 1-я неделя'!BN204</f>
        <v>10</v>
      </c>
      <c r="G105" s="962">
        <f>'План 1-я неделя'!BP204+F105</f>
        <v>98</v>
      </c>
      <c r="H105" s="962">
        <f t="shared" si="9"/>
        <v>22148</v>
      </c>
      <c r="I105" s="2587">
        <f>'План 1-я неделя'!BQ204</f>
        <v>87</v>
      </c>
      <c r="J105" s="2600">
        <f t="shared" si="10"/>
        <v>19662</v>
      </c>
      <c r="K105" s="195"/>
      <c r="R105" s="145">
        <v>3527.0</v>
      </c>
      <c r="S105" s="1268" t="s">
        <v>329</v>
      </c>
      <c r="T105" s="1268" t="s">
        <v>3436</v>
      </c>
    </row>
    <row r="106">
      <c r="A106" s="962">
        <f>'План 1-я неделя'!B205</f>
        <v>3515</v>
      </c>
      <c r="B106" s="962">
        <f>'План 1-я неделя'!C205</f>
        <v>248</v>
      </c>
      <c r="C106" s="962" t="str">
        <f>'План 1-я неделя'!D205</f>
        <v>Второе</v>
      </c>
      <c r="D106" s="962" t="str">
        <f>'План 1-я неделя'!E205</f>
        <v>Тилапия в соусе сальса с пюре</v>
      </c>
      <c r="E106" s="2576" t="str">
        <f>'План 1-я неделя'!BL205</f>
        <v/>
      </c>
      <c r="F106" s="2165" t="str">
        <f>'План 1-я неделя'!BN205</f>
        <v/>
      </c>
      <c r="G106" s="962">
        <f>'План 1-я неделя'!BP205+F106</f>
        <v>1</v>
      </c>
      <c r="H106" s="962">
        <f t="shared" si="9"/>
        <v>248</v>
      </c>
      <c r="I106" s="2587">
        <f>'План 1-я неделя'!BQ205</f>
        <v>22</v>
      </c>
      <c r="J106" s="2600">
        <f t="shared" si="10"/>
        <v>5456</v>
      </c>
      <c r="K106" s="195"/>
      <c r="R106" s="145">
        <v>3594.0</v>
      </c>
      <c r="S106" s="1268" t="s">
        <v>714</v>
      </c>
      <c r="T106" s="1268" t="s">
        <v>3436</v>
      </c>
    </row>
    <row r="107">
      <c r="A107" s="962">
        <f>'План 1-я неделя'!B206</f>
        <v>1051</v>
      </c>
      <c r="B107" s="962">
        <f>'План 1-я неделя'!C206</f>
        <v>188</v>
      </c>
      <c r="C107" s="962" t="str">
        <f>'План 1-я неделя'!D206</f>
        <v>Второе</v>
      </c>
      <c r="D107" s="962" t="str">
        <f>'План 1-я неделя'!E206</f>
        <v>Горбуша жареная с рисом</v>
      </c>
      <c r="E107" s="2576">
        <f>'План 1-я неделя'!BL206</f>
        <v>70</v>
      </c>
      <c r="F107" s="2165" t="str">
        <f>'План 1-я неделя'!BN206</f>
        <v/>
      </c>
      <c r="G107" s="962">
        <f>'План 1-я неделя'!BP206+F107</f>
        <v>105</v>
      </c>
      <c r="H107" s="962">
        <f t="shared" si="9"/>
        <v>19740</v>
      </c>
      <c r="I107" s="2587">
        <f>'План 1-я неделя'!BQ206</f>
        <v>34</v>
      </c>
      <c r="J107" s="2600">
        <f t="shared" si="10"/>
        <v>6392</v>
      </c>
      <c r="K107" s="195"/>
      <c r="R107" s="145">
        <v>3654.0</v>
      </c>
      <c r="S107" s="1268" t="s">
        <v>461</v>
      </c>
      <c r="T107" s="1268" t="s">
        <v>3436</v>
      </c>
    </row>
    <row r="108">
      <c r="A108" s="962">
        <f>'План 1-я неделя'!B207</f>
        <v>4032</v>
      </c>
      <c r="B108" s="962">
        <f>'План 1-я неделя'!C207</f>
        <v>238</v>
      </c>
      <c r="C108" s="962" t="str">
        <f>'План 1-я неделя'!D207</f>
        <v>Премиум</v>
      </c>
      <c r="D108" s="962" t="str">
        <f>'План 1-я неделя'!E207</f>
        <v>Печень по-царски со сливочным пюре</v>
      </c>
      <c r="E108" s="2576" t="str">
        <f>'План 1-я неделя'!BL207</f>
        <v/>
      </c>
      <c r="F108" s="2165" t="str">
        <f>'План 1-я неделя'!BN207</f>
        <v/>
      </c>
      <c r="G108" s="962">
        <f>'План 1-я неделя'!BP207+F108</f>
        <v>65</v>
      </c>
      <c r="H108" s="962">
        <f t="shared" si="9"/>
        <v>15470</v>
      </c>
      <c r="I108" s="2587">
        <f>'План 1-я неделя'!BQ207</f>
        <v>61</v>
      </c>
      <c r="J108" s="2600">
        <f t="shared" si="10"/>
        <v>14518</v>
      </c>
      <c r="K108" s="195"/>
      <c r="R108" s="145">
        <v>3662.0</v>
      </c>
      <c r="S108" s="1268" t="s">
        <v>971</v>
      </c>
      <c r="T108" s="1268" t="s">
        <v>1437</v>
      </c>
    </row>
    <row r="109">
      <c r="A109" s="962" t="str">
        <f>'План 1-я неделя'!B208</f>
        <v/>
      </c>
      <c r="B109" s="962" t="str">
        <f>'План 1-я неделя'!C208</f>
        <v/>
      </c>
      <c r="C109" s="962" t="str">
        <f>'План 1-я неделя'!D208</f>
        <v/>
      </c>
      <c r="D109" s="962" t="str">
        <f>'План 1-я неделя'!E208</f>
        <v/>
      </c>
      <c r="E109" s="2576">
        <f>'План 1-я неделя'!BL208</f>
        <v>10</v>
      </c>
      <c r="F109" s="2165" t="str">
        <f>'План 1-я неделя'!BN208</f>
        <v/>
      </c>
      <c r="G109" s="962">
        <f>'План 1-я неделя'!BP208+F109</f>
        <v>11</v>
      </c>
      <c r="H109" s="962">
        <f t="shared" si="9"/>
        <v>0</v>
      </c>
      <c r="I109" s="2587">
        <f>'План 1-я неделя'!BQ208</f>
        <v>0</v>
      </c>
      <c r="J109" s="2600">
        <f t="shared" si="10"/>
        <v>0</v>
      </c>
      <c r="K109" s="195"/>
      <c r="R109" s="145">
        <v>3735.0</v>
      </c>
      <c r="S109" s="1268" t="s">
        <v>927</v>
      </c>
      <c r="T109" s="1268" t="s">
        <v>3436</v>
      </c>
    </row>
    <row r="110">
      <c r="A110" s="962">
        <f>'План 1-я неделя'!B209</f>
        <v>2904</v>
      </c>
      <c r="B110" s="962">
        <f>'План 1-я неделя'!C209</f>
        <v>190</v>
      </c>
      <c r="C110" s="962" t="str">
        <f>'План 1-я неделя'!D209</f>
        <v>Сэндвич</v>
      </c>
      <c r="D110" s="962" t="str">
        <f>'План 1-я неделя'!E209</f>
        <v>Ассорти сэндвич (пепперони/ветчина)</v>
      </c>
      <c r="E110" s="2576">
        <f>'План 1-я неделя'!BL209</f>
        <v>120</v>
      </c>
      <c r="F110" s="2165" t="str">
        <f>'План 1-я неделя'!BN209</f>
        <v/>
      </c>
      <c r="G110" s="962">
        <f>'План 1-я неделя'!BP209+F110</f>
        <v>218</v>
      </c>
      <c r="H110" s="962">
        <f t="shared" si="9"/>
        <v>41420</v>
      </c>
      <c r="I110" s="2587">
        <f>'План 1-я неделя'!BQ209</f>
        <v>97</v>
      </c>
      <c r="J110" s="2600">
        <f t="shared" si="10"/>
        <v>18430</v>
      </c>
      <c r="K110" s="195"/>
      <c r="R110" s="145">
        <v>3752.0</v>
      </c>
      <c r="S110" s="1268" t="s">
        <v>339</v>
      </c>
      <c r="T110" s="1268" t="s">
        <v>3436</v>
      </c>
    </row>
    <row r="111">
      <c r="A111" s="962">
        <f>'План 1-я неделя'!B210</f>
        <v>4239</v>
      </c>
      <c r="B111" s="962">
        <f>'План 1-я неделя'!C210</f>
        <v>172</v>
      </c>
      <c r="C111" s="962" t="str">
        <f>'План 1-я неделя'!D210</f>
        <v>Сэндвич</v>
      </c>
      <c r="D111" s="962" t="str">
        <f>'План 1-я неделя'!E210</f>
        <v>Сэндвич с запеченной курочкой и соусом Релиш</v>
      </c>
      <c r="E111" s="2576" t="str">
        <f>'План 1-я неделя'!BL210</f>
        <v/>
      </c>
      <c r="F111" s="2165" t="str">
        <f>'План 1-я неделя'!BN210</f>
        <v/>
      </c>
      <c r="G111" s="962">
        <f>'План 1-я неделя'!BP210+F111</f>
        <v>266</v>
      </c>
      <c r="H111" s="962">
        <f t="shared" si="9"/>
        <v>45752</v>
      </c>
      <c r="I111" s="2587">
        <f>'План 1-я неделя'!BQ210</f>
        <v>268</v>
      </c>
      <c r="J111" s="2600">
        <f t="shared" si="10"/>
        <v>46096</v>
      </c>
      <c r="K111" s="195"/>
    </row>
    <row r="112">
      <c r="A112" s="962" t="str">
        <f>'План 1-я неделя'!B211</f>
        <v/>
      </c>
      <c r="B112" s="962" t="str">
        <f>'План 1-я неделя'!C211</f>
        <v/>
      </c>
      <c r="C112" s="962" t="str">
        <f>'План 1-я неделя'!D211</f>
        <v/>
      </c>
      <c r="D112" s="962" t="str">
        <f>'План 1-я неделя'!E211</f>
        <v/>
      </c>
      <c r="E112" s="2576">
        <f>'План 1-я неделя'!BL211</f>
        <v>15</v>
      </c>
      <c r="F112" s="2165" t="str">
        <f>'План 1-я неделя'!BN211</f>
        <v/>
      </c>
      <c r="G112" s="962">
        <f>'План 1-я неделя'!BP211+F112</f>
        <v>16</v>
      </c>
      <c r="H112" s="962">
        <f t="shared" si="9"/>
        <v>0</v>
      </c>
      <c r="I112" s="2587">
        <f>'План 1-я неделя'!BQ211</f>
        <v>0</v>
      </c>
      <c r="J112" s="2600">
        <f t="shared" si="10"/>
        <v>0</v>
      </c>
      <c r="K112" s="195"/>
    </row>
    <row r="113">
      <c r="A113" s="962">
        <f>'План 1-я неделя'!B212</f>
        <v>3194</v>
      </c>
      <c r="B113" s="962">
        <f>'План 1-я неделя'!C212</f>
        <v>85</v>
      </c>
      <c r="C113" s="962" t="str">
        <f>'План 1-я неделя'!D212</f>
        <v>Япония</v>
      </c>
      <c r="D113" s="962" t="str">
        <f>'План 1-я неделя'!E212</f>
        <v>Морс из вишни 0.5</v>
      </c>
      <c r="E113" s="2576" t="str">
        <f>'План 1-я неделя'!BL212</f>
        <v/>
      </c>
      <c r="F113" s="2165" t="str">
        <f>'План 1-я неделя'!BN212</f>
        <v/>
      </c>
      <c r="G113" s="962">
        <f>'План 1-я неделя'!BP212+F113</f>
        <v>102</v>
      </c>
      <c r="H113" s="962">
        <f t="shared" si="9"/>
        <v>8670</v>
      </c>
      <c r="I113" s="2587">
        <f>'План 1-я неделя'!BQ212</f>
        <v>101</v>
      </c>
      <c r="J113" s="2600">
        <f t="shared" si="10"/>
        <v>8585</v>
      </c>
      <c r="K113" s="195"/>
    </row>
    <row r="114">
      <c r="A114" s="962">
        <f>'План 1-я неделя'!B213</f>
        <v>822</v>
      </c>
      <c r="B114" s="962">
        <f>'План 1-я неделя'!C213</f>
        <v>5</v>
      </c>
      <c r="C114" s="962" t="str">
        <f>'План 1-я неделя'!D213</f>
        <v>Выпечка</v>
      </c>
      <c r="D114" s="962" t="str">
        <f>'План 1-я неделя'!E213</f>
        <v>Хлеб пшеничный</v>
      </c>
      <c r="E114" s="2576" t="str">
        <f>'План 1-я неделя'!BL213</f>
        <v/>
      </c>
      <c r="F114" s="2165" t="str">
        <f>'План 1-я неделя'!BN213</f>
        <v/>
      </c>
      <c r="G114" s="962">
        <f>'План 1-я неделя'!BP213+F114</f>
        <v>122</v>
      </c>
      <c r="H114" s="962">
        <f t="shared" si="9"/>
        <v>610</v>
      </c>
      <c r="I114" s="2598">
        <f>'План 1-я неделя'!BQ213</f>
        <v>121</v>
      </c>
      <c r="J114" s="2600">
        <f t="shared" si="10"/>
        <v>605</v>
      </c>
      <c r="K114" s="195"/>
    </row>
    <row r="115">
      <c r="A115" s="962">
        <f>'План 1-я неделя'!B214</f>
        <v>3527</v>
      </c>
      <c r="B115" s="962">
        <f>'План 1-я неделя'!C214</f>
        <v>96</v>
      </c>
      <c r="C115" s="962" t="str">
        <f>'План 1-я неделя'!D214</f>
        <v>Выпечка</v>
      </c>
      <c r="D115" s="962" t="str">
        <f>'План 1-я неделя'!E214</f>
        <v>Хачапури 100 гр</v>
      </c>
      <c r="E115" s="2576" t="str">
        <f>'План 1-я неделя'!BL214</f>
        <v/>
      </c>
      <c r="F115" s="2165" t="str">
        <f>'План 1-я неделя'!BN214</f>
        <v/>
      </c>
      <c r="G115" s="962">
        <f>'План 1-я неделя'!BP214+F115</f>
        <v>24</v>
      </c>
      <c r="H115" s="962">
        <f t="shared" si="9"/>
        <v>2304</v>
      </c>
      <c r="I115" s="2587">
        <f>'План 1-я неделя'!BQ214</f>
        <v>23</v>
      </c>
      <c r="J115" s="2600">
        <f t="shared" si="10"/>
        <v>2208</v>
      </c>
      <c r="K115" s="195"/>
    </row>
    <row r="116">
      <c r="A116" s="962">
        <f>'План 1-я неделя'!B215</f>
        <v>3454</v>
      </c>
      <c r="B116" s="962">
        <f>'План 1-я неделя'!C215</f>
        <v>67</v>
      </c>
      <c r="C116" s="962" t="str">
        <f>'План 1-я неделя'!D215</f>
        <v>Выпечка</v>
      </c>
      <c r="D116" s="962" t="str">
        <f>'План 1-я неделя'!E215</f>
        <v>Рулетик с корицей 100 гр</v>
      </c>
      <c r="E116" s="2576" t="str">
        <f>'План 1-я неделя'!BL215</f>
        <v/>
      </c>
      <c r="F116" s="2165" t="str">
        <f>'План 1-я неделя'!BN215</f>
        <v/>
      </c>
      <c r="G116" s="962">
        <f>'План 1-я неделя'!BP215+F116</f>
        <v>1</v>
      </c>
      <c r="H116" s="962">
        <f t="shared" si="9"/>
        <v>67</v>
      </c>
      <c r="I116" s="2587">
        <f>'План 1-я неделя'!BQ215</f>
        <v>44</v>
      </c>
      <c r="J116" s="2600">
        <f t="shared" si="10"/>
        <v>2948</v>
      </c>
      <c r="K116" s="195"/>
    </row>
    <row r="117">
      <c r="A117" s="962">
        <f>'План 1-я неделя'!B216</f>
        <v>2079</v>
      </c>
      <c r="B117" s="962">
        <f>'План 1-я неделя'!C216</f>
        <v>105</v>
      </c>
      <c r="C117" s="962" t="str">
        <f>'План 1-я неделя'!D216</f>
        <v>Выпечка</v>
      </c>
      <c r="D117" s="962" t="str">
        <f>'План 1-я неделя'!E216</f>
        <v>Вафельная трубочка с вареной сгущенкой</v>
      </c>
      <c r="E117" s="2576" t="str">
        <f>'План 1-я неделя'!BL216</f>
        <v/>
      </c>
      <c r="F117" s="2165">
        <f>'План 1-я неделя'!BN216</f>
        <v>15</v>
      </c>
      <c r="G117" s="962">
        <f>'План 1-я неделя'!BP216+F117</f>
        <v>162</v>
      </c>
      <c r="H117" s="962">
        <f t="shared" si="9"/>
        <v>17010</v>
      </c>
      <c r="I117" s="2598">
        <f>'План 1-я неделя'!BQ216</f>
        <v>212</v>
      </c>
      <c r="J117" s="2600">
        <f t="shared" si="10"/>
        <v>22260</v>
      </c>
      <c r="K117" s="195"/>
    </row>
    <row r="118">
      <c r="A118" s="962" t="str">
        <f>'План 1-я неделя'!B217</f>
        <v/>
      </c>
      <c r="B118" s="962" t="str">
        <f>'План 1-я неделя'!C217</f>
        <v/>
      </c>
      <c r="C118" s="962" t="str">
        <f>'План 1-я неделя'!D217</f>
        <v/>
      </c>
      <c r="D118" s="962" t="str">
        <f>'План 1-я неделя'!E217</f>
        <v/>
      </c>
      <c r="E118" s="2576" t="str">
        <f>'План 1-я неделя'!BL217</f>
        <v/>
      </c>
      <c r="F118" s="2165" t="str">
        <f>'План 1-я неделя'!BN217</f>
        <v/>
      </c>
      <c r="G118" s="2602">
        <f>'План 1-я неделя'!BP217+F118</f>
        <v>65</v>
      </c>
      <c r="H118" s="962">
        <f t="shared" si="9"/>
        <v>0</v>
      </c>
      <c r="I118" s="2598">
        <f>'План 1-я неделя'!BQ217</f>
        <v>65</v>
      </c>
      <c r="J118" s="2600">
        <f t="shared" si="10"/>
        <v>0</v>
      </c>
      <c r="K118" s="195"/>
    </row>
    <row r="119">
      <c r="A119" s="962" t="str">
        <f>'План 1-я неделя'!B218</f>
        <v/>
      </c>
      <c r="B119" s="962" t="str">
        <f>'План 1-я неделя'!C218</f>
        <v/>
      </c>
      <c r="C119" s="962" t="str">
        <f>'План 1-я неделя'!D218</f>
        <v/>
      </c>
      <c r="D119" s="962" t="str">
        <f>'План 1-я неделя'!E218</f>
        <v/>
      </c>
      <c r="E119" s="2576" t="str">
        <f>'План 1-я неделя'!BL218</f>
        <v/>
      </c>
      <c r="F119" s="2165" t="str">
        <f>'План 1-я неделя'!BN218</f>
        <v/>
      </c>
      <c r="G119" s="962">
        <f>'План 1-я неделя'!BP218+F119</f>
        <v>1</v>
      </c>
      <c r="H119" s="962">
        <f t="shared" si="9"/>
        <v>0</v>
      </c>
      <c r="I119" s="2587">
        <f>'План 1-я неделя'!BQ218</f>
        <v>20</v>
      </c>
      <c r="J119" s="2600">
        <f t="shared" si="10"/>
        <v>0</v>
      </c>
      <c r="K119" s="195"/>
    </row>
    <row r="120">
      <c r="I120" s="2570"/>
      <c r="J120" s="2599"/>
      <c r="K120" s="195"/>
    </row>
    <row r="121">
      <c r="A121" s="2607" t="str">
        <f>'План 1-я неделя'!A254</f>
        <v>Дата:  </v>
      </c>
      <c r="B121" s="2608">
        <f>'План 1-я неделя'!D254</f>
        <v>46233</v>
      </c>
      <c r="C121" s="2607"/>
      <c r="D121" s="2607" t="str">
        <f>'План 1-я неделя'!E254</f>
        <v>План на день кухня               ЧЕТВЕРГ</v>
      </c>
      <c r="H121" s="1346">
        <f>SUM(H123:H148)</f>
        <v>357208</v>
      </c>
      <c r="I121" s="2570"/>
      <c r="J121" s="2572">
        <f>SUM(J123:J148)</f>
        <v>248277</v>
      </c>
      <c r="K121" s="2573">
        <f>J121-H121</f>
        <v>-108931</v>
      </c>
      <c r="L121" s="2574" t="s">
        <v>1283</v>
      </c>
      <c r="M121" s="2574" t="s">
        <v>1428</v>
      </c>
      <c r="N121" s="2574" t="s">
        <v>3415</v>
      </c>
      <c r="O121" s="2574" t="s">
        <v>3416</v>
      </c>
      <c r="R121" s="2574" t="s">
        <v>1283</v>
      </c>
      <c r="S121" s="2574" t="s">
        <v>3283</v>
      </c>
      <c r="T121" s="2574" t="s">
        <v>3417</v>
      </c>
    </row>
    <row r="122">
      <c r="A122" s="2575" t="str">
        <f>'План 1-я неделя'!B255</f>
        <v>Код №</v>
      </c>
      <c r="B122" s="2575" t="str">
        <f>'План 1-я неделя'!C255</f>
        <v>Цена</v>
      </c>
      <c r="C122" s="2575" t="str">
        <f>'План 1-я неделя'!D255</f>
        <v>категория</v>
      </c>
      <c r="D122" s="2575" t="str">
        <f>'План 1-я неделя'!E255</f>
        <v>Название блюда</v>
      </c>
      <c r="E122" s="2576" t="str">
        <f>'План 1-я неделя'!BL255</f>
        <v>ТСПК</v>
      </c>
      <c r="F122" s="2165" t="str">
        <f>'План 1-я неделя'!BN255</f>
        <v>Стол</v>
      </c>
      <c r="G122" s="2165" t="s">
        <v>3421</v>
      </c>
      <c r="H122" s="2165" t="s">
        <v>3422</v>
      </c>
      <c r="I122" s="2578" t="s">
        <v>3424</v>
      </c>
      <c r="J122" s="2578" t="s">
        <v>3425</v>
      </c>
      <c r="K122" s="195"/>
      <c r="L122" s="145">
        <v>26.0</v>
      </c>
      <c r="M122" s="1268" t="s">
        <v>397</v>
      </c>
      <c r="N122" s="145">
        <v>10.25</v>
      </c>
      <c r="O122" s="145" t="s">
        <v>3429</v>
      </c>
      <c r="R122" s="145">
        <v>3.0</v>
      </c>
      <c r="S122" s="1268" t="s">
        <v>404</v>
      </c>
      <c r="T122" s="1268" t="s">
        <v>3436</v>
      </c>
    </row>
    <row r="123">
      <c r="A123" s="962">
        <f>'План 1-я неделя'!B256</f>
        <v>3970</v>
      </c>
      <c r="B123" s="962">
        <f>'План 1-я неделя'!C256</f>
        <v>93</v>
      </c>
      <c r="C123" s="962" t="str">
        <f>'План 1-я неделя'!D256</f>
        <v>Завтрак</v>
      </c>
      <c r="D123" s="962" t="str">
        <f>'План 1-я неделя'!E256</f>
        <v>Каша овсяная (на молоке)</v>
      </c>
      <c r="E123" s="2576" t="str">
        <f>'План 1-я неделя'!BL256</f>
        <v/>
      </c>
      <c r="F123" s="1391" t="str">
        <f>'План 1-я неделя'!BN256</f>
        <v/>
      </c>
      <c r="G123" s="2602">
        <f>'План 1-я неделя'!BP256+F123</f>
        <v>84</v>
      </c>
      <c r="H123" s="962">
        <f t="shared" ref="H123:H148" si="11">B123*G123</f>
        <v>7812</v>
      </c>
      <c r="I123" s="2598">
        <f>'План 1-я неделя'!BQ256</f>
        <v>0</v>
      </c>
      <c r="J123" s="2600">
        <f t="shared" ref="J123:J148" si="12">B123*I123</f>
        <v>0</v>
      </c>
      <c r="K123" s="195"/>
      <c r="L123" s="145">
        <v>2390.0</v>
      </c>
      <c r="M123" s="1268" t="s">
        <v>1963</v>
      </c>
      <c r="N123" s="145">
        <v>8.4</v>
      </c>
      <c r="O123" s="145" t="s">
        <v>3429</v>
      </c>
      <c r="R123" s="145">
        <v>5.0</v>
      </c>
      <c r="S123" s="1268" t="s">
        <v>387</v>
      </c>
      <c r="T123" s="1268" t="s">
        <v>3436</v>
      </c>
    </row>
    <row r="124">
      <c r="A124" s="962">
        <f>'План 1-я неделя'!B257</f>
        <v>4037</v>
      </c>
      <c r="B124" s="962">
        <f>'План 1-я неделя'!C257</f>
        <v>117</v>
      </c>
      <c r="C124" s="962" t="str">
        <f>'План 1-я неделя'!D257</f>
        <v>Завтрак</v>
      </c>
      <c r="D124" s="962" t="str">
        <f>'План 1-я неделя'!E257</f>
        <v>Шарлотка с яблоком </v>
      </c>
      <c r="E124" s="2576" t="str">
        <f>'План 1-я неделя'!BL257</f>
        <v/>
      </c>
      <c r="F124" s="1391" t="str">
        <f>'План 1-я неделя'!BN257</f>
        <v/>
      </c>
      <c r="G124" s="2602">
        <f>'План 1-я неделя'!BP257+F124</f>
        <v>158</v>
      </c>
      <c r="H124" s="962">
        <f t="shared" si="11"/>
        <v>18486</v>
      </c>
      <c r="I124" s="2598">
        <f>'План 1-я неделя'!BQ257</f>
        <v>157</v>
      </c>
      <c r="J124" s="2600">
        <f t="shared" si="12"/>
        <v>18369</v>
      </c>
      <c r="K124" s="195"/>
      <c r="L124" s="145">
        <v>2938.0</v>
      </c>
      <c r="M124" s="1268" t="s">
        <v>2127</v>
      </c>
      <c r="N124" s="145">
        <v>12.1</v>
      </c>
      <c r="O124" s="145" t="s">
        <v>3429</v>
      </c>
      <c r="R124" s="145">
        <v>26.0</v>
      </c>
      <c r="S124" s="1268" t="s">
        <v>397</v>
      </c>
      <c r="T124" s="1268" t="s">
        <v>1433</v>
      </c>
    </row>
    <row r="125">
      <c r="A125" s="962">
        <f>'План 1-я неделя'!B258</f>
        <v>4242</v>
      </c>
      <c r="B125" s="962">
        <f>'План 1-я неделя'!C258</f>
        <v>158</v>
      </c>
      <c r="C125" s="962" t="str">
        <f>'План 1-я неделя'!D258</f>
        <v>Завтрак</v>
      </c>
      <c r="D125" s="962" t="str">
        <f>'План 1-я неделя'!E258</f>
        <v>Яичный рулет с овощами</v>
      </c>
      <c r="E125" s="2576" t="str">
        <f>'План 1-я неделя'!BL258</f>
        <v/>
      </c>
      <c r="F125" s="1391" t="str">
        <f>'План 1-я неделя'!BN258</f>
        <v/>
      </c>
      <c r="G125" s="2602">
        <f>'План 1-я неделя'!BP258+F125</f>
        <v>163</v>
      </c>
      <c r="H125" s="962">
        <f t="shared" si="11"/>
        <v>25754</v>
      </c>
      <c r="I125" s="2598">
        <f>'План 1-я неделя'!BQ258</f>
        <v>162</v>
      </c>
      <c r="J125" s="2600">
        <f t="shared" si="12"/>
        <v>25596</v>
      </c>
      <c r="K125" s="195"/>
      <c r="R125" s="145">
        <v>822.0</v>
      </c>
      <c r="S125" s="1268" t="s">
        <v>136</v>
      </c>
      <c r="T125" s="1268" t="s">
        <v>3436</v>
      </c>
    </row>
    <row r="126">
      <c r="A126" s="962">
        <f>'План 1-я неделя'!B259</f>
        <v>3323</v>
      </c>
      <c r="B126" s="962">
        <f>'План 1-я неделя'!C259</f>
        <v>98</v>
      </c>
      <c r="C126" s="962" t="str">
        <f>'План 1-я неделя'!D259</f>
        <v>Салат</v>
      </c>
      <c r="D126" s="962" t="str">
        <f>'План 1-я неделя'!E259</f>
        <v>Салат ''Морковь с чесноком'' 120гр</v>
      </c>
      <c r="E126" s="2576">
        <f>'План 1-я неделя'!BL259</f>
        <v>42</v>
      </c>
      <c r="F126" s="2165">
        <f>'План 1-я неделя'!BN259</f>
        <v>10</v>
      </c>
      <c r="G126" s="962">
        <f>'План 1-я неделя'!BP259+F126</f>
        <v>194</v>
      </c>
      <c r="H126" s="962">
        <f t="shared" si="11"/>
        <v>19012</v>
      </c>
      <c r="I126" s="2587">
        <f>'План 1-я неделя'!BQ259</f>
        <v>141</v>
      </c>
      <c r="J126" s="2600">
        <f t="shared" si="12"/>
        <v>13818</v>
      </c>
      <c r="K126" s="195"/>
      <c r="L126" s="2574" t="s">
        <v>1283</v>
      </c>
      <c r="M126" s="2574" t="s">
        <v>1430</v>
      </c>
      <c r="N126" s="2574" t="s">
        <v>3415</v>
      </c>
      <c r="O126" s="2574" t="s">
        <v>3416</v>
      </c>
      <c r="R126" s="145">
        <v>1394.0</v>
      </c>
      <c r="S126" s="1268" t="s">
        <v>412</v>
      </c>
      <c r="T126" s="1268" t="s">
        <v>3436</v>
      </c>
    </row>
    <row r="127">
      <c r="A127" s="962">
        <f>'План 1-я неделя'!B260</f>
        <v>4058</v>
      </c>
      <c r="B127" s="962">
        <f>'План 1-я неделя'!C260</f>
        <v>98</v>
      </c>
      <c r="C127" s="962" t="str">
        <f>'План 1-я неделя'!D260</f>
        <v>Салат</v>
      </c>
      <c r="D127" s="962" t="str">
        <f>'План 1-я неделя'!E260</f>
        <v>Салат "Городской"(колбаса вареная)</v>
      </c>
      <c r="E127" s="2576">
        <f>'План 1-я неделя'!BL260</f>
        <v>42</v>
      </c>
      <c r="F127" s="1391" t="str">
        <f>'План 1-я неделя'!BN260</f>
        <v/>
      </c>
      <c r="G127" s="2602">
        <f>'План 1-я неделя'!BP260+F127</f>
        <v>188</v>
      </c>
      <c r="H127" s="962">
        <f t="shared" si="11"/>
        <v>18424</v>
      </c>
      <c r="I127" s="2598">
        <f>'План 1-я неделя'!BQ260</f>
        <v>149</v>
      </c>
      <c r="J127" s="2600">
        <f t="shared" si="12"/>
        <v>14602</v>
      </c>
      <c r="K127" s="195"/>
      <c r="L127" s="145">
        <v>487.0</v>
      </c>
      <c r="M127" s="1268" t="s">
        <v>1443</v>
      </c>
      <c r="N127" s="145">
        <v>10.35</v>
      </c>
      <c r="O127" s="145" t="s">
        <v>3429</v>
      </c>
      <c r="R127" s="145">
        <v>1480.0</v>
      </c>
      <c r="S127" s="1268" t="s">
        <v>380</v>
      </c>
      <c r="T127" s="1268" t="s">
        <v>3436</v>
      </c>
    </row>
    <row r="128">
      <c r="A128" s="962">
        <f>'План 1-я неделя'!B261</f>
        <v>2706</v>
      </c>
      <c r="B128" s="962">
        <f>'План 1-я неделя'!C261</f>
        <v>98</v>
      </c>
      <c r="C128" s="962" t="str">
        <f>'План 1-я неделя'!D261</f>
        <v>Салат</v>
      </c>
      <c r="D128" s="962" t="str">
        <f>'План 1-я неделя'!E261</f>
        <v>Салат ''Фасолька'' с курицей  </v>
      </c>
      <c r="E128" s="2576">
        <f>'План 1-я неделя'!BL261</f>
        <v>41</v>
      </c>
      <c r="F128" s="1391" t="str">
        <f>'План 1-я неделя'!BN261</f>
        <v/>
      </c>
      <c r="G128" s="2602">
        <f>'План 1-я неделя'!BP261+F128</f>
        <v>171</v>
      </c>
      <c r="H128" s="962">
        <f t="shared" si="11"/>
        <v>16758</v>
      </c>
      <c r="I128" s="2598">
        <f>'План 1-я неделя'!BQ261</f>
        <v>132</v>
      </c>
      <c r="J128" s="2600">
        <f t="shared" si="12"/>
        <v>12936</v>
      </c>
      <c r="K128" s="195"/>
      <c r="L128" s="145">
        <v>2247.0</v>
      </c>
      <c r="M128" s="1268" t="s">
        <v>1441</v>
      </c>
      <c r="N128" s="145">
        <v>27.6</v>
      </c>
      <c r="O128" s="145" t="s">
        <v>3429</v>
      </c>
      <c r="R128" s="145">
        <v>1896.0</v>
      </c>
      <c r="S128" s="1268" t="s">
        <v>620</v>
      </c>
      <c r="T128" s="1268" t="s">
        <v>3436</v>
      </c>
    </row>
    <row r="129">
      <c r="A129" s="962">
        <f>'План 1-я неделя'!B262</f>
        <v>3823</v>
      </c>
      <c r="B129" s="962">
        <f>'План 1-я неделя'!C262</f>
        <v>165</v>
      </c>
      <c r="C129" s="962" t="str">
        <f>'План 1-я неделя'!D262</f>
        <v>Премиум</v>
      </c>
      <c r="D129" s="962" t="str">
        <f>'План 1-я неделя'!E262</f>
        <v>Салат "Мимоза" с рыбой 220гр</v>
      </c>
      <c r="E129" s="2576" t="str">
        <f>'План 1-я неделя'!BL262</f>
        <v/>
      </c>
      <c r="F129" s="1391" t="str">
        <f>'План 1-я неделя'!BN262</f>
        <v/>
      </c>
      <c r="G129" s="2602">
        <f>'План 1-я неделя'!BP262+F129</f>
        <v>101</v>
      </c>
      <c r="H129" s="962">
        <f t="shared" si="11"/>
        <v>16665</v>
      </c>
      <c r="I129" s="2598">
        <f>'План 1-я неделя'!BQ262</f>
        <v>100</v>
      </c>
      <c r="J129" s="2600">
        <f t="shared" si="12"/>
        <v>16500</v>
      </c>
      <c r="K129" s="195"/>
      <c r="L129" s="145">
        <v>2263.0</v>
      </c>
      <c r="M129" s="1268" t="s">
        <v>1436</v>
      </c>
      <c r="N129" s="145">
        <v>4.4</v>
      </c>
      <c r="O129" s="145" t="s">
        <v>3429</v>
      </c>
      <c r="R129" s="145">
        <v>2769.0</v>
      </c>
      <c r="S129" s="1268" t="s">
        <v>608</v>
      </c>
      <c r="T129" s="1268" t="s">
        <v>3436</v>
      </c>
    </row>
    <row r="130">
      <c r="A130" s="962">
        <f>'План 1-я неделя'!B263</f>
        <v>2288</v>
      </c>
      <c r="B130" s="962">
        <f>'План 1-я неделя'!C263</f>
        <v>88</v>
      </c>
      <c r="C130" s="962" t="str">
        <f>'План 1-я неделя'!D263</f>
        <v>Суп</v>
      </c>
      <c r="D130" s="962" t="str">
        <f>'План 1-я неделя'!E263</f>
        <v>Суп картофельный с курицей</v>
      </c>
      <c r="E130" s="2576">
        <f>'План 1-я неделя'!BL263</f>
        <v>120</v>
      </c>
      <c r="F130" s="1391">
        <f>'План 1-я неделя'!BN263</f>
        <v>10</v>
      </c>
      <c r="G130" s="2602">
        <f>'План 1-я неделя'!BP263+F130</f>
        <v>131</v>
      </c>
      <c r="H130" s="962">
        <f t="shared" si="11"/>
        <v>11528</v>
      </c>
      <c r="I130" s="2598">
        <f>'План 1-я неделя'!BQ263</f>
        <v>0</v>
      </c>
      <c r="J130" s="2600">
        <f t="shared" si="12"/>
        <v>0</v>
      </c>
      <c r="K130" s="195"/>
      <c r="L130" s="145">
        <v>2264.0</v>
      </c>
      <c r="M130" s="1268" t="s">
        <v>1447</v>
      </c>
      <c r="N130" s="145">
        <v>11.25</v>
      </c>
      <c r="O130" s="145" t="s">
        <v>3429</v>
      </c>
      <c r="R130" s="145">
        <v>3021.0</v>
      </c>
      <c r="S130" s="1268" t="s">
        <v>1027</v>
      </c>
      <c r="T130" s="1268" t="s">
        <v>3436</v>
      </c>
    </row>
    <row r="131">
      <c r="A131" s="962" t="str">
        <f>'План 1-я неделя'!B264</f>
        <v/>
      </c>
      <c r="B131" s="962" t="str">
        <f>'План 1-я неделя'!C264</f>
        <v/>
      </c>
      <c r="C131" s="962" t="str">
        <f>'План 1-я неделя'!D264</f>
        <v/>
      </c>
      <c r="D131" s="962" t="str">
        <f>'План 1-я неделя'!E264</f>
        <v/>
      </c>
      <c r="E131" s="2576" t="str">
        <f>'План 1-я неделя'!BL264</f>
        <v/>
      </c>
      <c r="F131" s="1391">
        <f>'План 1-я неделя'!BN264</f>
        <v>10</v>
      </c>
      <c r="G131" s="2602">
        <f>'План 1-я неделя'!BP264+F131</f>
        <v>108</v>
      </c>
      <c r="H131" s="962">
        <f t="shared" si="11"/>
        <v>0</v>
      </c>
      <c r="I131" s="2598">
        <f>'План 1-я неделя'!BQ264</f>
        <v>104</v>
      </c>
      <c r="J131" s="2600">
        <f t="shared" si="12"/>
        <v>0</v>
      </c>
      <c r="K131" s="195"/>
      <c r="L131" s="145">
        <v>2278.0</v>
      </c>
      <c r="M131" s="1268" t="s">
        <v>1439</v>
      </c>
      <c r="N131" s="145">
        <v>13.2</v>
      </c>
      <c r="O131" s="145" t="s">
        <v>3429</v>
      </c>
      <c r="R131" s="145">
        <v>3328.0</v>
      </c>
      <c r="S131" s="1268" t="s">
        <v>398</v>
      </c>
      <c r="T131" s="1268" t="s">
        <v>1437</v>
      </c>
    </row>
    <row r="132">
      <c r="A132" s="962">
        <f>'План 1-я неделя'!B265</f>
        <v>383</v>
      </c>
      <c r="B132" s="962">
        <f>'План 1-я неделя'!C265</f>
        <v>232</v>
      </c>
      <c r="C132" s="962" t="str">
        <f>'План 1-я неделя'!D265</f>
        <v>Второе</v>
      </c>
      <c r="D132" s="962" t="str">
        <f>'План 1-я неделя'!E265</f>
        <v>Перец фаршированный с картофелем</v>
      </c>
      <c r="E132" s="2576">
        <f>'План 1-я неделя'!BL265</f>
        <v>25</v>
      </c>
      <c r="F132" s="1391" t="str">
        <f>'План 1-я неделя'!BN265</f>
        <v/>
      </c>
      <c r="G132" s="2602">
        <f>'План 1-я неделя'!BP265+F132</f>
        <v>26</v>
      </c>
      <c r="H132" s="962">
        <f t="shared" si="11"/>
        <v>6032</v>
      </c>
      <c r="I132" s="2598">
        <f>'План 1-я неделя'!BQ265</f>
        <v>0</v>
      </c>
      <c r="J132" s="2600">
        <f t="shared" si="12"/>
        <v>0</v>
      </c>
      <c r="K132" s="195"/>
      <c r="R132" s="145">
        <v>3611.0</v>
      </c>
      <c r="S132" s="1268" t="s">
        <v>745</v>
      </c>
      <c r="T132" s="1268" t="s">
        <v>3436</v>
      </c>
    </row>
    <row r="133">
      <c r="A133" s="962">
        <f>'План 1-я неделя'!B266</f>
        <v>4069</v>
      </c>
      <c r="B133" s="962">
        <f>'План 1-я неделя'!C266</f>
        <v>265</v>
      </c>
      <c r="C133" s="962" t="str">
        <f>'План 1-я неделя'!D266</f>
        <v>Второе</v>
      </c>
      <c r="D133" s="962" t="str">
        <f>'План 1-я неделя'!E266</f>
        <v>Бефстроганов (говядина) с картофелем </v>
      </c>
      <c r="E133" s="2576">
        <f>'План 1-я неделя'!BL266</f>
        <v>25</v>
      </c>
      <c r="F133" s="1391" t="str">
        <f>'План 1-я неделя'!BN266</f>
        <v/>
      </c>
      <c r="G133" s="2602">
        <f>'План 1-я неделя'!BP266+F133</f>
        <v>26</v>
      </c>
      <c r="H133" s="962">
        <f t="shared" si="11"/>
        <v>6890</v>
      </c>
      <c r="I133" s="2598">
        <f>'План 1-я неделя'!BQ266</f>
        <v>0</v>
      </c>
      <c r="J133" s="2600">
        <f t="shared" si="12"/>
        <v>0</v>
      </c>
      <c r="K133" s="195"/>
      <c r="R133" s="145">
        <v>3643.0</v>
      </c>
      <c r="S133" s="1268" t="s">
        <v>976</v>
      </c>
      <c r="T133" s="1268" t="s">
        <v>1437</v>
      </c>
    </row>
    <row r="134">
      <c r="A134" s="962">
        <f>'План 1-я неделя'!B267</f>
        <v>4067</v>
      </c>
      <c r="B134" s="962">
        <f>'План 1-я неделя'!C267</f>
        <v>265</v>
      </c>
      <c r="C134" s="962" t="str">
        <f>'План 1-я неделя'!D267</f>
        <v>Второе</v>
      </c>
      <c r="D134" s="962" t="str">
        <f>'План 1-я неделя'!E267</f>
        <v>Бефстроганов (говядина) с рисом </v>
      </c>
      <c r="E134" s="2576">
        <f>'План 1-я неделя'!BL267</f>
        <v>75</v>
      </c>
      <c r="F134" s="1391">
        <f>'План 1-я неделя'!BN267</f>
        <v>10</v>
      </c>
      <c r="G134" s="2602">
        <f>'План 1-я неделя'!BP267+F134</f>
        <v>86</v>
      </c>
      <c r="H134" s="962">
        <f t="shared" si="11"/>
        <v>22790</v>
      </c>
      <c r="I134" s="2598">
        <f>'План 1-я неделя'!BQ267</f>
        <v>0</v>
      </c>
      <c r="J134" s="2600">
        <f t="shared" si="12"/>
        <v>0</v>
      </c>
      <c r="K134" s="195"/>
      <c r="R134" s="145">
        <v>3651.0</v>
      </c>
      <c r="S134" s="1268" t="s">
        <v>1131</v>
      </c>
      <c r="T134" s="1268" t="s">
        <v>3436</v>
      </c>
    </row>
    <row r="135">
      <c r="A135" s="962">
        <f>'План 1-я неделя'!B268</f>
        <v>4068</v>
      </c>
      <c r="B135" s="962">
        <f>'План 1-я неделя'!C268</f>
        <v>265</v>
      </c>
      <c r="C135" s="962" t="str">
        <f>'План 1-я неделя'!D268</f>
        <v>Второе</v>
      </c>
      <c r="D135" s="962" t="str">
        <f>'План 1-я неделя'!E268</f>
        <v>Бефстроганов (говядина) с макаронами</v>
      </c>
      <c r="E135" s="2576" t="str">
        <f>'План 1-я неделя'!BL268</f>
        <v/>
      </c>
      <c r="F135" s="1391" t="str">
        <f>'План 1-я неделя'!BN268</f>
        <v/>
      </c>
      <c r="G135" s="2602">
        <f>'План 1-я неделя'!BP268+F135</f>
        <v>100</v>
      </c>
      <c r="H135" s="962">
        <f t="shared" si="11"/>
        <v>26500</v>
      </c>
      <c r="I135" s="2598">
        <f>'План 1-я неделя'!BQ268</f>
        <v>99</v>
      </c>
      <c r="J135" s="2600">
        <f t="shared" si="12"/>
        <v>26235</v>
      </c>
      <c r="K135" s="195"/>
      <c r="R135" s="145">
        <v>3668.0</v>
      </c>
      <c r="S135" s="1268" t="s">
        <v>1133</v>
      </c>
      <c r="T135" s="1268" t="s">
        <v>3436</v>
      </c>
    </row>
    <row r="136">
      <c r="A136" s="962">
        <f>'План 1-я неделя'!B269</f>
        <v>1092</v>
      </c>
      <c r="B136" s="962">
        <f>'План 1-я неделя'!C269</f>
        <v>180</v>
      </c>
      <c r="C136" s="962" t="str">
        <f>'План 1-я неделя'!D269</f>
        <v>Второе</v>
      </c>
      <c r="D136" s="962" t="str">
        <f>'План 1-я неделя'!E269</f>
        <v>Шашлык (кура) с картошкой по деревенски</v>
      </c>
      <c r="E136" s="2576" t="str">
        <f>'План 1-я неделя'!BL269</f>
        <v/>
      </c>
      <c r="F136" s="1391">
        <f>'План 1-я неделя'!BN269</f>
        <v>10</v>
      </c>
      <c r="G136" s="2602">
        <f>'План 1-я неделя'!BP269+F136</f>
        <v>105</v>
      </c>
      <c r="H136" s="962">
        <f t="shared" si="11"/>
        <v>18900</v>
      </c>
      <c r="I136" s="2598">
        <f>'План 1-я неделя'!BQ269</f>
        <v>94</v>
      </c>
      <c r="J136" s="2600">
        <f t="shared" si="12"/>
        <v>16920</v>
      </c>
      <c r="K136" s="195"/>
      <c r="R136" s="145">
        <v>3723.0</v>
      </c>
      <c r="S136" s="1268" t="s">
        <v>331</v>
      </c>
      <c r="T136" s="1268" t="s">
        <v>3436</v>
      </c>
    </row>
    <row r="137">
      <c r="A137" s="962">
        <f>'План 1-я неделя'!B270</f>
        <v>3051</v>
      </c>
      <c r="B137" s="962">
        <f>'План 1-я неделя'!C270</f>
        <v>260</v>
      </c>
      <c r="C137" s="962" t="str">
        <f>'План 1-я неделя'!D270</f>
        <v>Второе</v>
      </c>
      <c r="D137" s="962" t="str">
        <f>'План 1-я неделя'!E270</f>
        <v>Шашлык куриный с овощным соте</v>
      </c>
      <c r="E137" s="2576" t="str">
        <f>'План 1-я неделя'!BL270</f>
        <v/>
      </c>
      <c r="F137" s="1391">
        <f>'План 1-я неделя'!BN270</f>
        <v>15</v>
      </c>
      <c r="G137" s="2602">
        <f>'План 1-я неделя'!BP270+F137</f>
        <v>124</v>
      </c>
      <c r="H137" s="962">
        <f t="shared" si="11"/>
        <v>32240</v>
      </c>
      <c r="I137" s="2598">
        <f>'План 1-я неделя'!BQ270</f>
        <v>108</v>
      </c>
      <c r="J137" s="2600">
        <f t="shared" si="12"/>
        <v>28080</v>
      </c>
      <c r="K137" s="195"/>
      <c r="R137" s="145">
        <v>3814.0</v>
      </c>
      <c r="S137" s="1268" t="s">
        <v>2628</v>
      </c>
      <c r="T137" s="1268" t="s">
        <v>3436</v>
      </c>
    </row>
    <row r="138">
      <c r="A138" s="962">
        <f>'План 1-я неделя'!B271</f>
        <v>3008</v>
      </c>
      <c r="B138" s="962">
        <f>'План 1-я неделя'!C271</f>
        <v>212</v>
      </c>
      <c r="C138" s="962" t="str">
        <f>'План 1-я неделя'!D271</f>
        <v>Второе</v>
      </c>
      <c r="D138" s="962" t="str">
        <f>'План 1-я неделя'!E271</f>
        <v>Биточек ''Солнышко'' с гречкой</v>
      </c>
      <c r="E138" s="2576" t="str">
        <f>'План 1-я неделя'!BL271</f>
        <v/>
      </c>
      <c r="F138" s="1391">
        <f>'План 1-я неделя'!BN271</f>
        <v>0</v>
      </c>
      <c r="G138" s="2602">
        <f>'План 1-я неделя'!BP271+F138</f>
        <v>135</v>
      </c>
      <c r="H138" s="962">
        <f t="shared" si="11"/>
        <v>28620</v>
      </c>
      <c r="I138" s="2598">
        <f>'План 1-я неделя'!BQ271</f>
        <v>134</v>
      </c>
      <c r="J138" s="2600">
        <f t="shared" si="12"/>
        <v>28408</v>
      </c>
      <c r="K138" s="195"/>
      <c r="R138" s="145">
        <v>3849.0</v>
      </c>
      <c r="S138" s="1268" t="s">
        <v>1135</v>
      </c>
      <c r="T138" s="1268" t="s">
        <v>3436</v>
      </c>
    </row>
    <row r="139">
      <c r="A139" s="962">
        <f>'План 1-я неделя'!B272</f>
        <v>113</v>
      </c>
      <c r="B139" s="962">
        <f>'План 1-я неделя'!C272</f>
        <v>212</v>
      </c>
      <c r="C139" s="962" t="str">
        <f>'План 1-я неделя'!D272</f>
        <v>Второе</v>
      </c>
      <c r="D139" s="962" t="str">
        <f>'План 1-я неделя'!E272</f>
        <v>Спагетти ''Болоньезе''</v>
      </c>
      <c r="E139" s="2576">
        <f>'План 1-я неделя'!BL272</f>
        <v>10</v>
      </c>
      <c r="F139" s="2165" t="str">
        <f>'План 1-я неделя'!BN272</f>
        <v/>
      </c>
      <c r="G139" s="962">
        <f>'План 1-я неделя'!BP272+F139</f>
        <v>11</v>
      </c>
      <c r="H139" s="962">
        <f t="shared" si="11"/>
        <v>2332</v>
      </c>
      <c r="I139" s="2587">
        <f>'План 1-я неделя'!BQ272</f>
        <v>0</v>
      </c>
      <c r="J139" s="2600">
        <f t="shared" si="12"/>
        <v>0</v>
      </c>
      <c r="K139" s="195"/>
    </row>
    <row r="140">
      <c r="A140" s="962" t="str">
        <f>'План 1-я неделя'!B273</f>
        <v/>
      </c>
      <c r="B140" s="962" t="str">
        <f>'План 1-я неделя'!C273</f>
        <v/>
      </c>
      <c r="C140" s="962" t="str">
        <f>'План 1-я неделя'!D273</f>
        <v/>
      </c>
      <c r="D140" s="962" t="str">
        <f>'План 1-я неделя'!E273</f>
        <v/>
      </c>
      <c r="E140" s="2576" t="str">
        <f>'План 1-я неделя'!BL273</f>
        <v/>
      </c>
      <c r="F140" s="2165" t="str">
        <f>'План 1-я неделя'!BN273</f>
        <v/>
      </c>
      <c r="G140" s="962">
        <f>'План 1-я неделя'!BP273+F140</f>
        <v>161</v>
      </c>
      <c r="H140" s="962">
        <f t="shared" si="11"/>
        <v>0</v>
      </c>
      <c r="I140" s="2587">
        <f>'План 1-я неделя'!BQ273</f>
        <v>27</v>
      </c>
      <c r="J140" s="2600">
        <f t="shared" si="12"/>
        <v>0</v>
      </c>
      <c r="K140" s="195"/>
    </row>
    <row r="141">
      <c r="A141" s="962">
        <f>'План 1-я неделя'!B274</f>
        <v>3</v>
      </c>
      <c r="B141" s="962">
        <f>'План 1-я неделя'!C274</f>
        <v>172</v>
      </c>
      <c r="C141" s="962" t="str">
        <f>'План 1-я неделя'!D274</f>
        <v>Сэндвич</v>
      </c>
      <c r="D141" s="962" t="str">
        <f>'План 1-я неделя'!E274</f>
        <v>Сэндвич с курочкой и скремблом</v>
      </c>
      <c r="E141" s="2576" t="str">
        <f>'План 1-я неделя'!BL274</f>
        <v/>
      </c>
      <c r="F141" s="2165" t="str">
        <f>'План 1-я неделя'!BN274</f>
        <v/>
      </c>
      <c r="G141" s="962">
        <f>'План 1-я неделя'!BP274+F141</f>
        <v>214</v>
      </c>
      <c r="H141" s="962">
        <f t="shared" si="11"/>
        <v>36808</v>
      </c>
      <c r="I141" s="2587">
        <f>'План 1-я неделя'!BQ274</f>
        <v>160</v>
      </c>
      <c r="J141" s="2600">
        <f t="shared" si="12"/>
        <v>27520</v>
      </c>
      <c r="K141" s="195"/>
    </row>
    <row r="142">
      <c r="A142" s="962">
        <f>'План 1-я неделя'!B275</f>
        <v>5</v>
      </c>
      <c r="B142" s="962">
        <f>'План 1-я неделя'!C275</f>
        <v>155</v>
      </c>
      <c r="C142" s="962" t="str">
        <f>'План 1-я неделя'!D275</f>
        <v>Сэндвич</v>
      </c>
      <c r="D142" s="962" t="str">
        <f>'План 1-я неделя'!E275</f>
        <v>Сэндвич с ветчиной и сыром</v>
      </c>
      <c r="E142" s="2576" t="str">
        <f>'План 1-я неделя'!BL275</f>
        <v/>
      </c>
      <c r="F142" s="1391" t="str">
        <f>'План 1-я неделя'!BN275</f>
        <v/>
      </c>
      <c r="G142" s="2602">
        <f>'План 1-я неделя'!BP275+F142</f>
        <v>36</v>
      </c>
      <c r="H142" s="962">
        <f t="shared" si="11"/>
        <v>5580</v>
      </c>
      <c r="I142" s="2598">
        <f>'План 1-я неделя'!BQ275</f>
        <v>35</v>
      </c>
      <c r="J142" s="2600">
        <f t="shared" si="12"/>
        <v>5425</v>
      </c>
      <c r="K142" s="195"/>
    </row>
    <row r="143">
      <c r="A143" s="962" t="str">
        <f>'План 1-я неделя'!B276</f>
        <v/>
      </c>
      <c r="B143" s="962" t="str">
        <f>'План 1-я неделя'!C276</f>
        <v/>
      </c>
      <c r="C143" s="962" t="str">
        <f>'План 1-я неделя'!D276</f>
        <v/>
      </c>
      <c r="D143" s="962" t="str">
        <f>'План 1-я неделя'!E276</f>
        <v/>
      </c>
      <c r="E143" s="2576" t="str">
        <f>'План 1-я неделя'!BL276</f>
        <v/>
      </c>
      <c r="F143" s="2165">
        <f>'План 1-я неделя'!BN276</f>
        <v>15</v>
      </c>
      <c r="G143" s="962">
        <f>'План 1-я неделя'!BP276+F143</f>
        <v>306</v>
      </c>
      <c r="H143" s="962">
        <f t="shared" si="11"/>
        <v>0</v>
      </c>
      <c r="I143" s="2598">
        <f>'План 1-я неделя'!BQ276</f>
        <v>220</v>
      </c>
      <c r="J143" s="2600">
        <f t="shared" si="12"/>
        <v>0</v>
      </c>
      <c r="K143" s="195"/>
    </row>
    <row r="144">
      <c r="A144" s="962">
        <f>'План 1-я неделя'!B277</f>
        <v>3998</v>
      </c>
      <c r="B144" s="962">
        <f>'План 1-я неделя'!C277</f>
        <v>98</v>
      </c>
      <c r="C144" s="962" t="str">
        <f>'План 1-я неделя'!D277</f>
        <v>Япония</v>
      </c>
      <c r="D144" s="962" t="str">
        <f>'План 1-я неделя'!E277</f>
        <v>Морс из ч/смородины 0,5 л</v>
      </c>
      <c r="E144" s="2576">
        <f>'План 1-я неделя'!BL277</f>
        <v>125</v>
      </c>
      <c r="F144" s="2165">
        <f>'План 1-я неделя'!BN277</f>
        <v>100</v>
      </c>
      <c r="G144" s="962">
        <f>'План 1-я неделя'!BP277+F144</f>
        <v>351</v>
      </c>
      <c r="H144" s="962">
        <f t="shared" si="11"/>
        <v>34398</v>
      </c>
      <c r="I144" s="2587">
        <f>'План 1-я неделя'!BQ277</f>
        <v>125</v>
      </c>
      <c r="J144" s="2600">
        <f t="shared" si="12"/>
        <v>12250</v>
      </c>
      <c r="K144" s="195"/>
    </row>
    <row r="145">
      <c r="A145" s="962">
        <f>'План 1-я неделя'!B278</f>
        <v>822</v>
      </c>
      <c r="B145" s="962">
        <f>'План 1-я неделя'!C278</f>
        <v>5</v>
      </c>
      <c r="C145" s="962" t="str">
        <f>'План 1-я неделя'!D278</f>
        <v>Выпечка</v>
      </c>
      <c r="D145" s="962" t="str">
        <f>'План 1-я неделя'!E278</f>
        <v>Хлеб пшеничный</v>
      </c>
      <c r="E145" s="2576" t="str">
        <f>'План 1-я неделя'!BL278</f>
        <v/>
      </c>
      <c r="F145" s="2165" t="str">
        <f>'План 1-я неделя'!BN278</f>
        <v/>
      </c>
      <c r="G145" s="962">
        <f>'План 1-я неделя'!BP278+F145</f>
        <v>11</v>
      </c>
      <c r="H145" s="962">
        <f t="shared" si="11"/>
        <v>55</v>
      </c>
      <c r="I145" s="2587">
        <f>'План 1-я неделя'!BQ278</f>
        <v>10</v>
      </c>
      <c r="J145" s="2600">
        <f t="shared" si="12"/>
        <v>50</v>
      </c>
      <c r="K145" s="195"/>
    </row>
    <row r="146">
      <c r="A146" s="962">
        <f>'План 1-я неделя'!B279</f>
        <v>3528</v>
      </c>
      <c r="B146" s="962">
        <f>'План 1-я неделя'!C279</f>
        <v>56</v>
      </c>
      <c r="C146" s="962" t="str">
        <f>'План 1-я неделя'!D279</f>
        <v>Выпечка</v>
      </c>
      <c r="D146" s="962" t="str">
        <f>'План 1-я неделя'!E279</f>
        <v>Сырная палочка 80 гр</v>
      </c>
      <c r="E146" s="2576" t="str">
        <f>'План 1-я неделя'!BL279</f>
        <v/>
      </c>
      <c r="F146" s="2165" t="str">
        <f>'План 1-я неделя'!BN279</f>
        <v/>
      </c>
      <c r="G146" s="962">
        <f>'План 1-я неделя'!BP279+F146</f>
        <v>29</v>
      </c>
      <c r="H146" s="962">
        <f t="shared" si="11"/>
        <v>1624</v>
      </c>
      <c r="I146" s="2587">
        <f>'План 1-я неделя'!BQ279</f>
        <v>28</v>
      </c>
      <c r="J146" s="2600">
        <f t="shared" si="12"/>
        <v>1568</v>
      </c>
      <c r="K146" s="195"/>
    </row>
    <row r="147">
      <c r="A147" s="962" t="str">
        <f>'План 1-я неделя'!B280</f>
        <v/>
      </c>
      <c r="B147" s="962" t="str">
        <f>'План 1-я неделя'!C280</f>
        <v/>
      </c>
      <c r="C147" s="962" t="str">
        <f>'План 1-я неделя'!D280</f>
        <v/>
      </c>
      <c r="D147" s="962" t="str">
        <f>'План 1-я неделя'!E280</f>
        <v/>
      </c>
      <c r="E147" s="2576" t="str">
        <f>'План 1-я неделя'!BL280</f>
        <v/>
      </c>
      <c r="F147" s="2165" t="str">
        <f>'План 1-я неделя'!BN280</f>
        <v/>
      </c>
      <c r="G147" s="962">
        <f>'План 1-я неделя'!BP280+F147</f>
        <v>29</v>
      </c>
      <c r="H147" s="962">
        <f t="shared" si="11"/>
        <v>0</v>
      </c>
      <c r="I147" s="2587">
        <f>'План 1-я неделя'!BQ280</f>
        <v>28</v>
      </c>
      <c r="J147" s="2600">
        <f t="shared" si="12"/>
        <v>0</v>
      </c>
      <c r="K147" s="195"/>
      <c r="M147" s="50" t="s">
        <v>3441</v>
      </c>
      <c r="N147" s="50" t="s">
        <v>3442</v>
      </c>
    </row>
    <row r="148">
      <c r="A148" s="962" t="str">
        <f>'План 1-я неделя'!B281</f>
        <v/>
      </c>
      <c r="B148" s="962" t="str">
        <f>'План 1-я неделя'!C281</f>
        <v/>
      </c>
      <c r="C148" s="962" t="str">
        <f>'План 1-я неделя'!D281</f>
        <v/>
      </c>
      <c r="D148" s="962" t="str">
        <f>'План 1-я неделя'!E281</f>
        <v/>
      </c>
      <c r="E148" s="2576" t="str">
        <f>'План 1-я неделя'!BL281</f>
        <v/>
      </c>
      <c r="F148" s="2165" t="str">
        <f>'План 1-я неделя'!BN281</f>
        <v/>
      </c>
      <c r="G148" s="962">
        <f>'План 1-я неделя'!BP281+F148</f>
        <v>1</v>
      </c>
      <c r="H148" s="962">
        <f t="shared" si="11"/>
        <v>0</v>
      </c>
      <c r="I148" s="2587">
        <f>'План 1-я неделя'!BQ281</f>
        <v>0</v>
      </c>
      <c r="J148" s="2600">
        <f t="shared" si="12"/>
        <v>0</v>
      </c>
      <c r="K148" s="195"/>
      <c r="M148" s="50" t="s">
        <v>3443</v>
      </c>
      <c r="N148" s="50" t="s">
        <v>3444</v>
      </c>
    </row>
    <row r="149">
      <c r="I149" s="2570"/>
      <c r="J149" s="2599"/>
      <c r="K149" s="195"/>
      <c r="M149" s="50" t="s">
        <v>3445</v>
      </c>
      <c r="N149" s="50" t="s">
        <v>3446</v>
      </c>
    </row>
    <row r="150">
      <c r="I150" s="2570"/>
      <c r="J150" s="2599"/>
      <c r="K150" s="195"/>
      <c r="M150" s="50" t="s">
        <v>3447</v>
      </c>
      <c r="N150" s="50" t="s">
        <v>3448</v>
      </c>
    </row>
    <row r="151">
      <c r="I151" s="2570"/>
      <c r="J151" s="2599"/>
      <c r="K151" s="195"/>
      <c r="M151" s="50" t="s">
        <v>3449</v>
      </c>
      <c r="N151" s="50" t="s">
        <v>3450</v>
      </c>
    </row>
    <row r="152">
      <c r="I152" s="2570"/>
      <c r="J152" s="2599"/>
      <c r="K152" s="195"/>
    </row>
    <row r="153">
      <c r="I153" s="2570"/>
      <c r="J153" s="2599"/>
      <c r="K153" s="195"/>
    </row>
    <row r="154">
      <c r="I154" s="2570"/>
      <c r="J154" s="2599"/>
      <c r="K154" s="195"/>
    </row>
    <row r="155">
      <c r="I155" s="2570"/>
      <c r="J155" s="2599"/>
      <c r="K155" s="195"/>
    </row>
    <row r="156">
      <c r="I156" s="2570"/>
      <c r="J156" s="2599"/>
      <c r="K156" s="195"/>
    </row>
    <row r="157">
      <c r="I157" s="2570"/>
      <c r="J157" s="2599"/>
      <c r="K157" s="195"/>
    </row>
    <row r="158">
      <c r="I158" s="2570"/>
      <c r="J158" s="2599"/>
      <c r="K158" s="195"/>
    </row>
    <row r="159">
      <c r="I159" s="2570"/>
      <c r="J159" s="2599"/>
      <c r="K159" s="195"/>
    </row>
    <row r="160">
      <c r="I160" s="2570"/>
      <c r="J160" s="2599"/>
      <c r="K160" s="195"/>
    </row>
    <row r="161">
      <c r="I161" s="2570"/>
      <c r="J161" s="2599"/>
      <c r="K161" s="195"/>
    </row>
    <row r="162">
      <c r="I162" s="2570"/>
      <c r="J162" s="2599"/>
      <c r="K162" s="195"/>
    </row>
    <row r="163">
      <c r="I163" s="2570"/>
      <c r="J163" s="2599"/>
      <c r="K163" s="195"/>
    </row>
    <row r="164">
      <c r="I164" s="2570"/>
      <c r="J164" s="2599"/>
      <c r="K164" s="195"/>
    </row>
    <row r="165">
      <c r="I165" s="2570"/>
      <c r="J165" s="2599"/>
      <c r="K165" s="195"/>
    </row>
    <row r="166">
      <c r="I166" s="2570"/>
      <c r="J166" s="2599"/>
      <c r="K166" s="195"/>
    </row>
    <row r="167">
      <c r="I167" s="2570"/>
      <c r="J167" s="2599"/>
      <c r="K167" s="195"/>
    </row>
    <row r="168">
      <c r="I168" s="2570"/>
      <c r="J168" s="2599"/>
      <c r="K168" s="195"/>
    </row>
    <row r="169">
      <c r="I169" s="2570"/>
      <c r="J169" s="2599"/>
      <c r="K169" s="195"/>
    </row>
    <row r="170">
      <c r="I170" s="2570"/>
      <c r="J170" s="2599"/>
      <c r="K170" s="195"/>
    </row>
    <row r="171">
      <c r="I171" s="2570"/>
      <c r="J171" s="2599"/>
      <c r="K171" s="195"/>
    </row>
    <row r="172">
      <c r="I172" s="2570"/>
      <c r="J172" s="2599"/>
      <c r="K172" s="195"/>
    </row>
    <row r="173">
      <c r="I173" s="2570"/>
      <c r="J173" s="2599"/>
      <c r="K173" s="195"/>
    </row>
    <row r="174">
      <c r="I174" s="2570"/>
      <c r="J174" s="2599"/>
      <c r="K174" s="195"/>
    </row>
    <row r="175">
      <c r="I175" s="2570"/>
      <c r="J175" s="2599"/>
      <c r="K175" s="195"/>
    </row>
    <row r="176">
      <c r="I176" s="2570"/>
      <c r="J176" s="2599"/>
      <c r="K176" s="195"/>
    </row>
    <row r="177">
      <c r="I177" s="2570"/>
      <c r="J177" s="2599"/>
      <c r="K177" s="195"/>
    </row>
    <row r="178">
      <c r="I178" s="2570"/>
      <c r="J178" s="2599"/>
      <c r="K178" s="195"/>
    </row>
    <row r="179">
      <c r="I179" s="2570"/>
      <c r="J179" s="2599"/>
      <c r="K179" s="195"/>
    </row>
    <row r="180">
      <c r="I180" s="2570"/>
      <c r="J180" s="2599"/>
      <c r="K180" s="195"/>
    </row>
    <row r="181">
      <c r="I181" s="2570"/>
      <c r="J181" s="2599"/>
      <c r="K181" s="195"/>
    </row>
    <row r="182">
      <c r="I182" s="2570"/>
      <c r="J182" s="2599"/>
      <c r="K182" s="195"/>
    </row>
    <row r="183">
      <c r="I183" s="2570"/>
      <c r="J183" s="2599"/>
      <c r="K183" s="195"/>
    </row>
    <row r="184">
      <c r="I184" s="2570"/>
      <c r="J184" s="2599"/>
      <c r="K184" s="195"/>
    </row>
    <row r="185">
      <c r="I185" s="2570"/>
      <c r="J185" s="2599"/>
      <c r="K185" s="195"/>
    </row>
    <row r="186">
      <c r="I186" s="2570"/>
      <c r="J186" s="2599"/>
      <c r="K186" s="195"/>
    </row>
    <row r="187">
      <c r="I187" s="2570"/>
      <c r="J187" s="2599"/>
      <c r="K187" s="195"/>
    </row>
    <row r="188">
      <c r="I188" s="2570"/>
      <c r="J188" s="2599"/>
      <c r="K188" s="195"/>
    </row>
    <row r="189">
      <c r="I189" s="2570"/>
      <c r="J189" s="2599"/>
      <c r="K189" s="195"/>
    </row>
    <row r="190">
      <c r="I190" s="2570"/>
      <c r="J190" s="2599"/>
      <c r="K190" s="195"/>
    </row>
    <row r="191">
      <c r="I191" s="2570"/>
      <c r="J191" s="2599"/>
      <c r="K191" s="195"/>
    </row>
    <row r="192">
      <c r="I192" s="2570"/>
      <c r="J192" s="2599"/>
      <c r="K192" s="195"/>
    </row>
    <row r="193">
      <c r="I193" s="2570"/>
      <c r="J193" s="2599"/>
      <c r="K193" s="195"/>
    </row>
    <row r="194">
      <c r="I194" s="2570"/>
      <c r="J194" s="2599"/>
      <c r="K194" s="195"/>
    </row>
    <row r="195">
      <c r="I195" s="2570"/>
      <c r="J195" s="2599"/>
      <c r="K195" s="195"/>
    </row>
    <row r="196">
      <c r="I196" s="2570"/>
      <c r="J196" s="2599"/>
      <c r="K196" s="195"/>
    </row>
    <row r="197">
      <c r="I197" s="2570"/>
      <c r="J197" s="2599"/>
      <c r="K197" s="195"/>
    </row>
    <row r="198">
      <c r="I198" s="2570"/>
      <c r="J198" s="2599"/>
      <c r="K198" s="195"/>
    </row>
    <row r="199">
      <c r="I199" s="2570"/>
      <c r="J199" s="2599"/>
      <c r="K199" s="195"/>
    </row>
    <row r="200">
      <c r="I200" s="2570"/>
      <c r="J200" s="2599"/>
      <c r="K200" s="195"/>
    </row>
    <row r="201">
      <c r="I201" s="2570"/>
      <c r="J201" s="2599"/>
      <c r="K201" s="195"/>
    </row>
    <row r="202">
      <c r="I202" s="2570"/>
      <c r="J202" s="2599"/>
      <c r="K202" s="195"/>
    </row>
    <row r="203">
      <c r="I203" s="2570"/>
      <c r="J203" s="2599"/>
      <c r="K203" s="195"/>
    </row>
    <row r="204">
      <c r="I204" s="2570"/>
      <c r="J204" s="2599"/>
      <c r="K204" s="195"/>
    </row>
    <row r="205">
      <c r="I205" s="2570"/>
      <c r="J205" s="2599"/>
      <c r="K205" s="195"/>
    </row>
    <row r="206">
      <c r="I206" s="2570"/>
      <c r="J206" s="2599"/>
      <c r="K206" s="195"/>
    </row>
    <row r="207">
      <c r="I207" s="2570"/>
      <c r="J207" s="2599"/>
      <c r="K207" s="195"/>
    </row>
    <row r="208">
      <c r="I208" s="2570"/>
      <c r="J208" s="2599"/>
      <c r="K208" s="195"/>
    </row>
    <row r="209">
      <c r="I209" s="2570"/>
      <c r="J209" s="2599"/>
      <c r="K209" s="195"/>
    </row>
    <row r="210">
      <c r="I210" s="2570"/>
      <c r="J210" s="2599"/>
      <c r="K210" s="195"/>
    </row>
    <row r="211">
      <c r="I211" s="2570"/>
      <c r="J211" s="2599"/>
      <c r="K211" s="195"/>
    </row>
    <row r="212">
      <c r="I212" s="2570"/>
      <c r="J212" s="2599"/>
      <c r="K212" s="195"/>
    </row>
    <row r="213">
      <c r="I213" s="2570"/>
      <c r="J213" s="2599"/>
      <c r="K213" s="195"/>
    </row>
    <row r="214">
      <c r="I214" s="2570"/>
      <c r="J214" s="2599"/>
      <c r="K214" s="195"/>
    </row>
    <row r="215">
      <c r="I215" s="2570"/>
      <c r="J215" s="2599"/>
      <c r="K215" s="195"/>
    </row>
    <row r="216">
      <c r="I216" s="2570"/>
      <c r="J216" s="2599"/>
      <c r="K216" s="195"/>
    </row>
    <row r="217">
      <c r="I217" s="2570"/>
      <c r="J217" s="2599"/>
      <c r="K217" s="195"/>
    </row>
    <row r="218">
      <c r="I218" s="2570"/>
      <c r="J218" s="2599"/>
      <c r="K218" s="195"/>
    </row>
    <row r="219">
      <c r="I219" s="2570"/>
      <c r="J219" s="2599"/>
      <c r="K219" s="195"/>
    </row>
    <row r="220">
      <c r="I220" s="2570"/>
      <c r="J220" s="2599"/>
      <c r="K220" s="195"/>
    </row>
    <row r="221">
      <c r="I221" s="2570"/>
      <c r="J221" s="2599"/>
      <c r="K221" s="195"/>
    </row>
    <row r="222">
      <c r="I222" s="2570"/>
      <c r="J222" s="2599"/>
      <c r="K222" s="195"/>
    </row>
    <row r="223">
      <c r="I223" s="2570"/>
      <c r="J223" s="2599"/>
      <c r="K223" s="195"/>
    </row>
    <row r="224">
      <c r="I224" s="2570"/>
      <c r="J224" s="2599"/>
      <c r="K224" s="195"/>
    </row>
    <row r="225">
      <c r="I225" s="2570"/>
      <c r="J225" s="2599"/>
      <c r="K225" s="195"/>
    </row>
    <row r="226">
      <c r="I226" s="2570"/>
      <c r="J226" s="2599"/>
      <c r="K226" s="195"/>
    </row>
    <row r="227">
      <c r="I227" s="2570"/>
      <c r="J227" s="2599"/>
      <c r="K227" s="195"/>
    </row>
    <row r="228">
      <c r="I228" s="2570"/>
      <c r="J228" s="2599"/>
      <c r="K228" s="195"/>
    </row>
    <row r="229">
      <c r="I229" s="2570"/>
      <c r="J229" s="2599"/>
      <c r="K229" s="195"/>
    </row>
    <row r="230">
      <c r="I230" s="2570"/>
      <c r="J230" s="2599"/>
      <c r="K230" s="195"/>
    </row>
    <row r="231">
      <c r="I231" s="2570"/>
      <c r="J231" s="2599"/>
      <c r="K231" s="195"/>
    </row>
    <row r="232">
      <c r="I232" s="2570"/>
      <c r="J232" s="2599"/>
      <c r="K232" s="195"/>
    </row>
    <row r="233">
      <c r="I233" s="2570"/>
      <c r="J233" s="2599"/>
      <c r="K233" s="195"/>
    </row>
    <row r="234">
      <c r="I234" s="2570"/>
      <c r="J234" s="2599"/>
      <c r="K234" s="195"/>
    </row>
    <row r="235">
      <c r="I235" s="2570"/>
      <c r="J235" s="2599"/>
      <c r="K235" s="195"/>
    </row>
    <row r="236">
      <c r="I236" s="2570"/>
      <c r="J236" s="2599"/>
      <c r="K236" s="195"/>
    </row>
    <row r="237">
      <c r="I237" s="2570"/>
      <c r="J237" s="2599"/>
      <c r="K237" s="195"/>
    </row>
    <row r="238">
      <c r="I238" s="2570"/>
      <c r="J238" s="2599"/>
      <c r="K238" s="195"/>
    </row>
    <row r="239">
      <c r="I239" s="2570"/>
      <c r="J239" s="2599"/>
      <c r="K239" s="195"/>
    </row>
    <row r="240">
      <c r="I240" s="2570"/>
      <c r="J240" s="2599"/>
      <c r="K240" s="195"/>
    </row>
    <row r="241">
      <c r="I241" s="2570"/>
      <c r="J241" s="2599"/>
      <c r="K241" s="195"/>
    </row>
    <row r="242">
      <c r="I242" s="2570"/>
      <c r="J242" s="2599"/>
      <c r="K242" s="195"/>
    </row>
    <row r="243">
      <c r="I243" s="2570"/>
      <c r="J243" s="2599"/>
      <c r="K243" s="195"/>
    </row>
    <row r="244">
      <c r="I244" s="2570"/>
      <c r="J244" s="2599"/>
      <c r="K244" s="195"/>
    </row>
    <row r="245">
      <c r="I245" s="2570"/>
      <c r="J245" s="2599"/>
      <c r="K245" s="195"/>
    </row>
    <row r="246">
      <c r="I246" s="2570"/>
      <c r="J246" s="2599"/>
      <c r="K246" s="195"/>
    </row>
    <row r="247">
      <c r="I247" s="2570"/>
      <c r="J247" s="2599"/>
      <c r="K247" s="195"/>
    </row>
    <row r="248">
      <c r="I248" s="2570"/>
      <c r="J248" s="2599"/>
      <c r="K248" s="195"/>
    </row>
    <row r="249">
      <c r="I249" s="2570"/>
      <c r="J249" s="2599"/>
      <c r="K249" s="195"/>
    </row>
    <row r="250">
      <c r="I250" s="2570"/>
      <c r="J250" s="2599"/>
      <c r="K250" s="195"/>
    </row>
    <row r="251">
      <c r="I251" s="2570"/>
      <c r="J251" s="2599"/>
      <c r="K251" s="195"/>
    </row>
    <row r="252">
      <c r="I252" s="2570"/>
      <c r="J252" s="2599"/>
      <c r="K252" s="195"/>
    </row>
    <row r="253">
      <c r="I253" s="2570"/>
      <c r="J253" s="2599"/>
      <c r="K253" s="195"/>
    </row>
    <row r="254">
      <c r="I254" s="2570"/>
      <c r="J254" s="2599"/>
      <c r="K254" s="195"/>
    </row>
    <row r="255">
      <c r="I255" s="2570"/>
      <c r="J255" s="2599"/>
      <c r="K255" s="195"/>
    </row>
    <row r="256">
      <c r="I256" s="2570"/>
      <c r="J256" s="2599"/>
      <c r="K256" s="195"/>
    </row>
    <row r="257">
      <c r="I257" s="2570"/>
      <c r="J257" s="2599"/>
      <c r="K257" s="195"/>
    </row>
    <row r="258">
      <c r="I258" s="2570"/>
      <c r="J258" s="2599"/>
      <c r="K258" s="195"/>
    </row>
    <row r="259">
      <c r="I259" s="2570"/>
      <c r="J259" s="2599"/>
      <c r="K259" s="195"/>
    </row>
    <row r="260">
      <c r="I260" s="2570"/>
      <c r="J260" s="2599"/>
      <c r="K260" s="195"/>
    </row>
    <row r="261">
      <c r="I261" s="2570"/>
      <c r="J261" s="2599"/>
      <c r="K261" s="195"/>
    </row>
    <row r="262">
      <c r="I262" s="2570"/>
      <c r="J262" s="2599"/>
      <c r="K262" s="195"/>
    </row>
    <row r="263">
      <c r="I263" s="2570"/>
      <c r="J263" s="2599"/>
      <c r="K263" s="195"/>
    </row>
    <row r="264">
      <c r="I264" s="2570"/>
      <c r="J264" s="2599"/>
      <c r="K264" s="195"/>
    </row>
    <row r="265">
      <c r="I265" s="2570"/>
      <c r="J265" s="2599"/>
      <c r="K265" s="195"/>
    </row>
    <row r="266">
      <c r="I266" s="2570"/>
      <c r="J266" s="2599"/>
      <c r="K266" s="195"/>
    </row>
    <row r="267">
      <c r="I267" s="2570"/>
      <c r="J267" s="2599"/>
      <c r="K267" s="195"/>
    </row>
    <row r="268">
      <c r="I268" s="2570"/>
      <c r="J268" s="2599"/>
      <c r="K268" s="195"/>
    </row>
    <row r="269">
      <c r="I269" s="2570"/>
      <c r="J269" s="2599"/>
      <c r="K269" s="195"/>
    </row>
    <row r="270">
      <c r="I270" s="2570"/>
      <c r="J270" s="2599"/>
      <c r="K270" s="195"/>
    </row>
    <row r="271">
      <c r="I271" s="2570"/>
      <c r="J271" s="2599"/>
      <c r="K271" s="195"/>
    </row>
    <row r="272">
      <c r="I272" s="2570"/>
      <c r="J272" s="2599"/>
      <c r="K272" s="195"/>
    </row>
    <row r="273">
      <c r="I273" s="2570"/>
      <c r="J273" s="2599"/>
      <c r="K273" s="195"/>
    </row>
    <row r="274">
      <c r="I274" s="2570"/>
      <c r="J274" s="2599"/>
      <c r="K274" s="195"/>
    </row>
    <row r="275">
      <c r="I275" s="2570"/>
      <c r="J275" s="2599"/>
      <c r="K275" s="195"/>
    </row>
    <row r="276">
      <c r="I276" s="2570"/>
      <c r="J276" s="2599"/>
      <c r="K276" s="195"/>
    </row>
    <row r="277">
      <c r="I277" s="2570"/>
      <c r="J277" s="2599"/>
      <c r="K277" s="195"/>
    </row>
    <row r="278">
      <c r="I278" s="2570"/>
      <c r="J278" s="2599"/>
      <c r="K278" s="195"/>
    </row>
    <row r="279">
      <c r="I279" s="2570"/>
      <c r="J279" s="2599"/>
      <c r="K279" s="195"/>
    </row>
    <row r="280">
      <c r="I280" s="2570"/>
      <c r="J280" s="2599"/>
      <c r="K280" s="195"/>
    </row>
    <row r="281">
      <c r="I281" s="2570"/>
      <c r="J281" s="2599"/>
      <c r="K281" s="195"/>
    </row>
    <row r="282">
      <c r="I282" s="2570"/>
      <c r="J282" s="2599"/>
      <c r="K282" s="195"/>
    </row>
    <row r="283">
      <c r="I283" s="2570"/>
      <c r="J283" s="2599"/>
      <c r="K283" s="195"/>
    </row>
    <row r="284">
      <c r="I284" s="2570"/>
      <c r="J284" s="2599"/>
      <c r="K284" s="195"/>
    </row>
    <row r="285">
      <c r="I285" s="2570"/>
      <c r="J285" s="2599"/>
      <c r="K285" s="195"/>
    </row>
    <row r="286">
      <c r="I286" s="2570"/>
      <c r="J286" s="2599"/>
      <c r="K286" s="195"/>
    </row>
    <row r="287">
      <c r="I287" s="2570"/>
      <c r="J287" s="2599"/>
      <c r="K287" s="195"/>
    </row>
    <row r="288">
      <c r="I288" s="2570"/>
      <c r="J288" s="2599"/>
      <c r="K288" s="195"/>
    </row>
    <row r="289">
      <c r="I289" s="2570"/>
      <c r="J289" s="2599"/>
      <c r="K289" s="195"/>
    </row>
    <row r="290">
      <c r="I290" s="2570"/>
      <c r="J290" s="2599"/>
      <c r="K290" s="195"/>
    </row>
    <row r="291">
      <c r="I291" s="2570"/>
      <c r="J291" s="2599"/>
      <c r="K291" s="195"/>
    </row>
    <row r="292">
      <c r="I292" s="2570"/>
      <c r="J292" s="2599"/>
      <c r="K292" s="195"/>
    </row>
    <row r="293">
      <c r="I293" s="2570"/>
      <c r="J293" s="2599"/>
      <c r="K293" s="195"/>
    </row>
    <row r="294">
      <c r="I294" s="2570"/>
      <c r="J294" s="2599"/>
      <c r="K294" s="195"/>
    </row>
    <row r="295">
      <c r="I295" s="2570"/>
      <c r="J295" s="2599"/>
      <c r="K295" s="195"/>
    </row>
    <row r="296">
      <c r="I296" s="2570"/>
      <c r="J296" s="2599"/>
      <c r="K296" s="195"/>
    </row>
    <row r="297">
      <c r="I297" s="2570"/>
      <c r="J297" s="2599"/>
      <c r="K297" s="195"/>
    </row>
    <row r="298">
      <c r="I298" s="2570"/>
      <c r="J298" s="2599"/>
      <c r="K298" s="195"/>
    </row>
    <row r="299">
      <c r="I299" s="2570"/>
      <c r="J299" s="2599"/>
      <c r="K299" s="195"/>
    </row>
    <row r="300">
      <c r="I300" s="2570"/>
      <c r="J300" s="2599"/>
      <c r="K300" s="195"/>
    </row>
    <row r="301">
      <c r="I301" s="2570"/>
      <c r="J301" s="2599"/>
      <c r="K301" s="195"/>
    </row>
    <row r="302">
      <c r="I302" s="2570"/>
      <c r="J302" s="2599"/>
      <c r="K302" s="195"/>
    </row>
    <row r="303">
      <c r="I303" s="2570"/>
      <c r="J303" s="2599"/>
      <c r="K303" s="195"/>
    </row>
    <row r="304">
      <c r="I304" s="2570"/>
      <c r="J304" s="2599"/>
      <c r="K304" s="195"/>
    </row>
    <row r="305">
      <c r="I305" s="2570"/>
      <c r="J305" s="2599"/>
      <c r="K305" s="195"/>
    </row>
    <row r="306">
      <c r="I306" s="2570"/>
      <c r="J306" s="2599"/>
      <c r="K306" s="195"/>
    </row>
    <row r="307">
      <c r="I307" s="2570"/>
      <c r="J307" s="2599"/>
      <c r="K307" s="195"/>
    </row>
    <row r="308">
      <c r="I308" s="2570"/>
      <c r="J308" s="2599"/>
      <c r="K308" s="195"/>
    </row>
    <row r="309">
      <c r="I309" s="2570"/>
      <c r="J309" s="2599"/>
      <c r="K309" s="195"/>
    </row>
    <row r="310">
      <c r="I310" s="2570"/>
      <c r="J310" s="2599"/>
      <c r="K310" s="195"/>
    </row>
    <row r="311">
      <c r="I311" s="2570"/>
      <c r="J311" s="2599"/>
      <c r="K311" s="195"/>
    </row>
    <row r="312">
      <c r="I312" s="2570"/>
      <c r="J312" s="2599"/>
      <c r="K312" s="195"/>
    </row>
    <row r="313">
      <c r="I313" s="2570"/>
      <c r="J313" s="2599"/>
      <c r="K313" s="195"/>
    </row>
    <row r="314">
      <c r="I314" s="2570"/>
      <c r="J314" s="2599"/>
      <c r="K314" s="195"/>
    </row>
    <row r="315">
      <c r="I315" s="2570"/>
      <c r="J315" s="2599"/>
      <c r="K315" s="195"/>
    </row>
    <row r="316">
      <c r="I316" s="2570"/>
      <c r="J316" s="2599"/>
      <c r="K316" s="195"/>
    </row>
    <row r="317">
      <c r="I317" s="2570"/>
      <c r="J317" s="2599"/>
      <c r="K317" s="195"/>
    </row>
    <row r="318">
      <c r="I318" s="2570"/>
      <c r="J318" s="2599"/>
      <c r="K318" s="195"/>
    </row>
    <row r="319">
      <c r="I319" s="2570"/>
      <c r="J319" s="2599"/>
      <c r="K319" s="195"/>
    </row>
    <row r="320">
      <c r="I320" s="2570"/>
      <c r="J320" s="2599"/>
      <c r="K320" s="195"/>
    </row>
    <row r="321">
      <c r="I321" s="2570"/>
      <c r="J321" s="2599"/>
      <c r="K321" s="195"/>
    </row>
    <row r="322">
      <c r="I322" s="2570"/>
      <c r="J322" s="2599"/>
      <c r="K322" s="195"/>
    </row>
    <row r="323">
      <c r="I323" s="2570"/>
      <c r="J323" s="2599"/>
      <c r="K323" s="195"/>
    </row>
    <row r="324">
      <c r="I324" s="2570"/>
      <c r="J324" s="2599"/>
      <c r="K324" s="195"/>
    </row>
    <row r="325">
      <c r="I325" s="2570"/>
      <c r="J325" s="2599"/>
      <c r="K325" s="195"/>
    </row>
    <row r="326">
      <c r="I326" s="2570"/>
      <c r="J326" s="2599"/>
      <c r="K326" s="195"/>
    </row>
    <row r="327">
      <c r="I327" s="2570"/>
      <c r="J327" s="2599"/>
      <c r="K327" s="195"/>
    </row>
    <row r="328">
      <c r="I328" s="2570"/>
      <c r="J328" s="2599"/>
      <c r="K328" s="195"/>
    </row>
    <row r="329">
      <c r="I329" s="2570"/>
      <c r="J329" s="2599"/>
      <c r="K329" s="195"/>
    </row>
    <row r="330">
      <c r="I330" s="2570"/>
      <c r="J330" s="2599"/>
      <c r="K330" s="195"/>
    </row>
    <row r="331">
      <c r="I331" s="2570"/>
      <c r="J331" s="2599"/>
      <c r="K331" s="195"/>
    </row>
    <row r="332">
      <c r="I332" s="2570"/>
      <c r="J332" s="2599"/>
      <c r="K332" s="195"/>
    </row>
    <row r="333">
      <c r="I333" s="2570"/>
      <c r="J333" s="2599"/>
      <c r="K333" s="195"/>
    </row>
    <row r="334">
      <c r="I334" s="2570"/>
      <c r="J334" s="2599"/>
      <c r="K334" s="195"/>
    </row>
    <row r="335">
      <c r="I335" s="2570"/>
      <c r="J335" s="2599"/>
      <c r="K335" s="195"/>
    </row>
    <row r="336">
      <c r="I336" s="2570"/>
      <c r="J336" s="2599"/>
      <c r="K336" s="195"/>
    </row>
    <row r="337">
      <c r="I337" s="2570"/>
      <c r="J337" s="2599"/>
      <c r="K337" s="195"/>
    </row>
    <row r="338">
      <c r="I338" s="2570"/>
      <c r="J338" s="2599"/>
      <c r="K338" s="195"/>
    </row>
    <row r="339">
      <c r="I339" s="2570"/>
      <c r="J339" s="2599"/>
      <c r="K339" s="195"/>
    </row>
    <row r="340">
      <c r="I340" s="2570"/>
      <c r="J340" s="2599"/>
      <c r="K340" s="195"/>
    </row>
    <row r="341">
      <c r="I341" s="2570"/>
      <c r="J341" s="2599"/>
      <c r="K341" s="195"/>
    </row>
    <row r="342">
      <c r="I342" s="2570"/>
      <c r="J342" s="2599"/>
      <c r="K342" s="195"/>
    </row>
    <row r="343">
      <c r="I343" s="2570"/>
      <c r="J343" s="2599"/>
      <c r="K343" s="195"/>
    </row>
    <row r="344">
      <c r="I344" s="2570"/>
      <c r="J344" s="2599"/>
      <c r="K344" s="195"/>
    </row>
    <row r="345">
      <c r="I345" s="2570"/>
      <c r="J345" s="2599"/>
      <c r="K345" s="195"/>
    </row>
    <row r="346">
      <c r="I346" s="2570"/>
      <c r="J346" s="2599"/>
      <c r="K346" s="195"/>
    </row>
    <row r="347">
      <c r="I347" s="2570"/>
      <c r="J347" s="2599"/>
      <c r="K347" s="195"/>
    </row>
    <row r="348">
      <c r="I348" s="2570"/>
      <c r="J348" s="2599"/>
      <c r="K348" s="195"/>
    </row>
    <row r="349">
      <c r="I349" s="2570"/>
      <c r="J349" s="2599"/>
      <c r="K349" s="195"/>
    </row>
    <row r="350">
      <c r="I350" s="2570"/>
      <c r="J350" s="2599"/>
      <c r="K350" s="195"/>
    </row>
    <row r="351">
      <c r="I351" s="2570"/>
      <c r="J351" s="2599"/>
      <c r="K351" s="195"/>
    </row>
    <row r="352">
      <c r="I352" s="2570"/>
      <c r="J352" s="2599"/>
      <c r="K352" s="195"/>
    </row>
    <row r="353">
      <c r="I353" s="2570"/>
      <c r="J353" s="2599"/>
      <c r="K353" s="195"/>
    </row>
    <row r="354">
      <c r="I354" s="2570"/>
      <c r="J354" s="2599"/>
      <c r="K354" s="195"/>
    </row>
    <row r="355">
      <c r="I355" s="2570"/>
      <c r="J355" s="2599"/>
      <c r="K355" s="195"/>
    </row>
    <row r="356">
      <c r="I356" s="2570"/>
      <c r="J356" s="2599"/>
      <c r="K356" s="195"/>
    </row>
    <row r="357">
      <c r="I357" s="2570"/>
      <c r="J357" s="2599"/>
      <c r="K357" s="195"/>
    </row>
    <row r="358">
      <c r="I358" s="2570"/>
      <c r="J358" s="2599"/>
      <c r="K358" s="195"/>
    </row>
    <row r="359">
      <c r="I359" s="2570"/>
      <c r="J359" s="2599"/>
      <c r="K359" s="195"/>
    </row>
    <row r="360">
      <c r="I360" s="2570"/>
      <c r="J360" s="2599"/>
      <c r="K360" s="195"/>
    </row>
    <row r="361">
      <c r="I361" s="2570"/>
      <c r="J361" s="2599"/>
      <c r="K361" s="195"/>
    </row>
    <row r="362">
      <c r="I362" s="2570"/>
      <c r="J362" s="2599"/>
      <c r="K362" s="195"/>
    </row>
    <row r="363">
      <c r="I363" s="2570"/>
      <c r="J363" s="2599"/>
      <c r="K363" s="195"/>
    </row>
    <row r="364">
      <c r="I364" s="2570"/>
      <c r="J364" s="2599"/>
      <c r="K364" s="195"/>
    </row>
    <row r="365">
      <c r="I365" s="2570"/>
      <c r="J365" s="2599"/>
      <c r="K365" s="195"/>
    </row>
    <row r="366">
      <c r="I366" s="2570"/>
      <c r="J366" s="2599"/>
      <c r="K366" s="195"/>
    </row>
    <row r="367">
      <c r="I367" s="2570"/>
      <c r="J367" s="2599"/>
      <c r="K367" s="195"/>
    </row>
    <row r="368">
      <c r="I368" s="2570"/>
      <c r="J368" s="2599"/>
      <c r="K368" s="195"/>
    </row>
    <row r="369">
      <c r="I369" s="2570"/>
      <c r="J369" s="2599"/>
      <c r="K369" s="195"/>
    </row>
    <row r="370">
      <c r="I370" s="2570"/>
      <c r="J370" s="2599"/>
      <c r="K370" s="195"/>
    </row>
    <row r="371">
      <c r="I371" s="2570"/>
      <c r="J371" s="2599"/>
      <c r="K371" s="195"/>
    </row>
    <row r="372">
      <c r="I372" s="2570"/>
      <c r="J372" s="2599"/>
      <c r="K372" s="195"/>
    </row>
    <row r="373">
      <c r="I373" s="2570"/>
      <c r="J373" s="2599"/>
      <c r="K373" s="195"/>
    </row>
    <row r="374">
      <c r="I374" s="2570"/>
      <c r="J374" s="2599"/>
      <c r="K374" s="195"/>
    </row>
    <row r="375">
      <c r="I375" s="2570"/>
      <c r="J375" s="2599"/>
      <c r="K375" s="195"/>
    </row>
    <row r="376">
      <c r="I376" s="2570"/>
      <c r="J376" s="2599"/>
      <c r="K376" s="195"/>
    </row>
    <row r="377">
      <c r="I377" s="2570"/>
      <c r="J377" s="2599"/>
      <c r="K377" s="195"/>
    </row>
    <row r="378">
      <c r="I378" s="2570"/>
      <c r="J378" s="2599"/>
      <c r="K378" s="195"/>
    </row>
    <row r="379">
      <c r="I379" s="2570"/>
      <c r="J379" s="2599"/>
      <c r="K379" s="195"/>
    </row>
    <row r="380">
      <c r="I380" s="2570"/>
      <c r="J380" s="2599"/>
      <c r="K380" s="195"/>
    </row>
    <row r="381">
      <c r="I381" s="2570"/>
      <c r="J381" s="2599"/>
      <c r="K381" s="195"/>
    </row>
    <row r="382">
      <c r="I382" s="2570"/>
      <c r="J382" s="2599"/>
      <c r="K382" s="195"/>
    </row>
    <row r="383">
      <c r="I383" s="2570"/>
      <c r="J383" s="2599"/>
      <c r="K383" s="195"/>
    </row>
    <row r="384">
      <c r="I384" s="2570"/>
      <c r="J384" s="2599"/>
      <c r="K384" s="195"/>
    </row>
    <row r="385">
      <c r="I385" s="2570"/>
      <c r="J385" s="2599"/>
      <c r="K385" s="195"/>
    </row>
    <row r="386">
      <c r="I386" s="2570"/>
      <c r="J386" s="2599"/>
      <c r="K386" s="195"/>
    </row>
    <row r="387">
      <c r="I387" s="2570"/>
      <c r="J387" s="2599"/>
      <c r="K387" s="195"/>
    </row>
    <row r="388">
      <c r="I388" s="2570"/>
      <c r="J388" s="2599"/>
      <c r="K388" s="195"/>
    </row>
    <row r="389">
      <c r="I389" s="2570"/>
      <c r="J389" s="2599"/>
      <c r="K389" s="195"/>
    </row>
    <row r="390">
      <c r="I390" s="2570"/>
      <c r="J390" s="2599"/>
      <c r="K390" s="195"/>
    </row>
    <row r="391">
      <c r="I391" s="2570"/>
      <c r="J391" s="2599"/>
      <c r="K391" s="195"/>
    </row>
    <row r="392">
      <c r="I392" s="2570"/>
      <c r="J392" s="2599"/>
      <c r="K392" s="195"/>
    </row>
    <row r="393">
      <c r="I393" s="2570"/>
      <c r="J393" s="2599"/>
      <c r="K393" s="195"/>
    </row>
    <row r="394">
      <c r="I394" s="2570"/>
      <c r="J394" s="2599"/>
      <c r="K394" s="195"/>
    </row>
    <row r="395">
      <c r="I395" s="2570"/>
      <c r="J395" s="2599"/>
      <c r="K395" s="195"/>
    </row>
    <row r="396">
      <c r="I396" s="2570"/>
      <c r="J396" s="2599"/>
      <c r="K396" s="195"/>
    </row>
    <row r="397">
      <c r="I397" s="2570"/>
      <c r="J397" s="2599"/>
      <c r="K397" s="195"/>
    </row>
    <row r="398">
      <c r="I398" s="2570"/>
      <c r="J398" s="2599"/>
      <c r="K398" s="195"/>
    </row>
    <row r="399">
      <c r="I399" s="2570"/>
      <c r="J399" s="2599"/>
      <c r="K399" s="195"/>
    </row>
    <row r="400">
      <c r="I400" s="2570"/>
      <c r="J400" s="2599"/>
      <c r="K400" s="195"/>
    </row>
    <row r="401">
      <c r="I401" s="2570"/>
      <c r="J401" s="2599"/>
      <c r="K401" s="195"/>
    </row>
    <row r="402">
      <c r="I402" s="2570"/>
      <c r="J402" s="2599"/>
      <c r="K402" s="195"/>
    </row>
    <row r="403">
      <c r="I403" s="2570"/>
      <c r="J403" s="2599"/>
      <c r="K403" s="195"/>
    </row>
    <row r="404">
      <c r="I404" s="2570"/>
      <c r="J404" s="2599"/>
      <c r="K404" s="195"/>
    </row>
    <row r="405">
      <c r="I405" s="2570"/>
      <c r="J405" s="2599"/>
      <c r="K405" s="195"/>
    </row>
    <row r="406">
      <c r="I406" s="2570"/>
      <c r="J406" s="2599"/>
      <c r="K406" s="195"/>
    </row>
    <row r="407">
      <c r="I407" s="2570"/>
      <c r="J407" s="2599"/>
      <c r="K407" s="195"/>
    </row>
    <row r="408">
      <c r="I408" s="2570"/>
      <c r="J408" s="2599"/>
      <c r="K408" s="195"/>
    </row>
    <row r="409">
      <c r="I409" s="2570"/>
      <c r="J409" s="2599"/>
      <c r="K409" s="195"/>
    </row>
    <row r="410">
      <c r="I410" s="2570"/>
      <c r="J410" s="2599"/>
      <c r="K410" s="195"/>
    </row>
    <row r="411">
      <c r="I411" s="2570"/>
      <c r="J411" s="2599"/>
      <c r="K411" s="195"/>
    </row>
    <row r="412">
      <c r="I412" s="2570"/>
      <c r="J412" s="2599"/>
      <c r="K412" s="195"/>
    </row>
    <row r="413">
      <c r="I413" s="2570"/>
      <c r="J413" s="2599"/>
      <c r="K413" s="195"/>
    </row>
    <row r="414">
      <c r="I414" s="2570"/>
      <c r="J414" s="2599"/>
      <c r="K414" s="195"/>
    </row>
    <row r="415">
      <c r="I415" s="2570"/>
      <c r="J415" s="2599"/>
      <c r="K415" s="195"/>
    </row>
    <row r="416">
      <c r="I416" s="2570"/>
      <c r="J416" s="2599"/>
      <c r="K416" s="195"/>
    </row>
    <row r="417">
      <c r="I417" s="2570"/>
      <c r="J417" s="2599"/>
      <c r="K417" s="195"/>
    </row>
    <row r="418">
      <c r="I418" s="2570"/>
      <c r="J418" s="2599"/>
      <c r="K418" s="195"/>
    </row>
    <row r="419">
      <c r="I419" s="2570"/>
      <c r="J419" s="2599"/>
      <c r="K419" s="195"/>
    </row>
    <row r="420">
      <c r="I420" s="2570"/>
      <c r="J420" s="2599"/>
      <c r="K420" s="195"/>
    </row>
    <row r="421">
      <c r="I421" s="2570"/>
      <c r="J421" s="2599"/>
      <c r="K421" s="195"/>
    </row>
    <row r="422">
      <c r="I422" s="2570"/>
      <c r="J422" s="2599"/>
      <c r="K422" s="195"/>
    </row>
    <row r="423">
      <c r="I423" s="2570"/>
      <c r="J423" s="2599"/>
      <c r="K423" s="195"/>
    </row>
    <row r="424">
      <c r="I424" s="2570"/>
      <c r="J424" s="2599"/>
      <c r="K424" s="195"/>
    </row>
    <row r="425">
      <c r="I425" s="2570"/>
      <c r="J425" s="2599"/>
      <c r="K425" s="195"/>
    </row>
    <row r="426">
      <c r="I426" s="2570"/>
      <c r="J426" s="2599"/>
      <c r="K426" s="195"/>
    </row>
    <row r="427">
      <c r="I427" s="2570"/>
      <c r="J427" s="2599"/>
      <c r="K427" s="195"/>
    </row>
    <row r="428">
      <c r="I428" s="2570"/>
      <c r="J428" s="2599"/>
      <c r="K428" s="195"/>
    </row>
    <row r="429">
      <c r="I429" s="2570"/>
      <c r="J429" s="2599"/>
      <c r="K429" s="195"/>
    </row>
    <row r="430">
      <c r="I430" s="2570"/>
      <c r="J430" s="2599"/>
      <c r="K430" s="195"/>
    </row>
    <row r="431">
      <c r="I431" s="2570"/>
      <c r="J431" s="2599"/>
      <c r="K431" s="195"/>
    </row>
    <row r="432">
      <c r="I432" s="2570"/>
      <c r="J432" s="2599"/>
      <c r="K432" s="195"/>
    </row>
    <row r="433">
      <c r="I433" s="2570"/>
      <c r="J433" s="2599"/>
      <c r="K433" s="195"/>
    </row>
    <row r="434">
      <c r="I434" s="2570"/>
      <c r="J434" s="2599"/>
      <c r="K434" s="195"/>
    </row>
    <row r="435">
      <c r="I435" s="2570"/>
      <c r="J435" s="2599"/>
      <c r="K435" s="195"/>
    </row>
    <row r="436">
      <c r="I436" s="2570"/>
      <c r="J436" s="2599"/>
      <c r="K436" s="195"/>
    </row>
    <row r="437">
      <c r="I437" s="2570"/>
      <c r="J437" s="2599"/>
      <c r="K437" s="195"/>
    </row>
    <row r="438">
      <c r="I438" s="2570"/>
      <c r="J438" s="2599"/>
      <c r="K438" s="195"/>
    </row>
    <row r="439">
      <c r="I439" s="2570"/>
      <c r="J439" s="2599"/>
      <c r="K439" s="195"/>
    </row>
    <row r="440">
      <c r="I440" s="2570"/>
      <c r="J440" s="2599"/>
      <c r="K440" s="195"/>
    </row>
    <row r="441">
      <c r="I441" s="2570"/>
      <c r="J441" s="2599"/>
      <c r="K441" s="195"/>
    </row>
    <row r="442">
      <c r="I442" s="2570"/>
      <c r="J442" s="2599"/>
      <c r="K442" s="195"/>
    </row>
    <row r="443">
      <c r="I443" s="2570"/>
      <c r="J443" s="2599"/>
      <c r="K443" s="195"/>
    </row>
    <row r="444">
      <c r="I444" s="2570"/>
      <c r="J444" s="2599"/>
      <c r="K444" s="195"/>
    </row>
    <row r="445">
      <c r="I445" s="2570"/>
      <c r="J445" s="2599"/>
      <c r="K445" s="195"/>
    </row>
    <row r="446">
      <c r="I446" s="2570"/>
      <c r="J446" s="2599"/>
      <c r="K446" s="195"/>
    </row>
    <row r="447">
      <c r="I447" s="2570"/>
      <c r="J447" s="2599"/>
      <c r="K447" s="195"/>
    </row>
    <row r="448">
      <c r="I448" s="2570"/>
      <c r="J448" s="2599"/>
      <c r="K448" s="195"/>
    </row>
    <row r="449">
      <c r="I449" s="2570"/>
      <c r="J449" s="2599"/>
      <c r="K449" s="195"/>
    </row>
    <row r="450">
      <c r="I450" s="2570"/>
      <c r="J450" s="2599"/>
      <c r="K450" s="195"/>
    </row>
    <row r="451">
      <c r="I451" s="2570"/>
      <c r="J451" s="2599"/>
      <c r="K451" s="195"/>
    </row>
    <row r="452">
      <c r="I452" s="2570"/>
      <c r="J452" s="2599"/>
      <c r="K452" s="195"/>
    </row>
    <row r="453">
      <c r="I453" s="2570"/>
      <c r="J453" s="2599"/>
      <c r="K453" s="195"/>
    </row>
    <row r="454">
      <c r="I454" s="2570"/>
      <c r="J454" s="2599"/>
      <c r="K454" s="195"/>
    </row>
    <row r="455">
      <c r="I455" s="2570"/>
      <c r="J455" s="2599"/>
      <c r="K455" s="195"/>
    </row>
    <row r="456">
      <c r="I456" s="2570"/>
      <c r="J456" s="2599"/>
      <c r="K456" s="195"/>
    </row>
    <row r="457">
      <c r="I457" s="2570"/>
      <c r="J457" s="2599"/>
      <c r="K457" s="195"/>
    </row>
    <row r="458">
      <c r="I458" s="2570"/>
      <c r="J458" s="2599"/>
      <c r="K458" s="195"/>
    </row>
    <row r="459">
      <c r="I459" s="2570"/>
      <c r="J459" s="2599"/>
      <c r="K459" s="195"/>
    </row>
    <row r="460">
      <c r="I460" s="2570"/>
      <c r="J460" s="2599"/>
      <c r="K460" s="195"/>
    </row>
    <row r="461">
      <c r="I461" s="2570"/>
      <c r="J461" s="2599"/>
      <c r="K461" s="195"/>
    </row>
    <row r="462">
      <c r="I462" s="2570"/>
      <c r="J462" s="2599"/>
      <c r="K462" s="195"/>
    </row>
    <row r="463">
      <c r="I463" s="2570"/>
      <c r="J463" s="2599"/>
      <c r="K463" s="195"/>
    </row>
    <row r="464">
      <c r="I464" s="2570"/>
      <c r="J464" s="2599"/>
      <c r="K464" s="195"/>
    </row>
    <row r="465">
      <c r="I465" s="2570"/>
      <c r="J465" s="2599"/>
      <c r="K465" s="195"/>
    </row>
    <row r="466">
      <c r="I466" s="2570"/>
      <c r="J466" s="2599"/>
      <c r="K466" s="195"/>
    </row>
    <row r="467">
      <c r="I467" s="2570"/>
      <c r="J467" s="2599"/>
      <c r="K467" s="195"/>
    </row>
    <row r="468">
      <c r="I468" s="2570"/>
      <c r="J468" s="2599"/>
      <c r="K468" s="195"/>
    </row>
    <row r="469">
      <c r="I469" s="2570"/>
      <c r="J469" s="2599"/>
      <c r="K469" s="195"/>
    </row>
    <row r="470">
      <c r="I470" s="2570"/>
      <c r="J470" s="2599"/>
      <c r="K470" s="195"/>
    </row>
    <row r="471">
      <c r="I471" s="2570"/>
      <c r="J471" s="2599"/>
      <c r="K471" s="195"/>
    </row>
    <row r="472">
      <c r="I472" s="2570"/>
      <c r="J472" s="2599"/>
      <c r="K472" s="195"/>
    </row>
    <row r="473">
      <c r="I473" s="2570"/>
      <c r="J473" s="2599"/>
      <c r="K473" s="195"/>
    </row>
    <row r="474">
      <c r="I474" s="2570"/>
      <c r="J474" s="2599"/>
      <c r="K474" s="195"/>
    </row>
    <row r="475">
      <c r="I475" s="2570"/>
      <c r="J475" s="2599"/>
      <c r="K475" s="195"/>
    </row>
    <row r="476">
      <c r="I476" s="2570"/>
      <c r="J476" s="2599"/>
      <c r="K476" s="195"/>
    </row>
    <row r="477">
      <c r="I477" s="2570"/>
      <c r="J477" s="2599"/>
      <c r="K477" s="195"/>
    </row>
    <row r="478">
      <c r="I478" s="2570"/>
      <c r="J478" s="2599"/>
      <c r="K478" s="195"/>
    </row>
    <row r="479">
      <c r="I479" s="2570"/>
      <c r="J479" s="2599"/>
      <c r="K479" s="195"/>
    </row>
    <row r="480">
      <c r="I480" s="2570"/>
      <c r="J480" s="2599"/>
      <c r="K480" s="195"/>
    </row>
    <row r="481">
      <c r="I481" s="2570"/>
      <c r="J481" s="2599"/>
      <c r="K481" s="195"/>
    </row>
    <row r="482">
      <c r="I482" s="2570"/>
      <c r="J482" s="2599"/>
      <c r="K482" s="195"/>
    </row>
    <row r="483">
      <c r="I483" s="2570"/>
      <c r="J483" s="2599"/>
      <c r="K483" s="195"/>
    </row>
    <row r="484">
      <c r="I484" s="2570"/>
      <c r="J484" s="2599"/>
      <c r="K484" s="195"/>
    </row>
    <row r="485">
      <c r="I485" s="2570"/>
      <c r="J485" s="2599"/>
      <c r="K485" s="195"/>
    </row>
    <row r="486">
      <c r="I486" s="2570"/>
      <c r="J486" s="2599"/>
      <c r="K486" s="195"/>
    </row>
    <row r="487">
      <c r="I487" s="2570"/>
      <c r="J487" s="2599"/>
      <c r="K487" s="195"/>
    </row>
    <row r="488">
      <c r="I488" s="2570"/>
      <c r="J488" s="2599"/>
      <c r="K488" s="195"/>
    </row>
    <row r="489">
      <c r="I489" s="2570"/>
      <c r="J489" s="2599"/>
      <c r="K489" s="195"/>
    </row>
    <row r="490">
      <c r="I490" s="2570"/>
      <c r="J490" s="2599"/>
      <c r="K490" s="195"/>
    </row>
    <row r="491">
      <c r="I491" s="2570"/>
      <c r="J491" s="2599"/>
      <c r="K491" s="195"/>
    </row>
    <row r="492">
      <c r="I492" s="2570"/>
      <c r="J492" s="2599"/>
      <c r="K492" s="195"/>
    </row>
    <row r="493">
      <c r="I493" s="2570"/>
      <c r="J493" s="2599"/>
      <c r="K493" s="195"/>
    </row>
    <row r="494">
      <c r="I494" s="2570"/>
      <c r="J494" s="2599"/>
      <c r="K494" s="195"/>
    </row>
    <row r="495">
      <c r="I495" s="2570"/>
      <c r="J495" s="2599"/>
      <c r="K495" s="195"/>
    </row>
    <row r="496">
      <c r="I496" s="2570"/>
      <c r="J496" s="2599"/>
      <c r="K496" s="195"/>
    </row>
    <row r="497">
      <c r="I497" s="2570"/>
      <c r="J497" s="2599"/>
      <c r="K497" s="195"/>
    </row>
    <row r="498">
      <c r="I498" s="2570"/>
      <c r="J498" s="2599"/>
      <c r="K498" s="195"/>
    </row>
    <row r="499">
      <c r="I499" s="2570"/>
      <c r="J499" s="2599"/>
      <c r="K499" s="195"/>
    </row>
    <row r="500">
      <c r="I500" s="2570"/>
      <c r="J500" s="2599"/>
      <c r="K500" s="195"/>
    </row>
    <row r="501">
      <c r="I501" s="2570"/>
      <c r="J501" s="2599"/>
      <c r="K501" s="195"/>
    </row>
    <row r="502">
      <c r="I502" s="2570"/>
      <c r="J502" s="2599"/>
      <c r="K502" s="195"/>
    </row>
    <row r="503">
      <c r="I503" s="2570"/>
      <c r="J503" s="2599"/>
      <c r="K503" s="195"/>
    </row>
    <row r="504">
      <c r="I504" s="2570"/>
      <c r="J504" s="2599"/>
      <c r="K504" s="195"/>
    </row>
    <row r="505">
      <c r="I505" s="2570"/>
      <c r="J505" s="2599"/>
      <c r="K505" s="195"/>
    </row>
    <row r="506">
      <c r="I506" s="2570"/>
      <c r="J506" s="2599"/>
      <c r="K506" s="195"/>
    </row>
    <row r="507">
      <c r="I507" s="2570"/>
      <c r="J507" s="2599"/>
      <c r="K507" s="195"/>
    </row>
    <row r="508">
      <c r="I508" s="2570"/>
      <c r="J508" s="2599"/>
      <c r="K508" s="195"/>
    </row>
    <row r="509">
      <c r="I509" s="2570"/>
      <c r="J509" s="2599"/>
      <c r="K509" s="195"/>
    </row>
    <row r="510">
      <c r="I510" s="2570"/>
      <c r="J510" s="2599"/>
      <c r="K510" s="195"/>
    </row>
    <row r="511">
      <c r="I511" s="2570"/>
      <c r="J511" s="2599"/>
      <c r="K511" s="195"/>
    </row>
    <row r="512">
      <c r="I512" s="2570"/>
      <c r="J512" s="2599"/>
      <c r="K512" s="195"/>
    </row>
    <row r="513">
      <c r="I513" s="2570"/>
      <c r="J513" s="2599"/>
      <c r="K513" s="195"/>
    </row>
    <row r="514">
      <c r="I514" s="2570"/>
      <c r="J514" s="2599"/>
      <c r="K514" s="195"/>
    </row>
    <row r="515">
      <c r="I515" s="2570"/>
      <c r="J515" s="2599"/>
      <c r="K515" s="195"/>
    </row>
    <row r="516">
      <c r="I516" s="2570"/>
      <c r="J516" s="2599"/>
      <c r="K516" s="195"/>
    </row>
    <row r="517">
      <c r="I517" s="2570"/>
      <c r="J517" s="2599"/>
      <c r="K517" s="195"/>
    </row>
    <row r="518">
      <c r="I518" s="2570"/>
      <c r="J518" s="2599"/>
      <c r="K518" s="195"/>
    </row>
    <row r="519">
      <c r="I519" s="2570"/>
      <c r="J519" s="2599"/>
      <c r="K519" s="195"/>
    </row>
    <row r="520">
      <c r="I520" s="2570"/>
      <c r="J520" s="2599"/>
      <c r="K520" s="195"/>
    </row>
    <row r="521">
      <c r="I521" s="2570"/>
      <c r="J521" s="2599"/>
      <c r="K521" s="195"/>
    </row>
    <row r="522">
      <c r="I522" s="2570"/>
      <c r="J522" s="2599"/>
      <c r="K522" s="195"/>
    </row>
    <row r="523">
      <c r="I523" s="2570"/>
      <c r="J523" s="2599"/>
      <c r="K523" s="195"/>
    </row>
    <row r="524">
      <c r="I524" s="2570"/>
      <c r="J524" s="2599"/>
      <c r="K524" s="195"/>
    </row>
    <row r="525">
      <c r="I525" s="2570"/>
      <c r="J525" s="2599"/>
      <c r="K525" s="195"/>
    </row>
    <row r="526">
      <c r="I526" s="2570"/>
      <c r="J526" s="2599"/>
      <c r="K526" s="195"/>
    </row>
    <row r="527">
      <c r="I527" s="2570"/>
      <c r="J527" s="2599"/>
      <c r="K527" s="195"/>
    </row>
    <row r="528">
      <c r="I528" s="2570"/>
      <c r="J528" s="2599"/>
      <c r="K528" s="195"/>
    </row>
    <row r="529">
      <c r="I529" s="2570"/>
      <c r="J529" s="2599"/>
      <c r="K529" s="195"/>
    </row>
    <row r="530">
      <c r="I530" s="2570"/>
      <c r="J530" s="2599"/>
      <c r="K530" s="195"/>
    </row>
    <row r="531">
      <c r="I531" s="2570"/>
      <c r="J531" s="2599"/>
      <c r="K531" s="195"/>
    </row>
    <row r="532">
      <c r="I532" s="2570"/>
      <c r="J532" s="2599"/>
      <c r="K532" s="195"/>
    </row>
    <row r="533">
      <c r="I533" s="2570"/>
      <c r="J533" s="2599"/>
      <c r="K533" s="195"/>
    </row>
    <row r="534">
      <c r="I534" s="2570"/>
      <c r="J534" s="2599"/>
      <c r="K534" s="195"/>
    </row>
    <row r="535">
      <c r="I535" s="2570"/>
      <c r="J535" s="2599"/>
      <c r="K535" s="195"/>
    </row>
    <row r="536">
      <c r="I536" s="2570"/>
      <c r="J536" s="2599"/>
      <c r="K536" s="195"/>
    </row>
    <row r="537">
      <c r="I537" s="2570"/>
      <c r="J537" s="2599"/>
      <c r="K537" s="195"/>
    </row>
    <row r="538">
      <c r="I538" s="2570"/>
      <c r="J538" s="2599"/>
      <c r="K538" s="195"/>
    </row>
    <row r="539">
      <c r="I539" s="2570"/>
      <c r="J539" s="2599"/>
      <c r="K539" s="195"/>
    </row>
    <row r="540">
      <c r="I540" s="2570"/>
      <c r="J540" s="2599"/>
      <c r="K540" s="195"/>
    </row>
    <row r="541">
      <c r="I541" s="2570"/>
      <c r="J541" s="2599"/>
      <c r="K541" s="195"/>
    </row>
    <row r="542">
      <c r="I542" s="2570"/>
      <c r="J542" s="2599"/>
      <c r="K542" s="195"/>
    </row>
    <row r="543">
      <c r="I543" s="2570"/>
      <c r="J543" s="2599"/>
      <c r="K543" s="195"/>
    </row>
    <row r="544">
      <c r="I544" s="2570"/>
      <c r="J544" s="2599"/>
      <c r="K544" s="195"/>
    </row>
    <row r="545">
      <c r="I545" s="2570"/>
      <c r="J545" s="2599"/>
      <c r="K545" s="195"/>
    </row>
    <row r="546">
      <c r="I546" s="2570"/>
      <c r="J546" s="2599"/>
      <c r="K546" s="195"/>
    </row>
    <row r="547">
      <c r="I547" s="2570"/>
      <c r="J547" s="2599"/>
      <c r="K547" s="195"/>
    </row>
    <row r="548">
      <c r="I548" s="2570"/>
      <c r="J548" s="2599"/>
      <c r="K548" s="195"/>
    </row>
    <row r="549">
      <c r="I549" s="2570"/>
      <c r="J549" s="2599"/>
      <c r="K549" s="195"/>
    </row>
    <row r="550">
      <c r="I550" s="2570"/>
      <c r="J550" s="2599"/>
      <c r="K550" s="195"/>
    </row>
    <row r="551">
      <c r="I551" s="2570"/>
      <c r="J551" s="2599"/>
      <c r="K551" s="195"/>
    </row>
    <row r="552">
      <c r="I552" s="2570"/>
      <c r="J552" s="2599"/>
      <c r="K552" s="195"/>
    </row>
    <row r="553">
      <c r="I553" s="2570"/>
      <c r="J553" s="2599"/>
      <c r="K553" s="195"/>
    </row>
    <row r="554">
      <c r="I554" s="2570"/>
      <c r="J554" s="2599"/>
      <c r="K554" s="195"/>
    </row>
    <row r="555">
      <c r="I555" s="2570"/>
      <c r="J555" s="2599"/>
      <c r="K555" s="195"/>
    </row>
    <row r="556">
      <c r="I556" s="2570"/>
      <c r="J556" s="2599"/>
      <c r="K556" s="195"/>
    </row>
    <row r="557">
      <c r="I557" s="2570"/>
      <c r="J557" s="2599"/>
      <c r="K557" s="195"/>
    </row>
    <row r="558">
      <c r="I558" s="2570"/>
      <c r="J558" s="2599"/>
      <c r="K558" s="195"/>
    </row>
    <row r="559">
      <c r="I559" s="2570"/>
      <c r="J559" s="2599"/>
      <c r="K559" s="195"/>
    </row>
    <row r="560">
      <c r="I560" s="2570"/>
      <c r="J560" s="2599"/>
      <c r="K560" s="195"/>
    </row>
    <row r="561">
      <c r="I561" s="2570"/>
      <c r="J561" s="2599"/>
      <c r="K561" s="195"/>
    </row>
    <row r="562">
      <c r="I562" s="2570"/>
      <c r="J562" s="2599"/>
      <c r="K562" s="195"/>
    </row>
    <row r="563">
      <c r="I563" s="2570"/>
      <c r="J563" s="2599"/>
      <c r="K563" s="195"/>
    </row>
    <row r="564">
      <c r="I564" s="2570"/>
      <c r="J564" s="2599"/>
      <c r="K564" s="195"/>
    </row>
    <row r="565">
      <c r="I565" s="2570"/>
      <c r="J565" s="2599"/>
      <c r="K565" s="195"/>
    </row>
    <row r="566">
      <c r="I566" s="2570"/>
      <c r="J566" s="2599"/>
      <c r="K566" s="195"/>
    </row>
    <row r="567">
      <c r="I567" s="2570"/>
      <c r="J567" s="2599"/>
      <c r="K567" s="195"/>
    </row>
    <row r="568">
      <c r="I568" s="2570"/>
      <c r="J568" s="2599"/>
      <c r="K568" s="195"/>
    </row>
    <row r="569">
      <c r="I569" s="2570"/>
      <c r="J569" s="2599"/>
      <c r="K569" s="195"/>
    </row>
    <row r="570">
      <c r="I570" s="2570"/>
      <c r="J570" s="2599"/>
      <c r="K570" s="195"/>
    </row>
    <row r="571">
      <c r="I571" s="2570"/>
      <c r="J571" s="2599"/>
      <c r="K571" s="195"/>
    </row>
    <row r="572">
      <c r="I572" s="2570"/>
      <c r="J572" s="2599"/>
      <c r="K572" s="195"/>
    </row>
    <row r="573">
      <c r="I573" s="2570"/>
      <c r="J573" s="2599"/>
      <c r="K573" s="195"/>
    </row>
    <row r="574">
      <c r="I574" s="2570"/>
      <c r="J574" s="2599"/>
      <c r="K574" s="195"/>
    </row>
    <row r="575">
      <c r="I575" s="2570"/>
      <c r="J575" s="2599"/>
      <c r="K575" s="195"/>
    </row>
    <row r="576">
      <c r="I576" s="2570"/>
      <c r="J576" s="2599"/>
      <c r="K576" s="195"/>
    </row>
    <row r="577">
      <c r="I577" s="2570"/>
      <c r="J577" s="2599"/>
      <c r="K577" s="195"/>
    </row>
    <row r="578">
      <c r="I578" s="2570"/>
      <c r="J578" s="2599"/>
      <c r="K578" s="195"/>
    </row>
    <row r="579">
      <c r="I579" s="2570"/>
      <c r="J579" s="2599"/>
      <c r="K579" s="195"/>
    </row>
    <row r="580">
      <c r="I580" s="2570"/>
      <c r="J580" s="2599"/>
      <c r="K580" s="195"/>
    </row>
    <row r="581">
      <c r="I581" s="2570"/>
      <c r="J581" s="2599"/>
      <c r="K581" s="195"/>
    </row>
    <row r="582">
      <c r="I582" s="2570"/>
      <c r="J582" s="2599"/>
      <c r="K582" s="195"/>
    </row>
    <row r="583">
      <c r="I583" s="2570"/>
      <c r="J583" s="2599"/>
      <c r="K583" s="195"/>
    </row>
    <row r="584">
      <c r="I584" s="2570"/>
      <c r="J584" s="2599"/>
      <c r="K584" s="195"/>
    </row>
    <row r="585">
      <c r="I585" s="2570"/>
      <c r="J585" s="2599"/>
      <c r="K585" s="195"/>
    </row>
    <row r="586">
      <c r="I586" s="2570"/>
      <c r="J586" s="2599"/>
      <c r="K586" s="195"/>
    </row>
    <row r="587">
      <c r="I587" s="2570"/>
      <c r="J587" s="2599"/>
      <c r="K587" s="195"/>
    </row>
    <row r="588">
      <c r="I588" s="2570"/>
      <c r="J588" s="2599"/>
      <c r="K588" s="195"/>
    </row>
    <row r="589">
      <c r="I589" s="2570"/>
      <c r="J589" s="2599"/>
      <c r="K589" s="195"/>
    </row>
    <row r="590">
      <c r="I590" s="2570"/>
      <c r="J590" s="2599"/>
      <c r="K590" s="195"/>
    </row>
    <row r="591">
      <c r="I591" s="2570"/>
      <c r="J591" s="2599"/>
      <c r="K591" s="195"/>
    </row>
    <row r="592">
      <c r="I592" s="2570"/>
      <c r="J592" s="2599"/>
      <c r="K592" s="195"/>
    </row>
    <row r="593">
      <c r="I593" s="2570"/>
      <c r="J593" s="2599"/>
      <c r="K593" s="195"/>
    </row>
    <row r="594">
      <c r="I594" s="2570"/>
      <c r="J594" s="2599"/>
      <c r="K594" s="195"/>
    </row>
    <row r="595">
      <c r="I595" s="2570"/>
      <c r="J595" s="2599"/>
      <c r="K595" s="195"/>
    </row>
    <row r="596">
      <c r="I596" s="2570"/>
      <c r="J596" s="2599"/>
      <c r="K596" s="195"/>
    </row>
    <row r="597">
      <c r="I597" s="2570"/>
      <c r="J597" s="2599"/>
      <c r="K597" s="195"/>
    </row>
    <row r="598">
      <c r="I598" s="2570"/>
      <c r="J598" s="2599"/>
      <c r="K598" s="195"/>
    </row>
    <row r="599">
      <c r="I599" s="2570"/>
      <c r="J599" s="2599"/>
      <c r="K599" s="195"/>
    </row>
    <row r="600">
      <c r="I600" s="2570"/>
      <c r="J600" s="2599"/>
      <c r="K600" s="195"/>
    </row>
    <row r="601">
      <c r="I601" s="2570"/>
      <c r="J601" s="2599"/>
      <c r="K601" s="195"/>
    </row>
    <row r="602">
      <c r="I602" s="2570"/>
      <c r="J602" s="2599"/>
      <c r="K602" s="195"/>
    </row>
    <row r="603">
      <c r="I603" s="2570"/>
      <c r="J603" s="2599"/>
      <c r="K603" s="195"/>
    </row>
    <row r="604">
      <c r="I604" s="2570"/>
      <c r="J604" s="2599"/>
      <c r="K604" s="195"/>
    </row>
    <row r="605">
      <c r="I605" s="2570"/>
      <c r="J605" s="2599"/>
      <c r="K605" s="195"/>
    </row>
    <row r="606">
      <c r="I606" s="2570"/>
      <c r="J606" s="2599"/>
      <c r="K606" s="195"/>
    </row>
    <row r="607">
      <c r="I607" s="2570"/>
      <c r="J607" s="2599"/>
      <c r="K607" s="195"/>
    </row>
    <row r="608">
      <c r="I608" s="2570"/>
      <c r="J608" s="2599"/>
      <c r="K608" s="195"/>
    </row>
    <row r="609">
      <c r="I609" s="2570"/>
      <c r="J609" s="2599"/>
      <c r="K609" s="195"/>
    </row>
    <row r="610">
      <c r="I610" s="2570"/>
      <c r="J610" s="2599"/>
      <c r="K610" s="195"/>
    </row>
    <row r="611">
      <c r="I611" s="2570"/>
      <c r="J611" s="2599"/>
      <c r="K611" s="195"/>
    </row>
    <row r="612">
      <c r="I612" s="2570"/>
      <c r="J612" s="2599"/>
      <c r="K612" s="195"/>
    </row>
    <row r="613">
      <c r="I613" s="2570"/>
      <c r="J613" s="2599"/>
      <c r="K613" s="195"/>
    </row>
    <row r="614">
      <c r="I614" s="2570"/>
      <c r="J614" s="2599"/>
      <c r="K614" s="195"/>
    </row>
    <row r="615">
      <c r="I615" s="2570"/>
      <c r="J615" s="2599"/>
      <c r="K615" s="195"/>
    </row>
    <row r="616">
      <c r="I616" s="2570"/>
      <c r="J616" s="2599"/>
      <c r="K616" s="195"/>
    </row>
    <row r="617">
      <c r="I617" s="2570"/>
      <c r="J617" s="2599"/>
      <c r="K617" s="195"/>
    </row>
    <row r="618">
      <c r="I618" s="2570"/>
      <c r="J618" s="2599"/>
      <c r="K618" s="195"/>
    </row>
    <row r="619">
      <c r="I619" s="2570"/>
      <c r="J619" s="2599"/>
      <c r="K619" s="195"/>
    </row>
    <row r="620">
      <c r="I620" s="2570"/>
      <c r="J620" s="2599"/>
      <c r="K620" s="195"/>
    </row>
    <row r="621">
      <c r="I621" s="2570"/>
      <c r="J621" s="2599"/>
      <c r="K621" s="195"/>
    </row>
    <row r="622">
      <c r="I622" s="2570"/>
      <c r="J622" s="2599"/>
      <c r="K622" s="195"/>
    </row>
    <row r="623">
      <c r="I623" s="2570"/>
      <c r="J623" s="2599"/>
      <c r="K623" s="195"/>
    </row>
    <row r="624">
      <c r="I624" s="2570"/>
      <c r="J624" s="2599"/>
      <c r="K624" s="195"/>
    </row>
    <row r="625">
      <c r="I625" s="2570"/>
      <c r="J625" s="2599"/>
      <c r="K625" s="195"/>
    </row>
    <row r="626">
      <c r="I626" s="2570"/>
      <c r="J626" s="2599"/>
      <c r="K626" s="195"/>
    </row>
    <row r="627">
      <c r="I627" s="2570"/>
      <c r="J627" s="2599"/>
      <c r="K627" s="195"/>
    </row>
    <row r="628">
      <c r="I628" s="2570"/>
      <c r="J628" s="2599"/>
      <c r="K628" s="195"/>
    </row>
    <row r="629">
      <c r="I629" s="2570"/>
      <c r="J629" s="2599"/>
      <c r="K629" s="195"/>
    </row>
    <row r="630">
      <c r="I630" s="2570"/>
      <c r="J630" s="2599"/>
      <c r="K630" s="195"/>
    </row>
    <row r="631">
      <c r="I631" s="2570"/>
      <c r="J631" s="2599"/>
      <c r="K631" s="195"/>
    </row>
    <row r="632">
      <c r="I632" s="2570"/>
      <c r="J632" s="2599"/>
      <c r="K632" s="195"/>
    </row>
    <row r="633">
      <c r="I633" s="2570"/>
      <c r="J633" s="2599"/>
      <c r="K633" s="195"/>
    </row>
    <row r="634">
      <c r="I634" s="2570"/>
      <c r="J634" s="2599"/>
      <c r="K634" s="195"/>
    </row>
    <row r="635">
      <c r="I635" s="2570"/>
      <c r="J635" s="2599"/>
      <c r="K635" s="195"/>
    </row>
    <row r="636">
      <c r="I636" s="2570"/>
      <c r="J636" s="2599"/>
      <c r="K636" s="195"/>
    </row>
    <row r="637">
      <c r="I637" s="2570"/>
      <c r="J637" s="2599"/>
      <c r="K637" s="195"/>
    </row>
    <row r="638">
      <c r="I638" s="2570"/>
      <c r="J638" s="2599"/>
      <c r="K638" s="195"/>
    </row>
    <row r="639">
      <c r="I639" s="2570"/>
      <c r="J639" s="2599"/>
      <c r="K639" s="195"/>
    </row>
    <row r="640">
      <c r="I640" s="2570"/>
      <c r="J640" s="2599"/>
      <c r="K640" s="195"/>
    </row>
    <row r="641">
      <c r="I641" s="2570"/>
      <c r="J641" s="2599"/>
      <c r="K641" s="195"/>
    </row>
    <row r="642">
      <c r="I642" s="2570"/>
      <c r="J642" s="2599"/>
      <c r="K642" s="195"/>
    </row>
    <row r="643">
      <c r="I643" s="2570"/>
      <c r="J643" s="2599"/>
      <c r="K643" s="195"/>
    </row>
    <row r="644">
      <c r="I644" s="2570"/>
      <c r="J644" s="2599"/>
      <c r="K644" s="195"/>
    </row>
    <row r="645">
      <c r="I645" s="2570"/>
      <c r="J645" s="2599"/>
      <c r="K645" s="195"/>
    </row>
    <row r="646">
      <c r="I646" s="2570"/>
      <c r="J646" s="2599"/>
      <c r="K646" s="195"/>
    </row>
    <row r="647">
      <c r="I647" s="2570"/>
      <c r="J647" s="2599"/>
      <c r="K647" s="195"/>
    </row>
    <row r="648">
      <c r="I648" s="2570"/>
      <c r="J648" s="2599"/>
      <c r="K648" s="195"/>
    </row>
    <row r="649">
      <c r="I649" s="2570"/>
      <c r="J649" s="2599"/>
      <c r="K649" s="195"/>
    </row>
    <row r="650">
      <c r="I650" s="2570"/>
      <c r="J650" s="2599"/>
      <c r="K650" s="195"/>
    </row>
    <row r="651">
      <c r="I651" s="2570"/>
      <c r="J651" s="2599"/>
      <c r="K651" s="195"/>
    </row>
    <row r="652">
      <c r="I652" s="2570"/>
      <c r="J652" s="2599"/>
      <c r="K652" s="195"/>
    </row>
    <row r="653">
      <c r="I653" s="2570"/>
      <c r="J653" s="2599"/>
      <c r="K653" s="195"/>
    </row>
    <row r="654">
      <c r="I654" s="2570"/>
      <c r="J654" s="2599"/>
      <c r="K654" s="195"/>
    </row>
    <row r="655">
      <c r="I655" s="2570"/>
      <c r="J655" s="2599"/>
      <c r="K655" s="195"/>
    </row>
    <row r="656">
      <c r="I656" s="2570"/>
      <c r="J656" s="2599"/>
      <c r="K656" s="195"/>
    </row>
    <row r="657">
      <c r="I657" s="2570"/>
      <c r="J657" s="2599"/>
      <c r="K657" s="195"/>
    </row>
    <row r="658">
      <c r="I658" s="2570"/>
      <c r="J658" s="2599"/>
      <c r="K658" s="195"/>
    </row>
    <row r="659">
      <c r="I659" s="2570"/>
      <c r="J659" s="2599"/>
      <c r="K659" s="195"/>
    </row>
    <row r="660">
      <c r="I660" s="2570"/>
      <c r="J660" s="2599"/>
      <c r="K660" s="195"/>
    </row>
    <row r="661">
      <c r="I661" s="2570"/>
      <c r="J661" s="2599"/>
      <c r="K661" s="195"/>
    </row>
    <row r="662">
      <c r="I662" s="2570"/>
      <c r="J662" s="2599"/>
      <c r="K662" s="195"/>
    </row>
    <row r="663">
      <c r="I663" s="2570"/>
      <c r="J663" s="2599"/>
      <c r="K663" s="195"/>
    </row>
    <row r="664">
      <c r="I664" s="2570"/>
      <c r="J664" s="2599"/>
      <c r="K664" s="195"/>
    </row>
    <row r="665">
      <c r="I665" s="2570"/>
      <c r="J665" s="2599"/>
      <c r="K665" s="195"/>
    </row>
    <row r="666">
      <c r="I666" s="2570"/>
      <c r="J666" s="2599"/>
      <c r="K666" s="195"/>
    </row>
    <row r="667">
      <c r="I667" s="2570"/>
      <c r="J667" s="2599"/>
      <c r="K667" s="195"/>
    </row>
    <row r="668">
      <c r="I668" s="2570"/>
      <c r="J668" s="2599"/>
      <c r="K668" s="195"/>
    </row>
    <row r="669">
      <c r="I669" s="2570"/>
      <c r="J669" s="2599"/>
      <c r="K669" s="195"/>
    </row>
    <row r="670">
      <c r="I670" s="2570"/>
      <c r="J670" s="2599"/>
      <c r="K670" s="195"/>
    </row>
    <row r="671">
      <c r="I671" s="2570"/>
      <c r="J671" s="2599"/>
      <c r="K671" s="195"/>
    </row>
    <row r="672">
      <c r="I672" s="2570"/>
      <c r="J672" s="2599"/>
      <c r="K672" s="195"/>
    </row>
    <row r="673">
      <c r="I673" s="2570"/>
      <c r="J673" s="2599"/>
      <c r="K673" s="195"/>
    </row>
    <row r="674">
      <c r="I674" s="2570"/>
      <c r="J674" s="2599"/>
      <c r="K674" s="195"/>
    </row>
    <row r="675">
      <c r="I675" s="2570"/>
      <c r="J675" s="2599"/>
      <c r="K675" s="195"/>
    </row>
    <row r="676">
      <c r="I676" s="2570"/>
      <c r="J676" s="2599"/>
      <c r="K676" s="195"/>
    </row>
    <row r="677">
      <c r="I677" s="2570"/>
      <c r="J677" s="2599"/>
      <c r="K677" s="195"/>
    </row>
    <row r="678">
      <c r="I678" s="2570"/>
      <c r="J678" s="2599"/>
      <c r="K678" s="195"/>
    </row>
    <row r="679">
      <c r="I679" s="2570"/>
      <c r="J679" s="2599"/>
      <c r="K679" s="195"/>
    </row>
    <row r="680">
      <c r="I680" s="2570"/>
      <c r="J680" s="2599"/>
      <c r="K680" s="195"/>
    </row>
    <row r="681">
      <c r="I681" s="2570"/>
      <c r="J681" s="2599"/>
      <c r="K681" s="195"/>
    </row>
    <row r="682">
      <c r="I682" s="2570"/>
      <c r="J682" s="2599"/>
      <c r="K682" s="195"/>
    </row>
    <row r="683">
      <c r="I683" s="2570"/>
      <c r="J683" s="2599"/>
      <c r="K683" s="195"/>
    </row>
    <row r="684">
      <c r="I684" s="2570"/>
      <c r="J684" s="2599"/>
      <c r="K684" s="195"/>
    </row>
    <row r="685">
      <c r="I685" s="2570"/>
      <c r="J685" s="2599"/>
      <c r="K685" s="195"/>
    </row>
    <row r="686">
      <c r="I686" s="2570"/>
      <c r="J686" s="2599"/>
      <c r="K686" s="195"/>
    </row>
    <row r="687">
      <c r="I687" s="2570"/>
      <c r="J687" s="2599"/>
      <c r="K687" s="195"/>
    </row>
    <row r="688">
      <c r="I688" s="2570"/>
      <c r="J688" s="2599"/>
      <c r="K688" s="195"/>
    </row>
    <row r="689">
      <c r="I689" s="2570"/>
      <c r="J689" s="2599"/>
      <c r="K689" s="195"/>
    </row>
    <row r="690">
      <c r="I690" s="2570"/>
      <c r="J690" s="2599"/>
      <c r="K690" s="195"/>
    </row>
    <row r="691">
      <c r="I691" s="2570"/>
      <c r="J691" s="2599"/>
      <c r="K691" s="195"/>
    </row>
    <row r="692">
      <c r="I692" s="2570"/>
      <c r="J692" s="2599"/>
      <c r="K692" s="195"/>
    </row>
    <row r="693">
      <c r="I693" s="2570"/>
      <c r="J693" s="2599"/>
      <c r="K693" s="195"/>
    </row>
    <row r="694">
      <c r="I694" s="2570"/>
      <c r="J694" s="2599"/>
      <c r="K694" s="195"/>
    </row>
    <row r="695">
      <c r="I695" s="2570"/>
      <c r="J695" s="2599"/>
      <c r="K695" s="195"/>
    </row>
    <row r="696">
      <c r="I696" s="2570"/>
      <c r="J696" s="2599"/>
      <c r="K696" s="195"/>
    </row>
    <row r="697">
      <c r="I697" s="2570"/>
      <c r="J697" s="2599"/>
      <c r="K697" s="195"/>
    </row>
    <row r="698">
      <c r="I698" s="2570"/>
      <c r="J698" s="2599"/>
      <c r="K698" s="195"/>
    </row>
    <row r="699">
      <c r="I699" s="2570"/>
      <c r="J699" s="2599"/>
      <c r="K699" s="195"/>
    </row>
    <row r="700">
      <c r="I700" s="2570"/>
      <c r="J700" s="2599"/>
      <c r="K700" s="195"/>
    </row>
    <row r="701">
      <c r="I701" s="2570"/>
      <c r="J701" s="2599"/>
      <c r="K701" s="195"/>
    </row>
    <row r="702">
      <c r="I702" s="2570"/>
      <c r="J702" s="2599"/>
      <c r="K702" s="195"/>
    </row>
    <row r="703">
      <c r="I703" s="2570"/>
      <c r="J703" s="2599"/>
      <c r="K703" s="195"/>
    </row>
    <row r="704">
      <c r="I704" s="2570"/>
      <c r="J704" s="2599"/>
      <c r="K704" s="195"/>
    </row>
    <row r="705">
      <c r="I705" s="2570"/>
      <c r="J705" s="2599"/>
      <c r="K705" s="195"/>
    </row>
    <row r="706">
      <c r="I706" s="2570"/>
      <c r="J706" s="2599"/>
      <c r="K706" s="195"/>
    </row>
    <row r="707">
      <c r="I707" s="2570"/>
      <c r="J707" s="2599"/>
      <c r="K707" s="195"/>
    </row>
    <row r="708">
      <c r="I708" s="2570"/>
      <c r="J708" s="2599"/>
      <c r="K708" s="195"/>
    </row>
    <row r="709">
      <c r="I709" s="2570"/>
      <c r="J709" s="2599"/>
      <c r="K709" s="195"/>
    </row>
    <row r="710">
      <c r="I710" s="2570"/>
      <c r="J710" s="2599"/>
      <c r="K710" s="195"/>
    </row>
    <row r="711">
      <c r="I711" s="2570"/>
      <c r="J711" s="2599"/>
      <c r="K711" s="195"/>
    </row>
    <row r="712">
      <c r="I712" s="2570"/>
      <c r="J712" s="2599"/>
      <c r="K712" s="195"/>
    </row>
    <row r="713">
      <c r="I713" s="2570"/>
      <c r="J713" s="2599"/>
      <c r="K713" s="195"/>
    </row>
    <row r="714">
      <c r="I714" s="2570"/>
      <c r="J714" s="2599"/>
      <c r="K714" s="195"/>
    </row>
    <row r="715">
      <c r="I715" s="2570"/>
      <c r="J715" s="2599"/>
      <c r="K715" s="195"/>
    </row>
    <row r="716">
      <c r="I716" s="2570"/>
      <c r="J716" s="2599"/>
      <c r="K716" s="195"/>
    </row>
    <row r="717">
      <c r="I717" s="2570"/>
      <c r="J717" s="2599"/>
      <c r="K717" s="195"/>
    </row>
    <row r="718">
      <c r="I718" s="2570"/>
      <c r="J718" s="2599"/>
      <c r="K718" s="195"/>
    </row>
    <row r="719">
      <c r="I719" s="2570"/>
      <c r="J719" s="2599"/>
      <c r="K719" s="195"/>
    </row>
    <row r="720">
      <c r="I720" s="2570"/>
      <c r="J720" s="2599"/>
      <c r="K720" s="195"/>
    </row>
    <row r="721">
      <c r="I721" s="2570"/>
      <c r="J721" s="2599"/>
      <c r="K721" s="195"/>
    </row>
    <row r="722">
      <c r="I722" s="2570"/>
      <c r="J722" s="2599"/>
      <c r="K722" s="195"/>
    </row>
    <row r="723">
      <c r="I723" s="2570"/>
      <c r="J723" s="2599"/>
      <c r="K723" s="195"/>
    </row>
    <row r="724">
      <c r="I724" s="2570"/>
      <c r="J724" s="2599"/>
      <c r="K724" s="195"/>
    </row>
    <row r="725">
      <c r="I725" s="2570"/>
      <c r="J725" s="2599"/>
      <c r="K725" s="195"/>
    </row>
    <row r="726">
      <c r="I726" s="2570"/>
      <c r="J726" s="2599"/>
      <c r="K726" s="195"/>
    </row>
    <row r="727">
      <c r="I727" s="2570"/>
      <c r="J727" s="2599"/>
      <c r="K727" s="195"/>
    </row>
    <row r="728">
      <c r="I728" s="2570"/>
      <c r="J728" s="2599"/>
      <c r="K728" s="195"/>
    </row>
    <row r="729">
      <c r="I729" s="2570"/>
      <c r="J729" s="2599"/>
      <c r="K729" s="195"/>
    </row>
    <row r="730">
      <c r="I730" s="2570"/>
      <c r="J730" s="2599"/>
      <c r="K730" s="195"/>
    </row>
    <row r="731">
      <c r="I731" s="2570"/>
      <c r="J731" s="2599"/>
      <c r="K731" s="195"/>
    </row>
    <row r="732">
      <c r="I732" s="2570"/>
      <c r="J732" s="2599"/>
      <c r="K732" s="195"/>
    </row>
    <row r="733">
      <c r="I733" s="2570"/>
      <c r="J733" s="2599"/>
      <c r="K733" s="195"/>
    </row>
    <row r="734">
      <c r="I734" s="2570"/>
      <c r="J734" s="2599"/>
      <c r="K734" s="195"/>
    </row>
    <row r="735">
      <c r="I735" s="2570"/>
      <c r="J735" s="2599"/>
      <c r="K735" s="195"/>
    </row>
    <row r="736">
      <c r="I736" s="2570"/>
      <c r="J736" s="2599"/>
      <c r="K736" s="195"/>
    </row>
    <row r="737">
      <c r="I737" s="2570"/>
      <c r="J737" s="2599"/>
      <c r="K737" s="195"/>
    </row>
    <row r="738">
      <c r="I738" s="2570"/>
      <c r="J738" s="2599"/>
      <c r="K738" s="195"/>
    </row>
    <row r="739">
      <c r="I739" s="2570"/>
      <c r="J739" s="2599"/>
      <c r="K739" s="195"/>
    </row>
    <row r="740">
      <c r="I740" s="2570"/>
      <c r="J740" s="2599"/>
      <c r="K740" s="195"/>
    </row>
    <row r="741">
      <c r="I741" s="2570"/>
      <c r="J741" s="2599"/>
      <c r="K741" s="195"/>
    </row>
    <row r="742">
      <c r="I742" s="2570"/>
      <c r="J742" s="2599"/>
      <c r="K742" s="195"/>
    </row>
    <row r="743">
      <c r="I743" s="2570"/>
      <c r="J743" s="2599"/>
      <c r="K743" s="195"/>
    </row>
    <row r="744">
      <c r="I744" s="2570"/>
      <c r="J744" s="2599"/>
      <c r="K744" s="195"/>
    </row>
    <row r="745">
      <c r="I745" s="2570"/>
      <c r="J745" s="2599"/>
      <c r="K745" s="195"/>
    </row>
    <row r="746">
      <c r="I746" s="2570"/>
      <c r="J746" s="2599"/>
      <c r="K746" s="195"/>
    </row>
    <row r="747">
      <c r="I747" s="2570"/>
      <c r="J747" s="2599"/>
      <c r="K747" s="195"/>
    </row>
    <row r="748">
      <c r="I748" s="2570"/>
      <c r="J748" s="2599"/>
      <c r="K748" s="195"/>
    </row>
    <row r="749">
      <c r="I749" s="2570"/>
      <c r="J749" s="2599"/>
      <c r="K749" s="195"/>
    </row>
    <row r="750">
      <c r="I750" s="2570"/>
      <c r="J750" s="2599"/>
      <c r="K750" s="195"/>
    </row>
    <row r="751">
      <c r="I751" s="2570"/>
      <c r="J751" s="2599"/>
      <c r="K751" s="195"/>
    </row>
    <row r="752">
      <c r="I752" s="2570"/>
      <c r="J752" s="2599"/>
      <c r="K752" s="195"/>
    </row>
    <row r="753">
      <c r="I753" s="2570"/>
      <c r="J753" s="2599"/>
      <c r="K753" s="195"/>
    </row>
    <row r="754">
      <c r="I754" s="2570"/>
      <c r="J754" s="2599"/>
      <c r="K754" s="195"/>
    </row>
    <row r="755">
      <c r="I755" s="2570"/>
      <c r="J755" s="2599"/>
      <c r="K755" s="195"/>
    </row>
    <row r="756">
      <c r="I756" s="2570"/>
      <c r="J756" s="2599"/>
      <c r="K756" s="195"/>
    </row>
    <row r="757">
      <c r="I757" s="2570"/>
      <c r="J757" s="2599"/>
      <c r="K757" s="195"/>
    </row>
    <row r="758">
      <c r="I758" s="2570"/>
      <c r="J758" s="2599"/>
      <c r="K758" s="195"/>
    </row>
    <row r="759">
      <c r="I759" s="2570"/>
      <c r="J759" s="2599"/>
      <c r="K759" s="195"/>
    </row>
    <row r="760">
      <c r="I760" s="2570"/>
      <c r="J760" s="2599"/>
      <c r="K760" s="195"/>
    </row>
    <row r="761">
      <c r="I761" s="2570"/>
      <c r="J761" s="2599"/>
      <c r="K761" s="195"/>
    </row>
    <row r="762">
      <c r="I762" s="2570"/>
      <c r="J762" s="2599"/>
      <c r="K762" s="195"/>
    </row>
    <row r="763">
      <c r="I763" s="2570"/>
      <c r="J763" s="2599"/>
      <c r="K763" s="195"/>
    </row>
    <row r="764">
      <c r="I764" s="2570"/>
      <c r="J764" s="2599"/>
      <c r="K764" s="195"/>
    </row>
    <row r="765">
      <c r="I765" s="2570"/>
      <c r="J765" s="2599"/>
      <c r="K765" s="195"/>
    </row>
    <row r="766">
      <c r="I766" s="2570"/>
      <c r="J766" s="2599"/>
      <c r="K766" s="195"/>
    </row>
    <row r="767">
      <c r="I767" s="2570"/>
      <c r="J767" s="2599"/>
      <c r="K767" s="195"/>
    </row>
    <row r="768">
      <c r="I768" s="2570"/>
      <c r="J768" s="2599"/>
      <c r="K768" s="195"/>
    </row>
    <row r="769">
      <c r="I769" s="2570"/>
      <c r="J769" s="2599"/>
      <c r="K769" s="195"/>
    </row>
    <row r="770">
      <c r="I770" s="2570"/>
      <c r="J770" s="2599"/>
      <c r="K770" s="195"/>
    </row>
    <row r="771">
      <c r="I771" s="2570"/>
      <c r="J771" s="2599"/>
      <c r="K771" s="195"/>
    </row>
    <row r="772">
      <c r="I772" s="2570"/>
      <c r="J772" s="2599"/>
      <c r="K772" s="195"/>
    </row>
    <row r="773">
      <c r="I773" s="2570"/>
      <c r="J773" s="2599"/>
      <c r="K773" s="195"/>
    </row>
    <row r="774">
      <c r="I774" s="2570"/>
      <c r="J774" s="2599"/>
      <c r="K774" s="195"/>
    </row>
    <row r="775">
      <c r="I775" s="2570"/>
      <c r="J775" s="2599"/>
      <c r="K775" s="195"/>
    </row>
    <row r="776">
      <c r="I776" s="2570"/>
      <c r="J776" s="2599"/>
      <c r="K776" s="195"/>
    </row>
    <row r="777">
      <c r="I777" s="2570"/>
      <c r="J777" s="2599"/>
      <c r="K777" s="195"/>
    </row>
    <row r="778">
      <c r="I778" s="2570"/>
      <c r="J778" s="2599"/>
      <c r="K778" s="195"/>
    </row>
    <row r="779">
      <c r="I779" s="2570"/>
      <c r="J779" s="2599"/>
      <c r="K779" s="195"/>
    </row>
    <row r="780">
      <c r="I780" s="2570"/>
      <c r="J780" s="2599"/>
      <c r="K780" s="195"/>
    </row>
    <row r="781">
      <c r="I781" s="2570"/>
      <c r="J781" s="2599"/>
      <c r="K781" s="195"/>
    </row>
    <row r="782">
      <c r="I782" s="2570"/>
      <c r="J782" s="2599"/>
      <c r="K782" s="195"/>
    </row>
    <row r="783">
      <c r="I783" s="2570"/>
      <c r="J783" s="2599"/>
      <c r="K783" s="195"/>
    </row>
    <row r="784">
      <c r="I784" s="2570"/>
      <c r="J784" s="2599"/>
      <c r="K784" s="195"/>
    </row>
    <row r="785">
      <c r="I785" s="2570"/>
      <c r="J785" s="2599"/>
      <c r="K785" s="195"/>
    </row>
    <row r="786">
      <c r="I786" s="2570"/>
      <c r="J786" s="2599"/>
      <c r="K786" s="195"/>
    </row>
    <row r="787">
      <c r="I787" s="2570"/>
      <c r="J787" s="2599"/>
      <c r="K787" s="195"/>
    </row>
    <row r="788">
      <c r="I788" s="2570"/>
      <c r="J788" s="2599"/>
      <c r="K788" s="195"/>
    </row>
    <row r="789">
      <c r="I789" s="2570"/>
      <c r="J789" s="2599"/>
      <c r="K789" s="195"/>
    </row>
    <row r="790">
      <c r="I790" s="2570"/>
      <c r="J790" s="2599"/>
      <c r="K790" s="195"/>
    </row>
    <row r="791">
      <c r="I791" s="2570"/>
      <c r="J791" s="2599"/>
      <c r="K791" s="195"/>
    </row>
    <row r="792">
      <c r="I792" s="2570"/>
      <c r="J792" s="2599"/>
      <c r="K792" s="195"/>
    </row>
    <row r="793">
      <c r="I793" s="2570"/>
      <c r="J793" s="2599"/>
      <c r="K793" s="195"/>
    </row>
    <row r="794">
      <c r="I794" s="2570"/>
      <c r="J794" s="2599"/>
      <c r="K794" s="195"/>
    </row>
    <row r="795">
      <c r="I795" s="2570"/>
      <c r="J795" s="2599"/>
      <c r="K795" s="195"/>
    </row>
    <row r="796">
      <c r="I796" s="2570"/>
      <c r="J796" s="2599"/>
      <c r="K796" s="195"/>
    </row>
    <row r="797">
      <c r="I797" s="2570"/>
      <c r="J797" s="2599"/>
      <c r="K797" s="195"/>
    </row>
    <row r="798">
      <c r="I798" s="2570"/>
      <c r="J798" s="2599"/>
      <c r="K798" s="195"/>
    </row>
    <row r="799">
      <c r="I799" s="2570"/>
      <c r="J799" s="2599"/>
      <c r="K799" s="195"/>
    </row>
    <row r="800">
      <c r="I800" s="2570"/>
      <c r="J800" s="2599"/>
      <c r="K800" s="195"/>
    </row>
    <row r="801">
      <c r="I801" s="2570"/>
      <c r="J801" s="2599"/>
      <c r="K801" s="195"/>
    </row>
    <row r="802">
      <c r="I802" s="2570"/>
      <c r="J802" s="2599"/>
      <c r="K802" s="195"/>
    </row>
    <row r="803">
      <c r="I803" s="2570"/>
      <c r="J803" s="2599"/>
      <c r="K803" s="195"/>
    </row>
    <row r="804">
      <c r="I804" s="2570"/>
      <c r="J804" s="2599"/>
      <c r="K804" s="195"/>
    </row>
    <row r="805">
      <c r="I805" s="2570"/>
      <c r="J805" s="2599"/>
      <c r="K805" s="195"/>
    </row>
    <row r="806">
      <c r="I806" s="2570"/>
      <c r="J806" s="2599"/>
      <c r="K806" s="195"/>
    </row>
    <row r="807">
      <c r="I807" s="2570"/>
      <c r="J807" s="2599"/>
      <c r="K807" s="195"/>
    </row>
    <row r="808">
      <c r="I808" s="2570"/>
      <c r="J808" s="2599"/>
      <c r="K808" s="195"/>
    </row>
    <row r="809">
      <c r="I809" s="2570"/>
      <c r="J809" s="2599"/>
      <c r="K809" s="195"/>
    </row>
    <row r="810">
      <c r="I810" s="2570"/>
      <c r="J810" s="2599"/>
      <c r="K810" s="195"/>
    </row>
    <row r="811">
      <c r="I811" s="2570"/>
      <c r="J811" s="2599"/>
      <c r="K811" s="195"/>
    </row>
    <row r="812">
      <c r="I812" s="2570"/>
      <c r="J812" s="2599"/>
      <c r="K812" s="195"/>
    </row>
    <row r="813">
      <c r="I813" s="2570"/>
      <c r="J813" s="2599"/>
      <c r="K813" s="195"/>
    </row>
    <row r="814">
      <c r="I814" s="2570"/>
      <c r="J814" s="2599"/>
      <c r="K814" s="195"/>
    </row>
    <row r="815">
      <c r="I815" s="2570"/>
      <c r="J815" s="2599"/>
      <c r="K815" s="195"/>
    </row>
    <row r="816">
      <c r="I816" s="2570"/>
      <c r="J816" s="2599"/>
      <c r="K816" s="195"/>
    </row>
    <row r="817">
      <c r="I817" s="2570"/>
      <c r="J817" s="2599"/>
      <c r="K817" s="195"/>
    </row>
    <row r="818">
      <c r="I818" s="2570"/>
      <c r="J818" s="2599"/>
      <c r="K818" s="195"/>
    </row>
    <row r="819">
      <c r="I819" s="2570"/>
      <c r="J819" s="2599"/>
      <c r="K819" s="195"/>
    </row>
    <row r="820">
      <c r="I820" s="2570"/>
      <c r="J820" s="2599"/>
      <c r="K820" s="195"/>
    </row>
    <row r="821">
      <c r="I821" s="2570"/>
      <c r="J821" s="2599"/>
      <c r="K821" s="195"/>
    </row>
    <row r="822">
      <c r="I822" s="2570"/>
      <c r="J822" s="2599"/>
      <c r="K822" s="195"/>
    </row>
    <row r="823">
      <c r="I823" s="2570"/>
      <c r="J823" s="2599"/>
      <c r="K823" s="195"/>
    </row>
    <row r="824">
      <c r="I824" s="2570"/>
      <c r="J824" s="2599"/>
      <c r="K824" s="195"/>
    </row>
    <row r="825">
      <c r="I825" s="2570"/>
      <c r="J825" s="2599"/>
      <c r="K825" s="195"/>
    </row>
    <row r="826">
      <c r="I826" s="2570"/>
      <c r="J826" s="2599"/>
      <c r="K826" s="195"/>
    </row>
    <row r="827">
      <c r="I827" s="2570"/>
      <c r="J827" s="2599"/>
      <c r="K827" s="195"/>
    </row>
    <row r="828">
      <c r="I828" s="2570"/>
      <c r="J828" s="2599"/>
      <c r="K828" s="195"/>
    </row>
    <row r="829">
      <c r="I829" s="2570"/>
      <c r="J829" s="2599"/>
      <c r="K829" s="195"/>
    </row>
    <row r="830">
      <c r="I830" s="2570"/>
      <c r="J830" s="2599"/>
      <c r="K830" s="195"/>
    </row>
    <row r="831">
      <c r="I831" s="2570"/>
      <c r="J831" s="2599"/>
      <c r="K831" s="195"/>
    </row>
    <row r="832">
      <c r="I832" s="2570"/>
      <c r="J832" s="2599"/>
      <c r="K832" s="195"/>
    </row>
    <row r="833">
      <c r="I833" s="2570"/>
      <c r="J833" s="2599"/>
      <c r="K833" s="195"/>
    </row>
    <row r="834">
      <c r="I834" s="2570"/>
      <c r="J834" s="2599"/>
      <c r="K834" s="195"/>
    </row>
    <row r="835">
      <c r="I835" s="2570"/>
      <c r="J835" s="2599"/>
      <c r="K835" s="195"/>
    </row>
    <row r="836">
      <c r="I836" s="2570"/>
      <c r="J836" s="2599"/>
      <c r="K836" s="195"/>
    </row>
    <row r="837">
      <c r="I837" s="2570"/>
      <c r="J837" s="2599"/>
      <c r="K837" s="195"/>
    </row>
    <row r="838">
      <c r="I838" s="2570"/>
      <c r="J838" s="2599"/>
      <c r="K838" s="195"/>
    </row>
    <row r="839">
      <c r="I839" s="2570"/>
      <c r="J839" s="2599"/>
      <c r="K839" s="195"/>
    </row>
    <row r="840">
      <c r="I840" s="2570"/>
      <c r="J840" s="2599"/>
      <c r="K840" s="195"/>
    </row>
    <row r="841">
      <c r="I841" s="2570"/>
      <c r="J841" s="2599"/>
      <c r="K841" s="195"/>
    </row>
    <row r="842">
      <c r="I842" s="2570"/>
      <c r="J842" s="2599"/>
      <c r="K842" s="195"/>
    </row>
    <row r="843">
      <c r="I843" s="2570"/>
      <c r="J843" s="2599"/>
      <c r="K843" s="195"/>
    </row>
    <row r="844">
      <c r="I844" s="2570"/>
      <c r="J844" s="2599"/>
      <c r="K844" s="195"/>
    </row>
    <row r="845">
      <c r="I845" s="2570"/>
      <c r="J845" s="2599"/>
      <c r="K845" s="195"/>
    </row>
    <row r="846">
      <c r="I846" s="2570"/>
      <c r="J846" s="2599"/>
      <c r="K846" s="195"/>
    </row>
    <row r="847">
      <c r="I847" s="2570"/>
      <c r="J847" s="2599"/>
      <c r="K847" s="195"/>
    </row>
    <row r="848">
      <c r="I848" s="2570"/>
      <c r="J848" s="2599"/>
      <c r="K848" s="195"/>
    </row>
    <row r="849">
      <c r="I849" s="2570"/>
      <c r="J849" s="2599"/>
      <c r="K849" s="195"/>
    </row>
    <row r="850">
      <c r="I850" s="2570"/>
      <c r="J850" s="2599"/>
      <c r="K850" s="195"/>
    </row>
    <row r="851">
      <c r="I851" s="2570"/>
      <c r="J851" s="2599"/>
      <c r="K851" s="195"/>
    </row>
    <row r="852">
      <c r="I852" s="2570"/>
      <c r="J852" s="2599"/>
      <c r="K852" s="195"/>
    </row>
    <row r="853">
      <c r="I853" s="2570"/>
      <c r="J853" s="2599"/>
      <c r="K853" s="195"/>
    </row>
    <row r="854">
      <c r="I854" s="2570"/>
      <c r="J854" s="2599"/>
      <c r="K854" s="195"/>
    </row>
    <row r="855">
      <c r="I855" s="2570"/>
      <c r="J855" s="2599"/>
      <c r="K855" s="195"/>
    </row>
    <row r="856">
      <c r="I856" s="2570"/>
      <c r="J856" s="2599"/>
      <c r="K856" s="195"/>
    </row>
    <row r="857">
      <c r="I857" s="2570"/>
      <c r="J857" s="2599"/>
      <c r="K857" s="195"/>
    </row>
    <row r="858">
      <c r="I858" s="2570"/>
      <c r="J858" s="2599"/>
      <c r="K858" s="195"/>
    </row>
    <row r="859">
      <c r="I859" s="2570"/>
      <c r="J859" s="2599"/>
      <c r="K859" s="195"/>
    </row>
    <row r="860">
      <c r="I860" s="2570"/>
      <c r="J860" s="2599"/>
      <c r="K860" s="195"/>
    </row>
    <row r="861">
      <c r="I861" s="2570"/>
      <c r="J861" s="2599"/>
      <c r="K861" s="195"/>
    </row>
    <row r="862">
      <c r="I862" s="2570"/>
      <c r="J862" s="2599"/>
      <c r="K862" s="195"/>
    </row>
    <row r="863">
      <c r="I863" s="2570"/>
      <c r="J863" s="2599"/>
      <c r="K863" s="195"/>
    </row>
    <row r="864">
      <c r="I864" s="2570"/>
      <c r="J864" s="2599"/>
      <c r="K864" s="195"/>
    </row>
    <row r="865">
      <c r="I865" s="2570"/>
      <c r="J865" s="2599"/>
      <c r="K865" s="195"/>
    </row>
    <row r="866">
      <c r="I866" s="2570"/>
      <c r="J866" s="2599"/>
      <c r="K866" s="195"/>
    </row>
    <row r="867">
      <c r="I867" s="2570"/>
      <c r="J867" s="2599"/>
      <c r="K867" s="195"/>
    </row>
    <row r="868">
      <c r="I868" s="2570"/>
      <c r="J868" s="2599"/>
      <c r="K868" s="195"/>
    </row>
    <row r="869">
      <c r="I869" s="2570"/>
      <c r="J869" s="2599"/>
      <c r="K869" s="195"/>
    </row>
    <row r="870">
      <c r="I870" s="2570"/>
      <c r="J870" s="2599"/>
      <c r="K870" s="195"/>
    </row>
    <row r="871">
      <c r="I871" s="2570"/>
      <c r="J871" s="2599"/>
      <c r="K871" s="195"/>
    </row>
    <row r="872">
      <c r="I872" s="2570"/>
      <c r="J872" s="2599"/>
      <c r="K872" s="195"/>
    </row>
    <row r="873">
      <c r="I873" s="2570"/>
      <c r="J873" s="2599"/>
      <c r="K873" s="195"/>
    </row>
    <row r="874">
      <c r="I874" s="2570"/>
      <c r="J874" s="2599"/>
      <c r="K874" s="195"/>
    </row>
    <row r="875">
      <c r="I875" s="2570"/>
      <c r="J875" s="2599"/>
      <c r="K875" s="195"/>
    </row>
    <row r="876">
      <c r="I876" s="2570"/>
      <c r="J876" s="2599"/>
      <c r="K876" s="195"/>
    </row>
    <row r="877">
      <c r="I877" s="2570"/>
      <c r="J877" s="2599"/>
      <c r="K877" s="195"/>
    </row>
    <row r="878">
      <c r="I878" s="2570"/>
      <c r="J878" s="2599"/>
      <c r="K878" s="195"/>
    </row>
    <row r="879">
      <c r="I879" s="2570"/>
      <c r="J879" s="2599"/>
      <c r="K879" s="195"/>
    </row>
    <row r="880">
      <c r="I880" s="2570"/>
      <c r="J880" s="2599"/>
      <c r="K880" s="195"/>
    </row>
    <row r="881">
      <c r="I881" s="2570"/>
      <c r="J881" s="2599"/>
      <c r="K881" s="195"/>
    </row>
    <row r="882">
      <c r="I882" s="2570"/>
      <c r="J882" s="2599"/>
      <c r="K882" s="195"/>
    </row>
    <row r="883">
      <c r="I883" s="2570"/>
      <c r="J883" s="2599"/>
      <c r="K883" s="195"/>
    </row>
    <row r="884">
      <c r="I884" s="2570"/>
      <c r="J884" s="2599"/>
      <c r="K884" s="195"/>
    </row>
    <row r="885">
      <c r="I885" s="2570"/>
      <c r="J885" s="2599"/>
      <c r="K885" s="195"/>
    </row>
    <row r="886">
      <c r="I886" s="2570"/>
      <c r="J886" s="2599"/>
      <c r="K886" s="195"/>
    </row>
    <row r="887">
      <c r="I887" s="2570"/>
      <c r="J887" s="2599"/>
      <c r="K887" s="195"/>
    </row>
    <row r="888">
      <c r="I888" s="2570"/>
      <c r="J888" s="2599"/>
      <c r="K888" s="195"/>
    </row>
    <row r="889">
      <c r="I889" s="2570"/>
      <c r="J889" s="2599"/>
      <c r="K889" s="195"/>
    </row>
    <row r="890">
      <c r="I890" s="2570"/>
      <c r="J890" s="2599"/>
      <c r="K890" s="195"/>
    </row>
    <row r="891">
      <c r="I891" s="2570"/>
      <c r="J891" s="2599"/>
      <c r="K891" s="195"/>
    </row>
    <row r="892">
      <c r="I892" s="2570"/>
      <c r="J892" s="2599"/>
      <c r="K892" s="195"/>
    </row>
    <row r="893">
      <c r="I893" s="2570"/>
      <c r="J893" s="2599"/>
      <c r="K893" s="195"/>
    </row>
    <row r="894">
      <c r="I894" s="2570"/>
      <c r="J894" s="2599"/>
      <c r="K894" s="195"/>
    </row>
    <row r="895">
      <c r="I895" s="2570"/>
      <c r="J895" s="2599"/>
      <c r="K895" s="195"/>
    </row>
    <row r="896">
      <c r="I896" s="2570"/>
      <c r="J896" s="2599"/>
      <c r="K896" s="195"/>
    </row>
    <row r="897">
      <c r="I897" s="2570"/>
      <c r="J897" s="2599"/>
      <c r="K897" s="195"/>
    </row>
    <row r="898">
      <c r="I898" s="2570"/>
      <c r="J898" s="2599"/>
      <c r="K898" s="195"/>
    </row>
    <row r="899">
      <c r="I899" s="2570"/>
      <c r="J899" s="2599"/>
      <c r="K899" s="195"/>
    </row>
    <row r="900">
      <c r="I900" s="2570"/>
      <c r="J900" s="2599"/>
      <c r="K900" s="195"/>
    </row>
    <row r="901">
      <c r="I901" s="2570"/>
      <c r="J901" s="2599"/>
      <c r="K901" s="195"/>
    </row>
    <row r="902">
      <c r="I902" s="2570"/>
      <c r="J902" s="2599"/>
      <c r="K902" s="195"/>
    </row>
    <row r="903">
      <c r="I903" s="2570"/>
      <c r="J903" s="2599"/>
      <c r="K903" s="195"/>
    </row>
    <row r="904">
      <c r="I904" s="2570"/>
      <c r="J904" s="2599"/>
      <c r="K904" s="195"/>
    </row>
    <row r="905">
      <c r="I905" s="2570"/>
      <c r="J905" s="2599"/>
      <c r="K905" s="195"/>
    </row>
    <row r="906">
      <c r="I906" s="2570"/>
      <c r="J906" s="2599"/>
      <c r="K906" s="195"/>
    </row>
    <row r="907">
      <c r="I907" s="2570"/>
      <c r="J907" s="2599"/>
      <c r="K907" s="195"/>
    </row>
    <row r="908">
      <c r="I908" s="2570"/>
      <c r="J908" s="2599"/>
      <c r="K908" s="195"/>
    </row>
    <row r="909">
      <c r="I909" s="2570"/>
      <c r="J909" s="2599"/>
      <c r="K909" s="195"/>
    </row>
    <row r="910">
      <c r="I910" s="2570"/>
      <c r="J910" s="2599"/>
      <c r="K910" s="195"/>
    </row>
    <row r="911">
      <c r="I911" s="2570"/>
      <c r="J911" s="2599"/>
      <c r="K911" s="195"/>
    </row>
    <row r="912">
      <c r="I912" s="2570"/>
      <c r="J912" s="2599"/>
      <c r="K912" s="195"/>
    </row>
    <row r="913">
      <c r="I913" s="2570"/>
      <c r="J913" s="2599"/>
      <c r="K913" s="195"/>
    </row>
    <row r="914">
      <c r="I914" s="2570"/>
      <c r="J914" s="2599"/>
      <c r="K914" s="195"/>
    </row>
    <row r="915">
      <c r="I915" s="2570"/>
      <c r="J915" s="2599"/>
      <c r="K915" s="195"/>
    </row>
    <row r="916">
      <c r="I916" s="2570"/>
      <c r="J916" s="2599"/>
      <c r="K916" s="195"/>
    </row>
    <row r="917">
      <c r="I917" s="2570"/>
      <c r="J917" s="2599"/>
      <c r="K917" s="195"/>
    </row>
    <row r="918">
      <c r="I918" s="2570"/>
      <c r="J918" s="2599"/>
      <c r="K918" s="195"/>
    </row>
    <row r="919">
      <c r="I919" s="2570"/>
      <c r="J919" s="2599"/>
      <c r="K919" s="195"/>
    </row>
    <row r="920">
      <c r="I920" s="2570"/>
      <c r="J920" s="2599"/>
      <c r="K920" s="195"/>
    </row>
    <row r="921">
      <c r="I921" s="2570"/>
      <c r="J921" s="2599"/>
      <c r="K921" s="195"/>
    </row>
    <row r="922">
      <c r="I922" s="2570"/>
      <c r="J922" s="2599"/>
      <c r="K922" s="195"/>
    </row>
    <row r="923">
      <c r="I923" s="2570"/>
      <c r="J923" s="2599"/>
      <c r="K923" s="195"/>
    </row>
    <row r="924">
      <c r="I924" s="2570"/>
      <c r="J924" s="2599"/>
      <c r="K924" s="195"/>
    </row>
    <row r="925">
      <c r="I925" s="2570"/>
      <c r="J925" s="2599"/>
      <c r="K925" s="195"/>
    </row>
    <row r="926">
      <c r="I926" s="2570"/>
      <c r="J926" s="2599"/>
      <c r="K926" s="195"/>
    </row>
    <row r="927">
      <c r="I927" s="2570"/>
      <c r="J927" s="2599"/>
      <c r="K927" s="195"/>
    </row>
    <row r="928">
      <c r="I928" s="2570"/>
      <c r="J928" s="2599"/>
      <c r="K928" s="195"/>
    </row>
    <row r="929">
      <c r="I929" s="2570"/>
      <c r="J929" s="2599"/>
      <c r="K929" s="195"/>
    </row>
    <row r="930">
      <c r="I930" s="2570"/>
      <c r="J930" s="2599"/>
      <c r="K930" s="195"/>
    </row>
    <row r="931">
      <c r="I931" s="2570"/>
      <c r="J931" s="2599"/>
      <c r="K931" s="195"/>
    </row>
    <row r="932">
      <c r="I932" s="2570"/>
      <c r="J932" s="2599"/>
      <c r="K932" s="195"/>
    </row>
    <row r="933">
      <c r="I933" s="2570"/>
      <c r="J933" s="2599"/>
      <c r="K933" s="195"/>
    </row>
    <row r="934">
      <c r="I934" s="2570"/>
      <c r="J934" s="2599"/>
      <c r="K934" s="195"/>
    </row>
    <row r="935">
      <c r="I935" s="2570"/>
      <c r="J935" s="2599"/>
      <c r="K935" s="195"/>
    </row>
    <row r="936">
      <c r="I936" s="2570"/>
      <c r="J936" s="2599"/>
      <c r="K936" s="195"/>
    </row>
    <row r="937">
      <c r="I937" s="2570"/>
      <c r="J937" s="2599"/>
      <c r="K937" s="195"/>
    </row>
    <row r="938">
      <c r="I938" s="2570"/>
      <c r="J938" s="2599"/>
      <c r="K938" s="195"/>
    </row>
    <row r="939">
      <c r="I939" s="2570"/>
      <c r="J939" s="2599"/>
      <c r="K939" s="195"/>
    </row>
    <row r="940">
      <c r="I940" s="2570"/>
      <c r="J940" s="2599"/>
      <c r="K940" s="195"/>
    </row>
    <row r="941">
      <c r="I941" s="2570"/>
      <c r="J941" s="2599"/>
      <c r="K941" s="195"/>
    </row>
    <row r="942">
      <c r="I942" s="2570"/>
      <c r="J942" s="2599"/>
      <c r="K942" s="195"/>
    </row>
    <row r="943">
      <c r="I943" s="2570"/>
      <c r="J943" s="2599"/>
      <c r="K943" s="195"/>
    </row>
    <row r="944">
      <c r="I944" s="2570"/>
      <c r="J944" s="2599"/>
      <c r="K944" s="195"/>
    </row>
    <row r="945">
      <c r="I945" s="2570"/>
      <c r="J945" s="2599"/>
      <c r="K945" s="195"/>
    </row>
    <row r="946">
      <c r="I946" s="2570"/>
      <c r="J946" s="2599"/>
      <c r="K946" s="195"/>
    </row>
    <row r="947">
      <c r="I947" s="2570"/>
      <c r="J947" s="2599"/>
      <c r="K947" s="195"/>
    </row>
    <row r="948">
      <c r="I948" s="2570"/>
      <c r="J948" s="2599"/>
      <c r="K948" s="195"/>
    </row>
    <row r="949">
      <c r="I949" s="2570"/>
      <c r="J949" s="2599"/>
      <c r="K949" s="195"/>
    </row>
    <row r="950">
      <c r="I950" s="2570"/>
      <c r="J950" s="2599"/>
      <c r="K950" s="195"/>
    </row>
    <row r="951">
      <c r="I951" s="2570"/>
      <c r="J951" s="2599"/>
      <c r="K951" s="195"/>
    </row>
    <row r="952">
      <c r="I952" s="2570"/>
      <c r="J952" s="2599"/>
      <c r="K952" s="195"/>
    </row>
    <row r="953">
      <c r="I953" s="2570"/>
      <c r="J953" s="2599"/>
      <c r="K953" s="195"/>
    </row>
    <row r="954">
      <c r="I954" s="2570"/>
      <c r="J954" s="2599"/>
      <c r="K954" s="195"/>
    </row>
    <row r="955">
      <c r="I955" s="2570"/>
      <c r="J955" s="2599"/>
      <c r="K955" s="195"/>
    </row>
    <row r="956">
      <c r="I956" s="2570"/>
      <c r="J956" s="2599"/>
      <c r="K956" s="195"/>
    </row>
    <row r="957">
      <c r="I957" s="2570"/>
      <c r="J957" s="2599"/>
      <c r="K957" s="195"/>
    </row>
    <row r="958">
      <c r="I958" s="2570"/>
      <c r="J958" s="2599"/>
      <c r="K958" s="195"/>
    </row>
    <row r="959">
      <c r="I959" s="2570"/>
      <c r="J959" s="2599"/>
      <c r="K959" s="195"/>
    </row>
    <row r="960">
      <c r="I960" s="2570"/>
      <c r="J960" s="2599"/>
      <c r="K960" s="195"/>
    </row>
    <row r="961">
      <c r="I961" s="2570"/>
      <c r="J961" s="2599"/>
      <c r="K961" s="195"/>
    </row>
    <row r="962">
      <c r="I962" s="2570"/>
      <c r="J962" s="2599"/>
      <c r="K962" s="195"/>
    </row>
    <row r="963">
      <c r="I963" s="2570"/>
      <c r="J963" s="2599"/>
      <c r="K963" s="195"/>
    </row>
    <row r="964">
      <c r="I964" s="2570"/>
      <c r="J964" s="2599"/>
      <c r="K964" s="195"/>
    </row>
    <row r="965">
      <c r="I965" s="2570"/>
      <c r="J965" s="2599"/>
      <c r="K965" s="195"/>
    </row>
    <row r="966">
      <c r="I966" s="2570"/>
      <c r="J966" s="2599"/>
      <c r="K966" s="195"/>
    </row>
    <row r="967">
      <c r="I967" s="2570"/>
      <c r="J967" s="2599"/>
      <c r="K967" s="195"/>
    </row>
    <row r="968">
      <c r="I968" s="2570"/>
      <c r="J968" s="2599"/>
      <c r="K968" s="195"/>
    </row>
    <row r="969">
      <c r="I969" s="2570"/>
      <c r="J969" s="2599"/>
      <c r="K969" s="195"/>
    </row>
    <row r="970">
      <c r="I970" s="2570"/>
      <c r="J970" s="2599"/>
      <c r="K970" s="195"/>
    </row>
    <row r="971">
      <c r="I971" s="2570"/>
      <c r="J971" s="2599"/>
      <c r="K971" s="195"/>
    </row>
    <row r="972">
      <c r="I972" s="2570"/>
      <c r="J972" s="2599"/>
      <c r="K972" s="195"/>
    </row>
    <row r="973">
      <c r="I973" s="2570"/>
      <c r="J973" s="2599"/>
      <c r="K973" s="195"/>
    </row>
    <row r="974">
      <c r="I974" s="2570"/>
      <c r="J974" s="2599"/>
      <c r="K974" s="195"/>
    </row>
    <row r="975">
      <c r="I975" s="2570"/>
      <c r="J975" s="2599"/>
      <c r="K975" s="195"/>
    </row>
    <row r="976">
      <c r="I976" s="2570"/>
      <c r="J976" s="2599"/>
      <c r="K976" s="195"/>
    </row>
    <row r="977">
      <c r="I977" s="2570"/>
      <c r="J977" s="2599"/>
      <c r="K977" s="195"/>
    </row>
    <row r="978">
      <c r="I978" s="2570"/>
      <c r="J978" s="2599"/>
      <c r="K978" s="195"/>
    </row>
    <row r="979">
      <c r="I979" s="2570"/>
      <c r="J979" s="2599"/>
      <c r="K979" s="195"/>
    </row>
    <row r="980">
      <c r="I980" s="2570"/>
      <c r="J980" s="2599"/>
      <c r="K980" s="195"/>
    </row>
    <row r="981">
      <c r="I981" s="2570"/>
      <c r="J981" s="2599"/>
      <c r="K981" s="195"/>
    </row>
    <row r="982">
      <c r="I982" s="2570"/>
      <c r="J982" s="2599"/>
      <c r="K982" s="195"/>
    </row>
    <row r="983">
      <c r="I983" s="2570"/>
      <c r="J983" s="2599"/>
      <c r="K983" s="195"/>
    </row>
    <row r="984">
      <c r="I984" s="2570"/>
      <c r="J984" s="2599"/>
      <c r="K984" s="195"/>
    </row>
    <row r="985">
      <c r="I985" s="2570"/>
      <c r="J985" s="2599"/>
      <c r="K985" s="195"/>
    </row>
    <row r="986">
      <c r="I986" s="2570"/>
      <c r="J986" s="2599"/>
      <c r="K986" s="195"/>
    </row>
    <row r="987">
      <c r="I987" s="2570"/>
      <c r="J987" s="2599"/>
      <c r="K987" s="195"/>
    </row>
    <row r="988">
      <c r="I988" s="2570"/>
      <c r="J988" s="2599"/>
      <c r="K988" s="195"/>
    </row>
    <row r="989">
      <c r="I989" s="2570"/>
      <c r="J989" s="2599"/>
      <c r="K989" s="195"/>
    </row>
    <row r="990">
      <c r="I990" s="2570"/>
      <c r="J990" s="2599"/>
      <c r="K990" s="195"/>
    </row>
    <row r="991">
      <c r="I991" s="2570"/>
      <c r="J991" s="2599"/>
      <c r="K991" s="195"/>
    </row>
    <row r="992">
      <c r="I992" s="2570"/>
      <c r="J992" s="2599"/>
      <c r="K992" s="195"/>
    </row>
    <row r="993">
      <c r="I993" s="2570"/>
      <c r="J993" s="2599"/>
      <c r="K993" s="195"/>
    </row>
    <row r="994">
      <c r="I994" s="2570"/>
      <c r="J994" s="2599"/>
      <c r="K994" s="195"/>
    </row>
    <row r="995">
      <c r="I995" s="2570"/>
      <c r="J995" s="2599"/>
      <c r="K995" s="195"/>
    </row>
    <row r="996">
      <c r="I996" s="2570"/>
      <c r="J996" s="2599"/>
      <c r="K996" s="195"/>
    </row>
    <row r="997">
      <c r="I997" s="2570"/>
      <c r="J997" s="2599"/>
      <c r="K997" s="195"/>
    </row>
    <row r="998">
      <c r="I998" s="2570"/>
      <c r="J998" s="2599"/>
      <c r="K998" s="195"/>
    </row>
    <row r="999">
      <c r="I999" s="2570"/>
      <c r="J999" s="2599"/>
      <c r="K999" s="195"/>
    </row>
    <row r="1000">
      <c r="I1000" s="2570"/>
      <c r="J1000" s="2599"/>
      <c r="K1000" s="195"/>
    </row>
  </sheetData>
  <conditionalFormatting sqref="K1:K1000">
    <cfRule type="cellIs" dxfId="0" priority="1" operator="lessThan">
      <formula>0</formula>
    </cfRule>
  </conditionalFormatting>
  <conditionalFormatting sqref="K1:K1000">
    <cfRule type="cellIs" dxfId="2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9.0"/>
    <col customWidth="1" min="4" max="4" width="32.56"/>
    <col customWidth="1" min="5" max="5" width="6.11"/>
    <col customWidth="1" min="6" max="7" width="5.11"/>
    <col customWidth="1" min="8" max="8" width="10.33"/>
    <col customWidth="1" min="9" max="9" width="5.11"/>
    <col customWidth="1" min="10" max="10" width="10.44"/>
    <col customWidth="1" min="16" max="16" width="9.11"/>
    <col customWidth="1" min="18" max="18" width="7.78"/>
    <col customWidth="1" min="19" max="19" width="7.11"/>
  </cols>
  <sheetData>
    <row r="1">
      <c r="A1" s="2565" t="str">
        <f>'План 2-я неделя'!A2</f>
        <v>Дата:</v>
      </c>
      <c r="B1" s="2609">
        <f>'План 2-я неделя'!C2</f>
        <v>46236</v>
      </c>
      <c r="C1" s="2568"/>
      <c r="D1" s="2568" t="str">
        <f>'План 2-я неделя'!E2</f>
        <v>План на день кухня       ВОСКРЕСЕНЬЕ</v>
      </c>
      <c r="H1" s="2569">
        <f>SUM(H3:H29)</f>
        <v>366004</v>
      </c>
      <c r="I1" s="2570"/>
      <c r="J1" s="2610" t="str">
        <f>SUM(J3:J29)</f>
        <v>#REF!</v>
      </c>
      <c r="K1" s="1191" t="str">
        <f>J1-H1</f>
        <v>#REF!</v>
      </c>
      <c r="L1" s="2574" t="s">
        <v>1283</v>
      </c>
      <c r="M1" s="2574" t="s">
        <v>1428</v>
      </c>
      <c r="N1" s="2574" t="s">
        <v>3415</v>
      </c>
      <c r="O1" s="2574" t="s">
        <v>3416</v>
      </c>
      <c r="R1" s="2574" t="s">
        <v>1283</v>
      </c>
      <c r="S1" s="2574" t="s">
        <v>3283</v>
      </c>
      <c r="T1" s="2574" t="s">
        <v>3417</v>
      </c>
    </row>
    <row r="2">
      <c r="A2" s="2575" t="str">
        <f>'План 2-я неделя'!B3</f>
        <v>Код №</v>
      </c>
      <c r="B2" s="2575" t="str">
        <f>'План 2-я неделя'!C3</f>
        <v>Цена</v>
      </c>
      <c r="C2" s="2575" t="str">
        <f>'План 2-я неделя'!D3</f>
        <v>категория</v>
      </c>
      <c r="D2" s="2575" t="str">
        <f>'План 2-я неделя'!E3</f>
        <v>Название блюда</v>
      </c>
      <c r="E2" s="2576" t="str">
        <f>'План 2-я неделя'!BL3</f>
        <v>ТСПК</v>
      </c>
      <c r="F2" s="2165" t="s">
        <v>3090</v>
      </c>
      <c r="G2" s="2165" t="s">
        <v>3421</v>
      </c>
      <c r="H2" s="2165" t="s">
        <v>3422</v>
      </c>
      <c r="I2" s="2578" t="s">
        <v>3424</v>
      </c>
      <c r="J2" s="2578" t="s">
        <v>3425</v>
      </c>
      <c r="L2" s="95"/>
      <c r="M2" s="962"/>
      <c r="N2" s="95"/>
      <c r="O2" s="2611"/>
      <c r="P2" s="2579"/>
      <c r="Q2" s="2579"/>
      <c r="R2" s="145">
        <v>33.0</v>
      </c>
      <c r="S2" s="1268" t="s">
        <v>524</v>
      </c>
      <c r="T2" s="1268" t="s">
        <v>3436</v>
      </c>
    </row>
    <row r="3">
      <c r="A3" s="962">
        <f>'План 2-я неделя'!B4</f>
        <v>2898</v>
      </c>
      <c r="B3" s="962">
        <f>'План 2-я неделя'!C4</f>
        <v>98</v>
      </c>
      <c r="C3" s="962" t="str">
        <f>'План 2-я неделя'!D4</f>
        <v>Завтрак</v>
      </c>
      <c r="D3" s="962" t="str">
        <f>'План 2-я неделя'!E4</f>
        <v>Каша рисовая с курагой</v>
      </c>
      <c r="E3" s="2576" t="str">
        <f>'План 2-я неделя'!BL4</f>
        <v/>
      </c>
      <c r="F3" s="95" t="str">
        <f>'План 2-я неделя'!BN4</f>
        <v/>
      </c>
      <c r="G3" s="95">
        <f>'План 2-я неделя'!BP4+F3</f>
        <v>69</v>
      </c>
      <c r="H3" s="2584">
        <f t="shared" ref="H3:H30" si="1">B3*G3</f>
        <v>6762</v>
      </c>
      <c r="I3" s="2587">
        <f>'План 2-я неделя'!BQ4</f>
        <v>68</v>
      </c>
      <c r="J3" s="2590">
        <f t="shared" ref="J3:J30" si="2">I3*B3</f>
        <v>6664</v>
      </c>
      <c r="O3" s="2579"/>
      <c r="P3" s="2579"/>
      <c r="Q3" s="2579"/>
      <c r="R3" s="145">
        <v>89.0</v>
      </c>
      <c r="S3" s="1268" t="s">
        <v>460</v>
      </c>
      <c r="T3" s="1268" t="s">
        <v>3436</v>
      </c>
    </row>
    <row r="4">
      <c r="A4" s="962">
        <f>'План 2-я неделя'!B5</f>
        <v>4206</v>
      </c>
      <c r="B4" s="962">
        <f>'План 2-я неделя'!C5</f>
        <v>172</v>
      </c>
      <c r="C4" s="962" t="str">
        <f>'План 2-я неделя'!D5</f>
        <v>Завтрак</v>
      </c>
      <c r="D4" s="962" t="str">
        <f>'План 2-я неделя'!E5</f>
        <v>Венский штрудель с курочкой и сыром</v>
      </c>
      <c r="E4" s="2576" t="str">
        <f>'План 2-я неделя'!BL5</f>
        <v/>
      </c>
      <c r="F4" s="95">
        <f>'План 2-я неделя'!BN5</f>
        <v>0</v>
      </c>
      <c r="G4" s="95">
        <f>'План 2-я неделя'!BP5+F4</f>
        <v>121</v>
      </c>
      <c r="H4" s="2584">
        <f t="shared" si="1"/>
        <v>20812</v>
      </c>
      <c r="I4" s="2587">
        <f>'План 2-я неделя'!BQ5</f>
        <v>120</v>
      </c>
      <c r="J4" s="2590">
        <f t="shared" si="2"/>
        <v>20640</v>
      </c>
      <c r="L4" s="2574" t="s">
        <v>1283</v>
      </c>
      <c r="M4" s="2574" t="s">
        <v>1430</v>
      </c>
      <c r="N4" s="2574" t="s">
        <v>3415</v>
      </c>
      <c r="O4" s="2574" t="s">
        <v>3416</v>
      </c>
      <c r="P4" s="2579"/>
      <c r="Q4" s="2579"/>
      <c r="R4" s="145">
        <v>145.0</v>
      </c>
      <c r="S4" s="1268" t="s">
        <v>978</v>
      </c>
      <c r="T4" s="1268" t="s">
        <v>3436</v>
      </c>
    </row>
    <row r="5">
      <c r="A5" s="962" t="str">
        <f>'План 2-я неделя'!B6</f>
        <v/>
      </c>
      <c r="B5" s="962" t="str">
        <f>'План 2-я неделя'!C6</f>
        <v/>
      </c>
      <c r="C5" s="962" t="str">
        <f>'План 2-я неделя'!D6</f>
        <v>Завтрак</v>
      </c>
      <c r="D5" s="962" t="str">
        <f>'План 2-я неделя'!E6</f>
        <v>Шоколадный пирог с вишней </v>
      </c>
      <c r="E5" s="2576" t="str">
        <f>'План 2-я неделя'!BL6</f>
        <v/>
      </c>
      <c r="F5" s="95" t="str">
        <f>'План 2-я неделя'!BN6</f>
        <v/>
      </c>
      <c r="G5" s="95">
        <f>'План 2-я неделя'!BP6+F5</f>
        <v>109</v>
      </c>
      <c r="H5" s="2584">
        <f t="shared" si="1"/>
        <v>0</v>
      </c>
      <c r="I5" s="2587">
        <f>'План 2-я неделя'!BQ6</f>
        <v>108</v>
      </c>
      <c r="J5" s="2590">
        <f t="shared" si="2"/>
        <v>0</v>
      </c>
      <c r="L5" s="145">
        <v>487.0</v>
      </c>
      <c r="M5" s="1268" t="s">
        <v>1443</v>
      </c>
      <c r="N5" s="145">
        <v>75.6</v>
      </c>
      <c r="O5" s="145" t="s">
        <v>3429</v>
      </c>
      <c r="P5" s="2579"/>
      <c r="Q5" s="2579"/>
      <c r="R5" s="145">
        <v>793.0</v>
      </c>
      <c r="S5" s="1268" t="s">
        <v>93</v>
      </c>
      <c r="T5" s="1268" t="s">
        <v>3436</v>
      </c>
    </row>
    <row r="6">
      <c r="A6" s="962">
        <f>'План 2-я неделя'!B7</f>
        <v>2686</v>
      </c>
      <c r="B6" s="962">
        <f>'План 2-я неделя'!C7</f>
        <v>98</v>
      </c>
      <c r="C6" s="962" t="str">
        <f>'План 2-я неделя'!D7</f>
        <v>Салат</v>
      </c>
      <c r="D6" s="962" t="str">
        <f>'План 2-я неделя'!E7</f>
        <v>Салат ''Коул Слоу'' 120 гр</v>
      </c>
      <c r="E6" s="2576">
        <f>'План 2-я неделя'!BL7</f>
        <v>30</v>
      </c>
      <c r="F6" s="95" t="str">
        <f>'План 2-я неделя'!BN7</f>
        <v/>
      </c>
      <c r="G6" s="95">
        <f>'План 2-я неделя'!BP7+F6</f>
        <v>119</v>
      </c>
      <c r="H6" s="2584">
        <f t="shared" si="1"/>
        <v>11662</v>
      </c>
      <c r="I6" s="2587">
        <f>'План 2-я неделя'!BQ7</f>
        <v>118</v>
      </c>
      <c r="J6" s="2590">
        <f t="shared" si="2"/>
        <v>11564</v>
      </c>
      <c r="L6" s="145">
        <v>2247.0</v>
      </c>
      <c r="M6" s="1268" t="s">
        <v>1441</v>
      </c>
      <c r="N6" s="145">
        <v>24.2</v>
      </c>
      <c r="O6" s="145" t="s">
        <v>3429</v>
      </c>
      <c r="P6" s="2579"/>
      <c r="Q6" s="2579"/>
      <c r="R6" s="145">
        <v>822.0</v>
      </c>
      <c r="S6" s="1268" t="s">
        <v>136</v>
      </c>
      <c r="T6" s="1268" t="s">
        <v>3436</v>
      </c>
    </row>
    <row r="7">
      <c r="A7" s="962">
        <f>'План 2-я неделя'!B8</f>
        <v>884</v>
      </c>
      <c r="B7" s="962">
        <f>'План 2-я неделя'!C8</f>
        <v>98</v>
      </c>
      <c r="C7" s="962" t="str">
        <f>'План 2-я неделя'!D8</f>
        <v>Салат</v>
      </c>
      <c r="D7" s="962" t="str">
        <f>'План 2-я неделя'!E8</f>
        <v>Салат ''Интрига'' (колбаса в/к.) </v>
      </c>
      <c r="E7" s="2576">
        <f>'План 2-я неделя'!BL8</f>
        <v>50</v>
      </c>
      <c r="F7" s="95" t="str">
        <f>'План 2-я неделя'!BN8</f>
        <v/>
      </c>
      <c r="G7" s="95">
        <f>'План 2-я неделя'!BP8+F7</f>
        <v>123</v>
      </c>
      <c r="H7" s="2584">
        <f t="shared" si="1"/>
        <v>12054</v>
      </c>
      <c r="I7" s="2587">
        <f>'План 2-я неделя'!BQ8</f>
        <v>122</v>
      </c>
      <c r="J7" s="2590">
        <f t="shared" si="2"/>
        <v>11956</v>
      </c>
      <c r="L7" s="145">
        <v>2264.0</v>
      </c>
      <c r="M7" s="1268" t="s">
        <v>1447</v>
      </c>
      <c r="N7" s="145">
        <v>34.2</v>
      </c>
      <c r="O7" s="145" t="s">
        <v>3429</v>
      </c>
      <c r="P7" s="2579"/>
      <c r="Q7" s="2579"/>
      <c r="R7" s="145">
        <v>1293.0</v>
      </c>
      <c r="S7" s="1268" t="s">
        <v>616</v>
      </c>
      <c r="T7" s="1268" t="s">
        <v>1437</v>
      </c>
    </row>
    <row r="8">
      <c r="A8" s="962">
        <f>'План 2-я неделя'!B9</f>
        <v>3165</v>
      </c>
      <c r="B8" s="962">
        <f>'План 2-я неделя'!C9</f>
        <v>98</v>
      </c>
      <c r="C8" s="962" t="str">
        <f>'План 2-я неделя'!D9</f>
        <v>Салат</v>
      </c>
      <c r="D8" s="962" t="str">
        <f>'План 2-я неделя'!E9</f>
        <v>Салат ''Красное море'' (крабовые палочки)</v>
      </c>
      <c r="E8" s="2576">
        <f>'План 2-я неделя'!BL9</f>
        <v>50</v>
      </c>
      <c r="F8" s="95" t="str">
        <f>'План 2-я неделя'!BN9</f>
        <v/>
      </c>
      <c r="G8" s="95">
        <f>'План 2-я неделя'!BP9+F8</f>
        <v>166</v>
      </c>
      <c r="H8" s="2584">
        <f t="shared" si="1"/>
        <v>16268</v>
      </c>
      <c r="I8" s="2587">
        <f>'План 2-я неделя'!BQ9</f>
        <v>165</v>
      </c>
      <c r="J8" s="2590">
        <f t="shared" si="2"/>
        <v>16170</v>
      </c>
      <c r="L8" s="145">
        <v>2278.0</v>
      </c>
      <c r="M8" s="1268" t="s">
        <v>1439</v>
      </c>
      <c r="N8" s="2593">
        <v>25.0</v>
      </c>
      <c r="O8" s="145" t="s">
        <v>3429</v>
      </c>
      <c r="P8" s="2579"/>
      <c r="Q8" s="2579"/>
      <c r="R8" s="145">
        <v>1896.0</v>
      </c>
      <c r="S8" s="1268" t="s">
        <v>620</v>
      </c>
      <c r="T8" s="1268" t="s">
        <v>3436</v>
      </c>
    </row>
    <row r="9">
      <c r="A9" s="962">
        <f>'План 2-я неделя'!B10</f>
        <v>4184</v>
      </c>
      <c r="B9" s="962">
        <f>'План 2-я неделя'!C10</f>
        <v>188</v>
      </c>
      <c r="C9" s="962" t="str">
        <f>'План 2-я неделя'!D10</f>
        <v>Премиум</v>
      </c>
      <c r="D9" s="962" t="str">
        <f>'План 2-я неделя'!E10</f>
        <v>Салат "Любовница" 220 гр </v>
      </c>
      <c r="E9" s="2576" t="str">
        <f>'План 2-я неделя'!BL10</f>
        <v/>
      </c>
      <c r="F9" s="95" t="str">
        <f>'План 2-я неделя'!BN10</f>
        <v/>
      </c>
      <c r="G9" s="95">
        <f>'План 2-я неделя'!BP10+F9</f>
        <v>76</v>
      </c>
      <c r="H9" s="2584">
        <f t="shared" si="1"/>
        <v>14288</v>
      </c>
      <c r="I9" s="2587">
        <f>'План 2-я неделя'!BQ10</f>
        <v>75</v>
      </c>
      <c r="J9" s="2590">
        <f t="shared" si="2"/>
        <v>14100</v>
      </c>
      <c r="L9" s="145">
        <v>2640.0</v>
      </c>
      <c r="M9" s="1268" t="s">
        <v>1530</v>
      </c>
      <c r="N9" s="2593">
        <v>16.0</v>
      </c>
      <c r="O9" s="145" t="s">
        <v>3429</v>
      </c>
      <c r="P9" s="2579"/>
      <c r="Q9" s="2579"/>
      <c r="R9" s="145">
        <v>2079.0</v>
      </c>
      <c r="S9" s="1268" t="s">
        <v>361</v>
      </c>
      <c r="T9" s="1268" t="s">
        <v>3436</v>
      </c>
    </row>
    <row r="10">
      <c r="A10" s="962">
        <f>'План 2-я неделя'!B11</f>
        <v>793</v>
      </c>
      <c r="B10" s="962">
        <f>'План 2-я неделя'!C11</f>
        <v>106</v>
      </c>
      <c r="C10" s="962" t="str">
        <f>'План 2-я неделя'!D11</f>
        <v>Суп</v>
      </c>
      <c r="D10" s="962" t="str">
        <f>'План 2-я неделя'!E11</f>
        <v>Борщ с курицей</v>
      </c>
      <c r="E10" s="2576">
        <f>'План 2-я неделя'!BL11</f>
        <v>120</v>
      </c>
      <c r="F10" s="95">
        <f>'План 2-я неделя'!BN11</f>
        <v>20</v>
      </c>
      <c r="G10" s="95">
        <f>'План 2-я неделя'!BP11+F10</f>
        <v>141</v>
      </c>
      <c r="H10" s="2584">
        <f t="shared" si="1"/>
        <v>14946</v>
      </c>
      <c r="I10" s="2587">
        <f>'План 2-я неделя'!BQ11</f>
        <v>125</v>
      </c>
      <c r="J10" s="2590">
        <f t="shared" si="2"/>
        <v>13250</v>
      </c>
      <c r="O10" s="2579"/>
      <c r="P10" s="2579"/>
      <c r="Q10" s="2579"/>
      <c r="R10" s="145">
        <v>2932.0</v>
      </c>
      <c r="S10" s="1268" t="s">
        <v>624</v>
      </c>
      <c r="T10" s="1268" t="s">
        <v>3436</v>
      </c>
    </row>
    <row r="11">
      <c r="A11" s="962">
        <f>'План 2-я неделя'!B12</f>
        <v>1237</v>
      </c>
      <c r="B11" s="962">
        <f>'План 2-я неделя'!C12</f>
        <v>148</v>
      </c>
      <c r="C11" s="962" t="str">
        <f>'План 2-я неделя'!D12</f>
        <v>Суп</v>
      </c>
      <c r="D11" s="962" t="str">
        <f>'План 2-я неделя'!E12</f>
        <v>Суп грибной</v>
      </c>
      <c r="E11" s="2576" t="str">
        <f>'План 2-я неделя'!BL12</f>
        <v/>
      </c>
      <c r="F11" s="95" t="str">
        <f>'План 2-я неделя'!BN12</f>
        <v/>
      </c>
      <c r="G11" s="95">
        <f>'План 2-я неделя'!BP12+F11</f>
        <v>42</v>
      </c>
      <c r="H11" s="2584">
        <f t="shared" si="1"/>
        <v>6216</v>
      </c>
      <c r="I11" s="2598">
        <f>'План 2-я неделя'!BQ12</f>
        <v>43</v>
      </c>
      <c r="J11" s="2590">
        <f t="shared" si="2"/>
        <v>6364</v>
      </c>
      <c r="O11" s="2579"/>
      <c r="P11" s="2579"/>
      <c r="Q11" s="2579"/>
      <c r="R11" s="145">
        <v>3082.0</v>
      </c>
      <c r="S11" s="1268" t="s">
        <v>1087</v>
      </c>
      <c r="T11" s="1268" t="s">
        <v>3436</v>
      </c>
    </row>
    <row r="12">
      <c r="A12" s="962">
        <f>'План 2-я неделя'!B13</f>
        <v>3737</v>
      </c>
      <c r="B12" s="962">
        <f>'План 2-я неделя'!C13</f>
        <v>217</v>
      </c>
      <c r="C12" s="962" t="str">
        <f>'План 2-я неделя'!D13</f>
        <v>Второе</v>
      </c>
      <c r="D12" s="962" t="str">
        <f>'План 2-я неделя'!E13</f>
        <v>Чкмерули из курицы со спагетти</v>
      </c>
      <c r="E12" s="2576">
        <f>'План 2-я неделя'!BL13</f>
        <v>80</v>
      </c>
      <c r="F12" s="95">
        <f>'План 2-я неделя'!BN13</f>
        <v>6</v>
      </c>
      <c r="G12" s="95">
        <f>'План 2-я неделя'!BP13+F12</f>
        <v>209</v>
      </c>
      <c r="H12" s="2584">
        <f t="shared" si="1"/>
        <v>45353</v>
      </c>
      <c r="I12" s="2598">
        <f>'План 2-я неделя'!BQ13</f>
        <v>202</v>
      </c>
      <c r="J12" s="2590">
        <f t="shared" si="2"/>
        <v>43834</v>
      </c>
      <c r="O12" s="2579"/>
      <c r="P12" s="2579"/>
      <c r="Q12" s="2579"/>
      <c r="R12" s="145">
        <v>3194.0</v>
      </c>
      <c r="S12" s="1268" t="s">
        <v>1031</v>
      </c>
      <c r="T12" s="1268" t="s">
        <v>3436</v>
      </c>
    </row>
    <row r="13">
      <c r="A13" s="962">
        <f>'План 2-я неделя'!B14</f>
        <v>1009</v>
      </c>
      <c r="B13" s="962">
        <f>'План 2-я неделя'!C14</f>
        <v>198</v>
      </c>
      <c r="C13" s="962" t="str">
        <f>'План 2-я неделя'!D14</f>
        <v>Второе</v>
      </c>
      <c r="D13" s="962" t="str">
        <f>'План 2-я неделя'!E14</f>
        <v>Свинина по-баварски с картофелем </v>
      </c>
      <c r="E13" s="2576">
        <f>'План 2-я неделя'!BL14</f>
        <v>25</v>
      </c>
      <c r="F13" s="95">
        <f>'План 2-я неделя'!BN14</f>
        <v>10</v>
      </c>
      <c r="G13" s="95">
        <f>'План 2-я неделя'!BP14+F13</f>
        <v>105</v>
      </c>
      <c r="H13" s="2584">
        <f t="shared" si="1"/>
        <v>20790</v>
      </c>
      <c r="I13" s="2598">
        <f>'План 2-я неделя'!BQ14</f>
        <v>95</v>
      </c>
      <c r="J13" s="2590">
        <f t="shared" si="2"/>
        <v>18810</v>
      </c>
      <c r="R13" s="145">
        <v>3239.0</v>
      </c>
      <c r="S13" s="1268" t="s">
        <v>544</v>
      </c>
      <c r="T13" s="1268" t="s">
        <v>1437</v>
      </c>
    </row>
    <row r="14">
      <c r="A14" s="962">
        <f>'План 2-я неделя'!B15</f>
        <v>546</v>
      </c>
      <c r="B14" s="962">
        <f>'План 2-я неделя'!C15</f>
        <v>228</v>
      </c>
      <c r="C14" s="962" t="str">
        <f>'План 2-я неделя'!D15</f>
        <v>Второе</v>
      </c>
      <c r="D14" s="962" t="str">
        <f>'План 2-я неделя'!E15</f>
        <v>Филе с грибами и рисом</v>
      </c>
      <c r="E14" s="2576" t="str">
        <f>'План 2-я неделя'!BL15</f>
        <v/>
      </c>
      <c r="F14" s="95">
        <f>'План 2-я неделя'!BN15</f>
        <v>10</v>
      </c>
      <c r="G14" s="95">
        <f>'План 2-я неделя'!BP15+F14</f>
        <v>173</v>
      </c>
      <c r="H14" s="2584">
        <f t="shared" si="1"/>
        <v>39444</v>
      </c>
      <c r="I14" s="2598">
        <f>'План 2-я неделя'!BQ15</f>
        <v>162</v>
      </c>
      <c r="J14" s="2590">
        <f t="shared" si="2"/>
        <v>36936</v>
      </c>
      <c r="R14" s="145">
        <v>3244.0</v>
      </c>
      <c r="S14" s="1268" t="s">
        <v>286</v>
      </c>
      <c r="T14" s="1268" t="s">
        <v>1437</v>
      </c>
    </row>
    <row r="15">
      <c r="A15" s="962">
        <f>'План 2-я неделя'!B16</f>
        <v>4294</v>
      </c>
      <c r="B15" s="962">
        <f>'План 2-я неделя'!C16</f>
        <v>215</v>
      </c>
      <c r="C15" s="962" t="str">
        <f>'План 2-я неделя'!D16</f>
        <v>Второе</v>
      </c>
      <c r="D15" s="962" t="str">
        <f>'План 2-я неделя'!E16</f>
        <v>Пангасиус запеченый с картофельным пюре</v>
      </c>
      <c r="E15" s="2576">
        <f>'План 2-я неделя'!BL16</f>
        <v>27</v>
      </c>
      <c r="F15" s="95" t="str">
        <f>'План 2-я неделя'!BN16</f>
        <v/>
      </c>
      <c r="G15" s="95">
        <f>'План 2-я неделя'!BP16+F15</f>
        <v>66</v>
      </c>
      <c r="H15" s="2584">
        <f t="shared" si="1"/>
        <v>14190</v>
      </c>
      <c r="I15" s="2587" t="str">
        <f>'План 2-я неделя'!BQ16</f>
        <v>#REF!</v>
      </c>
      <c r="J15" s="2590" t="str">
        <f t="shared" si="2"/>
        <v>#REF!</v>
      </c>
      <c r="R15" s="145">
        <v>3306.0</v>
      </c>
      <c r="S15" s="1268" t="s">
        <v>455</v>
      </c>
      <c r="T15" s="1268" t="s">
        <v>1437</v>
      </c>
    </row>
    <row r="16">
      <c r="A16" s="962">
        <f>'План 2-я неделя'!B17</f>
        <v>4295</v>
      </c>
      <c r="B16" s="962">
        <f>'План 2-я неделя'!C17</f>
        <v>218</v>
      </c>
      <c r="C16" s="962" t="str">
        <f>'План 2-я неделя'!D17</f>
        <v>Второе</v>
      </c>
      <c r="D16" s="962" t="str">
        <f>'План 2-я неделя'!E17</f>
        <v>Щука жареная с картофельным пюре </v>
      </c>
      <c r="E16" s="2576" t="str">
        <f>'План 2-я неделя'!BL17</f>
        <v/>
      </c>
      <c r="F16" s="95" t="str">
        <f>'План 2-я неделя'!BN17</f>
        <v/>
      </c>
      <c r="G16" s="95">
        <f>'План 2-я неделя'!BP17+F16</f>
        <v>72</v>
      </c>
      <c r="H16" s="2584">
        <f t="shared" si="1"/>
        <v>15696</v>
      </c>
      <c r="I16" s="2598">
        <f>'План 2-я неделя'!BQ17</f>
        <v>67</v>
      </c>
      <c r="J16" s="2590">
        <f t="shared" si="2"/>
        <v>14606</v>
      </c>
      <c r="R16" s="145">
        <v>3408.0</v>
      </c>
      <c r="S16" s="1268" t="s">
        <v>1204</v>
      </c>
      <c r="T16" s="1268" t="s">
        <v>3436</v>
      </c>
    </row>
    <row r="17">
      <c r="A17" s="962" t="str">
        <f>'План 2-я неделя'!B18</f>
        <v/>
      </c>
      <c r="B17" s="962" t="str">
        <f>'План 2-я неделя'!C18</f>
        <v/>
      </c>
      <c r="C17" s="962" t="str">
        <f>'План 2-я неделя'!D18</f>
        <v/>
      </c>
      <c r="D17" s="962" t="str">
        <f>'План 2-я неделя'!E18</f>
        <v/>
      </c>
      <c r="E17" s="2576" t="str">
        <f>'План 2-я неделя'!BL18</f>
        <v/>
      </c>
      <c r="F17" s="95" t="str">
        <f>'План 2-я неделя'!BN18</f>
        <v/>
      </c>
      <c r="G17" s="95">
        <f>'План 2-я неделя'!BP18+F17</f>
        <v>1</v>
      </c>
      <c r="H17" s="2584">
        <f t="shared" si="1"/>
        <v>0</v>
      </c>
      <c r="I17" s="2598">
        <f>'План 2-я неделя'!BQ18</f>
        <v>0</v>
      </c>
      <c r="J17" s="2590">
        <f t="shared" si="2"/>
        <v>0</v>
      </c>
      <c r="R17" s="145">
        <v>3518.0</v>
      </c>
      <c r="S17" s="1268" t="s">
        <v>518</v>
      </c>
      <c r="T17" s="1268" t="s">
        <v>3436</v>
      </c>
    </row>
    <row r="18">
      <c r="A18" s="962" t="str">
        <f>'План 2-я неделя'!B19</f>
        <v/>
      </c>
      <c r="B18" s="962" t="str">
        <f>'План 2-я неделя'!C19</f>
        <v/>
      </c>
      <c r="C18" s="962" t="str">
        <f>'План 2-я неделя'!D19</f>
        <v/>
      </c>
      <c r="D18" s="962" t="str">
        <f>'План 2-я неделя'!E19</f>
        <v/>
      </c>
      <c r="E18" s="2576" t="str">
        <f>'План 2-я неделя'!BL19</f>
        <v/>
      </c>
      <c r="F18" s="95" t="str">
        <f>'План 2-я неделя'!BN19</f>
        <v/>
      </c>
      <c r="G18" s="95">
        <f>'План 2-я неделя'!BP19+F18</f>
        <v>1</v>
      </c>
      <c r="H18" s="2584">
        <f t="shared" si="1"/>
        <v>0</v>
      </c>
      <c r="I18" s="2598">
        <f>'План 2-я неделя'!BQ19</f>
        <v>0</v>
      </c>
      <c r="J18" s="2590">
        <f t="shared" si="2"/>
        <v>0</v>
      </c>
      <c r="R18" s="145">
        <v>3705.0</v>
      </c>
      <c r="S18" s="1268" t="s">
        <v>606</v>
      </c>
      <c r="T18" s="1268" t="s">
        <v>1437</v>
      </c>
    </row>
    <row r="19">
      <c r="A19" s="962">
        <f>'План 2-я неделя'!B20</f>
        <v>4224</v>
      </c>
      <c r="B19" s="962">
        <f>'План 2-я неделя'!C20</f>
        <v>281</v>
      </c>
      <c r="C19" s="962" t="str">
        <f>'План 2-я неделя'!D20</f>
        <v>Выпечка</v>
      </c>
      <c r="D19" s="962" t="str">
        <f>'План 2-я неделя'!E20</f>
        <v>Курица Пармиджано с овощным соте</v>
      </c>
      <c r="E19" s="2576" t="str">
        <f>'План 2-я неделя'!BL20</f>
        <v/>
      </c>
      <c r="F19" s="95" t="str">
        <f>'План 2-я неделя'!BN20</f>
        <v/>
      </c>
      <c r="G19" s="95">
        <f>'План 2-я неделя'!BP20+F19</f>
        <v>96</v>
      </c>
      <c r="H19" s="2584">
        <f t="shared" si="1"/>
        <v>26976</v>
      </c>
      <c r="I19" s="2598">
        <f>'План 2-я неделя'!BQ20</f>
        <v>100</v>
      </c>
      <c r="J19" s="2590">
        <f t="shared" si="2"/>
        <v>28100</v>
      </c>
      <c r="R19" s="145">
        <v>3707.0</v>
      </c>
      <c r="S19" s="1268" t="s">
        <v>618</v>
      </c>
      <c r="T19" s="1268" t="s">
        <v>1437</v>
      </c>
    </row>
    <row r="20">
      <c r="A20" s="962" t="str">
        <f>'План 2-я неделя'!B21</f>
        <v/>
      </c>
      <c r="B20" s="962" t="str">
        <f>'План 2-я неделя'!C21</f>
        <v/>
      </c>
      <c r="C20" s="962" t="str">
        <f>'План 2-я неделя'!D21</f>
        <v/>
      </c>
      <c r="D20" s="962" t="str">
        <f>'План 2-я неделя'!E21</f>
        <v/>
      </c>
      <c r="E20" s="2576" t="str">
        <f>'План 2-я неделя'!BL21</f>
        <v/>
      </c>
      <c r="F20" s="95" t="str">
        <f>'План 2-я неделя'!BN21</f>
        <v/>
      </c>
      <c r="G20" s="95">
        <f>'План 2-я неделя'!BP21+F20</f>
        <v>1</v>
      </c>
      <c r="H20" s="2584">
        <f t="shared" si="1"/>
        <v>0</v>
      </c>
      <c r="I20" s="2587">
        <f>'План 2-я неделя'!BQ21</f>
        <v>0</v>
      </c>
      <c r="J20" s="2590">
        <f t="shared" si="2"/>
        <v>0</v>
      </c>
      <c r="R20" s="145">
        <v>3778.0</v>
      </c>
      <c r="S20" s="1268" t="s">
        <v>1089</v>
      </c>
      <c r="T20" s="1268" t="s">
        <v>3436</v>
      </c>
    </row>
    <row r="21">
      <c r="A21" s="962">
        <f>'План 2-я неделя'!B22</f>
        <v>4239</v>
      </c>
      <c r="B21" s="962">
        <f>'План 2-я неделя'!C22</f>
        <v>172</v>
      </c>
      <c r="C21" s="962" t="str">
        <f>'План 2-я неделя'!D22</f>
        <v>Сэндвич</v>
      </c>
      <c r="D21" s="962" t="str">
        <f>'План 2-я неделя'!E22</f>
        <v>Сэндвич с запеченной курочкой и соусом Релиш</v>
      </c>
      <c r="E21" s="2576" t="str">
        <f>'План 2-я неделя'!BL22</f>
        <v/>
      </c>
      <c r="F21" s="95" t="str">
        <f>'План 2-я неделя'!BN22</f>
        <v/>
      </c>
      <c r="G21" s="95">
        <f>'План 2-я неделя'!BP22+F21</f>
        <v>98</v>
      </c>
      <c r="H21" s="2584">
        <f t="shared" si="1"/>
        <v>16856</v>
      </c>
      <c r="I21" s="2587">
        <f>'План 2-я неделя'!BQ22</f>
        <v>97</v>
      </c>
      <c r="J21" s="2590">
        <f t="shared" si="2"/>
        <v>16684</v>
      </c>
      <c r="R21" s="145">
        <v>3856.0</v>
      </c>
      <c r="S21" s="1268" t="s">
        <v>743</v>
      </c>
      <c r="T21" s="1268" t="s">
        <v>1437</v>
      </c>
    </row>
    <row r="22">
      <c r="A22" s="962">
        <f>'План 2-я неделя'!B23</f>
        <v>2364</v>
      </c>
      <c r="B22" s="962">
        <f>'План 2-я неделя'!C23</f>
        <v>170</v>
      </c>
      <c r="C22" s="962" t="str">
        <f>'План 2-я неделя'!D23</f>
        <v>Сэндвич</v>
      </c>
      <c r="D22" s="962" t="str">
        <f>'План 2-я неделя'!E23</f>
        <v>Сэндвич с ветчиной и томатом </v>
      </c>
      <c r="E22" s="2576" t="str">
        <f>'План 2-я неделя'!BL23</f>
        <v/>
      </c>
      <c r="F22" s="95" t="str">
        <f>'План 2-я неделя'!BN23</f>
        <v/>
      </c>
      <c r="G22" s="95">
        <f>'План 2-я неделя'!BP23+F22</f>
        <v>127</v>
      </c>
      <c r="H22" s="2584">
        <f t="shared" si="1"/>
        <v>21590</v>
      </c>
      <c r="I22" s="2587">
        <f>'План 2-я неделя'!BQ23</f>
        <v>126</v>
      </c>
      <c r="J22" s="2590">
        <f t="shared" si="2"/>
        <v>21420</v>
      </c>
      <c r="R22" s="145">
        <v>3857.0</v>
      </c>
      <c r="S22" s="1268" t="s">
        <v>738</v>
      </c>
      <c r="T22" s="1268" t="s">
        <v>3436</v>
      </c>
    </row>
    <row r="23">
      <c r="A23" s="962" t="str">
        <f>'План 2-я неделя'!B24</f>
        <v/>
      </c>
      <c r="B23" s="962" t="str">
        <f>'План 2-я неделя'!C24</f>
        <v/>
      </c>
      <c r="C23" s="962" t="str">
        <f>'План 2-я неделя'!D24</f>
        <v/>
      </c>
      <c r="D23" s="962" t="str">
        <f>'План 2-я неделя'!E24</f>
        <v/>
      </c>
      <c r="E23" s="2576" t="str">
        <f>'План 2-я неделя'!BL24</f>
        <v/>
      </c>
      <c r="F23" s="95" t="str">
        <f>'План 2-я неделя'!BN24</f>
        <v/>
      </c>
      <c r="G23" s="95">
        <f>'План 2-я неделя'!BP24+F23</f>
        <v>1</v>
      </c>
      <c r="H23" s="2584">
        <f t="shared" si="1"/>
        <v>0</v>
      </c>
      <c r="I23" s="2598">
        <f>'План 2-я неделя'!BQ24</f>
        <v>0</v>
      </c>
      <c r="J23" s="2590">
        <f t="shared" si="2"/>
        <v>0</v>
      </c>
    </row>
    <row r="24">
      <c r="A24" s="962">
        <f>'План 2-я неделя'!B25</f>
        <v>2943</v>
      </c>
      <c r="B24" s="962">
        <f>'План 2-я неделя'!C25</f>
        <v>152</v>
      </c>
      <c r="C24" s="962" t="str">
        <f>'План 2-я неделя'!D25</f>
        <v>Япония</v>
      </c>
      <c r="D24" s="962" t="str">
        <f>'План 2-я неделя'!E25</f>
        <v>Онигири с куриным филе в соусе спайси</v>
      </c>
      <c r="E24" s="2576" t="str">
        <f>'План 2-я неделя'!BL25</f>
        <v/>
      </c>
      <c r="F24" s="95" t="str">
        <f>'План 2-я неделя'!BN25</f>
        <v/>
      </c>
      <c r="G24" s="95">
        <f>'План 2-я неделя'!BP25+F24</f>
        <v>61</v>
      </c>
      <c r="H24" s="2584">
        <f t="shared" si="1"/>
        <v>9272</v>
      </c>
      <c r="I24" s="2587">
        <f>'План 2-я неделя'!BQ25</f>
        <v>59</v>
      </c>
      <c r="J24" s="2590">
        <f t="shared" si="2"/>
        <v>8968</v>
      </c>
    </row>
    <row r="25">
      <c r="A25" s="962">
        <f>'План 2-я неделя'!B26</f>
        <v>3996</v>
      </c>
      <c r="B25" s="962">
        <f>'План 2-я неделя'!C26</f>
        <v>98</v>
      </c>
      <c r="C25" s="962" t="str">
        <f>'План 2-я неделя'!D26</f>
        <v>Япония</v>
      </c>
      <c r="D25" s="962" t="str">
        <f>'План 2-я неделя'!E26</f>
        <v>Морс вишневый 0,5 л</v>
      </c>
      <c r="E25" s="2576" t="str">
        <f>'План 2-я неделя'!BL26</f>
        <v/>
      </c>
      <c r="F25" s="95" t="str">
        <f>'План 2-я неделя'!BN26</f>
        <v/>
      </c>
      <c r="G25" s="95">
        <f>'План 2-я неделя'!BP26+F25</f>
        <v>179</v>
      </c>
      <c r="H25" s="2584">
        <f t="shared" si="1"/>
        <v>17542</v>
      </c>
      <c r="I25" s="2587">
        <f>'План 2-я неделя'!BQ26</f>
        <v>123</v>
      </c>
      <c r="J25" s="2590">
        <f t="shared" si="2"/>
        <v>12054</v>
      </c>
    </row>
    <row r="26">
      <c r="A26" s="962">
        <f>'План 2-я неделя'!B27</f>
        <v>2079</v>
      </c>
      <c r="B26" s="962">
        <f>'План 2-я неделя'!C27</f>
        <v>105</v>
      </c>
      <c r="C26" s="962" t="str">
        <f>'План 2-я неделя'!D27</f>
        <v>Япония</v>
      </c>
      <c r="D26" s="962" t="str">
        <f>'План 2-я неделя'!E27</f>
        <v>Вафельная трубочка с вареной сгущенкой</v>
      </c>
      <c r="E26" s="2576" t="str">
        <f>'План 2-я неделя'!BL27</f>
        <v/>
      </c>
      <c r="F26" s="95" t="str">
        <f>'План 2-я неделя'!BN27</f>
        <v/>
      </c>
      <c r="G26" s="95">
        <f>'План 2-я неделя'!BP27+F26</f>
        <v>270</v>
      </c>
      <c r="H26" s="2584">
        <f t="shared" si="1"/>
        <v>28350</v>
      </c>
      <c r="I26" s="2587">
        <f>'План 2-я неделя'!BQ27</f>
        <v>270</v>
      </c>
      <c r="J26" s="2590">
        <f t="shared" si="2"/>
        <v>28350</v>
      </c>
    </row>
    <row r="27">
      <c r="A27" s="962">
        <f>'План 2-я неделя'!B28</f>
        <v>822</v>
      </c>
      <c r="B27" s="962">
        <f>'План 2-я неделя'!C28</f>
        <v>5</v>
      </c>
      <c r="C27" s="962" t="str">
        <f>'План 2-я неделя'!D28</f>
        <v>Суп</v>
      </c>
      <c r="D27" s="962" t="str">
        <f>'План 2-я неделя'!E28</f>
        <v>Хлеб пшеничный</v>
      </c>
      <c r="E27" s="2576">
        <f>'План 2-я неделя'!BL28</f>
        <v>130</v>
      </c>
      <c r="F27" s="95" t="str">
        <f>'План 2-я неделя'!BN28</f>
        <v/>
      </c>
      <c r="G27" s="95">
        <f>'План 2-я неделя'!BP28+F27</f>
        <v>231</v>
      </c>
      <c r="H27" s="2584">
        <f t="shared" si="1"/>
        <v>1155</v>
      </c>
      <c r="I27" s="2598">
        <f>'План 2-я неделя'!BQ28</f>
        <v>230</v>
      </c>
      <c r="J27" s="2590">
        <f t="shared" si="2"/>
        <v>1150</v>
      </c>
    </row>
    <row r="28">
      <c r="A28" s="962">
        <f>'План 2-я неделя'!B29</f>
        <v>4000</v>
      </c>
      <c r="B28" s="962">
        <f>'План 2-я неделя'!C29</f>
        <v>98</v>
      </c>
      <c r="C28" s="962" t="str">
        <f>'План 2-я неделя'!D29</f>
        <v/>
      </c>
      <c r="D28" s="962" t="str">
        <f>'План 2-я неделя'!E29</f>
        <v>Компот из сухофруктов 0,5 л</v>
      </c>
      <c r="E28" s="2576" t="str">
        <f>'План 2-я неделя'!BL29</f>
        <v/>
      </c>
      <c r="F28" s="95" t="str">
        <f>'План 2-я неделя'!BN29</f>
        <v/>
      </c>
      <c r="G28" s="95">
        <f>'План 2-я неделя'!BP29+F28</f>
        <v>59</v>
      </c>
      <c r="H28" s="2584">
        <f t="shared" si="1"/>
        <v>5782</v>
      </c>
      <c r="I28" s="2587">
        <f>'План 2-я неделя'!BQ29</f>
        <v>58</v>
      </c>
      <c r="J28" s="2590">
        <f t="shared" si="2"/>
        <v>5684</v>
      </c>
    </row>
    <row r="29">
      <c r="A29" s="962" t="str">
        <f>'План 2-я неделя'!B30</f>
        <v/>
      </c>
      <c r="B29" s="962" t="str">
        <f>'План 2-я неделя'!C30</f>
        <v/>
      </c>
      <c r="C29" s="962" t="str">
        <f>'План 2-я неделя'!D30</f>
        <v/>
      </c>
      <c r="D29" s="962" t="str">
        <f>'План 2-я неделя'!E30</f>
        <v/>
      </c>
      <c r="E29" s="2576" t="str">
        <f>'План 2-я неделя'!BL30</f>
        <v/>
      </c>
      <c r="F29" s="95" t="str">
        <f>'План 2-я неделя'!BN30</f>
        <v/>
      </c>
      <c r="G29" s="95">
        <f>'План 2-я неделя'!BP30+F29</f>
        <v>1</v>
      </c>
      <c r="H29" s="2584">
        <f t="shared" si="1"/>
        <v>0</v>
      </c>
      <c r="I29" s="2587">
        <f>'План 2-я неделя'!BQ30</f>
        <v>0</v>
      </c>
      <c r="J29" s="2590">
        <f t="shared" si="2"/>
        <v>0</v>
      </c>
    </row>
    <row r="30">
      <c r="A30" s="962" t="str">
        <f>'План 2-я неделя'!B31</f>
        <v/>
      </c>
      <c r="B30" s="962" t="str">
        <f>'План 2-я неделя'!C31</f>
        <v/>
      </c>
      <c r="C30" s="962" t="str">
        <f>'План 2-я неделя'!D31</f>
        <v/>
      </c>
      <c r="D30" s="962" t="str">
        <f>'План 2-я неделя'!E31</f>
        <v/>
      </c>
      <c r="E30" s="2576" t="str">
        <f>'План 2-я неделя'!BL31</f>
        <v/>
      </c>
      <c r="F30" s="95" t="str">
        <f>'План 2-я неделя'!BN31</f>
        <v/>
      </c>
      <c r="G30" s="95">
        <f>'План 2-я неделя'!BP31+F30</f>
        <v>1</v>
      </c>
      <c r="H30" s="2584">
        <f t="shared" si="1"/>
        <v>0</v>
      </c>
      <c r="I30" s="2587">
        <f>'План 2-я неделя'!BQ31</f>
        <v>0</v>
      </c>
      <c r="J30" s="2590">
        <f t="shared" si="2"/>
        <v>0</v>
      </c>
    </row>
    <row r="31">
      <c r="I31" s="2570"/>
      <c r="J31" s="2599"/>
    </row>
    <row r="32">
      <c r="A32" s="2600" t="str">
        <f>'План 2-я неделя'!A65</f>
        <v>Дата:  </v>
      </c>
      <c r="B32" s="2601">
        <f>'План 2-я неделя'!D65</f>
        <v>46237</v>
      </c>
      <c r="C32" s="2600"/>
      <c r="D32" s="2600" t="str">
        <f>'План 2-я неделя'!E65</f>
        <v>План на день кухня      ПОНЕДЕЛЬНИК</v>
      </c>
      <c r="H32" s="1346">
        <f>SUM(H34:H60)</f>
        <v>326952</v>
      </c>
      <c r="I32" s="2570"/>
      <c r="J32" s="2572">
        <f>SUM(J34:J60)</f>
        <v>318522</v>
      </c>
      <c r="K32" s="1346">
        <f>J32-H32</f>
        <v>-8430</v>
      </c>
      <c r="L32" s="2574" t="s">
        <v>1283</v>
      </c>
      <c r="M32" s="2574" t="s">
        <v>1428</v>
      </c>
      <c r="N32" s="2574" t="s">
        <v>3415</v>
      </c>
      <c r="O32" s="2574" t="s">
        <v>3416</v>
      </c>
      <c r="R32" s="2574" t="s">
        <v>1283</v>
      </c>
      <c r="S32" s="2574" t="s">
        <v>3283</v>
      </c>
      <c r="T32" s="2574" t="s">
        <v>3417</v>
      </c>
    </row>
    <row r="33">
      <c r="A33" s="2575" t="str">
        <f>'План 2-я неделя'!B66</f>
        <v>Код №</v>
      </c>
      <c r="B33" s="2575" t="str">
        <f>'План 2-я неделя'!C66</f>
        <v>Цена</v>
      </c>
      <c r="C33" s="2575" t="str">
        <f>'План 2-я неделя'!D66</f>
        <v>категория</v>
      </c>
      <c r="D33" s="2575" t="str">
        <f>'План 2-я неделя'!E66</f>
        <v>Название блюда</v>
      </c>
      <c r="E33" s="2576" t="str">
        <f>'План 2-я неделя'!BL66</f>
        <v>ТСПК</v>
      </c>
      <c r="F33" s="2165" t="s">
        <v>3090</v>
      </c>
      <c r="G33" s="2165" t="s">
        <v>3421</v>
      </c>
      <c r="H33" s="2165" t="s">
        <v>3422</v>
      </c>
      <c r="I33" s="2578" t="s">
        <v>3424</v>
      </c>
      <c r="J33" s="2578" t="s">
        <v>3425</v>
      </c>
      <c r="L33" s="145">
        <v>2793.0</v>
      </c>
      <c r="M33" s="1268" t="s">
        <v>2158</v>
      </c>
      <c r="N33" s="145">
        <v>12.3</v>
      </c>
      <c r="O33" s="145" t="s">
        <v>3429</v>
      </c>
      <c r="R33" s="145">
        <v>386.0</v>
      </c>
      <c r="S33" s="1268" t="s">
        <v>300</v>
      </c>
      <c r="T33" s="1268" t="s">
        <v>3436</v>
      </c>
    </row>
    <row r="34">
      <c r="A34" s="962">
        <f>'План 2-я неделя'!B67</f>
        <v>1550</v>
      </c>
      <c r="B34" s="962">
        <f>'План 2-я неделя'!C67</f>
        <v>158</v>
      </c>
      <c r="C34" s="962" t="str">
        <f>'План 2-я неделя'!D67</f>
        <v>Завтрак</v>
      </c>
      <c r="D34" s="962" t="str">
        <f>'План 2-я неделя'!E67</f>
        <v>Омлет с овощами и сыром </v>
      </c>
      <c r="E34" s="2576" t="str">
        <f>'План 2-я неделя'!BL67</f>
        <v/>
      </c>
      <c r="F34" s="962" t="str">
        <f>'План 2-я неделя'!BN67</f>
        <v/>
      </c>
      <c r="G34" s="962">
        <f>'План 2-я неделя'!BP67+F34</f>
        <v>150</v>
      </c>
      <c r="H34" s="962">
        <f t="shared" ref="H34:H60" si="3">B34*G34</f>
        <v>23700</v>
      </c>
      <c r="I34" s="2587">
        <f>'План 2-я неделя'!BQ67</f>
        <v>149</v>
      </c>
      <c r="J34" s="2600">
        <f t="shared" ref="J34:J60" si="4">B34*I34</f>
        <v>23542</v>
      </c>
      <c r="R34" s="145">
        <v>654.0</v>
      </c>
      <c r="S34" s="1268" t="s">
        <v>277</v>
      </c>
      <c r="T34" s="1268" t="s">
        <v>3436</v>
      </c>
    </row>
    <row r="35">
      <c r="A35" s="962">
        <f>'План 2-я неделя'!B68</f>
        <v>2847</v>
      </c>
      <c r="B35" s="962">
        <f>'План 2-я неделя'!C68</f>
        <v>185</v>
      </c>
      <c r="C35" s="962" t="str">
        <f>'План 2-я неделя'!D68</f>
        <v>Завтрак</v>
      </c>
      <c r="D35" s="962" t="str">
        <f>'План 2-я неделя'!E68</f>
        <v>Запеканка творожная</v>
      </c>
      <c r="E35" s="2576" t="str">
        <f>'План 2-я неделя'!BL68</f>
        <v/>
      </c>
      <c r="F35" s="962" t="str">
        <f>'План 2-я неделя'!BN68</f>
        <v/>
      </c>
      <c r="G35" s="962">
        <f>'План 2-я неделя'!BP68+F35</f>
        <v>93</v>
      </c>
      <c r="H35" s="962">
        <f t="shared" si="3"/>
        <v>17205</v>
      </c>
      <c r="I35" s="2587">
        <f>'План 2-я неделя'!BQ68</f>
        <v>107</v>
      </c>
      <c r="J35" s="2600">
        <f t="shared" si="4"/>
        <v>19795</v>
      </c>
      <c r="L35" s="2574" t="s">
        <v>1283</v>
      </c>
      <c r="M35" s="2574" t="s">
        <v>1430</v>
      </c>
      <c r="N35" s="2574" t="s">
        <v>3415</v>
      </c>
      <c r="O35" s="2574" t="s">
        <v>3416</v>
      </c>
      <c r="R35" s="145">
        <v>822.0</v>
      </c>
      <c r="S35" s="1268" t="s">
        <v>136</v>
      </c>
      <c r="T35" s="1268" t="s">
        <v>3436</v>
      </c>
    </row>
    <row r="36">
      <c r="A36" s="962">
        <f>'План 2-я неделя'!B69</f>
        <v>3014</v>
      </c>
      <c r="B36" s="962">
        <f>'План 2-я неделя'!C69</f>
        <v>168</v>
      </c>
      <c r="C36" s="962" t="str">
        <f>'План 2-я неделя'!D69</f>
        <v>Завтрак</v>
      </c>
      <c r="D36" s="962" t="str">
        <f>'План 2-я неделя'!E69</f>
        <v>Драники картофельные с цукини со сметаной</v>
      </c>
      <c r="E36" s="2576" t="str">
        <f>'План 2-я неделя'!BL69</f>
        <v/>
      </c>
      <c r="F36" s="962" t="str">
        <f>'План 2-я неделя'!BN69</f>
        <v/>
      </c>
      <c r="G36" s="962">
        <f>'План 2-я неделя'!BP69+F36</f>
        <v>102</v>
      </c>
      <c r="H36" s="962">
        <f t="shared" si="3"/>
        <v>17136</v>
      </c>
      <c r="I36" s="2587">
        <f>'План 2-я неделя'!BQ69</f>
        <v>80</v>
      </c>
      <c r="J36" s="2600">
        <f t="shared" si="4"/>
        <v>13440</v>
      </c>
      <c r="L36" s="145">
        <v>487.0</v>
      </c>
      <c r="M36" s="1268" t="s">
        <v>1443</v>
      </c>
      <c r="N36" s="145">
        <v>24.45</v>
      </c>
      <c r="O36" s="145" t="s">
        <v>3429</v>
      </c>
      <c r="R36" s="145">
        <v>1550.0</v>
      </c>
      <c r="S36" s="1268" t="s">
        <v>3451</v>
      </c>
      <c r="T36" s="1268" t="s">
        <v>3436</v>
      </c>
    </row>
    <row r="37">
      <c r="A37" s="962">
        <f>'План 2-я неделя'!B70</f>
        <v>3189</v>
      </c>
      <c r="B37" s="962">
        <f>'План 2-я неделя'!C70</f>
        <v>98</v>
      </c>
      <c r="C37" s="962" t="str">
        <f>'План 2-я неделя'!D70</f>
        <v>Салат</v>
      </c>
      <c r="D37" s="962" t="str">
        <f>'План 2-я неделя'!E70</f>
        <v>Салат Свекла с сыром и чесноком 120гр</v>
      </c>
      <c r="E37" s="2576">
        <f>'План 2-я неделя'!BL70</f>
        <v>46</v>
      </c>
      <c r="F37" s="962">
        <f>'План 2-я неделя'!BN70</f>
        <v>10</v>
      </c>
      <c r="G37" s="962">
        <f>'План 2-я неделя'!BP70+F37</f>
        <v>174</v>
      </c>
      <c r="H37" s="962">
        <f t="shared" si="3"/>
        <v>17052</v>
      </c>
      <c r="I37" s="2587">
        <f>'План 2-я неделя'!BQ70</f>
        <v>163</v>
      </c>
      <c r="J37" s="2600">
        <f t="shared" si="4"/>
        <v>15974</v>
      </c>
      <c r="L37" s="145">
        <v>2263.0</v>
      </c>
      <c r="M37" s="1268" t="s">
        <v>1436</v>
      </c>
      <c r="N37" s="145">
        <v>24.6</v>
      </c>
      <c r="O37" s="145" t="s">
        <v>3429</v>
      </c>
      <c r="R37" s="145">
        <v>1982.0</v>
      </c>
      <c r="S37" s="1268" t="s">
        <v>423</v>
      </c>
      <c r="T37" s="1268" t="s">
        <v>1437</v>
      </c>
    </row>
    <row r="38">
      <c r="A38" s="962">
        <f>'План 2-я неделя'!B71</f>
        <v>3301</v>
      </c>
      <c r="B38" s="962">
        <f>'План 2-я неделя'!C71</f>
        <v>98</v>
      </c>
      <c r="C38" s="962" t="str">
        <f>'План 2-я неделя'!D71</f>
        <v>Салат</v>
      </c>
      <c r="D38" s="962" t="str">
        <f>'План 2-я неделя'!E71</f>
        <v>Салат ''Блинный'' (ветчина куриная)</v>
      </c>
      <c r="E38" s="2576">
        <f>'План 2-я неделя'!BL71</f>
        <v>45</v>
      </c>
      <c r="F38" s="962" t="str">
        <f>'План 2-я неделя'!BN71</f>
        <v/>
      </c>
      <c r="G38" s="962">
        <f>'План 2-я неделя'!BP71+F38</f>
        <v>127</v>
      </c>
      <c r="H38" s="962">
        <f t="shared" si="3"/>
        <v>12446</v>
      </c>
      <c r="I38" s="2587">
        <f>'План 2-я неделя'!BQ71</f>
        <v>126</v>
      </c>
      <c r="J38" s="2600">
        <f t="shared" si="4"/>
        <v>12348</v>
      </c>
      <c r="L38" s="145">
        <v>2640.0</v>
      </c>
      <c r="M38" s="1268" t="s">
        <v>1530</v>
      </c>
      <c r="N38" s="145">
        <v>12.2</v>
      </c>
      <c r="O38" s="145" t="s">
        <v>3429</v>
      </c>
      <c r="R38" s="145">
        <v>2175.0</v>
      </c>
      <c r="S38" s="1268" t="s">
        <v>417</v>
      </c>
      <c r="T38" s="1268" t="s">
        <v>3436</v>
      </c>
    </row>
    <row r="39">
      <c r="A39" s="962">
        <f>'План 2-я неделя'!B72</f>
        <v>3260</v>
      </c>
      <c r="B39" s="962">
        <f>'План 2-я неделя'!C72</f>
        <v>98</v>
      </c>
      <c r="C39" s="962" t="str">
        <f>'План 2-я неделя'!D72</f>
        <v>Салат</v>
      </c>
      <c r="D39" s="962" t="str">
        <f>'План 2-я неделя'!E72</f>
        <v>Салат ''Купеческий'' (филе кур., шампиньоны)</v>
      </c>
      <c r="E39" s="2576">
        <f>'План 2-я неделя'!BL72</f>
        <v>44</v>
      </c>
      <c r="F39" s="962">
        <f>'План 2-я неделя'!BN72</f>
        <v>6</v>
      </c>
      <c r="G39" s="2602">
        <f>'План 2-я неделя'!BP72+F39</f>
        <v>154</v>
      </c>
      <c r="H39" s="962">
        <f t="shared" si="3"/>
        <v>15092</v>
      </c>
      <c r="I39" s="2598">
        <f>'План 2-я неделя'!BQ72</f>
        <v>147</v>
      </c>
      <c r="J39" s="2600">
        <f t="shared" si="4"/>
        <v>14406</v>
      </c>
      <c r="R39" s="145">
        <v>2762.0</v>
      </c>
      <c r="S39" s="1268" t="s">
        <v>719</v>
      </c>
      <c r="T39" s="1268" t="s">
        <v>3436</v>
      </c>
    </row>
    <row r="40">
      <c r="A40" s="962">
        <f>'План 2-я неделя'!B73</f>
        <v>3430</v>
      </c>
      <c r="B40" s="962">
        <f>'План 2-я неделя'!C73</f>
        <v>230</v>
      </c>
      <c r="C40" s="962" t="str">
        <f>'План 2-я неделя'!D73</f>
        <v>Премиум</v>
      </c>
      <c r="D40" s="962" t="str">
        <f>'План 2-я неделя'!E73</f>
        <v>Боул с крабом, бобами эдамаме и овощами</v>
      </c>
      <c r="E40" s="2576" t="str">
        <f>'План 2-я неделя'!BL73</f>
        <v/>
      </c>
      <c r="F40" s="962" t="str">
        <f>'План 2-я неделя'!BN73</f>
        <v/>
      </c>
      <c r="G40" s="962">
        <f>'План 2-я неделя'!BP73+F40</f>
        <v>61</v>
      </c>
      <c r="H40" s="962">
        <f t="shared" si="3"/>
        <v>14030</v>
      </c>
      <c r="I40" s="2587">
        <f>'План 2-я неделя'!BQ73</f>
        <v>60</v>
      </c>
      <c r="J40" s="2600">
        <f t="shared" si="4"/>
        <v>13800</v>
      </c>
      <c r="R40" s="145">
        <v>2904.0</v>
      </c>
      <c r="S40" s="1268" t="s">
        <v>420</v>
      </c>
      <c r="T40" s="1268" t="s">
        <v>3436</v>
      </c>
    </row>
    <row r="41">
      <c r="A41" s="962">
        <f>'План 2-я неделя'!B74</f>
        <v>386</v>
      </c>
      <c r="B41" s="962">
        <f>'План 2-я неделя'!C74</f>
        <v>88</v>
      </c>
      <c r="C41" s="962" t="str">
        <f>'План 2-я неделя'!D74</f>
        <v>Суп</v>
      </c>
      <c r="D41" s="962" t="str">
        <f>'План 2-я неделя'!E74</f>
        <v>Суп ''Харчо'' с курицей</v>
      </c>
      <c r="E41" s="2576">
        <f>'План 2-я неделя'!BL74</f>
        <v>115</v>
      </c>
      <c r="F41" s="962">
        <f>'План 2-я неделя'!BN74</f>
        <v>15</v>
      </c>
      <c r="G41" s="962">
        <f>'План 2-я неделя'!BP74+F41</f>
        <v>131</v>
      </c>
      <c r="H41" s="962">
        <f t="shared" si="3"/>
        <v>11528</v>
      </c>
      <c r="I41" s="2598">
        <f>'План 2-я неделя'!BQ74</f>
        <v>115</v>
      </c>
      <c r="J41" s="2600">
        <f t="shared" si="4"/>
        <v>10120</v>
      </c>
      <c r="R41" s="145">
        <v>2976.0</v>
      </c>
      <c r="S41" s="1268" t="s">
        <v>426</v>
      </c>
      <c r="T41" s="1268" t="s">
        <v>1437</v>
      </c>
    </row>
    <row r="42">
      <c r="A42" s="962" t="str">
        <f>'План 2-я неделя'!B75</f>
        <v/>
      </c>
      <c r="B42" s="962" t="str">
        <f>'План 2-я неделя'!C75</f>
        <v/>
      </c>
      <c r="C42" s="962" t="str">
        <f>'План 2-я неделя'!D75</f>
        <v/>
      </c>
      <c r="D42" s="962" t="str">
        <f>'План 2-я неделя'!E75</f>
        <v/>
      </c>
      <c r="E42" s="2576" t="str">
        <f>'План 2-я неделя'!BL75</f>
        <v/>
      </c>
      <c r="F42" s="962" t="str">
        <f>'План 2-я неделя'!BN75</f>
        <v/>
      </c>
      <c r="G42" s="962">
        <f>'План 2-я неделя'!BP75+F42</f>
        <v>61</v>
      </c>
      <c r="H42" s="962">
        <f t="shared" si="3"/>
        <v>0</v>
      </c>
      <c r="I42" s="2598">
        <f>'План 2-я неделя'!BQ75</f>
        <v>60</v>
      </c>
      <c r="J42" s="2600">
        <f t="shared" si="4"/>
        <v>0</v>
      </c>
      <c r="R42" s="145">
        <v>3189.0</v>
      </c>
      <c r="S42" s="1268" t="s">
        <v>429</v>
      </c>
      <c r="T42" s="1268" t="s">
        <v>3436</v>
      </c>
    </row>
    <row r="43">
      <c r="A43" s="962" t="str">
        <f>'План 2-я неделя'!B76</f>
        <v/>
      </c>
      <c r="B43" s="962" t="str">
        <f>'План 2-я неделя'!C76</f>
        <v/>
      </c>
      <c r="C43" s="962" t="str">
        <f>'План 2-я неделя'!D76</f>
        <v>Второе</v>
      </c>
      <c r="D43" s="962" t="str">
        <f>'План 2-я неделя'!E76</f>
        <v>Мясные гнёзда с овощами и картофелем </v>
      </c>
      <c r="E43" s="2576">
        <f>'План 2-я неделя'!BL76</f>
        <v>70</v>
      </c>
      <c r="F43" s="962">
        <f>'План 2-я неделя'!BN76</f>
        <v>10</v>
      </c>
      <c r="G43" s="962">
        <f>'План 2-я неделя'!BP76+F43</f>
        <v>203</v>
      </c>
      <c r="H43" s="962">
        <f t="shared" si="3"/>
        <v>0</v>
      </c>
      <c r="I43" s="2587">
        <f>'План 2-я неделя'!BQ76</f>
        <v>192</v>
      </c>
      <c r="J43" s="2600">
        <f t="shared" si="4"/>
        <v>0</v>
      </c>
      <c r="R43" s="145">
        <v>3430.0</v>
      </c>
      <c r="S43" s="1268" t="s">
        <v>1101</v>
      </c>
      <c r="T43" s="1268" t="s">
        <v>1437</v>
      </c>
    </row>
    <row r="44">
      <c r="A44" s="962">
        <f>'План 2-я неделя'!B77</f>
        <v>4259</v>
      </c>
      <c r="B44" s="962">
        <f>'План 2-я неделя'!C77</f>
        <v>265</v>
      </c>
      <c r="C44" s="962" t="str">
        <f>'План 2-я неделя'!D77</f>
        <v>Второе</v>
      </c>
      <c r="D44" s="962" t="str">
        <f>'План 2-я неделя'!E77</f>
        <v>Котлета из щуки с овощным гарниром</v>
      </c>
      <c r="E44" s="2576" t="str">
        <f>'План 2-я неделя'!BL77</f>
        <v/>
      </c>
      <c r="F44" s="962">
        <f>'План 2-я неделя'!BN77</f>
        <v>10</v>
      </c>
      <c r="G44" s="962">
        <f>'План 2-я неделя'!BP77+F44</f>
        <v>126</v>
      </c>
      <c r="H44" s="962">
        <f t="shared" si="3"/>
        <v>33390</v>
      </c>
      <c r="I44" s="2598">
        <f>'План 2-я неделя'!BQ77</f>
        <v>104</v>
      </c>
      <c r="J44" s="2600">
        <f t="shared" si="4"/>
        <v>27560</v>
      </c>
      <c r="R44" s="145">
        <v>3759.0</v>
      </c>
      <c r="S44" s="1268" t="s">
        <v>843</v>
      </c>
      <c r="T44" s="1268" t="s">
        <v>3436</v>
      </c>
    </row>
    <row r="45">
      <c r="A45" s="962">
        <f>'План 2-я неделя'!B78</f>
        <v>1982</v>
      </c>
      <c r="B45" s="962">
        <f>'План 2-я неделя'!C78</f>
        <v>214</v>
      </c>
      <c r="C45" s="962" t="str">
        <f>'План 2-я неделя'!D78</f>
        <v>Второе</v>
      </c>
      <c r="D45" s="962" t="str">
        <f>'План 2-я неделя'!E78</f>
        <v>Вок с курицей и рисом</v>
      </c>
      <c r="E45" s="2576" t="str">
        <f>'План 2-я неделя'!BL78</f>
        <v/>
      </c>
      <c r="F45" s="962">
        <f>'План 2-я неделя'!BN78</f>
        <v>0</v>
      </c>
      <c r="G45" s="2602">
        <f>'План 2-я неделя'!BP78+F45</f>
        <v>157</v>
      </c>
      <c r="H45" s="962">
        <f t="shared" si="3"/>
        <v>33598</v>
      </c>
      <c r="I45" s="2598">
        <f>'План 2-я неделя'!BQ78</f>
        <v>151</v>
      </c>
      <c r="J45" s="2600">
        <f t="shared" si="4"/>
        <v>32314</v>
      </c>
      <c r="R45" s="145">
        <v>3814.0</v>
      </c>
      <c r="S45" s="1268" t="s">
        <v>422</v>
      </c>
      <c r="T45" s="1268" t="s">
        <v>3436</v>
      </c>
    </row>
    <row r="46">
      <c r="A46" s="962">
        <f>'План 2-я неделя'!B79</f>
        <v>1267</v>
      </c>
      <c r="B46" s="962">
        <f>'План 2-я неделя'!C79</f>
        <v>198</v>
      </c>
      <c r="C46" s="962" t="str">
        <f>'План 2-я неделя'!D79</f>
        <v>Второе</v>
      </c>
      <c r="D46" s="962" t="str">
        <f>'План 2-я неделя'!E79</f>
        <v>Печень куриная с овощами с гречкой</v>
      </c>
      <c r="E46" s="2576">
        <f>'План 2-я неделя'!BL79</f>
        <v>30</v>
      </c>
      <c r="F46" s="962">
        <f>'План 2-я неделя'!BN79</f>
        <v>10</v>
      </c>
      <c r="G46" s="962">
        <f>'План 2-я неделя'!BP79+F46</f>
        <v>145</v>
      </c>
      <c r="H46" s="962">
        <f t="shared" si="3"/>
        <v>28710</v>
      </c>
      <c r="I46" s="2587">
        <f>'План 2-я неделя'!BQ79</f>
        <v>134</v>
      </c>
      <c r="J46" s="2600">
        <f t="shared" si="4"/>
        <v>26532</v>
      </c>
      <c r="R46" s="145">
        <v>4080.0</v>
      </c>
      <c r="S46" s="1268" t="s">
        <v>3008</v>
      </c>
      <c r="T46" s="1268" t="s">
        <v>3463</v>
      </c>
    </row>
    <row r="47">
      <c r="A47" s="962">
        <f>'План 2-я неделя'!B80</f>
        <v>2976</v>
      </c>
      <c r="B47" s="962">
        <f>'План 2-я неделя'!C80</f>
        <v>195</v>
      </c>
      <c r="C47" s="962" t="str">
        <f>'План 2-я неделя'!D80</f>
        <v>Второе</v>
      </c>
      <c r="D47" s="962" t="str">
        <f>'План 2-я неделя'!E80</f>
        <v>Курочка в томатном соусе с рисом</v>
      </c>
      <c r="E47" s="2576">
        <f>'План 2-я неделя'!BL80</f>
        <v>35</v>
      </c>
      <c r="F47" s="962">
        <f>'План 2-я неделя'!BN80</f>
        <v>0</v>
      </c>
      <c r="G47" s="962">
        <f>'План 2-я неделя'!BP80+F47</f>
        <v>36</v>
      </c>
      <c r="H47" s="962">
        <f t="shared" si="3"/>
        <v>7020</v>
      </c>
      <c r="I47" s="2587">
        <f>'План 2-я неделя'!BQ80</f>
        <v>35</v>
      </c>
      <c r="J47" s="2600">
        <f t="shared" si="4"/>
        <v>6825</v>
      </c>
      <c r="R47" s="145">
        <v>4173.0</v>
      </c>
      <c r="S47" s="1268" t="s">
        <v>601</v>
      </c>
      <c r="T47" s="1268" t="s">
        <v>3463</v>
      </c>
    </row>
    <row r="48">
      <c r="A48" s="962" t="str">
        <f>'План 2-я неделя'!B81</f>
        <v/>
      </c>
      <c r="B48" s="962" t="str">
        <f>'План 2-я неделя'!C81</f>
        <v/>
      </c>
      <c r="C48" s="962" t="str">
        <f>'План 2-я неделя'!D81</f>
        <v/>
      </c>
      <c r="D48" s="962" t="str">
        <f>'План 2-я неделя'!E81</f>
        <v/>
      </c>
      <c r="E48" s="2576" t="str">
        <f>'План 2-я неделя'!BL81</f>
        <v/>
      </c>
      <c r="F48" s="962" t="str">
        <f>'План 2-я неделя'!BN81</f>
        <v/>
      </c>
      <c r="G48" s="962">
        <f>'План 2-я неделя'!BP81+F48</f>
        <v>1</v>
      </c>
      <c r="H48" s="962">
        <f t="shared" si="3"/>
        <v>0</v>
      </c>
      <c r="I48" s="2587">
        <f>'План 2-я неделя'!BQ81</f>
        <v>0</v>
      </c>
      <c r="J48" s="2600">
        <f t="shared" si="4"/>
        <v>0</v>
      </c>
      <c r="R48" s="145">
        <v>4185.0</v>
      </c>
      <c r="S48" s="1268" t="s">
        <v>780</v>
      </c>
      <c r="T48" s="1268" t="s">
        <v>3463</v>
      </c>
    </row>
    <row r="49">
      <c r="A49" s="962">
        <f>'План 2-я неделя'!B82</f>
        <v>3759</v>
      </c>
      <c r="B49" s="962">
        <f>'План 2-я неделя'!C82</f>
        <v>243</v>
      </c>
      <c r="C49" s="962" t="str">
        <f>'План 2-я неделя'!D82</f>
        <v>Премиум</v>
      </c>
      <c r="D49" s="962" t="str">
        <f>'План 2-я неделя'!E82</f>
        <v>Грудка су-вид с кус-кусом</v>
      </c>
      <c r="E49" s="2576" t="str">
        <f>'План 2-я неделя'!BL82</f>
        <v/>
      </c>
      <c r="F49" s="962">
        <f>'План 2-я неделя'!BN82</f>
        <v>0</v>
      </c>
      <c r="G49" s="2602">
        <f>'План 2-я неделя'!BP82+F49</f>
        <v>109</v>
      </c>
      <c r="H49" s="962">
        <f t="shared" si="3"/>
        <v>26487</v>
      </c>
      <c r="I49" s="2587">
        <f>'План 2-я неделя'!BQ82</f>
        <v>100</v>
      </c>
      <c r="J49" s="2600">
        <f t="shared" si="4"/>
        <v>24300</v>
      </c>
      <c r="R49" s="145">
        <v>4197.0</v>
      </c>
      <c r="S49" s="1268" t="s">
        <v>3019</v>
      </c>
      <c r="T49" s="1268" t="s">
        <v>3463</v>
      </c>
    </row>
    <row r="50">
      <c r="A50" s="962" t="str">
        <f>'План 2-я неделя'!B83</f>
        <v/>
      </c>
      <c r="B50" s="962" t="str">
        <f>'План 2-я неделя'!C83</f>
        <v/>
      </c>
      <c r="C50" s="962" t="str">
        <f>'План 2-я неделя'!D83</f>
        <v/>
      </c>
      <c r="D50" s="962" t="str">
        <f>'План 2-я неделя'!E83</f>
        <v/>
      </c>
      <c r="E50" s="2576" t="str">
        <f>'План 2-я неделя'!BL83</f>
        <v/>
      </c>
      <c r="F50" s="962" t="str">
        <f>'План 2-я неделя'!BN83</f>
        <v/>
      </c>
      <c r="G50" s="962">
        <f>'План 2-я неделя'!BP83+F50</f>
        <v>1</v>
      </c>
      <c r="H50" s="962">
        <f t="shared" si="3"/>
        <v>0</v>
      </c>
      <c r="I50" s="2587">
        <f>'План 2-я неделя'!BQ83</f>
        <v>0</v>
      </c>
      <c r="J50" s="2600">
        <f t="shared" si="4"/>
        <v>0</v>
      </c>
      <c r="R50" s="145">
        <v>4259.0</v>
      </c>
      <c r="S50" s="1268" t="s">
        <v>3473</v>
      </c>
      <c r="T50" s="1268" t="s">
        <v>3474</v>
      </c>
    </row>
    <row r="51">
      <c r="A51" s="962" t="str">
        <f>'План 2-я неделя'!B84</f>
        <v/>
      </c>
      <c r="B51" s="962" t="str">
        <f>'План 2-я неделя'!C84</f>
        <v/>
      </c>
      <c r="C51" s="962" t="str">
        <f>'План 2-я неделя'!D84</f>
        <v/>
      </c>
      <c r="D51" s="962" t="str">
        <f>'План 2-я неделя'!E84</f>
        <v/>
      </c>
      <c r="E51" s="2576">
        <f>'План 2-я неделя'!BL84</f>
        <v>15</v>
      </c>
      <c r="F51" s="962" t="str">
        <f>'План 2-я неделя'!BN84</f>
        <v/>
      </c>
      <c r="G51" s="962">
        <f>'План 2-я неделя'!BP84+F51</f>
        <v>16</v>
      </c>
      <c r="H51" s="962">
        <f t="shared" si="3"/>
        <v>0</v>
      </c>
      <c r="I51" s="2587">
        <f>'План 2-я неделя'!BQ84</f>
        <v>0</v>
      </c>
      <c r="J51" s="2600">
        <f t="shared" si="4"/>
        <v>0</v>
      </c>
    </row>
    <row r="52">
      <c r="A52" s="962" t="str">
        <f>'План 2-я неделя'!B85</f>
        <v/>
      </c>
      <c r="B52" s="962" t="str">
        <f>'План 2-я неделя'!C85</f>
        <v/>
      </c>
      <c r="C52" s="962" t="str">
        <f>'План 2-я неделя'!D85</f>
        <v/>
      </c>
      <c r="D52" s="962" t="str">
        <f>'План 2-я неделя'!E85</f>
        <v/>
      </c>
      <c r="E52" s="2576">
        <f>'План 2-я неделя'!BL85</f>
        <v>11</v>
      </c>
      <c r="F52" s="962" t="str">
        <f>'План 2-я неделя'!BN85</f>
        <v/>
      </c>
      <c r="G52" s="962">
        <f>'План 2-я неделя'!BP85+F52</f>
        <v>12</v>
      </c>
      <c r="H52" s="962">
        <f t="shared" si="3"/>
        <v>0</v>
      </c>
      <c r="I52" s="2587">
        <f>'План 2-я неделя'!BQ85</f>
        <v>0</v>
      </c>
      <c r="J52" s="2600">
        <f t="shared" si="4"/>
        <v>0</v>
      </c>
    </row>
    <row r="53">
      <c r="A53" s="962" t="str">
        <f>'План 2-я неделя'!B86</f>
        <v/>
      </c>
      <c r="B53" s="962" t="str">
        <f>'План 2-я неделя'!C86</f>
        <v/>
      </c>
      <c r="C53" s="962" t="str">
        <f>'План 2-я неделя'!D86</f>
        <v/>
      </c>
      <c r="D53" s="962" t="str">
        <f>'План 2-я неделя'!E86</f>
        <v/>
      </c>
      <c r="E53" s="2576" t="str">
        <f>'План 2-я неделя'!BL86</f>
        <v/>
      </c>
      <c r="F53" s="962" t="str">
        <f>'План 2-я неделя'!BN86</f>
        <v/>
      </c>
      <c r="G53" s="962">
        <f>'План 2-я неделя'!BP86+F53</f>
        <v>1</v>
      </c>
      <c r="H53" s="962">
        <f t="shared" si="3"/>
        <v>0</v>
      </c>
      <c r="I53" s="2587">
        <f>'План 2-я неделя'!BQ86</f>
        <v>0</v>
      </c>
      <c r="J53" s="2600">
        <f t="shared" si="4"/>
        <v>0</v>
      </c>
    </row>
    <row r="54">
      <c r="A54" s="962">
        <f>'План 2-я неделя'!B87</f>
        <v>654</v>
      </c>
      <c r="B54" s="962">
        <f>'План 2-я неделя'!C87</f>
        <v>187</v>
      </c>
      <c r="C54" s="962" t="str">
        <f>'План 2-я неделя'!D87</f>
        <v>Сэндвич</v>
      </c>
      <c r="D54" s="962" t="str">
        <f>'План 2-я неделя'!E87</f>
        <v>Сэндвич с бужениной и соусом Релиш</v>
      </c>
      <c r="E54" s="2576" t="str">
        <f>'План 2-я неделя'!BL87</f>
        <v/>
      </c>
      <c r="F54" s="962" t="str">
        <f>'План 2-я неделя'!BN87</f>
        <v/>
      </c>
      <c r="G54" s="962">
        <f>'План 2-я неделя'!BP87+F54</f>
        <v>108</v>
      </c>
      <c r="H54" s="962">
        <f t="shared" si="3"/>
        <v>20196</v>
      </c>
      <c r="I54" s="2587">
        <f>'План 2-я неделя'!BQ87</f>
        <v>107</v>
      </c>
      <c r="J54" s="2600">
        <f t="shared" si="4"/>
        <v>20009</v>
      </c>
    </row>
    <row r="55">
      <c r="A55" s="962">
        <f>'План 2-я неделя'!B88</f>
        <v>2904</v>
      </c>
      <c r="B55" s="962">
        <f>'План 2-я неделя'!C88</f>
        <v>190</v>
      </c>
      <c r="C55" s="962" t="str">
        <f>'План 2-я неделя'!D88</f>
        <v>Сэндвич</v>
      </c>
      <c r="D55" s="962" t="str">
        <f>'План 2-я неделя'!E88</f>
        <v>Ассорти сэндвич (пепперони/ветчина)</v>
      </c>
      <c r="E55" s="2576" t="str">
        <f>'План 2-я неделя'!BL88</f>
        <v/>
      </c>
      <c r="F55" s="962" t="str">
        <f>'План 2-я неделя'!BN88</f>
        <v/>
      </c>
      <c r="G55" s="962">
        <f>'План 2-я неделя'!BP88+F55</f>
        <v>133</v>
      </c>
      <c r="H55" s="962">
        <f t="shared" si="3"/>
        <v>25270</v>
      </c>
      <c r="I55" s="2587">
        <f>'План 2-я неделя'!BQ88</f>
        <v>133</v>
      </c>
      <c r="J55" s="2600">
        <f t="shared" si="4"/>
        <v>25270</v>
      </c>
    </row>
    <row r="56">
      <c r="A56" s="962">
        <f>'План 2-я неделя'!B89</f>
        <v>4115</v>
      </c>
      <c r="B56" s="962">
        <f>'План 2-я неделя'!C89</f>
        <v>212</v>
      </c>
      <c r="C56" s="962" t="str">
        <f>'План 2-я неделя'!D89</f>
        <v>Япония</v>
      </c>
      <c r="D56" s="962" t="str">
        <f>'План 2-я неделя'!E89</f>
        <v>Хот-дог  </v>
      </c>
      <c r="E56" s="2576" t="str">
        <f>'План 2-я неделя'!BL89</f>
        <v/>
      </c>
      <c r="F56" s="962" t="str">
        <f>'План 2-я неделя'!BN89</f>
        <v/>
      </c>
      <c r="G56" s="962">
        <f>'План 2-я неделя'!BP89+F56</f>
        <v>30</v>
      </c>
      <c r="H56" s="962">
        <f t="shared" si="3"/>
        <v>6360</v>
      </c>
      <c r="I56" s="2587">
        <f>'План 2-я неделя'!BQ89</f>
        <v>28</v>
      </c>
      <c r="J56" s="2600">
        <f t="shared" si="4"/>
        <v>5936</v>
      </c>
    </row>
    <row r="57">
      <c r="A57" s="962">
        <f>'План 2-я неделя'!B90</f>
        <v>3999</v>
      </c>
      <c r="B57" s="962">
        <f>'План 2-я неделя'!C90</f>
        <v>98</v>
      </c>
      <c r="C57" s="962" t="str">
        <f>'План 2-я неделя'!D90</f>
        <v>Япония</v>
      </c>
      <c r="D57" s="962" t="str">
        <f>'План 2-я неделя'!E90</f>
        <v>Морс ягодный 0,5 л</v>
      </c>
      <c r="E57" s="2576" t="str">
        <f>'План 2-я неделя'!BL90</f>
        <v/>
      </c>
      <c r="F57" s="962" t="str">
        <f>'План 2-я неделя'!BN90</f>
        <v/>
      </c>
      <c r="G57" s="962">
        <f>'План 2-я неделя'!BP90+F57</f>
        <v>169</v>
      </c>
      <c r="H57" s="962">
        <f t="shared" si="3"/>
        <v>16562</v>
      </c>
      <c r="I57" s="2587">
        <f>'План 2-я неделя'!BQ90</f>
        <v>257</v>
      </c>
      <c r="J57" s="2600">
        <f t="shared" si="4"/>
        <v>25186</v>
      </c>
    </row>
    <row r="58">
      <c r="A58" s="962" t="str">
        <f>'План 2-я неделя'!B91</f>
        <v/>
      </c>
      <c r="B58" s="962" t="str">
        <f>'План 2-я неделя'!C91</f>
        <v/>
      </c>
      <c r="C58" s="962" t="str">
        <f>'План 2-я неделя'!D91</f>
        <v/>
      </c>
      <c r="D58" s="962" t="str">
        <f>'План 2-я неделя'!E91</f>
        <v/>
      </c>
      <c r="E58" s="2576" t="str">
        <f>'План 2-я неделя'!BL91</f>
        <v/>
      </c>
      <c r="F58" s="962" t="str">
        <f>'План 2-я неделя'!BN91</f>
        <v/>
      </c>
      <c r="G58" s="962">
        <f>'План 2-я неделя'!BP91+F58</f>
        <v>1</v>
      </c>
      <c r="H58" s="962">
        <f t="shared" si="3"/>
        <v>0</v>
      </c>
      <c r="I58" s="2598">
        <f>'План 2-я неделя'!BQ91</f>
        <v>0</v>
      </c>
      <c r="J58" s="2600">
        <f t="shared" si="4"/>
        <v>0</v>
      </c>
    </row>
    <row r="59">
      <c r="A59" s="962">
        <f>'План 2-я неделя'!B92</f>
        <v>822</v>
      </c>
      <c r="B59" s="962">
        <f>'План 2-я неделя'!C92</f>
        <v>5</v>
      </c>
      <c r="C59" s="962" t="str">
        <f>'План 2-я неделя'!D92</f>
        <v>Суп</v>
      </c>
      <c r="D59" s="962" t="str">
        <f>'План 2-я неделя'!E92</f>
        <v>Хлеб пшеничный</v>
      </c>
      <c r="E59" s="2576">
        <f>'План 2-я неделя'!BL92</f>
        <v>130</v>
      </c>
      <c r="F59" s="962" t="str">
        <f>'План 2-я неделя'!BN92</f>
        <v/>
      </c>
      <c r="G59" s="962">
        <f>'План 2-я неделя'!BP92+F59</f>
        <v>234</v>
      </c>
      <c r="H59" s="962">
        <f t="shared" si="3"/>
        <v>1170</v>
      </c>
      <c r="I59" s="2587">
        <f>'План 2-я неделя'!BQ92</f>
        <v>233</v>
      </c>
      <c r="J59" s="2600">
        <f t="shared" si="4"/>
        <v>1165</v>
      </c>
    </row>
    <row r="60">
      <c r="A60" s="962" t="str">
        <f>'План 2-я неделя'!B93</f>
        <v/>
      </c>
      <c r="B60" s="962" t="str">
        <f>'План 2-я неделя'!C93</f>
        <v/>
      </c>
      <c r="C60" s="962" t="str">
        <f>'План 2-я неделя'!D93</f>
        <v/>
      </c>
      <c r="D60" s="962" t="str">
        <f>'План 2-я неделя'!E93</f>
        <v/>
      </c>
      <c r="E60" s="2576" t="str">
        <f>'План 2-я неделя'!BL93</f>
        <v/>
      </c>
      <c r="F60" s="962" t="str">
        <f>'План 2-я неделя'!BN93</f>
        <v/>
      </c>
      <c r="G60" s="962">
        <f>'План 2-я неделя'!BP93+F60</f>
        <v>1</v>
      </c>
      <c r="H60" s="962">
        <f t="shared" si="3"/>
        <v>0</v>
      </c>
      <c r="I60" s="2587">
        <f>'План 2-я неделя'!BQ93</f>
        <v>0</v>
      </c>
      <c r="J60" s="2600">
        <f t="shared" si="4"/>
        <v>0</v>
      </c>
    </row>
    <row r="61">
      <c r="I61" s="2570"/>
      <c r="J61" s="2599"/>
    </row>
    <row r="62">
      <c r="A62" s="2603" t="str">
        <f>'План 2-я неделя'!A127</f>
        <v>Дата:  </v>
      </c>
      <c r="B62" s="2624">
        <f>'План 2-я неделя'!D127</f>
        <v>46238</v>
      </c>
      <c r="C62" s="2603"/>
      <c r="D62" s="2603" t="str">
        <f>'План 2-я неделя'!E127</f>
        <v>План на день кухня               ВТОРНИК</v>
      </c>
      <c r="H62" s="1346">
        <f>SUM(H64:H90)</f>
        <v>360440</v>
      </c>
      <c r="I62" s="2570"/>
      <c r="J62" s="2572">
        <f>SUM(J64:J90)</f>
        <v>355510</v>
      </c>
      <c r="K62" s="1346">
        <f>J62-H62</f>
        <v>-4930</v>
      </c>
    </row>
    <row r="63">
      <c r="A63" s="2575" t="str">
        <f>'План 2-я неделя'!B128</f>
        <v>Код №</v>
      </c>
      <c r="B63" s="2575" t="str">
        <f>'План 2-я неделя'!C128</f>
        <v>Цена</v>
      </c>
      <c r="C63" s="2575" t="str">
        <f>'План 2-я неделя'!D128</f>
        <v>категория</v>
      </c>
      <c r="D63" s="2575" t="str">
        <f>'План 2-я неделя'!E128</f>
        <v>Название блюда</v>
      </c>
      <c r="E63" s="2576" t="str">
        <f>'План 2-я неделя'!BL128</f>
        <v>ТСПК</v>
      </c>
      <c r="F63" s="2165" t="s">
        <v>3090</v>
      </c>
      <c r="G63" s="2165" t="s">
        <v>3421</v>
      </c>
      <c r="H63" s="2165" t="s">
        <v>3422</v>
      </c>
      <c r="I63" s="2578" t="s">
        <v>3424</v>
      </c>
      <c r="J63" s="2578" t="s">
        <v>3425</v>
      </c>
    </row>
    <row r="64">
      <c r="A64" s="962">
        <f>'План 2-я неделя'!B129</f>
        <v>1287</v>
      </c>
      <c r="B64" s="962">
        <f>'План 2-я неделя'!C129</f>
        <v>85</v>
      </c>
      <c r="C64" s="962" t="str">
        <f>'План 2-я неделя'!D129</f>
        <v>Завтрак</v>
      </c>
      <c r="D64" s="962" t="str">
        <f>'План 2-я неделя'!E129</f>
        <v>Блины со сметаной</v>
      </c>
      <c r="E64" s="2576" t="str">
        <f>'План 2-я неделя'!BL129</f>
        <v/>
      </c>
      <c r="F64" s="962" t="str">
        <f>'План 2-я неделя'!BN129</f>
        <v/>
      </c>
      <c r="G64" s="962">
        <f>'План 2-я неделя'!BP129+F64</f>
        <v>137</v>
      </c>
      <c r="H64" s="962">
        <f t="shared" ref="H64:H90" si="5">G64*B64</f>
        <v>11645</v>
      </c>
      <c r="I64" s="2587">
        <f>'План 2-я неделя'!BQ129</f>
        <v>131</v>
      </c>
      <c r="J64" s="2600">
        <f t="shared" ref="J64:J90" si="6">B64*I64</f>
        <v>11135</v>
      </c>
    </row>
    <row r="65">
      <c r="A65" s="962">
        <f>'План 2-я неделя'!B130</f>
        <v>3970</v>
      </c>
      <c r="B65" s="962">
        <f>'План 2-я неделя'!C130</f>
        <v>93</v>
      </c>
      <c r="C65" s="962" t="str">
        <f>'План 2-я неделя'!D130</f>
        <v>Завтрак</v>
      </c>
      <c r="D65" s="962" t="str">
        <f>'План 2-я неделя'!E130</f>
        <v>Каша овсяная (на молоке)</v>
      </c>
      <c r="E65" s="2576" t="str">
        <f>'План 2-я неделя'!BL130</f>
        <v/>
      </c>
      <c r="F65" s="962" t="str">
        <f>'План 2-я неделя'!BN130</f>
        <v/>
      </c>
      <c r="G65" s="962">
        <f>'План 2-я неделя'!BP130+F65</f>
        <v>92</v>
      </c>
      <c r="H65" s="962">
        <f t="shared" si="5"/>
        <v>8556</v>
      </c>
      <c r="I65" s="2587">
        <f>'План 2-я неделя'!BQ130</f>
        <v>91</v>
      </c>
      <c r="J65" s="2600">
        <f t="shared" si="6"/>
        <v>8463</v>
      </c>
    </row>
    <row r="66">
      <c r="A66" s="962">
        <f>'План 2-я неделя'!B131</f>
        <v>4226</v>
      </c>
      <c r="B66" s="962">
        <f>'План 2-я неделя'!C131</f>
        <v>139</v>
      </c>
      <c r="C66" s="962" t="str">
        <f>'План 2-я неделя'!D131</f>
        <v>Завтрак</v>
      </c>
      <c r="D66" s="962" t="str">
        <f>'План 2-я неделя'!E131</f>
        <v>Курник  (курица, картофель) </v>
      </c>
      <c r="E66" s="2576" t="str">
        <f>'План 2-я неделя'!BL131</f>
        <v/>
      </c>
      <c r="F66" s="962" t="str">
        <f>'План 2-я неделя'!BN131</f>
        <v/>
      </c>
      <c r="G66" s="962">
        <f>'План 2-я неделя'!BP131+F66</f>
        <v>159</v>
      </c>
      <c r="H66" s="962">
        <f t="shared" si="5"/>
        <v>22101</v>
      </c>
      <c r="I66" s="2587">
        <f>'План 2-я неделя'!BQ131</f>
        <v>158</v>
      </c>
      <c r="J66" s="2600">
        <f t="shared" si="6"/>
        <v>21962</v>
      </c>
    </row>
    <row r="67">
      <c r="A67" s="962">
        <f>'План 2-я неделя'!B132</f>
        <v>4319</v>
      </c>
      <c r="B67" s="962">
        <f>'План 2-я неделя'!C132</f>
        <v>98</v>
      </c>
      <c r="C67" s="962" t="str">
        <f>'План 2-я неделя'!D132</f>
        <v>Салат</v>
      </c>
      <c r="D67" s="962" t="str">
        <f>'План 2-я неделя'!E132</f>
        <v>Салат "Морковный с изюмом" </v>
      </c>
      <c r="E67" s="2576">
        <f>'План 2-я неделя'!BL132</f>
        <v>44</v>
      </c>
      <c r="F67" s="962" t="str">
        <f>'План 2-я неделя'!BN132</f>
        <v/>
      </c>
      <c r="G67" s="962">
        <f>'План 2-я неделя'!BP132+F67</f>
        <v>187</v>
      </c>
      <c r="H67" s="962">
        <f t="shared" si="5"/>
        <v>18326</v>
      </c>
      <c r="I67" s="2587">
        <f>'План 2-я неделя'!BQ132</f>
        <v>201</v>
      </c>
      <c r="J67" s="2600">
        <f t="shared" si="6"/>
        <v>19698</v>
      </c>
    </row>
    <row r="68">
      <c r="A68" s="962" t="str">
        <f>'План 2-я неделя'!B133</f>
        <v/>
      </c>
      <c r="B68" s="962" t="str">
        <f>'План 2-я неделя'!C133</f>
        <v/>
      </c>
      <c r="C68" s="962" t="str">
        <f>'План 2-я неделя'!D133</f>
        <v>Салат</v>
      </c>
      <c r="D68" s="962" t="str">
        <f>'План 2-я неделя'!E133</f>
        <v>Салат ''Таврия'' (колбаса вареная)</v>
      </c>
      <c r="E68" s="2576">
        <f>'План 2-я неделя'!BL133</f>
        <v>43</v>
      </c>
      <c r="F68" s="962" t="str">
        <f>'План 2-я неделя'!BN133</f>
        <v/>
      </c>
      <c r="G68" s="962">
        <f>'План 2-я неделя'!BP133+F68</f>
        <v>156</v>
      </c>
      <c r="H68" s="962">
        <f t="shared" si="5"/>
        <v>0</v>
      </c>
      <c r="I68" s="2587">
        <f>'План 2-я неделя'!BQ133</f>
        <v>155</v>
      </c>
      <c r="J68" s="2600">
        <f t="shared" si="6"/>
        <v>0</v>
      </c>
    </row>
    <row r="69">
      <c r="A69" s="962">
        <f>'План 2-я неделя'!B134</f>
        <v>2303</v>
      </c>
      <c r="B69" s="962">
        <f>'План 2-я неделя'!C134</f>
        <v>98</v>
      </c>
      <c r="C69" s="962" t="str">
        <f>'План 2-я неделя'!D134</f>
        <v>Салат</v>
      </c>
      <c r="D69" s="962" t="str">
        <f>'План 2-я неделя'!E134</f>
        <v>Салат ''Жар-птица'' (филе кур)</v>
      </c>
      <c r="E69" s="2576">
        <f>'План 2-я неделя'!BL134</f>
        <v>43</v>
      </c>
      <c r="F69" s="962">
        <f>'План 2-я неделя'!BN134</f>
        <v>10</v>
      </c>
      <c r="G69" s="962">
        <f>'План 2-я неделя'!BP134+F69</f>
        <v>135</v>
      </c>
      <c r="H69" s="962">
        <f t="shared" si="5"/>
        <v>13230</v>
      </c>
      <c r="I69" s="2587">
        <f>'План 2-я неделя'!BQ134</f>
        <v>124</v>
      </c>
      <c r="J69" s="2600">
        <f t="shared" si="6"/>
        <v>12152</v>
      </c>
    </row>
    <row r="70">
      <c r="A70" s="962">
        <f>'План 2-я неделя'!B135</f>
        <v>2067</v>
      </c>
      <c r="B70" s="962">
        <f>'План 2-я неделя'!C135</f>
        <v>187</v>
      </c>
      <c r="C70" s="962" t="str">
        <f>'План 2-я неделя'!D135</f>
        <v>Премиум</v>
      </c>
      <c r="D70" s="962" t="str">
        <f>'План 2-я неделя'!E135</f>
        <v>Салат "Греческий''</v>
      </c>
      <c r="E70" s="2576" t="str">
        <f>'План 2-я неделя'!BL135</f>
        <v/>
      </c>
      <c r="F70" s="962" t="str">
        <f>'План 2-я неделя'!BN135</f>
        <v/>
      </c>
      <c r="G70" s="962">
        <f>'План 2-я неделя'!BP135+F70</f>
        <v>88</v>
      </c>
      <c r="H70" s="962">
        <f t="shared" si="5"/>
        <v>16456</v>
      </c>
      <c r="I70" s="2587">
        <f>'План 2-я неделя'!BQ135</f>
        <v>87</v>
      </c>
      <c r="J70" s="2600">
        <f t="shared" si="6"/>
        <v>16269</v>
      </c>
    </row>
    <row r="71">
      <c r="A71" s="962">
        <f>'План 2-я неделя'!B136</f>
        <v>2288</v>
      </c>
      <c r="B71" s="962">
        <f>'План 2-я неделя'!C136</f>
        <v>88</v>
      </c>
      <c r="C71" s="962" t="str">
        <f>'План 2-я неделя'!D136</f>
        <v>Суп</v>
      </c>
      <c r="D71" s="962" t="str">
        <f>'План 2-я неделя'!E136</f>
        <v>Суп картофельный с курицей</v>
      </c>
      <c r="E71" s="2576">
        <f>'План 2-я неделя'!BL136</f>
        <v>120</v>
      </c>
      <c r="F71" s="962">
        <f>'План 2-я неделя'!BN136</f>
        <v>20</v>
      </c>
      <c r="G71" s="962">
        <f>'План 2-я неделя'!BP136+F71</f>
        <v>141</v>
      </c>
      <c r="H71" s="962">
        <f t="shared" si="5"/>
        <v>12408</v>
      </c>
      <c r="I71" s="2587">
        <f>'План 2-я неделя'!BQ136</f>
        <v>120</v>
      </c>
      <c r="J71" s="2600">
        <f t="shared" si="6"/>
        <v>10560</v>
      </c>
    </row>
    <row r="72">
      <c r="A72" s="962">
        <f>'План 2-я неделя'!B137</f>
        <v>4274</v>
      </c>
      <c r="B72" s="962">
        <f>'План 2-я неделя'!C137</f>
        <v>139</v>
      </c>
      <c r="C72" s="962" t="str">
        <f>'План 2-я неделя'!D137</f>
        <v>Суп</v>
      </c>
      <c r="D72" s="962" t="str">
        <f>'План 2-я неделя'!E137</f>
        <v>Крем-суп из брокколи</v>
      </c>
      <c r="E72" s="2576" t="str">
        <f>'План 2-я неделя'!BL137</f>
        <v/>
      </c>
      <c r="F72" s="962" t="str">
        <f>'План 2-я неделя'!BN137</f>
        <v/>
      </c>
      <c r="G72" s="962">
        <f>'План 2-я неделя'!BP137+F72</f>
        <v>59</v>
      </c>
      <c r="H72" s="962">
        <f t="shared" si="5"/>
        <v>8201</v>
      </c>
      <c r="I72" s="2587">
        <f>'План 2-я неделя'!BQ137</f>
        <v>64</v>
      </c>
      <c r="J72" s="2600">
        <f t="shared" si="6"/>
        <v>8896</v>
      </c>
    </row>
    <row r="73">
      <c r="A73" s="962">
        <f>'План 2-я неделя'!B138</f>
        <v>813</v>
      </c>
      <c r="B73" s="962">
        <f>'План 2-я неделя'!C138</f>
        <v>227</v>
      </c>
      <c r="C73" s="962" t="str">
        <f>'План 2-я неделя'!D138</f>
        <v>Второе</v>
      </c>
      <c r="D73" s="962" t="str">
        <f>'План 2-я неделя'!E138</f>
        <v>Котлета по-киевски с макаронами</v>
      </c>
      <c r="E73" s="2576" t="str">
        <f>'План 2-я неделя'!BL138</f>
        <v/>
      </c>
      <c r="F73" s="962" t="str">
        <f>'План 2-я неделя'!BN138</f>
        <v/>
      </c>
      <c r="G73" s="962">
        <f>'План 2-я неделя'!BP138+F73</f>
        <v>151</v>
      </c>
      <c r="H73" s="962">
        <f t="shared" si="5"/>
        <v>34277</v>
      </c>
      <c r="I73" s="2587">
        <f>'План 2-я неделя'!BQ138</f>
        <v>150</v>
      </c>
      <c r="J73" s="2600">
        <f t="shared" si="6"/>
        <v>34050</v>
      </c>
    </row>
    <row r="74">
      <c r="A74" s="962">
        <f>'План 2-я неделя'!B139</f>
        <v>4105</v>
      </c>
      <c r="B74" s="962">
        <f>'План 2-я неделя'!C139</f>
        <v>234</v>
      </c>
      <c r="C74" s="962" t="str">
        <f>'План 2-я неделя'!D139</f>
        <v>Второе</v>
      </c>
      <c r="D74" s="962" t="str">
        <f>'План 2-я неделя'!E139</f>
        <v>Свинина по-гавайски с картофелем</v>
      </c>
      <c r="E74" s="2576" t="str">
        <f>'План 2-я неделя'!BL139</f>
        <v/>
      </c>
      <c r="F74" s="962">
        <f>'План 2-я неделя'!BN139</f>
        <v>5</v>
      </c>
      <c r="G74" s="962">
        <f>'План 2-я неделя'!BP139+F74</f>
        <v>96</v>
      </c>
      <c r="H74" s="962">
        <f t="shared" si="5"/>
        <v>22464</v>
      </c>
      <c r="I74" s="2598">
        <f>'План 2-я неделя'!BQ139</f>
        <v>90</v>
      </c>
      <c r="J74" s="2600">
        <f t="shared" si="6"/>
        <v>21060</v>
      </c>
    </row>
    <row r="75">
      <c r="A75" s="962">
        <f>'План 2-я неделя'!B140</f>
        <v>26</v>
      </c>
      <c r="B75" s="962">
        <f>'План 2-я неделя'!C140</f>
        <v>190</v>
      </c>
      <c r="C75" s="962" t="str">
        <f>'План 2-я неделя'!D140</f>
        <v>Второе</v>
      </c>
      <c r="D75" s="962" t="str">
        <f>'План 2-я неделя'!E140</f>
        <v>Плов по-узбекски с цыпленком б/250гр</v>
      </c>
      <c r="E75" s="2576">
        <f>'План 2-я неделя'!BL140</f>
        <v>25</v>
      </c>
      <c r="F75" s="962" t="str">
        <f>'План 2-я неделя'!BN140</f>
        <v/>
      </c>
      <c r="G75" s="962">
        <f>'План 2-я неделя'!BP140+F75</f>
        <v>151</v>
      </c>
      <c r="H75" s="962">
        <f t="shared" si="5"/>
        <v>28690</v>
      </c>
      <c r="I75" s="2598">
        <f>'План 2-я неделя'!BQ140</f>
        <v>145</v>
      </c>
      <c r="J75" s="2600">
        <f t="shared" si="6"/>
        <v>27550</v>
      </c>
    </row>
    <row r="76">
      <c r="A76" s="962">
        <f>'План 2-я неделя'!B141</f>
        <v>4100</v>
      </c>
      <c r="B76" s="962">
        <f>'План 2-я неделя'!C141</f>
        <v>198</v>
      </c>
      <c r="C76" s="962" t="str">
        <f>'План 2-я неделя'!D141</f>
        <v>Второе</v>
      </c>
      <c r="D76" s="962" t="str">
        <f>'План 2-я неделя'!E141</f>
        <v>Курочка по-купечески с гречкой </v>
      </c>
      <c r="E76" s="2576">
        <f>'План 2-я неделя'!BL141</f>
        <v>80</v>
      </c>
      <c r="F76" s="962">
        <f>'План 2-я неделя'!BN141</f>
        <v>15</v>
      </c>
      <c r="G76" s="962">
        <f>'План 2-я неделя'!BP141+F76</f>
        <v>244</v>
      </c>
      <c r="H76" s="962">
        <f t="shared" si="5"/>
        <v>48312</v>
      </c>
      <c r="I76" s="2587">
        <f>'План 2-я неделя'!BQ141</f>
        <v>228</v>
      </c>
      <c r="J76" s="2600">
        <f t="shared" si="6"/>
        <v>45144</v>
      </c>
    </row>
    <row r="77">
      <c r="A77" s="962">
        <f>'План 2-я неделя'!B142</f>
        <v>3474</v>
      </c>
      <c r="B77" s="962">
        <f>'План 2-я неделя'!C142</f>
        <v>198</v>
      </c>
      <c r="C77" s="962" t="str">
        <f>'План 2-я неделя'!D142</f>
        <v>Второе</v>
      </c>
      <c r="D77" s="962" t="str">
        <f>'План 2-я неделя'!E142</f>
        <v>Свинина в томатном соусе с макаронами</v>
      </c>
      <c r="E77" s="2576">
        <f>'План 2-я неделя'!BL142</f>
        <v>25</v>
      </c>
      <c r="F77" s="962" t="str">
        <f>'План 2-я неделя'!BN142</f>
        <v/>
      </c>
      <c r="G77" s="962">
        <f>'План 2-я неделя'!BP142+F77</f>
        <v>26</v>
      </c>
      <c r="H77" s="962">
        <f t="shared" si="5"/>
        <v>5148</v>
      </c>
      <c r="I77" s="2587">
        <f>'План 2-я неделя'!BQ142</f>
        <v>25</v>
      </c>
      <c r="J77" s="2600">
        <f t="shared" si="6"/>
        <v>4950</v>
      </c>
    </row>
    <row r="78">
      <c r="A78" s="962" t="str">
        <f>'План 2-я неделя'!B143</f>
        <v/>
      </c>
      <c r="B78" s="962" t="str">
        <f>'План 2-я неделя'!C143</f>
        <v/>
      </c>
      <c r="C78" s="962" t="str">
        <f>'План 2-я неделя'!D143</f>
        <v/>
      </c>
      <c r="D78" s="962" t="str">
        <f>'План 2-я неделя'!E143</f>
        <v/>
      </c>
      <c r="E78" s="2576" t="str">
        <f>'План 2-я неделя'!BL143</f>
        <v/>
      </c>
      <c r="F78" s="962" t="str">
        <f>'План 2-я неделя'!BN143</f>
        <v/>
      </c>
      <c r="G78" s="962">
        <f>'План 2-я неделя'!BP143+F78</f>
        <v>1</v>
      </c>
      <c r="H78" s="962">
        <f t="shared" si="5"/>
        <v>0</v>
      </c>
      <c r="I78" s="2598">
        <f>'План 2-я неделя'!BQ143</f>
        <v>0</v>
      </c>
      <c r="J78" s="2600">
        <f t="shared" si="6"/>
        <v>0</v>
      </c>
    </row>
    <row r="79">
      <c r="A79" s="962">
        <f>'План 2-я неделя'!B144</f>
        <v>3751</v>
      </c>
      <c r="B79" s="962">
        <f>'План 2-я неделя'!C144</f>
        <v>280</v>
      </c>
      <c r="C79" s="962" t="str">
        <f>'План 2-я неделя'!D144</f>
        <v>Премиум</v>
      </c>
      <c r="D79" s="962" t="str">
        <f>'План 2-я неделя'!E144</f>
        <v>Томленая говядина с птитим</v>
      </c>
      <c r="E79" s="2576" t="str">
        <f>'План 2-я неделя'!BL144</f>
        <v/>
      </c>
      <c r="F79" s="962" t="str">
        <f>'План 2-я неделя'!BN144</f>
        <v/>
      </c>
      <c r="G79" s="962">
        <f>'План 2-я неделя'!BP144+F79</f>
        <v>95</v>
      </c>
      <c r="H79" s="962">
        <f t="shared" si="5"/>
        <v>26600</v>
      </c>
      <c r="I79" s="2587">
        <f>'План 2-я неделя'!BQ144</f>
        <v>92</v>
      </c>
      <c r="J79" s="2600">
        <f t="shared" si="6"/>
        <v>25760</v>
      </c>
    </row>
    <row r="80">
      <c r="A80" s="962">
        <f>'План 2-я неделя'!B145</f>
        <v>2483</v>
      </c>
      <c r="B80" s="962">
        <f>'План 2-я неделя'!C145</f>
        <v>80</v>
      </c>
      <c r="C80" s="962" t="str">
        <f>'План 2-я неделя'!D145</f>
        <v>Выпечка</v>
      </c>
      <c r="D80" s="962" t="str">
        <f>'План 2-я неделя'!E145</f>
        <v>Самса с курицей 110 грамм</v>
      </c>
      <c r="E80" s="2576">
        <f>'План 2-я неделя'!BL145</f>
        <v>11</v>
      </c>
      <c r="F80" s="962" t="str">
        <f>'План 2-я неделя'!BN145</f>
        <v/>
      </c>
      <c r="G80" s="962">
        <f>'План 2-я неделя'!BP145+F80</f>
        <v>12</v>
      </c>
      <c r="H80" s="962">
        <f t="shared" si="5"/>
        <v>960</v>
      </c>
      <c r="I80" s="2587">
        <f>'План 2-я неделя'!BQ145</f>
        <v>15</v>
      </c>
      <c r="J80" s="2600">
        <f t="shared" si="6"/>
        <v>1200</v>
      </c>
    </row>
    <row r="81">
      <c r="A81" s="962" t="str">
        <f>'План 2-я неделя'!B146</f>
        <v/>
      </c>
      <c r="B81" s="962" t="str">
        <f>'План 2-я неделя'!C146</f>
        <v/>
      </c>
      <c r="C81" s="962" t="str">
        <f>'План 2-я неделя'!D146</f>
        <v/>
      </c>
      <c r="D81" s="962" t="str">
        <f>'План 2-я неделя'!E146</f>
        <v/>
      </c>
      <c r="E81" s="2576" t="str">
        <f>'План 2-я неделя'!BL146</f>
        <v/>
      </c>
      <c r="F81" s="962" t="str">
        <f>'План 2-я неделя'!BN146</f>
        <v/>
      </c>
      <c r="G81" s="962">
        <f>'План 2-я неделя'!BP146+F81</f>
        <v>1</v>
      </c>
      <c r="H81" s="962">
        <f t="shared" si="5"/>
        <v>0</v>
      </c>
      <c r="I81" s="2587">
        <f>'План 2-я неделя'!BQ146</f>
        <v>0</v>
      </c>
      <c r="J81" s="2600">
        <f t="shared" si="6"/>
        <v>0</v>
      </c>
    </row>
    <row r="82">
      <c r="A82" s="962">
        <f>'План 2-я неделя'!B147</f>
        <v>3</v>
      </c>
      <c r="B82" s="962">
        <f>'План 2-я неделя'!C147</f>
        <v>172</v>
      </c>
      <c r="C82" s="962" t="str">
        <f>'План 2-я неделя'!D147</f>
        <v>Сэндвич</v>
      </c>
      <c r="D82" s="962" t="str">
        <f>'План 2-я неделя'!E147</f>
        <v>Сэндвич с курочкой и скремблом</v>
      </c>
      <c r="E82" s="2576" t="str">
        <f>'План 2-я неделя'!BL147</f>
        <v/>
      </c>
      <c r="F82" s="962" t="str">
        <f>'План 2-я неделя'!BN147</f>
        <v/>
      </c>
      <c r="G82" s="962">
        <f>'План 2-я неделя'!BP147+F82</f>
        <v>119</v>
      </c>
      <c r="H82" s="962">
        <f t="shared" si="5"/>
        <v>20468</v>
      </c>
      <c r="I82" s="2587">
        <f>'План 2-я неделя'!BQ147</f>
        <v>128</v>
      </c>
      <c r="J82" s="2600">
        <f t="shared" si="6"/>
        <v>22016</v>
      </c>
    </row>
    <row r="83">
      <c r="A83" s="962">
        <f>'План 2-я неделя'!B148</f>
        <v>54</v>
      </c>
      <c r="B83" s="962">
        <f>'План 2-я неделя'!C148</f>
        <v>188</v>
      </c>
      <c r="C83" s="962" t="str">
        <f>'План 2-я неделя'!D148</f>
        <v>Сэндвич</v>
      </c>
      <c r="D83" s="962" t="str">
        <f>'План 2-я неделя'!E148</f>
        <v>Сэндвич с тунцом с соусом Том Ям</v>
      </c>
      <c r="E83" s="2576" t="str">
        <f>'План 2-я неделя'!BL148</f>
        <v/>
      </c>
      <c r="F83" s="962" t="str">
        <f>'План 2-я неделя'!BN148</f>
        <v/>
      </c>
      <c r="G83" s="962">
        <f>'План 2-я неделя'!BP148+F83</f>
        <v>124</v>
      </c>
      <c r="H83" s="962">
        <f t="shared" si="5"/>
        <v>23312</v>
      </c>
      <c r="I83" s="2587">
        <f>'План 2-я неделя'!BQ148</f>
        <v>123</v>
      </c>
      <c r="J83" s="2600">
        <f t="shared" si="6"/>
        <v>23124</v>
      </c>
    </row>
    <row r="84">
      <c r="A84" s="962">
        <f>'План 2-я неделя'!B149</f>
        <v>2943</v>
      </c>
      <c r="B84" s="962">
        <f>'План 2-я неделя'!C149</f>
        <v>152</v>
      </c>
      <c r="C84" s="962" t="str">
        <f>'План 2-я неделя'!D149</f>
        <v>Япония</v>
      </c>
      <c r="D84" s="962" t="str">
        <f>'План 2-я неделя'!E149</f>
        <v>Онигири с куриным филе в соусе спайси</v>
      </c>
      <c r="E84" s="2576" t="str">
        <f>'План 2-я неделя'!BL149</f>
        <v/>
      </c>
      <c r="F84" s="962" t="str">
        <f>'План 2-я неделя'!BN149</f>
        <v/>
      </c>
      <c r="G84" s="962">
        <f>'План 2-я неделя'!BP149+F84</f>
        <v>60</v>
      </c>
      <c r="H84" s="962">
        <f t="shared" si="5"/>
        <v>9120</v>
      </c>
      <c r="I84" s="2598">
        <f>'План 2-я неделя'!BQ149</f>
        <v>59</v>
      </c>
      <c r="J84" s="2600">
        <f t="shared" si="6"/>
        <v>8968</v>
      </c>
    </row>
    <row r="85">
      <c r="A85" s="962">
        <f>'План 2-я неделя'!B150</f>
        <v>4000</v>
      </c>
      <c r="B85" s="962">
        <f>'План 2-я неделя'!C150</f>
        <v>98</v>
      </c>
      <c r="C85" s="962" t="str">
        <f>'План 2-я неделя'!D150</f>
        <v>Япония</v>
      </c>
      <c r="D85" s="962" t="str">
        <f>'План 2-я неделя'!E150</f>
        <v>Компот из сухофруктов 0,5 л</v>
      </c>
      <c r="E85" s="2576" t="str">
        <f>'План 2-я неделя'!BL150</f>
        <v/>
      </c>
      <c r="F85" s="962" t="str">
        <f>'План 2-я неделя'!BN150</f>
        <v/>
      </c>
      <c r="G85" s="962">
        <f>'План 2-я неделя'!BP150+F85</f>
        <v>196</v>
      </c>
      <c r="H85" s="962">
        <f t="shared" si="5"/>
        <v>19208</v>
      </c>
      <c r="I85" s="2587">
        <f>'План 2-я неделя'!BQ150</f>
        <v>223</v>
      </c>
      <c r="J85" s="2600">
        <f t="shared" si="6"/>
        <v>21854</v>
      </c>
    </row>
    <row r="86">
      <c r="A86" s="962">
        <f>'План 2-я неделя'!B151</f>
        <v>822</v>
      </c>
      <c r="B86" s="962">
        <f>'План 2-я неделя'!C151</f>
        <v>5</v>
      </c>
      <c r="C86" s="962" t="str">
        <f>'План 2-я неделя'!D151</f>
        <v>Суп</v>
      </c>
      <c r="D86" s="962" t="str">
        <f>'План 2-я неделя'!E151</f>
        <v>Хлеб пшеничный</v>
      </c>
      <c r="E86" s="2576">
        <f>'План 2-я неделя'!BL151</f>
        <v>110</v>
      </c>
      <c r="F86" s="962" t="str">
        <f>'План 2-я неделя'!BN151</f>
        <v/>
      </c>
      <c r="G86" s="962">
        <f>'План 2-я неделя'!BP151+F86</f>
        <v>226</v>
      </c>
      <c r="H86" s="962">
        <f t="shared" si="5"/>
        <v>1130</v>
      </c>
      <c r="I86" s="2587">
        <f>'План 2-я неделя'!BQ151</f>
        <v>212</v>
      </c>
      <c r="J86" s="2600">
        <f t="shared" si="6"/>
        <v>1060</v>
      </c>
    </row>
    <row r="87">
      <c r="A87" s="962">
        <f>'План 2-я неделя'!B152</f>
        <v>4318</v>
      </c>
      <c r="B87" s="962">
        <f>'План 2-я неделя'!C152</f>
        <v>189</v>
      </c>
      <c r="C87" s="962" t="str">
        <f>'План 2-я неделя'!D152</f>
        <v/>
      </c>
      <c r="D87" s="962" t="str">
        <f>'План 2-я неделя'!E152</f>
        <v>Ватрушка Царская</v>
      </c>
      <c r="E87" s="2576" t="str">
        <f>'План 2-я неделя'!BL152</f>
        <v/>
      </c>
      <c r="F87" s="962" t="str">
        <f>'План 2-я неделя'!BN152</f>
        <v/>
      </c>
      <c r="G87" s="962">
        <f>'План 2-я неделя'!BP152+F87</f>
        <v>52</v>
      </c>
      <c r="H87" s="962">
        <f t="shared" si="5"/>
        <v>9828</v>
      </c>
      <c r="I87" s="2598">
        <f>'План 2-я неделя'!BQ152</f>
        <v>51</v>
      </c>
      <c r="J87" s="2600">
        <f t="shared" si="6"/>
        <v>9639</v>
      </c>
    </row>
    <row r="88">
      <c r="A88" s="962" t="str">
        <f>'План 2-я неделя'!B153</f>
        <v/>
      </c>
      <c r="B88" s="962" t="str">
        <f>'План 2-я неделя'!C153</f>
        <v/>
      </c>
      <c r="C88" s="962" t="str">
        <f>'План 2-я неделя'!D153</f>
        <v/>
      </c>
      <c r="D88" s="962" t="str">
        <f>'План 2-я неделя'!E153</f>
        <v/>
      </c>
      <c r="E88" s="2576" t="str">
        <f>'План 2-я неделя'!BL153</f>
        <v/>
      </c>
      <c r="F88" s="962" t="str">
        <f>'План 2-я неделя'!BN153</f>
        <v/>
      </c>
      <c r="G88" s="962">
        <f>'План 2-я неделя'!BP153+F88</f>
        <v>1</v>
      </c>
      <c r="H88" s="962">
        <f t="shared" si="5"/>
        <v>0</v>
      </c>
      <c r="I88" s="2598">
        <f>'План 2-я неделя'!BQ153</f>
        <v>0</v>
      </c>
      <c r="J88" s="2600">
        <f t="shared" si="6"/>
        <v>0</v>
      </c>
    </row>
    <row r="89">
      <c r="A89" s="962" t="str">
        <f>'План 2-я неделя'!B154</f>
        <v/>
      </c>
      <c r="B89" s="962" t="str">
        <f>'План 2-я неделя'!C154</f>
        <v/>
      </c>
      <c r="C89" s="962" t="str">
        <f>'План 2-я неделя'!D154</f>
        <v/>
      </c>
      <c r="D89" s="962" t="str">
        <f>'План 2-я неделя'!E154</f>
        <v/>
      </c>
      <c r="E89" s="2576" t="str">
        <f>'План 2-я неделя'!BL154</f>
        <v/>
      </c>
      <c r="F89" s="962" t="str">
        <f>'План 2-я неделя'!BN154</f>
        <v/>
      </c>
      <c r="G89" s="962">
        <f>'План 2-я неделя'!BP154+F89</f>
        <v>1</v>
      </c>
      <c r="H89" s="962">
        <f t="shared" si="5"/>
        <v>0</v>
      </c>
      <c r="I89" s="2587">
        <f>'План 2-я неделя'!BQ154</f>
        <v>0</v>
      </c>
      <c r="J89" s="2600">
        <f t="shared" si="6"/>
        <v>0</v>
      </c>
    </row>
    <row r="90">
      <c r="A90" s="962" t="str">
        <f>'План 2-я неделя'!B155</f>
        <v/>
      </c>
      <c r="B90" s="962" t="str">
        <f>'План 2-я неделя'!C155</f>
        <v/>
      </c>
      <c r="C90" s="962" t="str">
        <f>'План 2-я неделя'!D155</f>
        <v/>
      </c>
      <c r="D90" s="962" t="str">
        <f>'План 2-я неделя'!E155</f>
        <v/>
      </c>
      <c r="E90" s="2576" t="str">
        <f>'План 2-я неделя'!BL155</f>
        <v/>
      </c>
      <c r="F90" s="962" t="str">
        <f>'План 2-я неделя'!BN155</f>
        <v/>
      </c>
      <c r="G90" s="962">
        <f>'План 2-я неделя'!BP155+F90</f>
        <v>1</v>
      </c>
      <c r="H90" s="962">
        <f t="shared" si="5"/>
        <v>0</v>
      </c>
      <c r="I90" s="2587">
        <f>'План 2-я неделя'!BQ155</f>
        <v>0</v>
      </c>
      <c r="J90" s="2600">
        <f t="shared" si="6"/>
        <v>0</v>
      </c>
    </row>
    <row r="91">
      <c r="I91" s="2570"/>
      <c r="J91" s="2599"/>
    </row>
    <row r="92">
      <c r="A92" s="2605" t="str">
        <f>'План 2-я неделя'!A191</f>
        <v>Дата:  </v>
      </c>
      <c r="B92" s="2606">
        <f>'План 2-я неделя'!D191</f>
        <v>46239</v>
      </c>
      <c r="C92" s="2605"/>
      <c r="D92" s="2605" t="str">
        <f>'План 2-я неделя'!E191</f>
        <v>План на день кухня               СРЕДА</v>
      </c>
      <c r="H92" s="1346">
        <f>SUM(H94:H120)</f>
        <v>390870</v>
      </c>
      <c r="I92" s="2570"/>
      <c r="J92" s="2572">
        <f>SUM(J94:J120)</f>
        <v>385121</v>
      </c>
      <c r="K92" s="1346">
        <f>J92-H92</f>
        <v>-5749</v>
      </c>
    </row>
    <row r="93">
      <c r="A93" s="2575" t="str">
        <f>'План 2-я неделя'!B192</f>
        <v>Код №</v>
      </c>
      <c r="B93" s="2575" t="str">
        <f>'План 2-я неделя'!C192</f>
        <v>Цена</v>
      </c>
      <c r="C93" s="2575" t="str">
        <f>'План 2-я неделя'!D192</f>
        <v>категория</v>
      </c>
      <c r="D93" s="2575" t="str">
        <f>'План 2-я неделя'!E192</f>
        <v>Название блюда</v>
      </c>
      <c r="E93" s="2576" t="str">
        <f>'План 2-я неделя'!BL192</f>
        <v>ТСПК</v>
      </c>
      <c r="F93" s="2165" t="s">
        <v>3090</v>
      </c>
      <c r="G93" s="2165" t="s">
        <v>3421</v>
      </c>
      <c r="H93" s="2165" t="s">
        <v>3422</v>
      </c>
      <c r="I93" s="2578" t="s">
        <v>3424</v>
      </c>
      <c r="J93" s="2578" t="s">
        <v>3425</v>
      </c>
    </row>
    <row r="94">
      <c r="A94" s="1268">
        <f>'План 2-я неделя'!B193</f>
        <v>3196</v>
      </c>
      <c r="B94" s="1268">
        <f>'План 2-я неделя'!C193</f>
        <v>97</v>
      </c>
      <c r="C94" s="1268" t="str">
        <f>'План 2-я неделя'!D193</f>
        <v>Завтрак</v>
      </c>
      <c r="D94" s="1268" t="str">
        <f>'План 2-я неделя'!E193</f>
        <v>Манник ''Маковый''</v>
      </c>
      <c r="E94" s="2576" t="str">
        <f>'План 2-я неделя'!BL193</f>
        <v/>
      </c>
      <c r="F94" s="962">
        <f>'План 2-я неделя'!BN193</f>
        <v>10</v>
      </c>
      <c r="G94" s="962">
        <f>'План 2-я неделя'!BP193+F94</f>
        <v>126</v>
      </c>
      <c r="H94" s="962">
        <f t="shared" ref="H94:H120" si="7">B94*G94</f>
        <v>12222</v>
      </c>
      <c r="I94" s="2587">
        <f>'План 2-я неделя'!BQ193</f>
        <v>115</v>
      </c>
      <c r="J94" s="2600">
        <f t="shared" ref="J94:J120" si="8">B94*I94</f>
        <v>11155</v>
      </c>
    </row>
    <row r="95">
      <c r="A95" s="1268">
        <f>'План 2-я неделя'!B194</f>
        <v>3645</v>
      </c>
      <c r="B95" s="1268">
        <f>'План 2-я неделя'!C194</f>
        <v>219</v>
      </c>
      <c r="C95" s="1268" t="str">
        <f>'План 2-я неделя'!D194</f>
        <v>Завтрак</v>
      </c>
      <c r="D95" s="1268" t="str">
        <f>'План 2-я неделя'!E194</f>
        <v>Драники с рыбой и творожным сыром</v>
      </c>
      <c r="E95" s="2576" t="str">
        <f>'План 2-я неделя'!BL194</f>
        <v/>
      </c>
      <c r="F95" s="962" t="str">
        <f>'План 2-я неделя'!BN194</f>
        <v/>
      </c>
      <c r="G95" s="962">
        <f>'План 2-я неделя'!BP194+F95</f>
        <v>95</v>
      </c>
      <c r="H95" s="962">
        <f t="shared" si="7"/>
        <v>20805</v>
      </c>
      <c r="I95" s="2587">
        <f>'План 2-я неделя'!BQ194</f>
        <v>92</v>
      </c>
      <c r="J95" s="2600">
        <f t="shared" si="8"/>
        <v>20148</v>
      </c>
    </row>
    <row r="96">
      <c r="A96" s="1268">
        <f>'План 2-я неделя'!B195</f>
        <v>758</v>
      </c>
      <c r="B96" s="1268">
        <f>'План 2-я неделя'!C195</f>
        <v>110</v>
      </c>
      <c r="C96" s="1268" t="str">
        <f>'План 2-я неделя'!D195</f>
        <v>Завтрак</v>
      </c>
      <c r="D96" s="1268" t="str">
        <f>'План 2-я неделя'!E195</f>
        <v>Блинчики с творогом и вишней</v>
      </c>
      <c r="E96" s="2576" t="str">
        <f>'План 2-я неделя'!BL195</f>
        <v/>
      </c>
      <c r="F96" s="962" t="str">
        <f>'План 2-я неделя'!BN195</f>
        <v/>
      </c>
      <c r="G96" s="962">
        <f>'План 2-я неделя'!BP195+F96</f>
        <v>114</v>
      </c>
      <c r="H96" s="962">
        <f t="shared" si="7"/>
        <v>12540</v>
      </c>
      <c r="I96" s="2587">
        <f>'План 2-я неделя'!BQ195</f>
        <v>113</v>
      </c>
      <c r="J96" s="2600">
        <f t="shared" si="8"/>
        <v>12430</v>
      </c>
    </row>
    <row r="97">
      <c r="A97" s="1268">
        <f>'План 2-я неделя'!B196</f>
        <v>3398</v>
      </c>
      <c r="B97" s="1268">
        <f>'План 2-я неделя'!C196</f>
        <v>98</v>
      </c>
      <c r="C97" s="1268" t="str">
        <f>'План 2-я неделя'!D196</f>
        <v>Салат</v>
      </c>
      <c r="D97" s="1268" t="str">
        <f>'План 2-я неделя'!E196</f>
        <v>Салат ''Витаминный'' 120 г</v>
      </c>
      <c r="E97" s="2576">
        <f>'План 2-я неделя'!BL196</f>
        <v>44</v>
      </c>
      <c r="F97" s="962">
        <f>'План 2-я неделя'!BN196</f>
        <v>5</v>
      </c>
      <c r="G97" s="962">
        <f>'План 2-я неделя'!BP196+F97</f>
        <v>122</v>
      </c>
      <c r="H97" s="962">
        <f t="shared" si="7"/>
        <v>11956</v>
      </c>
      <c r="I97" s="2587">
        <f>'План 2-я неделя'!BQ196</f>
        <v>116</v>
      </c>
      <c r="J97" s="2600">
        <f t="shared" si="8"/>
        <v>11368</v>
      </c>
    </row>
    <row r="98">
      <c r="A98" s="1268">
        <f>'План 2-я неделя'!B197</f>
        <v>1160</v>
      </c>
      <c r="B98" s="1268">
        <f>'План 2-я неделя'!C197</f>
        <v>98</v>
      </c>
      <c r="C98" s="1268" t="str">
        <f>'План 2-я неделя'!D197</f>
        <v>Салат</v>
      </c>
      <c r="D98" s="1268" t="str">
        <f>'План 2-я неделя'!E197</f>
        <v>Салат ''Пикник'' (печень)</v>
      </c>
      <c r="E98" s="2576">
        <f>'План 2-я неделя'!BL197</f>
        <v>43</v>
      </c>
      <c r="F98" s="962">
        <f>'План 2-я неделя'!BN197</f>
        <v>10</v>
      </c>
      <c r="G98" s="962">
        <f>'План 2-я неделя'!BP197+F98</f>
        <v>167</v>
      </c>
      <c r="H98" s="962">
        <f t="shared" si="7"/>
        <v>16366</v>
      </c>
      <c r="I98" s="2587">
        <f>'План 2-я неделя'!BQ197</f>
        <v>156</v>
      </c>
      <c r="J98" s="2600">
        <f t="shared" si="8"/>
        <v>15288</v>
      </c>
    </row>
    <row r="99">
      <c r="A99" s="1268">
        <f>'План 2-я неделя'!B198</f>
        <v>31</v>
      </c>
      <c r="B99" s="1268">
        <f>'План 2-я неделя'!C198</f>
        <v>98</v>
      </c>
      <c r="C99" s="1268" t="str">
        <f>'План 2-я неделя'!D198</f>
        <v>Салат</v>
      </c>
      <c r="D99" s="1268" t="str">
        <f>'План 2-я неделя'!E198</f>
        <v>Салат ''Прага'' (ветчина кур.)</v>
      </c>
      <c r="E99" s="2576">
        <f>'План 2-я неделя'!BL198</f>
        <v>43</v>
      </c>
      <c r="F99" s="962" t="str">
        <f>'План 2-я неделя'!BN198</f>
        <v/>
      </c>
      <c r="G99" s="962">
        <f>'План 2-я неделя'!BP198+F99</f>
        <v>179</v>
      </c>
      <c r="H99" s="962">
        <f t="shared" si="7"/>
        <v>17542</v>
      </c>
      <c r="I99" s="2587">
        <f>'План 2-я неделя'!BQ198</f>
        <v>178</v>
      </c>
      <c r="J99" s="2600">
        <f t="shared" si="8"/>
        <v>17444</v>
      </c>
    </row>
    <row r="100">
      <c r="A100" s="1268">
        <f>'План 2-я неделя'!B199</f>
        <v>4260</v>
      </c>
      <c r="B100" s="1268">
        <f>'План 2-я неделя'!C199</f>
        <v>238</v>
      </c>
      <c r="C100" s="1268" t="str">
        <f>'План 2-я неделя'!D199</f>
        <v>Премиум</v>
      </c>
      <c r="D100" s="1268" t="str">
        <f>'План 2-я неделя'!E199</f>
        <v>Зеленый боул с курицей и овощами</v>
      </c>
      <c r="E100" s="2576" t="str">
        <f>'План 2-я неделя'!BL199</f>
        <v/>
      </c>
      <c r="F100" s="962" t="str">
        <f>'План 2-я неделя'!BN199</f>
        <v/>
      </c>
      <c r="G100" s="962">
        <f>'План 2-я неделя'!BP199+F100</f>
        <v>82</v>
      </c>
      <c r="H100" s="962">
        <f t="shared" si="7"/>
        <v>19516</v>
      </c>
      <c r="I100" s="2587">
        <f>'План 2-я неделя'!BQ199</f>
        <v>81</v>
      </c>
      <c r="J100" s="2600">
        <f t="shared" si="8"/>
        <v>19278</v>
      </c>
    </row>
    <row r="101">
      <c r="A101" s="1268">
        <f>'План 2-я неделя'!B200</f>
        <v>380</v>
      </c>
      <c r="B101" s="1268">
        <f>'План 2-я неделя'!C200</f>
        <v>114</v>
      </c>
      <c r="C101" s="1268" t="str">
        <f>'План 2-я неделя'!D200</f>
        <v>Суп</v>
      </c>
      <c r="D101" s="1268" t="str">
        <f>'План 2-я неделя'!E200</f>
        <v>Солянка</v>
      </c>
      <c r="E101" s="2576">
        <f>'План 2-я неделя'!BL200</f>
        <v>110</v>
      </c>
      <c r="F101" s="962">
        <f>'План 2-я неделя'!BN200</f>
        <v>20</v>
      </c>
      <c r="G101" s="962">
        <f>'План 2-я неделя'!BP200+F101</f>
        <v>131</v>
      </c>
      <c r="H101" s="962">
        <f t="shared" si="7"/>
        <v>14934</v>
      </c>
      <c r="I101" s="2587">
        <f>'План 2-я неделя'!BQ200</f>
        <v>110</v>
      </c>
      <c r="J101" s="2600">
        <f t="shared" si="8"/>
        <v>12540</v>
      </c>
    </row>
    <row r="102">
      <c r="A102" s="1268" t="str">
        <f>'План 2-я неделя'!B201</f>
        <v/>
      </c>
      <c r="B102" s="1268" t="str">
        <f>'План 2-я неделя'!C201</f>
        <v/>
      </c>
      <c r="C102" s="1268" t="str">
        <f>'План 2-я неделя'!D201</f>
        <v/>
      </c>
      <c r="D102" s="1268" t="str">
        <f>'План 2-я неделя'!E201</f>
        <v/>
      </c>
      <c r="E102" s="2576" t="str">
        <f>'План 2-я неделя'!BL201</f>
        <v/>
      </c>
      <c r="F102" s="962" t="str">
        <f>'План 2-я неделя'!BN201</f>
        <v/>
      </c>
      <c r="G102" s="962">
        <f>'План 2-я неделя'!BP201+F102</f>
        <v>1</v>
      </c>
      <c r="H102" s="962">
        <f t="shared" si="7"/>
        <v>0</v>
      </c>
      <c r="I102" s="2587">
        <f>'План 2-я неделя'!BQ201</f>
        <v>0</v>
      </c>
      <c r="J102" s="2600">
        <f t="shared" si="8"/>
        <v>0</v>
      </c>
    </row>
    <row r="103">
      <c r="A103" s="1268">
        <f>'План 2-я неделя'!B202</f>
        <v>3889</v>
      </c>
      <c r="B103" s="1268">
        <f>'План 2-я неделя'!C202</f>
        <v>264</v>
      </c>
      <c r="C103" s="1268" t="str">
        <f>'План 2-я неделя'!D202</f>
        <v>Второе</v>
      </c>
      <c r="D103" s="1268" t="str">
        <f>'План 2-я неделя'!E202</f>
        <v>Купаты куриные с овощным гарниром</v>
      </c>
      <c r="E103" s="2576" t="str">
        <f>'План 2-я неделя'!BL202</f>
        <v/>
      </c>
      <c r="F103" s="962">
        <f>'План 2-я неделя'!BN202</f>
        <v>10</v>
      </c>
      <c r="G103" s="962">
        <f>'План 2-я неделя'!BP202+F103</f>
        <v>137</v>
      </c>
      <c r="H103" s="962">
        <f t="shared" si="7"/>
        <v>36168</v>
      </c>
      <c r="I103" s="2587">
        <f>'План 2-я неделя'!BQ202</f>
        <v>126</v>
      </c>
      <c r="J103" s="2600">
        <f t="shared" si="8"/>
        <v>33264</v>
      </c>
    </row>
    <row r="104">
      <c r="A104" s="1268">
        <f>'План 2-я неделя'!B203</f>
        <v>1899</v>
      </c>
      <c r="B104" s="1268">
        <f>'План 2-я неделя'!C203</f>
        <v>278</v>
      </c>
      <c r="C104" s="1268" t="str">
        <f>'План 2-я неделя'!D203</f>
        <v>Второе</v>
      </c>
      <c r="D104" s="1268" t="str">
        <f>'План 2-я неделя'!E203</f>
        <v>Горбуша в сырной корочке с картофелем</v>
      </c>
      <c r="E104" s="2576" t="str">
        <f>'План 2-я неделя'!BL203</f>
        <v/>
      </c>
      <c r="F104" s="962" t="str">
        <f>'План 2-я неделя'!BN203</f>
        <v/>
      </c>
      <c r="G104" s="962">
        <f>'План 2-я неделя'!BP203+F104</f>
        <v>122</v>
      </c>
      <c r="H104" s="962">
        <f t="shared" si="7"/>
        <v>33916</v>
      </c>
      <c r="I104" s="2587">
        <f>'План 2-я неделя'!BQ203</f>
        <v>93</v>
      </c>
      <c r="J104" s="2600">
        <f t="shared" si="8"/>
        <v>25854</v>
      </c>
    </row>
    <row r="105">
      <c r="A105" s="1268">
        <f>'План 2-я неделя'!B204</f>
        <v>965</v>
      </c>
      <c r="B105" s="1268">
        <f>'План 2-я неделя'!C204</f>
        <v>195</v>
      </c>
      <c r="C105" s="1268" t="str">
        <f>'План 2-я неделя'!D204</f>
        <v>Второе</v>
      </c>
      <c r="D105" s="1268" t="str">
        <f>'План 2-я неделя'!E204</f>
        <v>Гуляш из свинины с макаронами</v>
      </c>
      <c r="E105" s="2576">
        <f>'План 2-я неделя'!BL204</f>
        <v>25</v>
      </c>
      <c r="F105" s="962" t="str">
        <f>'План 2-я неделя'!BN204</f>
        <v/>
      </c>
      <c r="G105" s="962">
        <f>'План 2-я неделя'!BP204+F105</f>
        <v>146</v>
      </c>
      <c r="H105" s="962">
        <f t="shared" si="7"/>
        <v>28470</v>
      </c>
      <c r="I105" s="2587">
        <f>'План 2-я неделя'!BQ204</f>
        <v>145</v>
      </c>
      <c r="J105" s="2600">
        <f t="shared" si="8"/>
        <v>28275</v>
      </c>
    </row>
    <row r="106">
      <c r="A106" s="1268">
        <f>'План 2-я неделя'!B205</f>
        <v>4176</v>
      </c>
      <c r="B106" s="1268">
        <f>'План 2-я неделя'!C205</f>
        <v>221</v>
      </c>
      <c r="C106" s="1268" t="str">
        <f>'План 2-я неделя'!D205</f>
        <v>Второе</v>
      </c>
      <c r="D106" s="1268" t="str">
        <f>'План 2-я неделя'!E205</f>
        <v>Курочка в сырном соусе с картофелем</v>
      </c>
      <c r="E106" s="2576">
        <f>'План 2-я неделя'!BL205</f>
        <v>25</v>
      </c>
      <c r="F106" s="962" t="str">
        <f>'План 2-я неделя'!BN205</f>
        <v/>
      </c>
      <c r="G106" s="962">
        <f>'План 2-я неделя'!BP205+F106</f>
        <v>26</v>
      </c>
      <c r="H106" s="962">
        <f t="shared" si="7"/>
        <v>5746</v>
      </c>
      <c r="I106" s="2587">
        <f>'План 2-я неделя'!BQ205</f>
        <v>25</v>
      </c>
      <c r="J106" s="2600">
        <f t="shared" si="8"/>
        <v>5525</v>
      </c>
    </row>
    <row r="107">
      <c r="A107" s="1268">
        <f>'План 2-я неделя'!B206</f>
        <v>4099</v>
      </c>
      <c r="B107" s="1268">
        <f>'План 2-я неделя'!C206</f>
        <v>221</v>
      </c>
      <c r="C107" s="1268" t="str">
        <f>'План 2-я неделя'!D206</f>
        <v>Второе</v>
      </c>
      <c r="D107" s="1268" t="str">
        <f>'План 2-я неделя'!E206</f>
        <v>Курочка в сырном соусе со спагетти </v>
      </c>
      <c r="E107" s="2576" t="str">
        <f>'План 2-я неделя'!BL206</f>
        <v/>
      </c>
      <c r="F107" s="962">
        <f>'План 2-я неделя'!BN206</f>
        <v>10</v>
      </c>
      <c r="G107" s="962">
        <f>'План 2-я неделя'!BP206+F107</f>
        <v>154</v>
      </c>
      <c r="H107" s="962">
        <f t="shared" si="7"/>
        <v>34034</v>
      </c>
      <c r="I107" s="2587">
        <f>'План 2-я неделя'!BQ206</f>
        <v>143</v>
      </c>
      <c r="J107" s="2600">
        <f t="shared" si="8"/>
        <v>31603</v>
      </c>
    </row>
    <row r="108">
      <c r="A108" s="1268">
        <f>'План 2-я неделя'!B207</f>
        <v>2022</v>
      </c>
      <c r="B108" s="1268">
        <f>'План 2-я неделя'!C207</f>
        <v>216</v>
      </c>
      <c r="C108" s="1268" t="str">
        <f>'План 2-я неделя'!D207</f>
        <v>Второе</v>
      </c>
      <c r="D108" s="1268" t="str">
        <f>'План 2-я неделя'!E207</f>
        <v>Горбуша в томатном соусе с рисом</v>
      </c>
      <c r="E108" s="2576">
        <f>'План 2-я неделя'!BL207</f>
        <v>80</v>
      </c>
      <c r="F108" s="962" t="str">
        <f>'План 2-я неделя'!BN207</f>
        <v/>
      </c>
      <c r="G108" s="962">
        <f>'План 2-я неделя'!BP207+F108</f>
        <v>81</v>
      </c>
      <c r="H108" s="962">
        <f t="shared" si="7"/>
        <v>17496</v>
      </c>
      <c r="I108" s="2587">
        <f>'План 2-я неделя'!BQ207</f>
        <v>78</v>
      </c>
      <c r="J108" s="2600">
        <f t="shared" si="8"/>
        <v>16848</v>
      </c>
    </row>
    <row r="109">
      <c r="A109" s="1268">
        <f>'План 2-я неделя'!B208</f>
        <v>4257</v>
      </c>
      <c r="B109" s="1268">
        <f>'План 2-я неделя'!C208</f>
        <v>237</v>
      </c>
      <c r="C109" s="1268" t="str">
        <f>'План 2-я неделя'!D208</f>
        <v>Премиум</v>
      </c>
      <c r="D109" s="1268" t="str">
        <f>'План 2-я неделя'!E208</f>
        <v>Куриный биточек с цукини и овощами</v>
      </c>
      <c r="E109" s="2576" t="str">
        <f>'План 2-я неделя'!BL208</f>
        <v/>
      </c>
      <c r="F109" s="962" t="str">
        <f>'План 2-я неделя'!BN208</f>
        <v/>
      </c>
      <c r="G109" s="962">
        <f>'План 2-я неделя'!BP208+F109</f>
        <v>93</v>
      </c>
      <c r="H109" s="962">
        <f t="shared" si="7"/>
        <v>22041</v>
      </c>
      <c r="I109" s="2587">
        <f>'План 2-я неделя'!BQ208</f>
        <v>92</v>
      </c>
      <c r="J109" s="2600">
        <f t="shared" si="8"/>
        <v>21804</v>
      </c>
    </row>
    <row r="110">
      <c r="A110" s="1268">
        <f>'План 2-я неделя'!B209</f>
        <v>1826</v>
      </c>
      <c r="B110" s="1268">
        <f>'План 2-я неделя'!C209</f>
        <v>243</v>
      </c>
      <c r="C110" s="1268" t="str">
        <f>'План 2-я неделя'!D209</f>
        <v>Второе</v>
      </c>
      <c r="D110" s="1268" t="str">
        <f>'План 2-я неделя'!E209</f>
        <v>Купаты куриные с картофелем</v>
      </c>
      <c r="E110" s="2576" t="str">
        <f>'План 2-я неделя'!BL209</f>
        <v/>
      </c>
      <c r="F110" s="962" t="str">
        <f>'План 2-я неделя'!BN209</f>
        <v/>
      </c>
      <c r="G110" s="962">
        <f>'План 2-я неделя'!BP209+F110</f>
        <v>1</v>
      </c>
      <c r="H110" s="962">
        <f t="shared" si="7"/>
        <v>243</v>
      </c>
      <c r="I110" s="2587">
        <f>'План 2-я неделя'!BQ209</f>
        <v>15</v>
      </c>
      <c r="J110" s="2600">
        <f t="shared" si="8"/>
        <v>3645</v>
      </c>
    </row>
    <row r="111">
      <c r="A111" s="1268">
        <f>'План 2-я неделя'!B210</f>
        <v>3454</v>
      </c>
      <c r="B111" s="1268">
        <f>'План 2-я неделя'!C210</f>
        <v>67</v>
      </c>
      <c r="C111" s="1268" t="str">
        <f>'План 2-я неделя'!D210</f>
        <v>Выпечка</v>
      </c>
      <c r="D111" s="1268" t="str">
        <f>'План 2-я неделя'!E210</f>
        <v>Рулетик с корицей 100 гр</v>
      </c>
      <c r="E111" s="2576">
        <f>'План 2-я неделя'!BL210</f>
        <v>11</v>
      </c>
      <c r="F111" s="962" t="str">
        <f>'План 2-я неделя'!BN210</f>
        <v/>
      </c>
      <c r="G111" s="962">
        <f>'План 2-я неделя'!BP210+F111</f>
        <v>12</v>
      </c>
      <c r="H111" s="962">
        <f t="shared" si="7"/>
        <v>804</v>
      </c>
      <c r="I111" s="2587">
        <f>'План 2-я неделя'!BQ210</f>
        <v>15</v>
      </c>
      <c r="J111" s="2600">
        <f t="shared" si="8"/>
        <v>1005</v>
      </c>
    </row>
    <row r="112">
      <c r="A112" s="1268">
        <f>'План 2-я неделя'!B211</f>
        <v>3527</v>
      </c>
      <c r="B112" s="1268">
        <f>'План 2-я неделя'!C211</f>
        <v>96</v>
      </c>
      <c r="C112" s="1268" t="str">
        <f>'План 2-я неделя'!D211</f>
        <v>Выпечка</v>
      </c>
      <c r="D112" s="1268" t="str">
        <f>'План 2-я неделя'!E211</f>
        <v>Хачапури 100 гр</v>
      </c>
      <c r="E112" s="2576">
        <f>'План 2-я неделя'!BL211</f>
        <v>12</v>
      </c>
      <c r="F112" s="962" t="str">
        <f>'План 2-я неделя'!BN211</f>
        <v/>
      </c>
      <c r="G112" s="962">
        <f>'План 2-я неделя'!BP211+F112</f>
        <v>13</v>
      </c>
      <c r="H112" s="962">
        <f t="shared" si="7"/>
        <v>1248</v>
      </c>
      <c r="I112" s="2587">
        <f>'План 2-я неделя'!BQ211</f>
        <v>20</v>
      </c>
      <c r="J112" s="2600">
        <f t="shared" si="8"/>
        <v>1920</v>
      </c>
    </row>
    <row r="113">
      <c r="A113" s="1268">
        <f>'План 2-я неделя'!B212</f>
        <v>2079</v>
      </c>
      <c r="B113" s="1268">
        <f>'План 2-я неделя'!C212</f>
        <v>105</v>
      </c>
      <c r="C113" s="1268" t="str">
        <f>'План 2-я неделя'!D212</f>
        <v>Выпечка</v>
      </c>
      <c r="D113" s="1268" t="str">
        <f>'План 2-я неделя'!E212</f>
        <v>Вафельная трубочка с вареной сгущенкой</v>
      </c>
      <c r="E113" s="2576" t="str">
        <f>'План 2-я неделя'!BL212</f>
        <v/>
      </c>
      <c r="F113" s="962" t="str">
        <f>'План 2-я неделя'!BN212</f>
        <v/>
      </c>
      <c r="G113" s="962">
        <f>'План 2-я неделя'!BP212+F113</f>
        <v>271</v>
      </c>
      <c r="H113" s="962">
        <f t="shared" si="7"/>
        <v>28455</v>
      </c>
      <c r="I113" s="2587">
        <f>'План 2-я неделя'!BQ212</f>
        <v>270</v>
      </c>
      <c r="J113" s="2600">
        <f t="shared" si="8"/>
        <v>28350</v>
      </c>
    </row>
    <row r="114">
      <c r="A114" s="1268">
        <f>'План 2-я неделя'!B213</f>
        <v>2083</v>
      </c>
      <c r="B114" s="1268">
        <f>'План 2-я неделя'!C213</f>
        <v>158</v>
      </c>
      <c r="C114" s="1268" t="str">
        <f>'План 2-я неделя'!D213</f>
        <v>Сэндвич</v>
      </c>
      <c r="D114" s="1268" t="str">
        <f>'План 2-я неделя'!E213</f>
        <v>Сэндвич ''Цезарь''</v>
      </c>
      <c r="E114" s="2576" t="str">
        <f>'План 2-я неделя'!BL213</f>
        <v/>
      </c>
      <c r="F114" s="962" t="str">
        <f>'План 2-я неделя'!BN213</f>
        <v/>
      </c>
      <c r="G114" s="962">
        <f>'План 2-я неделя'!BP213+F114</f>
        <v>124</v>
      </c>
      <c r="H114" s="962">
        <f t="shared" si="7"/>
        <v>19592</v>
      </c>
      <c r="I114" s="2587">
        <f>'План 2-я неделя'!BQ213</f>
        <v>123</v>
      </c>
      <c r="J114" s="2600">
        <f t="shared" si="8"/>
        <v>19434</v>
      </c>
    </row>
    <row r="115">
      <c r="A115" s="1268">
        <f>'План 2-я неделя'!B214</f>
        <v>2782</v>
      </c>
      <c r="B115" s="1268">
        <f>'План 2-я неделя'!C214</f>
        <v>170</v>
      </c>
      <c r="C115" s="1268" t="str">
        <f>'План 2-я неделя'!D214</f>
        <v>Сэндвич</v>
      </c>
      <c r="D115" s="1268" t="str">
        <f>'План 2-я неделя'!E214</f>
        <v>Сэндвич с пепперони и сыром</v>
      </c>
      <c r="E115" s="2576" t="str">
        <f>'План 2-я неделя'!BL214</f>
        <v/>
      </c>
      <c r="F115" s="962" t="str">
        <f>'План 2-я неделя'!BN214</f>
        <v/>
      </c>
      <c r="G115" s="962">
        <f>'План 2-я неделя'!BP214+F115</f>
        <v>131</v>
      </c>
      <c r="H115" s="962">
        <f t="shared" si="7"/>
        <v>22270</v>
      </c>
      <c r="I115" s="2587">
        <f>'План 2-я неделя'!BQ214</f>
        <v>130</v>
      </c>
      <c r="J115" s="2600">
        <f t="shared" si="8"/>
        <v>22100</v>
      </c>
    </row>
    <row r="116">
      <c r="A116" s="1268">
        <f>'План 2-я неделя'!B215</f>
        <v>4265</v>
      </c>
      <c r="B116" s="1268">
        <f>'План 2-я неделя'!C215</f>
        <v>128</v>
      </c>
      <c r="C116" s="1268" t="str">
        <f>'План 2-я неделя'!D215</f>
        <v>Япония</v>
      </c>
      <c r="D116" s="1268" t="str">
        <f>'План 2-я неделя'!E215</f>
        <v>Трайфл "Маковый"</v>
      </c>
      <c r="E116" s="2576" t="str">
        <f>'План 2-я неделя'!BL215</f>
        <v/>
      </c>
      <c r="F116" s="962" t="str">
        <f>'План 2-я неделя'!BN215</f>
        <v/>
      </c>
      <c r="G116" s="962">
        <f>'План 2-я неделя'!BP215+F116</f>
        <v>1</v>
      </c>
      <c r="H116" s="962">
        <f t="shared" si="7"/>
        <v>128</v>
      </c>
      <c r="I116" s="2598">
        <f>'План 2-я неделя'!BQ215</f>
        <v>23</v>
      </c>
      <c r="J116" s="2600">
        <f t="shared" si="8"/>
        <v>2944</v>
      </c>
    </row>
    <row r="117">
      <c r="A117" s="1268">
        <f>'План 2-я неделя'!B216</f>
        <v>4173</v>
      </c>
      <c r="B117" s="1268">
        <f>'План 2-я неделя'!C216</f>
        <v>98</v>
      </c>
      <c r="C117" s="1268" t="str">
        <f>'План 2-я неделя'!D216</f>
        <v>Япония</v>
      </c>
      <c r="D117" s="1268" t="str">
        <f>'План 2-я неделя'!E216</f>
        <v>Морс клюквенный 0,5 л</v>
      </c>
      <c r="E117" s="2576" t="str">
        <f>'План 2-я неделя'!BL216</f>
        <v/>
      </c>
      <c r="F117" s="962" t="str">
        <f>'План 2-я неделя'!BN216</f>
        <v/>
      </c>
      <c r="G117" s="962">
        <f>'План 2-я неделя'!BP216+F117</f>
        <v>136</v>
      </c>
      <c r="H117" s="962">
        <f t="shared" si="7"/>
        <v>13328</v>
      </c>
      <c r="I117" s="2587">
        <f>'План 2-я неделя'!BQ216</f>
        <v>223</v>
      </c>
      <c r="J117" s="2600">
        <f t="shared" si="8"/>
        <v>21854</v>
      </c>
    </row>
    <row r="118">
      <c r="A118" s="1268">
        <f>'План 2-я неделя'!B217</f>
        <v>822</v>
      </c>
      <c r="B118" s="1268">
        <f>'План 2-я неделя'!C217</f>
        <v>5</v>
      </c>
      <c r="C118" s="1268" t="str">
        <f>'План 2-я неделя'!D217</f>
        <v>Суп</v>
      </c>
      <c r="D118" s="1268" t="str">
        <f>'План 2-я неделя'!E217</f>
        <v>Хлеб пшеничный</v>
      </c>
      <c r="E118" s="2576">
        <f>'План 2-я неделя'!BL217</f>
        <v>120</v>
      </c>
      <c r="F118" s="962" t="str">
        <f>'План 2-я неделя'!BN217</f>
        <v/>
      </c>
      <c r="G118" s="962">
        <f>'План 2-я неделя'!BP217+F118</f>
        <v>210</v>
      </c>
      <c r="H118" s="962">
        <f t="shared" si="7"/>
        <v>1050</v>
      </c>
      <c r="I118" s="2587">
        <f>'План 2-я неделя'!BQ217</f>
        <v>209</v>
      </c>
      <c r="J118" s="2600">
        <f t="shared" si="8"/>
        <v>1045</v>
      </c>
    </row>
    <row r="119">
      <c r="A119" s="1268" t="str">
        <f>'План 2-я неделя'!B218</f>
        <v/>
      </c>
      <c r="B119" s="1268" t="str">
        <f>'План 2-я неделя'!C218</f>
        <v/>
      </c>
      <c r="C119" s="1268" t="str">
        <f>'План 2-я неделя'!D218</f>
        <v/>
      </c>
      <c r="D119" s="1268" t="str">
        <f>'План 2-я неделя'!E218</f>
        <v/>
      </c>
      <c r="E119" s="2576" t="str">
        <f>'План 2-я неделя'!BL218</f>
        <v/>
      </c>
      <c r="F119" s="962" t="str">
        <f>'План 2-я неделя'!BN218</f>
        <v/>
      </c>
      <c r="G119" s="962">
        <f>'План 2-я неделя'!BP218+F119</f>
        <v>1</v>
      </c>
      <c r="H119" s="962">
        <f t="shared" si="7"/>
        <v>0</v>
      </c>
      <c r="I119" s="2587">
        <f>'План 2-я неделя'!BQ218</f>
        <v>0</v>
      </c>
      <c r="J119" s="2600">
        <f t="shared" si="8"/>
        <v>0</v>
      </c>
    </row>
    <row r="120">
      <c r="A120" s="1268" t="str">
        <f>'План 2-я неделя'!B219</f>
        <v/>
      </c>
      <c r="B120" s="1268" t="str">
        <f>'План 2-я неделя'!C219</f>
        <v/>
      </c>
      <c r="C120" s="1268" t="str">
        <f>'План 2-я неделя'!D219</f>
        <v/>
      </c>
      <c r="D120" s="1268" t="str">
        <f>'План 2-я неделя'!E219</f>
        <v/>
      </c>
      <c r="E120" s="2576" t="str">
        <f>'План 2-я неделя'!BL219</f>
        <v/>
      </c>
      <c r="F120" s="962" t="str">
        <f>'План 2-я неделя'!BN219</f>
        <v/>
      </c>
      <c r="G120" s="962">
        <f>'План 2-я неделя'!BP219+F120</f>
        <v>1</v>
      </c>
      <c r="H120" s="962">
        <f t="shared" si="7"/>
        <v>0</v>
      </c>
      <c r="I120" s="2587">
        <f>'План 2-я неделя'!BQ219</f>
        <v>0</v>
      </c>
      <c r="J120" s="2600">
        <f t="shared" si="8"/>
        <v>0</v>
      </c>
    </row>
    <row r="121">
      <c r="I121" s="2570"/>
      <c r="J121" s="2599"/>
    </row>
    <row r="122">
      <c r="A122" s="2607" t="str">
        <f>'План 2-я неделя'!A253</f>
        <v>Дата:  </v>
      </c>
      <c r="B122" s="2628">
        <f>'План 2-я неделя'!D253</f>
        <v>46240</v>
      </c>
      <c r="C122" s="2607"/>
      <c r="D122" s="2607" t="str">
        <f>'План 2-я неделя'!E253</f>
        <v>План на день кухня      ЧЕТВЕРГ</v>
      </c>
      <c r="H122" s="1346">
        <f>SUM(H124:H149)</f>
        <v>348653</v>
      </c>
      <c r="I122" s="2570"/>
      <c r="J122" s="2572">
        <f>SUM(J124:J149)</f>
        <v>334631</v>
      </c>
      <c r="K122" s="1346">
        <f>J122-H122</f>
        <v>-14022</v>
      </c>
    </row>
    <row r="123">
      <c r="A123" s="2575" t="str">
        <f>'План 2-я неделя'!B254</f>
        <v>Код №</v>
      </c>
      <c r="B123" s="2575" t="str">
        <f>'План 2-я неделя'!C254</f>
        <v>Цена</v>
      </c>
      <c r="C123" s="2575" t="str">
        <f>'План 2-я неделя'!D254</f>
        <v>категория</v>
      </c>
      <c r="D123" s="2575" t="str">
        <f>'План 2-я неделя'!E254</f>
        <v>Название блюда</v>
      </c>
      <c r="E123" s="2576" t="str">
        <f>'План 2-я неделя'!BL254</f>
        <v>ТСПК</v>
      </c>
      <c r="F123" s="2165" t="s">
        <v>3090</v>
      </c>
      <c r="G123" s="2165" t="s">
        <v>3421</v>
      </c>
      <c r="H123" s="2165" t="s">
        <v>3422</v>
      </c>
      <c r="I123" s="2578" t="s">
        <v>3424</v>
      </c>
      <c r="J123" s="2578" t="s">
        <v>3425</v>
      </c>
    </row>
    <row r="124">
      <c r="A124" s="962">
        <f>'План 2-я неделя'!B255</f>
        <v>89</v>
      </c>
      <c r="B124" s="962">
        <f>'План 2-я неделя'!C255</f>
        <v>135</v>
      </c>
      <c r="C124" s="962" t="str">
        <f>'План 2-я неделя'!D255</f>
        <v>Завтрак</v>
      </c>
      <c r="D124" s="962" t="str">
        <f>'План 2-я неделя'!E255</f>
        <v>Блин с ветчиной и сыром</v>
      </c>
      <c r="E124" s="2576" t="str">
        <f>'План 2-я неделя'!BL255</f>
        <v/>
      </c>
      <c r="F124" s="2602" t="str">
        <f>'План 2-я неделя'!BN255</f>
        <v/>
      </c>
      <c r="G124" s="2602">
        <f>'План 2-я неделя'!BP255+F124</f>
        <v>155</v>
      </c>
      <c r="H124" s="962">
        <f t="shared" ref="H124:H149" si="9">B124*G124</f>
        <v>20925</v>
      </c>
      <c r="I124" s="2598">
        <f>'План 2-я неделя'!BQ255</f>
        <v>154</v>
      </c>
      <c r="J124" s="2600">
        <f t="shared" ref="J124:J149" si="10">B124*I124</f>
        <v>20790</v>
      </c>
    </row>
    <row r="125">
      <c r="A125" s="962">
        <f>'План 2-я неделя'!B256</f>
        <v>385</v>
      </c>
      <c r="B125" s="962">
        <f>'План 2-я неделя'!C256</f>
        <v>83</v>
      </c>
      <c r="C125" s="962" t="str">
        <f>'План 2-я неделя'!D256</f>
        <v>Завтрак</v>
      </c>
      <c r="D125" s="962" t="str">
        <f>'План 2-я неделя'!E256</f>
        <v>Омлет воздушный</v>
      </c>
      <c r="E125" s="2576" t="str">
        <f>'План 2-я неделя'!BL256</f>
        <v/>
      </c>
      <c r="F125" s="2602" t="str">
        <f>'План 2-я неделя'!BN256</f>
        <v/>
      </c>
      <c r="G125" s="2602">
        <f>'План 2-я неделя'!BP256+F125</f>
        <v>124</v>
      </c>
      <c r="H125" s="962">
        <f t="shared" si="9"/>
        <v>10292</v>
      </c>
      <c r="I125" s="2598">
        <f>'План 2-я неделя'!BQ256</f>
        <v>123</v>
      </c>
      <c r="J125" s="2600">
        <f t="shared" si="10"/>
        <v>10209</v>
      </c>
    </row>
    <row r="126">
      <c r="A126" s="962">
        <f>'План 2-я неделя'!B257</f>
        <v>138</v>
      </c>
      <c r="B126" s="962">
        <f>'План 2-я неделя'!C257</f>
        <v>83</v>
      </c>
      <c r="C126" s="962" t="str">
        <f>'План 2-я неделя'!D257</f>
        <v>Завтрак</v>
      </c>
      <c r="D126" s="962" t="str">
        <f>'План 2-я неделя'!E257</f>
        <v>Каша рисовая (на молоке)</v>
      </c>
      <c r="E126" s="2576" t="str">
        <f>'План 2-я неделя'!BL257</f>
        <v/>
      </c>
      <c r="F126" s="2602" t="str">
        <f>'План 2-я неделя'!BN257</f>
        <v/>
      </c>
      <c r="G126" s="2602">
        <f>'План 2-я неделя'!BP257+F126</f>
        <v>89</v>
      </c>
      <c r="H126" s="962">
        <f t="shared" si="9"/>
        <v>7387</v>
      </c>
      <c r="I126" s="2598">
        <f>'План 2-я неделя'!BQ257</f>
        <v>88</v>
      </c>
      <c r="J126" s="2600">
        <f t="shared" si="10"/>
        <v>7304</v>
      </c>
    </row>
    <row r="127">
      <c r="A127" s="962">
        <f>'План 2-я неделя'!B258</f>
        <v>3433</v>
      </c>
      <c r="B127" s="962">
        <f>'План 2-я неделя'!C258</f>
        <v>98</v>
      </c>
      <c r="C127" s="962" t="str">
        <f>'План 2-я неделя'!D258</f>
        <v>Салат</v>
      </c>
      <c r="D127" s="962" t="str">
        <f>'План 2-я неделя'!E258</f>
        <v>Салат ''Спаржа с курицей' 110 гр</v>
      </c>
      <c r="E127" s="2576">
        <f>'План 2-я неделя'!BL258</f>
        <v>44</v>
      </c>
      <c r="F127" s="962" t="str">
        <f>'План 2-я неделя'!BN258</f>
        <v/>
      </c>
      <c r="G127" s="962">
        <f>'План 2-я неделя'!BP258+F127</f>
        <v>194</v>
      </c>
      <c r="H127" s="962">
        <f t="shared" si="9"/>
        <v>19012</v>
      </c>
      <c r="I127" s="2587">
        <f>'План 2-я неделя'!BQ258</f>
        <v>193</v>
      </c>
      <c r="J127" s="2600">
        <f t="shared" si="10"/>
        <v>18914</v>
      </c>
    </row>
    <row r="128">
      <c r="A128" s="962">
        <f>'План 2-я неделя'!B259</f>
        <v>3180</v>
      </c>
      <c r="B128" s="962">
        <f>'План 2-я неделя'!C259</f>
        <v>98</v>
      </c>
      <c r="C128" s="962" t="str">
        <f>'План 2-я неделя'!D259</f>
        <v>Салат</v>
      </c>
      <c r="D128" s="962" t="str">
        <f>'План 2-я неделя'!E259</f>
        <v>Салат ''Морковь по-корейски'' 120 г</v>
      </c>
      <c r="E128" s="2576">
        <f>'План 2-я неделя'!BL259</f>
        <v>43</v>
      </c>
      <c r="F128" s="2602">
        <f>'План 2-я неделя'!BN259</f>
        <v>10</v>
      </c>
      <c r="G128" s="2602">
        <f>'План 2-я неделя'!BP259+F128</f>
        <v>187</v>
      </c>
      <c r="H128" s="962">
        <f t="shared" si="9"/>
        <v>18326</v>
      </c>
      <c r="I128" s="2598">
        <f>'План 2-я неделя'!BQ259</f>
        <v>176</v>
      </c>
      <c r="J128" s="2600">
        <f t="shared" si="10"/>
        <v>17248</v>
      </c>
    </row>
    <row r="129">
      <c r="A129" s="962">
        <f>'План 2-я неделя'!B260</f>
        <v>41</v>
      </c>
      <c r="B129" s="962">
        <f>'План 2-я неделя'!C260</f>
        <v>98</v>
      </c>
      <c r="C129" s="962" t="str">
        <f>'План 2-я неделя'!D260</f>
        <v>Салат</v>
      </c>
      <c r="D129" s="962" t="str">
        <f>'План 2-я неделя'!E260</f>
        <v>Закуска с селёдкой 120 г</v>
      </c>
      <c r="E129" s="2576">
        <f>'План 2-я неделя'!BL260</f>
        <v>43</v>
      </c>
      <c r="F129" s="2602">
        <f>'План 2-я неделя'!BN260</f>
        <v>10</v>
      </c>
      <c r="G129" s="2602">
        <f>'План 2-я неделя'!BP260+F129</f>
        <v>54</v>
      </c>
      <c r="H129" s="962">
        <f t="shared" si="9"/>
        <v>5292</v>
      </c>
      <c r="I129" s="2598">
        <f>'План 2-я неделя'!BQ260</f>
        <v>43</v>
      </c>
      <c r="J129" s="2600">
        <f t="shared" si="10"/>
        <v>4214</v>
      </c>
    </row>
    <row r="130">
      <c r="A130" s="962">
        <f>'План 2-я неделя'!B261</f>
        <v>4089</v>
      </c>
      <c r="B130" s="962">
        <f>'План 2-я неделя'!C261</f>
        <v>210</v>
      </c>
      <c r="C130" s="962" t="str">
        <f>'План 2-я неделя'!D261</f>
        <v>Премиум</v>
      </c>
      <c r="D130" s="962" t="str">
        <f>'План 2-я неделя'!E261</f>
        <v>Салат "Генеральский" (курица, грецкий орех) 220гр</v>
      </c>
      <c r="E130" s="2576" t="str">
        <f>'План 2-я неделя'!BL261</f>
        <v/>
      </c>
      <c r="F130" s="2602" t="str">
        <f>'План 2-я неделя'!BN261</f>
        <v/>
      </c>
      <c r="G130" s="2602">
        <f>'План 2-я неделя'!BP261+F130</f>
        <v>82</v>
      </c>
      <c r="H130" s="962">
        <f t="shared" si="9"/>
        <v>17220</v>
      </c>
      <c r="I130" s="2598">
        <f>'План 2-я неделя'!BQ261</f>
        <v>84</v>
      </c>
      <c r="J130" s="2600">
        <f t="shared" si="10"/>
        <v>17640</v>
      </c>
    </row>
    <row r="131">
      <c r="A131" s="962">
        <f>'План 2-я неделя'!B262</f>
        <v>8</v>
      </c>
      <c r="B131" s="962">
        <f>'План 2-я неделя'!C262</f>
        <v>104</v>
      </c>
      <c r="C131" s="962" t="str">
        <f>'План 2-я неделя'!D262</f>
        <v>Суп</v>
      </c>
      <c r="D131" s="962" t="str">
        <f>'План 2-я неделя'!E262</f>
        <v>Суп гороховый 250 мл</v>
      </c>
      <c r="E131" s="2576">
        <f>'План 2-я неделя'!BL262</f>
        <v>120</v>
      </c>
      <c r="F131" s="2602">
        <f>'План 2-я неделя'!BN262</f>
        <v>30</v>
      </c>
      <c r="G131" s="2602">
        <f>'План 2-я неделя'!BP262+F131</f>
        <v>151</v>
      </c>
      <c r="H131" s="962">
        <f t="shared" si="9"/>
        <v>15704</v>
      </c>
      <c r="I131" s="2598">
        <f>'План 2-я неделя'!BQ262</f>
        <v>125</v>
      </c>
      <c r="J131" s="2600">
        <f t="shared" si="10"/>
        <v>13000</v>
      </c>
    </row>
    <row r="132">
      <c r="A132" s="962">
        <f>'План 2-я неделя'!B263</f>
        <v>372</v>
      </c>
      <c r="B132" s="962">
        <f>'План 2-я неделя'!C263</f>
        <v>198</v>
      </c>
      <c r="C132" s="962" t="str">
        <f>'План 2-я неделя'!D263</f>
        <v>Второе</v>
      </c>
      <c r="D132" s="962" t="str">
        <f>'План 2-я неделя'!E263</f>
        <v>Бедро запеченное с картофелем</v>
      </c>
      <c r="E132" s="2576" t="str">
        <f>'План 2-я неделя'!BL263</f>
        <v/>
      </c>
      <c r="F132" s="2602" t="str">
        <f>'План 2-я неделя'!BN263</f>
        <v/>
      </c>
      <c r="G132" s="2602">
        <f>'План 2-я неделя'!BP263+F132</f>
        <v>109</v>
      </c>
      <c r="H132" s="962">
        <f t="shared" si="9"/>
        <v>21582</v>
      </c>
      <c r="I132" s="2598">
        <f>'План 2-я неделя'!BQ263</f>
        <v>108</v>
      </c>
      <c r="J132" s="2600">
        <f t="shared" si="10"/>
        <v>21384</v>
      </c>
    </row>
    <row r="133">
      <c r="A133" s="962">
        <f>'План 2-я неделя'!B264</f>
        <v>3768</v>
      </c>
      <c r="B133" s="962">
        <f>'План 2-я неделя'!C264</f>
        <v>240</v>
      </c>
      <c r="C133" s="962" t="str">
        <f>'План 2-я неделя'!D264</f>
        <v>Второе</v>
      </c>
      <c r="D133" s="962" t="str">
        <f>'План 2-я неделя'!E264</f>
        <v>Паприкаш из говядины с гречкой</v>
      </c>
      <c r="E133" s="2576">
        <f>'План 2-я неделя'!BL264</f>
        <v>25</v>
      </c>
      <c r="F133" s="2602" t="str">
        <f>'План 2-я неделя'!BN264</f>
        <v/>
      </c>
      <c r="G133" s="2602">
        <f>'План 2-я неделя'!BP264+F133</f>
        <v>26</v>
      </c>
      <c r="H133" s="962">
        <f t="shared" si="9"/>
        <v>6240</v>
      </c>
      <c r="I133" s="2598">
        <f>'План 2-я неделя'!BQ264</f>
        <v>25</v>
      </c>
      <c r="J133" s="2600">
        <f t="shared" si="10"/>
        <v>6000</v>
      </c>
    </row>
    <row r="134">
      <c r="A134" s="962">
        <f>'План 2-я неделя'!B265</f>
        <v>3770</v>
      </c>
      <c r="B134" s="962">
        <f>'План 2-я неделя'!C265</f>
        <v>240</v>
      </c>
      <c r="C134" s="962" t="str">
        <f>'План 2-я неделя'!D265</f>
        <v>Второе</v>
      </c>
      <c r="D134" s="962" t="str">
        <f>'План 2-я неделя'!E265</f>
        <v>Паприкаш из говядины с картофельным пюре</v>
      </c>
      <c r="E134" s="2576">
        <f>'План 2-я неделя'!BL265</f>
        <v>25</v>
      </c>
      <c r="F134" s="2602" t="str">
        <f>'План 2-я неделя'!BN265</f>
        <v/>
      </c>
      <c r="G134" s="2602">
        <f>'План 2-я неделя'!BP265+F134</f>
        <v>26</v>
      </c>
      <c r="H134" s="962">
        <f t="shared" si="9"/>
        <v>6240</v>
      </c>
      <c r="I134" s="2598">
        <f>'План 2-я неделя'!BQ265</f>
        <v>27</v>
      </c>
      <c r="J134" s="2600">
        <f t="shared" si="10"/>
        <v>6480</v>
      </c>
    </row>
    <row r="135">
      <c r="A135" s="962">
        <f>'План 2-я неделя'!B266</f>
        <v>3769</v>
      </c>
      <c r="B135" s="962">
        <f>'План 2-я неделя'!C266</f>
        <v>240</v>
      </c>
      <c r="C135" s="962" t="str">
        <f>'План 2-я неделя'!D266</f>
        <v>Второе</v>
      </c>
      <c r="D135" s="962" t="str">
        <f>'План 2-я неделя'!E266</f>
        <v>Паприкаш из говядины с макаронами</v>
      </c>
      <c r="E135" s="2576">
        <f>'План 2-я неделя'!BL266</f>
        <v>80</v>
      </c>
      <c r="F135" s="2602" t="str">
        <f>'План 2-я неделя'!BN266</f>
        <v/>
      </c>
      <c r="G135" s="2602">
        <f>'План 2-я неделя'!BP266+F135</f>
        <v>81</v>
      </c>
      <c r="H135" s="962">
        <f t="shared" si="9"/>
        <v>19440</v>
      </c>
      <c r="I135" s="2598">
        <f>'План 2-я неделя'!BQ266</f>
        <v>80</v>
      </c>
      <c r="J135" s="2600">
        <f t="shared" si="10"/>
        <v>19200</v>
      </c>
    </row>
    <row r="136">
      <c r="A136" s="962">
        <f>'План 2-я неделя'!B267</f>
        <v>3437</v>
      </c>
      <c r="B136" s="962">
        <f>'План 2-я неделя'!C267</f>
        <v>198</v>
      </c>
      <c r="C136" s="962" t="str">
        <f>'План 2-я неделя'!D267</f>
        <v>Второе</v>
      </c>
      <c r="D136" s="962" t="str">
        <f>'План 2-я неделя'!E267</f>
        <v>Макароны по-флотски</v>
      </c>
      <c r="E136" s="2576" t="str">
        <f>'План 2-я неделя'!BL267</f>
        <v/>
      </c>
      <c r="F136" s="2602" t="str">
        <f>'План 2-я неделя'!BN267</f>
        <v/>
      </c>
      <c r="G136" s="2602">
        <f>'План 2-я неделя'!BP267+F136</f>
        <v>114</v>
      </c>
      <c r="H136" s="962">
        <f t="shared" si="9"/>
        <v>22572</v>
      </c>
      <c r="I136" s="2598">
        <f>'План 2-я неделя'!BQ267</f>
        <v>113</v>
      </c>
      <c r="J136" s="2600">
        <f t="shared" si="10"/>
        <v>22374</v>
      </c>
    </row>
    <row r="137">
      <c r="A137" s="962">
        <f>'План 2-я неделя'!B268</f>
        <v>657</v>
      </c>
      <c r="B137" s="962">
        <f>'План 2-я неделя'!C268</f>
        <v>212</v>
      </c>
      <c r="C137" s="962" t="str">
        <f>'План 2-я неделя'!D268</f>
        <v>Второе</v>
      </c>
      <c r="D137" s="962" t="str">
        <f>'План 2-я неделя'!E268</f>
        <v>Перец фаршированный с пюре</v>
      </c>
      <c r="E137" s="2576" t="str">
        <f>'План 2-я неделя'!BL268</f>
        <v/>
      </c>
      <c r="F137" s="2602">
        <f>'План 2-я неделя'!BN268</f>
        <v>10</v>
      </c>
      <c r="G137" s="2602">
        <f>'План 2-я неделя'!BP268+F137</f>
        <v>121</v>
      </c>
      <c r="H137" s="962">
        <f t="shared" si="9"/>
        <v>25652</v>
      </c>
      <c r="I137" s="2598">
        <f>'План 2-я неделя'!BQ268</f>
        <v>110</v>
      </c>
      <c r="J137" s="2600">
        <f t="shared" si="10"/>
        <v>23320</v>
      </c>
    </row>
    <row r="138">
      <c r="A138" s="962">
        <f>'План 2-я неделя'!B269</f>
        <v>3122</v>
      </c>
      <c r="B138" s="962">
        <f>'План 2-я неделя'!C269</f>
        <v>261</v>
      </c>
      <c r="C138" s="962" t="str">
        <f>'План 2-я неделя'!D269</f>
        <v>Второе</v>
      </c>
      <c r="D138" s="962" t="str">
        <f>'План 2-я неделя'!E269</f>
        <v>Люля-кебаб куриный с овощным соте</v>
      </c>
      <c r="E138" s="2576" t="str">
        <f>'План 2-я неделя'!BL269</f>
        <v/>
      </c>
      <c r="F138" s="2602">
        <f>'План 2-я неделя'!BN269</f>
        <v>10</v>
      </c>
      <c r="G138" s="2602">
        <f>'План 2-я неделя'!BP269+F138</f>
        <v>88</v>
      </c>
      <c r="H138" s="962">
        <f t="shared" si="9"/>
        <v>22968</v>
      </c>
      <c r="I138" s="2598">
        <f>'План 2-я неделя'!BQ269</f>
        <v>77</v>
      </c>
      <c r="J138" s="2600">
        <f t="shared" si="10"/>
        <v>20097</v>
      </c>
    </row>
    <row r="139">
      <c r="A139" s="962">
        <f>'План 2-я неделя'!B270</f>
        <v>1896</v>
      </c>
      <c r="B139" s="962">
        <f>'План 2-я неделя'!C270</f>
        <v>247</v>
      </c>
      <c r="C139" s="962" t="str">
        <f>'План 2-я неделя'!D270</f>
        <v>Второе</v>
      </c>
      <c r="D139" s="962" t="str">
        <f>'План 2-я неделя'!E270</f>
        <v>Манты со сметаной </v>
      </c>
      <c r="E139" s="2576" t="str">
        <f>'План 2-я неделя'!BL270</f>
        <v/>
      </c>
      <c r="F139" s="2602">
        <f>'План 2-я неделя'!BN270</f>
        <v>10</v>
      </c>
      <c r="G139" s="2602">
        <f>'План 2-я неделя'!BP270+F139</f>
        <v>93</v>
      </c>
      <c r="H139" s="962">
        <f t="shared" si="9"/>
        <v>22971</v>
      </c>
      <c r="I139" s="2598">
        <f>'План 2-я неделя'!BQ270</f>
        <v>82</v>
      </c>
      <c r="J139" s="2600">
        <f t="shared" si="10"/>
        <v>20254</v>
      </c>
    </row>
    <row r="140">
      <c r="A140" s="962">
        <f>'План 2-я неделя'!B271</f>
        <v>3528</v>
      </c>
      <c r="B140" s="962">
        <f>'План 2-я неделя'!C271</f>
        <v>56</v>
      </c>
      <c r="C140" s="962" t="str">
        <f>'План 2-я неделя'!D271</f>
        <v>Выпечка</v>
      </c>
      <c r="D140" s="962" t="str">
        <f>'План 2-я неделя'!E271</f>
        <v>Сырная палочка 80 гр</v>
      </c>
      <c r="E140" s="2576">
        <f>'План 2-я неделя'!BL271</f>
        <v>11</v>
      </c>
      <c r="F140" s="962">
        <f>'План 2-я неделя'!BN271</f>
        <v>9</v>
      </c>
      <c r="G140" s="2602">
        <f>'План 2-я неделя'!BP271+F140</f>
        <v>21</v>
      </c>
      <c r="H140" s="962">
        <f t="shared" si="9"/>
        <v>1176</v>
      </c>
      <c r="I140" s="2598">
        <f>'План 2-я неделя'!BQ271</f>
        <v>10</v>
      </c>
      <c r="J140" s="2600">
        <f t="shared" si="10"/>
        <v>560</v>
      </c>
    </row>
    <row r="141">
      <c r="A141" s="962">
        <f>'План 2-я неделя'!B272</f>
        <v>5</v>
      </c>
      <c r="B141" s="962">
        <f>'План 2-я неделя'!C272</f>
        <v>155</v>
      </c>
      <c r="C141" s="962" t="str">
        <f>'План 2-я неделя'!D272</f>
        <v>Сэндвич</v>
      </c>
      <c r="D141" s="962" t="str">
        <f>'План 2-я неделя'!E272</f>
        <v>Сэндвич с ветчиной и сыром</v>
      </c>
      <c r="E141" s="2576" t="str">
        <f>'План 2-я неделя'!BL272</f>
        <v/>
      </c>
      <c r="F141" s="962" t="str">
        <f>'План 2-я неделя'!BN272</f>
        <v/>
      </c>
      <c r="G141" s="962">
        <f>'План 2-я неделя'!BP272+F141</f>
        <v>243</v>
      </c>
      <c r="H141" s="962">
        <f t="shared" si="9"/>
        <v>37665</v>
      </c>
      <c r="I141" s="2587">
        <f>'План 2-я неделя'!BQ272</f>
        <v>242</v>
      </c>
      <c r="J141" s="2600">
        <f t="shared" si="10"/>
        <v>37510</v>
      </c>
    </row>
    <row r="142">
      <c r="A142" s="962">
        <f>'План 2-я неделя'!B273</f>
        <v>3330</v>
      </c>
      <c r="B142" s="962">
        <f>'План 2-я неделя'!C273</f>
        <v>172</v>
      </c>
      <c r="C142" s="962" t="str">
        <f>'План 2-я неделя'!D273</f>
        <v>Сэндвич</v>
      </c>
      <c r="D142" s="962" t="str">
        <f>'План 2-я неделя'!E273</f>
        <v>Сэндвич с курицей и соусом Барбекю</v>
      </c>
      <c r="E142" s="2576" t="str">
        <f>'План 2-я неделя'!BL273</f>
        <v/>
      </c>
      <c r="F142" s="962" t="str">
        <f>'План 2-я неделя'!BN273</f>
        <v/>
      </c>
      <c r="G142" s="962">
        <f>'План 2-я неделя'!BP273+F142</f>
        <v>103</v>
      </c>
      <c r="H142" s="962">
        <f t="shared" si="9"/>
        <v>17716</v>
      </c>
      <c r="I142" s="2587">
        <f>'План 2-я неделя'!BQ273</f>
        <v>101</v>
      </c>
      <c r="J142" s="2600">
        <f t="shared" si="10"/>
        <v>17372</v>
      </c>
    </row>
    <row r="143">
      <c r="A143" s="962">
        <f>'План 2-я неделя'!B274</f>
        <v>4327</v>
      </c>
      <c r="B143" s="962">
        <f>'План 2-я неделя'!C274</f>
        <v>98</v>
      </c>
      <c r="C143" s="962" t="str">
        <f>'План 2-я неделя'!D274</f>
        <v>Япония</v>
      </c>
      <c r="D143" s="962" t="str">
        <f>'План 2-я неделя'!E274</f>
        <v>Морс вишня/клубника 0,5 л</v>
      </c>
      <c r="E143" s="2576" t="str">
        <f>'План 2-я неделя'!BL274</f>
        <v/>
      </c>
      <c r="F143" s="2602" t="str">
        <f>'План 2-я неделя'!BN274</f>
        <v/>
      </c>
      <c r="G143" s="2602">
        <f>'План 2-я неделя'!BP274+F143</f>
        <v>212</v>
      </c>
      <c r="H143" s="962">
        <f t="shared" si="9"/>
        <v>20776</v>
      </c>
      <c r="I143" s="2598">
        <f>'План 2-я неделя'!BQ274</f>
        <v>221</v>
      </c>
      <c r="J143" s="2600">
        <f t="shared" si="10"/>
        <v>21658</v>
      </c>
    </row>
    <row r="144">
      <c r="A144" s="962">
        <f>'План 2-я неделя'!B275</f>
        <v>4197</v>
      </c>
      <c r="B144" s="962">
        <f>'План 2-я неделя'!C275</f>
        <v>208</v>
      </c>
      <c r="C144" s="962" t="str">
        <f>'План 2-я неделя'!D275</f>
        <v>Япония</v>
      </c>
      <c r="D144" s="962" t="str">
        <f>'План 2-я неделя'!E275</f>
        <v>Хот-дог датский </v>
      </c>
      <c r="E144" s="2576" t="str">
        <f>'План 2-я неделя'!BL275</f>
        <v/>
      </c>
      <c r="F144" s="962" t="str">
        <f>'План 2-я неделя'!BN275</f>
        <v/>
      </c>
      <c r="G144" s="962">
        <f>'План 2-я неделя'!BP275+F144</f>
        <v>1</v>
      </c>
      <c r="H144" s="962">
        <f t="shared" si="9"/>
        <v>208</v>
      </c>
      <c r="I144" s="2587">
        <f>'План 2-я неделя'!BQ275</f>
        <v>0</v>
      </c>
      <c r="J144" s="2600">
        <f t="shared" si="10"/>
        <v>0</v>
      </c>
    </row>
    <row r="145">
      <c r="A145" s="962">
        <f>'План 2-я неделя'!B276</f>
        <v>822</v>
      </c>
      <c r="B145" s="962">
        <f>'План 2-я неделя'!C276</f>
        <v>5</v>
      </c>
      <c r="C145" s="962" t="str">
        <f>'План 2-я неделя'!D276</f>
        <v>Суп</v>
      </c>
      <c r="D145" s="962" t="str">
        <f>'План 2-я неделя'!E276</f>
        <v>Хлеб пшеничный</v>
      </c>
      <c r="E145" s="2576">
        <f>'План 2-я неделя'!BL276</f>
        <v>127</v>
      </c>
      <c r="F145" s="962">
        <f>'План 2-я неделя'!BN276</f>
        <v>10</v>
      </c>
      <c r="G145" s="962">
        <f>'План 2-я неделя'!BP276+F145</f>
        <v>312</v>
      </c>
      <c r="H145" s="962">
        <f t="shared" si="9"/>
        <v>1560</v>
      </c>
      <c r="I145" s="2587">
        <f>'План 2-я неделя'!BQ276</f>
        <v>301</v>
      </c>
      <c r="J145" s="2600">
        <f t="shared" si="10"/>
        <v>1505</v>
      </c>
    </row>
    <row r="146">
      <c r="A146" s="962" t="str">
        <f>'План 2-я неделя'!B277</f>
        <v/>
      </c>
      <c r="B146" s="962" t="str">
        <f>'План 2-я неделя'!C277</f>
        <v/>
      </c>
      <c r="C146" s="962" t="str">
        <f>'План 2-я неделя'!D277</f>
        <v/>
      </c>
      <c r="D146" s="962" t="str">
        <f>'План 2-я неделя'!E277</f>
        <v/>
      </c>
      <c r="E146" s="2576" t="str">
        <f>'План 2-я неделя'!BL277</f>
        <v/>
      </c>
      <c r="F146" s="962" t="str">
        <f>'План 2-я неделя'!BN277</f>
        <v/>
      </c>
      <c r="G146" s="962">
        <f>'План 2-я неделя'!BP277+F146</f>
        <v>1</v>
      </c>
      <c r="H146" s="962">
        <f t="shared" si="9"/>
        <v>0</v>
      </c>
      <c r="I146" s="2587">
        <f>'План 2-я неделя'!BQ277</f>
        <v>0</v>
      </c>
      <c r="J146" s="2600">
        <f t="shared" si="10"/>
        <v>0</v>
      </c>
    </row>
    <row r="147">
      <c r="A147" s="962">
        <f>'План 2-я неделя'!B278</f>
        <v>4266</v>
      </c>
      <c r="B147" s="962">
        <f>'План 2-я неделя'!C278</f>
        <v>131</v>
      </c>
      <c r="C147" s="962" t="str">
        <f>'План 2-я неделя'!D278</f>
        <v>Япония</v>
      </c>
      <c r="D147" s="962" t="str">
        <f>'План 2-я неделя'!E278</f>
        <v>Закуска с селёдкой 170гр </v>
      </c>
      <c r="E147" s="2576" t="str">
        <f>'План 2-я неделя'!BL278</f>
        <v/>
      </c>
      <c r="F147" s="962" t="str">
        <f>'План 2-я неделя'!BN278</f>
        <v/>
      </c>
      <c r="G147" s="962">
        <f>'План 2-я неделя'!BP278+F147</f>
        <v>59</v>
      </c>
      <c r="H147" s="962">
        <f t="shared" si="9"/>
        <v>7729</v>
      </c>
      <c r="I147" s="2587">
        <f>'План 2-я неделя'!BQ278</f>
        <v>58</v>
      </c>
      <c r="J147" s="2600">
        <f t="shared" si="10"/>
        <v>7598</v>
      </c>
    </row>
    <row r="148">
      <c r="A148" s="962" t="str">
        <f>'План 2-я неделя'!B279</f>
        <v/>
      </c>
      <c r="B148" s="962" t="str">
        <f>'План 2-я неделя'!C279</f>
        <v/>
      </c>
      <c r="C148" s="962" t="str">
        <f>'План 2-я неделя'!D279</f>
        <v/>
      </c>
      <c r="D148" s="962" t="str">
        <f>'План 2-я неделя'!E279</f>
        <v/>
      </c>
      <c r="E148" s="2576" t="str">
        <f>'План 2-я неделя'!BL279</f>
        <v/>
      </c>
      <c r="F148" s="962" t="str">
        <f>'План 2-я неделя'!BN279</f>
        <v/>
      </c>
      <c r="G148" s="962">
        <f>'План 2-я неделя'!BP279+F148</f>
        <v>1</v>
      </c>
      <c r="H148" s="962">
        <f t="shared" si="9"/>
        <v>0</v>
      </c>
      <c r="I148" s="2587">
        <f>'План 2-я неделя'!BQ279</f>
        <v>0</v>
      </c>
      <c r="J148" s="2600">
        <f t="shared" si="10"/>
        <v>0</v>
      </c>
    </row>
    <row r="149">
      <c r="A149" s="962" t="str">
        <f>'План 2-я неделя'!B280</f>
        <v/>
      </c>
      <c r="B149" s="962" t="str">
        <f>'План 2-я неделя'!C280</f>
        <v/>
      </c>
      <c r="C149" s="962" t="str">
        <f>'План 2-я неделя'!D280</f>
        <v/>
      </c>
      <c r="D149" s="962" t="str">
        <f>'План 2-я неделя'!E280</f>
        <v/>
      </c>
      <c r="E149" s="2576" t="str">
        <f>'План 2-я неделя'!BL280</f>
        <v/>
      </c>
      <c r="F149" s="962" t="str">
        <f>'План 2-я неделя'!BN280</f>
        <v/>
      </c>
      <c r="G149" s="962">
        <f>'План 2-я неделя'!BP280+F149</f>
        <v>1</v>
      </c>
      <c r="H149" s="962">
        <f t="shared" si="9"/>
        <v>0</v>
      </c>
      <c r="I149" s="2587">
        <f>'План 2-я неделя'!BQ280</f>
        <v>0</v>
      </c>
      <c r="J149" s="2600">
        <f t="shared" si="10"/>
        <v>0</v>
      </c>
    </row>
    <row r="150">
      <c r="I150" s="2570"/>
      <c r="J150" s="2599"/>
    </row>
    <row r="151">
      <c r="I151" s="2570"/>
      <c r="J151" s="2599"/>
    </row>
    <row r="152">
      <c r="I152" s="2570"/>
      <c r="J152" s="2599"/>
    </row>
    <row r="153">
      <c r="I153" s="2570"/>
      <c r="J153" s="2599"/>
    </row>
    <row r="154">
      <c r="I154" s="2570"/>
      <c r="J154" s="2599"/>
    </row>
    <row r="155">
      <c r="I155" s="2570"/>
      <c r="J155" s="2599"/>
    </row>
    <row r="156">
      <c r="I156" s="2570"/>
      <c r="J156" s="2599"/>
    </row>
    <row r="157">
      <c r="I157" s="2570"/>
      <c r="J157" s="2599"/>
    </row>
    <row r="158">
      <c r="I158" s="2570"/>
      <c r="J158" s="2599"/>
    </row>
    <row r="159">
      <c r="I159" s="2570"/>
      <c r="J159" s="2599"/>
    </row>
    <row r="160">
      <c r="I160" s="2570"/>
      <c r="J160" s="2599"/>
    </row>
    <row r="161">
      <c r="I161" s="2570"/>
      <c r="J161" s="2599"/>
    </row>
    <row r="162">
      <c r="I162" s="2570"/>
      <c r="J162" s="2599"/>
    </row>
    <row r="163">
      <c r="I163" s="2570"/>
      <c r="J163" s="2599"/>
    </row>
    <row r="164">
      <c r="I164" s="2570"/>
      <c r="J164" s="2599"/>
    </row>
    <row r="165">
      <c r="I165" s="2570"/>
      <c r="J165" s="2599"/>
    </row>
    <row r="166">
      <c r="I166" s="2570"/>
      <c r="J166" s="2599"/>
    </row>
    <row r="167">
      <c r="I167" s="2570"/>
      <c r="J167" s="2599"/>
    </row>
    <row r="168">
      <c r="I168" s="2570"/>
      <c r="J168" s="2599"/>
    </row>
    <row r="169">
      <c r="I169" s="2570"/>
      <c r="J169" s="2599"/>
    </row>
    <row r="170">
      <c r="I170" s="2570"/>
      <c r="J170" s="2599"/>
    </row>
    <row r="171">
      <c r="I171" s="2570"/>
      <c r="J171" s="2599"/>
    </row>
    <row r="172">
      <c r="I172" s="2570"/>
      <c r="J172" s="2599"/>
    </row>
    <row r="173">
      <c r="I173" s="2570"/>
      <c r="J173" s="2599"/>
    </row>
    <row r="174">
      <c r="I174" s="2570"/>
      <c r="J174" s="2599"/>
    </row>
    <row r="175">
      <c r="I175" s="2570"/>
      <c r="J175" s="2599"/>
    </row>
    <row r="176">
      <c r="I176" s="2570"/>
      <c r="J176" s="2599"/>
    </row>
    <row r="177">
      <c r="I177" s="2570"/>
      <c r="J177" s="2599"/>
    </row>
    <row r="178">
      <c r="I178" s="2570"/>
      <c r="J178" s="2599"/>
    </row>
    <row r="179">
      <c r="I179" s="2570"/>
      <c r="J179" s="2599"/>
    </row>
    <row r="180">
      <c r="I180" s="2570"/>
      <c r="J180" s="2599"/>
    </row>
    <row r="181">
      <c r="I181" s="2570"/>
      <c r="J181" s="2599"/>
    </row>
    <row r="182">
      <c r="I182" s="2570"/>
      <c r="J182" s="2599"/>
    </row>
    <row r="183">
      <c r="I183" s="2570"/>
      <c r="J183" s="2599"/>
    </row>
    <row r="184">
      <c r="I184" s="2570"/>
      <c r="J184" s="2599"/>
    </row>
    <row r="185">
      <c r="I185" s="2570"/>
      <c r="J185" s="2599"/>
    </row>
    <row r="186">
      <c r="I186" s="2570"/>
      <c r="J186" s="2599"/>
    </row>
    <row r="187">
      <c r="I187" s="2570"/>
      <c r="J187" s="2599"/>
    </row>
    <row r="188">
      <c r="I188" s="2570"/>
      <c r="J188" s="2599"/>
    </row>
    <row r="189">
      <c r="I189" s="2570"/>
      <c r="J189" s="2599"/>
    </row>
    <row r="190">
      <c r="I190" s="2570"/>
      <c r="J190" s="2599"/>
    </row>
    <row r="191">
      <c r="I191" s="2570"/>
      <c r="J191" s="2599"/>
    </row>
    <row r="192">
      <c r="I192" s="2570"/>
      <c r="J192" s="2599"/>
    </row>
    <row r="193">
      <c r="I193" s="2570"/>
      <c r="J193" s="2599"/>
    </row>
    <row r="194">
      <c r="I194" s="2570"/>
      <c r="J194" s="2599"/>
    </row>
    <row r="195">
      <c r="I195" s="2570"/>
      <c r="J195" s="2599"/>
    </row>
    <row r="196">
      <c r="I196" s="2570"/>
      <c r="J196" s="2599"/>
    </row>
    <row r="197">
      <c r="I197" s="2570"/>
      <c r="J197" s="2599"/>
    </row>
    <row r="198">
      <c r="I198" s="2570"/>
      <c r="J198" s="2599"/>
    </row>
    <row r="199">
      <c r="I199" s="2570"/>
      <c r="J199" s="2599"/>
    </row>
    <row r="200">
      <c r="I200" s="2570"/>
      <c r="J200" s="2599"/>
    </row>
    <row r="201">
      <c r="I201" s="2570"/>
      <c r="J201" s="2599"/>
    </row>
    <row r="202">
      <c r="I202" s="2570"/>
      <c r="J202" s="2599"/>
    </row>
    <row r="203">
      <c r="I203" s="2570"/>
      <c r="J203" s="2599"/>
    </row>
    <row r="204">
      <c r="I204" s="2570"/>
      <c r="J204" s="2599"/>
    </row>
    <row r="205">
      <c r="I205" s="2570"/>
      <c r="J205" s="2599"/>
    </row>
    <row r="206">
      <c r="I206" s="2570"/>
      <c r="J206" s="2599"/>
    </row>
    <row r="207">
      <c r="I207" s="2570"/>
      <c r="J207" s="2599"/>
    </row>
    <row r="208">
      <c r="I208" s="2570"/>
      <c r="J208" s="2599"/>
    </row>
    <row r="209">
      <c r="I209" s="2570"/>
      <c r="J209" s="2599"/>
    </row>
    <row r="210">
      <c r="I210" s="2570"/>
      <c r="J210" s="2599"/>
    </row>
    <row r="211">
      <c r="I211" s="2570"/>
      <c r="J211" s="2599"/>
    </row>
    <row r="212">
      <c r="I212" s="2570"/>
      <c r="J212" s="2599"/>
    </row>
    <row r="213">
      <c r="I213" s="2570"/>
      <c r="J213" s="2599"/>
    </row>
    <row r="214">
      <c r="I214" s="2570"/>
      <c r="J214" s="2599"/>
    </row>
    <row r="215">
      <c r="I215" s="2570"/>
      <c r="J215" s="2599"/>
    </row>
    <row r="216">
      <c r="I216" s="2570"/>
      <c r="J216" s="2599"/>
    </row>
    <row r="217">
      <c r="I217" s="2570"/>
      <c r="J217" s="2599"/>
    </row>
    <row r="218">
      <c r="I218" s="2570"/>
      <c r="J218" s="2599"/>
    </row>
    <row r="219">
      <c r="I219" s="2570"/>
      <c r="J219" s="2599"/>
    </row>
    <row r="220">
      <c r="I220" s="2570"/>
      <c r="J220" s="2599"/>
    </row>
    <row r="221">
      <c r="I221" s="2570"/>
      <c r="J221" s="2599"/>
    </row>
    <row r="222">
      <c r="I222" s="2570"/>
      <c r="J222" s="2599"/>
    </row>
    <row r="223">
      <c r="I223" s="2570"/>
      <c r="J223" s="2599"/>
    </row>
    <row r="224">
      <c r="I224" s="2570"/>
      <c r="J224" s="2599"/>
    </row>
    <row r="225">
      <c r="I225" s="2570"/>
      <c r="J225" s="2599"/>
    </row>
    <row r="226">
      <c r="I226" s="2570"/>
      <c r="J226" s="2599"/>
    </row>
    <row r="227">
      <c r="I227" s="2570"/>
      <c r="J227" s="2599"/>
    </row>
    <row r="228">
      <c r="I228" s="2570"/>
      <c r="J228" s="2599"/>
    </row>
    <row r="229">
      <c r="I229" s="2570"/>
      <c r="J229" s="2599"/>
    </row>
    <row r="230">
      <c r="I230" s="2570"/>
      <c r="J230" s="2599"/>
    </row>
    <row r="231">
      <c r="I231" s="2570"/>
      <c r="J231" s="2599"/>
    </row>
    <row r="232">
      <c r="I232" s="2570"/>
      <c r="J232" s="2599"/>
    </row>
    <row r="233">
      <c r="I233" s="2570"/>
      <c r="J233" s="2599"/>
    </row>
    <row r="234">
      <c r="I234" s="2570"/>
      <c r="J234" s="2599"/>
    </row>
    <row r="235">
      <c r="I235" s="2570"/>
      <c r="J235" s="2599"/>
    </row>
    <row r="236">
      <c r="I236" s="2570"/>
      <c r="J236" s="2599"/>
    </row>
    <row r="237">
      <c r="I237" s="2570"/>
      <c r="J237" s="2599"/>
    </row>
    <row r="238">
      <c r="I238" s="2570"/>
      <c r="J238" s="2599"/>
    </row>
    <row r="239">
      <c r="I239" s="2570"/>
      <c r="J239" s="2599"/>
    </row>
    <row r="240">
      <c r="I240" s="2570"/>
      <c r="J240" s="2599"/>
    </row>
    <row r="241">
      <c r="I241" s="2570"/>
      <c r="J241" s="2599"/>
    </row>
    <row r="242">
      <c r="I242" s="2570"/>
      <c r="J242" s="2599"/>
    </row>
    <row r="243">
      <c r="I243" s="2570"/>
      <c r="J243" s="2599"/>
    </row>
    <row r="244">
      <c r="I244" s="2570"/>
      <c r="J244" s="2599"/>
    </row>
    <row r="245">
      <c r="I245" s="2570"/>
      <c r="J245" s="2599"/>
    </row>
    <row r="246">
      <c r="I246" s="2570"/>
      <c r="J246" s="2599"/>
    </row>
    <row r="247">
      <c r="I247" s="2570"/>
      <c r="J247" s="2599"/>
    </row>
    <row r="248">
      <c r="I248" s="2570"/>
      <c r="J248" s="2599"/>
    </row>
    <row r="249">
      <c r="I249" s="2570"/>
      <c r="J249" s="2599"/>
    </row>
    <row r="250">
      <c r="I250" s="2570"/>
      <c r="J250" s="2599"/>
    </row>
    <row r="251">
      <c r="I251" s="2570"/>
      <c r="J251" s="2599"/>
    </row>
    <row r="252">
      <c r="I252" s="2570"/>
      <c r="J252" s="2599"/>
    </row>
    <row r="253">
      <c r="I253" s="2570"/>
      <c r="J253" s="2599"/>
    </row>
    <row r="254">
      <c r="I254" s="2570"/>
      <c r="J254" s="2599"/>
    </row>
    <row r="255">
      <c r="I255" s="2570"/>
      <c r="J255" s="2599"/>
    </row>
    <row r="256">
      <c r="I256" s="2570"/>
      <c r="J256" s="2599"/>
    </row>
    <row r="257">
      <c r="I257" s="2570"/>
      <c r="J257" s="2599"/>
    </row>
    <row r="258">
      <c r="I258" s="2570"/>
      <c r="J258" s="2599"/>
    </row>
    <row r="259">
      <c r="I259" s="2570"/>
      <c r="J259" s="2599"/>
    </row>
    <row r="260">
      <c r="I260" s="2570"/>
      <c r="J260" s="2599"/>
    </row>
    <row r="261">
      <c r="I261" s="2570"/>
      <c r="J261" s="2599"/>
    </row>
    <row r="262">
      <c r="I262" s="2570"/>
      <c r="J262" s="2599"/>
    </row>
    <row r="263">
      <c r="I263" s="2570"/>
      <c r="J263" s="2599"/>
    </row>
    <row r="264">
      <c r="I264" s="2570"/>
      <c r="J264" s="2599"/>
    </row>
    <row r="265">
      <c r="I265" s="2570"/>
      <c r="J265" s="2599"/>
    </row>
    <row r="266">
      <c r="I266" s="2570"/>
      <c r="J266" s="2599"/>
    </row>
    <row r="267">
      <c r="I267" s="2570"/>
      <c r="J267" s="2599"/>
    </row>
    <row r="268">
      <c r="I268" s="2570"/>
      <c r="J268" s="2599"/>
    </row>
    <row r="269">
      <c r="I269" s="2570"/>
      <c r="J269" s="2599"/>
    </row>
    <row r="270">
      <c r="I270" s="2570"/>
      <c r="J270" s="2599"/>
    </row>
    <row r="271">
      <c r="I271" s="2570"/>
      <c r="J271" s="2599"/>
    </row>
    <row r="272">
      <c r="I272" s="2570"/>
      <c r="J272" s="2599"/>
    </row>
    <row r="273">
      <c r="I273" s="2570"/>
      <c r="J273" s="2599"/>
    </row>
    <row r="274">
      <c r="I274" s="2570"/>
      <c r="J274" s="2599"/>
    </row>
    <row r="275">
      <c r="I275" s="2570"/>
      <c r="J275" s="2599"/>
    </row>
    <row r="276">
      <c r="I276" s="2570"/>
      <c r="J276" s="2599"/>
    </row>
    <row r="277">
      <c r="I277" s="2570"/>
      <c r="J277" s="2599"/>
    </row>
    <row r="278">
      <c r="I278" s="2570"/>
      <c r="J278" s="2599"/>
    </row>
    <row r="279">
      <c r="I279" s="2570"/>
      <c r="J279" s="2599"/>
    </row>
    <row r="280">
      <c r="I280" s="2570"/>
      <c r="J280" s="2599"/>
    </row>
    <row r="281">
      <c r="I281" s="2570"/>
      <c r="J281" s="2599"/>
    </row>
    <row r="282">
      <c r="I282" s="2570"/>
      <c r="J282" s="2599"/>
    </row>
    <row r="283">
      <c r="I283" s="2570"/>
      <c r="J283" s="2599"/>
    </row>
    <row r="284">
      <c r="I284" s="2570"/>
      <c r="J284" s="2599"/>
    </row>
    <row r="285">
      <c r="I285" s="2570"/>
      <c r="J285" s="2599"/>
    </row>
    <row r="286">
      <c r="I286" s="2570"/>
      <c r="J286" s="2599"/>
    </row>
    <row r="287">
      <c r="I287" s="2570"/>
      <c r="J287" s="2599"/>
    </row>
    <row r="288">
      <c r="I288" s="2570"/>
      <c r="J288" s="2599"/>
    </row>
    <row r="289">
      <c r="I289" s="2570"/>
      <c r="J289" s="2599"/>
    </row>
    <row r="290">
      <c r="I290" s="2570"/>
      <c r="J290" s="2599"/>
    </row>
    <row r="291">
      <c r="I291" s="2570"/>
      <c r="J291" s="2599"/>
    </row>
    <row r="292">
      <c r="I292" s="2570"/>
      <c r="J292" s="2599"/>
    </row>
    <row r="293">
      <c r="I293" s="2570"/>
      <c r="J293" s="2599"/>
    </row>
    <row r="294">
      <c r="I294" s="2570"/>
      <c r="J294" s="2599"/>
    </row>
    <row r="295">
      <c r="I295" s="2570"/>
      <c r="J295" s="2599"/>
    </row>
    <row r="296">
      <c r="I296" s="2570"/>
      <c r="J296" s="2599"/>
    </row>
    <row r="297">
      <c r="I297" s="2570"/>
      <c r="J297" s="2599"/>
    </row>
    <row r="298">
      <c r="I298" s="2570"/>
      <c r="J298" s="2599"/>
    </row>
    <row r="299">
      <c r="I299" s="2570"/>
      <c r="J299" s="2599"/>
    </row>
    <row r="300">
      <c r="I300" s="2570"/>
      <c r="J300" s="2599"/>
    </row>
    <row r="301">
      <c r="I301" s="2570"/>
      <c r="J301" s="2599"/>
    </row>
    <row r="302">
      <c r="I302" s="2570"/>
      <c r="J302" s="2599"/>
    </row>
    <row r="303">
      <c r="I303" s="2570"/>
      <c r="J303" s="2599"/>
    </row>
    <row r="304">
      <c r="I304" s="2570"/>
      <c r="J304" s="2599"/>
    </row>
    <row r="305">
      <c r="I305" s="2570"/>
      <c r="J305" s="2599"/>
    </row>
    <row r="306">
      <c r="I306" s="2570"/>
      <c r="J306" s="2599"/>
    </row>
    <row r="307">
      <c r="I307" s="2570"/>
      <c r="J307" s="2599"/>
    </row>
    <row r="308">
      <c r="I308" s="2570"/>
      <c r="J308" s="2599"/>
    </row>
    <row r="309">
      <c r="I309" s="2570"/>
      <c r="J309" s="2599"/>
    </row>
    <row r="310">
      <c r="I310" s="2570"/>
      <c r="J310" s="2599"/>
    </row>
    <row r="311">
      <c r="I311" s="2570"/>
      <c r="J311" s="2599"/>
    </row>
    <row r="312">
      <c r="I312" s="2570"/>
      <c r="J312" s="2599"/>
    </row>
    <row r="313">
      <c r="I313" s="2570"/>
      <c r="J313" s="2599"/>
    </row>
    <row r="314">
      <c r="I314" s="2570"/>
      <c r="J314" s="2599"/>
    </row>
    <row r="315">
      <c r="I315" s="2570"/>
      <c r="J315" s="2599"/>
    </row>
    <row r="316">
      <c r="I316" s="2570"/>
      <c r="J316" s="2599"/>
    </row>
    <row r="317">
      <c r="I317" s="2570"/>
      <c r="J317" s="2599"/>
    </row>
    <row r="318">
      <c r="I318" s="2570"/>
      <c r="J318" s="2599"/>
    </row>
    <row r="319">
      <c r="I319" s="2570"/>
      <c r="J319" s="2599"/>
    </row>
    <row r="320">
      <c r="I320" s="2570"/>
      <c r="J320" s="2599"/>
    </row>
    <row r="321">
      <c r="I321" s="2570"/>
      <c r="J321" s="2599"/>
    </row>
    <row r="322">
      <c r="I322" s="2570"/>
      <c r="J322" s="2599"/>
    </row>
    <row r="323">
      <c r="I323" s="2570"/>
      <c r="J323" s="2599"/>
    </row>
    <row r="324">
      <c r="I324" s="2570"/>
      <c r="J324" s="2599"/>
    </row>
    <row r="325">
      <c r="I325" s="2570"/>
      <c r="J325" s="2599"/>
    </row>
    <row r="326">
      <c r="I326" s="2570"/>
      <c r="J326" s="2599"/>
    </row>
    <row r="327">
      <c r="I327" s="2570"/>
      <c r="J327" s="2599"/>
    </row>
    <row r="328">
      <c r="I328" s="2570"/>
      <c r="J328" s="2599"/>
    </row>
    <row r="329">
      <c r="I329" s="2570"/>
      <c r="J329" s="2599"/>
    </row>
    <row r="330">
      <c r="I330" s="2570"/>
      <c r="J330" s="2599"/>
    </row>
    <row r="331">
      <c r="I331" s="2570"/>
      <c r="J331" s="2599"/>
    </row>
    <row r="332">
      <c r="I332" s="2570"/>
      <c r="J332" s="2599"/>
    </row>
    <row r="333">
      <c r="I333" s="2570"/>
      <c r="J333" s="2599"/>
    </row>
    <row r="334">
      <c r="I334" s="2570"/>
      <c r="J334" s="2599"/>
    </row>
    <row r="335">
      <c r="I335" s="2570"/>
      <c r="J335" s="2599"/>
    </row>
    <row r="336">
      <c r="I336" s="2570"/>
      <c r="J336" s="2599"/>
    </row>
    <row r="337">
      <c r="I337" s="2570"/>
      <c r="J337" s="2599"/>
    </row>
    <row r="338">
      <c r="I338" s="2570"/>
      <c r="J338" s="2599"/>
    </row>
    <row r="339">
      <c r="I339" s="2570"/>
      <c r="J339" s="2599"/>
    </row>
    <row r="340">
      <c r="I340" s="2570"/>
      <c r="J340" s="2599"/>
    </row>
    <row r="341">
      <c r="I341" s="2570"/>
      <c r="J341" s="2599"/>
    </row>
    <row r="342">
      <c r="I342" s="2570"/>
      <c r="J342" s="2599"/>
    </row>
    <row r="343">
      <c r="I343" s="2570"/>
      <c r="J343" s="2599"/>
    </row>
    <row r="344">
      <c r="I344" s="2570"/>
      <c r="J344" s="2599"/>
    </row>
    <row r="345">
      <c r="I345" s="2570"/>
      <c r="J345" s="2599"/>
    </row>
    <row r="346">
      <c r="I346" s="2570"/>
      <c r="J346" s="2599"/>
    </row>
    <row r="347">
      <c r="I347" s="2570"/>
      <c r="J347" s="2599"/>
    </row>
    <row r="348">
      <c r="I348" s="2570"/>
      <c r="J348" s="2599"/>
    </row>
    <row r="349">
      <c r="I349" s="2570"/>
      <c r="J349" s="2599"/>
    </row>
    <row r="350">
      <c r="I350" s="2570"/>
      <c r="J350" s="2599"/>
    </row>
    <row r="351">
      <c r="I351" s="2570"/>
      <c r="J351" s="2599"/>
    </row>
    <row r="352">
      <c r="I352" s="2570"/>
      <c r="J352" s="2599"/>
    </row>
    <row r="353">
      <c r="I353" s="2570"/>
      <c r="J353" s="2599"/>
    </row>
    <row r="354">
      <c r="I354" s="2570"/>
      <c r="J354" s="2599"/>
    </row>
    <row r="355">
      <c r="I355" s="2570"/>
      <c r="J355" s="2599"/>
    </row>
    <row r="356">
      <c r="I356" s="2570"/>
      <c r="J356" s="2599"/>
    </row>
    <row r="357">
      <c r="I357" s="2570"/>
      <c r="J357" s="2599"/>
    </row>
    <row r="358">
      <c r="I358" s="2570"/>
      <c r="J358" s="2599"/>
    </row>
    <row r="359">
      <c r="I359" s="2570"/>
      <c r="J359" s="2599"/>
    </row>
    <row r="360">
      <c r="I360" s="2570"/>
      <c r="J360" s="2599"/>
    </row>
    <row r="361">
      <c r="I361" s="2570"/>
      <c r="J361" s="2599"/>
    </row>
    <row r="362">
      <c r="I362" s="2570"/>
      <c r="J362" s="2599"/>
    </row>
    <row r="363">
      <c r="I363" s="2570"/>
      <c r="J363" s="2599"/>
    </row>
    <row r="364">
      <c r="I364" s="2570"/>
      <c r="J364" s="2599"/>
    </row>
    <row r="365">
      <c r="I365" s="2570"/>
      <c r="J365" s="2599"/>
    </row>
    <row r="366">
      <c r="I366" s="2570"/>
      <c r="J366" s="2599"/>
    </row>
    <row r="367">
      <c r="I367" s="2570"/>
      <c r="J367" s="2599"/>
    </row>
    <row r="368">
      <c r="I368" s="2570"/>
      <c r="J368" s="2599"/>
    </row>
    <row r="369">
      <c r="I369" s="2570"/>
      <c r="J369" s="2599"/>
    </row>
    <row r="370">
      <c r="I370" s="2570"/>
      <c r="J370" s="2599"/>
    </row>
    <row r="371">
      <c r="I371" s="2570"/>
      <c r="J371" s="2599"/>
    </row>
    <row r="372">
      <c r="I372" s="2570"/>
      <c r="J372" s="2599"/>
    </row>
    <row r="373">
      <c r="I373" s="2570"/>
      <c r="J373" s="2599"/>
    </row>
    <row r="374">
      <c r="I374" s="2570"/>
      <c r="J374" s="2599"/>
    </row>
    <row r="375">
      <c r="I375" s="2570"/>
      <c r="J375" s="2599"/>
    </row>
    <row r="376">
      <c r="I376" s="2570"/>
      <c r="J376" s="2599"/>
    </row>
    <row r="377">
      <c r="I377" s="2570"/>
      <c r="J377" s="2599"/>
    </row>
    <row r="378">
      <c r="I378" s="2570"/>
      <c r="J378" s="2599"/>
    </row>
    <row r="379">
      <c r="I379" s="2570"/>
      <c r="J379" s="2599"/>
    </row>
    <row r="380">
      <c r="I380" s="2570"/>
      <c r="J380" s="2599"/>
    </row>
    <row r="381">
      <c r="I381" s="2570"/>
      <c r="J381" s="2599"/>
    </row>
    <row r="382">
      <c r="I382" s="2570"/>
      <c r="J382" s="2599"/>
    </row>
    <row r="383">
      <c r="I383" s="2570"/>
      <c r="J383" s="2599"/>
    </row>
    <row r="384">
      <c r="I384" s="2570"/>
      <c r="J384" s="2599"/>
    </row>
    <row r="385">
      <c r="I385" s="2570"/>
      <c r="J385" s="2599"/>
    </row>
    <row r="386">
      <c r="I386" s="2570"/>
      <c r="J386" s="2599"/>
    </row>
    <row r="387">
      <c r="I387" s="2570"/>
      <c r="J387" s="2599"/>
    </row>
    <row r="388">
      <c r="I388" s="2570"/>
      <c r="J388" s="2599"/>
    </row>
    <row r="389">
      <c r="I389" s="2570"/>
      <c r="J389" s="2599"/>
    </row>
    <row r="390">
      <c r="I390" s="2570"/>
      <c r="J390" s="2599"/>
    </row>
    <row r="391">
      <c r="I391" s="2570"/>
      <c r="J391" s="2599"/>
    </row>
    <row r="392">
      <c r="I392" s="2570"/>
      <c r="J392" s="2599"/>
    </row>
    <row r="393">
      <c r="I393" s="2570"/>
      <c r="J393" s="2599"/>
    </row>
    <row r="394">
      <c r="I394" s="2570"/>
      <c r="J394" s="2599"/>
    </row>
    <row r="395">
      <c r="I395" s="2570"/>
      <c r="J395" s="2599"/>
    </row>
    <row r="396">
      <c r="I396" s="2570"/>
      <c r="J396" s="2599"/>
    </row>
    <row r="397">
      <c r="I397" s="2570"/>
      <c r="J397" s="2599"/>
    </row>
    <row r="398">
      <c r="I398" s="2570"/>
      <c r="J398" s="2599"/>
    </row>
    <row r="399">
      <c r="I399" s="2570"/>
      <c r="J399" s="2599"/>
    </row>
    <row r="400">
      <c r="I400" s="2570"/>
      <c r="J400" s="2599"/>
    </row>
    <row r="401">
      <c r="I401" s="2570"/>
      <c r="J401" s="2599"/>
    </row>
    <row r="402">
      <c r="I402" s="2570"/>
      <c r="J402" s="2599"/>
    </row>
    <row r="403">
      <c r="I403" s="2570"/>
      <c r="J403" s="2599"/>
    </row>
    <row r="404">
      <c r="I404" s="2570"/>
      <c r="J404" s="2599"/>
    </row>
    <row r="405">
      <c r="I405" s="2570"/>
      <c r="J405" s="2599"/>
    </row>
    <row r="406">
      <c r="I406" s="2570"/>
      <c r="J406" s="2599"/>
    </row>
    <row r="407">
      <c r="I407" s="2570"/>
      <c r="J407" s="2599"/>
    </row>
    <row r="408">
      <c r="I408" s="2570"/>
      <c r="J408" s="2599"/>
    </row>
    <row r="409">
      <c r="I409" s="2570"/>
      <c r="J409" s="2599"/>
    </row>
    <row r="410">
      <c r="I410" s="2570"/>
      <c r="J410" s="2599"/>
    </row>
    <row r="411">
      <c r="I411" s="2570"/>
      <c r="J411" s="2599"/>
    </row>
    <row r="412">
      <c r="I412" s="2570"/>
      <c r="J412" s="2599"/>
    </row>
    <row r="413">
      <c r="I413" s="2570"/>
      <c r="J413" s="2599"/>
    </row>
    <row r="414">
      <c r="I414" s="2570"/>
      <c r="J414" s="2599"/>
    </row>
    <row r="415">
      <c r="I415" s="2570"/>
      <c r="J415" s="2599"/>
    </row>
    <row r="416">
      <c r="I416" s="2570"/>
      <c r="J416" s="2599"/>
    </row>
    <row r="417">
      <c r="I417" s="2570"/>
      <c r="J417" s="2599"/>
    </row>
    <row r="418">
      <c r="I418" s="2570"/>
      <c r="J418" s="2599"/>
    </row>
    <row r="419">
      <c r="I419" s="2570"/>
      <c r="J419" s="2599"/>
    </row>
    <row r="420">
      <c r="I420" s="2570"/>
      <c r="J420" s="2599"/>
    </row>
    <row r="421">
      <c r="I421" s="2570"/>
      <c r="J421" s="2599"/>
    </row>
    <row r="422">
      <c r="I422" s="2570"/>
      <c r="J422" s="2599"/>
    </row>
    <row r="423">
      <c r="I423" s="2570"/>
      <c r="J423" s="2599"/>
    </row>
    <row r="424">
      <c r="I424" s="2570"/>
      <c r="J424" s="2599"/>
    </row>
    <row r="425">
      <c r="I425" s="2570"/>
      <c r="J425" s="2599"/>
    </row>
    <row r="426">
      <c r="I426" s="2570"/>
      <c r="J426" s="2599"/>
    </row>
    <row r="427">
      <c r="I427" s="2570"/>
      <c r="J427" s="2599"/>
    </row>
    <row r="428">
      <c r="I428" s="2570"/>
      <c r="J428" s="2599"/>
    </row>
    <row r="429">
      <c r="I429" s="2570"/>
      <c r="J429" s="2599"/>
    </row>
    <row r="430">
      <c r="I430" s="2570"/>
      <c r="J430" s="2599"/>
    </row>
    <row r="431">
      <c r="I431" s="2570"/>
      <c r="J431" s="2599"/>
    </row>
    <row r="432">
      <c r="I432" s="2570"/>
      <c r="J432" s="2599"/>
    </row>
    <row r="433">
      <c r="I433" s="2570"/>
      <c r="J433" s="2599"/>
    </row>
    <row r="434">
      <c r="I434" s="2570"/>
      <c r="J434" s="2599"/>
    </row>
    <row r="435">
      <c r="I435" s="2570"/>
      <c r="J435" s="2599"/>
    </row>
    <row r="436">
      <c r="I436" s="2570"/>
      <c r="J436" s="2599"/>
    </row>
    <row r="437">
      <c r="I437" s="2570"/>
      <c r="J437" s="2599"/>
    </row>
    <row r="438">
      <c r="I438" s="2570"/>
      <c r="J438" s="2599"/>
    </row>
    <row r="439">
      <c r="I439" s="2570"/>
      <c r="J439" s="2599"/>
    </row>
    <row r="440">
      <c r="I440" s="2570"/>
      <c r="J440" s="2599"/>
    </row>
    <row r="441">
      <c r="I441" s="2570"/>
      <c r="J441" s="2599"/>
    </row>
    <row r="442">
      <c r="I442" s="2570"/>
      <c r="J442" s="2599"/>
    </row>
    <row r="443">
      <c r="I443" s="2570"/>
      <c r="J443" s="2599"/>
    </row>
    <row r="444">
      <c r="I444" s="2570"/>
      <c r="J444" s="2599"/>
    </row>
    <row r="445">
      <c r="I445" s="2570"/>
      <c r="J445" s="2599"/>
    </row>
    <row r="446">
      <c r="I446" s="2570"/>
      <c r="J446" s="2599"/>
    </row>
    <row r="447">
      <c r="I447" s="2570"/>
      <c r="J447" s="2599"/>
    </row>
    <row r="448">
      <c r="I448" s="2570"/>
      <c r="J448" s="2599"/>
    </row>
    <row r="449">
      <c r="I449" s="2570"/>
      <c r="J449" s="2599"/>
    </row>
    <row r="450">
      <c r="I450" s="2570"/>
      <c r="J450" s="2599"/>
    </row>
    <row r="451">
      <c r="I451" s="2570"/>
      <c r="J451" s="2599"/>
    </row>
    <row r="452">
      <c r="I452" s="2570"/>
      <c r="J452" s="2599"/>
    </row>
    <row r="453">
      <c r="I453" s="2570"/>
      <c r="J453" s="2599"/>
    </row>
    <row r="454">
      <c r="I454" s="2570"/>
      <c r="J454" s="2599"/>
    </row>
    <row r="455">
      <c r="I455" s="2570"/>
      <c r="J455" s="2599"/>
    </row>
    <row r="456">
      <c r="I456" s="2570"/>
      <c r="J456" s="2599"/>
    </row>
    <row r="457">
      <c r="I457" s="2570"/>
      <c r="J457" s="2599"/>
    </row>
    <row r="458">
      <c r="I458" s="2570"/>
      <c r="J458" s="2599"/>
    </row>
    <row r="459">
      <c r="I459" s="2570"/>
      <c r="J459" s="2599"/>
    </row>
    <row r="460">
      <c r="I460" s="2570"/>
      <c r="J460" s="2599"/>
    </row>
    <row r="461">
      <c r="I461" s="2570"/>
      <c r="J461" s="2599"/>
    </row>
    <row r="462">
      <c r="I462" s="2570"/>
      <c r="J462" s="2599"/>
    </row>
    <row r="463">
      <c r="I463" s="2570"/>
      <c r="J463" s="2599"/>
    </row>
    <row r="464">
      <c r="I464" s="2570"/>
      <c r="J464" s="2599"/>
    </row>
    <row r="465">
      <c r="I465" s="2570"/>
      <c r="J465" s="2599"/>
    </row>
    <row r="466">
      <c r="I466" s="2570"/>
      <c r="J466" s="2599"/>
    </row>
    <row r="467">
      <c r="I467" s="2570"/>
      <c r="J467" s="2599"/>
    </row>
    <row r="468">
      <c r="I468" s="2570"/>
      <c r="J468" s="2599"/>
    </row>
    <row r="469">
      <c r="I469" s="2570"/>
      <c r="J469" s="2599"/>
    </row>
    <row r="470">
      <c r="I470" s="2570"/>
      <c r="J470" s="2599"/>
    </row>
    <row r="471">
      <c r="I471" s="2570"/>
      <c r="J471" s="2599"/>
    </row>
    <row r="472">
      <c r="I472" s="2570"/>
      <c r="J472" s="2599"/>
    </row>
    <row r="473">
      <c r="I473" s="2570"/>
      <c r="J473" s="2599"/>
    </row>
    <row r="474">
      <c r="I474" s="2570"/>
      <c r="J474" s="2599"/>
    </row>
    <row r="475">
      <c r="I475" s="2570"/>
      <c r="J475" s="2599"/>
    </row>
    <row r="476">
      <c r="I476" s="2570"/>
      <c r="J476" s="2599"/>
    </row>
    <row r="477">
      <c r="I477" s="2570"/>
      <c r="J477" s="2599"/>
    </row>
    <row r="478">
      <c r="I478" s="2570"/>
      <c r="J478" s="2599"/>
    </row>
    <row r="479">
      <c r="I479" s="2570"/>
      <c r="J479" s="2599"/>
    </row>
    <row r="480">
      <c r="I480" s="2570"/>
      <c r="J480" s="2599"/>
    </row>
    <row r="481">
      <c r="I481" s="2570"/>
      <c r="J481" s="2599"/>
    </row>
    <row r="482">
      <c r="I482" s="2570"/>
      <c r="J482" s="2599"/>
    </row>
    <row r="483">
      <c r="I483" s="2570"/>
      <c r="J483" s="2599"/>
    </row>
    <row r="484">
      <c r="I484" s="2570"/>
      <c r="J484" s="2599"/>
    </row>
    <row r="485">
      <c r="I485" s="2570"/>
      <c r="J485" s="2599"/>
    </row>
    <row r="486">
      <c r="I486" s="2570"/>
      <c r="J486" s="2599"/>
    </row>
    <row r="487">
      <c r="I487" s="2570"/>
      <c r="J487" s="2599"/>
    </row>
    <row r="488">
      <c r="I488" s="2570"/>
      <c r="J488" s="2599"/>
    </row>
    <row r="489">
      <c r="I489" s="2570"/>
      <c r="J489" s="2599"/>
    </row>
    <row r="490">
      <c r="I490" s="2570"/>
      <c r="J490" s="2599"/>
    </row>
    <row r="491">
      <c r="I491" s="2570"/>
      <c r="J491" s="2599"/>
    </row>
    <row r="492">
      <c r="I492" s="2570"/>
      <c r="J492" s="2599"/>
    </row>
    <row r="493">
      <c r="I493" s="2570"/>
      <c r="J493" s="2599"/>
    </row>
    <row r="494">
      <c r="I494" s="2570"/>
      <c r="J494" s="2599"/>
    </row>
    <row r="495">
      <c r="I495" s="2570"/>
      <c r="J495" s="2599"/>
    </row>
    <row r="496">
      <c r="I496" s="2570"/>
      <c r="J496" s="2599"/>
    </row>
    <row r="497">
      <c r="I497" s="2570"/>
      <c r="J497" s="2599"/>
    </row>
    <row r="498">
      <c r="I498" s="2570"/>
      <c r="J498" s="2599"/>
    </row>
    <row r="499">
      <c r="I499" s="2570"/>
      <c r="J499" s="2599"/>
    </row>
    <row r="500">
      <c r="I500" s="2570"/>
      <c r="J500" s="2599"/>
    </row>
    <row r="501">
      <c r="I501" s="2570"/>
      <c r="J501" s="2599"/>
    </row>
    <row r="502">
      <c r="I502" s="2570"/>
      <c r="J502" s="2599"/>
    </row>
    <row r="503">
      <c r="I503" s="2570"/>
      <c r="J503" s="2599"/>
    </row>
    <row r="504">
      <c r="I504" s="2570"/>
      <c r="J504" s="2599"/>
    </row>
    <row r="505">
      <c r="I505" s="2570"/>
      <c r="J505" s="2599"/>
    </row>
    <row r="506">
      <c r="I506" s="2570"/>
      <c r="J506" s="2599"/>
    </row>
    <row r="507">
      <c r="I507" s="2570"/>
      <c r="J507" s="2599"/>
    </row>
    <row r="508">
      <c r="I508" s="2570"/>
      <c r="J508" s="2599"/>
    </row>
    <row r="509">
      <c r="I509" s="2570"/>
      <c r="J509" s="2599"/>
    </row>
    <row r="510">
      <c r="I510" s="2570"/>
      <c r="J510" s="2599"/>
    </row>
    <row r="511">
      <c r="I511" s="2570"/>
      <c r="J511" s="2599"/>
    </row>
    <row r="512">
      <c r="I512" s="2570"/>
      <c r="J512" s="2599"/>
    </row>
    <row r="513">
      <c r="I513" s="2570"/>
      <c r="J513" s="2599"/>
    </row>
    <row r="514">
      <c r="I514" s="2570"/>
      <c r="J514" s="2599"/>
    </row>
    <row r="515">
      <c r="I515" s="2570"/>
      <c r="J515" s="2599"/>
    </row>
    <row r="516">
      <c r="I516" s="2570"/>
      <c r="J516" s="2599"/>
    </row>
    <row r="517">
      <c r="I517" s="2570"/>
      <c r="J517" s="2599"/>
    </row>
    <row r="518">
      <c r="I518" s="2570"/>
      <c r="J518" s="2599"/>
    </row>
    <row r="519">
      <c r="I519" s="2570"/>
      <c r="J519" s="2599"/>
    </row>
    <row r="520">
      <c r="I520" s="2570"/>
      <c r="J520" s="2599"/>
    </row>
    <row r="521">
      <c r="I521" s="2570"/>
      <c r="J521" s="2599"/>
    </row>
    <row r="522">
      <c r="I522" s="2570"/>
      <c r="J522" s="2599"/>
    </row>
    <row r="523">
      <c r="I523" s="2570"/>
      <c r="J523" s="2599"/>
    </row>
    <row r="524">
      <c r="I524" s="2570"/>
      <c r="J524" s="2599"/>
    </row>
    <row r="525">
      <c r="I525" s="2570"/>
      <c r="J525" s="2599"/>
    </row>
    <row r="526">
      <c r="I526" s="2570"/>
      <c r="J526" s="2599"/>
    </row>
    <row r="527">
      <c r="I527" s="2570"/>
      <c r="J527" s="2599"/>
    </row>
    <row r="528">
      <c r="I528" s="2570"/>
      <c r="J528" s="2599"/>
    </row>
    <row r="529">
      <c r="I529" s="2570"/>
      <c r="J529" s="2599"/>
    </row>
    <row r="530">
      <c r="I530" s="2570"/>
      <c r="J530" s="2599"/>
    </row>
    <row r="531">
      <c r="I531" s="2570"/>
      <c r="J531" s="2599"/>
    </row>
    <row r="532">
      <c r="I532" s="2570"/>
      <c r="J532" s="2599"/>
    </row>
    <row r="533">
      <c r="I533" s="2570"/>
      <c r="J533" s="2599"/>
    </row>
    <row r="534">
      <c r="I534" s="2570"/>
      <c r="J534" s="2599"/>
    </row>
    <row r="535">
      <c r="I535" s="2570"/>
      <c r="J535" s="2599"/>
    </row>
    <row r="536">
      <c r="I536" s="2570"/>
      <c r="J536" s="2599"/>
    </row>
    <row r="537">
      <c r="I537" s="2570"/>
      <c r="J537" s="2599"/>
    </row>
    <row r="538">
      <c r="I538" s="2570"/>
      <c r="J538" s="2599"/>
    </row>
    <row r="539">
      <c r="I539" s="2570"/>
      <c r="J539" s="2599"/>
    </row>
    <row r="540">
      <c r="I540" s="2570"/>
      <c r="J540" s="2599"/>
    </row>
    <row r="541">
      <c r="I541" s="2570"/>
      <c r="J541" s="2599"/>
    </row>
    <row r="542">
      <c r="I542" s="2570"/>
      <c r="J542" s="2599"/>
    </row>
    <row r="543">
      <c r="I543" s="2570"/>
      <c r="J543" s="2599"/>
    </row>
    <row r="544">
      <c r="I544" s="2570"/>
      <c r="J544" s="2599"/>
    </row>
    <row r="545">
      <c r="I545" s="2570"/>
      <c r="J545" s="2599"/>
    </row>
    <row r="546">
      <c r="I546" s="2570"/>
      <c r="J546" s="2599"/>
    </row>
    <row r="547">
      <c r="I547" s="2570"/>
      <c r="J547" s="2599"/>
    </row>
    <row r="548">
      <c r="I548" s="2570"/>
      <c r="J548" s="2599"/>
    </row>
    <row r="549">
      <c r="I549" s="2570"/>
      <c r="J549" s="2599"/>
    </row>
    <row r="550">
      <c r="I550" s="2570"/>
      <c r="J550" s="2599"/>
    </row>
    <row r="551">
      <c r="I551" s="2570"/>
      <c r="J551" s="2599"/>
    </row>
    <row r="552">
      <c r="I552" s="2570"/>
      <c r="J552" s="2599"/>
    </row>
    <row r="553">
      <c r="I553" s="2570"/>
      <c r="J553" s="2599"/>
    </row>
    <row r="554">
      <c r="I554" s="2570"/>
      <c r="J554" s="2599"/>
    </row>
    <row r="555">
      <c r="I555" s="2570"/>
      <c r="J555" s="2599"/>
    </row>
    <row r="556">
      <c r="I556" s="2570"/>
      <c r="J556" s="2599"/>
    </row>
    <row r="557">
      <c r="I557" s="2570"/>
      <c r="J557" s="2599"/>
    </row>
    <row r="558">
      <c r="I558" s="2570"/>
      <c r="J558" s="2599"/>
    </row>
    <row r="559">
      <c r="I559" s="2570"/>
      <c r="J559" s="2599"/>
    </row>
    <row r="560">
      <c r="I560" s="2570"/>
      <c r="J560" s="2599"/>
    </row>
    <row r="561">
      <c r="I561" s="2570"/>
      <c r="J561" s="2599"/>
    </row>
    <row r="562">
      <c r="I562" s="2570"/>
      <c r="J562" s="2599"/>
    </row>
    <row r="563">
      <c r="I563" s="2570"/>
      <c r="J563" s="2599"/>
    </row>
    <row r="564">
      <c r="I564" s="2570"/>
      <c r="J564" s="2599"/>
    </row>
    <row r="565">
      <c r="I565" s="2570"/>
      <c r="J565" s="2599"/>
    </row>
    <row r="566">
      <c r="I566" s="2570"/>
      <c r="J566" s="2599"/>
    </row>
    <row r="567">
      <c r="I567" s="2570"/>
      <c r="J567" s="2599"/>
    </row>
    <row r="568">
      <c r="I568" s="2570"/>
      <c r="J568" s="2599"/>
    </row>
    <row r="569">
      <c r="I569" s="2570"/>
      <c r="J569" s="2599"/>
    </row>
    <row r="570">
      <c r="I570" s="2570"/>
      <c r="J570" s="2599"/>
    </row>
    <row r="571">
      <c r="I571" s="2570"/>
      <c r="J571" s="2599"/>
    </row>
    <row r="572">
      <c r="I572" s="2570"/>
      <c r="J572" s="2599"/>
    </row>
    <row r="573">
      <c r="I573" s="2570"/>
      <c r="J573" s="2599"/>
    </row>
    <row r="574">
      <c r="I574" s="2570"/>
      <c r="J574" s="2599"/>
    </row>
    <row r="575">
      <c r="I575" s="2570"/>
      <c r="J575" s="2599"/>
    </row>
    <row r="576">
      <c r="I576" s="2570"/>
      <c r="J576" s="2599"/>
    </row>
    <row r="577">
      <c r="I577" s="2570"/>
      <c r="J577" s="2599"/>
    </row>
    <row r="578">
      <c r="I578" s="2570"/>
      <c r="J578" s="2599"/>
    </row>
    <row r="579">
      <c r="I579" s="2570"/>
      <c r="J579" s="2599"/>
    </row>
    <row r="580">
      <c r="I580" s="2570"/>
      <c r="J580" s="2599"/>
    </row>
    <row r="581">
      <c r="I581" s="2570"/>
      <c r="J581" s="2599"/>
    </row>
    <row r="582">
      <c r="I582" s="2570"/>
      <c r="J582" s="2599"/>
    </row>
    <row r="583">
      <c r="I583" s="2570"/>
      <c r="J583" s="2599"/>
    </row>
    <row r="584">
      <c r="I584" s="2570"/>
      <c r="J584" s="2599"/>
    </row>
    <row r="585">
      <c r="I585" s="2570"/>
      <c r="J585" s="2599"/>
    </row>
    <row r="586">
      <c r="I586" s="2570"/>
      <c r="J586" s="2599"/>
    </row>
    <row r="587">
      <c r="I587" s="2570"/>
      <c r="J587" s="2599"/>
    </row>
    <row r="588">
      <c r="I588" s="2570"/>
      <c r="J588" s="2599"/>
    </row>
    <row r="589">
      <c r="I589" s="2570"/>
      <c r="J589" s="2599"/>
    </row>
    <row r="590">
      <c r="I590" s="2570"/>
      <c r="J590" s="2599"/>
    </row>
    <row r="591">
      <c r="I591" s="2570"/>
      <c r="J591" s="2599"/>
    </row>
    <row r="592">
      <c r="I592" s="2570"/>
      <c r="J592" s="2599"/>
    </row>
    <row r="593">
      <c r="I593" s="2570"/>
      <c r="J593" s="2599"/>
    </row>
    <row r="594">
      <c r="I594" s="2570"/>
      <c r="J594" s="2599"/>
    </row>
    <row r="595">
      <c r="I595" s="2570"/>
      <c r="J595" s="2599"/>
    </row>
    <row r="596">
      <c r="I596" s="2570"/>
      <c r="J596" s="2599"/>
    </row>
    <row r="597">
      <c r="I597" s="2570"/>
      <c r="J597" s="2599"/>
    </row>
    <row r="598">
      <c r="I598" s="2570"/>
      <c r="J598" s="2599"/>
    </row>
    <row r="599">
      <c r="I599" s="2570"/>
      <c r="J599" s="2599"/>
    </row>
    <row r="600">
      <c r="I600" s="2570"/>
      <c r="J600" s="2599"/>
    </row>
    <row r="601">
      <c r="I601" s="2570"/>
      <c r="J601" s="2599"/>
    </row>
    <row r="602">
      <c r="I602" s="2570"/>
      <c r="J602" s="2599"/>
    </row>
    <row r="603">
      <c r="I603" s="2570"/>
      <c r="J603" s="2599"/>
    </row>
    <row r="604">
      <c r="I604" s="2570"/>
      <c r="J604" s="2599"/>
    </row>
    <row r="605">
      <c r="I605" s="2570"/>
      <c r="J605" s="2599"/>
    </row>
    <row r="606">
      <c r="I606" s="2570"/>
      <c r="J606" s="2599"/>
    </row>
    <row r="607">
      <c r="I607" s="2570"/>
      <c r="J607" s="2599"/>
    </row>
    <row r="608">
      <c r="I608" s="2570"/>
      <c r="J608" s="2599"/>
    </row>
    <row r="609">
      <c r="I609" s="2570"/>
      <c r="J609" s="2599"/>
    </row>
    <row r="610">
      <c r="I610" s="2570"/>
      <c r="J610" s="2599"/>
    </row>
    <row r="611">
      <c r="I611" s="2570"/>
      <c r="J611" s="2599"/>
    </row>
    <row r="612">
      <c r="I612" s="2570"/>
      <c r="J612" s="2599"/>
    </row>
    <row r="613">
      <c r="I613" s="2570"/>
      <c r="J613" s="2599"/>
    </row>
    <row r="614">
      <c r="I614" s="2570"/>
      <c r="J614" s="2599"/>
    </row>
    <row r="615">
      <c r="I615" s="2570"/>
      <c r="J615" s="2599"/>
    </row>
    <row r="616">
      <c r="I616" s="2570"/>
      <c r="J616" s="2599"/>
    </row>
    <row r="617">
      <c r="I617" s="2570"/>
      <c r="J617" s="2599"/>
    </row>
    <row r="618">
      <c r="I618" s="2570"/>
      <c r="J618" s="2599"/>
    </row>
    <row r="619">
      <c r="I619" s="2570"/>
      <c r="J619" s="2599"/>
    </row>
    <row r="620">
      <c r="I620" s="2570"/>
      <c r="J620" s="2599"/>
    </row>
    <row r="621">
      <c r="I621" s="2570"/>
      <c r="J621" s="2599"/>
    </row>
    <row r="622">
      <c r="I622" s="2570"/>
      <c r="J622" s="2599"/>
    </row>
    <row r="623">
      <c r="I623" s="2570"/>
      <c r="J623" s="2599"/>
    </row>
    <row r="624">
      <c r="I624" s="2570"/>
      <c r="J624" s="2599"/>
    </row>
    <row r="625">
      <c r="I625" s="2570"/>
      <c r="J625" s="2599"/>
    </row>
    <row r="626">
      <c r="I626" s="2570"/>
      <c r="J626" s="2599"/>
    </row>
    <row r="627">
      <c r="I627" s="2570"/>
      <c r="J627" s="2599"/>
    </row>
    <row r="628">
      <c r="I628" s="2570"/>
      <c r="J628" s="2599"/>
    </row>
    <row r="629">
      <c r="I629" s="2570"/>
      <c r="J629" s="2599"/>
    </row>
    <row r="630">
      <c r="I630" s="2570"/>
      <c r="J630" s="2599"/>
    </row>
    <row r="631">
      <c r="I631" s="2570"/>
      <c r="J631" s="2599"/>
    </row>
    <row r="632">
      <c r="I632" s="2570"/>
      <c r="J632" s="2599"/>
    </row>
    <row r="633">
      <c r="I633" s="2570"/>
      <c r="J633" s="2599"/>
    </row>
    <row r="634">
      <c r="I634" s="2570"/>
      <c r="J634" s="2599"/>
    </row>
    <row r="635">
      <c r="I635" s="2570"/>
      <c r="J635" s="2599"/>
    </row>
    <row r="636">
      <c r="I636" s="2570"/>
      <c r="J636" s="2599"/>
    </row>
    <row r="637">
      <c r="I637" s="2570"/>
      <c r="J637" s="2599"/>
    </row>
    <row r="638">
      <c r="I638" s="2570"/>
      <c r="J638" s="2599"/>
    </row>
    <row r="639">
      <c r="I639" s="2570"/>
      <c r="J639" s="2599"/>
    </row>
    <row r="640">
      <c r="I640" s="2570"/>
      <c r="J640" s="2599"/>
    </row>
    <row r="641">
      <c r="I641" s="2570"/>
      <c r="J641" s="2599"/>
    </row>
    <row r="642">
      <c r="I642" s="2570"/>
      <c r="J642" s="2599"/>
    </row>
    <row r="643">
      <c r="I643" s="2570"/>
      <c r="J643" s="2599"/>
    </row>
    <row r="644">
      <c r="I644" s="2570"/>
      <c r="J644" s="2599"/>
    </row>
    <row r="645">
      <c r="I645" s="2570"/>
      <c r="J645" s="2599"/>
    </row>
    <row r="646">
      <c r="I646" s="2570"/>
      <c r="J646" s="2599"/>
    </row>
    <row r="647">
      <c r="I647" s="2570"/>
      <c r="J647" s="2599"/>
    </row>
    <row r="648">
      <c r="I648" s="2570"/>
      <c r="J648" s="2599"/>
    </row>
    <row r="649">
      <c r="I649" s="2570"/>
      <c r="J649" s="2599"/>
    </row>
    <row r="650">
      <c r="I650" s="2570"/>
      <c r="J650" s="2599"/>
    </row>
    <row r="651">
      <c r="I651" s="2570"/>
      <c r="J651" s="2599"/>
    </row>
    <row r="652">
      <c r="I652" s="2570"/>
      <c r="J652" s="2599"/>
    </row>
    <row r="653">
      <c r="I653" s="2570"/>
      <c r="J653" s="2599"/>
    </row>
    <row r="654">
      <c r="I654" s="2570"/>
      <c r="J654" s="2599"/>
    </row>
    <row r="655">
      <c r="I655" s="2570"/>
      <c r="J655" s="2599"/>
    </row>
    <row r="656">
      <c r="I656" s="2570"/>
      <c r="J656" s="2599"/>
    </row>
    <row r="657">
      <c r="I657" s="2570"/>
      <c r="J657" s="2599"/>
    </row>
    <row r="658">
      <c r="I658" s="2570"/>
      <c r="J658" s="2599"/>
    </row>
    <row r="659">
      <c r="I659" s="2570"/>
      <c r="J659" s="2599"/>
    </row>
    <row r="660">
      <c r="I660" s="2570"/>
      <c r="J660" s="2599"/>
    </row>
    <row r="661">
      <c r="I661" s="2570"/>
      <c r="J661" s="2599"/>
    </row>
    <row r="662">
      <c r="I662" s="2570"/>
      <c r="J662" s="2599"/>
    </row>
    <row r="663">
      <c r="I663" s="2570"/>
      <c r="J663" s="2599"/>
    </row>
    <row r="664">
      <c r="I664" s="2570"/>
      <c r="J664" s="2599"/>
    </row>
    <row r="665">
      <c r="I665" s="2570"/>
      <c r="J665" s="2599"/>
    </row>
    <row r="666">
      <c r="I666" s="2570"/>
      <c r="J666" s="2599"/>
    </row>
    <row r="667">
      <c r="I667" s="2570"/>
      <c r="J667" s="2599"/>
    </row>
    <row r="668">
      <c r="I668" s="2570"/>
      <c r="J668" s="2599"/>
    </row>
    <row r="669">
      <c r="I669" s="2570"/>
      <c r="J669" s="2599"/>
    </row>
    <row r="670">
      <c r="I670" s="2570"/>
      <c r="J670" s="2599"/>
    </row>
    <row r="671">
      <c r="I671" s="2570"/>
      <c r="J671" s="2599"/>
    </row>
    <row r="672">
      <c r="I672" s="2570"/>
      <c r="J672" s="2599"/>
    </row>
    <row r="673">
      <c r="I673" s="2570"/>
      <c r="J673" s="2599"/>
    </row>
    <row r="674">
      <c r="I674" s="2570"/>
      <c r="J674" s="2599"/>
    </row>
    <row r="675">
      <c r="I675" s="2570"/>
      <c r="J675" s="2599"/>
    </row>
    <row r="676">
      <c r="I676" s="2570"/>
      <c r="J676" s="2599"/>
    </row>
    <row r="677">
      <c r="I677" s="2570"/>
      <c r="J677" s="2599"/>
    </row>
    <row r="678">
      <c r="I678" s="2570"/>
      <c r="J678" s="2599"/>
    </row>
    <row r="679">
      <c r="I679" s="2570"/>
      <c r="J679" s="2599"/>
    </row>
    <row r="680">
      <c r="I680" s="2570"/>
      <c r="J680" s="2599"/>
    </row>
    <row r="681">
      <c r="I681" s="2570"/>
      <c r="J681" s="2599"/>
    </row>
    <row r="682">
      <c r="I682" s="2570"/>
      <c r="J682" s="2599"/>
    </row>
    <row r="683">
      <c r="I683" s="2570"/>
      <c r="J683" s="2599"/>
    </row>
    <row r="684">
      <c r="I684" s="2570"/>
      <c r="J684" s="2599"/>
    </row>
    <row r="685">
      <c r="I685" s="2570"/>
      <c r="J685" s="2599"/>
    </row>
    <row r="686">
      <c r="I686" s="2570"/>
      <c r="J686" s="2599"/>
    </row>
    <row r="687">
      <c r="I687" s="2570"/>
      <c r="J687" s="2599"/>
    </row>
    <row r="688">
      <c r="I688" s="2570"/>
      <c r="J688" s="2599"/>
    </row>
    <row r="689">
      <c r="I689" s="2570"/>
      <c r="J689" s="2599"/>
    </row>
    <row r="690">
      <c r="I690" s="2570"/>
      <c r="J690" s="2599"/>
    </row>
    <row r="691">
      <c r="I691" s="2570"/>
      <c r="J691" s="2599"/>
    </row>
    <row r="692">
      <c r="I692" s="2570"/>
      <c r="J692" s="2599"/>
    </row>
    <row r="693">
      <c r="I693" s="2570"/>
      <c r="J693" s="2599"/>
    </row>
    <row r="694">
      <c r="I694" s="2570"/>
      <c r="J694" s="2599"/>
    </row>
    <row r="695">
      <c r="I695" s="2570"/>
      <c r="J695" s="2599"/>
    </row>
    <row r="696">
      <c r="I696" s="2570"/>
      <c r="J696" s="2599"/>
    </row>
    <row r="697">
      <c r="I697" s="2570"/>
      <c r="J697" s="2599"/>
    </row>
    <row r="698">
      <c r="I698" s="2570"/>
      <c r="J698" s="2599"/>
    </row>
    <row r="699">
      <c r="I699" s="2570"/>
      <c r="J699" s="2599"/>
    </row>
    <row r="700">
      <c r="I700" s="2570"/>
      <c r="J700" s="2599"/>
    </row>
    <row r="701">
      <c r="I701" s="2570"/>
      <c r="J701" s="2599"/>
    </row>
    <row r="702">
      <c r="I702" s="2570"/>
      <c r="J702" s="2599"/>
    </row>
    <row r="703">
      <c r="I703" s="2570"/>
      <c r="J703" s="2599"/>
    </row>
    <row r="704">
      <c r="I704" s="2570"/>
      <c r="J704" s="2599"/>
    </row>
    <row r="705">
      <c r="I705" s="2570"/>
      <c r="J705" s="2599"/>
    </row>
    <row r="706">
      <c r="I706" s="2570"/>
      <c r="J706" s="2599"/>
    </row>
    <row r="707">
      <c r="I707" s="2570"/>
      <c r="J707" s="2599"/>
    </row>
    <row r="708">
      <c r="I708" s="2570"/>
      <c r="J708" s="2599"/>
    </row>
    <row r="709">
      <c r="I709" s="2570"/>
      <c r="J709" s="2599"/>
    </row>
    <row r="710">
      <c r="I710" s="2570"/>
      <c r="J710" s="2599"/>
    </row>
    <row r="711">
      <c r="I711" s="2570"/>
      <c r="J711" s="2599"/>
    </row>
    <row r="712">
      <c r="I712" s="2570"/>
      <c r="J712" s="2599"/>
    </row>
    <row r="713">
      <c r="I713" s="2570"/>
      <c r="J713" s="2599"/>
    </row>
    <row r="714">
      <c r="I714" s="2570"/>
      <c r="J714" s="2599"/>
    </row>
    <row r="715">
      <c r="I715" s="2570"/>
      <c r="J715" s="2599"/>
    </row>
    <row r="716">
      <c r="I716" s="2570"/>
      <c r="J716" s="2599"/>
    </row>
    <row r="717">
      <c r="I717" s="2570"/>
      <c r="J717" s="2599"/>
    </row>
    <row r="718">
      <c r="I718" s="2570"/>
      <c r="J718" s="2599"/>
    </row>
    <row r="719">
      <c r="I719" s="2570"/>
      <c r="J719" s="2599"/>
    </row>
    <row r="720">
      <c r="I720" s="2570"/>
      <c r="J720" s="2599"/>
    </row>
    <row r="721">
      <c r="I721" s="2570"/>
      <c r="J721" s="2599"/>
    </row>
    <row r="722">
      <c r="I722" s="2570"/>
      <c r="J722" s="2599"/>
    </row>
    <row r="723">
      <c r="I723" s="2570"/>
      <c r="J723" s="2599"/>
    </row>
    <row r="724">
      <c r="I724" s="2570"/>
      <c r="J724" s="2599"/>
    </row>
    <row r="725">
      <c r="I725" s="2570"/>
      <c r="J725" s="2599"/>
    </row>
    <row r="726">
      <c r="I726" s="2570"/>
      <c r="J726" s="2599"/>
    </row>
    <row r="727">
      <c r="I727" s="2570"/>
      <c r="J727" s="2599"/>
    </row>
    <row r="728">
      <c r="I728" s="2570"/>
      <c r="J728" s="2599"/>
    </row>
    <row r="729">
      <c r="I729" s="2570"/>
      <c r="J729" s="2599"/>
    </row>
    <row r="730">
      <c r="I730" s="2570"/>
      <c r="J730" s="2599"/>
    </row>
    <row r="731">
      <c r="I731" s="2570"/>
      <c r="J731" s="2599"/>
    </row>
    <row r="732">
      <c r="I732" s="2570"/>
      <c r="J732" s="2599"/>
    </row>
    <row r="733">
      <c r="I733" s="2570"/>
      <c r="J733" s="2599"/>
    </row>
    <row r="734">
      <c r="I734" s="2570"/>
      <c r="J734" s="2599"/>
    </row>
    <row r="735">
      <c r="I735" s="2570"/>
      <c r="J735" s="2599"/>
    </row>
    <row r="736">
      <c r="I736" s="2570"/>
      <c r="J736" s="2599"/>
    </row>
    <row r="737">
      <c r="I737" s="2570"/>
      <c r="J737" s="2599"/>
    </row>
    <row r="738">
      <c r="I738" s="2570"/>
      <c r="J738" s="2599"/>
    </row>
    <row r="739">
      <c r="I739" s="2570"/>
      <c r="J739" s="2599"/>
    </row>
    <row r="740">
      <c r="I740" s="2570"/>
      <c r="J740" s="2599"/>
    </row>
    <row r="741">
      <c r="I741" s="2570"/>
      <c r="J741" s="2599"/>
    </row>
    <row r="742">
      <c r="I742" s="2570"/>
      <c r="J742" s="2599"/>
    </row>
    <row r="743">
      <c r="I743" s="2570"/>
      <c r="J743" s="2599"/>
    </row>
    <row r="744">
      <c r="I744" s="2570"/>
      <c r="J744" s="2599"/>
    </row>
    <row r="745">
      <c r="I745" s="2570"/>
      <c r="J745" s="2599"/>
    </row>
    <row r="746">
      <c r="I746" s="2570"/>
      <c r="J746" s="2599"/>
    </row>
    <row r="747">
      <c r="I747" s="2570"/>
      <c r="J747" s="2599"/>
    </row>
    <row r="748">
      <c r="I748" s="2570"/>
      <c r="J748" s="2599"/>
    </row>
    <row r="749">
      <c r="I749" s="2570"/>
      <c r="J749" s="2599"/>
    </row>
    <row r="750">
      <c r="I750" s="2570"/>
      <c r="J750" s="2599"/>
    </row>
    <row r="751">
      <c r="I751" s="2570"/>
      <c r="J751" s="2599"/>
    </row>
    <row r="752">
      <c r="I752" s="2570"/>
      <c r="J752" s="2599"/>
    </row>
    <row r="753">
      <c r="I753" s="2570"/>
      <c r="J753" s="2599"/>
    </row>
    <row r="754">
      <c r="I754" s="2570"/>
      <c r="J754" s="2599"/>
    </row>
    <row r="755">
      <c r="I755" s="2570"/>
      <c r="J755" s="2599"/>
    </row>
    <row r="756">
      <c r="I756" s="2570"/>
      <c r="J756" s="2599"/>
    </row>
    <row r="757">
      <c r="I757" s="2570"/>
      <c r="J757" s="2599"/>
    </row>
    <row r="758">
      <c r="I758" s="2570"/>
      <c r="J758" s="2599"/>
    </row>
    <row r="759">
      <c r="I759" s="2570"/>
      <c r="J759" s="2599"/>
    </row>
    <row r="760">
      <c r="I760" s="2570"/>
      <c r="J760" s="2599"/>
    </row>
    <row r="761">
      <c r="I761" s="2570"/>
      <c r="J761" s="2599"/>
    </row>
    <row r="762">
      <c r="I762" s="2570"/>
      <c r="J762" s="2599"/>
    </row>
    <row r="763">
      <c r="I763" s="2570"/>
      <c r="J763" s="2599"/>
    </row>
    <row r="764">
      <c r="I764" s="2570"/>
      <c r="J764" s="2599"/>
    </row>
    <row r="765">
      <c r="I765" s="2570"/>
      <c r="J765" s="2599"/>
    </row>
    <row r="766">
      <c r="I766" s="2570"/>
      <c r="J766" s="2599"/>
    </row>
    <row r="767">
      <c r="I767" s="2570"/>
      <c r="J767" s="2599"/>
    </row>
    <row r="768">
      <c r="I768" s="2570"/>
      <c r="J768" s="2599"/>
    </row>
    <row r="769">
      <c r="I769" s="2570"/>
      <c r="J769" s="2599"/>
    </row>
    <row r="770">
      <c r="I770" s="2570"/>
      <c r="J770" s="2599"/>
    </row>
    <row r="771">
      <c r="I771" s="2570"/>
      <c r="J771" s="2599"/>
    </row>
    <row r="772">
      <c r="I772" s="2570"/>
      <c r="J772" s="2599"/>
    </row>
    <row r="773">
      <c r="I773" s="2570"/>
      <c r="J773" s="2599"/>
    </row>
    <row r="774">
      <c r="I774" s="2570"/>
      <c r="J774" s="2599"/>
    </row>
    <row r="775">
      <c r="I775" s="2570"/>
      <c r="J775" s="2599"/>
    </row>
    <row r="776">
      <c r="I776" s="2570"/>
      <c r="J776" s="2599"/>
    </row>
    <row r="777">
      <c r="I777" s="2570"/>
      <c r="J777" s="2599"/>
    </row>
    <row r="778">
      <c r="I778" s="2570"/>
      <c r="J778" s="2599"/>
    </row>
    <row r="779">
      <c r="I779" s="2570"/>
      <c r="J779" s="2599"/>
    </row>
    <row r="780">
      <c r="I780" s="2570"/>
      <c r="J780" s="2599"/>
    </row>
    <row r="781">
      <c r="I781" s="2570"/>
      <c r="J781" s="2599"/>
    </row>
    <row r="782">
      <c r="I782" s="2570"/>
      <c r="J782" s="2599"/>
    </row>
    <row r="783">
      <c r="I783" s="2570"/>
      <c r="J783" s="2599"/>
    </row>
    <row r="784">
      <c r="I784" s="2570"/>
      <c r="J784" s="2599"/>
    </row>
    <row r="785">
      <c r="I785" s="2570"/>
      <c r="J785" s="2599"/>
    </row>
    <row r="786">
      <c r="I786" s="2570"/>
      <c r="J786" s="2599"/>
    </row>
    <row r="787">
      <c r="I787" s="2570"/>
      <c r="J787" s="2599"/>
    </row>
    <row r="788">
      <c r="I788" s="2570"/>
      <c r="J788" s="2599"/>
    </row>
    <row r="789">
      <c r="I789" s="2570"/>
      <c r="J789" s="2599"/>
    </row>
    <row r="790">
      <c r="I790" s="2570"/>
      <c r="J790" s="2599"/>
    </row>
    <row r="791">
      <c r="I791" s="2570"/>
      <c r="J791" s="2599"/>
    </row>
    <row r="792">
      <c r="I792" s="2570"/>
      <c r="J792" s="2599"/>
    </row>
    <row r="793">
      <c r="I793" s="2570"/>
      <c r="J793" s="2599"/>
    </row>
    <row r="794">
      <c r="I794" s="2570"/>
      <c r="J794" s="2599"/>
    </row>
    <row r="795">
      <c r="I795" s="2570"/>
      <c r="J795" s="2599"/>
    </row>
    <row r="796">
      <c r="I796" s="2570"/>
      <c r="J796" s="2599"/>
    </row>
    <row r="797">
      <c r="I797" s="2570"/>
      <c r="J797" s="2599"/>
    </row>
    <row r="798">
      <c r="I798" s="2570"/>
      <c r="J798" s="2599"/>
    </row>
    <row r="799">
      <c r="I799" s="2570"/>
      <c r="J799" s="2599"/>
    </row>
    <row r="800">
      <c r="I800" s="2570"/>
      <c r="J800" s="2599"/>
    </row>
    <row r="801">
      <c r="I801" s="2570"/>
      <c r="J801" s="2599"/>
    </row>
    <row r="802">
      <c r="I802" s="2570"/>
      <c r="J802" s="2599"/>
    </row>
    <row r="803">
      <c r="I803" s="2570"/>
      <c r="J803" s="2599"/>
    </row>
    <row r="804">
      <c r="I804" s="2570"/>
      <c r="J804" s="2599"/>
    </row>
    <row r="805">
      <c r="I805" s="2570"/>
      <c r="J805" s="2599"/>
    </row>
    <row r="806">
      <c r="I806" s="2570"/>
      <c r="J806" s="2599"/>
    </row>
    <row r="807">
      <c r="I807" s="2570"/>
      <c r="J807" s="2599"/>
    </row>
    <row r="808">
      <c r="I808" s="2570"/>
      <c r="J808" s="2599"/>
    </row>
    <row r="809">
      <c r="I809" s="2570"/>
      <c r="J809" s="2599"/>
    </row>
    <row r="810">
      <c r="I810" s="2570"/>
      <c r="J810" s="2599"/>
    </row>
    <row r="811">
      <c r="I811" s="2570"/>
      <c r="J811" s="2599"/>
    </row>
    <row r="812">
      <c r="I812" s="2570"/>
      <c r="J812" s="2599"/>
    </row>
    <row r="813">
      <c r="I813" s="2570"/>
      <c r="J813" s="2599"/>
    </row>
    <row r="814">
      <c r="I814" s="2570"/>
      <c r="J814" s="2599"/>
    </row>
    <row r="815">
      <c r="I815" s="2570"/>
      <c r="J815" s="2599"/>
    </row>
    <row r="816">
      <c r="I816" s="2570"/>
      <c r="J816" s="2599"/>
    </row>
    <row r="817">
      <c r="I817" s="2570"/>
      <c r="J817" s="2599"/>
    </row>
    <row r="818">
      <c r="I818" s="2570"/>
      <c r="J818" s="2599"/>
    </row>
    <row r="819">
      <c r="I819" s="2570"/>
      <c r="J819" s="2599"/>
    </row>
    <row r="820">
      <c r="I820" s="2570"/>
      <c r="J820" s="2599"/>
    </row>
    <row r="821">
      <c r="I821" s="2570"/>
      <c r="J821" s="2599"/>
    </row>
    <row r="822">
      <c r="I822" s="2570"/>
      <c r="J822" s="2599"/>
    </row>
    <row r="823">
      <c r="I823" s="2570"/>
      <c r="J823" s="2599"/>
    </row>
    <row r="824">
      <c r="I824" s="2570"/>
      <c r="J824" s="2599"/>
    </row>
    <row r="825">
      <c r="I825" s="2570"/>
      <c r="J825" s="2599"/>
    </row>
    <row r="826">
      <c r="I826" s="2570"/>
      <c r="J826" s="2599"/>
    </row>
    <row r="827">
      <c r="I827" s="2570"/>
      <c r="J827" s="2599"/>
    </row>
    <row r="828">
      <c r="I828" s="2570"/>
      <c r="J828" s="2599"/>
    </row>
    <row r="829">
      <c r="I829" s="2570"/>
      <c r="J829" s="2599"/>
    </row>
    <row r="830">
      <c r="I830" s="2570"/>
      <c r="J830" s="2599"/>
    </row>
    <row r="831">
      <c r="I831" s="2570"/>
      <c r="J831" s="2599"/>
    </row>
    <row r="832">
      <c r="I832" s="2570"/>
      <c r="J832" s="2599"/>
    </row>
    <row r="833">
      <c r="I833" s="2570"/>
      <c r="J833" s="2599"/>
    </row>
    <row r="834">
      <c r="I834" s="2570"/>
      <c r="J834" s="2599"/>
    </row>
    <row r="835">
      <c r="I835" s="2570"/>
      <c r="J835" s="2599"/>
    </row>
    <row r="836">
      <c r="I836" s="2570"/>
      <c r="J836" s="2599"/>
    </row>
    <row r="837">
      <c r="I837" s="2570"/>
      <c r="J837" s="2599"/>
    </row>
    <row r="838">
      <c r="I838" s="2570"/>
      <c r="J838" s="2599"/>
    </row>
    <row r="839">
      <c r="I839" s="2570"/>
      <c r="J839" s="2599"/>
    </row>
    <row r="840">
      <c r="I840" s="2570"/>
      <c r="J840" s="2599"/>
    </row>
    <row r="841">
      <c r="I841" s="2570"/>
      <c r="J841" s="2599"/>
    </row>
    <row r="842">
      <c r="I842" s="2570"/>
      <c r="J842" s="2599"/>
    </row>
    <row r="843">
      <c r="I843" s="2570"/>
      <c r="J843" s="2599"/>
    </row>
    <row r="844">
      <c r="I844" s="2570"/>
      <c r="J844" s="2599"/>
    </row>
    <row r="845">
      <c r="I845" s="2570"/>
      <c r="J845" s="2599"/>
    </row>
    <row r="846">
      <c r="I846" s="2570"/>
      <c r="J846" s="2599"/>
    </row>
    <row r="847">
      <c r="I847" s="2570"/>
      <c r="J847" s="2599"/>
    </row>
    <row r="848">
      <c r="I848" s="2570"/>
      <c r="J848" s="2599"/>
    </row>
    <row r="849">
      <c r="I849" s="2570"/>
      <c r="J849" s="2599"/>
    </row>
    <row r="850">
      <c r="I850" s="2570"/>
      <c r="J850" s="2599"/>
    </row>
    <row r="851">
      <c r="I851" s="2570"/>
      <c r="J851" s="2599"/>
    </row>
    <row r="852">
      <c r="I852" s="2570"/>
      <c r="J852" s="2599"/>
    </row>
    <row r="853">
      <c r="I853" s="2570"/>
      <c r="J853" s="2599"/>
    </row>
    <row r="854">
      <c r="I854" s="2570"/>
      <c r="J854" s="2599"/>
    </row>
    <row r="855">
      <c r="I855" s="2570"/>
      <c r="J855" s="2599"/>
    </row>
    <row r="856">
      <c r="I856" s="2570"/>
      <c r="J856" s="2599"/>
    </row>
    <row r="857">
      <c r="I857" s="2570"/>
      <c r="J857" s="2599"/>
    </row>
    <row r="858">
      <c r="I858" s="2570"/>
      <c r="J858" s="2599"/>
    </row>
    <row r="859">
      <c r="I859" s="2570"/>
      <c r="J859" s="2599"/>
    </row>
    <row r="860">
      <c r="I860" s="2570"/>
      <c r="J860" s="2599"/>
    </row>
    <row r="861">
      <c r="I861" s="2570"/>
      <c r="J861" s="2599"/>
    </row>
    <row r="862">
      <c r="I862" s="2570"/>
      <c r="J862" s="2599"/>
    </row>
    <row r="863">
      <c r="I863" s="2570"/>
      <c r="J863" s="2599"/>
    </row>
    <row r="864">
      <c r="I864" s="2570"/>
      <c r="J864" s="2599"/>
    </row>
    <row r="865">
      <c r="I865" s="2570"/>
      <c r="J865" s="2599"/>
    </row>
    <row r="866">
      <c r="I866" s="2570"/>
      <c r="J866" s="2599"/>
    </row>
    <row r="867">
      <c r="I867" s="2570"/>
      <c r="J867" s="2599"/>
    </row>
    <row r="868">
      <c r="I868" s="2570"/>
      <c r="J868" s="2599"/>
    </row>
    <row r="869">
      <c r="I869" s="2570"/>
      <c r="J869" s="2599"/>
    </row>
    <row r="870">
      <c r="I870" s="2570"/>
      <c r="J870" s="2599"/>
    </row>
    <row r="871">
      <c r="I871" s="2570"/>
      <c r="J871" s="2599"/>
    </row>
    <row r="872">
      <c r="I872" s="2570"/>
      <c r="J872" s="2599"/>
    </row>
    <row r="873">
      <c r="I873" s="2570"/>
      <c r="J873" s="2599"/>
    </row>
    <row r="874">
      <c r="I874" s="2570"/>
      <c r="J874" s="2599"/>
    </row>
    <row r="875">
      <c r="I875" s="2570"/>
      <c r="J875" s="2599"/>
    </row>
    <row r="876">
      <c r="I876" s="2570"/>
      <c r="J876" s="2599"/>
    </row>
    <row r="877">
      <c r="I877" s="2570"/>
      <c r="J877" s="2599"/>
    </row>
    <row r="878">
      <c r="I878" s="2570"/>
      <c r="J878" s="2599"/>
    </row>
    <row r="879">
      <c r="I879" s="2570"/>
      <c r="J879" s="2599"/>
    </row>
    <row r="880">
      <c r="I880" s="2570"/>
      <c r="J880" s="2599"/>
    </row>
    <row r="881">
      <c r="I881" s="2570"/>
      <c r="J881" s="2599"/>
    </row>
    <row r="882">
      <c r="I882" s="2570"/>
      <c r="J882" s="2599"/>
    </row>
    <row r="883">
      <c r="I883" s="2570"/>
      <c r="J883" s="2599"/>
    </row>
    <row r="884">
      <c r="I884" s="2570"/>
      <c r="J884" s="2599"/>
    </row>
    <row r="885">
      <c r="I885" s="2570"/>
      <c r="J885" s="2599"/>
    </row>
    <row r="886">
      <c r="I886" s="2570"/>
      <c r="J886" s="2599"/>
    </row>
    <row r="887">
      <c r="I887" s="2570"/>
      <c r="J887" s="2599"/>
    </row>
    <row r="888">
      <c r="I888" s="2570"/>
      <c r="J888" s="2599"/>
    </row>
    <row r="889">
      <c r="I889" s="2570"/>
      <c r="J889" s="2599"/>
    </row>
    <row r="890">
      <c r="I890" s="2570"/>
      <c r="J890" s="2599"/>
    </row>
    <row r="891">
      <c r="I891" s="2570"/>
      <c r="J891" s="2599"/>
    </row>
    <row r="892">
      <c r="I892" s="2570"/>
      <c r="J892" s="2599"/>
    </row>
    <row r="893">
      <c r="I893" s="2570"/>
      <c r="J893" s="2599"/>
    </row>
    <row r="894">
      <c r="I894" s="2570"/>
      <c r="J894" s="2599"/>
    </row>
    <row r="895">
      <c r="I895" s="2570"/>
      <c r="J895" s="2599"/>
    </row>
    <row r="896">
      <c r="I896" s="2570"/>
      <c r="J896" s="2599"/>
    </row>
    <row r="897">
      <c r="I897" s="2570"/>
      <c r="J897" s="2599"/>
    </row>
    <row r="898">
      <c r="I898" s="2570"/>
      <c r="J898" s="2599"/>
    </row>
    <row r="899">
      <c r="I899" s="2570"/>
      <c r="J899" s="2599"/>
    </row>
    <row r="900">
      <c r="I900" s="2570"/>
      <c r="J900" s="2599"/>
    </row>
    <row r="901">
      <c r="I901" s="2570"/>
      <c r="J901" s="2599"/>
    </row>
    <row r="902">
      <c r="I902" s="2570"/>
      <c r="J902" s="2599"/>
    </row>
    <row r="903">
      <c r="I903" s="2570"/>
      <c r="J903" s="2599"/>
    </row>
    <row r="904">
      <c r="I904" s="2570"/>
      <c r="J904" s="2599"/>
    </row>
    <row r="905">
      <c r="I905" s="2570"/>
      <c r="J905" s="2599"/>
    </row>
    <row r="906">
      <c r="I906" s="2570"/>
      <c r="J906" s="2599"/>
    </row>
    <row r="907">
      <c r="I907" s="2570"/>
      <c r="J907" s="2599"/>
    </row>
    <row r="908">
      <c r="I908" s="2570"/>
      <c r="J908" s="2599"/>
    </row>
    <row r="909">
      <c r="I909" s="2570"/>
      <c r="J909" s="2599"/>
    </row>
    <row r="910">
      <c r="I910" s="2570"/>
      <c r="J910" s="2599"/>
    </row>
    <row r="911">
      <c r="I911" s="2570"/>
      <c r="J911" s="2599"/>
    </row>
    <row r="912">
      <c r="I912" s="2570"/>
      <c r="J912" s="2599"/>
    </row>
    <row r="913">
      <c r="I913" s="2570"/>
      <c r="J913" s="2599"/>
    </row>
    <row r="914">
      <c r="I914" s="2570"/>
      <c r="J914" s="2599"/>
    </row>
    <row r="915">
      <c r="I915" s="2570"/>
      <c r="J915" s="2599"/>
    </row>
    <row r="916">
      <c r="I916" s="2570"/>
      <c r="J916" s="2599"/>
    </row>
    <row r="917">
      <c r="I917" s="2570"/>
      <c r="J917" s="2599"/>
    </row>
    <row r="918">
      <c r="I918" s="2570"/>
      <c r="J918" s="2599"/>
    </row>
    <row r="919">
      <c r="I919" s="2570"/>
      <c r="J919" s="2599"/>
    </row>
    <row r="920">
      <c r="I920" s="2570"/>
      <c r="J920" s="2599"/>
    </row>
    <row r="921">
      <c r="I921" s="2570"/>
      <c r="J921" s="2599"/>
    </row>
    <row r="922">
      <c r="I922" s="2570"/>
      <c r="J922" s="2599"/>
    </row>
    <row r="923">
      <c r="I923" s="2570"/>
      <c r="J923" s="2599"/>
    </row>
    <row r="924">
      <c r="I924" s="2570"/>
      <c r="J924" s="2599"/>
    </row>
    <row r="925">
      <c r="I925" s="2570"/>
      <c r="J925" s="2599"/>
    </row>
    <row r="926">
      <c r="I926" s="2570"/>
      <c r="J926" s="2599"/>
    </row>
    <row r="927">
      <c r="I927" s="2570"/>
      <c r="J927" s="2599"/>
    </row>
    <row r="928">
      <c r="I928" s="2570"/>
      <c r="J928" s="2599"/>
    </row>
    <row r="929">
      <c r="I929" s="2570"/>
      <c r="J929" s="2599"/>
    </row>
    <row r="930">
      <c r="I930" s="2570"/>
      <c r="J930" s="2599"/>
    </row>
    <row r="931">
      <c r="I931" s="2570"/>
      <c r="J931" s="2599"/>
    </row>
    <row r="932">
      <c r="I932" s="2570"/>
      <c r="J932" s="2599"/>
    </row>
    <row r="933">
      <c r="I933" s="2570"/>
      <c r="J933" s="2599"/>
    </row>
    <row r="934">
      <c r="I934" s="2570"/>
      <c r="J934" s="2599"/>
    </row>
    <row r="935">
      <c r="I935" s="2570"/>
      <c r="J935" s="2599"/>
    </row>
    <row r="936">
      <c r="I936" s="2570"/>
      <c r="J936" s="2599"/>
    </row>
    <row r="937">
      <c r="I937" s="2570"/>
      <c r="J937" s="2599"/>
    </row>
    <row r="938">
      <c r="I938" s="2570"/>
      <c r="J938" s="2599"/>
    </row>
    <row r="939">
      <c r="I939" s="2570"/>
      <c r="J939" s="2599"/>
    </row>
    <row r="940">
      <c r="I940" s="2570"/>
      <c r="J940" s="2599"/>
    </row>
    <row r="941">
      <c r="I941" s="2570"/>
      <c r="J941" s="2599"/>
    </row>
    <row r="942">
      <c r="I942" s="2570"/>
      <c r="J942" s="2599"/>
    </row>
    <row r="943">
      <c r="I943" s="2570"/>
      <c r="J943" s="2599"/>
    </row>
    <row r="944">
      <c r="I944" s="2570"/>
      <c r="J944" s="2599"/>
    </row>
    <row r="945">
      <c r="I945" s="2570"/>
      <c r="J945" s="2599"/>
    </row>
    <row r="946">
      <c r="I946" s="2570"/>
      <c r="J946" s="2599"/>
    </row>
    <row r="947">
      <c r="I947" s="2570"/>
      <c r="J947" s="2599"/>
    </row>
    <row r="948">
      <c r="I948" s="2570"/>
      <c r="J948" s="2599"/>
    </row>
    <row r="949">
      <c r="I949" s="2570"/>
      <c r="J949" s="2599"/>
    </row>
    <row r="950">
      <c r="I950" s="2570"/>
      <c r="J950" s="2599"/>
    </row>
    <row r="951">
      <c r="I951" s="2570"/>
      <c r="J951" s="2599"/>
    </row>
    <row r="952">
      <c r="I952" s="2570"/>
      <c r="J952" s="2599"/>
    </row>
    <row r="953">
      <c r="I953" s="2570"/>
      <c r="J953" s="2599"/>
    </row>
    <row r="954">
      <c r="I954" s="2570"/>
      <c r="J954" s="2599"/>
    </row>
    <row r="955">
      <c r="I955" s="2570"/>
      <c r="J955" s="2599"/>
    </row>
    <row r="956">
      <c r="I956" s="2570"/>
      <c r="J956" s="2599"/>
    </row>
    <row r="957">
      <c r="I957" s="2570"/>
      <c r="J957" s="2599"/>
    </row>
    <row r="958">
      <c r="I958" s="2570"/>
      <c r="J958" s="2599"/>
    </row>
    <row r="959">
      <c r="I959" s="2570"/>
      <c r="J959" s="2599"/>
    </row>
    <row r="960">
      <c r="I960" s="2570"/>
      <c r="J960" s="2599"/>
    </row>
    <row r="961">
      <c r="I961" s="2570"/>
      <c r="J961" s="2599"/>
    </row>
    <row r="962">
      <c r="I962" s="2570"/>
      <c r="J962" s="2599"/>
    </row>
    <row r="963">
      <c r="I963" s="2570"/>
      <c r="J963" s="2599"/>
    </row>
    <row r="964">
      <c r="I964" s="2570"/>
      <c r="J964" s="2599"/>
    </row>
    <row r="965">
      <c r="I965" s="2570"/>
      <c r="J965" s="2599"/>
    </row>
    <row r="966">
      <c r="I966" s="2570"/>
      <c r="J966" s="2599"/>
    </row>
    <row r="967">
      <c r="I967" s="2570"/>
      <c r="J967" s="2599"/>
    </row>
    <row r="968">
      <c r="I968" s="2570"/>
      <c r="J968" s="2599"/>
    </row>
    <row r="969">
      <c r="I969" s="2570"/>
      <c r="J969" s="2599"/>
    </row>
    <row r="970">
      <c r="I970" s="2570"/>
      <c r="J970" s="2599"/>
    </row>
    <row r="971">
      <c r="I971" s="2570"/>
      <c r="J971" s="2599"/>
    </row>
    <row r="972">
      <c r="I972" s="2570"/>
      <c r="J972" s="2599"/>
    </row>
    <row r="973">
      <c r="I973" s="2570"/>
      <c r="J973" s="2599"/>
    </row>
    <row r="974">
      <c r="I974" s="2570"/>
      <c r="J974" s="2599"/>
    </row>
    <row r="975">
      <c r="I975" s="2570"/>
      <c r="J975" s="2599"/>
    </row>
    <row r="976">
      <c r="I976" s="2570"/>
      <c r="J976" s="2599"/>
    </row>
    <row r="977">
      <c r="I977" s="2570"/>
      <c r="J977" s="2599"/>
    </row>
    <row r="978">
      <c r="I978" s="2570"/>
      <c r="J978" s="2599"/>
    </row>
    <row r="979">
      <c r="I979" s="2570"/>
      <c r="J979" s="2599"/>
    </row>
    <row r="980">
      <c r="I980" s="2570"/>
      <c r="J980" s="2599"/>
    </row>
    <row r="981">
      <c r="I981" s="2570"/>
      <c r="J981" s="2599"/>
    </row>
    <row r="982">
      <c r="I982" s="2570"/>
      <c r="J982" s="2599"/>
    </row>
    <row r="983">
      <c r="I983" s="2570"/>
      <c r="J983" s="2599"/>
    </row>
    <row r="984">
      <c r="I984" s="2570"/>
      <c r="J984" s="2599"/>
    </row>
    <row r="985">
      <c r="I985" s="2570"/>
      <c r="J985" s="2599"/>
    </row>
    <row r="986">
      <c r="I986" s="2570"/>
      <c r="J986" s="2599"/>
    </row>
    <row r="987">
      <c r="I987" s="2570"/>
      <c r="J987" s="2599"/>
    </row>
    <row r="988">
      <c r="I988" s="2570"/>
      <c r="J988" s="2599"/>
    </row>
    <row r="989">
      <c r="I989" s="2570"/>
      <c r="J989" s="2599"/>
    </row>
    <row r="990">
      <c r="I990" s="2570"/>
      <c r="J990" s="2599"/>
    </row>
    <row r="991">
      <c r="I991" s="2570"/>
      <c r="J991" s="2599"/>
    </row>
    <row r="992">
      <c r="I992" s="2570"/>
      <c r="J992" s="2599"/>
    </row>
    <row r="993">
      <c r="I993" s="2570"/>
      <c r="J993" s="2599"/>
    </row>
    <row r="994">
      <c r="I994" s="2570"/>
      <c r="J994" s="2599"/>
    </row>
    <row r="995">
      <c r="I995" s="2570"/>
      <c r="J995" s="2599"/>
    </row>
    <row r="996">
      <c r="I996" s="2570"/>
      <c r="J996" s="2599"/>
    </row>
    <row r="997">
      <c r="I997" s="2570"/>
      <c r="J997" s="2599"/>
    </row>
    <row r="998">
      <c r="I998" s="2570"/>
      <c r="J998" s="2599"/>
    </row>
    <row r="999">
      <c r="I999" s="2570"/>
      <c r="J999" s="2599"/>
    </row>
    <row r="1000">
      <c r="I1000" s="2570"/>
      <c r="J1000" s="2599"/>
    </row>
    <row r="1001">
      <c r="I1001" s="2570"/>
      <c r="J1001" s="2599"/>
    </row>
  </sheetData>
  <conditionalFormatting sqref="K1:K1001">
    <cfRule type="cellIs" dxfId="0" priority="1" operator="lessThan">
      <formula>0</formula>
    </cfRule>
  </conditionalFormatting>
  <conditionalFormatting sqref="K1:K1001">
    <cfRule type="cellIs" dxfId="2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6.22"/>
    <col customWidth="1" min="2" max="2" width="9.0"/>
    <col customWidth="1" min="4" max="4" width="35.78"/>
    <col customWidth="1" min="5" max="5" width="6.11"/>
    <col customWidth="1" min="6" max="7" width="5.11"/>
    <col customWidth="1" min="8" max="8" width="10.33"/>
    <col customWidth="1" min="9" max="9" width="5.11"/>
    <col customWidth="1" min="10" max="10" width="10.44"/>
    <col customWidth="1" min="16" max="16" width="9.11"/>
    <col customWidth="1" min="18" max="18" width="7.78"/>
    <col customWidth="1" min="19" max="19" width="16.0"/>
  </cols>
  <sheetData>
    <row r="1">
      <c r="A1" s="2565" t="str">
        <f>'План 3-я неделя'!A2</f>
        <v>Дата:</v>
      </c>
      <c r="B1" s="2609">
        <f>'План 3-я неделя'!D2</f>
        <v>46243</v>
      </c>
      <c r="C1" s="2568"/>
      <c r="D1" s="2568" t="str">
        <f>'План 3-я неделя'!E2</f>
        <v>План на день кухня       ВОСКРЕСЕНЬЕ</v>
      </c>
      <c r="H1" s="2569">
        <f>SUM(H3:H29)</f>
        <v>369763</v>
      </c>
      <c r="I1" s="2570"/>
      <c r="J1" s="2572">
        <f>SUM(J3:J29)</f>
        <v>363624</v>
      </c>
      <c r="K1" s="1346">
        <f>J1-H1</f>
        <v>-6139</v>
      </c>
      <c r="L1" s="2574" t="s">
        <v>1283</v>
      </c>
      <c r="M1" s="2574" t="s">
        <v>1428</v>
      </c>
      <c r="N1" s="2574" t="s">
        <v>3415</v>
      </c>
      <c r="O1" s="2574" t="s">
        <v>3416</v>
      </c>
      <c r="R1" s="2574" t="s">
        <v>1283</v>
      </c>
      <c r="S1" s="2574" t="s">
        <v>3283</v>
      </c>
      <c r="T1" s="2574" t="s">
        <v>3417</v>
      </c>
    </row>
    <row r="2">
      <c r="A2" s="2575" t="str">
        <f>'План 3-я неделя'!B3</f>
        <v>Код</v>
      </c>
      <c r="B2" s="2575" t="str">
        <f>'План 3-я неделя'!C3</f>
        <v>Цена</v>
      </c>
      <c r="C2" s="2575" t="str">
        <f>'План 3-я неделя'!D3</f>
        <v>Категория</v>
      </c>
      <c r="D2" s="2575" t="str">
        <f>'План 3-я неделя'!E3</f>
        <v>Название блюда</v>
      </c>
      <c r="E2" s="2576" t="str">
        <f>'План 3-я неделя'!BL3</f>
        <v>ТСПК</v>
      </c>
      <c r="F2" s="2165" t="s">
        <v>3090</v>
      </c>
      <c r="G2" s="2165" t="s">
        <v>3421</v>
      </c>
      <c r="H2" s="2165" t="s">
        <v>3422</v>
      </c>
      <c r="I2" s="2578" t="s">
        <v>3424</v>
      </c>
      <c r="J2" s="2578" t="s">
        <v>3425</v>
      </c>
      <c r="L2" s="145">
        <v>26.0</v>
      </c>
      <c r="M2" s="1268" t="s">
        <v>397</v>
      </c>
      <c r="N2" s="145">
        <v>26.75</v>
      </c>
      <c r="O2" s="145" t="s">
        <v>3429</v>
      </c>
      <c r="P2" s="2579"/>
      <c r="Q2" s="2579"/>
      <c r="R2" s="145">
        <v>26.0</v>
      </c>
      <c r="S2" s="1268" t="s">
        <v>397</v>
      </c>
      <c r="T2" s="1268" t="s">
        <v>1433</v>
      </c>
    </row>
    <row r="3">
      <c r="A3" s="962">
        <f>'План 3-я неделя'!B4</f>
        <v>4323</v>
      </c>
      <c r="B3" s="962">
        <f>'План 3-я неделя'!C4</f>
        <v>210</v>
      </c>
      <c r="C3" s="962" t="str">
        <f>'План 3-я неделя'!D4</f>
        <v>Завтрак</v>
      </c>
      <c r="D3" s="962" t="str">
        <f>'План 3-я неделя'!E4</f>
        <v>Груша запеченая с творожным кремом</v>
      </c>
      <c r="E3" s="2576" t="str">
        <f>'План 3-я неделя'!BL4</f>
        <v/>
      </c>
      <c r="F3" s="95" t="str">
        <f>'План 3-я неделя'!BN4</f>
        <v/>
      </c>
      <c r="G3" s="95">
        <f>'План 3-я неделя'!BP4+F3</f>
        <v>78</v>
      </c>
      <c r="H3" s="2584">
        <f t="shared" ref="H3:H29" si="1">B3*G3</f>
        <v>16380</v>
      </c>
      <c r="I3" s="2587">
        <f>'План 3-я неделя'!BQ4</f>
        <v>77</v>
      </c>
      <c r="J3" s="2590">
        <f t="shared" ref="J3:J29" si="2">I3*B3</f>
        <v>16170</v>
      </c>
      <c r="L3" s="145">
        <v>2368.0</v>
      </c>
      <c r="M3" s="1268" t="s">
        <v>1822</v>
      </c>
      <c r="N3" s="2593">
        <v>175.0</v>
      </c>
      <c r="O3" s="145" t="s">
        <v>3329</v>
      </c>
      <c r="P3" s="2579"/>
      <c r="Q3" s="2579"/>
      <c r="R3" s="145">
        <v>33.0</v>
      </c>
      <c r="S3" s="1268" t="s">
        <v>524</v>
      </c>
      <c r="T3" s="1268" t="s">
        <v>3436</v>
      </c>
    </row>
    <row r="4">
      <c r="A4" s="962">
        <f>'План 3-я неделя'!B5</f>
        <v>3290</v>
      </c>
      <c r="B4" s="962">
        <f>'План 3-я неделя'!C5</f>
        <v>96</v>
      </c>
      <c r="C4" s="962" t="str">
        <f>'План 3-я неделя'!D5</f>
        <v>Завтрак</v>
      </c>
      <c r="D4" s="962" t="str">
        <f>'План 3-я неделя'!E5</f>
        <v>Каша пшенная с курагой</v>
      </c>
      <c r="E4" s="2576" t="str">
        <f>'План 3-я неделя'!BL5</f>
        <v/>
      </c>
      <c r="F4" s="95" t="str">
        <f>'План 3-я неделя'!BN5</f>
        <v/>
      </c>
      <c r="G4" s="95">
        <f>'План 3-я неделя'!BP5+F4</f>
        <v>72</v>
      </c>
      <c r="H4" s="2584">
        <f t="shared" si="1"/>
        <v>6912</v>
      </c>
      <c r="I4" s="2587">
        <f>'План 3-я неделя'!BQ5</f>
        <v>71</v>
      </c>
      <c r="J4" s="2590">
        <f t="shared" si="2"/>
        <v>6816</v>
      </c>
      <c r="L4" s="145">
        <v>3927.0</v>
      </c>
      <c r="M4" s="1268" t="s">
        <v>2946</v>
      </c>
      <c r="N4" s="2593">
        <v>9.0</v>
      </c>
      <c r="O4" s="145" t="s">
        <v>3429</v>
      </c>
      <c r="P4" s="2579"/>
      <c r="Q4" s="2579"/>
      <c r="R4" s="145">
        <v>822.0</v>
      </c>
      <c r="S4" s="1268" t="s">
        <v>136</v>
      </c>
      <c r="T4" s="1268" t="s">
        <v>3436</v>
      </c>
    </row>
    <row r="5">
      <c r="A5" s="962">
        <f>'План 3-я неделя'!B6</f>
        <v>1550</v>
      </c>
      <c r="B5" s="962">
        <f>'План 3-я неделя'!C6</f>
        <v>158</v>
      </c>
      <c r="C5" s="962" t="str">
        <f>'План 3-я неделя'!D6</f>
        <v>Завтрак</v>
      </c>
      <c r="D5" s="962" t="str">
        <f>'План 3-я неделя'!E6</f>
        <v>Омлет с овощами и сыром </v>
      </c>
      <c r="E5" s="2576" t="str">
        <f>'План 3-я неделя'!BL6</f>
        <v/>
      </c>
      <c r="F5" s="95" t="str">
        <f>'План 3-я неделя'!BN6</f>
        <v/>
      </c>
      <c r="G5" s="95">
        <f>'План 3-я неделя'!BP6+F5</f>
        <v>110</v>
      </c>
      <c r="H5" s="2584">
        <f t="shared" si="1"/>
        <v>17380</v>
      </c>
      <c r="I5" s="2587">
        <f>'План 3-я неделя'!BQ6</f>
        <v>126</v>
      </c>
      <c r="J5" s="2590">
        <f t="shared" si="2"/>
        <v>19908</v>
      </c>
      <c r="L5" s="145">
        <v>3928.0</v>
      </c>
      <c r="M5" s="1268" t="s">
        <v>2026</v>
      </c>
      <c r="N5" s="2593">
        <v>36.0</v>
      </c>
      <c r="O5" s="145" t="s">
        <v>3329</v>
      </c>
      <c r="P5" s="2579"/>
      <c r="Q5" s="2579"/>
      <c r="R5" s="145">
        <v>1025.0</v>
      </c>
      <c r="S5" s="1268" t="s">
        <v>959</v>
      </c>
      <c r="T5" s="1268" t="s">
        <v>3436</v>
      </c>
    </row>
    <row r="6">
      <c r="A6" s="962">
        <f>'План 3-я неделя'!B7</f>
        <v>3076</v>
      </c>
      <c r="B6" s="962">
        <f>'План 3-я неделя'!C7</f>
        <v>98</v>
      </c>
      <c r="C6" s="962" t="str">
        <f>'План 3-я неделя'!D7</f>
        <v>Салат</v>
      </c>
      <c r="D6" s="962" t="str">
        <f>'План 3-я неделя'!E7</f>
        <v>Салат ''Оливье'' (колбаса варен)</v>
      </c>
      <c r="E6" s="2576">
        <f>'План 3-я неделя'!BL7</f>
        <v>44</v>
      </c>
      <c r="F6" s="95" t="str">
        <f>'План 3-я неделя'!BN7</f>
        <v/>
      </c>
      <c r="G6" s="95">
        <f>'План 3-я неделя'!BP7+F6</f>
        <v>143</v>
      </c>
      <c r="H6" s="2584">
        <f t="shared" si="1"/>
        <v>14014</v>
      </c>
      <c r="I6" s="2587">
        <f>'План 3-я неделя'!BQ7</f>
        <v>142</v>
      </c>
      <c r="J6" s="2590">
        <f t="shared" si="2"/>
        <v>13916</v>
      </c>
      <c r="O6" s="2579"/>
      <c r="P6" s="2579"/>
      <c r="Q6" s="2579"/>
      <c r="R6" s="145">
        <v>1147.0</v>
      </c>
      <c r="S6" s="1268" t="s">
        <v>2013</v>
      </c>
      <c r="T6" s="1268" t="s">
        <v>1437</v>
      </c>
    </row>
    <row r="7">
      <c r="A7" s="962">
        <f>'План 3-я неделя'!B8</f>
        <v>4009</v>
      </c>
      <c r="B7" s="962">
        <f>'План 3-я неделя'!C8</f>
        <v>98</v>
      </c>
      <c r="C7" s="962" t="str">
        <f>'План 3-я неделя'!D8</f>
        <v>Салат</v>
      </c>
      <c r="D7" s="962" t="str">
        <f>'План 3-я неделя'!E8</f>
        <v>Салат "Маковый" (курица, мак)</v>
      </c>
      <c r="E7" s="2576">
        <f>'План 3-я неделя'!BL8</f>
        <v>43</v>
      </c>
      <c r="F7" s="95" t="str">
        <f>'План 3-я неделя'!BN8</f>
        <v/>
      </c>
      <c r="G7" s="95">
        <f>'План 3-я неделя'!BP8+F7</f>
        <v>118</v>
      </c>
      <c r="H7" s="2584">
        <f t="shared" si="1"/>
        <v>11564</v>
      </c>
      <c r="I7" s="2587">
        <f>'План 3-я неделя'!BQ8</f>
        <v>117</v>
      </c>
      <c r="J7" s="2590">
        <f t="shared" si="2"/>
        <v>11466</v>
      </c>
      <c r="L7" s="2574" t="s">
        <v>1283</v>
      </c>
      <c r="M7" s="2574" t="s">
        <v>1430</v>
      </c>
      <c r="N7" s="2574" t="s">
        <v>3415</v>
      </c>
      <c r="O7" s="2574" t="s">
        <v>3416</v>
      </c>
      <c r="P7" s="2579"/>
      <c r="Q7" s="2579"/>
      <c r="R7" s="145">
        <v>1553.0</v>
      </c>
      <c r="S7" s="1268" t="s">
        <v>757</v>
      </c>
      <c r="T7" s="1268" t="s">
        <v>1437</v>
      </c>
    </row>
    <row r="8">
      <c r="A8" s="962">
        <f>'План 3-я неделя'!B9</f>
        <v>3170</v>
      </c>
      <c r="B8" s="962">
        <f>'План 3-я неделя'!C9</f>
        <v>98</v>
      </c>
      <c r="C8" s="962" t="str">
        <f>'План 3-я неделя'!D9</f>
        <v>Салат</v>
      </c>
      <c r="D8" s="962" t="str">
        <f>'План 3-я неделя'!E9</f>
        <v>Салат ''Фунчоза'' 120 г</v>
      </c>
      <c r="E8" s="2576">
        <f>'План 3-я неделя'!BL9</f>
        <v>43</v>
      </c>
      <c r="F8" s="95" t="str">
        <f>'План 3-я неделя'!BN9</f>
        <v/>
      </c>
      <c r="G8" s="95">
        <f>'План 3-я неделя'!BP9+F8</f>
        <v>156</v>
      </c>
      <c r="H8" s="2584">
        <f t="shared" si="1"/>
        <v>15288</v>
      </c>
      <c r="I8" s="2587">
        <f>'План 3-я неделя'!BQ9</f>
        <v>155</v>
      </c>
      <c r="J8" s="2590">
        <f t="shared" si="2"/>
        <v>15190</v>
      </c>
      <c r="L8" s="145">
        <v>487.0</v>
      </c>
      <c r="M8" s="1268" t="s">
        <v>1443</v>
      </c>
      <c r="N8" s="145">
        <v>37.8</v>
      </c>
      <c r="O8" s="145" t="s">
        <v>3429</v>
      </c>
      <c r="P8" s="2579"/>
      <c r="Q8" s="2579"/>
      <c r="R8" s="145">
        <v>2079.0</v>
      </c>
      <c r="S8" s="1268" t="s">
        <v>361</v>
      </c>
      <c r="T8" s="1268" t="s">
        <v>3436</v>
      </c>
    </row>
    <row r="9">
      <c r="A9" s="962">
        <f>'План 3-я неделя'!B10</f>
        <v>3306</v>
      </c>
      <c r="B9" s="962">
        <f>'План 3-я неделя'!C10</f>
        <v>237</v>
      </c>
      <c r="C9" s="962" t="str">
        <f>'План 3-я неделя'!D10</f>
        <v>Салат</v>
      </c>
      <c r="D9" s="962" t="str">
        <f>'План 3-я неделя'!E10</f>
        <v>Боул с курицей, бобами эдамаме и овощами</v>
      </c>
      <c r="E9" s="2576" t="str">
        <f>'План 3-я неделя'!BL10</f>
        <v/>
      </c>
      <c r="F9" s="95" t="str">
        <f>'План 3-я неделя'!BN10</f>
        <v/>
      </c>
      <c r="G9" s="95">
        <f>'План 3-я неделя'!BP10+F9</f>
        <v>68</v>
      </c>
      <c r="H9" s="2584">
        <f t="shared" si="1"/>
        <v>16116</v>
      </c>
      <c r="I9" s="2587">
        <f>'План 3-я неделя'!BQ10</f>
        <v>67</v>
      </c>
      <c r="J9" s="2590">
        <f t="shared" si="2"/>
        <v>15879</v>
      </c>
      <c r="L9" s="145">
        <v>2247.0</v>
      </c>
      <c r="M9" s="1268" t="s">
        <v>1441</v>
      </c>
      <c r="N9" s="2593">
        <v>35.0</v>
      </c>
      <c r="O9" s="145" t="s">
        <v>3429</v>
      </c>
      <c r="P9" s="2579"/>
      <c r="Q9" s="2579"/>
      <c r="R9" s="145">
        <v>2203.0</v>
      </c>
      <c r="S9" s="1268" t="s">
        <v>1167</v>
      </c>
      <c r="T9" s="1268" t="s">
        <v>3436</v>
      </c>
    </row>
    <row r="10">
      <c r="A10" s="962">
        <f>'План 3-я неделя'!B11</f>
        <v>793</v>
      </c>
      <c r="B10" s="962">
        <f>'План 3-я неделя'!C11</f>
        <v>106</v>
      </c>
      <c r="C10" s="962" t="str">
        <f>'План 3-я неделя'!D11</f>
        <v>Суп</v>
      </c>
      <c r="D10" s="962" t="str">
        <f>'План 3-я неделя'!E11</f>
        <v>Борщ с курицей</v>
      </c>
      <c r="E10" s="2576">
        <f>'План 3-я неделя'!BL11</f>
        <v>120</v>
      </c>
      <c r="F10" s="95">
        <f>'План 3-я неделя'!BN11</f>
        <v>20</v>
      </c>
      <c r="G10" s="95">
        <f>'План 3-я неделя'!BP11+F10</f>
        <v>141</v>
      </c>
      <c r="H10" s="2584">
        <f t="shared" si="1"/>
        <v>14946</v>
      </c>
      <c r="I10" s="2587">
        <f>'План 3-я неделя'!BQ11</f>
        <v>120</v>
      </c>
      <c r="J10" s="2590">
        <f t="shared" si="2"/>
        <v>12720</v>
      </c>
      <c r="L10" s="145">
        <v>2264.0</v>
      </c>
      <c r="M10" s="1268" t="s">
        <v>1447</v>
      </c>
      <c r="N10" s="145">
        <v>13.5</v>
      </c>
      <c r="O10" s="145" t="s">
        <v>3429</v>
      </c>
      <c r="P10" s="2579"/>
      <c r="Q10" s="2579"/>
      <c r="R10" s="145">
        <v>2621.0</v>
      </c>
      <c r="S10" s="1268" t="s">
        <v>531</v>
      </c>
      <c r="T10" s="1268" t="s">
        <v>3436</v>
      </c>
    </row>
    <row r="11">
      <c r="A11" s="962" t="str">
        <f>'План 3-я неделя'!B12</f>
        <v/>
      </c>
      <c r="B11" s="962" t="str">
        <f>'План 3-я неделя'!C12</f>
        <v/>
      </c>
      <c r="C11" s="962" t="str">
        <f>'План 3-я неделя'!D12</f>
        <v/>
      </c>
      <c r="D11" s="962" t="str">
        <f>'План 3-я неделя'!E12</f>
        <v/>
      </c>
      <c r="E11" s="2576" t="str">
        <f>'План 3-я неделя'!BL12</f>
        <v/>
      </c>
      <c r="F11" s="95" t="str">
        <f>'План 3-я неделя'!BN12</f>
        <v/>
      </c>
      <c r="G11" s="95">
        <f>'План 3-я неделя'!BP12+F11</f>
        <v>1</v>
      </c>
      <c r="H11" s="2584">
        <f t="shared" si="1"/>
        <v>0</v>
      </c>
      <c r="I11" s="2587">
        <f>'План 3-я неделя'!BQ12</f>
        <v>0</v>
      </c>
      <c r="J11" s="2590">
        <f t="shared" si="2"/>
        <v>0</v>
      </c>
      <c r="L11" s="145">
        <v>2278.0</v>
      </c>
      <c r="M11" s="1268" t="s">
        <v>1439</v>
      </c>
      <c r="N11" s="145">
        <v>7.6</v>
      </c>
      <c r="O11" s="145" t="s">
        <v>3429</v>
      </c>
      <c r="P11" s="2579"/>
      <c r="Q11" s="2579"/>
      <c r="R11" s="145">
        <v>2931.0</v>
      </c>
      <c r="S11" s="1268" t="s">
        <v>508</v>
      </c>
      <c r="T11" s="1268" t="s">
        <v>3436</v>
      </c>
    </row>
    <row r="12">
      <c r="A12" s="962">
        <f>'План 3-я неделя'!B13</f>
        <v>763</v>
      </c>
      <c r="B12" s="962">
        <f>'План 3-я неделя'!C13</f>
        <v>208</v>
      </c>
      <c r="C12" s="962" t="str">
        <f>'План 3-я неделя'!D13</f>
        <v>Второе</v>
      </c>
      <c r="D12" s="962" t="str">
        <f>'План 3-я неделя'!E13</f>
        <v>Котлета куриная с картофельным пюре</v>
      </c>
      <c r="E12" s="2576" t="str">
        <f>'План 3-я неделя'!BL13</f>
        <v/>
      </c>
      <c r="F12" s="95" t="str">
        <f>'План 3-я неделя'!BN13</f>
        <v/>
      </c>
      <c r="G12" s="95">
        <f>'План 3-я неделя'!BP13+F12</f>
        <v>71</v>
      </c>
      <c r="H12" s="2584">
        <f t="shared" si="1"/>
        <v>14768</v>
      </c>
      <c r="I12" s="2598">
        <f>'План 3-я неделя'!BQ13</f>
        <v>70</v>
      </c>
      <c r="J12" s="2590">
        <f t="shared" si="2"/>
        <v>14560</v>
      </c>
      <c r="O12" s="2579"/>
      <c r="P12" s="2579"/>
      <c r="Q12" s="2579"/>
      <c r="R12" s="145">
        <v>3076.0</v>
      </c>
      <c r="S12" s="1268" t="s">
        <v>89</v>
      </c>
      <c r="T12" s="1268" t="s">
        <v>3436</v>
      </c>
    </row>
    <row r="13">
      <c r="A13" s="962">
        <f>'План 3-я неделя'!B14</f>
        <v>4014</v>
      </c>
      <c r="B13" s="962">
        <f>'План 3-я неделя'!C14</f>
        <v>241</v>
      </c>
      <c r="C13" s="962" t="str">
        <f>'План 3-я неделя'!D14</f>
        <v>Второе</v>
      </c>
      <c r="D13" s="962" t="str">
        <f>'План 3-я неделя'!E14</f>
        <v>Филе с сыром и печеным картофелем </v>
      </c>
      <c r="E13" s="2576" t="str">
        <f>'План 3-я неделя'!BL14</f>
        <v/>
      </c>
      <c r="F13" s="95" t="str">
        <f>'План 3-я неделя'!BN14</f>
        <v/>
      </c>
      <c r="G13" s="95">
        <f>'План 3-я неделя'!BP14+F13</f>
        <v>159</v>
      </c>
      <c r="H13" s="2584">
        <f t="shared" si="1"/>
        <v>38319</v>
      </c>
      <c r="I13" s="2587">
        <f>'План 3-я неделя'!BQ14</f>
        <v>158</v>
      </c>
      <c r="J13" s="2590">
        <f t="shared" si="2"/>
        <v>38078</v>
      </c>
      <c r="R13" s="145">
        <v>3194.0</v>
      </c>
      <c r="S13" s="1268" t="s">
        <v>1031</v>
      </c>
      <c r="T13" s="1268" t="s">
        <v>3436</v>
      </c>
    </row>
    <row r="14">
      <c r="A14" s="962">
        <f>'План 3-я неделя'!B15</f>
        <v>3054</v>
      </c>
      <c r="B14" s="962">
        <f>'План 3-я неделя'!C15</f>
        <v>198</v>
      </c>
      <c r="C14" s="962" t="str">
        <f>'План 3-я неделя'!D15</f>
        <v>Второе</v>
      </c>
      <c r="D14" s="962" t="str">
        <f>'План 3-я неделя'!E15</f>
        <v>Минтай под овощами с рисом</v>
      </c>
      <c r="E14" s="2576">
        <f>'План 3-я неделя'!BL15</f>
        <v>25</v>
      </c>
      <c r="F14" s="95">
        <f>'План 3-я неделя'!BN15</f>
        <v>10</v>
      </c>
      <c r="G14" s="95">
        <f>'План 3-я неделя'!BP15+F14</f>
        <v>36</v>
      </c>
      <c r="H14" s="2584">
        <f t="shared" si="1"/>
        <v>7128</v>
      </c>
      <c r="I14" s="2598">
        <f>'План 3-я неделя'!BQ15</f>
        <v>25</v>
      </c>
      <c r="J14" s="2590">
        <f t="shared" si="2"/>
        <v>4950</v>
      </c>
      <c r="R14" s="145">
        <v>3233.0</v>
      </c>
      <c r="S14" s="1268" t="s">
        <v>131</v>
      </c>
      <c r="T14" s="1268" t="s">
        <v>3436</v>
      </c>
    </row>
    <row r="15">
      <c r="A15" s="962">
        <f>'План 3-я неделя'!B16</f>
        <v>4233</v>
      </c>
      <c r="B15" s="962">
        <f>'План 3-я неделя'!C16</f>
        <v>211</v>
      </c>
      <c r="C15" s="962" t="str">
        <f>'План 3-я неделя'!D16</f>
        <v>Второе</v>
      </c>
      <c r="D15" s="962" t="str">
        <f>'План 3-я неделя'!E16</f>
        <v>Свинина с тмином с тушеной капустой </v>
      </c>
      <c r="E15" s="2576">
        <f>'План 3-я неделя'!BL16</f>
        <v>75</v>
      </c>
      <c r="F15" s="95" t="str">
        <f>'План 3-я неделя'!BN16</f>
        <v/>
      </c>
      <c r="G15" s="95">
        <f>'План 3-я неделя'!BP16+F15</f>
        <v>151</v>
      </c>
      <c r="H15" s="2584">
        <f t="shared" si="1"/>
        <v>31861</v>
      </c>
      <c r="I15" s="2598">
        <f>'План 3-я неделя'!BQ16</f>
        <v>150</v>
      </c>
      <c r="J15" s="2590">
        <f t="shared" si="2"/>
        <v>31650</v>
      </c>
      <c r="R15" s="145">
        <v>3408.0</v>
      </c>
      <c r="S15" s="1268" t="s">
        <v>1204</v>
      </c>
      <c r="T15" s="1268" t="s">
        <v>3436</v>
      </c>
    </row>
    <row r="16">
      <c r="A16" s="962">
        <f>'План 3-я неделя'!B17</f>
        <v>4196</v>
      </c>
      <c r="B16" s="962">
        <f>'План 3-я неделя'!C17</f>
        <v>243</v>
      </c>
      <c r="C16" s="962" t="str">
        <f>'План 3-я неделя'!D17</f>
        <v>Второе</v>
      </c>
      <c r="D16" s="962" t="str">
        <f>'План 3-я неделя'!E17</f>
        <v>Филе с сыром и макаронами</v>
      </c>
      <c r="E16" s="2576">
        <f>'План 3-я неделя'!BL17</f>
        <v>30</v>
      </c>
      <c r="F16" s="95">
        <f>'План 3-я неделя'!BN17</f>
        <v>10</v>
      </c>
      <c r="G16" s="95">
        <f>'План 3-я неделя'!BP17+F16</f>
        <v>41</v>
      </c>
      <c r="H16" s="2584">
        <f t="shared" si="1"/>
        <v>9963</v>
      </c>
      <c r="I16" s="2598">
        <f>'План 3-я неделя'!BQ17</f>
        <v>30</v>
      </c>
      <c r="J16" s="2590">
        <f t="shared" si="2"/>
        <v>7290</v>
      </c>
      <c r="R16" s="145">
        <v>3518.0</v>
      </c>
      <c r="S16" s="1268" t="s">
        <v>518</v>
      </c>
      <c r="T16" s="1268" t="s">
        <v>3436</v>
      </c>
    </row>
    <row r="17">
      <c r="A17" s="962">
        <f>'План 3-я неделя'!B18</f>
        <v>4267</v>
      </c>
      <c r="B17" s="962">
        <f>'План 3-я неделя'!C18</f>
        <v>208</v>
      </c>
      <c r="C17" s="962" t="str">
        <f>'План 3-я неделя'!D18</f>
        <v>Второе</v>
      </c>
      <c r="D17" s="962" t="str">
        <f>'План 3-я неделя'!E18</f>
        <v>Биточек ''Столичный'' (филе кур) с макаронами</v>
      </c>
      <c r="E17" s="2576" t="str">
        <f>'План 3-я неделя'!BL18</f>
        <v/>
      </c>
      <c r="F17" s="95">
        <f>'План 3-я неделя'!BN18</f>
        <v>10</v>
      </c>
      <c r="G17" s="95">
        <f>'План 3-я неделя'!BP18+F17</f>
        <v>61</v>
      </c>
      <c r="H17" s="2584">
        <f t="shared" si="1"/>
        <v>12688</v>
      </c>
      <c r="I17" s="2587">
        <f>'План 3-я неделя'!BQ18</f>
        <v>50</v>
      </c>
      <c r="J17" s="2590">
        <f t="shared" si="2"/>
        <v>10400</v>
      </c>
      <c r="R17" s="145">
        <v>3624.0</v>
      </c>
      <c r="S17" s="1268" t="s">
        <v>965</v>
      </c>
      <c r="T17" s="1268" t="s">
        <v>1437</v>
      </c>
    </row>
    <row r="18">
      <c r="A18" s="962">
        <f>'План 3-я неделя'!B19</f>
        <v>4324</v>
      </c>
      <c r="B18" s="962">
        <f>'План 3-я неделя'!C19</f>
        <v>208</v>
      </c>
      <c r="C18" s="962" t="str">
        <f>'План 3-я неделя'!D19</f>
        <v>Премиум</v>
      </c>
      <c r="D18" s="962" t="str">
        <f>'План 3-я неделя'!E19</f>
        <v>Спагетти в сливочном соусе с грибами</v>
      </c>
      <c r="E18" s="2576" t="str">
        <f>'План 3-я неделя'!BL19</f>
        <v/>
      </c>
      <c r="F18" s="95">
        <f>'План 3-я неделя'!BN19</f>
        <v>10</v>
      </c>
      <c r="G18" s="95">
        <f>'План 3-я неделя'!BP19+F18</f>
        <v>142</v>
      </c>
      <c r="H18" s="2584">
        <f t="shared" si="1"/>
        <v>29536</v>
      </c>
      <c r="I18" s="2598">
        <f>'План 3-я неделя'!BQ19</f>
        <v>131</v>
      </c>
      <c r="J18" s="2590">
        <f t="shared" si="2"/>
        <v>27248</v>
      </c>
      <c r="R18" s="145">
        <v>3641.0</v>
      </c>
      <c r="S18" s="1268" t="s">
        <v>982</v>
      </c>
      <c r="T18" s="1268" t="s">
        <v>3436</v>
      </c>
    </row>
    <row r="19">
      <c r="A19" s="962">
        <f>'План 3-я неделя'!B20</f>
        <v>3239</v>
      </c>
      <c r="B19" s="962">
        <f>'План 3-я неделя'!C20</f>
        <v>215</v>
      </c>
      <c r="C19" s="962" t="str">
        <f>'План 3-я неделя'!D20</f>
        <v>Второе</v>
      </c>
      <c r="D19" s="962" t="str">
        <f>'План 3-я неделя'!E20</f>
        <v>Минтай под овощами с рисом Радуга</v>
      </c>
      <c r="E19" s="2576" t="str">
        <f>'План 3-я неделя'!BL20</f>
        <v/>
      </c>
      <c r="F19" s="95" t="str">
        <f>'План 3-я неделя'!BN20</f>
        <v/>
      </c>
      <c r="G19" s="95">
        <f>'План 3-я неделя'!BP20+F19</f>
        <v>67</v>
      </c>
      <c r="H19" s="2584">
        <f t="shared" si="1"/>
        <v>14405</v>
      </c>
      <c r="I19" s="2598">
        <f>'План 3-я неделя'!BQ20</f>
        <v>66</v>
      </c>
      <c r="J19" s="2590">
        <f t="shared" si="2"/>
        <v>14190</v>
      </c>
      <c r="R19" s="145">
        <v>3722.0</v>
      </c>
      <c r="S19" s="1268" t="s">
        <v>304</v>
      </c>
      <c r="T19" s="1268" t="s">
        <v>3436</v>
      </c>
    </row>
    <row r="20">
      <c r="A20" s="962">
        <f>'План 3-я неделя'!B21</f>
        <v>3518</v>
      </c>
      <c r="B20" s="962">
        <f>'План 3-я неделя'!C21</f>
        <v>85</v>
      </c>
      <c r="C20" s="962" t="str">
        <f>'План 3-я неделя'!D21</f>
        <v>Выпечка</v>
      </c>
      <c r="D20" s="962" t="str">
        <f>'План 3-я неделя'!E21</f>
        <v>Слойка ''Нежная'' с сыром 100 г</v>
      </c>
      <c r="E20" s="2576">
        <f>'План 3-я неделя'!BL21</f>
        <v>10</v>
      </c>
      <c r="F20" s="95" t="str">
        <f>'План 3-я неделя'!BN21</f>
        <v/>
      </c>
      <c r="G20" s="95">
        <f>'План 3-я неделя'!BP21+F20</f>
        <v>11</v>
      </c>
      <c r="H20" s="2584">
        <f t="shared" si="1"/>
        <v>935</v>
      </c>
      <c r="I20" s="2587">
        <f>'План 3-я неделя'!BQ21</f>
        <v>10</v>
      </c>
      <c r="J20" s="2590">
        <f t="shared" si="2"/>
        <v>850</v>
      </c>
      <c r="R20" s="145">
        <v>3810.0</v>
      </c>
      <c r="S20" s="1268" t="s">
        <v>1534</v>
      </c>
      <c r="T20" s="1268" t="s">
        <v>3436</v>
      </c>
    </row>
    <row r="21">
      <c r="A21" s="962">
        <f>'План 3-я неделя'!B22</f>
        <v>5</v>
      </c>
      <c r="B21" s="962">
        <f>'План 3-я неделя'!C22</f>
        <v>155</v>
      </c>
      <c r="C21" s="962" t="str">
        <f>'План 3-я неделя'!D22</f>
        <v>Сэндвич</v>
      </c>
      <c r="D21" s="962" t="str">
        <f>'План 3-я неделя'!E22</f>
        <v>Сэндвич с ветчиной и сыром</v>
      </c>
      <c r="E21" s="2576" t="str">
        <f>'План 3-я неделя'!BL22</f>
        <v/>
      </c>
      <c r="F21" s="95" t="str">
        <f>'План 3-я неделя'!BN22</f>
        <v/>
      </c>
      <c r="G21" s="95">
        <f>'План 3-я неделя'!BP22+F21</f>
        <v>154</v>
      </c>
      <c r="H21" s="2584">
        <f t="shared" si="1"/>
        <v>23870</v>
      </c>
      <c r="I21" s="2587">
        <f>'План 3-я неделя'!BQ22</f>
        <v>153</v>
      </c>
      <c r="J21" s="2590">
        <f t="shared" si="2"/>
        <v>23715</v>
      </c>
    </row>
    <row r="22">
      <c r="A22" s="962">
        <f>'План 3-я неделя'!B23</f>
        <v>33</v>
      </c>
      <c r="B22" s="962">
        <f>'План 3-я неделя'!C23</f>
        <v>155</v>
      </c>
      <c r="C22" s="962" t="str">
        <f>'План 3-я неделя'!D23</f>
        <v>Сэндвич</v>
      </c>
      <c r="D22" s="962" t="str">
        <f>'План 3-я неделя'!E23</f>
        <v>Сэндвич с копчёной курицей и сыром</v>
      </c>
      <c r="E22" s="2576" t="str">
        <f>'План 3-я неделя'!BL23</f>
        <v/>
      </c>
      <c r="F22" s="95" t="str">
        <f>'План 3-я неделя'!BN23</f>
        <v/>
      </c>
      <c r="G22" s="95">
        <f>'План 3-я неделя'!BP23+F22</f>
        <v>97</v>
      </c>
      <c r="H22" s="2584">
        <f t="shared" si="1"/>
        <v>15035</v>
      </c>
      <c r="I22" s="2587">
        <f>'План 3-я неделя'!BQ23</f>
        <v>95</v>
      </c>
      <c r="J22" s="2590">
        <f t="shared" si="2"/>
        <v>14725</v>
      </c>
    </row>
    <row r="23">
      <c r="A23" s="962">
        <f>'План 3-я неделя'!B24</f>
        <v>2079</v>
      </c>
      <c r="B23" s="962">
        <f>'План 3-я неделя'!C24</f>
        <v>105</v>
      </c>
      <c r="C23" s="962" t="str">
        <f>'План 3-я неделя'!D24</f>
        <v>Выпечка</v>
      </c>
      <c r="D23" s="962" t="str">
        <f>'План 3-я неделя'!E24</f>
        <v>Вафельная трубочка с вареной сгущенкой</v>
      </c>
      <c r="E23" s="2576" t="str">
        <f>'План 3-я неделя'!BL24</f>
        <v/>
      </c>
      <c r="F23" s="95" t="str">
        <f>'План 3-я неделя'!BN24</f>
        <v/>
      </c>
      <c r="G23" s="95">
        <f>'План 3-я неделя'!BP24+F23</f>
        <v>266</v>
      </c>
      <c r="H23" s="2584">
        <f t="shared" si="1"/>
        <v>27930</v>
      </c>
      <c r="I23" s="2587">
        <f>'План 3-я неделя'!BQ24</f>
        <v>270</v>
      </c>
      <c r="J23" s="2590">
        <f t="shared" si="2"/>
        <v>28350</v>
      </c>
    </row>
    <row r="24">
      <c r="A24" s="962">
        <f>'План 3-я неделя'!B25</f>
        <v>3999</v>
      </c>
      <c r="B24" s="962">
        <f>'План 3-я неделя'!C25</f>
        <v>98</v>
      </c>
      <c r="C24" s="962" t="str">
        <f>'План 3-я неделя'!D25</f>
        <v>Япония</v>
      </c>
      <c r="D24" s="962" t="str">
        <f>'План 3-я неделя'!E25</f>
        <v>Морс ягодный 0,5 л</v>
      </c>
      <c r="E24" s="2576" t="str">
        <f>'План 3-я неделя'!BL25</f>
        <v/>
      </c>
      <c r="F24" s="95" t="str">
        <f>'План 3-я неделя'!BN25</f>
        <v/>
      </c>
      <c r="G24" s="95">
        <f>'План 3-я неделя'!BP25+F24</f>
        <v>183</v>
      </c>
      <c r="H24" s="2584">
        <f t="shared" si="1"/>
        <v>17934</v>
      </c>
      <c r="I24" s="2587">
        <f>'План 3-я неделя'!BQ25</f>
        <v>236</v>
      </c>
      <c r="J24" s="2590">
        <f t="shared" si="2"/>
        <v>23128</v>
      </c>
    </row>
    <row r="25">
      <c r="A25" s="962">
        <f>'План 3-я неделя'!B26</f>
        <v>3738</v>
      </c>
      <c r="B25" s="962">
        <f>'План 3-я неделя'!C26</f>
        <v>173</v>
      </c>
      <c r="C25" s="962" t="str">
        <f>'План 3-я неделя'!D26</f>
        <v>Япония</v>
      </c>
      <c r="D25" s="962" t="str">
        <f>'План 3-я неделя'!E26</f>
        <v>Ролл сэндвич с крабом</v>
      </c>
      <c r="E25" s="2576" t="str">
        <f>'План 3-я неделя'!BL26</f>
        <v/>
      </c>
      <c r="F25" s="95" t="str">
        <f>'План 3-я неделя'!BN26</f>
        <v/>
      </c>
      <c r="G25" s="95">
        <f>'План 3-я неделя'!BP26+F25</f>
        <v>67</v>
      </c>
      <c r="H25" s="2584">
        <f t="shared" si="1"/>
        <v>11591</v>
      </c>
      <c r="I25" s="2587">
        <f>'План 3-я неделя'!BQ26</f>
        <v>65</v>
      </c>
      <c r="J25" s="2590">
        <f t="shared" si="2"/>
        <v>11245</v>
      </c>
    </row>
    <row r="26">
      <c r="A26" s="962" t="str">
        <f>'План 3-я неделя'!B27</f>
        <v/>
      </c>
      <c r="B26" s="962" t="str">
        <f>'План 3-я неделя'!C27</f>
        <v/>
      </c>
      <c r="C26" s="962" t="str">
        <f>'План 3-я неделя'!D27</f>
        <v/>
      </c>
      <c r="D26" s="962" t="str">
        <f>'План 3-я неделя'!E27</f>
        <v/>
      </c>
      <c r="E26" s="2576" t="str">
        <f>'План 3-я неделя'!BL27</f>
        <v/>
      </c>
      <c r="F26" s="95" t="str">
        <f>'План 3-я неделя'!BN27</f>
        <v/>
      </c>
      <c r="G26" s="95">
        <f>'План 3-я неделя'!BP27+F26</f>
        <v>1</v>
      </c>
      <c r="H26" s="2584">
        <f t="shared" si="1"/>
        <v>0</v>
      </c>
      <c r="I26" s="2587">
        <f>'План 3-я неделя'!BQ27</f>
        <v>0</v>
      </c>
      <c r="J26" s="2590">
        <f t="shared" si="2"/>
        <v>0</v>
      </c>
    </row>
    <row r="27">
      <c r="A27" s="962">
        <f>'План 3-я неделя'!B28</f>
        <v>822</v>
      </c>
      <c r="B27" s="962">
        <f>'План 3-я неделя'!C28</f>
        <v>5</v>
      </c>
      <c r="C27" s="962" t="str">
        <f>'План 3-я неделя'!D28</f>
        <v/>
      </c>
      <c r="D27" s="962" t="str">
        <f>'План 3-я неделя'!E28</f>
        <v>Хлеб пшеничный </v>
      </c>
      <c r="E27" s="2576">
        <f>'План 3-я неделя'!BL28</f>
        <v>130</v>
      </c>
      <c r="F27" s="95" t="str">
        <f>'План 3-я неделя'!BN28</f>
        <v/>
      </c>
      <c r="G27" s="95">
        <f>'План 3-я неделя'!BP28+F27</f>
        <v>240</v>
      </c>
      <c r="H27" s="2584">
        <f t="shared" si="1"/>
        <v>1200</v>
      </c>
      <c r="I27" s="2587">
        <f>'План 3-я неделя'!BQ28</f>
        <v>236</v>
      </c>
      <c r="J27" s="2590">
        <f t="shared" si="2"/>
        <v>1180</v>
      </c>
    </row>
    <row r="28">
      <c r="A28" s="962" t="str">
        <f>'План 3-я неделя'!B29</f>
        <v/>
      </c>
      <c r="B28" s="962" t="str">
        <f>'План 3-я неделя'!C29</f>
        <v/>
      </c>
      <c r="C28" s="962" t="str">
        <f>'План 3-я неделя'!D29</f>
        <v/>
      </c>
      <c r="D28" s="962" t="str">
        <f>'План 3-я неделя'!E29</f>
        <v/>
      </c>
      <c r="E28" s="2576" t="str">
        <f>'План 3-я неделя'!BL29</f>
        <v/>
      </c>
      <c r="F28" s="95" t="str">
        <f>'План 3-я неделя'!BN29</f>
        <v/>
      </c>
      <c r="G28" s="95">
        <f>'План 3-я неделя'!BP29+F28</f>
        <v>1</v>
      </c>
      <c r="H28" s="2584">
        <f t="shared" si="1"/>
        <v>0</v>
      </c>
      <c r="I28" s="2587">
        <f>'План 3-я неделя'!BQ29</f>
        <v>0</v>
      </c>
      <c r="J28" s="2590">
        <f t="shared" si="2"/>
        <v>0</v>
      </c>
    </row>
    <row r="29">
      <c r="A29" s="962" t="str">
        <f>'План 3-я неделя'!B30</f>
        <v/>
      </c>
      <c r="B29" s="962" t="str">
        <f>'План 3-я неделя'!C30</f>
        <v/>
      </c>
      <c r="C29" s="962" t="str">
        <f>'План 3-я неделя'!D30</f>
        <v/>
      </c>
      <c r="D29" s="962" t="str">
        <f>'План 3-я неделя'!E30</f>
        <v/>
      </c>
      <c r="E29" s="2576" t="str">
        <f>'План 3-я неделя'!BL30</f>
        <v/>
      </c>
      <c r="F29" s="95" t="str">
        <f>'План 3-я неделя'!BN30</f>
        <v/>
      </c>
      <c r="G29" s="95">
        <f>'План 3-я неделя'!BP30+F29</f>
        <v>1</v>
      </c>
      <c r="H29" s="2584">
        <f t="shared" si="1"/>
        <v>0</v>
      </c>
      <c r="I29" s="2587">
        <f>'План 3-я неделя'!BQ30</f>
        <v>0</v>
      </c>
      <c r="J29" s="2590">
        <f t="shared" si="2"/>
        <v>0</v>
      </c>
    </row>
    <row r="30">
      <c r="G30" s="1191">
        <f>SUM(G3:G29)</f>
        <v>2636</v>
      </c>
      <c r="I30" s="2570"/>
      <c r="J30" s="2599"/>
    </row>
    <row r="31">
      <c r="A31" s="2600" t="str">
        <f>'План 3-я неделя'!A63</f>
        <v>Дата:  </v>
      </c>
      <c r="B31" s="2601">
        <f>'План 3-я неделя'!D63</f>
        <v>46244</v>
      </c>
      <c r="C31" s="2600"/>
      <c r="D31" s="2600" t="str">
        <f>'План 3-я неделя'!E63</f>
        <v>План на день кухня     ПОНЕДЕЛЬНИК</v>
      </c>
      <c r="G31" s="1191">
        <f>G30-561</f>
        <v>2075</v>
      </c>
      <c r="H31" s="1346">
        <f>SUM(H33:H59)</f>
        <v>369929</v>
      </c>
      <c r="I31" s="2570"/>
      <c r="J31" s="2572">
        <f>SUM(J33:J59)</f>
        <v>354786</v>
      </c>
      <c r="K31" s="1346">
        <f>J31-H31</f>
        <v>-15143</v>
      </c>
      <c r="L31" s="2574" t="s">
        <v>1283</v>
      </c>
      <c r="M31" s="2574" t="s">
        <v>1428</v>
      </c>
      <c r="N31" s="2574" t="s">
        <v>3415</v>
      </c>
      <c r="O31" s="2574" t="s">
        <v>3416</v>
      </c>
      <c r="R31" s="2574" t="s">
        <v>1283</v>
      </c>
      <c r="S31" s="2574" t="s">
        <v>3283</v>
      </c>
      <c r="T31" s="2574" t="s">
        <v>3417</v>
      </c>
    </row>
    <row r="32">
      <c r="A32" s="2575" t="str">
        <f>'План 3-я неделя'!B64</f>
        <v>Код</v>
      </c>
      <c r="B32" s="2575" t="str">
        <f>'План 3-я неделя'!C64</f>
        <v>Цена</v>
      </c>
      <c r="C32" s="2575" t="str">
        <f>'План 3-я неделя'!D64</f>
        <v>Категория</v>
      </c>
      <c r="D32" s="2575" t="str">
        <f>'План 3-я неделя'!E64</f>
        <v>Название блюда</v>
      </c>
      <c r="E32" s="2576" t="str">
        <f>'План 3-я неделя'!BL64</f>
        <v>ТСПК</v>
      </c>
      <c r="F32" s="2165" t="s">
        <v>3090</v>
      </c>
      <c r="G32" s="2165" t="s">
        <v>3421</v>
      </c>
      <c r="H32" s="2165" t="s">
        <v>3422</v>
      </c>
      <c r="I32" s="2578" t="s">
        <v>3424</v>
      </c>
      <c r="J32" s="2578" t="s">
        <v>3425</v>
      </c>
      <c r="L32" s="145">
        <v>1269.0</v>
      </c>
      <c r="M32" s="1268" t="s">
        <v>1474</v>
      </c>
      <c r="N32" s="2593">
        <v>178.0</v>
      </c>
      <c r="O32" s="145" t="s">
        <v>3329</v>
      </c>
      <c r="R32" s="145">
        <v>8.0</v>
      </c>
      <c r="S32" s="1268" t="s">
        <v>272</v>
      </c>
      <c r="T32" s="1268" t="s">
        <v>3436</v>
      </c>
    </row>
    <row r="33">
      <c r="A33" s="962">
        <f>'План 3-я неделя'!B65</f>
        <v>2936</v>
      </c>
      <c r="B33" s="962">
        <f>'План 3-я неделя'!C65</f>
        <v>85</v>
      </c>
      <c r="C33" s="962" t="str">
        <f>'План 3-я неделя'!D65</f>
        <v>Завтрак</v>
      </c>
      <c r="D33" s="962" t="str">
        <f>'План 3-я неделя'!E65</f>
        <v>Манник</v>
      </c>
      <c r="E33" s="2576" t="str">
        <f>'План 3-я неделя'!BL65</f>
        <v/>
      </c>
      <c r="F33" s="962" t="str">
        <f>'План 3-я неделя'!BN65</f>
        <v/>
      </c>
      <c r="G33" s="962">
        <f>'План 3-я неделя'!BP65+F33</f>
        <v>110</v>
      </c>
      <c r="H33" s="962">
        <f t="shared" ref="H33:H59" si="3">B33*G33</f>
        <v>9350</v>
      </c>
      <c r="I33" s="2587">
        <f>'План 3-я неделя'!BQ65</f>
        <v>109</v>
      </c>
      <c r="J33" s="2600">
        <f t="shared" ref="J33:J59" si="4">B33*I33</f>
        <v>9265</v>
      </c>
      <c r="L33" s="145">
        <v>2442.0</v>
      </c>
      <c r="M33" s="1268" t="s">
        <v>1602</v>
      </c>
      <c r="N33" s="2593">
        <v>125.0</v>
      </c>
      <c r="O33" s="145" t="s">
        <v>3329</v>
      </c>
      <c r="R33" s="145">
        <v>47.0</v>
      </c>
      <c r="S33" s="1268" t="s">
        <v>2586</v>
      </c>
      <c r="T33" s="1268" t="s">
        <v>3436</v>
      </c>
    </row>
    <row r="34">
      <c r="A34" s="962">
        <f>'План 3-я неделя'!B66</f>
        <v>4235</v>
      </c>
      <c r="B34" s="962">
        <f>'План 3-я неделя'!C66</f>
        <v>158</v>
      </c>
      <c r="C34" s="962" t="str">
        <f>'План 3-я неделя'!D66</f>
        <v>Завтрак</v>
      </c>
      <c r="D34" s="962" t="str">
        <f>'План 3-я неделя'!E66</f>
        <v>Киш с курицей</v>
      </c>
      <c r="E34" s="2576" t="str">
        <f>'План 3-я неделя'!BL66</f>
        <v/>
      </c>
      <c r="F34" s="962">
        <f>'План 3-я неделя'!BN66</f>
        <v>15</v>
      </c>
      <c r="G34" s="962">
        <f>'План 3-я неделя'!BP66+F34</f>
        <v>111</v>
      </c>
      <c r="H34" s="962">
        <f t="shared" si="3"/>
        <v>17538</v>
      </c>
      <c r="I34" s="2587">
        <f>'План 3-я неделя'!BQ66</f>
        <v>95</v>
      </c>
      <c r="J34" s="2600">
        <f t="shared" si="4"/>
        <v>15010</v>
      </c>
      <c r="L34" s="145">
        <v>3929.0</v>
      </c>
      <c r="M34" s="1268" t="s">
        <v>2669</v>
      </c>
      <c r="N34" s="145">
        <v>11.4</v>
      </c>
      <c r="O34" s="145" t="s">
        <v>3429</v>
      </c>
      <c r="R34" s="145">
        <v>54.0</v>
      </c>
      <c r="S34" s="1268" t="s">
        <v>554</v>
      </c>
      <c r="T34" s="1268" t="s">
        <v>3436</v>
      </c>
    </row>
    <row r="35">
      <c r="A35" s="962">
        <f>'План 3-я неделя'!B67</f>
        <v>4318</v>
      </c>
      <c r="B35" s="962">
        <f>'План 3-я неделя'!C67</f>
        <v>189</v>
      </c>
      <c r="C35" s="962" t="str">
        <f>'План 3-я неделя'!D67</f>
        <v>Завтрак</v>
      </c>
      <c r="D35" s="962" t="str">
        <f>'План 3-я неделя'!E67</f>
        <v>Ватрушка Царская </v>
      </c>
      <c r="E35" s="2576" t="str">
        <f>'План 3-я неделя'!BL67</f>
        <v/>
      </c>
      <c r="F35" s="962" t="str">
        <f>'План 3-я неделя'!BN67</f>
        <v/>
      </c>
      <c r="G35" s="962">
        <f>'План 3-я неделя'!BP67+F35</f>
        <v>84</v>
      </c>
      <c r="H35" s="962">
        <f t="shared" si="3"/>
        <v>15876</v>
      </c>
      <c r="I35" s="2587">
        <f>'План 3-я неделя'!BQ67</f>
        <v>91</v>
      </c>
      <c r="J35" s="2600">
        <f t="shared" si="4"/>
        <v>17199</v>
      </c>
      <c r="L35" s="145">
        <v>3931.0</v>
      </c>
      <c r="M35" s="1268" t="s">
        <v>1594</v>
      </c>
      <c r="N35" s="145">
        <v>6.7</v>
      </c>
      <c r="O35" s="145" t="s">
        <v>3429</v>
      </c>
      <c r="R35" s="145">
        <v>238.0</v>
      </c>
      <c r="S35" s="1268" t="s">
        <v>296</v>
      </c>
      <c r="T35" s="1268" t="s">
        <v>3436</v>
      </c>
    </row>
    <row r="36">
      <c r="A36" s="962">
        <f>'План 3-я неделя'!B68</f>
        <v>4024</v>
      </c>
      <c r="B36" s="962">
        <f>'План 3-я неделя'!C68</f>
        <v>98</v>
      </c>
      <c r="C36" s="962" t="str">
        <f>'План 3-я неделя'!D68</f>
        <v>Салат</v>
      </c>
      <c r="D36" s="962" t="str">
        <f>'План 3-я неделя'!E68</f>
        <v>Салат "Чешский" (колбаса п/к)</v>
      </c>
      <c r="E36" s="2576">
        <f>'План 3-я неделя'!BL68</f>
        <v>44</v>
      </c>
      <c r="F36" s="962" t="str">
        <f>'План 3-я неделя'!BN68</f>
        <v/>
      </c>
      <c r="G36" s="962">
        <f>'План 3-я неделя'!BP68+F36</f>
        <v>130</v>
      </c>
      <c r="H36" s="962">
        <f t="shared" si="3"/>
        <v>12740</v>
      </c>
      <c r="I36" s="2587">
        <f>'План 3-я неделя'!BQ68</f>
        <v>129</v>
      </c>
      <c r="J36" s="2600">
        <f t="shared" si="4"/>
        <v>12642</v>
      </c>
      <c r="R36" s="145">
        <v>822.0</v>
      </c>
      <c r="S36" s="1268" t="s">
        <v>136</v>
      </c>
      <c r="T36" s="1268" t="s">
        <v>3436</v>
      </c>
    </row>
    <row r="37">
      <c r="A37" s="962">
        <f>'План 3-я неделя'!B69</f>
        <v>1995</v>
      </c>
      <c r="B37" s="962">
        <f>'План 3-я неделя'!C69</f>
        <v>98</v>
      </c>
      <c r="C37" s="962" t="str">
        <f>'План 3-я неделя'!D69</f>
        <v>Салат</v>
      </c>
      <c r="D37" s="962" t="str">
        <f>'План 3-я неделя'!E69</f>
        <v>Салат ''Дачный'' (редис, огурец,)</v>
      </c>
      <c r="E37" s="2576">
        <f>'План 3-я неделя'!BL69</f>
        <v>43</v>
      </c>
      <c r="F37" s="962" t="str">
        <f>'План 3-я неделя'!BN69</f>
        <v/>
      </c>
      <c r="G37" s="962">
        <f>'План 3-я неделя'!BP69+F37</f>
        <v>120</v>
      </c>
      <c r="H37" s="962">
        <f t="shared" si="3"/>
        <v>11760</v>
      </c>
      <c r="I37" s="2587">
        <f>'План 3-я неделя'!BQ69</f>
        <v>119</v>
      </c>
      <c r="J37" s="2600">
        <f t="shared" si="4"/>
        <v>11662</v>
      </c>
      <c r="L37" s="2574" t="s">
        <v>1283</v>
      </c>
      <c r="M37" s="2574" t="s">
        <v>1430</v>
      </c>
      <c r="N37" s="2574" t="s">
        <v>3415</v>
      </c>
      <c r="O37" s="2574" t="s">
        <v>3416</v>
      </c>
      <c r="R37" s="145">
        <v>1922.0</v>
      </c>
      <c r="S37" s="1268" t="s">
        <v>963</v>
      </c>
      <c r="T37" s="1268" t="s">
        <v>3436</v>
      </c>
    </row>
    <row r="38">
      <c r="A38" s="962">
        <f>'План 3-я неделя'!B70</f>
        <v>3244</v>
      </c>
      <c r="B38" s="962">
        <f>'План 3-я неделя'!C70</f>
        <v>98</v>
      </c>
      <c r="C38" s="962" t="str">
        <f>'План 3-я неделя'!D70</f>
        <v>Салат</v>
      </c>
      <c r="D38" s="962" t="str">
        <f>'План 3-я неделя'!E70</f>
        <v>Салат ''Крабик'' с рисом</v>
      </c>
      <c r="E38" s="2576">
        <f>'План 3-я неделя'!BL70</f>
        <v>43</v>
      </c>
      <c r="F38" s="962" t="str">
        <f>'План 3-я неделя'!BN70</f>
        <v/>
      </c>
      <c r="G38" s="962">
        <f>'План 3-я неделя'!BP70+F38</f>
        <v>173</v>
      </c>
      <c r="H38" s="962">
        <f t="shared" si="3"/>
        <v>16954</v>
      </c>
      <c r="I38" s="2587">
        <f>'План 3-я неделя'!BQ70</f>
        <v>172</v>
      </c>
      <c r="J38" s="2600">
        <f t="shared" si="4"/>
        <v>16856</v>
      </c>
      <c r="L38" s="145">
        <v>487.0</v>
      </c>
      <c r="M38" s="1268" t="s">
        <v>1443</v>
      </c>
      <c r="N38" s="145">
        <v>17.1</v>
      </c>
      <c r="O38" s="145" t="s">
        <v>3429</v>
      </c>
      <c r="R38" s="145">
        <v>3021.0</v>
      </c>
      <c r="S38" s="1268" t="s">
        <v>1027</v>
      </c>
      <c r="T38" s="1268" t="s">
        <v>3436</v>
      </c>
    </row>
    <row r="39">
      <c r="A39" s="962">
        <f>'План 3-я неделя'!B71</f>
        <v>2621</v>
      </c>
      <c r="B39" s="962">
        <f>'План 3-я неделя'!C71</f>
        <v>244</v>
      </c>
      <c r="C39" s="962" t="str">
        <f>'План 3-я неделя'!D71</f>
        <v>Салат</v>
      </c>
      <c r="D39" s="962" t="str">
        <f>'План 3-я неделя'!E71</f>
        <v>Салат ''Цезарь с курицей''</v>
      </c>
      <c r="E39" s="2576" t="str">
        <f>'План 3-я неделя'!BL71</f>
        <v/>
      </c>
      <c r="F39" s="962" t="str">
        <f>'План 3-я неделя'!BN71</f>
        <v/>
      </c>
      <c r="G39" s="962">
        <f>'План 3-я неделя'!BP71+F39</f>
        <v>77</v>
      </c>
      <c r="H39" s="962">
        <f t="shared" si="3"/>
        <v>18788</v>
      </c>
      <c r="I39" s="2587">
        <f>'План 3-я неделя'!BQ71</f>
        <v>76</v>
      </c>
      <c r="J39" s="2600">
        <f t="shared" si="4"/>
        <v>18544</v>
      </c>
      <c r="L39" s="145">
        <v>2247.0</v>
      </c>
      <c r="M39" s="1268" t="s">
        <v>1441</v>
      </c>
      <c r="N39" s="2593">
        <v>25.0</v>
      </c>
      <c r="O39" s="145" t="s">
        <v>3429</v>
      </c>
      <c r="R39" s="145">
        <v>3092.0</v>
      </c>
      <c r="S39" s="1268" t="s">
        <v>1113</v>
      </c>
      <c r="T39" s="1268" t="s">
        <v>3436</v>
      </c>
    </row>
    <row r="40">
      <c r="A40" s="962">
        <f>'План 3-я неделя'!B72</f>
        <v>8</v>
      </c>
      <c r="B40" s="962">
        <f>'План 3-я неделя'!C72</f>
        <v>104</v>
      </c>
      <c r="C40" s="962" t="str">
        <f>'План 3-я неделя'!D72</f>
        <v>Суп</v>
      </c>
      <c r="D40" s="962" t="str">
        <f>'План 3-я неделя'!E72</f>
        <v>Суп гороховый 250 мл</v>
      </c>
      <c r="E40" s="2576">
        <f>'План 3-я неделя'!BL72</f>
        <v>110</v>
      </c>
      <c r="F40" s="962">
        <f>'План 3-я неделя'!BN72</f>
        <v>10</v>
      </c>
      <c r="G40" s="962">
        <f>'План 3-я неделя'!BP72+F40</f>
        <v>121</v>
      </c>
      <c r="H40" s="962">
        <f t="shared" si="3"/>
        <v>12584</v>
      </c>
      <c r="I40" s="2598">
        <f>'План 3-я неделя'!BQ72</f>
        <v>110</v>
      </c>
      <c r="J40" s="2600">
        <f t="shared" si="4"/>
        <v>11440</v>
      </c>
      <c r="L40" s="145">
        <v>2263.0</v>
      </c>
      <c r="M40" s="1268" t="s">
        <v>1436</v>
      </c>
      <c r="N40" s="145">
        <v>35.6</v>
      </c>
      <c r="O40" s="145" t="s">
        <v>3429</v>
      </c>
      <c r="R40" s="145">
        <v>3330.0</v>
      </c>
      <c r="S40" s="1268" t="s">
        <v>330</v>
      </c>
      <c r="T40" s="1268" t="s">
        <v>3436</v>
      </c>
    </row>
    <row r="41">
      <c r="A41" s="962">
        <f>'План 3-я неделя'!B73</f>
        <v>1106</v>
      </c>
      <c r="B41" s="962">
        <f>'План 3-я неделя'!C73</f>
        <v>139</v>
      </c>
      <c r="C41" s="962" t="str">
        <f>'План 3-я неделя'!D73</f>
        <v>Суп</v>
      </c>
      <c r="D41" s="962" t="str">
        <f>'План 3-я неделя'!E73</f>
        <v>Суп-крем из тыквы</v>
      </c>
      <c r="E41" s="2576" t="str">
        <f>'План 3-я неделя'!BL73</f>
        <v/>
      </c>
      <c r="F41" s="962" t="str">
        <f>'План 3-я неделя'!BN73</f>
        <v/>
      </c>
      <c r="G41" s="962">
        <f>'План 3-я неделя'!BP73+F41</f>
        <v>23</v>
      </c>
      <c r="H41" s="962">
        <f t="shared" si="3"/>
        <v>3197</v>
      </c>
      <c r="I41" s="2598">
        <f>'План 3-я неделя'!BQ73</f>
        <v>35</v>
      </c>
      <c r="J41" s="2600">
        <f t="shared" si="4"/>
        <v>4865</v>
      </c>
      <c r="L41" s="145">
        <v>2278.0</v>
      </c>
      <c r="M41" s="1268" t="s">
        <v>1439</v>
      </c>
      <c r="N41" s="145">
        <v>13.4</v>
      </c>
      <c r="O41" s="145" t="s">
        <v>3429</v>
      </c>
      <c r="R41" s="145">
        <v>3435.0</v>
      </c>
      <c r="S41" s="1268" t="s">
        <v>276</v>
      </c>
      <c r="T41" s="1268" t="s">
        <v>3436</v>
      </c>
    </row>
    <row r="42">
      <c r="A42" s="962">
        <f>'План 3-я неделя'!B74</f>
        <v>48</v>
      </c>
      <c r="B42" s="962">
        <f>'План 3-я неделя'!C74</f>
        <v>237</v>
      </c>
      <c r="C42" s="962" t="str">
        <f>'План 3-я неделя'!D74</f>
        <v>Второе</v>
      </c>
      <c r="D42" s="962" t="str">
        <f>'План 3-я неделя'!E74</f>
        <v>Голубец с картофельным пюре</v>
      </c>
      <c r="E42" s="2576" t="str">
        <f>'План 3-я неделя'!BL74</f>
        <v/>
      </c>
      <c r="F42" s="962">
        <f>'План 3-я неделя'!BN74</f>
        <v>10</v>
      </c>
      <c r="G42" s="2602">
        <f>'План 3-я неделя'!BP74+F42</f>
        <v>126</v>
      </c>
      <c r="H42" s="962">
        <f t="shared" si="3"/>
        <v>29862</v>
      </c>
      <c r="I42" s="2598">
        <f>'План 3-я неделя'!BQ74</f>
        <v>115</v>
      </c>
      <c r="J42" s="2600">
        <f t="shared" si="4"/>
        <v>27255</v>
      </c>
      <c r="R42" s="145">
        <v>3455.0</v>
      </c>
      <c r="S42" s="1268" t="s">
        <v>283</v>
      </c>
      <c r="T42" s="1268" t="s">
        <v>3436</v>
      </c>
    </row>
    <row r="43">
      <c r="A43" s="962">
        <f>'План 3-я неделя'!B75</f>
        <v>3407</v>
      </c>
      <c r="B43" s="962">
        <f>'План 3-я неделя'!C75</f>
        <v>208</v>
      </c>
      <c r="C43" s="962" t="str">
        <f>'План 3-я неделя'!D75</f>
        <v>Второе</v>
      </c>
      <c r="D43" s="962" t="str">
        <f>'План 3-я неделя'!E75</f>
        <v>Минтай в кляре с булгуром</v>
      </c>
      <c r="E43" s="2576" t="str">
        <f>'План 3-я неделя'!BL75</f>
        <v/>
      </c>
      <c r="F43" s="962">
        <f>'План 3-я неделя'!BN75</f>
        <v>10</v>
      </c>
      <c r="G43" s="962">
        <f>'План 3-я неделя'!BP75+F43</f>
        <v>108</v>
      </c>
      <c r="H43" s="962">
        <f t="shared" si="3"/>
        <v>22464</v>
      </c>
      <c r="I43" s="2587">
        <f>'План 3-я неделя'!BQ75</f>
        <v>97</v>
      </c>
      <c r="J43" s="2600">
        <f t="shared" si="4"/>
        <v>20176</v>
      </c>
      <c r="R43" s="145">
        <v>3559.0</v>
      </c>
      <c r="S43" s="1268" t="s">
        <v>1169</v>
      </c>
      <c r="T43" s="1268" t="s">
        <v>3436</v>
      </c>
    </row>
    <row r="44">
      <c r="A44" s="962">
        <f>'План 3-я неделя'!B76</f>
        <v>4328</v>
      </c>
      <c r="B44" s="962">
        <f>'План 3-я неделя'!C76</f>
        <v>211</v>
      </c>
      <c r="C44" s="962" t="str">
        <f>'План 3-я неделя'!D76</f>
        <v>Второе</v>
      </c>
      <c r="D44" s="962" t="str">
        <f>'План 3-я неделя'!E76</f>
        <v>Курочка с овощной сальсой с макаронами</v>
      </c>
      <c r="E44" s="2576" t="str">
        <f>'План 3-я неделя'!BL76</f>
        <v/>
      </c>
      <c r="F44" s="962">
        <f>'План 3-я неделя'!BN76</f>
        <v>20</v>
      </c>
      <c r="G44" s="962">
        <f>'План 3-я неделя'!BP76+F44</f>
        <v>171</v>
      </c>
      <c r="H44" s="962">
        <f t="shared" si="3"/>
        <v>36081</v>
      </c>
      <c r="I44" s="2587">
        <f>'План 3-я неделя'!BQ76</f>
        <v>150</v>
      </c>
      <c r="J44" s="2600">
        <f t="shared" si="4"/>
        <v>31650</v>
      </c>
      <c r="R44" s="145">
        <v>3647.0</v>
      </c>
      <c r="S44" s="1268" t="s">
        <v>1115</v>
      </c>
      <c r="T44" s="1268" t="s">
        <v>3436</v>
      </c>
    </row>
    <row r="45">
      <c r="A45" s="962">
        <f>'План 3-я неделя'!B77</f>
        <v>4025</v>
      </c>
      <c r="B45" s="962">
        <f>'План 3-я неделя'!C77</f>
        <v>236</v>
      </c>
      <c r="C45" s="962" t="str">
        <f>'План 3-я неделя'!D77</f>
        <v>Второе</v>
      </c>
      <c r="D45" s="962" t="str">
        <f>'План 3-я неделя'!E77</f>
        <v>Бедро в пряном соусе с гречкой </v>
      </c>
      <c r="E45" s="2576">
        <f>'План 3-я неделя'!BL77</f>
        <v>25</v>
      </c>
      <c r="F45" s="962" t="str">
        <f>'План 3-я неделя'!BN77</f>
        <v/>
      </c>
      <c r="G45" s="962">
        <f>'План 3-я неделя'!BP77+F45</f>
        <v>91</v>
      </c>
      <c r="H45" s="962">
        <f t="shared" si="3"/>
        <v>21476</v>
      </c>
      <c r="I45" s="2587">
        <f>'План 3-я неделя'!BQ77</f>
        <v>84</v>
      </c>
      <c r="J45" s="2600">
        <f t="shared" si="4"/>
        <v>19824</v>
      </c>
      <c r="R45" s="145">
        <v>3649.0</v>
      </c>
      <c r="S45" s="1268" t="s">
        <v>1103</v>
      </c>
      <c r="T45" s="1268" t="s">
        <v>3436</v>
      </c>
    </row>
    <row r="46">
      <c r="A46" s="962">
        <f>'План 3-я неделя'!B78</f>
        <v>958</v>
      </c>
      <c r="B46" s="962">
        <f>'План 3-я неделя'!C78</f>
        <v>193</v>
      </c>
      <c r="C46" s="962" t="str">
        <f>'План 3-я неделя'!D78</f>
        <v>Второе</v>
      </c>
      <c r="D46" s="962" t="str">
        <f>'План 3-я неделя'!E78</f>
        <v>Поджарка из курицы с рисом</v>
      </c>
      <c r="E46" s="2576">
        <f>'План 3-я неделя'!BL78</f>
        <v>80</v>
      </c>
      <c r="F46" s="962" t="str">
        <f>'План 3-я неделя'!BN78</f>
        <v/>
      </c>
      <c r="G46" s="962">
        <f>'План 3-я неделя'!BP78+F46</f>
        <v>81</v>
      </c>
      <c r="H46" s="962">
        <f t="shared" si="3"/>
        <v>15633</v>
      </c>
      <c r="I46" s="2587">
        <f>'План 3-я неделя'!BQ78</f>
        <v>90</v>
      </c>
      <c r="J46" s="2600">
        <f t="shared" si="4"/>
        <v>17370</v>
      </c>
      <c r="R46" s="145">
        <v>3679.0</v>
      </c>
      <c r="S46" s="1268" t="s">
        <v>784</v>
      </c>
      <c r="T46" s="1268" t="s">
        <v>3436</v>
      </c>
    </row>
    <row r="47">
      <c r="A47" s="962">
        <f>'План 3-я неделя'!B79</f>
        <v>4029</v>
      </c>
      <c r="B47" s="962">
        <f>'План 3-я неделя'!C79</f>
        <v>198</v>
      </c>
      <c r="C47" s="962" t="str">
        <f>'План 3-я неделя'!D79</f>
        <v>Второе</v>
      </c>
      <c r="D47" s="962" t="str">
        <f>'План 3-я неделя'!E79</f>
        <v>Жаркое по-домашнему со свининой</v>
      </c>
      <c r="E47" s="2576">
        <f>'План 3-я неделя'!BL79</f>
        <v>25</v>
      </c>
      <c r="F47" s="962">
        <f>'План 3-я неделя'!BN79</f>
        <v>10</v>
      </c>
      <c r="G47" s="962">
        <f>'План 3-я неделя'!BP79+F47</f>
        <v>106</v>
      </c>
      <c r="H47" s="962">
        <f t="shared" si="3"/>
        <v>20988</v>
      </c>
      <c r="I47" s="2587">
        <f>'План 3-я неделя'!BQ79</f>
        <v>95</v>
      </c>
      <c r="J47" s="2600">
        <f t="shared" si="4"/>
        <v>18810</v>
      </c>
      <c r="R47" s="145">
        <v>3827.0</v>
      </c>
      <c r="S47" s="1268" t="s">
        <v>316</v>
      </c>
      <c r="T47" s="1268" t="s">
        <v>3436</v>
      </c>
    </row>
    <row r="48">
      <c r="A48" s="962">
        <f>'План 3-я неделя'!B80</f>
        <v>4268</v>
      </c>
      <c r="B48" s="962">
        <f>'План 3-я неделя'!C80</f>
        <v>269</v>
      </c>
      <c r="C48" s="962" t="str">
        <f>'План 3-я неделя'!D80</f>
        <v>Второе</v>
      </c>
      <c r="D48" s="962" t="str">
        <f>'План 3-я неделя'!E80</f>
        <v>Индейка су-вид с овощами и соусом чили </v>
      </c>
      <c r="E48" s="2576" t="str">
        <f>'План 3-я неделя'!BL80</f>
        <v/>
      </c>
      <c r="F48" s="962" t="str">
        <f>'План 3-я неделя'!BN80</f>
        <v/>
      </c>
      <c r="G48" s="962">
        <f>'План 3-я неделя'!BP80+F48</f>
        <v>62</v>
      </c>
      <c r="H48" s="962">
        <f t="shared" si="3"/>
        <v>16678</v>
      </c>
      <c r="I48" s="2587">
        <f>'План 3-я неделя'!BQ80</f>
        <v>61</v>
      </c>
      <c r="J48" s="2600">
        <f t="shared" si="4"/>
        <v>16409</v>
      </c>
      <c r="R48" s="145">
        <v>3868.0</v>
      </c>
      <c r="S48" s="1268" t="s">
        <v>2017</v>
      </c>
      <c r="T48" s="1268" t="s">
        <v>3436</v>
      </c>
    </row>
    <row r="49">
      <c r="A49" s="962" t="str">
        <f>'План 3-я неделя'!B81</f>
        <v/>
      </c>
      <c r="B49" s="962" t="str">
        <f>'План 3-я неделя'!C81</f>
        <v/>
      </c>
      <c r="C49" s="962" t="str">
        <f>'План 3-я неделя'!D81</f>
        <v/>
      </c>
      <c r="D49" s="962" t="str">
        <f>'План 3-я неделя'!E81</f>
        <v/>
      </c>
      <c r="E49" s="2576" t="str">
        <f>'План 3-я неделя'!BL81</f>
        <v/>
      </c>
      <c r="F49" s="962" t="str">
        <f>'План 3-я неделя'!BN81</f>
        <v/>
      </c>
      <c r="G49" s="962">
        <f>'План 3-я неделя'!BP81+F49</f>
        <v>1</v>
      </c>
      <c r="H49" s="962">
        <f t="shared" si="3"/>
        <v>0</v>
      </c>
      <c r="I49" s="2587">
        <f>'План 3-я неделя'!BQ81</f>
        <v>0</v>
      </c>
      <c r="J49" s="2600">
        <f t="shared" si="4"/>
        <v>0</v>
      </c>
    </row>
    <row r="50">
      <c r="A50" s="962">
        <f>'План 3-я неделя'!B82</f>
        <v>3435</v>
      </c>
      <c r="B50" s="962">
        <f>'План 3-я неделя'!C82</f>
        <v>51</v>
      </c>
      <c r="C50" s="962" t="str">
        <f>'План 3-я неделя'!D82</f>
        <v>Выпечка</v>
      </c>
      <c r="D50" s="962" t="str">
        <f>'План 3-я неделя'!E82</f>
        <v>Булочка с повидлом 80 г</v>
      </c>
      <c r="E50" s="2576">
        <f>'План 3-я неделя'!BL82</f>
        <v>10</v>
      </c>
      <c r="F50" s="962" t="str">
        <f>'План 3-я неделя'!BN82</f>
        <v/>
      </c>
      <c r="G50" s="962">
        <f>'План 3-я неделя'!BP82+F50</f>
        <v>11</v>
      </c>
      <c r="H50" s="962">
        <f t="shared" si="3"/>
        <v>561</v>
      </c>
      <c r="I50" s="2587">
        <f>'План 3-я неделя'!BQ82</f>
        <v>10</v>
      </c>
      <c r="J50" s="2600">
        <f t="shared" si="4"/>
        <v>510</v>
      </c>
    </row>
    <row r="51">
      <c r="A51" s="962">
        <f>'План 3-я неделя'!B83</f>
        <v>3455</v>
      </c>
      <c r="B51" s="962">
        <f>'План 3-я неделя'!C83</f>
        <v>85</v>
      </c>
      <c r="C51" s="962" t="str">
        <f>'План 3-я неделя'!D83</f>
        <v>Выпечка</v>
      </c>
      <c r="D51" s="962" t="str">
        <f>'План 3-я неделя'!E83</f>
        <v>Слойка с ветчиной и сыром 100г</v>
      </c>
      <c r="E51" s="2576">
        <f>'План 3-я неделя'!BL83</f>
        <v>12</v>
      </c>
      <c r="F51" s="962" t="str">
        <f>'План 3-я неделя'!BN83</f>
        <v/>
      </c>
      <c r="G51" s="962">
        <f>'План 3-я неделя'!BP83+F51</f>
        <v>13</v>
      </c>
      <c r="H51" s="962">
        <f t="shared" si="3"/>
        <v>1105</v>
      </c>
      <c r="I51" s="2587">
        <f>'План 3-я неделя'!BQ83</f>
        <v>13</v>
      </c>
      <c r="J51" s="2600">
        <f t="shared" si="4"/>
        <v>1105</v>
      </c>
    </row>
    <row r="52">
      <c r="A52" s="962">
        <f>'План 3-я неделя'!B84</f>
        <v>4312</v>
      </c>
      <c r="B52" s="962">
        <f>'План 3-я неделя'!C84</f>
        <v>148</v>
      </c>
      <c r="C52" s="962" t="str">
        <f>'План 3-я неделя'!D84</f>
        <v>Выпечка</v>
      </c>
      <c r="D52" s="962" t="str">
        <f>'План 3-я неделя'!E84</f>
        <v>Фруктовый набор (арбуз/дыня)</v>
      </c>
      <c r="E52" s="2576" t="str">
        <f>'План 3-я неделя'!BL84</f>
        <v/>
      </c>
      <c r="F52" s="962" t="str">
        <f>'План 3-я неделя'!BN84</f>
        <v/>
      </c>
      <c r="G52" s="962">
        <f>'План 3-я неделя'!BP84+F52</f>
        <v>39</v>
      </c>
      <c r="H52" s="962">
        <f t="shared" si="3"/>
        <v>5772</v>
      </c>
      <c r="I52" s="2587">
        <f>'План 3-я неделя'!BQ84</f>
        <v>38</v>
      </c>
      <c r="J52" s="2600">
        <f t="shared" si="4"/>
        <v>5624</v>
      </c>
    </row>
    <row r="53">
      <c r="A53" s="962">
        <f>'План 3-я неделя'!B85</f>
        <v>100</v>
      </c>
      <c r="B53" s="962">
        <f>'План 3-я неделя'!C85</f>
        <v>90</v>
      </c>
      <c r="C53" s="962" t="str">
        <f>'План 3-я неделя'!D85</f>
        <v>Суп</v>
      </c>
      <c r="D53" s="962" t="str">
        <f>'План 3-я неделя'!E85</f>
        <v>Крем-суп овощной с курицей</v>
      </c>
      <c r="E53" s="2576">
        <f>'План 3-я неделя'!BL85</f>
        <v>130</v>
      </c>
      <c r="F53" s="962" t="str">
        <f>'План 3-я неделя'!BN85</f>
        <v/>
      </c>
      <c r="G53" s="962">
        <f>'План 3-я неделя'!BP85+F53</f>
        <v>235</v>
      </c>
      <c r="H53" s="962">
        <f t="shared" si="3"/>
        <v>21150</v>
      </c>
      <c r="I53" s="2598">
        <f>'План 3-я неделя'!BQ85</f>
        <v>234</v>
      </c>
      <c r="J53" s="2600">
        <f t="shared" si="4"/>
        <v>21060</v>
      </c>
    </row>
    <row r="54">
      <c r="A54" s="962">
        <f>'План 3-я неделя'!B86</f>
        <v>3330</v>
      </c>
      <c r="B54" s="962">
        <f>'План 3-я неделя'!C86</f>
        <v>172</v>
      </c>
      <c r="C54" s="962" t="str">
        <f>'План 3-я неделя'!D86</f>
        <v>Сэндвич</v>
      </c>
      <c r="D54" s="962" t="str">
        <f>'План 3-я неделя'!E86</f>
        <v>Сэндвич с курицей и соусом Барбекю</v>
      </c>
      <c r="E54" s="2576" t="str">
        <f>'План 3-я неделя'!BL86</f>
        <v/>
      </c>
      <c r="F54" s="962" t="str">
        <f>'План 3-я неделя'!BN86</f>
        <v/>
      </c>
      <c r="G54" s="962">
        <f>'План 3-я неделя'!BP86+F54</f>
        <v>120</v>
      </c>
      <c r="H54" s="962">
        <f t="shared" si="3"/>
        <v>20640</v>
      </c>
      <c r="I54" s="2587">
        <f>'План 3-я неделя'!BQ86</f>
        <v>119</v>
      </c>
      <c r="J54" s="2600">
        <f t="shared" si="4"/>
        <v>20468</v>
      </c>
    </row>
    <row r="55">
      <c r="A55" s="962">
        <f>'План 3-я неделя'!B87</f>
        <v>3408</v>
      </c>
      <c r="B55" s="962">
        <f>'План 3-я неделя'!C87</f>
        <v>220</v>
      </c>
      <c r="C55" s="962" t="str">
        <f>'План 3-я неделя'!D87</f>
        <v>Сэндвич</v>
      </c>
      <c r="D55" s="962" t="str">
        <f>'План 3-я неделя'!E87</f>
        <v>Сэндвич ''Крем-чиз с рыбой''</v>
      </c>
      <c r="E55" s="2576" t="str">
        <f>'План 3-я неделя'!BL87</f>
        <v/>
      </c>
      <c r="F55" s="962" t="str">
        <f>'План 3-я неделя'!BN87</f>
        <v/>
      </c>
      <c r="G55" s="962">
        <f>'План 3-я неделя'!BP87+F55</f>
        <v>103</v>
      </c>
      <c r="H55" s="962">
        <f t="shared" si="3"/>
        <v>22660</v>
      </c>
      <c r="I55" s="2587">
        <f>'План 3-я неделя'!BQ87</f>
        <v>102</v>
      </c>
      <c r="J55" s="2600">
        <f t="shared" si="4"/>
        <v>22440</v>
      </c>
    </row>
    <row r="56">
      <c r="A56" s="962">
        <f>'План 3-я неделя'!B88</f>
        <v>3996</v>
      </c>
      <c r="B56" s="962">
        <f>'План 3-я неделя'!C88</f>
        <v>98</v>
      </c>
      <c r="C56" s="962" t="str">
        <f>'План 3-я неделя'!D88</f>
        <v>Япония</v>
      </c>
      <c r="D56" s="962" t="str">
        <f>'План 3-я неделя'!E88</f>
        <v>Морс вишневый 0,5 л</v>
      </c>
      <c r="E56" s="2576" t="str">
        <f>'План 3-я неделя'!BL88</f>
        <v/>
      </c>
      <c r="F56" s="962">
        <f>'План 3-я неделя'!BN88</f>
        <v>10</v>
      </c>
      <c r="G56" s="962">
        <f>'План 3-я неделя'!BP88+F56</f>
        <v>164</v>
      </c>
      <c r="H56" s="962">
        <f t="shared" si="3"/>
        <v>16072</v>
      </c>
      <c r="I56" s="2587">
        <f>'План 3-я неделя'!BQ88</f>
        <v>149</v>
      </c>
      <c r="J56" s="2600">
        <f t="shared" si="4"/>
        <v>14602</v>
      </c>
    </row>
    <row r="57">
      <c r="A57" s="962" t="str">
        <f>'План 3-я неделя'!B89</f>
        <v/>
      </c>
      <c r="B57" s="962" t="str">
        <f>'План 3-я неделя'!C89</f>
        <v/>
      </c>
      <c r="C57" s="962" t="str">
        <f>'План 3-я неделя'!D89</f>
        <v/>
      </c>
      <c r="D57" s="962" t="str">
        <f>'План 3-я неделя'!E89</f>
        <v/>
      </c>
      <c r="E57" s="2576" t="str">
        <f>'План 3-я неделя'!BL89</f>
        <v/>
      </c>
      <c r="F57" s="962" t="str">
        <f>'План 3-я неделя'!BN89</f>
        <v/>
      </c>
      <c r="G57" s="962">
        <f>'План 3-я неделя'!BP89+F57</f>
        <v>1</v>
      </c>
      <c r="H57" s="962">
        <f t="shared" si="3"/>
        <v>0</v>
      </c>
      <c r="I57" s="2587">
        <f>'План 3-я неделя'!BQ89</f>
        <v>0</v>
      </c>
      <c r="J57" s="2600">
        <f t="shared" si="4"/>
        <v>0</v>
      </c>
    </row>
    <row r="58">
      <c r="A58" s="962" t="str">
        <f>'План 3-я неделя'!B90</f>
        <v/>
      </c>
      <c r="B58" s="962" t="str">
        <f>'План 3-я неделя'!C90</f>
        <v/>
      </c>
      <c r="C58" s="962" t="str">
        <f>'План 3-я неделя'!D90</f>
        <v/>
      </c>
      <c r="D58" s="962" t="str">
        <f>'План 3-я неделя'!E90</f>
        <v/>
      </c>
      <c r="E58" s="2576" t="str">
        <f>'План 3-я неделя'!BL90</f>
        <v/>
      </c>
      <c r="F58" s="962" t="str">
        <f>'План 3-я неделя'!BN90</f>
        <v/>
      </c>
      <c r="G58" s="962">
        <f>'План 3-я неделя'!BP90+F58</f>
        <v>1</v>
      </c>
      <c r="H58" s="962">
        <f t="shared" si="3"/>
        <v>0</v>
      </c>
      <c r="I58" s="2587">
        <f>'План 3-я неделя'!BQ90</f>
        <v>0</v>
      </c>
      <c r="J58" s="2600">
        <f t="shared" si="4"/>
        <v>0</v>
      </c>
    </row>
    <row r="59">
      <c r="A59" s="962" t="str">
        <f>'План 3-я неделя'!B91</f>
        <v/>
      </c>
      <c r="B59" s="962" t="str">
        <f>'План 3-я неделя'!C91</f>
        <v/>
      </c>
      <c r="C59" s="962" t="str">
        <f>'План 3-я неделя'!D91</f>
        <v/>
      </c>
      <c r="D59" s="962" t="str">
        <f>'План 3-я неделя'!E91</f>
        <v/>
      </c>
      <c r="E59" s="2576" t="str">
        <f>'План 3-я неделя'!BL91</f>
        <v/>
      </c>
      <c r="F59" s="962" t="str">
        <f>'План 3-я неделя'!BN91</f>
        <v/>
      </c>
      <c r="G59" s="962">
        <f>'План 3-я неделя'!BP91+F59</f>
        <v>1</v>
      </c>
      <c r="H59" s="962">
        <f t="shared" si="3"/>
        <v>0</v>
      </c>
      <c r="I59" s="2587">
        <f>'План 3-я неделя'!BQ91</f>
        <v>0</v>
      </c>
      <c r="J59" s="2600">
        <f t="shared" si="4"/>
        <v>0</v>
      </c>
    </row>
    <row r="60">
      <c r="I60" s="2570"/>
      <c r="J60" s="2599"/>
    </row>
    <row r="61">
      <c r="A61" s="2603" t="str">
        <f>'План 3-я неделя'!A125</f>
        <v>Дата:  </v>
      </c>
      <c r="B61" s="2625">
        <f>'План 3-я неделя'!D125</f>
        <v>46245</v>
      </c>
      <c r="C61" s="2603"/>
      <c r="D61" s="2603" t="str">
        <f>'План 3-я неделя'!E125</f>
        <v>План на день кухня        ВТОРНИК</v>
      </c>
      <c r="H61" s="1346">
        <f>SUM(H63:H89)</f>
        <v>364483</v>
      </c>
      <c r="I61" s="2570"/>
      <c r="J61" s="2572">
        <f>SUM(J63:J89)</f>
        <v>339090</v>
      </c>
      <c r="K61" s="1346">
        <f>J61-H61</f>
        <v>-25393</v>
      </c>
      <c r="L61" s="2574" t="s">
        <v>1283</v>
      </c>
      <c r="M61" s="2574" t="s">
        <v>1428</v>
      </c>
      <c r="N61" s="2574" t="s">
        <v>3415</v>
      </c>
      <c r="O61" s="2574" t="s">
        <v>3416</v>
      </c>
      <c r="R61" s="2574" t="s">
        <v>1283</v>
      </c>
      <c r="S61" s="2574" t="s">
        <v>3283</v>
      </c>
      <c r="T61" s="2574" t="s">
        <v>3417</v>
      </c>
    </row>
    <row r="62">
      <c r="A62" s="2575" t="str">
        <f>'План 3-я неделя'!B126</f>
        <v>Код</v>
      </c>
      <c r="B62" s="2575" t="str">
        <f>'План 3-я неделя'!C126</f>
        <v>Цена</v>
      </c>
      <c r="C62" s="2575" t="str">
        <f>'План 3-я неделя'!D126</f>
        <v>Категория</v>
      </c>
      <c r="D62" s="2575" t="str">
        <f>'План 3-я неделя'!E126</f>
        <v>Название блюда</v>
      </c>
      <c r="E62" s="2576" t="str">
        <f>'План 3-я неделя'!BL126</f>
        <v>ТСПК</v>
      </c>
      <c r="F62" s="2165" t="s">
        <v>3090</v>
      </c>
      <c r="G62" s="2165" t="s">
        <v>3421</v>
      </c>
      <c r="H62" s="2165" t="s">
        <v>3422</v>
      </c>
      <c r="I62" s="2578" t="s">
        <v>3424</v>
      </c>
      <c r="J62" s="2578" t="s">
        <v>3425</v>
      </c>
      <c r="L62" s="145">
        <v>2249.0</v>
      </c>
      <c r="M62" s="1268" t="s">
        <v>1455</v>
      </c>
      <c r="N62" s="2593">
        <v>151.0</v>
      </c>
      <c r="O62" s="145" t="s">
        <v>3329</v>
      </c>
      <c r="R62" s="145">
        <v>822.0</v>
      </c>
      <c r="S62" s="1268" t="s">
        <v>136</v>
      </c>
      <c r="T62" s="1268" t="s">
        <v>3436</v>
      </c>
    </row>
    <row r="63">
      <c r="A63" s="962">
        <f>'План 3-я неделя'!B127</f>
        <v>3014</v>
      </c>
      <c r="B63" s="962">
        <f>'План 3-я неделя'!C127</f>
        <v>168</v>
      </c>
      <c r="C63" s="962" t="str">
        <f>'План 3-я неделя'!D127</f>
        <v>Завтрак</v>
      </c>
      <c r="D63" s="962" t="str">
        <f>'План 3-я неделя'!E127</f>
        <v>Драники картофельные с цукини со сметаной</v>
      </c>
      <c r="E63" s="2626" t="str">
        <f>'План 3-я неделя'!BL127</f>
        <v/>
      </c>
      <c r="F63" s="962" t="str">
        <f>'План 3-я неделя'!BN127</f>
        <v/>
      </c>
      <c r="G63" s="962">
        <f>'План 3-я неделя'!BP127+F63</f>
        <v>113</v>
      </c>
      <c r="H63" s="962">
        <f t="shared" ref="H63:H90" si="5">G63*B63</f>
        <v>18984</v>
      </c>
      <c r="I63" s="2587">
        <f>'План 3-я неделя'!BQ127</f>
        <v>112</v>
      </c>
      <c r="J63" s="2600">
        <f t="shared" ref="J63:J90" si="6">B63*I63</f>
        <v>18816</v>
      </c>
      <c r="L63" s="145">
        <v>3661.0</v>
      </c>
      <c r="M63" s="1268" t="s">
        <v>736</v>
      </c>
      <c r="N63" s="2593">
        <v>81.0</v>
      </c>
      <c r="O63" s="145" t="s">
        <v>3329</v>
      </c>
      <c r="R63" s="145">
        <v>867.0</v>
      </c>
      <c r="S63" s="1268" t="s">
        <v>1171</v>
      </c>
      <c r="T63" s="1268" t="s">
        <v>1437</v>
      </c>
    </row>
    <row r="64">
      <c r="A64" s="962">
        <f>'План 3-я неделя'!B128</f>
        <v>138</v>
      </c>
      <c r="B64" s="962">
        <f>'План 3-я неделя'!C128</f>
        <v>83</v>
      </c>
      <c r="C64" s="962" t="str">
        <f>'План 3-я неделя'!D128</f>
        <v>Завтрак</v>
      </c>
      <c r="D64" s="962" t="str">
        <f>'План 3-я неделя'!E128</f>
        <v>Каша рисовая (на молоке)</v>
      </c>
      <c r="E64" s="2626" t="str">
        <f>'План 3-я неделя'!BL128</f>
        <v/>
      </c>
      <c r="F64" s="962" t="str">
        <f>'План 3-я неделя'!BN128</f>
        <v/>
      </c>
      <c r="G64" s="962">
        <f>'План 3-я неделя'!BP128+F64</f>
        <v>91</v>
      </c>
      <c r="H64" s="962">
        <f t="shared" si="5"/>
        <v>7553</v>
      </c>
      <c r="I64" s="2587">
        <f>'План 3-я неделя'!BQ128</f>
        <v>90</v>
      </c>
      <c r="J64" s="2600">
        <f t="shared" si="6"/>
        <v>7470</v>
      </c>
      <c r="L64" s="145">
        <v>3933.0</v>
      </c>
      <c r="M64" s="1268" t="s">
        <v>1955</v>
      </c>
      <c r="N64" s="145">
        <v>14.7</v>
      </c>
      <c r="O64" s="145" t="s">
        <v>3429</v>
      </c>
      <c r="R64" s="145">
        <v>1557.0</v>
      </c>
      <c r="S64" s="1268" t="s">
        <v>967</v>
      </c>
      <c r="T64" s="1268" t="s">
        <v>3436</v>
      </c>
    </row>
    <row r="65">
      <c r="A65" s="962">
        <f>'План 3-я неделя'!B129</f>
        <v>2762</v>
      </c>
      <c r="B65" s="962">
        <f>'План 3-я неделя'!C129</f>
        <v>174</v>
      </c>
      <c r="C65" s="962" t="str">
        <f>'План 3-я неделя'!D129</f>
        <v>Завтрак</v>
      </c>
      <c r="D65" s="962" t="str">
        <f>'План 3-я неделя'!E129</f>
        <v>Запеканка творожная с курагой</v>
      </c>
      <c r="E65" s="2626" t="str">
        <f>'План 3-я неделя'!BL129</f>
        <v/>
      </c>
      <c r="F65" s="962" t="str">
        <f>'План 3-я неделя'!BN129</f>
        <v/>
      </c>
      <c r="G65" s="962">
        <f>'План 3-я неделя'!BP129+F65</f>
        <v>122</v>
      </c>
      <c r="H65" s="962">
        <f t="shared" si="5"/>
        <v>21228</v>
      </c>
      <c r="I65" s="2587">
        <f>'План 3-я неделя'!BQ129</f>
        <v>121</v>
      </c>
      <c r="J65" s="2600">
        <f t="shared" si="6"/>
        <v>21054</v>
      </c>
      <c r="L65" s="145">
        <v>3934.0</v>
      </c>
      <c r="M65" s="1268" t="s">
        <v>1973</v>
      </c>
      <c r="N65" s="2593">
        <v>92.0</v>
      </c>
      <c r="O65" s="145" t="s">
        <v>3329</v>
      </c>
      <c r="R65" s="145">
        <v>2541.0</v>
      </c>
      <c r="S65" s="1268" t="s">
        <v>646</v>
      </c>
      <c r="T65" s="1268" t="s">
        <v>1437</v>
      </c>
    </row>
    <row r="66">
      <c r="A66" s="962">
        <f>'План 3-я неделя'!B130</f>
        <v>3230</v>
      </c>
      <c r="B66" s="962">
        <f>'План 3-я неделя'!C130</f>
        <v>98</v>
      </c>
      <c r="C66" s="962" t="str">
        <f>'План 3-я неделя'!D130</f>
        <v>Салат</v>
      </c>
      <c r="D66" s="962" t="str">
        <f>'План 3-я неделя'!E130</f>
        <v>Салат ''Винегрет с капустой'' 120 г</v>
      </c>
      <c r="E66" s="2626">
        <f>'План 3-я неделя'!BL130</f>
        <v>44</v>
      </c>
      <c r="F66" s="962">
        <f>'План 3-я неделя'!BN130</f>
        <v>10</v>
      </c>
      <c r="G66" s="962">
        <f>'План 3-я неделя'!BP130+F66</f>
        <v>128</v>
      </c>
      <c r="H66" s="962">
        <f t="shared" si="5"/>
        <v>12544</v>
      </c>
      <c r="I66" s="2587">
        <f>'План 3-я неделя'!BQ130</f>
        <v>117</v>
      </c>
      <c r="J66" s="2600">
        <f t="shared" si="6"/>
        <v>11466</v>
      </c>
      <c r="R66" s="145">
        <v>2936.0</v>
      </c>
      <c r="S66" s="1268" t="s">
        <v>468</v>
      </c>
      <c r="T66" s="1268" t="s">
        <v>3436</v>
      </c>
    </row>
    <row r="67">
      <c r="A67" s="962">
        <f>'План 3-я неделя'!B131</f>
        <v>3301</v>
      </c>
      <c r="B67" s="962">
        <f>'План 3-я неделя'!C131</f>
        <v>98</v>
      </c>
      <c r="C67" s="962" t="str">
        <f>'План 3-я неделя'!D131</f>
        <v>Салат</v>
      </c>
      <c r="D67" s="962" t="str">
        <f>'План 3-я неделя'!E131</f>
        <v>Салат ''Блинный'' (ветчина куриная)</v>
      </c>
      <c r="E67" s="2626">
        <f>'План 3-я неделя'!BL131</f>
        <v>43</v>
      </c>
      <c r="F67" s="962">
        <f>'План 3-я неделя'!BN131</f>
        <v>10</v>
      </c>
      <c r="G67" s="962">
        <f>'План 3-я неделя'!BP131+F67</f>
        <v>213</v>
      </c>
      <c r="H67" s="962">
        <f t="shared" si="5"/>
        <v>20874</v>
      </c>
      <c r="I67" s="2587">
        <f>'План 3-я неделя'!BQ131</f>
        <v>202</v>
      </c>
      <c r="J67" s="2600">
        <f t="shared" si="6"/>
        <v>19796</v>
      </c>
      <c r="L67" s="2574" t="s">
        <v>1283</v>
      </c>
      <c r="M67" s="2574" t="s">
        <v>1430</v>
      </c>
      <c r="N67" s="2574" t="s">
        <v>3415</v>
      </c>
      <c r="O67" s="2574" t="s">
        <v>3416</v>
      </c>
      <c r="R67" s="145">
        <v>3109.0</v>
      </c>
      <c r="S67" s="1268" t="s">
        <v>1054</v>
      </c>
      <c r="T67" s="1268" t="s">
        <v>3436</v>
      </c>
    </row>
    <row r="68">
      <c r="A68" s="962">
        <f>'План 3-я неделя'!B132</f>
        <v>4038</v>
      </c>
      <c r="B68" s="962">
        <f>'План 3-я неделя'!C132</f>
        <v>98</v>
      </c>
      <c r="C68" s="962" t="str">
        <f>'План 3-я неделя'!D132</f>
        <v>Салат</v>
      </c>
      <c r="D68" s="962" t="str">
        <f>'План 3-я неделя'!E132</f>
        <v>Салат "Гавайский" (курица, ананас)</v>
      </c>
      <c r="E68" s="2626">
        <f>'План 3-я неделя'!BL132</f>
        <v>43</v>
      </c>
      <c r="F68" s="962" t="str">
        <f>'План 3-я неделя'!BN132</f>
        <v/>
      </c>
      <c r="G68" s="962">
        <f>'План 3-я неделя'!BP132+F68</f>
        <v>126</v>
      </c>
      <c r="H68" s="962">
        <f t="shared" si="5"/>
        <v>12348</v>
      </c>
      <c r="I68" s="2587">
        <f>'План 3-я неделя'!BQ132</f>
        <v>125</v>
      </c>
      <c r="J68" s="2600">
        <f t="shared" si="6"/>
        <v>12250</v>
      </c>
      <c r="L68" s="145">
        <v>487.0</v>
      </c>
      <c r="M68" s="1268" t="s">
        <v>1443</v>
      </c>
      <c r="N68" s="2593">
        <v>27.0</v>
      </c>
      <c r="O68" s="145" t="s">
        <v>3429</v>
      </c>
      <c r="R68" s="145">
        <v>3140.0</v>
      </c>
      <c r="S68" s="1268" t="s">
        <v>436</v>
      </c>
      <c r="T68" s="1268" t="s">
        <v>3436</v>
      </c>
    </row>
    <row r="69">
      <c r="A69" s="962">
        <f>'План 3-я неделя'!B133</f>
        <v>4034</v>
      </c>
      <c r="B69" s="962">
        <f>'План 3-я неделя'!C133</f>
        <v>168</v>
      </c>
      <c r="C69" s="962" t="str">
        <f>'План 3-я неделя'!D133</f>
        <v>Салат</v>
      </c>
      <c r="D69" s="962" t="str">
        <f>'План 3-я неделя'!E133</f>
        <v>Гранатовый браслет 220гр </v>
      </c>
      <c r="E69" s="2626" t="str">
        <f>'План 3-я неделя'!BL133</f>
        <v/>
      </c>
      <c r="F69" s="962" t="str">
        <f>'План 3-я неделя'!BN133</f>
        <v/>
      </c>
      <c r="G69" s="962">
        <f>'План 3-я неделя'!BP133+F69</f>
        <v>72</v>
      </c>
      <c r="H69" s="962">
        <f t="shared" si="5"/>
        <v>12096</v>
      </c>
      <c r="I69" s="2587">
        <f>'План 3-я неделя'!BQ133</f>
        <v>71</v>
      </c>
      <c r="J69" s="2600">
        <f t="shared" si="6"/>
        <v>11928</v>
      </c>
      <c r="L69" s="145">
        <v>2247.0</v>
      </c>
      <c r="M69" s="1268" t="s">
        <v>1441</v>
      </c>
      <c r="N69" s="145">
        <v>63.6</v>
      </c>
      <c r="O69" s="145" t="s">
        <v>3429</v>
      </c>
      <c r="R69" s="145">
        <v>3145.0</v>
      </c>
      <c r="S69" s="1268" t="s">
        <v>1033</v>
      </c>
      <c r="T69" s="1268" t="s">
        <v>3436</v>
      </c>
    </row>
    <row r="70">
      <c r="A70" s="962">
        <f>'План 3-я неделя'!B134</f>
        <v>386</v>
      </c>
      <c r="B70" s="962">
        <f>'План 3-я неделя'!C134</f>
        <v>88</v>
      </c>
      <c r="C70" s="962" t="str">
        <f>'План 3-я неделя'!D134</f>
        <v>Суп</v>
      </c>
      <c r="D70" s="962" t="str">
        <f>'План 3-я неделя'!E134</f>
        <v>Суп ''Харчо'' с курицей</v>
      </c>
      <c r="E70" s="2626">
        <f>'План 3-я неделя'!BL134</f>
        <v>120</v>
      </c>
      <c r="F70" s="962">
        <f>'План 3-я неделя'!BN134</f>
        <v>20</v>
      </c>
      <c r="G70" s="962">
        <f>'План 3-я неделя'!BP134+F70</f>
        <v>141</v>
      </c>
      <c r="H70" s="962">
        <f t="shared" si="5"/>
        <v>12408</v>
      </c>
      <c r="I70" s="2587">
        <f>'План 3-я неделя'!BQ134</f>
        <v>120</v>
      </c>
      <c r="J70" s="2600">
        <f t="shared" si="6"/>
        <v>10560</v>
      </c>
      <c r="L70" s="145">
        <v>2264.0</v>
      </c>
      <c r="M70" s="1268" t="s">
        <v>1447</v>
      </c>
      <c r="N70" s="145">
        <v>22.2</v>
      </c>
      <c r="O70" s="145" t="s">
        <v>3429</v>
      </c>
      <c r="R70" s="145">
        <v>3301.0</v>
      </c>
      <c r="S70" s="1268" t="s">
        <v>2372</v>
      </c>
      <c r="T70" s="1268" t="s">
        <v>3436</v>
      </c>
    </row>
    <row r="71">
      <c r="A71" s="962" t="str">
        <f>'План 3-я неделя'!B135</f>
        <v/>
      </c>
      <c r="B71" s="962" t="str">
        <f>'План 3-я неделя'!C135</f>
        <v/>
      </c>
      <c r="C71" s="962" t="str">
        <f>'План 3-я неделя'!D135</f>
        <v/>
      </c>
      <c r="D71" s="962" t="str">
        <f>'План 3-я неделя'!E135</f>
        <v/>
      </c>
      <c r="E71" s="2626" t="str">
        <f>'План 3-я неделя'!BL135</f>
        <v/>
      </c>
      <c r="F71" s="962" t="str">
        <f>'План 3-я неделя'!BN135</f>
        <v/>
      </c>
      <c r="G71" s="962">
        <f>'План 3-я неделя'!BP135+F71</f>
        <v>1</v>
      </c>
      <c r="H71" s="962">
        <f t="shared" si="5"/>
        <v>0</v>
      </c>
      <c r="I71" s="2587">
        <f>'План 3-я неделя'!BQ135</f>
        <v>0</v>
      </c>
      <c r="J71" s="2600">
        <f t="shared" si="6"/>
        <v>0</v>
      </c>
      <c r="L71" s="145">
        <v>2278.0</v>
      </c>
      <c r="M71" s="1268" t="s">
        <v>1439</v>
      </c>
      <c r="N71" s="145">
        <v>18.8</v>
      </c>
      <c r="O71" s="145" t="s">
        <v>3429</v>
      </c>
      <c r="R71" s="145">
        <v>3375.0</v>
      </c>
      <c r="S71" s="1268" t="s">
        <v>302</v>
      </c>
      <c r="T71" s="1268" t="s">
        <v>3436</v>
      </c>
    </row>
    <row r="72">
      <c r="A72" s="962">
        <f>'План 3-я неделя'!B136</f>
        <v>761</v>
      </c>
      <c r="B72" s="962">
        <f>'План 3-я неделя'!C136</f>
        <v>238</v>
      </c>
      <c r="C72" s="962" t="str">
        <f>'План 3-я неделя'!D136</f>
        <v>Второе</v>
      </c>
      <c r="D72" s="962" t="str">
        <f>'План 3-я неделя'!E136</f>
        <v>Бризоль с рисом и овощами</v>
      </c>
      <c r="E72" s="2626" t="str">
        <f>'План 3-я неделя'!BL136</f>
        <v/>
      </c>
      <c r="F72" s="962">
        <f>'План 3-я неделя'!BN136</f>
        <v>10</v>
      </c>
      <c r="G72" s="962">
        <f>'План 3-я неделя'!BP136+F72</f>
        <v>146</v>
      </c>
      <c r="H72" s="962">
        <f t="shared" si="5"/>
        <v>34748</v>
      </c>
      <c r="I72" s="2587">
        <f>'План 3-я неделя'!BQ136</f>
        <v>135</v>
      </c>
      <c r="J72" s="2600">
        <f t="shared" si="6"/>
        <v>32130</v>
      </c>
      <c r="R72" s="145">
        <v>3419.0</v>
      </c>
      <c r="S72" s="1268" t="s">
        <v>1124</v>
      </c>
      <c r="T72" s="1268" t="s">
        <v>1437</v>
      </c>
    </row>
    <row r="73">
      <c r="A73" s="962">
        <f>'План 3-я неделя'!B137</f>
        <v>4172</v>
      </c>
      <c r="B73" s="962">
        <f>'План 3-я неделя'!C137</f>
        <v>210</v>
      </c>
      <c r="C73" s="962" t="str">
        <f>'План 3-я неделя'!D137</f>
        <v>Второе</v>
      </c>
      <c r="D73" s="962" t="str">
        <f>'План 3-я неделя'!E137</f>
        <v>Свинина в соусе тонкацу со спагетти </v>
      </c>
      <c r="E73" s="2626" t="str">
        <f>'План 3-я неделя'!BL137</f>
        <v/>
      </c>
      <c r="F73" s="962" t="str">
        <f>'План 3-я неделя'!BN137</f>
        <v/>
      </c>
      <c r="G73" s="962">
        <f>'План 3-я неделя'!BP137+F73</f>
        <v>66</v>
      </c>
      <c r="H73" s="962">
        <f t="shared" si="5"/>
        <v>13860</v>
      </c>
      <c r="I73" s="2587">
        <f>'План 3-я неделя'!BQ137</f>
        <v>65</v>
      </c>
      <c r="J73" s="2600">
        <f t="shared" si="6"/>
        <v>13650</v>
      </c>
      <c r="R73" s="145">
        <v>3486.0</v>
      </c>
      <c r="S73" s="1268" t="s">
        <v>303</v>
      </c>
      <c r="T73" s="1268" t="s">
        <v>3436</v>
      </c>
    </row>
    <row r="74">
      <c r="A74" s="962">
        <f>'План 3-я неделя'!B138</f>
        <v>4237</v>
      </c>
      <c r="B74" s="962">
        <f>'План 3-я неделя'!C138</f>
        <v>210</v>
      </c>
      <c r="C74" s="962" t="str">
        <f>'План 3-я неделя'!D138</f>
        <v>Второе</v>
      </c>
      <c r="D74" s="962" t="str">
        <f>'План 3-я неделя'!E138</f>
        <v>Свинина в соусе тонкацу с картофелем </v>
      </c>
      <c r="E74" s="2626">
        <f>'План 3-я неделя'!BL138</f>
        <v>25</v>
      </c>
      <c r="F74" s="962" t="str">
        <f>'План 3-я неделя'!BN138</f>
        <v/>
      </c>
      <c r="G74" s="962">
        <f>'План 3-я неделя'!BP138+F74</f>
        <v>26</v>
      </c>
      <c r="H74" s="962">
        <f t="shared" si="5"/>
        <v>5460</v>
      </c>
      <c r="I74" s="2587">
        <f>'План 3-я неделя'!BQ138</f>
        <v>25</v>
      </c>
      <c r="J74" s="2600">
        <f t="shared" si="6"/>
        <v>5250</v>
      </c>
      <c r="R74" s="145">
        <v>3645.0</v>
      </c>
      <c r="S74" s="1268" t="s">
        <v>969</v>
      </c>
      <c r="T74" s="1268" t="s">
        <v>3436</v>
      </c>
    </row>
    <row r="75">
      <c r="A75" s="962">
        <f>'План 3-я неделя'!B139</f>
        <v>3437</v>
      </c>
      <c r="B75" s="962">
        <f>'План 3-я неделя'!C139</f>
        <v>198</v>
      </c>
      <c r="C75" s="962" t="str">
        <f>'План 3-я неделя'!D139</f>
        <v>Второе</v>
      </c>
      <c r="D75" s="962" t="str">
        <f>'План 3-я неделя'!E139</f>
        <v>Макароны по-флотски</v>
      </c>
      <c r="E75" s="2626">
        <f>'План 3-я неделя'!BL139</f>
        <v>25</v>
      </c>
      <c r="F75" s="962">
        <f>'План 3-я неделя'!BN139</f>
        <v>10</v>
      </c>
      <c r="G75" s="962">
        <f>'План 3-я неделя'!BP139+F75</f>
        <v>140</v>
      </c>
      <c r="H75" s="962">
        <f t="shared" si="5"/>
        <v>27720</v>
      </c>
      <c r="I75" s="2587">
        <f>'План 3-я неделя'!BQ139</f>
        <v>112</v>
      </c>
      <c r="J75" s="2600">
        <f t="shared" si="6"/>
        <v>22176</v>
      </c>
      <c r="R75" s="145">
        <v>3657.0</v>
      </c>
      <c r="S75" s="1268" t="s">
        <v>1126</v>
      </c>
      <c r="T75" s="1268" t="s">
        <v>3436</v>
      </c>
    </row>
    <row r="76">
      <c r="A76" s="962">
        <f>'План 3-я неделя'!B140</f>
        <v>763</v>
      </c>
      <c r="B76" s="962">
        <f>'План 3-я неделя'!C140</f>
        <v>208</v>
      </c>
      <c r="C76" s="962" t="str">
        <f>'План 3-я неделя'!D140</f>
        <v>Второе</v>
      </c>
      <c r="D76" s="962" t="str">
        <f>'План 3-я неделя'!E140</f>
        <v>Котлета куриная с картофельным пюре</v>
      </c>
      <c r="E76" s="2626">
        <f>'План 3-я неделя'!BL140</f>
        <v>80</v>
      </c>
      <c r="F76" s="962">
        <f>'План 3-я неделя'!BN140</f>
        <v>10</v>
      </c>
      <c r="G76" s="962">
        <f>'План 3-я неделя'!BP140+F76</f>
        <v>91</v>
      </c>
      <c r="H76" s="962">
        <f t="shared" si="5"/>
        <v>18928</v>
      </c>
      <c r="I76" s="2587">
        <f>'План 3-я неделя'!BQ140</f>
        <v>80</v>
      </c>
      <c r="J76" s="2600">
        <f t="shared" si="6"/>
        <v>16640</v>
      </c>
      <c r="R76" s="145">
        <v>3661.0</v>
      </c>
      <c r="S76" s="1268" t="s">
        <v>736</v>
      </c>
      <c r="T76" s="1268" t="s">
        <v>1433</v>
      </c>
    </row>
    <row r="77">
      <c r="A77" s="962">
        <f>'План 3-я неделя'!B141</f>
        <v>18</v>
      </c>
      <c r="B77" s="962">
        <f>'План 3-я неделя'!C141</f>
        <v>252</v>
      </c>
      <c r="C77" s="962" t="str">
        <f>'План 3-я неделя'!D141</f>
        <v>Второе</v>
      </c>
      <c r="D77" s="962" t="str">
        <f>'План 3-я неделя'!E141</f>
        <v>Мясо по-французски (курица)</v>
      </c>
      <c r="E77" s="2626" t="str">
        <f>'План 3-я неделя'!BL141</f>
        <v/>
      </c>
      <c r="F77" s="962">
        <f>'План 3-я неделя'!BN141</f>
        <v>10</v>
      </c>
      <c r="G77" s="962">
        <f>'План 3-я неделя'!BP141+F77</f>
        <v>114</v>
      </c>
      <c r="H77" s="962">
        <f t="shared" si="5"/>
        <v>28728</v>
      </c>
      <c r="I77" s="2587">
        <f>'План 3-я неделя'!BQ141</f>
        <v>103</v>
      </c>
      <c r="J77" s="2600">
        <f t="shared" si="6"/>
        <v>25956</v>
      </c>
      <c r="R77" s="145">
        <v>3711.0</v>
      </c>
      <c r="S77" s="1268" t="s">
        <v>1972</v>
      </c>
      <c r="T77" s="1268" t="s">
        <v>1433</v>
      </c>
    </row>
    <row r="78">
      <c r="A78" s="962">
        <f>'План 3-я неделя'!B142</f>
        <v>4017</v>
      </c>
      <c r="B78" s="962">
        <f>'План 3-я неделя'!C142</f>
        <v>248</v>
      </c>
      <c r="C78" s="962" t="str">
        <f>'План 3-я неделя'!D142</f>
        <v>Премиум</v>
      </c>
      <c r="D78" s="962" t="str">
        <f>'План 3-я неделя'!E142</f>
        <v>Удон с курицей в азиатском соусе </v>
      </c>
      <c r="E78" s="2626" t="str">
        <f>'План 3-я неделя'!BL142</f>
        <v/>
      </c>
      <c r="F78" s="962" t="str">
        <f>'План 3-я неделя'!BN142</f>
        <v/>
      </c>
      <c r="G78" s="962">
        <f>'План 3-я неделя'!BP142+F78</f>
        <v>124</v>
      </c>
      <c r="H78" s="962">
        <f t="shared" si="5"/>
        <v>30752</v>
      </c>
      <c r="I78" s="2587">
        <f>'План 3-я неделя'!BQ142</f>
        <v>120</v>
      </c>
      <c r="J78" s="2600">
        <f t="shared" si="6"/>
        <v>29760</v>
      </c>
      <c r="R78" s="145">
        <v>3771.0</v>
      </c>
      <c r="S78" s="1268" t="s">
        <v>727</v>
      </c>
      <c r="T78" s="1268" t="s">
        <v>1437</v>
      </c>
    </row>
    <row r="79">
      <c r="A79" s="962">
        <f>'План 3-я неделя'!B143</f>
        <v>3872</v>
      </c>
      <c r="B79" s="962">
        <f>'План 3-я неделя'!C143</f>
        <v>265</v>
      </c>
      <c r="C79" s="962" t="str">
        <f>'План 3-я неделя'!D143</f>
        <v>Второе</v>
      </c>
      <c r="D79" s="962" t="str">
        <f>'План 3-я неделя'!E143</f>
        <v>Запеченый баклажан с перцем рамиро</v>
      </c>
      <c r="E79" s="2626" t="str">
        <f>'План 3-я неделя'!BL143</f>
        <v/>
      </c>
      <c r="F79" s="962" t="str">
        <f>'План 3-я неделя'!BN143</f>
        <v/>
      </c>
      <c r="G79" s="962">
        <f>'План 3-я неделя'!BP143+F79</f>
        <v>41</v>
      </c>
      <c r="H79" s="962">
        <f t="shared" si="5"/>
        <v>10865</v>
      </c>
      <c r="I79" s="2587">
        <f>'План 3-я неделя'!BQ143</f>
        <v>44</v>
      </c>
      <c r="J79" s="2600">
        <f t="shared" si="6"/>
        <v>11660</v>
      </c>
      <c r="R79" s="145">
        <v>3779.0</v>
      </c>
      <c r="S79" s="1268" t="s">
        <v>1233</v>
      </c>
      <c r="T79" s="1268" t="s">
        <v>3436</v>
      </c>
    </row>
    <row r="80">
      <c r="A80" s="962">
        <f>'План 3-я неделя'!B144</f>
        <v>3375</v>
      </c>
      <c r="B80" s="962">
        <f>'План 3-я неделя'!C144</f>
        <v>90</v>
      </c>
      <c r="C80" s="962" t="str">
        <f>'План 3-я неделя'!D144</f>
        <v>Выпечка</v>
      </c>
      <c r="D80" s="962" t="str">
        <f>'План 3-я неделя'!E144</f>
        <v>Самса с куриной грудкой 150 грамм</v>
      </c>
      <c r="E80" s="2626">
        <f>'План 3-я неделя'!BL144</f>
        <v>10</v>
      </c>
      <c r="F80" s="962" t="str">
        <f>'План 3-я неделя'!BN144</f>
        <v/>
      </c>
      <c r="G80" s="962">
        <f>'План 3-я неделя'!BP144+F80</f>
        <v>11</v>
      </c>
      <c r="H80" s="962">
        <f t="shared" si="5"/>
        <v>990</v>
      </c>
      <c r="I80" s="2587">
        <f>'План 3-я неделя'!BQ144</f>
        <v>10</v>
      </c>
      <c r="J80" s="2600">
        <f t="shared" si="6"/>
        <v>900</v>
      </c>
    </row>
    <row r="81">
      <c r="A81" s="962">
        <f>'План 3-я неделя'!B145</f>
        <v>3486</v>
      </c>
      <c r="B81" s="962">
        <f>'План 3-я неделя'!C145</f>
        <v>175</v>
      </c>
      <c r="C81" s="962" t="str">
        <f>'План 3-я неделя'!D145</f>
        <v>Сэндвич</v>
      </c>
      <c r="D81" s="962" t="str">
        <f>'План 3-я неделя'!E145</f>
        <v>Сэндвич с курицей и соусом карри</v>
      </c>
      <c r="E81" s="2626" t="str">
        <f>'План 3-я неделя'!BL145</f>
        <v/>
      </c>
      <c r="F81" s="962" t="str">
        <f>'План 3-я неделя'!BN145</f>
        <v/>
      </c>
      <c r="G81" s="962">
        <f>'План 3-я неделя'!BP145+F81</f>
        <v>141</v>
      </c>
      <c r="H81" s="962">
        <f t="shared" si="5"/>
        <v>24675</v>
      </c>
      <c r="I81" s="2587">
        <f>'План 3-я неделя'!BQ145</f>
        <v>140</v>
      </c>
      <c r="J81" s="2600">
        <f t="shared" si="6"/>
        <v>24500</v>
      </c>
    </row>
    <row r="82">
      <c r="A82" s="962">
        <f>'План 3-я неделя'!B146</f>
        <v>3140</v>
      </c>
      <c r="B82" s="962">
        <f>'План 3-я неделя'!C146</f>
        <v>165</v>
      </c>
      <c r="C82" s="962" t="str">
        <f>'План 3-я неделя'!D146</f>
        <v>Сэндвич</v>
      </c>
      <c r="D82" s="962" t="str">
        <f>'План 3-я неделя'!E146</f>
        <v>Сэндвич ''Снежный краб'' с соусом спайси</v>
      </c>
      <c r="E82" s="2626" t="str">
        <f>'План 3-я неделя'!BL146</f>
        <v/>
      </c>
      <c r="F82" s="962" t="str">
        <f>'План 3-я неделя'!BN146</f>
        <v/>
      </c>
      <c r="G82" s="962">
        <f>'План 3-я неделя'!BP146+F82</f>
        <v>107</v>
      </c>
      <c r="H82" s="962">
        <f t="shared" si="5"/>
        <v>17655</v>
      </c>
      <c r="I82" s="2587">
        <f>'План 3-я неделя'!BQ146</f>
        <v>106</v>
      </c>
      <c r="J82" s="2600">
        <f t="shared" si="6"/>
        <v>17490</v>
      </c>
    </row>
    <row r="83">
      <c r="A83" s="962">
        <f>'План 3-я неделя'!B147</f>
        <v>4000</v>
      </c>
      <c r="B83" s="962">
        <f>'План 3-я неделя'!C147</f>
        <v>98</v>
      </c>
      <c r="C83" s="962" t="str">
        <f>'План 3-я неделя'!D147</f>
        <v>Япония</v>
      </c>
      <c r="D83" s="962" t="str">
        <f>'План 3-я неделя'!E147</f>
        <v>Компот из сухофруктов 0,5 л</v>
      </c>
      <c r="E83" s="2626" t="str">
        <f>'План 3-я неделя'!BL147</f>
        <v/>
      </c>
      <c r="F83" s="962" t="str">
        <f>'План 3-я неделя'!BN147</f>
        <v/>
      </c>
      <c r="G83" s="962">
        <f>'План 3-я неделя'!BP147+F83</f>
        <v>184</v>
      </c>
      <c r="H83" s="962">
        <f t="shared" si="5"/>
        <v>18032</v>
      </c>
      <c r="I83" s="2587">
        <f>'План 3-я неделя'!BQ147</f>
        <v>120</v>
      </c>
      <c r="J83" s="2600">
        <f t="shared" si="6"/>
        <v>11760</v>
      </c>
    </row>
    <row r="84">
      <c r="A84" s="962">
        <f>'План 3-я неделя'!B148</f>
        <v>2943</v>
      </c>
      <c r="B84" s="962">
        <f>'План 3-я неделя'!C148</f>
        <v>152</v>
      </c>
      <c r="C84" s="962" t="str">
        <f>'План 3-я неделя'!D148</f>
        <v>Япония</v>
      </c>
      <c r="D84" s="962" t="str">
        <f>'План 3-я неделя'!E148</f>
        <v>Онигири с куриным филе в соусе спайси</v>
      </c>
      <c r="E84" s="2626" t="str">
        <f>'План 3-я неделя'!BL148</f>
        <v/>
      </c>
      <c r="F84" s="962" t="str">
        <f>'План 3-я неделя'!BN148</f>
        <v/>
      </c>
      <c r="G84" s="962">
        <f>'План 3-я неделя'!BP148+F84</f>
        <v>85</v>
      </c>
      <c r="H84" s="962">
        <f t="shared" si="5"/>
        <v>12920</v>
      </c>
      <c r="I84" s="2598">
        <f>'План 3-я неделя'!BQ148</f>
        <v>84</v>
      </c>
      <c r="J84" s="2600">
        <f t="shared" si="6"/>
        <v>12768</v>
      </c>
    </row>
    <row r="85">
      <c r="A85" s="962">
        <f>'План 3-я неделя'!B149</f>
        <v>822</v>
      </c>
      <c r="B85" s="962">
        <f>'План 3-я неделя'!C149</f>
        <v>5</v>
      </c>
      <c r="C85" s="962" t="str">
        <f>'План 3-я неделя'!D149</f>
        <v>Япония</v>
      </c>
      <c r="D85" s="962" t="str">
        <f>'План 3-я неделя'!E149</f>
        <v>Хлеб пшеничный</v>
      </c>
      <c r="E85" s="2626">
        <f>'План 3-я неделя'!BL149</f>
        <v>120</v>
      </c>
      <c r="F85" s="962" t="str">
        <f>'План 3-я неделя'!BN149</f>
        <v/>
      </c>
      <c r="G85" s="962">
        <f>'План 3-я неделя'!BP149+F85</f>
        <v>223</v>
      </c>
      <c r="H85" s="962">
        <f t="shared" si="5"/>
        <v>1115</v>
      </c>
      <c r="I85" s="2587">
        <f>'План 3-я неделя'!BQ149</f>
        <v>222</v>
      </c>
      <c r="J85" s="2600">
        <f t="shared" si="6"/>
        <v>1110</v>
      </c>
    </row>
    <row r="86">
      <c r="A86" s="962" t="str">
        <f>'План 3-я неделя'!B150</f>
        <v/>
      </c>
      <c r="B86" s="962" t="str">
        <f>'План 3-я неделя'!C150</f>
        <v/>
      </c>
      <c r="C86" s="962" t="str">
        <f>'План 3-я неделя'!D150</f>
        <v/>
      </c>
      <c r="D86" s="962" t="str">
        <f>'План 3-я неделя'!E150</f>
        <v/>
      </c>
      <c r="E86" s="2626" t="str">
        <f>'План 3-я неделя'!BL150</f>
        <v/>
      </c>
      <c r="F86" s="962" t="str">
        <f>'План 3-я неделя'!BN150</f>
        <v/>
      </c>
      <c r="G86" s="962">
        <f>'План 3-я неделя'!BP150+F86</f>
        <v>1</v>
      </c>
      <c r="H86" s="962">
        <f t="shared" si="5"/>
        <v>0</v>
      </c>
      <c r="I86" s="2587">
        <f>'План 3-я неделя'!BQ150</f>
        <v>0</v>
      </c>
      <c r="J86" s="2600">
        <f t="shared" si="6"/>
        <v>0</v>
      </c>
    </row>
    <row r="87">
      <c r="A87" s="962" t="str">
        <f>'План 3-я неделя'!B151</f>
        <v/>
      </c>
      <c r="B87" s="962" t="str">
        <f>'План 3-я неделя'!C151</f>
        <v/>
      </c>
      <c r="C87" s="962" t="str">
        <f>'План 3-я неделя'!D151</f>
        <v/>
      </c>
      <c r="D87" s="962" t="str">
        <f>'План 3-я неделя'!E151</f>
        <v/>
      </c>
      <c r="E87" s="2626" t="str">
        <f>'План 3-я неделя'!BL151</f>
        <v/>
      </c>
      <c r="F87" s="962" t="str">
        <f>'План 3-я неделя'!BN151</f>
        <v/>
      </c>
      <c r="G87" s="962">
        <f>'План 3-я неделя'!BP151+F87</f>
        <v>1</v>
      </c>
      <c r="H87" s="962">
        <f t="shared" si="5"/>
        <v>0</v>
      </c>
      <c r="I87" s="2598">
        <f>'План 3-я неделя'!BQ151</f>
        <v>0</v>
      </c>
      <c r="J87" s="2600">
        <f t="shared" si="6"/>
        <v>0</v>
      </c>
    </row>
    <row r="88">
      <c r="A88" s="962" t="str">
        <f>'План 3-я неделя'!B152</f>
        <v/>
      </c>
      <c r="B88" s="962" t="str">
        <f>'План 3-я неделя'!C152</f>
        <v/>
      </c>
      <c r="C88" s="962" t="str">
        <f>'План 3-я неделя'!D152</f>
        <v/>
      </c>
      <c r="D88" s="962" t="str">
        <f>'План 3-я неделя'!E152</f>
        <v/>
      </c>
      <c r="E88" s="2626" t="str">
        <f>'План 3-я неделя'!BL152</f>
        <v/>
      </c>
      <c r="F88" s="962" t="str">
        <f>'План 3-я неделя'!BN152</f>
        <v/>
      </c>
      <c r="G88" s="962">
        <f>'План 3-я неделя'!BP152+F88</f>
        <v>1</v>
      </c>
      <c r="H88" s="962">
        <f t="shared" si="5"/>
        <v>0</v>
      </c>
      <c r="I88" s="2587">
        <f>'План 3-я неделя'!BQ152</f>
        <v>0</v>
      </c>
      <c r="J88" s="2600">
        <f t="shared" si="6"/>
        <v>0</v>
      </c>
    </row>
    <row r="89">
      <c r="A89" s="962" t="str">
        <f>'План 3-я неделя'!B153</f>
        <v/>
      </c>
      <c r="B89" s="962" t="str">
        <f>'План 3-я неделя'!C153</f>
        <v/>
      </c>
      <c r="C89" s="962" t="str">
        <f>'План 3-я неделя'!D153</f>
        <v/>
      </c>
      <c r="D89" s="962" t="str">
        <f>'План 3-я неделя'!E153</f>
        <v/>
      </c>
      <c r="E89" s="2626" t="str">
        <f>'План 3-я неделя'!BL153</f>
        <v/>
      </c>
      <c r="F89" s="962" t="str">
        <f>'План 3-я неделя'!BN153</f>
        <v/>
      </c>
      <c r="G89" s="962">
        <f>'План 3-я неделя'!BP153+F89</f>
        <v>1</v>
      </c>
      <c r="H89" s="962">
        <f t="shared" si="5"/>
        <v>0</v>
      </c>
      <c r="I89" s="2587">
        <f>'План 3-я неделя'!BQ153</f>
        <v>0</v>
      </c>
      <c r="J89" s="2600">
        <f t="shared" si="6"/>
        <v>0</v>
      </c>
    </row>
    <row r="90">
      <c r="A90" s="962" t="str">
        <f>'План 3-я неделя'!B154</f>
        <v/>
      </c>
      <c r="B90" s="962" t="str">
        <f>'План 3-я неделя'!C154</f>
        <v/>
      </c>
      <c r="C90" s="962" t="str">
        <f>'План 3-я неделя'!D154</f>
        <v/>
      </c>
      <c r="D90" s="962" t="str">
        <f>'План 3-я неделя'!E154</f>
        <v/>
      </c>
      <c r="E90" s="2626" t="str">
        <f>'План 3-я неделя'!BL154</f>
        <v/>
      </c>
      <c r="F90" s="962" t="str">
        <f>'План 3-я неделя'!BN154</f>
        <v/>
      </c>
      <c r="G90" s="962">
        <f>'План 3-я неделя'!BP154+F90</f>
        <v>1</v>
      </c>
      <c r="H90" s="962">
        <f t="shared" si="5"/>
        <v>0</v>
      </c>
      <c r="I90" s="2587">
        <f>'План 3-я неделя'!BQ154</f>
        <v>0</v>
      </c>
      <c r="J90" s="2600">
        <f t="shared" si="6"/>
        <v>0</v>
      </c>
    </row>
    <row r="91">
      <c r="I91" s="2570"/>
      <c r="J91" s="2599"/>
    </row>
    <row r="92">
      <c r="A92" s="2605" t="str">
        <f>'План 3-я неделя'!A190</f>
        <v>Дата:  </v>
      </c>
      <c r="B92" s="2606">
        <f>'План 3-я неделя'!D190</f>
        <v>46246</v>
      </c>
      <c r="C92" s="2605"/>
      <c r="D92" s="2605" t="str">
        <f>'План 3-я неделя'!E190</f>
        <v>План на день кухня        СРЕДА</v>
      </c>
      <c r="H92" s="1346" t="str">
        <f>SUM(H94:H120)</f>
        <v>#VALUE!</v>
      </c>
      <c r="I92" s="2570"/>
      <c r="J92" s="2572">
        <f>SUM(J94:J120)</f>
        <v>327937</v>
      </c>
      <c r="K92" s="1191" t="str">
        <f>J92-H92</f>
        <v>#VALUE!</v>
      </c>
      <c r="L92" s="2574" t="s">
        <v>1283</v>
      </c>
      <c r="M92" s="2574" t="s">
        <v>1428</v>
      </c>
      <c r="N92" s="2574" t="s">
        <v>3415</v>
      </c>
      <c r="O92" s="2574" t="s">
        <v>3416</v>
      </c>
      <c r="R92" s="2574" t="s">
        <v>1283</v>
      </c>
      <c r="S92" s="2574" t="s">
        <v>3283</v>
      </c>
      <c r="T92" s="2574" t="s">
        <v>3417</v>
      </c>
    </row>
    <row r="93">
      <c r="A93" s="2575" t="str">
        <f>'План 3-я неделя'!B191</f>
        <v>Код</v>
      </c>
      <c r="B93" s="2575" t="str">
        <f>'План 3-я неделя'!C191</f>
        <v>Цена</v>
      </c>
      <c r="C93" s="2575" t="str">
        <f>'План 3-я неделя'!D191</f>
        <v>Категория</v>
      </c>
      <c r="D93" s="2575" t="str">
        <f>'План 3-я неделя'!E191</f>
        <v>Название блюда</v>
      </c>
      <c r="E93" s="2576" t="str">
        <f>'План 3-я неделя'!BL191</f>
        <v>ТСПК</v>
      </c>
      <c r="F93" s="2165" t="s">
        <v>3090</v>
      </c>
      <c r="G93" s="2165" t="s">
        <v>3421</v>
      </c>
      <c r="H93" s="2165" t="s">
        <v>3422</v>
      </c>
      <c r="I93" s="2578" t="s">
        <v>3424</v>
      </c>
      <c r="J93" s="2578" t="s">
        <v>3425</v>
      </c>
      <c r="L93" s="2611"/>
      <c r="M93" s="2627"/>
      <c r="N93" s="2611"/>
      <c r="O93" s="2611"/>
      <c r="R93" s="145">
        <v>380.0</v>
      </c>
      <c r="S93" s="1268" t="s">
        <v>323</v>
      </c>
      <c r="T93" s="1268" t="s">
        <v>3436</v>
      </c>
    </row>
    <row r="94">
      <c r="A94" s="962">
        <f>'План 3-я неделя'!B192</f>
        <v>3641</v>
      </c>
      <c r="B94" s="962">
        <f>'План 3-я неделя'!C192</f>
        <v>98</v>
      </c>
      <c r="C94" s="962" t="str">
        <f>'План 3-я неделя'!D192</f>
        <v>Завтрак</v>
      </c>
      <c r="D94" s="962" t="str">
        <f>'План 3-я неделя'!E192</f>
        <v>Панкейки с домашним вареньем</v>
      </c>
      <c r="E94" s="2576" t="str">
        <f>'План 3-я неделя'!BL192</f>
        <v/>
      </c>
      <c r="F94" s="962" t="str">
        <f>'План 3-я неделя'!BN192</f>
        <v/>
      </c>
      <c r="G94" s="962">
        <f>'План 3-я неделя'!BP192+F94</f>
        <v>109</v>
      </c>
      <c r="H94" s="962">
        <f t="shared" ref="H94:H121" si="7">B94*G94</f>
        <v>10682</v>
      </c>
      <c r="I94" s="2587">
        <f>'План 3-я неделя'!BQ192</f>
        <v>108</v>
      </c>
      <c r="J94" s="2600">
        <f t="shared" ref="J94:J121" si="8">B94*I94</f>
        <v>10584</v>
      </c>
      <c r="R94" s="145">
        <v>385.0</v>
      </c>
      <c r="S94" s="1268" t="s">
        <v>86</v>
      </c>
      <c r="T94" s="1268" t="s">
        <v>3436</v>
      </c>
    </row>
    <row r="95">
      <c r="A95" s="962">
        <f>'План 3-я неделя'!B193</f>
        <v>1922</v>
      </c>
      <c r="B95" s="962">
        <f>'План 3-я неделя'!C193</f>
        <v>120</v>
      </c>
      <c r="C95" s="962" t="str">
        <f>'План 3-я неделя'!D193</f>
        <v>Завтрак</v>
      </c>
      <c r="D95" s="962" t="str">
        <f>'План 3-я неделя'!E193</f>
        <v>Блины фаршированные сочной курочкой</v>
      </c>
      <c r="E95" s="2576" t="str">
        <f>'План 3-я неделя'!BL193</f>
        <v/>
      </c>
      <c r="F95" s="962" t="str">
        <f>'План 3-я неделя'!BN193</f>
        <v/>
      </c>
      <c r="G95" s="962">
        <f>'План 3-я неделя'!BP193+F95</f>
        <v>144</v>
      </c>
      <c r="H95" s="962">
        <f t="shared" si="7"/>
        <v>17280</v>
      </c>
      <c r="I95" s="2587">
        <f>'План 3-я неделя'!BQ193</f>
        <v>144</v>
      </c>
      <c r="J95" s="2600">
        <f t="shared" si="8"/>
        <v>17280</v>
      </c>
      <c r="L95" s="2574" t="s">
        <v>1283</v>
      </c>
      <c r="M95" s="2574" t="s">
        <v>1430</v>
      </c>
      <c r="N95" s="2574" t="s">
        <v>3415</v>
      </c>
      <c r="O95" s="2574" t="s">
        <v>3416</v>
      </c>
      <c r="R95" s="145">
        <v>1151.0</v>
      </c>
      <c r="S95" s="1268" t="s">
        <v>359</v>
      </c>
      <c r="T95" s="1268" t="s">
        <v>1437</v>
      </c>
    </row>
    <row r="96">
      <c r="A96" s="962">
        <f>'План 3-я неделя'!B194</f>
        <v>385</v>
      </c>
      <c r="B96" s="962">
        <f>'План 3-я неделя'!C194</f>
        <v>83</v>
      </c>
      <c r="C96" s="962" t="str">
        <f>'План 3-я неделя'!D194</f>
        <v>Завтрак</v>
      </c>
      <c r="D96" s="962" t="str">
        <f>'План 3-я неделя'!E194</f>
        <v>Омлет воздушный</v>
      </c>
      <c r="E96" s="2576" t="str">
        <f>'План 3-я неделя'!BL194</f>
        <v/>
      </c>
      <c r="F96" s="962">
        <f>'План 3-я неделя'!BN194</f>
        <v>10</v>
      </c>
      <c r="G96" s="962">
        <f>'План 3-я неделя'!BP194+F96</f>
        <v>108</v>
      </c>
      <c r="H96" s="962">
        <f t="shared" si="7"/>
        <v>8964</v>
      </c>
      <c r="I96" s="2587">
        <f>'План 3-я неделя'!BQ194</f>
        <v>107</v>
      </c>
      <c r="J96" s="2600">
        <f t="shared" si="8"/>
        <v>8881</v>
      </c>
      <c r="L96" s="145">
        <v>2247.0</v>
      </c>
      <c r="M96" s="1268" t="s">
        <v>1441</v>
      </c>
      <c r="N96" s="145">
        <v>20.4</v>
      </c>
      <c r="O96" s="145" t="s">
        <v>3429</v>
      </c>
      <c r="R96" s="145">
        <v>1873.0</v>
      </c>
      <c r="S96" s="1268" t="s">
        <v>343</v>
      </c>
      <c r="T96" s="1268" t="s">
        <v>1437</v>
      </c>
    </row>
    <row r="97">
      <c r="A97" s="962">
        <f>'План 3-я неделя'!B195</f>
        <v>3316</v>
      </c>
      <c r="B97" s="962">
        <f>'План 3-я неделя'!C195</f>
        <v>98</v>
      </c>
      <c r="C97" s="962" t="str">
        <f>'План 3-я неделя'!D195</f>
        <v>Салат</v>
      </c>
      <c r="D97" s="962" t="str">
        <f>'План 3-я неделя'!E195</f>
        <v>Салат ''Витаминный с крабом'' 120 г</v>
      </c>
      <c r="E97" s="2576">
        <f>'План 3-я неделя'!BL195</f>
        <v>30</v>
      </c>
      <c r="F97" s="962">
        <f>'План 3-я неделя'!BN195</f>
        <v>10</v>
      </c>
      <c r="G97" s="962">
        <f>'План 3-я неделя'!BP195+F97</f>
        <v>137</v>
      </c>
      <c r="H97" s="962">
        <f t="shared" si="7"/>
        <v>13426</v>
      </c>
      <c r="I97" s="2587">
        <f>'План 3-я неделя'!BQ195</f>
        <v>126</v>
      </c>
      <c r="J97" s="2600">
        <f t="shared" si="8"/>
        <v>12348</v>
      </c>
      <c r="L97" s="145">
        <v>2248.0</v>
      </c>
      <c r="M97" s="1268" t="s">
        <v>1461</v>
      </c>
      <c r="N97" s="145">
        <v>19.95</v>
      </c>
      <c r="O97" s="145" t="s">
        <v>3429</v>
      </c>
      <c r="R97" s="145">
        <v>1922.0</v>
      </c>
      <c r="S97" s="1268" t="s">
        <v>963</v>
      </c>
      <c r="T97" s="1268" t="s">
        <v>3436</v>
      </c>
    </row>
    <row r="98">
      <c r="A98" s="962">
        <f>'План 3-я неделя'!B196</f>
        <v>4053</v>
      </c>
      <c r="B98" s="962">
        <f>'План 3-я неделя'!C196</f>
        <v>98</v>
      </c>
      <c r="C98" s="962" t="str">
        <f>'План 3-я неделя'!D196</f>
        <v>Салат</v>
      </c>
      <c r="D98" s="962" t="str">
        <f>'План 3-я неделя'!E196</f>
        <v>Салат "Арлекино" (колбаса вар.)</v>
      </c>
      <c r="E98" s="2576">
        <f>'План 3-я неделя'!BL196</f>
        <v>50</v>
      </c>
      <c r="F98" s="962" t="str">
        <f>'План 3-я неделя'!BN196</f>
        <v/>
      </c>
      <c r="G98" s="962">
        <f>'План 3-я неделя'!BP196+F98</f>
        <v>104</v>
      </c>
      <c r="H98" s="962">
        <f t="shared" si="7"/>
        <v>10192</v>
      </c>
      <c r="I98" s="2587">
        <f>'План 3-я неделя'!BQ196</f>
        <v>111</v>
      </c>
      <c r="J98" s="2600">
        <f t="shared" si="8"/>
        <v>10878</v>
      </c>
      <c r="L98" s="145">
        <v>2263.0</v>
      </c>
      <c r="M98" s="1268" t="s">
        <v>1436</v>
      </c>
      <c r="N98" s="145">
        <v>35.6</v>
      </c>
      <c r="O98" s="145" t="s">
        <v>3429</v>
      </c>
      <c r="R98" s="145">
        <v>2079.0</v>
      </c>
      <c r="S98" s="1268" t="s">
        <v>361</v>
      </c>
      <c r="T98" s="1268" t="s">
        <v>3436</v>
      </c>
    </row>
    <row r="99">
      <c r="A99" s="962">
        <f>'План 3-я неделя'!B197</f>
        <v>4055</v>
      </c>
      <c r="B99" s="962">
        <f>'План 3-я неделя'!C197</f>
        <v>98</v>
      </c>
      <c r="C99" s="962" t="str">
        <f>'План 3-я неделя'!D197</f>
        <v>Салат</v>
      </c>
      <c r="D99" s="962" t="str">
        <f>'План 3-я неделя'!E197</f>
        <v>Салат "Чикаго" (кура копченая)</v>
      </c>
      <c r="E99" s="2576">
        <f>'План 3-я неделя'!BL197</f>
        <v>50</v>
      </c>
      <c r="F99" s="962" t="str">
        <f>'План 3-я неделя'!BN197</f>
        <v/>
      </c>
      <c r="G99" s="962">
        <f>'План 3-я неделя'!BP197+F99</f>
        <v>136</v>
      </c>
      <c r="H99" s="962">
        <f t="shared" si="7"/>
        <v>13328</v>
      </c>
      <c r="I99" s="2587">
        <f>'План 3-я неделя'!BQ197</f>
        <v>135</v>
      </c>
      <c r="J99" s="2600">
        <f t="shared" si="8"/>
        <v>13230</v>
      </c>
      <c r="L99" s="145">
        <v>2278.0</v>
      </c>
      <c r="M99" s="1268" t="s">
        <v>1439</v>
      </c>
      <c r="N99" s="145">
        <v>25.4</v>
      </c>
      <c r="O99" s="145" t="s">
        <v>3429</v>
      </c>
      <c r="R99" s="145">
        <v>2904.0</v>
      </c>
      <c r="S99" s="1268" t="s">
        <v>420</v>
      </c>
      <c r="T99" s="1268" t="s">
        <v>3436</v>
      </c>
    </row>
    <row r="100">
      <c r="A100" s="962">
        <f>'План 3-я неделя'!B198</f>
        <v>3810</v>
      </c>
      <c r="B100" s="962">
        <f>'План 3-я неделя'!C198</f>
        <v>251</v>
      </c>
      <c r="C100" s="962" t="str">
        <f>'План 3-я неделя'!D198</f>
        <v>Салат</v>
      </c>
      <c r="D100" s="962" t="str">
        <f>'План 3-я неделя'!E198</f>
        <v>Боул с курицей терияки и фунчозой </v>
      </c>
      <c r="E100" s="2576" t="str">
        <f>'План 3-я неделя'!BL198</f>
        <v/>
      </c>
      <c r="F100" s="962" t="str">
        <f>'План 3-я неделя'!BN198</f>
        <v/>
      </c>
      <c r="G100" s="962">
        <f>'План 3-я неделя'!BP198+F100</f>
        <v>100</v>
      </c>
      <c r="H100" s="962">
        <f t="shared" si="7"/>
        <v>25100</v>
      </c>
      <c r="I100" s="2587">
        <f>'План 3-я неделя'!BQ198</f>
        <v>99</v>
      </c>
      <c r="J100" s="2600">
        <f t="shared" si="8"/>
        <v>24849</v>
      </c>
      <c r="L100" s="145">
        <v>2640.0</v>
      </c>
      <c r="M100" s="1268" t="s">
        <v>1530</v>
      </c>
      <c r="N100" s="2593">
        <v>22.0</v>
      </c>
      <c r="O100" s="145" t="s">
        <v>3429</v>
      </c>
      <c r="R100" s="145">
        <v>3306.0</v>
      </c>
      <c r="S100" s="1268" t="s">
        <v>455</v>
      </c>
      <c r="T100" s="1268" t="s">
        <v>1437</v>
      </c>
    </row>
    <row r="101">
      <c r="A101" s="962">
        <f>'План 3-я неделя'!B199</f>
        <v>380</v>
      </c>
      <c r="B101" s="962">
        <f>'План 3-я неделя'!C199</f>
        <v>114</v>
      </c>
      <c r="C101" s="962" t="str">
        <f>'План 3-я неделя'!D199</f>
        <v>Суп</v>
      </c>
      <c r="D101" s="962" t="str">
        <f>'План 3-я неделя'!E199</f>
        <v>Солянка</v>
      </c>
      <c r="E101" s="2576">
        <f>'План 3-я неделя'!BL199</f>
        <v>110</v>
      </c>
      <c r="F101" s="962">
        <f>'План 3-я неделя'!BN199</f>
        <v>10</v>
      </c>
      <c r="G101" s="962">
        <f>'План 3-я неделя'!BP199+F101</f>
        <v>121</v>
      </c>
      <c r="H101" s="962">
        <f t="shared" si="7"/>
        <v>13794</v>
      </c>
      <c r="I101" s="2587">
        <f>'План 3-я неделя'!BQ199</f>
        <v>110</v>
      </c>
      <c r="J101" s="2600">
        <f t="shared" si="8"/>
        <v>12540</v>
      </c>
      <c r="R101" s="145">
        <v>3316.0</v>
      </c>
      <c r="S101" s="1268" t="s">
        <v>1155</v>
      </c>
      <c r="T101" s="1268" t="s">
        <v>3436</v>
      </c>
    </row>
    <row r="102">
      <c r="A102" s="962">
        <f>'План 3-я неделя'!B200</f>
        <v>4274</v>
      </c>
      <c r="B102" s="962">
        <f>'План 3-я неделя'!C200</f>
        <v>139</v>
      </c>
      <c r="C102" s="962" t="str">
        <f>'План 3-я неделя'!D200</f>
        <v>Суп</v>
      </c>
      <c r="D102" s="962" t="str">
        <f>'План 3-я неделя'!E200</f>
        <v>Крем-суп из брокколи</v>
      </c>
      <c r="E102" s="2576" t="str">
        <f>'План 3-я неделя'!BL200</f>
        <v/>
      </c>
      <c r="F102" s="962" t="str">
        <f>'План 3-я неделя'!BN200</f>
        <v/>
      </c>
      <c r="G102" s="962">
        <f>'План 3-я неделя'!BP200+F102</f>
        <v>41</v>
      </c>
      <c r="H102" s="962">
        <f t="shared" si="7"/>
        <v>5699</v>
      </c>
      <c r="I102" s="2587">
        <f>'План 3-я неделя'!BQ200</f>
        <v>40</v>
      </c>
      <c r="J102" s="2600">
        <f t="shared" si="8"/>
        <v>5560</v>
      </c>
      <c r="R102" s="145">
        <v>3454.0</v>
      </c>
      <c r="S102" s="1268" t="s">
        <v>346</v>
      </c>
      <c r="T102" s="1268" t="s">
        <v>3436</v>
      </c>
    </row>
    <row r="103">
      <c r="A103" s="962">
        <f>'План 3-я неделя'!B201</f>
        <v>3612</v>
      </c>
      <c r="B103" s="962">
        <f>'План 3-я неделя'!C201</f>
        <v>210</v>
      </c>
      <c r="C103" s="962" t="str">
        <f>'План 3-я неделя'!D201</f>
        <v>Второе</v>
      </c>
      <c r="D103" s="962" t="str">
        <f>'План 3-я неделя'!E201</f>
        <v>Курочка в сливочном соусе с макаронами</v>
      </c>
      <c r="E103" s="2576" t="str">
        <f>'План 3-я неделя'!BL201</f>
        <v/>
      </c>
      <c r="F103" s="962" t="str">
        <f>'План 3-я неделя'!BN201</f>
        <v/>
      </c>
      <c r="G103" s="2602">
        <f>'План 3-я неделя'!BP201+F103</f>
        <v>100</v>
      </c>
      <c r="H103" s="962">
        <f t="shared" si="7"/>
        <v>21000</v>
      </c>
      <c r="I103" s="2598">
        <f>'План 3-я неделя'!BQ201</f>
        <v>99</v>
      </c>
      <c r="J103" s="2600">
        <f t="shared" si="8"/>
        <v>20790</v>
      </c>
      <c r="R103" s="145">
        <v>3515.0</v>
      </c>
      <c r="S103" s="1268" t="s">
        <v>536</v>
      </c>
      <c r="T103" s="1268" t="s">
        <v>1437</v>
      </c>
    </row>
    <row r="104">
      <c r="A104" s="962">
        <f>'План 3-я неделя'!B202</f>
        <v>1873</v>
      </c>
      <c r="B104" s="962">
        <f>'План 3-я неделя'!C202</f>
        <v>221</v>
      </c>
      <c r="C104" s="962" t="str">
        <f>'План 3-я неделя'!D202</f>
        <v>Второе</v>
      </c>
      <c r="D104" s="962" t="str">
        <f>'План 3-я неделя'!E202</f>
        <v>Колбаса ''Баварская'' с пюре и тушеной капустой</v>
      </c>
      <c r="E104" s="2576" t="str">
        <f>'План 3-я неделя'!BL202</f>
        <v/>
      </c>
      <c r="F104" s="962">
        <f>'План 3-я неделя'!BN202</f>
        <v>10</v>
      </c>
      <c r="G104" s="962">
        <f>'План 3-я неделя'!BP202+F104</f>
        <v>106</v>
      </c>
      <c r="H104" s="962">
        <f t="shared" si="7"/>
        <v>23426</v>
      </c>
      <c r="I104" s="2587">
        <f>'План 3-я неделя'!BQ202</f>
        <v>95</v>
      </c>
      <c r="J104" s="2600">
        <f t="shared" si="8"/>
        <v>20995</v>
      </c>
      <c r="R104" s="145">
        <v>3527.0</v>
      </c>
      <c r="S104" s="1268" t="s">
        <v>329</v>
      </c>
      <c r="T104" s="1268" t="s">
        <v>3436</v>
      </c>
    </row>
    <row r="105">
      <c r="A105" s="962">
        <f>'План 3-я неделя'!B203</f>
        <v>1151</v>
      </c>
      <c r="B105" s="962">
        <f>'План 3-я неделя'!C203</f>
        <v>198</v>
      </c>
      <c r="C105" s="962" t="str">
        <f>'План 3-я неделя'!D203</f>
        <v>Второе</v>
      </c>
      <c r="D105" s="962" t="str">
        <f>'План 3-я неделя'!E203</f>
        <v>Тефтели куриные с гречкой</v>
      </c>
      <c r="E105" s="2576">
        <f>'План 3-я неделя'!BL203</f>
        <v>80</v>
      </c>
      <c r="F105" s="962">
        <f>'План 3-я неделя'!BN203</f>
        <v>10</v>
      </c>
      <c r="G105" s="962">
        <f>'План 3-я неделя'!BP203+F105</f>
        <v>159</v>
      </c>
      <c r="H105" s="962">
        <f t="shared" si="7"/>
        <v>31482</v>
      </c>
      <c r="I105" s="2587">
        <f>'План 3-я неделя'!BQ203</f>
        <v>148</v>
      </c>
      <c r="J105" s="2600">
        <f t="shared" si="8"/>
        <v>29304</v>
      </c>
      <c r="R105" s="145">
        <v>3612.0</v>
      </c>
      <c r="S105" s="1268" t="s">
        <v>598</v>
      </c>
      <c r="T105" s="1268" t="s">
        <v>1437</v>
      </c>
    </row>
    <row r="106">
      <c r="A106" s="962">
        <f>'План 3-я неделя'!B204</f>
        <v>3517</v>
      </c>
      <c r="B106" s="962">
        <f>'План 3-я неделя'!C204</f>
        <v>215</v>
      </c>
      <c r="C106" s="962" t="str">
        <f>'План 3-я неделя'!D204</f>
        <v>Второе</v>
      </c>
      <c r="D106" s="962" t="str">
        <f>'План 3-я неделя'!E204</f>
        <v>Тилапия в соусе сальса с рисом</v>
      </c>
      <c r="E106" s="2576">
        <f>'План 3-я неделя'!BL204</f>
        <v>25</v>
      </c>
      <c r="F106" s="962">
        <f>'План 3-я неделя'!BN204</f>
        <v>10</v>
      </c>
      <c r="G106" s="962">
        <f>'План 3-я неделя'!BP204+F106</f>
        <v>88</v>
      </c>
      <c r="H106" s="962">
        <f t="shared" si="7"/>
        <v>18920</v>
      </c>
      <c r="I106" s="2587">
        <f>'План 3-я неделя'!BQ204</f>
        <v>77</v>
      </c>
      <c r="J106" s="2600">
        <f t="shared" si="8"/>
        <v>16555</v>
      </c>
      <c r="R106" s="145">
        <v>3998.0</v>
      </c>
      <c r="S106" s="1268" t="s">
        <v>1039</v>
      </c>
      <c r="T106" s="1268" t="s">
        <v>3463</v>
      </c>
    </row>
    <row r="107">
      <c r="A107" s="962">
        <f>'План 3-я неделя'!B205</f>
        <v>4032</v>
      </c>
      <c r="B107" s="962">
        <f>'План 3-я неделя'!C205</f>
        <v>238</v>
      </c>
      <c r="C107" s="962" t="str">
        <f>'План 3-я неделя'!D205</f>
        <v>Премиум</v>
      </c>
      <c r="D107" s="962" t="str">
        <f>'План 3-я неделя'!E205</f>
        <v>Печень по-царски со сливочным пюре</v>
      </c>
      <c r="E107" s="2576" t="str">
        <f>'План 3-я неделя'!BL205</f>
        <v/>
      </c>
      <c r="F107" s="962" t="str">
        <f>'План 3-я неделя'!BN205</f>
        <v/>
      </c>
      <c r="G107" s="962">
        <f>'План 3-я неделя'!BP205+F107</f>
        <v>74</v>
      </c>
      <c r="H107" s="962">
        <f t="shared" si="7"/>
        <v>17612</v>
      </c>
      <c r="I107" s="2587">
        <f>'План 3-я неделя'!BQ205</f>
        <v>81</v>
      </c>
      <c r="J107" s="2600">
        <f t="shared" si="8"/>
        <v>19278</v>
      </c>
      <c r="R107" s="145">
        <v>4032.0</v>
      </c>
      <c r="S107" s="1268" t="s">
        <v>375</v>
      </c>
      <c r="T107" s="1268" t="s">
        <v>3463</v>
      </c>
    </row>
    <row r="108">
      <c r="A108" s="962">
        <f>'План 3-я неделя'!B206</f>
        <v>4120</v>
      </c>
      <c r="B108" s="962">
        <f>'План 3-я неделя'!C206</f>
        <v>212</v>
      </c>
      <c r="C108" s="962" t="str">
        <f>'План 3-я неделя'!D206</f>
        <v>Второе</v>
      </c>
      <c r="D108" s="962" t="str">
        <f>'План 3-я неделя'!E206</f>
        <v>Курочка в сливочном соусе со спагетти</v>
      </c>
      <c r="E108" s="2576">
        <f>'План 3-я неделя'!BL206</f>
        <v>25</v>
      </c>
      <c r="F108" s="962" t="str">
        <f>'План 3-я неделя'!BN206</f>
        <v/>
      </c>
      <c r="G108" s="962">
        <f>'План 3-я неделя'!BP206+F108</f>
        <v>26</v>
      </c>
      <c r="H108" s="962">
        <f t="shared" si="7"/>
        <v>5512</v>
      </c>
      <c r="I108" s="2587">
        <f>'План 3-я неделя'!BQ206</f>
        <v>25</v>
      </c>
      <c r="J108" s="2600">
        <f t="shared" si="8"/>
        <v>5300</v>
      </c>
      <c r="R108" s="145">
        <v>4045.0</v>
      </c>
      <c r="S108" s="1268" t="s">
        <v>320</v>
      </c>
      <c r="T108" s="1268" t="s">
        <v>3463</v>
      </c>
    </row>
    <row r="109">
      <c r="A109" s="962">
        <f>'План 3-я неделя'!B207</f>
        <v>3527</v>
      </c>
      <c r="B109" s="962">
        <f>'План 3-я неделя'!C207</f>
        <v>96</v>
      </c>
      <c r="C109" s="962" t="str">
        <f>'План 3-я неделя'!D207</f>
        <v>Выпечка</v>
      </c>
      <c r="D109" s="962" t="str">
        <f>'План 3-я неделя'!E207</f>
        <v>Хачапури 100 гр</v>
      </c>
      <c r="E109" s="2576">
        <f>'План 3-я неделя'!BL207</f>
        <v>11</v>
      </c>
      <c r="F109" s="962" t="str">
        <f>'План 3-я неделя'!BN207</f>
        <v/>
      </c>
      <c r="G109" s="962">
        <f>'План 3-я неделя'!BP207+F109</f>
        <v>12</v>
      </c>
      <c r="H109" s="962">
        <f t="shared" si="7"/>
        <v>1152</v>
      </c>
      <c r="I109" s="2587">
        <f>'План 3-я неделя'!BQ207</f>
        <v>12</v>
      </c>
      <c r="J109" s="2600">
        <f t="shared" si="8"/>
        <v>1152</v>
      </c>
      <c r="O109" s="2579"/>
      <c r="R109" s="145">
        <v>4053.0</v>
      </c>
      <c r="S109" s="1268" t="s">
        <v>337</v>
      </c>
      <c r="T109" s="1268" t="s">
        <v>3463</v>
      </c>
    </row>
    <row r="110">
      <c r="A110" s="962">
        <f>'План 3-я неделя'!B208</f>
        <v>3454</v>
      </c>
      <c r="B110" s="962">
        <f>'План 3-я неделя'!C208</f>
        <v>67</v>
      </c>
      <c r="C110" s="962" t="str">
        <f>'План 3-я неделя'!D208</f>
        <v>Выпечка</v>
      </c>
      <c r="D110" s="962" t="str">
        <f>'План 3-я неделя'!E208</f>
        <v>Рулетик с корицей 100 гр</v>
      </c>
      <c r="E110" s="2576">
        <f>'План 3-я неделя'!BL208</f>
        <v>12</v>
      </c>
      <c r="F110" s="962" t="str">
        <f>'План 3-я неделя'!BN208</f>
        <v/>
      </c>
      <c r="G110" s="962">
        <f>'План 3-я неделя'!BP208+F110</f>
        <v>13</v>
      </c>
      <c r="H110" s="962">
        <f t="shared" si="7"/>
        <v>871</v>
      </c>
      <c r="I110" s="2587">
        <f>'План 3-я неделя'!BQ208</f>
        <v>10</v>
      </c>
      <c r="J110" s="2600">
        <f t="shared" si="8"/>
        <v>670</v>
      </c>
      <c r="R110" s="145">
        <v>4055.0</v>
      </c>
      <c r="S110" s="1268" t="s">
        <v>355</v>
      </c>
      <c r="T110" s="1268" t="s">
        <v>3463</v>
      </c>
    </row>
    <row r="111">
      <c r="A111" s="962">
        <f>'План 3-я неделя'!B209</f>
        <v>2079</v>
      </c>
      <c r="B111" s="962">
        <f>'План 3-я неделя'!C209</f>
        <v>105</v>
      </c>
      <c r="C111" s="962" t="str">
        <f>'План 3-я неделя'!D209</f>
        <v>Выпечка</v>
      </c>
      <c r="D111" s="962" t="str">
        <f>'План 3-я неделя'!E209</f>
        <v>Вафельная трубочка с вареной сгущенкой</v>
      </c>
      <c r="E111" s="2576" t="str">
        <f>'План 3-я неделя'!BL209</f>
        <v/>
      </c>
      <c r="F111" s="962" t="str">
        <f>'План 3-я неделя'!BN209</f>
        <v/>
      </c>
      <c r="G111" s="962">
        <f>'План 3-я неделя'!BP209+F111</f>
        <v>268</v>
      </c>
      <c r="H111" s="962">
        <f t="shared" si="7"/>
        <v>28140</v>
      </c>
      <c r="I111" s="2587">
        <f>'План 3-я неделя'!BQ209</f>
        <v>270</v>
      </c>
      <c r="J111" s="2600">
        <f t="shared" si="8"/>
        <v>28350</v>
      </c>
      <c r="R111" s="145">
        <v>4120.0</v>
      </c>
      <c r="S111" s="1268" t="s">
        <v>324</v>
      </c>
      <c r="T111" s="1268" t="s">
        <v>3463</v>
      </c>
    </row>
    <row r="112">
      <c r="A112" s="962">
        <f>'План 3-я неделя'!B210</f>
        <v>2904</v>
      </c>
      <c r="B112" s="962">
        <f>'План 3-я неделя'!C210</f>
        <v>190</v>
      </c>
      <c r="C112" s="962" t="str">
        <f>'План 3-я неделя'!D210</f>
        <v>Сэндвич</v>
      </c>
      <c r="D112" s="962" t="str">
        <f>'План 3-я неделя'!E210</f>
        <v>Ассорти сэндвич (пепперони/ветчина)</v>
      </c>
      <c r="E112" s="2576" t="str">
        <f>'План 3-я неделя'!BL210</f>
        <v/>
      </c>
      <c r="F112" s="962" t="str">
        <f>'План 3-я неделя'!BN210</f>
        <v/>
      </c>
      <c r="G112" s="962">
        <f>'План 3-я неделя'!BP210+F112</f>
        <v>126</v>
      </c>
      <c r="H112" s="962">
        <f t="shared" si="7"/>
        <v>23940</v>
      </c>
      <c r="I112" s="2587">
        <f>'План 3-я неделя'!BQ210</f>
        <v>125</v>
      </c>
      <c r="J112" s="2600">
        <f t="shared" si="8"/>
        <v>23750</v>
      </c>
      <c r="R112" s="145">
        <v>4238.0</v>
      </c>
      <c r="S112" s="1268" t="s">
        <v>831</v>
      </c>
      <c r="T112" s="1268" t="s">
        <v>3463</v>
      </c>
    </row>
    <row r="113">
      <c r="A113" s="962">
        <f>'План 3-я неделя'!B211</f>
        <v>4239</v>
      </c>
      <c r="B113" s="962">
        <f>'План 3-я неделя'!C211</f>
        <v>172</v>
      </c>
      <c r="C113" s="962" t="str">
        <f>'План 3-я неделя'!D211</f>
        <v>Сэндвич</v>
      </c>
      <c r="D113" s="962" t="str">
        <f>'План 3-я неделя'!E211</f>
        <v>Сэндвич с запеченной курочкой и соусом Релиш</v>
      </c>
      <c r="E113" s="2576" t="str">
        <f>'План 3-я неделя'!BL211</f>
        <v/>
      </c>
      <c r="F113" s="962" t="str">
        <f>'План 3-я неделя'!BN211</f>
        <v/>
      </c>
      <c r="G113" s="962">
        <f>'План 3-я неделя'!BP211+F113</f>
        <v>105</v>
      </c>
      <c r="H113" s="962">
        <f t="shared" si="7"/>
        <v>18060</v>
      </c>
      <c r="I113" s="2587">
        <f>'План 3-я неделя'!BQ211</f>
        <v>104</v>
      </c>
      <c r="J113" s="2600">
        <f t="shared" si="8"/>
        <v>17888</v>
      </c>
      <c r="R113" s="145">
        <v>4239.0</v>
      </c>
      <c r="S113" s="1268" t="s">
        <v>1213</v>
      </c>
      <c r="T113" s="1268" t="s">
        <v>3463</v>
      </c>
    </row>
    <row r="114">
      <c r="A114" s="962">
        <f>'План 3-я неделя'!B212</f>
        <v>4281</v>
      </c>
      <c r="B114" s="962">
        <f>'План 3-я неделя'!C212</f>
        <v>98</v>
      </c>
      <c r="C114" s="962" t="str">
        <f>'План 3-я неделя'!D212</f>
        <v>Япония</v>
      </c>
      <c r="D114" s="962" t="str">
        <f>'План 3-я неделя'!E212</f>
        <v>Морс клюква/вишня 0,5 л</v>
      </c>
      <c r="E114" s="2576" t="str">
        <f>'План 3-я неделя'!BL212</f>
        <v/>
      </c>
      <c r="F114" s="962" t="str">
        <f>'План 3-я неделя'!BN212</f>
        <v/>
      </c>
      <c r="G114" s="962">
        <f>'План 3-я неделя'!BP212+F114</f>
        <v>120</v>
      </c>
      <c r="H114" s="962">
        <f t="shared" si="7"/>
        <v>11760</v>
      </c>
      <c r="I114" s="2587">
        <f>'План 3-я неделя'!BQ212</f>
        <v>145</v>
      </c>
      <c r="J114" s="2600">
        <f t="shared" si="8"/>
        <v>14210</v>
      </c>
      <c r="R114" s="145">
        <v>4274.0</v>
      </c>
      <c r="S114" s="1268" t="s">
        <v>1180</v>
      </c>
      <c r="T114" s="1268" t="s">
        <v>3474</v>
      </c>
    </row>
    <row r="115">
      <c r="A115" s="962">
        <f>'План 3-я неделя'!B213</f>
        <v>4238</v>
      </c>
      <c r="B115" s="962">
        <f>'План 3-я неделя'!C213</f>
        <v>226</v>
      </c>
      <c r="C115" s="962" t="str">
        <f>'План 3-я неделя'!D213</f>
        <v>Второе</v>
      </c>
      <c r="D115" s="962" t="str">
        <f>'План 3-я неделя'!E213</f>
        <v>Тефтели куриные с овощами на пару</v>
      </c>
      <c r="E115" s="2576" t="str">
        <f>'План 3-я неделя'!BL213</f>
        <v/>
      </c>
      <c r="F115" s="962" t="str">
        <f>'План 3-я неделя'!BN213</f>
        <v/>
      </c>
      <c r="G115" s="962">
        <f>'План 3-я неделя'!BP213+F115</f>
        <v>56</v>
      </c>
      <c r="H115" s="962">
        <f t="shared" si="7"/>
        <v>12656</v>
      </c>
      <c r="I115" s="2587">
        <f>'План 3-я неделя'!BQ213</f>
        <v>55</v>
      </c>
      <c r="J115" s="2600">
        <f t="shared" si="8"/>
        <v>12430</v>
      </c>
    </row>
    <row r="116">
      <c r="A116" s="962">
        <f>'План 3-я неделя'!B214</f>
        <v>822</v>
      </c>
      <c r="B116" s="962">
        <f>'План 3-я неделя'!C214</f>
        <v>5</v>
      </c>
      <c r="C116" s="962" t="str">
        <f>'План 3-я неделя'!D214</f>
        <v/>
      </c>
      <c r="D116" s="962" t="str">
        <f>'План 3-я неделя'!E214</f>
        <v>Хлеб пшеничный</v>
      </c>
      <c r="E116" s="2576">
        <f>'План 3-я неделя'!BL214</f>
        <v>120</v>
      </c>
      <c r="F116" s="962" t="str">
        <f>'План 3-я неделя'!BN214</f>
        <v> </v>
      </c>
      <c r="G116" s="962" t="str">
        <f>'План 3-я неделя'!BP214+F116</f>
        <v>#VALUE!</v>
      </c>
      <c r="H116" s="962" t="str">
        <f t="shared" si="7"/>
        <v>#VALUE!</v>
      </c>
      <c r="I116" s="2598">
        <f>'План 3-я неделя'!BQ214</f>
        <v>223</v>
      </c>
      <c r="J116" s="2600">
        <f t="shared" si="8"/>
        <v>1115</v>
      </c>
    </row>
    <row r="117">
      <c r="A117" s="962" t="str">
        <f>'План 3-я неделя'!B215</f>
        <v/>
      </c>
      <c r="B117" s="962" t="str">
        <f>'План 3-я неделя'!C215</f>
        <v/>
      </c>
      <c r="C117" s="962" t="str">
        <f>'План 3-я неделя'!D215</f>
        <v/>
      </c>
      <c r="D117" s="962" t="str">
        <f>'План 3-я неделя'!E215</f>
        <v/>
      </c>
      <c r="E117" s="2576" t="str">
        <f>'План 3-я неделя'!BL215</f>
        <v/>
      </c>
      <c r="F117" s="962" t="str">
        <f>'План 3-я неделя'!BN215</f>
        <v/>
      </c>
      <c r="G117" s="962">
        <f>'План 3-я неделя'!BP215+F117</f>
        <v>1</v>
      </c>
      <c r="H117" s="962">
        <f t="shared" si="7"/>
        <v>0</v>
      </c>
      <c r="I117" s="2587">
        <f>'План 3-я неделя'!BQ215</f>
        <v>0</v>
      </c>
      <c r="J117" s="2600">
        <f t="shared" si="8"/>
        <v>0</v>
      </c>
    </row>
    <row r="118">
      <c r="A118" s="962" t="str">
        <f>'План 3-я неделя'!B216</f>
        <v/>
      </c>
      <c r="B118" s="962" t="str">
        <f>'План 3-я неделя'!C216</f>
        <v/>
      </c>
      <c r="C118" s="962" t="str">
        <f>'План 3-я неделя'!D216</f>
        <v/>
      </c>
      <c r="D118" s="962" t="str">
        <f>'План 3-я неделя'!E216</f>
        <v/>
      </c>
      <c r="E118" s="2576" t="str">
        <f>'План 3-я неделя'!BL216</f>
        <v/>
      </c>
      <c r="F118" s="962">
        <f>'План 3-я неделя'!BN216</f>
        <v>15</v>
      </c>
      <c r="G118" s="962">
        <f>'План 3-я неделя'!BP216+F118</f>
        <v>16</v>
      </c>
      <c r="H118" s="962">
        <f t="shared" si="7"/>
        <v>0</v>
      </c>
      <c r="I118" s="2587">
        <f>'План 3-я неделя'!BQ216</f>
        <v>0</v>
      </c>
      <c r="J118" s="2600">
        <f t="shared" si="8"/>
        <v>0</v>
      </c>
    </row>
    <row r="119">
      <c r="A119" s="962" t="str">
        <f>'План 3-я неделя'!B217</f>
        <v/>
      </c>
      <c r="B119" s="962" t="str">
        <f>'План 3-я неделя'!C217</f>
        <v/>
      </c>
      <c r="C119" s="962" t="str">
        <f>'План 3-я неделя'!D217</f>
        <v/>
      </c>
      <c r="D119" s="962" t="str">
        <f>'План 3-я неделя'!E217</f>
        <v/>
      </c>
      <c r="E119" s="2576" t="str">
        <f>'План 3-я неделя'!BL217</f>
        <v/>
      </c>
      <c r="F119" s="962">
        <f>'План 3-я неделя'!BN217</f>
        <v>15</v>
      </c>
      <c r="G119" s="962">
        <f>'План 3-я неделя'!BP217+F119</f>
        <v>16</v>
      </c>
      <c r="H119" s="962">
        <f t="shared" si="7"/>
        <v>0</v>
      </c>
      <c r="I119" s="2587">
        <f>'План 3-я неделя'!BQ217</f>
        <v>0</v>
      </c>
      <c r="J119" s="2600">
        <f t="shared" si="8"/>
        <v>0</v>
      </c>
    </row>
    <row r="120">
      <c r="A120" s="962" t="str">
        <f>'План 3-я неделя'!B218</f>
        <v/>
      </c>
      <c r="B120" s="962" t="str">
        <f>'План 3-я неделя'!C218</f>
        <v/>
      </c>
      <c r="C120" s="962" t="str">
        <f>'План 3-я неделя'!D218</f>
        <v/>
      </c>
      <c r="D120" s="962" t="str">
        <f>'План 3-я неделя'!E218</f>
        <v/>
      </c>
      <c r="E120" s="2576" t="str">
        <f>'План 3-я неделя'!BL218</f>
        <v/>
      </c>
      <c r="F120" s="962">
        <f>'План 3-я неделя'!BN218</f>
        <v>15</v>
      </c>
      <c r="G120" s="962">
        <f>'План 3-я неделя'!BP218+F120</f>
        <v>16</v>
      </c>
      <c r="H120" s="962">
        <f t="shared" si="7"/>
        <v>0</v>
      </c>
      <c r="I120" s="2587">
        <f>'План 3-я неделя'!BQ218</f>
        <v>0</v>
      </c>
      <c r="J120" s="2600">
        <f t="shared" si="8"/>
        <v>0</v>
      </c>
    </row>
    <row r="121">
      <c r="A121" s="962" t="str">
        <f>'План 3-я неделя'!B219</f>
        <v/>
      </c>
      <c r="B121" s="962" t="str">
        <f>'План 3-я неделя'!C219</f>
        <v/>
      </c>
      <c r="C121" s="962" t="str">
        <f>'План 3-я неделя'!D219</f>
        <v/>
      </c>
      <c r="D121" s="962" t="str">
        <f>'План 3-я неделя'!E219</f>
        <v/>
      </c>
      <c r="E121" s="2576" t="str">
        <f>'План 3-я неделя'!BL219</f>
        <v/>
      </c>
      <c r="F121" s="962">
        <f>'План 3-я неделя'!BN219</f>
        <v>15</v>
      </c>
      <c r="G121" s="962">
        <f>'План 3-я неделя'!BP219+F121</f>
        <v>16</v>
      </c>
      <c r="H121" s="962">
        <f t="shared" si="7"/>
        <v>0</v>
      </c>
      <c r="I121" s="2587">
        <f>'План 3-я неделя'!BQ219</f>
        <v>0</v>
      </c>
      <c r="J121" s="2600">
        <f t="shared" si="8"/>
        <v>0</v>
      </c>
    </row>
    <row r="122">
      <c r="I122" s="2570"/>
      <c r="J122" s="2599"/>
    </row>
    <row r="123">
      <c r="A123" s="2607" t="str">
        <f>'План 3-я неделя'!A255</f>
        <v>Дата:</v>
      </c>
      <c r="B123" s="2628">
        <f>'План 3-я неделя'!C255</f>
        <v>46247</v>
      </c>
      <c r="C123" s="2607"/>
      <c r="D123" s="2607" t="str">
        <f>'План 3-я неделя'!E255</f>
        <v>План на день кухня      ЧЕТВЕРГ</v>
      </c>
      <c r="H123" s="1346">
        <f>SUM(H125:H148)</f>
        <v>361917</v>
      </c>
      <c r="I123" s="2570"/>
      <c r="J123" s="2572">
        <f>SUM(J125:J148)</f>
        <v>355856</v>
      </c>
      <c r="K123" s="1346">
        <f>J123-H123</f>
        <v>-6061</v>
      </c>
      <c r="L123" s="2574" t="s">
        <v>1283</v>
      </c>
      <c r="M123" s="2574" t="s">
        <v>1428</v>
      </c>
      <c r="N123" s="2574" t="s">
        <v>3415</v>
      </c>
      <c r="O123" s="2574" t="s">
        <v>3416</v>
      </c>
      <c r="R123" s="2574" t="s">
        <v>1283</v>
      </c>
      <c r="S123" s="2574" t="s">
        <v>3283</v>
      </c>
      <c r="T123" s="2574" t="s">
        <v>3417</v>
      </c>
    </row>
    <row r="124">
      <c r="A124" s="2575" t="str">
        <f>'План 3-я неделя'!B256</f>
        <v>Код</v>
      </c>
      <c r="B124" s="2575" t="str">
        <f>'План 3-я неделя'!C256</f>
        <v>Цена</v>
      </c>
      <c r="C124" s="2575" t="str">
        <f>'План 3-я неделя'!D256</f>
        <v>Категория</v>
      </c>
      <c r="D124" s="2575" t="str">
        <f>'План 3-я неделя'!E256</f>
        <v>Название блюда</v>
      </c>
      <c r="E124" s="2576" t="str">
        <f>'План 3-я неделя'!BL256</f>
        <v>ТСПК</v>
      </c>
      <c r="F124" s="2165" t="s">
        <v>3090</v>
      </c>
      <c r="G124" s="2165" t="s">
        <v>3421</v>
      </c>
      <c r="H124" s="2165" t="s">
        <v>3422</v>
      </c>
      <c r="I124" s="2578" t="s">
        <v>3424</v>
      </c>
      <c r="J124" s="2578" t="s">
        <v>3425</v>
      </c>
      <c r="L124" s="145">
        <v>2390.0</v>
      </c>
      <c r="M124" s="1268" t="s">
        <v>1963</v>
      </c>
      <c r="N124" s="145">
        <v>14.72</v>
      </c>
      <c r="O124" s="145" t="s">
        <v>3429</v>
      </c>
      <c r="R124" s="145">
        <v>3.0</v>
      </c>
      <c r="S124" s="1268" t="s">
        <v>404</v>
      </c>
      <c r="T124" s="1268" t="s">
        <v>3436</v>
      </c>
    </row>
    <row r="125">
      <c r="A125" s="962">
        <f>'План 3-я неделя'!B257</f>
        <v>2951</v>
      </c>
      <c r="B125" s="962">
        <f>'План 3-я неделя'!C257</f>
        <v>85</v>
      </c>
      <c r="C125" s="962" t="str">
        <f>'План 3-я неделя'!D257</f>
        <v>Завтрак</v>
      </c>
      <c r="D125" s="2602" t="str">
        <f>'План 3-я неделя'!E257</f>
        <v>Каша овсяная с яблоком и корицей</v>
      </c>
      <c r="E125" s="2576" t="str">
        <f>'План 3-я неделя'!BL257</f>
        <v/>
      </c>
      <c r="F125" s="962" t="str">
        <f>'План 3-я неделя'!BN257</f>
        <v/>
      </c>
      <c r="G125" s="2602">
        <f>'План 3-я неделя'!BP257+F125</f>
        <v>76</v>
      </c>
      <c r="H125" s="962">
        <f t="shared" ref="H125:H148" si="9">B125*G125</f>
        <v>6460</v>
      </c>
      <c r="I125" s="2598">
        <f>'План 3-я неделя'!BQ257</f>
        <v>75</v>
      </c>
      <c r="J125" s="2600">
        <f t="shared" ref="J125:J148" si="10">B125*I125</f>
        <v>6375</v>
      </c>
      <c r="L125" s="145">
        <v>2938.0</v>
      </c>
      <c r="M125" s="1268" t="s">
        <v>2127</v>
      </c>
      <c r="N125" s="145">
        <v>16.2</v>
      </c>
      <c r="O125" s="145" t="s">
        <v>3429</v>
      </c>
      <c r="R125" s="145">
        <v>5.0</v>
      </c>
      <c r="S125" s="1268" t="s">
        <v>387</v>
      </c>
      <c r="T125" s="1268" t="s">
        <v>3436</v>
      </c>
    </row>
    <row r="126">
      <c r="A126" s="962">
        <f>'План 3-я неделя'!B258</f>
        <v>4242</v>
      </c>
      <c r="B126" s="962">
        <f>'План 3-я неделя'!C258</f>
        <v>158</v>
      </c>
      <c r="C126" s="962" t="str">
        <f>'План 3-я неделя'!D258</f>
        <v>Завтрак</v>
      </c>
      <c r="D126" s="962" t="str">
        <f>'План 3-я неделя'!E258</f>
        <v>Яичный рулет с овощами</v>
      </c>
      <c r="E126" s="2576" t="str">
        <f>'План 3-я неделя'!BL258</f>
        <v/>
      </c>
      <c r="F126" s="962" t="str">
        <f>'План 3-я неделя'!BN258</f>
        <v/>
      </c>
      <c r="G126" s="962">
        <f>'План 3-я неделя'!BP258+F126</f>
        <v>130</v>
      </c>
      <c r="H126" s="962">
        <f t="shared" si="9"/>
        <v>20540</v>
      </c>
      <c r="I126" s="2587">
        <f>'План 3-я неделя'!BQ258</f>
        <v>119</v>
      </c>
      <c r="J126" s="2600">
        <f t="shared" si="10"/>
        <v>18802</v>
      </c>
      <c r="R126" s="145">
        <v>822.0</v>
      </c>
      <c r="S126" s="1268" t="s">
        <v>136</v>
      </c>
      <c r="T126" s="1268" t="s">
        <v>3436</v>
      </c>
    </row>
    <row r="127">
      <c r="A127" s="962">
        <f>'План 3-я неделя'!B259</f>
        <v>2769</v>
      </c>
      <c r="B127" s="962">
        <f>'План 3-я неделя'!C259</f>
        <v>158</v>
      </c>
      <c r="C127" s="962" t="str">
        <f>'План 3-я неделя'!D259</f>
        <v>Завтрак</v>
      </c>
      <c r="D127" s="962" t="str">
        <f>'План 3-я неделя'!E259</f>
        <v>Блинчики с моцареллой и зеленью</v>
      </c>
      <c r="E127" s="2576" t="str">
        <f>'План 3-я неделя'!BL259</f>
        <v/>
      </c>
      <c r="F127" s="962" t="str">
        <f>'План 3-я неделя'!BN259</f>
        <v/>
      </c>
      <c r="G127" s="962">
        <f>'План 3-я неделя'!BP259+F127</f>
        <v>176</v>
      </c>
      <c r="H127" s="962">
        <f t="shared" si="9"/>
        <v>27808</v>
      </c>
      <c r="I127" s="2587">
        <f>'План 3-я неделя'!BQ259</f>
        <v>174</v>
      </c>
      <c r="J127" s="2600">
        <f t="shared" si="10"/>
        <v>27492</v>
      </c>
      <c r="L127" s="2574" t="s">
        <v>1283</v>
      </c>
      <c r="M127" s="2574" t="s">
        <v>1430</v>
      </c>
      <c r="N127" s="2574" t="s">
        <v>3415</v>
      </c>
      <c r="O127" s="2574" t="s">
        <v>3416</v>
      </c>
      <c r="R127" s="145">
        <v>1128.0</v>
      </c>
      <c r="S127" s="1268" t="s">
        <v>961</v>
      </c>
      <c r="T127" s="1268" t="s">
        <v>3436</v>
      </c>
    </row>
    <row r="128">
      <c r="A128" s="962">
        <f>'План 3-я неделя'!B260</f>
        <v>3323</v>
      </c>
      <c r="B128" s="962">
        <f>'План 3-я неделя'!C260</f>
        <v>98</v>
      </c>
      <c r="C128" s="962" t="str">
        <f>'План 3-я неделя'!D260</f>
        <v>Салат</v>
      </c>
      <c r="D128" s="962" t="str">
        <f>'План 3-я неделя'!E260</f>
        <v>Салат ''Морковь с чесноком'' 120гр</v>
      </c>
      <c r="E128" s="2576">
        <f>'План 3-я неделя'!BL260</f>
        <v>44</v>
      </c>
      <c r="F128" s="962" t="str">
        <f>'План 3-я неделя'!BN260</f>
        <v/>
      </c>
      <c r="G128" s="962">
        <f>'План 3-я неделя'!BP260+F128</f>
        <v>165</v>
      </c>
      <c r="H128" s="962">
        <f t="shared" si="9"/>
        <v>16170</v>
      </c>
      <c r="I128" s="2598">
        <f>'План 3-я неделя'!BQ260</f>
        <v>164</v>
      </c>
      <c r="J128" s="2600">
        <f t="shared" si="10"/>
        <v>16072</v>
      </c>
      <c r="L128" s="145">
        <v>487.0</v>
      </c>
      <c r="M128" s="1268" t="s">
        <v>1443</v>
      </c>
      <c r="N128" s="145">
        <v>13.35</v>
      </c>
      <c r="O128" s="145" t="s">
        <v>3429</v>
      </c>
      <c r="R128" s="145">
        <v>1394.0</v>
      </c>
      <c r="S128" s="1268" t="s">
        <v>412</v>
      </c>
      <c r="T128" s="1268" t="s">
        <v>3436</v>
      </c>
    </row>
    <row r="129">
      <c r="A129" s="962">
        <f>'План 3-я неделя'!B261</f>
        <v>4058</v>
      </c>
      <c r="B129" s="962">
        <f>'План 3-я неделя'!C261</f>
        <v>98</v>
      </c>
      <c r="C129" s="962" t="str">
        <f>'План 3-я неделя'!D261</f>
        <v>Салат</v>
      </c>
      <c r="D129" s="962" t="str">
        <f>'План 3-я неделя'!E261</f>
        <v>Салат "Городской"(колбаса вареная)</v>
      </c>
      <c r="E129" s="2576">
        <f>'План 3-я неделя'!BL261</f>
        <v>43</v>
      </c>
      <c r="F129" s="962" t="str">
        <f>'План 3-я неделя'!BN261</f>
        <v/>
      </c>
      <c r="G129" s="962">
        <f>'План 3-я неделя'!BP261+F129</f>
        <v>176</v>
      </c>
      <c r="H129" s="962">
        <f t="shared" si="9"/>
        <v>17248</v>
      </c>
      <c r="I129" s="2598">
        <f>'План 3-я неделя'!BQ261</f>
        <v>174</v>
      </c>
      <c r="J129" s="2600">
        <f t="shared" si="10"/>
        <v>17052</v>
      </c>
      <c r="L129" s="145">
        <v>2247.0</v>
      </c>
      <c r="M129" s="1268" t="s">
        <v>1441</v>
      </c>
      <c r="N129" s="2593">
        <v>45.0</v>
      </c>
      <c r="O129" s="145" t="s">
        <v>3429</v>
      </c>
      <c r="R129" s="145">
        <v>1896.0</v>
      </c>
      <c r="S129" s="1268" t="s">
        <v>620</v>
      </c>
      <c r="T129" s="1268" t="s">
        <v>3436</v>
      </c>
    </row>
    <row r="130">
      <c r="A130" s="962">
        <f>'План 3-я неделя'!B262</f>
        <v>2706</v>
      </c>
      <c r="B130" s="962">
        <f>'План 3-я неделя'!C262</f>
        <v>98</v>
      </c>
      <c r="C130" s="962" t="str">
        <f>'План 3-я неделя'!D262</f>
        <v>Салат</v>
      </c>
      <c r="D130" s="962" t="str">
        <f>'План 3-я неделя'!E262</f>
        <v>Салат ''Фасолька'' с курицей  </v>
      </c>
      <c r="E130" s="2576">
        <f>'План 3-я неделя'!BL262</f>
        <v>43</v>
      </c>
      <c r="F130" s="962" t="str">
        <f>'План 3-я неделя'!BN262</f>
        <v/>
      </c>
      <c r="G130" s="962">
        <f>'План 3-я неделя'!BP262+F130</f>
        <v>167</v>
      </c>
      <c r="H130" s="962">
        <f t="shared" si="9"/>
        <v>16366</v>
      </c>
      <c r="I130" s="2598">
        <f>'План 3-я неделя'!BQ262</f>
        <v>166</v>
      </c>
      <c r="J130" s="2600">
        <f t="shared" si="10"/>
        <v>16268</v>
      </c>
      <c r="L130" s="145">
        <v>2263.0</v>
      </c>
      <c r="M130" s="1268" t="s">
        <v>1436</v>
      </c>
      <c r="N130" s="2593">
        <v>18.0</v>
      </c>
      <c r="O130" s="145" t="s">
        <v>3429</v>
      </c>
      <c r="R130" s="145">
        <v>2769.0</v>
      </c>
      <c r="S130" s="1268" t="s">
        <v>608</v>
      </c>
      <c r="T130" s="1268" t="s">
        <v>3436</v>
      </c>
    </row>
    <row r="131">
      <c r="A131" s="962">
        <f>'План 3-я неделя'!B263</f>
        <v>2954</v>
      </c>
      <c r="B131" s="962">
        <f>'План 3-я неделя'!C263</f>
        <v>160</v>
      </c>
      <c r="C131" s="962" t="str">
        <f>'План 3-я неделя'!D263</f>
        <v>Салат</v>
      </c>
      <c r="D131" s="962" t="str">
        <f>'План 3-я неделя'!E263</f>
        <v>Салат рыбный ''Мимоза'' 220 г</v>
      </c>
      <c r="E131" s="2576" t="str">
        <f>'План 3-я неделя'!BL263</f>
        <v/>
      </c>
      <c r="F131" s="962" t="str">
        <f>'План 3-я неделя'!BN263</f>
        <v/>
      </c>
      <c r="G131" s="962">
        <f>'План 3-я неделя'!BP263+F131</f>
        <v>91</v>
      </c>
      <c r="H131" s="962">
        <f t="shared" si="9"/>
        <v>14560</v>
      </c>
      <c r="I131" s="2598">
        <f>'План 3-я неделя'!BQ263</f>
        <v>90</v>
      </c>
      <c r="J131" s="2600">
        <f t="shared" si="10"/>
        <v>14400</v>
      </c>
      <c r="L131" s="145">
        <v>2264.0</v>
      </c>
      <c r="M131" s="1268" t="s">
        <v>1447</v>
      </c>
      <c r="N131" s="145">
        <v>20.7</v>
      </c>
      <c r="O131" s="145" t="s">
        <v>3429</v>
      </c>
      <c r="R131" s="145">
        <v>3328.0</v>
      </c>
      <c r="S131" s="1268" t="s">
        <v>398</v>
      </c>
      <c r="T131" s="1268" t="s">
        <v>1437</v>
      </c>
    </row>
    <row r="132">
      <c r="A132" s="962">
        <f>'План 3-я неделя'!B264</f>
        <v>2288</v>
      </c>
      <c r="B132" s="962">
        <f>'План 3-я неделя'!C264</f>
        <v>88</v>
      </c>
      <c r="C132" s="962" t="str">
        <f>'План 3-я неделя'!D264</f>
        <v>Суп</v>
      </c>
      <c r="D132" s="2602" t="str">
        <f>'План 3-я неделя'!E264</f>
        <v>Суп картофельный с курицей</v>
      </c>
      <c r="E132" s="2576">
        <f>'План 3-я неделя'!BL264</f>
        <v>120</v>
      </c>
      <c r="F132" s="962" t="str">
        <f>'План 3-я неделя'!BN264</f>
        <v/>
      </c>
      <c r="G132" s="962">
        <f>'План 3-я неделя'!BP264+F132</f>
        <v>121</v>
      </c>
      <c r="H132" s="962">
        <f t="shared" si="9"/>
        <v>10648</v>
      </c>
      <c r="I132" s="2587">
        <f>'План 3-я неделя'!BQ264</f>
        <v>120</v>
      </c>
      <c r="J132" s="2600">
        <f t="shared" si="10"/>
        <v>10560</v>
      </c>
      <c r="L132" s="145">
        <v>2278.0</v>
      </c>
      <c r="M132" s="1268" t="s">
        <v>1439</v>
      </c>
      <c r="N132" s="145">
        <v>6.2</v>
      </c>
      <c r="O132" s="145" t="s">
        <v>3429</v>
      </c>
      <c r="R132" s="145">
        <v>3528.0</v>
      </c>
      <c r="S132" s="1268" t="s">
        <v>463</v>
      </c>
      <c r="T132" s="1268" t="s">
        <v>3436</v>
      </c>
    </row>
    <row r="133">
      <c r="A133" s="962">
        <f>'План 3-я неделя'!B265</f>
        <v>3462</v>
      </c>
      <c r="B133" s="962">
        <f>'План 3-я неделя'!C265</f>
        <v>225</v>
      </c>
      <c r="C133" s="962" t="str">
        <f>'План 3-я неделя'!D265</f>
        <v>Второе</v>
      </c>
      <c r="D133" s="2602" t="str">
        <f>'План 3-я неделя'!E265</f>
        <v>Азу из говядины с картофельным пюре</v>
      </c>
      <c r="E133" s="2576">
        <f>'План 3-я неделя'!BL265</f>
        <v>25</v>
      </c>
      <c r="F133" s="962" t="str">
        <f>'План 3-я неделя'!BN265</f>
        <v/>
      </c>
      <c r="G133" s="2602">
        <f>'План 3-я неделя'!BP265+F133</f>
        <v>26</v>
      </c>
      <c r="H133" s="962">
        <f t="shared" si="9"/>
        <v>5850</v>
      </c>
      <c r="I133" s="2598">
        <f>'План 3-я неделя'!BQ265</f>
        <v>25</v>
      </c>
      <c r="J133" s="2600">
        <f t="shared" si="10"/>
        <v>5625</v>
      </c>
      <c r="R133" s="145">
        <v>3611.0</v>
      </c>
      <c r="S133" s="1268" t="s">
        <v>745</v>
      </c>
      <c r="T133" s="1268" t="s">
        <v>3436</v>
      </c>
    </row>
    <row r="134">
      <c r="A134" s="962">
        <f>'План 3-я неделя'!B266</f>
        <v>3361</v>
      </c>
      <c r="B134" s="962">
        <f>'План 3-я неделя'!C266</f>
        <v>205</v>
      </c>
      <c r="C134" s="962" t="str">
        <f>'План 3-я неделя'!D266</f>
        <v>Второе</v>
      </c>
      <c r="D134" s="2602" t="str">
        <f>'План 3-я неделя'!E266</f>
        <v>Азу из говядины с рисом</v>
      </c>
      <c r="E134" s="2576">
        <f>'План 3-я неделя'!BL266</f>
        <v>80</v>
      </c>
      <c r="F134" s="962" t="str">
        <f>'План 3-я неделя'!BN266</f>
        <v/>
      </c>
      <c r="G134" s="2602">
        <f>'План 3-я неделя'!BP266+F134</f>
        <v>81</v>
      </c>
      <c r="H134" s="962">
        <f t="shared" si="9"/>
        <v>16605</v>
      </c>
      <c r="I134" s="2598">
        <f>'План 3-я неделя'!BQ266</f>
        <v>80</v>
      </c>
      <c r="J134" s="2600">
        <f t="shared" si="10"/>
        <v>16400</v>
      </c>
      <c r="R134" s="145">
        <v>3643.0</v>
      </c>
      <c r="S134" s="1268" t="s">
        <v>976</v>
      </c>
      <c r="T134" s="1268" t="s">
        <v>1437</v>
      </c>
    </row>
    <row r="135">
      <c r="A135" s="962">
        <f>'План 3-я неделя'!B267</f>
        <v>3351</v>
      </c>
      <c r="B135" s="962">
        <f>'План 3-я неделя'!C267</f>
        <v>225</v>
      </c>
      <c r="C135" s="962" t="str">
        <f>'План 3-я неделя'!D267</f>
        <v>Второе</v>
      </c>
      <c r="D135" s="962" t="str">
        <f>'План 3-я неделя'!E267</f>
        <v>Азу из говядины с макаронами</v>
      </c>
      <c r="E135" s="2576">
        <f>'План 3-я неделя'!BL267</f>
        <v>25</v>
      </c>
      <c r="F135" s="962" t="str">
        <f>'План 3-я неделя'!BN267</f>
        <v/>
      </c>
      <c r="G135" s="962">
        <f>'План 3-я неделя'!BP267+F135</f>
        <v>26</v>
      </c>
      <c r="H135" s="962">
        <f t="shared" si="9"/>
        <v>5850</v>
      </c>
      <c r="I135" s="2598">
        <f>'План 3-я неделя'!BQ267</f>
        <v>25</v>
      </c>
      <c r="J135" s="2600">
        <f t="shared" si="10"/>
        <v>5625</v>
      </c>
      <c r="R135" s="145">
        <v>3651.0</v>
      </c>
      <c r="S135" s="1268" t="s">
        <v>1131</v>
      </c>
      <c r="T135" s="1268" t="s">
        <v>3436</v>
      </c>
    </row>
    <row r="136">
      <c r="A136" s="962">
        <f>'План 3-я неделя'!B268</f>
        <v>3869</v>
      </c>
      <c r="B136" s="962">
        <f>'План 3-я неделя'!C268</f>
        <v>248</v>
      </c>
      <c r="C136" s="962" t="str">
        <f>'План 3-я неделя'!D268</f>
        <v>Второе</v>
      </c>
      <c r="D136" s="962" t="str">
        <f>'План 3-я неделя'!E268</f>
        <v>Курочка гриль с овощами</v>
      </c>
      <c r="E136" s="2576" t="str">
        <f>'План 3-я неделя'!BL268</f>
        <v/>
      </c>
      <c r="F136" s="962">
        <f>'План 3-я неделя'!BN268</f>
        <v>10</v>
      </c>
      <c r="G136" s="962">
        <f>'План 3-я неделя'!BP268+F136</f>
        <v>108</v>
      </c>
      <c r="H136" s="962">
        <f t="shared" si="9"/>
        <v>26784</v>
      </c>
      <c r="I136" s="2598">
        <f>'План 3-я неделя'!BQ268</f>
        <v>97</v>
      </c>
      <c r="J136" s="2600">
        <f t="shared" si="10"/>
        <v>24056</v>
      </c>
      <c r="R136" s="145">
        <v>3668.0</v>
      </c>
      <c r="S136" s="1268" t="s">
        <v>1133</v>
      </c>
      <c r="T136" s="1268" t="s">
        <v>3436</v>
      </c>
    </row>
    <row r="137">
      <c r="A137" s="962">
        <f>'План 3-я неделя'!B269</f>
        <v>26</v>
      </c>
      <c r="B137" s="962">
        <f>'План 3-я неделя'!C269</f>
        <v>190</v>
      </c>
      <c r="C137" s="962" t="str">
        <f>'План 3-я неделя'!D269</f>
        <v>Второе</v>
      </c>
      <c r="D137" s="962" t="str">
        <f>'План 3-я неделя'!E269</f>
        <v>Плов по-узбекски с цыпленком б/250гр</v>
      </c>
      <c r="E137" s="2576" t="str">
        <f>'План 3-я неделя'!BL269</f>
        <v/>
      </c>
      <c r="F137" s="962">
        <f>'План 3-я неделя'!BN269</f>
        <v>10</v>
      </c>
      <c r="G137" s="962">
        <f>'План 3-я неделя'!BP269+F137</f>
        <v>124</v>
      </c>
      <c r="H137" s="962">
        <f t="shared" si="9"/>
        <v>23560</v>
      </c>
      <c r="I137" s="2598">
        <f>'План 3-я неделя'!BQ269</f>
        <v>113</v>
      </c>
      <c r="J137" s="2600">
        <f t="shared" si="10"/>
        <v>21470</v>
      </c>
      <c r="R137" s="145">
        <v>3814.0</v>
      </c>
      <c r="S137" s="1268" t="s">
        <v>422</v>
      </c>
      <c r="T137" s="1268" t="s">
        <v>3436</v>
      </c>
    </row>
    <row r="138">
      <c r="A138" s="962">
        <f>'План 3-я неделя'!B270</f>
        <v>2830</v>
      </c>
      <c r="B138" s="962">
        <f>'План 3-я неделя'!C270</f>
        <v>198</v>
      </c>
      <c r="C138" s="962" t="str">
        <f>'План 3-я неделя'!D270</f>
        <v>Второе</v>
      </c>
      <c r="D138" s="2602" t="str">
        <f>'План 3-я неделя'!E270</f>
        <v>Запеканка картофельная с мясом</v>
      </c>
      <c r="E138" s="2576" t="str">
        <f>'План 3-я неделя'!BL270</f>
        <v/>
      </c>
      <c r="F138" s="962">
        <f>'План 3-я неделя'!BN270</f>
        <v>10</v>
      </c>
      <c r="G138" s="2602">
        <f>'План 3-я неделя'!BP270+F138</f>
        <v>120</v>
      </c>
      <c r="H138" s="962">
        <f t="shared" si="9"/>
        <v>23760</v>
      </c>
      <c r="I138" s="2598">
        <f>'План 3-я неделя'!BQ270</f>
        <v>109</v>
      </c>
      <c r="J138" s="2600">
        <f t="shared" si="10"/>
        <v>21582</v>
      </c>
      <c r="R138" s="145">
        <v>3847.0</v>
      </c>
      <c r="S138" s="1268" t="s">
        <v>1037</v>
      </c>
      <c r="T138" s="1268" t="s">
        <v>3436</v>
      </c>
    </row>
    <row r="139">
      <c r="A139" s="962">
        <f>'План 3-я неделя'!B271</f>
        <v>657</v>
      </c>
      <c r="B139" s="962">
        <f>'План 3-я неделя'!C271</f>
        <v>212</v>
      </c>
      <c r="C139" s="962" t="str">
        <f>'План 3-я неделя'!D271</f>
        <v>Второе</v>
      </c>
      <c r="D139" s="962" t="str">
        <f>'План 3-я неделя'!E271</f>
        <v>Перец фаршированный с пюре</v>
      </c>
      <c r="E139" s="2576" t="str">
        <f>'План 3-я неделя'!BL271</f>
        <v/>
      </c>
      <c r="F139" s="962">
        <f>'План 3-я неделя'!BN271</f>
        <v>10</v>
      </c>
      <c r="G139" s="962">
        <f>'План 3-я неделя'!BP271+F139</f>
        <v>89</v>
      </c>
      <c r="H139" s="962">
        <f t="shared" si="9"/>
        <v>18868</v>
      </c>
      <c r="I139" s="2598">
        <f>'План 3-я неделя'!BQ271</f>
        <v>78</v>
      </c>
      <c r="J139" s="2600">
        <f t="shared" si="10"/>
        <v>16536</v>
      </c>
      <c r="R139" s="145">
        <v>3849.0</v>
      </c>
      <c r="S139" s="1268" t="s">
        <v>1135</v>
      </c>
      <c r="T139" s="1268" t="s">
        <v>3436</v>
      </c>
    </row>
    <row r="140">
      <c r="A140" s="962">
        <f>'План 3-я неделя'!B272</f>
        <v>113</v>
      </c>
      <c r="B140" s="962">
        <f>'План 3-я неделя'!C272</f>
        <v>212</v>
      </c>
      <c r="C140" s="962" t="str">
        <f>'План 3-я неделя'!D272</f>
        <v>Второе</v>
      </c>
      <c r="D140" s="962" t="str">
        <f>'План 3-я неделя'!E272</f>
        <v>Спагетти ''Болоньезе''</v>
      </c>
      <c r="E140" s="2576" t="str">
        <f>'План 3-я неделя'!BL272</f>
        <v/>
      </c>
      <c r="F140" s="962" t="str">
        <f>'План 3-я неделя'!BN272</f>
        <v/>
      </c>
      <c r="G140" s="962">
        <f>'План 3-я неделя'!BP272+F140</f>
        <v>128</v>
      </c>
      <c r="H140" s="962">
        <f t="shared" si="9"/>
        <v>27136</v>
      </c>
      <c r="I140" s="2587">
        <f>'План 3-я неделя'!BQ272</f>
        <v>127</v>
      </c>
      <c r="J140" s="2600">
        <f t="shared" si="10"/>
        <v>26924</v>
      </c>
    </row>
    <row r="141">
      <c r="A141" s="962">
        <f>'План 3-я неделя'!B273</f>
        <v>3528</v>
      </c>
      <c r="B141" s="962">
        <f>'План 3-я неделя'!C273</f>
        <v>56</v>
      </c>
      <c r="C141" s="962" t="str">
        <f>'План 3-я неделя'!D273</f>
        <v>Выпечка</v>
      </c>
      <c r="D141" s="962" t="str">
        <f>'План 3-я неделя'!E273</f>
        <v>Сырная палочка 80 гр</v>
      </c>
      <c r="E141" s="2576">
        <f>'План 3-я неделя'!BL273</f>
        <v>10</v>
      </c>
      <c r="F141" s="962" t="str">
        <f>'План 3-я неделя'!BN273</f>
        <v/>
      </c>
      <c r="G141" s="962">
        <f>'План 3-я неделя'!BP273+F141</f>
        <v>11</v>
      </c>
      <c r="H141" s="962">
        <f t="shared" si="9"/>
        <v>616</v>
      </c>
      <c r="I141" s="2587">
        <f>'План 3-я неделя'!BQ273</f>
        <v>15</v>
      </c>
      <c r="J141" s="2600">
        <f t="shared" si="10"/>
        <v>840</v>
      </c>
    </row>
    <row r="142">
      <c r="A142" s="962">
        <f>'План 3-я неделя'!B274</f>
        <v>3</v>
      </c>
      <c r="B142" s="962">
        <f>'План 3-я неделя'!C274</f>
        <v>172</v>
      </c>
      <c r="C142" s="962" t="str">
        <f>'План 3-я неделя'!D274</f>
        <v>Сэндвич</v>
      </c>
      <c r="D142" s="962" t="str">
        <f>'План 3-я неделя'!E274</f>
        <v>Сэндвич с курочкой и скремблом</v>
      </c>
      <c r="E142" s="2576" t="str">
        <f>'План 3-я неделя'!BL274</f>
        <v/>
      </c>
      <c r="F142" s="962" t="str">
        <f>'План 3-я неделя'!BN274</f>
        <v/>
      </c>
      <c r="G142" s="962">
        <f>'План 3-я неделя'!BP274+F142</f>
        <v>151</v>
      </c>
      <c r="H142" s="962">
        <f t="shared" si="9"/>
        <v>25972</v>
      </c>
      <c r="I142" s="2587">
        <f>'План 3-я неделя'!BQ274</f>
        <v>150</v>
      </c>
      <c r="J142" s="2600">
        <f t="shared" si="10"/>
        <v>25800</v>
      </c>
    </row>
    <row r="143">
      <c r="A143" s="962">
        <f>'План 3-я неделя'!B275</f>
        <v>2364</v>
      </c>
      <c r="B143" s="962">
        <f>'План 3-я неделя'!C275</f>
        <v>170</v>
      </c>
      <c r="C143" s="962" t="str">
        <f>'План 3-я неделя'!D275</f>
        <v>Сэндвич</v>
      </c>
      <c r="D143" s="962" t="str">
        <f>'План 3-я неделя'!E275</f>
        <v>Сэндвич с ветчиной и томатом </v>
      </c>
      <c r="E143" s="2576" t="str">
        <f>'План 3-я неделя'!BL275</f>
        <v/>
      </c>
      <c r="F143" s="962" t="str">
        <f>'План 3-я неделя'!BN275</f>
        <v/>
      </c>
      <c r="G143" s="962">
        <f>'План 3-я неделя'!BP275+F143</f>
        <v>206</v>
      </c>
      <c r="H143" s="962">
        <f t="shared" si="9"/>
        <v>35020</v>
      </c>
      <c r="I143" s="2587">
        <f>'План 3-я неделя'!BQ275</f>
        <v>205</v>
      </c>
      <c r="J143" s="2600">
        <f t="shared" si="10"/>
        <v>34850</v>
      </c>
    </row>
    <row r="144">
      <c r="A144" s="962">
        <f>'План 3-я неделя'!B276</f>
        <v>4173</v>
      </c>
      <c r="B144" s="962">
        <f>'План 3-я неделя'!C276</f>
        <v>98</v>
      </c>
      <c r="C144" s="962" t="str">
        <f>'План 3-я неделя'!D276</f>
        <v>Япония</v>
      </c>
      <c r="D144" s="962" t="str">
        <f>'План 3-я неделя'!E276</f>
        <v>Морс клюквенный 0,5 л</v>
      </c>
      <c r="E144" s="2576" t="str">
        <f>'План 3-я неделя'!BL276</f>
        <v/>
      </c>
      <c r="F144" s="962" t="str">
        <f>'План 3-я неделя'!BN276</f>
        <v/>
      </c>
      <c r="G144" s="962">
        <f>'План 3-я неделя'!BP276+F144</f>
        <v>181</v>
      </c>
      <c r="H144" s="962">
        <f t="shared" si="9"/>
        <v>17738</v>
      </c>
      <c r="I144" s="2598">
        <f>'План 3-я неделя'!BQ276</f>
        <v>144</v>
      </c>
      <c r="J144" s="2600">
        <f t="shared" si="10"/>
        <v>14112</v>
      </c>
    </row>
    <row r="145">
      <c r="A145" s="962">
        <f>'План 3-я неделя'!B277</f>
        <v>822</v>
      </c>
      <c r="B145" s="962">
        <f>'План 3-я неделя'!C277</f>
        <v>5</v>
      </c>
      <c r="C145" s="962" t="str">
        <f>'План 3-я неделя'!D277</f>
        <v>Суп</v>
      </c>
      <c r="D145" s="962" t="str">
        <f>'План 3-я неделя'!E277</f>
        <v>Хлеб пшеничный</v>
      </c>
      <c r="E145" s="2576">
        <f>'План 3-я неделя'!BL277</f>
        <v>120</v>
      </c>
      <c r="F145" s="962" t="str">
        <f>'План 3-я неделя'!BN277</f>
        <v/>
      </c>
      <c r="G145" s="962">
        <f>'План 3-я неделя'!BP277+F145</f>
        <v>260</v>
      </c>
      <c r="H145" s="962">
        <f t="shared" si="9"/>
        <v>1300</v>
      </c>
      <c r="I145" s="2598">
        <f>'План 3-я неделя'!BQ277</f>
        <v>259</v>
      </c>
      <c r="J145" s="2600">
        <f t="shared" si="10"/>
        <v>1295</v>
      </c>
    </row>
    <row r="146">
      <c r="A146" s="962">
        <f>'План 3-я неделя'!B278</f>
        <v>4281</v>
      </c>
      <c r="B146" s="962">
        <f>'План 3-я неделя'!C278</f>
        <v>98</v>
      </c>
      <c r="C146" s="962" t="str">
        <f>'План 3-я неделя'!D278</f>
        <v/>
      </c>
      <c r="D146" s="962" t="str">
        <f>'План 3-я неделя'!E278</f>
        <v>Морс клюква/вишня 0,5 л</v>
      </c>
      <c r="E146" s="2576" t="str">
        <f>'План 3-я неделя'!BL278</f>
        <v/>
      </c>
      <c r="F146" s="962">
        <f>'План 3-я неделя'!BN278</f>
        <v>10</v>
      </c>
      <c r="G146" s="962">
        <f>'План 3-я неделя'!BP278+F146</f>
        <v>11</v>
      </c>
      <c r="H146" s="962">
        <f t="shared" si="9"/>
        <v>1078</v>
      </c>
      <c r="I146" s="2598">
        <f>'План 3-я неделя'!BQ278</f>
        <v>50</v>
      </c>
      <c r="J146" s="2600">
        <f t="shared" si="10"/>
        <v>4900</v>
      </c>
    </row>
    <row r="147">
      <c r="A147" s="962">
        <f>'План 3-я неделя'!B279</f>
        <v>2077</v>
      </c>
      <c r="B147" s="962">
        <f>'План 3-я неделя'!C279</f>
        <v>180</v>
      </c>
      <c r="C147" s="962" t="str">
        <f>'План 3-я неделя'!D279</f>
        <v/>
      </c>
      <c r="D147" s="962" t="str">
        <f>'План 3-я неделя'!E279</f>
        <v>Трайфл с вишней </v>
      </c>
      <c r="E147" s="2576" t="str">
        <f>'План 3-я неделя'!BL279</f>
        <v/>
      </c>
      <c r="F147" s="962">
        <f>'План 3-я неделя'!BN279</f>
        <v>10</v>
      </c>
      <c r="G147" s="962">
        <f>'План 3-я неделя'!BP279+F147</f>
        <v>11</v>
      </c>
      <c r="H147" s="962">
        <f t="shared" si="9"/>
        <v>1980</v>
      </c>
      <c r="I147" s="2587">
        <f>'План 3-я неделя'!BQ279</f>
        <v>49</v>
      </c>
      <c r="J147" s="2600">
        <f t="shared" si="10"/>
        <v>8820</v>
      </c>
    </row>
    <row r="148">
      <c r="A148" s="962" t="str">
        <f>'План 3-я неделя'!B280</f>
        <v/>
      </c>
      <c r="B148" s="962" t="str">
        <f>'План 3-я неделя'!C280</f>
        <v/>
      </c>
      <c r="C148" s="962" t="str">
        <f>'План 3-я неделя'!D280</f>
        <v/>
      </c>
      <c r="D148" s="962" t="str">
        <f>'План 3-я неделя'!E280</f>
        <v/>
      </c>
      <c r="E148" s="2576" t="str">
        <f>'План 3-я неделя'!BL280</f>
        <v/>
      </c>
      <c r="F148" s="962" t="str">
        <f>'План 3-я неделя'!BN280</f>
        <v/>
      </c>
      <c r="G148" s="962">
        <f>'План 3-я неделя'!BP280+F148</f>
        <v>1</v>
      </c>
      <c r="H148" s="962">
        <f t="shared" si="9"/>
        <v>0</v>
      </c>
      <c r="I148" s="2587">
        <f>'План 3-я неделя'!BQ280</f>
        <v>0</v>
      </c>
      <c r="J148" s="2600">
        <f t="shared" si="10"/>
        <v>0</v>
      </c>
    </row>
    <row r="149">
      <c r="I149" s="2570"/>
      <c r="J149" s="2599"/>
    </row>
    <row r="150">
      <c r="I150" s="2570"/>
      <c r="J150" s="2599"/>
    </row>
    <row r="151">
      <c r="I151" s="2570"/>
      <c r="J151" s="2599"/>
    </row>
    <row r="152">
      <c r="I152" s="2570"/>
      <c r="J152" s="2599"/>
    </row>
    <row r="153">
      <c r="I153" s="2570"/>
      <c r="J153" s="2599"/>
    </row>
    <row r="154">
      <c r="I154" s="2570"/>
      <c r="J154" s="2599"/>
    </row>
    <row r="155">
      <c r="I155" s="2570"/>
      <c r="J155" s="2599"/>
    </row>
    <row r="156">
      <c r="I156" s="2570"/>
      <c r="J156" s="2599"/>
    </row>
    <row r="157">
      <c r="I157" s="2570"/>
      <c r="J157" s="2599"/>
    </row>
    <row r="158">
      <c r="I158" s="2570"/>
      <c r="J158" s="2599"/>
    </row>
    <row r="159">
      <c r="I159" s="2570"/>
      <c r="J159" s="2599"/>
    </row>
    <row r="160">
      <c r="I160" s="2570"/>
      <c r="J160" s="2599"/>
    </row>
    <row r="161">
      <c r="I161" s="2570"/>
      <c r="J161" s="2599"/>
    </row>
    <row r="162">
      <c r="I162" s="2570"/>
      <c r="J162" s="2599"/>
    </row>
    <row r="163">
      <c r="I163" s="2570"/>
      <c r="J163" s="2599"/>
    </row>
    <row r="164">
      <c r="I164" s="2570"/>
      <c r="J164" s="2599"/>
    </row>
    <row r="165">
      <c r="I165" s="2570"/>
      <c r="J165" s="2599"/>
    </row>
    <row r="166">
      <c r="I166" s="2570"/>
      <c r="J166" s="2599"/>
    </row>
    <row r="167">
      <c r="I167" s="2570"/>
      <c r="J167" s="2599"/>
    </row>
    <row r="168">
      <c r="I168" s="2570"/>
      <c r="J168" s="2599"/>
    </row>
    <row r="169">
      <c r="I169" s="2570"/>
      <c r="J169" s="2599"/>
    </row>
    <row r="170">
      <c r="I170" s="2570"/>
      <c r="J170" s="2599"/>
    </row>
    <row r="171">
      <c r="I171" s="2570"/>
      <c r="J171" s="2599"/>
    </row>
    <row r="172">
      <c r="I172" s="2570"/>
      <c r="J172" s="2599"/>
    </row>
    <row r="173">
      <c r="I173" s="2570"/>
      <c r="J173" s="2599"/>
    </row>
    <row r="174">
      <c r="I174" s="2570"/>
      <c r="J174" s="2599"/>
    </row>
    <row r="175">
      <c r="I175" s="2570"/>
      <c r="J175" s="2599"/>
    </row>
    <row r="176">
      <c r="I176" s="2570"/>
      <c r="J176" s="2599"/>
    </row>
    <row r="177">
      <c r="I177" s="2570"/>
      <c r="J177" s="2599"/>
    </row>
    <row r="178">
      <c r="I178" s="2570"/>
      <c r="J178" s="2599"/>
    </row>
    <row r="179">
      <c r="I179" s="2570"/>
      <c r="J179" s="2599"/>
    </row>
    <row r="180">
      <c r="I180" s="2570"/>
      <c r="J180" s="2599"/>
    </row>
    <row r="181">
      <c r="I181" s="2570"/>
      <c r="J181" s="2599"/>
    </row>
    <row r="182">
      <c r="I182" s="2570"/>
      <c r="J182" s="2599"/>
    </row>
    <row r="183">
      <c r="I183" s="2570"/>
      <c r="J183" s="2599"/>
    </row>
    <row r="184">
      <c r="I184" s="2570"/>
      <c r="J184" s="2599"/>
    </row>
    <row r="185">
      <c r="I185" s="2570"/>
      <c r="J185" s="2599"/>
    </row>
    <row r="186">
      <c r="I186" s="2570"/>
      <c r="J186" s="2599"/>
    </row>
    <row r="187">
      <c r="I187" s="2570"/>
      <c r="J187" s="2599"/>
    </row>
    <row r="188">
      <c r="I188" s="2570"/>
      <c r="J188" s="2599"/>
    </row>
    <row r="189">
      <c r="I189" s="2570"/>
      <c r="J189" s="2599"/>
    </row>
    <row r="190">
      <c r="I190" s="2570"/>
      <c r="J190" s="2599"/>
    </row>
    <row r="191">
      <c r="I191" s="2570"/>
      <c r="J191" s="2599"/>
    </row>
    <row r="192">
      <c r="I192" s="2570"/>
      <c r="J192" s="2599"/>
    </row>
    <row r="193">
      <c r="I193" s="2570"/>
      <c r="J193" s="2599"/>
    </row>
    <row r="194">
      <c r="I194" s="2570"/>
      <c r="J194" s="2599"/>
    </row>
    <row r="195">
      <c r="I195" s="2570"/>
      <c r="J195" s="2599"/>
    </row>
    <row r="196">
      <c r="I196" s="2570"/>
      <c r="J196" s="2599"/>
    </row>
    <row r="197">
      <c r="I197" s="2570"/>
      <c r="J197" s="2599"/>
    </row>
    <row r="198">
      <c r="I198" s="2570"/>
      <c r="J198" s="2599"/>
    </row>
    <row r="199">
      <c r="I199" s="2570"/>
      <c r="J199" s="2599"/>
    </row>
    <row r="200">
      <c r="I200" s="2570"/>
      <c r="J200" s="2599"/>
    </row>
    <row r="201">
      <c r="I201" s="2570"/>
      <c r="J201" s="2599"/>
    </row>
    <row r="202">
      <c r="I202" s="2570"/>
      <c r="J202" s="2599"/>
    </row>
    <row r="203">
      <c r="I203" s="2570"/>
      <c r="J203" s="2599"/>
    </row>
    <row r="204">
      <c r="I204" s="2570"/>
      <c r="J204" s="2599"/>
    </row>
    <row r="205">
      <c r="I205" s="2570"/>
      <c r="J205" s="2599"/>
    </row>
    <row r="206">
      <c r="I206" s="2570"/>
      <c r="J206" s="2599"/>
    </row>
    <row r="207">
      <c r="I207" s="2570"/>
      <c r="J207" s="2599"/>
    </row>
    <row r="208">
      <c r="I208" s="2570"/>
      <c r="J208" s="2599"/>
    </row>
    <row r="209">
      <c r="I209" s="2570"/>
      <c r="J209" s="2599"/>
    </row>
    <row r="210">
      <c r="I210" s="2570"/>
      <c r="J210" s="2599"/>
    </row>
    <row r="211">
      <c r="I211" s="2570"/>
      <c r="J211" s="2599"/>
    </row>
    <row r="212">
      <c r="I212" s="2570"/>
      <c r="J212" s="2599"/>
    </row>
    <row r="213">
      <c r="I213" s="2570"/>
      <c r="J213" s="2599"/>
    </row>
    <row r="214">
      <c r="I214" s="2570"/>
      <c r="J214" s="2599"/>
    </row>
    <row r="215">
      <c r="I215" s="2570"/>
      <c r="J215" s="2599"/>
    </row>
    <row r="216">
      <c r="I216" s="2570"/>
      <c r="J216" s="2599"/>
    </row>
    <row r="217">
      <c r="I217" s="2570"/>
      <c r="J217" s="2599"/>
    </row>
    <row r="218">
      <c r="I218" s="2570"/>
      <c r="J218" s="2599"/>
    </row>
    <row r="219">
      <c r="I219" s="2570"/>
      <c r="J219" s="2599"/>
    </row>
    <row r="220">
      <c r="I220" s="2570"/>
      <c r="J220" s="2599"/>
    </row>
    <row r="221">
      <c r="I221" s="2570"/>
      <c r="J221" s="2599"/>
    </row>
    <row r="222">
      <c r="I222" s="2570"/>
      <c r="J222" s="2599"/>
    </row>
    <row r="223">
      <c r="I223" s="2570"/>
      <c r="J223" s="2599"/>
    </row>
    <row r="224">
      <c r="I224" s="2570"/>
      <c r="J224" s="2599"/>
    </row>
    <row r="225">
      <c r="I225" s="2570"/>
      <c r="J225" s="2599"/>
    </row>
    <row r="226">
      <c r="I226" s="2570"/>
      <c r="J226" s="2599"/>
    </row>
    <row r="227">
      <c r="I227" s="2570"/>
      <c r="J227" s="2599"/>
    </row>
    <row r="228">
      <c r="I228" s="2570"/>
      <c r="J228" s="2599"/>
    </row>
    <row r="229">
      <c r="I229" s="2570"/>
      <c r="J229" s="2599"/>
    </row>
    <row r="230">
      <c r="I230" s="2570"/>
      <c r="J230" s="2599"/>
    </row>
    <row r="231">
      <c r="I231" s="2570"/>
      <c r="J231" s="2599"/>
    </row>
    <row r="232">
      <c r="I232" s="2570"/>
      <c r="J232" s="2599"/>
    </row>
    <row r="233">
      <c r="I233" s="2570"/>
      <c r="J233" s="2599"/>
    </row>
    <row r="234">
      <c r="I234" s="2570"/>
      <c r="J234" s="2599"/>
    </row>
    <row r="235">
      <c r="I235" s="2570"/>
      <c r="J235" s="2599"/>
    </row>
    <row r="236">
      <c r="I236" s="2570"/>
      <c r="J236" s="2599"/>
    </row>
    <row r="237">
      <c r="I237" s="2570"/>
      <c r="J237" s="2599"/>
    </row>
    <row r="238">
      <c r="I238" s="2570"/>
      <c r="J238" s="2599"/>
    </row>
    <row r="239">
      <c r="I239" s="2570"/>
      <c r="J239" s="2599"/>
    </row>
    <row r="240">
      <c r="I240" s="2570"/>
      <c r="J240" s="2599"/>
    </row>
    <row r="241">
      <c r="I241" s="2570"/>
      <c r="J241" s="2599"/>
    </row>
    <row r="242">
      <c r="I242" s="2570"/>
      <c r="J242" s="2599"/>
    </row>
    <row r="243">
      <c r="I243" s="2570"/>
      <c r="J243" s="2599"/>
    </row>
    <row r="244">
      <c r="I244" s="2570"/>
      <c r="J244" s="2599"/>
    </row>
    <row r="245">
      <c r="I245" s="2570"/>
      <c r="J245" s="2599"/>
    </row>
    <row r="246">
      <c r="I246" s="2570"/>
      <c r="J246" s="2599"/>
    </row>
    <row r="247">
      <c r="I247" s="2570"/>
      <c r="J247" s="2599"/>
    </row>
    <row r="248">
      <c r="I248" s="2570"/>
      <c r="J248" s="2599"/>
    </row>
    <row r="249">
      <c r="I249" s="2570"/>
      <c r="J249" s="2599"/>
    </row>
    <row r="250">
      <c r="I250" s="2570"/>
      <c r="J250" s="2599"/>
    </row>
    <row r="251">
      <c r="I251" s="2570"/>
      <c r="J251" s="2599"/>
    </row>
    <row r="252">
      <c r="I252" s="2570"/>
      <c r="J252" s="2599"/>
    </row>
    <row r="253">
      <c r="I253" s="2570"/>
      <c r="J253" s="2599"/>
    </row>
    <row r="254">
      <c r="I254" s="2570"/>
      <c r="J254" s="2599"/>
    </row>
    <row r="255">
      <c r="I255" s="2570"/>
      <c r="J255" s="2599"/>
    </row>
    <row r="256">
      <c r="I256" s="2570"/>
      <c r="J256" s="2599"/>
    </row>
    <row r="257">
      <c r="I257" s="2570"/>
      <c r="J257" s="2599"/>
    </row>
    <row r="258">
      <c r="I258" s="2570"/>
      <c r="J258" s="2599"/>
    </row>
    <row r="259">
      <c r="I259" s="2570"/>
      <c r="J259" s="2599"/>
    </row>
    <row r="260">
      <c r="I260" s="2570"/>
      <c r="J260" s="2599"/>
    </row>
    <row r="261">
      <c r="I261" s="2570"/>
      <c r="J261" s="2599"/>
    </row>
    <row r="262">
      <c r="I262" s="2570"/>
      <c r="J262" s="2599"/>
    </row>
    <row r="263">
      <c r="I263" s="2570"/>
      <c r="J263" s="2599"/>
    </row>
    <row r="264">
      <c r="I264" s="2570"/>
      <c r="J264" s="2599"/>
    </row>
    <row r="265">
      <c r="I265" s="2570"/>
      <c r="J265" s="2599"/>
    </row>
    <row r="266">
      <c r="I266" s="2570"/>
      <c r="J266" s="2599"/>
    </row>
    <row r="267">
      <c r="I267" s="2570"/>
      <c r="J267" s="2599"/>
    </row>
    <row r="268">
      <c r="I268" s="2570"/>
      <c r="J268" s="2599"/>
    </row>
    <row r="269">
      <c r="I269" s="2570"/>
      <c r="J269" s="2599"/>
    </row>
    <row r="270">
      <c r="I270" s="2570"/>
      <c r="J270" s="2599"/>
    </row>
    <row r="271">
      <c r="I271" s="2570"/>
      <c r="J271" s="2599"/>
    </row>
    <row r="272">
      <c r="I272" s="2570"/>
      <c r="J272" s="2599"/>
    </row>
    <row r="273">
      <c r="I273" s="2570"/>
      <c r="J273" s="2599"/>
    </row>
    <row r="274">
      <c r="I274" s="2570"/>
      <c r="J274" s="2599"/>
    </row>
    <row r="275">
      <c r="I275" s="2570"/>
      <c r="J275" s="2599"/>
    </row>
    <row r="276">
      <c r="I276" s="2570"/>
      <c r="J276" s="2599"/>
    </row>
    <row r="277">
      <c r="I277" s="2570"/>
      <c r="J277" s="2599"/>
    </row>
    <row r="278">
      <c r="I278" s="2570"/>
      <c r="J278" s="2599"/>
    </row>
    <row r="279">
      <c r="I279" s="2570"/>
      <c r="J279" s="2599"/>
    </row>
    <row r="280">
      <c r="I280" s="2570"/>
      <c r="J280" s="2599"/>
    </row>
    <row r="281">
      <c r="I281" s="2570"/>
      <c r="J281" s="2599"/>
    </row>
    <row r="282">
      <c r="I282" s="2570"/>
      <c r="J282" s="2599"/>
    </row>
    <row r="283">
      <c r="I283" s="2570"/>
      <c r="J283" s="2599"/>
    </row>
    <row r="284">
      <c r="I284" s="2570"/>
      <c r="J284" s="2599"/>
    </row>
    <row r="285">
      <c r="I285" s="2570"/>
      <c r="J285" s="2599"/>
    </row>
    <row r="286">
      <c r="I286" s="2570"/>
      <c r="J286" s="2599"/>
    </row>
    <row r="287">
      <c r="I287" s="2570"/>
      <c r="J287" s="2599"/>
    </row>
    <row r="288">
      <c r="I288" s="2570"/>
      <c r="J288" s="2599"/>
    </row>
    <row r="289">
      <c r="I289" s="2570"/>
      <c r="J289" s="2599"/>
    </row>
    <row r="290">
      <c r="I290" s="2570"/>
      <c r="J290" s="2599"/>
    </row>
    <row r="291">
      <c r="I291" s="2570"/>
      <c r="J291" s="2599"/>
    </row>
    <row r="292">
      <c r="I292" s="2570"/>
      <c r="J292" s="2599"/>
    </row>
    <row r="293">
      <c r="I293" s="2570"/>
      <c r="J293" s="2599"/>
    </row>
    <row r="294">
      <c r="I294" s="2570"/>
      <c r="J294" s="2599"/>
    </row>
    <row r="295">
      <c r="I295" s="2570"/>
      <c r="J295" s="2599"/>
    </row>
    <row r="296">
      <c r="I296" s="2570"/>
      <c r="J296" s="2599"/>
    </row>
    <row r="297">
      <c r="I297" s="2570"/>
      <c r="J297" s="2599"/>
    </row>
    <row r="298">
      <c r="I298" s="2570"/>
      <c r="J298" s="2599"/>
    </row>
    <row r="299">
      <c r="I299" s="2570"/>
      <c r="J299" s="2599"/>
    </row>
    <row r="300">
      <c r="I300" s="2570"/>
      <c r="J300" s="2599"/>
    </row>
    <row r="301">
      <c r="I301" s="2570"/>
      <c r="J301" s="2599"/>
    </row>
    <row r="302">
      <c r="I302" s="2570"/>
      <c r="J302" s="2599"/>
    </row>
    <row r="303">
      <c r="I303" s="2570"/>
      <c r="J303" s="2599"/>
    </row>
    <row r="304">
      <c r="I304" s="2570"/>
      <c r="J304" s="2599"/>
    </row>
    <row r="305">
      <c r="I305" s="2570"/>
      <c r="J305" s="2599"/>
    </row>
    <row r="306">
      <c r="I306" s="2570"/>
      <c r="J306" s="2599"/>
    </row>
    <row r="307">
      <c r="I307" s="2570"/>
      <c r="J307" s="2599"/>
    </row>
    <row r="308">
      <c r="I308" s="2570"/>
      <c r="J308" s="2599"/>
    </row>
    <row r="309">
      <c r="I309" s="2570"/>
      <c r="J309" s="2599"/>
    </row>
    <row r="310">
      <c r="I310" s="2570"/>
      <c r="J310" s="2599"/>
    </row>
    <row r="311">
      <c r="I311" s="2570"/>
      <c r="J311" s="2599"/>
    </row>
    <row r="312">
      <c r="I312" s="2570"/>
      <c r="J312" s="2599"/>
    </row>
    <row r="313">
      <c r="I313" s="2570"/>
      <c r="J313" s="2599"/>
    </row>
    <row r="314">
      <c r="I314" s="2570"/>
      <c r="J314" s="2599"/>
    </row>
    <row r="315">
      <c r="I315" s="2570"/>
      <c r="J315" s="2599"/>
    </row>
    <row r="316">
      <c r="I316" s="2570"/>
      <c r="J316" s="2599"/>
    </row>
    <row r="317">
      <c r="I317" s="2570"/>
      <c r="J317" s="2599"/>
    </row>
    <row r="318">
      <c r="I318" s="2570"/>
      <c r="J318" s="2599"/>
    </row>
    <row r="319">
      <c r="I319" s="2570"/>
      <c r="J319" s="2599"/>
    </row>
    <row r="320">
      <c r="I320" s="2570"/>
      <c r="J320" s="2599"/>
    </row>
    <row r="321">
      <c r="I321" s="2570"/>
      <c r="J321" s="2599"/>
    </row>
    <row r="322">
      <c r="I322" s="2570"/>
      <c r="J322" s="2599"/>
    </row>
    <row r="323">
      <c r="I323" s="2570"/>
      <c r="J323" s="2599"/>
    </row>
    <row r="324">
      <c r="I324" s="2570"/>
      <c r="J324" s="2599"/>
    </row>
    <row r="325">
      <c r="I325" s="2570"/>
      <c r="J325" s="2599"/>
    </row>
    <row r="326">
      <c r="I326" s="2570"/>
      <c r="J326" s="2599"/>
    </row>
    <row r="327">
      <c r="I327" s="2570"/>
      <c r="J327" s="2599"/>
    </row>
    <row r="328">
      <c r="I328" s="2570"/>
      <c r="J328" s="2599"/>
    </row>
    <row r="329">
      <c r="I329" s="2570"/>
      <c r="J329" s="2599"/>
    </row>
    <row r="330">
      <c r="I330" s="2570"/>
      <c r="J330" s="2599"/>
    </row>
    <row r="331">
      <c r="I331" s="2570"/>
      <c r="J331" s="2599"/>
    </row>
    <row r="332">
      <c r="I332" s="2570"/>
      <c r="J332" s="2599"/>
    </row>
    <row r="333">
      <c r="I333" s="2570"/>
      <c r="J333" s="2599"/>
    </row>
    <row r="334">
      <c r="I334" s="2570"/>
      <c r="J334" s="2599"/>
    </row>
    <row r="335">
      <c r="I335" s="2570"/>
      <c r="J335" s="2599"/>
    </row>
    <row r="336">
      <c r="I336" s="2570"/>
      <c r="J336" s="2599"/>
    </row>
    <row r="337">
      <c r="I337" s="2570"/>
      <c r="J337" s="2599"/>
    </row>
    <row r="338">
      <c r="I338" s="2570"/>
      <c r="J338" s="2599"/>
    </row>
    <row r="339">
      <c r="I339" s="2570"/>
      <c r="J339" s="2599"/>
    </row>
    <row r="340">
      <c r="I340" s="2570"/>
      <c r="J340" s="2599"/>
    </row>
    <row r="341">
      <c r="I341" s="2570"/>
      <c r="J341" s="2599"/>
    </row>
    <row r="342">
      <c r="I342" s="2570"/>
      <c r="J342" s="2599"/>
    </row>
    <row r="343">
      <c r="I343" s="2570"/>
      <c r="J343" s="2599"/>
    </row>
    <row r="344">
      <c r="I344" s="2570"/>
      <c r="J344" s="2599"/>
    </row>
    <row r="345">
      <c r="I345" s="2570"/>
      <c r="J345" s="2599"/>
    </row>
    <row r="346">
      <c r="I346" s="2570"/>
      <c r="J346" s="2599"/>
    </row>
    <row r="347">
      <c r="I347" s="2570"/>
      <c r="J347" s="2599"/>
    </row>
    <row r="348">
      <c r="I348" s="2570"/>
      <c r="J348" s="2599"/>
    </row>
    <row r="349">
      <c r="I349" s="2570"/>
      <c r="J349" s="2599"/>
    </row>
    <row r="350">
      <c r="I350" s="2570"/>
      <c r="J350" s="2599"/>
    </row>
    <row r="351">
      <c r="I351" s="2570"/>
      <c r="J351" s="2599"/>
    </row>
    <row r="352">
      <c r="I352" s="2570"/>
      <c r="J352" s="2599"/>
    </row>
    <row r="353">
      <c r="I353" s="2570"/>
      <c r="J353" s="2599"/>
    </row>
    <row r="354">
      <c r="I354" s="2570"/>
      <c r="J354" s="2599"/>
    </row>
    <row r="355">
      <c r="I355" s="2570"/>
      <c r="J355" s="2599"/>
    </row>
    <row r="356">
      <c r="I356" s="2570"/>
      <c r="J356" s="2599"/>
    </row>
    <row r="357">
      <c r="I357" s="2570"/>
      <c r="J357" s="2599"/>
    </row>
    <row r="358">
      <c r="I358" s="2570"/>
      <c r="J358" s="2599"/>
    </row>
    <row r="359">
      <c r="I359" s="2570"/>
      <c r="J359" s="2599"/>
    </row>
    <row r="360">
      <c r="I360" s="2570"/>
      <c r="J360" s="2599"/>
    </row>
    <row r="361">
      <c r="I361" s="2570"/>
      <c r="J361" s="2599"/>
    </row>
    <row r="362">
      <c r="I362" s="2570"/>
      <c r="J362" s="2599"/>
    </row>
    <row r="363">
      <c r="I363" s="2570"/>
      <c r="J363" s="2599"/>
    </row>
    <row r="364">
      <c r="I364" s="2570"/>
      <c r="J364" s="2599"/>
    </row>
    <row r="365">
      <c r="I365" s="2570"/>
      <c r="J365" s="2599"/>
    </row>
    <row r="366">
      <c r="I366" s="2570"/>
      <c r="J366" s="2599"/>
    </row>
    <row r="367">
      <c r="I367" s="2570"/>
      <c r="J367" s="2599"/>
    </row>
    <row r="368">
      <c r="I368" s="2570"/>
      <c r="J368" s="2599"/>
    </row>
    <row r="369">
      <c r="I369" s="2570"/>
      <c r="J369" s="2599"/>
    </row>
    <row r="370">
      <c r="I370" s="2570"/>
      <c r="J370" s="2599"/>
    </row>
    <row r="371">
      <c r="I371" s="2570"/>
      <c r="J371" s="2599"/>
    </row>
    <row r="372">
      <c r="I372" s="2570"/>
      <c r="J372" s="2599"/>
    </row>
    <row r="373">
      <c r="I373" s="2570"/>
      <c r="J373" s="2599"/>
    </row>
    <row r="374">
      <c r="I374" s="2570"/>
      <c r="J374" s="2599"/>
    </row>
    <row r="375">
      <c r="I375" s="2570"/>
      <c r="J375" s="2599"/>
    </row>
    <row r="376">
      <c r="I376" s="2570"/>
      <c r="J376" s="2599"/>
    </row>
    <row r="377">
      <c r="I377" s="2570"/>
      <c r="J377" s="2599"/>
    </row>
    <row r="378">
      <c r="I378" s="2570"/>
      <c r="J378" s="2599"/>
    </row>
    <row r="379">
      <c r="I379" s="2570"/>
      <c r="J379" s="2599"/>
    </row>
    <row r="380">
      <c r="I380" s="2570"/>
      <c r="J380" s="2599"/>
    </row>
    <row r="381">
      <c r="I381" s="2570"/>
      <c r="J381" s="2599"/>
    </row>
    <row r="382">
      <c r="I382" s="2570"/>
      <c r="J382" s="2599"/>
    </row>
    <row r="383">
      <c r="I383" s="2570"/>
      <c r="J383" s="2599"/>
    </row>
    <row r="384">
      <c r="I384" s="2570"/>
      <c r="J384" s="2599"/>
    </row>
    <row r="385">
      <c r="I385" s="2570"/>
      <c r="J385" s="2599"/>
    </row>
    <row r="386">
      <c r="I386" s="2570"/>
      <c r="J386" s="2599"/>
    </row>
    <row r="387">
      <c r="I387" s="2570"/>
      <c r="J387" s="2599"/>
    </row>
    <row r="388">
      <c r="I388" s="2570"/>
      <c r="J388" s="2599"/>
    </row>
    <row r="389">
      <c r="I389" s="2570"/>
      <c r="J389" s="2599"/>
    </row>
    <row r="390">
      <c r="I390" s="2570"/>
      <c r="J390" s="2599"/>
    </row>
    <row r="391">
      <c r="I391" s="2570"/>
      <c r="J391" s="2599"/>
    </row>
    <row r="392">
      <c r="I392" s="2570"/>
      <c r="J392" s="2599"/>
    </row>
    <row r="393">
      <c r="I393" s="2570"/>
      <c r="J393" s="2599"/>
    </row>
    <row r="394">
      <c r="I394" s="2570"/>
      <c r="J394" s="2599"/>
    </row>
    <row r="395">
      <c r="I395" s="2570"/>
      <c r="J395" s="2599"/>
    </row>
    <row r="396">
      <c r="I396" s="2570"/>
      <c r="J396" s="2599"/>
    </row>
    <row r="397">
      <c r="I397" s="2570"/>
      <c r="J397" s="2599"/>
    </row>
    <row r="398">
      <c r="I398" s="2570"/>
      <c r="J398" s="2599"/>
    </row>
    <row r="399">
      <c r="I399" s="2570"/>
      <c r="J399" s="2599"/>
    </row>
    <row r="400">
      <c r="I400" s="2570"/>
      <c r="J400" s="2599"/>
    </row>
    <row r="401">
      <c r="I401" s="2570"/>
      <c r="J401" s="2599"/>
    </row>
    <row r="402">
      <c r="I402" s="2570"/>
      <c r="J402" s="2599"/>
    </row>
    <row r="403">
      <c r="I403" s="2570"/>
      <c r="J403" s="2599"/>
    </row>
    <row r="404">
      <c r="I404" s="2570"/>
      <c r="J404" s="2599"/>
    </row>
    <row r="405">
      <c r="I405" s="2570"/>
      <c r="J405" s="2599"/>
    </row>
    <row r="406">
      <c r="I406" s="2570"/>
      <c r="J406" s="2599"/>
    </row>
    <row r="407">
      <c r="I407" s="2570"/>
      <c r="J407" s="2599"/>
    </row>
    <row r="408">
      <c r="I408" s="2570"/>
      <c r="J408" s="2599"/>
    </row>
    <row r="409">
      <c r="I409" s="2570"/>
      <c r="J409" s="2599"/>
    </row>
    <row r="410">
      <c r="I410" s="2570"/>
      <c r="J410" s="2599"/>
    </row>
    <row r="411">
      <c r="I411" s="2570"/>
      <c r="J411" s="2599"/>
    </row>
    <row r="412">
      <c r="I412" s="2570"/>
      <c r="J412" s="2599"/>
    </row>
    <row r="413">
      <c r="I413" s="2570"/>
      <c r="J413" s="2599"/>
    </row>
    <row r="414">
      <c r="I414" s="2570"/>
      <c r="J414" s="2599"/>
    </row>
    <row r="415">
      <c r="I415" s="2570"/>
      <c r="J415" s="2599"/>
    </row>
    <row r="416">
      <c r="I416" s="2570"/>
      <c r="J416" s="2599"/>
    </row>
    <row r="417">
      <c r="I417" s="2570"/>
      <c r="J417" s="2599"/>
    </row>
    <row r="418">
      <c r="I418" s="2570"/>
      <c r="J418" s="2599"/>
    </row>
    <row r="419">
      <c r="I419" s="2570"/>
      <c r="J419" s="2599"/>
    </row>
    <row r="420">
      <c r="I420" s="2570"/>
      <c r="J420" s="2599"/>
    </row>
    <row r="421">
      <c r="I421" s="2570"/>
      <c r="J421" s="2599"/>
    </row>
    <row r="422">
      <c r="I422" s="2570"/>
      <c r="J422" s="2599"/>
    </row>
    <row r="423">
      <c r="I423" s="2570"/>
      <c r="J423" s="2599"/>
    </row>
    <row r="424">
      <c r="I424" s="2570"/>
      <c r="J424" s="2599"/>
    </row>
    <row r="425">
      <c r="I425" s="2570"/>
      <c r="J425" s="2599"/>
    </row>
    <row r="426">
      <c r="I426" s="2570"/>
      <c r="J426" s="2599"/>
    </row>
    <row r="427">
      <c r="I427" s="2570"/>
      <c r="J427" s="2599"/>
    </row>
    <row r="428">
      <c r="I428" s="2570"/>
      <c r="J428" s="2599"/>
    </row>
    <row r="429">
      <c r="I429" s="2570"/>
      <c r="J429" s="2599"/>
    </row>
    <row r="430">
      <c r="I430" s="2570"/>
      <c r="J430" s="2599"/>
    </row>
    <row r="431">
      <c r="I431" s="2570"/>
      <c r="J431" s="2599"/>
    </row>
    <row r="432">
      <c r="I432" s="2570"/>
      <c r="J432" s="2599"/>
    </row>
    <row r="433">
      <c r="I433" s="2570"/>
      <c r="J433" s="2599"/>
    </row>
    <row r="434">
      <c r="I434" s="2570"/>
      <c r="J434" s="2599"/>
    </row>
    <row r="435">
      <c r="I435" s="2570"/>
      <c r="J435" s="2599"/>
    </row>
    <row r="436">
      <c r="I436" s="2570"/>
      <c r="J436" s="2599"/>
    </row>
    <row r="437">
      <c r="I437" s="2570"/>
      <c r="J437" s="2599"/>
    </row>
    <row r="438">
      <c r="I438" s="2570"/>
      <c r="J438" s="2599"/>
    </row>
    <row r="439">
      <c r="I439" s="2570"/>
      <c r="J439" s="2599"/>
    </row>
    <row r="440">
      <c r="I440" s="2570"/>
      <c r="J440" s="2599"/>
    </row>
    <row r="441">
      <c r="I441" s="2570"/>
      <c r="J441" s="2599"/>
    </row>
    <row r="442">
      <c r="I442" s="2570"/>
      <c r="J442" s="2599"/>
    </row>
    <row r="443">
      <c r="I443" s="2570"/>
      <c r="J443" s="2599"/>
    </row>
    <row r="444">
      <c r="I444" s="2570"/>
      <c r="J444" s="2599"/>
    </row>
    <row r="445">
      <c r="I445" s="2570"/>
      <c r="J445" s="2599"/>
    </row>
    <row r="446">
      <c r="I446" s="2570"/>
      <c r="J446" s="2599"/>
    </row>
    <row r="447">
      <c r="I447" s="2570"/>
      <c r="J447" s="2599"/>
    </row>
    <row r="448">
      <c r="I448" s="2570"/>
      <c r="J448" s="2599"/>
    </row>
    <row r="449">
      <c r="I449" s="2570"/>
      <c r="J449" s="2599"/>
    </row>
    <row r="450">
      <c r="I450" s="2570"/>
      <c r="J450" s="2599"/>
    </row>
    <row r="451">
      <c r="I451" s="2570"/>
      <c r="J451" s="2599"/>
    </row>
    <row r="452">
      <c r="I452" s="2570"/>
      <c r="J452" s="2599"/>
    </row>
    <row r="453">
      <c r="I453" s="2570"/>
      <c r="J453" s="2599"/>
    </row>
    <row r="454">
      <c r="I454" s="2570"/>
      <c r="J454" s="2599"/>
    </row>
    <row r="455">
      <c r="I455" s="2570"/>
      <c r="J455" s="2599"/>
    </row>
    <row r="456">
      <c r="I456" s="2570"/>
      <c r="J456" s="2599"/>
    </row>
    <row r="457">
      <c r="I457" s="2570"/>
      <c r="J457" s="2599"/>
    </row>
    <row r="458">
      <c r="I458" s="2570"/>
      <c r="J458" s="2599"/>
    </row>
    <row r="459">
      <c r="I459" s="2570"/>
      <c r="J459" s="2599"/>
    </row>
    <row r="460">
      <c r="I460" s="2570"/>
      <c r="J460" s="2599"/>
    </row>
    <row r="461">
      <c r="I461" s="2570"/>
      <c r="J461" s="2599"/>
    </row>
    <row r="462">
      <c r="I462" s="2570"/>
      <c r="J462" s="2599"/>
    </row>
    <row r="463">
      <c r="I463" s="2570"/>
      <c r="J463" s="2599"/>
    </row>
    <row r="464">
      <c r="I464" s="2570"/>
      <c r="J464" s="2599"/>
    </row>
    <row r="465">
      <c r="I465" s="2570"/>
      <c r="J465" s="2599"/>
    </row>
    <row r="466">
      <c r="I466" s="2570"/>
      <c r="J466" s="2599"/>
    </row>
    <row r="467">
      <c r="I467" s="2570"/>
      <c r="J467" s="2599"/>
    </row>
    <row r="468">
      <c r="I468" s="2570"/>
      <c r="J468" s="2599"/>
    </row>
    <row r="469">
      <c r="I469" s="2570"/>
      <c r="J469" s="2599"/>
    </row>
    <row r="470">
      <c r="I470" s="2570"/>
      <c r="J470" s="2599"/>
    </row>
    <row r="471">
      <c r="I471" s="2570"/>
      <c r="J471" s="2599"/>
    </row>
    <row r="472">
      <c r="I472" s="2570"/>
      <c r="J472" s="2599"/>
    </row>
    <row r="473">
      <c r="I473" s="2570"/>
      <c r="J473" s="2599"/>
    </row>
    <row r="474">
      <c r="I474" s="2570"/>
      <c r="J474" s="2599"/>
    </row>
    <row r="475">
      <c r="I475" s="2570"/>
      <c r="J475" s="2599"/>
    </row>
    <row r="476">
      <c r="I476" s="2570"/>
      <c r="J476" s="2599"/>
    </row>
    <row r="477">
      <c r="I477" s="2570"/>
      <c r="J477" s="2599"/>
    </row>
    <row r="478">
      <c r="I478" s="2570"/>
      <c r="J478" s="2599"/>
    </row>
    <row r="479">
      <c r="I479" s="2570"/>
      <c r="J479" s="2599"/>
    </row>
    <row r="480">
      <c r="I480" s="2570"/>
      <c r="J480" s="2599"/>
    </row>
    <row r="481">
      <c r="I481" s="2570"/>
      <c r="J481" s="2599"/>
    </row>
    <row r="482">
      <c r="I482" s="2570"/>
      <c r="J482" s="2599"/>
    </row>
    <row r="483">
      <c r="I483" s="2570"/>
      <c r="J483" s="2599"/>
    </row>
    <row r="484">
      <c r="I484" s="2570"/>
      <c r="J484" s="2599"/>
    </row>
    <row r="485">
      <c r="I485" s="2570"/>
      <c r="J485" s="2599"/>
    </row>
    <row r="486">
      <c r="I486" s="2570"/>
      <c r="J486" s="2599"/>
    </row>
    <row r="487">
      <c r="I487" s="2570"/>
      <c r="J487" s="2599"/>
    </row>
    <row r="488">
      <c r="I488" s="2570"/>
      <c r="J488" s="2599"/>
    </row>
    <row r="489">
      <c r="I489" s="2570"/>
      <c r="J489" s="2599"/>
    </row>
    <row r="490">
      <c r="I490" s="2570"/>
      <c r="J490" s="2599"/>
    </row>
    <row r="491">
      <c r="I491" s="2570"/>
      <c r="J491" s="2599"/>
    </row>
    <row r="492">
      <c r="I492" s="2570"/>
      <c r="J492" s="2599"/>
    </row>
    <row r="493">
      <c r="I493" s="2570"/>
      <c r="J493" s="2599"/>
    </row>
    <row r="494">
      <c r="I494" s="2570"/>
      <c r="J494" s="2599"/>
    </row>
    <row r="495">
      <c r="I495" s="2570"/>
      <c r="J495" s="2599"/>
    </row>
    <row r="496">
      <c r="I496" s="2570"/>
      <c r="J496" s="2599"/>
    </row>
    <row r="497">
      <c r="I497" s="2570"/>
      <c r="J497" s="2599"/>
    </row>
    <row r="498">
      <c r="I498" s="2570"/>
      <c r="J498" s="2599"/>
    </row>
    <row r="499">
      <c r="I499" s="2570"/>
      <c r="J499" s="2599"/>
    </row>
    <row r="500">
      <c r="I500" s="2570"/>
      <c r="J500" s="2599"/>
    </row>
    <row r="501">
      <c r="I501" s="2570"/>
      <c r="J501" s="2599"/>
    </row>
    <row r="502">
      <c r="I502" s="2570"/>
      <c r="J502" s="2599"/>
    </row>
    <row r="503">
      <c r="I503" s="2570"/>
      <c r="J503" s="2599"/>
    </row>
    <row r="504">
      <c r="I504" s="2570"/>
      <c r="J504" s="2599"/>
    </row>
    <row r="505">
      <c r="I505" s="2570"/>
      <c r="J505" s="2599"/>
    </row>
    <row r="506">
      <c r="I506" s="2570"/>
      <c r="J506" s="2599"/>
    </row>
    <row r="507">
      <c r="I507" s="2570"/>
      <c r="J507" s="2599"/>
    </row>
    <row r="508">
      <c r="I508" s="2570"/>
      <c r="J508" s="2599"/>
    </row>
    <row r="509">
      <c r="I509" s="2570"/>
      <c r="J509" s="2599"/>
    </row>
    <row r="510">
      <c r="I510" s="2570"/>
      <c r="J510" s="2599"/>
    </row>
    <row r="511">
      <c r="I511" s="2570"/>
      <c r="J511" s="2599"/>
    </row>
    <row r="512">
      <c r="I512" s="2570"/>
      <c r="J512" s="2599"/>
    </row>
    <row r="513">
      <c r="I513" s="2570"/>
      <c r="J513" s="2599"/>
    </row>
    <row r="514">
      <c r="I514" s="2570"/>
      <c r="J514" s="2599"/>
    </row>
    <row r="515">
      <c r="I515" s="2570"/>
      <c r="J515" s="2599"/>
    </row>
    <row r="516">
      <c r="I516" s="2570"/>
      <c r="J516" s="2599"/>
    </row>
    <row r="517">
      <c r="I517" s="2570"/>
      <c r="J517" s="2599"/>
    </row>
    <row r="518">
      <c r="I518" s="2570"/>
      <c r="J518" s="2599"/>
    </row>
    <row r="519">
      <c r="I519" s="2570"/>
      <c r="J519" s="2599"/>
    </row>
    <row r="520">
      <c r="I520" s="2570"/>
      <c r="J520" s="2599"/>
    </row>
    <row r="521">
      <c r="I521" s="2570"/>
      <c r="J521" s="2599"/>
    </row>
    <row r="522">
      <c r="I522" s="2570"/>
      <c r="J522" s="2599"/>
    </row>
    <row r="523">
      <c r="I523" s="2570"/>
      <c r="J523" s="2599"/>
    </row>
    <row r="524">
      <c r="I524" s="2570"/>
      <c r="J524" s="2599"/>
    </row>
    <row r="525">
      <c r="I525" s="2570"/>
      <c r="J525" s="2599"/>
    </row>
    <row r="526">
      <c r="I526" s="2570"/>
      <c r="J526" s="2599"/>
    </row>
    <row r="527">
      <c r="I527" s="2570"/>
      <c r="J527" s="2599"/>
    </row>
    <row r="528">
      <c r="I528" s="2570"/>
      <c r="J528" s="2599"/>
    </row>
    <row r="529">
      <c r="I529" s="2570"/>
      <c r="J529" s="2599"/>
    </row>
    <row r="530">
      <c r="I530" s="2570"/>
      <c r="J530" s="2599"/>
    </row>
    <row r="531">
      <c r="I531" s="2570"/>
      <c r="J531" s="2599"/>
    </row>
    <row r="532">
      <c r="I532" s="2570"/>
      <c r="J532" s="2599"/>
    </row>
    <row r="533">
      <c r="I533" s="2570"/>
      <c r="J533" s="2599"/>
    </row>
    <row r="534">
      <c r="I534" s="2570"/>
      <c r="J534" s="2599"/>
    </row>
    <row r="535">
      <c r="I535" s="2570"/>
      <c r="J535" s="2599"/>
    </row>
    <row r="536">
      <c r="I536" s="2570"/>
      <c r="J536" s="2599"/>
    </row>
    <row r="537">
      <c r="I537" s="2570"/>
      <c r="J537" s="2599"/>
    </row>
    <row r="538">
      <c r="I538" s="2570"/>
      <c r="J538" s="2599"/>
    </row>
    <row r="539">
      <c r="I539" s="2570"/>
      <c r="J539" s="2599"/>
    </row>
    <row r="540">
      <c r="I540" s="2570"/>
      <c r="J540" s="2599"/>
    </row>
    <row r="541">
      <c r="I541" s="2570"/>
      <c r="J541" s="2599"/>
    </row>
    <row r="542">
      <c r="I542" s="2570"/>
      <c r="J542" s="2599"/>
    </row>
    <row r="543">
      <c r="I543" s="2570"/>
      <c r="J543" s="2599"/>
    </row>
    <row r="544">
      <c r="I544" s="2570"/>
      <c r="J544" s="2599"/>
    </row>
    <row r="545">
      <c r="I545" s="2570"/>
      <c r="J545" s="2599"/>
    </row>
    <row r="546">
      <c r="I546" s="2570"/>
      <c r="J546" s="2599"/>
    </row>
    <row r="547">
      <c r="I547" s="2570"/>
      <c r="J547" s="2599"/>
    </row>
    <row r="548">
      <c r="I548" s="2570"/>
      <c r="J548" s="2599"/>
    </row>
    <row r="549">
      <c r="I549" s="2570"/>
      <c r="J549" s="2599"/>
    </row>
    <row r="550">
      <c r="I550" s="2570"/>
      <c r="J550" s="2599"/>
    </row>
    <row r="551">
      <c r="I551" s="2570"/>
      <c r="J551" s="2599"/>
    </row>
    <row r="552">
      <c r="I552" s="2570"/>
      <c r="J552" s="2599"/>
    </row>
    <row r="553">
      <c r="I553" s="2570"/>
      <c r="J553" s="2599"/>
    </row>
    <row r="554">
      <c r="I554" s="2570"/>
      <c r="J554" s="2599"/>
    </row>
    <row r="555">
      <c r="I555" s="2570"/>
      <c r="J555" s="2599"/>
    </row>
    <row r="556">
      <c r="I556" s="2570"/>
      <c r="J556" s="2599"/>
    </row>
    <row r="557">
      <c r="I557" s="2570"/>
      <c r="J557" s="2599"/>
    </row>
    <row r="558">
      <c r="I558" s="2570"/>
      <c r="J558" s="2599"/>
    </row>
    <row r="559">
      <c r="I559" s="2570"/>
      <c r="J559" s="2599"/>
    </row>
    <row r="560">
      <c r="I560" s="2570"/>
      <c r="J560" s="2599"/>
    </row>
    <row r="561">
      <c r="I561" s="2570"/>
      <c r="J561" s="2599"/>
    </row>
    <row r="562">
      <c r="I562" s="2570"/>
      <c r="J562" s="2599"/>
    </row>
    <row r="563">
      <c r="I563" s="2570"/>
      <c r="J563" s="2599"/>
    </row>
    <row r="564">
      <c r="I564" s="2570"/>
      <c r="J564" s="2599"/>
    </row>
    <row r="565">
      <c r="I565" s="2570"/>
      <c r="J565" s="2599"/>
    </row>
    <row r="566">
      <c r="I566" s="2570"/>
      <c r="J566" s="2599"/>
    </row>
    <row r="567">
      <c r="I567" s="2570"/>
      <c r="J567" s="2599"/>
    </row>
    <row r="568">
      <c r="I568" s="2570"/>
      <c r="J568" s="2599"/>
    </row>
    <row r="569">
      <c r="I569" s="2570"/>
      <c r="J569" s="2599"/>
    </row>
    <row r="570">
      <c r="I570" s="2570"/>
      <c r="J570" s="2599"/>
    </row>
    <row r="571">
      <c r="I571" s="2570"/>
      <c r="J571" s="2599"/>
    </row>
    <row r="572">
      <c r="I572" s="2570"/>
      <c r="J572" s="2599"/>
    </row>
    <row r="573">
      <c r="I573" s="2570"/>
      <c r="J573" s="2599"/>
    </row>
    <row r="574">
      <c r="I574" s="2570"/>
      <c r="J574" s="2599"/>
    </row>
    <row r="575">
      <c r="I575" s="2570"/>
      <c r="J575" s="2599"/>
    </row>
    <row r="576">
      <c r="I576" s="2570"/>
      <c r="J576" s="2599"/>
    </row>
    <row r="577">
      <c r="I577" s="2570"/>
      <c r="J577" s="2599"/>
    </row>
    <row r="578">
      <c r="I578" s="2570"/>
      <c r="J578" s="2599"/>
    </row>
    <row r="579">
      <c r="I579" s="2570"/>
      <c r="J579" s="2599"/>
    </row>
    <row r="580">
      <c r="I580" s="2570"/>
      <c r="J580" s="2599"/>
    </row>
    <row r="581">
      <c r="I581" s="2570"/>
      <c r="J581" s="2599"/>
    </row>
    <row r="582">
      <c r="I582" s="2570"/>
      <c r="J582" s="2599"/>
    </row>
    <row r="583">
      <c r="I583" s="2570"/>
      <c r="J583" s="2599"/>
    </row>
    <row r="584">
      <c r="I584" s="2570"/>
      <c r="J584" s="2599"/>
    </row>
    <row r="585">
      <c r="I585" s="2570"/>
      <c r="J585" s="2599"/>
    </row>
    <row r="586">
      <c r="I586" s="2570"/>
      <c r="J586" s="2599"/>
    </row>
    <row r="587">
      <c r="I587" s="2570"/>
      <c r="J587" s="2599"/>
    </row>
    <row r="588">
      <c r="I588" s="2570"/>
      <c r="J588" s="2599"/>
    </row>
    <row r="589">
      <c r="I589" s="2570"/>
      <c r="J589" s="2599"/>
    </row>
    <row r="590">
      <c r="I590" s="2570"/>
      <c r="J590" s="2599"/>
    </row>
    <row r="591">
      <c r="I591" s="2570"/>
      <c r="J591" s="2599"/>
    </row>
    <row r="592">
      <c r="I592" s="2570"/>
      <c r="J592" s="2599"/>
    </row>
    <row r="593">
      <c r="I593" s="2570"/>
      <c r="J593" s="2599"/>
    </row>
    <row r="594">
      <c r="I594" s="2570"/>
      <c r="J594" s="2599"/>
    </row>
    <row r="595">
      <c r="I595" s="2570"/>
      <c r="J595" s="2599"/>
    </row>
    <row r="596">
      <c r="I596" s="2570"/>
      <c r="J596" s="2599"/>
    </row>
    <row r="597">
      <c r="I597" s="2570"/>
      <c r="J597" s="2599"/>
    </row>
    <row r="598">
      <c r="I598" s="2570"/>
      <c r="J598" s="2599"/>
    </row>
    <row r="599">
      <c r="I599" s="2570"/>
      <c r="J599" s="2599"/>
    </row>
    <row r="600">
      <c r="I600" s="2570"/>
      <c r="J600" s="2599"/>
    </row>
    <row r="601">
      <c r="I601" s="2570"/>
      <c r="J601" s="2599"/>
    </row>
    <row r="602">
      <c r="I602" s="2570"/>
      <c r="J602" s="2599"/>
    </row>
    <row r="603">
      <c r="I603" s="2570"/>
      <c r="J603" s="2599"/>
    </row>
    <row r="604">
      <c r="I604" s="2570"/>
      <c r="J604" s="2599"/>
    </row>
    <row r="605">
      <c r="I605" s="2570"/>
      <c r="J605" s="2599"/>
    </row>
    <row r="606">
      <c r="I606" s="2570"/>
      <c r="J606" s="2599"/>
    </row>
    <row r="607">
      <c r="I607" s="2570"/>
      <c r="J607" s="2599"/>
    </row>
    <row r="608">
      <c r="I608" s="2570"/>
      <c r="J608" s="2599"/>
    </row>
    <row r="609">
      <c r="I609" s="2570"/>
      <c r="J609" s="2599"/>
    </row>
    <row r="610">
      <c r="I610" s="2570"/>
      <c r="J610" s="2599"/>
    </row>
    <row r="611">
      <c r="I611" s="2570"/>
      <c r="J611" s="2599"/>
    </row>
    <row r="612">
      <c r="I612" s="2570"/>
      <c r="J612" s="2599"/>
    </row>
    <row r="613">
      <c r="I613" s="2570"/>
      <c r="J613" s="2599"/>
    </row>
    <row r="614">
      <c r="I614" s="2570"/>
      <c r="J614" s="2599"/>
    </row>
    <row r="615">
      <c r="I615" s="2570"/>
      <c r="J615" s="2599"/>
    </row>
    <row r="616">
      <c r="I616" s="2570"/>
      <c r="J616" s="2599"/>
    </row>
    <row r="617">
      <c r="I617" s="2570"/>
      <c r="J617" s="2599"/>
    </row>
    <row r="618">
      <c r="I618" s="2570"/>
      <c r="J618" s="2599"/>
    </row>
    <row r="619">
      <c r="I619" s="2570"/>
      <c r="J619" s="2599"/>
    </row>
    <row r="620">
      <c r="I620" s="2570"/>
      <c r="J620" s="2599"/>
    </row>
    <row r="621">
      <c r="I621" s="2570"/>
      <c r="J621" s="2599"/>
    </row>
    <row r="622">
      <c r="I622" s="2570"/>
      <c r="J622" s="2599"/>
    </row>
    <row r="623">
      <c r="I623" s="2570"/>
      <c r="J623" s="2599"/>
    </row>
    <row r="624">
      <c r="I624" s="2570"/>
      <c r="J624" s="2599"/>
    </row>
    <row r="625">
      <c r="I625" s="2570"/>
      <c r="J625" s="2599"/>
    </row>
    <row r="626">
      <c r="I626" s="2570"/>
      <c r="J626" s="2599"/>
    </row>
    <row r="627">
      <c r="I627" s="2570"/>
      <c r="J627" s="2599"/>
    </row>
    <row r="628">
      <c r="I628" s="2570"/>
      <c r="J628" s="2599"/>
    </row>
    <row r="629">
      <c r="I629" s="2570"/>
      <c r="J629" s="2599"/>
    </row>
    <row r="630">
      <c r="I630" s="2570"/>
      <c r="J630" s="2599"/>
    </row>
    <row r="631">
      <c r="I631" s="2570"/>
      <c r="J631" s="2599"/>
    </row>
    <row r="632">
      <c r="I632" s="2570"/>
      <c r="J632" s="2599"/>
    </row>
    <row r="633">
      <c r="I633" s="2570"/>
      <c r="J633" s="2599"/>
    </row>
    <row r="634">
      <c r="I634" s="2570"/>
      <c r="J634" s="2599"/>
    </row>
    <row r="635">
      <c r="I635" s="2570"/>
      <c r="J635" s="2599"/>
    </row>
    <row r="636">
      <c r="I636" s="2570"/>
      <c r="J636" s="2599"/>
    </row>
    <row r="637">
      <c r="I637" s="2570"/>
      <c r="J637" s="2599"/>
    </row>
    <row r="638">
      <c r="I638" s="2570"/>
      <c r="J638" s="2599"/>
    </row>
    <row r="639">
      <c r="I639" s="2570"/>
      <c r="J639" s="2599"/>
    </row>
    <row r="640">
      <c r="I640" s="2570"/>
      <c r="J640" s="2599"/>
    </row>
    <row r="641">
      <c r="I641" s="2570"/>
      <c r="J641" s="2599"/>
    </row>
    <row r="642">
      <c r="I642" s="2570"/>
      <c r="J642" s="2599"/>
    </row>
    <row r="643">
      <c r="I643" s="2570"/>
      <c r="J643" s="2599"/>
    </row>
    <row r="644">
      <c r="I644" s="2570"/>
      <c r="J644" s="2599"/>
    </row>
    <row r="645">
      <c r="I645" s="2570"/>
      <c r="J645" s="2599"/>
    </row>
    <row r="646">
      <c r="I646" s="2570"/>
      <c r="J646" s="2599"/>
    </row>
    <row r="647">
      <c r="I647" s="2570"/>
      <c r="J647" s="2599"/>
    </row>
    <row r="648">
      <c r="I648" s="2570"/>
      <c r="J648" s="2599"/>
    </row>
    <row r="649">
      <c r="I649" s="2570"/>
      <c r="J649" s="2599"/>
    </row>
    <row r="650">
      <c r="I650" s="2570"/>
      <c r="J650" s="2599"/>
    </row>
    <row r="651">
      <c r="I651" s="2570"/>
      <c r="J651" s="2599"/>
    </row>
    <row r="652">
      <c r="I652" s="2570"/>
      <c r="J652" s="2599"/>
    </row>
    <row r="653">
      <c r="I653" s="2570"/>
      <c r="J653" s="2599"/>
    </row>
    <row r="654">
      <c r="I654" s="2570"/>
      <c r="J654" s="2599"/>
    </row>
    <row r="655">
      <c r="I655" s="2570"/>
      <c r="J655" s="2599"/>
    </row>
    <row r="656">
      <c r="I656" s="2570"/>
      <c r="J656" s="2599"/>
    </row>
    <row r="657">
      <c r="I657" s="2570"/>
      <c r="J657" s="2599"/>
    </row>
    <row r="658">
      <c r="I658" s="2570"/>
      <c r="J658" s="2599"/>
    </row>
    <row r="659">
      <c r="I659" s="2570"/>
      <c r="J659" s="2599"/>
    </row>
    <row r="660">
      <c r="I660" s="2570"/>
      <c r="J660" s="2599"/>
    </row>
    <row r="661">
      <c r="I661" s="2570"/>
      <c r="J661" s="2599"/>
    </row>
    <row r="662">
      <c r="I662" s="2570"/>
      <c r="J662" s="2599"/>
    </row>
    <row r="663">
      <c r="I663" s="2570"/>
      <c r="J663" s="2599"/>
    </row>
    <row r="664">
      <c r="I664" s="2570"/>
      <c r="J664" s="2599"/>
    </row>
    <row r="665">
      <c r="I665" s="2570"/>
      <c r="J665" s="2599"/>
    </row>
    <row r="666">
      <c r="I666" s="2570"/>
      <c r="J666" s="2599"/>
    </row>
    <row r="667">
      <c r="I667" s="2570"/>
      <c r="J667" s="2599"/>
    </row>
    <row r="668">
      <c r="I668" s="2570"/>
      <c r="J668" s="2599"/>
    </row>
    <row r="669">
      <c r="I669" s="2570"/>
      <c r="J669" s="2599"/>
    </row>
    <row r="670">
      <c r="I670" s="2570"/>
      <c r="J670" s="2599"/>
    </row>
    <row r="671">
      <c r="I671" s="2570"/>
      <c r="J671" s="2599"/>
    </row>
    <row r="672">
      <c r="I672" s="2570"/>
      <c r="J672" s="2599"/>
    </row>
    <row r="673">
      <c r="I673" s="2570"/>
      <c r="J673" s="2599"/>
    </row>
    <row r="674">
      <c r="I674" s="2570"/>
      <c r="J674" s="2599"/>
    </row>
    <row r="675">
      <c r="I675" s="2570"/>
      <c r="J675" s="2599"/>
    </row>
    <row r="676">
      <c r="I676" s="2570"/>
      <c r="J676" s="2599"/>
    </row>
    <row r="677">
      <c r="I677" s="2570"/>
      <c r="J677" s="2599"/>
    </row>
    <row r="678">
      <c r="I678" s="2570"/>
      <c r="J678" s="2599"/>
    </row>
    <row r="679">
      <c r="I679" s="2570"/>
      <c r="J679" s="2599"/>
    </row>
    <row r="680">
      <c r="I680" s="2570"/>
      <c r="J680" s="2599"/>
    </row>
    <row r="681">
      <c r="I681" s="2570"/>
      <c r="J681" s="2599"/>
    </row>
    <row r="682">
      <c r="I682" s="2570"/>
      <c r="J682" s="2599"/>
    </row>
    <row r="683">
      <c r="I683" s="2570"/>
      <c r="J683" s="2599"/>
    </row>
    <row r="684">
      <c r="I684" s="2570"/>
      <c r="J684" s="2599"/>
    </row>
    <row r="685">
      <c r="I685" s="2570"/>
      <c r="J685" s="2599"/>
    </row>
    <row r="686">
      <c r="I686" s="2570"/>
      <c r="J686" s="2599"/>
    </row>
    <row r="687">
      <c r="I687" s="2570"/>
      <c r="J687" s="2599"/>
    </row>
    <row r="688">
      <c r="I688" s="2570"/>
      <c r="J688" s="2599"/>
    </row>
    <row r="689">
      <c r="I689" s="2570"/>
      <c r="J689" s="2599"/>
    </row>
    <row r="690">
      <c r="I690" s="2570"/>
      <c r="J690" s="2599"/>
    </row>
    <row r="691">
      <c r="I691" s="2570"/>
      <c r="J691" s="2599"/>
    </row>
    <row r="692">
      <c r="I692" s="2570"/>
      <c r="J692" s="2599"/>
    </row>
    <row r="693">
      <c r="I693" s="2570"/>
      <c r="J693" s="2599"/>
    </row>
    <row r="694">
      <c r="I694" s="2570"/>
      <c r="J694" s="2599"/>
    </row>
    <row r="695">
      <c r="I695" s="2570"/>
      <c r="J695" s="2599"/>
    </row>
    <row r="696">
      <c r="I696" s="2570"/>
      <c r="J696" s="2599"/>
    </row>
    <row r="697">
      <c r="I697" s="2570"/>
      <c r="J697" s="2599"/>
    </row>
    <row r="698">
      <c r="I698" s="2570"/>
      <c r="J698" s="2599"/>
    </row>
    <row r="699">
      <c r="I699" s="2570"/>
      <c r="J699" s="2599"/>
    </row>
    <row r="700">
      <c r="I700" s="2570"/>
      <c r="J700" s="2599"/>
    </row>
    <row r="701">
      <c r="I701" s="2570"/>
      <c r="J701" s="2599"/>
    </row>
    <row r="702">
      <c r="I702" s="2570"/>
      <c r="J702" s="2599"/>
    </row>
    <row r="703">
      <c r="I703" s="2570"/>
      <c r="J703" s="2599"/>
    </row>
    <row r="704">
      <c r="I704" s="2570"/>
      <c r="J704" s="2599"/>
    </row>
    <row r="705">
      <c r="I705" s="2570"/>
      <c r="J705" s="2599"/>
    </row>
    <row r="706">
      <c r="I706" s="2570"/>
      <c r="J706" s="2599"/>
    </row>
    <row r="707">
      <c r="I707" s="2570"/>
      <c r="J707" s="2599"/>
    </row>
    <row r="708">
      <c r="I708" s="2570"/>
      <c r="J708" s="2599"/>
    </row>
    <row r="709">
      <c r="I709" s="2570"/>
      <c r="J709" s="2599"/>
    </row>
    <row r="710">
      <c r="I710" s="2570"/>
      <c r="J710" s="2599"/>
    </row>
    <row r="711">
      <c r="I711" s="2570"/>
      <c r="J711" s="2599"/>
    </row>
    <row r="712">
      <c r="I712" s="2570"/>
      <c r="J712" s="2599"/>
    </row>
    <row r="713">
      <c r="I713" s="2570"/>
      <c r="J713" s="2599"/>
    </row>
    <row r="714">
      <c r="I714" s="2570"/>
      <c r="J714" s="2599"/>
    </row>
    <row r="715">
      <c r="I715" s="2570"/>
      <c r="J715" s="2599"/>
    </row>
    <row r="716">
      <c r="I716" s="2570"/>
      <c r="J716" s="2599"/>
    </row>
    <row r="717">
      <c r="I717" s="2570"/>
      <c r="J717" s="2599"/>
    </row>
    <row r="718">
      <c r="I718" s="2570"/>
      <c r="J718" s="2599"/>
    </row>
    <row r="719">
      <c r="I719" s="2570"/>
      <c r="J719" s="2599"/>
    </row>
    <row r="720">
      <c r="I720" s="2570"/>
      <c r="J720" s="2599"/>
    </row>
    <row r="721">
      <c r="I721" s="2570"/>
      <c r="J721" s="2599"/>
    </row>
    <row r="722">
      <c r="I722" s="2570"/>
      <c r="J722" s="2599"/>
    </row>
    <row r="723">
      <c r="I723" s="2570"/>
      <c r="J723" s="2599"/>
    </row>
    <row r="724">
      <c r="I724" s="2570"/>
      <c r="J724" s="2599"/>
    </row>
    <row r="725">
      <c r="I725" s="2570"/>
      <c r="J725" s="2599"/>
    </row>
    <row r="726">
      <c r="I726" s="2570"/>
      <c r="J726" s="2599"/>
    </row>
    <row r="727">
      <c r="I727" s="2570"/>
      <c r="J727" s="2599"/>
    </row>
    <row r="728">
      <c r="I728" s="2570"/>
      <c r="J728" s="2599"/>
    </row>
    <row r="729">
      <c r="I729" s="2570"/>
      <c r="J729" s="2599"/>
    </row>
    <row r="730">
      <c r="I730" s="2570"/>
      <c r="J730" s="2599"/>
    </row>
    <row r="731">
      <c r="I731" s="2570"/>
      <c r="J731" s="2599"/>
    </row>
    <row r="732">
      <c r="I732" s="2570"/>
      <c r="J732" s="2599"/>
    </row>
    <row r="733">
      <c r="I733" s="2570"/>
      <c r="J733" s="2599"/>
    </row>
    <row r="734">
      <c r="I734" s="2570"/>
      <c r="J734" s="2599"/>
    </row>
    <row r="735">
      <c r="I735" s="2570"/>
      <c r="J735" s="2599"/>
    </row>
    <row r="736">
      <c r="I736" s="2570"/>
      <c r="J736" s="2599"/>
    </row>
    <row r="737">
      <c r="I737" s="2570"/>
      <c r="J737" s="2599"/>
    </row>
    <row r="738">
      <c r="I738" s="2570"/>
      <c r="J738" s="2599"/>
    </row>
    <row r="739">
      <c r="I739" s="2570"/>
      <c r="J739" s="2599"/>
    </row>
    <row r="740">
      <c r="I740" s="2570"/>
      <c r="J740" s="2599"/>
    </row>
    <row r="741">
      <c r="I741" s="2570"/>
      <c r="J741" s="2599"/>
    </row>
    <row r="742">
      <c r="I742" s="2570"/>
      <c r="J742" s="2599"/>
    </row>
    <row r="743">
      <c r="I743" s="2570"/>
      <c r="J743" s="2599"/>
    </row>
    <row r="744">
      <c r="I744" s="2570"/>
      <c r="J744" s="2599"/>
    </row>
    <row r="745">
      <c r="I745" s="2570"/>
      <c r="J745" s="2599"/>
    </row>
    <row r="746">
      <c r="I746" s="2570"/>
      <c r="J746" s="2599"/>
    </row>
    <row r="747">
      <c r="I747" s="2570"/>
      <c r="J747" s="2599"/>
    </row>
    <row r="748">
      <c r="I748" s="2570"/>
      <c r="J748" s="2599"/>
    </row>
    <row r="749">
      <c r="I749" s="2570"/>
      <c r="J749" s="2599"/>
    </row>
    <row r="750">
      <c r="I750" s="2570"/>
      <c r="J750" s="2599"/>
    </row>
    <row r="751">
      <c r="I751" s="2570"/>
      <c r="J751" s="2599"/>
    </row>
    <row r="752">
      <c r="I752" s="2570"/>
      <c r="J752" s="2599"/>
    </row>
    <row r="753">
      <c r="I753" s="2570"/>
      <c r="J753" s="2599"/>
    </row>
    <row r="754">
      <c r="I754" s="2570"/>
      <c r="J754" s="2599"/>
    </row>
    <row r="755">
      <c r="I755" s="2570"/>
      <c r="J755" s="2599"/>
    </row>
    <row r="756">
      <c r="I756" s="2570"/>
      <c r="J756" s="2599"/>
    </row>
    <row r="757">
      <c r="I757" s="2570"/>
      <c r="J757" s="2599"/>
    </row>
    <row r="758">
      <c r="I758" s="2570"/>
      <c r="J758" s="2599"/>
    </row>
    <row r="759">
      <c r="I759" s="2570"/>
      <c r="J759" s="2599"/>
    </row>
    <row r="760">
      <c r="I760" s="2570"/>
      <c r="J760" s="2599"/>
    </row>
    <row r="761">
      <c r="I761" s="2570"/>
      <c r="J761" s="2599"/>
    </row>
    <row r="762">
      <c r="I762" s="2570"/>
      <c r="J762" s="2599"/>
    </row>
    <row r="763">
      <c r="I763" s="2570"/>
      <c r="J763" s="2599"/>
    </row>
    <row r="764">
      <c r="I764" s="2570"/>
      <c r="J764" s="2599"/>
    </row>
    <row r="765">
      <c r="I765" s="2570"/>
      <c r="J765" s="2599"/>
    </row>
    <row r="766">
      <c r="I766" s="2570"/>
      <c r="J766" s="2599"/>
    </row>
    <row r="767">
      <c r="I767" s="2570"/>
      <c r="J767" s="2599"/>
    </row>
    <row r="768">
      <c r="I768" s="2570"/>
      <c r="J768" s="2599"/>
    </row>
    <row r="769">
      <c r="I769" s="2570"/>
      <c r="J769" s="2599"/>
    </row>
    <row r="770">
      <c r="I770" s="2570"/>
      <c r="J770" s="2599"/>
    </row>
    <row r="771">
      <c r="I771" s="2570"/>
      <c r="J771" s="2599"/>
    </row>
    <row r="772">
      <c r="I772" s="2570"/>
      <c r="J772" s="2599"/>
    </row>
    <row r="773">
      <c r="I773" s="2570"/>
      <c r="J773" s="2599"/>
    </row>
    <row r="774">
      <c r="I774" s="2570"/>
      <c r="J774" s="2599"/>
    </row>
    <row r="775">
      <c r="I775" s="2570"/>
      <c r="J775" s="2599"/>
    </row>
    <row r="776">
      <c r="I776" s="2570"/>
      <c r="J776" s="2599"/>
    </row>
    <row r="777">
      <c r="I777" s="2570"/>
      <c r="J777" s="2599"/>
    </row>
    <row r="778">
      <c r="I778" s="2570"/>
      <c r="J778" s="2599"/>
    </row>
    <row r="779">
      <c r="I779" s="2570"/>
      <c r="J779" s="2599"/>
    </row>
    <row r="780">
      <c r="I780" s="2570"/>
      <c r="J780" s="2599"/>
    </row>
    <row r="781">
      <c r="I781" s="2570"/>
      <c r="J781" s="2599"/>
    </row>
    <row r="782">
      <c r="I782" s="2570"/>
      <c r="J782" s="2599"/>
    </row>
    <row r="783">
      <c r="I783" s="2570"/>
      <c r="J783" s="2599"/>
    </row>
    <row r="784">
      <c r="I784" s="2570"/>
      <c r="J784" s="2599"/>
    </row>
    <row r="785">
      <c r="I785" s="2570"/>
      <c r="J785" s="2599"/>
    </row>
    <row r="786">
      <c r="I786" s="2570"/>
      <c r="J786" s="2599"/>
    </row>
    <row r="787">
      <c r="I787" s="2570"/>
      <c r="J787" s="2599"/>
    </row>
    <row r="788">
      <c r="I788" s="2570"/>
      <c r="J788" s="2599"/>
    </row>
    <row r="789">
      <c r="I789" s="2570"/>
      <c r="J789" s="2599"/>
    </row>
    <row r="790">
      <c r="I790" s="2570"/>
      <c r="J790" s="2599"/>
    </row>
    <row r="791">
      <c r="I791" s="2570"/>
      <c r="J791" s="2599"/>
    </row>
    <row r="792">
      <c r="I792" s="2570"/>
      <c r="J792" s="2599"/>
    </row>
    <row r="793">
      <c r="I793" s="2570"/>
      <c r="J793" s="2599"/>
    </row>
    <row r="794">
      <c r="I794" s="2570"/>
      <c r="J794" s="2599"/>
    </row>
    <row r="795">
      <c r="I795" s="2570"/>
      <c r="J795" s="2599"/>
    </row>
    <row r="796">
      <c r="I796" s="2570"/>
      <c r="J796" s="2599"/>
    </row>
    <row r="797">
      <c r="I797" s="2570"/>
      <c r="J797" s="2599"/>
    </row>
    <row r="798">
      <c r="I798" s="2570"/>
      <c r="J798" s="2599"/>
    </row>
    <row r="799">
      <c r="I799" s="2570"/>
      <c r="J799" s="2599"/>
    </row>
    <row r="800">
      <c r="I800" s="2570"/>
      <c r="J800" s="2599"/>
    </row>
    <row r="801">
      <c r="I801" s="2570"/>
      <c r="J801" s="2599"/>
    </row>
    <row r="802">
      <c r="I802" s="2570"/>
      <c r="J802" s="2599"/>
    </row>
    <row r="803">
      <c r="I803" s="2570"/>
      <c r="J803" s="2599"/>
    </row>
    <row r="804">
      <c r="I804" s="2570"/>
      <c r="J804" s="2599"/>
    </row>
    <row r="805">
      <c r="I805" s="2570"/>
      <c r="J805" s="2599"/>
    </row>
    <row r="806">
      <c r="I806" s="2570"/>
      <c r="J806" s="2599"/>
    </row>
    <row r="807">
      <c r="I807" s="2570"/>
      <c r="J807" s="2599"/>
    </row>
    <row r="808">
      <c r="I808" s="2570"/>
      <c r="J808" s="2599"/>
    </row>
    <row r="809">
      <c r="I809" s="2570"/>
      <c r="J809" s="2599"/>
    </row>
    <row r="810">
      <c r="I810" s="2570"/>
      <c r="J810" s="2599"/>
    </row>
    <row r="811">
      <c r="I811" s="2570"/>
      <c r="J811" s="2599"/>
    </row>
    <row r="812">
      <c r="I812" s="2570"/>
      <c r="J812" s="2599"/>
    </row>
    <row r="813">
      <c r="I813" s="2570"/>
      <c r="J813" s="2599"/>
    </row>
    <row r="814">
      <c r="I814" s="2570"/>
      <c r="J814" s="2599"/>
    </row>
    <row r="815">
      <c r="I815" s="2570"/>
      <c r="J815" s="2599"/>
    </row>
    <row r="816">
      <c r="I816" s="2570"/>
      <c r="J816" s="2599"/>
    </row>
    <row r="817">
      <c r="I817" s="2570"/>
      <c r="J817" s="2599"/>
    </row>
    <row r="818">
      <c r="I818" s="2570"/>
      <c r="J818" s="2599"/>
    </row>
    <row r="819">
      <c r="I819" s="2570"/>
      <c r="J819" s="2599"/>
    </row>
    <row r="820">
      <c r="I820" s="2570"/>
      <c r="J820" s="2599"/>
    </row>
    <row r="821">
      <c r="I821" s="2570"/>
      <c r="J821" s="2599"/>
    </row>
    <row r="822">
      <c r="I822" s="2570"/>
      <c r="J822" s="2599"/>
    </row>
    <row r="823">
      <c r="I823" s="2570"/>
      <c r="J823" s="2599"/>
    </row>
    <row r="824">
      <c r="I824" s="2570"/>
      <c r="J824" s="2599"/>
    </row>
    <row r="825">
      <c r="I825" s="2570"/>
      <c r="J825" s="2599"/>
    </row>
    <row r="826">
      <c r="I826" s="2570"/>
      <c r="J826" s="2599"/>
    </row>
    <row r="827">
      <c r="I827" s="2570"/>
      <c r="J827" s="2599"/>
    </row>
    <row r="828">
      <c r="I828" s="2570"/>
      <c r="J828" s="2599"/>
    </row>
    <row r="829">
      <c r="I829" s="2570"/>
      <c r="J829" s="2599"/>
    </row>
    <row r="830">
      <c r="I830" s="2570"/>
      <c r="J830" s="2599"/>
    </row>
    <row r="831">
      <c r="I831" s="2570"/>
      <c r="J831" s="2599"/>
    </row>
    <row r="832">
      <c r="I832" s="2570"/>
      <c r="J832" s="2599"/>
    </row>
    <row r="833">
      <c r="I833" s="2570"/>
      <c r="J833" s="2599"/>
    </row>
    <row r="834">
      <c r="I834" s="2570"/>
      <c r="J834" s="2599"/>
    </row>
    <row r="835">
      <c r="I835" s="2570"/>
      <c r="J835" s="2599"/>
    </row>
    <row r="836">
      <c r="I836" s="2570"/>
      <c r="J836" s="2599"/>
    </row>
    <row r="837">
      <c r="I837" s="2570"/>
      <c r="J837" s="2599"/>
    </row>
    <row r="838">
      <c r="I838" s="2570"/>
      <c r="J838" s="2599"/>
    </row>
    <row r="839">
      <c r="I839" s="2570"/>
      <c r="J839" s="2599"/>
    </row>
    <row r="840">
      <c r="I840" s="2570"/>
      <c r="J840" s="2599"/>
    </row>
    <row r="841">
      <c r="I841" s="2570"/>
      <c r="J841" s="2599"/>
    </row>
    <row r="842">
      <c r="I842" s="2570"/>
      <c r="J842" s="2599"/>
    </row>
    <row r="843">
      <c r="I843" s="2570"/>
      <c r="J843" s="2599"/>
    </row>
    <row r="844">
      <c r="I844" s="2570"/>
      <c r="J844" s="2599"/>
    </row>
    <row r="845">
      <c r="I845" s="2570"/>
      <c r="J845" s="2599"/>
    </row>
    <row r="846">
      <c r="I846" s="2570"/>
      <c r="J846" s="2599"/>
    </row>
    <row r="847">
      <c r="I847" s="2570"/>
      <c r="J847" s="2599"/>
    </row>
    <row r="848">
      <c r="I848" s="2570"/>
      <c r="J848" s="2599"/>
    </row>
    <row r="849">
      <c r="I849" s="2570"/>
      <c r="J849" s="2599"/>
    </row>
    <row r="850">
      <c r="I850" s="2570"/>
      <c r="J850" s="2599"/>
    </row>
    <row r="851">
      <c r="I851" s="2570"/>
      <c r="J851" s="2599"/>
    </row>
    <row r="852">
      <c r="I852" s="2570"/>
      <c r="J852" s="2599"/>
    </row>
    <row r="853">
      <c r="I853" s="2570"/>
      <c r="J853" s="2599"/>
    </row>
    <row r="854">
      <c r="I854" s="2570"/>
      <c r="J854" s="2599"/>
    </row>
    <row r="855">
      <c r="I855" s="2570"/>
      <c r="J855" s="2599"/>
    </row>
    <row r="856">
      <c r="I856" s="2570"/>
      <c r="J856" s="2599"/>
    </row>
    <row r="857">
      <c r="I857" s="2570"/>
      <c r="J857" s="2599"/>
    </row>
    <row r="858">
      <c r="I858" s="2570"/>
      <c r="J858" s="2599"/>
    </row>
    <row r="859">
      <c r="I859" s="2570"/>
      <c r="J859" s="2599"/>
    </row>
    <row r="860">
      <c r="I860" s="2570"/>
      <c r="J860" s="2599"/>
    </row>
    <row r="861">
      <c r="I861" s="2570"/>
      <c r="J861" s="2599"/>
    </row>
    <row r="862">
      <c r="I862" s="2570"/>
      <c r="J862" s="2599"/>
    </row>
    <row r="863">
      <c r="I863" s="2570"/>
      <c r="J863" s="2599"/>
    </row>
    <row r="864">
      <c r="I864" s="2570"/>
      <c r="J864" s="2599"/>
    </row>
    <row r="865">
      <c r="I865" s="2570"/>
      <c r="J865" s="2599"/>
    </row>
    <row r="866">
      <c r="I866" s="2570"/>
      <c r="J866" s="2599"/>
    </row>
    <row r="867">
      <c r="I867" s="2570"/>
      <c r="J867" s="2599"/>
    </row>
    <row r="868">
      <c r="I868" s="2570"/>
      <c r="J868" s="2599"/>
    </row>
    <row r="869">
      <c r="I869" s="2570"/>
      <c r="J869" s="2599"/>
    </row>
    <row r="870">
      <c r="I870" s="2570"/>
      <c r="J870" s="2599"/>
    </row>
    <row r="871">
      <c r="I871" s="2570"/>
      <c r="J871" s="2599"/>
    </row>
    <row r="872">
      <c r="I872" s="2570"/>
      <c r="J872" s="2599"/>
    </row>
    <row r="873">
      <c r="I873" s="2570"/>
      <c r="J873" s="2599"/>
    </row>
    <row r="874">
      <c r="I874" s="2570"/>
      <c r="J874" s="2599"/>
    </row>
    <row r="875">
      <c r="I875" s="2570"/>
      <c r="J875" s="2599"/>
    </row>
    <row r="876">
      <c r="I876" s="2570"/>
      <c r="J876" s="2599"/>
    </row>
    <row r="877">
      <c r="I877" s="2570"/>
      <c r="J877" s="2599"/>
    </row>
    <row r="878">
      <c r="I878" s="2570"/>
      <c r="J878" s="2599"/>
    </row>
    <row r="879">
      <c r="I879" s="2570"/>
      <c r="J879" s="2599"/>
    </row>
    <row r="880">
      <c r="I880" s="2570"/>
      <c r="J880" s="2599"/>
    </row>
    <row r="881">
      <c r="I881" s="2570"/>
      <c r="J881" s="2599"/>
    </row>
    <row r="882">
      <c r="I882" s="2570"/>
      <c r="J882" s="2599"/>
    </row>
    <row r="883">
      <c r="I883" s="2570"/>
      <c r="J883" s="2599"/>
    </row>
    <row r="884">
      <c r="I884" s="2570"/>
      <c r="J884" s="2599"/>
    </row>
    <row r="885">
      <c r="I885" s="2570"/>
      <c r="J885" s="2599"/>
    </row>
    <row r="886">
      <c r="I886" s="2570"/>
      <c r="J886" s="2599"/>
    </row>
    <row r="887">
      <c r="I887" s="2570"/>
      <c r="J887" s="2599"/>
    </row>
    <row r="888">
      <c r="I888" s="2570"/>
      <c r="J888" s="2599"/>
    </row>
    <row r="889">
      <c r="I889" s="2570"/>
      <c r="J889" s="2599"/>
    </row>
    <row r="890">
      <c r="I890" s="2570"/>
      <c r="J890" s="2599"/>
    </row>
    <row r="891">
      <c r="I891" s="2570"/>
      <c r="J891" s="2599"/>
    </row>
    <row r="892">
      <c r="I892" s="2570"/>
      <c r="J892" s="2599"/>
    </row>
    <row r="893">
      <c r="I893" s="2570"/>
      <c r="J893" s="2599"/>
    </row>
    <row r="894">
      <c r="I894" s="2570"/>
      <c r="J894" s="2599"/>
    </row>
    <row r="895">
      <c r="I895" s="2570"/>
      <c r="J895" s="2599"/>
    </row>
    <row r="896">
      <c r="I896" s="2570"/>
      <c r="J896" s="2599"/>
    </row>
    <row r="897">
      <c r="I897" s="2570"/>
      <c r="J897" s="2599"/>
    </row>
    <row r="898">
      <c r="I898" s="2570"/>
      <c r="J898" s="2599"/>
    </row>
    <row r="899">
      <c r="I899" s="2570"/>
      <c r="J899" s="2599"/>
    </row>
    <row r="900">
      <c r="I900" s="2570"/>
      <c r="J900" s="2599"/>
    </row>
    <row r="901">
      <c r="I901" s="2570"/>
      <c r="J901" s="2599"/>
    </row>
    <row r="902">
      <c r="I902" s="2570"/>
      <c r="J902" s="2599"/>
    </row>
    <row r="903">
      <c r="I903" s="2570"/>
      <c r="J903" s="2599"/>
    </row>
    <row r="904">
      <c r="I904" s="2570"/>
      <c r="J904" s="2599"/>
    </row>
    <row r="905">
      <c r="I905" s="2570"/>
      <c r="J905" s="2599"/>
    </row>
    <row r="906">
      <c r="I906" s="2570"/>
      <c r="J906" s="2599"/>
    </row>
    <row r="907">
      <c r="I907" s="2570"/>
      <c r="J907" s="2599"/>
    </row>
    <row r="908">
      <c r="I908" s="2570"/>
      <c r="J908" s="2599"/>
    </row>
    <row r="909">
      <c r="I909" s="2570"/>
      <c r="J909" s="2599"/>
    </row>
    <row r="910">
      <c r="I910" s="2570"/>
      <c r="J910" s="2599"/>
    </row>
    <row r="911">
      <c r="I911" s="2570"/>
      <c r="J911" s="2599"/>
    </row>
    <row r="912">
      <c r="I912" s="2570"/>
      <c r="J912" s="2599"/>
    </row>
    <row r="913">
      <c r="I913" s="2570"/>
      <c r="J913" s="2599"/>
    </row>
    <row r="914">
      <c r="I914" s="2570"/>
      <c r="J914" s="2599"/>
    </row>
    <row r="915">
      <c r="I915" s="2570"/>
      <c r="J915" s="2599"/>
    </row>
    <row r="916">
      <c r="I916" s="2570"/>
      <c r="J916" s="2599"/>
    </row>
    <row r="917">
      <c r="I917" s="2570"/>
      <c r="J917" s="2599"/>
    </row>
    <row r="918">
      <c r="I918" s="2570"/>
      <c r="J918" s="2599"/>
    </row>
    <row r="919">
      <c r="I919" s="2570"/>
      <c r="J919" s="2599"/>
    </row>
    <row r="920">
      <c r="I920" s="2570"/>
      <c r="J920" s="2599"/>
    </row>
    <row r="921">
      <c r="I921" s="2570"/>
      <c r="J921" s="2599"/>
    </row>
    <row r="922">
      <c r="I922" s="2570"/>
      <c r="J922" s="2599"/>
    </row>
    <row r="923">
      <c r="I923" s="2570"/>
      <c r="J923" s="2599"/>
    </row>
    <row r="924">
      <c r="I924" s="2570"/>
      <c r="J924" s="2599"/>
    </row>
    <row r="925">
      <c r="I925" s="2570"/>
      <c r="J925" s="2599"/>
    </row>
    <row r="926">
      <c r="I926" s="2570"/>
      <c r="J926" s="2599"/>
    </row>
    <row r="927">
      <c r="I927" s="2570"/>
      <c r="J927" s="2599"/>
    </row>
    <row r="928">
      <c r="I928" s="2570"/>
      <c r="J928" s="2599"/>
    </row>
    <row r="929">
      <c r="I929" s="2570"/>
      <c r="J929" s="2599"/>
    </row>
    <row r="930">
      <c r="I930" s="2570"/>
      <c r="J930" s="2599"/>
    </row>
    <row r="931">
      <c r="I931" s="2570"/>
      <c r="J931" s="2599"/>
    </row>
    <row r="932">
      <c r="I932" s="2570"/>
      <c r="J932" s="2599"/>
    </row>
    <row r="933">
      <c r="I933" s="2570"/>
      <c r="J933" s="2599"/>
    </row>
    <row r="934">
      <c r="I934" s="2570"/>
      <c r="J934" s="2599"/>
    </row>
    <row r="935">
      <c r="I935" s="2570"/>
      <c r="J935" s="2599"/>
    </row>
    <row r="936">
      <c r="I936" s="2570"/>
      <c r="J936" s="2599"/>
    </row>
    <row r="937">
      <c r="I937" s="2570"/>
      <c r="J937" s="2599"/>
    </row>
    <row r="938">
      <c r="I938" s="2570"/>
      <c r="J938" s="2599"/>
    </row>
    <row r="939">
      <c r="I939" s="2570"/>
      <c r="J939" s="2599"/>
    </row>
    <row r="940">
      <c r="I940" s="2570"/>
      <c r="J940" s="2599"/>
    </row>
    <row r="941">
      <c r="I941" s="2570"/>
      <c r="J941" s="2599"/>
    </row>
    <row r="942">
      <c r="I942" s="2570"/>
      <c r="J942" s="2599"/>
    </row>
    <row r="943">
      <c r="I943" s="2570"/>
      <c r="J943" s="2599"/>
    </row>
    <row r="944">
      <c r="I944" s="2570"/>
      <c r="J944" s="2599"/>
    </row>
    <row r="945">
      <c r="I945" s="2570"/>
      <c r="J945" s="2599"/>
    </row>
    <row r="946">
      <c r="I946" s="2570"/>
      <c r="J946" s="2599"/>
    </row>
    <row r="947">
      <c r="I947" s="2570"/>
      <c r="J947" s="2599"/>
    </row>
    <row r="948">
      <c r="I948" s="2570"/>
      <c r="J948" s="2599"/>
    </row>
    <row r="949">
      <c r="I949" s="2570"/>
      <c r="J949" s="2599"/>
    </row>
    <row r="950">
      <c r="I950" s="2570"/>
      <c r="J950" s="2599"/>
    </row>
    <row r="951">
      <c r="I951" s="2570"/>
      <c r="J951" s="2599"/>
    </row>
    <row r="952">
      <c r="I952" s="2570"/>
      <c r="J952" s="2599"/>
    </row>
    <row r="953">
      <c r="I953" s="2570"/>
      <c r="J953" s="2599"/>
    </row>
    <row r="954">
      <c r="I954" s="2570"/>
      <c r="J954" s="2599"/>
    </row>
    <row r="955">
      <c r="I955" s="2570"/>
      <c r="J955" s="2599"/>
    </row>
    <row r="956">
      <c r="I956" s="2570"/>
      <c r="J956" s="2599"/>
    </row>
    <row r="957">
      <c r="I957" s="2570"/>
      <c r="J957" s="2599"/>
    </row>
    <row r="958">
      <c r="I958" s="2570"/>
      <c r="J958" s="2599"/>
    </row>
    <row r="959">
      <c r="I959" s="2570"/>
      <c r="J959" s="2599"/>
    </row>
    <row r="960">
      <c r="I960" s="2570"/>
      <c r="J960" s="2599"/>
    </row>
    <row r="961">
      <c r="I961" s="2570"/>
      <c r="J961" s="2599"/>
    </row>
    <row r="962">
      <c r="I962" s="2570"/>
      <c r="J962" s="2599"/>
    </row>
    <row r="963">
      <c r="I963" s="2570"/>
      <c r="J963" s="2599"/>
    </row>
    <row r="964">
      <c r="I964" s="2570"/>
      <c r="J964" s="2599"/>
    </row>
    <row r="965">
      <c r="I965" s="2570"/>
      <c r="J965" s="2599"/>
    </row>
    <row r="966">
      <c r="I966" s="2570"/>
      <c r="J966" s="2599"/>
    </row>
    <row r="967">
      <c r="I967" s="2570"/>
      <c r="J967" s="2599"/>
    </row>
    <row r="968">
      <c r="I968" s="2570"/>
      <c r="J968" s="2599"/>
    </row>
    <row r="969">
      <c r="I969" s="2570"/>
      <c r="J969" s="2599"/>
    </row>
    <row r="970">
      <c r="I970" s="2570"/>
      <c r="J970" s="2599"/>
    </row>
    <row r="971">
      <c r="I971" s="2570"/>
      <c r="J971" s="2599"/>
    </row>
    <row r="972">
      <c r="I972" s="2570"/>
      <c r="J972" s="2599"/>
    </row>
    <row r="973">
      <c r="I973" s="2570"/>
      <c r="J973" s="2599"/>
    </row>
    <row r="974">
      <c r="I974" s="2570"/>
      <c r="J974" s="2599"/>
    </row>
    <row r="975">
      <c r="I975" s="2570"/>
      <c r="J975" s="2599"/>
    </row>
    <row r="976">
      <c r="I976" s="2570"/>
      <c r="J976" s="2599"/>
    </row>
    <row r="977">
      <c r="I977" s="2570"/>
      <c r="J977" s="2599"/>
    </row>
    <row r="978">
      <c r="I978" s="2570"/>
      <c r="J978" s="2599"/>
    </row>
    <row r="979">
      <c r="I979" s="2570"/>
      <c r="J979" s="2599"/>
    </row>
    <row r="980">
      <c r="I980" s="2570"/>
      <c r="J980" s="2599"/>
    </row>
    <row r="981">
      <c r="I981" s="2570"/>
      <c r="J981" s="2599"/>
    </row>
    <row r="982">
      <c r="I982" s="2570"/>
      <c r="J982" s="2599"/>
    </row>
    <row r="983">
      <c r="I983" s="2570"/>
      <c r="J983" s="2599"/>
    </row>
    <row r="984">
      <c r="I984" s="2570"/>
      <c r="J984" s="2599"/>
    </row>
    <row r="985">
      <c r="I985" s="2570"/>
      <c r="J985" s="2599"/>
    </row>
    <row r="986">
      <c r="I986" s="2570"/>
      <c r="J986" s="2599"/>
    </row>
    <row r="987">
      <c r="I987" s="2570"/>
      <c r="J987" s="2599"/>
    </row>
    <row r="988">
      <c r="I988" s="2570"/>
      <c r="J988" s="2599"/>
    </row>
    <row r="989">
      <c r="I989" s="2570"/>
      <c r="J989" s="2599"/>
    </row>
    <row r="990">
      <c r="I990" s="2570"/>
      <c r="J990" s="2599"/>
    </row>
    <row r="991">
      <c r="I991" s="2570"/>
      <c r="J991" s="2599"/>
    </row>
    <row r="992">
      <c r="I992" s="2570"/>
      <c r="J992" s="2599"/>
    </row>
    <row r="993">
      <c r="I993" s="2570"/>
      <c r="J993" s="2599"/>
    </row>
    <row r="994">
      <c r="I994" s="2570"/>
      <c r="J994" s="2599"/>
    </row>
    <row r="995">
      <c r="I995" s="2570"/>
      <c r="J995" s="2599"/>
    </row>
    <row r="996">
      <c r="I996" s="2570"/>
      <c r="J996" s="2599"/>
    </row>
    <row r="997">
      <c r="I997" s="2570"/>
      <c r="J997" s="2599"/>
    </row>
    <row r="998">
      <c r="I998" s="2570"/>
      <c r="J998" s="2599"/>
    </row>
    <row r="999">
      <c r="I999" s="2570"/>
      <c r="J999" s="2599"/>
    </row>
    <row r="1000">
      <c r="I1000" s="2570"/>
      <c r="J1000" s="2599"/>
    </row>
  </sheetData>
  <conditionalFormatting sqref="K1:K1000">
    <cfRule type="cellIs" dxfId="0" priority="1" operator="lessThan">
      <formula>0</formula>
    </cfRule>
  </conditionalFormatting>
  <conditionalFormatting sqref="K1:K1000">
    <cfRule type="cellIs" dxfId="2" priority="2" operator="greaterThan">
      <formula>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9.0"/>
    <col customWidth="1" min="4" max="4" width="37.89"/>
    <col customWidth="1" min="5" max="5" width="6.11"/>
    <col customWidth="1" min="6" max="7" width="5.11"/>
    <col customWidth="1" min="8" max="8" width="10.33"/>
    <col customWidth="1" min="9" max="9" width="5.11"/>
    <col customWidth="1" min="10" max="10" width="10.44"/>
    <col customWidth="1" min="13" max="13" width="30.56"/>
    <col customWidth="1" min="14" max="14" width="4.22"/>
    <col customWidth="1" min="15" max="15" width="2.89"/>
    <col customWidth="1" min="16" max="16" width="9.11"/>
    <col customWidth="1" min="18" max="18" width="7.78"/>
    <col customWidth="1" min="19" max="19" width="34.33"/>
    <col customWidth="1" min="20" max="20" width="37.56"/>
    <col customWidth="1" min="25" max="25" width="11.67"/>
  </cols>
  <sheetData>
    <row r="1">
      <c r="A1" s="2565" t="str">
        <f>'План 4-я неделя'!A2</f>
        <v>Дата:  </v>
      </c>
      <c r="B1" s="2609">
        <f>'План 4-я неделя'!D2</f>
        <v>46250</v>
      </c>
      <c r="C1" s="2568"/>
      <c r="D1" s="2568" t="str">
        <f>'План 4-я неделя'!E2</f>
        <v>План на день кухня       ВОСКРЕСЕНЬЕ</v>
      </c>
      <c r="H1" s="2569">
        <f>SUM(H3:H31)</f>
        <v>370597</v>
      </c>
      <c r="I1" s="2570"/>
      <c r="J1" s="2572">
        <f>SUM(J3:J31)</f>
        <v>360689</v>
      </c>
      <c r="K1" s="2573">
        <f>J1-H1</f>
        <v>-9908</v>
      </c>
      <c r="L1" s="2574" t="s">
        <v>1283</v>
      </c>
      <c r="M1" s="2574" t="s">
        <v>1428</v>
      </c>
      <c r="N1" s="2574" t="s">
        <v>3415</v>
      </c>
      <c r="O1" s="2574" t="s">
        <v>3416</v>
      </c>
      <c r="R1" s="2574" t="s">
        <v>1283</v>
      </c>
      <c r="S1" s="2574" t="s">
        <v>3283</v>
      </c>
      <c r="T1" s="2574" t="s">
        <v>3417</v>
      </c>
    </row>
    <row r="2">
      <c r="A2" s="2575" t="str">
        <f>'План 4-я неделя'!B3</f>
        <v>Код</v>
      </c>
      <c r="B2" s="2575" t="str">
        <f>'План 4-я неделя'!C3</f>
        <v>Цена</v>
      </c>
      <c r="C2" s="2575" t="str">
        <f>'План 4-я неделя'!D3</f>
        <v>Категория</v>
      </c>
      <c r="D2" s="2575" t="str">
        <f>'План 4-я неделя'!E3</f>
        <v>Название блюда</v>
      </c>
      <c r="E2" s="2576" t="str">
        <f>'План 4-я неделя'!BL3</f>
        <v>ТСПК</v>
      </c>
      <c r="F2" s="2165" t="str">
        <f>'План 4-я неделя'!BN3</f>
        <v>Стол</v>
      </c>
      <c r="G2" s="2165" t="s">
        <v>3421</v>
      </c>
      <c r="H2" s="2165" t="s">
        <v>3422</v>
      </c>
      <c r="I2" s="2578" t="s">
        <v>3424</v>
      </c>
      <c r="J2" s="2578" t="s">
        <v>3425</v>
      </c>
      <c r="K2" s="195"/>
      <c r="L2" s="95"/>
      <c r="M2" s="962"/>
      <c r="N2" s="95"/>
      <c r="O2" s="2611"/>
      <c r="P2" s="2579"/>
      <c r="Q2" s="2579"/>
      <c r="R2" s="145">
        <v>33.0</v>
      </c>
      <c r="S2" s="1268" t="s">
        <v>524</v>
      </c>
      <c r="T2" s="1268" t="s">
        <v>3436</v>
      </c>
    </row>
    <row r="3">
      <c r="A3" s="962">
        <f>'План 4-я неделя'!B4</f>
        <v>2762</v>
      </c>
      <c r="B3" s="962">
        <f>'План 4-я неделя'!C4</f>
        <v>174</v>
      </c>
      <c r="C3" s="962" t="str">
        <f>'План 4-я неделя'!D4</f>
        <v>Завтрак</v>
      </c>
      <c r="D3" s="962" t="str">
        <f>'План 4-я неделя'!E4</f>
        <v>Запеканка творожная с курагой</v>
      </c>
      <c r="E3" s="2576" t="str">
        <f>'План 4-я неделя'!BL4</f>
        <v/>
      </c>
      <c r="F3" s="95" t="str">
        <f>'План 4-я неделя'!BN4</f>
        <v/>
      </c>
      <c r="G3" s="95">
        <f>F3+'План 4-я неделя'!BP4</f>
        <v>122</v>
      </c>
      <c r="H3" s="2584">
        <f t="shared" ref="H3:H31" si="1">B3*G3</f>
        <v>21228</v>
      </c>
      <c r="I3" s="2587">
        <f>'План 4-я неделя'!BQ4</f>
        <v>121</v>
      </c>
      <c r="J3" s="2590">
        <f t="shared" ref="J3:J31" si="2">I3*B3</f>
        <v>21054</v>
      </c>
      <c r="K3" s="195"/>
      <c r="O3" s="2579"/>
      <c r="Q3" s="2579"/>
      <c r="R3" s="145">
        <v>89.0</v>
      </c>
      <c r="S3" s="1268" t="s">
        <v>460</v>
      </c>
      <c r="T3" s="1268" t="s">
        <v>3436</v>
      </c>
    </row>
    <row r="4">
      <c r="A4" s="962">
        <f>'План 4-я неделя'!B5</f>
        <v>1076</v>
      </c>
      <c r="B4" s="962">
        <f>'План 4-я неделя'!C5</f>
        <v>95</v>
      </c>
      <c r="C4" s="962" t="str">
        <f>'План 4-я неделя'!D5</f>
        <v>Завтрак</v>
      </c>
      <c r="D4" s="962" t="str">
        <f>'План 4-я неделя'!E5</f>
        <v>Омлет с ветчиной</v>
      </c>
      <c r="E4" s="2576" t="str">
        <f>'План 4-я неделя'!BL5</f>
        <v/>
      </c>
      <c r="F4" s="95" t="str">
        <f>'План 4-я неделя'!BN5</f>
        <v/>
      </c>
      <c r="G4" s="95">
        <f>F4+'План 4-я неделя'!BP5</f>
        <v>116</v>
      </c>
      <c r="H4" s="2584">
        <f t="shared" si="1"/>
        <v>11020</v>
      </c>
      <c r="I4" s="2587">
        <f>'План 4-я неделя'!BQ5</f>
        <v>115</v>
      </c>
      <c r="J4" s="2590">
        <f t="shared" si="2"/>
        <v>10925</v>
      </c>
      <c r="K4" s="195"/>
      <c r="L4" s="2574" t="s">
        <v>1283</v>
      </c>
      <c r="M4" s="2574" t="s">
        <v>1430</v>
      </c>
      <c r="N4" s="2574" t="s">
        <v>3415</v>
      </c>
      <c r="O4" s="2574" t="s">
        <v>3416</v>
      </c>
      <c r="Q4" s="2579"/>
      <c r="R4" s="145">
        <v>145.0</v>
      </c>
      <c r="S4" s="1268" t="s">
        <v>978</v>
      </c>
      <c r="T4" s="1268" t="s">
        <v>3436</v>
      </c>
    </row>
    <row r="5">
      <c r="A5" s="962">
        <f>'План 4-я неделя'!B6</f>
        <v>138</v>
      </c>
      <c r="B5" s="962">
        <f>'План 4-я неделя'!C6</f>
        <v>83</v>
      </c>
      <c r="C5" s="962" t="str">
        <f>'План 4-я неделя'!D6</f>
        <v>Завтрак</v>
      </c>
      <c r="D5" s="962" t="str">
        <f>'План 4-я неделя'!E6</f>
        <v>Каша рисовая (на молоке)</v>
      </c>
      <c r="E5" s="2576" t="str">
        <f>'План 4-я неделя'!BL6</f>
        <v/>
      </c>
      <c r="F5" s="95" t="str">
        <f>'План 4-я неделя'!BN6</f>
        <v/>
      </c>
      <c r="G5" s="95">
        <f>F5+'План 4-я неделя'!BP6</f>
        <v>73</v>
      </c>
      <c r="H5" s="2584">
        <f t="shared" si="1"/>
        <v>6059</v>
      </c>
      <c r="I5" s="2587">
        <f>'План 4-я неделя'!BQ6</f>
        <v>72</v>
      </c>
      <c r="J5" s="2590">
        <f t="shared" si="2"/>
        <v>5976</v>
      </c>
      <c r="K5" s="195"/>
      <c r="L5" s="145">
        <v>487.0</v>
      </c>
      <c r="M5" s="1268" t="s">
        <v>1443</v>
      </c>
      <c r="N5" s="145">
        <v>62.7</v>
      </c>
      <c r="O5" s="145" t="s">
        <v>3429</v>
      </c>
      <c r="Q5" s="2579"/>
      <c r="R5" s="145">
        <v>793.0</v>
      </c>
      <c r="S5" s="1268" t="s">
        <v>93</v>
      </c>
      <c r="T5" s="1268" t="s">
        <v>3436</v>
      </c>
    </row>
    <row r="6">
      <c r="A6" s="962">
        <f>'План 4-я неделя'!B7</f>
        <v>3147</v>
      </c>
      <c r="B6" s="962">
        <f>'План 4-я неделя'!C7</f>
        <v>98</v>
      </c>
      <c r="C6" s="962" t="str">
        <f>'План 4-я неделя'!D7</f>
        <v>Салат</v>
      </c>
      <c r="D6" s="962" t="str">
        <f>'План 4-я неделя'!E7</f>
        <v>Салат ''Столичный'' (филе кур)</v>
      </c>
      <c r="E6" s="2576">
        <f>'План 4-я неделя'!BL7</f>
        <v>50</v>
      </c>
      <c r="F6" s="95" t="str">
        <f>'План 4-я неделя'!BN7</f>
        <v/>
      </c>
      <c r="G6" s="95">
        <f>F6+'План 4-я неделя'!BP7</f>
        <v>129</v>
      </c>
      <c r="H6" s="2584">
        <f t="shared" si="1"/>
        <v>12642</v>
      </c>
      <c r="I6" s="2587">
        <f>'План 4-я неделя'!BQ7</f>
        <v>128</v>
      </c>
      <c r="J6" s="2590">
        <f t="shared" si="2"/>
        <v>12544</v>
      </c>
      <c r="K6" s="195"/>
      <c r="L6" s="145">
        <v>2247.0</v>
      </c>
      <c r="M6" s="1268" t="s">
        <v>1441</v>
      </c>
      <c r="N6" s="145">
        <v>38.2</v>
      </c>
      <c r="O6" s="145" t="s">
        <v>3429</v>
      </c>
      <c r="Q6" s="2579"/>
      <c r="R6" s="145">
        <v>822.0</v>
      </c>
      <c r="S6" s="1268" t="s">
        <v>136</v>
      </c>
      <c r="T6" s="1268" t="s">
        <v>3436</v>
      </c>
    </row>
    <row r="7">
      <c r="A7" s="962">
        <f>'План 4-я неделя'!B8</f>
        <v>3165</v>
      </c>
      <c r="B7" s="962">
        <f>'План 4-я неделя'!C8</f>
        <v>98</v>
      </c>
      <c r="C7" s="962" t="str">
        <f>'План 4-я неделя'!D8</f>
        <v>Салат</v>
      </c>
      <c r="D7" s="962" t="str">
        <f>'План 4-я неделя'!E8</f>
        <v>Салат ''Красное море'' (крабовые палочки)</v>
      </c>
      <c r="E7" s="2576">
        <f>'План 4-я неделя'!BL8</f>
        <v>50</v>
      </c>
      <c r="F7" s="95" t="str">
        <f>'План 4-я неделя'!BN8</f>
        <v/>
      </c>
      <c r="G7" s="95">
        <f>F7+'План 4-я неделя'!BP8</f>
        <v>167</v>
      </c>
      <c r="H7" s="2584">
        <f t="shared" si="1"/>
        <v>16366</v>
      </c>
      <c r="I7" s="2587">
        <f>'План 4-я неделя'!BQ8</f>
        <v>170</v>
      </c>
      <c r="J7" s="2590">
        <f t="shared" si="2"/>
        <v>16660</v>
      </c>
      <c r="K7" s="195"/>
      <c r="L7" s="145">
        <v>2264.0</v>
      </c>
      <c r="M7" s="1268" t="s">
        <v>1447</v>
      </c>
      <c r="N7" s="145">
        <v>23.85</v>
      </c>
      <c r="O7" s="145" t="s">
        <v>3429</v>
      </c>
      <c r="Q7" s="2579"/>
      <c r="R7" s="145">
        <v>1293.0</v>
      </c>
      <c r="S7" s="1268" t="s">
        <v>616</v>
      </c>
      <c r="T7" s="1268" t="s">
        <v>1437</v>
      </c>
    </row>
    <row r="8">
      <c r="A8" s="962">
        <f>'План 4-я неделя'!B9</f>
        <v>2686</v>
      </c>
      <c r="B8" s="962">
        <f>'План 4-я неделя'!C9</f>
        <v>98</v>
      </c>
      <c r="C8" s="962" t="str">
        <f>'План 4-я неделя'!D9</f>
        <v>Салат</v>
      </c>
      <c r="D8" s="962" t="str">
        <f>'План 4-я неделя'!E9</f>
        <v>Салат ''Коул Слоу'' 120 гр</v>
      </c>
      <c r="E8" s="2576">
        <f>'План 4-я неделя'!BL9</f>
        <v>30</v>
      </c>
      <c r="F8" s="95">
        <f>'План 4-я неделя'!BN9</f>
        <v>5</v>
      </c>
      <c r="G8" s="95">
        <f>F8+'План 4-я неделя'!BP9</f>
        <v>126</v>
      </c>
      <c r="H8" s="2584">
        <f t="shared" si="1"/>
        <v>12348</v>
      </c>
      <c r="I8" s="2587">
        <f>'План 4-я неделя'!BQ9</f>
        <v>120</v>
      </c>
      <c r="J8" s="2590">
        <f t="shared" si="2"/>
        <v>11760</v>
      </c>
      <c r="K8" s="195"/>
      <c r="L8" s="145">
        <v>2278.0</v>
      </c>
      <c r="M8" s="1268" t="s">
        <v>1439</v>
      </c>
      <c r="N8" s="145">
        <v>21.2</v>
      </c>
      <c r="O8" s="145" t="s">
        <v>3429</v>
      </c>
      <c r="Q8" s="2579"/>
      <c r="R8" s="145">
        <v>2079.0</v>
      </c>
      <c r="S8" s="1268" t="s">
        <v>361</v>
      </c>
      <c r="T8" s="1268" t="s">
        <v>3436</v>
      </c>
    </row>
    <row r="9">
      <c r="A9" s="962">
        <f>'План 4-я неделя'!B10</f>
        <v>3306</v>
      </c>
      <c r="B9" s="962">
        <f>'План 4-я неделя'!C10</f>
        <v>237</v>
      </c>
      <c r="C9" s="962" t="str">
        <f>'План 4-я неделя'!D10</f>
        <v>Салат</v>
      </c>
      <c r="D9" s="962" t="str">
        <f>'План 4-я неделя'!E10</f>
        <v>Боул с курицей, бобами эдамаме и овощами</v>
      </c>
      <c r="E9" s="2576" t="str">
        <f>'План 4-я неделя'!BL10</f>
        <v/>
      </c>
      <c r="F9" s="95" t="str">
        <f>'План 4-я неделя'!BN10</f>
        <v/>
      </c>
      <c r="G9" s="95">
        <f>F9+'План 4-я неделя'!BP10</f>
        <v>80</v>
      </c>
      <c r="H9" s="2584">
        <f t="shared" si="1"/>
        <v>18960</v>
      </c>
      <c r="I9" s="2587">
        <f>'План 4-я неделя'!BQ10</f>
        <v>79</v>
      </c>
      <c r="J9" s="2590">
        <f t="shared" si="2"/>
        <v>18723</v>
      </c>
      <c r="K9" s="195"/>
      <c r="L9" s="145">
        <v>2640.0</v>
      </c>
      <c r="M9" s="1268" t="s">
        <v>1530</v>
      </c>
      <c r="N9" s="145">
        <v>14.8</v>
      </c>
      <c r="O9" s="145" t="s">
        <v>3429</v>
      </c>
      <c r="Q9" s="2579"/>
      <c r="R9" s="145">
        <v>2932.0</v>
      </c>
      <c r="S9" s="1268" t="s">
        <v>624</v>
      </c>
      <c r="T9" s="1268" t="s">
        <v>3436</v>
      </c>
    </row>
    <row r="10">
      <c r="A10" s="962">
        <f>'План 4-я неделя'!B11</f>
        <v>793</v>
      </c>
      <c r="B10" s="962">
        <f>'План 4-я неделя'!C11</f>
        <v>106</v>
      </c>
      <c r="C10" s="962" t="str">
        <f>'План 4-я неделя'!D11</f>
        <v>Суп</v>
      </c>
      <c r="D10" s="962" t="str">
        <f>'План 4-я неделя'!E11</f>
        <v>Борщ с курицей</v>
      </c>
      <c r="E10" s="2576">
        <f>'План 4-я неделя'!BL11</f>
        <v>120</v>
      </c>
      <c r="F10" s="95">
        <f>'План 4-я неделя'!BN11</f>
        <v>15</v>
      </c>
      <c r="G10" s="95">
        <f>F10+'План 4-я неделя'!BP11</f>
        <v>136</v>
      </c>
      <c r="H10" s="2584">
        <f t="shared" si="1"/>
        <v>14416</v>
      </c>
      <c r="I10" s="2587">
        <f>'План 4-я неделя'!BQ11</f>
        <v>120</v>
      </c>
      <c r="J10" s="2590">
        <f t="shared" si="2"/>
        <v>12720</v>
      </c>
      <c r="K10" s="195"/>
      <c r="O10" s="2579"/>
      <c r="Q10" s="2579"/>
      <c r="R10" s="145">
        <v>3082.0</v>
      </c>
      <c r="S10" s="1268" t="s">
        <v>1087</v>
      </c>
      <c r="T10" s="1268" t="s">
        <v>3436</v>
      </c>
    </row>
    <row r="11">
      <c r="A11" s="962" t="str">
        <f>'План 4-я неделя'!B12</f>
        <v/>
      </c>
      <c r="B11" s="962" t="str">
        <f>'План 4-я неделя'!C12</f>
        <v/>
      </c>
      <c r="C11" s="962" t="str">
        <f>'План 4-я неделя'!D12</f>
        <v/>
      </c>
      <c r="D11" s="962" t="str">
        <f>'План 4-я неделя'!E12</f>
        <v/>
      </c>
      <c r="E11" s="2576" t="str">
        <f>'План 4-я неделя'!BL12</f>
        <v/>
      </c>
      <c r="F11" s="95" t="str">
        <f>'План 4-я неделя'!BN12</f>
        <v/>
      </c>
      <c r="G11" s="95">
        <f>F11+'План 4-я неделя'!BP12</f>
        <v>1</v>
      </c>
      <c r="H11" s="2584">
        <f t="shared" si="1"/>
        <v>0</v>
      </c>
      <c r="I11" s="2598">
        <f>'План 4-я неделя'!BQ12</f>
        <v>0</v>
      </c>
      <c r="J11" s="2590">
        <f t="shared" si="2"/>
        <v>0</v>
      </c>
      <c r="K11" s="195"/>
      <c r="O11" s="2579"/>
      <c r="Q11" s="2579"/>
      <c r="R11" s="145">
        <v>3194.0</v>
      </c>
      <c r="S11" s="1268" t="s">
        <v>1031</v>
      </c>
      <c r="T11" s="1268" t="s">
        <v>3436</v>
      </c>
    </row>
    <row r="12">
      <c r="A12" s="962">
        <f>'План 4-я неделя'!B13</f>
        <v>4175</v>
      </c>
      <c r="B12" s="962">
        <f>'План 4-я неделя'!C13</f>
        <v>198</v>
      </c>
      <c r="C12" s="962" t="str">
        <f>'План 4-я неделя'!D13</f>
        <v>Второе</v>
      </c>
      <c r="D12" s="962" t="str">
        <f>'План 4-я неделя'!E13</f>
        <v>Минтай в маринаде с картофельным пюре</v>
      </c>
      <c r="E12" s="2576">
        <f>'План 4-я неделя'!BL13</f>
        <v>70</v>
      </c>
      <c r="F12" s="95">
        <f>'План 4-я неделя'!BN13</f>
        <v>10</v>
      </c>
      <c r="G12" s="95">
        <f>F12+'План 4-я неделя'!BP13</f>
        <v>91</v>
      </c>
      <c r="H12" s="2584">
        <f t="shared" si="1"/>
        <v>18018</v>
      </c>
      <c r="I12" s="2598">
        <f>'План 4-я неделя'!BQ13</f>
        <v>80</v>
      </c>
      <c r="J12" s="2590">
        <f t="shared" si="2"/>
        <v>15840</v>
      </c>
      <c r="K12" s="195"/>
      <c r="O12" s="2579"/>
      <c r="Q12" s="2579"/>
      <c r="R12" s="145">
        <v>3239.0</v>
      </c>
      <c r="S12" s="1268" t="s">
        <v>544</v>
      </c>
      <c r="T12" s="1268" t="s">
        <v>1437</v>
      </c>
    </row>
    <row r="13">
      <c r="A13" s="962">
        <f>'План 4-я неделя'!B14</f>
        <v>980</v>
      </c>
      <c r="B13" s="962">
        <f>'План 4-я неделя'!C14</f>
        <v>219</v>
      </c>
      <c r="C13" s="962" t="str">
        <f>'План 4-я неделя'!D14</f>
        <v>Второе</v>
      </c>
      <c r="D13" s="962" t="str">
        <f>'План 4-я неделя'!E14</f>
        <v>Филе с грибами и картофельным пюре</v>
      </c>
      <c r="E13" s="2576" t="str">
        <f>'План 4-я неделя'!BL14</f>
        <v/>
      </c>
      <c r="F13" s="95">
        <f>'План 4-я неделя'!BN14</f>
        <v>10</v>
      </c>
      <c r="G13" s="95">
        <f>F13+'План 4-я неделя'!BP14</f>
        <v>177</v>
      </c>
      <c r="H13" s="2584">
        <f t="shared" si="1"/>
        <v>38763</v>
      </c>
      <c r="I13" s="2598">
        <f>'План 4-я неделя'!BQ14</f>
        <v>166</v>
      </c>
      <c r="J13" s="2590">
        <f t="shared" si="2"/>
        <v>36354</v>
      </c>
      <c r="K13" s="195"/>
      <c r="R13" s="145">
        <v>3244.0</v>
      </c>
      <c r="S13" s="1268" t="s">
        <v>286</v>
      </c>
      <c r="T13" s="1268" t="s">
        <v>1437</v>
      </c>
    </row>
    <row r="14">
      <c r="A14" s="962">
        <f>'План 4-я неделя'!B15</f>
        <v>3737</v>
      </c>
      <c r="B14" s="962">
        <f>'План 4-я неделя'!C15</f>
        <v>217</v>
      </c>
      <c r="C14" s="962" t="str">
        <f>'План 4-я неделя'!D15</f>
        <v>Второе</v>
      </c>
      <c r="D14" s="962" t="str">
        <f>'План 4-я неделя'!E15</f>
        <v>Чкмерули из курицы со спагетти</v>
      </c>
      <c r="E14" s="2576">
        <f>'План 4-я неделя'!BL15</f>
        <v>30</v>
      </c>
      <c r="F14" s="95">
        <f>'План 4-я неделя'!BN15</f>
        <v>10</v>
      </c>
      <c r="G14" s="95">
        <f>F14+'План 4-я неделя'!BP15</f>
        <v>168</v>
      </c>
      <c r="H14" s="2584">
        <f t="shared" si="1"/>
        <v>36456</v>
      </c>
      <c r="I14" s="2598">
        <f>'План 4-я неделя'!BQ15</f>
        <v>157</v>
      </c>
      <c r="J14" s="2590">
        <f t="shared" si="2"/>
        <v>34069</v>
      </c>
      <c r="K14" s="195"/>
      <c r="R14" s="145">
        <v>3306.0</v>
      </c>
      <c r="S14" s="1268" t="s">
        <v>455</v>
      </c>
      <c r="T14" s="1268" t="s">
        <v>1437</v>
      </c>
    </row>
    <row r="15">
      <c r="A15" s="962">
        <f>'План 4-я неделя'!B16</f>
        <v>1009</v>
      </c>
      <c r="B15" s="962">
        <f>'План 4-я неделя'!C16</f>
        <v>198</v>
      </c>
      <c r="C15" s="962" t="str">
        <f>'План 4-я неделя'!D16</f>
        <v>Второе</v>
      </c>
      <c r="D15" s="962" t="str">
        <f>'План 4-я неделя'!E16</f>
        <v>Свинина по-баварски с картофелем </v>
      </c>
      <c r="E15" s="2576">
        <f>'План 4-я неделя'!BL16</f>
        <v>30</v>
      </c>
      <c r="F15" s="95" t="str">
        <f>'План 4-я неделя'!BN16</f>
        <v/>
      </c>
      <c r="G15" s="95">
        <f>F15+'План 4-я неделя'!BP16</f>
        <v>103</v>
      </c>
      <c r="H15" s="2584">
        <f t="shared" si="1"/>
        <v>20394</v>
      </c>
      <c r="I15" s="2598">
        <f>'План 4-я неделя'!BQ16</f>
        <v>102</v>
      </c>
      <c r="J15" s="2590">
        <f t="shared" si="2"/>
        <v>20196</v>
      </c>
      <c r="K15" s="195"/>
      <c r="R15" s="145">
        <v>3408.0</v>
      </c>
      <c r="S15" s="1268" t="s">
        <v>1204</v>
      </c>
      <c r="T15" s="1268" t="s">
        <v>3436</v>
      </c>
    </row>
    <row r="16">
      <c r="A16" s="962">
        <f>'План 4-я неделя'!B17</f>
        <v>3663</v>
      </c>
      <c r="B16" s="962">
        <f>'План 4-я неделя'!C17</f>
        <v>229</v>
      </c>
      <c r="C16" s="962" t="str">
        <f>'План 4-я неделя'!D17</f>
        <v>Второе</v>
      </c>
      <c r="D16" s="962" t="str">
        <f>'План 4-я неделя'!E17</f>
        <v>Горбуша запеченная с рисом светофор</v>
      </c>
      <c r="E16" s="2576" t="str">
        <f>'План 4-я неделя'!BL17</f>
        <v/>
      </c>
      <c r="F16" s="95" t="str">
        <f>'План 4-я неделя'!BN17</f>
        <v/>
      </c>
      <c r="G16" s="95">
        <f>F16+'План 4-я неделя'!BP17</f>
        <v>96</v>
      </c>
      <c r="H16" s="2584">
        <f t="shared" si="1"/>
        <v>21984</v>
      </c>
      <c r="I16" s="2598">
        <f>'План 4-я неделя'!BQ17</f>
        <v>95</v>
      </c>
      <c r="J16" s="2590">
        <f t="shared" si="2"/>
        <v>21755</v>
      </c>
      <c r="K16" s="195"/>
      <c r="R16" s="145">
        <v>3410.0</v>
      </c>
      <c r="S16" s="1268" t="s">
        <v>622</v>
      </c>
      <c r="T16" s="1268" t="s">
        <v>1437</v>
      </c>
    </row>
    <row r="17">
      <c r="A17" s="962" t="str">
        <f>'План 4-я неделя'!B18</f>
        <v/>
      </c>
      <c r="B17" s="962" t="str">
        <f>'План 4-я неделя'!C18</f>
        <v/>
      </c>
      <c r="C17" s="962" t="str">
        <f>'План 4-я неделя'!D18</f>
        <v/>
      </c>
      <c r="D17" s="962" t="str">
        <f>'План 4-я неделя'!E18</f>
        <v/>
      </c>
      <c r="E17" s="2576" t="str">
        <f>'План 4-я неделя'!BL18</f>
        <v/>
      </c>
      <c r="F17" s="95" t="str">
        <f>'План 4-я неделя'!BN18</f>
        <v/>
      </c>
      <c r="G17" s="95">
        <f>F17+'План 4-я неделя'!BP18</f>
        <v>1</v>
      </c>
      <c r="H17" s="2584">
        <f t="shared" si="1"/>
        <v>0</v>
      </c>
      <c r="I17" s="2587">
        <f>'План 4-я неделя'!BQ18</f>
        <v>0</v>
      </c>
      <c r="J17" s="2590">
        <f t="shared" si="2"/>
        <v>0</v>
      </c>
      <c r="K17" s="195"/>
      <c r="R17" s="145">
        <v>3518.0</v>
      </c>
      <c r="S17" s="1268" t="s">
        <v>518</v>
      </c>
      <c r="T17" s="1268" t="s">
        <v>3436</v>
      </c>
    </row>
    <row r="18">
      <c r="A18" s="962">
        <f>'План 4-я неделя'!B19</f>
        <v>4224</v>
      </c>
      <c r="B18" s="962">
        <f>'План 4-я неделя'!C19</f>
        <v>281</v>
      </c>
      <c r="C18" s="962" t="str">
        <f>'План 4-я неделя'!D19</f>
        <v>Второе</v>
      </c>
      <c r="D18" s="962" t="str">
        <f>'План 4-я неделя'!E19</f>
        <v>Курица Пармиджано с овощным соте</v>
      </c>
      <c r="E18" s="2576" t="str">
        <f>'План 4-я неделя'!BL19</f>
        <v/>
      </c>
      <c r="F18" s="95" t="str">
        <f>'План 4-я неделя'!BN19</f>
        <v/>
      </c>
      <c r="G18" s="95">
        <f>F18+'План 4-я неделя'!BP19</f>
        <v>91</v>
      </c>
      <c r="H18" s="2584">
        <f t="shared" si="1"/>
        <v>25571</v>
      </c>
      <c r="I18" s="2587">
        <f>'План 4-я неделя'!BQ19</f>
        <v>90</v>
      </c>
      <c r="J18" s="2590">
        <f t="shared" si="2"/>
        <v>25290</v>
      </c>
      <c r="K18" s="195"/>
      <c r="R18" s="145">
        <v>3705.0</v>
      </c>
      <c r="S18" s="1268" t="s">
        <v>606</v>
      </c>
      <c r="T18" s="1268" t="s">
        <v>1437</v>
      </c>
    </row>
    <row r="19">
      <c r="A19" s="962">
        <f>'План 4-я неделя'!B20</f>
        <v>3518</v>
      </c>
      <c r="B19" s="962">
        <f>'План 4-я неделя'!C20</f>
        <v>85</v>
      </c>
      <c r="C19" s="962" t="str">
        <f>'План 4-я неделя'!D20</f>
        <v>Выпечка</v>
      </c>
      <c r="D19" s="962" t="str">
        <f>'План 4-я неделя'!E20</f>
        <v>Слойка ''Нежная'' с сыром 100 г</v>
      </c>
      <c r="E19" s="2576">
        <f>'План 4-я неделя'!BL20</f>
        <v>10</v>
      </c>
      <c r="F19" s="95" t="str">
        <f>'План 4-я неделя'!BN20</f>
        <v/>
      </c>
      <c r="G19" s="95">
        <f>F19+'План 4-я неделя'!BP20</f>
        <v>11</v>
      </c>
      <c r="H19" s="2584">
        <f t="shared" si="1"/>
        <v>935</v>
      </c>
      <c r="I19" s="2587">
        <f>'План 4-я неделя'!BQ20</f>
        <v>15</v>
      </c>
      <c r="J19" s="2590">
        <f t="shared" si="2"/>
        <v>1275</v>
      </c>
      <c r="K19" s="195"/>
      <c r="R19" s="145">
        <v>3707.0</v>
      </c>
      <c r="S19" s="1268" t="s">
        <v>618</v>
      </c>
      <c r="T19" s="1268" t="s">
        <v>1437</v>
      </c>
    </row>
    <row r="20">
      <c r="A20" s="962">
        <f>'План 4-я неделя'!B21</f>
        <v>2782</v>
      </c>
      <c r="B20" s="962">
        <f>'План 4-я неделя'!C21</f>
        <v>170</v>
      </c>
      <c r="C20" s="962" t="str">
        <f>'План 4-я неделя'!D21</f>
        <v>Сэндвич</v>
      </c>
      <c r="D20" s="962" t="str">
        <f>'План 4-я неделя'!E21</f>
        <v>Сэндвич с пепперони и сыром</v>
      </c>
      <c r="E20" s="2576" t="str">
        <f>'План 4-я неделя'!BL21</f>
        <v/>
      </c>
      <c r="F20" s="95" t="str">
        <f>'План 4-я неделя'!BN21</f>
        <v/>
      </c>
      <c r="G20" s="95">
        <f>F20+'План 4-я неделя'!BP21</f>
        <v>125</v>
      </c>
      <c r="H20" s="2584">
        <f t="shared" si="1"/>
        <v>21250</v>
      </c>
      <c r="I20" s="2587">
        <f>'План 4-я неделя'!BQ21</f>
        <v>124</v>
      </c>
      <c r="J20" s="2590">
        <f t="shared" si="2"/>
        <v>21080</v>
      </c>
      <c r="K20" s="195"/>
      <c r="R20" s="145">
        <v>3778.0</v>
      </c>
      <c r="S20" s="1268" t="s">
        <v>1089</v>
      </c>
      <c r="T20" s="1268" t="s">
        <v>3436</v>
      </c>
    </row>
    <row r="21">
      <c r="A21" s="962">
        <f>'План 4-я неделя'!B22</f>
        <v>33</v>
      </c>
      <c r="B21" s="962">
        <f>'План 4-я неделя'!C22</f>
        <v>155</v>
      </c>
      <c r="C21" s="962" t="str">
        <f>'План 4-я неделя'!D22</f>
        <v>Сэндвич</v>
      </c>
      <c r="D21" s="962" t="str">
        <f>'План 4-я неделя'!E22</f>
        <v>Сэндвич с копчёной курицей и сыром</v>
      </c>
      <c r="E21" s="2576" t="str">
        <f>'План 4-я неделя'!BL22</f>
        <v/>
      </c>
      <c r="F21" s="95" t="str">
        <f>'План 4-я неделя'!BN22</f>
        <v/>
      </c>
      <c r="G21" s="95">
        <f>F21+'План 4-я неделя'!BP22</f>
        <v>125</v>
      </c>
      <c r="H21" s="2584">
        <f t="shared" si="1"/>
        <v>19375</v>
      </c>
      <c r="I21" s="2587">
        <f>'План 4-я неделя'!BQ22</f>
        <v>124</v>
      </c>
      <c r="J21" s="2590">
        <f t="shared" si="2"/>
        <v>19220</v>
      </c>
      <c r="K21" s="195"/>
      <c r="R21" s="145">
        <v>3819.0</v>
      </c>
      <c r="S21" s="1268" t="s">
        <v>732</v>
      </c>
      <c r="T21" s="1268" t="s">
        <v>3436</v>
      </c>
    </row>
    <row r="22">
      <c r="A22" s="962">
        <f>'План 4-я неделя'!B23</f>
        <v>3999</v>
      </c>
      <c r="B22" s="962">
        <f>'План 4-я неделя'!C23</f>
        <v>98</v>
      </c>
      <c r="C22" s="962" t="str">
        <f>'План 4-я неделя'!D23</f>
        <v>Япония</v>
      </c>
      <c r="D22" s="962" t="str">
        <f>'План 4-я неделя'!E23</f>
        <v>Морс ягодный 0,5 л</v>
      </c>
      <c r="E22" s="2576" t="str">
        <f>'План 4-я неделя'!BL23</f>
        <v/>
      </c>
      <c r="F22" s="95" t="str">
        <f>'План 4-я неделя'!BN23</f>
        <v/>
      </c>
      <c r="G22" s="95">
        <f>F22+'План 4-я неделя'!BP23</f>
        <v>169</v>
      </c>
      <c r="H22" s="2584">
        <f t="shared" si="1"/>
        <v>16562</v>
      </c>
      <c r="I22" s="2587">
        <f>'План 4-я неделя'!BQ23</f>
        <v>146</v>
      </c>
      <c r="J22" s="2590">
        <f t="shared" si="2"/>
        <v>14308</v>
      </c>
      <c r="K22" s="195"/>
      <c r="R22" s="145">
        <v>3856.0</v>
      </c>
      <c r="S22" s="1268" t="s">
        <v>743</v>
      </c>
      <c r="T22" s="1268" t="s">
        <v>1437</v>
      </c>
    </row>
    <row r="23">
      <c r="A23" s="962">
        <f>'План 4-я неделя'!B24</f>
        <v>2929</v>
      </c>
      <c r="B23" s="962">
        <f>'План 4-я неделя'!C24</f>
        <v>143</v>
      </c>
      <c r="C23" s="962" t="str">
        <f>'План 4-я неделя'!D24</f>
        <v>Япония</v>
      </c>
      <c r="D23" s="962" t="str">
        <f>'План 4-я неделя'!E24</f>
        <v>Ролл сэндвич с курицей</v>
      </c>
      <c r="E23" s="2576" t="str">
        <f>'План 4-я неделя'!BL24</f>
        <v/>
      </c>
      <c r="F23" s="95" t="str">
        <f>'План 4-я неделя'!BN24</f>
        <v/>
      </c>
      <c r="G23" s="95">
        <f>F23+'План 4-я неделя'!BP24</f>
        <v>59</v>
      </c>
      <c r="H23" s="2584">
        <f t="shared" si="1"/>
        <v>8437</v>
      </c>
      <c r="I23" s="2587">
        <f>'План 4-я неделя'!BQ24</f>
        <v>49</v>
      </c>
      <c r="J23" s="2590">
        <f t="shared" si="2"/>
        <v>7007</v>
      </c>
      <c r="K23" s="195"/>
      <c r="R23" s="145">
        <v>3857.0</v>
      </c>
      <c r="S23" s="1268" t="s">
        <v>738</v>
      </c>
      <c r="T23" s="1268" t="s">
        <v>3436</v>
      </c>
    </row>
    <row r="24">
      <c r="A24" s="962">
        <f>'План 4-я неделя'!B25</f>
        <v>2079</v>
      </c>
      <c r="B24" s="962">
        <f>'План 4-я неделя'!C25</f>
        <v>105</v>
      </c>
      <c r="C24" s="962" t="str">
        <f>'План 4-я неделя'!D25</f>
        <v>Выпечка</v>
      </c>
      <c r="D24" s="962" t="str">
        <f>'План 4-я неделя'!E25</f>
        <v>Вафельная трубочка с вареной сгущенкой</v>
      </c>
      <c r="E24" s="2576" t="str">
        <f>'План 4-я неделя'!BL25</f>
        <v/>
      </c>
      <c r="F24" s="95" t="str">
        <f>'План 4-я неделя'!BN25</f>
        <v/>
      </c>
      <c r="G24" s="95">
        <f>F24+'План 4-я неделя'!BP25</f>
        <v>273</v>
      </c>
      <c r="H24" s="2584">
        <f t="shared" si="1"/>
        <v>28665</v>
      </c>
      <c r="I24" s="2587">
        <f>'План 4-я неделя'!BQ25</f>
        <v>270</v>
      </c>
      <c r="J24" s="2590">
        <f t="shared" si="2"/>
        <v>28350</v>
      </c>
      <c r="K24" s="195"/>
    </row>
    <row r="25">
      <c r="A25" s="962">
        <f>'План 4-я неделя'!B26</f>
        <v>822</v>
      </c>
      <c r="B25" s="962">
        <f>'План 4-я неделя'!C26</f>
        <v>5</v>
      </c>
      <c r="C25" s="962" t="str">
        <f>'План 4-я неделя'!D26</f>
        <v>Суп</v>
      </c>
      <c r="D25" s="962" t="str">
        <f>'План 4-я неделя'!E26</f>
        <v>Хлеб пшеничный</v>
      </c>
      <c r="E25" s="2576">
        <f>'План 4-я неделя'!BL26</f>
        <v>125</v>
      </c>
      <c r="F25" s="95" t="str">
        <f>'План 4-я неделя'!BN26</f>
        <v/>
      </c>
      <c r="G25" s="95">
        <f>F25+'План 4-я неделя'!BP26</f>
        <v>200</v>
      </c>
      <c r="H25" s="2584">
        <f t="shared" si="1"/>
        <v>1000</v>
      </c>
      <c r="I25" s="2587">
        <f>'План 4-я неделя'!BQ26</f>
        <v>199</v>
      </c>
      <c r="J25" s="2590">
        <f t="shared" si="2"/>
        <v>995</v>
      </c>
      <c r="K25" s="195"/>
    </row>
    <row r="26">
      <c r="A26" s="962">
        <f>'План 4-я неделя'!B27</f>
        <v>4312</v>
      </c>
      <c r="B26" s="962">
        <f>'План 4-я неделя'!C27</f>
        <v>148</v>
      </c>
      <c r="C26" s="962" t="str">
        <f>'План 4-я неделя'!D27</f>
        <v>Япония</v>
      </c>
      <c r="D26" s="962" t="str">
        <f>'План 4-я неделя'!E27</f>
        <v>Фруктовый набор (арбуз/дыня)</v>
      </c>
      <c r="E26" s="2576" t="str">
        <f>'План 4-я неделя'!BL27</f>
        <v/>
      </c>
      <c r="F26" s="95" t="str">
        <f>'План 4-я неделя'!BN27</f>
        <v/>
      </c>
      <c r="G26" s="95">
        <f>F26+'План 4-я неделя'!BP27</f>
        <v>1</v>
      </c>
      <c r="H26" s="2584">
        <f t="shared" si="1"/>
        <v>148</v>
      </c>
      <c r="I26" s="2587">
        <f>'План 4-я неделя'!BQ27</f>
        <v>31</v>
      </c>
      <c r="J26" s="2590">
        <f t="shared" si="2"/>
        <v>4588</v>
      </c>
      <c r="K26" s="195"/>
    </row>
    <row r="27">
      <c r="A27" s="962" t="str">
        <f>'План 4-я неделя'!B28</f>
        <v/>
      </c>
      <c r="B27" s="962" t="str">
        <f>'План 4-я неделя'!C28</f>
        <v/>
      </c>
      <c r="C27" s="962" t="str">
        <f>'План 4-я неделя'!D28</f>
        <v/>
      </c>
      <c r="D27" s="962" t="str">
        <f>'План 4-я неделя'!E28</f>
        <v/>
      </c>
      <c r="E27" s="2576" t="str">
        <f>'План 4-я неделя'!BL28</f>
        <v/>
      </c>
      <c r="F27" s="95" t="str">
        <f>'План 4-я неделя'!BN28</f>
        <v/>
      </c>
      <c r="G27" s="95">
        <f>F27+'План 4-я неделя'!BP28</f>
        <v>1</v>
      </c>
      <c r="H27" s="2584">
        <f t="shared" si="1"/>
        <v>0</v>
      </c>
      <c r="I27" s="2587">
        <f>'План 4-я неделя'!BQ28</f>
        <v>0</v>
      </c>
      <c r="J27" s="2590">
        <f t="shared" si="2"/>
        <v>0</v>
      </c>
      <c r="K27" s="195"/>
    </row>
    <row r="28">
      <c r="A28" s="962" t="str">
        <f>'План 4-я неделя'!B29</f>
        <v/>
      </c>
      <c r="B28" s="962" t="str">
        <f>'План 4-я неделя'!C29</f>
        <v/>
      </c>
      <c r="C28" s="962" t="str">
        <f>'План 4-я неделя'!D29</f>
        <v/>
      </c>
      <c r="D28" s="962" t="str">
        <f>'План 4-я неделя'!E29</f>
        <v/>
      </c>
      <c r="E28" s="2576" t="str">
        <f>'План 4-я неделя'!BL29</f>
        <v/>
      </c>
      <c r="F28" s="95" t="str">
        <f>'План 4-я неделя'!BN29</f>
        <v/>
      </c>
      <c r="G28" s="95">
        <f>F28+'План 4-я неделя'!BP29</f>
        <v>1</v>
      </c>
      <c r="H28" s="2584">
        <f t="shared" si="1"/>
        <v>0</v>
      </c>
      <c r="I28" s="2587">
        <f>'План 4-я неделя'!BQ29</f>
        <v>0</v>
      </c>
      <c r="J28" s="2590">
        <f t="shared" si="2"/>
        <v>0</v>
      </c>
      <c r="K28" s="195"/>
    </row>
    <row r="29">
      <c r="A29" s="962" t="str">
        <f>'План 4-я неделя'!B30</f>
        <v/>
      </c>
      <c r="B29" s="962" t="str">
        <f>'План 4-я неделя'!C30</f>
        <v/>
      </c>
      <c r="C29" s="962" t="str">
        <f>'План 4-я неделя'!D30</f>
        <v/>
      </c>
      <c r="D29" s="962" t="str">
        <f>'План 4-я неделя'!E30</f>
        <v/>
      </c>
      <c r="E29" s="2576" t="str">
        <f>'План 4-я неделя'!BL30</f>
        <v/>
      </c>
      <c r="F29" s="95" t="str">
        <f>'План 4-я неделя'!BN30</f>
        <v/>
      </c>
      <c r="G29" s="95">
        <f>F29+'План 4-я неделя'!BP30</f>
        <v>1</v>
      </c>
      <c r="H29" s="2584">
        <f t="shared" si="1"/>
        <v>0</v>
      </c>
      <c r="I29" s="2587">
        <f>'План 4-я неделя'!BQ30</f>
        <v>0</v>
      </c>
      <c r="J29" s="2590">
        <f t="shared" si="2"/>
        <v>0</v>
      </c>
      <c r="K29" s="195"/>
    </row>
    <row r="30">
      <c r="A30" s="962" t="str">
        <f>'План 4-я неделя'!B31</f>
        <v/>
      </c>
      <c r="B30" s="962" t="str">
        <f>'План 4-я неделя'!C31</f>
        <v/>
      </c>
      <c r="C30" s="962" t="str">
        <f>'План 4-я неделя'!D31</f>
        <v/>
      </c>
      <c r="D30" s="962" t="str">
        <f>'План 4-я неделя'!E31</f>
        <v/>
      </c>
      <c r="E30" s="2576" t="str">
        <f>'План 4-я неделя'!BL31</f>
        <v/>
      </c>
      <c r="F30" s="95" t="str">
        <f>'План 4-я неделя'!BN31</f>
        <v/>
      </c>
      <c r="G30" s="95">
        <f>F30+'План 4-я неделя'!BP31</f>
        <v>1</v>
      </c>
      <c r="H30" s="2584">
        <f t="shared" si="1"/>
        <v>0</v>
      </c>
      <c r="I30" s="2587">
        <f>'План 4-я неделя'!BQ31</f>
        <v>0</v>
      </c>
      <c r="J30" s="2590">
        <f t="shared" si="2"/>
        <v>0</v>
      </c>
      <c r="K30" s="195"/>
    </row>
    <row r="31">
      <c r="A31" s="962" t="str">
        <f>'План 4-я неделя'!B32</f>
        <v/>
      </c>
      <c r="B31" s="962" t="str">
        <f>'План 4-я неделя'!C32</f>
        <v/>
      </c>
      <c r="C31" s="962" t="str">
        <f>'План 4-я неделя'!D32</f>
        <v/>
      </c>
      <c r="D31" s="962" t="str">
        <f>'План 4-я неделя'!E32</f>
        <v/>
      </c>
      <c r="E31" s="2576" t="str">
        <f>'План 4-я неделя'!BL32</f>
        <v/>
      </c>
      <c r="F31" s="95" t="str">
        <f>'План 4-я неделя'!BN32</f>
        <v/>
      </c>
      <c r="G31" s="95">
        <f>F31+'План 4-я неделя'!BP32</f>
        <v>1</v>
      </c>
      <c r="H31" s="2584">
        <f t="shared" si="1"/>
        <v>0</v>
      </c>
      <c r="I31" s="2587">
        <f>'План 4-я неделя'!BQ32</f>
        <v>0</v>
      </c>
      <c r="J31" s="2590">
        <f t="shared" si="2"/>
        <v>0</v>
      </c>
      <c r="K31" s="195"/>
    </row>
    <row r="32">
      <c r="I32" s="2570"/>
      <c r="J32" s="2599"/>
      <c r="K32" s="195"/>
    </row>
    <row r="33">
      <c r="A33" s="2600" t="str">
        <f>'План 4-я неделя'!A67</f>
        <v>Дата:  </v>
      </c>
      <c r="B33" s="2601">
        <f>'План 4-я неделя'!D67</f>
        <v>46251</v>
      </c>
      <c r="C33" s="2600"/>
      <c r="D33" s="2600" t="str">
        <f>'План 4-я неделя'!E67</f>
        <v>План на день кухня     ПОНЕДЕЛЬНИК</v>
      </c>
      <c r="H33" s="1346">
        <f>SUM(H35:H58)</f>
        <v>292770</v>
      </c>
      <c r="I33" s="2570"/>
      <c r="J33" s="2572">
        <f>SUM(J35:J58)</f>
        <v>287705</v>
      </c>
      <c r="K33" s="2573">
        <f>J33-H33</f>
        <v>-5065</v>
      </c>
      <c r="L33" s="2574" t="s">
        <v>1283</v>
      </c>
      <c r="M33" s="2574" t="s">
        <v>1428</v>
      </c>
      <c r="N33" s="2574" t="s">
        <v>3415</v>
      </c>
      <c r="O33" s="2574" t="s">
        <v>3416</v>
      </c>
      <c r="R33" s="2574" t="s">
        <v>1283</v>
      </c>
      <c r="S33" s="2574" t="s">
        <v>3283</v>
      </c>
      <c r="T33" s="2574" t="s">
        <v>3417</v>
      </c>
    </row>
    <row r="34">
      <c r="A34" s="2575" t="str">
        <f>'План 4-я неделя'!B68</f>
        <v>Код</v>
      </c>
      <c r="B34" s="2575" t="str">
        <f>'План 4-я неделя'!C68</f>
        <v>Цена</v>
      </c>
      <c r="C34" s="2575" t="str">
        <f>'План 4-я неделя'!D68</f>
        <v>Категория</v>
      </c>
      <c r="D34" s="2575" t="str">
        <f>'План 4-я неделя'!E68</f>
        <v>Название блюда</v>
      </c>
      <c r="E34" s="2576" t="str">
        <f>'План 4-я неделя'!BL68</f>
        <v>ТСПК</v>
      </c>
      <c r="F34" s="2165" t="str">
        <f>'План 4-я неделя'!BN68</f>
        <v>Стол</v>
      </c>
      <c r="G34" s="2165" t="s">
        <v>3421</v>
      </c>
      <c r="H34" s="2165" t="s">
        <v>3422</v>
      </c>
      <c r="I34" s="2578" t="s">
        <v>3424</v>
      </c>
      <c r="J34" s="2578" t="s">
        <v>3425</v>
      </c>
      <c r="K34" s="195"/>
      <c r="L34" s="145">
        <v>26.0</v>
      </c>
      <c r="M34" s="1268" t="s">
        <v>397</v>
      </c>
      <c r="N34" s="2593">
        <v>42.0</v>
      </c>
      <c r="O34" s="145" t="s">
        <v>3429</v>
      </c>
      <c r="R34" s="145">
        <v>26.0</v>
      </c>
      <c r="S34" s="1268" t="s">
        <v>397</v>
      </c>
      <c r="T34" s="1268" t="s">
        <v>1433</v>
      </c>
    </row>
    <row r="35">
      <c r="A35" s="962">
        <f>'План 4-я неделя'!B69</f>
        <v>1287</v>
      </c>
      <c r="B35" s="962">
        <f>'План 4-я неделя'!C69</f>
        <v>85</v>
      </c>
      <c r="C35" s="962" t="str">
        <f>'План 4-я неделя'!D69</f>
        <v>Завтрак</v>
      </c>
      <c r="D35" s="962" t="str">
        <f>'План 4-я неделя'!E69</f>
        <v>Блины со сметаной</v>
      </c>
      <c r="E35" s="2576" t="str">
        <f>'План 4-я неделя'!BL69</f>
        <v/>
      </c>
      <c r="F35" s="962" t="str">
        <f>'План 4-я неделя'!BN69</f>
        <v/>
      </c>
      <c r="G35" s="962">
        <f>'План 4-я неделя'!BP69+F35</f>
        <v>128</v>
      </c>
      <c r="H35" s="962">
        <f t="shared" ref="H35:H58" si="3">B35*G35</f>
        <v>10880</v>
      </c>
      <c r="I35" s="2587">
        <f>'План 4-я неделя'!BQ69</f>
        <v>127</v>
      </c>
      <c r="J35" s="2600">
        <f t="shared" ref="J35:J58" si="4">B35*I35</f>
        <v>10795</v>
      </c>
      <c r="K35" s="195"/>
      <c r="L35" s="145">
        <v>2793.0</v>
      </c>
      <c r="M35" s="1268" t="s">
        <v>2158</v>
      </c>
      <c r="N35" s="145">
        <v>10.2</v>
      </c>
      <c r="O35" s="145" t="s">
        <v>3429</v>
      </c>
      <c r="R35" s="145">
        <v>380.0</v>
      </c>
      <c r="S35" s="1268" t="s">
        <v>323</v>
      </c>
      <c r="T35" s="1268" t="s">
        <v>3436</v>
      </c>
    </row>
    <row r="36">
      <c r="A36" s="962">
        <f>'План 4-я неделя'!B70</f>
        <v>3426</v>
      </c>
      <c r="B36" s="962">
        <f>'План 4-я неделя'!C70</f>
        <v>160</v>
      </c>
      <c r="C36" s="962" t="str">
        <f>'План 4-я неделя'!D70</f>
        <v>Завтрак</v>
      </c>
      <c r="D36" s="962" t="str">
        <f>'План 4-я неделя'!E70</f>
        <v>Ленивые хачапури</v>
      </c>
      <c r="E36" s="2576" t="str">
        <f>'План 4-я неделя'!BL70</f>
        <v/>
      </c>
      <c r="F36" s="962" t="str">
        <f>'План 4-я неделя'!BN70</f>
        <v/>
      </c>
      <c r="G36" s="962">
        <f>'План 4-я неделя'!BP70+F36</f>
        <v>78</v>
      </c>
      <c r="H36" s="962">
        <f t="shared" si="3"/>
        <v>12480</v>
      </c>
      <c r="I36" s="2587">
        <f>'План 4-я неделя'!BQ70</f>
        <v>77</v>
      </c>
      <c r="J36" s="2600">
        <f t="shared" si="4"/>
        <v>12320</v>
      </c>
      <c r="K36" s="195"/>
      <c r="L36" s="145">
        <v>3291.0</v>
      </c>
      <c r="M36" s="1268" t="s">
        <v>2106</v>
      </c>
      <c r="N36" s="2593">
        <v>88.0</v>
      </c>
      <c r="O36" s="145" t="s">
        <v>3329</v>
      </c>
      <c r="R36" s="145">
        <v>822.0</v>
      </c>
      <c r="S36" s="1268" t="s">
        <v>136</v>
      </c>
      <c r="T36" s="1268" t="s">
        <v>3436</v>
      </c>
    </row>
    <row r="37">
      <c r="A37" s="962">
        <f>'План 4-я неделя'!B71</f>
        <v>4098</v>
      </c>
      <c r="B37" s="962">
        <f>'План 4-я неделя'!C71</f>
        <v>164</v>
      </c>
      <c r="C37" s="962" t="str">
        <f>'План 4-я неделя'!D71</f>
        <v>Завтрак</v>
      </c>
      <c r="D37" s="962" t="str">
        <f>'План 4-я неделя'!E71</f>
        <v>Шоколадный пирог с ягодами</v>
      </c>
      <c r="E37" s="2576" t="str">
        <f>'План 4-я неделя'!BL71</f>
        <v/>
      </c>
      <c r="F37" s="962" t="str">
        <f>'План 4-я неделя'!BN71</f>
        <v/>
      </c>
      <c r="G37" s="962">
        <f>'План 4-я неделя'!BP71+F37</f>
        <v>124</v>
      </c>
      <c r="H37" s="962">
        <f t="shared" si="3"/>
        <v>20336</v>
      </c>
      <c r="I37" s="2587">
        <f>'План 4-я неделя'!BQ71</f>
        <v>123</v>
      </c>
      <c r="J37" s="2600">
        <f t="shared" si="4"/>
        <v>20172</v>
      </c>
      <c r="K37" s="195"/>
      <c r="L37" s="145">
        <v>3926.0</v>
      </c>
      <c r="M37" s="1268" t="s">
        <v>2077</v>
      </c>
      <c r="N37" s="2593">
        <v>123.0</v>
      </c>
      <c r="O37" s="145" t="s">
        <v>3329</v>
      </c>
      <c r="R37" s="145">
        <v>2904.0</v>
      </c>
      <c r="S37" s="1268" t="s">
        <v>420</v>
      </c>
      <c r="T37" s="1268" t="s">
        <v>3436</v>
      </c>
    </row>
    <row r="38">
      <c r="A38" s="962">
        <f>'План 4-я неделя'!B72</f>
        <v>3379</v>
      </c>
      <c r="B38" s="962">
        <f>'План 4-я неделя'!C72</f>
        <v>98</v>
      </c>
      <c r="C38" s="962" t="str">
        <f>'План 4-я неделя'!D72</f>
        <v>Салат</v>
      </c>
      <c r="D38" s="962" t="str">
        <f>'План 4-я неделя'!E72</f>
        <v>Салат ''Зайка'' 120 г</v>
      </c>
      <c r="E38" s="2576">
        <f>'План 4-я неделя'!BL72</f>
        <v>44</v>
      </c>
      <c r="F38" s="962" t="str">
        <f>'План 4-я неделя'!BN72</f>
        <v/>
      </c>
      <c r="G38" s="962">
        <f>'План 4-я неделя'!BP72+F38</f>
        <v>203</v>
      </c>
      <c r="H38" s="962">
        <f t="shared" si="3"/>
        <v>19894</v>
      </c>
      <c r="I38" s="2587">
        <f>'План 4-я неделя'!BQ72</f>
        <v>202</v>
      </c>
      <c r="J38" s="2600">
        <f t="shared" si="4"/>
        <v>19796</v>
      </c>
      <c r="K38" s="195"/>
      <c r="R38" s="145">
        <v>2928.0</v>
      </c>
      <c r="S38" s="1268" t="s">
        <v>1229</v>
      </c>
      <c r="T38" s="1268" t="s">
        <v>3436</v>
      </c>
    </row>
    <row r="39">
      <c r="A39" s="962">
        <f>'План 4-я неделя'!B73</f>
        <v>2175</v>
      </c>
      <c r="B39" s="962">
        <f>'План 4-я неделя'!C73</f>
        <v>98</v>
      </c>
      <c r="C39" s="962" t="str">
        <f>'План 4-я неделя'!D73</f>
        <v>Салат</v>
      </c>
      <c r="D39" s="962" t="str">
        <f>'План 4-я неделя'!E73</f>
        <v>Салат ''Баварский'' (колбаса в/к)</v>
      </c>
      <c r="E39" s="2576">
        <f>'План 4-я неделя'!BL73</f>
        <v>43</v>
      </c>
      <c r="F39" s="962" t="str">
        <f>'План 4-я неделя'!BN73</f>
        <v/>
      </c>
      <c r="G39" s="962">
        <f>'План 4-я неделя'!BP73+F39</f>
        <v>123</v>
      </c>
      <c r="H39" s="962">
        <f t="shared" si="3"/>
        <v>12054</v>
      </c>
      <c r="I39" s="2587">
        <f>'План 4-я неделя'!BQ73</f>
        <v>128</v>
      </c>
      <c r="J39" s="2600">
        <f t="shared" si="4"/>
        <v>12544</v>
      </c>
      <c r="K39" s="195"/>
      <c r="L39" s="2574" t="s">
        <v>1283</v>
      </c>
      <c r="M39" s="2574" t="s">
        <v>1430</v>
      </c>
      <c r="N39" s="2574" t="s">
        <v>3415</v>
      </c>
      <c r="O39" s="2574" t="s">
        <v>3416</v>
      </c>
      <c r="R39" s="145">
        <v>3145.0</v>
      </c>
      <c r="S39" s="1268" t="s">
        <v>1033</v>
      </c>
      <c r="T39" s="1268" t="s">
        <v>3436</v>
      </c>
    </row>
    <row r="40">
      <c r="A40" s="962">
        <f>'План 4-я неделя'!B74</f>
        <v>3814</v>
      </c>
      <c r="B40" s="962">
        <f>'План 4-я неделя'!C74</f>
        <v>98</v>
      </c>
      <c r="C40" s="962" t="str">
        <f>'План 4-я неделя'!D74</f>
        <v>Салат</v>
      </c>
      <c r="D40" s="962" t="str">
        <f>'План 4-я неделя'!E74</f>
        <v>Салат Фаворит (филе кур., грибы)</v>
      </c>
      <c r="E40" s="2576">
        <f>'План 4-я неделя'!BL74</f>
        <v>43</v>
      </c>
      <c r="F40" s="962" t="str">
        <f>'План 4-я неделя'!BN74</f>
        <v/>
      </c>
      <c r="G40" s="2602">
        <f>'План 4-я неделя'!BP74+F40</f>
        <v>144</v>
      </c>
      <c r="H40" s="962">
        <f t="shared" si="3"/>
        <v>14112</v>
      </c>
      <c r="I40" s="2598">
        <f>'План 4-я неделя'!BQ74</f>
        <v>143</v>
      </c>
      <c r="J40" s="2600">
        <f t="shared" si="4"/>
        <v>14014</v>
      </c>
      <c r="K40" s="195"/>
      <c r="L40" s="145">
        <v>2247.0</v>
      </c>
      <c r="M40" s="1268" t="s">
        <v>1441</v>
      </c>
      <c r="N40" s="145">
        <v>23.8</v>
      </c>
      <c r="O40" s="145" t="s">
        <v>3429</v>
      </c>
      <c r="R40" s="145">
        <v>3426.0</v>
      </c>
      <c r="S40" s="1268" t="s">
        <v>416</v>
      </c>
      <c r="T40" s="1268" t="s">
        <v>3436</v>
      </c>
    </row>
    <row r="41">
      <c r="A41" s="962">
        <f>'План 4-я неделя'!B75</f>
        <v>4273</v>
      </c>
      <c r="B41" s="962">
        <f>'План 4-я неделя'!C75</f>
        <v>187</v>
      </c>
      <c r="C41" s="962" t="str">
        <f>'План 4-я неделя'!D75</f>
        <v>Салат</v>
      </c>
      <c r="D41" s="962" t="str">
        <f>'План 4-я неделя'!E75</f>
        <v>Салат "Шопский" с печёным перцем </v>
      </c>
      <c r="E41" s="2576" t="str">
        <f>'План 4-я неделя'!BL75</f>
        <v/>
      </c>
      <c r="F41" s="962" t="str">
        <f>'План 4-я неделя'!BN75</f>
        <v/>
      </c>
      <c r="G41" s="962">
        <f>'План 4-я неделя'!BP75+F41</f>
        <v>56</v>
      </c>
      <c r="H41" s="962">
        <f t="shared" si="3"/>
        <v>10472</v>
      </c>
      <c r="I41" s="2587">
        <f>'План 4-я неделя'!BQ75</f>
        <v>55</v>
      </c>
      <c r="J41" s="2600">
        <f t="shared" si="4"/>
        <v>10285</v>
      </c>
      <c r="K41" s="195"/>
      <c r="L41" s="145">
        <v>2263.0</v>
      </c>
      <c r="M41" s="1268" t="s">
        <v>1436</v>
      </c>
      <c r="N41" s="145">
        <v>20.4</v>
      </c>
      <c r="O41" s="145" t="s">
        <v>3429</v>
      </c>
      <c r="R41" s="145">
        <v>3433.0</v>
      </c>
      <c r="S41" s="1268" t="s">
        <v>1091</v>
      </c>
      <c r="T41" s="1268" t="s">
        <v>3436</v>
      </c>
    </row>
    <row r="42">
      <c r="A42" s="962">
        <f>'План 4-я неделя'!B76</f>
        <v>386</v>
      </c>
      <c r="B42" s="962">
        <f>'План 4-я неделя'!C76</f>
        <v>88</v>
      </c>
      <c r="C42" s="962" t="str">
        <f>'План 4-я неделя'!D76</f>
        <v>Суп</v>
      </c>
      <c r="D42" s="962" t="str">
        <f>'План 4-я неделя'!E76</f>
        <v>Суп ''Харчо'' с курицей</v>
      </c>
      <c r="E42" s="2576">
        <f>'План 4-я неделя'!BL76</f>
        <v>110</v>
      </c>
      <c r="F42" s="962" t="str">
        <f>'План 4-я неделя'!BN76</f>
        <v/>
      </c>
      <c r="G42" s="962">
        <f>'План 4-я неделя'!BP76+F42</f>
        <v>111</v>
      </c>
      <c r="H42" s="962">
        <f t="shared" si="3"/>
        <v>9768</v>
      </c>
      <c r="I42" s="2587">
        <f>'План 4-я неделя'!BQ76</f>
        <v>110</v>
      </c>
      <c r="J42" s="2600">
        <f t="shared" si="4"/>
        <v>9680</v>
      </c>
      <c r="K42" s="195"/>
      <c r="L42" s="145">
        <v>2278.0</v>
      </c>
      <c r="M42" s="1268" t="s">
        <v>1439</v>
      </c>
      <c r="N42" s="145">
        <v>18.4</v>
      </c>
      <c r="O42" s="145" t="s">
        <v>3429</v>
      </c>
      <c r="R42" s="145">
        <v>3435.0</v>
      </c>
      <c r="S42" s="1268" t="s">
        <v>276</v>
      </c>
      <c r="T42" s="1268" t="s">
        <v>3436</v>
      </c>
    </row>
    <row r="43">
      <c r="A43" s="962">
        <f>'План 4-я неделя'!B77</f>
        <v>60</v>
      </c>
      <c r="B43" s="962">
        <f>'План 4-я неделя'!C77</f>
        <v>141</v>
      </c>
      <c r="C43" s="962" t="str">
        <f>'План 4-я неделя'!D77</f>
        <v>Суп</v>
      </c>
      <c r="D43" s="962" t="str">
        <f>'План 4-я неделя'!E77</f>
        <v>Грибной крем суп</v>
      </c>
      <c r="E43" s="2576" t="str">
        <f>'План 4-я неделя'!BL77</f>
        <v/>
      </c>
      <c r="F43" s="962" t="str">
        <f>'План 4-я неделя'!BN77</f>
        <v/>
      </c>
      <c r="G43" s="962">
        <f>'План 4-я неделя'!BP77+F43</f>
        <v>46</v>
      </c>
      <c r="H43" s="962">
        <f t="shared" si="3"/>
        <v>6486</v>
      </c>
      <c r="I43" s="2587">
        <f>'План 4-я неделя'!BQ77</f>
        <v>45</v>
      </c>
      <c r="J43" s="2600">
        <f t="shared" si="4"/>
        <v>6345</v>
      </c>
      <c r="K43" s="195"/>
      <c r="L43" s="145">
        <v>2640.0</v>
      </c>
      <c r="M43" s="1268" t="s">
        <v>1530</v>
      </c>
      <c r="N43" s="145">
        <v>17.2</v>
      </c>
      <c r="O43" s="145" t="s">
        <v>3429</v>
      </c>
      <c r="R43" s="145">
        <v>3455.0</v>
      </c>
      <c r="S43" s="1268" t="s">
        <v>283</v>
      </c>
      <c r="T43" s="1268" t="s">
        <v>3436</v>
      </c>
    </row>
    <row r="44">
      <c r="A44" s="962">
        <f>'План 4-я неделя'!B78</f>
        <v>1939</v>
      </c>
      <c r="B44" s="962">
        <f>'План 4-я неделя'!C78</f>
        <v>229</v>
      </c>
      <c r="C44" s="962" t="str">
        <f>'План 4-я неделя'!D78</f>
        <v>Второе</v>
      </c>
      <c r="D44" s="962" t="str">
        <f>'План 4-я неделя'!E78</f>
        <v>Котлета из щуки с пюре картофельным</v>
      </c>
      <c r="E44" s="2576" t="str">
        <f>'План 4-я неделя'!BL78</f>
        <v/>
      </c>
      <c r="F44" s="962" t="str">
        <f>'План 4-я неделя'!BN78</f>
        <v/>
      </c>
      <c r="G44" s="962">
        <f>'План 4-я неделя'!BP78+F44</f>
        <v>89</v>
      </c>
      <c r="H44" s="962">
        <f t="shared" si="3"/>
        <v>20381</v>
      </c>
      <c r="I44" s="2598">
        <f>'План 4-я неделя'!BQ78</f>
        <v>88</v>
      </c>
      <c r="J44" s="2600">
        <f t="shared" si="4"/>
        <v>20152</v>
      </c>
      <c r="K44" s="195"/>
      <c r="R44" s="145">
        <v>3460.0</v>
      </c>
      <c r="S44" s="1268" t="s">
        <v>3475</v>
      </c>
      <c r="T44" s="1268" t="s">
        <v>3436</v>
      </c>
    </row>
    <row r="45">
      <c r="A45" s="962">
        <f>'План 4-я неделя'!B79</f>
        <v>1982</v>
      </c>
      <c r="B45" s="962">
        <f>'План 4-я неделя'!C79</f>
        <v>214</v>
      </c>
      <c r="C45" s="962" t="str">
        <f>'План 4-я неделя'!D79</f>
        <v>Второе</v>
      </c>
      <c r="D45" s="962" t="str">
        <f>'План 4-я неделя'!E79</f>
        <v>Вок с курицей и рисом</v>
      </c>
      <c r="E45" s="2576" t="str">
        <f>'План 4-я неделя'!BL79</f>
        <v/>
      </c>
      <c r="F45" s="962" t="str">
        <f>'План 4-я неделя'!BN79</f>
        <v/>
      </c>
      <c r="G45" s="2602">
        <f>'План 4-я неделя'!BP79+F45</f>
        <v>133</v>
      </c>
      <c r="H45" s="962">
        <f t="shared" si="3"/>
        <v>28462</v>
      </c>
      <c r="I45" s="2598">
        <f>'План 4-я неделя'!BQ79</f>
        <v>132</v>
      </c>
      <c r="J45" s="2600">
        <f t="shared" si="4"/>
        <v>28248</v>
      </c>
      <c r="K45" s="195"/>
      <c r="R45" s="145">
        <v>3486.0</v>
      </c>
      <c r="S45" s="1268" t="s">
        <v>303</v>
      </c>
      <c r="T45" s="1268" t="s">
        <v>3436</v>
      </c>
    </row>
    <row r="46">
      <c r="A46" s="962">
        <f>'План 4-я неделя'!B80</f>
        <v>1267</v>
      </c>
      <c r="B46" s="962">
        <f>'План 4-я неделя'!C80</f>
        <v>198</v>
      </c>
      <c r="C46" s="962" t="str">
        <f>'План 4-я неделя'!D80</f>
        <v>Второе</v>
      </c>
      <c r="D46" s="962" t="str">
        <f>'План 4-я неделя'!E80</f>
        <v>Печень куриная с овощами с гречкой</v>
      </c>
      <c r="E46" s="2576">
        <f>'План 4-я неделя'!BL80</f>
        <v>80</v>
      </c>
      <c r="F46" s="962" t="str">
        <f>'План 4-я неделя'!BN80</f>
        <v/>
      </c>
      <c r="G46" s="962">
        <f>'План 4-я неделя'!BP80+F46</f>
        <v>176</v>
      </c>
      <c r="H46" s="962">
        <f t="shared" si="3"/>
        <v>34848</v>
      </c>
      <c r="I46" s="2587">
        <f>'План 4-я неделя'!BQ80</f>
        <v>171</v>
      </c>
      <c r="J46" s="2600">
        <f t="shared" si="4"/>
        <v>33858</v>
      </c>
      <c r="K46" s="195"/>
      <c r="R46" s="145">
        <v>3495.0</v>
      </c>
      <c r="S46" s="1268" t="s">
        <v>945</v>
      </c>
      <c r="T46" s="1268" t="s">
        <v>3436</v>
      </c>
    </row>
    <row r="47">
      <c r="A47" s="962">
        <f>'План 4-я неделя'!B81</f>
        <v>2976</v>
      </c>
      <c r="B47" s="962">
        <f>'План 4-я неделя'!C81</f>
        <v>195</v>
      </c>
      <c r="C47" s="962" t="str">
        <f>'План 4-я неделя'!D81</f>
        <v>Второе</v>
      </c>
      <c r="D47" s="962" t="str">
        <f>'План 4-я неделя'!E81</f>
        <v>Курочка в томатном соусе с рисом</v>
      </c>
      <c r="E47" s="2576">
        <f>'План 4-я неделя'!BL81</f>
        <v>25</v>
      </c>
      <c r="F47" s="962" t="str">
        <f>'План 4-я неделя'!BN81</f>
        <v/>
      </c>
      <c r="G47" s="962">
        <f>'План 4-я неделя'!BP81+F47</f>
        <v>26</v>
      </c>
      <c r="H47" s="962">
        <f t="shared" si="3"/>
        <v>5070</v>
      </c>
      <c r="I47" s="2587">
        <f>'План 4-я неделя'!BQ81</f>
        <v>25</v>
      </c>
      <c r="J47" s="2600">
        <f t="shared" si="4"/>
        <v>4875</v>
      </c>
      <c r="K47" s="195"/>
      <c r="R47" s="145">
        <v>3500.0</v>
      </c>
      <c r="S47" s="1268" t="s">
        <v>1097</v>
      </c>
      <c r="T47" s="1268" t="s">
        <v>3436</v>
      </c>
    </row>
    <row r="48">
      <c r="A48" s="962">
        <f>'План 4-я неделя'!B82</f>
        <v>967</v>
      </c>
      <c r="B48" s="962">
        <f>'План 4-я неделя'!C82</f>
        <v>198</v>
      </c>
      <c r="C48" s="962" t="str">
        <f>'План 4-я неделя'!D82</f>
        <v>Второе</v>
      </c>
      <c r="D48" s="962" t="str">
        <f>'План 4-я неделя'!E82</f>
        <v>Курочка в томатном соусе со спагетти</v>
      </c>
      <c r="E48" s="2576" t="str">
        <f>'План 4-я неделя'!BL82</f>
        <v/>
      </c>
      <c r="F48" s="962" t="str">
        <f>'План 4-я неделя'!BN82</f>
        <v/>
      </c>
      <c r="G48" s="962">
        <f>'План 4-я неделя'!BP82+F48</f>
        <v>77</v>
      </c>
      <c r="H48" s="962">
        <f t="shared" si="3"/>
        <v>15246</v>
      </c>
      <c r="I48" s="2587">
        <f>'План 4-я неделя'!BQ82</f>
        <v>76</v>
      </c>
      <c r="J48" s="2600">
        <f t="shared" si="4"/>
        <v>15048</v>
      </c>
      <c r="K48" s="195"/>
      <c r="R48" s="145">
        <v>3666.0</v>
      </c>
      <c r="S48" s="1268" t="s">
        <v>1093</v>
      </c>
      <c r="T48" s="1268" t="s">
        <v>3436</v>
      </c>
    </row>
    <row r="49">
      <c r="A49" s="962">
        <f>'План 4-я неделя'!B83</f>
        <v>1046</v>
      </c>
      <c r="B49" s="962">
        <f>'План 4-я неделя'!C83</f>
        <v>203</v>
      </c>
      <c r="C49" s="962" t="str">
        <f>'План 4-я неделя'!D83</f>
        <v>Второе</v>
      </c>
      <c r="D49" s="962" t="str">
        <f>'План 4-я неделя'!E83</f>
        <v>Чахохбили с макаронами</v>
      </c>
      <c r="E49" s="2576" t="str">
        <f>'План 4-я неделя'!BL83</f>
        <v/>
      </c>
      <c r="F49" s="962" t="str">
        <f>'План 4-я неделя'!BN83</f>
        <v/>
      </c>
      <c r="G49" s="2602">
        <f>'План 4-я неделя'!BP83+F49</f>
        <v>62</v>
      </c>
      <c r="H49" s="962">
        <f t="shared" si="3"/>
        <v>12586</v>
      </c>
      <c r="I49" s="2587">
        <f>'План 4-я неделя'!BQ83</f>
        <v>61</v>
      </c>
      <c r="J49" s="2600">
        <f t="shared" si="4"/>
        <v>12383</v>
      </c>
      <c r="K49" s="195"/>
      <c r="R49" s="145">
        <v>3689.0</v>
      </c>
      <c r="S49" s="1268" t="s">
        <v>1095</v>
      </c>
      <c r="T49" s="1268" t="s">
        <v>3436</v>
      </c>
    </row>
    <row r="50">
      <c r="A50" s="962" t="str">
        <f>'План 4-я неделя'!B84</f>
        <v/>
      </c>
      <c r="B50" s="962" t="str">
        <f>'План 4-я неделя'!C84</f>
        <v/>
      </c>
      <c r="C50" s="962" t="str">
        <f>'План 4-я неделя'!D84</f>
        <v>Второе</v>
      </c>
      <c r="D50" s="962" t="str">
        <f>'План 4-я неделя'!E84</f>
        <v>Мясные гнёзда с овощами и картофелем </v>
      </c>
      <c r="E50" s="2576">
        <f>'План 4-я неделя'!BL84</f>
        <v>25</v>
      </c>
      <c r="F50" s="962" t="str">
        <f>'План 4-я неделя'!BN84</f>
        <v/>
      </c>
      <c r="G50" s="962">
        <f>'План 4-я неделя'!BP84+F50</f>
        <v>135</v>
      </c>
      <c r="H50" s="962">
        <f t="shared" si="3"/>
        <v>0</v>
      </c>
      <c r="I50" s="2587">
        <f>'План 4-я неделя'!BQ84</f>
        <v>134</v>
      </c>
      <c r="J50" s="2600">
        <f t="shared" si="4"/>
        <v>0</v>
      </c>
      <c r="K50" s="195"/>
      <c r="R50" s="145">
        <v>3776.0</v>
      </c>
      <c r="S50" s="1268" t="s">
        <v>634</v>
      </c>
      <c r="T50" s="1268" t="s">
        <v>1437</v>
      </c>
    </row>
    <row r="51">
      <c r="A51" s="962">
        <f>'План 4-я неделя'!B85</f>
        <v>3455</v>
      </c>
      <c r="B51" s="962">
        <f>'План 4-я неделя'!C85</f>
        <v>85</v>
      </c>
      <c r="C51" s="962" t="str">
        <f>'План 4-я неделя'!D85</f>
        <v>Выпечка</v>
      </c>
      <c r="D51" s="962" t="str">
        <f>'План 4-я неделя'!E85</f>
        <v>Слойка с ветчиной и сыром 100г</v>
      </c>
      <c r="E51" s="2576">
        <f>'План 4-я неделя'!BL85</f>
        <v>13</v>
      </c>
      <c r="F51" s="962" t="str">
        <f>'План 4-я неделя'!BN85</f>
        <v/>
      </c>
      <c r="G51" s="962">
        <f>'План 4-я неделя'!BP85+F51</f>
        <v>14</v>
      </c>
      <c r="H51" s="962">
        <f t="shared" si="3"/>
        <v>1190</v>
      </c>
      <c r="I51" s="2587">
        <f>'План 4-я неделя'!BQ85</f>
        <v>14</v>
      </c>
      <c r="J51" s="2600">
        <f t="shared" si="4"/>
        <v>1190</v>
      </c>
      <c r="K51" s="195"/>
    </row>
    <row r="52">
      <c r="A52" s="962">
        <f>'План 4-я неделя'!B86</f>
        <v>3435</v>
      </c>
      <c r="B52" s="962">
        <f>'План 4-я неделя'!C86</f>
        <v>51</v>
      </c>
      <c r="C52" s="962" t="str">
        <f>'План 4-я неделя'!D86</f>
        <v>Выпечка</v>
      </c>
      <c r="D52" s="962" t="str">
        <f>'План 4-я неделя'!E86</f>
        <v>Булочка с повидлом 80 г</v>
      </c>
      <c r="E52" s="2576">
        <f>'План 4-я неделя'!BL86</f>
        <v>10</v>
      </c>
      <c r="F52" s="962" t="str">
        <f>'План 4-я неделя'!BN86</f>
        <v/>
      </c>
      <c r="G52" s="962">
        <f>'План 4-я неделя'!BP86+F52</f>
        <v>11</v>
      </c>
      <c r="H52" s="962">
        <f t="shared" si="3"/>
        <v>561</v>
      </c>
      <c r="I52" s="2587">
        <f>'План 4-я неделя'!BQ86</f>
        <v>9</v>
      </c>
      <c r="J52" s="2600">
        <f t="shared" si="4"/>
        <v>459</v>
      </c>
      <c r="K52" s="195"/>
    </row>
    <row r="53">
      <c r="A53" s="962" t="str">
        <f>'План 4-я неделя'!B87</f>
        <v/>
      </c>
      <c r="B53" s="962" t="str">
        <f>'План 4-я неделя'!C87</f>
        <v/>
      </c>
      <c r="C53" s="962" t="str">
        <f>'План 4-я неделя'!D87</f>
        <v/>
      </c>
      <c r="D53" s="962" t="str">
        <f>'План 4-я неделя'!E87</f>
        <v/>
      </c>
      <c r="E53" s="2576" t="str">
        <f>'План 4-я неделя'!BL87</f>
        <v/>
      </c>
      <c r="F53" s="962" t="str">
        <f>'План 4-я неделя'!BN87</f>
        <v/>
      </c>
      <c r="G53" s="962">
        <f>'План 4-я неделя'!BP87+F53</f>
        <v>1</v>
      </c>
      <c r="H53" s="962">
        <f t="shared" si="3"/>
        <v>0</v>
      </c>
      <c r="I53" s="2587">
        <f>'План 4-я неделя'!BQ87</f>
        <v>0</v>
      </c>
      <c r="J53" s="2600">
        <f t="shared" si="4"/>
        <v>0</v>
      </c>
      <c r="K53" s="195"/>
    </row>
    <row r="54">
      <c r="A54" s="962">
        <f>'План 4-я неделя'!B88</f>
        <v>4050</v>
      </c>
      <c r="B54" s="962">
        <f>'План 4-я неделя'!C88</f>
        <v>178</v>
      </c>
      <c r="C54" s="962" t="str">
        <f>'План 4-я неделя'!D88</f>
        <v>Сэндвич</v>
      </c>
      <c r="D54" s="962" t="str">
        <f>'План 4-я неделя'!E88</f>
        <v>Клаб-сэндвич с курицей и беконом</v>
      </c>
      <c r="E54" s="2576" t="str">
        <f>'План 4-я неделя'!BL88</f>
        <v/>
      </c>
      <c r="F54" s="962" t="str">
        <f>'План 4-я неделя'!BN88</f>
        <v/>
      </c>
      <c r="G54" s="962">
        <f>'План 4-я неделя'!BP88+F54</f>
        <v>111</v>
      </c>
      <c r="H54" s="962">
        <f t="shared" si="3"/>
        <v>19758</v>
      </c>
      <c r="I54" s="2587">
        <f>'План 4-я неделя'!BQ88</f>
        <v>110</v>
      </c>
      <c r="J54" s="2600">
        <f t="shared" si="4"/>
        <v>19580</v>
      </c>
      <c r="K54" s="195"/>
    </row>
    <row r="55">
      <c r="A55" s="962">
        <f>'План 4-я неделя'!B89</f>
        <v>5</v>
      </c>
      <c r="B55" s="962">
        <f>'План 4-я неделя'!C89</f>
        <v>155</v>
      </c>
      <c r="C55" s="962" t="str">
        <f>'План 4-я неделя'!D89</f>
        <v>Сэндвич</v>
      </c>
      <c r="D55" s="962" t="str">
        <f>'План 4-я неделя'!E89</f>
        <v>Сэндвич с ветчиной и сыром</v>
      </c>
      <c r="E55" s="2576" t="str">
        <f>'План 4-я неделя'!BL89</f>
        <v/>
      </c>
      <c r="F55" s="962" t="str">
        <f>'План 4-я неделя'!BN89</f>
        <v/>
      </c>
      <c r="G55" s="962">
        <f>'План 4-я неделя'!BP89+F55</f>
        <v>134</v>
      </c>
      <c r="H55" s="962">
        <f t="shared" si="3"/>
        <v>20770</v>
      </c>
      <c r="I55" s="2587">
        <f>'План 4-я неделя'!BQ89</f>
        <v>133</v>
      </c>
      <c r="J55" s="2600">
        <f t="shared" si="4"/>
        <v>20615</v>
      </c>
      <c r="K55" s="195"/>
    </row>
    <row r="56">
      <c r="A56" s="962" t="str">
        <f>'План 4-я неделя'!B91</f>
        <v/>
      </c>
      <c r="B56" s="962" t="str">
        <f>'План 4-я неделя'!C91</f>
        <v/>
      </c>
      <c r="C56" s="962" t="str">
        <f>'План 4-я неделя'!D91</f>
        <v/>
      </c>
      <c r="D56" s="962" t="str">
        <f>'План 4-я неделя'!E91</f>
        <v/>
      </c>
      <c r="E56" s="2576" t="str">
        <f>'План 4-я неделя'!BL91</f>
        <v/>
      </c>
      <c r="F56" s="962" t="str">
        <f>'План 4-я неделя'!BN91</f>
        <v/>
      </c>
      <c r="G56" s="962">
        <f>'План 4-я неделя'!BP91+F56</f>
        <v>1</v>
      </c>
      <c r="H56" s="962">
        <f t="shared" si="3"/>
        <v>0</v>
      </c>
      <c r="I56" s="2587">
        <f>'План 4-я неделя'!BQ91</f>
        <v>0</v>
      </c>
      <c r="J56" s="2600">
        <f t="shared" si="4"/>
        <v>0</v>
      </c>
      <c r="K56" s="195"/>
    </row>
    <row r="57">
      <c r="A57" s="962">
        <f>'План 4-я неделя'!B90</f>
        <v>3996</v>
      </c>
      <c r="B57" s="962">
        <f>'План 4-я неделя'!C90</f>
        <v>98</v>
      </c>
      <c r="C57" s="962" t="str">
        <f>'План 4-я неделя'!D90</f>
        <v>Япония</v>
      </c>
      <c r="D57" s="962" t="str">
        <f>'План 4-я неделя'!E90</f>
        <v>Морс вишневый 0,5 л</v>
      </c>
      <c r="E57" s="2576" t="str">
        <f>'План 4-я неделя'!BL90</f>
        <v/>
      </c>
      <c r="F57" s="962" t="str">
        <f>'План 4-я неделя'!BN90</f>
        <v/>
      </c>
      <c r="G57" s="962">
        <f>'План 4-я неделя'!BP90+F57</f>
        <v>172</v>
      </c>
      <c r="H57" s="962">
        <f t="shared" si="3"/>
        <v>16856</v>
      </c>
      <c r="I57" s="2587">
        <f>'План 4-я неделя'!BQ90</f>
        <v>152</v>
      </c>
      <c r="J57" s="2600">
        <f t="shared" si="4"/>
        <v>14896</v>
      </c>
      <c r="K57" s="195"/>
    </row>
    <row r="58">
      <c r="A58" s="962">
        <f>'План 4-я неделя'!B92</f>
        <v>822</v>
      </c>
      <c r="B58" s="962">
        <f>'План 4-я неделя'!C92</f>
        <v>5</v>
      </c>
      <c r="C58" s="962" t="str">
        <f>'План 4-я неделя'!D92</f>
        <v>Суп</v>
      </c>
      <c r="D58" s="962" t="str">
        <f>'План 4-я неделя'!E92</f>
        <v>Хлеб пшеничный</v>
      </c>
      <c r="E58" s="2576" t="str">
        <f>'План 4-я неделя'!BL92</f>
        <v/>
      </c>
      <c r="F58" s="962" t="str">
        <f>'План 4-я неделя'!BN92</f>
        <v/>
      </c>
      <c r="G58" s="962">
        <f>'План 4-я неделя'!BP92+F58</f>
        <v>112</v>
      </c>
      <c r="H58" s="962">
        <f t="shared" si="3"/>
        <v>560</v>
      </c>
      <c r="I58" s="2587">
        <f>'План 4-я неделя'!BQ92</f>
        <v>90</v>
      </c>
      <c r="J58" s="2600">
        <f t="shared" si="4"/>
        <v>450</v>
      </c>
      <c r="K58" s="195"/>
    </row>
    <row r="59">
      <c r="I59" s="2570"/>
      <c r="J59" s="2599"/>
      <c r="K59" s="195"/>
    </row>
    <row r="60">
      <c r="A60" s="2603" t="str">
        <f>'План 4-я неделя'!A125</f>
        <v>Дата:  </v>
      </c>
      <c r="B60" s="2624">
        <f>'План 4-я неделя'!D125</f>
        <v>46252</v>
      </c>
      <c r="C60" s="2603"/>
      <c r="D60" s="2603" t="str">
        <f>'План 4-я неделя'!E125</f>
        <v>План на день кухня       ВТОРНИК</v>
      </c>
      <c r="H60" s="1346">
        <f>SUM(H62:H88)</f>
        <v>335035</v>
      </c>
      <c r="I60" s="2570"/>
      <c r="J60" s="2572">
        <f>SUM(J62:J88)</f>
        <v>323419</v>
      </c>
      <c r="K60" s="2573">
        <f>J60-H60</f>
        <v>-11616</v>
      </c>
      <c r="L60" s="2574" t="s">
        <v>1283</v>
      </c>
      <c r="M60" s="2574" t="s">
        <v>1428</v>
      </c>
      <c r="N60" s="2574" t="s">
        <v>3415</v>
      </c>
      <c r="O60" s="2574" t="s">
        <v>3416</v>
      </c>
      <c r="R60" s="2574" t="s">
        <v>1283</v>
      </c>
      <c r="S60" s="2574" t="s">
        <v>3283</v>
      </c>
      <c r="T60" s="2574" t="s">
        <v>3417</v>
      </c>
    </row>
    <row r="61">
      <c r="A61" s="2575" t="str">
        <f>'План 4-я неделя'!B126</f>
        <v>Код</v>
      </c>
      <c r="B61" s="2575" t="str">
        <f>'План 4-я неделя'!C126</f>
        <v>Цена</v>
      </c>
      <c r="C61" s="2575" t="str">
        <f>'План 4-я неделя'!D126</f>
        <v>Категория</v>
      </c>
      <c r="D61" s="2575" t="str">
        <f>'План 4-я неделя'!E126</f>
        <v>Название блюда</v>
      </c>
      <c r="E61" s="2576" t="str">
        <f>'План 4-я неделя'!BL126</f>
        <v>ТСПК</v>
      </c>
      <c r="F61" s="2165" t="str">
        <f>'План 4-я неделя'!BN126</f>
        <v>Стол</v>
      </c>
      <c r="G61" s="2165" t="s">
        <v>3421</v>
      </c>
      <c r="H61" s="2165" t="s">
        <v>3422</v>
      </c>
      <c r="I61" s="2578" t="s">
        <v>3424</v>
      </c>
      <c r="J61" s="2578" t="s">
        <v>3425</v>
      </c>
      <c r="K61" s="2445"/>
      <c r="L61" s="145">
        <v>453.0</v>
      </c>
      <c r="M61" s="1268" t="s">
        <v>2931</v>
      </c>
      <c r="N61" s="145">
        <v>10.2</v>
      </c>
      <c r="O61" s="145" t="s">
        <v>3429</v>
      </c>
      <c r="R61" s="145">
        <v>8.0</v>
      </c>
      <c r="S61" s="1268" t="s">
        <v>272</v>
      </c>
      <c r="T61" s="1268" t="s">
        <v>3436</v>
      </c>
    </row>
    <row r="62">
      <c r="A62" s="962">
        <f>'План 4-я неделя'!B127</f>
        <v>3196</v>
      </c>
      <c r="B62" s="962">
        <f>'План 4-я неделя'!C127</f>
        <v>97</v>
      </c>
      <c r="C62" s="962" t="str">
        <f>'План 4-я неделя'!D127</f>
        <v>Завтрак</v>
      </c>
      <c r="D62" s="962" t="str">
        <f>'План 4-я неделя'!E127</f>
        <v>Манник ''Маковый''</v>
      </c>
      <c r="E62" s="2576" t="str">
        <f>'План 4-я неделя'!BL127</f>
        <v/>
      </c>
      <c r="F62" s="2165" t="str">
        <f>'План 4-я неделя'!BN127</f>
        <v/>
      </c>
      <c r="G62" s="962">
        <f>'План 4-я неделя'!BP127+F62</f>
        <v>129</v>
      </c>
      <c r="H62" s="962">
        <f t="shared" ref="H62:H88" si="5">G62*B62</f>
        <v>12513</v>
      </c>
      <c r="I62" s="2587">
        <f>'План 4-я неделя'!BQ127</f>
        <v>128</v>
      </c>
      <c r="J62" s="2600">
        <f t="shared" ref="J62:J88" si="6">B62*I62</f>
        <v>12416</v>
      </c>
      <c r="K62" s="195"/>
      <c r="L62" s="145">
        <v>3903.0</v>
      </c>
      <c r="M62" s="1268" t="s">
        <v>2104</v>
      </c>
      <c r="N62" s="2593">
        <v>163.0</v>
      </c>
      <c r="O62" s="145" t="s">
        <v>3329</v>
      </c>
      <c r="R62" s="145">
        <v>31.0</v>
      </c>
      <c r="S62" s="1268" t="s">
        <v>453</v>
      </c>
      <c r="T62" s="1268" t="s">
        <v>3436</v>
      </c>
    </row>
    <row r="63">
      <c r="A63" s="962">
        <f>'План 4-я неделя'!B128</f>
        <v>4226</v>
      </c>
      <c r="B63" s="962">
        <f>'План 4-я неделя'!C128</f>
        <v>139</v>
      </c>
      <c r="C63" s="962" t="str">
        <f>'План 4-я неделя'!D128</f>
        <v>Завтрак</v>
      </c>
      <c r="D63" s="962" t="str">
        <f>'План 4-я неделя'!E128</f>
        <v>Курник  (курица, картофель) </v>
      </c>
      <c r="E63" s="2576" t="str">
        <f>'План 4-я неделя'!BL128</f>
        <v/>
      </c>
      <c r="F63" s="2165" t="str">
        <f>'План 4-я неделя'!BN128</f>
        <v/>
      </c>
      <c r="G63" s="962">
        <f>'План 4-я неделя'!BP128+F63</f>
        <v>147</v>
      </c>
      <c r="H63" s="962">
        <f t="shared" si="5"/>
        <v>20433</v>
      </c>
      <c r="I63" s="2587">
        <f>'План 4-я неделя'!BQ128</f>
        <v>146</v>
      </c>
      <c r="J63" s="2600">
        <f t="shared" si="6"/>
        <v>20294</v>
      </c>
      <c r="K63" s="195"/>
      <c r="L63" s="145">
        <v>3904.0</v>
      </c>
      <c r="M63" s="1268" t="s">
        <v>1615</v>
      </c>
      <c r="N63" s="2593">
        <v>136.0</v>
      </c>
      <c r="O63" s="145" t="s">
        <v>3329</v>
      </c>
      <c r="R63" s="145">
        <v>822.0</v>
      </c>
      <c r="S63" s="1268" t="s">
        <v>136</v>
      </c>
      <c r="T63" s="1268" t="s">
        <v>3436</v>
      </c>
    </row>
    <row r="64">
      <c r="A64" s="962">
        <f>'План 4-я неделя'!B129</f>
        <v>4246</v>
      </c>
      <c r="B64" s="962">
        <f>'План 4-я неделя'!C129</f>
        <v>100</v>
      </c>
      <c r="C64" s="962" t="str">
        <f>'План 4-я неделя'!D129</f>
        <v>Завтрак</v>
      </c>
      <c r="D64" s="962" t="str">
        <f>'План 4-я неделя'!E129</f>
        <v>Каша "3 злака" на апельсиновом соке </v>
      </c>
      <c r="E64" s="2576" t="str">
        <f>'План 4-я неделя'!BL129</f>
        <v/>
      </c>
      <c r="F64" s="2165" t="str">
        <f>'План 4-я неделя'!BN129</f>
        <v/>
      </c>
      <c r="G64" s="962">
        <f>'План 4-я неделя'!BP129+F64</f>
        <v>78</v>
      </c>
      <c r="H64" s="962">
        <f t="shared" si="5"/>
        <v>7800</v>
      </c>
      <c r="I64" s="2587">
        <f>'План 4-я неделя'!BQ129</f>
        <v>77</v>
      </c>
      <c r="J64" s="2600">
        <f t="shared" si="6"/>
        <v>7700</v>
      </c>
      <c r="K64" s="195"/>
      <c r="L64" s="145">
        <v>3906.0</v>
      </c>
      <c r="M64" s="1268" t="s">
        <v>1432</v>
      </c>
      <c r="N64" s="145">
        <v>17.2</v>
      </c>
      <c r="O64" s="145" t="s">
        <v>3429</v>
      </c>
      <c r="R64" s="145">
        <v>1105.0</v>
      </c>
      <c r="S64" s="1268" t="s">
        <v>640</v>
      </c>
      <c r="T64" s="1268" t="s">
        <v>1437</v>
      </c>
    </row>
    <row r="65">
      <c r="A65" s="962">
        <f>'План 4-я неделя'!B130</f>
        <v>3189</v>
      </c>
      <c r="B65" s="962">
        <f>'План 4-я неделя'!C130</f>
        <v>98</v>
      </c>
      <c r="C65" s="962" t="str">
        <f>'План 4-я неделя'!D130</f>
        <v>Салат</v>
      </c>
      <c r="D65" s="962" t="str">
        <f>'План 4-я неделя'!E130</f>
        <v>Салат Свекла с сыром и чесноком 120гр</v>
      </c>
      <c r="E65" s="2576">
        <f>'План 4-я неделя'!BL130</f>
        <v>44</v>
      </c>
      <c r="F65" s="2165">
        <f>'План 4-я неделя'!BN130</f>
        <v>10</v>
      </c>
      <c r="G65" s="962">
        <f>'План 4-я неделя'!BP130+F65</f>
        <v>174</v>
      </c>
      <c r="H65" s="962">
        <f t="shared" si="5"/>
        <v>17052</v>
      </c>
      <c r="I65" s="2587">
        <f>'План 4-я неделя'!BQ130</f>
        <v>163</v>
      </c>
      <c r="J65" s="2600">
        <f t="shared" si="6"/>
        <v>15974</v>
      </c>
      <c r="K65" s="195"/>
      <c r="R65" s="145">
        <v>1128.0</v>
      </c>
      <c r="S65" s="1268" t="s">
        <v>961</v>
      </c>
      <c r="T65" s="1268" t="s">
        <v>3436</v>
      </c>
    </row>
    <row r="66">
      <c r="A66" s="962">
        <f>'План 4-я неделя'!B131</f>
        <v>3216</v>
      </c>
      <c r="B66" s="962">
        <f>'План 4-я неделя'!C131</f>
        <v>98</v>
      </c>
      <c r="C66" s="962" t="str">
        <f>'План 4-я неделя'!D131</f>
        <v>Салат</v>
      </c>
      <c r="D66" s="962" t="str">
        <f>'План 4-я неделя'!E131</f>
        <v>Салат ''Таврия'' (колбаса п/к)</v>
      </c>
      <c r="E66" s="2576">
        <f>'План 4-я неделя'!BL131</f>
        <v>43</v>
      </c>
      <c r="F66" s="2165" t="str">
        <f>'План 4-я неделя'!BN131</f>
        <v/>
      </c>
      <c r="G66" s="962">
        <f>'План 4-я неделя'!BP131+F66</f>
        <v>145</v>
      </c>
      <c r="H66" s="962">
        <f t="shared" si="5"/>
        <v>14210</v>
      </c>
      <c r="I66" s="2587">
        <f>'План 4-я неделя'!BQ131</f>
        <v>144</v>
      </c>
      <c r="J66" s="2600">
        <f t="shared" si="6"/>
        <v>14112</v>
      </c>
      <c r="K66" s="195"/>
      <c r="L66" s="2574" t="s">
        <v>1283</v>
      </c>
      <c r="M66" s="2574" t="s">
        <v>1430</v>
      </c>
      <c r="N66" s="2574" t="s">
        <v>3415</v>
      </c>
      <c r="O66" s="2574" t="s">
        <v>3416</v>
      </c>
      <c r="R66" s="145">
        <v>2771.0</v>
      </c>
      <c r="S66" s="1268" t="s">
        <v>950</v>
      </c>
      <c r="T66" s="1268" t="s">
        <v>3436</v>
      </c>
    </row>
    <row r="67">
      <c r="A67" s="962">
        <f>'План 4-я неделя'!B132</f>
        <v>2303</v>
      </c>
      <c r="B67" s="962">
        <f>'План 4-я неделя'!C132</f>
        <v>98</v>
      </c>
      <c r="C67" s="962" t="str">
        <f>'План 4-я неделя'!D132</f>
        <v>Салат</v>
      </c>
      <c r="D67" s="962" t="str">
        <f>'План 4-я неделя'!E132</f>
        <v>Салат ''Жар-птица'' (филе кур)</v>
      </c>
      <c r="E67" s="2576">
        <f>'План 4-я неделя'!BL132</f>
        <v>43</v>
      </c>
      <c r="F67" s="2165">
        <f>'План 4-я неделя'!BN132</f>
        <v>8</v>
      </c>
      <c r="G67" s="962">
        <f>'План 4-я неделя'!BP132+F67</f>
        <v>120</v>
      </c>
      <c r="H67" s="962">
        <f t="shared" si="5"/>
        <v>11760</v>
      </c>
      <c r="I67" s="2587">
        <f>'План 4-я неделя'!BQ132</f>
        <v>111</v>
      </c>
      <c r="J67" s="2600">
        <f t="shared" si="6"/>
        <v>10878</v>
      </c>
      <c r="K67" s="195"/>
      <c r="L67" s="145">
        <v>487.0</v>
      </c>
      <c r="M67" s="1268" t="s">
        <v>1443</v>
      </c>
      <c r="N67" s="145">
        <v>13.5</v>
      </c>
      <c r="O67" s="145" t="s">
        <v>3429</v>
      </c>
      <c r="R67" s="145">
        <v>3021.0</v>
      </c>
      <c r="S67" s="1268" t="s">
        <v>1027</v>
      </c>
      <c r="T67" s="1268" t="s">
        <v>3436</v>
      </c>
    </row>
    <row r="68">
      <c r="A68" s="962">
        <f>'План 4-я неделя'!B133</f>
        <v>3457</v>
      </c>
      <c r="B68" s="962">
        <f>'План 4-я неделя'!C133</f>
        <v>271</v>
      </c>
      <c r="C68" s="962" t="str">
        <f>'План 4-я неделя'!D133</f>
        <v>Салат</v>
      </c>
      <c r="D68" s="962" t="str">
        <f>'План 4-я неделя'!E133</f>
        <v>Боул с курицей и чечевицей</v>
      </c>
      <c r="E68" s="2576" t="str">
        <f>'План 4-я неделя'!BL133</f>
        <v/>
      </c>
      <c r="F68" s="2165" t="str">
        <f>'План 4-я неделя'!BN133</f>
        <v/>
      </c>
      <c r="G68" s="962">
        <f>'План 4-я неделя'!BP133+F68</f>
        <v>57</v>
      </c>
      <c r="H68" s="962">
        <f t="shared" si="5"/>
        <v>15447</v>
      </c>
      <c r="I68" s="2587">
        <f>'План 4-я неделя'!BQ133</f>
        <v>56</v>
      </c>
      <c r="J68" s="2600">
        <f t="shared" si="6"/>
        <v>15176</v>
      </c>
      <c r="K68" s="195"/>
      <c r="L68" s="145">
        <v>2247.0</v>
      </c>
      <c r="M68" s="1268" t="s">
        <v>1441</v>
      </c>
      <c r="N68" s="145">
        <v>43.6</v>
      </c>
      <c r="O68" s="145" t="s">
        <v>3429</v>
      </c>
      <c r="R68" s="145">
        <v>3120.0</v>
      </c>
      <c r="S68" s="1268" t="s">
        <v>1099</v>
      </c>
      <c r="T68" s="1268" t="s">
        <v>3436</v>
      </c>
    </row>
    <row r="69">
      <c r="A69" s="962">
        <f>'План 4-я неделя'!B134</f>
        <v>2288</v>
      </c>
      <c r="B69" s="962">
        <f>'План 4-я неделя'!C134</f>
        <v>88</v>
      </c>
      <c r="C69" s="962" t="str">
        <f>'План 4-я неделя'!D134</f>
        <v>Суп</v>
      </c>
      <c r="D69" s="962" t="str">
        <f>'План 4-я неделя'!E134</f>
        <v>Суп картофельный с курицей</v>
      </c>
      <c r="E69" s="2576">
        <f>'План 4-я неделя'!BL134</f>
        <v>120</v>
      </c>
      <c r="F69" s="2165">
        <f>'План 4-я неделя'!BN134</f>
        <v>10</v>
      </c>
      <c r="G69" s="2602">
        <f>'План 4-я неделя'!BP134+F69</f>
        <v>131</v>
      </c>
      <c r="H69" s="962">
        <f t="shared" si="5"/>
        <v>11528</v>
      </c>
      <c r="I69" s="2598">
        <f>'План 4-я неделя'!BQ134</f>
        <v>120</v>
      </c>
      <c r="J69" s="2600">
        <f t="shared" si="6"/>
        <v>10560</v>
      </c>
      <c r="K69" s="195"/>
      <c r="L69" s="145">
        <v>2263.0</v>
      </c>
      <c r="M69" s="1268" t="s">
        <v>1436</v>
      </c>
      <c r="N69" s="145">
        <v>26.0</v>
      </c>
      <c r="O69" s="145" t="s">
        <v>3429</v>
      </c>
      <c r="R69" s="145">
        <v>3140.0</v>
      </c>
      <c r="S69" s="1268" t="s">
        <v>436</v>
      </c>
      <c r="T69" s="1268" t="s">
        <v>3436</v>
      </c>
    </row>
    <row r="70">
      <c r="A70" s="962" t="str">
        <f>'План 4-я неделя'!B135</f>
        <v/>
      </c>
      <c r="B70" s="962" t="str">
        <f>'План 4-я неделя'!C135</f>
        <v/>
      </c>
      <c r="C70" s="962" t="str">
        <f>'План 4-я неделя'!D135</f>
        <v/>
      </c>
      <c r="D70" s="962" t="str">
        <f>'План 4-я неделя'!E135</f>
        <v/>
      </c>
      <c r="E70" s="2576" t="str">
        <f>'План 4-я неделя'!BL135</f>
        <v/>
      </c>
      <c r="F70" s="2165">
        <f>'План 4-я неделя'!BN135</f>
        <v>0</v>
      </c>
      <c r="G70" s="962">
        <f>'План 4-я неделя'!BP135+F70</f>
        <v>1</v>
      </c>
      <c r="H70" s="962">
        <f t="shared" si="5"/>
        <v>0</v>
      </c>
      <c r="I70" s="2587">
        <f>'План 4-я неделя'!BQ135</f>
        <v>0</v>
      </c>
      <c r="J70" s="2600">
        <f t="shared" si="6"/>
        <v>0</v>
      </c>
      <c r="K70" s="195"/>
      <c r="L70" s="145">
        <v>2278.0</v>
      </c>
      <c r="M70" s="1268" t="s">
        <v>3476</v>
      </c>
      <c r="N70" s="145">
        <v>39.75</v>
      </c>
      <c r="O70" s="145" t="s">
        <v>3429</v>
      </c>
      <c r="R70" s="145">
        <v>3189.0</v>
      </c>
      <c r="S70" s="1268" t="s">
        <v>2627</v>
      </c>
      <c r="T70" s="1268" t="s">
        <v>3436</v>
      </c>
    </row>
    <row r="71">
      <c r="A71" s="962">
        <f>'План 4-я неделя'!B136</f>
        <v>813</v>
      </c>
      <c r="B71" s="962">
        <f>'План 4-я неделя'!C136</f>
        <v>227</v>
      </c>
      <c r="C71" s="962" t="str">
        <f>'План 4-я неделя'!D136</f>
        <v>Второе</v>
      </c>
      <c r="D71" s="962" t="str">
        <f>'План 4-я неделя'!E136</f>
        <v>Котлета по-киевски с макаронами</v>
      </c>
      <c r="E71" s="2576" t="str">
        <f>'План 4-я неделя'!BL136</f>
        <v/>
      </c>
      <c r="F71" s="2165">
        <f>'План 4-я неделя'!BN136</f>
        <v>10</v>
      </c>
      <c r="G71" s="962">
        <f>'План 4-я неделя'!BP136+F71</f>
        <v>132</v>
      </c>
      <c r="H71" s="962">
        <f t="shared" si="5"/>
        <v>29964</v>
      </c>
      <c r="I71" s="2587">
        <f>'План 4-я неделя'!BQ136</f>
        <v>121</v>
      </c>
      <c r="J71" s="2600">
        <f t="shared" si="6"/>
        <v>27467</v>
      </c>
      <c r="K71" s="195"/>
      <c r="L71" s="145">
        <v>2640.0</v>
      </c>
      <c r="M71" s="1268" t="s">
        <v>1530</v>
      </c>
      <c r="N71" s="145">
        <v>11.2</v>
      </c>
      <c r="O71" s="145" t="s">
        <v>3429</v>
      </c>
      <c r="R71" s="145">
        <v>3330.0</v>
      </c>
      <c r="S71" s="1268" t="s">
        <v>330</v>
      </c>
      <c r="T71" s="1268" t="s">
        <v>3436</v>
      </c>
    </row>
    <row r="72">
      <c r="A72" s="962">
        <f>'План 4-я неделя'!B137</f>
        <v>4105</v>
      </c>
      <c r="B72" s="962">
        <f>'План 4-я неделя'!C137</f>
        <v>234</v>
      </c>
      <c r="C72" s="962" t="str">
        <f>'План 4-я неделя'!D137</f>
        <v>Второе</v>
      </c>
      <c r="D72" s="962" t="str">
        <f>'План 4-я неделя'!E137</f>
        <v>Свинина по-гавайски с картофелем</v>
      </c>
      <c r="E72" s="2576" t="str">
        <f>'План 4-я неделя'!BL137</f>
        <v/>
      </c>
      <c r="F72" s="2165">
        <f>'План 4-я неделя'!BN137</f>
        <v>10</v>
      </c>
      <c r="G72" s="962">
        <f>'План 4-я неделя'!BP137+F72</f>
        <v>83</v>
      </c>
      <c r="H72" s="962">
        <f t="shared" si="5"/>
        <v>19422</v>
      </c>
      <c r="I72" s="2598">
        <f>'План 4-я неделя'!BQ137</f>
        <v>72</v>
      </c>
      <c r="J72" s="2600">
        <f t="shared" si="6"/>
        <v>16848</v>
      </c>
      <c r="K72" s="195"/>
      <c r="R72" s="145">
        <v>3375.0</v>
      </c>
      <c r="S72" s="1268" t="s">
        <v>302</v>
      </c>
      <c r="T72" s="1268" t="s">
        <v>3436</v>
      </c>
    </row>
    <row r="73">
      <c r="A73" s="962">
        <f>'План 4-я неделя'!B138</f>
        <v>26</v>
      </c>
      <c r="B73" s="962">
        <f>'План 4-я неделя'!C138</f>
        <v>190</v>
      </c>
      <c r="C73" s="962" t="str">
        <f>'План 4-я неделя'!D138</f>
        <v>Второе</v>
      </c>
      <c r="D73" s="962" t="str">
        <f>'План 4-я неделя'!E138</f>
        <v>Плов по-узбекски с цыпленком б/250гр</v>
      </c>
      <c r="E73" s="2576">
        <f>'План 4-я неделя'!BL138</f>
        <v>25</v>
      </c>
      <c r="F73" s="2165">
        <f>'План 4-я неделя'!BN138</f>
        <v>10</v>
      </c>
      <c r="G73" s="962">
        <f>'План 4-я неделя'!BP138+F73</f>
        <v>154</v>
      </c>
      <c r="H73" s="962">
        <f t="shared" si="5"/>
        <v>29260</v>
      </c>
      <c r="I73" s="2598">
        <f>'План 4-я неделя'!BQ138</f>
        <v>143</v>
      </c>
      <c r="J73" s="2600">
        <f t="shared" si="6"/>
        <v>27170</v>
      </c>
      <c r="K73" s="195"/>
      <c r="R73" s="145">
        <v>3430.0</v>
      </c>
      <c r="S73" s="1268" t="s">
        <v>1101</v>
      </c>
      <c r="T73" s="1268" t="s">
        <v>1437</v>
      </c>
    </row>
    <row r="74">
      <c r="A74" s="962">
        <f>'План 4-я неделя'!B139</f>
        <v>4100</v>
      </c>
      <c r="B74" s="962">
        <f>'План 4-я неделя'!C139</f>
        <v>198</v>
      </c>
      <c r="C74" s="962" t="str">
        <f>'План 4-я неделя'!D139</f>
        <v>Второе</v>
      </c>
      <c r="D74" s="962" t="str">
        <f>'План 4-я неделя'!E139</f>
        <v>Курочка по-купечески с гречкой </v>
      </c>
      <c r="E74" s="2576">
        <f>'План 4-я неделя'!BL139</f>
        <v>30</v>
      </c>
      <c r="F74" s="2165">
        <f>'План 4-я неделя'!BN139</f>
        <v>10</v>
      </c>
      <c r="G74" s="962">
        <f>'План 4-я неделя'!BP139+F74</f>
        <v>178</v>
      </c>
      <c r="H74" s="962">
        <f t="shared" si="5"/>
        <v>35244</v>
      </c>
      <c r="I74" s="2587">
        <f>'План 4-я неделя'!BQ139</f>
        <v>167</v>
      </c>
      <c r="J74" s="2600">
        <f t="shared" si="6"/>
        <v>33066</v>
      </c>
      <c r="K74" s="195"/>
      <c r="R74" s="145">
        <v>3445.0</v>
      </c>
      <c r="S74" s="1268" t="s">
        <v>948</v>
      </c>
      <c r="T74" s="1268" t="s">
        <v>3436</v>
      </c>
    </row>
    <row r="75">
      <c r="A75" s="962">
        <f>'План 4-я неделя'!B140</f>
        <v>3474</v>
      </c>
      <c r="B75" s="962">
        <f>'План 4-я неделя'!C140</f>
        <v>198</v>
      </c>
      <c r="C75" s="962" t="str">
        <f>'План 4-я неделя'!D140</f>
        <v>Второе</v>
      </c>
      <c r="D75" s="962" t="str">
        <f>'План 4-я неделя'!E140</f>
        <v>Свинина в томатном соусе с макаронами</v>
      </c>
      <c r="E75" s="2576">
        <f>'План 4-я неделя'!BL140</f>
        <v>75</v>
      </c>
      <c r="F75" s="2165" t="str">
        <f>'План 4-я неделя'!BN140</f>
        <v/>
      </c>
      <c r="G75" s="962">
        <f>'План 4-я неделя'!BP140+F75</f>
        <v>76</v>
      </c>
      <c r="H75" s="962">
        <f t="shared" si="5"/>
        <v>15048</v>
      </c>
      <c r="I75" s="2587">
        <f>'План 4-я неделя'!BQ140</f>
        <v>75</v>
      </c>
      <c r="J75" s="2600">
        <f t="shared" si="6"/>
        <v>14850</v>
      </c>
      <c r="K75" s="195"/>
      <c r="R75" s="145">
        <v>3723.0</v>
      </c>
      <c r="S75" s="1268" t="s">
        <v>331</v>
      </c>
      <c r="T75" s="1268" t="s">
        <v>3436</v>
      </c>
    </row>
    <row r="76">
      <c r="A76" s="962">
        <f>'План 4-я неделя'!B141</f>
        <v>102</v>
      </c>
      <c r="B76" s="962">
        <f>'План 4-я неделя'!C141</f>
        <v>271</v>
      </c>
      <c r="C76" s="962" t="str">
        <f>'План 4-я неделя'!D141</f>
        <v>Второе</v>
      </c>
      <c r="D76" s="962" t="str">
        <f>'План 4-я неделя'!E141</f>
        <v>Соба с курицей в устричном соусе</v>
      </c>
      <c r="E76" s="2576" t="str">
        <f>'План 4-я неделя'!BL141</f>
        <v/>
      </c>
      <c r="F76" s="2165" t="str">
        <f>'План 4-я неделя'!BN141</f>
        <v/>
      </c>
      <c r="G76" s="962">
        <f>'План 4-я неделя'!BP141+F76</f>
        <v>112</v>
      </c>
      <c r="H76" s="962">
        <f t="shared" si="5"/>
        <v>30352</v>
      </c>
      <c r="I76" s="2587">
        <f>'План 4-я неделя'!BQ141</f>
        <v>111</v>
      </c>
      <c r="J76" s="2600">
        <f t="shared" si="6"/>
        <v>30081</v>
      </c>
      <c r="K76" s="195"/>
      <c r="R76" s="145">
        <v>3799.0</v>
      </c>
      <c r="S76" s="1268" t="s">
        <v>450</v>
      </c>
      <c r="T76" s="1268" t="s">
        <v>3436</v>
      </c>
    </row>
    <row r="77">
      <c r="A77" s="962">
        <f>'План 4-я неделя'!B142</f>
        <v>3375</v>
      </c>
      <c r="B77" s="962">
        <f>'План 4-я неделя'!C142</f>
        <v>90</v>
      </c>
      <c r="C77" s="962" t="str">
        <f>'План 4-я неделя'!D142</f>
        <v>Выпечка</v>
      </c>
      <c r="D77" s="962" t="str">
        <f>'План 4-я неделя'!E142</f>
        <v>Самса с куриной грудкой 150 грамм</v>
      </c>
      <c r="E77" s="2576">
        <f>'План 4-я неделя'!BL142</f>
        <v>10</v>
      </c>
      <c r="F77" s="2165" t="str">
        <f>'План 4-я неделя'!BN142</f>
        <v/>
      </c>
      <c r="G77" s="962">
        <f>'План 4-я неделя'!BP142+F77</f>
        <v>11</v>
      </c>
      <c r="H77" s="962">
        <f t="shared" si="5"/>
        <v>990</v>
      </c>
      <c r="I77" s="2587">
        <f>'План 4-я неделя'!BQ142</f>
        <v>15</v>
      </c>
      <c r="J77" s="2600">
        <f t="shared" si="6"/>
        <v>1350</v>
      </c>
      <c r="K77" s="195"/>
      <c r="R77" s="2579"/>
      <c r="S77" s="2579"/>
      <c r="T77" s="2579"/>
    </row>
    <row r="78">
      <c r="A78" s="962">
        <f>'План 4-я неделя'!B143</f>
        <v>4051</v>
      </c>
      <c r="B78" s="962">
        <f>'План 4-я неделя'!C143</f>
        <v>196</v>
      </c>
      <c r="C78" s="962" t="str">
        <f>'План 4-я неделя'!D143</f>
        <v>Сэндвич</v>
      </c>
      <c r="D78" s="962" t="str">
        <f>'План 4-я неделя'!E143</f>
        <v>Сэндвич с бужениной и горчичным соусом</v>
      </c>
      <c r="E78" s="2576" t="str">
        <f>'План 4-я неделя'!BL143</f>
        <v/>
      </c>
      <c r="F78" s="2165" t="str">
        <f>'План 4-я неделя'!BN143</f>
        <v/>
      </c>
      <c r="G78" s="962">
        <f>'План 4-я неделя'!BP143+F78</f>
        <v>144</v>
      </c>
      <c r="H78" s="962">
        <f t="shared" si="5"/>
        <v>28224</v>
      </c>
      <c r="I78" s="2587">
        <f>'План 4-я неделя'!BQ143</f>
        <v>143</v>
      </c>
      <c r="J78" s="2600">
        <f t="shared" si="6"/>
        <v>28028</v>
      </c>
      <c r="K78" s="195"/>
      <c r="R78" s="2579"/>
      <c r="S78" s="2579"/>
      <c r="T78" s="2579"/>
    </row>
    <row r="79">
      <c r="A79" s="962">
        <f>'План 4-я неделя'!B144</f>
        <v>3330</v>
      </c>
      <c r="B79" s="962">
        <f>'План 4-я неделя'!C144</f>
        <v>172</v>
      </c>
      <c r="C79" s="962" t="str">
        <f>'План 4-я неделя'!D144</f>
        <v>Сэндвич</v>
      </c>
      <c r="D79" s="962" t="str">
        <f>'План 4-я неделя'!E144</f>
        <v>Сэндвич с курицей и соусом Барбекю</v>
      </c>
      <c r="E79" s="2576" t="str">
        <f>'План 4-я неделя'!BL144</f>
        <v/>
      </c>
      <c r="F79" s="2165" t="str">
        <f>'План 4-я неделя'!BN144</f>
        <v/>
      </c>
      <c r="G79" s="962">
        <f>'План 4-я неделя'!BP144+F79</f>
        <v>95</v>
      </c>
      <c r="H79" s="962">
        <f t="shared" si="5"/>
        <v>16340</v>
      </c>
      <c r="I79" s="2587">
        <f>'План 4-я неделя'!BQ144</f>
        <v>94</v>
      </c>
      <c r="J79" s="2600">
        <f t="shared" si="6"/>
        <v>16168</v>
      </c>
      <c r="K79" s="195"/>
    </row>
    <row r="80">
      <c r="A80" s="962">
        <f>'План 4-я неделя'!B145</f>
        <v>2897</v>
      </c>
      <c r="B80" s="962">
        <f>'План 4-я неделя'!C145</f>
        <v>129</v>
      </c>
      <c r="C80" s="962" t="str">
        <f>'План 4-я неделя'!D145</f>
        <v>Сэндвич</v>
      </c>
      <c r="D80" s="962" t="str">
        <f>'План 4-я неделя'!E145</f>
        <v>Перловка с грибами </v>
      </c>
      <c r="E80" s="2576" t="str">
        <f>'План 4-я неделя'!BL145</f>
        <v/>
      </c>
      <c r="F80" s="2165" t="str">
        <f>'План 4-я неделя'!BN145</f>
        <v/>
      </c>
      <c r="G80" s="962">
        <f>'План 4-я неделя'!BP145+F80</f>
        <v>1</v>
      </c>
      <c r="H80" s="962">
        <f t="shared" si="5"/>
        <v>129</v>
      </c>
      <c r="I80" s="2598">
        <f>'План 4-я неделя'!BQ145</f>
        <v>60</v>
      </c>
      <c r="J80" s="2600">
        <f t="shared" si="6"/>
        <v>7740</v>
      </c>
      <c r="K80" s="195"/>
    </row>
    <row r="81">
      <c r="A81" s="962">
        <f>'План 4-я неделя'!B146</f>
        <v>4000</v>
      </c>
      <c r="B81" s="962">
        <f>'План 4-я неделя'!C146</f>
        <v>98</v>
      </c>
      <c r="C81" s="962" t="str">
        <f>'План 4-я неделя'!D146</f>
        <v>Япония</v>
      </c>
      <c r="D81" s="962" t="str">
        <f>'План 4-я неделя'!E146</f>
        <v>Компот из сухофруктов 0,5 л</v>
      </c>
      <c r="E81" s="2576" t="str">
        <f>'План 4-я неделя'!BL146</f>
        <v/>
      </c>
      <c r="F81" s="2165" t="str">
        <f>'План 4-я неделя'!BN146</f>
        <v/>
      </c>
      <c r="G81" s="962">
        <f>'План 4-я неделя'!BP146+F81</f>
        <v>183</v>
      </c>
      <c r="H81" s="962">
        <f t="shared" si="5"/>
        <v>17934</v>
      </c>
      <c r="I81" s="2587">
        <f>'План 4-я неделя'!BQ146</f>
        <v>127</v>
      </c>
      <c r="J81" s="2600">
        <f t="shared" si="6"/>
        <v>12446</v>
      </c>
      <c r="K81" s="195"/>
    </row>
    <row r="82">
      <c r="A82" s="962" t="str">
        <f>'План 4-я неделя'!B147</f>
        <v/>
      </c>
      <c r="B82" s="962" t="str">
        <f>'План 4-я неделя'!C147</f>
        <v/>
      </c>
      <c r="C82" s="962" t="str">
        <f>'План 4-я неделя'!D147</f>
        <v/>
      </c>
      <c r="D82" s="962" t="str">
        <f>'План 4-я неделя'!E147</f>
        <v/>
      </c>
      <c r="E82" s="2576" t="str">
        <f>'План 4-я неделя'!BL147</f>
        <v/>
      </c>
      <c r="F82" s="2165" t="str">
        <f>'План 4-я неделя'!BN147</f>
        <v/>
      </c>
      <c r="G82" s="962">
        <f>'План 4-я неделя'!BP147+F82</f>
        <v>1</v>
      </c>
      <c r="H82" s="962">
        <f t="shared" si="5"/>
        <v>0</v>
      </c>
      <c r="I82" s="2598">
        <f>'План 4-я неделя'!BQ147</f>
        <v>0</v>
      </c>
      <c r="J82" s="2600">
        <f t="shared" si="6"/>
        <v>0</v>
      </c>
      <c r="K82" s="195"/>
    </row>
    <row r="83">
      <c r="A83" s="962" t="str">
        <f>'План 4-я неделя'!B148</f>
        <v/>
      </c>
      <c r="B83" s="962" t="str">
        <f>'План 4-я неделя'!C148</f>
        <v/>
      </c>
      <c r="C83" s="962" t="str">
        <f>'План 4-я неделя'!D148</f>
        <v/>
      </c>
      <c r="D83" s="962" t="str">
        <f>'План 4-я неделя'!E148</f>
        <v/>
      </c>
      <c r="E83" s="2576" t="str">
        <f>'План 4-я неделя'!BL148</f>
        <v/>
      </c>
      <c r="F83" s="2165" t="str">
        <f>'План 4-я неделя'!BN148</f>
        <v/>
      </c>
      <c r="G83" s="962">
        <f>'План 4-я неделя'!BP148+F83</f>
        <v>1</v>
      </c>
      <c r="H83" s="962">
        <f t="shared" si="5"/>
        <v>0</v>
      </c>
      <c r="I83" s="2587">
        <f>'План 4-я неделя'!BQ148</f>
        <v>0</v>
      </c>
      <c r="J83" s="2600">
        <f t="shared" si="6"/>
        <v>0</v>
      </c>
      <c r="K83" s="195"/>
    </row>
    <row r="84">
      <c r="A84" s="962">
        <f>'План 4-я неделя'!B149</f>
        <v>822</v>
      </c>
      <c r="B84" s="962">
        <f>'План 4-я неделя'!C149</f>
        <v>5</v>
      </c>
      <c r="C84" s="962" t="str">
        <f>'План 4-я неделя'!D149</f>
        <v>Суп</v>
      </c>
      <c r="D84" s="962" t="str">
        <f>'План 4-я неделя'!E149</f>
        <v>Хлеб пшеничный</v>
      </c>
      <c r="E84" s="2576">
        <f>'План 4-я неделя'!BL149</f>
        <v>120</v>
      </c>
      <c r="F84" s="2165">
        <f>'План 4-я неделя'!BN149</f>
        <v>45</v>
      </c>
      <c r="G84" s="962">
        <f>'План 4-я неделя'!BP149+F84</f>
        <v>277</v>
      </c>
      <c r="H84" s="962">
        <f t="shared" si="5"/>
        <v>1385</v>
      </c>
      <c r="I84" s="2587">
        <f>'План 4-я неделя'!BQ149</f>
        <v>219</v>
      </c>
      <c r="J84" s="2600">
        <f t="shared" si="6"/>
        <v>1095</v>
      </c>
      <c r="K84" s="195"/>
    </row>
    <row r="85">
      <c r="A85" s="962" t="str">
        <f>'План 4-я неделя'!B150</f>
        <v/>
      </c>
      <c r="B85" s="962" t="str">
        <f>'План 4-я неделя'!C150</f>
        <v/>
      </c>
      <c r="C85" s="962" t="str">
        <f>'План 4-я неделя'!D150</f>
        <v/>
      </c>
      <c r="D85" s="962" t="str">
        <f>'План 4-я неделя'!E150</f>
        <v/>
      </c>
      <c r="E85" s="2576" t="str">
        <f>'План 4-я неделя'!BL150</f>
        <v/>
      </c>
      <c r="F85" s="2165" t="str">
        <f>'План 4-я неделя'!BN150</f>
        <v/>
      </c>
      <c r="G85" s="962">
        <f>'План 4-я неделя'!BP150+F85</f>
        <v>1</v>
      </c>
      <c r="H85" s="962">
        <f t="shared" si="5"/>
        <v>0</v>
      </c>
      <c r="I85" s="2587">
        <f>'План 4-я неделя'!BQ150</f>
        <v>0</v>
      </c>
      <c r="J85" s="2600">
        <f t="shared" si="6"/>
        <v>0</v>
      </c>
      <c r="K85" s="195"/>
    </row>
    <row r="86">
      <c r="A86" s="962" t="str">
        <f>'План 4-я неделя'!B151</f>
        <v/>
      </c>
      <c r="B86" s="962" t="str">
        <f>'План 4-я неделя'!C151</f>
        <v/>
      </c>
      <c r="C86" s="962" t="str">
        <f>'План 4-я неделя'!D151</f>
        <v/>
      </c>
      <c r="D86" s="962" t="str">
        <f>'План 4-я неделя'!E151</f>
        <v/>
      </c>
      <c r="E86" s="2576" t="str">
        <f>'План 4-я неделя'!BL151</f>
        <v/>
      </c>
      <c r="F86" s="2165" t="str">
        <f>'План 4-я неделя'!BN151</f>
        <v/>
      </c>
      <c r="G86" s="962">
        <f>'План 4-я неделя'!BP151+F86</f>
        <v>1</v>
      </c>
      <c r="H86" s="962">
        <f t="shared" si="5"/>
        <v>0</v>
      </c>
      <c r="I86" s="2587">
        <f>'План 4-я неделя'!BQ151</f>
        <v>0</v>
      </c>
      <c r="J86" s="2600">
        <f t="shared" si="6"/>
        <v>0</v>
      </c>
      <c r="K86" s="195"/>
    </row>
    <row r="87">
      <c r="A87" s="962" t="str">
        <f>'План 4-я неделя'!B152</f>
        <v/>
      </c>
      <c r="B87" s="962" t="str">
        <f>'План 4-я неделя'!C152</f>
        <v/>
      </c>
      <c r="C87" s="962" t="str">
        <f>'План 4-я неделя'!D152</f>
        <v/>
      </c>
      <c r="D87" s="962" t="str">
        <f>'План 4-я неделя'!E152</f>
        <v/>
      </c>
      <c r="E87" s="2576" t="str">
        <f>'План 4-я неделя'!BL152</f>
        <v/>
      </c>
      <c r="F87" s="2165" t="str">
        <f>'План 4-я неделя'!BN152</f>
        <v/>
      </c>
      <c r="G87" s="962">
        <f>'План 4-я неделя'!BP152+F87</f>
        <v>1</v>
      </c>
      <c r="H87" s="962">
        <f t="shared" si="5"/>
        <v>0</v>
      </c>
      <c r="I87" s="2587">
        <f>'План 4-я неделя'!BQ152</f>
        <v>0</v>
      </c>
      <c r="J87" s="2600">
        <f t="shared" si="6"/>
        <v>0</v>
      </c>
      <c r="K87" s="195"/>
    </row>
    <row r="88">
      <c r="A88" s="962" t="str">
        <f>'План 4-я неделя'!B153</f>
        <v/>
      </c>
      <c r="B88" s="962" t="str">
        <f>'План 4-я неделя'!C153</f>
        <v/>
      </c>
      <c r="C88" s="962" t="str">
        <f>'План 4-я неделя'!D153</f>
        <v/>
      </c>
      <c r="D88" s="962" t="str">
        <f>'План 4-я неделя'!E153</f>
        <v/>
      </c>
      <c r="E88" s="2576" t="str">
        <f>'План 4-я неделя'!BL153</f>
        <v/>
      </c>
      <c r="F88" s="2165" t="str">
        <f>'План 4-я неделя'!BN153</f>
        <v/>
      </c>
      <c r="G88" s="962">
        <f>'План 4-я неделя'!BP153+F88</f>
        <v>1</v>
      </c>
      <c r="H88" s="962">
        <f t="shared" si="5"/>
        <v>0</v>
      </c>
      <c r="I88" s="2587">
        <f>'План 4-я неделя'!BQ153</f>
        <v>0</v>
      </c>
      <c r="J88" s="2600">
        <f t="shared" si="6"/>
        <v>0</v>
      </c>
      <c r="K88" s="195"/>
    </row>
    <row r="89">
      <c r="I89" s="2570"/>
      <c r="J89" s="2599"/>
      <c r="K89" s="195"/>
    </row>
    <row r="90">
      <c r="A90" s="2605" t="str">
        <f>'План 4-я неделя'!A188</f>
        <v>Дата:  </v>
      </c>
      <c r="B90" s="2606">
        <f>'План 4-я неделя'!D188</f>
        <v>46253</v>
      </c>
      <c r="C90" s="2605"/>
      <c r="D90" s="2605" t="str">
        <f>'План 4-я неделя'!E188</f>
        <v>План на день кухня       СРЕДА</v>
      </c>
      <c r="H90" s="1346">
        <f>SUM(H92:H115)</f>
        <v>351127</v>
      </c>
      <c r="I90" s="2570"/>
      <c r="J90" s="2572">
        <f>SUM(J92:J115)</f>
        <v>255871</v>
      </c>
      <c r="K90" s="2573">
        <f>J90-H90</f>
        <v>-95256</v>
      </c>
      <c r="L90" s="2574" t="s">
        <v>1283</v>
      </c>
      <c r="M90" s="2574" t="s">
        <v>1428</v>
      </c>
      <c r="N90" s="2574" t="s">
        <v>3415</v>
      </c>
      <c r="O90" s="2574" t="s">
        <v>3416</v>
      </c>
      <c r="R90" s="2574" t="s">
        <v>1283</v>
      </c>
      <c r="S90" s="2574" t="s">
        <v>3283</v>
      </c>
      <c r="T90" s="2574" t="s">
        <v>3417</v>
      </c>
    </row>
    <row r="91">
      <c r="A91" s="2575" t="str">
        <f>'План 4-я неделя'!B189</f>
        <v>Код</v>
      </c>
      <c r="B91" s="2575" t="str">
        <f>'План 4-я неделя'!C189</f>
        <v>Цена</v>
      </c>
      <c r="C91" s="2575" t="str">
        <f>'План 4-я неделя'!D189</f>
        <v>Категория</v>
      </c>
      <c r="D91" s="2575" t="str">
        <f>'План 4-я неделя'!E189</f>
        <v>Название блюда</v>
      </c>
      <c r="E91" s="2576" t="str">
        <f>'План 4-я неделя'!BL189</f>
        <v>ТСПК</v>
      </c>
      <c r="F91" s="2165" t="str">
        <f>'План 4-я неделя'!BN189</f>
        <v>Стол</v>
      </c>
      <c r="G91" s="2165" t="s">
        <v>3421</v>
      </c>
      <c r="H91" s="2165" t="s">
        <v>3422</v>
      </c>
      <c r="I91" s="2578" t="s">
        <v>3424</v>
      </c>
      <c r="J91" s="2578" t="s">
        <v>3425</v>
      </c>
      <c r="K91" s="195"/>
      <c r="L91" s="145">
        <v>2471.0</v>
      </c>
      <c r="M91" s="1268" t="s">
        <v>2839</v>
      </c>
      <c r="N91" s="2593">
        <v>105.0</v>
      </c>
      <c r="O91" s="145" t="s">
        <v>3329</v>
      </c>
      <c r="R91" s="145">
        <v>654.0</v>
      </c>
      <c r="S91" s="1268" t="s">
        <v>277</v>
      </c>
      <c r="T91" s="1268" t="s">
        <v>3436</v>
      </c>
    </row>
    <row r="92">
      <c r="A92" s="1268">
        <f>'План 4-я неделя'!B190</f>
        <v>3253</v>
      </c>
      <c r="B92" s="1268">
        <f>'План 4-я неделя'!C190</f>
        <v>138</v>
      </c>
      <c r="C92" s="1268" t="str">
        <f>'План 4-я неделя'!D190</f>
        <v>Завтрак</v>
      </c>
      <c r="D92" s="1268" t="str">
        <f>'План 4-я неделя'!E190</f>
        <v>Шакшука с томатом</v>
      </c>
      <c r="E92" s="2576" t="str">
        <f>'План 4-я неделя'!BL190</f>
        <v/>
      </c>
      <c r="F92" s="2165" t="str">
        <f>'План 4-я неделя'!BN190</f>
        <v/>
      </c>
      <c r="G92" s="962">
        <f>'План 4-я неделя'!BP190+F92</f>
        <v>121</v>
      </c>
      <c r="H92" s="962">
        <f t="shared" ref="H92:H115" si="7">B92*G92</f>
        <v>16698</v>
      </c>
      <c r="I92" s="2587">
        <f>'План 4-я неделя'!BQ190</f>
        <v>0</v>
      </c>
      <c r="J92" s="2600">
        <f t="shared" ref="J92:J115" si="8">B92*I92</f>
        <v>0</v>
      </c>
      <c r="K92" s="195"/>
      <c r="L92" s="145">
        <v>3912.0</v>
      </c>
      <c r="M92" s="1268" t="s">
        <v>1916</v>
      </c>
      <c r="N92" s="2593">
        <v>85.0</v>
      </c>
      <c r="O92" s="145" t="s">
        <v>3329</v>
      </c>
      <c r="R92" s="145">
        <v>763.0</v>
      </c>
      <c r="S92" s="1268" t="s">
        <v>315</v>
      </c>
      <c r="T92" s="1268" t="s">
        <v>1437</v>
      </c>
    </row>
    <row r="93">
      <c r="A93" s="1268">
        <f>'План 4-я неделя'!B191</f>
        <v>2847</v>
      </c>
      <c r="B93" s="1268">
        <f>'План 4-я неделя'!C191</f>
        <v>185</v>
      </c>
      <c r="C93" s="1268" t="str">
        <f>'План 4-я неделя'!D191</f>
        <v>Завтрак</v>
      </c>
      <c r="D93" s="1268" t="str">
        <f>'План 4-я неделя'!E191</f>
        <v>Запеканка творожная</v>
      </c>
      <c r="E93" s="2576" t="str">
        <f>'План 4-я неделя'!BL191</f>
        <v/>
      </c>
      <c r="F93" s="2165">
        <f>'План 4-я неделя'!BN191</f>
        <v>0</v>
      </c>
      <c r="G93" s="962">
        <f>'План 4-я неделя'!BP191+F93</f>
        <v>116</v>
      </c>
      <c r="H93" s="962">
        <f t="shared" si="7"/>
        <v>21460</v>
      </c>
      <c r="I93" s="2598">
        <f>'План 4-я неделя'!BQ191</f>
        <v>115</v>
      </c>
      <c r="J93" s="2600">
        <f t="shared" si="8"/>
        <v>21275</v>
      </c>
      <c r="K93" s="195"/>
      <c r="L93" s="145">
        <v>3913.0</v>
      </c>
      <c r="M93" s="1268" t="s">
        <v>2654</v>
      </c>
      <c r="N93" s="145">
        <v>20.6</v>
      </c>
      <c r="O93" s="145" t="s">
        <v>3429</v>
      </c>
      <c r="R93" s="145">
        <v>822.0</v>
      </c>
      <c r="S93" s="1268" t="s">
        <v>136</v>
      </c>
      <c r="T93" s="1268" t="s">
        <v>3436</v>
      </c>
    </row>
    <row r="94">
      <c r="A94" s="1268">
        <f>'План 4-я неделя'!B192</f>
        <v>89</v>
      </c>
      <c r="B94" s="1268">
        <f>'План 4-я неделя'!C192</f>
        <v>135</v>
      </c>
      <c r="C94" s="1268" t="str">
        <f>'План 4-я неделя'!D192</f>
        <v>Завтрак</v>
      </c>
      <c r="D94" s="1268" t="str">
        <f>'План 4-я неделя'!E192</f>
        <v>Блин с ветчиной и сыром</v>
      </c>
      <c r="E94" s="2576" t="str">
        <f>'План 4-я неделя'!BL192</f>
        <v/>
      </c>
      <c r="F94" s="2165" t="str">
        <f>'План 4-я неделя'!BN192</f>
        <v/>
      </c>
      <c r="G94" s="962">
        <f>'План 4-я неделя'!BP192+F94</f>
        <v>107</v>
      </c>
      <c r="H94" s="962">
        <f t="shared" si="7"/>
        <v>14445</v>
      </c>
      <c r="I94" s="2587">
        <f>'План 4-я неделя'!BQ192</f>
        <v>0</v>
      </c>
      <c r="J94" s="2600">
        <f t="shared" si="8"/>
        <v>0</v>
      </c>
      <c r="K94" s="195"/>
      <c r="L94" s="145">
        <v>3914.0</v>
      </c>
      <c r="M94" s="1268" t="s">
        <v>1596</v>
      </c>
      <c r="N94" s="145">
        <v>13.3</v>
      </c>
      <c r="O94" s="145" t="s">
        <v>3429</v>
      </c>
      <c r="R94" s="145">
        <v>1394.0</v>
      </c>
      <c r="S94" s="1268" t="s">
        <v>412</v>
      </c>
      <c r="T94" s="1268" t="s">
        <v>3436</v>
      </c>
    </row>
    <row r="95">
      <c r="A95" s="1268">
        <f>'План 4-я неделя'!B193</f>
        <v>3316</v>
      </c>
      <c r="B95" s="1268">
        <f>'План 4-я неделя'!C193</f>
        <v>98</v>
      </c>
      <c r="C95" s="1268" t="str">
        <f>'План 4-я неделя'!D193</f>
        <v>Салат</v>
      </c>
      <c r="D95" s="1268" t="str">
        <f>'План 4-я неделя'!E193</f>
        <v>Салат ''Витаминный с крабом'' 120 г</v>
      </c>
      <c r="E95" s="2576">
        <f>'План 4-я неделя'!BL193</f>
        <v>44</v>
      </c>
      <c r="F95" s="2165">
        <f>'План 4-я неделя'!BN193</f>
        <v>0</v>
      </c>
      <c r="G95" s="962">
        <f>'План 4-я неделя'!BP193+F95</f>
        <v>103</v>
      </c>
      <c r="H95" s="962">
        <f t="shared" si="7"/>
        <v>10094</v>
      </c>
      <c r="I95" s="2587">
        <f>'План 4-я неделя'!BQ193</f>
        <v>102</v>
      </c>
      <c r="J95" s="2600">
        <f t="shared" si="8"/>
        <v>9996</v>
      </c>
      <c r="K95" s="195"/>
      <c r="L95" s="145">
        <v>3915.0</v>
      </c>
      <c r="M95" s="1268" t="s">
        <v>2778</v>
      </c>
      <c r="N95" s="145">
        <v>61.0</v>
      </c>
      <c r="O95" s="145" t="s">
        <v>3329</v>
      </c>
      <c r="R95" s="145">
        <v>1404.0</v>
      </c>
      <c r="S95" s="1268" t="s">
        <v>934</v>
      </c>
      <c r="T95" s="1268" t="s">
        <v>3436</v>
      </c>
    </row>
    <row r="96">
      <c r="A96" s="1268">
        <f>'План 4-я неделя'!B194</f>
        <v>1160</v>
      </c>
      <c r="B96" s="1268">
        <f>'План 4-я неделя'!C194</f>
        <v>98</v>
      </c>
      <c r="C96" s="1268" t="str">
        <f>'План 4-я неделя'!D194</f>
        <v>Салат</v>
      </c>
      <c r="D96" s="1268" t="str">
        <f>'План 4-я неделя'!E194</f>
        <v>Салат ''Пикник'' (печень)</v>
      </c>
      <c r="E96" s="2576">
        <f>'План 4-я неделя'!BL194</f>
        <v>43</v>
      </c>
      <c r="F96" s="2165">
        <f>'План 4-я неделя'!BN194</f>
        <v>0</v>
      </c>
      <c r="G96" s="962">
        <f>'План 4-я неделя'!BP194+F96</f>
        <v>147</v>
      </c>
      <c r="H96" s="962">
        <f t="shared" si="7"/>
        <v>14406</v>
      </c>
      <c r="I96" s="2587">
        <f>'План 4-я неделя'!BQ194</f>
        <v>145</v>
      </c>
      <c r="J96" s="2600">
        <f t="shared" si="8"/>
        <v>14210</v>
      </c>
      <c r="K96" s="195"/>
      <c r="L96" s="2579"/>
      <c r="M96" s="2579"/>
      <c r="O96" s="2579"/>
      <c r="R96" s="145">
        <v>1474.0</v>
      </c>
      <c r="S96" s="1268" t="s">
        <v>1035</v>
      </c>
      <c r="T96" s="1268" t="s">
        <v>3436</v>
      </c>
    </row>
    <row r="97">
      <c r="A97" s="1268">
        <f>'План 4-я неделя'!B195</f>
        <v>31</v>
      </c>
      <c r="B97" s="1268">
        <f>'План 4-я неделя'!C195</f>
        <v>98</v>
      </c>
      <c r="C97" s="1268" t="str">
        <f>'План 4-я неделя'!D195</f>
        <v>Салат</v>
      </c>
      <c r="D97" s="1268" t="str">
        <f>'План 4-я неделя'!E195</f>
        <v>Салат ''Прага'' (ветчина кур.)</v>
      </c>
      <c r="E97" s="2576">
        <f>'План 4-я неделя'!BL195</f>
        <v>43</v>
      </c>
      <c r="F97" s="2165">
        <f>'План 4-я неделя'!BN195</f>
        <v>0</v>
      </c>
      <c r="G97" s="962">
        <f>'План 4-я неделя'!BP195+F97</f>
        <v>135</v>
      </c>
      <c r="H97" s="962">
        <f t="shared" si="7"/>
        <v>13230</v>
      </c>
      <c r="I97" s="2587">
        <f>'План 4-я неделя'!BQ195</f>
        <v>134</v>
      </c>
      <c r="J97" s="2600">
        <f t="shared" si="8"/>
        <v>13132</v>
      </c>
      <c r="K97" s="195"/>
      <c r="L97" s="2574" t="s">
        <v>1283</v>
      </c>
      <c r="M97" s="2574" t="s">
        <v>1430</v>
      </c>
      <c r="N97" s="2574" t="s">
        <v>3415</v>
      </c>
      <c r="O97" s="2574" t="s">
        <v>3416</v>
      </c>
      <c r="R97" s="145">
        <v>2079.0</v>
      </c>
      <c r="S97" s="1268" t="s">
        <v>361</v>
      </c>
      <c r="T97" s="1268" t="s">
        <v>3436</v>
      </c>
    </row>
    <row r="98">
      <c r="A98" s="1268">
        <f>'План 4-я неделя'!B196</f>
        <v>4089</v>
      </c>
      <c r="B98" s="1268">
        <f>'План 4-я неделя'!C196</f>
        <v>210</v>
      </c>
      <c r="C98" s="1268" t="str">
        <f>'План 4-я неделя'!D196</f>
        <v>Салат</v>
      </c>
      <c r="D98" s="1268" t="str">
        <f>'План 4-я неделя'!E196</f>
        <v>Салат "Генеральский" (курица, грецкий орех) 220гр</v>
      </c>
      <c r="E98" s="2576" t="str">
        <f>'План 4-я неделя'!BL196</f>
        <v/>
      </c>
      <c r="F98" s="2165" t="str">
        <f>'План 4-я неделя'!BN196</f>
        <v/>
      </c>
      <c r="G98" s="962">
        <f>'План 4-я неделя'!BP196+F98</f>
        <v>67</v>
      </c>
      <c r="H98" s="962">
        <f t="shared" si="7"/>
        <v>14070</v>
      </c>
      <c r="I98" s="2587">
        <f>'План 4-я неделя'!BQ196</f>
        <v>66</v>
      </c>
      <c r="J98" s="2600">
        <f t="shared" si="8"/>
        <v>13860</v>
      </c>
      <c r="K98" s="195"/>
      <c r="L98" s="145">
        <v>487.0</v>
      </c>
      <c r="M98" s="1268" t="s">
        <v>1443</v>
      </c>
      <c r="N98" s="145">
        <v>41.85</v>
      </c>
      <c r="O98" s="145" t="s">
        <v>3429</v>
      </c>
      <c r="R98" s="145">
        <v>2083.0</v>
      </c>
      <c r="S98" s="1268" t="s">
        <v>284</v>
      </c>
      <c r="T98" s="1268" t="s">
        <v>3436</v>
      </c>
    </row>
    <row r="99">
      <c r="A99" s="1268">
        <f>'План 4-я неделя'!B197</f>
        <v>380</v>
      </c>
      <c r="B99" s="1268">
        <f>'План 4-я неделя'!C197</f>
        <v>114</v>
      </c>
      <c r="C99" s="1268" t="str">
        <f>'План 4-я неделя'!D197</f>
        <v>Суп</v>
      </c>
      <c r="D99" s="1268" t="str">
        <f>'План 4-я неделя'!E197</f>
        <v>Солянка</v>
      </c>
      <c r="E99" s="2576">
        <f>'План 4-я неделя'!BL197</f>
        <v>110</v>
      </c>
      <c r="F99" s="2165">
        <f>'План 4-я неделя'!BN197</f>
        <v>10</v>
      </c>
      <c r="G99" s="962">
        <f>'План 4-я неделя'!BP197+F99</f>
        <v>121</v>
      </c>
      <c r="H99" s="962">
        <f t="shared" si="7"/>
        <v>13794</v>
      </c>
      <c r="I99" s="2587">
        <f>'План 4-я неделя'!BQ197</f>
        <v>108</v>
      </c>
      <c r="J99" s="2600">
        <f t="shared" si="8"/>
        <v>12312</v>
      </c>
      <c r="K99" s="195"/>
      <c r="L99" s="145">
        <v>2247.0</v>
      </c>
      <c r="M99" s="1268" t="s">
        <v>1441</v>
      </c>
      <c r="N99" s="145">
        <v>57.4</v>
      </c>
      <c r="O99" s="145" t="s">
        <v>3429</v>
      </c>
      <c r="R99" s="145">
        <v>2927.0</v>
      </c>
      <c r="S99" s="1268" t="s">
        <v>1231</v>
      </c>
      <c r="T99" s="1268" t="s">
        <v>3436</v>
      </c>
    </row>
    <row r="100">
      <c r="A100" s="1268">
        <f>'План 4-я неделя'!B198</f>
        <v>1106</v>
      </c>
      <c r="B100" s="1268">
        <f>'План 4-я неделя'!C198</f>
        <v>139</v>
      </c>
      <c r="C100" s="1268" t="str">
        <f>'План 4-я неделя'!D198</f>
        <v>Суп</v>
      </c>
      <c r="D100" s="1268" t="str">
        <f>'План 4-я неделя'!E198</f>
        <v>Суп-крем из тыквы</v>
      </c>
      <c r="E100" s="2576" t="str">
        <f>'План 4-я неделя'!BL198</f>
        <v/>
      </c>
      <c r="F100" s="2165" t="str">
        <f>'План 4-я неделя'!BN198</f>
        <v/>
      </c>
      <c r="G100" s="962">
        <f>'План 4-я неделя'!BP198+F100</f>
        <v>29</v>
      </c>
      <c r="H100" s="962">
        <f t="shared" si="7"/>
        <v>4031</v>
      </c>
      <c r="I100" s="2587">
        <f>'План 4-я неделя'!BQ198</f>
        <v>30</v>
      </c>
      <c r="J100" s="2600">
        <f t="shared" si="8"/>
        <v>4170</v>
      </c>
      <c r="K100" s="195"/>
      <c r="L100" s="145">
        <v>2278.0</v>
      </c>
      <c r="M100" s="1268" t="s">
        <v>1439</v>
      </c>
      <c r="N100" s="145">
        <v>41.2</v>
      </c>
      <c r="O100" s="145" t="s">
        <v>3429</v>
      </c>
      <c r="R100" s="145">
        <v>3147.0</v>
      </c>
      <c r="S100" s="1268" t="s">
        <v>405</v>
      </c>
      <c r="T100" s="1268" t="s">
        <v>3436</v>
      </c>
    </row>
    <row r="101">
      <c r="A101" s="1268">
        <f>'План 4-я неделя'!B199</f>
        <v>3889</v>
      </c>
      <c r="B101" s="1268">
        <f>'План 4-я неделя'!C199</f>
        <v>264</v>
      </c>
      <c r="C101" s="1268" t="str">
        <f>'План 4-я неделя'!D199</f>
        <v>Второе</v>
      </c>
      <c r="D101" s="1268" t="str">
        <f>'План 4-я неделя'!E199</f>
        <v>Купаты куриные с овощным гарниром</v>
      </c>
      <c r="E101" s="2576" t="str">
        <f>'План 4-я неделя'!BL199</f>
        <v/>
      </c>
      <c r="F101" s="2165">
        <f>'План 4-я неделя'!BN199</f>
        <v>7</v>
      </c>
      <c r="G101" s="962">
        <f>'План 4-я неделя'!BP199+F101</f>
        <v>84</v>
      </c>
      <c r="H101" s="962">
        <f t="shared" si="7"/>
        <v>22176</v>
      </c>
      <c r="I101" s="2587">
        <f>'План 4-я неделя'!BQ199</f>
        <v>75</v>
      </c>
      <c r="J101" s="2600">
        <f t="shared" si="8"/>
        <v>19800</v>
      </c>
      <c r="K101" s="195"/>
      <c r="L101" s="2579"/>
      <c r="M101" s="2579"/>
      <c r="N101" s="2579"/>
      <c r="O101" s="2579"/>
      <c r="R101" s="145">
        <v>3180.0</v>
      </c>
      <c r="S101" s="1268" t="s">
        <v>466</v>
      </c>
      <c r="T101" s="1268" t="s">
        <v>3436</v>
      </c>
    </row>
    <row r="102">
      <c r="A102" s="1268">
        <f>'План 4-я неделя'!B200</f>
        <v>1073</v>
      </c>
      <c r="B102" s="1268">
        <f>'План 4-я неделя'!C200</f>
        <v>261</v>
      </c>
      <c r="C102" s="1268" t="str">
        <f>'План 4-я неделя'!D200</f>
        <v>Второе</v>
      </c>
      <c r="D102" s="1268" t="str">
        <f>'План 4-я неделя'!E200</f>
        <v>Горбуша запеченная с картофельным пюре</v>
      </c>
      <c r="E102" s="2576" t="str">
        <f>'План 4-я неделя'!BL200</f>
        <v/>
      </c>
      <c r="F102" s="2165" t="str">
        <f>'План 4-я неделя'!BN200</f>
        <v/>
      </c>
      <c r="G102" s="962">
        <f>'План 4-я неделя'!BP200+F102</f>
        <v>91</v>
      </c>
      <c r="H102" s="962">
        <f t="shared" si="7"/>
        <v>23751</v>
      </c>
      <c r="I102" s="2587">
        <f>'План 4-я неделя'!BQ200</f>
        <v>0</v>
      </c>
      <c r="J102" s="2600">
        <f t="shared" si="8"/>
        <v>0</v>
      </c>
      <c r="K102" s="195"/>
      <c r="R102" s="145">
        <v>3196.0</v>
      </c>
      <c r="S102" s="1268" t="s">
        <v>890</v>
      </c>
      <c r="T102" s="1268" t="s">
        <v>3436</v>
      </c>
    </row>
    <row r="103">
      <c r="A103" s="1268">
        <f>'План 4-я неделя'!B201</f>
        <v>965</v>
      </c>
      <c r="B103" s="1268">
        <f>'План 4-я неделя'!C201</f>
        <v>195</v>
      </c>
      <c r="C103" s="1268" t="str">
        <f>'План 4-я неделя'!D201</f>
        <v>Второе</v>
      </c>
      <c r="D103" s="1268" t="str">
        <f>'План 4-я неделя'!E201</f>
        <v>Гуляш из свинины с макаронами</v>
      </c>
      <c r="E103" s="2576">
        <f>'План 4-я неделя'!BL201</f>
        <v>25</v>
      </c>
      <c r="F103" s="2165" t="str">
        <f>'План 4-я неделя'!BN201</f>
        <v/>
      </c>
      <c r="G103" s="962">
        <f>'План 4-я неделя'!BP201+F103</f>
        <v>118</v>
      </c>
      <c r="H103" s="962">
        <f t="shared" si="7"/>
        <v>23010</v>
      </c>
      <c r="I103" s="2587">
        <f>'План 4-я неделя'!BQ201</f>
        <v>0</v>
      </c>
      <c r="J103" s="2600">
        <f t="shared" si="8"/>
        <v>0</v>
      </c>
      <c r="K103" s="195"/>
      <c r="R103" s="145">
        <v>3454.0</v>
      </c>
      <c r="S103" s="1268" t="s">
        <v>346</v>
      </c>
      <c r="T103" s="1268" t="s">
        <v>3436</v>
      </c>
    </row>
    <row r="104">
      <c r="A104" s="1268">
        <f>'План 4-я неделя'!B202</f>
        <v>3663</v>
      </c>
      <c r="B104" s="1268">
        <f>'План 4-я неделя'!C202</f>
        <v>229</v>
      </c>
      <c r="C104" s="1268" t="str">
        <f>'План 4-я неделя'!D202</f>
        <v>Второе</v>
      </c>
      <c r="D104" s="1268" t="str">
        <f>'План 4-я неделя'!E202</f>
        <v>Горбуша запеченная с рисом светофор</v>
      </c>
      <c r="E104" s="2576">
        <f>'План 4-я неделя'!BL202</f>
        <v>25</v>
      </c>
      <c r="F104" s="2165">
        <f>'План 4-я неделя'!BN202</f>
        <v>10</v>
      </c>
      <c r="G104" s="962">
        <f>'План 4-я неделя'!BP202+F104</f>
        <v>36</v>
      </c>
      <c r="H104" s="962">
        <f t="shared" si="7"/>
        <v>8244</v>
      </c>
      <c r="I104" s="2587">
        <f>'План 4-я неделя'!BQ202</f>
        <v>0</v>
      </c>
      <c r="J104" s="2600">
        <f t="shared" si="8"/>
        <v>0</v>
      </c>
      <c r="K104" s="195"/>
      <c r="R104" s="145">
        <v>3527.0</v>
      </c>
      <c r="S104" s="1268" t="s">
        <v>329</v>
      </c>
      <c r="T104" s="1268" t="s">
        <v>3436</v>
      </c>
    </row>
    <row r="105">
      <c r="A105" s="1268">
        <f>'План 4-я неделя'!B203</f>
        <v>4099</v>
      </c>
      <c r="B105" s="1268">
        <f>'План 4-я неделя'!C203</f>
        <v>221</v>
      </c>
      <c r="C105" s="1268" t="str">
        <f>'План 4-я неделя'!D203</f>
        <v>Второе</v>
      </c>
      <c r="D105" s="1268" t="str">
        <f>'План 4-я неделя'!E203</f>
        <v>Курочка в сырном соусе со спагетти </v>
      </c>
      <c r="E105" s="2576" t="str">
        <f>'План 4-я неделя'!BL203</f>
        <v/>
      </c>
      <c r="F105" s="2165" t="str">
        <f>'План 4-я неделя'!BN203</f>
        <v/>
      </c>
      <c r="G105" s="962">
        <f>'План 4-я неделя'!BP203+F105</f>
        <v>131</v>
      </c>
      <c r="H105" s="962">
        <f t="shared" si="7"/>
        <v>28951</v>
      </c>
      <c r="I105" s="2587">
        <f>'План 4-я неделя'!BQ203</f>
        <v>129</v>
      </c>
      <c r="J105" s="2600">
        <f t="shared" si="8"/>
        <v>28509</v>
      </c>
      <c r="K105" s="195"/>
      <c r="R105" s="145">
        <v>3649.0</v>
      </c>
      <c r="S105" s="1268" t="s">
        <v>2379</v>
      </c>
      <c r="T105" s="1268" t="s">
        <v>3436</v>
      </c>
    </row>
    <row r="106">
      <c r="A106" s="1268">
        <f>'План 4-я неделя'!B204</f>
        <v>4176</v>
      </c>
      <c r="B106" s="1268">
        <f>'План 4-я неделя'!C204</f>
        <v>221</v>
      </c>
      <c r="C106" s="1268" t="str">
        <f>'План 4-я неделя'!D204</f>
        <v>Второе</v>
      </c>
      <c r="D106" s="1268" t="str">
        <f>'План 4-я неделя'!E204</f>
        <v>Курочка в сырном соусе с картофелем</v>
      </c>
      <c r="E106" s="2576">
        <f>'План 4-я неделя'!BL204</f>
        <v>80</v>
      </c>
      <c r="F106" s="2165" t="str">
        <f>'План 4-я неделя'!BN204</f>
        <v/>
      </c>
      <c r="G106" s="962">
        <f>'План 4-я неделя'!BP204+F106</f>
        <v>81</v>
      </c>
      <c r="H106" s="962">
        <f t="shared" si="7"/>
        <v>17901</v>
      </c>
      <c r="I106" s="2587">
        <f>'План 4-я неделя'!BQ204</f>
        <v>80</v>
      </c>
      <c r="J106" s="2600">
        <f t="shared" si="8"/>
        <v>17680</v>
      </c>
      <c r="K106" s="195"/>
      <c r="R106" s="145">
        <v>3823.0</v>
      </c>
      <c r="S106" s="1268" t="s">
        <v>2360</v>
      </c>
      <c r="T106" s="1268" t="s">
        <v>3436</v>
      </c>
    </row>
    <row r="107">
      <c r="A107" s="1268">
        <f>'План 4-я неделя'!B205</f>
        <v>4279</v>
      </c>
      <c r="B107" s="1268">
        <f>'План 4-я неделя'!C205</f>
        <v>269</v>
      </c>
      <c r="C107" s="1268" t="str">
        <f>'План 4-я неделя'!D205</f>
        <v>Премиум</v>
      </c>
      <c r="D107" s="1268" t="str">
        <f>'План 4-я неделя'!E205</f>
        <v>Гречка по-купечески с томленой говядиной </v>
      </c>
      <c r="E107" s="2576" t="str">
        <f>'План 4-я неделя'!BL205</f>
        <v/>
      </c>
      <c r="F107" s="2165" t="str">
        <f>'План 4-я неделя'!BN205</f>
        <v/>
      </c>
      <c r="G107" s="962">
        <f>'План 4-я неделя'!BP205+F107</f>
        <v>62</v>
      </c>
      <c r="H107" s="962">
        <f t="shared" si="7"/>
        <v>16678</v>
      </c>
      <c r="I107" s="2587">
        <f>'План 4-я неделя'!BQ205</f>
        <v>60</v>
      </c>
      <c r="J107" s="2600">
        <f t="shared" si="8"/>
        <v>16140</v>
      </c>
      <c r="K107" s="195"/>
    </row>
    <row r="108">
      <c r="A108" s="1268">
        <f>'План 4-я неделя'!B206</f>
        <v>3454</v>
      </c>
      <c r="B108" s="1268">
        <f>'План 4-я неделя'!C206</f>
        <v>67</v>
      </c>
      <c r="C108" s="1268" t="str">
        <f>'План 4-я неделя'!D206</f>
        <v>Выпечка</v>
      </c>
      <c r="D108" s="1268" t="str">
        <f>'План 4-я неделя'!E206</f>
        <v>Рулетик с корицей 100 гр</v>
      </c>
      <c r="E108" s="2576">
        <f>'План 4-я неделя'!BL206</f>
        <v>10</v>
      </c>
      <c r="F108" s="2165">
        <f>'План 4-я неделя'!BN206</f>
        <v>0</v>
      </c>
      <c r="G108" s="962">
        <f>'План 4-я неделя'!BP206+F108</f>
        <v>11</v>
      </c>
      <c r="H108" s="962">
        <f t="shared" si="7"/>
        <v>737</v>
      </c>
      <c r="I108" s="2587">
        <f>'План 4-я неделя'!BQ206</f>
        <v>12</v>
      </c>
      <c r="J108" s="2600">
        <f t="shared" si="8"/>
        <v>804</v>
      </c>
      <c r="K108" s="195"/>
    </row>
    <row r="109">
      <c r="A109" s="1268">
        <f>'План 4-я неделя'!B207</f>
        <v>3527</v>
      </c>
      <c r="B109" s="1268">
        <f>'План 4-я неделя'!C207</f>
        <v>96</v>
      </c>
      <c r="C109" s="1268" t="str">
        <f>'План 4-я неделя'!D207</f>
        <v>Выпечка</v>
      </c>
      <c r="D109" s="1268" t="str">
        <f>'План 4-я неделя'!E207</f>
        <v>Хачапури 100 гр</v>
      </c>
      <c r="E109" s="2576">
        <f>'План 4-я неделя'!BL207</f>
        <v>13</v>
      </c>
      <c r="F109" s="2165" t="str">
        <f>'План 4-я неделя'!BN207</f>
        <v/>
      </c>
      <c r="G109" s="962">
        <f>'План 4-я неделя'!BP207+F109</f>
        <v>14</v>
      </c>
      <c r="H109" s="962">
        <f t="shared" si="7"/>
        <v>1344</v>
      </c>
      <c r="I109" s="2598">
        <f>'План 4-я неделя'!BQ207</f>
        <v>15</v>
      </c>
      <c r="J109" s="2600">
        <f t="shared" si="8"/>
        <v>1440</v>
      </c>
      <c r="K109" s="195"/>
    </row>
    <row r="110">
      <c r="A110" s="1268">
        <f>'План 4-я неделя'!B208</f>
        <v>2083</v>
      </c>
      <c r="B110" s="1268">
        <f>'План 4-я неделя'!C208</f>
        <v>158</v>
      </c>
      <c r="C110" s="1268" t="str">
        <f>'План 4-я неделя'!D208</f>
        <v>Сэндвич</v>
      </c>
      <c r="D110" s="1268" t="str">
        <f>'План 4-я неделя'!E208</f>
        <v>Сэндвич ''Цезарь''</v>
      </c>
      <c r="E110" s="2576" t="str">
        <f>'План 4-я неделя'!BL208</f>
        <v/>
      </c>
      <c r="F110" s="2165" t="str">
        <f>'План 4-я неделя'!BN208</f>
        <v/>
      </c>
      <c r="G110" s="962">
        <f>'План 4-я неделя'!BP208+F110</f>
        <v>108</v>
      </c>
      <c r="H110" s="962">
        <f t="shared" si="7"/>
        <v>17064</v>
      </c>
      <c r="I110" s="2587">
        <f>'План 4-я неделя'!BQ208</f>
        <v>106</v>
      </c>
      <c r="J110" s="2600">
        <f t="shared" si="8"/>
        <v>16748</v>
      </c>
      <c r="K110" s="195"/>
    </row>
    <row r="111">
      <c r="A111" s="1268">
        <f>'План 4-я неделя'!B209</f>
        <v>2904</v>
      </c>
      <c r="B111" s="1268">
        <f>'План 4-я неделя'!C209</f>
        <v>190</v>
      </c>
      <c r="C111" s="1268" t="str">
        <f>'План 4-я неделя'!D209</f>
        <v>Сэндвич</v>
      </c>
      <c r="D111" s="1268" t="str">
        <f>'План 4-я неделя'!E209</f>
        <v>Ассорти сэндвич (пепперони/ветчина)</v>
      </c>
      <c r="E111" s="2576" t="str">
        <f>'План 4-я неделя'!BL209</f>
        <v/>
      </c>
      <c r="F111" s="2165" t="str">
        <f>'План 4-я неделя'!BN209</f>
        <v/>
      </c>
      <c r="G111" s="962">
        <f>'План 4-я неделя'!BP209+F111</f>
        <v>113</v>
      </c>
      <c r="H111" s="962">
        <f t="shared" si="7"/>
        <v>21470</v>
      </c>
      <c r="I111" s="2587">
        <f>'План 4-я неделя'!BQ209</f>
        <v>111</v>
      </c>
      <c r="J111" s="2600">
        <f t="shared" si="8"/>
        <v>21090</v>
      </c>
      <c r="K111" s="195"/>
    </row>
    <row r="112">
      <c r="A112" s="1268" t="str">
        <f>'План 4-я неделя'!B210</f>
        <v/>
      </c>
      <c r="B112" s="1268" t="str">
        <f>'План 4-я неделя'!C210</f>
        <v/>
      </c>
      <c r="C112" s="1268" t="str">
        <f>'План 4-я неделя'!D210</f>
        <v/>
      </c>
      <c r="D112" s="1268" t="str">
        <f>'План 4-я неделя'!E210</f>
        <v/>
      </c>
      <c r="E112" s="2576" t="str">
        <f>'План 4-я неделя'!BL210</f>
        <v/>
      </c>
      <c r="F112" s="2165">
        <f>'План 4-я неделя'!BN210</f>
        <v>0</v>
      </c>
      <c r="G112" s="962">
        <f>'План 4-я неделя'!BP210+F112</f>
        <v>90</v>
      </c>
      <c r="H112" s="962">
        <f t="shared" si="7"/>
        <v>0</v>
      </c>
      <c r="I112" s="2598">
        <f>'План 4-я неделя'!BQ210</f>
        <v>0</v>
      </c>
      <c r="J112" s="2600">
        <f t="shared" si="8"/>
        <v>0</v>
      </c>
      <c r="K112" s="195"/>
    </row>
    <row r="113">
      <c r="A113" s="1268">
        <f>'План 4-я неделя'!B211</f>
        <v>3997</v>
      </c>
      <c r="B113" s="1268">
        <f>'План 4-я неделя'!C211</f>
        <v>98</v>
      </c>
      <c r="C113" s="1268" t="str">
        <f>'План 4-я неделя'!D211</f>
        <v>Япония</v>
      </c>
      <c r="D113" s="1268" t="str">
        <f>'План 4-я неделя'!E211</f>
        <v>Морс облепиховый 0,5 л</v>
      </c>
      <c r="E113" s="2576" t="str">
        <f>'План 4-я неделя'!BL211</f>
        <v/>
      </c>
      <c r="F113" s="2165" t="str">
        <f>'План 4-я неделя'!BN211</f>
        <v/>
      </c>
      <c r="G113" s="962">
        <f>'План 4-я неделя'!BP211+F113</f>
        <v>181</v>
      </c>
      <c r="H113" s="962">
        <f t="shared" si="7"/>
        <v>17738</v>
      </c>
      <c r="I113" s="2587">
        <f>'План 4-я неделя'!BQ211</f>
        <v>155</v>
      </c>
      <c r="J113" s="2600">
        <f t="shared" si="8"/>
        <v>15190</v>
      </c>
      <c r="K113" s="195"/>
    </row>
    <row r="114">
      <c r="A114" s="1268">
        <f>'План 4-я неделя'!B212</f>
        <v>822</v>
      </c>
      <c r="B114" s="1268">
        <f>'План 4-я неделя'!C212</f>
        <v>5</v>
      </c>
      <c r="C114" s="1268" t="str">
        <f>'План 4-я неделя'!D212</f>
        <v>Суп</v>
      </c>
      <c r="D114" s="1268" t="str">
        <f>'План 4-я неделя'!E212</f>
        <v>Хлеб пшеничный</v>
      </c>
      <c r="E114" s="2576">
        <f>'План 4-я неделя'!BL212</f>
        <v>120</v>
      </c>
      <c r="F114" s="2165">
        <f>'План 4-я неделя'!BN212</f>
        <v>0</v>
      </c>
      <c r="G114" s="962">
        <f>'План 4-я неделя'!BP212+F114</f>
        <v>234</v>
      </c>
      <c r="H114" s="962">
        <f t="shared" si="7"/>
        <v>1170</v>
      </c>
      <c r="I114" s="2587">
        <f>'План 4-я неделя'!BQ212</f>
        <v>233</v>
      </c>
      <c r="J114" s="2600">
        <f t="shared" si="8"/>
        <v>1165</v>
      </c>
      <c r="K114" s="195"/>
    </row>
    <row r="115">
      <c r="A115" s="1268">
        <f>'План 4-я неделя'!B213</f>
        <v>2079</v>
      </c>
      <c r="B115" s="1268">
        <f>'План 4-я неделя'!C213</f>
        <v>105</v>
      </c>
      <c r="C115" s="1268" t="str">
        <f>'План 4-я неделя'!D213</f>
        <v>Выпечка</v>
      </c>
      <c r="D115" s="1268" t="str">
        <f>'План 4-я неделя'!E213</f>
        <v>Вафельная трубочка с вареной сгущенкой</v>
      </c>
      <c r="E115" s="2576" t="str">
        <f>'План 4-я неделя'!BL213</f>
        <v/>
      </c>
      <c r="F115" s="2165" t="str">
        <f>'План 4-я неделя'!BN213</f>
        <v/>
      </c>
      <c r="G115" s="962">
        <f>'План 4-я неделя'!BP213+F115</f>
        <v>273</v>
      </c>
      <c r="H115" s="962">
        <f t="shared" si="7"/>
        <v>28665</v>
      </c>
      <c r="I115" s="2587">
        <f>'План 4-я неделя'!BQ213</f>
        <v>270</v>
      </c>
      <c r="J115" s="2600">
        <f t="shared" si="8"/>
        <v>28350</v>
      </c>
      <c r="K115" s="195"/>
    </row>
    <row r="116">
      <c r="I116" s="2570"/>
      <c r="J116" s="2599"/>
      <c r="K116" s="195"/>
    </row>
    <row r="117">
      <c r="A117" s="2607" t="str">
        <f>'План 4-я неделя'!A245</f>
        <v>Дата:  </v>
      </c>
      <c r="B117" s="2628">
        <f>'План 4-я неделя'!D245</f>
        <v>46254</v>
      </c>
      <c r="C117" s="2607"/>
      <c r="D117" s="2607" t="str">
        <f>'План 4-я неделя'!E245</f>
        <v>План на день кухня        ЧЕТВЕРГ</v>
      </c>
      <c r="H117" s="1346">
        <f>SUM(H119:H144)</f>
        <v>321953</v>
      </c>
      <c r="I117" s="2570"/>
      <c r="J117" s="2572">
        <f>SUM(J119:J144)</f>
        <v>0</v>
      </c>
      <c r="K117" s="2573">
        <f>J117-H117</f>
        <v>-321953</v>
      </c>
      <c r="L117" s="2574" t="s">
        <v>1283</v>
      </c>
      <c r="M117" s="2574" t="s">
        <v>1428</v>
      </c>
      <c r="N117" s="2574" t="s">
        <v>3415</v>
      </c>
      <c r="O117" s="2574" t="s">
        <v>3416</v>
      </c>
      <c r="R117" s="2574" t="s">
        <v>1283</v>
      </c>
      <c r="S117" s="2574" t="s">
        <v>3283</v>
      </c>
      <c r="T117" s="2574" t="s">
        <v>3417</v>
      </c>
    </row>
    <row r="118">
      <c r="A118" s="2575" t="str">
        <f>'План 4-я неделя'!B246</f>
        <v>Код</v>
      </c>
      <c r="B118" s="2575" t="str">
        <f>'План 4-я неделя'!C246</f>
        <v>Цена</v>
      </c>
      <c r="C118" s="2575" t="str">
        <f>'План 4-я неделя'!D246</f>
        <v>Категория</v>
      </c>
      <c r="D118" s="2575" t="str">
        <f>'План 4-я неделя'!E246</f>
        <v>Название блюда</v>
      </c>
      <c r="E118" s="2576" t="str">
        <f>'План 4-я неделя'!BL246</f>
        <v>ТСПК</v>
      </c>
      <c r="F118" s="2165" t="str">
        <f>'План 4-я неделя'!BN246</f>
        <v>Стол</v>
      </c>
      <c r="G118" s="2165" t="s">
        <v>3421</v>
      </c>
      <c r="H118" s="2165" t="s">
        <v>3422</v>
      </c>
      <c r="I118" s="2578" t="s">
        <v>3424</v>
      </c>
      <c r="J118" s="2578" t="s">
        <v>3425</v>
      </c>
      <c r="K118" s="195"/>
      <c r="L118" s="145">
        <v>3291.0</v>
      </c>
      <c r="M118" s="1268" t="s">
        <v>2106</v>
      </c>
      <c r="N118" s="2593">
        <v>110.0</v>
      </c>
      <c r="O118" s="145" t="s">
        <v>3329</v>
      </c>
      <c r="R118" s="145">
        <v>3.0</v>
      </c>
      <c r="S118" s="1268" t="s">
        <v>404</v>
      </c>
      <c r="T118" s="1268" t="s">
        <v>3436</v>
      </c>
    </row>
    <row r="119">
      <c r="A119" s="962">
        <f>'План 4-я неделя'!B247</f>
        <v>1076</v>
      </c>
      <c r="B119" s="962">
        <f>'План 4-я неделя'!C247</f>
        <v>95</v>
      </c>
      <c r="C119" s="962" t="str">
        <f>'План 4-я неделя'!D247</f>
        <v>Завтрак</v>
      </c>
      <c r="D119" s="962" t="str">
        <f>'План 4-я неделя'!E247</f>
        <v>Омлет с ветчиной</v>
      </c>
      <c r="E119" s="2576" t="str">
        <f>'План 4-я неделя'!BL247</f>
        <v/>
      </c>
      <c r="F119" s="2165" t="str">
        <f>'План 4-я неделя'!BN247</f>
        <v/>
      </c>
      <c r="G119" s="2602">
        <f>'План 4-я неделя'!BP247+F119</f>
        <v>159</v>
      </c>
      <c r="H119" s="962">
        <f t="shared" ref="H119:H148" si="9">B119*G119</f>
        <v>15105</v>
      </c>
      <c r="I119" s="2598">
        <f>'План 4-я неделя'!BQ247</f>
        <v>0</v>
      </c>
      <c r="J119" s="2600">
        <f t="shared" ref="J119:J148" si="10">B119*I119</f>
        <v>0</v>
      </c>
      <c r="K119" s="195"/>
      <c r="L119" s="145">
        <v>3918.0</v>
      </c>
      <c r="M119" s="1268" t="s">
        <v>1590</v>
      </c>
      <c r="N119" s="145">
        <v>19.9</v>
      </c>
      <c r="O119" s="145" t="s">
        <v>3429</v>
      </c>
      <c r="R119" s="145">
        <v>5.0</v>
      </c>
      <c r="S119" s="1268" t="s">
        <v>387</v>
      </c>
      <c r="T119" s="1268" t="s">
        <v>3436</v>
      </c>
    </row>
    <row r="120">
      <c r="A120" s="962">
        <f>'План 4-я неделя'!B248</f>
        <v>145</v>
      </c>
      <c r="B120" s="962">
        <f>'План 4-я неделя'!C248</f>
        <v>226</v>
      </c>
      <c r="C120" s="962" t="str">
        <f>'План 4-я неделя'!D248</f>
        <v>Завтрак</v>
      </c>
      <c r="D120" s="962" t="str">
        <f>'План 4-я неделя'!E248</f>
        <v>Сырники со сметаной</v>
      </c>
      <c r="E120" s="2576" t="str">
        <f>'План 4-я неделя'!BL248</f>
        <v/>
      </c>
      <c r="F120" s="2165" t="str">
        <f>'План 4-я неделя'!BN248</f>
        <v/>
      </c>
      <c r="G120" s="962">
        <f>'План 4-я неделя'!BP248+F120</f>
        <v>99</v>
      </c>
      <c r="H120" s="962">
        <f t="shared" si="9"/>
        <v>22374</v>
      </c>
      <c r="I120" s="2587">
        <f>'План 4-я неделя'!BQ248</f>
        <v>0</v>
      </c>
      <c r="J120" s="2600">
        <f t="shared" si="10"/>
        <v>0</v>
      </c>
      <c r="K120" s="195"/>
      <c r="L120" s="145">
        <v>3920.0</v>
      </c>
      <c r="M120" s="1268" t="s">
        <v>2001</v>
      </c>
      <c r="N120" s="2593">
        <v>120.0</v>
      </c>
      <c r="O120" s="145" t="s">
        <v>3329</v>
      </c>
      <c r="R120" s="145">
        <v>758.0</v>
      </c>
      <c r="S120" s="1268" t="s">
        <v>954</v>
      </c>
      <c r="T120" s="1268" t="s">
        <v>3436</v>
      </c>
    </row>
    <row r="121">
      <c r="A121" s="962">
        <f>'План 4-я неделя'!B249</f>
        <v>1557</v>
      </c>
      <c r="B121" s="962">
        <f>'План 4-я неделя'!C249</f>
        <v>98</v>
      </c>
      <c r="C121" s="962" t="str">
        <f>'План 4-я неделя'!D249</f>
        <v>Завтрак</v>
      </c>
      <c r="D121" s="962" t="str">
        <f>'План 4-я неделя'!E249</f>
        <v>Каша пшенная (на молоке)</v>
      </c>
      <c r="E121" s="2576" t="str">
        <f>'План 4-я неделя'!BL249</f>
        <v/>
      </c>
      <c r="F121" s="2165" t="str">
        <f>'План 4-я неделя'!BN249</f>
        <v/>
      </c>
      <c r="G121" s="962">
        <f>'План 4-я неделя'!BP249+F121</f>
        <v>94</v>
      </c>
      <c r="H121" s="962">
        <f t="shared" si="9"/>
        <v>9212</v>
      </c>
      <c r="I121" s="2587">
        <f>'План 4-я неделя'!BQ249</f>
        <v>0</v>
      </c>
      <c r="J121" s="2600">
        <f t="shared" si="10"/>
        <v>0</v>
      </c>
      <c r="K121" s="195"/>
      <c r="L121" s="145">
        <v>3922.0</v>
      </c>
      <c r="M121" s="1268" t="s">
        <v>1944</v>
      </c>
      <c r="N121" s="145">
        <v>10.2</v>
      </c>
      <c r="O121" s="145" t="s">
        <v>3429</v>
      </c>
      <c r="R121" s="145">
        <v>822.0</v>
      </c>
      <c r="S121" s="1268" t="s">
        <v>136</v>
      </c>
      <c r="T121" s="1268" t="s">
        <v>3436</v>
      </c>
    </row>
    <row r="122">
      <c r="A122" s="962">
        <f>'План 4-я неделя'!B250</f>
        <v>3654</v>
      </c>
      <c r="B122" s="962">
        <f>'План 4-я неделя'!C250</f>
        <v>98</v>
      </c>
      <c r="C122" s="962" t="str">
        <f>'План 4-я неделя'!D250</f>
        <v>Салат</v>
      </c>
      <c r="D122" s="962" t="str">
        <f>'План 4-я неделя'!E250</f>
        <v>Салат ''Зимний'' (колбаса варен)</v>
      </c>
      <c r="E122" s="2576">
        <f>'План 4-я неделя'!BL250</f>
        <v>41</v>
      </c>
      <c r="F122" s="2165" t="str">
        <f>'План 4-я неделя'!BN250</f>
        <v/>
      </c>
      <c r="G122" s="962">
        <f>'План 4-я неделя'!BP250+F122</f>
        <v>152</v>
      </c>
      <c r="H122" s="962">
        <f t="shared" si="9"/>
        <v>14896</v>
      </c>
      <c r="I122" s="2587">
        <f>'План 4-я неделя'!BQ250</f>
        <v>0</v>
      </c>
      <c r="J122" s="2600">
        <f t="shared" si="10"/>
        <v>0</v>
      </c>
      <c r="K122" s="195"/>
      <c r="R122" s="145">
        <v>897.0</v>
      </c>
      <c r="S122" s="1268" t="s">
        <v>2716</v>
      </c>
      <c r="T122" s="1268" t="s">
        <v>3436</v>
      </c>
    </row>
    <row r="123">
      <c r="A123" s="962">
        <f>'План 4-я неделя'!B251</f>
        <v>3180</v>
      </c>
      <c r="B123" s="962">
        <f>'План 4-я неделя'!C251</f>
        <v>98</v>
      </c>
      <c r="C123" s="962" t="str">
        <f>'План 4-я неделя'!D251</f>
        <v>Салат</v>
      </c>
      <c r="D123" s="962" t="str">
        <f>'План 4-я неделя'!E251</f>
        <v>Салат ''Морковь по-корейски'' 120 г</v>
      </c>
      <c r="E123" s="2576">
        <f>'План 4-я неделя'!BL251</f>
        <v>42</v>
      </c>
      <c r="F123" s="2165" t="str">
        <f>'План 4-я неделя'!BN251</f>
        <v/>
      </c>
      <c r="G123" s="962">
        <f>'План 4-я неделя'!BP251+F123</f>
        <v>145</v>
      </c>
      <c r="H123" s="962">
        <f t="shared" si="9"/>
        <v>14210</v>
      </c>
      <c r="I123" s="2587">
        <f>'План 4-я неделя'!BQ251</f>
        <v>0</v>
      </c>
      <c r="J123" s="2600">
        <f t="shared" si="10"/>
        <v>0</v>
      </c>
      <c r="K123" s="195"/>
      <c r="L123" s="2574" t="s">
        <v>1283</v>
      </c>
      <c r="M123" s="2574" t="s">
        <v>1430</v>
      </c>
      <c r="N123" s="2574" t="s">
        <v>3415</v>
      </c>
      <c r="O123" s="2574" t="s">
        <v>3416</v>
      </c>
      <c r="R123" s="145">
        <v>1076.0</v>
      </c>
      <c r="S123" s="1268" t="s">
        <v>729</v>
      </c>
      <c r="T123" s="1268" t="s">
        <v>3436</v>
      </c>
    </row>
    <row r="124">
      <c r="A124" s="962">
        <f>'План 4-я неделя'!B252</f>
        <v>41</v>
      </c>
      <c r="B124" s="962">
        <f>'План 4-я неделя'!C252</f>
        <v>98</v>
      </c>
      <c r="C124" s="962" t="str">
        <f>'План 4-я неделя'!D252</f>
        <v>Салат</v>
      </c>
      <c r="D124" s="962" t="str">
        <f>'План 4-я неделя'!E252</f>
        <v>Закуска с селёдкой 120 г</v>
      </c>
      <c r="E124" s="2576">
        <f>'План 4-я неделя'!BL252</f>
        <v>42</v>
      </c>
      <c r="F124" s="2165" t="str">
        <f>'План 4-я неделя'!BN252</f>
        <v/>
      </c>
      <c r="G124" s="962">
        <f>'План 4-я неделя'!BP252+F124</f>
        <v>86</v>
      </c>
      <c r="H124" s="962">
        <f t="shared" si="9"/>
        <v>8428</v>
      </c>
      <c r="I124" s="2587">
        <f>'План 4-я неделя'!BQ252</f>
        <v>0</v>
      </c>
      <c r="J124" s="2600">
        <f t="shared" si="10"/>
        <v>0</v>
      </c>
      <c r="K124" s="195"/>
      <c r="L124" s="145">
        <v>487.0</v>
      </c>
      <c r="M124" s="1268" t="s">
        <v>1443</v>
      </c>
      <c r="N124" s="145">
        <v>15.3</v>
      </c>
      <c r="O124" s="145" t="s">
        <v>3429</v>
      </c>
      <c r="R124" s="145">
        <v>1450.0</v>
      </c>
      <c r="S124" s="1268" t="s">
        <v>1111</v>
      </c>
      <c r="T124" s="1268" t="s">
        <v>3436</v>
      </c>
    </row>
    <row r="125">
      <c r="A125" s="962">
        <f>'План 4-я неделя'!B253</f>
        <v>3430</v>
      </c>
      <c r="B125" s="962">
        <f>'План 4-я неделя'!C253</f>
        <v>230</v>
      </c>
      <c r="C125" s="962" t="str">
        <f>'План 4-я неделя'!D253</f>
        <v>Салат</v>
      </c>
      <c r="D125" s="962" t="str">
        <f>'План 4-я неделя'!E253</f>
        <v>Боул с крабом, бобами эдамаме и овощами</v>
      </c>
      <c r="E125" s="2576" t="str">
        <f>'План 4-я неделя'!BL253</f>
        <v/>
      </c>
      <c r="F125" s="2165" t="str">
        <f>'План 4-я неделя'!BN253</f>
        <v/>
      </c>
      <c r="G125" s="962">
        <f>'План 4-я неделя'!BP253+F125</f>
        <v>60</v>
      </c>
      <c r="H125" s="962">
        <f t="shared" si="9"/>
        <v>13800</v>
      </c>
      <c r="I125" s="2587">
        <f>'План 4-я неделя'!BQ253</f>
        <v>0</v>
      </c>
      <c r="J125" s="2600">
        <f t="shared" si="10"/>
        <v>0</v>
      </c>
      <c r="K125" s="195"/>
      <c r="L125" s="145">
        <v>2247.0</v>
      </c>
      <c r="M125" s="1268" t="s">
        <v>1441</v>
      </c>
      <c r="N125" s="145">
        <v>34.8</v>
      </c>
      <c r="O125" s="145" t="s">
        <v>3429</v>
      </c>
      <c r="R125" s="145">
        <v>2070.0</v>
      </c>
      <c r="S125" s="1268" t="s">
        <v>1107</v>
      </c>
      <c r="T125" s="1268" t="s">
        <v>3436</v>
      </c>
    </row>
    <row r="126">
      <c r="A126" s="962">
        <f>'План 4-я неделя'!B254</f>
        <v>8</v>
      </c>
      <c r="B126" s="962">
        <f>'План 4-я неделя'!C254</f>
        <v>104</v>
      </c>
      <c r="C126" s="962" t="str">
        <f>'План 4-я неделя'!D254</f>
        <v>Суп</v>
      </c>
      <c r="D126" s="962" t="str">
        <f>'План 4-я неделя'!E254</f>
        <v>Суп гороховый 250 мл</v>
      </c>
      <c r="E126" s="2576">
        <f>'План 4-я неделя'!BL254</f>
        <v>115</v>
      </c>
      <c r="F126" s="2165">
        <f>'План 4-я неделя'!BN254</f>
        <v>10</v>
      </c>
      <c r="G126" s="962">
        <f>'План 4-я неделя'!BP254+F126</f>
        <v>126</v>
      </c>
      <c r="H126" s="962">
        <f t="shared" si="9"/>
        <v>13104</v>
      </c>
      <c r="I126" s="2587">
        <f>'План 4-я неделя'!BQ254</f>
        <v>0</v>
      </c>
      <c r="J126" s="2600">
        <f t="shared" si="10"/>
        <v>0</v>
      </c>
      <c r="K126" s="195"/>
      <c r="L126" s="145">
        <v>2263.0</v>
      </c>
      <c r="M126" s="1268" t="s">
        <v>1436</v>
      </c>
      <c r="N126" s="145">
        <v>19.2</v>
      </c>
      <c r="O126" s="145" t="s">
        <v>3429</v>
      </c>
      <c r="R126" s="145">
        <v>3144.0</v>
      </c>
      <c r="S126" s="1268" t="s">
        <v>952</v>
      </c>
      <c r="T126" s="1268" t="s">
        <v>3436</v>
      </c>
    </row>
    <row r="127">
      <c r="A127" s="962">
        <f>'План 4-я неделя'!B255</f>
        <v>3768</v>
      </c>
      <c r="B127" s="962">
        <f>'План 4-я неделя'!C255</f>
        <v>240</v>
      </c>
      <c r="C127" s="962" t="str">
        <f>'План 4-я неделя'!D255</f>
        <v>Второе</v>
      </c>
      <c r="D127" s="962" t="str">
        <f>'План 4-я неделя'!E255</f>
        <v>Паприкаш из говядины с гречкой</v>
      </c>
      <c r="E127" s="2576">
        <f>'План 4-я неделя'!BL255</f>
        <v>75</v>
      </c>
      <c r="F127" s="2165" t="str">
        <f>'План 4-я неделя'!BN255</f>
        <v/>
      </c>
      <c r="G127" s="2602">
        <f>'План 4-я неделя'!BP255+F127</f>
        <v>76</v>
      </c>
      <c r="H127" s="962">
        <f t="shared" si="9"/>
        <v>18240</v>
      </c>
      <c r="I127" s="2587">
        <f>'План 4-я неделя'!BQ255</f>
        <v>0</v>
      </c>
      <c r="J127" s="2600">
        <f t="shared" si="10"/>
        <v>0</v>
      </c>
      <c r="K127" s="195"/>
      <c r="L127" s="145">
        <v>2264.0</v>
      </c>
      <c r="M127" s="1268" t="s">
        <v>1447</v>
      </c>
      <c r="N127" s="145">
        <v>16.5</v>
      </c>
      <c r="O127" s="145" t="s">
        <v>3429</v>
      </c>
      <c r="R127" s="145">
        <v>3173.0</v>
      </c>
      <c r="S127" s="1268" t="s">
        <v>1109</v>
      </c>
      <c r="T127" s="1268" t="s">
        <v>3436</v>
      </c>
    </row>
    <row r="128">
      <c r="A128" s="962">
        <f>'План 4-я неделя'!B256</f>
        <v>3770</v>
      </c>
      <c r="B128" s="962">
        <f>'План 4-я неделя'!C256</f>
        <v>240</v>
      </c>
      <c r="C128" s="962" t="str">
        <f>'План 4-я неделя'!D256</f>
        <v>Второе</v>
      </c>
      <c r="D128" s="962" t="str">
        <f>'План 4-я неделя'!E256</f>
        <v>Паприкаш из говядины с картофельным пюре</v>
      </c>
      <c r="E128" s="2576">
        <f>'План 4-я неделя'!BL256</f>
        <v>25</v>
      </c>
      <c r="F128" s="2165" t="str">
        <f>'План 4-я неделя'!BN256</f>
        <v/>
      </c>
      <c r="G128" s="2602">
        <f>'План 4-я неделя'!BP256+F128</f>
        <v>26</v>
      </c>
      <c r="H128" s="962">
        <f t="shared" si="9"/>
        <v>6240</v>
      </c>
      <c r="I128" s="2598">
        <f>'План 4-я неделя'!BQ256</f>
        <v>0</v>
      </c>
      <c r="J128" s="2600">
        <f t="shared" si="10"/>
        <v>0</v>
      </c>
      <c r="K128" s="195"/>
      <c r="L128" s="145">
        <v>2278.0</v>
      </c>
      <c r="M128" s="1268" t="s">
        <v>1439</v>
      </c>
      <c r="N128" s="145">
        <v>18.6</v>
      </c>
      <c r="O128" s="145" t="s">
        <v>3429</v>
      </c>
      <c r="R128" s="145">
        <v>3273.0</v>
      </c>
      <c r="S128" s="1268" t="s">
        <v>667</v>
      </c>
      <c r="T128" s="1268" t="s">
        <v>1437</v>
      </c>
    </row>
    <row r="129">
      <c r="A129" s="962">
        <f>'План 4-я неделя'!B257</f>
        <v>3769</v>
      </c>
      <c r="B129" s="962">
        <f>'План 4-я неделя'!C257</f>
        <v>240</v>
      </c>
      <c r="C129" s="962" t="str">
        <f>'План 4-я неделя'!D257</f>
        <v>Второе</v>
      </c>
      <c r="D129" s="962" t="str">
        <f>'План 4-я неделя'!E257</f>
        <v>Паприкаш из говядины с макаронами</v>
      </c>
      <c r="E129" s="2576">
        <f>'План 4-я неделя'!BL257</f>
        <v>25</v>
      </c>
      <c r="F129" s="2165" t="str">
        <f>'План 4-я неделя'!BN257</f>
        <v/>
      </c>
      <c r="G129" s="962">
        <f>'План 4-я неделя'!BP257+F129</f>
        <v>26</v>
      </c>
      <c r="H129" s="962">
        <f t="shared" si="9"/>
        <v>6240</v>
      </c>
      <c r="I129" s="2587">
        <f>'План 4-я неделя'!BQ257</f>
        <v>0</v>
      </c>
      <c r="J129" s="2600">
        <f t="shared" si="10"/>
        <v>0</v>
      </c>
      <c r="K129" s="195"/>
      <c r="R129" s="145">
        <v>3528.0</v>
      </c>
      <c r="S129" s="1268" t="s">
        <v>463</v>
      </c>
      <c r="T129" s="1268" t="s">
        <v>3436</v>
      </c>
    </row>
    <row r="130">
      <c r="A130" s="962">
        <f>'План 4-я неделя'!B258</f>
        <v>1819</v>
      </c>
      <c r="B130" s="962">
        <f>'План 4-я неделя'!C258</f>
        <v>180</v>
      </c>
      <c r="C130" s="962" t="str">
        <f>'План 4-я неделя'!D258</f>
        <v>Второе</v>
      </c>
      <c r="D130" s="962" t="str">
        <f>'План 4-я неделя'!E258</f>
        <v>Крылышки пикантные с картофелем запеченным</v>
      </c>
      <c r="E130" s="2576" t="str">
        <f>'План 4-я неделя'!BL258</f>
        <v/>
      </c>
      <c r="F130" s="2165" t="str">
        <f>'План 4-я неделя'!BN258</f>
        <v/>
      </c>
      <c r="G130" s="962">
        <f>'План 4-я неделя'!BP258+F130</f>
        <v>69</v>
      </c>
      <c r="H130" s="962">
        <f t="shared" si="9"/>
        <v>12420</v>
      </c>
      <c r="I130" s="2587">
        <f>'План 4-я неделя'!BQ258</f>
        <v>0</v>
      </c>
      <c r="J130" s="2600">
        <f t="shared" si="10"/>
        <v>0</v>
      </c>
      <c r="K130" s="195"/>
      <c r="R130" s="145">
        <v>3797.0</v>
      </c>
      <c r="S130" s="1268" t="s">
        <v>1105</v>
      </c>
      <c r="T130" s="1268" t="s">
        <v>3436</v>
      </c>
    </row>
    <row r="131">
      <c r="A131" s="962">
        <f>'План 4-я неделя'!B259</f>
        <v>475</v>
      </c>
      <c r="B131" s="962">
        <f>'План 4-я неделя'!C259</f>
        <v>233</v>
      </c>
      <c r="C131" s="962" t="str">
        <f>'План 4-я неделя'!D259</f>
        <v>Второе</v>
      </c>
      <c r="D131" s="962" t="str">
        <f>'План 4-я неделя'!E259</f>
        <v>Филе с томатом и сыром с зеленым рисом </v>
      </c>
      <c r="E131" s="2576" t="str">
        <f>'План 4-я неделя'!BL259</f>
        <v/>
      </c>
      <c r="F131" s="2165">
        <f>'План 4-я неделя'!BN259</f>
        <v>10</v>
      </c>
      <c r="G131" s="2602">
        <f>'План 4-я неделя'!BP259+F131</f>
        <v>91</v>
      </c>
      <c r="H131" s="962">
        <f t="shared" si="9"/>
        <v>21203</v>
      </c>
      <c r="I131" s="2598">
        <f>'План 4-я неделя'!BQ259</f>
        <v>0</v>
      </c>
      <c r="J131" s="2600">
        <f t="shared" si="10"/>
        <v>0</v>
      </c>
      <c r="K131" s="195"/>
      <c r="R131" s="145">
        <v>3847.0</v>
      </c>
      <c r="S131" s="1268" t="s">
        <v>1037</v>
      </c>
      <c r="T131" s="1268" t="s">
        <v>3436</v>
      </c>
    </row>
    <row r="132">
      <c r="A132" s="962">
        <f>'План 4-я неделя'!B260</f>
        <v>1896</v>
      </c>
      <c r="B132" s="962">
        <f>'План 4-я неделя'!C260</f>
        <v>247</v>
      </c>
      <c r="C132" s="962" t="str">
        <f>'План 4-я неделя'!D260</f>
        <v>Второе</v>
      </c>
      <c r="D132" s="962" t="str">
        <f>'План 4-я неделя'!E260</f>
        <v>Манты со сметаной </v>
      </c>
      <c r="E132" s="2576" t="str">
        <f>'План 4-я неделя'!BL260</f>
        <v/>
      </c>
      <c r="F132" s="2165">
        <f>'План 4-я неделя'!BN260</f>
        <v>10</v>
      </c>
      <c r="G132" s="2602">
        <f>'План 4-я неделя'!BP260+F132</f>
        <v>82</v>
      </c>
      <c r="H132" s="962">
        <f t="shared" si="9"/>
        <v>20254</v>
      </c>
      <c r="I132" s="2598">
        <f>'План 4-я неделя'!BQ260</f>
        <v>0</v>
      </c>
      <c r="J132" s="2600">
        <f t="shared" si="10"/>
        <v>0</v>
      </c>
      <c r="K132" s="195"/>
    </row>
    <row r="133">
      <c r="A133" s="962">
        <f>'План 4-я неделя'!B261</f>
        <v>1846</v>
      </c>
      <c r="B133" s="962">
        <f>'План 4-я неделя'!C261</f>
        <v>208</v>
      </c>
      <c r="C133" s="962" t="str">
        <f>'План 4-я неделя'!D261</f>
        <v>Второе</v>
      </c>
      <c r="D133" s="962" t="str">
        <f>'План 4-я неделя'!E261</f>
        <v>Котлета куриная с тушеной капустой</v>
      </c>
      <c r="E133" s="2576" t="str">
        <f>'План 4-я неделя'!BL261</f>
        <v/>
      </c>
      <c r="F133" s="2165">
        <f>'План 4-я неделя'!BN261</f>
        <v>15</v>
      </c>
      <c r="G133" s="962">
        <f>'План 4-я неделя'!BP261+F133</f>
        <v>91</v>
      </c>
      <c r="H133" s="962">
        <f t="shared" si="9"/>
        <v>18928</v>
      </c>
      <c r="I133" s="2587">
        <f>'План 4-я неделя'!BQ261</f>
        <v>0</v>
      </c>
      <c r="J133" s="2600">
        <f t="shared" si="10"/>
        <v>0</v>
      </c>
      <c r="K133" s="195"/>
    </row>
    <row r="134">
      <c r="A134" s="962">
        <f>'План 4-я неделя'!B262</f>
        <v>967</v>
      </c>
      <c r="B134" s="962">
        <f>'План 4-я неделя'!C262</f>
        <v>198</v>
      </c>
      <c r="C134" s="962" t="str">
        <f>'План 4-я неделя'!D262</f>
        <v>Второе</v>
      </c>
      <c r="D134" s="962" t="str">
        <f>'План 4-я неделя'!E262</f>
        <v>Курочка в томатном соусе с макаронами</v>
      </c>
      <c r="E134" s="2576" t="str">
        <f>'План 4-я неделя'!BL262</f>
        <v/>
      </c>
      <c r="F134" s="2165">
        <f>'План 4-я неделя'!BN262</f>
        <v>10</v>
      </c>
      <c r="G134" s="2602">
        <f>'План 4-я неделя'!BP262+F134</f>
        <v>132</v>
      </c>
      <c r="H134" s="962">
        <f t="shared" si="9"/>
        <v>26136</v>
      </c>
      <c r="I134" s="2587">
        <f>'План 4-я неделя'!BQ262</f>
        <v>0</v>
      </c>
      <c r="J134" s="2600">
        <f t="shared" si="10"/>
        <v>0</v>
      </c>
      <c r="K134" s="195"/>
    </row>
    <row r="135">
      <c r="A135" s="962">
        <f>'План 4-я неделя'!B263</f>
        <v>3528</v>
      </c>
      <c r="B135" s="962">
        <f>'План 4-я неделя'!C263</f>
        <v>56</v>
      </c>
      <c r="C135" s="962" t="str">
        <f>'План 4-я неделя'!D263</f>
        <v>Выпечка</v>
      </c>
      <c r="D135" s="962" t="str">
        <f>'План 4-я неделя'!E263</f>
        <v>Сырная палочка 80 гр</v>
      </c>
      <c r="E135" s="2576">
        <f>'План 4-я неделя'!BL263</f>
        <v>10</v>
      </c>
      <c r="F135" s="2165" t="str">
        <f>'План 4-я неделя'!BN263</f>
        <v/>
      </c>
      <c r="G135" s="962">
        <f>'План 4-я неделя'!BP263+F135</f>
        <v>11</v>
      </c>
      <c r="H135" s="962">
        <f t="shared" si="9"/>
        <v>616</v>
      </c>
      <c r="I135" s="2587">
        <f>'План 4-я неделя'!BQ263</f>
        <v>0</v>
      </c>
      <c r="J135" s="2600">
        <f t="shared" si="10"/>
        <v>0</v>
      </c>
      <c r="K135" s="195"/>
    </row>
    <row r="136">
      <c r="A136" s="962" t="str">
        <f>'План 4-я неделя'!B264</f>
        <v/>
      </c>
      <c r="B136" s="962" t="str">
        <f>'План 4-я неделя'!C264</f>
        <v/>
      </c>
      <c r="C136" s="962" t="str">
        <f>'План 4-я неделя'!D264</f>
        <v/>
      </c>
      <c r="D136" s="962" t="str">
        <f>'План 4-я неделя'!E264</f>
        <v/>
      </c>
      <c r="E136" s="2576" t="str">
        <f>'План 4-я неделя'!BL264</f>
        <v/>
      </c>
      <c r="F136" s="2165" t="str">
        <f>'План 4-я неделя'!BN264</f>
        <v/>
      </c>
      <c r="G136" s="962">
        <f>'План 4-я неделя'!BP264+F136</f>
        <v>1</v>
      </c>
      <c r="H136" s="962">
        <f t="shared" si="9"/>
        <v>0</v>
      </c>
      <c r="I136" s="2587">
        <f>'План 4-я неделя'!BQ264</f>
        <v>0</v>
      </c>
      <c r="J136" s="2600">
        <f t="shared" si="10"/>
        <v>0</v>
      </c>
      <c r="K136" s="195"/>
    </row>
    <row r="137">
      <c r="A137" s="962">
        <f>'План 4-я неделя'!B265</f>
        <v>5</v>
      </c>
      <c r="B137" s="962">
        <f>'План 4-я неделя'!C265</f>
        <v>155</v>
      </c>
      <c r="C137" s="962" t="str">
        <f>'План 4-я неделя'!D265</f>
        <v>Сэндвич</v>
      </c>
      <c r="D137" s="962" t="str">
        <f>'План 4-я неделя'!E265</f>
        <v>Сэндвич с ветчиной и сыром</v>
      </c>
      <c r="E137" s="2576" t="str">
        <f>'План 4-я неделя'!BL265</f>
        <v/>
      </c>
      <c r="F137" s="2165" t="str">
        <f>'План 4-я неделя'!BN265</f>
        <v/>
      </c>
      <c r="G137" s="962">
        <f>'План 4-я неделя'!BP265+F137</f>
        <v>196</v>
      </c>
      <c r="H137" s="962">
        <f t="shared" si="9"/>
        <v>30380</v>
      </c>
      <c r="I137" s="2587">
        <f>'План 4-я неделя'!BQ265</f>
        <v>0</v>
      </c>
      <c r="J137" s="2600">
        <f t="shared" si="10"/>
        <v>0</v>
      </c>
      <c r="K137" s="195"/>
    </row>
    <row r="138">
      <c r="A138" s="962">
        <f>'План 4-я неделя'!B266</f>
        <v>4239</v>
      </c>
      <c r="B138" s="962">
        <f>'План 4-я неделя'!C266</f>
        <v>172</v>
      </c>
      <c r="C138" s="962" t="str">
        <f>'План 4-я неделя'!D266</f>
        <v>Сэндвич</v>
      </c>
      <c r="D138" s="962" t="str">
        <f>'План 4-я неделя'!E266</f>
        <v>Сэндвич с запеченной курочкой и соусом Релиш</v>
      </c>
      <c r="E138" s="2576" t="str">
        <f>'План 4-я неделя'!BL266</f>
        <v/>
      </c>
      <c r="F138" s="2165" t="str">
        <f>'План 4-я неделя'!BN266</f>
        <v/>
      </c>
      <c r="G138" s="962">
        <f>'План 4-я неделя'!BP266+F138</f>
        <v>148</v>
      </c>
      <c r="H138" s="962">
        <f t="shared" si="9"/>
        <v>25456</v>
      </c>
      <c r="I138" s="2587">
        <f>'План 4-я неделя'!BQ266</f>
        <v>0</v>
      </c>
      <c r="J138" s="2600">
        <f t="shared" si="10"/>
        <v>0</v>
      </c>
      <c r="K138" s="195"/>
    </row>
    <row r="139">
      <c r="A139" s="962">
        <f>'План 4-я неделя'!B267</f>
        <v>4281</v>
      </c>
      <c r="B139" s="962">
        <f>'План 4-я неделя'!C267</f>
        <v>98</v>
      </c>
      <c r="C139" s="962" t="str">
        <f>'План 4-я неделя'!D267</f>
        <v>Япония</v>
      </c>
      <c r="D139" s="962" t="str">
        <f>'План 4-я неделя'!E267</f>
        <v>Морс клюква/вишня 0,5 л</v>
      </c>
      <c r="E139" s="2576" t="str">
        <f>'План 4-я неделя'!BL267</f>
        <v/>
      </c>
      <c r="F139" s="2165">
        <f>'План 4-я неделя'!BN267</f>
        <v>10</v>
      </c>
      <c r="G139" s="962">
        <f>'План 4-я неделя'!BP267+F139</f>
        <v>193</v>
      </c>
      <c r="H139" s="962">
        <f t="shared" si="9"/>
        <v>18914</v>
      </c>
      <c r="I139" s="2598">
        <f>'План 4-я неделя'!BQ267</f>
        <v>0</v>
      </c>
      <c r="J139" s="2600">
        <f t="shared" si="10"/>
        <v>0</v>
      </c>
      <c r="K139" s="195"/>
    </row>
    <row r="140">
      <c r="A140" s="962">
        <f>'План 4-я неделя'!B268</f>
        <v>4115</v>
      </c>
      <c r="B140" s="962">
        <f>'План 4-я неделя'!C268</f>
        <v>212</v>
      </c>
      <c r="C140" s="962" t="str">
        <f>'План 4-я неделя'!D268</f>
        <v>Япония</v>
      </c>
      <c r="D140" s="962" t="str">
        <f>'План 4-я неделя'!E268</f>
        <v>Хот-дог  </v>
      </c>
      <c r="E140" s="2576" t="str">
        <f>'План 4-я неделя'!BL268</f>
        <v/>
      </c>
      <c r="F140" s="2165" t="str">
        <f>'План 4-я неделя'!BN268</f>
        <v/>
      </c>
      <c r="G140" s="962">
        <f>'План 4-я неделя'!BP268+F140</f>
        <v>21</v>
      </c>
      <c r="H140" s="962">
        <f t="shared" si="9"/>
        <v>4452</v>
      </c>
      <c r="I140" s="2587">
        <f>'План 4-я неделя'!BQ268</f>
        <v>0</v>
      </c>
      <c r="J140" s="2600">
        <f t="shared" si="10"/>
        <v>0</v>
      </c>
      <c r="K140" s="195"/>
    </row>
    <row r="141">
      <c r="A141" s="962">
        <f>'План 4-я неделя'!B269</f>
        <v>822</v>
      </c>
      <c r="B141" s="962">
        <f>'План 4-я неделя'!C269</f>
        <v>5</v>
      </c>
      <c r="C141" s="962" t="str">
        <f>'План 4-я неделя'!D269</f>
        <v>Суп</v>
      </c>
      <c r="D141" s="962" t="str">
        <f>'План 4-я неделя'!E269</f>
        <v>Хлеб пшеничный</v>
      </c>
      <c r="E141" s="2576">
        <f>'План 4-я неделя'!BL269</f>
        <v>110</v>
      </c>
      <c r="F141" s="2165" t="str">
        <f>'План 4-я неделя'!BN269</f>
        <v/>
      </c>
      <c r="G141" s="962">
        <f>'План 4-я неделя'!BP269+F141</f>
        <v>269</v>
      </c>
      <c r="H141" s="962">
        <f t="shared" si="9"/>
        <v>1345</v>
      </c>
      <c r="I141" s="2587">
        <f>'План 4-я неделя'!BQ269</f>
        <v>0</v>
      </c>
      <c r="J141" s="2600">
        <f t="shared" si="10"/>
        <v>0</v>
      </c>
      <c r="K141" s="195"/>
    </row>
    <row r="142">
      <c r="A142" s="962" t="str">
        <f>'План 4-я неделя'!B270</f>
        <v/>
      </c>
      <c r="B142" s="962" t="str">
        <f>'План 4-я неделя'!C270</f>
        <v/>
      </c>
      <c r="C142" s="962" t="str">
        <f>'План 4-я неделя'!D270</f>
        <v>Япония</v>
      </c>
      <c r="D142" s="962" t="str">
        <f>'План 4-я неделя'!E270</f>
        <v> </v>
      </c>
      <c r="E142" s="2576" t="str">
        <f>'План 4-я неделя'!BL270</f>
        <v/>
      </c>
      <c r="F142" s="2165">
        <f>'План 4-я неделя'!BN270</f>
        <v>10</v>
      </c>
      <c r="G142" s="962">
        <f>'План 4-я неделя'!BP270+F142</f>
        <v>11</v>
      </c>
      <c r="H142" s="962">
        <f t="shared" si="9"/>
        <v>0</v>
      </c>
      <c r="I142" s="2587">
        <f>'План 4-я неделя'!BQ270</f>
        <v>0</v>
      </c>
      <c r="J142" s="2600">
        <f t="shared" si="10"/>
        <v>0</v>
      </c>
      <c r="K142" s="195"/>
    </row>
    <row r="143">
      <c r="A143" s="962" t="str">
        <f>'План 4-я неделя'!B271</f>
        <v/>
      </c>
      <c r="B143" s="962" t="str">
        <f>'План 4-я неделя'!C271</f>
        <v/>
      </c>
      <c r="C143" s="962" t="str">
        <f>'План 4-я неделя'!D271</f>
        <v/>
      </c>
      <c r="D143" s="962" t="str">
        <f>'План 4-я неделя'!E271</f>
        <v/>
      </c>
      <c r="E143" s="2576" t="str">
        <f>'План 4-я неделя'!BL271</f>
        <v/>
      </c>
      <c r="F143" s="2165">
        <f>'План 4-я неделя'!BN271</f>
        <v>100</v>
      </c>
      <c r="G143" s="962">
        <f>'План 4-я неделя'!BP271+F143</f>
        <v>101</v>
      </c>
      <c r="H143" s="962">
        <f t="shared" si="9"/>
        <v>0</v>
      </c>
      <c r="I143" s="2598">
        <f>'План 4-я неделя'!BQ271</f>
        <v>0</v>
      </c>
      <c r="J143" s="2600">
        <f t="shared" si="10"/>
        <v>0</v>
      </c>
      <c r="K143" s="195"/>
    </row>
    <row r="144">
      <c r="A144" s="962" t="str">
        <f>'План 4-я неделя'!B272</f>
        <v/>
      </c>
      <c r="B144" s="962" t="str">
        <f>'План 4-я неделя'!C272</f>
        <v/>
      </c>
      <c r="C144" s="962" t="str">
        <f>'План 4-я неделя'!D272</f>
        <v/>
      </c>
      <c r="D144" s="962" t="str">
        <f>'План 4-я неделя'!E272</f>
        <v/>
      </c>
      <c r="E144" s="2576" t="str">
        <f>'План 4-я неделя'!BL272</f>
        <v/>
      </c>
      <c r="F144" s="2165" t="str">
        <f>'План 4-я неделя'!BN272</f>
        <v/>
      </c>
      <c r="G144" s="2602">
        <f>'План 4-я неделя'!BP272+F144</f>
        <v>1</v>
      </c>
      <c r="H144" s="962">
        <f t="shared" si="9"/>
        <v>0</v>
      </c>
      <c r="I144" s="2587">
        <f>'План 4-я неделя'!BQ272</f>
        <v>0</v>
      </c>
      <c r="J144" s="2600">
        <f t="shared" si="10"/>
        <v>0</v>
      </c>
      <c r="K144" s="195"/>
    </row>
    <row r="145">
      <c r="A145" s="962" t="str">
        <f>'План 4-я неделя'!B273</f>
        <v/>
      </c>
      <c r="B145" s="962" t="str">
        <f>'План 4-я неделя'!C273</f>
        <v/>
      </c>
      <c r="C145" s="962" t="str">
        <f>'План 4-я неделя'!D273</f>
        <v/>
      </c>
      <c r="D145" s="962" t="str">
        <f>'План 4-я неделя'!E273</f>
        <v/>
      </c>
      <c r="E145" s="2576" t="str">
        <f>'План 4-я неделя'!BL273</f>
        <v/>
      </c>
      <c r="F145" s="2165" t="str">
        <f>'План 4-я неделя'!BN273</f>
        <v/>
      </c>
      <c r="G145" s="962">
        <f>'План 4-я неделя'!BP273+F145</f>
        <v>1</v>
      </c>
      <c r="H145" s="962">
        <f t="shared" si="9"/>
        <v>0</v>
      </c>
      <c r="I145" s="2598">
        <f>'План 4-я неделя'!BQ273</f>
        <v>0</v>
      </c>
      <c r="J145" s="2600">
        <f t="shared" si="10"/>
        <v>0</v>
      </c>
      <c r="K145" s="195"/>
    </row>
    <row r="146">
      <c r="A146" s="962" t="str">
        <f>'План 4-я неделя'!B274</f>
        <v/>
      </c>
      <c r="B146" s="962" t="str">
        <f>'План 4-я неделя'!C274</f>
        <v/>
      </c>
      <c r="C146" s="962" t="str">
        <f>'План 4-я неделя'!D274</f>
        <v/>
      </c>
      <c r="D146" s="962" t="str">
        <f>'План 4-я неделя'!E274</f>
        <v/>
      </c>
      <c r="E146" s="2576" t="str">
        <f>'План 4-я неделя'!BL274</f>
        <v/>
      </c>
      <c r="F146" s="2165" t="str">
        <f>'План 4-я неделя'!BN274</f>
        <v/>
      </c>
      <c r="G146" s="2602">
        <f>'План 4-я неделя'!BP274+F146</f>
        <v>1</v>
      </c>
      <c r="H146" s="962">
        <f t="shared" si="9"/>
        <v>0</v>
      </c>
      <c r="I146" s="2587">
        <f>'План 4-я неделя'!BQ274</f>
        <v>0</v>
      </c>
      <c r="J146" s="2600">
        <f t="shared" si="10"/>
        <v>0</v>
      </c>
      <c r="K146" s="195"/>
    </row>
    <row r="147">
      <c r="A147" s="962" t="str">
        <f>'План 4-я неделя'!B275</f>
        <v/>
      </c>
      <c r="B147" s="962" t="str">
        <f>'План 4-я неделя'!C275</f>
        <v/>
      </c>
      <c r="C147" s="962" t="str">
        <f>'План 4-я неделя'!D275</f>
        <v/>
      </c>
      <c r="D147" s="962" t="str">
        <f>'План 4-я неделя'!E275</f>
        <v/>
      </c>
      <c r="E147" s="2576" t="str">
        <f>'План 4-я неделя'!BL275</f>
        <v/>
      </c>
      <c r="F147" s="2165" t="str">
        <f>'План 4-я неделя'!BN275</f>
        <v/>
      </c>
      <c r="G147" s="962">
        <f>'План 4-я неделя'!BP275+F147</f>
        <v>1</v>
      </c>
      <c r="H147" s="962">
        <f t="shared" si="9"/>
        <v>0</v>
      </c>
      <c r="I147" s="2587">
        <f>'План 4-я неделя'!BQ275</f>
        <v>0</v>
      </c>
      <c r="J147" s="2600">
        <f t="shared" si="10"/>
        <v>0</v>
      </c>
      <c r="K147" s="195"/>
    </row>
    <row r="148">
      <c r="A148" s="962" t="str">
        <f>'План 4-я неделя'!B276</f>
        <v/>
      </c>
      <c r="B148" s="962" t="str">
        <f>'План 4-я неделя'!C276</f>
        <v/>
      </c>
      <c r="C148" s="962" t="str">
        <f>'План 4-я неделя'!D276</f>
        <v/>
      </c>
      <c r="D148" s="962" t="str">
        <f>'План 4-я неделя'!E276</f>
        <v/>
      </c>
      <c r="E148" s="2576" t="str">
        <f>'План 4-я неделя'!BL276</f>
        <v/>
      </c>
      <c r="F148" s="2165" t="str">
        <f>'План 4-я неделя'!BN276</f>
        <v/>
      </c>
      <c r="G148" s="962">
        <f>'План 4-я неделя'!BP276+F148</f>
        <v>1</v>
      </c>
      <c r="H148" s="962">
        <f t="shared" si="9"/>
        <v>0</v>
      </c>
      <c r="I148" s="2587">
        <f>'План 4-я неделя'!BQ276</f>
        <v>0</v>
      </c>
      <c r="J148" s="2600">
        <f t="shared" si="10"/>
        <v>0</v>
      </c>
      <c r="K148" s="195"/>
    </row>
    <row r="149">
      <c r="I149" s="2570"/>
      <c r="J149" s="2599"/>
      <c r="K149" s="195"/>
      <c r="L149" s="195"/>
    </row>
    <row r="150">
      <c r="I150" s="2570"/>
      <c r="J150" s="2599"/>
      <c r="K150" s="195"/>
      <c r="L150" s="195"/>
    </row>
    <row r="151">
      <c r="I151" s="2570"/>
      <c r="J151" s="2599"/>
      <c r="K151" s="195"/>
      <c r="L151" s="195"/>
    </row>
    <row r="152">
      <c r="I152" s="2570"/>
      <c r="J152" s="2599"/>
      <c r="K152" s="195"/>
      <c r="L152" s="195"/>
    </row>
    <row r="153">
      <c r="I153" s="2570"/>
      <c r="J153" s="2599"/>
      <c r="K153" s="195"/>
      <c r="L153" s="195"/>
    </row>
    <row r="154">
      <c r="I154" s="2570"/>
      <c r="J154" s="2599"/>
      <c r="K154" s="195"/>
      <c r="L154" s="195"/>
    </row>
    <row r="155">
      <c r="I155" s="2570"/>
      <c r="J155" s="2599"/>
      <c r="K155" s="195"/>
      <c r="L155" s="195"/>
    </row>
    <row r="156">
      <c r="I156" s="2570"/>
      <c r="J156" s="2599"/>
      <c r="K156" s="195"/>
      <c r="L156" s="195"/>
    </row>
    <row r="157">
      <c r="I157" s="2570"/>
      <c r="J157" s="2599"/>
      <c r="K157" s="195"/>
      <c r="L157" s="195"/>
    </row>
    <row r="158">
      <c r="I158" s="2570"/>
      <c r="J158" s="2599"/>
      <c r="K158" s="195"/>
      <c r="L158" s="195"/>
    </row>
    <row r="159">
      <c r="I159" s="2570"/>
      <c r="J159" s="2599"/>
      <c r="K159" s="195"/>
      <c r="L159" s="195"/>
    </row>
    <row r="160">
      <c r="I160" s="2570"/>
      <c r="J160" s="2599"/>
      <c r="K160" s="195"/>
      <c r="L160" s="195"/>
    </row>
    <row r="161">
      <c r="I161" s="2570"/>
      <c r="J161" s="2599"/>
      <c r="K161" s="195"/>
      <c r="L161" s="195"/>
    </row>
    <row r="162">
      <c r="I162" s="2570"/>
      <c r="J162" s="2599"/>
      <c r="K162" s="195"/>
      <c r="L162" s="195"/>
    </row>
    <row r="163">
      <c r="I163" s="2570"/>
      <c r="J163" s="2599"/>
      <c r="K163" s="195"/>
      <c r="L163" s="195"/>
    </row>
    <row r="164">
      <c r="I164" s="2570"/>
      <c r="J164" s="2599"/>
      <c r="K164" s="195"/>
      <c r="L164" s="195"/>
    </row>
    <row r="165">
      <c r="I165" s="2570"/>
      <c r="J165" s="2599"/>
      <c r="K165" s="195"/>
      <c r="L165" s="195"/>
    </row>
    <row r="166">
      <c r="I166" s="2570"/>
      <c r="J166" s="2599"/>
      <c r="K166" s="195"/>
      <c r="L166" s="195"/>
    </row>
    <row r="167">
      <c r="I167" s="2570"/>
      <c r="J167" s="2599"/>
      <c r="K167" s="195"/>
      <c r="L167" s="195"/>
    </row>
    <row r="168">
      <c r="I168" s="2570"/>
      <c r="J168" s="2599"/>
      <c r="K168" s="195"/>
      <c r="L168" s="195"/>
    </row>
    <row r="169">
      <c r="I169" s="2570"/>
      <c r="J169" s="2599"/>
      <c r="K169" s="195"/>
      <c r="L169" s="195"/>
    </row>
    <row r="170">
      <c r="I170" s="2570"/>
      <c r="J170" s="2599"/>
      <c r="K170" s="195"/>
      <c r="L170" s="195"/>
    </row>
    <row r="171">
      <c r="I171" s="2570"/>
      <c r="J171" s="2599"/>
      <c r="K171" s="195"/>
      <c r="L171" s="195"/>
    </row>
    <row r="172">
      <c r="I172" s="2570"/>
      <c r="J172" s="2599"/>
      <c r="K172" s="195"/>
      <c r="L172" s="195"/>
    </row>
    <row r="173">
      <c r="I173" s="2570"/>
      <c r="J173" s="2599"/>
      <c r="K173" s="195"/>
      <c r="L173" s="195"/>
    </row>
    <row r="174">
      <c r="I174" s="2570"/>
      <c r="J174" s="2599"/>
      <c r="K174" s="195"/>
      <c r="L174" s="195"/>
    </row>
    <row r="175">
      <c r="I175" s="2570"/>
      <c r="J175" s="2599"/>
      <c r="K175" s="195"/>
      <c r="L175" s="195"/>
    </row>
    <row r="176">
      <c r="I176" s="2570"/>
      <c r="J176" s="2599"/>
      <c r="K176" s="195"/>
      <c r="L176" s="195"/>
    </row>
    <row r="177">
      <c r="I177" s="2570"/>
      <c r="J177" s="2599"/>
      <c r="K177" s="195"/>
      <c r="L177" s="195"/>
    </row>
    <row r="178">
      <c r="I178" s="2570"/>
      <c r="J178" s="2599"/>
      <c r="K178" s="195"/>
      <c r="L178" s="195"/>
    </row>
    <row r="179">
      <c r="I179" s="2570"/>
      <c r="J179" s="2599"/>
      <c r="K179" s="195"/>
      <c r="L179" s="195"/>
    </row>
    <row r="180">
      <c r="I180" s="2570"/>
      <c r="J180" s="2599"/>
      <c r="K180" s="195"/>
      <c r="L180" s="195"/>
    </row>
    <row r="181">
      <c r="I181" s="2570"/>
      <c r="J181" s="2599"/>
      <c r="K181" s="195"/>
      <c r="L181" s="195"/>
    </row>
    <row r="182">
      <c r="I182" s="2570"/>
      <c r="J182" s="2599"/>
      <c r="K182" s="195"/>
      <c r="L182" s="195"/>
    </row>
    <row r="183">
      <c r="I183" s="2570"/>
      <c r="J183" s="2599"/>
      <c r="K183" s="195"/>
      <c r="L183" s="195"/>
    </row>
    <row r="184">
      <c r="I184" s="2570"/>
      <c r="J184" s="2599"/>
      <c r="K184" s="195"/>
      <c r="L184" s="195"/>
    </row>
    <row r="185">
      <c r="I185" s="2570"/>
      <c r="J185" s="2599"/>
      <c r="K185" s="195"/>
      <c r="L185" s="195"/>
    </row>
    <row r="186">
      <c r="I186" s="2570"/>
      <c r="J186" s="2599"/>
      <c r="K186" s="195"/>
      <c r="L186" s="195"/>
    </row>
    <row r="187">
      <c r="I187" s="2570"/>
      <c r="J187" s="2599"/>
      <c r="K187" s="195"/>
      <c r="L187" s="195"/>
    </row>
    <row r="188">
      <c r="I188" s="2570"/>
      <c r="J188" s="2599"/>
      <c r="K188" s="195"/>
      <c r="L188" s="195"/>
    </row>
    <row r="189">
      <c r="I189" s="2570"/>
      <c r="J189" s="2599"/>
      <c r="K189" s="195"/>
      <c r="L189" s="195"/>
    </row>
    <row r="190">
      <c r="I190" s="2570"/>
      <c r="J190" s="2599"/>
      <c r="K190" s="195"/>
      <c r="L190" s="195"/>
    </row>
    <row r="191">
      <c r="I191" s="2570"/>
      <c r="J191" s="2599"/>
      <c r="K191" s="195"/>
      <c r="L191" s="195"/>
    </row>
    <row r="192">
      <c r="I192" s="2570"/>
      <c r="J192" s="2599"/>
      <c r="K192" s="195"/>
      <c r="L192" s="195"/>
    </row>
    <row r="193">
      <c r="I193" s="2570"/>
      <c r="J193" s="2599"/>
      <c r="K193" s="195"/>
      <c r="L193" s="195"/>
    </row>
    <row r="194">
      <c r="I194" s="2570"/>
      <c r="J194" s="2599"/>
      <c r="K194" s="195"/>
      <c r="L194" s="195"/>
    </row>
    <row r="195">
      <c r="I195" s="2570"/>
      <c r="J195" s="2599"/>
      <c r="K195" s="195"/>
      <c r="L195" s="195"/>
    </row>
    <row r="196">
      <c r="I196" s="2570"/>
      <c r="J196" s="2599"/>
      <c r="K196" s="195"/>
      <c r="L196" s="195"/>
    </row>
    <row r="197">
      <c r="I197" s="2570"/>
      <c r="J197" s="2599"/>
      <c r="K197" s="195"/>
      <c r="L197" s="195"/>
    </row>
    <row r="198">
      <c r="I198" s="2570"/>
      <c r="J198" s="2599"/>
      <c r="K198" s="195"/>
      <c r="L198" s="195"/>
    </row>
    <row r="199">
      <c r="I199" s="2570"/>
      <c r="J199" s="2599"/>
      <c r="K199" s="195"/>
      <c r="L199" s="195"/>
    </row>
    <row r="200">
      <c r="I200" s="2570"/>
      <c r="J200" s="2599"/>
      <c r="K200" s="195"/>
      <c r="L200" s="195"/>
    </row>
    <row r="201">
      <c r="I201" s="2570"/>
      <c r="J201" s="2599"/>
      <c r="K201" s="195"/>
      <c r="L201" s="195"/>
    </row>
    <row r="202">
      <c r="I202" s="2570"/>
      <c r="J202" s="2599"/>
      <c r="K202" s="195"/>
      <c r="L202" s="195"/>
    </row>
    <row r="203">
      <c r="I203" s="2570"/>
      <c r="J203" s="2599"/>
      <c r="K203" s="195"/>
      <c r="L203" s="195"/>
    </row>
    <row r="204">
      <c r="I204" s="2570"/>
      <c r="J204" s="2599"/>
      <c r="K204" s="195"/>
      <c r="L204" s="195"/>
    </row>
    <row r="205">
      <c r="I205" s="2570"/>
      <c r="J205" s="2599"/>
      <c r="K205" s="195"/>
      <c r="L205" s="195"/>
    </row>
    <row r="206">
      <c r="I206" s="2570"/>
      <c r="J206" s="2599"/>
      <c r="K206" s="195"/>
      <c r="L206" s="195"/>
    </row>
    <row r="207">
      <c r="I207" s="2570"/>
      <c r="J207" s="2599"/>
      <c r="K207" s="195"/>
      <c r="L207" s="195"/>
    </row>
    <row r="208">
      <c r="I208" s="2570"/>
      <c r="J208" s="2599"/>
      <c r="K208" s="195"/>
      <c r="L208" s="195"/>
    </row>
    <row r="209">
      <c r="I209" s="2570"/>
      <c r="J209" s="2599"/>
      <c r="K209" s="195"/>
      <c r="L209" s="195"/>
    </row>
    <row r="210">
      <c r="I210" s="2570"/>
      <c r="J210" s="2599"/>
      <c r="K210" s="195"/>
      <c r="L210" s="195"/>
    </row>
    <row r="211">
      <c r="I211" s="2570"/>
      <c r="J211" s="2599"/>
      <c r="K211" s="195"/>
      <c r="L211" s="195"/>
    </row>
    <row r="212">
      <c r="I212" s="2570"/>
      <c r="J212" s="2599"/>
      <c r="K212" s="195"/>
      <c r="L212" s="195"/>
    </row>
    <row r="213">
      <c r="I213" s="2570"/>
      <c r="J213" s="2599"/>
      <c r="K213" s="195"/>
      <c r="L213" s="195"/>
    </row>
    <row r="214">
      <c r="I214" s="2570"/>
      <c r="J214" s="2599"/>
      <c r="K214" s="195"/>
      <c r="L214" s="195"/>
    </row>
    <row r="215">
      <c r="I215" s="2570"/>
      <c r="J215" s="2599"/>
      <c r="K215" s="195"/>
      <c r="L215" s="195"/>
    </row>
    <row r="216">
      <c r="I216" s="2570"/>
      <c r="J216" s="2599"/>
      <c r="K216" s="195"/>
      <c r="L216" s="195"/>
    </row>
    <row r="217">
      <c r="I217" s="2570"/>
      <c r="J217" s="2599"/>
      <c r="K217" s="195"/>
      <c r="L217" s="195"/>
    </row>
    <row r="218">
      <c r="I218" s="2570"/>
      <c r="J218" s="2599"/>
      <c r="K218" s="195"/>
      <c r="L218" s="195"/>
    </row>
    <row r="219">
      <c r="I219" s="2570"/>
      <c r="J219" s="2599"/>
      <c r="K219" s="195"/>
      <c r="L219" s="195"/>
    </row>
    <row r="220">
      <c r="I220" s="2570"/>
      <c r="J220" s="2599"/>
      <c r="K220" s="195"/>
      <c r="L220" s="195"/>
    </row>
    <row r="221">
      <c r="I221" s="2570"/>
      <c r="J221" s="2599"/>
      <c r="K221" s="195"/>
      <c r="L221" s="195"/>
    </row>
    <row r="222">
      <c r="I222" s="2570"/>
      <c r="J222" s="2599"/>
      <c r="K222" s="195"/>
      <c r="L222" s="195"/>
    </row>
    <row r="223">
      <c r="I223" s="2570"/>
      <c r="J223" s="2599"/>
      <c r="K223" s="195"/>
      <c r="L223" s="195"/>
    </row>
    <row r="224">
      <c r="I224" s="2570"/>
      <c r="J224" s="2599"/>
      <c r="K224" s="195"/>
      <c r="L224" s="195"/>
    </row>
    <row r="225">
      <c r="I225" s="2570"/>
      <c r="J225" s="2599"/>
      <c r="K225" s="195"/>
      <c r="L225" s="195"/>
    </row>
    <row r="226">
      <c r="I226" s="2570"/>
      <c r="J226" s="2599"/>
      <c r="K226" s="195"/>
      <c r="L226" s="195"/>
    </row>
    <row r="227">
      <c r="I227" s="2570"/>
      <c r="J227" s="2599"/>
      <c r="K227" s="195"/>
      <c r="L227" s="195"/>
    </row>
    <row r="228">
      <c r="I228" s="2570"/>
      <c r="J228" s="2599"/>
      <c r="K228" s="195"/>
      <c r="L228" s="195"/>
    </row>
    <row r="229">
      <c r="I229" s="2570"/>
      <c r="J229" s="2599"/>
      <c r="K229" s="195"/>
      <c r="L229" s="195"/>
    </row>
    <row r="230">
      <c r="I230" s="2570"/>
      <c r="J230" s="2599"/>
      <c r="K230" s="195"/>
      <c r="L230" s="195"/>
    </row>
    <row r="231">
      <c r="I231" s="2570"/>
      <c r="J231" s="2599"/>
      <c r="K231" s="195"/>
      <c r="L231" s="195"/>
    </row>
    <row r="232">
      <c r="I232" s="2570"/>
      <c r="J232" s="2599"/>
      <c r="K232" s="195"/>
      <c r="L232" s="195"/>
    </row>
    <row r="233">
      <c r="I233" s="2570"/>
      <c r="J233" s="2599"/>
      <c r="K233" s="195"/>
      <c r="L233" s="195"/>
    </row>
    <row r="234">
      <c r="I234" s="2570"/>
      <c r="J234" s="2599"/>
      <c r="K234" s="195"/>
      <c r="L234" s="195"/>
    </row>
    <row r="235">
      <c r="I235" s="2570"/>
      <c r="J235" s="2599"/>
      <c r="K235" s="195"/>
      <c r="L235" s="195"/>
    </row>
    <row r="236">
      <c r="I236" s="2570"/>
      <c r="J236" s="2599"/>
      <c r="K236" s="195"/>
      <c r="L236" s="195"/>
    </row>
    <row r="237">
      <c r="I237" s="2570"/>
      <c r="J237" s="2599"/>
      <c r="K237" s="195"/>
      <c r="L237" s="195"/>
    </row>
    <row r="238">
      <c r="I238" s="2570"/>
      <c r="J238" s="2599"/>
      <c r="K238" s="195"/>
      <c r="L238" s="195"/>
    </row>
    <row r="239">
      <c r="I239" s="2570"/>
      <c r="J239" s="2599"/>
      <c r="K239" s="195"/>
      <c r="L239" s="195"/>
    </row>
    <row r="240">
      <c r="I240" s="2570"/>
      <c r="J240" s="2599"/>
      <c r="K240" s="195"/>
      <c r="L240" s="195"/>
    </row>
    <row r="241">
      <c r="I241" s="2570"/>
      <c r="J241" s="2599"/>
      <c r="K241" s="195"/>
      <c r="L241" s="195"/>
    </row>
    <row r="242">
      <c r="I242" s="2570"/>
      <c r="J242" s="2599"/>
      <c r="K242" s="195"/>
      <c r="L242" s="195"/>
    </row>
    <row r="243">
      <c r="I243" s="2570"/>
      <c r="J243" s="2599"/>
      <c r="K243" s="195"/>
      <c r="L243" s="195"/>
    </row>
    <row r="244">
      <c r="I244" s="2570"/>
      <c r="J244" s="2599"/>
      <c r="K244" s="195"/>
      <c r="L244" s="195"/>
    </row>
    <row r="245">
      <c r="I245" s="2570"/>
      <c r="J245" s="2599"/>
      <c r="K245" s="195"/>
      <c r="L245" s="195"/>
    </row>
    <row r="246">
      <c r="I246" s="2570"/>
      <c r="J246" s="2599"/>
      <c r="K246" s="195"/>
      <c r="L246" s="195"/>
    </row>
    <row r="247">
      <c r="I247" s="2570"/>
      <c r="J247" s="2599"/>
      <c r="K247" s="195"/>
      <c r="L247" s="195"/>
    </row>
    <row r="248">
      <c r="I248" s="2570"/>
      <c r="J248" s="2599"/>
      <c r="K248" s="195"/>
      <c r="L248" s="195"/>
    </row>
    <row r="249">
      <c r="I249" s="2570"/>
      <c r="J249" s="2599"/>
      <c r="K249" s="195"/>
      <c r="L249" s="195"/>
    </row>
    <row r="250">
      <c r="I250" s="2570"/>
      <c r="J250" s="2599"/>
      <c r="K250" s="195"/>
      <c r="L250" s="195"/>
    </row>
    <row r="251">
      <c r="I251" s="2570"/>
      <c r="J251" s="2599"/>
      <c r="K251" s="195"/>
      <c r="L251" s="195"/>
    </row>
    <row r="252">
      <c r="I252" s="2570"/>
      <c r="J252" s="2599"/>
      <c r="K252" s="195"/>
      <c r="L252" s="195"/>
    </row>
    <row r="253">
      <c r="I253" s="2570"/>
      <c r="J253" s="2599"/>
      <c r="K253" s="195"/>
      <c r="L253" s="195"/>
    </row>
    <row r="254">
      <c r="I254" s="2570"/>
      <c r="J254" s="2599"/>
      <c r="K254" s="195"/>
      <c r="L254" s="195"/>
    </row>
    <row r="255">
      <c r="I255" s="2570"/>
      <c r="J255" s="2599"/>
      <c r="K255" s="195"/>
      <c r="L255" s="195"/>
    </row>
    <row r="256">
      <c r="I256" s="2570"/>
      <c r="J256" s="2599"/>
      <c r="K256" s="195"/>
      <c r="L256" s="195"/>
    </row>
    <row r="257">
      <c r="I257" s="2570"/>
      <c r="J257" s="2599"/>
      <c r="K257" s="195"/>
      <c r="L257" s="195"/>
    </row>
    <row r="258">
      <c r="I258" s="2570"/>
      <c r="J258" s="2599"/>
      <c r="K258" s="195"/>
      <c r="L258" s="195"/>
    </row>
    <row r="259">
      <c r="I259" s="2570"/>
      <c r="J259" s="2599"/>
      <c r="K259" s="195"/>
      <c r="L259" s="195"/>
    </row>
    <row r="260">
      <c r="I260" s="2570"/>
      <c r="J260" s="2599"/>
      <c r="K260" s="195"/>
      <c r="L260" s="195"/>
    </row>
    <row r="261">
      <c r="I261" s="2570"/>
      <c r="J261" s="2599"/>
      <c r="K261" s="195"/>
      <c r="L261" s="195"/>
    </row>
    <row r="262">
      <c r="I262" s="2570"/>
      <c r="J262" s="2599"/>
      <c r="K262" s="195"/>
      <c r="L262" s="195"/>
    </row>
    <row r="263">
      <c r="I263" s="2570"/>
      <c r="J263" s="2599"/>
      <c r="K263" s="195"/>
      <c r="L263" s="195"/>
    </row>
    <row r="264">
      <c r="I264" s="2570"/>
      <c r="J264" s="2599"/>
      <c r="K264" s="195"/>
      <c r="L264" s="195"/>
    </row>
    <row r="265">
      <c r="I265" s="2570"/>
      <c r="J265" s="2599"/>
      <c r="K265" s="195"/>
      <c r="L265" s="195"/>
    </row>
    <row r="266">
      <c r="I266" s="2570"/>
      <c r="J266" s="2599"/>
      <c r="K266" s="195"/>
      <c r="L266" s="195"/>
    </row>
    <row r="267">
      <c r="I267" s="2570"/>
      <c r="J267" s="2599"/>
      <c r="K267" s="195"/>
      <c r="L267" s="195"/>
    </row>
    <row r="268">
      <c r="I268" s="2570"/>
      <c r="J268" s="2599"/>
      <c r="K268" s="195"/>
      <c r="L268" s="195"/>
    </row>
    <row r="269">
      <c r="I269" s="2570"/>
      <c r="J269" s="2599"/>
      <c r="K269" s="195"/>
      <c r="L269" s="195"/>
    </row>
    <row r="270">
      <c r="I270" s="2570"/>
      <c r="J270" s="2599"/>
      <c r="K270" s="195"/>
      <c r="L270" s="195"/>
    </row>
    <row r="271">
      <c r="I271" s="2570"/>
      <c r="J271" s="2599"/>
      <c r="K271" s="195"/>
      <c r="L271" s="195"/>
    </row>
    <row r="272">
      <c r="I272" s="2570"/>
      <c r="J272" s="2599"/>
      <c r="K272" s="195"/>
      <c r="L272" s="195"/>
    </row>
    <row r="273">
      <c r="I273" s="2570"/>
      <c r="J273" s="2599"/>
      <c r="K273" s="195"/>
      <c r="L273" s="195"/>
    </row>
    <row r="274">
      <c r="I274" s="2570"/>
      <c r="J274" s="2599"/>
      <c r="K274" s="195"/>
      <c r="L274" s="195"/>
    </row>
    <row r="275">
      <c r="I275" s="2570"/>
      <c r="J275" s="2599"/>
      <c r="K275" s="195"/>
      <c r="L275" s="195"/>
    </row>
    <row r="276">
      <c r="I276" s="2570"/>
      <c r="J276" s="2599"/>
      <c r="K276" s="195"/>
      <c r="L276" s="195"/>
    </row>
    <row r="277">
      <c r="I277" s="2570"/>
      <c r="J277" s="2599"/>
      <c r="K277" s="195"/>
      <c r="L277" s="195"/>
    </row>
    <row r="278">
      <c r="I278" s="2570"/>
      <c r="J278" s="2599"/>
      <c r="K278" s="195"/>
      <c r="L278" s="195"/>
    </row>
    <row r="279">
      <c r="I279" s="2570"/>
      <c r="J279" s="2599"/>
      <c r="K279" s="195"/>
      <c r="L279" s="195"/>
    </row>
    <row r="280">
      <c r="I280" s="2570"/>
      <c r="J280" s="2599"/>
      <c r="K280" s="195"/>
      <c r="L280" s="195"/>
    </row>
    <row r="281">
      <c r="I281" s="2570"/>
      <c r="J281" s="2599"/>
      <c r="K281" s="195"/>
      <c r="L281" s="195"/>
    </row>
    <row r="282">
      <c r="I282" s="2570"/>
      <c r="J282" s="2599"/>
      <c r="K282" s="195"/>
      <c r="L282" s="195"/>
    </row>
    <row r="283">
      <c r="I283" s="2570"/>
      <c r="J283" s="2599"/>
      <c r="K283" s="195"/>
      <c r="L283" s="195"/>
    </row>
    <row r="284">
      <c r="I284" s="2570"/>
      <c r="J284" s="2599"/>
      <c r="K284" s="195"/>
      <c r="L284" s="195"/>
    </row>
    <row r="285">
      <c r="I285" s="2570"/>
      <c r="J285" s="2599"/>
      <c r="K285" s="195"/>
      <c r="L285" s="195"/>
    </row>
    <row r="286">
      <c r="I286" s="2570"/>
      <c r="J286" s="2599"/>
      <c r="K286" s="195"/>
      <c r="L286" s="195"/>
    </row>
    <row r="287">
      <c r="I287" s="2570"/>
      <c r="J287" s="2599"/>
      <c r="K287" s="195"/>
      <c r="L287" s="195"/>
    </row>
    <row r="288">
      <c r="I288" s="2570"/>
      <c r="J288" s="2599"/>
      <c r="K288" s="195"/>
      <c r="L288" s="195"/>
    </row>
    <row r="289">
      <c r="I289" s="2570"/>
      <c r="J289" s="2599"/>
      <c r="K289" s="195"/>
      <c r="L289" s="195"/>
    </row>
    <row r="290">
      <c r="I290" s="2570"/>
      <c r="J290" s="2599"/>
      <c r="K290" s="195"/>
      <c r="L290" s="195"/>
    </row>
    <row r="291">
      <c r="I291" s="2570"/>
      <c r="J291" s="2599"/>
      <c r="K291" s="195"/>
      <c r="L291" s="195"/>
    </row>
    <row r="292">
      <c r="I292" s="2570"/>
      <c r="J292" s="2599"/>
      <c r="K292" s="195"/>
      <c r="L292" s="195"/>
    </row>
    <row r="293">
      <c r="I293" s="2570"/>
      <c r="J293" s="2599"/>
      <c r="K293" s="195"/>
      <c r="L293" s="195"/>
    </row>
    <row r="294">
      <c r="I294" s="2570"/>
      <c r="J294" s="2599"/>
      <c r="K294" s="195"/>
      <c r="L294" s="195"/>
    </row>
    <row r="295">
      <c r="I295" s="2570"/>
      <c r="J295" s="2599"/>
      <c r="K295" s="195"/>
      <c r="L295" s="195"/>
    </row>
    <row r="296">
      <c r="I296" s="2570"/>
      <c r="J296" s="2599"/>
      <c r="K296" s="195"/>
      <c r="L296" s="195"/>
    </row>
    <row r="297">
      <c r="I297" s="2570"/>
      <c r="J297" s="2599"/>
      <c r="K297" s="195"/>
      <c r="L297" s="195"/>
    </row>
    <row r="298">
      <c r="I298" s="2570"/>
      <c r="J298" s="2599"/>
      <c r="K298" s="195"/>
      <c r="L298" s="195"/>
    </row>
    <row r="299">
      <c r="I299" s="2570"/>
      <c r="J299" s="2599"/>
      <c r="K299" s="195"/>
      <c r="L299" s="195"/>
    </row>
    <row r="300">
      <c r="I300" s="2570"/>
      <c r="J300" s="2599"/>
      <c r="K300" s="195"/>
      <c r="L300" s="195"/>
    </row>
    <row r="301">
      <c r="I301" s="2570"/>
      <c r="J301" s="2599"/>
      <c r="K301" s="195"/>
      <c r="L301" s="195"/>
    </row>
    <row r="302">
      <c r="I302" s="2570"/>
      <c r="J302" s="2599"/>
      <c r="K302" s="195"/>
      <c r="L302" s="195"/>
    </row>
    <row r="303">
      <c r="I303" s="2570"/>
      <c r="J303" s="2599"/>
      <c r="K303" s="195"/>
      <c r="L303" s="195"/>
    </row>
    <row r="304">
      <c r="I304" s="2570"/>
      <c r="J304" s="2599"/>
      <c r="K304" s="195"/>
      <c r="L304" s="195"/>
    </row>
    <row r="305">
      <c r="I305" s="2570"/>
      <c r="J305" s="2599"/>
      <c r="K305" s="195"/>
      <c r="L305" s="195"/>
    </row>
    <row r="306">
      <c r="I306" s="2570"/>
      <c r="J306" s="2599"/>
      <c r="K306" s="195"/>
      <c r="L306" s="195"/>
    </row>
    <row r="307">
      <c r="I307" s="2570"/>
      <c r="J307" s="2599"/>
      <c r="K307" s="195"/>
      <c r="L307" s="195"/>
    </row>
    <row r="308">
      <c r="I308" s="2570"/>
      <c r="J308" s="2599"/>
      <c r="K308" s="195"/>
      <c r="L308" s="195"/>
    </row>
    <row r="309">
      <c r="I309" s="2570"/>
      <c r="J309" s="2599"/>
      <c r="K309" s="195"/>
      <c r="L309" s="195"/>
    </row>
    <row r="310">
      <c r="I310" s="2570"/>
      <c r="J310" s="2599"/>
      <c r="K310" s="195"/>
      <c r="L310" s="195"/>
    </row>
    <row r="311">
      <c r="I311" s="2570"/>
      <c r="J311" s="2599"/>
      <c r="K311" s="195"/>
      <c r="L311" s="195"/>
    </row>
    <row r="312">
      <c r="I312" s="2570"/>
      <c r="J312" s="2599"/>
      <c r="K312" s="195"/>
      <c r="L312" s="195"/>
    </row>
    <row r="313">
      <c r="I313" s="2570"/>
      <c r="J313" s="2599"/>
      <c r="K313" s="195"/>
      <c r="L313" s="195"/>
    </row>
    <row r="314">
      <c r="I314" s="2570"/>
      <c r="J314" s="2599"/>
      <c r="K314" s="195"/>
      <c r="L314" s="195"/>
    </row>
    <row r="315">
      <c r="I315" s="2570"/>
      <c r="J315" s="2599"/>
      <c r="K315" s="195"/>
      <c r="L315" s="195"/>
    </row>
    <row r="316">
      <c r="I316" s="2570"/>
      <c r="J316" s="2599"/>
      <c r="K316" s="195"/>
      <c r="L316" s="195"/>
    </row>
    <row r="317">
      <c r="I317" s="2570"/>
      <c r="J317" s="2599"/>
      <c r="K317" s="195"/>
      <c r="L317" s="195"/>
    </row>
    <row r="318">
      <c r="I318" s="2570"/>
      <c r="J318" s="2599"/>
      <c r="K318" s="195"/>
      <c r="L318" s="195"/>
    </row>
    <row r="319">
      <c r="I319" s="2570"/>
      <c r="J319" s="2599"/>
      <c r="K319" s="195"/>
      <c r="L319" s="195"/>
    </row>
    <row r="320">
      <c r="I320" s="2570"/>
      <c r="J320" s="2599"/>
      <c r="K320" s="195"/>
      <c r="L320" s="195"/>
    </row>
    <row r="321">
      <c r="I321" s="2570"/>
      <c r="J321" s="2599"/>
      <c r="K321" s="195"/>
      <c r="L321" s="195"/>
    </row>
    <row r="322">
      <c r="I322" s="2570"/>
      <c r="J322" s="2599"/>
      <c r="K322" s="195"/>
      <c r="L322" s="195"/>
    </row>
    <row r="323">
      <c r="I323" s="2570"/>
      <c r="J323" s="2599"/>
      <c r="K323" s="195"/>
      <c r="L323" s="195"/>
    </row>
    <row r="324">
      <c r="I324" s="2570"/>
      <c r="J324" s="2599"/>
      <c r="K324" s="195"/>
      <c r="L324" s="195"/>
    </row>
    <row r="325">
      <c r="I325" s="2570"/>
      <c r="J325" s="2599"/>
      <c r="K325" s="195"/>
      <c r="L325" s="195"/>
    </row>
    <row r="326">
      <c r="I326" s="2570"/>
      <c r="J326" s="2599"/>
      <c r="K326" s="195"/>
      <c r="L326" s="195"/>
    </row>
    <row r="327">
      <c r="I327" s="2570"/>
      <c r="J327" s="2599"/>
      <c r="K327" s="195"/>
      <c r="L327" s="195"/>
    </row>
    <row r="328">
      <c r="I328" s="2570"/>
      <c r="J328" s="2599"/>
      <c r="K328" s="195"/>
      <c r="L328" s="195"/>
    </row>
    <row r="329">
      <c r="I329" s="2570"/>
      <c r="J329" s="2599"/>
      <c r="K329" s="195"/>
      <c r="L329" s="195"/>
    </row>
    <row r="330">
      <c r="I330" s="2570"/>
      <c r="J330" s="2599"/>
      <c r="K330" s="195"/>
      <c r="L330" s="195"/>
    </row>
    <row r="331">
      <c r="I331" s="2570"/>
      <c r="J331" s="2599"/>
      <c r="K331" s="195"/>
      <c r="L331" s="195"/>
    </row>
    <row r="332">
      <c r="I332" s="2570"/>
      <c r="J332" s="2599"/>
      <c r="K332" s="195"/>
      <c r="L332" s="195"/>
    </row>
    <row r="333">
      <c r="I333" s="2570"/>
      <c r="J333" s="2599"/>
      <c r="K333" s="195"/>
      <c r="L333" s="195"/>
    </row>
    <row r="334">
      <c r="I334" s="2570"/>
      <c r="J334" s="2599"/>
      <c r="K334" s="195"/>
      <c r="L334" s="195"/>
    </row>
    <row r="335">
      <c r="I335" s="2570"/>
      <c r="J335" s="2599"/>
      <c r="K335" s="195"/>
      <c r="L335" s="195"/>
    </row>
    <row r="336">
      <c r="I336" s="2570"/>
      <c r="J336" s="2599"/>
      <c r="K336" s="195"/>
      <c r="L336" s="195"/>
    </row>
    <row r="337">
      <c r="I337" s="2570"/>
      <c r="J337" s="2599"/>
      <c r="K337" s="195"/>
      <c r="L337" s="195"/>
    </row>
    <row r="338">
      <c r="I338" s="2570"/>
      <c r="J338" s="2599"/>
      <c r="K338" s="195"/>
      <c r="L338" s="195"/>
    </row>
    <row r="339">
      <c r="I339" s="2570"/>
      <c r="J339" s="2599"/>
      <c r="K339" s="195"/>
      <c r="L339" s="195"/>
    </row>
    <row r="340">
      <c r="I340" s="2570"/>
      <c r="J340" s="2599"/>
      <c r="K340" s="195"/>
      <c r="L340" s="195"/>
    </row>
    <row r="341">
      <c r="I341" s="2570"/>
      <c r="J341" s="2599"/>
      <c r="K341" s="195"/>
      <c r="L341" s="195"/>
    </row>
    <row r="342">
      <c r="I342" s="2570"/>
      <c r="J342" s="2599"/>
      <c r="K342" s="195"/>
      <c r="L342" s="195"/>
    </row>
    <row r="343">
      <c r="I343" s="2570"/>
      <c r="J343" s="2599"/>
      <c r="K343" s="195"/>
      <c r="L343" s="195"/>
    </row>
    <row r="344">
      <c r="I344" s="2570"/>
      <c r="J344" s="2599"/>
      <c r="K344" s="195"/>
      <c r="L344" s="195"/>
    </row>
    <row r="345">
      <c r="I345" s="2570"/>
      <c r="J345" s="2599"/>
      <c r="K345" s="195"/>
      <c r="L345" s="195"/>
    </row>
    <row r="346">
      <c r="I346" s="2570"/>
      <c r="J346" s="2599"/>
      <c r="K346" s="195"/>
      <c r="L346" s="195"/>
    </row>
    <row r="347">
      <c r="I347" s="2570"/>
      <c r="J347" s="2599"/>
      <c r="K347" s="195"/>
      <c r="L347" s="195"/>
    </row>
    <row r="348">
      <c r="I348" s="2570"/>
      <c r="J348" s="2599"/>
      <c r="K348" s="195"/>
      <c r="L348" s="195"/>
    </row>
    <row r="349">
      <c r="I349" s="2570"/>
      <c r="J349" s="2599"/>
      <c r="K349" s="195"/>
      <c r="L349" s="195"/>
    </row>
    <row r="350">
      <c r="I350" s="2570"/>
      <c r="J350" s="2599"/>
      <c r="K350" s="195"/>
      <c r="L350" s="195"/>
    </row>
    <row r="351">
      <c r="I351" s="2570"/>
      <c r="J351" s="2599"/>
      <c r="K351" s="195"/>
      <c r="L351" s="195"/>
    </row>
    <row r="352">
      <c r="I352" s="2570"/>
      <c r="J352" s="2599"/>
      <c r="K352" s="195"/>
      <c r="L352" s="195"/>
    </row>
    <row r="353">
      <c r="I353" s="2570"/>
      <c r="J353" s="2599"/>
      <c r="K353" s="195"/>
      <c r="L353" s="195"/>
    </row>
    <row r="354">
      <c r="I354" s="2570"/>
      <c r="J354" s="2599"/>
      <c r="K354" s="195"/>
      <c r="L354" s="195"/>
    </row>
    <row r="355">
      <c r="I355" s="2570"/>
      <c r="J355" s="2599"/>
      <c r="K355" s="195"/>
      <c r="L355" s="195"/>
    </row>
    <row r="356">
      <c r="I356" s="2570"/>
      <c r="J356" s="2599"/>
      <c r="K356" s="195"/>
      <c r="L356" s="195"/>
    </row>
    <row r="357">
      <c r="I357" s="2570"/>
      <c r="J357" s="2599"/>
      <c r="K357" s="195"/>
      <c r="L357" s="195"/>
    </row>
    <row r="358">
      <c r="I358" s="2570"/>
      <c r="J358" s="2599"/>
      <c r="K358" s="195"/>
      <c r="L358" s="195"/>
    </row>
    <row r="359">
      <c r="I359" s="2570"/>
      <c r="J359" s="2599"/>
      <c r="K359" s="195"/>
      <c r="L359" s="195"/>
    </row>
    <row r="360">
      <c r="I360" s="2570"/>
      <c r="J360" s="2599"/>
      <c r="K360" s="195"/>
      <c r="L360" s="195"/>
    </row>
    <row r="361">
      <c r="I361" s="2570"/>
      <c r="J361" s="2599"/>
      <c r="K361" s="195"/>
      <c r="L361" s="195"/>
    </row>
    <row r="362">
      <c r="I362" s="2570"/>
      <c r="J362" s="2599"/>
      <c r="K362" s="195"/>
      <c r="L362" s="195"/>
    </row>
    <row r="363">
      <c r="I363" s="2570"/>
      <c r="J363" s="2599"/>
      <c r="K363" s="195"/>
      <c r="L363" s="195"/>
    </row>
    <row r="364">
      <c r="I364" s="2570"/>
      <c r="J364" s="2599"/>
      <c r="K364" s="195"/>
      <c r="L364" s="195"/>
    </row>
    <row r="365">
      <c r="I365" s="2570"/>
      <c r="J365" s="2599"/>
      <c r="K365" s="195"/>
      <c r="L365" s="195"/>
    </row>
    <row r="366">
      <c r="I366" s="2570"/>
      <c r="J366" s="2599"/>
      <c r="K366" s="195"/>
      <c r="L366" s="195"/>
    </row>
    <row r="367">
      <c r="I367" s="2570"/>
      <c r="J367" s="2599"/>
      <c r="K367" s="195"/>
      <c r="L367" s="195"/>
    </row>
    <row r="368">
      <c r="I368" s="2570"/>
      <c r="J368" s="2599"/>
      <c r="K368" s="195"/>
      <c r="L368" s="195"/>
    </row>
    <row r="369">
      <c r="I369" s="2570"/>
      <c r="J369" s="2599"/>
      <c r="K369" s="195"/>
      <c r="L369" s="195"/>
    </row>
    <row r="370">
      <c r="I370" s="2570"/>
      <c r="J370" s="2599"/>
      <c r="K370" s="195"/>
      <c r="L370" s="195"/>
    </row>
    <row r="371">
      <c r="I371" s="2570"/>
      <c r="J371" s="2599"/>
      <c r="K371" s="195"/>
      <c r="L371" s="195"/>
    </row>
    <row r="372">
      <c r="I372" s="2570"/>
      <c r="J372" s="2599"/>
      <c r="K372" s="195"/>
      <c r="L372" s="195"/>
    </row>
    <row r="373">
      <c r="I373" s="2570"/>
      <c r="J373" s="2599"/>
      <c r="K373" s="195"/>
      <c r="L373" s="195"/>
    </row>
    <row r="374">
      <c r="I374" s="2570"/>
      <c r="J374" s="2599"/>
      <c r="K374" s="195"/>
      <c r="L374" s="195"/>
    </row>
    <row r="375">
      <c r="I375" s="2570"/>
      <c r="J375" s="2599"/>
      <c r="K375" s="195"/>
      <c r="L375" s="195"/>
    </row>
    <row r="376">
      <c r="I376" s="2570"/>
      <c r="J376" s="2599"/>
      <c r="K376" s="195"/>
      <c r="L376" s="195"/>
    </row>
    <row r="377">
      <c r="I377" s="2570"/>
      <c r="J377" s="2599"/>
      <c r="K377" s="195"/>
      <c r="L377" s="195"/>
    </row>
    <row r="378">
      <c r="I378" s="2570"/>
      <c r="J378" s="2599"/>
      <c r="K378" s="195"/>
      <c r="L378" s="195"/>
    </row>
    <row r="379">
      <c r="I379" s="2570"/>
      <c r="J379" s="2599"/>
      <c r="K379" s="195"/>
      <c r="L379" s="195"/>
    </row>
    <row r="380">
      <c r="I380" s="2570"/>
      <c r="J380" s="2599"/>
      <c r="K380" s="195"/>
      <c r="L380" s="195"/>
    </row>
    <row r="381">
      <c r="I381" s="2570"/>
      <c r="J381" s="2599"/>
      <c r="K381" s="195"/>
      <c r="L381" s="195"/>
    </row>
    <row r="382">
      <c r="I382" s="2570"/>
      <c r="J382" s="2599"/>
      <c r="K382" s="195"/>
      <c r="L382" s="195"/>
    </row>
    <row r="383">
      <c r="I383" s="2570"/>
      <c r="J383" s="2599"/>
      <c r="K383" s="195"/>
      <c r="L383" s="195"/>
    </row>
    <row r="384">
      <c r="I384" s="2570"/>
      <c r="J384" s="2599"/>
      <c r="K384" s="195"/>
      <c r="L384" s="195"/>
    </row>
    <row r="385">
      <c r="I385" s="2570"/>
      <c r="J385" s="2599"/>
      <c r="K385" s="195"/>
      <c r="L385" s="195"/>
    </row>
    <row r="386">
      <c r="I386" s="2570"/>
      <c r="J386" s="2599"/>
      <c r="K386" s="195"/>
      <c r="L386" s="195"/>
    </row>
    <row r="387">
      <c r="I387" s="2570"/>
      <c r="J387" s="2599"/>
      <c r="K387" s="195"/>
      <c r="L387" s="195"/>
    </row>
    <row r="388">
      <c r="I388" s="2570"/>
      <c r="J388" s="2599"/>
      <c r="K388" s="195"/>
      <c r="L388" s="195"/>
    </row>
    <row r="389">
      <c r="I389" s="2570"/>
      <c r="J389" s="2599"/>
      <c r="K389" s="195"/>
      <c r="L389" s="195"/>
    </row>
    <row r="390">
      <c r="I390" s="2570"/>
      <c r="J390" s="2599"/>
      <c r="K390" s="195"/>
      <c r="L390" s="195"/>
    </row>
    <row r="391">
      <c r="I391" s="2570"/>
      <c r="J391" s="2599"/>
      <c r="K391" s="195"/>
      <c r="L391" s="195"/>
    </row>
    <row r="392">
      <c r="I392" s="2570"/>
      <c r="J392" s="2599"/>
      <c r="K392" s="195"/>
      <c r="L392" s="195"/>
    </row>
    <row r="393">
      <c r="I393" s="2570"/>
      <c r="J393" s="2599"/>
      <c r="K393" s="195"/>
      <c r="L393" s="195"/>
    </row>
    <row r="394">
      <c r="I394" s="2570"/>
      <c r="J394" s="2599"/>
      <c r="K394" s="195"/>
      <c r="L394" s="195"/>
    </row>
    <row r="395">
      <c r="I395" s="2570"/>
      <c r="J395" s="2599"/>
      <c r="K395" s="195"/>
      <c r="L395" s="195"/>
    </row>
    <row r="396">
      <c r="I396" s="2570"/>
      <c r="J396" s="2599"/>
      <c r="K396" s="195"/>
      <c r="L396" s="195"/>
    </row>
    <row r="397">
      <c r="I397" s="2570"/>
      <c r="J397" s="2599"/>
      <c r="K397" s="195"/>
      <c r="L397" s="195"/>
    </row>
    <row r="398">
      <c r="I398" s="2570"/>
      <c r="J398" s="2599"/>
      <c r="K398" s="195"/>
      <c r="L398" s="195"/>
    </row>
    <row r="399">
      <c r="I399" s="2570"/>
      <c r="J399" s="2599"/>
      <c r="K399" s="195"/>
      <c r="L399" s="195"/>
    </row>
    <row r="400">
      <c r="I400" s="2570"/>
      <c r="J400" s="2599"/>
      <c r="K400" s="195"/>
      <c r="L400" s="195"/>
    </row>
    <row r="401">
      <c r="I401" s="2570"/>
      <c r="J401" s="2599"/>
      <c r="K401" s="195"/>
      <c r="L401" s="195"/>
    </row>
    <row r="402">
      <c r="I402" s="2570"/>
      <c r="J402" s="2599"/>
      <c r="K402" s="195"/>
      <c r="L402" s="195"/>
    </row>
    <row r="403">
      <c r="I403" s="2570"/>
      <c r="J403" s="2599"/>
      <c r="K403" s="195"/>
      <c r="L403" s="195"/>
    </row>
    <row r="404">
      <c r="I404" s="2570"/>
      <c r="J404" s="2599"/>
      <c r="K404" s="195"/>
      <c r="L404" s="195"/>
    </row>
    <row r="405">
      <c r="I405" s="2570"/>
      <c r="J405" s="2599"/>
      <c r="K405" s="195"/>
      <c r="L405" s="195"/>
    </row>
    <row r="406">
      <c r="I406" s="2570"/>
      <c r="J406" s="2599"/>
      <c r="K406" s="195"/>
      <c r="L406" s="195"/>
    </row>
    <row r="407">
      <c r="I407" s="2570"/>
      <c r="J407" s="2599"/>
      <c r="K407" s="195"/>
      <c r="L407" s="195"/>
    </row>
    <row r="408">
      <c r="I408" s="2570"/>
      <c r="J408" s="2599"/>
      <c r="K408" s="195"/>
      <c r="L408" s="195"/>
    </row>
    <row r="409">
      <c r="I409" s="2570"/>
      <c r="J409" s="2599"/>
      <c r="K409" s="195"/>
      <c r="L409" s="195"/>
    </row>
    <row r="410">
      <c r="I410" s="2570"/>
      <c r="J410" s="2599"/>
      <c r="K410" s="195"/>
      <c r="L410" s="195"/>
    </row>
    <row r="411">
      <c r="I411" s="2570"/>
      <c r="J411" s="2599"/>
      <c r="K411" s="195"/>
      <c r="L411" s="195"/>
    </row>
    <row r="412">
      <c r="I412" s="2570"/>
      <c r="J412" s="2599"/>
      <c r="K412" s="195"/>
      <c r="L412" s="195"/>
    </row>
    <row r="413">
      <c r="I413" s="2570"/>
      <c r="J413" s="2599"/>
      <c r="K413" s="195"/>
      <c r="L413" s="195"/>
    </row>
    <row r="414">
      <c r="I414" s="2570"/>
      <c r="J414" s="2599"/>
      <c r="K414" s="195"/>
      <c r="L414" s="195"/>
    </row>
    <row r="415">
      <c r="I415" s="2570"/>
      <c r="J415" s="2599"/>
      <c r="K415" s="195"/>
      <c r="L415" s="195"/>
    </row>
    <row r="416">
      <c r="I416" s="2570"/>
      <c r="J416" s="2599"/>
      <c r="K416" s="195"/>
      <c r="L416" s="195"/>
    </row>
    <row r="417">
      <c r="I417" s="2570"/>
      <c r="J417" s="2599"/>
      <c r="K417" s="195"/>
      <c r="L417" s="195"/>
    </row>
    <row r="418">
      <c r="I418" s="2570"/>
      <c r="J418" s="2599"/>
      <c r="K418" s="195"/>
      <c r="L418" s="195"/>
    </row>
    <row r="419">
      <c r="I419" s="2570"/>
      <c r="J419" s="2599"/>
      <c r="K419" s="195"/>
      <c r="L419" s="195"/>
    </row>
    <row r="420">
      <c r="I420" s="2570"/>
      <c r="J420" s="2599"/>
      <c r="K420" s="195"/>
      <c r="L420" s="195"/>
    </row>
    <row r="421">
      <c r="I421" s="2570"/>
      <c r="J421" s="2599"/>
      <c r="K421" s="195"/>
      <c r="L421" s="195"/>
    </row>
    <row r="422">
      <c r="I422" s="2570"/>
      <c r="J422" s="2599"/>
      <c r="K422" s="195"/>
      <c r="L422" s="195"/>
    </row>
    <row r="423">
      <c r="I423" s="2570"/>
      <c r="J423" s="2599"/>
      <c r="K423" s="195"/>
      <c r="L423" s="195"/>
    </row>
    <row r="424">
      <c r="I424" s="2570"/>
      <c r="J424" s="2599"/>
      <c r="K424" s="195"/>
      <c r="L424" s="195"/>
    </row>
    <row r="425">
      <c r="I425" s="2570"/>
      <c r="J425" s="2599"/>
      <c r="K425" s="195"/>
      <c r="L425" s="195"/>
    </row>
    <row r="426">
      <c r="I426" s="2570"/>
      <c r="J426" s="2599"/>
      <c r="K426" s="195"/>
      <c r="L426" s="195"/>
    </row>
    <row r="427">
      <c r="I427" s="2570"/>
      <c r="J427" s="2599"/>
      <c r="K427" s="195"/>
      <c r="L427" s="195"/>
    </row>
    <row r="428">
      <c r="I428" s="2570"/>
      <c r="J428" s="2599"/>
      <c r="K428" s="195"/>
      <c r="L428" s="195"/>
    </row>
    <row r="429">
      <c r="I429" s="2570"/>
      <c r="J429" s="2599"/>
      <c r="K429" s="195"/>
      <c r="L429" s="195"/>
    </row>
    <row r="430">
      <c r="I430" s="2570"/>
      <c r="J430" s="2599"/>
      <c r="K430" s="195"/>
      <c r="L430" s="195"/>
    </row>
    <row r="431">
      <c r="I431" s="2570"/>
      <c r="J431" s="2599"/>
      <c r="K431" s="195"/>
      <c r="L431" s="195"/>
    </row>
    <row r="432">
      <c r="I432" s="2570"/>
      <c r="J432" s="2599"/>
      <c r="K432" s="195"/>
      <c r="L432" s="195"/>
    </row>
    <row r="433">
      <c r="I433" s="2570"/>
      <c r="J433" s="2599"/>
      <c r="K433" s="195"/>
      <c r="L433" s="195"/>
    </row>
    <row r="434">
      <c r="I434" s="2570"/>
      <c r="J434" s="2599"/>
      <c r="K434" s="195"/>
      <c r="L434" s="195"/>
    </row>
    <row r="435">
      <c r="I435" s="2570"/>
      <c r="J435" s="2599"/>
      <c r="K435" s="195"/>
      <c r="L435" s="195"/>
    </row>
    <row r="436">
      <c r="I436" s="2570"/>
      <c r="J436" s="2599"/>
      <c r="K436" s="195"/>
      <c r="L436" s="195"/>
    </row>
    <row r="437">
      <c r="I437" s="2570"/>
      <c r="J437" s="2599"/>
      <c r="K437" s="195"/>
      <c r="L437" s="195"/>
    </row>
    <row r="438">
      <c r="I438" s="2570"/>
      <c r="J438" s="2599"/>
      <c r="K438" s="195"/>
      <c r="L438" s="195"/>
    </row>
    <row r="439">
      <c r="I439" s="2570"/>
      <c r="J439" s="2599"/>
      <c r="K439" s="195"/>
      <c r="L439" s="195"/>
    </row>
    <row r="440">
      <c r="I440" s="2570"/>
      <c r="J440" s="2599"/>
      <c r="K440" s="195"/>
      <c r="L440" s="195"/>
    </row>
    <row r="441">
      <c r="I441" s="2570"/>
      <c r="J441" s="2599"/>
      <c r="K441" s="195"/>
      <c r="L441" s="195"/>
    </row>
    <row r="442">
      <c r="I442" s="2570"/>
      <c r="J442" s="2599"/>
      <c r="K442" s="195"/>
      <c r="L442" s="195"/>
    </row>
    <row r="443">
      <c r="I443" s="2570"/>
      <c r="J443" s="2599"/>
      <c r="K443" s="195"/>
      <c r="L443" s="195"/>
    </row>
    <row r="444">
      <c r="I444" s="2570"/>
      <c r="J444" s="2599"/>
      <c r="K444" s="195"/>
      <c r="L444" s="195"/>
    </row>
    <row r="445">
      <c r="I445" s="2570"/>
      <c r="J445" s="2599"/>
      <c r="K445" s="195"/>
      <c r="L445" s="195"/>
    </row>
    <row r="446">
      <c r="I446" s="2570"/>
      <c r="J446" s="2599"/>
      <c r="K446" s="195"/>
      <c r="L446" s="195"/>
    </row>
    <row r="447">
      <c r="I447" s="2570"/>
      <c r="J447" s="2599"/>
      <c r="K447" s="195"/>
      <c r="L447" s="195"/>
    </row>
    <row r="448">
      <c r="I448" s="2570"/>
      <c r="J448" s="2599"/>
      <c r="K448" s="195"/>
      <c r="L448" s="195"/>
    </row>
    <row r="449">
      <c r="I449" s="2570"/>
      <c r="J449" s="2599"/>
      <c r="K449" s="195"/>
      <c r="L449" s="195"/>
    </row>
    <row r="450">
      <c r="I450" s="2570"/>
      <c r="J450" s="2599"/>
      <c r="K450" s="195"/>
      <c r="L450" s="195"/>
    </row>
    <row r="451">
      <c r="I451" s="2570"/>
      <c r="J451" s="2599"/>
      <c r="K451" s="195"/>
      <c r="L451" s="195"/>
    </row>
    <row r="452">
      <c r="I452" s="2570"/>
      <c r="J452" s="2599"/>
      <c r="K452" s="195"/>
      <c r="L452" s="195"/>
    </row>
    <row r="453">
      <c r="I453" s="2570"/>
      <c r="J453" s="2599"/>
      <c r="K453" s="195"/>
      <c r="L453" s="195"/>
    </row>
    <row r="454">
      <c r="I454" s="2570"/>
      <c r="J454" s="2599"/>
      <c r="K454" s="195"/>
      <c r="L454" s="195"/>
    </row>
    <row r="455">
      <c r="I455" s="2570"/>
      <c r="J455" s="2599"/>
      <c r="K455" s="195"/>
      <c r="L455" s="195"/>
    </row>
    <row r="456">
      <c r="I456" s="2570"/>
      <c r="J456" s="2599"/>
      <c r="K456" s="195"/>
      <c r="L456" s="195"/>
    </row>
    <row r="457">
      <c r="I457" s="2570"/>
      <c r="J457" s="2599"/>
      <c r="K457" s="195"/>
      <c r="L457" s="195"/>
    </row>
    <row r="458">
      <c r="I458" s="2570"/>
      <c r="J458" s="2599"/>
      <c r="K458" s="195"/>
      <c r="L458" s="195"/>
    </row>
    <row r="459">
      <c r="I459" s="2570"/>
      <c r="J459" s="2599"/>
      <c r="K459" s="195"/>
      <c r="L459" s="195"/>
    </row>
    <row r="460">
      <c r="I460" s="2570"/>
      <c r="J460" s="2599"/>
      <c r="K460" s="195"/>
      <c r="L460" s="195"/>
    </row>
    <row r="461">
      <c r="I461" s="2570"/>
      <c r="J461" s="2599"/>
      <c r="K461" s="195"/>
      <c r="L461" s="195"/>
    </row>
    <row r="462">
      <c r="I462" s="2570"/>
      <c r="J462" s="2599"/>
      <c r="K462" s="195"/>
      <c r="L462" s="195"/>
    </row>
    <row r="463">
      <c r="I463" s="2570"/>
      <c r="J463" s="2599"/>
      <c r="K463" s="195"/>
      <c r="L463" s="195"/>
    </row>
    <row r="464">
      <c r="I464" s="2570"/>
      <c r="J464" s="2599"/>
      <c r="K464" s="195"/>
      <c r="L464" s="195"/>
    </row>
    <row r="465">
      <c r="I465" s="2570"/>
      <c r="J465" s="2599"/>
      <c r="K465" s="195"/>
      <c r="L465" s="195"/>
    </row>
    <row r="466">
      <c r="I466" s="2570"/>
      <c r="J466" s="2599"/>
      <c r="K466" s="195"/>
      <c r="L466" s="195"/>
    </row>
    <row r="467">
      <c r="I467" s="2570"/>
      <c r="J467" s="2599"/>
      <c r="K467" s="195"/>
      <c r="L467" s="195"/>
    </row>
    <row r="468">
      <c r="I468" s="2570"/>
      <c r="J468" s="2599"/>
      <c r="K468" s="195"/>
      <c r="L468" s="195"/>
    </row>
    <row r="469">
      <c r="I469" s="2570"/>
      <c r="J469" s="2599"/>
      <c r="K469" s="195"/>
      <c r="L469" s="195"/>
    </row>
    <row r="470">
      <c r="I470" s="2570"/>
      <c r="J470" s="2599"/>
      <c r="K470" s="195"/>
      <c r="L470" s="195"/>
    </row>
    <row r="471">
      <c r="I471" s="2570"/>
      <c r="J471" s="2599"/>
      <c r="K471" s="195"/>
      <c r="L471" s="195"/>
    </row>
    <row r="472">
      <c r="I472" s="2570"/>
      <c r="J472" s="2599"/>
      <c r="K472" s="195"/>
      <c r="L472" s="195"/>
    </row>
    <row r="473">
      <c r="I473" s="2570"/>
      <c r="J473" s="2599"/>
      <c r="K473" s="195"/>
      <c r="L473" s="195"/>
    </row>
    <row r="474">
      <c r="I474" s="2570"/>
      <c r="J474" s="2599"/>
      <c r="K474" s="195"/>
      <c r="L474" s="195"/>
    </row>
    <row r="475">
      <c r="I475" s="2570"/>
      <c r="J475" s="2599"/>
      <c r="K475" s="195"/>
      <c r="L475" s="195"/>
    </row>
    <row r="476">
      <c r="I476" s="2570"/>
      <c r="J476" s="2599"/>
      <c r="K476" s="195"/>
      <c r="L476" s="195"/>
    </row>
    <row r="477">
      <c r="I477" s="2570"/>
      <c r="J477" s="2599"/>
      <c r="K477" s="195"/>
      <c r="L477" s="195"/>
    </row>
    <row r="478">
      <c r="I478" s="2570"/>
      <c r="J478" s="2599"/>
      <c r="K478" s="195"/>
      <c r="L478" s="195"/>
    </row>
    <row r="479">
      <c r="I479" s="2570"/>
      <c r="J479" s="2599"/>
      <c r="K479" s="195"/>
      <c r="L479" s="195"/>
    </row>
    <row r="480">
      <c r="I480" s="2570"/>
      <c r="J480" s="2599"/>
      <c r="K480" s="195"/>
      <c r="L480" s="195"/>
    </row>
    <row r="481">
      <c r="I481" s="2570"/>
      <c r="J481" s="2599"/>
      <c r="K481" s="195"/>
      <c r="L481" s="195"/>
    </row>
    <row r="482">
      <c r="I482" s="2570"/>
      <c r="J482" s="2599"/>
      <c r="K482" s="195"/>
      <c r="L482" s="195"/>
    </row>
    <row r="483">
      <c r="I483" s="2570"/>
      <c r="J483" s="2599"/>
      <c r="K483" s="195"/>
      <c r="L483" s="195"/>
    </row>
    <row r="484">
      <c r="I484" s="2570"/>
      <c r="J484" s="2599"/>
      <c r="K484" s="195"/>
      <c r="L484" s="195"/>
    </row>
    <row r="485">
      <c r="I485" s="2570"/>
      <c r="J485" s="2599"/>
      <c r="K485" s="195"/>
      <c r="L485" s="195"/>
    </row>
    <row r="486">
      <c r="I486" s="2570"/>
      <c r="J486" s="2599"/>
      <c r="K486" s="195"/>
      <c r="L486" s="195"/>
    </row>
    <row r="487">
      <c r="I487" s="2570"/>
      <c r="J487" s="2599"/>
      <c r="K487" s="195"/>
      <c r="L487" s="195"/>
    </row>
    <row r="488">
      <c r="I488" s="2570"/>
      <c r="J488" s="2599"/>
      <c r="K488" s="195"/>
      <c r="L488" s="195"/>
    </row>
    <row r="489">
      <c r="I489" s="2570"/>
      <c r="J489" s="2599"/>
      <c r="K489" s="195"/>
      <c r="L489" s="195"/>
    </row>
    <row r="490">
      <c r="I490" s="2570"/>
      <c r="J490" s="2599"/>
      <c r="K490" s="195"/>
      <c r="L490" s="195"/>
    </row>
    <row r="491">
      <c r="I491" s="2570"/>
      <c r="J491" s="2599"/>
      <c r="K491" s="195"/>
      <c r="L491" s="195"/>
    </row>
    <row r="492">
      <c r="I492" s="2570"/>
      <c r="J492" s="2599"/>
      <c r="K492" s="195"/>
      <c r="L492" s="195"/>
    </row>
    <row r="493">
      <c r="I493" s="2570"/>
      <c r="J493" s="2599"/>
      <c r="K493" s="195"/>
      <c r="L493" s="195"/>
    </row>
    <row r="494">
      <c r="I494" s="2570"/>
      <c r="J494" s="2599"/>
      <c r="K494" s="195"/>
      <c r="L494" s="195"/>
    </row>
    <row r="495">
      <c r="I495" s="2570"/>
      <c r="J495" s="2599"/>
      <c r="K495" s="195"/>
      <c r="L495" s="195"/>
    </row>
    <row r="496">
      <c r="I496" s="2570"/>
      <c r="J496" s="2599"/>
      <c r="K496" s="195"/>
      <c r="L496" s="195"/>
    </row>
    <row r="497">
      <c r="I497" s="2570"/>
      <c r="J497" s="2599"/>
      <c r="K497" s="195"/>
      <c r="L497" s="195"/>
    </row>
    <row r="498">
      <c r="I498" s="2570"/>
      <c r="J498" s="2599"/>
      <c r="K498" s="195"/>
      <c r="L498" s="195"/>
    </row>
    <row r="499">
      <c r="I499" s="2570"/>
      <c r="J499" s="2599"/>
      <c r="K499" s="195"/>
      <c r="L499" s="195"/>
    </row>
    <row r="500">
      <c r="I500" s="2570"/>
      <c r="J500" s="2599"/>
      <c r="K500" s="195"/>
      <c r="L500" s="195"/>
    </row>
    <row r="501">
      <c r="I501" s="2570"/>
      <c r="J501" s="2599"/>
      <c r="K501" s="195"/>
      <c r="L501" s="195"/>
    </row>
    <row r="502">
      <c r="I502" s="2570"/>
      <c r="J502" s="2599"/>
      <c r="K502" s="195"/>
      <c r="L502" s="195"/>
    </row>
    <row r="503">
      <c r="I503" s="2570"/>
      <c r="J503" s="2599"/>
      <c r="K503" s="195"/>
      <c r="L503" s="195"/>
    </row>
    <row r="504">
      <c r="I504" s="2570"/>
      <c r="J504" s="2599"/>
      <c r="K504" s="195"/>
      <c r="L504" s="195"/>
    </row>
    <row r="505">
      <c r="I505" s="2570"/>
      <c r="J505" s="2599"/>
      <c r="K505" s="195"/>
      <c r="L505" s="195"/>
    </row>
    <row r="506">
      <c r="I506" s="2570"/>
      <c r="J506" s="2599"/>
      <c r="K506" s="195"/>
      <c r="L506" s="195"/>
    </row>
    <row r="507">
      <c r="I507" s="2570"/>
      <c r="J507" s="2599"/>
      <c r="K507" s="195"/>
      <c r="L507" s="195"/>
    </row>
    <row r="508">
      <c r="I508" s="2570"/>
      <c r="J508" s="2599"/>
      <c r="K508" s="195"/>
      <c r="L508" s="195"/>
    </row>
    <row r="509">
      <c r="I509" s="2570"/>
      <c r="J509" s="2599"/>
      <c r="K509" s="195"/>
      <c r="L509" s="195"/>
    </row>
    <row r="510">
      <c r="I510" s="2570"/>
      <c r="J510" s="2599"/>
      <c r="K510" s="195"/>
      <c r="L510" s="195"/>
    </row>
    <row r="511">
      <c r="I511" s="2570"/>
      <c r="J511" s="2599"/>
      <c r="K511" s="195"/>
      <c r="L511" s="195"/>
    </row>
    <row r="512">
      <c r="I512" s="2570"/>
      <c r="J512" s="2599"/>
      <c r="K512" s="195"/>
      <c r="L512" s="195"/>
    </row>
    <row r="513">
      <c r="I513" s="2570"/>
      <c r="J513" s="2599"/>
      <c r="K513" s="195"/>
      <c r="L513" s="195"/>
    </row>
    <row r="514">
      <c r="I514" s="2570"/>
      <c r="J514" s="2599"/>
      <c r="K514" s="195"/>
      <c r="L514" s="195"/>
    </row>
    <row r="515">
      <c r="I515" s="2570"/>
      <c r="J515" s="2599"/>
      <c r="K515" s="195"/>
      <c r="L515" s="195"/>
    </row>
    <row r="516">
      <c r="I516" s="2570"/>
      <c r="J516" s="2599"/>
      <c r="K516" s="195"/>
      <c r="L516" s="195"/>
    </row>
    <row r="517">
      <c r="I517" s="2570"/>
      <c r="J517" s="2599"/>
      <c r="K517" s="195"/>
      <c r="L517" s="195"/>
    </row>
    <row r="518">
      <c r="I518" s="2570"/>
      <c r="J518" s="2599"/>
      <c r="K518" s="195"/>
      <c r="L518" s="195"/>
    </row>
    <row r="519">
      <c r="I519" s="2570"/>
      <c r="J519" s="2599"/>
      <c r="K519" s="195"/>
      <c r="L519" s="195"/>
    </row>
    <row r="520">
      <c r="I520" s="2570"/>
      <c r="J520" s="2599"/>
      <c r="K520" s="195"/>
      <c r="L520" s="195"/>
    </row>
    <row r="521">
      <c r="I521" s="2570"/>
      <c r="J521" s="2599"/>
      <c r="K521" s="195"/>
      <c r="L521" s="195"/>
    </row>
    <row r="522">
      <c r="I522" s="2570"/>
      <c r="J522" s="2599"/>
      <c r="K522" s="195"/>
      <c r="L522" s="195"/>
    </row>
    <row r="523">
      <c r="I523" s="2570"/>
      <c r="J523" s="2599"/>
      <c r="K523" s="195"/>
      <c r="L523" s="195"/>
    </row>
    <row r="524">
      <c r="I524" s="2570"/>
      <c r="J524" s="2599"/>
      <c r="K524" s="195"/>
      <c r="L524" s="195"/>
    </row>
    <row r="525">
      <c r="I525" s="2570"/>
      <c r="J525" s="2599"/>
      <c r="K525" s="195"/>
      <c r="L525" s="195"/>
    </row>
    <row r="526">
      <c r="I526" s="2570"/>
      <c r="J526" s="2599"/>
      <c r="K526" s="195"/>
      <c r="L526" s="195"/>
    </row>
    <row r="527">
      <c r="I527" s="2570"/>
      <c r="J527" s="2599"/>
      <c r="K527" s="195"/>
      <c r="L527" s="195"/>
    </row>
    <row r="528">
      <c r="I528" s="2570"/>
      <c r="J528" s="2599"/>
      <c r="K528" s="195"/>
      <c r="L528" s="195"/>
    </row>
    <row r="529">
      <c r="I529" s="2570"/>
      <c r="J529" s="2599"/>
      <c r="K529" s="195"/>
      <c r="L529" s="195"/>
    </row>
    <row r="530">
      <c r="I530" s="2570"/>
      <c r="J530" s="2599"/>
      <c r="K530" s="195"/>
      <c r="L530" s="195"/>
    </row>
    <row r="531">
      <c r="I531" s="2570"/>
      <c r="J531" s="2599"/>
      <c r="K531" s="195"/>
      <c r="L531" s="195"/>
    </row>
    <row r="532">
      <c r="I532" s="2570"/>
      <c r="J532" s="2599"/>
      <c r="K532" s="195"/>
      <c r="L532" s="195"/>
    </row>
    <row r="533">
      <c r="I533" s="2570"/>
      <c r="J533" s="2599"/>
      <c r="K533" s="195"/>
      <c r="L533" s="195"/>
    </row>
    <row r="534">
      <c r="I534" s="2570"/>
      <c r="J534" s="2599"/>
      <c r="K534" s="195"/>
      <c r="L534" s="195"/>
    </row>
    <row r="535">
      <c r="I535" s="2570"/>
      <c r="J535" s="2599"/>
      <c r="K535" s="195"/>
      <c r="L535" s="195"/>
    </row>
    <row r="536">
      <c r="I536" s="2570"/>
      <c r="J536" s="2599"/>
      <c r="K536" s="195"/>
      <c r="L536" s="195"/>
    </row>
    <row r="537">
      <c r="I537" s="2570"/>
      <c r="J537" s="2599"/>
      <c r="K537" s="195"/>
      <c r="L537" s="195"/>
    </row>
    <row r="538">
      <c r="I538" s="2570"/>
      <c r="J538" s="2599"/>
      <c r="K538" s="195"/>
      <c r="L538" s="195"/>
    </row>
    <row r="539">
      <c r="I539" s="2570"/>
      <c r="J539" s="2599"/>
      <c r="K539" s="195"/>
      <c r="L539" s="195"/>
    </row>
    <row r="540">
      <c r="I540" s="2570"/>
      <c r="J540" s="2599"/>
      <c r="K540" s="195"/>
      <c r="L540" s="195"/>
    </row>
    <row r="541">
      <c r="I541" s="2570"/>
      <c r="J541" s="2599"/>
      <c r="K541" s="195"/>
      <c r="L541" s="195"/>
    </row>
    <row r="542">
      <c r="I542" s="2570"/>
      <c r="J542" s="2599"/>
      <c r="K542" s="195"/>
      <c r="L542" s="195"/>
    </row>
    <row r="543">
      <c r="I543" s="2570"/>
      <c r="J543" s="2599"/>
      <c r="K543" s="195"/>
      <c r="L543" s="195"/>
    </row>
    <row r="544">
      <c r="I544" s="2570"/>
      <c r="J544" s="2599"/>
      <c r="K544" s="195"/>
      <c r="L544" s="195"/>
    </row>
    <row r="545">
      <c r="I545" s="2570"/>
      <c r="J545" s="2599"/>
      <c r="K545" s="195"/>
      <c r="L545" s="195"/>
    </row>
    <row r="546">
      <c r="I546" s="2570"/>
      <c r="J546" s="2599"/>
      <c r="K546" s="195"/>
      <c r="L546" s="195"/>
    </row>
    <row r="547">
      <c r="I547" s="2570"/>
      <c r="J547" s="2599"/>
      <c r="K547" s="195"/>
      <c r="L547" s="195"/>
    </row>
    <row r="548">
      <c r="I548" s="2570"/>
      <c r="J548" s="2599"/>
      <c r="K548" s="195"/>
      <c r="L548" s="195"/>
    </row>
    <row r="549">
      <c r="I549" s="2570"/>
      <c r="J549" s="2599"/>
      <c r="K549" s="195"/>
      <c r="L549" s="195"/>
    </row>
    <row r="550">
      <c r="I550" s="2570"/>
      <c r="J550" s="2599"/>
      <c r="K550" s="195"/>
      <c r="L550" s="195"/>
    </row>
    <row r="551">
      <c r="I551" s="2570"/>
      <c r="J551" s="2599"/>
      <c r="K551" s="195"/>
      <c r="L551" s="195"/>
    </row>
    <row r="552">
      <c r="I552" s="2570"/>
      <c r="J552" s="2599"/>
      <c r="K552" s="195"/>
      <c r="L552" s="195"/>
    </row>
    <row r="553">
      <c r="I553" s="2570"/>
      <c r="J553" s="2599"/>
      <c r="K553" s="195"/>
      <c r="L553" s="195"/>
    </row>
    <row r="554">
      <c r="I554" s="2570"/>
      <c r="J554" s="2599"/>
      <c r="K554" s="195"/>
      <c r="L554" s="195"/>
    </row>
    <row r="555">
      <c r="I555" s="2570"/>
      <c r="J555" s="2599"/>
      <c r="K555" s="195"/>
      <c r="L555" s="195"/>
    </row>
    <row r="556">
      <c r="I556" s="2570"/>
      <c r="J556" s="2599"/>
      <c r="K556" s="195"/>
      <c r="L556" s="195"/>
    </row>
    <row r="557">
      <c r="I557" s="2570"/>
      <c r="J557" s="2599"/>
      <c r="K557" s="195"/>
      <c r="L557" s="195"/>
    </row>
    <row r="558">
      <c r="I558" s="2570"/>
      <c r="J558" s="2599"/>
      <c r="K558" s="195"/>
      <c r="L558" s="195"/>
    </row>
    <row r="559">
      <c r="I559" s="2570"/>
      <c r="J559" s="2599"/>
      <c r="K559" s="195"/>
      <c r="L559" s="195"/>
    </row>
    <row r="560">
      <c r="I560" s="2570"/>
      <c r="J560" s="2599"/>
      <c r="K560" s="195"/>
      <c r="L560" s="195"/>
    </row>
    <row r="561">
      <c r="I561" s="2570"/>
      <c r="J561" s="2599"/>
      <c r="K561" s="195"/>
      <c r="L561" s="195"/>
    </row>
    <row r="562">
      <c r="I562" s="2570"/>
      <c r="J562" s="2599"/>
      <c r="K562" s="195"/>
      <c r="L562" s="195"/>
    </row>
    <row r="563">
      <c r="I563" s="2570"/>
      <c r="J563" s="2599"/>
      <c r="K563" s="195"/>
      <c r="L563" s="195"/>
    </row>
    <row r="564">
      <c r="I564" s="2570"/>
      <c r="J564" s="2599"/>
      <c r="K564" s="195"/>
      <c r="L564" s="195"/>
    </row>
    <row r="565">
      <c r="I565" s="2570"/>
      <c r="J565" s="2599"/>
      <c r="K565" s="195"/>
      <c r="L565" s="195"/>
    </row>
    <row r="566">
      <c r="I566" s="2570"/>
      <c r="J566" s="2599"/>
      <c r="K566" s="195"/>
      <c r="L566" s="195"/>
    </row>
    <row r="567">
      <c r="I567" s="2570"/>
      <c r="J567" s="2599"/>
      <c r="K567" s="195"/>
      <c r="L567" s="195"/>
    </row>
    <row r="568">
      <c r="I568" s="2570"/>
      <c r="J568" s="2599"/>
      <c r="K568" s="195"/>
      <c r="L568" s="195"/>
    </row>
    <row r="569">
      <c r="I569" s="2570"/>
      <c r="J569" s="2599"/>
      <c r="K569" s="195"/>
      <c r="L569" s="195"/>
    </row>
    <row r="570">
      <c r="I570" s="2570"/>
      <c r="J570" s="2599"/>
      <c r="K570" s="195"/>
      <c r="L570" s="195"/>
    </row>
    <row r="571">
      <c r="I571" s="2570"/>
      <c r="J571" s="2599"/>
      <c r="K571" s="195"/>
      <c r="L571" s="195"/>
    </row>
    <row r="572">
      <c r="I572" s="2570"/>
      <c r="J572" s="2599"/>
      <c r="K572" s="195"/>
      <c r="L572" s="195"/>
    </row>
    <row r="573">
      <c r="I573" s="2570"/>
      <c r="J573" s="2599"/>
      <c r="K573" s="195"/>
      <c r="L573" s="195"/>
    </row>
    <row r="574">
      <c r="I574" s="2570"/>
      <c r="J574" s="2599"/>
      <c r="K574" s="195"/>
      <c r="L574" s="195"/>
    </row>
    <row r="575">
      <c r="I575" s="2570"/>
      <c r="J575" s="2599"/>
      <c r="K575" s="195"/>
      <c r="L575" s="195"/>
    </row>
    <row r="576">
      <c r="I576" s="2570"/>
      <c r="J576" s="2599"/>
      <c r="K576" s="195"/>
      <c r="L576" s="195"/>
    </row>
    <row r="577">
      <c r="I577" s="2570"/>
      <c r="J577" s="2599"/>
      <c r="K577" s="195"/>
      <c r="L577" s="195"/>
    </row>
    <row r="578">
      <c r="I578" s="2570"/>
      <c r="J578" s="2599"/>
      <c r="K578" s="195"/>
      <c r="L578" s="195"/>
    </row>
    <row r="579">
      <c r="I579" s="2570"/>
      <c r="J579" s="2599"/>
      <c r="K579" s="195"/>
      <c r="L579" s="195"/>
    </row>
    <row r="580">
      <c r="I580" s="2570"/>
      <c r="J580" s="2599"/>
      <c r="K580" s="195"/>
      <c r="L580" s="195"/>
    </row>
    <row r="581">
      <c r="I581" s="2570"/>
      <c r="J581" s="2599"/>
      <c r="K581" s="195"/>
      <c r="L581" s="195"/>
    </row>
    <row r="582">
      <c r="I582" s="2570"/>
      <c r="J582" s="2599"/>
      <c r="K582" s="195"/>
      <c r="L582" s="195"/>
    </row>
    <row r="583">
      <c r="I583" s="2570"/>
      <c r="J583" s="2599"/>
      <c r="K583" s="195"/>
      <c r="L583" s="195"/>
    </row>
    <row r="584">
      <c r="I584" s="2570"/>
      <c r="J584" s="2599"/>
      <c r="K584" s="195"/>
      <c r="L584" s="195"/>
    </row>
    <row r="585">
      <c r="I585" s="2570"/>
      <c r="J585" s="2599"/>
      <c r="K585" s="195"/>
      <c r="L585" s="195"/>
    </row>
    <row r="586">
      <c r="I586" s="2570"/>
      <c r="J586" s="2599"/>
      <c r="K586" s="195"/>
      <c r="L586" s="195"/>
    </row>
    <row r="587">
      <c r="I587" s="2570"/>
      <c r="J587" s="2599"/>
      <c r="K587" s="195"/>
      <c r="L587" s="195"/>
    </row>
    <row r="588">
      <c r="I588" s="2570"/>
      <c r="J588" s="2599"/>
      <c r="K588" s="195"/>
      <c r="L588" s="195"/>
    </row>
    <row r="589">
      <c r="I589" s="2570"/>
      <c r="J589" s="2599"/>
      <c r="K589" s="195"/>
      <c r="L589" s="195"/>
    </row>
    <row r="590">
      <c r="I590" s="2570"/>
      <c r="J590" s="2599"/>
      <c r="K590" s="195"/>
      <c r="L590" s="195"/>
    </row>
    <row r="591">
      <c r="I591" s="2570"/>
      <c r="J591" s="2599"/>
      <c r="K591" s="195"/>
      <c r="L591" s="195"/>
    </row>
    <row r="592">
      <c r="I592" s="2570"/>
      <c r="J592" s="2599"/>
      <c r="K592" s="195"/>
      <c r="L592" s="195"/>
    </row>
    <row r="593">
      <c r="I593" s="2570"/>
      <c r="J593" s="2599"/>
      <c r="K593" s="195"/>
      <c r="L593" s="195"/>
    </row>
    <row r="594">
      <c r="I594" s="2570"/>
      <c r="J594" s="2599"/>
      <c r="K594" s="195"/>
      <c r="L594" s="195"/>
    </row>
    <row r="595">
      <c r="I595" s="2570"/>
      <c r="J595" s="2599"/>
      <c r="K595" s="195"/>
      <c r="L595" s="195"/>
    </row>
    <row r="596">
      <c r="I596" s="2570"/>
      <c r="J596" s="2599"/>
      <c r="K596" s="195"/>
      <c r="L596" s="195"/>
    </row>
    <row r="597">
      <c r="I597" s="2570"/>
      <c r="J597" s="2599"/>
      <c r="K597" s="195"/>
      <c r="L597" s="195"/>
    </row>
    <row r="598">
      <c r="I598" s="2570"/>
      <c r="J598" s="2599"/>
      <c r="K598" s="195"/>
      <c r="L598" s="195"/>
    </row>
    <row r="599">
      <c r="I599" s="2570"/>
      <c r="J599" s="2599"/>
      <c r="K599" s="195"/>
      <c r="L599" s="195"/>
    </row>
    <row r="600">
      <c r="I600" s="2570"/>
      <c r="J600" s="2599"/>
      <c r="K600" s="195"/>
      <c r="L600" s="195"/>
    </row>
    <row r="601">
      <c r="I601" s="2570"/>
      <c r="J601" s="2599"/>
      <c r="K601" s="195"/>
      <c r="L601" s="195"/>
    </row>
    <row r="602">
      <c r="I602" s="2570"/>
      <c r="J602" s="2599"/>
      <c r="K602" s="195"/>
      <c r="L602" s="195"/>
    </row>
    <row r="603">
      <c r="I603" s="2570"/>
      <c r="J603" s="2599"/>
      <c r="K603" s="195"/>
      <c r="L603" s="195"/>
    </row>
    <row r="604">
      <c r="I604" s="2570"/>
      <c r="J604" s="2599"/>
      <c r="K604" s="195"/>
      <c r="L604" s="195"/>
    </row>
    <row r="605">
      <c r="I605" s="2570"/>
      <c r="J605" s="2599"/>
      <c r="K605" s="195"/>
      <c r="L605" s="195"/>
    </row>
    <row r="606">
      <c r="I606" s="2570"/>
      <c r="J606" s="2599"/>
      <c r="K606" s="195"/>
      <c r="L606" s="195"/>
    </row>
    <row r="607">
      <c r="I607" s="2570"/>
      <c r="J607" s="2599"/>
      <c r="K607" s="195"/>
      <c r="L607" s="195"/>
    </row>
    <row r="608">
      <c r="I608" s="2570"/>
      <c r="J608" s="2599"/>
      <c r="K608" s="195"/>
      <c r="L608" s="195"/>
    </row>
    <row r="609">
      <c r="I609" s="2570"/>
      <c r="J609" s="2599"/>
      <c r="K609" s="195"/>
      <c r="L609" s="195"/>
    </row>
    <row r="610">
      <c r="I610" s="2570"/>
      <c r="J610" s="2599"/>
      <c r="K610" s="195"/>
      <c r="L610" s="195"/>
    </row>
    <row r="611">
      <c r="I611" s="2570"/>
      <c r="J611" s="2599"/>
      <c r="K611" s="195"/>
      <c r="L611" s="195"/>
    </row>
    <row r="612">
      <c r="I612" s="2570"/>
      <c r="J612" s="2599"/>
      <c r="K612" s="195"/>
      <c r="L612" s="195"/>
    </row>
    <row r="613">
      <c r="I613" s="2570"/>
      <c r="J613" s="2599"/>
      <c r="K613" s="195"/>
      <c r="L613" s="195"/>
    </row>
    <row r="614">
      <c r="I614" s="2570"/>
      <c r="J614" s="2599"/>
      <c r="K614" s="195"/>
      <c r="L614" s="195"/>
    </row>
    <row r="615">
      <c r="I615" s="2570"/>
      <c r="J615" s="2599"/>
      <c r="K615" s="195"/>
      <c r="L615" s="195"/>
    </row>
    <row r="616">
      <c r="I616" s="2570"/>
      <c r="J616" s="2599"/>
      <c r="K616" s="195"/>
      <c r="L616" s="195"/>
    </row>
    <row r="617">
      <c r="I617" s="2570"/>
      <c r="J617" s="2599"/>
      <c r="K617" s="195"/>
      <c r="L617" s="195"/>
    </row>
    <row r="618">
      <c r="I618" s="2570"/>
      <c r="J618" s="2599"/>
      <c r="K618" s="195"/>
      <c r="L618" s="195"/>
    </row>
    <row r="619">
      <c r="I619" s="2570"/>
      <c r="J619" s="2599"/>
      <c r="K619" s="195"/>
      <c r="L619" s="195"/>
    </row>
    <row r="620">
      <c r="I620" s="2570"/>
      <c r="J620" s="2599"/>
      <c r="K620" s="195"/>
      <c r="L620" s="195"/>
    </row>
    <row r="621">
      <c r="I621" s="2570"/>
      <c r="J621" s="2599"/>
      <c r="K621" s="195"/>
      <c r="L621" s="195"/>
    </row>
    <row r="622">
      <c r="I622" s="2570"/>
      <c r="J622" s="2599"/>
      <c r="K622" s="195"/>
      <c r="L622" s="195"/>
    </row>
    <row r="623">
      <c r="I623" s="2570"/>
      <c r="J623" s="2599"/>
      <c r="K623" s="195"/>
      <c r="L623" s="195"/>
    </row>
    <row r="624">
      <c r="I624" s="2570"/>
      <c r="J624" s="2599"/>
      <c r="K624" s="195"/>
      <c r="L624" s="195"/>
    </row>
    <row r="625">
      <c r="I625" s="2570"/>
      <c r="J625" s="2599"/>
      <c r="K625" s="195"/>
      <c r="L625" s="195"/>
    </row>
    <row r="626">
      <c r="I626" s="2570"/>
      <c r="J626" s="2599"/>
      <c r="K626" s="195"/>
      <c r="L626" s="195"/>
    </row>
    <row r="627">
      <c r="I627" s="2570"/>
      <c r="J627" s="2599"/>
      <c r="K627" s="195"/>
      <c r="L627" s="195"/>
    </row>
    <row r="628">
      <c r="I628" s="2570"/>
      <c r="J628" s="2599"/>
      <c r="K628" s="195"/>
      <c r="L628" s="195"/>
    </row>
    <row r="629">
      <c r="I629" s="2570"/>
      <c r="J629" s="2599"/>
      <c r="K629" s="195"/>
      <c r="L629" s="195"/>
    </row>
    <row r="630">
      <c r="I630" s="2570"/>
      <c r="J630" s="2599"/>
      <c r="K630" s="195"/>
      <c r="L630" s="195"/>
    </row>
    <row r="631">
      <c r="I631" s="2570"/>
      <c r="J631" s="2599"/>
      <c r="K631" s="195"/>
      <c r="L631" s="195"/>
    </row>
    <row r="632">
      <c r="I632" s="2570"/>
      <c r="J632" s="2599"/>
      <c r="K632" s="195"/>
      <c r="L632" s="195"/>
    </row>
    <row r="633">
      <c r="I633" s="2570"/>
      <c r="J633" s="2599"/>
      <c r="K633" s="195"/>
      <c r="L633" s="195"/>
    </row>
    <row r="634">
      <c r="I634" s="2570"/>
      <c r="J634" s="2599"/>
      <c r="K634" s="195"/>
      <c r="L634" s="195"/>
    </row>
    <row r="635">
      <c r="I635" s="2570"/>
      <c r="J635" s="2599"/>
      <c r="K635" s="195"/>
      <c r="L635" s="195"/>
    </row>
    <row r="636">
      <c r="I636" s="2570"/>
      <c r="J636" s="2599"/>
      <c r="K636" s="195"/>
      <c r="L636" s="195"/>
    </row>
    <row r="637">
      <c r="I637" s="2570"/>
      <c r="J637" s="2599"/>
      <c r="K637" s="195"/>
      <c r="L637" s="195"/>
    </row>
    <row r="638">
      <c r="I638" s="2570"/>
      <c r="J638" s="2599"/>
      <c r="K638" s="195"/>
      <c r="L638" s="195"/>
    </row>
    <row r="639">
      <c r="I639" s="2570"/>
      <c r="J639" s="2599"/>
      <c r="K639" s="195"/>
      <c r="L639" s="195"/>
    </row>
    <row r="640">
      <c r="I640" s="2570"/>
      <c r="J640" s="2599"/>
      <c r="K640" s="195"/>
      <c r="L640" s="195"/>
    </row>
    <row r="641">
      <c r="I641" s="2570"/>
      <c r="J641" s="2599"/>
      <c r="K641" s="195"/>
      <c r="L641" s="195"/>
    </row>
    <row r="642">
      <c r="I642" s="2570"/>
      <c r="J642" s="2599"/>
      <c r="K642" s="195"/>
      <c r="L642" s="195"/>
    </row>
    <row r="643">
      <c r="I643" s="2570"/>
      <c r="J643" s="2599"/>
      <c r="K643" s="195"/>
      <c r="L643" s="195"/>
    </row>
    <row r="644">
      <c r="I644" s="2570"/>
      <c r="J644" s="2599"/>
      <c r="K644" s="195"/>
      <c r="L644" s="195"/>
    </row>
    <row r="645">
      <c r="I645" s="2570"/>
      <c r="J645" s="2599"/>
      <c r="K645" s="195"/>
      <c r="L645" s="195"/>
    </row>
    <row r="646">
      <c r="I646" s="2570"/>
      <c r="J646" s="2599"/>
      <c r="K646" s="195"/>
      <c r="L646" s="195"/>
    </row>
    <row r="647">
      <c r="I647" s="2570"/>
      <c r="J647" s="2599"/>
      <c r="K647" s="195"/>
      <c r="L647" s="195"/>
    </row>
    <row r="648">
      <c r="I648" s="2570"/>
      <c r="J648" s="2599"/>
      <c r="K648" s="195"/>
      <c r="L648" s="195"/>
    </row>
    <row r="649">
      <c r="I649" s="2570"/>
      <c r="J649" s="2599"/>
      <c r="K649" s="195"/>
      <c r="L649" s="195"/>
    </row>
    <row r="650">
      <c r="I650" s="2570"/>
      <c r="J650" s="2599"/>
      <c r="K650" s="195"/>
      <c r="L650" s="195"/>
    </row>
    <row r="651">
      <c r="I651" s="2570"/>
      <c r="J651" s="2599"/>
      <c r="K651" s="195"/>
      <c r="L651" s="195"/>
    </row>
    <row r="652">
      <c r="I652" s="2570"/>
      <c r="J652" s="2599"/>
      <c r="K652" s="195"/>
      <c r="L652" s="195"/>
    </row>
    <row r="653">
      <c r="I653" s="2570"/>
      <c r="J653" s="2599"/>
      <c r="K653" s="195"/>
      <c r="L653" s="195"/>
    </row>
    <row r="654">
      <c r="I654" s="2570"/>
      <c r="J654" s="2599"/>
      <c r="K654" s="195"/>
      <c r="L654" s="195"/>
    </row>
    <row r="655">
      <c r="I655" s="2570"/>
      <c r="J655" s="2599"/>
      <c r="K655" s="195"/>
      <c r="L655" s="195"/>
    </row>
    <row r="656">
      <c r="I656" s="2570"/>
      <c r="J656" s="2599"/>
      <c r="K656" s="195"/>
      <c r="L656" s="195"/>
    </row>
    <row r="657">
      <c r="I657" s="2570"/>
      <c r="J657" s="2599"/>
      <c r="K657" s="195"/>
      <c r="L657" s="195"/>
    </row>
    <row r="658">
      <c r="I658" s="2570"/>
      <c r="J658" s="2599"/>
      <c r="K658" s="195"/>
      <c r="L658" s="195"/>
    </row>
    <row r="659">
      <c r="I659" s="2570"/>
      <c r="J659" s="2599"/>
      <c r="K659" s="195"/>
      <c r="L659" s="195"/>
    </row>
    <row r="660">
      <c r="I660" s="2570"/>
      <c r="J660" s="2599"/>
      <c r="K660" s="195"/>
      <c r="L660" s="195"/>
    </row>
    <row r="661">
      <c r="I661" s="2570"/>
      <c r="J661" s="2599"/>
      <c r="K661" s="195"/>
      <c r="L661" s="195"/>
    </row>
    <row r="662">
      <c r="I662" s="2570"/>
      <c r="J662" s="2599"/>
      <c r="K662" s="195"/>
      <c r="L662" s="195"/>
    </row>
    <row r="663">
      <c r="I663" s="2570"/>
      <c r="J663" s="2599"/>
      <c r="K663" s="195"/>
      <c r="L663" s="195"/>
    </row>
    <row r="664">
      <c r="I664" s="2570"/>
      <c r="J664" s="2599"/>
      <c r="K664" s="195"/>
      <c r="L664" s="195"/>
    </row>
    <row r="665">
      <c r="I665" s="2570"/>
      <c r="J665" s="2599"/>
      <c r="K665" s="195"/>
      <c r="L665" s="195"/>
    </row>
    <row r="666">
      <c r="I666" s="2570"/>
      <c r="J666" s="2599"/>
      <c r="K666" s="195"/>
      <c r="L666" s="195"/>
    </row>
    <row r="667">
      <c r="I667" s="2570"/>
      <c r="J667" s="2599"/>
      <c r="K667" s="195"/>
      <c r="L667" s="195"/>
    </row>
    <row r="668">
      <c r="I668" s="2570"/>
      <c r="J668" s="2599"/>
      <c r="K668" s="195"/>
      <c r="L668" s="195"/>
    </row>
    <row r="669">
      <c r="I669" s="2570"/>
      <c r="J669" s="2599"/>
      <c r="K669" s="195"/>
      <c r="L669" s="195"/>
    </row>
    <row r="670">
      <c r="I670" s="2570"/>
      <c r="J670" s="2599"/>
      <c r="K670" s="195"/>
      <c r="L670" s="195"/>
    </row>
    <row r="671">
      <c r="I671" s="2570"/>
      <c r="J671" s="2599"/>
      <c r="K671" s="195"/>
      <c r="L671" s="195"/>
    </row>
    <row r="672">
      <c r="I672" s="2570"/>
      <c r="J672" s="2599"/>
      <c r="K672" s="195"/>
      <c r="L672" s="195"/>
    </row>
    <row r="673">
      <c r="I673" s="2570"/>
      <c r="J673" s="2599"/>
      <c r="K673" s="195"/>
      <c r="L673" s="195"/>
    </row>
    <row r="674">
      <c r="I674" s="2570"/>
      <c r="J674" s="2599"/>
      <c r="K674" s="195"/>
      <c r="L674" s="195"/>
    </row>
    <row r="675">
      <c r="I675" s="2570"/>
      <c r="J675" s="2599"/>
      <c r="K675" s="195"/>
      <c r="L675" s="195"/>
    </row>
    <row r="676">
      <c r="I676" s="2570"/>
      <c r="J676" s="2599"/>
      <c r="K676" s="195"/>
      <c r="L676" s="195"/>
    </row>
    <row r="677">
      <c r="I677" s="2570"/>
      <c r="J677" s="2599"/>
      <c r="K677" s="195"/>
      <c r="L677" s="195"/>
    </row>
    <row r="678">
      <c r="I678" s="2570"/>
      <c r="J678" s="2599"/>
      <c r="K678" s="195"/>
      <c r="L678" s="195"/>
    </row>
    <row r="679">
      <c r="I679" s="2570"/>
      <c r="J679" s="2599"/>
      <c r="K679" s="195"/>
      <c r="L679" s="195"/>
    </row>
    <row r="680">
      <c r="I680" s="2570"/>
      <c r="J680" s="2599"/>
      <c r="K680" s="195"/>
      <c r="L680" s="195"/>
    </row>
    <row r="681">
      <c r="I681" s="2570"/>
      <c r="J681" s="2599"/>
      <c r="K681" s="195"/>
      <c r="L681" s="195"/>
    </row>
    <row r="682">
      <c r="I682" s="2570"/>
      <c r="J682" s="2599"/>
      <c r="K682" s="195"/>
      <c r="L682" s="195"/>
    </row>
    <row r="683">
      <c r="I683" s="2570"/>
      <c r="J683" s="2599"/>
      <c r="K683" s="195"/>
      <c r="L683" s="195"/>
    </row>
    <row r="684">
      <c r="I684" s="2570"/>
      <c r="J684" s="2599"/>
      <c r="K684" s="195"/>
      <c r="L684" s="195"/>
    </row>
    <row r="685">
      <c r="I685" s="2570"/>
      <c r="J685" s="2599"/>
      <c r="K685" s="195"/>
      <c r="L685" s="195"/>
    </row>
    <row r="686">
      <c r="I686" s="2570"/>
      <c r="J686" s="2599"/>
      <c r="K686" s="195"/>
      <c r="L686" s="195"/>
    </row>
    <row r="687">
      <c r="I687" s="2570"/>
      <c r="J687" s="2599"/>
      <c r="K687" s="195"/>
      <c r="L687" s="195"/>
    </row>
    <row r="688">
      <c r="I688" s="2570"/>
      <c r="J688" s="2599"/>
      <c r="K688" s="195"/>
      <c r="L688" s="195"/>
    </row>
    <row r="689">
      <c r="I689" s="2570"/>
      <c r="J689" s="2599"/>
      <c r="K689" s="195"/>
      <c r="L689" s="195"/>
    </row>
    <row r="690">
      <c r="I690" s="2570"/>
      <c r="J690" s="2599"/>
      <c r="K690" s="195"/>
      <c r="L690" s="195"/>
    </row>
    <row r="691">
      <c r="I691" s="2570"/>
      <c r="J691" s="2599"/>
      <c r="K691" s="195"/>
      <c r="L691" s="195"/>
    </row>
    <row r="692">
      <c r="I692" s="2570"/>
      <c r="J692" s="2599"/>
      <c r="K692" s="195"/>
      <c r="L692" s="195"/>
    </row>
    <row r="693">
      <c r="I693" s="2570"/>
      <c r="J693" s="2599"/>
      <c r="K693" s="195"/>
      <c r="L693" s="195"/>
    </row>
    <row r="694">
      <c r="I694" s="2570"/>
      <c r="J694" s="2599"/>
      <c r="K694" s="195"/>
      <c r="L694" s="195"/>
    </row>
    <row r="695">
      <c r="I695" s="2570"/>
      <c r="J695" s="2599"/>
      <c r="K695" s="195"/>
      <c r="L695" s="195"/>
    </row>
    <row r="696">
      <c r="I696" s="2570"/>
      <c r="J696" s="2599"/>
      <c r="K696" s="195"/>
      <c r="L696" s="195"/>
    </row>
    <row r="697">
      <c r="I697" s="2570"/>
      <c r="J697" s="2599"/>
      <c r="K697" s="195"/>
      <c r="L697" s="195"/>
    </row>
    <row r="698">
      <c r="I698" s="2570"/>
      <c r="J698" s="2599"/>
      <c r="K698" s="195"/>
      <c r="L698" s="195"/>
    </row>
    <row r="699">
      <c r="I699" s="2570"/>
      <c r="J699" s="2599"/>
      <c r="K699" s="195"/>
      <c r="L699" s="195"/>
    </row>
    <row r="700">
      <c r="I700" s="2570"/>
      <c r="J700" s="2599"/>
      <c r="K700" s="195"/>
      <c r="L700" s="195"/>
    </row>
    <row r="701">
      <c r="I701" s="2570"/>
      <c r="J701" s="2599"/>
      <c r="K701" s="195"/>
      <c r="L701" s="195"/>
    </row>
    <row r="702">
      <c r="I702" s="2570"/>
      <c r="J702" s="2599"/>
      <c r="K702" s="195"/>
      <c r="L702" s="195"/>
    </row>
    <row r="703">
      <c r="I703" s="2570"/>
      <c r="J703" s="2599"/>
      <c r="K703" s="195"/>
      <c r="L703" s="195"/>
    </row>
    <row r="704">
      <c r="I704" s="2570"/>
      <c r="J704" s="2599"/>
      <c r="K704" s="195"/>
      <c r="L704" s="195"/>
    </row>
    <row r="705">
      <c r="I705" s="2570"/>
      <c r="J705" s="2599"/>
      <c r="K705" s="195"/>
      <c r="L705" s="195"/>
    </row>
    <row r="706">
      <c r="I706" s="2570"/>
      <c r="J706" s="2599"/>
      <c r="K706" s="195"/>
      <c r="L706" s="195"/>
    </row>
    <row r="707">
      <c r="I707" s="2570"/>
      <c r="J707" s="2599"/>
      <c r="K707" s="195"/>
      <c r="L707" s="195"/>
    </row>
    <row r="708">
      <c r="I708" s="2570"/>
      <c r="J708" s="2599"/>
      <c r="K708" s="195"/>
      <c r="L708" s="195"/>
    </row>
    <row r="709">
      <c r="I709" s="2570"/>
      <c r="J709" s="2599"/>
      <c r="K709" s="195"/>
      <c r="L709" s="195"/>
    </row>
    <row r="710">
      <c r="I710" s="2570"/>
      <c r="J710" s="2599"/>
      <c r="K710" s="195"/>
      <c r="L710" s="195"/>
    </row>
    <row r="711">
      <c r="I711" s="2570"/>
      <c r="J711" s="2599"/>
      <c r="K711" s="195"/>
      <c r="L711" s="195"/>
    </row>
    <row r="712">
      <c r="I712" s="2570"/>
      <c r="J712" s="2599"/>
      <c r="K712" s="195"/>
      <c r="L712" s="195"/>
    </row>
    <row r="713">
      <c r="I713" s="2570"/>
      <c r="J713" s="2599"/>
      <c r="K713" s="195"/>
      <c r="L713" s="195"/>
    </row>
    <row r="714">
      <c r="I714" s="2570"/>
      <c r="J714" s="2599"/>
      <c r="K714" s="195"/>
      <c r="L714" s="195"/>
    </row>
    <row r="715">
      <c r="I715" s="2570"/>
      <c r="J715" s="2599"/>
      <c r="K715" s="195"/>
      <c r="L715" s="195"/>
    </row>
    <row r="716">
      <c r="I716" s="2570"/>
      <c r="J716" s="2599"/>
      <c r="K716" s="195"/>
      <c r="L716" s="195"/>
    </row>
    <row r="717">
      <c r="I717" s="2570"/>
      <c r="J717" s="2599"/>
      <c r="K717" s="195"/>
      <c r="L717" s="195"/>
    </row>
    <row r="718">
      <c r="I718" s="2570"/>
      <c r="J718" s="2599"/>
      <c r="K718" s="195"/>
      <c r="L718" s="195"/>
    </row>
    <row r="719">
      <c r="I719" s="2570"/>
      <c r="J719" s="2599"/>
      <c r="K719" s="195"/>
      <c r="L719" s="195"/>
    </row>
    <row r="720">
      <c r="I720" s="2570"/>
      <c r="J720" s="2599"/>
      <c r="K720" s="195"/>
      <c r="L720" s="195"/>
    </row>
    <row r="721">
      <c r="I721" s="2570"/>
      <c r="J721" s="2599"/>
      <c r="K721" s="195"/>
      <c r="L721" s="195"/>
    </row>
    <row r="722">
      <c r="I722" s="2570"/>
      <c r="J722" s="2599"/>
      <c r="K722" s="195"/>
      <c r="L722" s="195"/>
    </row>
    <row r="723">
      <c r="I723" s="2570"/>
      <c r="J723" s="2599"/>
      <c r="K723" s="195"/>
      <c r="L723" s="195"/>
    </row>
    <row r="724">
      <c r="I724" s="2570"/>
      <c r="J724" s="2599"/>
      <c r="K724" s="195"/>
      <c r="L724" s="195"/>
    </row>
    <row r="725">
      <c r="I725" s="2570"/>
      <c r="J725" s="2599"/>
      <c r="K725" s="195"/>
      <c r="L725" s="195"/>
    </row>
    <row r="726">
      <c r="I726" s="2570"/>
      <c r="J726" s="2599"/>
      <c r="K726" s="195"/>
      <c r="L726" s="195"/>
    </row>
    <row r="727">
      <c r="I727" s="2570"/>
      <c r="J727" s="2599"/>
      <c r="K727" s="195"/>
      <c r="L727" s="195"/>
    </row>
    <row r="728">
      <c r="I728" s="2570"/>
      <c r="J728" s="2599"/>
      <c r="K728" s="195"/>
      <c r="L728" s="195"/>
    </row>
    <row r="729">
      <c r="I729" s="2570"/>
      <c r="J729" s="2599"/>
      <c r="K729" s="195"/>
      <c r="L729" s="195"/>
    </row>
    <row r="730">
      <c r="I730" s="2570"/>
      <c r="J730" s="2599"/>
      <c r="K730" s="195"/>
      <c r="L730" s="195"/>
    </row>
    <row r="731">
      <c r="I731" s="2570"/>
      <c r="J731" s="2599"/>
      <c r="K731" s="195"/>
      <c r="L731" s="195"/>
    </row>
    <row r="732">
      <c r="I732" s="2570"/>
      <c r="J732" s="2599"/>
      <c r="K732" s="195"/>
      <c r="L732" s="195"/>
    </row>
    <row r="733">
      <c r="I733" s="2570"/>
      <c r="J733" s="2599"/>
      <c r="K733" s="195"/>
      <c r="L733" s="195"/>
    </row>
    <row r="734">
      <c r="I734" s="2570"/>
      <c r="J734" s="2599"/>
      <c r="K734" s="195"/>
      <c r="L734" s="195"/>
    </row>
    <row r="735">
      <c r="I735" s="2570"/>
      <c r="J735" s="2599"/>
      <c r="K735" s="195"/>
      <c r="L735" s="195"/>
    </row>
    <row r="736">
      <c r="I736" s="2570"/>
      <c r="J736" s="2599"/>
      <c r="K736" s="195"/>
      <c r="L736" s="195"/>
    </row>
    <row r="737">
      <c r="I737" s="2570"/>
      <c r="J737" s="2599"/>
      <c r="K737" s="195"/>
      <c r="L737" s="195"/>
    </row>
    <row r="738">
      <c r="I738" s="2570"/>
      <c r="J738" s="2599"/>
      <c r="K738" s="195"/>
      <c r="L738" s="195"/>
    </row>
    <row r="739">
      <c r="I739" s="2570"/>
      <c r="J739" s="2599"/>
      <c r="K739" s="195"/>
      <c r="L739" s="195"/>
    </row>
    <row r="740">
      <c r="I740" s="2570"/>
      <c r="J740" s="2599"/>
      <c r="K740" s="195"/>
      <c r="L740" s="195"/>
    </row>
    <row r="741">
      <c r="I741" s="2570"/>
      <c r="J741" s="2599"/>
      <c r="K741" s="195"/>
      <c r="L741" s="195"/>
    </row>
    <row r="742">
      <c r="I742" s="2570"/>
      <c r="J742" s="2599"/>
      <c r="K742" s="195"/>
      <c r="L742" s="195"/>
    </row>
    <row r="743">
      <c r="I743" s="2570"/>
      <c r="J743" s="2599"/>
      <c r="K743" s="195"/>
      <c r="L743" s="195"/>
    </row>
    <row r="744">
      <c r="I744" s="2570"/>
      <c r="J744" s="2599"/>
      <c r="K744" s="195"/>
      <c r="L744" s="195"/>
    </row>
    <row r="745">
      <c r="I745" s="2570"/>
      <c r="J745" s="2599"/>
      <c r="K745" s="195"/>
      <c r="L745" s="195"/>
    </row>
    <row r="746">
      <c r="I746" s="2570"/>
      <c r="J746" s="2599"/>
      <c r="K746" s="195"/>
      <c r="L746" s="195"/>
    </row>
    <row r="747">
      <c r="I747" s="2570"/>
      <c r="J747" s="2599"/>
      <c r="K747" s="195"/>
      <c r="L747" s="195"/>
    </row>
    <row r="748">
      <c r="I748" s="2570"/>
      <c r="J748" s="2599"/>
      <c r="K748" s="195"/>
      <c r="L748" s="195"/>
    </row>
    <row r="749">
      <c r="I749" s="2570"/>
      <c r="J749" s="2599"/>
      <c r="K749" s="195"/>
      <c r="L749" s="195"/>
    </row>
    <row r="750">
      <c r="I750" s="2570"/>
      <c r="J750" s="2599"/>
      <c r="K750" s="195"/>
      <c r="L750" s="195"/>
    </row>
    <row r="751">
      <c r="I751" s="2570"/>
      <c r="J751" s="2599"/>
      <c r="K751" s="195"/>
      <c r="L751" s="195"/>
    </row>
    <row r="752">
      <c r="I752" s="2570"/>
      <c r="J752" s="2599"/>
      <c r="K752" s="195"/>
      <c r="L752" s="195"/>
    </row>
    <row r="753">
      <c r="I753" s="2570"/>
      <c r="J753" s="2599"/>
      <c r="K753" s="195"/>
      <c r="L753" s="195"/>
    </row>
    <row r="754">
      <c r="I754" s="2570"/>
      <c r="J754" s="2599"/>
      <c r="K754" s="195"/>
      <c r="L754" s="195"/>
    </row>
    <row r="755">
      <c r="I755" s="2570"/>
      <c r="J755" s="2599"/>
      <c r="K755" s="195"/>
      <c r="L755" s="195"/>
    </row>
    <row r="756">
      <c r="I756" s="2570"/>
      <c r="J756" s="2599"/>
      <c r="K756" s="195"/>
      <c r="L756" s="195"/>
    </row>
    <row r="757">
      <c r="I757" s="2570"/>
      <c r="J757" s="2599"/>
      <c r="K757" s="195"/>
      <c r="L757" s="195"/>
    </row>
    <row r="758">
      <c r="I758" s="2570"/>
      <c r="J758" s="2599"/>
      <c r="K758" s="195"/>
      <c r="L758" s="195"/>
    </row>
    <row r="759">
      <c r="I759" s="2570"/>
      <c r="J759" s="2599"/>
      <c r="K759" s="195"/>
      <c r="L759" s="195"/>
    </row>
    <row r="760">
      <c r="I760" s="2570"/>
      <c r="J760" s="2599"/>
      <c r="K760" s="195"/>
      <c r="L760" s="195"/>
    </row>
    <row r="761">
      <c r="I761" s="2570"/>
      <c r="J761" s="2599"/>
      <c r="K761" s="195"/>
      <c r="L761" s="195"/>
    </row>
    <row r="762">
      <c r="I762" s="2570"/>
      <c r="J762" s="2599"/>
      <c r="K762" s="195"/>
      <c r="L762" s="195"/>
    </row>
    <row r="763">
      <c r="I763" s="2570"/>
      <c r="J763" s="2599"/>
      <c r="K763" s="195"/>
      <c r="L763" s="195"/>
    </row>
    <row r="764">
      <c r="I764" s="2570"/>
      <c r="J764" s="2599"/>
      <c r="K764" s="195"/>
      <c r="L764" s="195"/>
    </row>
    <row r="765">
      <c r="I765" s="2570"/>
      <c r="J765" s="2599"/>
      <c r="K765" s="195"/>
      <c r="L765" s="195"/>
    </row>
    <row r="766">
      <c r="I766" s="2570"/>
      <c r="J766" s="2599"/>
      <c r="K766" s="195"/>
      <c r="L766" s="195"/>
    </row>
    <row r="767">
      <c r="I767" s="2570"/>
      <c r="J767" s="2599"/>
      <c r="K767" s="195"/>
      <c r="L767" s="195"/>
    </row>
    <row r="768">
      <c r="I768" s="2570"/>
      <c r="J768" s="2599"/>
      <c r="K768" s="195"/>
      <c r="L768" s="195"/>
    </row>
    <row r="769">
      <c r="I769" s="2570"/>
      <c r="J769" s="2599"/>
      <c r="K769" s="195"/>
      <c r="L769" s="195"/>
    </row>
    <row r="770">
      <c r="I770" s="2570"/>
      <c r="J770" s="2599"/>
      <c r="K770" s="195"/>
      <c r="L770" s="195"/>
    </row>
    <row r="771">
      <c r="I771" s="2570"/>
      <c r="J771" s="2599"/>
      <c r="K771" s="195"/>
      <c r="L771" s="195"/>
    </row>
    <row r="772">
      <c r="I772" s="2570"/>
      <c r="J772" s="2599"/>
      <c r="K772" s="195"/>
      <c r="L772" s="195"/>
    </row>
    <row r="773">
      <c r="I773" s="2570"/>
      <c r="J773" s="2599"/>
      <c r="K773" s="195"/>
      <c r="L773" s="195"/>
    </row>
    <row r="774">
      <c r="I774" s="2570"/>
      <c r="J774" s="2599"/>
      <c r="K774" s="195"/>
      <c r="L774" s="195"/>
    </row>
    <row r="775">
      <c r="I775" s="2570"/>
      <c r="J775" s="2599"/>
      <c r="K775" s="195"/>
      <c r="L775" s="195"/>
    </row>
    <row r="776">
      <c r="I776" s="2570"/>
      <c r="J776" s="2599"/>
      <c r="K776" s="195"/>
      <c r="L776" s="195"/>
    </row>
    <row r="777">
      <c r="I777" s="2570"/>
      <c r="J777" s="2599"/>
      <c r="K777" s="195"/>
      <c r="L777" s="195"/>
    </row>
    <row r="778">
      <c r="I778" s="2570"/>
      <c r="J778" s="2599"/>
      <c r="K778" s="195"/>
      <c r="L778" s="195"/>
    </row>
    <row r="779">
      <c r="I779" s="2570"/>
      <c r="J779" s="2599"/>
      <c r="K779" s="195"/>
      <c r="L779" s="195"/>
    </row>
    <row r="780">
      <c r="I780" s="2570"/>
      <c r="J780" s="2599"/>
      <c r="K780" s="195"/>
      <c r="L780" s="195"/>
    </row>
    <row r="781">
      <c r="I781" s="2570"/>
      <c r="J781" s="2599"/>
      <c r="K781" s="195"/>
      <c r="L781" s="195"/>
    </row>
    <row r="782">
      <c r="I782" s="2570"/>
      <c r="J782" s="2599"/>
      <c r="K782" s="195"/>
      <c r="L782" s="195"/>
    </row>
    <row r="783">
      <c r="I783" s="2570"/>
      <c r="J783" s="2599"/>
      <c r="K783" s="195"/>
      <c r="L783" s="195"/>
    </row>
    <row r="784">
      <c r="I784" s="2570"/>
      <c r="J784" s="2599"/>
      <c r="K784" s="195"/>
      <c r="L784" s="195"/>
    </row>
    <row r="785">
      <c r="I785" s="2570"/>
      <c r="J785" s="2599"/>
      <c r="K785" s="195"/>
      <c r="L785" s="195"/>
    </row>
    <row r="786">
      <c r="I786" s="2570"/>
      <c r="J786" s="2599"/>
      <c r="K786" s="195"/>
      <c r="L786" s="195"/>
    </row>
    <row r="787">
      <c r="I787" s="2570"/>
      <c r="J787" s="2599"/>
      <c r="K787" s="195"/>
      <c r="L787" s="195"/>
    </row>
    <row r="788">
      <c r="I788" s="2570"/>
      <c r="J788" s="2599"/>
      <c r="K788" s="195"/>
      <c r="L788" s="195"/>
    </row>
    <row r="789">
      <c r="I789" s="2570"/>
      <c r="J789" s="2599"/>
      <c r="K789" s="195"/>
      <c r="L789" s="195"/>
    </row>
    <row r="790">
      <c r="I790" s="2570"/>
      <c r="J790" s="2599"/>
      <c r="K790" s="195"/>
      <c r="L790" s="195"/>
    </row>
    <row r="791">
      <c r="I791" s="2570"/>
      <c r="J791" s="2599"/>
      <c r="K791" s="195"/>
      <c r="L791" s="195"/>
    </row>
    <row r="792">
      <c r="I792" s="2570"/>
      <c r="J792" s="2599"/>
      <c r="K792" s="195"/>
      <c r="L792" s="195"/>
    </row>
    <row r="793">
      <c r="I793" s="2570"/>
      <c r="J793" s="2599"/>
      <c r="K793" s="195"/>
      <c r="L793" s="195"/>
    </row>
    <row r="794">
      <c r="I794" s="2570"/>
      <c r="J794" s="2599"/>
      <c r="K794" s="195"/>
      <c r="L794" s="195"/>
    </row>
    <row r="795">
      <c r="I795" s="2570"/>
      <c r="J795" s="2599"/>
      <c r="K795" s="195"/>
      <c r="L795" s="195"/>
    </row>
    <row r="796">
      <c r="I796" s="2570"/>
      <c r="J796" s="2599"/>
      <c r="K796" s="195"/>
      <c r="L796" s="195"/>
    </row>
    <row r="797">
      <c r="I797" s="2570"/>
      <c r="J797" s="2599"/>
      <c r="K797" s="195"/>
      <c r="L797" s="195"/>
    </row>
    <row r="798">
      <c r="I798" s="2570"/>
      <c r="J798" s="2599"/>
      <c r="K798" s="195"/>
      <c r="L798" s="195"/>
    </row>
    <row r="799">
      <c r="I799" s="2570"/>
      <c r="J799" s="2599"/>
      <c r="K799" s="195"/>
      <c r="L799" s="195"/>
    </row>
    <row r="800">
      <c r="I800" s="2570"/>
      <c r="J800" s="2599"/>
      <c r="K800" s="195"/>
      <c r="L800" s="195"/>
    </row>
    <row r="801">
      <c r="I801" s="2570"/>
      <c r="J801" s="2599"/>
      <c r="K801" s="195"/>
      <c r="L801" s="195"/>
    </row>
    <row r="802">
      <c r="I802" s="2570"/>
      <c r="J802" s="2599"/>
      <c r="K802" s="195"/>
      <c r="L802" s="195"/>
    </row>
    <row r="803">
      <c r="I803" s="2570"/>
      <c r="J803" s="2599"/>
      <c r="K803" s="195"/>
      <c r="L803" s="195"/>
    </row>
    <row r="804">
      <c r="I804" s="2570"/>
      <c r="J804" s="2599"/>
      <c r="K804" s="195"/>
      <c r="L804" s="195"/>
    </row>
    <row r="805">
      <c r="I805" s="2570"/>
      <c r="J805" s="2599"/>
      <c r="K805" s="195"/>
      <c r="L805" s="195"/>
    </row>
    <row r="806">
      <c r="I806" s="2570"/>
      <c r="J806" s="2599"/>
      <c r="K806" s="195"/>
      <c r="L806" s="195"/>
    </row>
    <row r="807">
      <c r="I807" s="2570"/>
      <c r="J807" s="2599"/>
      <c r="K807" s="195"/>
      <c r="L807" s="195"/>
    </row>
    <row r="808">
      <c r="I808" s="2570"/>
      <c r="J808" s="2599"/>
      <c r="K808" s="195"/>
      <c r="L808" s="195"/>
    </row>
    <row r="809">
      <c r="I809" s="2570"/>
      <c r="J809" s="2599"/>
      <c r="K809" s="195"/>
      <c r="L809" s="195"/>
    </row>
    <row r="810">
      <c r="I810" s="2570"/>
      <c r="J810" s="2599"/>
      <c r="K810" s="195"/>
      <c r="L810" s="195"/>
    </row>
    <row r="811">
      <c r="I811" s="2570"/>
      <c r="J811" s="2599"/>
      <c r="K811" s="195"/>
      <c r="L811" s="195"/>
    </row>
    <row r="812">
      <c r="I812" s="2570"/>
      <c r="J812" s="2599"/>
      <c r="K812" s="195"/>
      <c r="L812" s="195"/>
    </row>
    <row r="813">
      <c r="I813" s="2570"/>
      <c r="J813" s="2599"/>
      <c r="K813" s="195"/>
      <c r="L813" s="195"/>
    </row>
    <row r="814">
      <c r="I814" s="2570"/>
      <c r="J814" s="2599"/>
      <c r="K814" s="195"/>
      <c r="L814" s="195"/>
    </row>
    <row r="815">
      <c r="I815" s="2570"/>
      <c r="J815" s="2599"/>
      <c r="K815" s="195"/>
      <c r="L815" s="195"/>
    </row>
    <row r="816">
      <c r="I816" s="2570"/>
      <c r="J816" s="2599"/>
      <c r="K816" s="195"/>
      <c r="L816" s="195"/>
    </row>
    <row r="817">
      <c r="I817" s="2570"/>
      <c r="J817" s="2599"/>
      <c r="K817" s="195"/>
      <c r="L817" s="195"/>
    </row>
    <row r="818">
      <c r="I818" s="2570"/>
      <c r="J818" s="2599"/>
      <c r="K818" s="195"/>
      <c r="L818" s="195"/>
    </row>
    <row r="819">
      <c r="I819" s="2570"/>
      <c r="J819" s="2599"/>
      <c r="K819" s="195"/>
      <c r="L819" s="195"/>
    </row>
    <row r="820">
      <c r="I820" s="2570"/>
      <c r="J820" s="2599"/>
      <c r="K820" s="195"/>
      <c r="L820" s="195"/>
    </row>
    <row r="821">
      <c r="I821" s="2570"/>
      <c r="J821" s="2599"/>
      <c r="K821" s="195"/>
      <c r="L821" s="195"/>
    </row>
    <row r="822">
      <c r="I822" s="2570"/>
      <c r="J822" s="2599"/>
      <c r="K822" s="195"/>
      <c r="L822" s="195"/>
    </row>
    <row r="823">
      <c r="I823" s="2570"/>
      <c r="J823" s="2599"/>
      <c r="K823" s="195"/>
      <c r="L823" s="195"/>
    </row>
    <row r="824">
      <c r="I824" s="2570"/>
      <c r="J824" s="2599"/>
      <c r="K824" s="195"/>
      <c r="L824" s="195"/>
    </row>
    <row r="825">
      <c r="I825" s="2570"/>
      <c r="J825" s="2599"/>
      <c r="K825" s="195"/>
      <c r="L825" s="195"/>
    </row>
    <row r="826">
      <c r="I826" s="2570"/>
      <c r="J826" s="2599"/>
      <c r="K826" s="195"/>
      <c r="L826" s="195"/>
    </row>
    <row r="827">
      <c r="I827" s="2570"/>
      <c r="J827" s="2599"/>
      <c r="K827" s="195"/>
      <c r="L827" s="195"/>
    </row>
    <row r="828">
      <c r="I828" s="2570"/>
      <c r="J828" s="2599"/>
      <c r="K828" s="195"/>
      <c r="L828" s="195"/>
    </row>
    <row r="829">
      <c r="I829" s="2570"/>
      <c r="J829" s="2599"/>
      <c r="K829" s="195"/>
      <c r="L829" s="195"/>
    </row>
    <row r="830">
      <c r="I830" s="2570"/>
      <c r="J830" s="2599"/>
      <c r="K830" s="195"/>
      <c r="L830" s="195"/>
    </row>
    <row r="831">
      <c r="I831" s="2570"/>
      <c r="J831" s="2599"/>
      <c r="K831" s="195"/>
      <c r="L831" s="195"/>
    </row>
    <row r="832">
      <c r="I832" s="2570"/>
      <c r="J832" s="2599"/>
      <c r="K832" s="195"/>
      <c r="L832" s="195"/>
    </row>
    <row r="833">
      <c r="I833" s="2570"/>
      <c r="J833" s="2599"/>
      <c r="K833" s="195"/>
      <c r="L833" s="195"/>
    </row>
    <row r="834">
      <c r="I834" s="2570"/>
      <c r="J834" s="2599"/>
      <c r="K834" s="195"/>
      <c r="L834" s="195"/>
    </row>
    <row r="835">
      <c r="I835" s="2570"/>
      <c r="J835" s="2599"/>
      <c r="K835" s="195"/>
      <c r="L835" s="195"/>
    </row>
    <row r="836">
      <c r="I836" s="2570"/>
      <c r="J836" s="2599"/>
      <c r="K836" s="195"/>
      <c r="L836" s="195"/>
    </row>
    <row r="837">
      <c r="I837" s="2570"/>
      <c r="J837" s="2599"/>
      <c r="K837" s="195"/>
      <c r="L837" s="195"/>
    </row>
    <row r="838">
      <c r="I838" s="2570"/>
      <c r="J838" s="2599"/>
      <c r="K838" s="195"/>
      <c r="L838" s="195"/>
    </row>
    <row r="839">
      <c r="I839" s="2570"/>
      <c r="J839" s="2599"/>
      <c r="K839" s="195"/>
      <c r="L839" s="195"/>
    </row>
    <row r="840">
      <c r="I840" s="2570"/>
      <c r="J840" s="2599"/>
      <c r="K840" s="195"/>
      <c r="L840" s="195"/>
    </row>
    <row r="841">
      <c r="I841" s="2570"/>
      <c r="J841" s="2599"/>
      <c r="K841" s="195"/>
      <c r="L841" s="195"/>
    </row>
    <row r="842">
      <c r="I842" s="2570"/>
      <c r="J842" s="2599"/>
      <c r="K842" s="195"/>
      <c r="L842" s="195"/>
    </row>
    <row r="843">
      <c r="I843" s="2570"/>
      <c r="J843" s="2599"/>
      <c r="K843" s="195"/>
      <c r="L843" s="195"/>
    </row>
    <row r="844">
      <c r="I844" s="2570"/>
      <c r="J844" s="2599"/>
      <c r="K844" s="195"/>
      <c r="L844" s="195"/>
    </row>
    <row r="845">
      <c r="I845" s="2570"/>
      <c r="J845" s="2599"/>
      <c r="K845" s="195"/>
      <c r="L845" s="195"/>
    </row>
    <row r="846">
      <c r="I846" s="2570"/>
      <c r="J846" s="2599"/>
      <c r="K846" s="195"/>
      <c r="L846" s="195"/>
    </row>
    <row r="847">
      <c r="I847" s="2570"/>
      <c r="J847" s="2599"/>
      <c r="K847" s="195"/>
      <c r="L847" s="195"/>
    </row>
    <row r="848">
      <c r="I848" s="2570"/>
      <c r="J848" s="2599"/>
      <c r="K848" s="195"/>
      <c r="L848" s="195"/>
    </row>
    <row r="849">
      <c r="I849" s="2570"/>
      <c r="J849" s="2599"/>
      <c r="K849" s="195"/>
      <c r="L849" s="195"/>
    </row>
    <row r="850">
      <c r="I850" s="2570"/>
      <c r="J850" s="2599"/>
      <c r="K850" s="195"/>
      <c r="L850" s="195"/>
    </row>
    <row r="851">
      <c r="I851" s="2570"/>
      <c r="J851" s="2599"/>
      <c r="K851" s="195"/>
      <c r="L851" s="195"/>
    </row>
    <row r="852">
      <c r="I852" s="2570"/>
      <c r="J852" s="2599"/>
      <c r="K852" s="195"/>
      <c r="L852" s="195"/>
    </row>
    <row r="853">
      <c r="I853" s="2570"/>
      <c r="J853" s="2599"/>
      <c r="K853" s="195"/>
      <c r="L853" s="195"/>
    </row>
    <row r="854">
      <c r="I854" s="2570"/>
      <c r="J854" s="2599"/>
      <c r="K854" s="195"/>
      <c r="L854" s="195"/>
    </row>
    <row r="855">
      <c r="I855" s="2570"/>
      <c r="J855" s="2599"/>
      <c r="K855" s="195"/>
      <c r="L855" s="195"/>
    </row>
    <row r="856">
      <c r="I856" s="2570"/>
      <c r="J856" s="2599"/>
      <c r="K856" s="195"/>
      <c r="L856" s="195"/>
    </row>
    <row r="857">
      <c r="I857" s="2570"/>
      <c r="J857" s="2599"/>
      <c r="K857" s="195"/>
      <c r="L857" s="195"/>
    </row>
    <row r="858">
      <c r="I858" s="2570"/>
      <c r="J858" s="2599"/>
      <c r="K858" s="195"/>
      <c r="L858" s="195"/>
    </row>
    <row r="859">
      <c r="I859" s="2570"/>
      <c r="J859" s="2599"/>
      <c r="K859" s="195"/>
      <c r="L859" s="195"/>
    </row>
    <row r="860">
      <c r="I860" s="2570"/>
      <c r="J860" s="2599"/>
      <c r="K860" s="195"/>
      <c r="L860" s="195"/>
    </row>
    <row r="861">
      <c r="I861" s="2570"/>
      <c r="J861" s="2599"/>
      <c r="K861" s="195"/>
      <c r="L861" s="195"/>
    </row>
    <row r="862">
      <c r="I862" s="2570"/>
      <c r="J862" s="2599"/>
      <c r="K862" s="195"/>
      <c r="L862" s="195"/>
    </row>
    <row r="863">
      <c r="I863" s="2570"/>
      <c r="J863" s="2599"/>
      <c r="K863" s="195"/>
      <c r="L863" s="195"/>
    </row>
    <row r="864">
      <c r="I864" s="2570"/>
      <c r="J864" s="2599"/>
      <c r="K864" s="195"/>
      <c r="L864" s="195"/>
    </row>
    <row r="865">
      <c r="I865" s="2570"/>
      <c r="J865" s="2599"/>
      <c r="K865" s="195"/>
      <c r="L865" s="195"/>
    </row>
    <row r="866">
      <c r="I866" s="2570"/>
      <c r="J866" s="2599"/>
      <c r="K866" s="195"/>
      <c r="L866" s="195"/>
    </row>
    <row r="867">
      <c r="I867" s="2570"/>
      <c r="J867" s="2599"/>
      <c r="K867" s="195"/>
      <c r="L867" s="195"/>
    </row>
    <row r="868">
      <c r="I868" s="2570"/>
      <c r="J868" s="2599"/>
      <c r="K868" s="195"/>
      <c r="L868" s="195"/>
    </row>
    <row r="869">
      <c r="I869" s="2570"/>
      <c r="J869" s="2599"/>
      <c r="K869" s="195"/>
      <c r="L869" s="195"/>
    </row>
    <row r="870">
      <c r="I870" s="2570"/>
      <c r="J870" s="2599"/>
      <c r="K870" s="195"/>
      <c r="L870" s="195"/>
    </row>
    <row r="871">
      <c r="I871" s="2570"/>
      <c r="J871" s="2599"/>
      <c r="K871" s="195"/>
      <c r="L871" s="195"/>
    </row>
    <row r="872">
      <c r="I872" s="2570"/>
      <c r="J872" s="2599"/>
      <c r="K872" s="195"/>
      <c r="L872" s="195"/>
    </row>
    <row r="873">
      <c r="I873" s="2570"/>
      <c r="J873" s="2599"/>
      <c r="K873" s="195"/>
      <c r="L873" s="195"/>
    </row>
    <row r="874">
      <c r="I874" s="2570"/>
      <c r="J874" s="2599"/>
      <c r="K874" s="195"/>
      <c r="L874" s="195"/>
    </row>
    <row r="875">
      <c r="I875" s="2570"/>
      <c r="J875" s="2599"/>
      <c r="K875" s="195"/>
      <c r="L875" s="195"/>
    </row>
    <row r="876">
      <c r="I876" s="2570"/>
      <c r="J876" s="2599"/>
      <c r="K876" s="195"/>
      <c r="L876" s="195"/>
    </row>
    <row r="877">
      <c r="I877" s="2570"/>
      <c r="J877" s="2599"/>
      <c r="K877" s="195"/>
      <c r="L877" s="195"/>
    </row>
    <row r="878">
      <c r="I878" s="2570"/>
      <c r="J878" s="2599"/>
      <c r="K878" s="195"/>
      <c r="L878" s="195"/>
    </row>
    <row r="879">
      <c r="I879" s="2570"/>
      <c r="J879" s="2599"/>
      <c r="K879" s="195"/>
      <c r="L879" s="195"/>
    </row>
    <row r="880">
      <c r="I880" s="2570"/>
      <c r="J880" s="2599"/>
      <c r="K880" s="195"/>
      <c r="L880" s="195"/>
    </row>
    <row r="881">
      <c r="I881" s="2570"/>
      <c r="J881" s="2599"/>
      <c r="K881" s="195"/>
      <c r="L881" s="195"/>
    </row>
    <row r="882">
      <c r="I882" s="2570"/>
      <c r="J882" s="2599"/>
      <c r="K882" s="195"/>
      <c r="L882" s="195"/>
    </row>
    <row r="883">
      <c r="I883" s="2570"/>
      <c r="J883" s="2599"/>
      <c r="K883" s="195"/>
      <c r="L883" s="195"/>
    </row>
    <row r="884">
      <c r="I884" s="2570"/>
      <c r="J884" s="2599"/>
      <c r="K884" s="195"/>
      <c r="L884" s="195"/>
    </row>
    <row r="885">
      <c r="I885" s="2570"/>
      <c r="J885" s="2599"/>
      <c r="K885" s="195"/>
      <c r="L885" s="195"/>
    </row>
    <row r="886">
      <c r="I886" s="2570"/>
      <c r="J886" s="2599"/>
      <c r="K886" s="195"/>
      <c r="L886" s="195"/>
    </row>
    <row r="887">
      <c r="I887" s="2570"/>
      <c r="J887" s="2599"/>
      <c r="K887" s="195"/>
      <c r="L887" s="195"/>
    </row>
    <row r="888">
      <c r="I888" s="2570"/>
      <c r="J888" s="2599"/>
      <c r="K888" s="195"/>
      <c r="L888" s="195"/>
    </row>
    <row r="889">
      <c r="I889" s="2570"/>
      <c r="J889" s="2599"/>
      <c r="K889" s="195"/>
      <c r="L889" s="195"/>
    </row>
    <row r="890">
      <c r="I890" s="2570"/>
      <c r="J890" s="2599"/>
      <c r="K890" s="195"/>
      <c r="L890" s="195"/>
    </row>
    <row r="891">
      <c r="I891" s="2570"/>
      <c r="J891" s="2599"/>
      <c r="K891" s="195"/>
      <c r="L891" s="195"/>
    </row>
    <row r="892">
      <c r="I892" s="2570"/>
      <c r="J892" s="2599"/>
      <c r="K892" s="195"/>
      <c r="L892" s="195"/>
    </row>
    <row r="893">
      <c r="I893" s="2570"/>
      <c r="J893" s="2599"/>
      <c r="K893" s="195"/>
      <c r="L893" s="195"/>
    </row>
    <row r="894">
      <c r="I894" s="2570"/>
      <c r="J894" s="2599"/>
      <c r="K894" s="195"/>
      <c r="L894" s="195"/>
    </row>
    <row r="895">
      <c r="I895" s="2570"/>
      <c r="J895" s="2599"/>
      <c r="K895" s="195"/>
      <c r="L895" s="195"/>
    </row>
    <row r="896">
      <c r="I896" s="2570"/>
      <c r="J896" s="2599"/>
      <c r="K896" s="195"/>
      <c r="L896" s="195"/>
    </row>
    <row r="897">
      <c r="I897" s="2570"/>
      <c r="J897" s="2599"/>
      <c r="K897" s="195"/>
      <c r="L897" s="195"/>
    </row>
    <row r="898">
      <c r="I898" s="2570"/>
      <c r="J898" s="2599"/>
      <c r="K898" s="195"/>
      <c r="L898" s="195"/>
    </row>
    <row r="899">
      <c r="I899" s="2570"/>
      <c r="J899" s="2599"/>
      <c r="K899" s="195"/>
      <c r="L899" s="195"/>
    </row>
    <row r="900">
      <c r="I900" s="2570"/>
      <c r="J900" s="2599"/>
      <c r="K900" s="195"/>
      <c r="L900" s="195"/>
    </row>
    <row r="901">
      <c r="I901" s="2570"/>
      <c r="J901" s="2599"/>
      <c r="K901" s="195"/>
      <c r="L901" s="195"/>
    </row>
    <row r="902">
      <c r="I902" s="2570"/>
      <c r="J902" s="2599"/>
      <c r="K902" s="195"/>
      <c r="L902" s="195"/>
    </row>
    <row r="903">
      <c r="I903" s="2570"/>
      <c r="J903" s="2599"/>
      <c r="K903" s="195"/>
      <c r="L903" s="195"/>
    </row>
    <row r="904">
      <c r="I904" s="2570"/>
      <c r="J904" s="2599"/>
      <c r="K904" s="195"/>
      <c r="L904" s="195"/>
    </row>
    <row r="905">
      <c r="I905" s="2570"/>
      <c r="J905" s="2599"/>
      <c r="K905" s="195"/>
      <c r="L905" s="195"/>
    </row>
    <row r="906">
      <c r="I906" s="2570"/>
      <c r="J906" s="2599"/>
      <c r="K906" s="195"/>
      <c r="L906" s="195"/>
    </row>
    <row r="907">
      <c r="I907" s="2570"/>
      <c r="J907" s="2599"/>
      <c r="K907" s="195"/>
      <c r="L907" s="195"/>
    </row>
    <row r="908">
      <c r="I908" s="2570"/>
      <c r="J908" s="2599"/>
      <c r="K908" s="195"/>
      <c r="L908" s="195"/>
    </row>
    <row r="909">
      <c r="I909" s="2570"/>
      <c r="J909" s="2599"/>
      <c r="K909" s="195"/>
      <c r="L909" s="195"/>
    </row>
    <row r="910">
      <c r="I910" s="2570"/>
      <c r="J910" s="2599"/>
      <c r="K910" s="195"/>
      <c r="L910" s="195"/>
    </row>
    <row r="911">
      <c r="I911" s="2570"/>
      <c r="J911" s="2599"/>
      <c r="K911" s="195"/>
      <c r="L911" s="195"/>
    </row>
    <row r="912">
      <c r="I912" s="2570"/>
      <c r="J912" s="2599"/>
      <c r="K912" s="195"/>
      <c r="L912" s="195"/>
    </row>
    <row r="913">
      <c r="I913" s="2570"/>
      <c r="J913" s="2599"/>
      <c r="K913" s="195"/>
      <c r="L913" s="195"/>
    </row>
    <row r="914">
      <c r="I914" s="2570"/>
      <c r="J914" s="2599"/>
      <c r="K914" s="195"/>
      <c r="L914" s="195"/>
    </row>
    <row r="915">
      <c r="I915" s="2570"/>
      <c r="J915" s="2599"/>
      <c r="K915" s="195"/>
      <c r="L915" s="195"/>
    </row>
    <row r="916">
      <c r="I916" s="2570"/>
      <c r="J916" s="2599"/>
      <c r="K916" s="195"/>
      <c r="L916" s="195"/>
    </row>
    <row r="917">
      <c r="I917" s="2570"/>
      <c r="J917" s="2599"/>
      <c r="K917" s="195"/>
      <c r="L917" s="195"/>
    </row>
    <row r="918">
      <c r="I918" s="2570"/>
      <c r="J918" s="2599"/>
      <c r="K918" s="195"/>
      <c r="L918" s="195"/>
    </row>
    <row r="919">
      <c r="I919" s="2570"/>
      <c r="J919" s="2599"/>
      <c r="K919" s="195"/>
      <c r="L919" s="195"/>
    </row>
    <row r="920">
      <c r="I920" s="2570"/>
      <c r="J920" s="2599"/>
      <c r="K920" s="195"/>
      <c r="L920" s="195"/>
    </row>
    <row r="921">
      <c r="I921" s="2570"/>
      <c r="J921" s="2599"/>
      <c r="K921" s="195"/>
      <c r="L921" s="195"/>
    </row>
    <row r="922">
      <c r="I922" s="2570"/>
      <c r="J922" s="2599"/>
      <c r="K922" s="195"/>
      <c r="L922" s="195"/>
    </row>
    <row r="923">
      <c r="I923" s="2570"/>
      <c r="J923" s="2599"/>
      <c r="K923" s="195"/>
      <c r="L923" s="195"/>
    </row>
    <row r="924">
      <c r="I924" s="2570"/>
      <c r="J924" s="2599"/>
      <c r="K924" s="195"/>
      <c r="L924" s="195"/>
    </row>
    <row r="925">
      <c r="I925" s="2570"/>
      <c r="J925" s="2599"/>
      <c r="K925" s="195"/>
      <c r="L925" s="195"/>
    </row>
    <row r="926">
      <c r="I926" s="2570"/>
      <c r="J926" s="2599"/>
      <c r="K926" s="195"/>
      <c r="L926" s="195"/>
    </row>
    <row r="927">
      <c r="I927" s="2570"/>
      <c r="J927" s="2599"/>
      <c r="K927" s="195"/>
      <c r="L927" s="195"/>
    </row>
    <row r="928">
      <c r="I928" s="2570"/>
      <c r="J928" s="2599"/>
      <c r="K928" s="195"/>
      <c r="L928" s="195"/>
    </row>
    <row r="929">
      <c r="I929" s="2570"/>
      <c r="J929" s="2599"/>
      <c r="K929" s="195"/>
      <c r="L929" s="195"/>
    </row>
    <row r="930">
      <c r="I930" s="2570"/>
      <c r="J930" s="2599"/>
      <c r="K930" s="195"/>
      <c r="L930" s="195"/>
    </row>
    <row r="931">
      <c r="I931" s="2570"/>
      <c r="J931" s="2599"/>
      <c r="K931" s="195"/>
      <c r="L931" s="195"/>
    </row>
    <row r="932">
      <c r="I932" s="2570"/>
      <c r="J932" s="2599"/>
      <c r="K932" s="195"/>
      <c r="L932" s="195"/>
    </row>
    <row r="933">
      <c r="I933" s="2570"/>
      <c r="J933" s="2599"/>
      <c r="K933" s="195"/>
      <c r="L933" s="195"/>
    </row>
    <row r="934">
      <c r="I934" s="2570"/>
      <c r="J934" s="2599"/>
      <c r="K934" s="195"/>
      <c r="L934" s="195"/>
    </row>
    <row r="935">
      <c r="I935" s="2570"/>
      <c r="J935" s="2599"/>
      <c r="K935" s="195"/>
      <c r="L935" s="195"/>
    </row>
    <row r="936">
      <c r="I936" s="2570"/>
      <c r="J936" s="2599"/>
      <c r="K936" s="195"/>
      <c r="L936" s="195"/>
    </row>
    <row r="937">
      <c r="I937" s="2570"/>
      <c r="J937" s="2599"/>
      <c r="K937" s="195"/>
      <c r="L937" s="195"/>
    </row>
    <row r="938">
      <c r="I938" s="2570"/>
      <c r="J938" s="2599"/>
      <c r="K938" s="195"/>
      <c r="L938" s="195"/>
    </row>
    <row r="939">
      <c r="I939" s="2570"/>
      <c r="J939" s="2599"/>
      <c r="K939" s="195"/>
      <c r="L939" s="195"/>
    </row>
    <row r="940">
      <c r="I940" s="2570"/>
      <c r="J940" s="2599"/>
      <c r="K940" s="195"/>
      <c r="L940" s="195"/>
    </row>
    <row r="941">
      <c r="I941" s="2570"/>
      <c r="J941" s="2599"/>
      <c r="K941" s="195"/>
      <c r="L941" s="195"/>
    </row>
    <row r="942">
      <c r="I942" s="2570"/>
      <c r="J942" s="2599"/>
      <c r="K942" s="195"/>
      <c r="L942" s="195"/>
    </row>
    <row r="943">
      <c r="I943" s="2570"/>
      <c r="J943" s="2599"/>
      <c r="K943" s="195"/>
      <c r="L943" s="195"/>
    </row>
    <row r="944">
      <c r="I944" s="2570"/>
      <c r="J944" s="2599"/>
      <c r="K944" s="195"/>
      <c r="L944" s="195"/>
    </row>
    <row r="945">
      <c r="I945" s="2570"/>
      <c r="J945" s="2599"/>
      <c r="K945" s="195"/>
      <c r="L945" s="195"/>
    </row>
    <row r="946">
      <c r="I946" s="2570"/>
      <c r="J946" s="2599"/>
      <c r="K946" s="195"/>
      <c r="L946" s="195"/>
    </row>
    <row r="947">
      <c r="I947" s="2570"/>
      <c r="J947" s="2599"/>
      <c r="K947" s="195"/>
      <c r="L947" s="195"/>
    </row>
    <row r="948">
      <c r="I948" s="2570"/>
      <c r="J948" s="2599"/>
      <c r="K948" s="195"/>
      <c r="L948" s="195"/>
    </row>
    <row r="949">
      <c r="I949" s="2570"/>
      <c r="J949" s="2599"/>
      <c r="K949" s="195"/>
      <c r="L949" s="195"/>
    </row>
    <row r="950">
      <c r="I950" s="2570"/>
      <c r="J950" s="2599"/>
      <c r="K950" s="195"/>
      <c r="L950" s="195"/>
    </row>
    <row r="951">
      <c r="I951" s="2570"/>
      <c r="J951" s="2599"/>
      <c r="K951" s="195"/>
      <c r="L951" s="195"/>
    </row>
    <row r="952">
      <c r="I952" s="2570"/>
      <c r="J952" s="2599"/>
      <c r="K952" s="195"/>
      <c r="L952" s="195"/>
    </row>
    <row r="953">
      <c r="I953" s="2570"/>
      <c r="J953" s="2599"/>
      <c r="K953" s="195"/>
      <c r="L953" s="195"/>
    </row>
    <row r="954">
      <c r="I954" s="2570"/>
      <c r="J954" s="2599"/>
      <c r="K954" s="195"/>
      <c r="L954" s="195"/>
    </row>
    <row r="955">
      <c r="I955" s="2570"/>
      <c r="J955" s="2599"/>
      <c r="K955" s="195"/>
      <c r="L955" s="195"/>
    </row>
    <row r="956">
      <c r="I956" s="2570"/>
      <c r="J956" s="2599"/>
      <c r="K956" s="195"/>
      <c r="L956" s="195"/>
    </row>
    <row r="957">
      <c r="I957" s="2570"/>
      <c r="J957" s="2599"/>
      <c r="K957" s="195"/>
      <c r="L957" s="195"/>
    </row>
    <row r="958">
      <c r="I958" s="2570"/>
      <c r="J958" s="2599"/>
      <c r="K958" s="195"/>
      <c r="L958" s="195"/>
    </row>
    <row r="959">
      <c r="I959" s="2570"/>
      <c r="J959" s="2599"/>
      <c r="K959" s="195"/>
      <c r="L959" s="195"/>
    </row>
    <row r="960">
      <c r="I960" s="2570"/>
      <c r="J960" s="2599"/>
      <c r="K960" s="195"/>
      <c r="L960" s="195"/>
    </row>
    <row r="961">
      <c r="I961" s="2570"/>
      <c r="J961" s="2599"/>
      <c r="K961" s="195"/>
      <c r="L961" s="195"/>
    </row>
    <row r="962">
      <c r="I962" s="2570"/>
      <c r="J962" s="2599"/>
      <c r="K962" s="195"/>
      <c r="L962" s="195"/>
    </row>
    <row r="963">
      <c r="I963" s="2570"/>
      <c r="J963" s="2599"/>
      <c r="K963" s="195"/>
      <c r="L963" s="195"/>
    </row>
    <row r="964">
      <c r="I964" s="2570"/>
      <c r="J964" s="2599"/>
      <c r="K964" s="195"/>
      <c r="L964" s="195"/>
    </row>
    <row r="965">
      <c r="I965" s="2570"/>
      <c r="J965" s="2599"/>
      <c r="K965" s="195"/>
      <c r="L965" s="195"/>
    </row>
    <row r="966">
      <c r="I966" s="2570"/>
      <c r="J966" s="2599"/>
      <c r="K966" s="195"/>
      <c r="L966" s="195"/>
    </row>
    <row r="967">
      <c r="I967" s="2570"/>
      <c r="J967" s="2599"/>
      <c r="K967" s="195"/>
      <c r="L967" s="195"/>
    </row>
    <row r="968">
      <c r="I968" s="2570"/>
      <c r="J968" s="2599"/>
      <c r="K968" s="195"/>
      <c r="L968" s="195"/>
    </row>
    <row r="969">
      <c r="I969" s="2570"/>
      <c r="J969" s="2599"/>
      <c r="K969" s="195"/>
      <c r="L969" s="195"/>
    </row>
    <row r="970">
      <c r="I970" s="2570"/>
      <c r="J970" s="2599"/>
      <c r="K970" s="195"/>
      <c r="L970" s="195"/>
    </row>
    <row r="971">
      <c r="I971" s="2570"/>
      <c r="J971" s="2599"/>
      <c r="K971" s="195"/>
      <c r="L971" s="195"/>
    </row>
    <row r="972">
      <c r="I972" s="2570"/>
      <c r="J972" s="2599"/>
      <c r="K972" s="195"/>
      <c r="L972" s="195"/>
    </row>
    <row r="973">
      <c r="I973" s="2570"/>
      <c r="J973" s="2599"/>
      <c r="K973" s="195"/>
      <c r="L973" s="195"/>
    </row>
    <row r="974">
      <c r="I974" s="2570"/>
      <c r="J974" s="2599"/>
      <c r="K974" s="195"/>
      <c r="L974" s="195"/>
    </row>
    <row r="975">
      <c r="I975" s="2570"/>
      <c r="J975" s="2599"/>
      <c r="K975" s="195"/>
      <c r="L975" s="195"/>
    </row>
    <row r="976">
      <c r="I976" s="2570"/>
      <c r="J976" s="2599"/>
      <c r="K976" s="195"/>
      <c r="L976" s="195"/>
    </row>
    <row r="977">
      <c r="I977" s="2570"/>
      <c r="J977" s="2599"/>
      <c r="K977" s="195"/>
      <c r="L977" s="195"/>
    </row>
    <row r="978">
      <c r="I978" s="2570"/>
      <c r="J978" s="2599"/>
      <c r="K978" s="195"/>
      <c r="L978" s="195"/>
    </row>
    <row r="979">
      <c r="I979" s="2570"/>
      <c r="J979" s="2599"/>
      <c r="K979" s="195"/>
      <c r="L979" s="195"/>
    </row>
    <row r="980">
      <c r="I980" s="2570"/>
      <c r="J980" s="2599"/>
      <c r="K980" s="195"/>
      <c r="L980" s="195"/>
    </row>
    <row r="981">
      <c r="I981" s="2570"/>
      <c r="J981" s="2599"/>
      <c r="K981" s="195"/>
      <c r="L981" s="195"/>
    </row>
    <row r="982">
      <c r="I982" s="2570"/>
      <c r="J982" s="2599"/>
      <c r="K982" s="195"/>
      <c r="L982" s="195"/>
    </row>
    <row r="983">
      <c r="I983" s="2570"/>
      <c r="J983" s="2599"/>
      <c r="K983" s="195"/>
      <c r="L983" s="195"/>
    </row>
    <row r="984">
      <c r="I984" s="2570"/>
      <c r="J984" s="2599"/>
      <c r="K984" s="195"/>
      <c r="L984" s="195"/>
    </row>
    <row r="985">
      <c r="I985" s="2570"/>
      <c r="J985" s="2599"/>
      <c r="K985" s="195"/>
      <c r="L985" s="195"/>
    </row>
    <row r="986">
      <c r="I986" s="2570"/>
      <c r="J986" s="2599"/>
      <c r="K986" s="195"/>
      <c r="L986" s="195"/>
    </row>
    <row r="987">
      <c r="I987" s="2570"/>
      <c r="J987" s="2599"/>
      <c r="K987" s="195"/>
      <c r="L987" s="195"/>
    </row>
    <row r="988">
      <c r="I988" s="2570"/>
      <c r="J988" s="2599"/>
      <c r="K988" s="195"/>
      <c r="L988" s="195"/>
    </row>
    <row r="989">
      <c r="I989" s="2570"/>
      <c r="J989" s="2599"/>
      <c r="K989" s="195"/>
      <c r="L989" s="195"/>
    </row>
    <row r="990">
      <c r="I990" s="2570"/>
      <c r="J990" s="2599"/>
      <c r="K990" s="195"/>
      <c r="L990" s="195"/>
    </row>
    <row r="991">
      <c r="I991" s="2570"/>
      <c r="J991" s="2599"/>
      <c r="K991" s="195"/>
      <c r="L991" s="195"/>
    </row>
    <row r="992">
      <c r="I992" s="2570"/>
      <c r="J992" s="2599"/>
      <c r="K992" s="195"/>
      <c r="L992" s="195"/>
    </row>
    <row r="993">
      <c r="I993" s="2570"/>
      <c r="J993" s="2599"/>
      <c r="K993" s="195"/>
      <c r="L993" s="195"/>
    </row>
    <row r="994">
      <c r="I994" s="2570"/>
      <c r="J994" s="2599"/>
      <c r="K994" s="195"/>
      <c r="L994" s="195"/>
    </row>
    <row r="995">
      <c r="I995" s="2570"/>
      <c r="J995" s="2599"/>
      <c r="K995" s="195"/>
      <c r="L995" s="195"/>
    </row>
    <row r="996">
      <c r="I996" s="2570"/>
      <c r="J996" s="2599"/>
      <c r="K996" s="195"/>
      <c r="L996" s="195"/>
    </row>
  </sheetData>
  <conditionalFormatting sqref="K1:K72 K74:K996">
    <cfRule type="cellIs" dxfId="0" priority="1" operator="lessThan">
      <formula>0</formula>
    </cfRule>
  </conditionalFormatting>
  <conditionalFormatting sqref="K1:K72 K74:K996">
    <cfRule type="cellIs" dxfId="2" priority="2" operator="greaterThan">
      <formula>0</formula>
    </cfRule>
  </conditionalFormatting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1328" t="s">
        <v>3452</v>
      </c>
      <c r="B1" s="1328" t="s">
        <v>3453</v>
      </c>
      <c r="C1" s="1328" t="s">
        <v>3454</v>
      </c>
      <c r="D1" s="1328" t="s">
        <v>3455</v>
      </c>
      <c r="E1" s="1328" t="s">
        <v>3456</v>
      </c>
      <c r="F1" s="1328" t="s">
        <v>3457</v>
      </c>
      <c r="H1" s="50" t="s">
        <v>3458</v>
      </c>
    </row>
    <row r="2">
      <c r="A2" s="2612">
        <v>46096.0</v>
      </c>
      <c r="B2" s="2613">
        <v>300946.0</v>
      </c>
      <c r="C2" s="2614"/>
      <c r="D2" s="2614"/>
      <c r="E2" s="2614"/>
      <c r="F2" s="2614"/>
    </row>
    <row r="3">
      <c r="A3" s="2612">
        <v>46097.0</v>
      </c>
      <c r="B3" s="2614"/>
      <c r="C3" s="2613">
        <v>276344.0</v>
      </c>
      <c r="D3" s="2614"/>
      <c r="E3" s="2614"/>
      <c r="F3" s="2614"/>
    </row>
    <row r="4">
      <c r="A4" s="2612">
        <v>46098.0</v>
      </c>
      <c r="B4" s="2614"/>
      <c r="C4" s="2614"/>
      <c r="D4" s="2613">
        <v>327704.0</v>
      </c>
      <c r="E4" s="2614"/>
      <c r="F4" s="2614"/>
    </row>
    <row r="5">
      <c r="A5" s="2612">
        <v>46099.0</v>
      </c>
      <c r="B5" s="2614"/>
      <c r="C5" s="2614"/>
      <c r="D5" s="2614"/>
      <c r="E5" s="2613">
        <v>348605.0</v>
      </c>
      <c r="F5" s="2614"/>
    </row>
    <row r="6">
      <c r="A6" s="2612">
        <v>46100.0</v>
      </c>
      <c r="B6" s="2614"/>
      <c r="C6" s="2614"/>
      <c r="D6" s="2614"/>
      <c r="E6" s="2614"/>
      <c r="F6" s="2613">
        <v>314516.0</v>
      </c>
    </row>
    <row r="7">
      <c r="A7" s="2612">
        <v>46103.0</v>
      </c>
      <c r="B7" s="2613">
        <v>371896.0</v>
      </c>
      <c r="C7" s="2614"/>
      <c r="D7" s="2614"/>
      <c r="E7" s="2614"/>
      <c r="F7" s="2614"/>
    </row>
    <row r="8">
      <c r="A8" s="2612">
        <v>46104.0</v>
      </c>
      <c r="B8" s="2614"/>
      <c r="C8" s="2613">
        <v>321761.0</v>
      </c>
      <c r="D8" s="2614"/>
      <c r="E8" s="2614"/>
      <c r="F8" s="2614"/>
      <c r="H8" s="1346">
        <f>SUM(B2:F14)</f>
        <v>3230404</v>
      </c>
    </row>
    <row r="9">
      <c r="A9" s="2612">
        <v>46105.0</v>
      </c>
      <c r="B9" s="2614"/>
      <c r="C9" s="2614"/>
      <c r="D9" s="2613">
        <v>336118.0</v>
      </c>
      <c r="E9" s="2614"/>
      <c r="F9" s="2614"/>
      <c r="G9" s="50" t="s">
        <v>3459</v>
      </c>
      <c r="H9" s="1346">
        <f>H8*2</f>
        <v>6460808</v>
      </c>
    </row>
    <row r="10">
      <c r="A10" s="2612">
        <v>46106.0</v>
      </c>
      <c r="B10" s="2614"/>
      <c r="C10" s="2614"/>
      <c r="D10" s="2614"/>
      <c r="E10" s="2613">
        <v>333452.0</v>
      </c>
      <c r="F10" s="2614"/>
      <c r="G10" s="1401" t="s">
        <v>3460</v>
      </c>
      <c r="H10" s="2615">
        <v>6413232.0</v>
      </c>
    </row>
    <row r="11">
      <c r="A11" s="2612">
        <v>46107.0</v>
      </c>
      <c r="B11" s="2614"/>
      <c r="C11" s="2614"/>
      <c r="D11" s="2614"/>
      <c r="E11" s="2614"/>
      <c r="F11" s="2613">
        <v>299062.0</v>
      </c>
      <c r="G11" s="1401"/>
    </row>
    <row r="12">
      <c r="A12" s="2612">
        <v>46110.0</v>
      </c>
      <c r="B12" s="2613" t="s">
        <v>3461</v>
      </c>
      <c r="C12" s="2614"/>
      <c r="D12" s="2614"/>
      <c r="E12" s="2614"/>
      <c r="F12" s="2614"/>
      <c r="G12" s="1401" t="s">
        <v>3462</v>
      </c>
      <c r="H12" s="50">
        <v>846598.0</v>
      </c>
    </row>
    <row r="13">
      <c r="A13" s="2612">
        <v>46111.0</v>
      </c>
      <c r="B13" s="2614"/>
      <c r="C13" s="2613" t="s">
        <v>3464</v>
      </c>
      <c r="D13" s="2614"/>
      <c r="E13" s="2614"/>
      <c r="F13" s="2614"/>
      <c r="G13" s="50" t="s">
        <v>3465</v>
      </c>
      <c r="H13" s="1346">
        <f>H10-H11-H12</f>
        <v>5566634</v>
      </c>
    </row>
    <row r="14">
      <c r="A14" s="2612">
        <v>46112.0</v>
      </c>
      <c r="B14" s="2614"/>
      <c r="C14" s="2614"/>
      <c r="D14" s="2613" t="s">
        <v>3466</v>
      </c>
      <c r="E14" s="2614"/>
      <c r="F14" s="2614"/>
      <c r="G14" s="2616" t="s">
        <v>3467</v>
      </c>
      <c r="H14" s="2617">
        <f>H10-H13</f>
        <v>846598</v>
      </c>
    </row>
    <row r="15">
      <c r="A15" s="2612">
        <v>46113.0</v>
      </c>
      <c r="B15" s="2614"/>
      <c r="C15" s="2614"/>
      <c r="D15" s="2614"/>
      <c r="E15" s="2613" t="s">
        <v>3468</v>
      </c>
      <c r="F15" s="2614"/>
    </row>
    <row r="16">
      <c r="A16" s="2612">
        <v>46114.0</v>
      </c>
      <c r="B16" s="2614"/>
      <c r="C16" s="2614"/>
      <c r="D16" s="2614"/>
      <c r="E16" s="2614"/>
      <c r="F16" s="2613" t="s">
        <v>3469</v>
      </c>
    </row>
    <row r="17">
      <c r="A17" s="2612">
        <v>46117.0</v>
      </c>
      <c r="B17" s="2613" t="s">
        <v>3470</v>
      </c>
      <c r="C17" s="2614"/>
      <c r="D17" s="2614"/>
      <c r="E17" s="2614"/>
      <c r="F17" s="2614"/>
    </row>
    <row r="18">
      <c r="A18" s="2612">
        <v>46118.0</v>
      </c>
      <c r="B18" s="2614"/>
      <c r="C18" s="2613" t="s">
        <v>3471</v>
      </c>
      <c r="D18" s="2614"/>
      <c r="E18" s="2614"/>
      <c r="F18" s="2614"/>
    </row>
    <row r="19">
      <c r="A19" s="2618">
        <v>46119.0</v>
      </c>
      <c r="B19" s="2619"/>
      <c r="C19" s="2619"/>
      <c r="D19" s="2619" t="s">
        <v>3472</v>
      </c>
      <c r="E19" s="2619"/>
      <c r="F19" s="2619"/>
    </row>
    <row r="20">
      <c r="A20" s="2620">
        <v>46120.0</v>
      </c>
      <c r="B20" s="2619"/>
      <c r="C20" s="2619"/>
      <c r="D20" s="2619"/>
      <c r="E20" s="2621">
        <v>303275.0</v>
      </c>
      <c r="F20" s="2619"/>
    </row>
    <row r="21">
      <c r="A21" s="2612">
        <v>46121.0</v>
      </c>
      <c r="B21" s="2614"/>
      <c r="C21" s="2614"/>
      <c r="D21" s="2614"/>
      <c r="E21" s="2614"/>
      <c r="F21" s="2613">
        <v>287976.0</v>
      </c>
    </row>
    <row r="22">
      <c r="A22" s="2622">
        <v>46124.0</v>
      </c>
      <c r="B22" s="2613">
        <v>436075.0</v>
      </c>
      <c r="C22" s="2614"/>
      <c r="D22" s="2614"/>
      <c r="E22" s="2614"/>
      <c r="F22" s="2614"/>
    </row>
    <row r="23">
      <c r="A23" s="2622">
        <v>46125.0</v>
      </c>
      <c r="B23" s="2614"/>
      <c r="C23" s="2613">
        <v>358156.0</v>
      </c>
      <c r="D23" s="2614"/>
      <c r="E23" s="2614"/>
      <c r="F23" s="2614"/>
    </row>
    <row r="24">
      <c r="A24" s="2622">
        <v>46126.0</v>
      </c>
      <c r="B24" s="2614"/>
      <c r="C24" s="2614"/>
      <c r="D24" s="2613">
        <v>265041.0</v>
      </c>
      <c r="E24" s="2614"/>
      <c r="F24" s="2614"/>
    </row>
    <row r="25">
      <c r="A25" s="2622">
        <v>46127.0</v>
      </c>
      <c r="B25" s="2614"/>
      <c r="C25" s="2614"/>
      <c r="D25" s="2614"/>
      <c r="E25" s="2613">
        <v>332172.0</v>
      </c>
      <c r="F25" s="2614"/>
    </row>
    <row r="26">
      <c r="A26" s="2622">
        <v>46128.0</v>
      </c>
      <c r="B26" s="2614"/>
      <c r="C26" s="2614"/>
      <c r="D26" s="2614"/>
      <c r="E26" s="2614"/>
      <c r="F26" s="2613">
        <v>0.0</v>
      </c>
    </row>
    <row r="27">
      <c r="A27" s="2622">
        <v>46131.0</v>
      </c>
      <c r="B27" s="2613">
        <v>0.0</v>
      </c>
      <c r="C27" s="2614"/>
      <c r="D27" s="2614"/>
      <c r="E27" s="2614"/>
      <c r="F27" s="2614"/>
    </row>
    <row r="28">
      <c r="A28" s="2622">
        <v>46132.0</v>
      </c>
      <c r="B28" s="2614"/>
      <c r="C28" s="2613">
        <v>9851.0</v>
      </c>
      <c r="D28" s="2614"/>
      <c r="E28" s="2614"/>
      <c r="F28" s="2614"/>
    </row>
    <row r="29">
      <c r="A29" s="2622">
        <v>46133.0</v>
      </c>
      <c r="B29" s="2614"/>
      <c r="C29" s="2614"/>
      <c r="D29" s="2613">
        <v>8578.0</v>
      </c>
      <c r="E29" s="2614"/>
      <c r="F29" s="2614"/>
    </row>
    <row r="30">
      <c r="A30" s="2622">
        <v>46134.0</v>
      </c>
      <c r="B30" s="2614"/>
      <c r="C30" s="2614"/>
      <c r="D30" s="2614"/>
      <c r="E30" s="2613">
        <v>0.0</v>
      </c>
      <c r="F30" s="2614"/>
    </row>
    <row r="31">
      <c r="A31" s="2622">
        <v>46135.0</v>
      </c>
      <c r="B31" s="2614"/>
      <c r="C31" s="2614"/>
      <c r="D31" s="2614"/>
      <c r="E31" s="2614"/>
      <c r="F31" s="2613">
        <v>0.0</v>
      </c>
    </row>
    <row r="32">
      <c r="A32" s="2622">
        <v>46138.0</v>
      </c>
      <c r="B32" s="2613">
        <v>0.0</v>
      </c>
      <c r="C32" s="2614"/>
      <c r="D32" s="2614"/>
      <c r="E32" s="2614"/>
      <c r="F32" s="2614"/>
    </row>
    <row r="33">
      <c r="A33" s="2622">
        <v>46139.0</v>
      </c>
      <c r="B33" s="2614"/>
      <c r="C33" s="2613">
        <v>56761.0</v>
      </c>
      <c r="D33" s="2614"/>
      <c r="E33" s="2614"/>
      <c r="F33" s="2614"/>
    </row>
    <row r="34">
      <c r="A34" s="2622">
        <v>46140.0</v>
      </c>
      <c r="B34" s="2614"/>
      <c r="C34" s="2614"/>
      <c r="D34" s="2613">
        <v>289034.0</v>
      </c>
      <c r="E34" s="2614"/>
      <c r="F34" s="2614"/>
    </row>
    <row r="35">
      <c r="A35" s="2622">
        <v>46141.0</v>
      </c>
      <c r="B35" s="2614"/>
      <c r="C35" s="2614"/>
      <c r="D35" s="2614"/>
      <c r="E35" s="2613">
        <v>261463.0</v>
      </c>
      <c r="F35" s="2614"/>
    </row>
    <row r="36">
      <c r="A36" s="2622">
        <v>46142.0</v>
      </c>
      <c r="B36" s="2614"/>
      <c r="C36" s="2614"/>
      <c r="D36" s="2614"/>
      <c r="E36" s="2614"/>
      <c r="F36" s="2613">
        <v>187999.0</v>
      </c>
    </row>
    <row r="37">
      <c r="A37" s="2622">
        <v>46145.0</v>
      </c>
      <c r="B37" s="2613">
        <v>0.0</v>
      </c>
      <c r="C37" s="2614"/>
      <c r="D37" s="2614"/>
      <c r="E37" s="2614"/>
      <c r="F37" s="2614"/>
    </row>
    <row r="38">
      <c r="A38" s="2622">
        <v>46146.0</v>
      </c>
      <c r="B38" s="2614"/>
      <c r="C38" s="2613">
        <v>0.0</v>
      </c>
      <c r="D38" s="2614"/>
      <c r="E38" s="2614"/>
      <c r="F38" s="2614"/>
    </row>
    <row r="39">
      <c r="A39" s="2622">
        <v>46147.0</v>
      </c>
      <c r="B39" s="962"/>
      <c r="C39" s="962"/>
      <c r="D39" s="2623">
        <v>48555.0</v>
      </c>
      <c r="E39" s="962"/>
      <c r="F39" s="962"/>
    </row>
    <row r="40">
      <c r="A40" s="2622">
        <v>46148.0</v>
      </c>
      <c r="B40" s="2614"/>
      <c r="C40" s="2614"/>
      <c r="D40" s="2614"/>
      <c r="E40" s="2613">
        <v>0.0</v>
      </c>
      <c r="F40" s="2614"/>
    </row>
    <row r="41">
      <c r="A41" s="2622">
        <v>46149.0</v>
      </c>
      <c r="B41" s="2614"/>
      <c r="C41" s="2614"/>
      <c r="D41" s="2614"/>
      <c r="E41" s="2614"/>
      <c r="F41" s="2613">
        <v>0.0</v>
      </c>
    </row>
    <row r="42">
      <c r="B42" s="2614"/>
      <c r="C42" s="2614"/>
      <c r="D42" s="2614"/>
      <c r="E42" s="2614"/>
      <c r="F42" s="2614"/>
    </row>
    <row r="43">
      <c r="B43" s="2614"/>
      <c r="C43" s="2614"/>
      <c r="D43" s="2614"/>
      <c r="E43" s="2614"/>
      <c r="F43" s="2614"/>
    </row>
    <row r="44">
      <c r="B44" s="2614"/>
      <c r="C44" s="2614"/>
      <c r="D44" s="2614"/>
      <c r="E44" s="2614"/>
      <c r="F44" s="2614"/>
    </row>
    <row r="45">
      <c r="B45" s="2614"/>
      <c r="C45" s="2614"/>
      <c r="D45" s="2614"/>
      <c r="E45" s="2614"/>
      <c r="F45" s="2614"/>
    </row>
    <row r="46">
      <c r="B46" s="2614"/>
      <c r="C46" s="2614"/>
      <c r="D46" s="2614"/>
      <c r="E46" s="2614"/>
      <c r="F46" s="2614"/>
    </row>
    <row r="47">
      <c r="B47" s="2614"/>
      <c r="C47" s="2614"/>
      <c r="D47" s="2614"/>
      <c r="E47" s="2614"/>
      <c r="F47" s="2614"/>
    </row>
    <row r="48">
      <c r="B48" s="2614"/>
      <c r="C48" s="2614"/>
      <c r="D48" s="2614"/>
      <c r="E48" s="2614"/>
      <c r="F48" s="2614"/>
    </row>
    <row r="49">
      <c r="B49" s="2614"/>
      <c r="C49" s="2614"/>
      <c r="D49" s="2614"/>
      <c r="E49" s="2614"/>
      <c r="F49" s="2614"/>
    </row>
    <row r="50">
      <c r="B50" s="2614"/>
      <c r="C50" s="2614"/>
      <c r="D50" s="2614"/>
      <c r="E50" s="2614"/>
      <c r="F50" s="2614"/>
    </row>
    <row r="51">
      <c r="B51" s="2614"/>
      <c r="C51" s="2614"/>
      <c r="D51" s="2614"/>
      <c r="E51" s="2614"/>
      <c r="F51" s="2614"/>
    </row>
    <row r="52">
      <c r="B52" s="2614"/>
      <c r="C52" s="2614"/>
      <c r="D52" s="2614"/>
      <c r="E52" s="2614"/>
      <c r="F52" s="2614"/>
    </row>
    <row r="53">
      <c r="B53" s="2614"/>
      <c r="C53" s="2614"/>
      <c r="D53" s="2614"/>
      <c r="E53" s="2614"/>
      <c r="F53" s="2614"/>
    </row>
    <row r="54">
      <c r="B54" s="2614"/>
      <c r="C54" s="2614"/>
      <c r="D54" s="2614"/>
      <c r="E54" s="2614"/>
      <c r="F54" s="2614"/>
    </row>
    <row r="55">
      <c r="B55" s="2614"/>
      <c r="C55" s="2614"/>
      <c r="D55" s="2614"/>
      <c r="E55" s="2614"/>
      <c r="F55" s="2614"/>
    </row>
    <row r="56">
      <c r="B56" s="2614"/>
      <c r="C56" s="2614"/>
      <c r="D56" s="2614"/>
      <c r="E56" s="2614"/>
      <c r="F56" s="2614"/>
    </row>
    <row r="57">
      <c r="B57" s="2614"/>
      <c r="C57" s="2614"/>
      <c r="D57" s="2614"/>
      <c r="E57" s="2614"/>
      <c r="F57" s="2614"/>
    </row>
    <row r="58">
      <c r="B58" s="2614"/>
      <c r="C58" s="2614"/>
      <c r="D58" s="2614"/>
      <c r="E58" s="2614"/>
      <c r="F58" s="2614"/>
    </row>
    <row r="59">
      <c r="B59" s="2614"/>
      <c r="C59" s="2614"/>
      <c r="D59" s="2614"/>
      <c r="E59" s="2614"/>
      <c r="F59" s="2614"/>
    </row>
    <row r="60">
      <c r="B60" s="2614"/>
      <c r="C60" s="2614"/>
      <c r="D60" s="2614"/>
      <c r="E60" s="2614"/>
      <c r="F60" s="2614"/>
    </row>
    <row r="61">
      <c r="B61" s="2614"/>
      <c r="C61" s="2614"/>
      <c r="D61" s="2614"/>
      <c r="E61" s="2614"/>
      <c r="F61" s="2614"/>
    </row>
    <row r="62">
      <c r="B62" s="2614"/>
      <c r="C62" s="2614"/>
      <c r="D62" s="2614"/>
      <c r="E62" s="2614"/>
      <c r="F62" s="2614"/>
    </row>
    <row r="63">
      <c r="B63" s="2614"/>
      <c r="C63" s="2614"/>
      <c r="D63" s="2614"/>
      <c r="E63" s="2614"/>
      <c r="F63" s="2614"/>
    </row>
    <row r="64">
      <c r="B64" s="2614"/>
      <c r="C64" s="2614"/>
      <c r="D64" s="2614"/>
      <c r="E64" s="2614"/>
      <c r="F64" s="2614"/>
    </row>
    <row r="65">
      <c r="B65" s="2614"/>
      <c r="C65" s="2614"/>
      <c r="D65" s="2614"/>
      <c r="E65" s="2614"/>
      <c r="F65" s="2614"/>
    </row>
    <row r="66">
      <c r="B66" s="2614"/>
      <c r="C66" s="2614"/>
      <c r="D66" s="2614"/>
      <c r="E66" s="2614"/>
      <c r="F66" s="2614"/>
    </row>
    <row r="67">
      <c r="B67" s="2614"/>
      <c r="C67" s="2614"/>
      <c r="D67" s="2614"/>
      <c r="E67" s="2614"/>
      <c r="F67" s="2614"/>
    </row>
    <row r="68">
      <c r="B68" s="2614"/>
      <c r="C68" s="2614"/>
      <c r="D68" s="2614"/>
      <c r="E68" s="2614"/>
      <c r="F68" s="2614"/>
    </row>
    <row r="69">
      <c r="B69" s="2614"/>
      <c r="C69" s="2614"/>
      <c r="D69" s="2614"/>
      <c r="E69" s="2614"/>
      <c r="F69" s="2614"/>
    </row>
    <row r="70">
      <c r="B70" s="2614"/>
      <c r="C70" s="2614"/>
      <c r="D70" s="2614"/>
      <c r="E70" s="2614"/>
      <c r="F70" s="2614"/>
    </row>
    <row r="71">
      <c r="B71" s="2614"/>
      <c r="C71" s="2614"/>
      <c r="D71" s="2614"/>
      <c r="E71" s="2614"/>
      <c r="F71" s="2614"/>
    </row>
    <row r="72">
      <c r="B72" s="2614"/>
      <c r="C72" s="2614"/>
      <c r="D72" s="2614"/>
      <c r="E72" s="2614"/>
      <c r="F72" s="2614"/>
    </row>
    <row r="73">
      <c r="B73" s="2614"/>
      <c r="C73" s="2614"/>
      <c r="D73" s="2614"/>
      <c r="E73" s="2614"/>
      <c r="F73" s="2614"/>
    </row>
    <row r="74">
      <c r="B74" s="2614"/>
      <c r="C74" s="2614"/>
      <c r="D74" s="2614"/>
      <c r="E74" s="2614"/>
      <c r="F74" s="2614"/>
    </row>
    <row r="75">
      <c r="B75" s="2614"/>
      <c r="C75" s="2614"/>
      <c r="D75" s="2614"/>
      <c r="E75" s="2614"/>
      <c r="F75" s="2614"/>
    </row>
    <row r="76">
      <c r="B76" s="2614"/>
      <c r="C76" s="2614"/>
      <c r="D76" s="2614"/>
      <c r="E76" s="2614"/>
      <c r="F76" s="2614"/>
    </row>
    <row r="77">
      <c r="B77" s="2614"/>
      <c r="C77" s="2614"/>
      <c r="D77" s="2614"/>
      <c r="E77" s="2614"/>
      <c r="F77" s="2614"/>
    </row>
    <row r="78">
      <c r="B78" s="2614"/>
      <c r="C78" s="2614"/>
      <c r="D78" s="2614"/>
      <c r="E78" s="2614"/>
      <c r="F78" s="2614"/>
    </row>
    <row r="79">
      <c r="B79" s="2614"/>
      <c r="C79" s="2614"/>
      <c r="D79" s="2614"/>
      <c r="E79" s="2614"/>
      <c r="F79" s="2614"/>
    </row>
    <row r="80">
      <c r="B80" s="2614"/>
      <c r="C80" s="2614"/>
      <c r="D80" s="2614"/>
      <c r="E80" s="2614"/>
      <c r="F80" s="2614"/>
    </row>
    <row r="81">
      <c r="B81" s="2614"/>
      <c r="C81" s="2614"/>
      <c r="D81" s="2614"/>
      <c r="E81" s="2614"/>
      <c r="F81" s="2614"/>
    </row>
    <row r="82">
      <c r="B82" s="2614"/>
      <c r="C82" s="2614"/>
      <c r="D82" s="2614"/>
      <c r="E82" s="2614"/>
      <c r="F82" s="2614"/>
    </row>
    <row r="83">
      <c r="B83" s="2614"/>
      <c r="C83" s="2614"/>
      <c r="D83" s="2614"/>
      <c r="E83" s="2614"/>
      <c r="F83" s="2614"/>
    </row>
    <row r="84">
      <c r="B84" s="2614"/>
      <c r="C84" s="2614"/>
      <c r="D84" s="2614"/>
      <c r="E84" s="2614"/>
      <c r="F84" s="2614"/>
    </row>
    <row r="85">
      <c r="B85" s="2614"/>
      <c r="C85" s="2614"/>
      <c r="D85" s="2614"/>
      <c r="E85" s="2614"/>
      <c r="F85" s="2614"/>
    </row>
    <row r="86">
      <c r="B86" s="2614"/>
      <c r="C86" s="2614"/>
      <c r="D86" s="2614"/>
      <c r="E86" s="2614"/>
      <c r="F86" s="2614"/>
    </row>
    <row r="87">
      <c r="B87" s="2614"/>
      <c r="C87" s="2614"/>
      <c r="D87" s="2614"/>
      <c r="E87" s="2614"/>
      <c r="F87" s="2614"/>
    </row>
    <row r="88">
      <c r="B88" s="2614"/>
      <c r="C88" s="2614"/>
      <c r="D88" s="2614"/>
      <c r="E88" s="2614"/>
      <c r="F88" s="2614"/>
    </row>
    <row r="89">
      <c r="B89" s="2614"/>
      <c r="C89" s="2614"/>
      <c r="D89" s="2614"/>
      <c r="E89" s="2614"/>
      <c r="F89" s="2614"/>
    </row>
    <row r="90">
      <c r="B90" s="2614"/>
      <c r="C90" s="2614"/>
      <c r="D90" s="2614"/>
      <c r="E90" s="2614"/>
      <c r="F90" s="2614"/>
    </row>
    <row r="91">
      <c r="B91" s="2614"/>
      <c r="C91" s="2614"/>
      <c r="D91" s="2614"/>
      <c r="E91" s="2614"/>
      <c r="F91" s="2614"/>
    </row>
    <row r="92">
      <c r="B92" s="2614"/>
      <c r="C92" s="2614"/>
      <c r="D92" s="2614"/>
      <c r="E92" s="2614"/>
      <c r="F92" s="2614"/>
    </row>
    <row r="93">
      <c r="B93" s="2614"/>
      <c r="C93" s="2614"/>
      <c r="D93" s="2614"/>
      <c r="E93" s="2614"/>
      <c r="F93" s="2614"/>
    </row>
    <row r="94">
      <c r="B94" s="2614"/>
      <c r="C94" s="2614"/>
      <c r="D94" s="2614"/>
      <c r="E94" s="2614"/>
      <c r="F94" s="2614"/>
    </row>
    <row r="95">
      <c r="B95" s="2614"/>
      <c r="C95" s="2614"/>
      <c r="D95" s="2614"/>
      <c r="E95" s="2614"/>
      <c r="F95" s="2614"/>
    </row>
    <row r="96">
      <c r="B96" s="2614"/>
      <c r="C96" s="2614"/>
      <c r="D96" s="2614"/>
      <c r="E96" s="2614"/>
      <c r="F96" s="2614"/>
    </row>
    <row r="97">
      <c r="B97" s="2614"/>
      <c r="C97" s="2614"/>
      <c r="D97" s="2614"/>
      <c r="E97" s="2614"/>
      <c r="F97" s="2614"/>
    </row>
    <row r="98">
      <c r="B98" s="2614"/>
      <c r="C98" s="2614"/>
      <c r="D98" s="2614"/>
      <c r="E98" s="2614"/>
      <c r="F98" s="2614"/>
    </row>
    <row r="99">
      <c r="B99" s="2614"/>
      <c r="C99" s="2614"/>
      <c r="D99" s="2614"/>
      <c r="E99" s="2614"/>
      <c r="F99" s="2614"/>
    </row>
    <row r="100">
      <c r="B100" s="2614"/>
      <c r="C100" s="2614"/>
      <c r="D100" s="2614"/>
      <c r="E100" s="2614"/>
      <c r="F100" s="2614"/>
    </row>
    <row r="101">
      <c r="B101" s="2614"/>
      <c r="C101" s="2614"/>
      <c r="D101" s="2614"/>
      <c r="E101" s="2614"/>
      <c r="F101" s="2614"/>
    </row>
    <row r="102">
      <c r="B102" s="2614"/>
      <c r="C102" s="2614"/>
      <c r="D102" s="2614"/>
      <c r="E102" s="2614"/>
      <c r="F102" s="2614"/>
    </row>
    <row r="103">
      <c r="B103" s="2614"/>
      <c r="C103" s="2614"/>
      <c r="D103" s="2614"/>
      <c r="E103" s="2614"/>
      <c r="F103" s="2614"/>
    </row>
    <row r="104">
      <c r="B104" s="2614"/>
      <c r="C104" s="2614"/>
      <c r="D104" s="2614"/>
      <c r="E104" s="2614"/>
      <c r="F104" s="2614"/>
    </row>
    <row r="105">
      <c r="B105" s="2614"/>
      <c r="C105" s="2614"/>
      <c r="D105" s="2614"/>
      <c r="E105" s="2614"/>
      <c r="F105" s="2614"/>
    </row>
    <row r="106">
      <c r="B106" s="2614"/>
      <c r="C106" s="2614"/>
      <c r="D106" s="2614"/>
      <c r="E106" s="2614"/>
      <c r="F106" s="2614"/>
    </row>
    <row r="107">
      <c r="B107" s="2614"/>
      <c r="C107" s="2614"/>
      <c r="D107" s="2614"/>
      <c r="E107" s="2614"/>
      <c r="F107" s="2614"/>
    </row>
    <row r="108">
      <c r="B108" s="2614"/>
      <c r="C108" s="2614"/>
      <c r="D108" s="2614"/>
      <c r="E108" s="2614"/>
      <c r="F108" s="2614"/>
    </row>
    <row r="109">
      <c r="B109" s="2614"/>
      <c r="C109" s="2614"/>
      <c r="D109" s="2614"/>
      <c r="E109" s="2614"/>
      <c r="F109" s="2614"/>
    </row>
    <row r="110">
      <c r="B110" s="2614"/>
      <c r="C110" s="2614"/>
      <c r="D110" s="2614"/>
      <c r="E110" s="2614"/>
      <c r="F110" s="2614"/>
    </row>
    <row r="111">
      <c r="B111" s="2614"/>
      <c r="C111" s="2614"/>
      <c r="D111" s="2614"/>
      <c r="E111" s="2614"/>
      <c r="F111" s="2614"/>
    </row>
    <row r="112">
      <c r="B112" s="2614"/>
      <c r="C112" s="2614"/>
      <c r="D112" s="2614"/>
      <c r="E112" s="2614"/>
      <c r="F112" s="2614"/>
    </row>
    <row r="113">
      <c r="B113" s="2614"/>
      <c r="C113" s="2614"/>
      <c r="D113" s="2614"/>
      <c r="E113" s="2614"/>
      <c r="F113" s="2614"/>
    </row>
    <row r="114">
      <c r="B114" s="2614"/>
      <c r="C114" s="2614"/>
      <c r="D114" s="2614"/>
      <c r="E114" s="2614"/>
      <c r="F114" s="2614"/>
    </row>
    <row r="115">
      <c r="B115" s="2614"/>
      <c r="C115" s="2614"/>
      <c r="D115" s="2614"/>
      <c r="E115" s="2614"/>
      <c r="F115" s="2614"/>
    </row>
    <row r="116">
      <c r="B116" s="2614"/>
      <c r="C116" s="2614"/>
      <c r="D116" s="2614"/>
      <c r="E116" s="2614"/>
      <c r="F116" s="2614"/>
    </row>
    <row r="117">
      <c r="B117" s="2614"/>
      <c r="C117" s="2614"/>
      <c r="D117" s="2614"/>
      <c r="E117" s="2614"/>
      <c r="F117" s="2614"/>
    </row>
    <row r="118">
      <c r="B118" s="2614"/>
      <c r="C118" s="2614"/>
      <c r="D118" s="2614"/>
      <c r="E118" s="2614"/>
      <c r="F118" s="2614"/>
    </row>
    <row r="119">
      <c r="B119" s="2614"/>
      <c r="C119" s="2614"/>
      <c r="D119" s="2614"/>
      <c r="E119" s="2614"/>
      <c r="F119" s="2614"/>
    </row>
    <row r="120">
      <c r="B120" s="2614"/>
      <c r="C120" s="2614"/>
      <c r="D120" s="2614"/>
      <c r="E120" s="2614"/>
      <c r="F120" s="2614"/>
    </row>
    <row r="121">
      <c r="B121" s="2614"/>
      <c r="C121" s="2614"/>
      <c r="D121" s="2614"/>
      <c r="E121" s="2614"/>
      <c r="F121" s="2614"/>
    </row>
    <row r="122">
      <c r="B122" s="2614"/>
      <c r="C122" s="2614"/>
      <c r="D122" s="2614"/>
      <c r="E122" s="2614"/>
      <c r="F122" s="2614"/>
    </row>
    <row r="123">
      <c r="B123" s="2614"/>
      <c r="C123" s="2614"/>
      <c r="D123" s="2614"/>
      <c r="E123" s="2614"/>
      <c r="F123" s="2614"/>
    </row>
    <row r="124">
      <c r="B124" s="2614"/>
      <c r="C124" s="2614"/>
      <c r="D124" s="2614"/>
      <c r="E124" s="2614"/>
      <c r="F124" s="2614"/>
    </row>
    <row r="125">
      <c r="B125" s="2614"/>
      <c r="C125" s="2614"/>
      <c r="D125" s="2614"/>
      <c r="E125" s="2614"/>
      <c r="F125" s="2614"/>
    </row>
    <row r="126">
      <c r="B126" s="2614"/>
      <c r="C126" s="2614"/>
      <c r="D126" s="2614"/>
      <c r="E126" s="2614"/>
      <c r="F126" s="2614"/>
    </row>
    <row r="127">
      <c r="B127" s="2614"/>
      <c r="C127" s="2614"/>
      <c r="D127" s="2614"/>
      <c r="E127" s="2614"/>
      <c r="F127" s="2614"/>
    </row>
    <row r="128">
      <c r="B128" s="2614"/>
      <c r="C128" s="2614"/>
      <c r="D128" s="2614"/>
      <c r="E128" s="2614"/>
      <c r="F128" s="2614"/>
    </row>
    <row r="129">
      <c r="B129" s="2614"/>
      <c r="C129" s="2614"/>
      <c r="D129" s="2614"/>
      <c r="E129" s="2614"/>
      <c r="F129" s="2614"/>
    </row>
    <row r="130">
      <c r="B130" s="2614"/>
      <c r="C130" s="2614"/>
      <c r="D130" s="2614"/>
      <c r="E130" s="2614"/>
      <c r="F130" s="2614"/>
    </row>
    <row r="131">
      <c r="B131" s="2614"/>
      <c r="C131" s="2614"/>
      <c r="D131" s="2614"/>
      <c r="E131" s="2614"/>
      <c r="F131" s="2614"/>
    </row>
    <row r="132">
      <c r="B132" s="2614"/>
      <c r="C132" s="2614"/>
      <c r="D132" s="2614"/>
      <c r="E132" s="2614"/>
      <c r="F132" s="2614"/>
    </row>
    <row r="133">
      <c r="B133" s="2614"/>
      <c r="C133" s="2614"/>
      <c r="D133" s="2614"/>
      <c r="E133" s="2614"/>
      <c r="F133" s="2614"/>
    </row>
    <row r="134">
      <c r="B134" s="2614"/>
      <c r="C134" s="2614"/>
      <c r="D134" s="2614"/>
      <c r="E134" s="2614"/>
      <c r="F134" s="2614"/>
    </row>
    <row r="135">
      <c r="B135" s="2614"/>
      <c r="C135" s="2614"/>
      <c r="D135" s="2614"/>
      <c r="E135" s="2614"/>
      <c r="F135" s="2614"/>
    </row>
    <row r="136">
      <c r="B136" s="2614"/>
      <c r="C136" s="2614"/>
      <c r="D136" s="2614"/>
      <c r="E136" s="2614"/>
      <c r="F136" s="2614"/>
    </row>
    <row r="137">
      <c r="B137" s="2614"/>
      <c r="C137" s="2614"/>
      <c r="D137" s="2614"/>
      <c r="E137" s="2614"/>
      <c r="F137" s="2614"/>
    </row>
    <row r="138">
      <c r="B138" s="2614"/>
      <c r="C138" s="2614"/>
      <c r="D138" s="2614"/>
      <c r="E138" s="2614"/>
      <c r="F138" s="2614"/>
    </row>
    <row r="139">
      <c r="B139" s="2614"/>
      <c r="C139" s="2614"/>
      <c r="D139" s="2614"/>
      <c r="E139" s="2614"/>
      <c r="F139" s="2614"/>
    </row>
    <row r="140">
      <c r="B140" s="2614"/>
      <c r="C140" s="2614"/>
      <c r="D140" s="2614"/>
      <c r="E140" s="2614"/>
      <c r="F140" s="2614"/>
    </row>
    <row r="141">
      <c r="B141" s="2614"/>
      <c r="C141" s="2614"/>
      <c r="D141" s="2614"/>
      <c r="E141" s="2614"/>
      <c r="F141" s="2614"/>
    </row>
    <row r="142">
      <c r="B142" s="2614"/>
      <c r="C142" s="2614"/>
      <c r="D142" s="2614"/>
      <c r="E142" s="2614"/>
      <c r="F142" s="2614"/>
    </row>
    <row r="143">
      <c r="B143" s="2614"/>
      <c r="C143" s="2614"/>
      <c r="D143" s="2614"/>
      <c r="E143" s="2614"/>
      <c r="F143" s="2614"/>
    </row>
    <row r="144">
      <c r="B144" s="2614"/>
      <c r="C144" s="2614"/>
      <c r="D144" s="2614"/>
      <c r="E144" s="2614"/>
      <c r="F144" s="2614"/>
    </row>
    <row r="145">
      <c r="B145" s="2614"/>
      <c r="C145" s="2614"/>
      <c r="D145" s="2614"/>
      <c r="E145" s="2614"/>
      <c r="F145" s="2614"/>
    </row>
    <row r="146">
      <c r="B146" s="2614"/>
      <c r="C146" s="2614"/>
      <c r="D146" s="2614"/>
      <c r="E146" s="2614"/>
      <c r="F146" s="2614"/>
    </row>
    <row r="147">
      <c r="B147" s="2614"/>
      <c r="C147" s="2614"/>
      <c r="D147" s="2614"/>
      <c r="E147" s="2614"/>
      <c r="F147" s="2614"/>
    </row>
    <row r="148">
      <c r="B148" s="2614"/>
      <c r="C148" s="2614"/>
      <c r="D148" s="2614"/>
      <c r="E148" s="2614"/>
      <c r="F148" s="2614"/>
    </row>
    <row r="149">
      <c r="B149" s="2614"/>
      <c r="C149" s="2614"/>
      <c r="D149" s="2614"/>
      <c r="E149" s="2614"/>
      <c r="F149" s="2614"/>
    </row>
    <row r="150">
      <c r="B150" s="2614"/>
      <c r="C150" s="2614"/>
      <c r="D150" s="2614"/>
      <c r="E150" s="2614"/>
      <c r="F150" s="2614"/>
    </row>
    <row r="151">
      <c r="B151" s="2614"/>
      <c r="C151" s="2614"/>
      <c r="D151" s="2614"/>
      <c r="E151" s="2614"/>
      <c r="F151" s="2614"/>
    </row>
    <row r="152">
      <c r="B152" s="2614"/>
      <c r="C152" s="2614"/>
      <c r="D152" s="2614"/>
      <c r="E152" s="2614"/>
      <c r="F152" s="2614"/>
    </row>
    <row r="153">
      <c r="B153" s="2614"/>
      <c r="C153" s="2614"/>
      <c r="D153" s="2614"/>
      <c r="E153" s="2614"/>
      <c r="F153" s="2614"/>
    </row>
    <row r="154">
      <c r="B154" s="2614"/>
      <c r="C154" s="2614"/>
      <c r="D154" s="2614"/>
      <c r="E154" s="2614"/>
      <c r="F154" s="2614"/>
    </row>
    <row r="155">
      <c r="B155" s="2614"/>
      <c r="C155" s="2614"/>
      <c r="D155" s="2614"/>
      <c r="E155" s="2614"/>
      <c r="F155" s="2614"/>
    </row>
    <row r="156">
      <c r="B156" s="2614"/>
      <c r="C156" s="2614"/>
      <c r="D156" s="2614"/>
      <c r="E156" s="2614"/>
      <c r="F156" s="2614"/>
    </row>
    <row r="157">
      <c r="B157" s="2614"/>
      <c r="C157" s="2614"/>
      <c r="D157" s="2614"/>
      <c r="E157" s="2614"/>
      <c r="F157" s="2614"/>
    </row>
    <row r="158">
      <c r="B158" s="2614"/>
      <c r="C158" s="2614"/>
      <c r="D158" s="2614"/>
      <c r="E158" s="2614"/>
      <c r="F158" s="2614"/>
    </row>
    <row r="159">
      <c r="B159" s="2614"/>
      <c r="C159" s="2614"/>
      <c r="D159" s="2614"/>
      <c r="E159" s="2614"/>
      <c r="F159" s="2614"/>
    </row>
    <row r="160">
      <c r="B160" s="2614"/>
      <c r="C160" s="2614"/>
      <c r="D160" s="2614"/>
      <c r="E160" s="2614"/>
      <c r="F160" s="2614"/>
    </row>
    <row r="161">
      <c r="B161" s="2614"/>
      <c r="C161" s="2614"/>
      <c r="D161" s="2614"/>
      <c r="E161" s="2614"/>
      <c r="F161" s="2614"/>
    </row>
    <row r="162">
      <c r="B162" s="2614"/>
      <c r="C162" s="2614"/>
      <c r="D162" s="2614"/>
      <c r="E162" s="2614"/>
      <c r="F162" s="2614"/>
    </row>
    <row r="163">
      <c r="B163" s="2614"/>
      <c r="C163" s="2614"/>
      <c r="D163" s="2614"/>
      <c r="E163" s="2614"/>
      <c r="F163" s="2614"/>
    </row>
    <row r="164">
      <c r="B164" s="2614"/>
      <c r="C164" s="2614"/>
      <c r="D164" s="2614"/>
      <c r="E164" s="2614"/>
      <c r="F164" s="2614"/>
    </row>
    <row r="165">
      <c r="B165" s="2614"/>
      <c r="C165" s="2614"/>
      <c r="D165" s="2614"/>
      <c r="E165" s="2614"/>
      <c r="F165" s="2614"/>
    </row>
    <row r="166">
      <c r="B166" s="2614"/>
      <c r="C166" s="2614"/>
      <c r="D166" s="2614"/>
      <c r="E166" s="2614"/>
      <c r="F166" s="2614"/>
    </row>
    <row r="167">
      <c r="B167" s="2614"/>
      <c r="C167" s="2614"/>
      <c r="D167" s="2614"/>
      <c r="E167" s="2614"/>
      <c r="F167" s="2614"/>
    </row>
    <row r="168">
      <c r="B168" s="2614"/>
      <c r="C168" s="2614"/>
      <c r="D168" s="2614"/>
      <c r="E168" s="2614"/>
      <c r="F168" s="2614"/>
    </row>
    <row r="169">
      <c r="B169" s="2614"/>
      <c r="C169" s="2614"/>
      <c r="D169" s="2614"/>
      <c r="E169" s="2614"/>
      <c r="F169" s="2614"/>
    </row>
    <row r="170">
      <c r="B170" s="2614"/>
      <c r="C170" s="2614"/>
      <c r="D170" s="2614"/>
      <c r="E170" s="2614"/>
      <c r="F170" s="2614"/>
    </row>
    <row r="171">
      <c r="B171" s="2614"/>
      <c r="C171" s="2614"/>
      <c r="D171" s="2614"/>
      <c r="E171" s="2614"/>
      <c r="F171" s="2614"/>
    </row>
    <row r="172">
      <c r="B172" s="2614"/>
      <c r="C172" s="2614"/>
      <c r="D172" s="2614"/>
      <c r="E172" s="2614"/>
      <c r="F172" s="2614"/>
    </row>
    <row r="173">
      <c r="B173" s="2614"/>
      <c r="C173" s="2614"/>
      <c r="D173" s="2614"/>
      <c r="E173" s="2614"/>
      <c r="F173" s="2614"/>
    </row>
    <row r="174">
      <c r="B174" s="2614"/>
      <c r="C174" s="2614"/>
      <c r="D174" s="2614"/>
      <c r="E174" s="2614"/>
      <c r="F174" s="2614"/>
    </row>
    <row r="175">
      <c r="B175" s="2614"/>
      <c r="C175" s="2614"/>
      <c r="D175" s="2614"/>
      <c r="E175" s="2614"/>
      <c r="F175" s="2614"/>
    </row>
    <row r="176">
      <c r="B176" s="2614"/>
      <c r="C176" s="2614"/>
      <c r="D176" s="2614"/>
      <c r="E176" s="2614"/>
      <c r="F176" s="2614"/>
    </row>
    <row r="177">
      <c r="B177" s="2614"/>
      <c r="C177" s="2614"/>
      <c r="D177" s="2614"/>
      <c r="E177" s="2614"/>
      <c r="F177" s="2614"/>
    </row>
    <row r="178">
      <c r="B178" s="2614"/>
      <c r="C178" s="2614"/>
      <c r="D178" s="2614"/>
      <c r="E178" s="2614"/>
      <c r="F178" s="2614"/>
    </row>
    <row r="179">
      <c r="B179" s="2614"/>
      <c r="C179" s="2614"/>
      <c r="D179" s="2614"/>
      <c r="E179" s="2614"/>
      <c r="F179" s="2614"/>
    </row>
    <row r="180">
      <c r="B180" s="2614"/>
      <c r="C180" s="2614"/>
      <c r="D180" s="2614"/>
      <c r="E180" s="2614"/>
      <c r="F180" s="2614"/>
    </row>
    <row r="181">
      <c r="B181" s="2614"/>
      <c r="C181" s="2614"/>
      <c r="D181" s="2614"/>
      <c r="E181" s="2614"/>
      <c r="F181" s="2614"/>
    </row>
    <row r="182">
      <c r="B182" s="2614"/>
      <c r="C182" s="2614"/>
      <c r="D182" s="2614"/>
      <c r="E182" s="2614"/>
      <c r="F182" s="2614"/>
    </row>
    <row r="183">
      <c r="B183" s="2614"/>
      <c r="C183" s="2614"/>
      <c r="D183" s="2614"/>
      <c r="E183" s="2614"/>
      <c r="F183" s="2614"/>
    </row>
    <row r="184">
      <c r="B184" s="2614"/>
      <c r="C184" s="2614"/>
      <c r="D184" s="2614"/>
      <c r="E184" s="2614"/>
      <c r="F184" s="2614"/>
    </row>
    <row r="185">
      <c r="B185" s="2614"/>
      <c r="C185" s="2614"/>
      <c r="D185" s="2614"/>
      <c r="E185" s="2614"/>
      <c r="F185" s="2614"/>
    </row>
    <row r="186">
      <c r="B186" s="2614"/>
      <c r="C186" s="2614"/>
      <c r="D186" s="2614"/>
      <c r="E186" s="2614"/>
      <c r="F186" s="2614"/>
    </row>
    <row r="187">
      <c r="B187" s="2614"/>
      <c r="C187" s="2614"/>
      <c r="D187" s="2614"/>
      <c r="E187" s="2614"/>
      <c r="F187" s="2614"/>
    </row>
    <row r="188">
      <c r="B188" s="2614"/>
      <c r="C188" s="2614"/>
      <c r="D188" s="2614"/>
      <c r="E188" s="2614"/>
      <c r="F188" s="2614"/>
    </row>
    <row r="189">
      <c r="B189" s="2614"/>
      <c r="C189" s="2614"/>
      <c r="D189" s="2614"/>
      <c r="E189" s="2614"/>
      <c r="F189" s="2614"/>
    </row>
    <row r="190">
      <c r="B190" s="2614"/>
      <c r="C190" s="2614"/>
      <c r="D190" s="2614"/>
      <c r="E190" s="2614"/>
      <c r="F190" s="2614"/>
    </row>
    <row r="191">
      <c r="B191" s="2614"/>
      <c r="C191" s="2614"/>
      <c r="D191" s="2614"/>
      <c r="E191" s="2614"/>
      <c r="F191" s="2614"/>
    </row>
    <row r="192">
      <c r="B192" s="2614"/>
      <c r="C192" s="2614"/>
      <c r="D192" s="2614"/>
      <c r="E192" s="2614"/>
      <c r="F192" s="2614"/>
    </row>
    <row r="193">
      <c r="B193" s="2614"/>
      <c r="C193" s="2614"/>
      <c r="D193" s="2614"/>
      <c r="E193" s="2614"/>
      <c r="F193" s="2614"/>
    </row>
    <row r="194">
      <c r="B194" s="2614"/>
      <c r="C194" s="2614"/>
      <c r="D194" s="2614"/>
      <c r="E194" s="2614"/>
      <c r="F194" s="2614"/>
    </row>
    <row r="195">
      <c r="B195" s="2614"/>
      <c r="C195" s="2614"/>
      <c r="D195" s="2614"/>
      <c r="E195" s="2614"/>
      <c r="F195" s="2614"/>
    </row>
    <row r="196">
      <c r="B196" s="2614"/>
      <c r="C196" s="2614"/>
      <c r="D196" s="2614"/>
      <c r="E196" s="2614"/>
      <c r="F196" s="2614"/>
    </row>
    <row r="197">
      <c r="B197" s="2614"/>
      <c r="C197" s="2614"/>
      <c r="D197" s="2614"/>
      <c r="E197" s="2614"/>
      <c r="F197" s="2614"/>
    </row>
    <row r="198">
      <c r="B198" s="2614"/>
      <c r="C198" s="2614"/>
      <c r="D198" s="2614"/>
      <c r="E198" s="2614"/>
      <c r="F198" s="2614"/>
    </row>
    <row r="199">
      <c r="B199" s="2614"/>
      <c r="C199" s="2614"/>
      <c r="D199" s="2614"/>
      <c r="E199" s="2614"/>
      <c r="F199" s="2614"/>
    </row>
    <row r="200">
      <c r="B200" s="2614"/>
      <c r="C200" s="2614"/>
      <c r="D200" s="2614"/>
      <c r="E200" s="2614"/>
      <c r="F200" s="2614"/>
    </row>
    <row r="201">
      <c r="B201" s="2614"/>
      <c r="C201" s="2614"/>
      <c r="D201" s="2614"/>
      <c r="E201" s="2614"/>
      <c r="F201" s="2614"/>
    </row>
    <row r="202">
      <c r="B202" s="2614"/>
      <c r="C202" s="2614"/>
      <c r="D202" s="2614"/>
      <c r="E202" s="2614"/>
      <c r="F202" s="2614"/>
    </row>
    <row r="203">
      <c r="B203" s="2614"/>
      <c r="C203" s="2614"/>
      <c r="D203" s="2614"/>
      <c r="E203" s="2614"/>
      <c r="F203" s="2614"/>
    </row>
    <row r="204">
      <c r="B204" s="2614"/>
      <c r="C204" s="2614"/>
      <c r="D204" s="2614"/>
      <c r="E204" s="2614"/>
      <c r="F204" s="2614"/>
    </row>
    <row r="205">
      <c r="B205" s="2614"/>
      <c r="C205" s="2614"/>
      <c r="D205" s="2614"/>
      <c r="E205" s="2614"/>
      <c r="F205" s="2614"/>
    </row>
    <row r="206">
      <c r="B206" s="2614"/>
      <c r="C206" s="2614"/>
      <c r="D206" s="2614"/>
      <c r="E206" s="2614"/>
      <c r="F206" s="2614"/>
    </row>
    <row r="207">
      <c r="B207" s="2614"/>
      <c r="C207" s="2614"/>
      <c r="D207" s="2614"/>
      <c r="E207" s="2614"/>
      <c r="F207" s="2614"/>
    </row>
    <row r="208">
      <c r="B208" s="2614"/>
      <c r="C208" s="2614"/>
      <c r="D208" s="2614"/>
      <c r="E208" s="2614"/>
      <c r="F208" s="2614"/>
    </row>
    <row r="209">
      <c r="B209" s="2614"/>
      <c r="C209" s="2614"/>
      <c r="D209" s="2614"/>
      <c r="E209" s="2614"/>
      <c r="F209" s="2614"/>
    </row>
    <row r="210">
      <c r="B210" s="2614"/>
      <c r="C210" s="2614"/>
      <c r="D210" s="2614"/>
      <c r="E210" s="2614"/>
      <c r="F210" s="2614"/>
    </row>
    <row r="211">
      <c r="B211" s="2614"/>
      <c r="C211" s="2614"/>
      <c r="D211" s="2614"/>
      <c r="E211" s="2614"/>
      <c r="F211" s="2614"/>
    </row>
    <row r="212">
      <c r="B212" s="2614"/>
      <c r="C212" s="2614"/>
      <c r="D212" s="2614"/>
      <c r="E212" s="2614"/>
      <c r="F212" s="2614"/>
    </row>
    <row r="213">
      <c r="B213" s="2614"/>
      <c r="C213" s="2614"/>
      <c r="D213" s="2614"/>
      <c r="E213" s="2614"/>
      <c r="F213" s="2614"/>
    </row>
    <row r="214">
      <c r="B214" s="2614"/>
      <c r="C214" s="2614"/>
      <c r="D214" s="2614"/>
      <c r="E214" s="2614"/>
      <c r="F214" s="2614"/>
    </row>
    <row r="215">
      <c r="B215" s="2614"/>
      <c r="C215" s="2614"/>
      <c r="D215" s="2614"/>
      <c r="E215" s="2614"/>
      <c r="F215" s="2614"/>
    </row>
    <row r="216">
      <c r="B216" s="2614"/>
      <c r="C216" s="2614"/>
      <c r="D216" s="2614"/>
      <c r="E216" s="2614"/>
      <c r="F216" s="2614"/>
    </row>
    <row r="217">
      <c r="B217" s="2614"/>
      <c r="C217" s="2614"/>
      <c r="D217" s="2614"/>
      <c r="E217" s="2614"/>
      <c r="F217" s="2614"/>
    </row>
    <row r="218">
      <c r="B218" s="2614"/>
      <c r="C218" s="2614"/>
      <c r="D218" s="2614"/>
      <c r="E218" s="2614"/>
      <c r="F218" s="2614"/>
    </row>
    <row r="219">
      <c r="B219" s="2614"/>
      <c r="C219" s="2614"/>
      <c r="D219" s="2614"/>
      <c r="E219" s="2614"/>
      <c r="F219" s="2614"/>
    </row>
    <row r="220">
      <c r="B220" s="2614"/>
      <c r="C220" s="2614"/>
      <c r="D220" s="2614"/>
      <c r="E220" s="2614"/>
      <c r="F220" s="2614"/>
    </row>
    <row r="221">
      <c r="B221" s="2614"/>
      <c r="C221" s="2614"/>
      <c r="D221" s="2614"/>
      <c r="E221" s="2614"/>
      <c r="F221" s="2614"/>
    </row>
    <row r="222">
      <c r="B222" s="2614"/>
      <c r="C222" s="2614"/>
      <c r="D222" s="2614"/>
      <c r="E222" s="2614"/>
      <c r="F222" s="2614"/>
    </row>
    <row r="223">
      <c r="B223" s="2614"/>
      <c r="C223" s="2614"/>
      <c r="D223" s="2614"/>
      <c r="E223" s="2614"/>
      <c r="F223" s="2614"/>
    </row>
    <row r="224">
      <c r="B224" s="2614"/>
      <c r="C224" s="2614"/>
      <c r="D224" s="2614"/>
      <c r="E224" s="2614"/>
      <c r="F224" s="2614"/>
    </row>
    <row r="225">
      <c r="B225" s="2614"/>
      <c r="C225" s="2614"/>
      <c r="D225" s="2614"/>
      <c r="E225" s="2614"/>
      <c r="F225" s="2614"/>
    </row>
    <row r="226">
      <c r="B226" s="2614"/>
      <c r="C226" s="2614"/>
      <c r="D226" s="2614"/>
      <c r="E226" s="2614"/>
      <c r="F226" s="2614"/>
    </row>
    <row r="227">
      <c r="B227" s="2614"/>
      <c r="C227" s="2614"/>
      <c r="D227" s="2614"/>
      <c r="E227" s="2614"/>
      <c r="F227" s="2614"/>
    </row>
    <row r="228">
      <c r="B228" s="2614"/>
      <c r="C228" s="2614"/>
      <c r="D228" s="2614"/>
      <c r="E228" s="2614"/>
      <c r="F228" s="2614"/>
    </row>
    <row r="229">
      <c r="B229" s="2614"/>
      <c r="C229" s="2614"/>
      <c r="D229" s="2614"/>
      <c r="E229" s="2614"/>
      <c r="F229" s="2614"/>
    </row>
    <row r="230">
      <c r="B230" s="2614"/>
      <c r="C230" s="2614"/>
      <c r="D230" s="2614"/>
      <c r="E230" s="2614"/>
      <c r="F230" s="2614"/>
    </row>
    <row r="231">
      <c r="B231" s="2614"/>
      <c r="C231" s="2614"/>
      <c r="D231" s="2614"/>
      <c r="E231" s="2614"/>
      <c r="F231" s="2614"/>
    </row>
    <row r="232">
      <c r="B232" s="2614"/>
      <c r="C232" s="2614"/>
      <c r="D232" s="2614"/>
      <c r="E232" s="2614"/>
      <c r="F232" s="2614"/>
    </row>
    <row r="233">
      <c r="B233" s="2614"/>
      <c r="C233" s="2614"/>
      <c r="D233" s="2614"/>
      <c r="E233" s="2614"/>
      <c r="F233" s="2614"/>
    </row>
    <row r="234">
      <c r="B234" s="2614"/>
      <c r="C234" s="2614"/>
      <c r="D234" s="2614"/>
      <c r="E234" s="2614"/>
      <c r="F234" s="2614"/>
    </row>
    <row r="235">
      <c r="B235" s="2614"/>
      <c r="C235" s="2614"/>
      <c r="D235" s="2614"/>
      <c r="E235" s="2614"/>
      <c r="F235" s="2614"/>
    </row>
    <row r="236">
      <c r="B236" s="2614"/>
      <c r="C236" s="2614"/>
      <c r="D236" s="2614"/>
      <c r="E236" s="2614"/>
      <c r="F236" s="2614"/>
    </row>
    <row r="237">
      <c r="B237" s="2614"/>
      <c r="C237" s="2614"/>
      <c r="D237" s="2614"/>
      <c r="E237" s="2614"/>
      <c r="F237" s="2614"/>
    </row>
    <row r="238">
      <c r="B238" s="2614"/>
      <c r="C238" s="2614"/>
      <c r="D238" s="2614"/>
      <c r="E238" s="2614"/>
      <c r="F238" s="2614"/>
    </row>
    <row r="239">
      <c r="B239" s="2614"/>
      <c r="C239" s="2614"/>
      <c r="D239" s="2614"/>
      <c r="E239" s="2614"/>
      <c r="F239" s="2614"/>
    </row>
    <row r="240">
      <c r="B240" s="2614"/>
      <c r="C240" s="2614"/>
      <c r="D240" s="2614"/>
      <c r="E240" s="2614"/>
      <c r="F240" s="2614"/>
    </row>
    <row r="241">
      <c r="B241" s="2614"/>
      <c r="C241" s="2614"/>
      <c r="D241" s="2614"/>
      <c r="E241" s="2614"/>
      <c r="F241" s="2614"/>
    </row>
    <row r="242">
      <c r="B242" s="2614"/>
      <c r="C242" s="2614"/>
      <c r="D242" s="2614"/>
      <c r="E242" s="2614"/>
      <c r="F242" s="2614"/>
    </row>
    <row r="243">
      <c r="B243" s="2614"/>
      <c r="C243" s="2614"/>
      <c r="D243" s="2614"/>
      <c r="E243" s="2614"/>
      <c r="F243" s="2614"/>
    </row>
    <row r="244">
      <c r="B244" s="2614"/>
      <c r="C244" s="2614"/>
      <c r="D244" s="2614"/>
      <c r="E244" s="2614"/>
      <c r="F244" s="2614"/>
    </row>
    <row r="245">
      <c r="B245" s="2614"/>
      <c r="C245" s="2614"/>
      <c r="D245" s="2614"/>
      <c r="E245" s="2614"/>
      <c r="F245" s="2614"/>
    </row>
    <row r="246">
      <c r="B246" s="2614"/>
      <c r="C246" s="2614"/>
      <c r="D246" s="2614"/>
      <c r="E246" s="2614"/>
      <c r="F246" s="2614"/>
    </row>
    <row r="247">
      <c r="B247" s="2614"/>
      <c r="C247" s="2614"/>
      <c r="D247" s="2614"/>
      <c r="E247" s="2614"/>
      <c r="F247" s="2614"/>
    </row>
    <row r="248">
      <c r="B248" s="2614"/>
      <c r="C248" s="2614"/>
      <c r="D248" s="2614"/>
      <c r="E248" s="2614"/>
      <c r="F248" s="2614"/>
    </row>
    <row r="249">
      <c r="B249" s="2614"/>
      <c r="C249" s="2614"/>
      <c r="D249" s="2614"/>
      <c r="E249" s="2614"/>
      <c r="F249" s="2614"/>
    </row>
    <row r="250">
      <c r="B250" s="2614"/>
      <c r="C250" s="2614"/>
      <c r="D250" s="2614"/>
      <c r="E250" s="2614"/>
      <c r="F250" s="2614"/>
    </row>
    <row r="251">
      <c r="B251" s="2614"/>
      <c r="C251" s="2614"/>
      <c r="D251" s="2614"/>
      <c r="E251" s="2614"/>
      <c r="F251" s="2614"/>
    </row>
    <row r="252">
      <c r="B252" s="2614"/>
      <c r="C252" s="2614"/>
      <c r="D252" s="2614"/>
      <c r="E252" s="2614"/>
      <c r="F252" s="2614"/>
    </row>
    <row r="253">
      <c r="B253" s="2614"/>
      <c r="C253" s="2614"/>
      <c r="D253" s="2614"/>
      <c r="E253" s="2614"/>
      <c r="F253" s="2614"/>
    </row>
    <row r="254">
      <c r="B254" s="2614"/>
      <c r="C254" s="2614"/>
      <c r="D254" s="2614"/>
      <c r="E254" s="2614"/>
      <c r="F254" s="2614"/>
    </row>
    <row r="255">
      <c r="B255" s="2614"/>
      <c r="C255" s="2614"/>
      <c r="D255" s="2614"/>
      <c r="E255" s="2614"/>
      <c r="F255" s="2614"/>
    </row>
    <row r="256">
      <c r="B256" s="2614"/>
      <c r="C256" s="2614"/>
      <c r="D256" s="2614"/>
      <c r="E256" s="2614"/>
      <c r="F256" s="2614"/>
    </row>
    <row r="257">
      <c r="B257" s="2614"/>
      <c r="C257" s="2614"/>
      <c r="D257" s="2614"/>
      <c r="E257" s="2614"/>
      <c r="F257" s="2614"/>
    </row>
    <row r="258">
      <c r="B258" s="2614"/>
      <c r="C258" s="2614"/>
      <c r="D258" s="2614"/>
      <c r="E258" s="2614"/>
      <c r="F258" s="2614"/>
    </row>
    <row r="259">
      <c r="B259" s="2614"/>
      <c r="C259" s="2614"/>
      <c r="D259" s="2614"/>
      <c r="E259" s="2614"/>
      <c r="F259" s="2614"/>
    </row>
    <row r="260">
      <c r="B260" s="2614"/>
      <c r="C260" s="2614"/>
      <c r="D260" s="2614"/>
      <c r="E260" s="2614"/>
      <c r="F260" s="2614"/>
    </row>
    <row r="261">
      <c r="B261" s="2614"/>
      <c r="C261" s="2614"/>
      <c r="D261" s="2614"/>
      <c r="E261" s="2614"/>
      <c r="F261" s="2614"/>
    </row>
    <row r="262">
      <c r="B262" s="2614"/>
      <c r="C262" s="2614"/>
      <c r="D262" s="2614"/>
      <c r="E262" s="2614"/>
      <c r="F262" s="2614"/>
    </row>
    <row r="263">
      <c r="B263" s="2614"/>
      <c r="C263" s="2614"/>
      <c r="D263" s="2614"/>
      <c r="E263" s="2614"/>
      <c r="F263" s="2614"/>
    </row>
    <row r="264">
      <c r="B264" s="2614"/>
      <c r="C264" s="2614"/>
      <c r="D264" s="2614"/>
      <c r="E264" s="2614"/>
      <c r="F264" s="2614"/>
    </row>
    <row r="265">
      <c r="B265" s="2614"/>
      <c r="C265" s="2614"/>
      <c r="D265" s="2614"/>
      <c r="E265" s="2614"/>
      <c r="F265" s="2614"/>
    </row>
    <row r="266">
      <c r="B266" s="2614"/>
      <c r="C266" s="2614"/>
      <c r="D266" s="2614"/>
      <c r="E266" s="2614"/>
      <c r="F266" s="2614"/>
    </row>
    <row r="267">
      <c r="B267" s="2614"/>
      <c r="C267" s="2614"/>
      <c r="D267" s="2614"/>
      <c r="E267" s="2614"/>
      <c r="F267" s="2614"/>
    </row>
    <row r="268">
      <c r="B268" s="2614"/>
      <c r="C268" s="2614"/>
      <c r="D268" s="2614"/>
      <c r="E268" s="2614"/>
      <c r="F268" s="2614"/>
    </row>
    <row r="269">
      <c r="B269" s="2614"/>
      <c r="C269" s="2614"/>
      <c r="D269" s="2614"/>
      <c r="E269" s="2614"/>
      <c r="F269" s="2614"/>
    </row>
    <row r="270">
      <c r="B270" s="2614"/>
      <c r="C270" s="2614"/>
      <c r="D270" s="2614"/>
      <c r="E270" s="2614"/>
      <c r="F270" s="2614"/>
    </row>
    <row r="271">
      <c r="B271" s="2614"/>
      <c r="C271" s="2614"/>
      <c r="D271" s="2614"/>
      <c r="E271" s="2614"/>
      <c r="F271" s="2614"/>
    </row>
    <row r="272">
      <c r="B272" s="2614"/>
      <c r="C272" s="2614"/>
      <c r="D272" s="2614"/>
      <c r="E272" s="2614"/>
      <c r="F272" s="2614"/>
    </row>
    <row r="273">
      <c r="B273" s="2614"/>
      <c r="C273" s="2614"/>
      <c r="D273" s="2614"/>
      <c r="E273" s="2614"/>
      <c r="F273" s="2614"/>
    </row>
    <row r="274">
      <c r="B274" s="2614"/>
      <c r="C274" s="2614"/>
      <c r="D274" s="2614"/>
      <c r="E274" s="2614"/>
      <c r="F274" s="2614"/>
    </row>
    <row r="275">
      <c r="B275" s="2614"/>
      <c r="C275" s="2614"/>
      <c r="D275" s="2614"/>
      <c r="E275" s="2614"/>
      <c r="F275" s="2614"/>
    </row>
    <row r="276">
      <c r="B276" s="2614"/>
      <c r="C276" s="2614"/>
      <c r="D276" s="2614"/>
      <c r="E276" s="2614"/>
      <c r="F276" s="2614"/>
    </row>
    <row r="277">
      <c r="B277" s="2614"/>
      <c r="C277" s="2614"/>
      <c r="D277" s="2614"/>
      <c r="E277" s="2614"/>
      <c r="F277" s="2614"/>
    </row>
    <row r="278">
      <c r="B278" s="2614"/>
      <c r="C278" s="2614"/>
      <c r="D278" s="2614"/>
      <c r="E278" s="2614"/>
      <c r="F278" s="2614"/>
    </row>
    <row r="279">
      <c r="B279" s="2614"/>
      <c r="C279" s="2614"/>
      <c r="D279" s="2614"/>
      <c r="E279" s="2614"/>
      <c r="F279" s="2614"/>
    </row>
    <row r="280">
      <c r="B280" s="2614"/>
      <c r="C280" s="2614"/>
      <c r="D280" s="2614"/>
      <c r="E280" s="2614"/>
      <c r="F280" s="2614"/>
    </row>
    <row r="281">
      <c r="B281" s="2614"/>
      <c r="C281" s="2614"/>
      <c r="D281" s="2614"/>
      <c r="E281" s="2614"/>
      <c r="F281" s="2614"/>
    </row>
    <row r="282">
      <c r="B282" s="2614"/>
      <c r="C282" s="2614"/>
      <c r="D282" s="2614"/>
      <c r="E282" s="2614"/>
      <c r="F282" s="2614"/>
    </row>
    <row r="283">
      <c r="B283" s="2614"/>
      <c r="C283" s="2614"/>
      <c r="D283" s="2614"/>
      <c r="E283" s="2614"/>
      <c r="F283" s="2614"/>
    </row>
    <row r="284">
      <c r="B284" s="2614"/>
      <c r="C284" s="2614"/>
      <c r="D284" s="2614"/>
      <c r="E284" s="2614"/>
      <c r="F284" s="2614"/>
    </row>
    <row r="285">
      <c r="B285" s="2614"/>
      <c r="C285" s="2614"/>
      <c r="D285" s="2614"/>
      <c r="E285" s="2614"/>
      <c r="F285" s="2614"/>
    </row>
    <row r="286">
      <c r="B286" s="2614"/>
      <c r="C286" s="2614"/>
      <c r="D286" s="2614"/>
      <c r="E286" s="2614"/>
      <c r="F286" s="2614"/>
    </row>
    <row r="287">
      <c r="B287" s="2614"/>
      <c r="C287" s="2614"/>
      <c r="D287" s="2614"/>
      <c r="E287" s="2614"/>
      <c r="F287" s="2614"/>
    </row>
    <row r="288">
      <c r="B288" s="2614"/>
      <c r="C288" s="2614"/>
      <c r="D288" s="2614"/>
      <c r="E288" s="2614"/>
      <c r="F288" s="2614"/>
    </row>
    <row r="289">
      <c r="B289" s="2614"/>
      <c r="C289" s="2614"/>
      <c r="D289" s="2614"/>
      <c r="E289" s="2614"/>
      <c r="F289" s="2614"/>
    </row>
    <row r="290">
      <c r="B290" s="2614"/>
      <c r="C290" s="2614"/>
      <c r="D290" s="2614"/>
      <c r="E290" s="2614"/>
      <c r="F290" s="2614"/>
    </row>
    <row r="291">
      <c r="B291" s="2614"/>
      <c r="C291" s="2614"/>
      <c r="D291" s="2614"/>
      <c r="E291" s="2614"/>
      <c r="F291" s="2614"/>
    </row>
    <row r="292">
      <c r="B292" s="2614"/>
      <c r="C292" s="2614"/>
      <c r="D292" s="2614"/>
      <c r="E292" s="2614"/>
      <c r="F292" s="2614"/>
    </row>
    <row r="293">
      <c r="B293" s="2614"/>
      <c r="C293" s="2614"/>
      <c r="D293" s="2614"/>
      <c r="E293" s="2614"/>
      <c r="F293" s="2614"/>
    </row>
    <row r="294">
      <c r="B294" s="2614"/>
      <c r="C294" s="2614"/>
      <c r="D294" s="2614"/>
      <c r="E294" s="2614"/>
      <c r="F294" s="2614"/>
    </row>
    <row r="295">
      <c r="B295" s="2614"/>
      <c r="C295" s="2614"/>
      <c r="D295" s="2614"/>
      <c r="E295" s="2614"/>
      <c r="F295" s="2614"/>
    </row>
    <row r="296">
      <c r="B296" s="2614"/>
      <c r="C296" s="2614"/>
      <c r="D296" s="2614"/>
      <c r="E296" s="2614"/>
      <c r="F296" s="2614"/>
    </row>
    <row r="297">
      <c r="B297" s="2614"/>
      <c r="C297" s="2614"/>
      <c r="D297" s="2614"/>
      <c r="E297" s="2614"/>
      <c r="F297" s="2614"/>
    </row>
    <row r="298">
      <c r="B298" s="2614"/>
      <c r="C298" s="2614"/>
      <c r="D298" s="2614"/>
      <c r="E298" s="2614"/>
      <c r="F298" s="2614"/>
    </row>
    <row r="299">
      <c r="B299" s="2614"/>
      <c r="C299" s="2614"/>
      <c r="D299" s="2614"/>
      <c r="E299" s="2614"/>
      <c r="F299" s="2614"/>
    </row>
    <row r="300">
      <c r="B300" s="2614"/>
      <c r="C300" s="2614"/>
      <c r="D300" s="2614"/>
      <c r="E300" s="2614"/>
      <c r="F300" s="2614"/>
    </row>
    <row r="301">
      <c r="B301" s="2614"/>
      <c r="C301" s="2614"/>
      <c r="D301" s="2614"/>
      <c r="E301" s="2614"/>
      <c r="F301" s="2614"/>
    </row>
    <row r="302">
      <c r="B302" s="2614"/>
      <c r="C302" s="2614"/>
      <c r="D302" s="2614"/>
      <c r="E302" s="2614"/>
      <c r="F302" s="2614"/>
    </row>
    <row r="303">
      <c r="B303" s="2614"/>
      <c r="C303" s="2614"/>
      <c r="D303" s="2614"/>
      <c r="E303" s="2614"/>
      <c r="F303" s="2614"/>
    </row>
    <row r="304">
      <c r="B304" s="2614"/>
      <c r="C304" s="2614"/>
      <c r="D304" s="2614"/>
      <c r="E304" s="2614"/>
      <c r="F304" s="2614"/>
    </row>
    <row r="305">
      <c r="B305" s="2614"/>
      <c r="C305" s="2614"/>
      <c r="D305" s="2614"/>
      <c r="E305" s="2614"/>
      <c r="F305" s="2614"/>
    </row>
    <row r="306">
      <c r="B306" s="2614"/>
      <c r="C306" s="2614"/>
      <c r="D306" s="2614"/>
      <c r="E306" s="2614"/>
      <c r="F306" s="2614"/>
    </row>
    <row r="307">
      <c r="B307" s="2614"/>
      <c r="C307" s="2614"/>
      <c r="D307" s="2614"/>
      <c r="E307" s="2614"/>
      <c r="F307" s="2614"/>
    </row>
    <row r="308">
      <c r="B308" s="2614"/>
      <c r="C308" s="2614"/>
      <c r="D308" s="2614"/>
      <c r="E308" s="2614"/>
      <c r="F308" s="2614"/>
    </row>
    <row r="309">
      <c r="B309" s="2614"/>
      <c r="C309" s="2614"/>
      <c r="D309" s="2614"/>
      <c r="E309" s="2614"/>
      <c r="F309" s="2614"/>
    </row>
    <row r="310">
      <c r="B310" s="2614"/>
      <c r="C310" s="2614"/>
      <c r="D310" s="2614"/>
      <c r="E310" s="2614"/>
      <c r="F310" s="2614"/>
    </row>
    <row r="311">
      <c r="B311" s="2614"/>
      <c r="C311" s="2614"/>
      <c r="D311" s="2614"/>
      <c r="E311" s="2614"/>
      <c r="F311" s="2614"/>
    </row>
    <row r="312">
      <c r="B312" s="2614"/>
      <c r="C312" s="2614"/>
      <c r="D312" s="2614"/>
      <c r="E312" s="2614"/>
      <c r="F312" s="2614"/>
    </row>
    <row r="313">
      <c r="B313" s="2614"/>
      <c r="C313" s="2614"/>
      <c r="D313" s="2614"/>
      <c r="E313" s="2614"/>
      <c r="F313" s="2614"/>
    </row>
    <row r="314">
      <c r="B314" s="2614"/>
      <c r="C314" s="2614"/>
      <c r="D314" s="2614"/>
      <c r="E314" s="2614"/>
      <c r="F314" s="2614"/>
    </row>
    <row r="315">
      <c r="B315" s="2614"/>
      <c r="C315" s="2614"/>
      <c r="D315" s="2614"/>
      <c r="E315" s="2614"/>
      <c r="F315" s="2614"/>
    </row>
    <row r="316">
      <c r="B316" s="2614"/>
      <c r="C316" s="2614"/>
      <c r="D316" s="2614"/>
      <c r="E316" s="2614"/>
      <c r="F316" s="2614"/>
    </row>
    <row r="317">
      <c r="B317" s="2614"/>
      <c r="C317" s="2614"/>
      <c r="D317" s="2614"/>
      <c r="E317" s="2614"/>
      <c r="F317" s="2614"/>
    </row>
    <row r="318">
      <c r="B318" s="2614"/>
      <c r="C318" s="2614"/>
      <c r="D318" s="2614"/>
      <c r="E318" s="2614"/>
      <c r="F318" s="2614"/>
    </row>
    <row r="319">
      <c r="B319" s="2614"/>
      <c r="C319" s="2614"/>
      <c r="D319" s="2614"/>
      <c r="E319" s="2614"/>
      <c r="F319" s="2614"/>
    </row>
    <row r="320">
      <c r="B320" s="2614"/>
      <c r="C320" s="2614"/>
      <c r="D320" s="2614"/>
      <c r="E320" s="2614"/>
      <c r="F320" s="2614"/>
    </row>
    <row r="321">
      <c r="B321" s="2614"/>
      <c r="C321" s="2614"/>
      <c r="D321" s="2614"/>
      <c r="E321" s="2614"/>
      <c r="F321" s="2614"/>
    </row>
    <row r="322">
      <c r="B322" s="2614"/>
      <c r="C322" s="2614"/>
      <c r="D322" s="2614"/>
      <c r="E322" s="2614"/>
      <c r="F322" s="2614"/>
    </row>
    <row r="323">
      <c r="B323" s="2614"/>
      <c r="C323" s="2614"/>
      <c r="D323" s="2614"/>
      <c r="E323" s="2614"/>
      <c r="F323" s="2614"/>
    </row>
    <row r="324">
      <c r="B324" s="2614"/>
      <c r="C324" s="2614"/>
      <c r="D324" s="2614"/>
      <c r="E324" s="2614"/>
      <c r="F324" s="2614"/>
    </row>
    <row r="325">
      <c r="B325" s="2614"/>
      <c r="C325" s="2614"/>
      <c r="D325" s="2614"/>
      <c r="E325" s="2614"/>
      <c r="F325" s="2614"/>
    </row>
    <row r="326">
      <c r="B326" s="2614"/>
      <c r="C326" s="2614"/>
      <c r="D326" s="2614"/>
      <c r="E326" s="2614"/>
      <c r="F326" s="2614"/>
    </row>
    <row r="327">
      <c r="B327" s="2614"/>
      <c r="C327" s="2614"/>
      <c r="D327" s="2614"/>
      <c r="E327" s="2614"/>
      <c r="F327" s="2614"/>
    </row>
    <row r="328">
      <c r="B328" s="2614"/>
      <c r="C328" s="2614"/>
      <c r="D328" s="2614"/>
      <c r="E328" s="2614"/>
      <c r="F328" s="2614"/>
    </row>
    <row r="329">
      <c r="B329" s="2614"/>
      <c r="C329" s="2614"/>
      <c r="D329" s="2614"/>
      <c r="E329" s="2614"/>
      <c r="F329" s="2614"/>
    </row>
    <row r="330">
      <c r="B330" s="2614"/>
      <c r="C330" s="2614"/>
      <c r="D330" s="2614"/>
      <c r="E330" s="2614"/>
      <c r="F330" s="2614"/>
    </row>
    <row r="331">
      <c r="B331" s="2614"/>
      <c r="C331" s="2614"/>
      <c r="D331" s="2614"/>
      <c r="E331" s="2614"/>
      <c r="F331" s="2614"/>
    </row>
    <row r="332">
      <c r="B332" s="2614"/>
      <c r="C332" s="2614"/>
      <c r="D332" s="2614"/>
      <c r="E332" s="2614"/>
      <c r="F332" s="2614"/>
    </row>
    <row r="333">
      <c r="B333" s="2614"/>
      <c r="C333" s="2614"/>
      <c r="D333" s="2614"/>
      <c r="E333" s="2614"/>
      <c r="F333" s="2614"/>
    </row>
    <row r="334">
      <c r="B334" s="2614"/>
      <c r="C334" s="2614"/>
      <c r="D334" s="2614"/>
      <c r="E334" s="2614"/>
      <c r="F334" s="2614"/>
    </row>
    <row r="335">
      <c r="B335" s="2614"/>
      <c r="C335" s="2614"/>
      <c r="D335" s="2614"/>
      <c r="E335" s="2614"/>
      <c r="F335" s="2614"/>
    </row>
    <row r="336">
      <c r="B336" s="2614"/>
      <c r="C336" s="2614"/>
      <c r="D336" s="2614"/>
      <c r="E336" s="2614"/>
      <c r="F336" s="2614"/>
    </row>
    <row r="337">
      <c r="B337" s="2614"/>
      <c r="C337" s="2614"/>
      <c r="D337" s="2614"/>
      <c r="E337" s="2614"/>
      <c r="F337" s="2614"/>
    </row>
    <row r="338">
      <c r="B338" s="2614"/>
      <c r="C338" s="2614"/>
      <c r="D338" s="2614"/>
      <c r="E338" s="2614"/>
      <c r="F338" s="2614"/>
    </row>
    <row r="339">
      <c r="B339" s="2614"/>
      <c r="C339" s="2614"/>
      <c r="D339" s="2614"/>
      <c r="E339" s="2614"/>
      <c r="F339" s="2614"/>
    </row>
    <row r="340">
      <c r="B340" s="2614"/>
      <c r="C340" s="2614"/>
      <c r="D340" s="2614"/>
      <c r="E340" s="2614"/>
      <c r="F340" s="2614"/>
    </row>
    <row r="341">
      <c r="B341" s="2614"/>
      <c r="C341" s="2614"/>
      <c r="D341" s="2614"/>
      <c r="E341" s="2614"/>
      <c r="F341" s="2614"/>
    </row>
    <row r="342">
      <c r="B342" s="2614"/>
      <c r="C342" s="2614"/>
      <c r="D342" s="2614"/>
      <c r="E342" s="2614"/>
      <c r="F342" s="2614"/>
    </row>
    <row r="343">
      <c r="B343" s="2614"/>
      <c r="C343" s="2614"/>
      <c r="D343" s="2614"/>
      <c r="E343" s="2614"/>
      <c r="F343" s="2614"/>
    </row>
    <row r="344">
      <c r="B344" s="2614"/>
      <c r="C344" s="2614"/>
      <c r="D344" s="2614"/>
      <c r="E344" s="2614"/>
      <c r="F344" s="2614"/>
    </row>
    <row r="345">
      <c r="B345" s="2614"/>
      <c r="C345" s="2614"/>
      <c r="D345" s="2614"/>
      <c r="E345" s="2614"/>
      <c r="F345" s="2614"/>
    </row>
    <row r="346">
      <c r="B346" s="2614"/>
      <c r="C346" s="2614"/>
      <c r="D346" s="2614"/>
      <c r="E346" s="2614"/>
      <c r="F346" s="2614"/>
    </row>
    <row r="347">
      <c r="B347" s="2614"/>
      <c r="C347" s="2614"/>
      <c r="D347" s="2614"/>
      <c r="E347" s="2614"/>
      <c r="F347" s="2614"/>
    </row>
    <row r="348">
      <c r="B348" s="2614"/>
      <c r="C348" s="2614"/>
      <c r="D348" s="2614"/>
      <c r="E348" s="2614"/>
      <c r="F348" s="2614"/>
    </row>
    <row r="349">
      <c r="B349" s="2614"/>
      <c r="C349" s="2614"/>
      <c r="D349" s="2614"/>
      <c r="E349" s="2614"/>
      <c r="F349" s="2614"/>
    </row>
    <row r="350">
      <c r="B350" s="2614"/>
      <c r="C350" s="2614"/>
      <c r="D350" s="2614"/>
      <c r="E350" s="2614"/>
      <c r="F350" s="2614"/>
    </row>
    <row r="351">
      <c r="B351" s="2614"/>
      <c r="C351" s="2614"/>
      <c r="D351" s="2614"/>
      <c r="E351" s="2614"/>
      <c r="F351" s="2614"/>
    </row>
    <row r="352">
      <c r="B352" s="2614"/>
      <c r="C352" s="2614"/>
      <c r="D352" s="2614"/>
      <c r="E352" s="2614"/>
      <c r="F352" s="2614"/>
    </row>
    <row r="353">
      <c r="B353" s="2614"/>
      <c r="C353" s="2614"/>
      <c r="D353" s="2614"/>
      <c r="E353" s="2614"/>
      <c r="F353" s="2614"/>
    </row>
    <row r="354">
      <c r="B354" s="2614"/>
      <c r="C354" s="2614"/>
      <c r="D354" s="2614"/>
      <c r="E354" s="2614"/>
      <c r="F354" s="2614"/>
    </row>
    <row r="355">
      <c r="B355" s="2614"/>
      <c r="C355" s="2614"/>
      <c r="D355" s="2614"/>
      <c r="E355" s="2614"/>
      <c r="F355" s="2614"/>
    </row>
    <row r="356">
      <c r="B356" s="2614"/>
      <c r="C356" s="2614"/>
      <c r="D356" s="2614"/>
      <c r="E356" s="2614"/>
      <c r="F356" s="2614"/>
    </row>
    <row r="357">
      <c r="B357" s="2614"/>
      <c r="C357" s="2614"/>
      <c r="D357" s="2614"/>
      <c r="E357" s="2614"/>
      <c r="F357" s="2614"/>
    </row>
    <row r="358">
      <c r="B358" s="2614"/>
      <c r="C358" s="2614"/>
      <c r="D358" s="2614"/>
      <c r="E358" s="2614"/>
      <c r="F358" s="2614"/>
    </row>
    <row r="359">
      <c r="B359" s="2614"/>
      <c r="C359" s="2614"/>
      <c r="D359" s="2614"/>
      <c r="E359" s="2614"/>
      <c r="F359" s="2614"/>
    </row>
    <row r="360">
      <c r="B360" s="2614"/>
      <c r="C360" s="2614"/>
      <c r="D360" s="2614"/>
      <c r="E360" s="2614"/>
      <c r="F360" s="2614"/>
    </row>
    <row r="361">
      <c r="B361" s="2614"/>
      <c r="C361" s="2614"/>
      <c r="D361" s="2614"/>
      <c r="E361" s="2614"/>
      <c r="F361" s="2614"/>
    </row>
    <row r="362">
      <c r="B362" s="2614"/>
      <c r="C362" s="2614"/>
      <c r="D362" s="2614"/>
      <c r="E362" s="2614"/>
      <c r="F362" s="2614"/>
    </row>
    <row r="363">
      <c r="B363" s="2614"/>
      <c r="C363" s="2614"/>
      <c r="D363" s="2614"/>
      <c r="E363" s="2614"/>
      <c r="F363" s="2614"/>
    </row>
    <row r="364">
      <c r="B364" s="2614"/>
      <c r="C364" s="2614"/>
      <c r="D364" s="2614"/>
      <c r="E364" s="2614"/>
      <c r="F364" s="2614"/>
    </row>
    <row r="365">
      <c r="B365" s="2614"/>
      <c r="C365" s="2614"/>
      <c r="D365" s="2614"/>
      <c r="E365" s="2614"/>
      <c r="F365" s="2614"/>
    </row>
    <row r="366">
      <c r="B366" s="2614"/>
      <c r="C366" s="2614"/>
      <c r="D366" s="2614"/>
      <c r="E366" s="2614"/>
      <c r="F366" s="2614"/>
    </row>
    <row r="367">
      <c r="B367" s="2614"/>
      <c r="C367" s="2614"/>
      <c r="D367" s="2614"/>
      <c r="E367" s="2614"/>
      <c r="F367" s="2614"/>
    </row>
    <row r="368">
      <c r="B368" s="2614"/>
      <c r="C368" s="2614"/>
      <c r="D368" s="2614"/>
      <c r="E368" s="2614"/>
      <c r="F368" s="2614"/>
    </row>
    <row r="369">
      <c r="B369" s="2614"/>
      <c r="C369" s="2614"/>
      <c r="D369" s="2614"/>
      <c r="E369" s="2614"/>
      <c r="F369" s="2614"/>
    </row>
    <row r="370">
      <c r="B370" s="2614"/>
      <c r="C370" s="2614"/>
      <c r="D370" s="2614"/>
      <c r="E370" s="2614"/>
      <c r="F370" s="2614"/>
    </row>
    <row r="371">
      <c r="B371" s="2614"/>
      <c r="C371" s="2614"/>
      <c r="D371" s="2614"/>
      <c r="E371" s="2614"/>
      <c r="F371" s="2614"/>
    </row>
    <row r="372">
      <c r="B372" s="2614"/>
      <c r="C372" s="2614"/>
      <c r="D372" s="2614"/>
      <c r="E372" s="2614"/>
      <c r="F372" s="2614"/>
    </row>
    <row r="373">
      <c r="B373" s="2614"/>
      <c r="C373" s="2614"/>
      <c r="D373" s="2614"/>
      <c r="E373" s="2614"/>
      <c r="F373" s="2614"/>
    </row>
    <row r="374">
      <c r="B374" s="2614"/>
      <c r="C374" s="2614"/>
      <c r="D374" s="2614"/>
      <c r="E374" s="2614"/>
      <c r="F374" s="2614"/>
    </row>
    <row r="375">
      <c r="B375" s="2614"/>
      <c r="C375" s="2614"/>
      <c r="D375" s="2614"/>
      <c r="E375" s="2614"/>
      <c r="F375" s="2614"/>
    </row>
    <row r="376">
      <c r="B376" s="2614"/>
      <c r="C376" s="2614"/>
      <c r="D376" s="2614"/>
      <c r="E376" s="2614"/>
      <c r="F376" s="2614"/>
    </row>
    <row r="377">
      <c r="B377" s="2614"/>
      <c r="C377" s="2614"/>
      <c r="D377" s="2614"/>
      <c r="E377" s="2614"/>
      <c r="F377" s="2614"/>
    </row>
    <row r="378">
      <c r="B378" s="2614"/>
      <c r="C378" s="2614"/>
      <c r="D378" s="2614"/>
      <c r="E378" s="2614"/>
      <c r="F378" s="2614"/>
    </row>
    <row r="379">
      <c r="B379" s="2614"/>
      <c r="C379" s="2614"/>
      <c r="D379" s="2614"/>
      <c r="E379" s="2614"/>
      <c r="F379" s="2614"/>
    </row>
    <row r="380">
      <c r="B380" s="2614"/>
      <c r="C380" s="2614"/>
      <c r="D380" s="2614"/>
      <c r="E380" s="2614"/>
      <c r="F380" s="2614"/>
    </row>
    <row r="381">
      <c r="B381" s="2614"/>
      <c r="C381" s="2614"/>
      <c r="D381" s="2614"/>
      <c r="E381" s="2614"/>
      <c r="F381" s="2614"/>
    </row>
    <row r="382">
      <c r="B382" s="2614"/>
      <c r="C382" s="2614"/>
      <c r="D382" s="2614"/>
      <c r="E382" s="2614"/>
      <c r="F382" s="2614"/>
    </row>
    <row r="383">
      <c r="B383" s="2614"/>
      <c r="C383" s="2614"/>
      <c r="D383" s="2614"/>
      <c r="E383" s="2614"/>
      <c r="F383" s="2614"/>
    </row>
    <row r="384">
      <c r="B384" s="2614"/>
      <c r="C384" s="2614"/>
      <c r="D384" s="2614"/>
      <c r="E384" s="2614"/>
      <c r="F384" s="2614"/>
    </row>
    <row r="385">
      <c r="B385" s="2614"/>
      <c r="C385" s="2614"/>
      <c r="D385" s="2614"/>
      <c r="E385" s="2614"/>
      <c r="F385" s="2614"/>
    </row>
    <row r="386">
      <c r="B386" s="2614"/>
      <c r="C386" s="2614"/>
      <c r="D386" s="2614"/>
      <c r="E386" s="2614"/>
      <c r="F386" s="2614"/>
    </row>
    <row r="387">
      <c r="B387" s="2614"/>
      <c r="C387" s="2614"/>
      <c r="D387" s="2614"/>
      <c r="E387" s="2614"/>
      <c r="F387" s="2614"/>
    </row>
    <row r="388">
      <c r="B388" s="2614"/>
      <c r="C388" s="2614"/>
      <c r="D388" s="2614"/>
      <c r="E388" s="2614"/>
      <c r="F388" s="2614"/>
    </row>
    <row r="389">
      <c r="B389" s="2614"/>
      <c r="C389" s="2614"/>
      <c r="D389" s="2614"/>
      <c r="E389" s="2614"/>
      <c r="F389" s="2614"/>
    </row>
    <row r="390">
      <c r="B390" s="2614"/>
      <c r="C390" s="2614"/>
      <c r="D390" s="2614"/>
      <c r="E390" s="2614"/>
      <c r="F390" s="2614"/>
    </row>
    <row r="391">
      <c r="B391" s="2614"/>
      <c r="C391" s="2614"/>
      <c r="D391" s="2614"/>
      <c r="E391" s="2614"/>
      <c r="F391" s="2614"/>
    </row>
    <row r="392">
      <c r="B392" s="2614"/>
      <c r="C392" s="2614"/>
      <c r="D392" s="2614"/>
      <c r="E392" s="2614"/>
      <c r="F392" s="2614"/>
    </row>
    <row r="393">
      <c r="B393" s="2614"/>
      <c r="C393" s="2614"/>
      <c r="D393" s="2614"/>
      <c r="E393" s="2614"/>
      <c r="F393" s="2614"/>
    </row>
    <row r="394">
      <c r="B394" s="2614"/>
      <c r="C394" s="2614"/>
      <c r="D394" s="2614"/>
      <c r="E394" s="2614"/>
      <c r="F394" s="2614"/>
    </row>
    <row r="395">
      <c r="B395" s="2614"/>
      <c r="C395" s="2614"/>
      <c r="D395" s="2614"/>
      <c r="E395" s="2614"/>
      <c r="F395" s="2614"/>
    </row>
    <row r="396">
      <c r="B396" s="2614"/>
      <c r="C396" s="2614"/>
      <c r="D396" s="2614"/>
      <c r="E396" s="2614"/>
      <c r="F396" s="2614"/>
    </row>
    <row r="397">
      <c r="B397" s="2614"/>
      <c r="C397" s="2614"/>
      <c r="D397" s="2614"/>
      <c r="E397" s="2614"/>
      <c r="F397" s="2614"/>
    </row>
    <row r="398">
      <c r="B398" s="2614"/>
      <c r="C398" s="2614"/>
      <c r="D398" s="2614"/>
      <c r="E398" s="2614"/>
      <c r="F398" s="2614"/>
    </row>
    <row r="399">
      <c r="B399" s="2614"/>
      <c r="C399" s="2614"/>
      <c r="D399" s="2614"/>
      <c r="E399" s="2614"/>
      <c r="F399" s="2614"/>
    </row>
    <row r="400">
      <c r="B400" s="2614"/>
      <c r="C400" s="2614"/>
      <c r="D400" s="2614"/>
      <c r="E400" s="2614"/>
      <c r="F400" s="2614"/>
    </row>
    <row r="401">
      <c r="B401" s="2614"/>
      <c r="C401" s="2614"/>
      <c r="D401" s="2614"/>
      <c r="E401" s="2614"/>
      <c r="F401" s="2614"/>
    </row>
    <row r="402">
      <c r="B402" s="2614"/>
      <c r="C402" s="2614"/>
      <c r="D402" s="2614"/>
      <c r="E402" s="2614"/>
      <c r="F402" s="2614"/>
    </row>
    <row r="403">
      <c r="B403" s="2614"/>
      <c r="C403" s="2614"/>
      <c r="D403" s="2614"/>
      <c r="E403" s="2614"/>
      <c r="F403" s="2614"/>
    </row>
    <row r="404">
      <c r="B404" s="2614"/>
      <c r="C404" s="2614"/>
      <c r="D404" s="2614"/>
      <c r="E404" s="2614"/>
      <c r="F404" s="2614"/>
    </row>
    <row r="405">
      <c r="B405" s="2614"/>
      <c r="C405" s="2614"/>
      <c r="D405" s="2614"/>
      <c r="E405" s="2614"/>
      <c r="F405" s="2614"/>
    </row>
    <row r="406">
      <c r="B406" s="2614"/>
      <c r="C406" s="2614"/>
      <c r="D406" s="2614"/>
      <c r="E406" s="2614"/>
      <c r="F406" s="2614"/>
    </row>
    <row r="407">
      <c r="B407" s="2614"/>
      <c r="C407" s="2614"/>
      <c r="D407" s="2614"/>
      <c r="E407" s="2614"/>
      <c r="F407" s="2614"/>
    </row>
    <row r="408">
      <c r="B408" s="2614"/>
      <c r="C408" s="2614"/>
      <c r="D408" s="2614"/>
      <c r="E408" s="2614"/>
      <c r="F408" s="2614"/>
    </row>
    <row r="409">
      <c r="B409" s="2614"/>
      <c r="C409" s="2614"/>
      <c r="D409" s="2614"/>
      <c r="E409" s="2614"/>
      <c r="F409" s="2614"/>
    </row>
    <row r="410">
      <c r="B410" s="2614"/>
      <c r="C410" s="2614"/>
      <c r="D410" s="2614"/>
      <c r="E410" s="2614"/>
      <c r="F410" s="2614"/>
    </row>
    <row r="411">
      <c r="B411" s="2614"/>
      <c r="C411" s="2614"/>
      <c r="D411" s="2614"/>
      <c r="E411" s="2614"/>
      <c r="F411" s="2614"/>
    </row>
    <row r="412">
      <c r="B412" s="2614"/>
      <c r="C412" s="2614"/>
      <c r="D412" s="2614"/>
      <c r="E412" s="2614"/>
      <c r="F412" s="2614"/>
    </row>
    <row r="413">
      <c r="B413" s="2614"/>
      <c r="C413" s="2614"/>
      <c r="D413" s="2614"/>
      <c r="E413" s="2614"/>
      <c r="F413" s="2614"/>
    </row>
    <row r="414">
      <c r="B414" s="2614"/>
      <c r="C414" s="2614"/>
      <c r="D414" s="2614"/>
      <c r="E414" s="2614"/>
      <c r="F414" s="2614"/>
    </row>
    <row r="415">
      <c r="B415" s="2614"/>
      <c r="C415" s="2614"/>
      <c r="D415" s="2614"/>
      <c r="E415" s="2614"/>
      <c r="F415" s="2614"/>
    </row>
    <row r="416">
      <c r="B416" s="2614"/>
      <c r="C416" s="2614"/>
      <c r="D416" s="2614"/>
      <c r="E416" s="2614"/>
      <c r="F416" s="2614"/>
    </row>
    <row r="417">
      <c r="B417" s="2614"/>
      <c r="C417" s="2614"/>
      <c r="D417" s="2614"/>
      <c r="E417" s="2614"/>
      <c r="F417" s="2614"/>
    </row>
    <row r="418">
      <c r="B418" s="2614"/>
      <c r="C418" s="2614"/>
      <c r="D418" s="2614"/>
      <c r="E418" s="2614"/>
      <c r="F418" s="2614"/>
    </row>
    <row r="419">
      <c r="B419" s="2614"/>
      <c r="C419" s="2614"/>
      <c r="D419" s="2614"/>
      <c r="E419" s="2614"/>
      <c r="F419" s="2614"/>
    </row>
    <row r="420">
      <c r="B420" s="2614"/>
      <c r="C420" s="2614"/>
      <c r="D420" s="2614"/>
      <c r="E420" s="2614"/>
      <c r="F420" s="2614"/>
    </row>
    <row r="421">
      <c r="B421" s="2614"/>
      <c r="C421" s="2614"/>
      <c r="D421" s="2614"/>
      <c r="E421" s="2614"/>
      <c r="F421" s="2614"/>
    </row>
    <row r="422">
      <c r="B422" s="2614"/>
      <c r="C422" s="2614"/>
      <c r="D422" s="2614"/>
      <c r="E422" s="2614"/>
      <c r="F422" s="2614"/>
    </row>
    <row r="423">
      <c r="B423" s="2614"/>
      <c r="C423" s="2614"/>
      <c r="D423" s="2614"/>
      <c r="E423" s="2614"/>
      <c r="F423" s="2614"/>
    </row>
    <row r="424">
      <c r="B424" s="2614"/>
      <c r="C424" s="2614"/>
      <c r="D424" s="2614"/>
      <c r="E424" s="2614"/>
      <c r="F424" s="2614"/>
    </row>
    <row r="425">
      <c r="B425" s="2614"/>
      <c r="C425" s="2614"/>
      <c r="D425" s="2614"/>
      <c r="E425" s="2614"/>
      <c r="F425" s="2614"/>
    </row>
    <row r="426">
      <c r="B426" s="2614"/>
      <c r="C426" s="2614"/>
      <c r="D426" s="2614"/>
      <c r="E426" s="2614"/>
      <c r="F426" s="2614"/>
    </row>
    <row r="427">
      <c r="B427" s="2614"/>
      <c r="C427" s="2614"/>
      <c r="D427" s="2614"/>
      <c r="E427" s="2614"/>
      <c r="F427" s="2614"/>
    </row>
    <row r="428">
      <c r="B428" s="2614"/>
      <c r="C428" s="2614"/>
      <c r="D428" s="2614"/>
      <c r="E428" s="2614"/>
      <c r="F428" s="2614"/>
    </row>
    <row r="429">
      <c r="B429" s="2614"/>
      <c r="C429" s="2614"/>
      <c r="D429" s="2614"/>
      <c r="E429" s="2614"/>
      <c r="F429" s="2614"/>
    </row>
    <row r="430">
      <c r="B430" s="2614"/>
      <c r="C430" s="2614"/>
      <c r="D430" s="2614"/>
      <c r="E430" s="2614"/>
      <c r="F430" s="2614"/>
    </row>
    <row r="431">
      <c r="B431" s="2614"/>
      <c r="C431" s="2614"/>
      <c r="D431" s="2614"/>
      <c r="E431" s="2614"/>
      <c r="F431" s="2614"/>
    </row>
    <row r="432">
      <c r="B432" s="2614"/>
      <c r="C432" s="2614"/>
      <c r="D432" s="2614"/>
      <c r="E432" s="2614"/>
      <c r="F432" s="2614"/>
    </row>
    <row r="433">
      <c r="B433" s="2614"/>
      <c r="C433" s="2614"/>
      <c r="D433" s="2614"/>
      <c r="E433" s="2614"/>
      <c r="F433" s="2614"/>
    </row>
    <row r="434">
      <c r="B434" s="2614"/>
      <c r="C434" s="2614"/>
      <c r="D434" s="2614"/>
      <c r="E434" s="2614"/>
      <c r="F434" s="2614"/>
    </row>
    <row r="435">
      <c r="B435" s="2614"/>
      <c r="C435" s="2614"/>
      <c r="D435" s="2614"/>
      <c r="E435" s="2614"/>
      <c r="F435" s="2614"/>
    </row>
    <row r="436">
      <c r="B436" s="2614"/>
      <c r="C436" s="2614"/>
      <c r="D436" s="2614"/>
      <c r="E436" s="2614"/>
      <c r="F436" s="2614"/>
    </row>
    <row r="437">
      <c r="B437" s="2614"/>
      <c r="C437" s="2614"/>
      <c r="D437" s="2614"/>
      <c r="E437" s="2614"/>
      <c r="F437" s="2614"/>
    </row>
    <row r="438">
      <c r="B438" s="2614"/>
      <c r="C438" s="2614"/>
      <c r="D438" s="2614"/>
      <c r="E438" s="2614"/>
      <c r="F438" s="2614"/>
    </row>
    <row r="439">
      <c r="B439" s="2614"/>
      <c r="C439" s="2614"/>
      <c r="D439" s="2614"/>
      <c r="E439" s="2614"/>
      <c r="F439" s="2614"/>
    </row>
    <row r="440">
      <c r="B440" s="2614"/>
      <c r="C440" s="2614"/>
      <c r="D440" s="2614"/>
      <c r="E440" s="2614"/>
      <c r="F440" s="2614"/>
    </row>
    <row r="441">
      <c r="B441" s="2614"/>
      <c r="C441" s="2614"/>
      <c r="D441" s="2614"/>
      <c r="E441" s="2614"/>
      <c r="F441" s="2614"/>
    </row>
    <row r="442">
      <c r="B442" s="2614"/>
      <c r="C442" s="2614"/>
      <c r="D442" s="2614"/>
      <c r="E442" s="2614"/>
      <c r="F442" s="2614"/>
    </row>
    <row r="443">
      <c r="B443" s="2614"/>
      <c r="C443" s="2614"/>
      <c r="D443" s="2614"/>
      <c r="E443" s="2614"/>
      <c r="F443" s="2614"/>
    </row>
    <row r="444">
      <c r="B444" s="2614"/>
      <c r="C444" s="2614"/>
      <c r="D444" s="2614"/>
      <c r="E444" s="2614"/>
      <c r="F444" s="2614"/>
    </row>
    <row r="445">
      <c r="B445" s="2614"/>
      <c r="C445" s="2614"/>
      <c r="D445" s="2614"/>
      <c r="E445" s="2614"/>
      <c r="F445" s="2614"/>
    </row>
    <row r="446">
      <c r="B446" s="2614"/>
      <c r="C446" s="2614"/>
      <c r="D446" s="2614"/>
      <c r="E446" s="2614"/>
      <c r="F446" s="2614"/>
    </row>
    <row r="447">
      <c r="B447" s="2614"/>
      <c r="C447" s="2614"/>
      <c r="D447" s="2614"/>
      <c r="E447" s="2614"/>
      <c r="F447" s="2614"/>
    </row>
    <row r="448">
      <c r="B448" s="2614"/>
      <c r="C448" s="2614"/>
      <c r="D448" s="2614"/>
      <c r="E448" s="2614"/>
      <c r="F448" s="2614"/>
    </row>
    <row r="449">
      <c r="B449" s="2614"/>
      <c r="C449" s="2614"/>
      <c r="D449" s="2614"/>
      <c r="E449" s="2614"/>
      <c r="F449" s="2614"/>
    </row>
    <row r="450">
      <c r="B450" s="2614"/>
      <c r="C450" s="2614"/>
      <c r="D450" s="2614"/>
      <c r="E450" s="2614"/>
      <c r="F450" s="2614"/>
    </row>
    <row r="451">
      <c r="B451" s="2614"/>
      <c r="C451" s="2614"/>
      <c r="D451" s="2614"/>
      <c r="E451" s="2614"/>
      <c r="F451" s="2614"/>
    </row>
    <row r="452">
      <c r="B452" s="2614"/>
      <c r="C452" s="2614"/>
      <c r="D452" s="2614"/>
      <c r="E452" s="2614"/>
      <c r="F452" s="2614"/>
    </row>
    <row r="453">
      <c r="B453" s="2614"/>
      <c r="C453" s="2614"/>
      <c r="D453" s="2614"/>
      <c r="E453" s="2614"/>
      <c r="F453" s="2614"/>
    </row>
    <row r="454">
      <c r="B454" s="2614"/>
      <c r="C454" s="2614"/>
      <c r="D454" s="2614"/>
      <c r="E454" s="2614"/>
      <c r="F454" s="2614"/>
    </row>
    <row r="455">
      <c r="B455" s="2614"/>
      <c r="C455" s="2614"/>
      <c r="D455" s="2614"/>
      <c r="E455" s="2614"/>
      <c r="F455" s="2614"/>
    </row>
    <row r="456">
      <c r="B456" s="2614"/>
      <c r="C456" s="2614"/>
      <c r="D456" s="2614"/>
      <c r="E456" s="2614"/>
      <c r="F456" s="2614"/>
    </row>
    <row r="457">
      <c r="B457" s="2614"/>
      <c r="C457" s="2614"/>
      <c r="D457" s="2614"/>
      <c r="E457" s="2614"/>
      <c r="F457" s="2614"/>
    </row>
    <row r="458">
      <c r="B458" s="2614"/>
      <c r="C458" s="2614"/>
      <c r="D458" s="2614"/>
      <c r="E458" s="2614"/>
      <c r="F458" s="2614"/>
    </row>
    <row r="459">
      <c r="B459" s="2614"/>
      <c r="C459" s="2614"/>
      <c r="D459" s="2614"/>
      <c r="E459" s="2614"/>
      <c r="F459" s="2614"/>
    </row>
    <row r="460">
      <c r="B460" s="2614"/>
      <c r="C460" s="2614"/>
      <c r="D460" s="2614"/>
      <c r="E460" s="2614"/>
      <c r="F460" s="2614"/>
    </row>
    <row r="461">
      <c r="B461" s="2614"/>
      <c r="C461" s="2614"/>
      <c r="D461" s="2614"/>
      <c r="E461" s="2614"/>
      <c r="F461" s="2614"/>
    </row>
    <row r="462">
      <c r="B462" s="2614"/>
      <c r="C462" s="2614"/>
      <c r="D462" s="2614"/>
      <c r="E462" s="2614"/>
      <c r="F462" s="2614"/>
    </row>
    <row r="463">
      <c r="B463" s="2614"/>
      <c r="C463" s="2614"/>
      <c r="D463" s="2614"/>
      <c r="E463" s="2614"/>
      <c r="F463" s="2614"/>
    </row>
    <row r="464">
      <c r="B464" s="2614"/>
      <c r="C464" s="2614"/>
      <c r="D464" s="2614"/>
      <c r="E464" s="2614"/>
      <c r="F464" s="2614"/>
    </row>
    <row r="465">
      <c r="B465" s="2614"/>
      <c r="C465" s="2614"/>
      <c r="D465" s="2614"/>
      <c r="E465" s="2614"/>
      <c r="F465" s="2614"/>
    </row>
    <row r="466">
      <c r="B466" s="2614"/>
      <c r="C466" s="2614"/>
      <c r="D466" s="2614"/>
      <c r="E466" s="2614"/>
      <c r="F466" s="2614"/>
    </row>
    <row r="467">
      <c r="B467" s="2614"/>
      <c r="C467" s="2614"/>
      <c r="D467" s="2614"/>
      <c r="E467" s="2614"/>
      <c r="F467" s="2614"/>
    </row>
    <row r="468">
      <c r="B468" s="2614"/>
      <c r="C468" s="2614"/>
      <c r="D468" s="2614"/>
      <c r="E468" s="2614"/>
      <c r="F468" s="2614"/>
    </row>
    <row r="469">
      <c r="B469" s="2614"/>
      <c r="C469" s="2614"/>
      <c r="D469" s="2614"/>
      <c r="E469" s="2614"/>
      <c r="F469" s="2614"/>
    </row>
    <row r="470">
      <c r="B470" s="2614"/>
      <c r="C470" s="2614"/>
      <c r="D470" s="2614"/>
      <c r="E470" s="2614"/>
      <c r="F470" s="2614"/>
    </row>
    <row r="471">
      <c r="B471" s="2614"/>
      <c r="C471" s="2614"/>
      <c r="D471" s="2614"/>
      <c r="E471" s="2614"/>
      <c r="F471" s="2614"/>
    </row>
    <row r="472">
      <c r="B472" s="2614"/>
      <c r="C472" s="2614"/>
      <c r="D472" s="2614"/>
      <c r="E472" s="2614"/>
      <c r="F472" s="2614"/>
    </row>
    <row r="473">
      <c r="B473" s="2614"/>
      <c r="C473" s="2614"/>
      <c r="D473" s="2614"/>
      <c r="E473" s="2614"/>
      <c r="F473" s="2614"/>
    </row>
    <row r="474">
      <c r="B474" s="2614"/>
      <c r="C474" s="2614"/>
      <c r="D474" s="2614"/>
      <c r="E474" s="2614"/>
      <c r="F474" s="2614"/>
    </row>
    <row r="475">
      <c r="B475" s="2614"/>
      <c r="C475" s="2614"/>
      <c r="D475" s="2614"/>
      <c r="E475" s="2614"/>
      <c r="F475" s="2614"/>
    </row>
    <row r="476">
      <c r="B476" s="2614"/>
      <c r="C476" s="2614"/>
      <c r="D476" s="2614"/>
      <c r="E476" s="2614"/>
      <c r="F476" s="2614"/>
    </row>
    <row r="477">
      <c r="B477" s="2614"/>
      <c r="C477" s="2614"/>
      <c r="D477" s="2614"/>
      <c r="E477" s="2614"/>
      <c r="F477" s="2614"/>
    </row>
    <row r="478">
      <c r="B478" s="2614"/>
      <c r="C478" s="2614"/>
      <c r="D478" s="2614"/>
      <c r="E478" s="2614"/>
      <c r="F478" s="2614"/>
    </row>
    <row r="479">
      <c r="B479" s="2614"/>
      <c r="C479" s="2614"/>
      <c r="D479" s="2614"/>
      <c r="E479" s="2614"/>
      <c r="F479" s="2614"/>
    </row>
    <row r="480">
      <c r="B480" s="2614"/>
      <c r="C480" s="2614"/>
      <c r="D480" s="2614"/>
      <c r="E480" s="2614"/>
      <c r="F480" s="2614"/>
    </row>
    <row r="481">
      <c r="B481" s="2614"/>
      <c r="C481" s="2614"/>
      <c r="D481" s="2614"/>
      <c r="E481" s="2614"/>
      <c r="F481" s="2614"/>
    </row>
    <row r="482">
      <c r="B482" s="2614"/>
      <c r="C482" s="2614"/>
      <c r="D482" s="2614"/>
      <c r="E482" s="2614"/>
      <c r="F482" s="2614"/>
    </row>
    <row r="483">
      <c r="B483" s="2614"/>
      <c r="C483" s="2614"/>
      <c r="D483" s="2614"/>
      <c r="E483" s="2614"/>
      <c r="F483" s="2614"/>
    </row>
    <row r="484">
      <c r="B484" s="2614"/>
      <c r="C484" s="2614"/>
      <c r="D484" s="2614"/>
      <c r="E484" s="2614"/>
      <c r="F484" s="2614"/>
    </row>
    <row r="485">
      <c r="B485" s="2614"/>
      <c r="C485" s="2614"/>
      <c r="D485" s="2614"/>
      <c r="E485" s="2614"/>
      <c r="F485" s="2614"/>
    </row>
    <row r="486">
      <c r="B486" s="2614"/>
      <c r="C486" s="2614"/>
      <c r="D486" s="2614"/>
      <c r="E486" s="2614"/>
      <c r="F486" s="2614"/>
    </row>
    <row r="487">
      <c r="B487" s="2614"/>
      <c r="C487" s="2614"/>
      <c r="D487" s="2614"/>
      <c r="E487" s="2614"/>
      <c r="F487" s="2614"/>
    </row>
    <row r="488">
      <c r="B488" s="2614"/>
      <c r="C488" s="2614"/>
      <c r="D488" s="2614"/>
      <c r="E488" s="2614"/>
      <c r="F488" s="2614"/>
    </row>
    <row r="489">
      <c r="B489" s="2614"/>
      <c r="C489" s="2614"/>
      <c r="D489" s="2614"/>
      <c r="E489" s="2614"/>
      <c r="F489" s="2614"/>
    </row>
    <row r="490">
      <c r="B490" s="2614"/>
      <c r="C490" s="2614"/>
      <c r="D490" s="2614"/>
      <c r="E490" s="2614"/>
      <c r="F490" s="2614"/>
    </row>
    <row r="491">
      <c r="B491" s="2614"/>
      <c r="C491" s="2614"/>
      <c r="D491" s="2614"/>
      <c r="E491" s="2614"/>
      <c r="F491" s="2614"/>
    </row>
    <row r="492">
      <c r="B492" s="2614"/>
      <c r="C492" s="2614"/>
      <c r="D492" s="2614"/>
      <c r="E492" s="2614"/>
      <c r="F492" s="2614"/>
    </row>
    <row r="493">
      <c r="B493" s="2614"/>
      <c r="C493" s="2614"/>
      <c r="D493" s="2614"/>
      <c r="E493" s="2614"/>
      <c r="F493" s="2614"/>
    </row>
    <row r="494">
      <c r="B494" s="2614"/>
      <c r="C494" s="2614"/>
      <c r="D494" s="2614"/>
      <c r="E494" s="2614"/>
      <c r="F494" s="2614"/>
    </row>
    <row r="495">
      <c r="B495" s="2614"/>
      <c r="C495" s="2614"/>
      <c r="D495" s="2614"/>
      <c r="E495" s="2614"/>
      <c r="F495" s="2614"/>
    </row>
    <row r="496">
      <c r="B496" s="2614"/>
      <c r="C496" s="2614"/>
      <c r="D496" s="2614"/>
      <c r="E496" s="2614"/>
      <c r="F496" s="2614"/>
    </row>
    <row r="497">
      <c r="B497" s="2614"/>
      <c r="C497" s="2614"/>
      <c r="D497" s="2614"/>
      <c r="E497" s="2614"/>
      <c r="F497" s="2614"/>
    </row>
    <row r="498">
      <c r="B498" s="2614"/>
      <c r="C498" s="2614"/>
      <c r="D498" s="2614"/>
      <c r="E498" s="2614"/>
      <c r="F498" s="2614"/>
    </row>
    <row r="499">
      <c r="B499" s="2614"/>
      <c r="C499" s="2614"/>
      <c r="D499" s="2614"/>
      <c r="E499" s="2614"/>
      <c r="F499" s="2614"/>
    </row>
    <row r="500">
      <c r="B500" s="2614"/>
      <c r="C500" s="2614"/>
      <c r="D500" s="2614"/>
      <c r="E500" s="2614"/>
      <c r="F500" s="2614"/>
    </row>
    <row r="501">
      <c r="B501" s="2614"/>
      <c r="C501" s="2614"/>
      <c r="D501" s="2614"/>
      <c r="E501" s="2614"/>
      <c r="F501" s="2614"/>
    </row>
    <row r="502">
      <c r="B502" s="2614"/>
      <c r="C502" s="2614"/>
      <c r="D502" s="2614"/>
      <c r="E502" s="2614"/>
      <c r="F502" s="2614"/>
    </row>
    <row r="503">
      <c r="B503" s="2614"/>
      <c r="C503" s="2614"/>
      <c r="D503" s="2614"/>
      <c r="E503" s="2614"/>
      <c r="F503" s="2614"/>
    </row>
    <row r="504">
      <c r="B504" s="2614"/>
      <c r="C504" s="2614"/>
      <c r="D504" s="2614"/>
      <c r="E504" s="2614"/>
      <c r="F504" s="2614"/>
    </row>
    <row r="505">
      <c r="B505" s="2614"/>
      <c r="C505" s="2614"/>
      <c r="D505" s="2614"/>
      <c r="E505" s="2614"/>
      <c r="F505" s="2614"/>
    </row>
    <row r="506">
      <c r="B506" s="2614"/>
      <c r="C506" s="2614"/>
      <c r="D506" s="2614"/>
      <c r="E506" s="2614"/>
      <c r="F506" s="2614"/>
    </row>
    <row r="507">
      <c r="B507" s="2614"/>
      <c r="C507" s="2614"/>
      <c r="D507" s="2614"/>
      <c r="E507" s="2614"/>
      <c r="F507" s="2614"/>
    </row>
    <row r="508">
      <c r="B508" s="2614"/>
      <c r="C508" s="2614"/>
      <c r="D508" s="2614"/>
      <c r="E508" s="2614"/>
      <c r="F508" s="2614"/>
    </row>
    <row r="509">
      <c r="B509" s="2614"/>
      <c r="C509" s="2614"/>
      <c r="D509" s="2614"/>
      <c r="E509" s="2614"/>
      <c r="F509" s="2614"/>
    </row>
    <row r="510">
      <c r="B510" s="2614"/>
      <c r="C510" s="2614"/>
      <c r="D510" s="2614"/>
      <c r="E510" s="2614"/>
      <c r="F510" s="2614"/>
    </row>
    <row r="511">
      <c r="B511" s="2614"/>
      <c r="C511" s="2614"/>
      <c r="D511" s="2614"/>
      <c r="E511" s="2614"/>
      <c r="F511" s="2614"/>
    </row>
    <row r="512">
      <c r="B512" s="2614"/>
      <c r="C512" s="2614"/>
      <c r="D512" s="2614"/>
      <c r="E512" s="2614"/>
      <c r="F512" s="2614"/>
    </row>
    <row r="513">
      <c r="B513" s="2614"/>
      <c r="C513" s="2614"/>
      <c r="D513" s="2614"/>
      <c r="E513" s="2614"/>
      <c r="F513" s="2614"/>
    </row>
    <row r="514">
      <c r="B514" s="2614"/>
      <c r="C514" s="2614"/>
      <c r="D514" s="2614"/>
      <c r="E514" s="2614"/>
      <c r="F514" s="2614"/>
    </row>
    <row r="515">
      <c r="B515" s="2614"/>
      <c r="C515" s="2614"/>
      <c r="D515" s="2614"/>
      <c r="E515" s="2614"/>
      <c r="F515" s="2614"/>
    </row>
    <row r="516">
      <c r="B516" s="2614"/>
      <c r="C516" s="2614"/>
      <c r="D516" s="2614"/>
      <c r="E516" s="2614"/>
      <c r="F516" s="2614"/>
    </row>
    <row r="517">
      <c r="B517" s="2614"/>
      <c r="C517" s="2614"/>
      <c r="D517" s="2614"/>
      <c r="E517" s="2614"/>
      <c r="F517" s="2614"/>
    </row>
    <row r="518">
      <c r="B518" s="2614"/>
      <c r="C518" s="2614"/>
      <c r="D518" s="2614"/>
      <c r="E518" s="2614"/>
      <c r="F518" s="2614"/>
    </row>
    <row r="519">
      <c r="B519" s="2614"/>
      <c r="C519" s="2614"/>
      <c r="D519" s="2614"/>
      <c r="E519" s="2614"/>
      <c r="F519" s="2614"/>
    </row>
    <row r="520">
      <c r="B520" s="2614"/>
      <c r="C520" s="2614"/>
      <c r="D520" s="2614"/>
      <c r="E520" s="2614"/>
      <c r="F520" s="2614"/>
    </row>
    <row r="521">
      <c r="B521" s="2614"/>
      <c r="C521" s="2614"/>
      <c r="D521" s="2614"/>
      <c r="E521" s="2614"/>
      <c r="F521" s="2614"/>
    </row>
    <row r="522">
      <c r="B522" s="2614"/>
      <c r="C522" s="2614"/>
      <c r="D522" s="2614"/>
      <c r="E522" s="2614"/>
      <c r="F522" s="2614"/>
    </row>
    <row r="523">
      <c r="B523" s="2614"/>
      <c r="C523" s="2614"/>
      <c r="D523" s="2614"/>
      <c r="E523" s="2614"/>
      <c r="F523" s="2614"/>
    </row>
    <row r="524">
      <c r="B524" s="2614"/>
      <c r="C524" s="2614"/>
      <c r="D524" s="2614"/>
      <c r="E524" s="2614"/>
      <c r="F524" s="2614"/>
    </row>
    <row r="525">
      <c r="B525" s="2614"/>
      <c r="C525" s="2614"/>
      <c r="D525" s="2614"/>
      <c r="E525" s="2614"/>
      <c r="F525" s="2614"/>
    </row>
    <row r="526">
      <c r="B526" s="2614"/>
      <c r="C526" s="2614"/>
      <c r="D526" s="2614"/>
      <c r="E526" s="2614"/>
      <c r="F526" s="2614"/>
    </row>
    <row r="527">
      <c r="B527" s="2614"/>
      <c r="C527" s="2614"/>
      <c r="D527" s="2614"/>
      <c r="E527" s="2614"/>
      <c r="F527" s="2614"/>
    </row>
    <row r="528">
      <c r="B528" s="2614"/>
      <c r="C528" s="2614"/>
      <c r="D528" s="2614"/>
      <c r="E528" s="2614"/>
      <c r="F528" s="2614"/>
    </row>
    <row r="529">
      <c r="B529" s="2614"/>
      <c r="C529" s="2614"/>
      <c r="D529" s="2614"/>
      <c r="E529" s="2614"/>
      <c r="F529" s="2614"/>
    </row>
    <row r="530">
      <c r="B530" s="2614"/>
      <c r="C530" s="2614"/>
      <c r="D530" s="2614"/>
      <c r="E530" s="2614"/>
      <c r="F530" s="2614"/>
    </row>
    <row r="531">
      <c r="B531" s="2614"/>
      <c r="C531" s="2614"/>
      <c r="D531" s="2614"/>
      <c r="E531" s="2614"/>
      <c r="F531" s="2614"/>
    </row>
    <row r="532">
      <c r="B532" s="2614"/>
      <c r="C532" s="2614"/>
      <c r="D532" s="2614"/>
      <c r="E532" s="2614"/>
      <c r="F532" s="2614"/>
    </row>
    <row r="533">
      <c r="B533" s="2614"/>
      <c r="C533" s="2614"/>
      <c r="D533" s="2614"/>
      <c r="E533" s="2614"/>
      <c r="F533" s="2614"/>
    </row>
    <row r="534">
      <c r="B534" s="2614"/>
      <c r="C534" s="2614"/>
      <c r="D534" s="2614"/>
      <c r="E534" s="2614"/>
      <c r="F534" s="2614"/>
    </row>
    <row r="535">
      <c r="B535" s="2614"/>
      <c r="C535" s="2614"/>
      <c r="D535" s="2614"/>
      <c r="E535" s="2614"/>
      <c r="F535" s="2614"/>
    </row>
    <row r="536">
      <c r="B536" s="2614"/>
      <c r="C536" s="2614"/>
      <c r="D536" s="2614"/>
      <c r="E536" s="2614"/>
      <c r="F536" s="2614"/>
    </row>
    <row r="537">
      <c r="B537" s="2614"/>
      <c r="C537" s="2614"/>
      <c r="D537" s="2614"/>
      <c r="E537" s="2614"/>
      <c r="F537" s="2614"/>
    </row>
    <row r="538">
      <c r="B538" s="2614"/>
      <c r="C538" s="2614"/>
      <c r="D538" s="2614"/>
      <c r="E538" s="2614"/>
      <c r="F538" s="2614"/>
    </row>
    <row r="539">
      <c r="B539" s="2614"/>
      <c r="C539" s="2614"/>
      <c r="D539" s="2614"/>
      <c r="E539" s="2614"/>
      <c r="F539" s="2614"/>
    </row>
    <row r="540">
      <c r="B540" s="2614"/>
      <c r="C540" s="2614"/>
      <c r="D540" s="2614"/>
      <c r="E540" s="2614"/>
      <c r="F540" s="2614"/>
    </row>
    <row r="541">
      <c r="B541" s="2614"/>
      <c r="C541" s="2614"/>
      <c r="D541" s="2614"/>
      <c r="E541" s="2614"/>
      <c r="F541" s="2614"/>
    </row>
    <row r="542">
      <c r="B542" s="2614"/>
      <c r="C542" s="2614"/>
      <c r="D542" s="2614"/>
      <c r="E542" s="2614"/>
      <c r="F542" s="2614"/>
    </row>
    <row r="543">
      <c r="B543" s="2614"/>
      <c r="C543" s="2614"/>
      <c r="D543" s="2614"/>
      <c r="E543" s="2614"/>
      <c r="F543" s="2614"/>
    </row>
    <row r="544">
      <c r="B544" s="2614"/>
      <c r="C544" s="2614"/>
      <c r="D544" s="2614"/>
      <c r="E544" s="2614"/>
      <c r="F544" s="2614"/>
    </row>
    <row r="545">
      <c r="B545" s="2614"/>
      <c r="C545" s="2614"/>
      <c r="D545" s="2614"/>
      <c r="E545" s="2614"/>
      <c r="F545" s="2614"/>
    </row>
    <row r="546">
      <c r="B546" s="2614"/>
      <c r="C546" s="2614"/>
      <c r="D546" s="2614"/>
      <c r="E546" s="2614"/>
      <c r="F546" s="2614"/>
    </row>
    <row r="547">
      <c r="B547" s="2614"/>
      <c r="C547" s="2614"/>
      <c r="D547" s="2614"/>
      <c r="E547" s="2614"/>
      <c r="F547" s="2614"/>
    </row>
    <row r="548">
      <c r="B548" s="2614"/>
      <c r="C548" s="2614"/>
      <c r="D548" s="2614"/>
      <c r="E548" s="2614"/>
      <c r="F548" s="2614"/>
    </row>
    <row r="549">
      <c r="B549" s="2614"/>
      <c r="C549" s="2614"/>
      <c r="D549" s="2614"/>
      <c r="E549" s="2614"/>
      <c r="F549" s="2614"/>
    </row>
    <row r="550">
      <c r="B550" s="2614"/>
      <c r="C550" s="2614"/>
      <c r="D550" s="2614"/>
      <c r="E550" s="2614"/>
      <c r="F550" s="2614"/>
    </row>
    <row r="551">
      <c r="B551" s="2614"/>
      <c r="C551" s="2614"/>
      <c r="D551" s="2614"/>
      <c r="E551" s="2614"/>
      <c r="F551" s="2614"/>
    </row>
    <row r="552">
      <c r="B552" s="2614"/>
      <c r="C552" s="2614"/>
      <c r="D552" s="2614"/>
      <c r="E552" s="2614"/>
      <c r="F552" s="2614"/>
    </row>
    <row r="553">
      <c r="B553" s="2614"/>
      <c r="C553" s="2614"/>
      <c r="D553" s="2614"/>
      <c r="E553" s="2614"/>
      <c r="F553" s="2614"/>
    </row>
    <row r="554">
      <c r="B554" s="2614"/>
      <c r="C554" s="2614"/>
      <c r="D554" s="2614"/>
      <c r="E554" s="2614"/>
      <c r="F554" s="2614"/>
    </row>
    <row r="555">
      <c r="B555" s="2614"/>
      <c r="C555" s="2614"/>
      <c r="D555" s="2614"/>
      <c r="E555" s="2614"/>
      <c r="F555" s="2614"/>
    </row>
    <row r="556">
      <c r="B556" s="2614"/>
      <c r="C556" s="2614"/>
      <c r="D556" s="2614"/>
      <c r="E556" s="2614"/>
      <c r="F556" s="2614"/>
    </row>
    <row r="557">
      <c r="B557" s="2614"/>
      <c r="C557" s="2614"/>
      <c r="D557" s="2614"/>
      <c r="E557" s="2614"/>
      <c r="F557" s="2614"/>
    </row>
    <row r="558">
      <c r="B558" s="2614"/>
      <c r="C558" s="2614"/>
      <c r="D558" s="2614"/>
      <c r="E558" s="2614"/>
      <c r="F558" s="2614"/>
    </row>
    <row r="559">
      <c r="B559" s="2614"/>
      <c r="C559" s="2614"/>
      <c r="D559" s="2614"/>
      <c r="E559" s="2614"/>
      <c r="F559" s="2614"/>
    </row>
    <row r="560">
      <c r="B560" s="2614"/>
      <c r="C560" s="2614"/>
      <c r="D560" s="2614"/>
      <c r="E560" s="2614"/>
      <c r="F560" s="2614"/>
    </row>
    <row r="561">
      <c r="B561" s="2614"/>
      <c r="C561" s="2614"/>
      <c r="D561" s="2614"/>
      <c r="E561" s="2614"/>
      <c r="F561" s="2614"/>
    </row>
    <row r="562">
      <c r="B562" s="2614"/>
      <c r="C562" s="2614"/>
      <c r="D562" s="2614"/>
      <c r="E562" s="2614"/>
      <c r="F562" s="2614"/>
    </row>
    <row r="563">
      <c r="B563" s="2614"/>
      <c r="C563" s="2614"/>
      <c r="D563" s="2614"/>
      <c r="E563" s="2614"/>
      <c r="F563" s="2614"/>
    </row>
    <row r="564">
      <c r="B564" s="2614"/>
      <c r="C564" s="2614"/>
      <c r="D564" s="2614"/>
      <c r="E564" s="2614"/>
      <c r="F564" s="2614"/>
    </row>
    <row r="565">
      <c r="B565" s="2614"/>
      <c r="C565" s="2614"/>
      <c r="D565" s="2614"/>
      <c r="E565" s="2614"/>
      <c r="F565" s="2614"/>
    </row>
    <row r="566">
      <c r="B566" s="2614"/>
      <c r="C566" s="2614"/>
      <c r="D566" s="2614"/>
      <c r="E566" s="2614"/>
      <c r="F566" s="2614"/>
    </row>
    <row r="567">
      <c r="B567" s="2614"/>
      <c r="C567" s="2614"/>
      <c r="D567" s="2614"/>
      <c r="E567" s="2614"/>
      <c r="F567" s="2614"/>
    </row>
    <row r="568">
      <c r="B568" s="2614"/>
      <c r="C568" s="2614"/>
      <c r="D568" s="2614"/>
      <c r="E568" s="2614"/>
      <c r="F568" s="2614"/>
    </row>
    <row r="569">
      <c r="B569" s="2614"/>
      <c r="C569" s="2614"/>
      <c r="D569" s="2614"/>
      <c r="E569" s="2614"/>
      <c r="F569" s="2614"/>
    </row>
    <row r="570">
      <c r="B570" s="2614"/>
      <c r="C570" s="2614"/>
      <c r="D570" s="2614"/>
      <c r="E570" s="2614"/>
      <c r="F570" s="2614"/>
    </row>
    <row r="571">
      <c r="B571" s="2614"/>
      <c r="C571" s="2614"/>
      <c r="D571" s="2614"/>
      <c r="E571" s="2614"/>
      <c r="F571" s="2614"/>
    </row>
    <row r="572">
      <c r="B572" s="2614"/>
      <c r="C572" s="2614"/>
      <c r="D572" s="2614"/>
      <c r="E572" s="2614"/>
      <c r="F572" s="2614"/>
    </row>
    <row r="573">
      <c r="B573" s="2614"/>
      <c r="C573" s="2614"/>
      <c r="D573" s="2614"/>
      <c r="E573" s="2614"/>
      <c r="F573" s="2614"/>
    </row>
    <row r="574">
      <c r="B574" s="2614"/>
      <c r="C574" s="2614"/>
      <c r="D574" s="2614"/>
      <c r="E574" s="2614"/>
      <c r="F574" s="2614"/>
    </row>
    <row r="575">
      <c r="B575" s="2614"/>
      <c r="C575" s="2614"/>
      <c r="D575" s="2614"/>
      <c r="E575" s="2614"/>
      <c r="F575" s="2614"/>
    </row>
    <row r="576">
      <c r="B576" s="2614"/>
      <c r="C576" s="2614"/>
      <c r="D576" s="2614"/>
      <c r="E576" s="2614"/>
      <c r="F576" s="2614"/>
    </row>
    <row r="577">
      <c r="B577" s="2614"/>
      <c r="C577" s="2614"/>
      <c r="D577" s="2614"/>
      <c r="E577" s="2614"/>
      <c r="F577" s="2614"/>
    </row>
    <row r="578">
      <c r="B578" s="2614"/>
      <c r="C578" s="2614"/>
      <c r="D578" s="2614"/>
      <c r="E578" s="2614"/>
      <c r="F578" s="2614"/>
    </row>
    <row r="579">
      <c r="B579" s="2614"/>
      <c r="C579" s="2614"/>
      <c r="D579" s="2614"/>
      <c r="E579" s="2614"/>
      <c r="F579" s="2614"/>
    </row>
    <row r="580">
      <c r="B580" s="2614"/>
      <c r="C580" s="2614"/>
      <c r="D580" s="2614"/>
      <c r="E580" s="2614"/>
      <c r="F580" s="2614"/>
    </row>
    <row r="581">
      <c r="B581" s="2614"/>
      <c r="C581" s="2614"/>
      <c r="D581" s="2614"/>
      <c r="E581" s="2614"/>
      <c r="F581" s="2614"/>
    </row>
    <row r="582">
      <c r="B582" s="2614"/>
      <c r="C582" s="2614"/>
      <c r="D582" s="2614"/>
      <c r="E582" s="2614"/>
      <c r="F582" s="2614"/>
    </row>
    <row r="583">
      <c r="B583" s="2614"/>
      <c r="C583" s="2614"/>
      <c r="D583" s="2614"/>
      <c r="E583" s="2614"/>
      <c r="F583" s="2614"/>
    </row>
    <row r="584">
      <c r="B584" s="2614"/>
      <c r="C584" s="2614"/>
      <c r="D584" s="2614"/>
      <c r="E584" s="2614"/>
      <c r="F584" s="2614"/>
    </row>
    <row r="585">
      <c r="B585" s="2614"/>
      <c r="C585" s="2614"/>
      <c r="D585" s="2614"/>
      <c r="E585" s="2614"/>
      <c r="F585" s="2614"/>
    </row>
    <row r="586">
      <c r="B586" s="2614"/>
      <c r="C586" s="2614"/>
      <c r="D586" s="2614"/>
      <c r="E586" s="2614"/>
      <c r="F586" s="2614"/>
    </row>
    <row r="587">
      <c r="B587" s="2614"/>
      <c r="C587" s="2614"/>
      <c r="D587" s="2614"/>
      <c r="E587" s="2614"/>
      <c r="F587" s="2614"/>
    </row>
    <row r="588">
      <c r="B588" s="2614"/>
      <c r="C588" s="2614"/>
      <c r="D588" s="2614"/>
      <c r="E588" s="2614"/>
      <c r="F588" s="2614"/>
    </row>
    <row r="589">
      <c r="B589" s="2614"/>
      <c r="C589" s="2614"/>
      <c r="D589" s="2614"/>
      <c r="E589" s="2614"/>
      <c r="F589" s="2614"/>
    </row>
    <row r="590">
      <c r="B590" s="2614"/>
      <c r="C590" s="2614"/>
      <c r="D590" s="2614"/>
      <c r="E590" s="2614"/>
      <c r="F590" s="2614"/>
    </row>
    <row r="591">
      <c r="B591" s="2614"/>
      <c r="C591" s="2614"/>
      <c r="D591" s="2614"/>
      <c r="E591" s="2614"/>
      <c r="F591" s="2614"/>
    </row>
    <row r="592">
      <c r="B592" s="2614"/>
      <c r="C592" s="2614"/>
      <c r="D592" s="2614"/>
      <c r="E592" s="2614"/>
      <c r="F592" s="2614"/>
    </row>
    <row r="593">
      <c r="B593" s="2614"/>
      <c r="C593" s="2614"/>
      <c r="D593" s="2614"/>
      <c r="E593" s="2614"/>
      <c r="F593" s="2614"/>
    </row>
    <row r="594">
      <c r="B594" s="2614"/>
      <c r="C594" s="2614"/>
      <c r="D594" s="2614"/>
      <c r="E594" s="2614"/>
      <c r="F594" s="2614"/>
    </row>
    <row r="595">
      <c r="B595" s="2614"/>
      <c r="C595" s="2614"/>
      <c r="D595" s="2614"/>
      <c r="E595" s="2614"/>
      <c r="F595" s="2614"/>
    </row>
    <row r="596">
      <c r="B596" s="2614"/>
      <c r="C596" s="2614"/>
      <c r="D596" s="2614"/>
      <c r="E596" s="2614"/>
      <c r="F596" s="2614"/>
    </row>
    <row r="597">
      <c r="B597" s="2614"/>
      <c r="C597" s="2614"/>
      <c r="D597" s="2614"/>
      <c r="E597" s="2614"/>
      <c r="F597" s="2614"/>
    </row>
    <row r="598">
      <c r="B598" s="2614"/>
      <c r="C598" s="2614"/>
      <c r="D598" s="2614"/>
      <c r="E598" s="2614"/>
      <c r="F598" s="2614"/>
    </row>
    <row r="599">
      <c r="B599" s="2614"/>
      <c r="C599" s="2614"/>
      <c r="D599" s="2614"/>
      <c r="E599" s="2614"/>
      <c r="F599" s="2614"/>
    </row>
    <row r="600">
      <c r="B600" s="2614"/>
      <c r="C600" s="2614"/>
      <c r="D600" s="2614"/>
      <c r="E600" s="2614"/>
      <c r="F600" s="2614"/>
    </row>
    <row r="601">
      <c r="B601" s="2614"/>
      <c r="C601" s="2614"/>
      <c r="D601" s="2614"/>
      <c r="E601" s="2614"/>
      <c r="F601" s="2614"/>
    </row>
    <row r="602">
      <c r="B602" s="2614"/>
      <c r="C602" s="2614"/>
      <c r="D602" s="2614"/>
      <c r="E602" s="2614"/>
      <c r="F602" s="2614"/>
    </row>
    <row r="603">
      <c r="B603" s="2614"/>
      <c r="C603" s="2614"/>
      <c r="D603" s="2614"/>
      <c r="E603" s="2614"/>
      <c r="F603" s="2614"/>
    </row>
    <row r="604">
      <c r="B604" s="2614"/>
      <c r="C604" s="2614"/>
      <c r="D604" s="2614"/>
      <c r="E604" s="2614"/>
      <c r="F604" s="2614"/>
    </row>
    <row r="605">
      <c r="B605" s="2614"/>
      <c r="C605" s="2614"/>
      <c r="D605" s="2614"/>
      <c r="E605" s="2614"/>
      <c r="F605" s="2614"/>
    </row>
    <row r="606">
      <c r="B606" s="2614"/>
      <c r="C606" s="2614"/>
      <c r="D606" s="2614"/>
      <c r="E606" s="2614"/>
      <c r="F606" s="2614"/>
    </row>
    <row r="607">
      <c r="B607" s="2614"/>
      <c r="C607" s="2614"/>
      <c r="D607" s="2614"/>
      <c r="E607" s="2614"/>
      <c r="F607" s="2614"/>
    </row>
    <row r="608">
      <c r="B608" s="2614"/>
      <c r="C608" s="2614"/>
      <c r="D608" s="2614"/>
      <c r="E608" s="2614"/>
      <c r="F608" s="2614"/>
    </row>
    <row r="609">
      <c r="B609" s="2614"/>
      <c r="C609" s="2614"/>
      <c r="D609" s="2614"/>
      <c r="E609" s="2614"/>
      <c r="F609" s="2614"/>
    </row>
    <row r="610">
      <c r="B610" s="2614"/>
      <c r="C610" s="2614"/>
      <c r="D610" s="2614"/>
      <c r="E610" s="2614"/>
      <c r="F610" s="2614"/>
    </row>
    <row r="611">
      <c r="B611" s="2614"/>
      <c r="C611" s="2614"/>
      <c r="D611" s="2614"/>
      <c r="E611" s="2614"/>
      <c r="F611" s="2614"/>
    </row>
    <row r="612">
      <c r="B612" s="2614"/>
      <c r="C612" s="2614"/>
      <c r="D612" s="2614"/>
      <c r="E612" s="2614"/>
      <c r="F612" s="2614"/>
    </row>
    <row r="613">
      <c r="B613" s="2614"/>
      <c r="C613" s="2614"/>
      <c r="D613" s="2614"/>
      <c r="E613" s="2614"/>
      <c r="F613" s="2614"/>
    </row>
    <row r="614">
      <c r="B614" s="2614"/>
      <c r="C614" s="2614"/>
      <c r="D614" s="2614"/>
      <c r="E614" s="2614"/>
      <c r="F614" s="2614"/>
    </row>
    <row r="615">
      <c r="B615" s="2614"/>
      <c r="C615" s="2614"/>
      <c r="D615" s="2614"/>
      <c r="E615" s="2614"/>
      <c r="F615" s="2614"/>
    </row>
    <row r="616">
      <c r="B616" s="2614"/>
      <c r="C616" s="2614"/>
      <c r="D616" s="2614"/>
      <c r="E616" s="2614"/>
      <c r="F616" s="2614"/>
    </row>
    <row r="617">
      <c r="B617" s="2614"/>
      <c r="C617" s="2614"/>
      <c r="D617" s="2614"/>
      <c r="E617" s="2614"/>
      <c r="F617" s="2614"/>
    </row>
    <row r="618">
      <c r="B618" s="2614"/>
      <c r="C618" s="2614"/>
      <c r="D618" s="2614"/>
      <c r="E618" s="2614"/>
      <c r="F618" s="2614"/>
    </row>
    <row r="619">
      <c r="B619" s="2614"/>
      <c r="C619" s="2614"/>
      <c r="D619" s="2614"/>
      <c r="E619" s="2614"/>
      <c r="F619" s="2614"/>
    </row>
    <row r="620">
      <c r="B620" s="2614"/>
      <c r="C620" s="2614"/>
      <c r="D620" s="2614"/>
      <c r="E620" s="2614"/>
      <c r="F620" s="2614"/>
    </row>
    <row r="621">
      <c r="B621" s="2614"/>
      <c r="C621" s="2614"/>
      <c r="D621" s="2614"/>
      <c r="E621" s="2614"/>
      <c r="F621" s="2614"/>
    </row>
    <row r="622">
      <c r="B622" s="2614"/>
      <c r="C622" s="2614"/>
      <c r="D622" s="2614"/>
      <c r="E622" s="2614"/>
      <c r="F622" s="2614"/>
    </row>
    <row r="623">
      <c r="B623" s="2614"/>
      <c r="C623" s="2614"/>
      <c r="D623" s="2614"/>
      <c r="E623" s="2614"/>
      <c r="F623" s="2614"/>
    </row>
    <row r="624">
      <c r="B624" s="2614"/>
      <c r="C624" s="2614"/>
      <c r="D624" s="2614"/>
      <c r="E624" s="2614"/>
      <c r="F624" s="2614"/>
    </row>
    <row r="625">
      <c r="B625" s="2614"/>
      <c r="C625" s="2614"/>
      <c r="D625" s="2614"/>
      <c r="E625" s="2614"/>
      <c r="F625" s="2614"/>
    </row>
    <row r="626">
      <c r="B626" s="2614"/>
      <c r="C626" s="2614"/>
      <c r="D626" s="2614"/>
      <c r="E626" s="2614"/>
      <c r="F626" s="2614"/>
    </row>
    <row r="627">
      <c r="B627" s="2614"/>
      <c r="C627" s="2614"/>
      <c r="D627" s="2614"/>
      <c r="E627" s="2614"/>
      <c r="F627" s="2614"/>
    </row>
    <row r="628">
      <c r="B628" s="2614"/>
      <c r="C628" s="2614"/>
      <c r="D628" s="2614"/>
      <c r="E628" s="2614"/>
      <c r="F628" s="2614"/>
    </row>
    <row r="629">
      <c r="B629" s="2614"/>
      <c r="C629" s="2614"/>
      <c r="D629" s="2614"/>
      <c r="E629" s="2614"/>
      <c r="F629" s="2614"/>
    </row>
    <row r="630">
      <c r="B630" s="2614"/>
      <c r="C630" s="2614"/>
      <c r="D630" s="2614"/>
      <c r="E630" s="2614"/>
      <c r="F630" s="2614"/>
    </row>
    <row r="631">
      <c r="B631" s="2614"/>
      <c r="C631" s="2614"/>
      <c r="D631" s="2614"/>
      <c r="E631" s="2614"/>
      <c r="F631" s="2614"/>
    </row>
    <row r="632">
      <c r="B632" s="2614"/>
      <c r="C632" s="2614"/>
      <c r="D632" s="2614"/>
      <c r="E632" s="2614"/>
      <c r="F632" s="2614"/>
    </row>
    <row r="633">
      <c r="B633" s="2614"/>
      <c r="C633" s="2614"/>
      <c r="D633" s="2614"/>
      <c r="E633" s="2614"/>
      <c r="F633" s="2614"/>
    </row>
    <row r="634">
      <c r="B634" s="2614"/>
      <c r="C634" s="2614"/>
      <c r="D634" s="2614"/>
      <c r="E634" s="2614"/>
      <c r="F634" s="2614"/>
    </row>
    <row r="635">
      <c r="B635" s="2614"/>
      <c r="C635" s="2614"/>
      <c r="D635" s="2614"/>
      <c r="E635" s="2614"/>
      <c r="F635" s="2614"/>
    </row>
    <row r="636">
      <c r="B636" s="2614"/>
      <c r="C636" s="2614"/>
      <c r="D636" s="2614"/>
      <c r="E636" s="2614"/>
      <c r="F636" s="2614"/>
    </row>
    <row r="637">
      <c r="B637" s="2614"/>
      <c r="C637" s="2614"/>
      <c r="D637" s="2614"/>
      <c r="E637" s="2614"/>
      <c r="F637" s="2614"/>
    </row>
    <row r="638">
      <c r="B638" s="2614"/>
      <c r="C638" s="2614"/>
      <c r="D638" s="2614"/>
      <c r="E638" s="2614"/>
      <c r="F638" s="2614"/>
    </row>
    <row r="639">
      <c r="B639" s="2614"/>
      <c r="C639" s="2614"/>
      <c r="D639" s="2614"/>
      <c r="E639" s="2614"/>
      <c r="F639" s="2614"/>
    </row>
    <row r="640">
      <c r="B640" s="2614"/>
      <c r="C640" s="2614"/>
      <c r="D640" s="2614"/>
      <c r="E640" s="2614"/>
      <c r="F640" s="2614"/>
    </row>
    <row r="641">
      <c r="B641" s="2614"/>
      <c r="C641" s="2614"/>
      <c r="D641" s="2614"/>
      <c r="E641" s="2614"/>
      <c r="F641" s="2614"/>
    </row>
    <row r="642">
      <c r="B642" s="2614"/>
      <c r="C642" s="2614"/>
      <c r="D642" s="2614"/>
      <c r="E642" s="2614"/>
      <c r="F642" s="2614"/>
    </row>
    <row r="643">
      <c r="B643" s="2614"/>
      <c r="C643" s="2614"/>
      <c r="D643" s="2614"/>
      <c r="E643" s="2614"/>
      <c r="F643" s="2614"/>
    </row>
    <row r="644">
      <c r="B644" s="2614"/>
      <c r="C644" s="2614"/>
      <c r="D644" s="2614"/>
      <c r="E644" s="2614"/>
      <c r="F644" s="2614"/>
    </row>
    <row r="645">
      <c r="B645" s="2614"/>
      <c r="C645" s="2614"/>
      <c r="D645" s="2614"/>
      <c r="E645" s="2614"/>
      <c r="F645" s="2614"/>
    </row>
    <row r="646">
      <c r="B646" s="2614"/>
      <c r="C646" s="2614"/>
      <c r="D646" s="2614"/>
      <c r="E646" s="2614"/>
      <c r="F646" s="2614"/>
    </row>
    <row r="647">
      <c r="B647" s="2614"/>
      <c r="C647" s="2614"/>
      <c r="D647" s="2614"/>
      <c r="E647" s="2614"/>
      <c r="F647" s="2614"/>
    </row>
    <row r="648">
      <c r="B648" s="2614"/>
      <c r="C648" s="2614"/>
      <c r="D648" s="2614"/>
      <c r="E648" s="2614"/>
      <c r="F648" s="2614"/>
    </row>
    <row r="649">
      <c r="B649" s="2614"/>
      <c r="C649" s="2614"/>
      <c r="D649" s="2614"/>
      <c r="E649" s="2614"/>
      <c r="F649" s="2614"/>
    </row>
    <row r="650">
      <c r="B650" s="2614"/>
      <c r="C650" s="2614"/>
      <c r="D650" s="2614"/>
      <c r="E650" s="2614"/>
      <c r="F650" s="2614"/>
    </row>
    <row r="651">
      <c r="B651" s="2614"/>
      <c r="C651" s="2614"/>
      <c r="D651" s="2614"/>
      <c r="E651" s="2614"/>
      <c r="F651" s="2614"/>
    </row>
    <row r="652">
      <c r="B652" s="2614"/>
      <c r="C652" s="2614"/>
      <c r="D652" s="2614"/>
      <c r="E652" s="2614"/>
      <c r="F652" s="2614"/>
    </row>
    <row r="653">
      <c r="B653" s="2614"/>
      <c r="C653" s="2614"/>
      <c r="D653" s="2614"/>
      <c r="E653" s="2614"/>
      <c r="F653" s="2614"/>
    </row>
    <row r="654">
      <c r="B654" s="2614"/>
      <c r="C654" s="2614"/>
      <c r="D654" s="2614"/>
      <c r="E654" s="2614"/>
      <c r="F654" s="2614"/>
    </row>
    <row r="655">
      <c r="B655" s="2614"/>
      <c r="C655" s="2614"/>
      <c r="D655" s="2614"/>
      <c r="E655" s="2614"/>
      <c r="F655" s="2614"/>
    </row>
    <row r="656">
      <c r="B656" s="2614"/>
      <c r="C656" s="2614"/>
      <c r="D656" s="2614"/>
      <c r="E656" s="2614"/>
      <c r="F656" s="2614"/>
    </row>
    <row r="657">
      <c r="B657" s="2614"/>
      <c r="C657" s="2614"/>
      <c r="D657" s="2614"/>
      <c r="E657" s="2614"/>
      <c r="F657" s="2614"/>
    </row>
    <row r="658">
      <c r="B658" s="2614"/>
      <c r="C658" s="2614"/>
      <c r="D658" s="2614"/>
      <c r="E658" s="2614"/>
      <c r="F658" s="2614"/>
    </row>
    <row r="659">
      <c r="B659" s="2614"/>
      <c r="C659" s="2614"/>
      <c r="D659" s="2614"/>
      <c r="E659" s="2614"/>
      <c r="F659" s="2614"/>
    </row>
    <row r="660">
      <c r="B660" s="2614"/>
      <c r="C660" s="2614"/>
      <c r="D660" s="2614"/>
      <c r="E660" s="2614"/>
      <c r="F660" s="2614"/>
    </row>
    <row r="661">
      <c r="B661" s="2614"/>
      <c r="C661" s="2614"/>
      <c r="D661" s="2614"/>
      <c r="E661" s="2614"/>
      <c r="F661" s="2614"/>
    </row>
    <row r="662">
      <c r="B662" s="2614"/>
      <c r="C662" s="2614"/>
      <c r="D662" s="2614"/>
      <c r="E662" s="2614"/>
      <c r="F662" s="2614"/>
    </row>
    <row r="663">
      <c r="B663" s="2614"/>
      <c r="C663" s="2614"/>
      <c r="D663" s="2614"/>
      <c r="E663" s="2614"/>
      <c r="F663" s="2614"/>
    </row>
    <row r="664">
      <c r="B664" s="2614"/>
      <c r="C664" s="2614"/>
      <c r="D664" s="2614"/>
      <c r="E664" s="2614"/>
      <c r="F664" s="2614"/>
    </row>
    <row r="665">
      <c r="B665" s="2614"/>
      <c r="C665" s="2614"/>
      <c r="D665" s="2614"/>
      <c r="E665" s="2614"/>
      <c r="F665" s="2614"/>
    </row>
    <row r="666">
      <c r="B666" s="2614"/>
      <c r="C666" s="2614"/>
      <c r="D666" s="2614"/>
      <c r="E666" s="2614"/>
      <c r="F666" s="2614"/>
    </row>
    <row r="667">
      <c r="B667" s="2614"/>
      <c r="C667" s="2614"/>
      <c r="D667" s="2614"/>
      <c r="E667" s="2614"/>
      <c r="F667" s="2614"/>
    </row>
    <row r="668">
      <c r="B668" s="2614"/>
      <c r="C668" s="2614"/>
      <c r="D668" s="2614"/>
      <c r="E668" s="2614"/>
      <c r="F668" s="2614"/>
    </row>
    <row r="669">
      <c r="B669" s="2614"/>
      <c r="C669" s="2614"/>
      <c r="D669" s="2614"/>
      <c r="E669" s="2614"/>
      <c r="F669" s="2614"/>
    </row>
    <row r="670">
      <c r="B670" s="2614"/>
      <c r="C670" s="2614"/>
      <c r="D670" s="2614"/>
      <c r="E670" s="2614"/>
      <c r="F670" s="2614"/>
    </row>
    <row r="671">
      <c r="B671" s="2614"/>
      <c r="C671" s="2614"/>
      <c r="D671" s="2614"/>
      <c r="E671" s="2614"/>
      <c r="F671" s="2614"/>
    </row>
    <row r="672">
      <c r="B672" s="2614"/>
      <c r="C672" s="2614"/>
      <c r="D672" s="2614"/>
      <c r="E672" s="2614"/>
      <c r="F672" s="2614"/>
    </row>
    <row r="673">
      <c r="B673" s="2614"/>
      <c r="C673" s="2614"/>
      <c r="D673" s="2614"/>
      <c r="E673" s="2614"/>
      <c r="F673" s="2614"/>
    </row>
    <row r="674">
      <c r="B674" s="2614"/>
      <c r="C674" s="2614"/>
      <c r="D674" s="2614"/>
      <c r="E674" s="2614"/>
      <c r="F674" s="2614"/>
    </row>
    <row r="675">
      <c r="B675" s="2614"/>
      <c r="C675" s="2614"/>
      <c r="D675" s="2614"/>
      <c r="E675" s="2614"/>
      <c r="F675" s="2614"/>
    </row>
    <row r="676">
      <c r="B676" s="2614"/>
      <c r="C676" s="2614"/>
      <c r="D676" s="2614"/>
      <c r="E676" s="2614"/>
      <c r="F676" s="2614"/>
    </row>
    <row r="677">
      <c r="B677" s="2614"/>
      <c r="C677" s="2614"/>
      <c r="D677" s="2614"/>
      <c r="E677" s="2614"/>
      <c r="F677" s="2614"/>
    </row>
    <row r="678">
      <c r="B678" s="2614"/>
      <c r="C678" s="2614"/>
      <c r="D678" s="2614"/>
      <c r="E678" s="2614"/>
      <c r="F678" s="2614"/>
    </row>
    <row r="679">
      <c r="B679" s="2614"/>
      <c r="C679" s="2614"/>
      <c r="D679" s="2614"/>
      <c r="E679" s="2614"/>
      <c r="F679" s="2614"/>
    </row>
    <row r="680">
      <c r="B680" s="2614"/>
      <c r="C680" s="2614"/>
      <c r="D680" s="2614"/>
      <c r="E680" s="2614"/>
      <c r="F680" s="2614"/>
    </row>
    <row r="681">
      <c r="B681" s="2614"/>
      <c r="C681" s="2614"/>
      <c r="D681" s="2614"/>
      <c r="E681" s="2614"/>
      <c r="F681" s="2614"/>
    </row>
    <row r="682">
      <c r="B682" s="2614"/>
      <c r="C682" s="2614"/>
      <c r="D682" s="2614"/>
      <c r="E682" s="2614"/>
      <c r="F682" s="2614"/>
    </row>
    <row r="683">
      <c r="B683" s="2614"/>
      <c r="C683" s="2614"/>
      <c r="D683" s="2614"/>
      <c r="E683" s="2614"/>
      <c r="F683" s="2614"/>
    </row>
    <row r="684">
      <c r="B684" s="2614"/>
      <c r="C684" s="2614"/>
      <c r="D684" s="2614"/>
      <c r="E684" s="2614"/>
      <c r="F684" s="2614"/>
    </row>
    <row r="685">
      <c r="B685" s="2614"/>
      <c r="C685" s="2614"/>
      <c r="D685" s="2614"/>
      <c r="E685" s="2614"/>
      <c r="F685" s="2614"/>
    </row>
    <row r="686">
      <c r="B686" s="2614"/>
      <c r="C686" s="2614"/>
      <c r="D686" s="2614"/>
      <c r="E686" s="2614"/>
      <c r="F686" s="2614"/>
    </row>
    <row r="687">
      <c r="B687" s="2614"/>
      <c r="C687" s="2614"/>
      <c r="D687" s="2614"/>
      <c r="E687" s="2614"/>
      <c r="F687" s="2614"/>
    </row>
    <row r="688">
      <c r="B688" s="2614"/>
      <c r="C688" s="2614"/>
      <c r="D688" s="2614"/>
      <c r="E688" s="2614"/>
      <c r="F688" s="2614"/>
    </row>
    <row r="689">
      <c r="B689" s="2614"/>
      <c r="C689" s="2614"/>
      <c r="D689" s="2614"/>
      <c r="E689" s="2614"/>
      <c r="F689" s="2614"/>
    </row>
    <row r="690">
      <c r="B690" s="2614"/>
      <c r="C690" s="2614"/>
      <c r="D690" s="2614"/>
      <c r="E690" s="2614"/>
      <c r="F690" s="2614"/>
    </row>
    <row r="691">
      <c r="B691" s="2614"/>
      <c r="C691" s="2614"/>
      <c r="D691" s="2614"/>
      <c r="E691" s="2614"/>
      <c r="F691" s="2614"/>
    </row>
    <row r="692">
      <c r="B692" s="2614"/>
      <c r="C692" s="2614"/>
      <c r="D692" s="2614"/>
      <c r="E692" s="2614"/>
      <c r="F692" s="2614"/>
    </row>
    <row r="693">
      <c r="B693" s="2614"/>
      <c r="C693" s="2614"/>
      <c r="D693" s="2614"/>
      <c r="E693" s="2614"/>
      <c r="F693" s="2614"/>
    </row>
    <row r="694">
      <c r="B694" s="2614"/>
      <c r="C694" s="2614"/>
      <c r="D694" s="2614"/>
      <c r="E694" s="2614"/>
      <c r="F694" s="2614"/>
    </row>
    <row r="695">
      <c r="B695" s="2614"/>
      <c r="C695" s="2614"/>
      <c r="D695" s="2614"/>
      <c r="E695" s="2614"/>
      <c r="F695" s="2614"/>
    </row>
    <row r="696">
      <c r="B696" s="2614"/>
      <c r="C696" s="2614"/>
      <c r="D696" s="2614"/>
      <c r="E696" s="2614"/>
      <c r="F696" s="2614"/>
    </row>
    <row r="697">
      <c r="B697" s="2614"/>
      <c r="C697" s="2614"/>
      <c r="D697" s="2614"/>
      <c r="E697" s="2614"/>
      <c r="F697" s="2614"/>
    </row>
    <row r="698">
      <c r="B698" s="2614"/>
      <c r="C698" s="2614"/>
      <c r="D698" s="2614"/>
      <c r="E698" s="2614"/>
      <c r="F698" s="2614"/>
    </row>
    <row r="699">
      <c r="B699" s="2614"/>
      <c r="C699" s="2614"/>
      <c r="D699" s="2614"/>
      <c r="E699" s="2614"/>
      <c r="F699" s="2614"/>
    </row>
    <row r="700">
      <c r="B700" s="2614"/>
      <c r="C700" s="2614"/>
      <c r="D700" s="2614"/>
      <c r="E700" s="2614"/>
      <c r="F700" s="2614"/>
    </row>
    <row r="701">
      <c r="B701" s="2614"/>
      <c r="C701" s="2614"/>
      <c r="D701" s="2614"/>
      <c r="E701" s="2614"/>
      <c r="F701" s="2614"/>
    </row>
    <row r="702">
      <c r="B702" s="2614"/>
      <c r="C702" s="2614"/>
      <c r="D702" s="2614"/>
      <c r="E702" s="2614"/>
      <c r="F702" s="2614"/>
    </row>
    <row r="703">
      <c r="B703" s="2614"/>
      <c r="C703" s="2614"/>
      <c r="D703" s="2614"/>
      <c r="E703" s="2614"/>
      <c r="F703" s="2614"/>
    </row>
    <row r="704">
      <c r="B704" s="2614"/>
      <c r="C704" s="2614"/>
      <c r="D704" s="2614"/>
      <c r="E704" s="2614"/>
      <c r="F704" s="2614"/>
    </row>
    <row r="705">
      <c r="B705" s="2614"/>
      <c r="C705" s="2614"/>
      <c r="D705" s="2614"/>
      <c r="E705" s="2614"/>
      <c r="F705" s="2614"/>
    </row>
    <row r="706">
      <c r="B706" s="2614"/>
      <c r="C706" s="2614"/>
      <c r="D706" s="2614"/>
      <c r="E706" s="2614"/>
      <c r="F706" s="2614"/>
    </row>
    <row r="707">
      <c r="B707" s="2614"/>
      <c r="C707" s="2614"/>
      <c r="D707" s="2614"/>
      <c r="E707" s="2614"/>
      <c r="F707" s="2614"/>
    </row>
    <row r="708">
      <c r="B708" s="2614"/>
      <c r="C708" s="2614"/>
      <c r="D708" s="2614"/>
      <c r="E708" s="2614"/>
      <c r="F708" s="2614"/>
    </row>
    <row r="709">
      <c r="B709" s="2614"/>
      <c r="C709" s="2614"/>
      <c r="D709" s="2614"/>
      <c r="E709" s="2614"/>
      <c r="F709" s="2614"/>
    </row>
    <row r="710">
      <c r="B710" s="2614"/>
      <c r="C710" s="2614"/>
      <c r="D710" s="2614"/>
      <c r="E710" s="2614"/>
      <c r="F710" s="2614"/>
    </row>
    <row r="711">
      <c r="B711" s="2614"/>
      <c r="C711" s="2614"/>
      <c r="D711" s="2614"/>
      <c r="E711" s="2614"/>
      <c r="F711" s="2614"/>
    </row>
    <row r="712">
      <c r="B712" s="2614"/>
      <c r="C712" s="2614"/>
      <c r="D712" s="2614"/>
      <c r="E712" s="2614"/>
      <c r="F712" s="2614"/>
    </row>
    <row r="713">
      <c r="B713" s="2614"/>
      <c r="C713" s="2614"/>
      <c r="D713" s="2614"/>
      <c r="E713" s="2614"/>
      <c r="F713" s="2614"/>
    </row>
    <row r="714">
      <c r="B714" s="2614"/>
      <c r="C714" s="2614"/>
      <c r="D714" s="2614"/>
      <c r="E714" s="2614"/>
      <c r="F714" s="2614"/>
    </row>
    <row r="715">
      <c r="B715" s="2614"/>
      <c r="C715" s="2614"/>
      <c r="D715" s="2614"/>
      <c r="E715" s="2614"/>
      <c r="F715" s="2614"/>
    </row>
    <row r="716">
      <c r="B716" s="2614"/>
      <c r="C716" s="2614"/>
      <c r="D716" s="2614"/>
      <c r="E716" s="2614"/>
      <c r="F716" s="2614"/>
    </row>
    <row r="717">
      <c r="B717" s="2614"/>
      <c r="C717" s="2614"/>
      <c r="D717" s="2614"/>
      <c r="E717" s="2614"/>
      <c r="F717" s="2614"/>
    </row>
    <row r="718">
      <c r="B718" s="2614"/>
      <c r="C718" s="2614"/>
      <c r="D718" s="2614"/>
      <c r="E718" s="2614"/>
      <c r="F718" s="2614"/>
    </row>
    <row r="719">
      <c r="B719" s="2614"/>
      <c r="C719" s="2614"/>
      <c r="D719" s="2614"/>
      <c r="E719" s="2614"/>
      <c r="F719" s="2614"/>
    </row>
    <row r="720">
      <c r="B720" s="2614"/>
      <c r="C720" s="2614"/>
      <c r="D720" s="2614"/>
      <c r="E720" s="2614"/>
      <c r="F720" s="2614"/>
    </row>
    <row r="721">
      <c r="B721" s="2614"/>
      <c r="C721" s="2614"/>
      <c r="D721" s="2614"/>
      <c r="E721" s="2614"/>
      <c r="F721" s="2614"/>
    </row>
    <row r="722">
      <c r="B722" s="2614"/>
      <c r="C722" s="2614"/>
      <c r="D722" s="2614"/>
      <c r="E722" s="2614"/>
      <c r="F722" s="2614"/>
    </row>
    <row r="723">
      <c r="B723" s="2614"/>
      <c r="C723" s="2614"/>
      <c r="D723" s="2614"/>
      <c r="E723" s="2614"/>
      <c r="F723" s="2614"/>
    </row>
    <row r="724">
      <c r="B724" s="2614"/>
      <c r="C724" s="2614"/>
      <c r="D724" s="2614"/>
      <c r="E724" s="2614"/>
      <c r="F724" s="2614"/>
    </row>
    <row r="725">
      <c r="B725" s="2614"/>
      <c r="C725" s="2614"/>
      <c r="D725" s="2614"/>
      <c r="E725" s="2614"/>
      <c r="F725" s="2614"/>
    </row>
    <row r="726">
      <c r="B726" s="2614"/>
      <c r="C726" s="2614"/>
      <c r="D726" s="2614"/>
      <c r="E726" s="2614"/>
      <c r="F726" s="2614"/>
    </row>
    <row r="727">
      <c r="B727" s="2614"/>
      <c r="C727" s="2614"/>
      <c r="D727" s="2614"/>
      <c r="E727" s="2614"/>
      <c r="F727" s="2614"/>
    </row>
    <row r="728">
      <c r="B728" s="2614"/>
      <c r="C728" s="2614"/>
      <c r="D728" s="2614"/>
      <c r="E728" s="2614"/>
      <c r="F728" s="2614"/>
    </row>
    <row r="729">
      <c r="B729" s="2614"/>
      <c r="C729" s="2614"/>
      <c r="D729" s="2614"/>
      <c r="E729" s="2614"/>
      <c r="F729" s="2614"/>
    </row>
    <row r="730">
      <c r="B730" s="2614"/>
      <c r="C730" s="2614"/>
      <c r="D730" s="2614"/>
      <c r="E730" s="2614"/>
      <c r="F730" s="2614"/>
    </row>
    <row r="731">
      <c r="B731" s="2614"/>
      <c r="C731" s="2614"/>
      <c r="D731" s="2614"/>
      <c r="E731" s="2614"/>
      <c r="F731" s="2614"/>
    </row>
    <row r="732">
      <c r="B732" s="2614"/>
      <c r="C732" s="2614"/>
      <c r="D732" s="2614"/>
      <c r="E732" s="2614"/>
      <c r="F732" s="2614"/>
    </row>
    <row r="733">
      <c r="B733" s="2614"/>
      <c r="C733" s="2614"/>
      <c r="D733" s="2614"/>
      <c r="E733" s="2614"/>
      <c r="F733" s="2614"/>
    </row>
    <row r="734">
      <c r="B734" s="2614"/>
      <c r="C734" s="2614"/>
      <c r="D734" s="2614"/>
      <c r="E734" s="2614"/>
      <c r="F734" s="2614"/>
    </row>
    <row r="735">
      <c r="B735" s="2614"/>
      <c r="C735" s="2614"/>
      <c r="D735" s="2614"/>
      <c r="E735" s="2614"/>
      <c r="F735" s="2614"/>
    </row>
    <row r="736">
      <c r="B736" s="2614"/>
      <c r="C736" s="2614"/>
      <c r="D736" s="2614"/>
      <c r="E736" s="2614"/>
      <c r="F736" s="2614"/>
    </row>
    <row r="737">
      <c r="B737" s="2614"/>
      <c r="C737" s="2614"/>
      <c r="D737" s="2614"/>
      <c r="E737" s="2614"/>
      <c r="F737" s="2614"/>
    </row>
    <row r="738">
      <c r="B738" s="2614"/>
      <c r="C738" s="2614"/>
      <c r="D738" s="2614"/>
      <c r="E738" s="2614"/>
      <c r="F738" s="2614"/>
    </row>
    <row r="739">
      <c r="B739" s="2614"/>
      <c r="C739" s="2614"/>
      <c r="D739" s="2614"/>
      <c r="E739" s="2614"/>
      <c r="F739" s="2614"/>
    </row>
    <row r="740">
      <c r="B740" s="2614"/>
      <c r="C740" s="2614"/>
      <c r="D740" s="2614"/>
      <c r="E740" s="2614"/>
      <c r="F740" s="2614"/>
    </row>
    <row r="741">
      <c r="B741" s="2614"/>
      <c r="C741" s="2614"/>
      <c r="D741" s="2614"/>
      <c r="E741" s="2614"/>
      <c r="F741" s="2614"/>
    </row>
    <row r="742">
      <c r="B742" s="2614"/>
      <c r="C742" s="2614"/>
      <c r="D742" s="2614"/>
      <c r="E742" s="2614"/>
      <c r="F742" s="2614"/>
    </row>
    <row r="743">
      <c r="B743" s="2614"/>
      <c r="C743" s="2614"/>
      <c r="D743" s="2614"/>
      <c r="E743" s="2614"/>
      <c r="F743" s="2614"/>
    </row>
    <row r="744">
      <c r="B744" s="2614"/>
      <c r="C744" s="2614"/>
      <c r="D744" s="2614"/>
      <c r="E744" s="2614"/>
      <c r="F744" s="2614"/>
    </row>
    <row r="745">
      <c r="B745" s="2614"/>
      <c r="C745" s="2614"/>
      <c r="D745" s="2614"/>
      <c r="E745" s="2614"/>
      <c r="F745" s="2614"/>
    </row>
    <row r="746">
      <c r="B746" s="2614"/>
      <c r="C746" s="2614"/>
      <c r="D746" s="2614"/>
      <c r="E746" s="2614"/>
      <c r="F746" s="2614"/>
    </row>
    <row r="747">
      <c r="B747" s="2614"/>
      <c r="C747" s="2614"/>
      <c r="D747" s="2614"/>
      <c r="E747" s="2614"/>
      <c r="F747" s="2614"/>
    </row>
    <row r="748">
      <c r="B748" s="2614"/>
      <c r="C748" s="2614"/>
      <c r="D748" s="2614"/>
      <c r="E748" s="2614"/>
      <c r="F748" s="2614"/>
    </row>
    <row r="749">
      <c r="B749" s="2614"/>
      <c r="C749" s="2614"/>
      <c r="D749" s="2614"/>
      <c r="E749" s="2614"/>
      <c r="F749" s="2614"/>
    </row>
    <row r="750">
      <c r="B750" s="2614"/>
      <c r="C750" s="2614"/>
      <c r="D750" s="2614"/>
      <c r="E750" s="2614"/>
      <c r="F750" s="2614"/>
    </row>
    <row r="751">
      <c r="B751" s="2614"/>
      <c r="C751" s="2614"/>
      <c r="D751" s="2614"/>
      <c r="E751" s="2614"/>
      <c r="F751" s="2614"/>
    </row>
    <row r="752">
      <c r="B752" s="2614"/>
      <c r="C752" s="2614"/>
      <c r="D752" s="2614"/>
      <c r="E752" s="2614"/>
      <c r="F752" s="2614"/>
    </row>
    <row r="753">
      <c r="B753" s="2614"/>
      <c r="C753" s="2614"/>
      <c r="D753" s="2614"/>
      <c r="E753" s="2614"/>
      <c r="F753" s="2614"/>
    </row>
    <row r="754">
      <c r="B754" s="2614"/>
      <c r="C754" s="2614"/>
      <c r="D754" s="2614"/>
      <c r="E754" s="2614"/>
      <c r="F754" s="2614"/>
    </row>
    <row r="755">
      <c r="B755" s="2614"/>
      <c r="C755" s="2614"/>
      <c r="D755" s="2614"/>
      <c r="E755" s="2614"/>
      <c r="F755" s="2614"/>
    </row>
    <row r="756">
      <c r="B756" s="2614"/>
      <c r="C756" s="2614"/>
      <c r="D756" s="2614"/>
      <c r="E756" s="2614"/>
      <c r="F756" s="2614"/>
    </row>
    <row r="757">
      <c r="B757" s="2614"/>
      <c r="C757" s="2614"/>
      <c r="D757" s="2614"/>
      <c r="E757" s="2614"/>
      <c r="F757" s="2614"/>
    </row>
    <row r="758">
      <c r="B758" s="2614"/>
      <c r="C758" s="2614"/>
      <c r="D758" s="2614"/>
      <c r="E758" s="2614"/>
      <c r="F758" s="2614"/>
    </row>
    <row r="759">
      <c r="B759" s="2614"/>
      <c r="C759" s="2614"/>
      <c r="D759" s="2614"/>
      <c r="E759" s="2614"/>
      <c r="F759" s="2614"/>
    </row>
    <row r="760">
      <c r="B760" s="2614"/>
      <c r="C760" s="2614"/>
      <c r="D760" s="2614"/>
      <c r="E760" s="2614"/>
      <c r="F760" s="2614"/>
    </row>
    <row r="761">
      <c r="B761" s="2614"/>
      <c r="C761" s="2614"/>
      <c r="D761" s="2614"/>
      <c r="E761" s="2614"/>
      <c r="F761" s="2614"/>
    </row>
    <row r="762">
      <c r="B762" s="2614"/>
      <c r="C762" s="2614"/>
      <c r="D762" s="2614"/>
      <c r="E762" s="2614"/>
      <c r="F762" s="2614"/>
    </row>
    <row r="763">
      <c r="B763" s="2614"/>
      <c r="C763" s="2614"/>
      <c r="D763" s="2614"/>
      <c r="E763" s="2614"/>
      <c r="F763" s="2614"/>
    </row>
    <row r="764">
      <c r="B764" s="2614"/>
      <c r="C764" s="2614"/>
      <c r="D764" s="2614"/>
      <c r="E764" s="2614"/>
      <c r="F764" s="2614"/>
    </row>
    <row r="765">
      <c r="B765" s="2614"/>
      <c r="C765" s="2614"/>
      <c r="D765" s="2614"/>
      <c r="E765" s="2614"/>
      <c r="F765" s="2614"/>
    </row>
    <row r="766">
      <c r="B766" s="2614"/>
      <c r="C766" s="2614"/>
      <c r="D766" s="2614"/>
      <c r="E766" s="2614"/>
      <c r="F766" s="2614"/>
    </row>
    <row r="767">
      <c r="B767" s="2614"/>
      <c r="C767" s="2614"/>
      <c r="D767" s="2614"/>
      <c r="E767" s="2614"/>
      <c r="F767" s="2614"/>
    </row>
    <row r="768">
      <c r="B768" s="2614"/>
      <c r="C768" s="2614"/>
      <c r="D768" s="2614"/>
      <c r="E768" s="2614"/>
      <c r="F768" s="2614"/>
    </row>
    <row r="769">
      <c r="B769" s="2614"/>
      <c r="C769" s="2614"/>
      <c r="D769" s="2614"/>
      <c r="E769" s="2614"/>
      <c r="F769" s="2614"/>
    </row>
    <row r="770">
      <c r="B770" s="2614"/>
      <c r="C770" s="2614"/>
      <c r="D770" s="2614"/>
      <c r="E770" s="2614"/>
      <c r="F770" s="2614"/>
    </row>
    <row r="771">
      <c r="B771" s="2614"/>
      <c r="C771" s="2614"/>
      <c r="D771" s="2614"/>
      <c r="E771" s="2614"/>
      <c r="F771" s="2614"/>
    </row>
    <row r="772">
      <c r="B772" s="2614"/>
      <c r="C772" s="2614"/>
      <c r="D772" s="2614"/>
      <c r="E772" s="2614"/>
      <c r="F772" s="2614"/>
    </row>
    <row r="773">
      <c r="B773" s="2614"/>
      <c r="C773" s="2614"/>
      <c r="D773" s="2614"/>
      <c r="E773" s="2614"/>
      <c r="F773" s="2614"/>
    </row>
    <row r="774">
      <c r="B774" s="2614"/>
      <c r="C774" s="2614"/>
      <c r="D774" s="2614"/>
      <c r="E774" s="2614"/>
      <c r="F774" s="2614"/>
    </row>
    <row r="775">
      <c r="B775" s="2614"/>
      <c r="C775" s="2614"/>
      <c r="D775" s="2614"/>
      <c r="E775" s="2614"/>
      <c r="F775" s="2614"/>
    </row>
    <row r="776">
      <c r="B776" s="2614"/>
      <c r="C776" s="2614"/>
      <c r="D776" s="2614"/>
      <c r="E776" s="2614"/>
      <c r="F776" s="2614"/>
    </row>
    <row r="777">
      <c r="B777" s="2614"/>
      <c r="C777" s="2614"/>
      <c r="D777" s="2614"/>
      <c r="E777" s="2614"/>
      <c r="F777" s="2614"/>
    </row>
    <row r="778">
      <c r="B778" s="2614"/>
      <c r="C778" s="2614"/>
      <c r="D778" s="2614"/>
      <c r="E778" s="2614"/>
      <c r="F778" s="2614"/>
    </row>
    <row r="779">
      <c r="B779" s="2614"/>
      <c r="C779" s="2614"/>
      <c r="D779" s="2614"/>
      <c r="E779" s="2614"/>
      <c r="F779" s="2614"/>
    </row>
    <row r="780">
      <c r="B780" s="2614"/>
      <c r="C780" s="2614"/>
      <c r="D780" s="2614"/>
      <c r="E780" s="2614"/>
      <c r="F780" s="2614"/>
    </row>
    <row r="781">
      <c r="B781" s="2614"/>
      <c r="C781" s="2614"/>
      <c r="D781" s="2614"/>
      <c r="E781" s="2614"/>
      <c r="F781" s="2614"/>
    </row>
    <row r="782">
      <c r="B782" s="2614"/>
      <c r="C782" s="2614"/>
      <c r="D782" s="2614"/>
      <c r="E782" s="2614"/>
      <c r="F782" s="2614"/>
    </row>
    <row r="783">
      <c r="B783" s="2614"/>
      <c r="C783" s="2614"/>
      <c r="D783" s="2614"/>
      <c r="E783" s="2614"/>
      <c r="F783" s="2614"/>
    </row>
    <row r="784">
      <c r="B784" s="2614"/>
      <c r="C784" s="2614"/>
      <c r="D784" s="2614"/>
      <c r="E784" s="2614"/>
      <c r="F784" s="2614"/>
    </row>
    <row r="785">
      <c r="B785" s="2614"/>
      <c r="C785" s="2614"/>
      <c r="D785" s="2614"/>
      <c r="E785" s="2614"/>
      <c r="F785" s="2614"/>
    </row>
    <row r="786">
      <c r="B786" s="2614"/>
      <c r="C786" s="2614"/>
      <c r="D786" s="2614"/>
      <c r="E786" s="2614"/>
      <c r="F786" s="2614"/>
    </row>
    <row r="787">
      <c r="B787" s="2614"/>
      <c r="C787" s="2614"/>
      <c r="D787" s="2614"/>
      <c r="E787" s="2614"/>
      <c r="F787" s="2614"/>
    </row>
    <row r="788">
      <c r="B788" s="2614"/>
      <c r="C788" s="2614"/>
      <c r="D788" s="2614"/>
      <c r="E788" s="2614"/>
      <c r="F788" s="2614"/>
    </row>
    <row r="789">
      <c r="B789" s="2614"/>
      <c r="C789" s="2614"/>
      <c r="D789" s="2614"/>
      <c r="E789" s="2614"/>
      <c r="F789" s="2614"/>
    </row>
    <row r="790">
      <c r="B790" s="2614"/>
      <c r="C790" s="2614"/>
      <c r="D790" s="2614"/>
      <c r="E790" s="2614"/>
      <c r="F790" s="2614"/>
    </row>
    <row r="791">
      <c r="B791" s="2614"/>
      <c r="C791" s="2614"/>
      <c r="D791" s="2614"/>
      <c r="E791" s="2614"/>
      <c r="F791" s="2614"/>
    </row>
    <row r="792">
      <c r="B792" s="2614"/>
      <c r="C792" s="2614"/>
      <c r="D792" s="2614"/>
      <c r="E792" s="2614"/>
      <c r="F792" s="2614"/>
    </row>
    <row r="793">
      <c r="B793" s="2614"/>
      <c r="C793" s="2614"/>
      <c r="D793" s="2614"/>
      <c r="E793" s="2614"/>
      <c r="F793" s="2614"/>
    </row>
    <row r="794">
      <c r="B794" s="2614"/>
      <c r="C794" s="2614"/>
      <c r="D794" s="2614"/>
      <c r="E794" s="2614"/>
      <c r="F794" s="2614"/>
    </row>
    <row r="795">
      <c r="B795" s="2614"/>
      <c r="C795" s="2614"/>
      <c r="D795" s="2614"/>
      <c r="E795" s="2614"/>
      <c r="F795" s="2614"/>
    </row>
    <row r="796">
      <c r="B796" s="2614"/>
      <c r="C796" s="2614"/>
      <c r="D796" s="2614"/>
      <c r="E796" s="2614"/>
      <c r="F796" s="2614"/>
    </row>
    <row r="797">
      <c r="B797" s="2614"/>
      <c r="C797" s="2614"/>
      <c r="D797" s="2614"/>
      <c r="E797" s="2614"/>
      <c r="F797" s="2614"/>
    </row>
    <row r="798">
      <c r="B798" s="2614"/>
      <c r="C798" s="2614"/>
      <c r="D798" s="2614"/>
      <c r="E798" s="2614"/>
      <c r="F798" s="2614"/>
    </row>
    <row r="799">
      <c r="B799" s="2614"/>
      <c r="C799" s="2614"/>
      <c r="D799" s="2614"/>
      <c r="E799" s="2614"/>
      <c r="F799" s="2614"/>
    </row>
    <row r="800">
      <c r="B800" s="2614"/>
      <c r="C800" s="2614"/>
      <c r="D800" s="2614"/>
      <c r="E800" s="2614"/>
      <c r="F800" s="2614"/>
    </row>
    <row r="801">
      <c r="B801" s="2614"/>
      <c r="C801" s="2614"/>
      <c r="D801" s="2614"/>
      <c r="E801" s="2614"/>
      <c r="F801" s="2614"/>
    </row>
    <row r="802">
      <c r="B802" s="2614"/>
      <c r="C802" s="2614"/>
      <c r="D802" s="2614"/>
      <c r="E802" s="2614"/>
      <c r="F802" s="2614"/>
    </row>
    <row r="803">
      <c r="B803" s="2614"/>
      <c r="C803" s="2614"/>
      <c r="D803" s="2614"/>
      <c r="E803" s="2614"/>
      <c r="F803" s="2614"/>
    </row>
    <row r="804">
      <c r="B804" s="2614"/>
      <c r="C804" s="2614"/>
      <c r="D804" s="2614"/>
      <c r="E804" s="2614"/>
      <c r="F804" s="2614"/>
    </row>
    <row r="805">
      <c r="B805" s="2614"/>
      <c r="C805" s="2614"/>
      <c r="D805" s="2614"/>
      <c r="E805" s="2614"/>
      <c r="F805" s="2614"/>
    </row>
    <row r="806">
      <c r="B806" s="2614"/>
      <c r="C806" s="2614"/>
      <c r="D806" s="2614"/>
      <c r="E806" s="2614"/>
      <c r="F806" s="2614"/>
    </row>
    <row r="807">
      <c r="B807" s="2614"/>
      <c r="C807" s="2614"/>
      <c r="D807" s="2614"/>
      <c r="E807" s="2614"/>
      <c r="F807" s="2614"/>
    </row>
    <row r="808">
      <c r="B808" s="2614"/>
      <c r="C808" s="2614"/>
      <c r="D808" s="2614"/>
      <c r="E808" s="2614"/>
      <c r="F808" s="2614"/>
    </row>
    <row r="809">
      <c r="B809" s="2614"/>
      <c r="C809" s="2614"/>
      <c r="D809" s="2614"/>
      <c r="E809" s="2614"/>
      <c r="F809" s="2614"/>
    </row>
    <row r="810">
      <c r="B810" s="2614"/>
      <c r="C810" s="2614"/>
      <c r="D810" s="2614"/>
      <c r="E810" s="2614"/>
      <c r="F810" s="2614"/>
    </row>
    <row r="811">
      <c r="B811" s="2614"/>
      <c r="C811" s="2614"/>
      <c r="D811" s="2614"/>
      <c r="E811" s="2614"/>
      <c r="F811" s="2614"/>
    </row>
    <row r="812">
      <c r="B812" s="2614"/>
      <c r="C812" s="2614"/>
      <c r="D812" s="2614"/>
      <c r="E812" s="2614"/>
      <c r="F812" s="2614"/>
    </row>
    <row r="813">
      <c r="B813" s="2614"/>
      <c r="C813" s="2614"/>
      <c r="D813" s="2614"/>
      <c r="E813" s="2614"/>
      <c r="F813" s="2614"/>
    </row>
    <row r="814">
      <c r="B814" s="2614"/>
      <c r="C814" s="2614"/>
      <c r="D814" s="2614"/>
      <c r="E814" s="2614"/>
      <c r="F814" s="2614"/>
    </row>
    <row r="815">
      <c r="B815" s="2614"/>
      <c r="C815" s="2614"/>
      <c r="D815" s="2614"/>
      <c r="E815" s="2614"/>
      <c r="F815" s="2614"/>
    </row>
    <row r="816">
      <c r="B816" s="2614"/>
      <c r="C816" s="2614"/>
      <c r="D816" s="2614"/>
      <c r="E816" s="2614"/>
      <c r="F816" s="2614"/>
    </row>
    <row r="817">
      <c r="B817" s="2614"/>
      <c r="C817" s="2614"/>
      <c r="D817" s="2614"/>
      <c r="E817" s="2614"/>
      <c r="F817" s="2614"/>
    </row>
    <row r="818">
      <c r="B818" s="2614"/>
      <c r="C818" s="2614"/>
      <c r="D818" s="2614"/>
      <c r="E818" s="2614"/>
      <c r="F818" s="2614"/>
    </row>
    <row r="819">
      <c r="B819" s="2614"/>
      <c r="C819" s="2614"/>
      <c r="D819" s="2614"/>
      <c r="E819" s="2614"/>
      <c r="F819" s="2614"/>
    </row>
    <row r="820">
      <c r="B820" s="2614"/>
      <c r="C820" s="2614"/>
      <c r="D820" s="2614"/>
      <c r="E820" s="2614"/>
      <c r="F820" s="2614"/>
    </row>
    <row r="821">
      <c r="B821" s="2614"/>
      <c r="C821" s="2614"/>
      <c r="D821" s="2614"/>
      <c r="E821" s="2614"/>
      <c r="F821" s="2614"/>
    </row>
    <row r="822">
      <c r="B822" s="2614"/>
      <c r="C822" s="2614"/>
      <c r="D822" s="2614"/>
      <c r="E822" s="2614"/>
      <c r="F822" s="2614"/>
    </row>
    <row r="823">
      <c r="B823" s="2614"/>
      <c r="C823" s="2614"/>
      <c r="D823" s="2614"/>
      <c r="E823" s="2614"/>
      <c r="F823" s="2614"/>
    </row>
    <row r="824">
      <c r="B824" s="2614"/>
      <c r="C824" s="2614"/>
      <c r="D824" s="2614"/>
      <c r="E824" s="2614"/>
      <c r="F824" s="2614"/>
    </row>
    <row r="825">
      <c r="B825" s="2614"/>
      <c r="C825" s="2614"/>
      <c r="D825" s="2614"/>
      <c r="E825" s="2614"/>
      <c r="F825" s="2614"/>
    </row>
    <row r="826">
      <c r="B826" s="2614"/>
      <c r="C826" s="2614"/>
      <c r="D826" s="2614"/>
      <c r="E826" s="2614"/>
      <c r="F826" s="2614"/>
    </row>
    <row r="827">
      <c r="B827" s="2614"/>
      <c r="C827" s="2614"/>
      <c r="D827" s="2614"/>
      <c r="E827" s="2614"/>
      <c r="F827" s="2614"/>
    </row>
    <row r="828">
      <c r="B828" s="2614"/>
      <c r="C828" s="2614"/>
      <c r="D828" s="2614"/>
      <c r="E828" s="2614"/>
      <c r="F828" s="2614"/>
    </row>
    <row r="829">
      <c r="B829" s="2614"/>
      <c r="C829" s="2614"/>
      <c r="D829" s="2614"/>
      <c r="E829" s="2614"/>
      <c r="F829" s="2614"/>
    </row>
    <row r="830">
      <c r="B830" s="2614"/>
      <c r="C830" s="2614"/>
      <c r="D830" s="2614"/>
      <c r="E830" s="2614"/>
      <c r="F830" s="2614"/>
    </row>
    <row r="831">
      <c r="B831" s="2614"/>
      <c r="C831" s="2614"/>
      <c r="D831" s="2614"/>
      <c r="E831" s="2614"/>
      <c r="F831" s="2614"/>
    </row>
    <row r="832">
      <c r="B832" s="2614"/>
      <c r="C832" s="2614"/>
      <c r="D832" s="2614"/>
      <c r="E832" s="2614"/>
      <c r="F832" s="2614"/>
    </row>
    <row r="833">
      <c r="B833" s="2614"/>
      <c r="C833" s="2614"/>
      <c r="D833" s="2614"/>
      <c r="E833" s="2614"/>
      <c r="F833" s="2614"/>
    </row>
    <row r="834">
      <c r="B834" s="2614"/>
      <c r="C834" s="2614"/>
      <c r="D834" s="2614"/>
      <c r="E834" s="2614"/>
      <c r="F834" s="2614"/>
    </row>
    <row r="835">
      <c r="B835" s="2614"/>
      <c r="C835" s="2614"/>
      <c r="D835" s="2614"/>
      <c r="E835" s="2614"/>
      <c r="F835" s="2614"/>
    </row>
    <row r="836">
      <c r="B836" s="2614"/>
      <c r="C836" s="2614"/>
      <c r="D836" s="2614"/>
      <c r="E836" s="2614"/>
      <c r="F836" s="2614"/>
    </row>
    <row r="837">
      <c r="B837" s="2614"/>
      <c r="C837" s="2614"/>
      <c r="D837" s="2614"/>
      <c r="E837" s="2614"/>
      <c r="F837" s="2614"/>
    </row>
    <row r="838">
      <c r="B838" s="2614"/>
      <c r="C838" s="2614"/>
      <c r="D838" s="2614"/>
      <c r="E838" s="2614"/>
      <c r="F838" s="2614"/>
    </row>
    <row r="839">
      <c r="B839" s="2614"/>
      <c r="C839" s="2614"/>
      <c r="D839" s="2614"/>
      <c r="E839" s="2614"/>
      <c r="F839" s="2614"/>
    </row>
    <row r="840">
      <c r="B840" s="2614"/>
      <c r="C840" s="2614"/>
      <c r="D840" s="2614"/>
      <c r="E840" s="2614"/>
      <c r="F840" s="2614"/>
    </row>
    <row r="841">
      <c r="B841" s="2614"/>
      <c r="C841" s="2614"/>
      <c r="D841" s="2614"/>
      <c r="E841" s="2614"/>
      <c r="F841" s="2614"/>
    </row>
    <row r="842">
      <c r="B842" s="2614"/>
      <c r="C842" s="2614"/>
      <c r="D842" s="2614"/>
      <c r="E842" s="2614"/>
      <c r="F842" s="2614"/>
    </row>
    <row r="843">
      <c r="B843" s="2614"/>
      <c r="C843" s="2614"/>
      <c r="D843" s="2614"/>
      <c r="E843" s="2614"/>
      <c r="F843" s="2614"/>
    </row>
    <row r="844">
      <c r="B844" s="2614"/>
      <c r="C844" s="2614"/>
      <c r="D844" s="2614"/>
      <c r="E844" s="2614"/>
      <c r="F844" s="2614"/>
    </row>
    <row r="845">
      <c r="B845" s="2614"/>
      <c r="C845" s="2614"/>
      <c r="D845" s="2614"/>
      <c r="E845" s="2614"/>
      <c r="F845" s="2614"/>
    </row>
    <row r="846">
      <c r="B846" s="2614"/>
      <c r="C846" s="2614"/>
      <c r="D846" s="2614"/>
      <c r="E846" s="2614"/>
      <c r="F846" s="2614"/>
    </row>
    <row r="847">
      <c r="B847" s="2614"/>
      <c r="C847" s="2614"/>
      <c r="D847" s="2614"/>
      <c r="E847" s="2614"/>
      <c r="F847" s="2614"/>
    </row>
    <row r="848">
      <c r="B848" s="2614"/>
      <c r="C848" s="2614"/>
      <c r="D848" s="2614"/>
      <c r="E848" s="2614"/>
      <c r="F848" s="2614"/>
    </row>
    <row r="849">
      <c r="B849" s="2614"/>
      <c r="C849" s="2614"/>
      <c r="D849" s="2614"/>
      <c r="E849" s="2614"/>
      <c r="F849" s="2614"/>
    </row>
    <row r="850">
      <c r="B850" s="2614"/>
      <c r="C850" s="2614"/>
      <c r="D850" s="2614"/>
      <c r="E850" s="2614"/>
      <c r="F850" s="2614"/>
    </row>
    <row r="851">
      <c r="B851" s="2614"/>
      <c r="C851" s="2614"/>
      <c r="D851" s="2614"/>
      <c r="E851" s="2614"/>
      <c r="F851" s="2614"/>
    </row>
    <row r="852">
      <c r="B852" s="2614"/>
      <c r="C852" s="2614"/>
      <c r="D852" s="2614"/>
      <c r="E852" s="2614"/>
      <c r="F852" s="2614"/>
    </row>
    <row r="853">
      <c r="B853" s="2614"/>
      <c r="C853" s="2614"/>
      <c r="D853" s="2614"/>
      <c r="E853" s="2614"/>
      <c r="F853" s="2614"/>
    </row>
    <row r="854">
      <c r="B854" s="2614"/>
      <c r="C854" s="2614"/>
      <c r="D854" s="2614"/>
      <c r="E854" s="2614"/>
      <c r="F854" s="2614"/>
    </row>
    <row r="855">
      <c r="B855" s="2614"/>
      <c r="C855" s="2614"/>
      <c r="D855" s="2614"/>
      <c r="E855" s="2614"/>
      <c r="F855" s="2614"/>
    </row>
    <row r="856">
      <c r="B856" s="2614"/>
      <c r="C856" s="2614"/>
      <c r="D856" s="2614"/>
      <c r="E856" s="2614"/>
      <c r="F856" s="2614"/>
    </row>
    <row r="857">
      <c r="B857" s="2614"/>
      <c r="C857" s="2614"/>
      <c r="D857" s="2614"/>
      <c r="E857" s="2614"/>
      <c r="F857" s="2614"/>
    </row>
    <row r="858">
      <c r="B858" s="2614"/>
      <c r="C858" s="2614"/>
      <c r="D858" s="2614"/>
      <c r="E858" s="2614"/>
      <c r="F858" s="2614"/>
    </row>
    <row r="859">
      <c r="B859" s="2614"/>
      <c r="C859" s="2614"/>
      <c r="D859" s="2614"/>
      <c r="E859" s="2614"/>
      <c r="F859" s="2614"/>
    </row>
    <row r="860">
      <c r="B860" s="2614"/>
      <c r="C860" s="2614"/>
      <c r="D860" s="2614"/>
      <c r="E860" s="2614"/>
      <c r="F860" s="2614"/>
    </row>
    <row r="861">
      <c r="B861" s="2614"/>
      <c r="C861" s="2614"/>
      <c r="D861" s="2614"/>
      <c r="E861" s="2614"/>
      <c r="F861" s="2614"/>
    </row>
    <row r="862">
      <c r="B862" s="2614"/>
      <c r="C862" s="2614"/>
      <c r="D862" s="2614"/>
      <c r="E862" s="2614"/>
      <c r="F862" s="2614"/>
    </row>
    <row r="863">
      <c r="B863" s="2614"/>
      <c r="C863" s="2614"/>
      <c r="D863" s="2614"/>
      <c r="E863" s="2614"/>
      <c r="F863" s="2614"/>
    </row>
    <row r="864">
      <c r="B864" s="2614"/>
      <c r="C864" s="2614"/>
      <c r="D864" s="2614"/>
      <c r="E864" s="2614"/>
      <c r="F864" s="2614"/>
    </row>
    <row r="865">
      <c r="B865" s="2614"/>
      <c r="C865" s="2614"/>
      <c r="D865" s="2614"/>
      <c r="E865" s="2614"/>
      <c r="F865" s="2614"/>
    </row>
    <row r="866">
      <c r="B866" s="2614"/>
      <c r="C866" s="2614"/>
      <c r="D866" s="2614"/>
      <c r="E866" s="2614"/>
      <c r="F866" s="2614"/>
    </row>
    <row r="867">
      <c r="B867" s="2614"/>
      <c r="C867" s="2614"/>
      <c r="D867" s="2614"/>
      <c r="E867" s="2614"/>
      <c r="F867" s="2614"/>
    </row>
    <row r="868">
      <c r="B868" s="2614"/>
      <c r="C868" s="2614"/>
      <c r="D868" s="2614"/>
      <c r="E868" s="2614"/>
      <c r="F868" s="2614"/>
    </row>
    <row r="869">
      <c r="B869" s="2614"/>
      <c r="C869" s="2614"/>
      <c r="D869" s="2614"/>
      <c r="E869" s="2614"/>
      <c r="F869" s="2614"/>
    </row>
    <row r="870">
      <c r="B870" s="2614"/>
      <c r="C870" s="2614"/>
      <c r="D870" s="2614"/>
      <c r="E870" s="2614"/>
      <c r="F870" s="2614"/>
    </row>
    <row r="871">
      <c r="B871" s="2614"/>
      <c r="C871" s="2614"/>
      <c r="D871" s="2614"/>
      <c r="E871" s="2614"/>
      <c r="F871" s="2614"/>
    </row>
    <row r="872">
      <c r="B872" s="2614"/>
      <c r="C872" s="2614"/>
      <c r="D872" s="2614"/>
      <c r="E872" s="2614"/>
      <c r="F872" s="2614"/>
    </row>
    <row r="873">
      <c r="B873" s="2614"/>
      <c r="C873" s="2614"/>
      <c r="D873" s="2614"/>
      <c r="E873" s="2614"/>
      <c r="F873" s="2614"/>
    </row>
    <row r="874">
      <c r="B874" s="2614"/>
      <c r="C874" s="2614"/>
      <c r="D874" s="2614"/>
      <c r="E874" s="2614"/>
      <c r="F874" s="2614"/>
    </row>
    <row r="875">
      <c r="B875" s="2614"/>
      <c r="C875" s="2614"/>
      <c r="D875" s="2614"/>
      <c r="E875" s="2614"/>
      <c r="F875" s="2614"/>
    </row>
    <row r="876">
      <c r="B876" s="2614"/>
      <c r="C876" s="2614"/>
      <c r="D876" s="2614"/>
      <c r="E876" s="2614"/>
      <c r="F876" s="2614"/>
    </row>
    <row r="877">
      <c r="B877" s="2614"/>
      <c r="C877" s="2614"/>
      <c r="D877" s="2614"/>
      <c r="E877" s="2614"/>
      <c r="F877" s="2614"/>
    </row>
    <row r="878">
      <c r="B878" s="2614"/>
      <c r="C878" s="2614"/>
      <c r="D878" s="2614"/>
      <c r="E878" s="2614"/>
      <c r="F878" s="2614"/>
    </row>
    <row r="879">
      <c r="B879" s="2614"/>
      <c r="C879" s="2614"/>
      <c r="D879" s="2614"/>
      <c r="E879" s="2614"/>
      <c r="F879" s="2614"/>
    </row>
    <row r="880">
      <c r="B880" s="2614"/>
      <c r="C880" s="2614"/>
      <c r="D880" s="2614"/>
      <c r="E880" s="2614"/>
      <c r="F880" s="2614"/>
    </row>
    <row r="881">
      <c r="B881" s="2614"/>
      <c r="C881" s="2614"/>
      <c r="D881" s="2614"/>
      <c r="E881" s="2614"/>
      <c r="F881" s="2614"/>
    </row>
    <row r="882">
      <c r="B882" s="2614"/>
      <c r="C882" s="2614"/>
      <c r="D882" s="2614"/>
      <c r="E882" s="2614"/>
      <c r="F882" s="2614"/>
    </row>
    <row r="883">
      <c r="B883" s="2614"/>
      <c r="C883" s="2614"/>
      <c r="D883" s="2614"/>
      <c r="E883" s="2614"/>
      <c r="F883" s="2614"/>
    </row>
    <row r="884">
      <c r="B884" s="2614"/>
      <c r="C884" s="2614"/>
      <c r="D884" s="2614"/>
      <c r="E884" s="2614"/>
      <c r="F884" s="2614"/>
    </row>
    <row r="885">
      <c r="B885" s="2614"/>
      <c r="C885" s="2614"/>
      <c r="D885" s="2614"/>
      <c r="E885" s="2614"/>
      <c r="F885" s="2614"/>
    </row>
    <row r="886">
      <c r="B886" s="2614"/>
      <c r="C886" s="2614"/>
      <c r="D886" s="2614"/>
      <c r="E886" s="2614"/>
      <c r="F886" s="2614"/>
    </row>
    <row r="887">
      <c r="B887" s="2614"/>
      <c r="C887" s="2614"/>
      <c r="D887" s="2614"/>
      <c r="E887" s="2614"/>
      <c r="F887" s="2614"/>
    </row>
    <row r="888">
      <c r="B888" s="2614"/>
      <c r="C888" s="2614"/>
      <c r="D888" s="2614"/>
      <c r="E888" s="2614"/>
      <c r="F888" s="2614"/>
    </row>
    <row r="889">
      <c r="B889" s="2614"/>
      <c r="C889" s="2614"/>
      <c r="D889" s="2614"/>
      <c r="E889" s="2614"/>
      <c r="F889" s="2614"/>
    </row>
    <row r="890">
      <c r="B890" s="2614"/>
      <c r="C890" s="2614"/>
      <c r="D890" s="2614"/>
      <c r="E890" s="2614"/>
      <c r="F890" s="2614"/>
    </row>
    <row r="891">
      <c r="B891" s="2614"/>
      <c r="C891" s="2614"/>
      <c r="D891" s="2614"/>
      <c r="E891" s="2614"/>
      <c r="F891" s="2614"/>
    </row>
    <row r="892">
      <c r="B892" s="2614"/>
      <c r="C892" s="2614"/>
      <c r="D892" s="2614"/>
      <c r="E892" s="2614"/>
      <c r="F892" s="2614"/>
    </row>
    <row r="893">
      <c r="B893" s="2614"/>
      <c r="C893" s="2614"/>
      <c r="D893" s="2614"/>
      <c r="E893" s="2614"/>
      <c r="F893" s="2614"/>
    </row>
    <row r="894">
      <c r="B894" s="2614"/>
      <c r="C894" s="2614"/>
      <c r="D894" s="2614"/>
      <c r="E894" s="2614"/>
      <c r="F894" s="2614"/>
    </row>
    <row r="895">
      <c r="B895" s="2614"/>
      <c r="C895" s="2614"/>
      <c r="D895" s="2614"/>
      <c r="E895" s="2614"/>
      <c r="F895" s="2614"/>
    </row>
    <row r="896">
      <c r="B896" s="2614"/>
      <c r="C896" s="2614"/>
      <c r="D896" s="2614"/>
      <c r="E896" s="2614"/>
      <c r="F896" s="2614"/>
    </row>
    <row r="897">
      <c r="B897" s="2614"/>
      <c r="C897" s="2614"/>
      <c r="D897" s="2614"/>
      <c r="E897" s="2614"/>
      <c r="F897" s="2614"/>
    </row>
    <row r="898">
      <c r="B898" s="2614"/>
      <c r="C898" s="2614"/>
      <c r="D898" s="2614"/>
      <c r="E898" s="2614"/>
      <c r="F898" s="2614"/>
    </row>
    <row r="899">
      <c r="B899" s="2614"/>
      <c r="C899" s="2614"/>
      <c r="D899" s="2614"/>
      <c r="E899" s="2614"/>
      <c r="F899" s="2614"/>
    </row>
    <row r="900">
      <c r="B900" s="2614"/>
      <c r="C900" s="2614"/>
      <c r="D900" s="2614"/>
      <c r="E900" s="2614"/>
      <c r="F900" s="2614"/>
    </row>
    <row r="901">
      <c r="B901" s="2614"/>
      <c r="C901" s="2614"/>
      <c r="D901" s="2614"/>
      <c r="E901" s="2614"/>
      <c r="F901" s="2614"/>
    </row>
    <row r="902">
      <c r="B902" s="2614"/>
      <c r="C902" s="2614"/>
      <c r="D902" s="2614"/>
      <c r="E902" s="2614"/>
      <c r="F902" s="2614"/>
    </row>
    <row r="903">
      <c r="B903" s="2614"/>
      <c r="C903" s="2614"/>
      <c r="D903" s="2614"/>
      <c r="E903" s="2614"/>
      <c r="F903" s="2614"/>
    </row>
    <row r="904">
      <c r="B904" s="2614"/>
      <c r="C904" s="2614"/>
      <c r="D904" s="2614"/>
      <c r="E904" s="2614"/>
      <c r="F904" s="2614"/>
    </row>
    <row r="905">
      <c r="B905" s="2614"/>
      <c r="C905" s="2614"/>
      <c r="D905" s="2614"/>
      <c r="E905" s="2614"/>
      <c r="F905" s="2614"/>
    </row>
    <row r="906">
      <c r="B906" s="2614"/>
      <c r="C906" s="2614"/>
      <c r="D906" s="2614"/>
      <c r="E906" s="2614"/>
      <c r="F906" s="2614"/>
    </row>
    <row r="907">
      <c r="B907" s="2614"/>
      <c r="C907" s="2614"/>
      <c r="D907" s="2614"/>
      <c r="E907" s="2614"/>
      <c r="F907" s="2614"/>
    </row>
    <row r="908">
      <c r="B908" s="2614"/>
      <c r="C908" s="2614"/>
      <c r="D908" s="2614"/>
      <c r="E908" s="2614"/>
      <c r="F908" s="2614"/>
    </row>
    <row r="909">
      <c r="B909" s="2614"/>
      <c r="C909" s="2614"/>
      <c r="D909" s="2614"/>
      <c r="E909" s="2614"/>
      <c r="F909" s="2614"/>
    </row>
    <row r="910">
      <c r="B910" s="2614"/>
      <c r="C910" s="2614"/>
      <c r="D910" s="2614"/>
      <c r="E910" s="2614"/>
      <c r="F910" s="2614"/>
    </row>
    <row r="911">
      <c r="B911" s="2614"/>
      <c r="C911" s="2614"/>
      <c r="D911" s="2614"/>
      <c r="E911" s="2614"/>
      <c r="F911" s="2614"/>
    </row>
    <row r="912">
      <c r="B912" s="2614"/>
      <c r="C912" s="2614"/>
      <c r="D912" s="2614"/>
      <c r="E912" s="2614"/>
      <c r="F912" s="2614"/>
    </row>
    <row r="913">
      <c r="B913" s="2614"/>
      <c r="C913" s="2614"/>
      <c r="D913" s="2614"/>
      <c r="E913" s="2614"/>
      <c r="F913" s="2614"/>
    </row>
    <row r="914">
      <c r="B914" s="2614"/>
      <c r="C914" s="2614"/>
      <c r="D914" s="2614"/>
      <c r="E914" s="2614"/>
      <c r="F914" s="2614"/>
    </row>
    <row r="915">
      <c r="B915" s="2614"/>
      <c r="C915" s="2614"/>
      <c r="D915" s="2614"/>
      <c r="E915" s="2614"/>
      <c r="F915" s="2614"/>
    </row>
    <row r="916">
      <c r="B916" s="2614"/>
      <c r="C916" s="2614"/>
      <c r="D916" s="2614"/>
      <c r="E916" s="2614"/>
      <c r="F916" s="2614"/>
    </row>
    <row r="917">
      <c r="B917" s="2614"/>
      <c r="C917" s="2614"/>
      <c r="D917" s="2614"/>
      <c r="E917" s="2614"/>
      <c r="F917" s="2614"/>
    </row>
    <row r="918">
      <c r="B918" s="2614"/>
      <c r="C918" s="2614"/>
      <c r="D918" s="2614"/>
      <c r="E918" s="2614"/>
      <c r="F918" s="2614"/>
    </row>
    <row r="919">
      <c r="B919" s="2614"/>
      <c r="C919" s="2614"/>
      <c r="D919" s="2614"/>
      <c r="E919" s="2614"/>
      <c r="F919" s="2614"/>
    </row>
    <row r="920">
      <c r="B920" s="2614"/>
      <c r="C920" s="2614"/>
      <c r="D920" s="2614"/>
      <c r="E920" s="2614"/>
      <c r="F920" s="2614"/>
    </row>
    <row r="921">
      <c r="B921" s="2614"/>
      <c r="C921" s="2614"/>
      <c r="D921" s="2614"/>
      <c r="E921" s="2614"/>
      <c r="F921" s="2614"/>
    </row>
    <row r="922">
      <c r="B922" s="2614"/>
      <c r="C922" s="2614"/>
      <c r="D922" s="2614"/>
      <c r="E922" s="2614"/>
      <c r="F922" s="2614"/>
    </row>
    <row r="923">
      <c r="B923" s="2614"/>
      <c r="C923" s="2614"/>
      <c r="D923" s="2614"/>
      <c r="E923" s="2614"/>
      <c r="F923" s="2614"/>
    </row>
    <row r="924">
      <c r="B924" s="2614"/>
      <c r="C924" s="2614"/>
      <c r="D924" s="2614"/>
      <c r="E924" s="2614"/>
      <c r="F924" s="2614"/>
    </row>
    <row r="925">
      <c r="B925" s="2614"/>
      <c r="C925" s="2614"/>
      <c r="D925" s="2614"/>
      <c r="E925" s="2614"/>
      <c r="F925" s="2614"/>
    </row>
    <row r="926">
      <c r="B926" s="2614"/>
      <c r="C926" s="2614"/>
      <c r="D926" s="2614"/>
      <c r="E926" s="2614"/>
      <c r="F926" s="2614"/>
    </row>
    <row r="927">
      <c r="B927" s="2614"/>
      <c r="C927" s="2614"/>
      <c r="D927" s="2614"/>
      <c r="E927" s="2614"/>
      <c r="F927" s="2614"/>
    </row>
    <row r="928">
      <c r="B928" s="2614"/>
      <c r="C928" s="2614"/>
      <c r="D928" s="2614"/>
      <c r="E928" s="2614"/>
      <c r="F928" s="2614"/>
    </row>
    <row r="929">
      <c r="B929" s="2614"/>
      <c r="C929" s="2614"/>
      <c r="D929" s="2614"/>
      <c r="E929" s="2614"/>
      <c r="F929" s="2614"/>
    </row>
    <row r="930">
      <c r="B930" s="2614"/>
      <c r="C930" s="2614"/>
      <c r="D930" s="2614"/>
      <c r="E930" s="2614"/>
      <c r="F930" s="2614"/>
    </row>
    <row r="931">
      <c r="B931" s="2614"/>
      <c r="C931" s="2614"/>
      <c r="D931" s="2614"/>
      <c r="E931" s="2614"/>
      <c r="F931" s="2614"/>
    </row>
    <row r="932">
      <c r="B932" s="2614"/>
      <c r="C932" s="2614"/>
      <c r="D932" s="2614"/>
      <c r="E932" s="2614"/>
      <c r="F932" s="2614"/>
    </row>
    <row r="933">
      <c r="B933" s="2614"/>
      <c r="C933" s="2614"/>
      <c r="D933" s="2614"/>
      <c r="E933" s="2614"/>
      <c r="F933" s="2614"/>
    </row>
    <row r="934">
      <c r="B934" s="2614"/>
      <c r="C934" s="2614"/>
      <c r="D934" s="2614"/>
      <c r="E934" s="2614"/>
      <c r="F934" s="2614"/>
    </row>
    <row r="935">
      <c r="B935" s="2614"/>
      <c r="C935" s="2614"/>
      <c r="D935" s="2614"/>
      <c r="E935" s="2614"/>
      <c r="F935" s="2614"/>
    </row>
    <row r="936">
      <c r="B936" s="2614"/>
      <c r="C936" s="2614"/>
      <c r="D936" s="2614"/>
      <c r="E936" s="2614"/>
      <c r="F936" s="2614"/>
    </row>
    <row r="937">
      <c r="B937" s="2614"/>
      <c r="C937" s="2614"/>
      <c r="D937" s="2614"/>
      <c r="E937" s="2614"/>
      <c r="F937" s="2614"/>
    </row>
    <row r="938">
      <c r="B938" s="2614"/>
      <c r="C938" s="2614"/>
      <c r="D938" s="2614"/>
      <c r="E938" s="2614"/>
      <c r="F938" s="2614"/>
    </row>
    <row r="939">
      <c r="B939" s="2614"/>
      <c r="C939" s="2614"/>
      <c r="D939" s="2614"/>
      <c r="E939" s="2614"/>
      <c r="F939" s="2614"/>
    </row>
    <row r="940">
      <c r="B940" s="2614"/>
      <c r="C940" s="2614"/>
      <c r="D940" s="2614"/>
      <c r="E940" s="2614"/>
      <c r="F940" s="2614"/>
    </row>
    <row r="941">
      <c r="B941" s="2614"/>
      <c r="C941" s="2614"/>
      <c r="D941" s="2614"/>
      <c r="E941" s="2614"/>
      <c r="F941" s="2614"/>
    </row>
    <row r="942">
      <c r="B942" s="2614"/>
      <c r="C942" s="2614"/>
      <c r="D942" s="2614"/>
      <c r="E942" s="2614"/>
      <c r="F942" s="2614"/>
    </row>
    <row r="943">
      <c r="B943" s="2614"/>
      <c r="C943" s="2614"/>
      <c r="D943" s="2614"/>
      <c r="E943" s="2614"/>
      <c r="F943" s="2614"/>
    </row>
    <row r="944">
      <c r="B944" s="2614"/>
      <c r="C944" s="2614"/>
      <c r="D944" s="2614"/>
      <c r="E944" s="2614"/>
      <c r="F944" s="2614"/>
    </row>
    <row r="945">
      <c r="B945" s="2614"/>
      <c r="C945" s="2614"/>
      <c r="D945" s="2614"/>
      <c r="E945" s="2614"/>
      <c r="F945" s="2614"/>
    </row>
    <row r="946">
      <c r="B946" s="2614"/>
      <c r="C946" s="2614"/>
      <c r="D946" s="2614"/>
      <c r="E946" s="2614"/>
      <c r="F946" s="2614"/>
    </row>
    <row r="947">
      <c r="B947" s="2614"/>
      <c r="C947" s="2614"/>
      <c r="D947" s="2614"/>
      <c r="E947" s="2614"/>
      <c r="F947" s="2614"/>
    </row>
    <row r="948">
      <c r="B948" s="2614"/>
      <c r="C948" s="2614"/>
      <c r="D948" s="2614"/>
      <c r="E948" s="2614"/>
      <c r="F948" s="2614"/>
    </row>
    <row r="949">
      <c r="B949" s="2614"/>
      <c r="C949" s="2614"/>
      <c r="D949" s="2614"/>
      <c r="E949" s="2614"/>
      <c r="F949" s="2614"/>
    </row>
    <row r="950">
      <c r="B950" s="2614"/>
      <c r="C950" s="2614"/>
      <c r="D950" s="2614"/>
      <c r="E950" s="2614"/>
      <c r="F950" s="2614"/>
    </row>
    <row r="951">
      <c r="B951" s="2614"/>
      <c r="C951" s="2614"/>
      <c r="D951" s="2614"/>
      <c r="E951" s="2614"/>
      <c r="F951" s="2614"/>
    </row>
    <row r="952">
      <c r="B952" s="2614"/>
      <c r="C952" s="2614"/>
      <c r="D952" s="2614"/>
      <c r="E952" s="2614"/>
      <c r="F952" s="2614"/>
    </row>
    <row r="953">
      <c r="B953" s="2614"/>
      <c r="C953" s="2614"/>
      <c r="D953" s="2614"/>
      <c r="E953" s="2614"/>
      <c r="F953" s="2614"/>
    </row>
    <row r="954">
      <c r="B954" s="2614"/>
      <c r="C954" s="2614"/>
      <c r="D954" s="2614"/>
      <c r="E954" s="2614"/>
      <c r="F954" s="2614"/>
    </row>
    <row r="955">
      <c r="B955" s="2614"/>
      <c r="C955" s="2614"/>
      <c r="D955" s="2614"/>
      <c r="E955" s="2614"/>
      <c r="F955" s="2614"/>
    </row>
    <row r="956">
      <c r="B956" s="2614"/>
      <c r="C956" s="2614"/>
      <c r="D956" s="2614"/>
      <c r="E956" s="2614"/>
      <c r="F956" s="2614"/>
    </row>
    <row r="957">
      <c r="B957" s="2614"/>
      <c r="C957" s="2614"/>
      <c r="D957" s="2614"/>
      <c r="E957" s="2614"/>
      <c r="F957" s="2614"/>
    </row>
    <row r="958">
      <c r="B958" s="2614"/>
      <c r="C958" s="2614"/>
      <c r="D958" s="2614"/>
      <c r="E958" s="2614"/>
      <c r="F958" s="2614"/>
    </row>
    <row r="959">
      <c r="B959" s="2614"/>
      <c r="C959" s="2614"/>
      <c r="D959" s="2614"/>
      <c r="E959" s="2614"/>
      <c r="F959" s="2614"/>
    </row>
    <row r="960">
      <c r="B960" s="2614"/>
      <c r="C960" s="2614"/>
      <c r="D960" s="2614"/>
      <c r="E960" s="2614"/>
      <c r="F960" s="2614"/>
    </row>
    <row r="961">
      <c r="B961" s="2614"/>
      <c r="C961" s="2614"/>
      <c r="D961" s="2614"/>
      <c r="E961" s="2614"/>
      <c r="F961" s="2614"/>
    </row>
    <row r="962">
      <c r="B962" s="2614"/>
      <c r="C962" s="2614"/>
      <c r="D962" s="2614"/>
      <c r="E962" s="2614"/>
      <c r="F962" s="2614"/>
    </row>
    <row r="963">
      <c r="B963" s="2614"/>
      <c r="C963" s="2614"/>
      <c r="D963" s="2614"/>
      <c r="E963" s="2614"/>
      <c r="F963" s="2614"/>
    </row>
    <row r="964">
      <c r="B964" s="2614"/>
      <c r="C964" s="2614"/>
      <c r="D964" s="2614"/>
      <c r="E964" s="2614"/>
      <c r="F964" s="2614"/>
    </row>
    <row r="965">
      <c r="B965" s="2614"/>
      <c r="C965" s="2614"/>
      <c r="D965" s="2614"/>
      <c r="E965" s="2614"/>
      <c r="F965" s="2614"/>
    </row>
    <row r="966">
      <c r="B966" s="2614"/>
      <c r="C966" s="2614"/>
      <c r="D966" s="2614"/>
      <c r="E966" s="2614"/>
      <c r="F966" s="2614"/>
    </row>
    <row r="967">
      <c r="B967" s="2614"/>
      <c r="C967" s="2614"/>
      <c r="D967" s="2614"/>
      <c r="E967" s="2614"/>
      <c r="F967" s="2614"/>
    </row>
    <row r="968">
      <c r="B968" s="2614"/>
      <c r="C968" s="2614"/>
      <c r="D968" s="2614"/>
      <c r="E968" s="2614"/>
      <c r="F968" s="2614"/>
    </row>
    <row r="969">
      <c r="B969" s="2614"/>
      <c r="C969" s="2614"/>
      <c r="D969" s="2614"/>
      <c r="E969" s="2614"/>
      <c r="F969" s="2614"/>
    </row>
    <row r="970">
      <c r="B970" s="2614"/>
      <c r="C970" s="2614"/>
      <c r="D970" s="2614"/>
      <c r="E970" s="2614"/>
      <c r="F970" s="2614"/>
    </row>
    <row r="971">
      <c r="B971" s="2614"/>
      <c r="C971" s="2614"/>
      <c r="D971" s="2614"/>
      <c r="E971" s="2614"/>
      <c r="F971" s="2614"/>
    </row>
    <row r="972">
      <c r="B972" s="2614"/>
      <c r="C972" s="2614"/>
      <c r="D972" s="2614"/>
      <c r="E972" s="2614"/>
      <c r="F972" s="2614"/>
    </row>
    <row r="973">
      <c r="B973" s="2614"/>
      <c r="C973" s="2614"/>
      <c r="D973" s="2614"/>
      <c r="E973" s="2614"/>
      <c r="F973" s="2614"/>
    </row>
    <row r="974">
      <c r="B974" s="2614"/>
      <c r="C974" s="2614"/>
      <c r="D974" s="2614"/>
      <c r="E974" s="2614"/>
      <c r="F974" s="2614"/>
    </row>
    <row r="975">
      <c r="B975" s="2614"/>
      <c r="C975" s="2614"/>
      <c r="D975" s="2614"/>
      <c r="E975" s="2614"/>
      <c r="F975" s="2614"/>
    </row>
    <row r="976">
      <c r="B976" s="2614"/>
      <c r="C976" s="2614"/>
      <c r="D976" s="2614"/>
      <c r="E976" s="2614"/>
      <c r="F976" s="2614"/>
    </row>
    <row r="977">
      <c r="B977" s="2614"/>
      <c r="C977" s="2614"/>
      <c r="D977" s="2614"/>
      <c r="E977" s="2614"/>
      <c r="F977" s="2614"/>
    </row>
    <row r="978">
      <c r="B978" s="2614"/>
      <c r="C978" s="2614"/>
      <c r="D978" s="2614"/>
      <c r="E978" s="2614"/>
      <c r="F978" s="2614"/>
    </row>
    <row r="979">
      <c r="B979" s="2614"/>
      <c r="C979" s="2614"/>
      <c r="D979" s="2614"/>
      <c r="E979" s="2614"/>
      <c r="F979" s="2614"/>
    </row>
    <row r="980">
      <c r="B980" s="2614"/>
      <c r="C980" s="2614"/>
      <c r="D980" s="2614"/>
      <c r="E980" s="2614"/>
      <c r="F980" s="2614"/>
    </row>
    <row r="981">
      <c r="B981" s="2614"/>
      <c r="C981" s="2614"/>
      <c r="D981" s="2614"/>
      <c r="E981" s="2614"/>
      <c r="F981" s="2614"/>
    </row>
    <row r="982">
      <c r="B982" s="2614"/>
      <c r="C982" s="2614"/>
      <c r="D982" s="2614"/>
      <c r="E982" s="2614"/>
      <c r="F982" s="2614"/>
    </row>
    <row r="983">
      <c r="B983" s="2614"/>
      <c r="C983" s="2614"/>
      <c r="D983" s="2614"/>
      <c r="E983" s="2614"/>
      <c r="F983" s="2614"/>
    </row>
    <row r="984">
      <c r="B984" s="2614"/>
      <c r="C984" s="2614"/>
      <c r="D984" s="2614"/>
      <c r="E984" s="2614"/>
      <c r="F984" s="2614"/>
    </row>
    <row r="985">
      <c r="B985" s="2614"/>
      <c r="C985" s="2614"/>
      <c r="D985" s="2614"/>
      <c r="E985" s="2614"/>
      <c r="F985" s="2614"/>
    </row>
    <row r="986">
      <c r="B986" s="2614"/>
      <c r="C986" s="2614"/>
      <c r="D986" s="2614"/>
      <c r="E986" s="2614"/>
      <c r="F986" s="2614"/>
    </row>
    <row r="987">
      <c r="B987" s="2614"/>
      <c r="C987" s="2614"/>
      <c r="D987" s="2614"/>
      <c r="E987" s="2614"/>
      <c r="F987" s="2614"/>
    </row>
    <row r="988">
      <c r="B988" s="2614"/>
      <c r="C988" s="2614"/>
      <c r="D988" s="2614"/>
      <c r="E988" s="2614"/>
      <c r="F988" s="2614"/>
    </row>
    <row r="989">
      <c r="B989" s="2614"/>
      <c r="C989" s="2614"/>
      <c r="D989" s="2614"/>
      <c r="E989" s="2614"/>
      <c r="F989" s="2614"/>
    </row>
    <row r="990">
      <c r="B990" s="2614"/>
      <c r="C990" s="2614"/>
      <c r="D990" s="2614"/>
      <c r="E990" s="2614"/>
      <c r="F990" s="2614"/>
    </row>
    <row r="991">
      <c r="B991" s="2614"/>
      <c r="C991" s="2614"/>
      <c r="D991" s="2614"/>
      <c r="E991" s="2614"/>
      <c r="F991" s="2614"/>
    </row>
    <row r="992">
      <c r="B992" s="2614"/>
      <c r="C992" s="2614"/>
      <c r="D992" s="2614"/>
      <c r="E992" s="2614"/>
      <c r="F992" s="2614"/>
    </row>
    <row r="993">
      <c r="B993" s="2614"/>
      <c r="C993" s="2614"/>
      <c r="D993" s="2614"/>
      <c r="E993" s="2614"/>
      <c r="F993" s="2614"/>
    </row>
    <row r="994">
      <c r="B994" s="2614"/>
      <c r="C994" s="2614"/>
      <c r="D994" s="2614"/>
      <c r="E994" s="2614"/>
      <c r="F994" s="2614"/>
    </row>
    <row r="995">
      <c r="B995" s="2614"/>
      <c r="C995" s="2614"/>
      <c r="D995" s="2614"/>
      <c r="E995" s="2614"/>
      <c r="F995" s="2614"/>
    </row>
    <row r="996">
      <c r="B996" s="2614"/>
      <c r="C996" s="2614"/>
      <c r="D996" s="2614"/>
      <c r="E996" s="2614"/>
      <c r="F996" s="2614"/>
    </row>
  </sheetData>
  <conditionalFormatting sqref="B2:F996">
    <cfRule type="colorScale" priority="1">
      <colorScale>
        <cfvo type="formula" val="339958"/>
        <cfvo type="percent" val="50"/>
        <cfvo type="max"/>
        <color rgb="FFF4CCCC"/>
        <color rgb="FFD9EAD3"/>
        <color rgb="FF57BB8A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8.22"/>
    <col customWidth="1" min="3" max="3" width="7.0"/>
    <col customWidth="1" min="4" max="4" width="11.78"/>
    <col customWidth="1" min="5" max="5" width="7.11"/>
    <col customWidth="1" min="6" max="6" width="8.44"/>
    <col customWidth="1" min="7" max="7" width="7.44"/>
    <col customWidth="1" min="8" max="8" width="7.78"/>
    <col customWidth="1" min="9" max="9" width="7.11"/>
    <col customWidth="1" min="10" max="10" width="5.67"/>
    <col customWidth="1" min="11" max="11" width="10.33"/>
    <col customWidth="1" min="12" max="12" width="11.11"/>
    <col customWidth="1" min="13" max="13" width="8.78"/>
    <col customWidth="1" min="14" max="14" width="5.33"/>
  </cols>
  <sheetData>
    <row r="1">
      <c r="A1" s="2629" t="s">
        <v>3477</v>
      </c>
      <c r="B1" s="2630" t="s">
        <v>3478</v>
      </c>
      <c r="C1" s="2630" t="s">
        <v>3479</v>
      </c>
      <c r="D1" s="2630" t="s">
        <v>3480</v>
      </c>
      <c r="E1" s="2630" t="s">
        <v>3481</v>
      </c>
      <c r="F1" s="2630" t="s">
        <v>3482</v>
      </c>
      <c r="G1" s="2630" t="s">
        <v>3483</v>
      </c>
      <c r="H1" s="2630" t="s">
        <v>3484</v>
      </c>
      <c r="I1" s="2630" t="s">
        <v>132</v>
      </c>
      <c r="J1" s="2631" t="s">
        <v>3485</v>
      </c>
      <c r="K1" s="2630" t="s">
        <v>3486</v>
      </c>
      <c r="L1" s="2632" t="s">
        <v>3487</v>
      </c>
      <c r="M1" s="2633" t="s">
        <v>3488</v>
      </c>
      <c r="N1" s="2634" t="s">
        <v>3489</v>
      </c>
      <c r="O1" s="2635"/>
      <c r="P1" s="2635"/>
      <c r="Q1" s="2635"/>
      <c r="R1" s="2635"/>
      <c r="S1" s="2635"/>
      <c r="T1" s="2636"/>
      <c r="U1" s="2636"/>
      <c r="V1" s="2636"/>
      <c r="W1" s="2636"/>
      <c r="X1" s="2636"/>
      <c r="Y1" s="2636"/>
      <c r="Z1" s="2636"/>
    </row>
    <row r="2">
      <c r="A2" s="2637">
        <v>46201.0</v>
      </c>
      <c r="B2" s="2638">
        <v>317.0</v>
      </c>
      <c r="C2" s="2639">
        <v>135.0</v>
      </c>
      <c r="D2" s="2639">
        <v>179.0</v>
      </c>
      <c r="E2" s="2640">
        <v>137.0</v>
      </c>
      <c r="F2" s="2638">
        <v>255.0</v>
      </c>
      <c r="G2" s="2639">
        <v>0.0</v>
      </c>
      <c r="H2" s="2638">
        <v>200.0</v>
      </c>
      <c r="I2" s="2639"/>
      <c r="J2" s="2641">
        <v>1223.0</v>
      </c>
      <c r="K2" s="2642">
        <v>108638.02</v>
      </c>
      <c r="L2" s="2643">
        <v>349504.0</v>
      </c>
      <c r="M2" s="2644">
        <f t="shared" ref="M2:M36" si="1">(L2-K2)/K2</f>
        <v>2.21714258</v>
      </c>
      <c r="N2" s="2645">
        <f t="shared" ref="N2:N36" si="2">L2/K2</f>
        <v>3.21714258</v>
      </c>
      <c r="O2" s="541"/>
      <c r="P2" s="541"/>
      <c r="Q2" s="541"/>
      <c r="R2" s="541"/>
      <c r="S2" s="541"/>
      <c r="T2" s="2646"/>
      <c r="U2" s="2646"/>
      <c r="V2" s="2646"/>
      <c r="W2" s="2646"/>
      <c r="X2" s="2646"/>
      <c r="Y2" s="2646"/>
      <c r="Z2" s="2646"/>
    </row>
    <row r="3">
      <c r="A3" s="2637">
        <v>46202.0</v>
      </c>
      <c r="B3" s="2638">
        <v>353.0</v>
      </c>
      <c r="C3" s="2639">
        <v>135.0</v>
      </c>
      <c r="D3" s="2640">
        <v>109.0</v>
      </c>
      <c r="E3" s="2640">
        <v>139.0</v>
      </c>
      <c r="F3" s="2638">
        <v>252.0</v>
      </c>
      <c r="G3" s="2639">
        <v>0.0</v>
      </c>
      <c r="H3" s="2638">
        <v>213.0</v>
      </c>
      <c r="I3" s="2638"/>
      <c r="J3" s="2641">
        <v>1201.0</v>
      </c>
      <c r="K3" s="2642">
        <v>95792.45</v>
      </c>
      <c r="L3" s="2643">
        <v>314839.0</v>
      </c>
      <c r="M3" s="2644">
        <f t="shared" si="1"/>
        <v>2.286678647</v>
      </c>
      <c r="N3" s="2645">
        <f t="shared" si="2"/>
        <v>3.286678647</v>
      </c>
      <c r="O3" s="541"/>
      <c r="P3" s="541"/>
      <c r="Q3" s="541"/>
      <c r="R3" s="541"/>
      <c r="S3" s="541"/>
      <c r="T3" s="2646"/>
      <c r="U3" s="2646"/>
      <c r="V3" s="2646"/>
      <c r="W3" s="2646"/>
      <c r="X3" s="2646"/>
      <c r="Y3" s="2646"/>
      <c r="Z3" s="2646"/>
    </row>
    <row r="4">
      <c r="A4" s="2637">
        <v>46203.0</v>
      </c>
      <c r="B4" s="2638">
        <v>330.0</v>
      </c>
      <c r="C4" s="2639">
        <v>566.0</v>
      </c>
      <c r="D4" s="2638">
        <v>144.0</v>
      </c>
      <c r="E4" s="2640">
        <v>746.0</v>
      </c>
      <c r="F4" s="2638">
        <v>255.0</v>
      </c>
      <c r="G4" s="2639">
        <v>0.0</v>
      </c>
      <c r="H4" s="2640">
        <v>234.0</v>
      </c>
      <c r="I4" s="2638"/>
      <c r="J4" s="2641">
        <v>2275.0</v>
      </c>
      <c r="K4" s="2642">
        <v>106970.0</v>
      </c>
      <c r="L4" s="2643">
        <v>347152.0</v>
      </c>
      <c r="M4" s="2644">
        <f t="shared" si="1"/>
        <v>2.245321118</v>
      </c>
      <c r="N4" s="2645">
        <f t="shared" si="2"/>
        <v>3.245321118</v>
      </c>
      <c r="O4" s="541"/>
      <c r="P4" s="541"/>
      <c r="Q4" s="541"/>
      <c r="R4" s="541"/>
      <c r="S4" s="541"/>
      <c r="T4" s="2646"/>
      <c r="U4" s="2646"/>
      <c r="V4" s="2646"/>
      <c r="W4" s="2646"/>
      <c r="X4" s="2646"/>
      <c r="Y4" s="2646"/>
      <c r="Z4" s="2646"/>
    </row>
    <row r="5">
      <c r="A5" s="2637">
        <v>46204.0</v>
      </c>
      <c r="B5" s="2638">
        <v>294.0</v>
      </c>
      <c r="C5" s="2639">
        <v>523.0</v>
      </c>
      <c r="D5" s="2638">
        <v>147.0</v>
      </c>
      <c r="E5" s="2640">
        <v>695.0</v>
      </c>
      <c r="F5" s="2640">
        <v>250.0</v>
      </c>
      <c r="G5" s="2639">
        <v>0.0</v>
      </c>
      <c r="H5" s="2640">
        <v>200.0</v>
      </c>
      <c r="I5" s="2639"/>
      <c r="J5" s="2641">
        <v>2109.0</v>
      </c>
      <c r="K5" s="2642">
        <v>99877.69</v>
      </c>
      <c r="L5" s="2643">
        <v>323188.0</v>
      </c>
      <c r="M5" s="2644">
        <f t="shared" si="1"/>
        <v>2.235837753</v>
      </c>
      <c r="N5" s="2645">
        <f t="shared" si="2"/>
        <v>3.235837753</v>
      </c>
      <c r="O5" s="541"/>
      <c r="P5" s="541"/>
      <c r="Q5" s="541"/>
      <c r="R5" s="541"/>
      <c r="S5" s="541"/>
      <c r="T5" s="2646"/>
      <c r="U5" s="2646"/>
      <c r="V5" s="2646"/>
      <c r="W5" s="2646"/>
      <c r="X5" s="2646"/>
      <c r="Y5" s="2646"/>
      <c r="Z5" s="2646"/>
    </row>
    <row r="6">
      <c r="A6" s="2637">
        <v>46205.0</v>
      </c>
      <c r="B6" s="2640">
        <v>324.0</v>
      </c>
      <c r="C6" s="2639">
        <v>609.0</v>
      </c>
      <c r="D6" s="2640">
        <v>145.0</v>
      </c>
      <c r="E6" s="2640">
        <v>611.0</v>
      </c>
      <c r="F6" s="2638">
        <v>303.0</v>
      </c>
      <c r="G6" s="2639">
        <v>0.0</v>
      </c>
      <c r="H6" s="2640">
        <v>256.0</v>
      </c>
      <c r="I6" s="2638"/>
      <c r="J6" s="2647">
        <v>2248.0</v>
      </c>
      <c r="K6" s="2642">
        <v>106718.61</v>
      </c>
      <c r="L6" s="2643">
        <v>334936.0</v>
      </c>
      <c r="M6" s="2644">
        <f t="shared" si="1"/>
        <v>2.13849665</v>
      </c>
      <c r="N6" s="2645">
        <f t="shared" si="2"/>
        <v>3.13849665</v>
      </c>
      <c r="O6" s="541"/>
      <c r="P6" s="541"/>
      <c r="Q6" s="541"/>
      <c r="R6" s="541"/>
      <c r="S6" s="541"/>
      <c r="T6" s="2646"/>
      <c r="U6" s="2646"/>
      <c r="V6" s="2646"/>
      <c r="W6" s="2646"/>
      <c r="X6" s="2646"/>
      <c r="Y6" s="2646"/>
      <c r="Z6" s="2646"/>
    </row>
    <row r="7">
      <c r="A7" s="2648">
        <v>46208.0</v>
      </c>
      <c r="B7" s="2649">
        <v>260.0</v>
      </c>
      <c r="C7" s="2650">
        <v>491.0</v>
      </c>
      <c r="D7" s="2649">
        <v>183.0</v>
      </c>
      <c r="E7" s="2651">
        <v>638.0</v>
      </c>
      <c r="F7" s="2649">
        <v>234.0</v>
      </c>
      <c r="G7" s="2650">
        <v>0.0</v>
      </c>
      <c r="H7" s="2649">
        <v>199.0</v>
      </c>
      <c r="I7" s="2649"/>
      <c r="J7" s="2641">
        <v>2005.0</v>
      </c>
      <c r="K7" s="2652">
        <v>98036.48</v>
      </c>
      <c r="L7" s="2653">
        <v>309863.0</v>
      </c>
      <c r="M7" s="2644">
        <f t="shared" si="1"/>
        <v>2.160690796</v>
      </c>
      <c r="N7" s="2645">
        <f t="shared" si="2"/>
        <v>3.160690796</v>
      </c>
      <c r="O7" s="541"/>
      <c r="P7" s="541"/>
      <c r="Q7" s="541"/>
      <c r="R7" s="541"/>
      <c r="S7" s="541"/>
      <c r="T7" s="2654"/>
      <c r="U7" s="2654"/>
      <c r="V7" s="2654"/>
      <c r="W7" s="2654"/>
      <c r="X7" s="2654"/>
      <c r="Y7" s="2654"/>
      <c r="Z7" s="2654"/>
    </row>
    <row r="8">
      <c r="A8" s="2648">
        <v>46209.0</v>
      </c>
      <c r="B8" s="2649">
        <v>299.0</v>
      </c>
      <c r="C8" s="2650">
        <v>495.0</v>
      </c>
      <c r="D8" s="2651">
        <v>139.0</v>
      </c>
      <c r="E8" s="2651">
        <v>736.0</v>
      </c>
      <c r="F8" s="2649">
        <v>227.0</v>
      </c>
      <c r="G8" s="2650">
        <v>0.0</v>
      </c>
      <c r="H8" s="2651">
        <v>266.0</v>
      </c>
      <c r="I8" s="2649"/>
      <c r="J8" s="2641">
        <v>2162.0</v>
      </c>
      <c r="K8" s="2652">
        <v>100438.35</v>
      </c>
      <c r="L8" s="2653">
        <v>347515.0</v>
      </c>
      <c r="M8" s="2644">
        <f t="shared" si="1"/>
        <v>2.459983164</v>
      </c>
      <c r="N8" s="2645">
        <f t="shared" si="2"/>
        <v>3.459983164</v>
      </c>
      <c r="O8" s="541"/>
      <c r="P8" s="541"/>
      <c r="Q8" s="541"/>
      <c r="R8" s="541"/>
      <c r="S8" s="541"/>
      <c r="T8" s="2654"/>
      <c r="U8" s="2654"/>
      <c r="V8" s="2654"/>
      <c r="W8" s="2654"/>
      <c r="X8" s="2654"/>
      <c r="Y8" s="2654"/>
      <c r="Z8" s="2654"/>
    </row>
    <row r="9">
      <c r="A9" s="2648">
        <v>46210.0</v>
      </c>
      <c r="B9" s="2649">
        <v>358.0</v>
      </c>
      <c r="C9" s="2650">
        <v>481.0</v>
      </c>
      <c r="D9" s="2649">
        <v>134.0</v>
      </c>
      <c r="E9" s="2651">
        <v>750.0</v>
      </c>
      <c r="F9" s="2649">
        <v>241.0</v>
      </c>
      <c r="G9" s="2650">
        <v>0.0</v>
      </c>
      <c r="H9" s="2651">
        <v>266.0</v>
      </c>
      <c r="I9" s="2649"/>
      <c r="J9" s="2641">
        <v>2230.0</v>
      </c>
      <c r="K9" s="2652">
        <v>97635.6</v>
      </c>
      <c r="L9" s="2653">
        <v>338676.0</v>
      </c>
      <c r="M9" s="2644">
        <f t="shared" si="1"/>
        <v>2.468775733</v>
      </c>
      <c r="N9" s="2645">
        <f t="shared" si="2"/>
        <v>3.468775733</v>
      </c>
      <c r="O9" s="541"/>
      <c r="P9" s="541"/>
      <c r="Q9" s="541"/>
      <c r="R9" s="541"/>
      <c r="S9" s="541"/>
      <c r="T9" s="2654"/>
      <c r="U9" s="2654"/>
      <c r="V9" s="2654"/>
      <c r="W9" s="2654"/>
      <c r="X9" s="2654"/>
      <c r="Y9" s="2654"/>
      <c r="Z9" s="2654"/>
    </row>
    <row r="10">
      <c r="A10" s="2648">
        <v>46211.0</v>
      </c>
      <c r="B10" s="2649">
        <v>264.0</v>
      </c>
      <c r="C10" s="2650">
        <v>438.0</v>
      </c>
      <c r="D10" s="2649">
        <v>134.0</v>
      </c>
      <c r="E10" s="2649">
        <v>416.0</v>
      </c>
      <c r="F10" s="2649">
        <v>194.0</v>
      </c>
      <c r="G10" s="2650">
        <v>0.0</v>
      </c>
      <c r="H10" s="2649">
        <v>313.0</v>
      </c>
      <c r="I10" s="2650"/>
      <c r="J10" s="2641">
        <v>1759.0</v>
      </c>
      <c r="K10" s="2652">
        <v>89507.31</v>
      </c>
      <c r="L10" s="2653">
        <v>301603.0</v>
      </c>
      <c r="M10" s="2644">
        <f t="shared" si="1"/>
        <v>2.369590707</v>
      </c>
      <c r="N10" s="2645">
        <f t="shared" si="2"/>
        <v>3.369590707</v>
      </c>
      <c r="O10" s="541"/>
      <c r="P10" s="541"/>
      <c r="Q10" s="541"/>
      <c r="R10" s="541"/>
      <c r="S10" s="541"/>
      <c r="T10" s="2654"/>
      <c r="U10" s="2654"/>
      <c r="V10" s="2654"/>
      <c r="W10" s="2654"/>
      <c r="X10" s="2654"/>
      <c r="Y10" s="2654"/>
      <c r="Z10" s="2654"/>
    </row>
    <row r="11">
      <c r="A11" s="2648">
        <v>46212.0</v>
      </c>
      <c r="B11" s="2651">
        <v>279.0</v>
      </c>
      <c r="C11" s="2650">
        <v>479.0</v>
      </c>
      <c r="D11" s="2651">
        <v>120.0</v>
      </c>
      <c r="E11" s="2651">
        <v>638.0</v>
      </c>
      <c r="F11" s="2649">
        <v>308.0</v>
      </c>
      <c r="G11" s="2650">
        <v>0.0</v>
      </c>
      <c r="H11" s="2651">
        <v>212.0</v>
      </c>
      <c r="I11" s="2649"/>
      <c r="J11" s="2647">
        <v>2036.0</v>
      </c>
      <c r="K11" s="2652">
        <v>98442.0</v>
      </c>
      <c r="L11" s="2653">
        <v>320122.0</v>
      </c>
      <c r="M11" s="2644">
        <f t="shared" si="1"/>
        <v>2.251884358</v>
      </c>
      <c r="N11" s="2645">
        <f t="shared" si="2"/>
        <v>3.251884358</v>
      </c>
      <c r="O11" s="541"/>
      <c r="P11" s="541"/>
      <c r="Q11" s="541"/>
      <c r="R11" s="541"/>
      <c r="S11" s="541"/>
      <c r="T11" s="2654"/>
      <c r="U11" s="2654"/>
      <c r="V11" s="2654"/>
      <c r="W11" s="2654"/>
      <c r="X11" s="2654"/>
      <c r="Y11" s="2654"/>
      <c r="Z11" s="2654"/>
    </row>
    <row r="12">
      <c r="A12" s="2655">
        <v>46215.0</v>
      </c>
      <c r="B12" s="2656">
        <v>260.0</v>
      </c>
      <c r="C12" s="2657">
        <v>484.0</v>
      </c>
      <c r="D12" s="2656">
        <v>221.0</v>
      </c>
      <c r="E12" s="2658">
        <v>716.0</v>
      </c>
      <c r="F12" s="2656">
        <v>229.0</v>
      </c>
      <c r="G12" s="2656">
        <v>66.0</v>
      </c>
      <c r="H12" s="2656">
        <v>226.0</v>
      </c>
      <c r="I12" s="2657"/>
      <c r="J12" s="2641">
        <v>2202.0</v>
      </c>
      <c r="K12" s="2659">
        <v>106108.44</v>
      </c>
      <c r="L12" s="2660">
        <v>339667.0</v>
      </c>
      <c r="M12" s="2644">
        <f t="shared" si="1"/>
        <v>2.201130843</v>
      </c>
      <c r="N12" s="2645">
        <f t="shared" si="2"/>
        <v>3.201130843</v>
      </c>
      <c r="O12" s="541"/>
      <c r="P12" s="541"/>
      <c r="Q12" s="541"/>
      <c r="R12" s="541"/>
      <c r="S12" s="541"/>
      <c r="T12" s="2661"/>
      <c r="U12" s="2661"/>
      <c r="V12" s="2661"/>
      <c r="W12" s="2661"/>
      <c r="X12" s="2661"/>
      <c r="Y12" s="2661"/>
      <c r="Z12" s="2661"/>
    </row>
    <row r="13">
      <c r="A13" s="2655">
        <v>46216.0</v>
      </c>
      <c r="B13" s="2656">
        <v>280.0</v>
      </c>
      <c r="C13" s="2657">
        <v>540.0</v>
      </c>
      <c r="D13" s="2658">
        <v>167.0</v>
      </c>
      <c r="E13" s="2658">
        <v>701.0</v>
      </c>
      <c r="F13" s="2656">
        <v>250.0</v>
      </c>
      <c r="G13" s="2657">
        <v>0.0</v>
      </c>
      <c r="H13" s="2656">
        <v>219.0</v>
      </c>
      <c r="I13" s="2656"/>
      <c r="J13" s="2641">
        <v>2157.0</v>
      </c>
      <c r="K13" s="2659">
        <v>99700.78</v>
      </c>
      <c r="L13" s="2660">
        <v>331495.0</v>
      </c>
      <c r="M13" s="2644">
        <f t="shared" si="1"/>
        <v>2.324898762</v>
      </c>
      <c r="N13" s="2645">
        <f t="shared" si="2"/>
        <v>3.324898762</v>
      </c>
      <c r="O13" s="541"/>
      <c r="P13" s="541"/>
      <c r="Q13" s="541"/>
      <c r="R13" s="541"/>
      <c r="S13" s="541"/>
      <c r="T13" s="2661"/>
      <c r="U13" s="2661"/>
      <c r="V13" s="2661"/>
      <c r="W13" s="2661"/>
      <c r="X13" s="2661"/>
      <c r="Y13" s="2661"/>
      <c r="Z13" s="2661"/>
    </row>
    <row r="14">
      <c r="A14" s="2655">
        <v>46217.0</v>
      </c>
      <c r="B14" s="2656">
        <v>333.0</v>
      </c>
      <c r="C14" s="2657">
        <v>517.0</v>
      </c>
      <c r="D14" s="2656">
        <v>144.0</v>
      </c>
      <c r="E14" s="2656">
        <v>660.0</v>
      </c>
      <c r="F14" s="2656">
        <v>229.0</v>
      </c>
      <c r="G14" s="2658">
        <v>63.0</v>
      </c>
      <c r="H14" s="2656">
        <v>182.0</v>
      </c>
      <c r="I14" s="2656"/>
      <c r="J14" s="2641">
        <v>2128.0</v>
      </c>
      <c r="K14" s="2659">
        <v>102708.24</v>
      </c>
      <c r="L14" s="2660">
        <v>341719.0</v>
      </c>
      <c r="M14" s="2644">
        <f t="shared" si="1"/>
        <v>2.327084565</v>
      </c>
      <c r="N14" s="2645">
        <f t="shared" si="2"/>
        <v>3.327084565</v>
      </c>
      <c r="O14" s="541"/>
      <c r="P14" s="541"/>
      <c r="Q14" s="541"/>
      <c r="R14" s="541"/>
      <c r="S14" s="541"/>
      <c r="T14" s="2661"/>
      <c r="U14" s="2661"/>
      <c r="V14" s="2661"/>
      <c r="W14" s="2661"/>
      <c r="X14" s="2661"/>
      <c r="Y14" s="2661"/>
      <c r="Z14" s="2661"/>
    </row>
    <row r="15">
      <c r="A15" s="2655">
        <v>46218.0</v>
      </c>
      <c r="B15" s="2657">
        <v>266.0</v>
      </c>
      <c r="C15" s="2657">
        <v>485.0</v>
      </c>
      <c r="D15" s="2656">
        <v>128.0</v>
      </c>
      <c r="E15" s="2658">
        <v>514.0</v>
      </c>
      <c r="F15" s="2656">
        <v>197.0</v>
      </c>
      <c r="G15" s="2657">
        <v>0.0</v>
      </c>
      <c r="H15" s="2656">
        <v>219.0</v>
      </c>
      <c r="I15" s="2657"/>
      <c r="J15" s="2641">
        <v>1809.0</v>
      </c>
      <c r="K15" s="2659">
        <v>87570.23</v>
      </c>
      <c r="L15" s="2660">
        <v>283798.0</v>
      </c>
      <c r="M15" s="2644">
        <f t="shared" si="1"/>
        <v>2.240804552</v>
      </c>
      <c r="N15" s="2645">
        <f t="shared" si="2"/>
        <v>3.240804552</v>
      </c>
      <c r="O15" s="541"/>
      <c r="P15" s="541"/>
      <c r="Q15" s="541"/>
      <c r="R15" s="541"/>
      <c r="S15" s="541"/>
      <c r="T15" s="2661"/>
      <c r="U15" s="2661"/>
      <c r="V15" s="2661"/>
      <c r="W15" s="2661"/>
      <c r="X15" s="2661"/>
      <c r="Y15" s="2661"/>
      <c r="Z15" s="2661"/>
    </row>
    <row r="16">
      <c r="A16" s="2655">
        <v>46219.0</v>
      </c>
      <c r="B16" s="2658">
        <v>307.0</v>
      </c>
      <c r="C16" s="2657">
        <v>591.0</v>
      </c>
      <c r="D16" s="2656">
        <v>130.0</v>
      </c>
      <c r="E16" s="2658">
        <v>725.0</v>
      </c>
      <c r="F16" s="2656">
        <v>328.0</v>
      </c>
      <c r="G16" s="2657">
        <v>0.0</v>
      </c>
      <c r="H16" s="2658">
        <v>206.0</v>
      </c>
      <c r="I16" s="2656"/>
      <c r="J16" s="2647">
        <v>2287.0</v>
      </c>
      <c r="K16" s="2659">
        <v>109795.49</v>
      </c>
      <c r="L16" s="2660">
        <v>362134.0</v>
      </c>
      <c r="M16" s="2644">
        <f t="shared" si="1"/>
        <v>2.298259337</v>
      </c>
      <c r="N16" s="2645">
        <f t="shared" si="2"/>
        <v>3.298259337</v>
      </c>
      <c r="O16" s="541"/>
      <c r="P16" s="541"/>
      <c r="Q16" s="541"/>
      <c r="R16" s="541"/>
      <c r="S16" s="541"/>
      <c r="T16" s="2661"/>
      <c r="U16" s="2661"/>
      <c r="V16" s="2661"/>
      <c r="W16" s="2661"/>
      <c r="X16" s="2661"/>
      <c r="Y16" s="2661"/>
      <c r="Z16" s="2661"/>
    </row>
    <row r="17">
      <c r="A17" s="2662">
        <v>46222.0</v>
      </c>
      <c r="B17" s="2663">
        <f>'Пр.-во 4я неделя'!I3+'Пр.-во 4я неделя'!I4+'Пр.-во 4я неделя'!I5</f>
        <v>308</v>
      </c>
      <c r="C17" s="2663">
        <f>'Пр.-во 4я неделя'!I6+'Пр.-во 4я неделя'!I7+'Пр.-во 4я неделя'!I8+'Пр.-во 4я неделя'!I9</f>
        <v>497</v>
      </c>
      <c r="D17" s="2663">
        <f>'Пр.-во 4я неделя'!I10</f>
        <v>120</v>
      </c>
      <c r="E17" s="2664">
        <f>'Пр.-во 4я неделя'!I12+'Пр.-во 4я неделя'!I13+'Пр.-во 4я неделя'!I14+'Пр.-во 4я неделя'!I15+'Пр.-во 4я неделя'!I16</f>
        <v>600</v>
      </c>
      <c r="F17" s="2663">
        <f>'Пр.-во 4я неделя'!I20+'Пр.-во 4я неделя'!I21</f>
        <v>248</v>
      </c>
      <c r="G17" s="2665">
        <v>0.0</v>
      </c>
      <c r="H17" s="2663">
        <f>'Пр.-во 4я неделя'!I22</f>
        <v>146</v>
      </c>
      <c r="I17" s="2663"/>
      <c r="J17" s="2664">
        <f t="shared" ref="J17:J21" si="3">B17+C17+D17+E17+F17+G17+H17+I17</f>
        <v>1919</v>
      </c>
      <c r="K17" s="2666">
        <v>90267.0</v>
      </c>
      <c r="L17" s="2667">
        <v>303924.0</v>
      </c>
      <c r="M17" s="2644">
        <f t="shared" si="1"/>
        <v>2.366944731</v>
      </c>
      <c r="N17" s="2645">
        <f t="shared" si="2"/>
        <v>3.366944731</v>
      </c>
      <c r="O17" s="541"/>
      <c r="P17" s="541"/>
      <c r="Q17" s="541"/>
      <c r="R17" s="541"/>
      <c r="S17" s="541"/>
    </row>
    <row r="18">
      <c r="A18" s="2662">
        <v>46223.0</v>
      </c>
      <c r="B18" s="2663">
        <f>'Пр.-во 4я неделя'!I35+'Пр.-во 4я неделя'!I36+'Пр.-во 4я неделя'!I37</f>
        <v>327</v>
      </c>
      <c r="C18" s="2664">
        <f>'Пр.-во 4я неделя'!I38+'Пр.-во 4я неделя'!I39+'Пр.-во 4я неделя'!I40</f>
        <v>473</v>
      </c>
      <c r="D18" s="2663">
        <f>'Пр.-во 4я неделя'!I41+'Пр.-во 4я неделя'!I42</f>
        <v>165</v>
      </c>
      <c r="E18" s="2664">
        <f>'Пр.-во 4я неделя'!I43+'Пр.-во 4я неделя'!I44+'Пр.-во 4я неделя'!I45+'Пр.-во 4я неделя'!I46+'Пр.-во 4я неделя'!I47+'Пр.-во 4я неделя'!I48+'Пр.-во 4я неделя'!I49</f>
        <v>598</v>
      </c>
      <c r="F18" s="2663">
        <f>'Пр.-во 4я неделя'!I54+'Пр.-во 4я неделя'!I55</f>
        <v>243</v>
      </c>
      <c r="G18" s="2665">
        <v>0.0</v>
      </c>
      <c r="H18" s="2663">
        <f>'Пр.-во 4я неделя'!I57</f>
        <v>152</v>
      </c>
      <c r="I18" s="2663"/>
      <c r="J18" s="2664">
        <f t="shared" si="3"/>
        <v>1958</v>
      </c>
      <c r="K18" s="2666">
        <v>103461.0</v>
      </c>
      <c r="L18" s="2667">
        <v>353601.0</v>
      </c>
      <c r="M18" s="2644">
        <f t="shared" si="1"/>
        <v>2.41772262</v>
      </c>
      <c r="N18" s="2645">
        <f t="shared" si="2"/>
        <v>3.41772262</v>
      </c>
      <c r="O18" s="541"/>
      <c r="P18" s="541"/>
      <c r="Q18" s="541"/>
      <c r="R18" s="541"/>
      <c r="S18" s="541"/>
    </row>
    <row r="19">
      <c r="A19" s="2662">
        <v>46224.0</v>
      </c>
      <c r="B19" s="2663">
        <f>'Пр.-во 4я неделя'!G62+'Пр.-во 4я неделя'!G63+'Пр.-во 4я неделя'!G64</f>
        <v>354</v>
      </c>
      <c r="C19" s="2663">
        <f>'Пр.-во 4я неделя'!I65+'Пр.-во 4я неделя'!I66+'Пр.-во 4я неделя'!I67+'Пр.-во 4я неделя'!I68</f>
        <v>474</v>
      </c>
      <c r="D19" s="2664">
        <f>'Пр.-во 4я неделя'!I69</f>
        <v>120</v>
      </c>
      <c r="E19" s="2664">
        <f>'Пр.-во 4я неделя'!I71+'Пр.-во 4я неделя'!I72+'Пр.-во 4я неделя'!I73+'Пр.-во 4я неделя'!I75+'Пр.-во 4я неделя'!I76</f>
        <v>522</v>
      </c>
      <c r="F19" s="2663">
        <f>'Пр.-во 4я неделя'!I78+'Пр.-во 4я неделя'!I79</f>
        <v>237</v>
      </c>
      <c r="G19" s="2663"/>
      <c r="H19" s="2663">
        <f>'Пр.-во 4я неделя'!I81</f>
        <v>127</v>
      </c>
      <c r="I19" s="2663"/>
      <c r="J19" s="2664">
        <f t="shared" si="3"/>
        <v>1834</v>
      </c>
      <c r="K19" s="2668"/>
      <c r="L19" s="2669"/>
      <c r="M19" s="2644" t="str">
        <f t="shared" si="1"/>
        <v>#DIV/0!</v>
      </c>
      <c r="N19" s="2645" t="str">
        <f t="shared" si="2"/>
        <v>#DIV/0!</v>
      </c>
      <c r="O19" s="541"/>
      <c r="P19" s="541"/>
      <c r="Q19" s="541"/>
      <c r="R19" s="541"/>
      <c r="S19" s="541"/>
    </row>
    <row r="20">
      <c r="A20" s="2662">
        <v>46225.0</v>
      </c>
      <c r="B20" s="2664">
        <f>'Пр.-во 4я неделя'!I92+'Пр.-во 4я неделя'!I93+'Пр.-во 4я неделя'!I94</f>
        <v>115</v>
      </c>
      <c r="C20" s="2663">
        <f>'Пр.-во 4я неделя'!I95+'Пр.-во 4я неделя'!I96+'Пр.-во 4я неделя'!I97+'Пр.-во 4я неделя'!I98</f>
        <v>447</v>
      </c>
      <c r="D20" s="2663">
        <f>'Пр.-во 4я неделя'!I78+'Пр.-во 4я неделя'!I79</f>
        <v>237</v>
      </c>
      <c r="E20" s="2663">
        <f>'Пр.-во 4я неделя'!I101+'Пр.-во 4я неделя'!I102+'Пр.-во 4я неделя'!I103+'Пр.-во 4я неделя'!I104+'Пр.-во 4я неделя'!I105+'Пр.-во 4я неделя'!I106+'Пр.-во 4я неделя'!I107</f>
        <v>344</v>
      </c>
      <c r="F20" s="2664">
        <f>'Пр.-во 4я неделя'!I111+'Пр.-во 4я неделя'!I112+'Пр.-во 4я неделя'!I110</f>
        <v>217</v>
      </c>
      <c r="G20" s="2663"/>
      <c r="H20" s="2663">
        <f>'Пр.-во 4я неделя'!I113</f>
        <v>155</v>
      </c>
      <c r="I20" s="2663"/>
      <c r="J20" s="2664">
        <f t="shared" si="3"/>
        <v>1515</v>
      </c>
      <c r="K20" s="2663"/>
      <c r="L20" s="2670"/>
      <c r="M20" s="2644" t="str">
        <f t="shared" si="1"/>
        <v>#DIV/0!</v>
      </c>
      <c r="N20" s="2645" t="str">
        <f t="shared" si="2"/>
        <v>#DIV/0!</v>
      </c>
      <c r="O20" s="541"/>
      <c r="P20" s="541"/>
      <c r="Q20" s="541"/>
      <c r="R20" s="541"/>
      <c r="S20" s="541"/>
    </row>
    <row r="21">
      <c r="A21" s="2662">
        <v>46226.0</v>
      </c>
      <c r="B21" s="2664">
        <f>'Пр.-во 4я неделя'!I119+'Пр.-во 4я неделя'!I120+'Пр.-во 4я неделя'!I121</f>
        <v>0</v>
      </c>
      <c r="C21" s="2663">
        <f>'Пр.-во 4я неделя'!I122+'Пр.-во 4я неделя'!I123+'Пр.-во 4я неделя'!I124+'Пр.-во 4я неделя'!I125</f>
        <v>0</v>
      </c>
      <c r="D21" s="2663">
        <f>'Пр.-во 4я неделя'!I126</f>
        <v>0</v>
      </c>
      <c r="E21" s="2664">
        <f>'Пр.-во 4я неделя'!I128+'Пр.-во 4я неделя'!I129+'Пр.-во 4я неделя'!I130+'Пр.-во 4я неделя'!I133+'Пр.-во 4я неделя'!I134</f>
        <v>0</v>
      </c>
      <c r="F21" s="2663">
        <f>'Пр.-во 4я неделя'!I137+'Пр.-во 4я неделя'!I138</f>
        <v>0</v>
      </c>
      <c r="G21" s="2663"/>
      <c r="H21" s="2664">
        <f>'Пр.-во 4я неделя'!I139</f>
        <v>0</v>
      </c>
      <c r="I21" s="2663"/>
      <c r="J21" s="2664">
        <f t="shared" si="3"/>
        <v>0</v>
      </c>
      <c r="K21" s="2663"/>
      <c r="L21" s="2670"/>
      <c r="M21" s="2644" t="str">
        <f t="shared" si="1"/>
        <v>#DIV/0!</v>
      </c>
      <c r="N21" s="2645" t="str">
        <f t="shared" si="2"/>
        <v>#DIV/0!</v>
      </c>
      <c r="O21" s="541"/>
      <c r="P21" s="541"/>
      <c r="Q21" s="541"/>
      <c r="R21" s="541"/>
      <c r="S21" s="541"/>
    </row>
    <row r="22">
      <c r="A22" s="2671">
        <v>46227.0</v>
      </c>
      <c r="B22" s="2638">
        <v>302.0</v>
      </c>
      <c r="C22" s="2638">
        <v>443.0</v>
      </c>
      <c r="D22" s="2638">
        <v>171.0</v>
      </c>
      <c r="E22" s="2640">
        <v>562.0</v>
      </c>
      <c r="F22" s="2638">
        <v>213.0</v>
      </c>
      <c r="G22" s="2672">
        <v>0.0</v>
      </c>
      <c r="H22" s="2638">
        <v>163.0</v>
      </c>
      <c r="I22" s="2638"/>
      <c r="J22" s="2640">
        <v>1854.0</v>
      </c>
      <c r="K22" s="2673">
        <v>90267.0</v>
      </c>
      <c r="L22" s="2674">
        <v>303924.0</v>
      </c>
      <c r="M22" s="2644">
        <f t="shared" si="1"/>
        <v>2.366944731</v>
      </c>
      <c r="N22" s="2645">
        <f t="shared" si="2"/>
        <v>3.366944731</v>
      </c>
      <c r="O22" s="541"/>
      <c r="P22" s="541"/>
      <c r="Q22" s="541"/>
      <c r="R22" s="541"/>
      <c r="S22" s="541"/>
    </row>
    <row r="23">
      <c r="A23" s="2671">
        <v>46228.0</v>
      </c>
      <c r="B23" s="2638">
        <v>317.0</v>
      </c>
      <c r="C23" s="2640">
        <v>497.0</v>
      </c>
      <c r="D23" s="2638">
        <v>182.0</v>
      </c>
      <c r="E23" s="2640">
        <v>752.0</v>
      </c>
      <c r="F23" s="2638">
        <v>252.0</v>
      </c>
      <c r="G23" s="2672">
        <v>0.0</v>
      </c>
      <c r="H23" s="2638">
        <v>218.0</v>
      </c>
      <c r="I23" s="2638"/>
      <c r="J23" s="2640">
        <v>2218.0</v>
      </c>
      <c r="K23" s="2673">
        <v>103461.0</v>
      </c>
      <c r="L23" s="2674">
        <v>353601.0</v>
      </c>
      <c r="M23" s="2644">
        <f t="shared" si="1"/>
        <v>2.41772262</v>
      </c>
      <c r="N23" s="2645">
        <f t="shared" si="2"/>
        <v>3.41772262</v>
      </c>
      <c r="O23" s="541"/>
      <c r="P23" s="541"/>
      <c r="Q23" s="541"/>
      <c r="R23" s="541"/>
      <c r="S23" s="541"/>
    </row>
    <row r="24">
      <c r="A24" s="2671">
        <v>46229.0</v>
      </c>
      <c r="B24" s="2638">
        <v>361.0</v>
      </c>
      <c r="C24" s="2638">
        <v>551.0</v>
      </c>
      <c r="D24" s="2640">
        <v>136.0</v>
      </c>
      <c r="E24" s="2640">
        <v>551.0</v>
      </c>
      <c r="F24" s="2638">
        <v>209.0</v>
      </c>
      <c r="G24" s="2638"/>
      <c r="H24" s="2638">
        <v>210.0</v>
      </c>
      <c r="I24" s="2638"/>
      <c r="J24" s="2640">
        <v>2018.0</v>
      </c>
      <c r="K24" s="2642"/>
      <c r="L24" s="2643"/>
      <c r="M24" s="2644" t="str">
        <f t="shared" si="1"/>
        <v>#DIV/0!</v>
      </c>
      <c r="N24" s="2645" t="str">
        <f t="shared" si="2"/>
        <v>#DIV/0!</v>
      </c>
      <c r="O24" s="541"/>
      <c r="P24" s="541"/>
      <c r="Q24" s="541"/>
      <c r="R24" s="541"/>
      <c r="S24" s="541"/>
    </row>
    <row r="25">
      <c r="A25" s="2671">
        <v>46230.0</v>
      </c>
      <c r="B25" s="2640">
        <v>349.0</v>
      </c>
      <c r="C25" s="2638">
        <v>485.0</v>
      </c>
      <c r="D25" s="2638">
        <v>209.0</v>
      </c>
      <c r="E25" s="2638">
        <v>568.0</v>
      </c>
      <c r="F25" s="2640">
        <v>267.0</v>
      </c>
      <c r="G25" s="2638"/>
      <c r="H25" s="2638">
        <v>217.0</v>
      </c>
      <c r="I25" s="2638"/>
      <c r="J25" s="2640">
        <v>2095.0</v>
      </c>
      <c r="K25" s="2638"/>
      <c r="L25" s="2675"/>
      <c r="M25" s="2644" t="str">
        <f t="shared" si="1"/>
        <v>#DIV/0!</v>
      </c>
      <c r="N25" s="2645" t="str">
        <f t="shared" si="2"/>
        <v>#DIV/0!</v>
      </c>
      <c r="O25" s="541"/>
      <c r="P25" s="541"/>
      <c r="Q25" s="541"/>
      <c r="R25" s="541"/>
      <c r="S25" s="541"/>
    </row>
    <row r="26">
      <c r="A26" s="2671">
        <v>46231.0</v>
      </c>
      <c r="B26" s="2640">
        <v>342.0</v>
      </c>
      <c r="C26" s="2638">
        <v>560.0</v>
      </c>
      <c r="D26" s="2638">
        <v>150.0</v>
      </c>
      <c r="E26" s="2640">
        <v>331.0</v>
      </c>
      <c r="F26" s="2638">
        <v>331.0</v>
      </c>
      <c r="G26" s="2638"/>
      <c r="H26" s="2640">
        <v>183.0</v>
      </c>
      <c r="I26" s="2638"/>
      <c r="J26" s="2640">
        <v>1897.0</v>
      </c>
      <c r="K26" s="2638"/>
      <c r="L26" s="2675"/>
      <c r="M26" s="2644" t="str">
        <f t="shared" si="1"/>
        <v>#DIV/0!</v>
      </c>
      <c r="N26" s="2645" t="str">
        <f t="shared" si="2"/>
        <v>#DIV/0!</v>
      </c>
      <c r="O26" s="541"/>
      <c r="P26" s="541"/>
      <c r="Q26" s="541"/>
      <c r="R26" s="541"/>
      <c r="S26" s="541"/>
    </row>
    <row r="27">
      <c r="A27" s="2676">
        <v>46232.0</v>
      </c>
      <c r="B27" s="2677"/>
      <c r="C27" s="2677"/>
      <c r="D27" s="2677"/>
      <c r="E27" s="2677"/>
      <c r="F27" s="2677"/>
      <c r="G27" s="2677"/>
      <c r="H27" s="2677"/>
      <c r="I27" s="2677"/>
      <c r="J27" s="2677">
        <f t="shared" ref="J27:J188" si="4">B27+C27+D27+E27+F27+G27+H27+I27</f>
        <v>0</v>
      </c>
      <c r="K27" s="2677"/>
      <c r="L27" s="2678"/>
      <c r="M27" s="2644" t="str">
        <f t="shared" si="1"/>
        <v>#DIV/0!</v>
      </c>
      <c r="N27" s="2645" t="str">
        <f t="shared" si="2"/>
        <v>#DIV/0!</v>
      </c>
      <c r="O27" s="541"/>
      <c r="P27" s="541"/>
      <c r="Q27" s="541"/>
      <c r="R27" s="541"/>
      <c r="S27" s="541"/>
    </row>
    <row r="28">
      <c r="A28" s="2676">
        <v>46233.0</v>
      </c>
      <c r="B28" s="2677"/>
      <c r="C28" s="2677"/>
      <c r="D28" s="2677"/>
      <c r="E28" s="2677"/>
      <c r="F28" s="2677"/>
      <c r="G28" s="2677"/>
      <c r="H28" s="2677"/>
      <c r="I28" s="2677"/>
      <c r="J28" s="2677">
        <f t="shared" si="4"/>
        <v>0</v>
      </c>
      <c r="K28" s="2677"/>
      <c r="L28" s="2678"/>
      <c r="M28" s="2644" t="str">
        <f t="shared" si="1"/>
        <v>#DIV/0!</v>
      </c>
      <c r="N28" s="2645" t="str">
        <f t="shared" si="2"/>
        <v>#DIV/0!</v>
      </c>
      <c r="O28" s="541"/>
      <c r="P28" s="541"/>
      <c r="Q28" s="541"/>
      <c r="R28" s="541"/>
      <c r="S28" s="541"/>
    </row>
    <row r="29">
      <c r="A29" s="2676">
        <v>46234.0</v>
      </c>
      <c r="B29" s="2677"/>
      <c r="C29" s="2677"/>
      <c r="D29" s="2677"/>
      <c r="E29" s="2677"/>
      <c r="F29" s="2677"/>
      <c r="G29" s="2677"/>
      <c r="H29" s="2677"/>
      <c r="I29" s="2677"/>
      <c r="J29" s="2677">
        <f t="shared" si="4"/>
        <v>0</v>
      </c>
      <c r="K29" s="2677"/>
      <c r="L29" s="2678"/>
      <c r="M29" s="2644" t="str">
        <f t="shared" si="1"/>
        <v>#DIV/0!</v>
      </c>
      <c r="N29" s="2645" t="str">
        <f t="shared" si="2"/>
        <v>#DIV/0!</v>
      </c>
      <c r="O29" s="541"/>
      <c r="P29" s="541"/>
      <c r="Q29" s="541"/>
      <c r="R29" s="541"/>
      <c r="S29" s="541"/>
    </row>
    <row r="30">
      <c r="A30" s="2676">
        <v>46235.0</v>
      </c>
      <c r="B30" s="2677"/>
      <c r="C30" s="2677"/>
      <c r="D30" s="2677"/>
      <c r="E30" s="2677"/>
      <c r="F30" s="2677"/>
      <c r="G30" s="2677"/>
      <c r="H30" s="2677"/>
      <c r="I30" s="2677"/>
      <c r="J30" s="2677">
        <f t="shared" si="4"/>
        <v>0</v>
      </c>
      <c r="K30" s="2677"/>
      <c r="L30" s="2678"/>
      <c r="M30" s="2644" t="str">
        <f t="shared" si="1"/>
        <v>#DIV/0!</v>
      </c>
      <c r="N30" s="2645" t="str">
        <f t="shared" si="2"/>
        <v>#DIV/0!</v>
      </c>
      <c r="O30" s="541"/>
      <c r="P30" s="541"/>
      <c r="Q30" s="541"/>
      <c r="R30" s="541"/>
      <c r="S30" s="541"/>
    </row>
    <row r="31">
      <c r="A31" s="2676">
        <v>46236.0</v>
      </c>
      <c r="B31" s="2677"/>
      <c r="C31" s="2677"/>
      <c r="D31" s="2677"/>
      <c r="E31" s="2677"/>
      <c r="F31" s="2677"/>
      <c r="G31" s="2677"/>
      <c r="H31" s="2677"/>
      <c r="I31" s="2677"/>
      <c r="J31" s="2677">
        <f t="shared" si="4"/>
        <v>0</v>
      </c>
      <c r="K31" s="2677"/>
      <c r="L31" s="2678"/>
      <c r="M31" s="2644" t="str">
        <f t="shared" si="1"/>
        <v>#DIV/0!</v>
      </c>
      <c r="N31" s="2645" t="str">
        <f t="shared" si="2"/>
        <v>#DIV/0!</v>
      </c>
      <c r="O31" s="541"/>
      <c r="P31" s="541"/>
      <c r="Q31" s="541"/>
      <c r="R31" s="541"/>
      <c r="S31" s="541"/>
    </row>
    <row r="32">
      <c r="A32" s="2679">
        <v>46237.0</v>
      </c>
      <c r="B32" s="2680"/>
      <c r="C32" s="2680"/>
      <c r="D32" s="2680"/>
      <c r="E32" s="2680"/>
      <c r="F32" s="2680"/>
      <c r="G32" s="2680"/>
      <c r="H32" s="2680"/>
      <c r="I32" s="2680"/>
      <c r="J32" s="2680">
        <f t="shared" si="4"/>
        <v>0</v>
      </c>
      <c r="K32" s="2680"/>
      <c r="L32" s="2681"/>
      <c r="M32" s="2644" t="str">
        <f t="shared" si="1"/>
        <v>#DIV/0!</v>
      </c>
      <c r="N32" s="2645" t="str">
        <f t="shared" si="2"/>
        <v>#DIV/0!</v>
      </c>
      <c r="O32" s="541"/>
      <c r="P32" s="541"/>
      <c r="Q32" s="541"/>
      <c r="R32" s="541"/>
      <c r="S32" s="541"/>
    </row>
    <row r="33">
      <c r="A33" s="2679">
        <v>46238.0</v>
      </c>
      <c r="B33" s="2680"/>
      <c r="C33" s="2680"/>
      <c r="D33" s="2680"/>
      <c r="E33" s="2680"/>
      <c r="F33" s="2680"/>
      <c r="G33" s="2680"/>
      <c r="H33" s="2680"/>
      <c r="I33" s="2680"/>
      <c r="J33" s="2680">
        <f t="shared" si="4"/>
        <v>0</v>
      </c>
      <c r="K33" s="2680"/>
      <c r="L33" s="2681"/>
      <c r="M33" s="2644" t="str">
        <f t="shared" si="1"/>
        <v>#DIV/0!</v>
      </c>
      <c r="N33" s="2645" t="str">
        <f t="shared" si="2"/>
        <v>#DIV/0!</v>
      </c>
      <c r="O33" s="541"/>
      <c r="P33" s="541"/>
      <c r="Q33" s="541"/>
      <c r="R33" s="541"/>
      <c r="S33" s="541"/>
    </row>
    <row r="34">
      <c r="A34" s="2679">
        <v>46239.0</v>
      </c>
      <c r="B34" s="2680"/>
      <c r="C34" s="2680"/>
      <c r="D34" s="2680"/>
      <c r="E34" s="2680"/>
      <c r="F34" s="2680"/>
      <c r="G34" s="2680"/>
      <c r="H34" s="2680"/>
      <c r="I34" s="2680"/>
      <c r="J34" s="2680">
        <f t="shared" si="4"/>
        <v>0</v>
      </c>
      <c r="K34" s="2680"/>
      <c r="L34" s="2681"/>
      <c r="M34" s="2644" t="str">
        <f t="shared" si="1"/>
        <v>#DIV/0!</v>
      </c>
      <c r="N34" s="2645" t="str">
        <f t="shared" si="2"/>
        <v>#DIV/0!</v>
      </c>
      <c r="O34" s="541"/>
      <c r="P34" s="541"/>
      <c r="Q34" s="541"/>
      <c r="R34" s="541"/>
      <c r="S34" s="541"/>
    </row>
    <row r="35">
      <c r="A35" s="2679">
        <v>46240.0</v>
      </c>
      <c r="B35" s="2680"/>
      <c r="C35" s="2680"/>
      <c r="D35" s="2680"/>
      <c r="E35" s="2680"/>
      <c r="F35" s="2680"/>
      <c r="G35" s="2680"/>
      <c r="H35" s="2680"/>
      <c r="I35" s="2680"/>
      <c r="J35" s="2680">
        <f t="shared" si="4"/>
        <v>0</v>
      </c>
      <c r="K35" s="2680"/>
      <c r="L35" s="2681"/>
      <c r="M35" s="2644" t="str">
        <f t="shared" si="1"/>
        <v>#DIV/0!</v>
      </c>
      <c r="N35" s="2645" t="str">
        <f t="shared" si="2"/>
        <v>#DIV/0!</v>
      </c>
      <c r="O35" s="541"/>
      <c r="P35" s="541"/>
      <c r="Q35" s="541"/>
      <c r="R35" s="541"/>
      <c r="S35" s="541"/>
    </row>
    <row r="36">
      <c r="A36" s="2679">
        <v>46241.0</v>
      </c>
      <c r="B36" s="2680"/>
      <c r="C36" s="2680"/>
      <c r="D36" s="2680"/>
      <c r="E36" s="2680"/>
      <c r="F36" s="2680"/>
      <c r="G36" s="2680"/>
      <c r="H36" s="2680"/>
      <c r="I36" s="2680"/>
      <c r="J36" s="2680">
        <f t="shared" si="4"/>
        <v>0</v>
      </c>
      <c r="K36" s="2680"/>
      <c r="L36" s="2681"/>
      <c r="M36" s="2644" t="str">
        <f t="shared" si="1"/>
        <v>#DIV/0!</v>
      </c>
      <c r="N36" s="2645" t="str">
        <f t="shared" si="2"/>
        <v>#DIV/0!</v>
      </c>
      <c r="O36" s="541"/>
      <c r="P36" s="541"/>
      <c r="Q36" s="541"/>
      <c r="R36" s="541"/>
      <c r="S36" s="541"/>
    </row>
    <row r="37">
      <c r="A37" s="2682">
        <v>46242.0</v>
      </c>
      <c r="B37" s="2683"/>
      <c r="C37" s="2683"/>
      <c r="D37" s="2683"/>
      <c r="E37" s="2683"/>
      <c r="F37" s="2683"/>
      <c r="G37" s="2683"/>
      <c r="H37" s="2683"/>
      <c r="I37" s="2683"/>
      <c r="J37" s="2683">
        <f t="shared" si="4"/>
        <v>0</v>
      </c>
      <c r="K37" s="2683"/>
      <c r="L37" s="2684"/>
      <c r="M37" s="633"/>
      <c r="N37" s="541"/>
      <c r="O37" s="541"/>
      <c r="P37" s="541"/>
      <c r="Q37" s="541"/>
      <c r="R37" s="541"/>
      <c r="S37" s="541"/>
    </row>
    <row r="38">
      <c r="A38" s="2682">
        <v>46243.0</v>
      </c>
      <c r="B38" s="2683"/>
      <c r="C38" s="2683"/>
      <c r="D38" s="2683"/>
      <c r="E38" s="2683"/>
      <c r="F38" s="2683"/>
      <c r="G38" s="2683"/>
      <c r="H38" s="2683"/>
      <c r="I38" s="2683"/>
      <c r="J38" s="2683">
        <f t="shared" si="4"/>
        <v>0</v>
      </c>
      <c r="K38" s="2683"/>
      <c r="L38" s="2684"/>
      <c r="M38" s="633"/>
      <c r="N38" s="541"/>
      <c r="O38" s="541"/>
      <c r="P38" s="541"/>
      <c r="Q38" s="541"/>
      <c r="R38" s="541"/>
      <c r="S38" s="541"/>
    </row>
    <row r="39">
      <c r="A39" s="2682">
        <v>46244.0</v>
      </c>
      <c r="B39" s="2683"/>
      <c r="C39" s="2683"/>
      <c r="D39" s="2683"/>
      <c r="E39" s="2683"/>
      <c r="F39" s="2683"/>
      <c r="G39" s="2683"/>
      <c r="H39" s="2683"/>
      <c r="I39" s="2683"/>
      <c r="J39" s="2683">
        <f t="shared" si="4"/>
        <v>0</v>
      </c>
      <c r="K39" s="2683"/>
      <c r="L39" s="2684"/>
      <c r="M39" s="633"/>
      <c r="N39" s="541"/>
      <c r="O39" s="541"/>
      <c r="P39" s="541"/>
      <c r="Q39" s="541"/>
      <c r="R39" s="541"/>
      <c r="S39" s="541"/>
    </row>
    <row r="40">
      <c r="A40" s="2682">
        <v>46245.0</v>
      </c>
      <c r="B40" s="2683"/>
      <c r="C40" s="2683"/>
      <c r="D40" s="2683"/>
      <c r="E40" s="2683"/>
      <c r="F40" s="2683"/>
      <c r="G40" s="2683"/>
      <c r="H40" s="2683"/>
      <c r="I40" s="2683"/>
      <c r="J40" s="2683">
        <f t="shared" si="4"/>
        <v>0</v>
      </c>
      <c r="K40" s="2683"/>
      <c r="L40" s="2684"/>
      <c r="M40" s="633"/>
      <c r="N40" s="541"/>
      <c r="O40" s="541"/>
      <c r="P40" s="541"/>
      <c r="Q40" s="541"/>
      <c r="R40" s="541"/>
      <c r="S40" s="541"/>
    </row>
    <row r="41">
      <c r="A41" s="2682">
        <v>46246.0</v>
      </c>
      <c r="B41" s="2683"/>
      <c r="C41" s="2683"/>
      <c r="D41" s="2683"/>
      <c r="E41" s="2683"/>
      <c r="F41" s="2683"/>
      <c r="G41" s="2683"/>
      <c r="H41" s="2683"/>
      <c r="I41" s="2683"/>
      <c r="J41" s="2683">
        <f t="shared" si="4"/>
        <v>0</v>
      </c>
      <c r="K41" s="2683"/>
      <c r="L41" s="2684"/>
      <c r="M41" s="633"/>
      <c r="N41" s="541"/>
      <c r="O41" s="541"/>
      <c r="P41" s="541"/>
      <c r="Q41" s="541"/>
      <c r="R41" s="541"/>
      <c r="S41" s="541"/>
    </row>
    <row r="42">
      <c r="A42" s="2679">
        <v>46247.0</v>
      </c>
      <c r="B42" s="2680"/>
      <c r="C42" s="2680"/>
      <c r="D42" s="2680"/>
      <c r="E42" s="2680"/>
      <c r="F42" s="2680"/>
      <c r="G42" s="2680"/>
      <c r="H42" s="2680"/>
      <c r="I42" s="2680"/>
      <c r="J42" s="2680">
        <f t="shared" si="4"/>
        <v>0</v>
      </c>
      <c r="K42" s="2680"/>
      <c r="L42" s="2681"/>
      <c r="M42" s="633"/>
      <c r="N42" s="541"/>
      <c r="O42" s="541"/>
      <c r="P42" s="541"/>
      <c r="Q42" s="541"/>
      <c r="R42" s="541"/>
      <c r="S42" s="541"/>
    </row>
    <row r="43">
      <c r="A43" s="2679">
        <v>46248.0</v>
      </c>
      <c r="B43" s="2680"/>
      <c r="C43" s="2680"/>
      <c r="D43" s="2680"/>
      <c r="E43" s="2680"/>
      <c r="F43" s="2680"/>
      <c r="G43" s="2680"/>
      <c r="H43" s="2680"/>
      <c r="I43" s="2680"/>
      <c r="J43" s="2680">
        <f t="shared" si="4"/>
        <v>0</v>
      </c>
      <c r="K43" s="2680"/>
      <c r="L43" s="2681"/>
      <c r="M43" s="633"/>
      <c r="N43" s="541"/>
      <c r="O43" s="541"/>
      <c r="P43" s="541"/>
      <c r="Q43" s="541"/>
      <c r="R43" s="541"/>
      <c r="S43" s="541"/>
    </row>
    <row r="44">
      <c r="A44" s="2679">
        <v>46249.0</v>
      </c>
      <c r="B44" s="2685"/>
      <c r="C44" s="2685"/>
      <c r="D44" s="2685"/>
      <c r="E44" s="2685"/>
      <c r="F44" s="2685"/>
      <c r="G44" s="2685"/>
      <c r="H44" s="2685"/>
      <c r="I44" s="2685"/>
      <c r="J44" s="2680">
        <f t="shared" si="4"/>
        <v>0</v>
      </c>
      <c r="K44" s="2685"/>
      <c r="L44" s="2686"/>
      <c r="M44" s="633"/>
      <c r="N44" s="541"/>
      <c r="O44" s="541"/>
      <c r="P44" s="541"/>
      <c r="Q44" s="541"/>
      <c r="R44" s="541"/>
      <c r="S44" s="541"/>
    </row>
    <row r="45">
      <c r="A45" s="2679">
        <v>46250.0</v>
      </c>
      <c r="B45" s="2685"/>
      <c r="C45" s="2685"/>
      <c r="D45" s="2685"/>
      <c r="E45" s="2685"/>
      <c r="F45" s="2685"/>
      <c r="G45" s="2685"/>
      <c r="H45" s="2685"/>
      <c r="I45" s="2685"/>
      <c r="J45" s="2680">
        <f t="shared" si="4"/>
        <v>0</v>
      </c>
      <c r="K45" s="2685"/>
      <c r="L45" s="2686"/>
      <c r="M45" s="633"/>
      <c r="N45" s="541"/>
      <c r="O45" s="541"/>
      <c r="P45" s="541"/>
      <c r="Q45" s="541"/>
      <c r="R45" s="541"/>
      <c r="S45" s="541"/>
    </row>
    <row r="46">
      <c r="A46" s="2679">
        <v>46251.0</v>
      </c>
      <c r="B46" s="2685"/>
      <c r="C46" s="2685"/>
      <c r="D46" s="2685"/>
      <c r="E46" s="2685"/>
      <c r="F46" s="2685"/>
      <c r="G46" s="2685"/>
      <c r="H46" s="2685"/>
      <c r="I46" s="2685"/>
      <c r="J46" s="2680">
        <f t="shared" si="4"/>
        <v>0</v>
      </c>
      <c r="K46" s="2685"/>
      <c r="L46" s="2686"/>
      <c r="M46" s="633"/>
      <c r="N46" s="541"/>
      <c r="O46" s="541"/>
      <c r="P46" s="541"/>
      <c r="Q46" s="541"/>
      <c r="R46" s="541"/>
      <c r="S46" s="541"/>
    </row>
    <row r="47">
      <c r="A47" s="2687">
        <v>46252.0</v>
      </c>
      <c r="B47" s="195"/>
      <c r="C47" s="195"/>
      <c r="D47" s="195"/>
      <c r="E47" s="195"/>
      <c r="F47" s="195"/>
      <c r="G47" s="195"/>
      <c r="H47" s="195"/>
      <c r="I47" s="195"/>
      <c r="J47" s="2641">
        <f t="shared" si="4"/>
        <v>0</v>
      </c>
      <c r="K47" s="195"/>
      <c r="M47" s="633"/>
      <c r="N47" s="541"/>
      <c r="O47" s="541"/>
      <c r="P47" s="541"/>
      <c r="Q47" s="541"/>
      <c r="R47" s="541"/>
      <c r="S47" s="541"/>
    </row>
    <row r="48">
      <c r="A48" s="2687">
        <v>46253.0</v>
      </c>
      <c r="B48" s="195"/>
      <c r="C48" s="195"/>
      <c r="D48" s="195"/>
      <c r="E48" s="195"/>
      <c r="F48" s="195"/>
      <c r="G48" s="195"/>
      <c r="H48" s="195"/>
      <c r="I48" s="195"/>
      <c r="J48" s="2641">
        <f t="shared" si="4"/>
        <v>0</v>
      </c>
      <c r="K48" s="195"/>
      <c r="M48" s="633"/>
      <c r="N48" s="541"/>
      <c r="O48" s="541"/>
      <c r="P48" s="541"/>
      <c r="Q48" s="541"/>
      <c r="R48" s="541"/>
      <c r="S48" s="541"/>
    </row>
    <row r="49">
      <c r="A49" s="2687">
        <v>46254.0</v>
      </c>
      <c r="B49" s="195"/>
      <c r="C49" s="195"/>
      <c r="D49" s="195"/>
      <c r="E49" s="195"/>
      <c r="F49" s="195"/>
      <c r="G49" s="195"/>
      <c r="H49" s="195"/>
      <c r="I49" s="195"/>
      <c r="J49" s="2641">
        <f t="shared" si="4"/>
        <v>0</v>
      </c>
      <c r="K49" s="195"/>
      <c r="M49" s="633"/>
      <c r="N49" s="541"/>
      <c r="O49" s="541"/>
      <c r="P49" s="541"/>
      <c r="Q49" s="541"/>
      <c r="R49" s="541"/>
      <c r="S49" s="541"/>
    </row>
    <row r="50">
      <c r="A50" s="2687">
        <v>46255.0</v>
      </c>
      <c r="B50" s="195"/>
      <c r="C50" s="195"/>
      <c r="D50" s="195"/>
      <c r="E50" s="195"/>
      <c r="F50" s="195"/>
      <c r="G50" s="195"/>
      <c r="H50" s="195"/>
      <c r="I50" s="195"/>
      <c r="J50" s="2641">
        <f t="shared" si="4"/>
        <v>0</v>
      </c>
      <c r="K50" s="195"/>
      <c r="M50" s="633"/>
      <c r="N50" s="541"/>
      <c r="O50" s="541"/>
      <c r="P50" s="541"/>
      <c r="Q50" s="541"/>
      <c r="R50" s="541"/>
      <c r="S50" s="541"/>
    </row>
    <row r="51">
      <c r="A51" s="2687">
        <v>46256.0</v>
      </c>
      <c r="B51" s="195"/>
      <c r="C51" s="195"/>
      <c r="D51" s="195"/>
      <c r="E51" s="195"/>
      <c r="F51" s="195"/>
      <c r="G51" s="195"/>
      <c r="H51" s="195"/>
      <c r="I51" s="195"/>
      <c r="J51" s="2641">
        <f t="shared" si="4"/>
        <v>0</v>
      </c>
      <c r="K51" s="195"/>
      <c r="M51" s="633"/>
      <c r="N51" s="541"/>
      <c r="O51" s="541"/>
      <c r="P51" s="541"/>
      <c r="Q51" s="541"/>
      <c r="R51" s="541"/>
      <c r="S51" s="541"/>
    </row>
    <row r="52">
      <c r="A52" s="2687">
        <v>46257.0</v>
      </c>
      <c r="B52" s="195"/>
      <c r="C52" s="195"/>
      <c r="D52" s="195"/>
      <c r="E52" s="195"/>
      <c r="F52" s="195"/>
      <c r="G52" s="195"/>
      <c r="H52" s="195"/>
      <c r="I52" s="195"/>
      <c r="J52" s="2641">
        <f t="shared" si="4"/>
        <v>0</v>
      </c>
      <c r="K52" s="195"/>
      <c r="M52" s="633"/>
      <c r="N52" s="541"/>
      <c r="O52" s="541"/>
      <c r="P52" s="541"/>
      <c r="Q52" s="541"/>
      <c r="R52" s="541"/>
      <c r="S52" s="541"/>
    </row>
    <row r="53">
      <c r="A53" s="2687">
        <v>46258.0</v>
      </c>
      <c r="B53" s="195"/>
      <c r="C53" s="195"/>
      <c r="D53" s="195"/>
      <c r="E53" s="195"/>
      <c r="F53" s="195"/>
      <c r="G53" s="195"/>
      <c r="H53" s="195"/>
      <c r="I53" s="195"/>
      <c r="J53" s="2641">
        <f t="shared" si="4"/>
        <v>0</v>
      </c>
      <c r="K53" s="195"/>
      <c r="M53" s="633"/>
      <c r="N53" s="541"/>
      <c r="O53" s="541"/>
      <c r="P53" s="541"/>
      <c r="Q53" s="541"/>
      <c r="R53" s="541"/>
      <c r="S53" s="541"/>
    </row>
    <row r="54">
      <c r="A54" s="2687">
        <v>46259.0</v>
      </c>
      <c r="B54" s="195"/>
      <c r="C54" s="195"/>
      <c r="D54" s="195"/>
      <c r="E54" s="195"/>
      <c r="F54" s="195"/>
      <c r="G54" s="195"/>
      <c r="H54" s="195"/>
      <c r="I54" s="195"/>
      <c r="J54" s="2641">
        <f t="shared" si="4"/>
        <v>0</v>
      </c>
      <c r="K54" s="195"/>
      <c r="M54" s="633"/>
      <c r="N54" s="541"/>
      <c r="O54" s="541"/>
      <c r="P54" s="541"/>
      <c r="Q54" s="541"/>
      <c r="R54" s="541"/>
      <c r="S54" s="541"/>
    </row>
    <row r="55">
      <c r="A55" s="2687">
        <v>46260.0</v>
      </c>
      <c r="B55" s="195"/>
      <c r="C55" s="195"/>
      <c r="D55" s="195"/>
      <c r="E55" s="195"/>
      <c r="F55" s="195"/>
      <c r="G55" s="195"/>
      <c r="H55" s="195"/>
      <c r="I55" s="195"/>
      <c r="J55" s="2641">
        <f t="shared" si="4"/>
        <v>0</v>
      </c>
      <c r="K55" s="195"/>
      <c r="M55" s="633"/>
      <c r="N55" s="541"/>
      <c r="O55" s="541"/>
      <c r="P55" s="541"/>
      <c r="Q55" s="541"/>
      <c r="R55" s="541"/>
      <c r="S55" s="541"/>
    </row>
    <row r="56">
      <c r="A56" s="2687">
        <v>46261.0</v>
      </c>
      <c r="B56" s="195"/>
      <c r="C56" s="195"/>
      <c r="D56" s="195"/>
      <c r="E56" s="195"/>
      <c r="F56" s="195"/>
      <c r="G56" s="195"/>
      <c r="H56" s="195"/>
      <c r="I56" s="195"/>
      <c r="J56" s="2641">
        <f t="shared" si="4"/>
        <v>0</v>
      </c>
      <c r="K56" s="195"/>
      <c r="M56" s="633"/>
      <c r="N56" s="541"/>
      <c r="O56" s="541"/>
      <c r="P56" s="541"/>
      <c r="Q56" s="541"/>
      <c r="R56" s="541"/>
      <c r="S56" s="541"/>
    </row>
    <row r="57">
      <c r="A57" s="2687">
        <v>46262.0</v>
      </c>
      <c r="B57" s="195"/>
      <c r="C57" s="195"/>
      <c r="D57" s="195"/>
      <c r="E57" s="195"/>
      <c r="F57" s="195"/>
      <c r="G57" s="195"/>
      <c r="H57" s="195"/>
      <c r="I57" s="195"/>
      <c r="J57" s="2641">
        <f t="shared" si="4"/>
        <v>0</v>
      </c>
      <c r="K57" s="195"/>
      <c r="M57" s="633"/>
      <c r="N57" s="541"/>
      <c r="O57" s="541"/>
      <c r="P57" s="541"/>
      <c r="Q57" s="541"/>
      <c r="R57" s="541"/>
      <c r="S57" s="541"/>
    </row>
    <row r="58">
      <c r="A58" s="2687">
        <v>46263.0</v>
      </c>
      <c r="B58" s="195"/>
      <c r="C58" s="195"/>
      <c r="D58" s="195"/>
      <c r="E58" s="195"/>
      <c r="F58" s="195"/>
      <c r="G58" s="195"/>
      <c r="H58" s="195"/>
      <c r="I58" s="195"/>
      <c r="J58" s="2641">
        <f t="shared" si="4"/>
        <v>0</v>
      </c>
      <c r="K58" s="195"/>
      <c r="M58" s="633"/>
      <c r="N58" s="541"/>
      <c r="O58" s="541"/>
      <c r="P58" s="541"/>
      <c r="Q58" s="541"/>
      <c r="R58" s="541"/>
      <c r="S58" s="541"/>
    </row>
    <row r="59">
      <c r="A59" s="2687">
        <v>46264.0</v>
      </c>
      <c r="B59" s="195"/>
      <c r="C59" s="195"/>
      <c r="D59" s="195"/>
      <c r="E59" s="195"/>
      <c r="F59" s="195"/>
      <c r="G59" s="195"/>
      <c r="H59" s="195"/>
      <c r="I59" s="195"/>
      <c r="J59" s="2641">
        <f t="shared" si="4"/>
        <v>0</v>
      </c>
      <c r="K59" s="195"/>
      <c r="M59" s="633"/>
      <c r="N59" s="541"/>
      <c r="O59" s="541"/>
      <c r="P59" s="541"/>
      <c r="Q59" s="541"/>
      <c r="R59" s="541"/>
      <c r="S59" s="541"/>
    </row>
    <row r="60">
      <c r="A60" s="2687">
        <v>46265.0</v>
      </c>
      <c r="B60" s="195"/>
      <c r="C60" s="195"/>
      <c r="D60" s="195"/>
      <c r="E60" s="195"/>
      <c r="F60" s="195"/>
      <c r="G60" s="195"/>
      <c r="H60" s="195"/>
      <c r="I60" s="195"/>
      <c r="J60" s="2641">
        <f t="shared" si="4"/>
        <v>0</v>
      </c>
      <c r="K60" s="195"/>
      <c r="M60" s="633"/>
      <c r="N60" s="541"/>
      <c r="O60" s="541"/>
      <c r="P60" s="541"/>
      <c r="Q60" s="541"/>
      <c r="R60" s="541"/>
      <c r="S60" s="541"/>
    </row>
    <row r="61">
      <c r="A61" s="2687">
        <v>46266.0</v>
      </c>
      <c r="B61" s="195"/>
      <c r="C61" s="195"/>
      <c r="D61" s="195"/>
      <c r="E61" s="195"/>
      <c r="F61" s="195"/>
      <c r="G61" s="195"/>
      <c r="H61" s="195"/>
      <c r="I61" s="195"/>
      <c r="J61" s="2641">
        <f t="shared" si="4"/>
        <v>0</v>
      </c>
      <c r="K61" s="195"/>
      <c r="M61" s="633"/>
      <c r="N61" s="541"/>
      <c r="O61" s="541"/>
      <c r="P61" s="541"/>
      <c r="Q61" s="541"/>
      <c r="R61" s="541"/>
      <c r="S61" s="541"/>
    </row>
    <row r="62">
      <c r="A62" s="2687">
        <v>46267.0</v>
      </c>
      <c r="B62" s="195"/>
      <c r="C62" s="195"/>
      <c r="D62" s="195"/>
      <c r="E62" s="195"/>
      <c r="F62" s="195"/>
      <c r="G62" s="195"/>
      <c r="H62" s="195"/>
      <c r="I62" s="195"/>
      <c r="J62" s="2641">
        <f t="shared" si="4"/>
        <v>0</v>
      </c>
      <c r="K62" s="195"/>
      <c r="M62" s="633"/>
      <c r="N62" s="541"/>
      <c r="O62" s="541"/>
      <c r="P62" s="541"/>
      <c r="Q62" s="541"/>
      <c r="R62" s="541"/>
      <c r="S62" s="541"/>
    </row>
    <row r="63">
      <c r="A63" s="2687">
        <v>46268.0</v>
      </c>
      <c r="B63" s="195"/>
      <c r="C63" s="195"/>
      <c r="D63" s="195"/>
      <c r="E63" s="195"/>
      <c r="F63" s="195"/>
      <c r="G63" s="195"/>
      <c r="H63" s="195"/>
      <c r="I63" s="195"/>
      <c r="J63" s="2641">
        <f t="shared" si="4"/>
        <v>0</v>
      </c>
      <c r="K63" s="195"/>
      <c r="M63" s="633"/>
      <c r="N63" s="541"/>
      <c r="O63" s="541"/>
      <c r="P63" s="541"/>
      <c r="Q63" s="541"/>
      <c r="R63" s="541"/>
      <c r="S63" s="541"/>
    </row>
    <row r="64">
      <c r="A64" s="2687">
        <v>46269.0</v>
      </c>
      <c r="B64" s="195"/>
      <c r="C64" s="195"/>
      <c r="D64" s="195"/>
      <c r="E64" s="195"/>
      <c r="F64" s="195"/>
      <c r="G64" s="195"/>
      <c r="H64" s="195"/>
      <c r="I64" s="195"/>
      <c r="J64" s="2641">
        <f t="shared" si="4"/>
        <v>0</v>
      </c>
      <c r="K64" s="195"/>
      <c r="M64" s="633"/>
      <c r="N64" s="541"/>
      <c r="O64" s="541"/>
      <c r="P64" s="541"/>
      <c r="Q64" s="541"/>
      <c r="R64" s="541"/>
      <c r="S64" s="541"/>
    </row>
    <row r="65">
      <c r="A65" s="2687">
        <v>46270.0</v>
      </c>
      <c r="B65" s="195"/>
      <c r="C65" s="195"/>
      <c r="D65" s="195"/>
      <c r="E65" s="195"/>
      <c r="F65" s="195"/>
      <c r="G65" s="195"/>
      <c r="H65" s="195"/>
      <c r="I65" s="195"/>
      <c r="J65" s="2641">
        <f t="shared" si="4"/>
        <v>0</v>
      </c>
      <c r="K65" s="195"/>
      <c r="M65" s="633"/>
      <c r="N65" s="541"/>
      <c r="O65" s="541"/>
      <c r="P65" s="541"/>
      <c r="Q65" s="541"/>
      <c r="R65" s="541"/>
      <c r="S65" s="541"/>
    </row>
    <row r="66">
      <c r="A66" s="2687">
        <v>46271.0</v>
      </c>
      <c r="B66" s="195"/>
      <c r="C66" s="195"/>
      <c r="D66" s="195"/>
      <c r="E66" s="195"/>
      <c r="F66" s="195"/>
      <c r="G66" s="195"/>
      <c r="H66" s="195"/>
      <c r="I66" s="195"/>
      <c r="J66" s="2641">
        <f t="shared" si="4"/>
        <v>0</v>
      </c>
      <c r="K66" s="195"/>
      <c r="M66" s="633"/>
      <c r="N66" s="541"/>
      <c r="O66" s="541"/>
      <c r="P66" s="541"/>
      <c r="Q66" s="541"/>
      <c r="R66" s="541"/>
      <c r="S66" s="541"/>
    </row>
    <row r="67">
      <c r="A67" s="2687">
        <v>46272.0</v>
      </c>
      <c r="B67" s="195"/>
      <c r="C67" s="195"/>
      <c r="D67" s="195"/>
      <c r="E67" s="195"/>
      <c r="F67" s="195"/>
      <c r="G67" s="195"/>
      <c r="H67" s="195"/>
      <c r="I67" s="195"/>
      <c r="J67" s="2641">
        <f t="shared" si="4"/>
        <v>0</v>
      </c>
      <c r="K67" s="195"/>
      <c r="M67" s="633"/>
      <c r="N67" s="541"/>
      <c r="O67" s="541"/>
      <c r="P67" s="541"/>
      <c r="Q67" s="541"/>
      <c r="R67" s="541"/>
      <c r="S67" s="541"/>
    </row>
    <row r="68">
      <c r="A68" s="2687">
        <v>46273.0</v>
      </c>
      <c r="B68" s="195"/>
      <c r="C68" s="195"/>
      <c r="D68" s="195"/>
      <c r="E68" s="195"/>
      <c r="F68" s="195"/>
      <c r="G68" s="195"/>
      <c r="H68" s="195"/>
      <c r="I68" s="195"/>
      <c r="J68" s="2641">
        <f t="shared" si="4"/>
        <v>0</v>
      </c>
      <c r="K68" s="195"/>
      <c r="M68" s="633"/>
      <c r="N68" s="541"/>
      <c r="O68" s="541"/>
      <c r="P68" s="541"/>
      <c r="Q68" s="541"/>
      <c r="R68" s="541"/>
      <c r="S68" s="541"/>
    </row>
    <row r="69">
      <c r="A69" s="2687">
        <v>46274.0</v>
      </c>
      <c r="B69" s="195"/>
      <c r="C69" s="195"/>
      <c r="D69" s="195"/>
      <c r="E69" s="195"/>
      <c r="F69" s="195"/>
      <c r="G69" s="195"/>
      <c r="H69" s="195"/>
      <c r="I69" s="195"/>
      <c r="J69" s="2641">
        <f t="shared" si="4"/>
        <v>0</v>
      </c>
      <c r="K69" s="195"/>
      <c r="M69" s="633"/>
      <c r="N69" s="541"/>
      <c r="O69" s="541"/>
      <c r="P69" s="541"/>
      <c r="Q69" s="541"/>
      <c r="R69" s="541"/>
      <c r="S69" s="541"/>
    </row>
    <row r="70">
      <c r="A70" s="2687">
        <v>46275.0</v>
      </c>
      <c r="B70" s="195"/>
      <c r="C70" s="195"/>
      <c r="D70" s="195"/>
      <c r="E70" s="195"/>
      <c r="F70" s="195"/>
      <c r="G70" s="195"/>
      <c r="H70" s="195"/>
      <c r="I70" s="195"/>
      <c r="J70" s="2641">
        <f t="shared" si="4"/>
        <v>0</v>
      </c>
      <c r="K70" s="195"/>
      <c r="M70" s="633"/>
      <c r="N70" s="541"/>
      <c r="O70" s="541"/>
      <c r="P70" s="541"/>
      <c r="Q70" s="541"/>
      <c r="R70" s="541"/>
      <c r="S70" s="541"/>
    </row>
    <row r="71">
      <c r="A71" s="2687">
        <v>46276.0</v>
      </c>
      <c r="B71" s="195"/>
      <c r="C71" s="195"/>
      <c r="D71" s="195"/>
      <c r="E71" s="195"/>
      <c r="F71" s="195"/>
      <c r="G71" s="195"/>
      <c r="H71" s="195"/>
      <c r="I71" s="195"/>
      <c r="J71" s="2641">
        <f t="shared" si="4"/>
        <v>0</v>
      </c>
      <c r="K71" s="195"/>
      <c r="M71" s="633"/>
      <c r="N71" s="541"/>
      <c r="O71" s="541"/>
      <c r="P71" s="541"/>
      <c r="Q71" s="541"/>
      <c r="R71" s="541"/>
      <c r="S71" s="541"/>
    </row>
    <row r="72">
      <c r="A72" s="2687">
        <v>46277.0</v>
      </c>
      <c r="B72" s="195"/>
      <c r="C72" s="195"/>
      <c r="D72" s="195"/>
      <c r="E72" s="195"/>
      <c r="F72" s="195"/>
      <c r="G72" s="195"/>
      <c r="H72" s="195"/>
      <c r="I72" s="195"/>
      <c r="J72" s="2641">
        <f t="shared" si="4"/>
        <v>0</v>
      </c>
      <c r="K72" s="195"/>
      <c r="M72" s="633"/>
      <c r="N72" s="541"/>
      <c r="O72" s="541"/>
      <c r="P72" s="541"/>
      <c r="Q72" s="541"/>
      <c r="R72" s="541"/>
      <c r="S72" s="541"/>
    </row>
    <row r="73">
      <c r="A73" s="2687">
        <v>46278.0</v>
      </c>
      <c r="B73" s="195"/>
      <c r="C73" s="195"/>
      <c r="D73" s="195"/>
      <c r="E73" s="195"/>
      <c r="F73" s="195"/>
      <c r="G73" s="195"/>
      <c r="H73" s="195"/>
      <c r="I73" s="195"/>
      <c r="J73" s="2641">
        <f t="shared" si="4"/>
        <v>0</v>
      </c>
      <c r="K73" s="195"/>
      <c r="M73" s="633"/>
      <c r="N73" s="541"/>
      <c r="O73" s="541"/>
      <c r="P73" s="541"/>
      <c r="Q73" s="541"/>
      <c r="R73" s="541"/>
      <c r="S73" s="541"/>
    </row>
    <row r="74">
      <c r="A74" s="2687">
        <v>46279.0</v>
      </c>
      <c r="B74" s="195"/>
      <c r="C74" s="195"/>
      <c r="D74" s="195"/>
      <c r="E74" s="195"/>
      <c r="F74" s="195"/>
      <c r="G74" s="195"/>
      <c r="H74" s="195"/>
      <c r="I74" s="195"/>
      <c r="J74" s="2641">
        <f t="shared" si="4"/>
        <v>0</v>
      </c>
      <c r="K74" s="195"/>
      <c r="M74" s="633"/>
      <c r="N74" s="541"/>
      <c r="O74" s="541"/>
      <c r="P74" s="541"/>
      <c r="Q74" s="541"/>
      <c r="R74" s="541"/>
      <c r="S74" s="541"/>
    </row>
    <row r="75">
      <c r="A75" s="2687">
        <v>46280.0</v>
      </c>
      <c r="B75" s="195"/>
      <c r="C75" s="195"/>
      <c r="D75" s="195"/>
      <c r="E75" s="195"/>
      <c r="F75" s="195"/>
      <c r="G75" s="195"/>
      <c r="H75" s="195"/>
      <c r="I75" s="195"/>
      <c r="J75" s="2641">
        <f t="shared" si="4"/>
        <v>0</v>
      </c>
      <c r="K75" s="195"/>
      <c r="M75" s="633"/>
      <c r="N75" s="541"/>
      <c r="O75" s="541"/>
      <c r="P75" s="541"/>
      <c r="Q75" s="541"/>
      <c r="R75" s="541"/>
      <c r="S75" s="541"/>
    </row>
    <row r="76">
      <c r="A76" s="2687">
        <v>46281.0</v>
      </c>
      <c r="B76" s="195"/>
      <c r="C76" s="195"/>
      <c r="D76" s="195"/>
      <c r="E76" s="195"/>
      <c r="F76" s="195"/>
      <c r="G76" s="195"/>
      <c r="H76" s="195"/>
      <c r="I76" s="195"/>
      <c r="J76" s="2641">
        <f t="shared" si="4"/>
        <v>0</v>
      </c>
      <c r="K76" s="195"/>
      <c r="M76" s="633"/>
      <c r="N76" s="541"/>
      <c r="O76" s="541"/>
      <c r="P76" s="541"/>
      <c r="Q76" s="541"/>
      <c r="R76" s="541"/>
      <c r="S76" s="541"/>
    </row>
    <row r="77">
      <c r="A77" s="2687">
        <v>46282.0</v>
      </c>
      <c r="B77" s="195"/>
      <c r="C77" s="195"/>
      <c r="D77" s="195"/>
      <c r="E77" s="195"/>
      <c r="F77" s="195"/>
      <c r="G77" s="195"/>
      <c r="H77" s="195"/>
      <c r="I77" s="195"/>
      <c r="J77" s="2641">
        <f t="shared" si="4"/>
        <v>0</v>
      </c>
      <c r="K77" s="195"/>
      <c r="M77" s="633"/>
      <c r="N77" s="541"/>
      <c r="O77" s="541"/>
      <c r="P77" s="541"/>
      <c r="Q77" s="541"/>
      <c r="R77" s="541"/>
      <c r="S77" s="541"/>
    </row>
    <row r="78">
      <c r="A78" s="2687">
        <v>46283.0</v>
      </c>
      <c r="B78" s="195"/>
      <c r="C78" s="195"/>
      <c r="D78" s="195"/>
      <c r="E78" s="195"/>
      <c r="F78" s="195"/>
      <c r="G78" s="195"/>
      <c r="H78" s="195"/>
      <c r="I78" s="195"/>
      <c r="J78" s="2641">
        <f t="shared" si="4"/>
        <v>0</v>
      </c>
      <c r="K78" s="195"/>
      <c r="M78" s="633"/>
      <c r="N78" s="541"/>
      <c r="O78" s="541"/>
      <c r="P78" s="541"/>
      <c r="Q78" s="541"/>
      <c r="R78" s="541"/>
      <c r="S78" s="541"/>
    </row>
    <row r="79">
      <c r="A79" s="2687">
        <v>46284.0</v>
      </c>
      <c r="B79" s="195"/>
      <c r="C79" s="195"/>
      <c r="D79" s="195"/>
      <c r="E79" s="195"/>
      <c r="F79" s="195"/>
      <c r="G79" s="195"/>
      <c r="H79" s="195"/>
      <c r="I79" s="195"/>
      <c r="J79" s="2641">
        <f t="shared" si="4"/>
        <v>0</v>
      </c>
      <c r="K79" s="195"/>
      <c r="M79" s="633"/>
      <c r="N79" s="541"/>
      <c r="O79" s="541"/>
      <c r="P79" s="541"/>
      <c r="Q79" s="541"/>
      <c r="R79" s="541"/>
      <c r="S79" s="541"/>
    </row>
    <row r="80">
      <c r="A80" s="2687">
        <v>46285.0</v>
      </c>
      <c r="B80" s="195"/>
      <c r="C80" s="195"/>
      <c r="D80" s="195"/>
      <c r="E80" s="195"/>
      <c r="F80" s="195"/>
      <c r="G80" s="195"/>
      <c r="H80" s="195"/>
      <c r="I80" s="195"/>
      <c r="J80" s="2641">
        <f t="shared" si="4"/>
        <v>0</v>
      </c>
      <c r="K80" s="195"/>
      <c r="M80" s="633"/>
      <c r="N80" s="541"/>
      <c r="O80" s="541"/>
      <c r="P80" s="541"/>
      <c r="Q80" s="541"/>
      <c r="R80" s="541"/>
      <c r="S80" s="541"/>
    </row>
    <row r="81">
      <c r="A81" s="2687">
        <v>46286.0</v>
      </c>
      <c r="B81" s="195"/>
      <c r="C81" s="195"/>
      <c r="D81" s="195"/>
      <c r="E81" s="195"/>
      <c r="F81" s="195"/>
      <c r="G81" s="195"/>
      <c r="H81" s="195"/>
      <c r="I81" s="195"/>
      <c r="J81" s="2641">
        <f t="shared" si="4"/>
        <v>0</v>
      </c>
      <c r="K81" s="195"/>
      <c r="M81" s="633"/>
      <c r="N81" s="541"/>
      <c r="O81" s="541"/>
      <c r="P81" s="541"/>
      <c r="Q81" s="541"/>
      <c r="R81" s="541"/>
      <c r="S81" s="541"/>
    </row>
    <row r="82">
      <c r="A82" s="2687">
        <v>46287.0</v>
      </c>
      <c r="B82" s="195"/>
      <c r="C82" s="195"/>
      <c r="D82" s="195"/>
      <c r="E82" s="195"/>
      <c r="F82" s="195"/>
      <c r="G82" s="195"/>
      <c r="H82" s="195"/>
      <c r="I82" s="195"/>
      <c r="J82" s="2641">
        <f t="shared" si="4"/>
        <v>0</v>
      </c>
      <c r="K82" s="195"/>
      <c r="M82" s="633"/>
      <c r="N82" s="541"/>
      <c r="O82" s="541"/>
      <c r="P82" s="541"/>
      <c r="Q82" s="541"/>
      <c r="R82" s="541"/>
      <c r="S82" s="541"/>
    </row>
    <row r="83">
      <c r="A83" s="2687">
        <v>46288.0</v>
      </c>
      <c r="B83" s="195"/>
      <c r="C83" s="195"/>
      <c r="D83" s="195"/>
      <c r="E83" s="195"/>
      <c r="F83" s="195"/>
      <c r="G83" s="195"/>
      <c r="H83" s="195"/>
      <c r="I83" s="195"/>
      <c r="J83" s="2641">
        <f t="shared" si="4"/>
        <v>0</v>
      </c>
      <c r="K83" s="195"/>
      <c r="M83" s="633"/>
      <c r="N83" s="541"/>
      <c r="O83" s="541"/>
      <c r="P83" s="541"/>
      <c r="Q83" s="541"/>
      <c r="R83" s="541"/>
      <c r="S83" s="541"/>
    </row>
    <row r="84">
      <c r="A84" s="2687">
        <v>46289.0</v>
      </c>
      <c r="B84" s="195"/>
      <c r="C84" s="195"/>
      <c r="D84" s="195"/>
      <c r="E84" s="195"/>
      <c r="F84" s="195"/>
      <c r="G84" s="195"/>
      <c r="H84" s="195"/>
      <c r="I84" s="195"/>
      <c r="J84" s="2641">
        <f t="shared" si="4"/>
        <v>0</v>
      </c>
      <c r="K84" s="195"/>
      <c r="M84" s="633"/>
      <c r="N84" s="541"/>
      <c r="O84" s="541"/>
      <c r="P84" s="541"/>
      <c r="Q84" s="541"/>
      <c r="R84" s="541"/>
      <c r="S84" s="541"/>
    </row>
    <row r="85">
      <c r="A85" s="2687">
        <v>46290.0</v>
      </c>
      <c r="B85" s="195"/>
      <c r="C85" s="195"/>
      <c r="D85" s="195"/>
      <c r="E85" s="195"/>
      <c r="F85" s="195"/>
      <c r="G85" s="195"/>
      <c r="H85" s="195"/>
      <c r="I85" s="195"/>
      <c r="J85" s="2641">
        <f t="shared" si="4"/>
        <v>0</v>
      </c>
      <c r="K85" s="195"/>
      <c r="M85" s="633"/>
      <c r="N85" s="541"/>
      <c r="O85" s="541"/>
      <c r="P85" s="541"/>
      <c r="Q85" s="541"/>
      <c r="R85" s="541"/>
      <c r="S85" s="541"/>
    </row>
    <row r="86">
      <c r="A86" s="2687">
        <v>46291.0</v>
      </c>
      <c r="B86" s="195"/>
      <c r="C86" s="195"/>
      <c r="D86" s="195"/>
      <c r="E86" s="195"/>
      <c r="F86" s="195"/>
      <c r="G86" s="195"/>
      <c r="H86" s="195"/>
      <c r="I86" s="195"/>
      <c r="J86" s="2641">
        <f t="shared" si="4"/>
        <v>0</v>
      </c>
      <c r="K86" s="195"/>
      <c r="M86" s="633"/>
      <c r="N86" s="541"/>
      <c r="O86" s="541"/>
      <c r="P86" s="541"/>
      <c r="Q86" s="541"/>
      <c r="R86" s="541"/>
      <c r="S86" s="541"/>
    </row>
    <row r="87">
      <c r="A87" s="2687">
        <v>46292.0</v>
      </c>
      <c r="B87" s="195"/>
      <c r="C87" s="195"/>
      <c r="D87" s="195"/>
      <c r="E87" s="195"/>
      <c r="F87" s="195"/>
      <c r="G87" s="195"/>
      <c r="H87" s="195"/>
      <c r="I87" s="195"/>
      <c r="J87" s="2641">
        <f t="shared" si="4"/>
        <v>0</v>
      </c>
      <c r="K87" s="195"/>
      <c r="M87" s="633"/>
      <c r="N87" s="541"/>
      <c r="O87" s="541"/>
      <c r="P87" s="541"/>
      <c r="Q87" s="541"/>
      <c r="R87" s="541"/>
      <c r="S87" s="541"/>
    </row>
    <row r="88">
      <c r="A88" s="2687">
        <v>46293.0</v>
      </c>
      <c r="B88" s="195"/>
      <c r="C88" s="195"/>
      <c r="D88" s="195"/>
      <c r="E88" s="195"/>
      <c r="F88" s="195"/>
      <c r="G88" s="195"/>
      <c r="H88" s="195"/>
      <c r="I88" s="195"/>
      <c r="J88" s="2641">
        <f t="shared" si="4"/>
        <v>0</v>
      </c>
      <c r="K88" s="195"/>
      <c r="M88" s="633"/>
      <c r="N88" s="541"/>
      <c r="O88" s="541"/>
      <c r="P88" s="541"/>
      <c r="Q88" s="541"/>
      <c r="R88" s="541"/>
      <c r="S88" s="541"/>
    </row>
    <row r="89">
      <c r="A89" s="2687">
        <v>46294.0</v>
      </c>
      <c r="B89" s="195"/>
      <c r="C89" s="195"/>
      <c r="D89" s="195"/>
      <c r="E89" s="195"/>
      <c r="F89" s="195"/>
      <c r="G89" s="195"/>
      <c r="H89" s="195"/>
      <c r="I89" s="195"/>
      <c r="J89" s="2641">
        <f t="shared" si="4"/>
        <v>0</v>
      </c>
      <c r="K89" s="195"/>
      <c r="M89" s="633"/>
      <c r="N89" s="541"/>
      <c r="O89" s="541"/>
      <c r="P89" s="541"/>
      <c r="Q89" s="541"/>
      <c r="R89" s="541"/>
      <c r="S89" s="541"/>
    </row>
    <row r="90">
      <c r="A90" s="2687">
        <v>46295.0</v>
      </c>
      <c r="B90" s="195"/>
      <c r="C90" s="195"/>
      <c r="D90" s="195"/>
      <c r="E90" s="195"/>
      <c r="F90" s="195"/>
      <c r="G90" s="195"/>
      <c r="H90" s="195"/>
      <c r="I90" s="195"/>
      <c r="J90" s="2641">
        <f t="shared" si="4"/>
        <v>0</v>
      </c>
      <c r="K90" s="195"/>
      <c r="M90" s="633"/>
      <c r="N90" s="541"/>
      <c r="O90" s="541"/>
      <c r="P90" s="541"/>
      <c r="Q90" s="541"/>
      <c r="R90" s="541"/>
      <c r="S90" s="541"/>
    </row>
    <row r="91">
      <c r="A91" s="2687">
        <v>46296.0</v>
      </c>
      <c r="B91" s="195"/>
      <c r="C91" s="195"/>
      <c r="D91" s="195"/>
      <c r="E91" s="195"/>
      <c r="F91" s="195"/>
      <c r="G91" s="195"/>
      <c r="H91" s="195"/>
      <c r="I91" s="195"/>
      <c r="J91" s="2641">
        <f t="shared" si="4"/>
        <v>0</v>
      </c>
      <c r="K91" s="195"/>
      <c r="M91" s="633"/>
      <c r="N91" s="541"/>
      <c r="O91" s="541"/>
      <c r="P91" s="541"/>
      <c r="Q91" s="541"/>
      <c r="R91" s="541"/>
      <c r="S91" s="541"/>
    </row>
    <row r="92">
      <c r="A92" s="2687">
        <v>46297.0</v>
      </c>
      <c r="B92" s="195"/>
      <c r="C92" s="195"/>
      <c r="D92" s="195"/>
      <c r="E92" s="195"/>
      <c r="F92" s="195"/>
      <c r="G92" s="195"/>
      <c r="H92" s="195"/>
      <c r="I92" s="195"/>
      <c r="J92" s="2641">
        <f t="shared" si="4"/>
        <v>0</v>
      </c>
      <c r="K92" s="195"/>
      <c r="M92" s="633"/>
      <c r="N92" s="541"/>
      <c r="O92" s="541"/>
      <c r="P92" s="541"/>
      <c r="Q92" s="541"/>
      <c r="R92" s="541"/>
      <c r="S92" s="541"/>
    </row>
    <row r="93">
      <c r="A93" s="2687">
        <v>46298.0</v>
      </c>
      <c r="B93" s="195"/>
      <c r="C93" s="195"/>
      <c r="D93" s="195"/>
      <c r="E93" s="195"/>
      <c r="F93" s="195"/>
      <c r="G93" s="195"/>
      <c r="H93" s="195"/>
      <c r="I93" s="195"/>
      <c r="J93" s="2641">
        <f t="shared" si="4"/>
        <v>0</v>
      </c>
      <c r="K93" s="195"/>
      <c r="M93" s="633"/>
      <c r="N93" s="541"/>
      <c r="O93" s="541"/>
      <c r="P93" s="541"/>
      <c r="Q93" s="541"/>
      <c r="R93" s="541"/>
      <c r="S93" s="541"/>
    </row>
    <row r="94">
      <c r="A94" s="2687">
        <v>46299.0</v>
      </c>
      <c r="B94" s="195"/>
      <c r="C94" s="195"/>
      <c r="D94" s="195"/>
      <c r="E94" s="195"/>
      <c r="F94" s="195"/>
      <c r="G94" s="195"/>
      <c r="H94" s="195"/>
      <c r="I94" s="195"/>
      <c r="J94" s="2641">
        <f t="shared" si="4"/>
        <v>0</v>
      </c>
      <c r="K94" s="195"/>
      <c r="M94" s="633"/>
      <c r="N94" s="541"/>
      <c r="O94" s="541"/>
      <c r="P94" s="541"/>
      <c r="Q94" s="541"/>
      <c r="R94" s="541"/>
      <c r="S94" s="541"/>
    </row>
    <row r="95">
      <c r="A95" s="2687">
        <v>46300.0</v>
      </c>
      <c r="B95" s="195"/>
      <c r="C95" s="195"/>
      <c r="D95" s="195"/>
      <c r="E95" s="195"/>
      <c r="F95" s="195"/>
      <c r="G95" s="195"/>
      <c r="H95" s="195"/>
      <c r="I95" s="195"/>
      <c r="J95" s="2641">
        <f t="shared" si="4"/>
        <v>0</v>
      </c>
      <c r="K95" s="195"/>
      <c r="M95" s="633"/>
      <c r="N95" s="541"/>
      <c r="O95" s="541"/>
      <c r="P95" s="541"/>
      <c r="Q95" s="541"/>
      <c r="R95" s="541"/>
      <c r="S95" s="541"/>
    </row>
    <row r="96">
      <c r="A96" s="2687">
        <v>46301.0</v>
      </c>
      <c r="B96" s="195"/>
      <c r="C96" s="195"/>
      <c r="D96" s="195"/>
      <c r="E96" s="195"/>
      <c r="F96" s="195"/>
      <c r="G96" s="195"/>
      <c r="H96" s="195"/>
      <c r="I96" s="195"/>
      <c r="J96" s="2641">
        <f t="shared" si="4"/>
        <v>0</v>
      </c>
      <c r="K96" s="195"/>
      <c r="M96" s="633"/>
      <c r="N96" s="541"/>
      <c r="O96" s="541"/>
      <c r="P96" s="541"/>
      <c r="Q96" s="541"/>
      <c r="R96" s="541"/>
      <c r="S96" s="541"/>
    </row>
    <row r="97">
      <c r="A97" s="2687">
        <v>46302.0</v>
      </c>
      <c r="B97" s="195"/>
      <c r="C97" s="195"/>
      <c r="D97" s="195"/>
      <c r="E97" s="195"/>
      <c r="F97" s="195"/>
      <c r="G97" s="195"/>
      <c r="H97" s="195"/>
      <c r="I97" s="195"/>
      <c r="J97" s="2641">
        <f t="shared" si="4"/>
        <v>0</v>
      </c>
      <c r="K97" s="195"/>
      <c r="M97" s="633"/>
      <c r="N97" s="541"/>
      <c r="O97" s="541"/>
      <c r="P97" s="541"/>
      <c r="Q97" s="541"/>
      <c r="R97" s="541"/>
      <c r="S97" s="541"/>
    </row>
    <row r="98">
      <c r="A98" s="2687">
        <v>46303.0</v>
      </c>
      <c r="B98" s="195"/>
      <c r="C98" s="195"/>
      <c r="D98" s="195"/>
      <c r="E98" s="195"/>
      <c r="F98" s="195"/>
      <c r="G98" s="195"/>
      <c r="H98" s="195"/>
      <c r="I98" s="195"/>
      <c r="J98" s="2641">
        <f t="shared" si="4"/>
        <v>0</v>
      </c>
      <c r="K98" s="195"/>
      <c r="M98" s="633"/>
      <c r="N98" s="541"/>
      <c r="O98" s="541"/>
      <c r="P98" s="541"/>
      <c r="Q98" s="541"/>
      <c r="R98" s="541"/>
      <c r="S98" s="541"/>
    </row>
    <row r="99">
      <c r="A99" s="2687">
        <v>46304.0</v>
      </c>
      <c r="B99" s="195"/>
      <c r="C99" s="195"/>
      <c r="D99" s="195"/>
      <c r="E99" s="195"/>
      <c r="F99" s="195"/>
      <c r="G99" s="195"/>
      <c r="H99" s="195"/>
      <c r="I99" s="195"/>
      <c r="J99" s="2641">
        <f t="shared" si="4"/>
        <v>0</v>
      </c>
      <c r="K99" s="195"/>
      <c r="M99" s="633"/>
      <c r="N99" s="541"/>
      <c r="O99" s="541"/>
      <c r="P99" s="541"/>
      <c r="Q99" s="541"/>
      <c r="R99" s="541"/>
      <c r="S99" s="541"/>
    </row>
    <row r="100">
      <c r="A100" s="2687">
        <v>46305.0</v>
      </c>
      <c r="B100" s="195"/>
      <c r="C100" s="195"/>
      <c r="D100" s="195"/>
      <c r="E100" s="195"/>
      <c r="F100" s="195"/>
      <c r="G100" s="195"/>
      <c r="H100" s="195"/>
      <c r="I100" s="195"/>
      <c r="J100" s="2641">
        <f t="shared" si="4"/>
        <v>0</v>
      </c>
      <c r="K100" s="195"/>
      <c r="M100" s="633"/>
      <c r="N100" s="541"/>
      <c r="O100" s="541"/>
      <c r="P100" s="541"/>
      <c r="Q100" s="541"/>
      <c r="R100" s="541"/>
      <c r="S100" s="541"/>
    </row>
    <row r="101">
      <c r="A101" s="2687">
        <v>46306.0</v>
      </c>
      <c r="B101" s="195"/>
      <c r="C101" s="195"/>
      <c r="D101" s="195"/>
      <c r="E101" s="195"/>
      <c r="F101" s="195"/>
      <c r="G101" s="195"/>
      <c r="H101" s="195"/>
      <c r="I101" s="195"/>
      <c r="J101" s="2641">
        <f t="shared" si="4"/>
        <v>0</v>
      </c>
      <c r="K101" s="195"/>
      <c r="M101" s="633"/>
      <c r="N101" s="541"/>
      <c r="O101" s="541"/>
      <c r="P101" s="541"/>
      <c r="Q101" s="541"/>
      <c r="R101" s="541"/>
      <c r="S101" s="541"/>
    </row>
    <row r="102">
      <c r="A102" s="2687">
        <v>46307.0</v>
      </c>
      <c r="B102" s="195"/>
      <c r="C102" s="195"/>
      <c r="D102" s="195"/>
      <c r="E102" s="195"/>
      <c r="F102" s="195"/>
      <c r="G102" s="195"/>
      <c r="H102" s="195"/>
      <c r="I102" s="195"/>
      <c r="J102" s="2641">
        <f t="shared" si="4"/>
        <v>0</v>
      </c>
      <c r="K102" s="195"/>
      <c r="M102" s="633"/>
      <c r="N102" s="541"/>
      <c r="O102" s="541"/>
      <c r="P102" s="541"/>
      <c r="Q102" s="541"/>
      <c r="R102" s="541"/>
      <c r="S102" s="541"/>
    </row>
    <row r="103">
      <c r="A103" s="2687">
        <v>46308.0</v>
      </c>
      <c r="B103" s="195"/>
      <c r="C103" s="195"/>
      <c r="D103" s="195"/>
      <c r="E103" s="195"/>
      <c r="F103" s="195"/>
      <c r="G103" s="195"/>
      <c r="H103" s="195"/>
      <c r="I103" s="195"/>
      <c r="J103" s="2641">
        <f t="shared" si="4"/>
        <v>0</v>
      </c>
      <c r="K103" s="195"/>
      <c r="M103" s="633"/>
      <c r="N103" s="541"/>
      <c r="O103" s="541"/>
      <c r="P103" s="541"/>
      <c r="Q103" s="541"/>
      <c r="R103" s="541"/>
      <c r="S103" s="541"/>
    </row>
    <row r="104">
      <c r="A104" s="2687">
        <v>46309.0</v>
      </c>
      <c r="B104" s="195"/>
      <c r="C104" s="195"/>
      <c r="D104" s="195"/>
      <c r="E104" s="195"/>
      <c r="F104" s="195"/>
      <c r="G104" s="195"/>
      <c r="H104" s="195"/>
      <c r="I104" s="195"/>
      <c r="J104" s="2641">
        <f t="shared" si="4"/>
        <v>0</v>
      </c>
      <c r="K104" s="195"/>
      <c r="M104" s="633"/>
      <c r="N104" s="541"/>
      <c r="O104" s="541"/>
      <c r="P104" s="541"/>
      <c r="Q104" s="541"/>
      <c r="R104" s="541"/>
      <c r="S104" s="541"/>
    </row>
    <row r="105">
      <c r="A105" s="2687">
        <v>46310.0</v>
      </c>
      <c r="B105" s="195"/>
      <c r="C105" s="195"/>
      <c r="D105" s="195"/>
      <c r="E105" s="195"/>
      <c r="F105" s="195"/>
      <c r="G105" s="195"/>
      <c r="H105" s="195"/>
      <c r="I105" s="195"/>
      <c r="J105" s="2641">
        <f t="shared" si="4"/>
        <v>0</v>
      </c>
      <c r="K105" s="195"/>
      <c r="M105" s="633"/>
      <c r="N105" s="541"/>
      <c r="O105" s="541"/>
      <c r="P105" s="541"/>
      <c r="Q105" s="541"/>
      <c r="R105" s="541"/>
      <c r="S105" s="541"/>
    </row>
    <row r="106">
      <c r="A106" s="2687">
        <v>46311.0</v>
      </c>
      <c r="B106" s="195"/>
      <c r="C106" s="195"/>
      <c r="D106" s="195"/>
      <c r="E106" s="195"/>
      <c r="F106" s="195"/>
      <c r="G106" s="195"/>
      <c r="H106" s="195"/>
      <c r="I106" s="195"/>
      <c r="J106" s="2641">
        <f t="shared" si="4"/>
        <v>0</v>
      </c>
      <c r="K106" s="195"/>
      <c r="M106" s="633"/>
      <c r="N106" s="541"/>
      <c r="O106" s="541"/>
      <c r="P106" s="541"/>
      <c r="Q106" s="541"/>
      <c r="R106" s="541"/>
      <c r="S106" s="541"/>
    </row>
    <row r="107">
      <c r="A107" s="2687">
        <v>46311.0</v>
      </c>
      <c r="B107" s="195"/>
      <c r="C107" s="195"/>
      <c r="D107" s="195"/>
      <c r="E107" s="195"/>
      <c r="F107" s="195"/>
      <c r="G107" s="195"/>
      <c r="H107" s="195"/>
      <c r="I107" s="195"/>
      <c r="J107" s="2641">
        <f t="shared" si="4"/>
        <v>0</v>
      </c>
      <c r="K107" s="195"/>
      <c r="M107" s="633"/>
      <c r="N107" s="541"/>
      <c r="O107" s="541"/>
      <c r="P107" s="541"/>
      <c r="Q107" s="541"/>
      <c r="R107" s="541"/>
      <c r="S107" s="541"/>
    </row>
    <row r="108">
      <c r="A108" s="2687">
        <v>46312.0</v>
      </c>
      <c r="B108" s="195"/>
      <c r="C108" s="195"/>
      <c r="D108" s="195"/>
      <c r="E108" s="195"/>
      <c r="F108" s="195"/>
      <c r="G108" s="195"/>
      <c r="H108" s="195"/>
      <c r="I108" s="195"/>
      <c r="J108" s="2641">
        <f t="shared" si="4"/>
        <v>0</v>
      </c>
      <c r="K108" s="195"/>
      <c r="M108" s="633"/>
      <c r="N108" s="541"/>
      <c r="O108" s="541"/>
      <c r="P108" s="541"/>
      <c r="Q108" s="541"/>
      <c r="R108" s="541"/>
      <c r="S108" s="541"/>
    </row>
    <row r="109">
      <c r="A109" s="2687">
        <v>46313.0</v>
      </c>
      <c r="B109" s="195"/>
      <c r="C109" s="195"/>
      <c r="D109" s="195"/>
      <c r="E109" s="195"/>
      <c r="F109" s="195"/>
      <c r="G109" s="195"/>
      <c r="H109" s="195"/>
      <c r="I109" s="195"/>
      <c r="J109" s="2641">
        <f t="shared" si="4"/>
        <v>0</v>
      </c>
      <c r="K109" s="195"/>
      <c r="M109" s="633"/>
      <c r="N109" s="541"/>
      <c r="O109" s="541"/>
      <c r="P109" s="541"/>
      <c r="Q109" s="541"/>
      <c r="R109" s="541"/>
      <c r="S109" s="541"/>
    </row>
    <row r="110">
      <c r="A110" s="2687">
        <v>46314.0</v>
      </c>
      <c r="B110" s="195"/>
      <c r="C110" s="195"/>
      <c r="D110" s="195"/>
      <c r="E110" s="195"/>
      <c r="F110" s="195"/>
      <c r="G110" s="195"/>
      <c r="H110" s="195"/>
      <c r="I110" s="195"/>
      <c r="J110" s="2641">
        <f t="shared" si="4"/>
        <v>0</v>
      </c>
      <c r="K110" s="195"/>
      <c r="M110" s="633"/>
      <c r="N110" s="541"/>
      <c r="O110" s="541"/>
      <c r="P110" s="541"/>
      <c r="Q110" s="541"/>
      <c r="R110" s="541"/>
      <c r="S110" s="541"/>
    </row>
    <row r="111">
      <c r="A111" s="2687">
        <v>46315.0</v>
      </c>
      <c r="B111" s="195"/>
      <c r="C111" s="195"/>
      <c r="D111" s="195"/>
      <c r="E111" s="195"/>
      <c r="F111" s="195"/>
      <c r="G111" s="195"/>
      <c r="H111" s="195"/>
      <c r="I111" s="195"/>
      <c r="J111" s="2641">
        <f t="shared" si="4"/>
        <v>0</v>
      </c>
      <c r="K111" s="195"/>
      <c r="M111" s="633"/>
      <c r="N111" s="541"/>
      <c r="O111" s="541"/>
      <c r="P111" s="541"/>
      <c r="Q111" s="541"/>
      <c r="R111" s="541"/>
      <c r="S111" s="541"/>
    </row>
    <row r="112">
      <c r="A112" s="2687">
        <v>46316.0</v>
      </c>
      <c r="B112" s="195"/>
      <c r="C112" s="195"/>
      <c r="D112" s="195"/>
      <c r="E112" s="195"/>
      <c r="F112" s="195"/>
      <c r="G112" s="195"/>
      <c r="H112" s="195"/>
      <c r="I112" s="195"/>
      <c r="J112" s="2641">
        <f t="shared" si="4"/>
        <v>0</v>
      </c>
      <c r="K112" s="195"/>
      <c r="M112" s="633"/>
      <c r="N112" s="541"/>
      <c r="O112" s="541"/>
      <c r="P112" s="541"/>
      <c r="Q112" s="541"/>
      <c r="R112" s="541"/>
      <c r="S112" s="541"/>
    </row>
    <row r="113">
      <c r="A113" s="2687">
        <v>46317.0</v>
      </c>
      <c r="B113" s="195"/>
      <c r="C113" s="195"/>
      <c r="D113" s="195"/>
      <c r="E113" s="195"/>
      <c r="F113" s="195"/>
      <c r="G113" s="195"/>
      <c r="H113" s="195"/>
      <c r="I113" s="195"/>
      <c r="J113" s="2641">
        <f t="shared" si="4"/>
        <v>0</v>
      </c>
      <c r="K113" s="195"/>
      <c r="M113" s="633"/>
      <c r="N113" s="541"/>
      <c r="O113" s="541"/>
      <c r="P113" s="541"/>
      <c r="Q113" s="541"/>
      <c r="R113" s="541"/>
      <c r="S113" s="541"/>
    </row>
    <row r="114">
      <c r="A114" s="2687">
        <v>46318.0</v>
      </c>
      <c r="B114" s="195"/>
      <c r="C114" s="195"/>
      <c r="D114" s="195"/>
      <c r="E114" s="195"/>
      <c r="F114" s="195"/>
      <c r="G114" s="195"/>
      <c r="H114" s="195"/>
      <c r="I114" s="195"/>
      <c r="J114" s="2641">
        <f t="shared" si="4"/>
        <v>0</v>
      </c>
      <c r="K114" s="195"/>
      <c r="M114" s="633"/>
      <c r="N114" s="541"/>
      <c r="O114" s="541"/>
      <c r="P114" s="541"/>
      <c r="Q114" s="541"/>
      <c r="R114" s="541"/>
      <c r="S114" s="541"/>
    </row>
    <row r="115">
      <c r="A115" s="2687">
        <v>46319.0</v>
      </c>
      <c r="B115" s="195"/>
      <c r="C115" s="195"/>
      <c r="D115" s="195"/>
      <c r="E115" s="195"/>
      <c r="F115" s="195"/>
      <c r="G115" s="195"/>
      <c r="H115" s="195"/>
      <c r="I115" s="195"/>
      <c r="J115" s="2641">
        <f t="shared" si="4"/>
        <v>0</v>
      </c>
      <c r="K115" s="195"/>
      <c r="M115" s="633"/>
      <c r="N115" s="541"/>
      <c r="O115" s="541"/>
      <c r="P115" s="541"/>
      <c r="Q115" s="541"/>
      <c r="R115" s="541"/>
      <c r="S115" s="541"/>
    </row>
    <row r="116">
      <c r="A116" s="2687">
        <v>46320.0</v>
      </c>
      <c r="B116" s="195"/>
      <c r="C116" s="195"/>
      <c r="D116" s="195"/>
      <c r="E116" s="195"/>
      <c r="F116" s="195"/>
      <c r="G116" s="195"/>
      <c r="H116" s="195"/>
      <c r="I116" s="195"/>
      <c r="J116" s="2641">
        <f t="shared" si="4"/>
        <v>0</v>
      </c>
      <c r="K116" s="195"/>
      <c r="M116" s="633"/>
      <c r="N116" s="541"/>
      <c r="O116" s="541"/>
      <c r="P116" s="541"/>
      <c r="Q116" s="541"/>
      <c r="R116" s="541"/>
      <c r="S116" s="541"/>
    </row>
    <row r="117">
      <c r="A117" s="2687">
        <v>46321.0</v>
      </c>
      <c r="B117" s="195"/>
      <c r="C117" s="195"/>
      <c r="D117" s="195"/>
      <c r="E117" s="195"/>
      <c r="F117" s="195"/>
      <c r="G117" s="195"/>
      <c r="H117" s="195"/>
      <c r="I117" s="195"/>
      <c r="J117" s="2641">
        <f t="shared" si="4"/>
        <v>0</v>
      </c>
      <c r="K117" s="195"/>
      <c r="M117" s="633"/>
      <c r="N117" s="541"/>
      <c r="O117" s="541"/>
      <c r="P117" s="541"/>
      <c r="Q117" s="541"/>
      <c r="R117" s="541"/>
      <c r="S117" s="541"/>
    </row>
    <row r="118">
      <c r="A118" s="2687">
        <v>46322.0</v>
      </c>
      <c r="B118" s="195"/>
      <c r="C118" s="195"/>
      <c r="D118" s="195"/>
      <c r="E118" s="195"/>
      <c r="F118" s="195"/>
      <c r="G118" s="195"/>
      <c r="H118" s="195"/>
      <c r="I118" s="195"/>
      <c r="J118" s="2641">
        <f t="shared" si="4"/>
        <v>0</v>
      </c>
      <c r="K118" s="195"/>
      <c r="M118" s="633"/>
      <c r="N118" s="541"/>
      <c r="O118" s="541"/>
      <c r="P118" s="541"/>
      <c r="Q118" s="541"/>
      <c r="R118" s="541"/>
      <c r="S118" s="541"/>
    </row>
    <row r="119">
      <c r="A119" s="2687">
        <v>46323.0</v>
      </c>
      <c r="B119" s="195"/>
      <c r="C119" s="195"/>
      <c r="D119" s="195"/>
      <c r="E119" s="195"/>
      <c r="F119" s="195"/>
      <c r="G119" s="195"/>
      <c r="H119" s="195"/>
      <c r="I119" s="195"/>
      <c r="J119" s="2641">
        <f t="shared" si="4"/>
        <v>0</v>
      </c>
      <c r="K119" s="195"/>
      <c r="M119" s="633"/>
      <c r="N119" s="541"/>
      <c r="O119" s="541"/>
      <c r="P119" s="541"/>
      <c r="Q119" s="541"/>
      <c r="R119" s="541"/>
      <c r="S119" s="541"/>
    </row>
    <row r="120">
      <c r="A120" s="2687">
        <v>46324.0</v>
      </c>
      <c r="B120" s="195"/>
      <c r="C120" s="195"/>
      <c r="D120" s="195"/>
      <c r="E120" s="195"/>
      <c r="F120" s="195"/>
      <c r="G120" s="195"/>
      <c r="H120" s="195"/>
      <c r="I120" s="195"/>
      <c r="J120" s="2641">
        <f t="shared" si="4"/>
        <v>0</v>
      </c>
      <c r="K120" s="195"/>
      <c r="M120" s="633"/>
      <c r="N120" s="541"/>
      <c r="O120" s="541"/>
      <c r="P120" s="541"/>
      <c r="Q120" s="541"/>
      <c r="R120" s="541"/>
      <c r="S120" s="541"/>
    </row>
    <row r="121">
      <c r="A121" s="2687">
        <v>46325.0</v>
      </c>
      <c r="B121" s="195"/>
      <c r="C121" s="195"/>
      <c r="D121" s="195"/>
      <c r="E121" s="195"/>
      <c r="F121" s="195"/>
      <c r="G121" s="195"/>
      <c r="H121" s="195"/>
      <c r="I121" s="195"/>
      <c r="J121" s="2641">
        <f t="shared" si="4"/>
        <v>0</v>
      </c>
      <c r="K121" s="195"/>
      <c r="M121" s="633"/>
      <c r="N121" s="541"/>
      <c r="O121" s="541"/>
      <c r="P121" s="541"/>
      <c r="Q121" s="541"/>
      <c r="R121" s="541"/>
      <c r="S121" s="541"/>
    </row>
    <row r="122">
      <c r="A122" s="2687">
        <v>46326.0</v>
      </c>
      <c r="B122" s="195"/>
      <c r="C122" s="195"/>
      <c r="D122" s="195"/>
      <c r="E122" s="195"/>
      <c r="F122" s="195"/>
      <c r="G122" s="195"/>
      <c r="H122" s="195"/>
      <c r="I122" s="195"/>
      <c r="J122" s="2641">
        <f t="shared" si="4"/>
        <v>0</v>
      </c>
      <c r="K122" s="195"/>
      <c r="M122" s="633"/>
      <c r="N122" s="541"/>
      <c r="O122" s="541"/>
      <c r="P122" s="541"/>
      <c r="Q122" s="541"/>
      <c r="R122" s="541"/>
      <c r="S122" s="541"/>
    </row>
    <row r="123">
      <c r="A123" s="2687">
        <v>46327.0</v>
      </c>
      <c r="B123" s="195"/>
      <c r="C123" s="195"/>
      <c r="D123" s="195"/>
      <c r="E123" s="195"/>
      <c r="F123" s="195"/>
      <c r="G123" s="195"/>
      <c r="H123" s="195"/>
      <c r="I123" s="195"/>
      <c r="J123" s="2641">
        <f t="shared" si="4"/>
        <v>0</v>
      </c>
      <c r="K123" s="195"/>
      <c r="M123" s="633"/>
      <c r="N123" s="541"/>
      <c r="O123" s="541"/>
      <c r="P123" s="541"/>
      <c r="Q123" s="541"/>
      <c r="R123" s="541"/>
      <c r="S123" s="541"/>
    </row>
    <row r="124">
      <c r="A124" s="2687">
        <v>46328.0</v>
      </c>
      <c r="B124" s="195"/>
      <c r="C124" s="195"/>
      <c r="D124" s="195"/>
      <c r="E124" s="195"/>
      <c r="F124" s="195"/>
      <c r="G124" s="195"/>
      <c r="H124" s="195"/>
      <c r="I124" s="195"/>
      <c r="J124" s="2641">
        <f t="shared" si="4"/>
        <v>0</v>
      </c>
      <c r="K124" s="195"/>
      <c r="M124" s="633"/>
      <c r="N124" s="541"/>
      <c r="O124" s="541"/>
      <c r="P124" s="541"/>
      <c r="Q124" s="541"/>
      <c r="R124" s="541"/>
      <c r="S124" s="541"/>
    </row>
    <row r="125">
      <c r="A125" s="2687">
        <v>46329.0</v>
      </c>
      <c r="B125" s="195"/>
      <c r="C125" s="195"/>
      <c r="D125" s="195"/>
      <c r="E125" s="195"/>
      <c r="F125" s="195"/>
      <c r="G125" s="195"/>
      <c r="H125" s="195"/>
      <c r="I125" s="195"/>
      <c r="J125" s="2641">
        <f t="shared" si="4"/>
        <v>0</v>
      </c>
      <c r="K125" s="195"/>
      <c r="M125" s="633"/>
      <c r="N125" s="541"/>
      <c r="O125" s="541"/>
      <c r="P125" s="541"/>
      <c r="Q125" s="541"/>
      <c r="R125" s="541"/>
      <c r="S125" s="541"/>
    </row>
    <row r="126">
      <c r="A126" s="2687">
        <v>46330.0</v>
      </c>
      <c r="B126" s="195"/>
      <c r="C126" s="195"/>
      <c r="D126" s="195"/>
      <c r="E126" s="195"/>
      <c r="F126" s="195"/>
      <c r="G126" s="195"/>
      <c r="H126" s="195"/>
      <c r="I126" s="195"/>
      <c r="J126" s="2641">
        <f t="shared" si="4"/>
        <v>0</v>
      </c>
      <c r="K126" s="195"/>
      <c r="M126" s="633"/>
      <c r="N126" s="541"/>
      <c r="O126" s="541"/>
      <c r="P126" s="541"/>
      <c r="Q126" s="541"/>
      <c r="R126" s="541"/>
      <c r="S126" s="541"/>
    </row>
    <row r="127">
      <c r="A127" s="2687">
        <v>46331.0</v>
      </c>
      <c r="B127" s="195"/>
      <c r="C127" s="195"/>
      <c r="D127" s="195"/>
      <c r="E127" s="195"/>
      <c r="F127" s="195"/>
      <c r="G127" s="195"/>
      <c r="H127" s="195"/>
      <c r="I127" s="195"/>
      <c r="J127" s="2641">
        <f t="shared" si="4"/>
        <v>0</v>
      </c>
      <c r="K127" s="195"/>
      <c r="M127" s="633"/>
      <c r="N127" s="541"/>
      <c r="O127" s="541"/>
      <c r="P127" s="541"/>
      <c r="Q127" s="541"/>
      <c r="R127" s="541"/>
      <c r="S127" s="541"/>
    </row>
    <row r="128">
      <c r="A128" s="2687">
        <v>46332.0</v>
      </c>
      <c r="B128" s="195"/>
      <c r="C128" s="195"/>
      <c r="D128" s="195"/>
      <c r="E128" s="195"/>
      <c r="F128" s="195"/>
      <c r="G128" s="195"/>
      <c r="H128" s="195"/>
      <c r="I128" s="195"/>
      <c r="J128" s="2641">
        <f t="shared" si="4"/>
        <v>0</v>
      </c>
      <c r="K128" s="195"/>
      <c r="M128" s="633"/>
      <c r="N128" s="541"/>
      <c r="O128" s="541"/>
      <c r="P128" s="541"/>
      <c r="Q128" s="541"/>
      <c r="R128" s="541"/>
      <c r="S128" s="541"/>
    </row>
    <row r="129">
      <c r="A129" s="2687">
        <v>46333.0</v>
      </c>
      <c r="B129" s="195"/>
      <c r="C129" s="195"/>
      <c r="D129" s="195"/>
      <c r="E129" s="195"/>
      <c r="F129" s="195"/>
      <c r="G129" s="195"/>
      <c r="H129" s="195"/>
      <c r="I129" s="195"/>
      <c r="J129" s="2641">
        <f t="shared" si="4"/>
        <v>0</v>
      </c>
      <c r="K129" s="195"/>
      <c r="M129" s="633"/>
      <c r="N129" s="541"/>
      <c r="O129" s="541"/>
      <c r="P129" s="541"/>
      <c r="Q129" s="541"/>
      <c r="R129" s="541"/>
      <c r="S129" s="541"/>
    </row>
    <row r="130">
      <c r="A130" s="2687">
        <v>46334.0</v>
      </c>
      <c r="B130" s="195"/>
      <c r="C130" s="195"/>
      <c r="D130" s="195"/>
      <c r="E130" s="195"/>
      <c r="F130" s="195"/>
      <c r="G130" s="195"/>
      <c r="H130" s="195"/>
      <c r="I130" s="195"/>
      <c r="J130" s="2641">
        <f t="shared" si="4"/>
        <v>0</v>
      </c>
      <c r="K130" s="195"/>
      <c r="M130" s="633"/>
      <c r="N130" s="541"/>
      <c r="O130" s="541"/>
      <c r="P130" s="541"/>
      <c r="Q130" s="541"/>
      <c r="R130" s="541"/>
      <c r="S130" s="541"/>
    </row>
    <row r="131">
      <c r="A131" s="2687">
        <v>46335.0</v>
      </c>
      <c r="B131" s="195"/>
      <c r="C131" s="195"/>
      <c r="D131" s="195"/>
      <c r="E131" s="195"/>
      <c r="F131" s="195"/>
      <c r="G131" s="195"/>
      <c r="H131" s="195"/>
      <c r="I131" s="195"/>
      <c r="J131" s="2641">
        <f t="shared" si="4"/>
        <v>0</v>
      </c>
      <c r="K131" s="195"/>
      <c r="M131" s="633"/>
      <c r="N131" s="541"/>
      <c r="O131" s="541"/>
      <c r="P131" s="541"/>
      <c r="Q131" s="541"/>
      <c r="R131" s="541"/>
      <c r="S131" s="541"/>
    </row>
    <row r="132">
      <c r="A132" s="2687">
        <v>46336.0</v>
      </c>
      <c r="B132" s="195"/>
      <c r="C132" s="195"/>
      <c r="D132" s="195"/>
      <c r="E132" s="195"/>
      <c r="F132" s="195"/>
      <c r="G132" s="195"/>
      <c r="H132" s="195"/>
      <c r="I132" s="195"/>
      <c r="J132" s="2641">
        <f t="shared" si="4"/>
        <v>0</v>
      </c>
      <c r="K132" s="195"/>
      <c r="M132" s="633"/>
      <c r="N132" s="541"/>
      <c r="O132" s="541"/>
      <c r="P132" s="541"/>
      <c r="Q132" s="541"/>
      <c r="R132" s="541"/>
      <c r="S132" s="541"/>
    </row>
    <row r="133">
      <c r="A133" s="2687">
        <v>46337.0</v>
      </c>
      <c r="B133" s="195"/>
      <c r="C133" s="195"/>
      <c r="D133" s="195"/>
      <c r="E133" s="195"/>
      <c r="F133" s="195"/>
      <c r="G133" s="195"/>
      <c r="H133" s="195"/>
      <c r="I133" s="195"/>
      <c r="J133" s="2641">
        <f t="shared" si="4"/>
        <v>0</v>
      </c>
      <c r="K133" s="195"/>
      <c r="M133" s="633"/>
      <c r="N133" s="541"/>
      <c r="O133" s="541"/>
      <c r="P133" s="541"/>
      <c r="Q133" s="541"/>
      <c r="R133" s="541"/>
      <c r="S133" s="541"/>
    </row>
    <row r="134">
      <c r="A134" s="2687">
        <v>46338.0</v>
      </c>
      <c r="B134" s="195"/>
      <c r="C134" s="195"/>
      <c r="D134" s="195"/>
      <c r="E134" s="195"/>
      <c r="F134" s="195"/>
      <c r="G134" s="195"/>
      <c r="H134" s="195"/>
      <c r="I134" s="195"/>
      <c r="J134" s="2641">
        <f t="shared" si="4"/>
        <v>0</v>
      </c>
      <c r="K134" s="195"/>
      <c r="M134" s="633"/>
      <c r="N134" s="541"/>
      <c r="O134" s="541"/>
      <c r="P134" s="541"/>
      <c r="Q134" s="541"/>
      <c r="R134" s="541"/>
      <c r="S134" s="541"/>
    </row>
    <row r="135">
      <c r="A135" s="2687">
        <v>46339.0</v>
      </c>
      <c r="B135" s="195"/>
      <c r="C135" s="195"/>
      <c r="D135" s="195"/>
      <c r="E135" s="195"/>
      <c r="F135" s="195"/>
      <c r="G135" s="195"/>
      <c r="H135" s="195"/>
      <c r="I135" s="195"/>
      <c r="J135" s="2641">
        <f t="shared" si="4"/>
        <v>0</v>
      </c>
      <c r="K135" s="195"/>
      <c r="M135" s="633"/>
      <c r="N135" s="541"/>
      <c r="O135" s="541"/>
      <c r="P135" s="541"/>
      <c r="Q135" s="541"/>
      <c r="R135" s="541"/>
      <c r="S135" s="541"/>
    </row>
    <row r="136">
      <c r="A136" s="2687">
        <v>46340.0</v>
      </c>
      <c r="B136" s="195"/>
      <c r="C136" s="195"/>
      <c r="D136" s="195"/>
      <c r="E136" s="195"/>
      <c r="F136" s="195"/>
      <c r="G136" s="195"/>
      <c r="H136" s="195"/>
      <c r="I136" s="195"/>
      <c r="J136" s="2641">
        <f t="shared" si="4"/>
        <v>0</v>
      </c>
      <c r="K136" s="195"/>
      <c r="M136" s="633"/>
      <c r="N136" s="541"/>
      <c r="O136" s="541"/>
      <c r="P136" s="541"/>
      <c r="Q136" s="541"/>
      <c r="R136" s="541"/>
      <c r="S136" s="541"/>
    </row>
    <row r="137">
      <c r="A137" s="2687">
        <v>46341.0</v>
      </c>
      <c r="B137" s="195"/>
      <c r="C137" s="195"/>
      <c r="D137" s="195"/>
      <c r="E137" s="195"/>
      <c r="F137" s="195"/>
      <c r="G137" s="195"/>
      <c r="H137" s="195"/>
      <c r="I137" s="195"/>
      <c r="J137" s="2641">
        <f t="shared" si="4"/>
        <v>0</v>
      </c>
      <c r="K137" s="195"/>
      <c r="M137" s="633"/>
      <c r="N137" s="541"/>
      <c r="O137" s="541"/>
      <c r="P137" s="541"/>
      <c r="Q137" s="541"/>
      <c r="R137" s="541"/>
      <c r="S137" s="541"/>
    </row>
    <row r="138">
      <c r="A138" s="2687">
        <v>46342.0</v>
      </c>
      <c r="B138" s="195"/>
      <c r="C138" s="195"/>
      <c r="D138" s="195"/>
      <c r="E138" s="195"/>
      <c r="F138" s="195"/>
      <c r="G138" s="195"/>
      <c r="H138" s="195"/>
      <c r="I138" s="195"/>
      <c r="J138" s="2641">
        <f t="shared" si="4"/>
        <v>0</v>
      </c>
      <c r="K138" s="195"/>
      <c r="M138" s="633"/>
      <c r="N138" s="541"/>
      <c r="O138" s="541"/>
      <c r="P138" s="541"/>
      <c r="Q138" s="541"/>
      <c r="R138" s="541"/>
      <c r="S138" s="541"/>
    </row>
    <row r="139">
      <c r="A139" s="2687">
        <v>46343.0</v>
      </c>
      <c r="B139" s="195"/>
      <c r="C139" s="195"/>
      <c r="D139" s="195"/>
      <c r="E139" s="195"/>
      <c r="F139" s="195"/>
      <c r="G139" s="195"/>
      <c r="H139" s="195"/>
      <c r="I139" s="195"/>
      <c r="J139" s="2641">
        <f t="shared" si="4"/>
        <v>0</v>
      </c>
      <c r="K139" s="195"/>
      <c r="M139" s="633"/>
      <c r="N139" s="541"/>
      <c r="O139" s="541"/>
      <c r="P139" s="541"/>
      <c r="Q139" s="541"/>
      <c r="R139" s="541"/>
      <c r="S139" s="541"/>
    </row>
    <row r="140">
      <c r="A140" s="2687">
        <v>46344.0</v>
      </c>
      <c r="B140" s="195"/>
      <c r="C140" s="195"/>
      <c r="D140" s="195"/>
      <c r="E140" s="195"/>
      <c r="F140" s="195"/>
      <c r="G140" s="195"/>
      <c r="H140" s="195"/>
      <c r="I140" s="195"/>
      <c r="J140" s="2641">
        <f t="shared" si="4"/>
        <v>0</v>
      </c>
      <c r="K140" s="195"/>
      <c r="M140" s="633"/>
      <c r="N140" s="541"/>
      <c r="O140" s="541"/>
      <c r="P140" s="541"/>
      <c r="Q140" s="541"/>
      <c r="R140" s="541"/>
      <c r="S140" s="541"/>
    </row>
    <row r="141">
      <c r="A141" s="2687">
        <v>46345.0</v>
      </c>
      <c r="B141" s="195"/>
      <c r="C141" s="195"/>
      <c r="D141" s="195"/>
      <c r="E141" s="195"/>
      <c r="F141" s="195"/>
      <c r="G141" s="195"/>
      <c r="H141" s="195"/>
      <c r="I141" s="195"/>
      <c r="J141" s="2641">
        <f t="shared" si="4"/>
        <v>0</v>
      </c>
      <c r="K141" s="195"/>
      <c r="M141" s="633"/>
      <c r="N141" s="541"/>
      <c r="O141" s="541"/>
      <c r="P141" s="541"/>
      <c r="Q141" s="541"/>
      <c r="R141" s="541"/>
      <c r="S141" s="541"/>
    </row>
    <row r="142">
      <c r="A142" s="2687">
        <v>46346.0</v>
      </c>
      <c r="B142" s="195"/>
      <c r="C142" s="195"/>
      <c r="D142" s="195"/>
      <c r="E142" s="195"/>
      <c r="F142" s="195"/>
      <c r="G142" s="195"/>
      <c r="H142" s="195"/>
      <c r="I142" s="195"/>
      <c r="J142" s="2641">
        <f t="shared" si="4"/>
        <v>0</v>
      </c>
      <c r="K142" s="195"/>
      <c r="M142" s="633"/>
      <c r="N142" s="541"/>
      <c r="O142" s="541"/>
      <c r="P142" s="541"/>
      <c r="Q142" s="541"/>
      <c r="R142" s="541"/>
      <c r="S142" s="541"/>
    </row>
    <row r="143">
      <c r="A143" s="2687">
        <v>46347.0</v>
      </c>
      <c r="B143" s="195"/>
      <c r="C143" s="195"/>
      <c r="D143" s="195"/>
      <c r="E143" s="195"/>
      <c r="F143" s="195"/>
      <c r="G143" s="195"/>
      <c r="H143" s="195"/>
      <c r="I143" s="195"/>
      <c r="J143" s="2641">
        <f t="shared" si="4"/>
        <v>0</v>
      </c>
      <c r="K143" s="195"/>
      <c r="M143" s="633"/>
      <c r="N143" s="541"/>
      <c r="O143" s="541"/>
      <c r="P143" s="541"/>
      <c r="Q143" s="541"/>
      <c r="R143" s="541"/>
      <c r="S143" s="541"/>
    </row>
    <row r="144">
      <c r="A144" s="2687">
        <v>46348.0</v>
      </c>
      <c r="B144" s="195"/>
      <c r="C144" s="195"/>
      <c r="D144" s="195"/>
      <c r="E144" s="195"/>
      <c r="F144" s="195"/>
      <c r="G144" s="195"/>
      <c r="H144" s="195"/>
      <c r="I144" s="195"/>
      <c r="J144" s="2641">
        <f t="shared" si="4"/>
        <v>0</v>
      </c>
      <c r="K144" s="195"/>
      <c r="M144" s="633"/>
      <c r="N144" s="541"/>
      <c r="O144" s="541"/>
      <c r="P144" s="541"/>
      <c r="Q144" s="541"/>
      <c r="R144" s="541"/>
      <c r="S144" s="541"/>
    </row>
    <row r="145">
      <c r="A145" s="2687">
        <v>46349.0</v>
      </c>
      <c r="B145" s="195"/>
      <c r="C145" s="195"/>
      <c r="D145" s="195"/>
      <c r="E145" s="195"/>
      <c r="F145" s="195"/>
      <c r="G145" s="195"/>
      <c r="H145" s="195"/>
      <c r="I145" s="195"/>
      <c r="J145" s="2641">
        <f t="shared" si="4"/>
        <v>0</v>
      </c>
      <c r="K145" s="195"/>
      <c r="M145" s="633"/>
      <c r="N145" s="541"/>
      <c r="O145" s="541"/>
      <c r="P145" s="541"/>
      <c r="Q145" s="541"/>
      <c r="R145" s="541"/>
      <c r="S145" s="541"/>
    </row>
    <row r="146">
      <c r="A146" s="2687">
        <v>46350.0</v>
      </c>
      <c r="B146" s="195"/>
      <c r="C146" s="195"/>
      <c r="D146" s="195"/>
      <c r="E146" s="195"/>
      <c r="F146" s="195"/>
      <c r="G146" s="195"/>
      <c r="H146" s="195"/>
      <c r="I146" s="195"/>
      <c r="J146" s="2641">
        <f t="shared" si="4"/>
        <v>0</v>
      </c>
      <c r="K146" s="195"/>
      <c r="M146" s="633"/>
      <c r="N146" s="541"/>
      <c r="O146" s="541"/>
      <c r="P146" s="541"/>
      <c r="Q146" s="541"/>
      <c r="R146" s="541"/>
      <c r="S146" s="541"/>
    </row>
    <row r="147">
      <c r="A147" s="2687">
        <v>46351.0</v>
      </c>
      <c r="B147" s="195"/>
      <c r="C147" s="195"/>
      <c r="D147" s="195"/>
      <c r="E147" s="195"/>
      <c r="F147" s="195"/>
      <c r="G147" s="195"/>
      <c r="H147" s="195"/>
      <c r="I147" s="195"/>
      <c r="J147" s="2641">
        <f t="shared" si="4"/>
        <v>0</v>
      </c>
      <c r="K147" s="195"/>
      <c r="M147" s="633"/>
      <c r="N147" s="541"/>
      <c r="O147" s="541"/>
      <c r="P147" s="541"/>
      <c r="Q147" s="541"/>
      <c r="R147" s="541"/>
      <c r="S147" s="541"/>
    </row>
    <row r="148">
      <c r="A148" s="2687">
        <v>46352.0</v>
      </c>
      <c r="B148" s="195"/>
      <c r="C148" s="195"/>
      <c r="D148" s="195"/>
      <c r="E148" s="195"/>
      <c r="F148" s="195"/>
      <c r="G148" s="195"/>
      <c r="H148" s="195"/>
      <c r="I148" s="195"/>
      <c r="J148" s="2641">
        <f t="shared" si="4"/>
        <v>0</v>
      </c>
      <c r="K148" s="195"/>
      <c r="M148" s="633"/>
      <c r="N148" s="541"/>
      <c r="O148" s="541"/>
      <c r="P148" s="541"/>
      <c r="Q148" s="541"/>
      <c r="R148" s="541"/>
      <c r="S148" s="541"/>
    </row>
    <row r="149">
      <c r="A149" s="2662">
        <v>46353.0</v>
      </c>
      <c r="B149" s="195"/>
      <c r="C149" s="195"/>
      <c r="D149" s="195"/>
      <c r="E149" s="195"/>
      <c r="F149" s="195"/>
      <c r="G149" s="195"/>
      <c r="H149" s="195"/>
      <c r="I149" s="195"/>
      <c r="J149" s="2641">
        <f t="shared" si="4"/>
        <v>0</v>
      </c>
      <c r="K149" s="195"/>
      <c r="M149" s="633"/>
      <c r="N149" s="541"/>
      <c r="O149" s="541"/>
      <c r="P149" s="541"/>
      <c r="Q149" s="541"/>
      <c r="R149" s="541"/>
      <c r="S149" s="541"/>
    </row>
    <row r="150">
      <c r="A150" s="2662">
        <v>46354.0</v>
      </c>
      <c r="B150" s="195"/>
      <c r="C150" s="195"/>
      <c r="D150" s="195"/>
      <c r="E150" s="195"/>
      <c r="F150" s="195"/>
      <c r="G150" s="195"/>
      <c r="H150" s="195"/>
      <c r="I150" s="195"/>
      <c r="J150" s="2641">
        <f t="shared" si="4"/>
        <v>0</v>
      </c>
      <c r="K150" s="195"/>
      <c r="M150" s="633"/>
      <c r="N150" s="541"/>
      <c r="O150" s="541"/>
      <c r="P150" s="541"/>
      <c r="Q150" s="541"/>
      <c r="R150" s="541"/>
      <c r="S150" s="541"/>
    </row>
    <row r="151">
      <c r="A151" s="2662">
        <v>46355.0</v>
      </c>
      <c r="B151" s="195"/>
      <c r="C151" s="195"/>
      <c r="D151" s="195"/>
      <c r="E151" s="195"/>
      <c r="F151" s="195"/>
      <c r="G151" s="195"/>
      <c r="H151" s="195"/>
      <c r="I151" s="195"/>
      <c r="J151" s="2641">
        <f t="shared" si="4"/>
        <v>0</v>
      </c>
      <c r="K151" s="195"/>
      <c r="M151" s="633"/>
      <c r="N151" s="541"/>
      <c r="O151" s="541"/>
      <c r="P151" s="541"/>
      <c r="Q151" s="541"/>
      <c r="R151" s="541"/>
      <c r="S151" s="541"/>
    </row>
    <row r="152">
      <c r="A152" s="2662">
        <v>46356.0</v>
      </c>
      <c r="B152" s="195"/>
      <c r="C152" s="195"/>
      <c r="D152" s="195"/>
      <c r="E152" s="195"/>
      <c r="F152" s="195"/>
      <c r="G152" s="195"/>
      <c r="H152" s="195"/>
      <c r="I152" s="195"/>
      <c r="J152" s="2641">
        <f t="shared" si="4"/>
        <v>0</v>
      </c>
      <c r="K152" s="195"/>
      <c r="M152" s="633"/>
      <c r="N152" s="541"/>
      <c r="O152" s="541"/>
      <c r="P152" s="541"/>
      <c r="Q152" s="541"/>
      <c r="R152" s="541"/>
      <c r="S152" s="541"/>
    </row>
    <row r="153">
      <c r="A153" s="2662">
        <v>46357.0</v>
      </c>
      <c r="B153" s="195"/>
      <c r="C153" s="195"/>
      <c r="D153" s="195"/>
      <c r="E153" s="195"/>
      <c r="F153" s="195"/>
      <c r="G153" s="195"/>
      <c r="H153" s="195"/>
      <c r="I153" s="195"/>
      <c r="J153" s="2641">
        <f t="shared" si="4"/>
        <v>0</v>
      </c>
      <c r="K153" s="195"/>
      <c r="M153" s="633"/>
      <c r="N153" s="541"/>
      <c r="O153" s="541"/>
      <c r="P153" s="541"/>
      <c r="Q153" s="541"/>
      <c r="R153" s="541"/>
      <c r="S153" s="541"/>
    </row>
    <row r="154">
      <c r="A154" s="2662">
        <v>46358.0</v>
      </c>
      <c r="B154" s="195"/>
      <c r="C154" s="195"/>
      <c r="D154" s="195"/>
      <c r="E154" s="195"/>
      <c r="F154" s="195"/>
      <c r="G154" s="195"/>
      <c r="H154" s="195"/>
      <c r="I154" s="195"/>
      <c r="J154" s="2641">
        <f t="shared" si="4"/>
        <v>0</v>
      </c>
      <c r="K154" s="195"/>
      <c r="M154" s="633"/>
      <c r="N154" s="541"/>
      <c r="O154" s="541"/>
      <c r="P154" s="541"/>
      <c r="Q154" s="541"/>
      <c r="R154" s="541"/>
      <c r="S154" s="541"/>
    </row>
    <row r="155">
      <c r="A155" s="2662">
        <v>46359.0</v>
      </c>
      <c r="B155" s="195"/>
      <c r="C155" s="195"/>
      <c r="D155" s="195"/>
      <c r="E155" s="195"/>
      <c r="F155" s="195"/>
      <c r="G155" s="195"/>
      <c r="H155" s="195"/>
      <c r="I155" s="195"/>
      <c r="J155" s="2641">
        <f t="shared" si="4"/>
        <v>0</v>
      </c>
      <c r="K155" s="195"/>
      <c r="M155" s="633"/>
      <c r="N155" s="541"/>
      <c r="O155" s="541"/>
      <c r="P155" s="541"/>
      <c r="Q155" s="541"/>
      <c r="R155" s="541"/>
      <c r="S155" s="541"/>
    </row>
    <row r="156">
      <c r="A156" s="2662">
        <v>46360.0</v>
      </c>
      <c r="B156" s="195"/>
      <c r="C156" s="195"/>
      <c r="D156" s="195"/>
      <c r="E156" s="195"/>
      <c r="F156" s="195"/>
      <c r="G156" s="195"/>
      <c r="H156" s="195"/>
      <c r="I156" s="195"/>
      <c r="J156" s="2641">
        <f t="shared" si="4"/>
        <v>0</v>
      </c>
      <c r="K156" s="195"/>
      <c r="M156" s="633"/>
      <c r="N156" s="541"/>
      <c r="O156" s="541"/>
      <c r="P156" s="541"/>
      <c r="Q156" s="541"/>
      <c r="R156" s="541"/>
      <c r="S156" s="541"/>
    </row>
    <row r="157">
      <c r="A157" s="2662">
        <v>46361.0</v>
      </c>
      <c r="B157" s="195"/>
      <c r="C157" s="195"/>
      <c r="D157" s="195"/>
      <c r="E157" s="195"/>
      <c r="F157" s="195"/>
      <c r="G157" s="195"/>
      <c r="H157" s="195"/>
      <c r="I157" s="195"/>
      <c r="J157" s="2641">
        <f t="shared" si="4"/>
        <v>0</v>
      </c>
      <c r="K157" s="195"/>
      <c r="M157" s="633"/>
      <c r="N157" s="541"/>
      <c r="O157" s="541"/>
      <c r="P157" s="541"/>
      <c r="Q157" s="541"/>
      <c r="R157" s="541"/>
      <c r="S157" s="541"/>
    </row>
    <row r="158">
      <c r="A158" s="2662">
        <v>46362.0</v>
      </c>
      <c r="B158" s="195"/>
      <c r="C158" s="195"/>
      <c r="D158" s="195"/>
      <c r="E158" s="195"/>
      <c r="F158" s="195"/>
      <c r="G158" s="195"/>
      <c r="H158" s="195"/>
      <c r="I158" s="195"/>
      <c r="J158" s="2641">
        <f t="shared" si="4"/>
        <v>0</v>
      </c>
      <c r="K158" s="195"/>
      <c r="M158" s="633"/>
      <c r="N158" s="541"/>
      <c r="O158" s="541"/>
      <c r="P158" s="541"/>
      <c r="Q158" s="541"/>
      <c r="R158" s="541"/>
      <c r="S158" s="541"/>
    </row>
    <row r="159">
      <c r="A159" s="2662">
        <v>46363.0</v>
      </c>
      <c r="B159" s="195"/>
      <c r="C159" s="195"/>
      <c r="D159" s="195"/>
      <c r="E159" s="195"/>
      <c r="F159" s="195"/>
      <c r="G159" s="195"/>
      <c r="H159" s="195"/>
      <c r="I159" s="195"/>
      <c r="J159" s="2641">
        <f t="shared" si="4"/>
        <v>0</v>
      </c>
      <c r="K159" s="195"/>
      <c r="M159" s="633"/>
      <c r="N159" s="541"/>
      <c r="O159" s="541"/>
      <c r="P159" s="541"/>
      <c r="Q159" s="541"/>
      <c r="R159" s="541"/>
      <c r="S159" s="541"/>
    </row>
    <row r="160">
      <c r="A160" s="2662">
        <v>46364.0</v>
      </c>
      <c r="B160" s="195"/>
      <c r="C160" s="195"/>
      <c r="D160" s="195"/>
      <c r="E160" s="195"/>
      <c r="F160" s="195"/>
      <c r="G160" s="195"/>
      <c r="H160" s="195"/>
      <c r="I160" s="195"/>
      <c r="J160" s="2641">
        <f t="shared" si="4"/>
        <v>0</v>
      </c>
      <c r="K160" s="195"/>
      <c r="M160" s="633"/>
      <c r="N160" s="541"/>
      <c r="O160" s="541"/>
      <c r="P160" s="541"/>
      <c r="Q160" s="541"/>
      <c r="R160" s="541"/>
      <c r="S160" s="541"/>
    </row>
    <row r="161">
      <c r="A161" s="2662">
        <v>46365.0</v>
      </c>
      <c r="B161" s="195"/>
      <c r="C161" s="195"/>
      <c r="D161" s="195"/>
      <c r="E161" s="195"/>
      <c r="F161" s="195"/>
      <c r="G161" s="195"/>
      <c r="H161" s="195"/>
      <c r="I161" s="195"/>
      <c r="J161" s="2641">
        <f t="shared" si="4"/>
        <v>0</v>
      </c>
      <c r="K161" s="195"/>
      <c r="M161" s="633"/>
      <c r="N161" s="541"/>
      <c r="O161" s="541"/>
      <c r="P161" s="541"/>
      <c r="Q161" s="541"/>
      <c r="R161" s="541"/>
      <c r="S161" s="541"/>
    </row>
    <row r="162">
      <c r="A162" s="2662">
        <v>46366.0</v>
      </c>
      <c r="B162" s="195"/>
      <c r="C162" s="195"/>
      <c r="D162" s="195"/>
      <c r="E162" s="195"/>
      <c r="F162" s="195"/>
      <c r="G162" s="195"/>
      <c r="H162" s="195"/>
      <c r="I162" s="195"/>
      <c r="J162" s="2641">
        <f t="shared" si="4"/>
        <v>0</v>
      </c>
      <c r="K162" s="195"/>
      <c r="M162" s="633"/>
      <c r="N162" s="541"/>
      <c r="O162" s="541"/>
      <c r="P162" s="541"/>
      <c r="Q162" s="541"/>
      <c r="R162" s="541"/>
      <c r="S162" s="541"/>
    </row>
    <row r="163">
      <c r="A163" s="2662">
        <v>46367.0</v>
      </c>
      <c r="B163" s="195"/>
      <c r="C163" s="195"/>
      <c r="D163" s="195"/>
      <c r="E163" s="195"/>
      <c r="F163" s="195"/>
      <c r="G163" s="195"/>
      <c r="H163" s="195"/>
      <c r="I163" s="195"/>
      <c r="J163" s="2641">
        <f t="shared" si="4"/>
        <v>0</v>
      </c>
      <c r="K163" s="195"/>
      <c r="M163" s="633"/>
      <c r="N163" s="541"/>
      <c r="O163" s="541"/>
      <c r="P163" s="541"/>
      <c r="Q163" s="541"/>
      <c r="R163" s="541"/>
      <c r="S163" s="541"/>
    </row>
    <row r="164">
      <c r="A164" s="2662">
        <v>46368.0</v>
      </c>
      <c r="B164" s="195"/>
      <c r="C164" s="195"/>
      <c r="D164" s="195"/>
      <c r="E164" s="195"/>
      <c r="F164" s="195"/>
      <c r="G164" s="195"/>
      <c r="H164" s="195"/>
      <c r="I164" s="195"/>
      <c r="J164" s="2641">
        <f t="shared" si="4"/>
        <v>0</v>
      </c>
      <c r="K164" s="195"/>
      <c r="M164" s="633"/>
      <c r="N164" s="541"/>
      <c r="O164" s="541"/>
      <c r="P164" s="541"/>
      <c r="Q164" s="541"/>
      <c r="R164" s="541"/>
      <c r="S164" s="541"/>
    </row>
    <row r="165">
      <c r="A165" s="2662">
        <v>46369.0</v>
      </c>
      <c r="B165" s="195"/>
      <c r="C165" s="195"/>
      <c r="D165" s="195"/>
      <c r="E165" s="195"/>
      <c r="F165" s="195"/>
      <c r="G165" s="195"/>
      <c r="H165" s="195"/>
      <c r="I165" s="195"/>
      <c r="J165" s="2641">
        <f t="shared" si="4"/>
        <v>0</v>
      </c>
      <c r="K165" s="195"/>
      <c r="M165" s="633"/>
      <c r="N165" s="541"/>
      <c r="O165" s="541"/>
      <c r="P165" s="541"/>
      <c r="Q165" s="541"/>
      <c r="R165" s="541"/>
      <c r="S165" s="541"/>
    </row>
    <row r="166">
      <c r="A166" s="2662">
        <v>46370.0</v>
      </c>
      <c r="B166" s="195"/>
      <c r="C166" s="195"/>
      <c r="D166" s="195"/>
      <c r="E166" s="195"/>
      <c r="F166" s="195"/>
      <c r="G166" s="195"/>
      <c r="H166" s="195"/>
      <c r="I166" s="195"/>
      <c r="J166" s="2641">
        <f t="shared" si="4"/>
        <v>0</v>
      </c>
      <c r="K166" s="195"/>
      <c r="M166" s="633"/>
      <c r="N166" s="541"/>
      <c r="O166" s="541"/>
      <c r="P166" s="541"/>
      <c r="Q166" s="541"/>
      <c r="R166" s="541"/>
      <c r="S166" s="541"/>
    </row>
    <row r="167">
      <c r="A167" s="2662">
        <v>46371.0</v>
      </c>
      <c r="B167" s="195"/>
      <c r="C167" s="195"/>
      <c r="D167" s="195"/>
      <c r="E167" s="195"/>
      <c r="F167" s="195"/>
      <c r="G167" s="195"/>
      <c r="H167" s="195"/>
      <c r="I167" s="195"/>
      <c r="J167" s="2641">
        <f t="shared" si="4"/>
        <v>0</v>
      </c>
      <c r="K167" s="195"/>
      <c r="M167" s="633"/>
      <c r="N167" s="541"/>
      <c r="O167" s="541"/>
      <c r="P167" s="541"/>
      <c r="Q167" s="541"/>
      <c r="R167" s="541"/>
      <c r="S167" s="541"/>
    </row>
    <row r="168">
      <c r="A168" s="2662">
        <v>46372.0</v>
      </c>
      <c r="B168" s="195"/>
      <c r="C168" s="195"/>
      <c r="D168" s="195"/>
      <c r="E168" s="195"/>
      <c r="F168" s="195"/>
      <c r="G168" s="195"/>
      <c r="H168" s="195"/>
      <c r="I168" s="195"/>
      <c r="J168" s="2641">
        <f t="shared" si="4"/>
        <v>0</v>
      </c>
      <c r="K168" s="195"/>
      <c r="M168" s="633"/>
      <c r="N168" s="541"/>
      <c r="O168" s="541"/>
      <c r="P168" s="541"/>
      <c r="Q168" s="541"/>
      <c r="R168" s="541"/>
      <c r="S168" s="541"/>
    </row>
    <row r="169">
      <c r="A169" s="2662">
        <v>46373.0</v>
      </c>
      <c r="B169" s="195"/>
      <c r="C169" s="195"/>
      <c r="D169" s="195"/>
      <c r="E169" s="195"/>
      <c r="F169" s="195"/>
      <c r="G169" s="195"/>
      <c r="H169" s="195"/>
      <c r="I169" s="195"/>
      <c r="J169" s="2641">
        <f t="shared" si="4"/>
        <v>0</v>
      </c>
      <c r="K169" s="195"/>
      <c r="M169" s="633"/>
      <c r="N169" s="541"/>
      <c r="O169" s="541"/>
      <c r="P169" s="541"/>
      <c r="Q169" s="541"/>
      <c r="R169" s="541"/>
      <c r="S169" s="541"/>
    </row>
    <row r="170">
      <c r="A170" s="2662">
        <v>46374.0</v>
      </c>
      <c r="B170" s="195"/>
      <c r="C170" s="195"/>
      <c r="D170" s="195"/>
      <c r="E170" s="195"/>
      <c r="F170" s="195"/>
      <c r="G170" s="195"/>
      <c r="H170" s="195"/>
      <c r="I170" s="195"/>
      <c r="J170" s="2641">
        <f t="shared" si="4"/>
        <v>0</v>
      </c>
      <c r="K170" s="195"/>
      <c r="M170" s="633"/>
      <c r="N170" s="541"/>
      <c r="O170" s="541"/>
      <c r="P170" s="541"/>
      <c r="Q170" s="541"/>
      <c r="R170" s="541"/>
      <c r="S170" s="541"/>
    </row>
    <row r="171">
      <c r="A171" s="2662">
        <v>46375.0</v>
      </c>
      <c r="B171" s="195"/>
      <c r="C171" s="195"/>
      <c r="D171" s="195"/>
      <c r="E171" s="195"/>
      <c r="F171" s="195"/>
      <c r="G171" s="195"/>
      <c r="H171" s="195"/>
      <c r="I171" s="195"/>
      <c r="J171" s="2641">
        <f t="shared" si="4"/>
        <v>0</v>
      </c>
      <c r="K171" s="195"/>
      <c r="M171" s="633"/>
      <c r="N171" s="541"/>
      <c r="O171" s="541"/>
      <c r="P171" s="541"/>
      <c r="Q171" s="541"/>
      <c r="R171" s="541"/>
      <c r="S171" s="541"/>
    </row>
    <row r="172">
      <c r="A172" s="2662">
        <v>46376.0</v>
      </c>
      <c r="B172" s="195"/>
      <c r="C172" s="195"/>
      <c r="D172" s="195"/>
      <c r="E172" s="195"/>
      <c r="F172" s="195"/>
      <c r="G172" s="195"/>
      <c r="H172" s="195"/>
      <c r="I172" s="195"/>
      <c r="J172" s="2641">
        <f t="shared" si="4"/>
        <v>0</v>
      </c>
      <c r="K172" s="195"/>
      <c r="M172" s="633"/>
      <c r="N172" s="541"/>
      <c r="O172" s="541"/>
      <c r="P172" s="541"/>
      <c r="Q172" s="541"/>
      <c r="R172" s="541"/>
      <c r="S172" s="541"/>
    </row>
    <row r="173">
      <c r="A173" s="2662">
        <v>46377.0</v>
      </c>
      <c r="B173" s="195"/>
      <c r="C173" s="195"/>
      <c r="D173" s="195"/>
      <c r="E173" s="195"/>
      <c r="F173" s="195"/>
      <c r="G173" s="195"/>
      <c r="H173" s="195"/>
      <c r="I173" s="195"/>
      <c r="J173" s="2641">
        <f t="shared" si="4"/>
        <v>0</v>
      </c>
      <c r="K173" s="195"/>
      <c r="M173" s="633"/>
      <c r="N173" s="541"/>
      <c r="O173" s="541"/>
      <c r="P173" s="541"/>
      <c r="Q173" s="541"/>
      <c r="R173" s="541"/>
      <c r="S173" s="541"/>
    </row>
    <row r="174">
      <c r="A174" s="2662">
        <v>46378.0</v>
      </c>
      <c r="B174" s="195"/>
      <c r="C174" s="195"/>
      <c r="D174" s="195"/>
      <c r="E174" s="195"/>
      <c r="F174" s="195"/>
      <c r="G174" s="195"/>
      <c r="H174" s="195"/>
      <c r="I174" s="195"/>
      <c r="J174" s="2641">
        <f t="shared" si="4"/>
        <v>0</v>
      </c>
      <c r="K174" s="195"/>
      <c r="M174" s="633"/>
      <c r="N174" s="541"/>
      <c r="O174" s="541"/>
      <c r="P174" s="541"/>
      <c r="Q174" s="541"/>
      <c r="R174" s="541"/>
      <c r="S174" s="541"/>
    </row>
    <row r="175">
      <c r="A175" s="2662">
        <v>46379.0</v>
      </c>
      <c r="B175" s="195"/>
      <c r="C175" s="195"/>
      <c r="D175" s="195"/>
      <c r="E175" s="195"/>
      <c r="F175" s="195"/>
      <c r="G175" s="195"/>
      <c r="H175" s="195"/>
      <c r="I175" s="195"/>
      <c r="J175" s="2641">
        <f t="shared" si="4"/>
        <v>0</v>
      </c>
      <c r="K175" s="195"/>
      <c r="M175" s="633"/>
      <c r="N175" s="541"/>
      <c r="O175" s="541"/>
      <c r="P175" s="541"/>
      <c r="Q175" s="541"/>
      <c r="R175" s="541"/>
      <c r="S175" s="541"/>
    </row>
    <row r="176">
      <c r="A176" s="2662">
        <v>46380.0</v>
      </c>
      <c r="B176" s="195"/>
      <c r="C176" s="195"/>
      <c r="D176" s="195"/>
      <c r="E176" s="195"/>
      <c r="F176" s="195"/>
      <c r="G176" s="195"/>
      <c r="H176" s="195"/>
      <c r="I176" s="195"/>
      <c r="J176" s="2641">
        <f t="shared" si="4"/>
        <v>0</v>
      </c>
      <c r="K176" s="195"/>
      <c r="M176" s="633"/>
      <c r="N176" s="541"/>
      <c r="O176" s="541"/>
      <c r="P176" s="541"/>
      <c r="Q176" s="541"/>
      <c r="R176" s="541"/>
      <c r="S176" s="541"/>
    </row>
    <row r="177">
      <c r="A177" s="2662">
        <v>46381.0</v>
      </c>
      <c r="B177" s="195"/>
      <c r="C177" s="195"/>
      <c r="D177" s="195"/>
      <c r="E177" s="195"/>
      <c r="F177" s="195"/>
      <c r="G177" s="195"/>
      <c r="H177" s="195"/>
      <c r="I177" s="195"/>
      <c r="J177" s="2641">
        <f t="shared" si="4"/>
        <v>0</v>
      </c>
      <c r="K177" s="195"/>
      <c r="M177" s="633"/>
      <c r="N177" s="541"/>
      <c r="O177" s="541"/>
      <c r="P177" s="541"/>
      <c r="Q177" s="541"/>
      <c r="R177" s="541"/>
      <c r="S177" s="541"/>
    </row>
    <row r="178">
      <c r="A178" s="2662">
        <v>46382.0</v>
      </c>
      <c r="B178" s="195"/>
      <c r="C178" s="195"/>
      <c r="D178" s="195"/>
      <c r="E178" s="195"/>
      <c r="F178" s="195"/>
      <c r="G178" s="195"/>
      <c r="H178" s="195"/>
      <c r="I178" s="195"/>
      <c r="J178" s="2641">
        <f t="shared" si="4"/>
        <v>0</v>
      </c>
      <c r="K178" s="195"/>
      <c r="M178" s="633"/>
      <c r="N178" s="541"/>
      <c r="O178" s="541"/>
      <c r="P178" s="541"/>
      <c r="Q178" s="541"/>
      <c r="R178" s="541"/>
      <c r="S178" s="541"/>
    </row>
    <row r="179">
      <c r="A179" s="2662">
        <v>46383.0</v>
      </c>
      <c r="B179" s="195"/>
      <c r="C179" s="195"/>
      <c r="D179" s="195"/>
      <c r="E179" s="195"/>
      <c r="F179" s="195"/>
      <c r="G179" s="195"/>
      <c r="H179" s="195"/>
      <c r="I179" s="195"/>
      <c r="J179" s="2641">
        <f t="shared" si="4"/>
        <v>0</v>
      </c>
      <c r="K179" s="195"/>
      <c r="M179" s="633"/>
      <c r="N179" s="541"/>
      <c r="O179" s="541"/>
      <c r="P179" s="541"/>
      <c r="Q179" s="541"/>
      <c r="R179" s="541"/>
      <c r="S179" s="541"/>
    </row>
    <row r="180">
      <c r="A180" s="2662">
        <v>46384.0</v>
      </c>
      <c r="B180" s="195"/>
      <c r="C180" s="195"/>
      <c r="D180" s="195"/>
      <c r="E180" s="195"/>
      <c r="F180" s="195"/>
      <c r="G180" s="195"/>
      <c r="H180" s="195"/>
      <c r="I180" s="195"/>
      <c r="J180" s="2641">
        <f t="shared" si="4"/>
        <v>0</v>
      </c>
      <c r="K180" s="195"/>
      <c r="M180" s="633"/>
      <c r="N180" s="541"/>
      <c r="O180" s="541"/>
      <c r="P180" s="541"/>
      <c r="Q180" s="541"/>
      <c r="R180" s="541"/>
      <c r="S180" s="541"/>
    </row>
    <row r="181">
      <c r="A181" s="2662">
        <v>46385.0</v>
      </c>
      <c r="B181" s="195"/>
      <c r="C181" s="195"/>
      <c r="D181" s="195"/>
      <c r="E181" s="195"/>
      <c r="F181" s="195"/>
      <c r="G181" s="195"/>
      <c r="H181" s="195"/>
      <c r="I181" s="195"/>
      <c r="J181" s="2641">
        <f t="shared" si="4"/>
        <v>0</v>
      </c>
      <c r="K181" s="195"/>
      <c r="M181" s="633"/>
      <c r="N181" s="541"/>
      <c r="O181" s="541"/>
      <c r="P181" s="541"/>
      <c r="Q181" s="541"/>
      <c r="R181" s="541"/>
      <c r="S181" s="541"/>
    </row>
    <row r="182">
      <c r="A182" s="2662">
        <v>46386.0</v>
      </c>
      <c r="B182" s="195"/>
      <c r="C182" s="195"/>
      <c r="D182" s="195"/>
      <c r="E182" s="195"/>
      <c r="F182" s="195"/>
      <c r="G182" s="195"/>
      <c r="H182" s="195"/>
      <c r="I182" s="195"/>
      <c r="J182" s="2641">
        <f t="shared" si="4"/>
        <v>0</v>
      </c>
      <c r="K182" s="195"/>
      <c r="M182" s="633"/>
      <c r="N182" s="541"/>
      <c r="O182" s="541"/>
      <c r="P182" s="541"/>
      <c r="Q182" s="541"/>
      <c r="R182" s="541"/>
      <c r="S182" s="541"/>
    </row>
    <row r="183">
      <c r="A183" s="2662">
        <v>46387.0</v>
      </c>
      <c r="B183" s="195"/>
      <c r="C183" s="195"/>
      <c r="D183" s="195"/>
      <c r="E183" s="195"/>
      <c r="F183" s="195"/>
      <c r="G183" s="195"/>
      <c r="H183" s="195"/>
      <c r="I183" s="195"/>
      <c r="J183" s="2641">
        <f t="shared" si="4"/>
        <v>0</v>
      </c>
      <c r="K183" s="195"/>
      <c r="M183" s="633"/>
      <c r="N183" s="541"/>
      <c r="O183" s="541"/>
      <c r="P183" s="541"/>
      <c r="Q183" s="541"/>
      <c r="R183" s="541"/>
      <c r="S183" s="541"/>
    </row>
    <row r="184">
      <c r="A184" s="2662">
        <v>46388.0</v>
      </c>
      <c r="B184" s="195"/>
      <c r="C184" s="195"/>
      <c r="D184" s="195"/>
      <c r="E184" s="195"/>
      <c r="F184" s="195"/>
      <c r="G184" s="195"/>
      <c r="H184" s="195"/>
      <c r="I184" s="195"/>
      <c r="J184" s="2641">
        <f t="shared" si="4"/>
        <v>0</v>
      </c>
      <c r="K184" s="195"/>
      <c r="M184" s="633"/>
      <c r="N184" s="541"/>
      <c r="O184" s="541"/>
      <c r="P184" s="541"/>
      <c r="Q184" s="541"/>
      <c r="R184" s="541"/>
      <c r="S184" s="541"/>
    </row>
    <row r="185">
      <c r="A185" s="2662">
        <v>46389.0</v>
      </c>
      <c r="B185" s="195"/>
      <c r="C185" s="195"/>
      <c r="D185" s="195"/>
      <c r="E185" s="195"/>
      <c r="F185" s="195"/>
      <c r="G185" s="195"/>
      <c r="H185" s="195"/>
      <c r="I185" s="195"/>
      <c r="J185" s="2641">
        <f t="shared" si="4"/>
        <v>0</v>
      </c>
      <c r="K185" s="195"/>
      <c r="M185" s="633"/>
      <c r="N185" s="541"/>
      <c r="O185" s="541"/>
      <c r="P185" s="541"/>
      <c r="Q185" s="541"/>
      <c r="R185" s="541"/>
      <c r="S185" s="541"/>
    </row>
    <row r="186">
      <c r="A186" s="2662">
        <v>46390.0</v>
      </c>
      <c r="B186" s="195"/>
      <c r="C186" s="195"/>
      <c r="D186" s="195"/>
      <c r="E186" s="195"/>
      <c r="F186" s="195"/>
      <c r="G186" s="195"/>
      <c r="H186" s="195"/>
      <c r="I186" s="195"/>
      <c r="J186" s="2641">
        <f t="shared" si="4"/>
        <v>0</v>
      </c>
      <c r="K186" s="195"/>
      <c r="M186" s="633"/>
      <c r="N186" s="541"/>
      <c r="O186" s="541"/>
      <c r="P186" s="541"/>
      <c r="Q186" s="541"/>
      <c r="R186" s="541"/>
      <c r="S186" s="541"/>
    </row>
    <row r="187">
      <c r="A187" s="2662">
        <v>46391.0</v>
      </c>
      <c r="B187" s="195"/>
      <c r="C187" s="195"/>
      <c r="D187" s="195"/>
      <c r="E187" s="195"/>
      <c r="F187" s="195"/>
      <c r="G187" s="195"/>
      <c r="H187" s="195"/>
      <c r="I187" s="195"/>
      <c r="J187" s="2641">
        <f t="shared" si="4"/>
        <v>0</v>
      </c>
      <c r="K187" s="195"/>
      <c r="M187" s="633"/>
      <c r="N187" s="541"/>
      <c r="O187" s="541"/>
      <c r="P187" s="541"/>
      <c r="Q187" s="541"/>
      <c r="R187" s="541"/>
      <c r="S187" s="541"/>
    </row>
    <row r="188">
      <c r="A188" s="2662">
        <v>46392.0</v>
      </c>
      <c r="B188" s="195"/>
      <c r="C188" s="195"/>
      <c r="D188" s="195"/>
      <c r="E188" s="195"/>
      <c r="F188" s="195"/>
      <c r="G188" s="195"/>
      <c r="H188" s="195"/>
      <c r="I188" s="195"/>
      <c r="J188" s="2641">
        <f t="shared" si="4"/>
        <v>0</v>
      </c>
      <c r="K188" s="195"/>
      <c r="M188" s="633"/>
      <c r="N188" s="541"/>
      <c r="O188" s="541"/>
      <c r="P188" s="541"/>
      <c r="Q188" s="541"/>
      <c r="R188" s="541"/>
      <c r="S188" s="541"/>
    </row>
    <row r="189">
      <c r="A189" s="2688"/>
      <c r="B189" s="195"/>
      <c r="C189" s="195"/>
      <c r="D189" s="195"/>
      <c r="E189" s="195"/>
      <c r="F189" s="195"/>
      <c r="G189" s="195"/>
      <c r="H189" s="195"/>
      <c r="I189" s="195"/>
      <c r="J189" s="2689"/>
      <c r="K189" s="195"/>
      <c r="M189" s="633"/>
      <c r="N189" s="541"/>
      <c r="O189" s="541"/>
      <c r="P189" s="541"/>
      <c r="Q189" s="541"/>
      <c r="R189" s="541"/>
      <c r="S189" s="541"/>
    </row>
    <row r="190">
      <c r="A190" s="2688"/>
      <c r="B190" s="195"/>
      <c r="C190" s="195"/>
      <c r="D190" s="195"/>
      <c r="E190" s="195"/>
      <c r="F190" s="195"/>
      <c r="G190" s="195"/>
      <c r="H190" s="195"/>
      <c r="I190" s="195"/>
      <c r="J190" s="2689"/>
      <c r="K190" s="195"/>
      <c r="M190" s="633"/>
      <c r="N190" s="541"/>
      <c r="O190" s="541"/>
      <c r="P190" s="541"/>
      <c r="Q190" s="541"/>
      <c r="R190" s="541"/>
      <c r="S190" s="541"/>
    </row>
    <row r="191">
      <c r="A191" s="2688"/>
      <c r="B191" s="195"/>
      <c r="C191" s="195"/>
      <c r="D191" s="195"/>
      <c r="E191" s="195"/>
      <c r="F191" s="195"/>
      <c r="G191" s="195"/>
      <c r="H191" s="195"/>
      <c r="I191" s="195"/>
      <c r="J191" s="2689"/>
      <c r="K191" s="195"/>
      <c r="M191" s="633"/>
      <c r="N191" s="541"/>
      <c r="O191" s="541"/>
      <c r="P191" s="541"/>
      <c r="Q191" s="541"/>
      <c r="R191" s="541"/>
      <c r="S191" s="541"/>
    </row>
    <row r="192">
      <c r="A192" s="2688"/>
      <c r="B192" s="195"/>
      <c r="C192" s="195"/>
      <c r="D192" s="195"/>
      <c r="E192" s="195"/>
      <c r="F192" s="195"/>
      <c r="G192" s="195"/>
      <c r="H192" s="195"/>
      <c r="I192" s="195"/>
      <c r="J192" s="2689"/>
      <c r="K192" s="195"/>
      <c r="M192" s="633"/>
      <c r="N192" s="541"/>
      <c r="O192" s="541"/>
      <c r="P192" s="541"/>
      <c r="Q192" s="541"/>
      <c r="R192" s="541"/>
      <c r="S192" s="541"/>
    </row>
    <row r="193">
      <c r="A193" s="2688"/>
      <c r="B193" s="195"/>
      <c r="C193" s="195"/>
      <c r="D193" s="195"/>
      <c r="E193" s="195"/>
      <c r="F193" s="195"/>
      <c r="G193" s="195"/>
      <c r="H193" s="195"/>
      <c r="I193" s="195"/>
      <c r="J193" s="2689"/>
      <c r="K193" s="195"/>
      <c r="M193" s="633"/>
      <c r="N193" s="541"/>
      <c r="O193" s="541"/>
      <c r="P193" s="541"/>
      <c r="Q193" s="541"/>
      <c r="R193" s="541"/>
      <c r="S193" s="541"/>
    </row>
    <row r="194">
      <c r="A194" s="2688"/>
      <c r="B194" s="195"/>
      <c r="C194" s="195"/>
      <c r="D194" s="195"/>
      <c r="E194" s="195"/>
      <c r="F194" s="195"/>
      <c r="G194" s="195"/>
      <c r="H194" s="195"/>
      <c r="I194" s="195"/>
      <c r="J194" s="2689"/>
      <c r="K194" s="195"/>
      <c r="M194" s="633"/>
      <c r="N194" s="541"/>
      <c r="O194" s="541"/>
      <c r="P194" s="541"/>
      <c r="Q194" s="541"/>
      <c r="R194" s="541"/>
      <c r="S194" s="541"/>
    </row>
    <row r="195">
      <c r="A195" s="2688"/>
      <c r="B195" s="195"/>
      <c r="C195" s="195"/>
      <c r="D195" s="195"/>
      <c r="E195" s="195"/>
      <c r="F195" s="195"/>
      <c r="G195" s="195"/>
      <c r="H195" s="195"/>
      <c r="I195" s="195"/>
      <c r="J195" s="2689"/>
      <c r="K195" s="195"/>
      <c r="M195" s="633"/>
      <c r="N195" s="541"/>
      <c r="O195" s="541"/>
      <c r="P195" s="541"/>
      <c r="Q195" s="541"/>
      <c r="R195" s="541"/>
      <c r="S195" s="541"/>
    </row>
    <row r="196">
      <c r="A196" s="2688"/>
      <c r="B196" s="195"/>
      <c r="C196" s="195"/>
      <c r="D196" s="195"/>
      <c r="E196" s="195"/>
      <c r="F196" s="195"/>
      <c r="G196" s="195"/>
      <c r="H196" s="195"/>
      <c r="I196" s="195"/>
      <c r="J196" s="2689"/>
      <c r="K196" s="195"/>
      <c r="M196" s="633"/>
      <c r="N196" s="541"/>
      <c r="O196" s="541"/>
      <c r="P196" s="541"/>
      <c r="Q196" s="541"/>
      <c r="R196" s="541"/>
      <c r="S196" s="541"/>
    </row>
    <row r="197">
      <c r="A197" s="2688"/>
      <c r="B197" s="195"/>
      <c r="C197" s="195"/>
      <c r="D197" s="195"/>
      <c r="E197" s="195"/>
      <c r="F197" s="195"/>
      <c r="G197" s="195"/>
      <c r="H197" s="195"/>
      <c r="I197" s="195"/>
      <c r="J197" s="2689"/>
      <c r="K197" s="195"/>
      <c r="M197" s="633"/>
      <c r="N197" s="541"/>
      <c r="O197" s="541"/>
      <c r="P197" s="541"/>
      <c r="Q197" s="541"/>
      <c r="R197" s="541"/>
      <c r="S197" s="541"/>
    </row>
    <row r="198">
      <c r="A198" s="2688"/>
      <c r="B198" s="195"/>
      <c r="C198" s="195"/>
      <c r="D198" s="195"/>
      <c r="E198" s="195"/>
      <c r="F198" s="195"/>
      <c r="G198" s="195"/>
      <c r="H198" s="195"/>
      <c r="I198" s="195"/>
      <c r="J198" s="2689"/>
      <c r="K198" s="195"/>
      <c r="M198" s="633"/>
      <c r="N198" s="541"/>
      <c r="O198" s="541"/>
      <c r="P198" s="541"/>
      <c r="Q198" s="541"/>
      <c r="R198" s="541"/>
      <c r="S198" s="541"/>
    </row>
    <row r="199">
      <c r="A199" s="2688"/>
      <c r="B199" s="195"/>
      <c r="C199" s="195"/>
      <c r="D199" s="195"/>
      <c r="E199" s="195"/>
      <c r="F199" s="195"/>
      <c r="G199" s="195"/>
      <c r="H199" s="195"/>
      <c r="I199" s="195"/>
      <c r="J199" s="2689"/>
      <c r="K199" s="195"/>
      <c r="M199" s="633"/>
      <c r="N199" s="541"/>
      <c r="O199" s="541"/>
      <c r="P199" s="541"/>
      <c r="Q199" s="541"/>
      <c r="R199" s="541"/>
      <c r="S199" s="541"/>
    </row>
    <row r="200">
      <c r="A200" s="2688"/>
      <c r="B200" s="195"/>
      <c r="C200" s="195"/>
      <c r="D200" s="195"/>
      <c r="E200" s="195"/>
      <c r="F200" s="195"/>
      <c r="G200" s="195"/>
      <c r="H200" s="195"/>
      <c r="I200" s="195"/>
      <c r="J200" s="2689"/>
      <c r="K200" s="195"/>
      <c r="M200" s="633"/>
      <c r="N200" s="541"/>
      <c r="O200" s="541"/>
      <c r="P200" s="541"/>
      <c r="Q200" s="541"/>
      <c r="R200" s="541"/>
      <c r="S200" s="541"/>
    </row>
    <row r="201">
      <c r="A201" s="2688"/>
      <c r="B201" s="195"/>
      <c r="C201" s="195"/>
      <c r="D201" s="195"/>
      <c r="E201" s="195"/>
      <c r="F201" s="195"/>
      <c r="G201" s="195"/>
      <c r="H201" s="195"/>
      <c r="I201" s="195"/>
      <c r="J201" s="2689"/>
      <c r="K201" s="195"/>
      <c r="M201" s="633"/>
      <c r="N201" s="541"/>
      <c r="O201" s="541"/>
      <c r="P201" s="541"/>
      <c r="Q201" s="541"/>
      <c r="R201" s="541"/>
      <c r="S201" s="541"/>
    </row>
    <row r="202">
      <c r="A202" s="2688"/>
      <c r="B202" s="195"/>
      <c r="C202" s="195"/>
      <c r="D202" s="195"/>
      <c r="E202" s="195"/>
      <c r="F202" s="195"/>
      <c r="G202" s="195"/>
      <c r="H202" s="195"/>
      <c r="I202" s="195"/>
      <c r="J202" s="2689"/>
      <c r="K202" s="195"/>
      <c r="M202" s="633"/>
      <c r="N202" s="541"/>
      <c r="O202" s="541"/>
      <c r="P202" s="541"/>
      <c r="Q202" s="541"/>
      <c r="R202" s="541"/>
      <c r="S202" s="541"/>
    </row>
    <row r="203">
      <c r="A203" s="2688"/>
      <c r="B203" s="195"/>
      <c r="C203" s="195"/>
      <c r="D203" s="195"/>
      <c r="E203" s="195"/>
      <c r="F203" s="195"/>
      <c r="G203" s="195"/>
      <c r="H203" s="195"/>
      <c r="I203" s="195"/>
      <c r="J203" s="2689"/>
      <c r="K203" s="195"/>
      <c r="M203" s="633"/>
      <c r="N203" s="541"/>
      <c r="O203" s="541"/>
      <c r="P203" s="541"/>
      <c r="Q203" s="541"/>
      <c r="R203" s="541"/>
      <c r="S203" s="541"/>
    </row>
    <row r="204">
      <c r="A204" s="2688"/>
      <c r="B204" s="195"/>
      <c r="C204" s="195"/>
      <c r="D204" s="195"/>
      <c r="E204" s="195"/>
      <c r="F204" s="195"/>
      <c r="G204" s="195"/>
      <c r="H204" s="195"/>
      <c r="I204" s="195"/>
      <c r="J204" s="2689"/>
      <c r="K204" s="195"/>
      <c r="M204" s="633"/>
      <c r="N204" s="541"/>
      <c r="O204" s="541"/>
      <c r="P204" s="541"/>
      <c r="Q204" s="541"/>
      <c r="R204" s="541"/>
      <c r="S204" s="541"/>
    </row>
    <row r="205">
      <c r="A205" s="2688"/>
      <c r="B205" s="195"/>
      <c r="C205" s="195"/>
      <c r="D205" s="195"/>
      <c r="E205" s="195"/>
      <c r="F205" s="195"/>
      <c r="G205" s="195"/>
      <c r="H205" s="195"/>
      <c r="I205" s="195"/>
      <c r="J205" s="2689"/>
      <c r="K205" s="195"/>
      <c r="M205" s="633"/>
      <c r="N205" s="541"/>
      <c r="O205" s="541"/>
      <c r="P205" s="541"/>
      <c r="Q205" s="541"/>
      <c r="R205" s="541"/>
      <c r="S205" s="541"/>
    </row>
    <row r="206">
      <c r="A206" s="2688"/>
      <c r="B206" s="195"/>
      <c r="C206" s="195"/>
      <c r="D206" s="195"/>
      <c r="E206" s="195"/>
      <c r="F206" s="195"/>
      <c r="G206" s="195"/>
      <c r="H206" s="195"/>
      <c r="I206" s="195"/>
      <c r="J206" s="2689"/>
      <c r="K206" s="195"/>
      <c r="M206" s="633"/>
      <c r="N206" s="541"/>
      <c r="O206" s="541"/>
      <c r="P206" s="541"/>
      <c r="Q206" s="541"/>
      <c r="R206" s="541"/>
      <c r="S206" s="541"/>
    </row>
    <row r="207">
      <c r="A207" s="2688"/>
      <c r="B207" s="195"/>
      <c r="C207" s="195"/>
      <c r="D207" s="195"/>
      <c r="E207" s="195"/>
      <c r="F207" s="195"/>
      <c r="G207" s="195"/>
      <c r="H207" s="195"/>
      <c r="I207" s="195"/>
      <c r="J207" s="2689"/>
      <c r="K207" s="195"/>
      <c r="M207" s="633"/>
      <c r="N207" s="541"/>
      <c r="O207" s="541"/>
      <c r="P207" s="541"/>
      <c r="Q207" s="541"/>
      <c r="R207" s="541"/>
      <c r="S207" s="541"/>
    </row>
    <row r="208">
      <c r="A208" s="2688"/>
      <c r="B208" s="195"/>
      <c r="C208" s="195"/>
      <c r="D208" s="195"/>
      <c r="E208" s="195"/>
      <c r="F208" s="195"/>
      <c r="G208" s="195"/>
      <c r="H208" s="195"/>
      <c r="I208" s="195"/>
      <c r="J208" s="2689"/>
      <c r="K208" s="195"/>
      <c r="M208" s="633"/>
      <c r="N208" s="541"/>
      <c r="O208" s="541"/>
      <c r="P208" s="541"/>
      <c r="Q208" s="541"/>
      <c r="R208" s="541"/>
      <c r="S208" s="541"/>
    </row>
    <row r="209">
      <c r="A209" s="2688"/>
      <c r="B209" s="195"/>
      <c r="C209" s="195"/>
      <c r="D209" s="195"/>
      <c r="E209" s="195"/>
      <c r="F209" s="195"/>
      <c r="G209" s="195"/>
      <c r="H209" s="195"/>
      <c r="I209" s="195"/>
      <c r="J209" s="2689"/>
      <c r="K209" s="195"/>
      <c r="M209" s="633"/>
      <c r="N209" s="541"/>
      <c r="O209" s="541"/>
      <c r="P209" s="541"/>
      <c r="Q209" s="541"/>
      <c r="R209" s="541"/>
      <c r="S209" s="541"/>
    </row>
    <row r="210">
      <c r="A210" s="2688"/>
      <c r="B210" s="195"/>
      <c r="C210" s="195"/>
      <c r="D210" s="195"/>
      <c r="E210" s="195"/>
      <c r="F210" s="195"/>
      <c r="G210" s="195"/>
      <c r="H210" s="195"/>
      <c r="I210" s="195"/>
      <c r="J210" s="2689"/>
      <c r="K210" s="195"/>
      <c r="M210" s="633"/>
      <c r="N210" s="541"/>
      <c r="O210" s="541"/>
      <c r="P210" s="541"/>
      <c r="Q210" s="541"/>
      <c r="R210" s="541"/>
      <c r="S210" s="541"/>
    </row>
    <row r="211">
      <c r="A211" s="2688"/>
      <c r="B211" s="195"/>
      <c r="C211" s="195"/>
      <c r="D211" s="195"/>
      <c r="E211" s="195"/>
      <c r="F211" s="195"/>
      <c r="G211" s="195"/>
      <c r="H211" s="195"/>
      <c r="I211" s="195"/>
      <c r="J211" s="2689"/>
      <c r="K211" s="195"/>
      <c r="M211" s="633"/>
      <c r="N211" s="541"/>
      <c r="O211" s="541"/>
      <c r="P211" s="541"/>
      <c r="Q211" s="541"/>
      <c r="R211" s="541"/>
      <c r="S211" s="541"/>
    </row>
    <row r="212">
      <c r="A212" s="2688"/>
      <c r="B212" s="195"/>
      <c r="C212" s="195"/>
      <c r="D212" s="195"/>
      <c r="E212" s="195"/>
      <c r="F212" s="195"/>
      <c r="G212" s="195"/>
      <c r="H212" s="195"/>
      <c r="I212" s="195"/>
      <c r="J212" s="2689"/>
      <c r="K212" s="195"/>
      <c r="M212" s="633"/>
      <c r="N212" s="541"/>
      <c r="O212" s="541"/>
      <c r="P212" s="541"/>
      <c r="Q212" s="541"/>
      <c r="R212" s="541"/>
      <c r="S212" s="541"/>
    </row>
    <row r="213">
      <c r="A213" s="2688"/>
      <c r="B213" s="195"/>
      <c r="C213" s="195"/>
      <c r="D213" s="195"/>
      <c r="E213" s="195"/>
      <c r="F213" s="195"/>
      <c r="G213" s="195"/>
      <c r="H213" s="195"/>
      <c r="I213" s="195"/>
      <c r="J213" s="2689"/>
      <c r="K213" s="195"/>
      <c r="M213" s="633"/>
      <c r="N213" s="541"/>
      <c r="O213" s="541"/>
      <c r="P213" s="541"/>
      <c r="Q213" s="541"/>
      <c r="R213" s="541"/>
      <c r="S213" s="541"/>
    </row>
    <row r="214">
      <c r="A214" s="2688"/>
      <c r="B214" s="195"/>
      <c r="C214" s="195"/>
      <c r="D214" s="195"/>
      <c r="E214" s="195"/>
      <c r="F214" s="195"/>
      <c r="G214" s="195"/>
      <c r="H214" s="195"/>
      <c r="I214" s="195"/>
      <c r="J214" s="2689"/>
      <c r="K214" s="195"/>
      <c r="M214" s="633"/>
      <c r="N214" s="541"/>
      <c r="O214" s="541"/>
      <c r="P214" s="541"/>
      <c r="Q214" s="541"/>
      <c r="R214" s="541"/>
      <c r="S214" s="541"/>
    </row>
    <row r="215">
      <c r="A215" s="2688"/>
      <c r="B215" s="195"/>
      <c r="C215" s="195"/>
      <c r="D215" s="195"/>
      <c r="E215" s="195"/>
      <c r="F215" s="195"/>
      <c r="G215" s="195"/>
      <c r="H215" s="195"/>
      <c r="I215" s="195"/>
      <c r="J215" s="2689"/>
      <c r="K215" s="195"/>
      <c r="M215" s="633"/>
      <c r="N215" s="541"/>
      <c r="O215" s="541"/>
      <c r="P215" s="541"/>
      <c r="Q215" s="541"/>
      <c r="R215" s="541"/>
      <c r="S215" s="541"/>
    </row>
    <row r="216">
      <c r="A216" s="2688"/>
      <c r="B216" s="195"/>
      <c r="C216" s="195"/>
      <c r="D216" s="195"/>
      <c r="E216" s="195"/>
      <c r="F216" s="195"/>
      <c r="G216" s="195"/>
      <c r="H216" s="195"/>
      <c r="I216" s="195"/>
      <c r="J216" s="2689"/>
      <c r="K216" s="195"/>
      <c r="M216" s="633"/>
      <c r="N216" s="541"/>
      <c r="O216" s="541"/>
      <c r="P216" s="541"/>
      <c r="Q216" s="541"/>
      <c r="R216" s="541"/>
      <c r="S216" s="541"/>
    </row>
    <row r="217">
      <c r="A217" s="2688"/>
      <c r="B217" s="195"/>
      <c r="C217" s="195"/>
      <c r="D217" s="195"/>
      <c r="E217" s="195"/>
      <c r="F217" s="195"/>
      <c r="G217" s="195"/>
      <c r="H217" s="195"/>
      <c r="I217" s="195"/>
      <c r="J217" s="2689"/>
      <c r="K217" s="195"/>
      <c r="M217" s="633"/>
      <c r="N217" s="541"/>
      <c r="O217" s="541"/>
      <c r="P217" s="541"/>
      <c r="Q217" s="541"/>
      <c r="R217" s="541"/>
      <c r="S217" s="541"/>
    </row>
    <row r="218">
      <c r="A218" s="2688"/>
      <c r="B218" s="195"/>
      <c r="C218" s="195"/>
      <c r="D218" s="195"/>
      <c r="E218" s="195"/>
      <c r="F218" s="195"/>
      <c r="G218" s="195"/>
      <c r="H218" s="195"/>
      <c r="I218" s="195"/>
      <c r="J218" s="2689"/>
      <c r="K218" s="195"/>
      <c r="M218" s="633"/>
      <c r="N218" s="541"/>
      <c r="O218" s="541"/>
      <c r="P218" s="541"/>
      <c r="Q218" s="541"/>
      <c r="R218" s="541"/>
      <c r="S218" s="541"/>
    </row>
    <row r="219">
      <c r="A219" s="2688"/>
      <c r="B219" s="195"/>
      <c r="C219" s="195"/>
      <c r="D219" s="195"/>
      <c r="E219" s="195"/>
      <c r="F219" s="195"/>
      <c r="G219" s="195"/>
      <c r="H219" s="195"/>
      <c r="I219" s="195"/>
      <c r="J219" s="2689"/>
      <c r="K219" s="195"/>
      <c r="M219" s="633"/>
      <c r="N219" s="541"/>
      <c r="O219" s="541"/>
      <c r="P219" s="541"/>
      <c r="Q219" s="541"/>
      <c r="R219" s="541"/>
      <c r="S219" s="541"/>
    </row>
    <row r="220">
      <c r="A220" s="2688"/>
      <c r="B220" s="195"/>
      <c r="C220" s="195"/>
      <c r="D220" s="195"/>
      <c r="E220" s="195"/>
      <c r="F220" s="195"/>
      <c r="G220" s="195"/>
      <c r="H220" s="195"/>
      <c r="I220" s="195"/>
      <c r="J220" s="2689"/>
      <c r="K220" s="195"/>
      <c r="M220" s="633"/>
      <c r="N220" s="541"/>
      <c r="O220" s="541"/>
      <c r="P220" s="541"/>
      <c r="Q220" s="541"/>
      <c r="R220" s="541"/>
      <c r="S220" s="541"/>
    </row>
    <row r="221">
      <c r="A221" s="2688"/>
      <c r="B221" s="195"/>
      <c r="C221" s="195"/>
      <c r="D221" s="195"/>
      <c r="E221" s="195"/>
      <c r="F221" s="195"/>
      <c r="G221" s="195"/>
      <c r="H221" s="195"/>
      <c r="I221" s="195"/>
      <c r="J221" s="2689"/>
      <c r="K221" s="195"/>
      <c r="M221" s="633"/>
      <c r="N221" s="541"/>
      <c r="O221" s="541"/>
      <c r="P221" s="541"/>
      <c r="Q221" s="541"/>
      <c r="R221" s="541"/>
      <c r="S221" s="541"/>
    </row>
    <row r="222">
      <c r="A222" s="2688"/>
      <c r="B222" s="195"/>
      <c r="C222" s="195"/>
      <c r="D222" s="195"/>
      <c r="E222" s="195"/>
      <c r="F222" s="195"/>
      <c r="G222" s="195"/>
      <c r="H222" s="195"/>
      <c r="I222" s="195"/>
      <c r="J222" s="2689"/>
      <c r="K222" s="195"/>
      <c r="M222" s="633"/>
      <c r="N222" s="541"/>
      <c r="O222" s="541"/>
      <c r="P222" s="541"/>
      <c r="Q222" s="541"/>
      <c r="R222" s="541"/>
      <c r="S222" s="541"/>
    </row>
    <row r="223">
      <c r="A223" s="2688"/>
      <c r="B223" s="195"/>
      <c r="C223" s="195"/>
      <c r="D223" s="195"/>
      <c r="E223" s="195"/>
      <c r="F223" s="195"/>
      <c r="G223" s="195"/>
      <c r="H223" s="195"/>
      <c r="I223" s="195"/>
      <c r="J223" s="2689"/>
      <c r="K223" s="195"/>
      <c r="M223" s="633"/>
      <c r="N223" s="541"/>
      <c r="O223" s="541"/>
      <c r="P223" s="541"/>
      <c r="Q223" s="541"/>
      <c r="R223" s="541"/>
      <c r="S223" s="541"/>
    </row>
    <row r="224">
      <c r="A224" s="2688"/>
      <c r="B224" s="195"/>
      <c r="C224" s="195"/>
      <c r="D224" s="195"/>
      <c r="E224" s="195"/>
      <c r="F224" s="195"/>
      <c r="G224" s="195"/>
      <c r="H224" s="195"/>
      <c r="I224" s="195"/>
      <c r="J224" s="2689"/>
      <c r="K224" s="195"/>
      <c r="M224" s="633"/>
      <c r="N224" s="541"/>
      <c r="O224" s="541"/>
      <c r="P224" s="541"/>
      <c r="Q224" s="541"/>
      <c r="R224" s="541"/>
      <c r="S224" s="541"/>
    </row>
    <row r="225">
      <c r="A225" s="2688"/>
      <c r="B225" s="195"/>
      <c r="C225" s="195"/>
      <c r="D225" s="195"/>
      <c r="E225" s="195"/>
      <c r="F225" s="195"/>
      <c r="G225" s="195"/>
      <c r="H225" s="195"/>
      <c r="I225" s="195"/>
      <c r="J225" s="2689"/>
      <c r="K225" s="195"/>
      <c r="M225" s="633"/>
      <c r="N225" s="541"/>
      <c r="O225" s="541"/>
      <c r="P225" s="541"/>
      <c r="Q225" s="541"/>
      <c r="R225" s="541"/>
      <c r="S225" s="541"/>
    </row>
    <row r="226">
      <c r="A226" s="2688"/>
      <c r="B226" s="195"/>
      <c r="C226" s="195"/>
      <c r="D226" s="195"/>
      <c r="E226" s="195"/>
      <c r="F226" s="195"/>
      <c r="G226" s="195"/>
      <c r="H226" s="195"/>
      <c r="I226" s="195"/>
      <c r="J226" s="2689"/>
      <c r="K226" s="195"/>
      <c r="M226" s="633"/>
      <c r="N226" s="541"/>
      <c r="O226" s="541"/>
      <c r="P226" s="541"/>
      <c r="Q226" s="541"/>
      <c r="R226" s="541"/>
      <c r="S226" s="541"/>
    </row>
    <row r="227">
      <c r="A227" s="2688"/>
      <c r="B227" s="195"/>
      <c r="C227" s="195"/>
      <c r="D227" s="195"/>
      <c r="E227" s="195"/>
      <c r="F227" s="195"/>
      <c r="G227" s="195"/>
      <c r="H227" s="195"/>
      <c r="I227" s="195"/>
      <c r="J227" s="2689"/>
      <c r="K227" s="195"/>
      <c r="M227" s="633"/>
      <c r="N227" s="541"/>
      <c r="O227" s="541"/>
      <c r="P227" s="541"/>
      <c r="Q227" s="541"/>
      <c r="R227" s="541"/>
      <c r="S227" s="541"/>
    </row>
    <row r="228">
      <c r="A228" s="2688"/>
      <c r="B228" s="195"/>
      <c r="C228" s="195"/>
      <c r="D228" s="195"/>
      <c r="E228" s="195"/>
      <c r="F228" s="195"/>
      <c r="G228" s="195"/>
      <c r="H228" s="195"/>
      <c r="I228" s="195"/>
      <c r="J228" s="2689"/>
      <c r="K228" s="195"/>
      <c r="M228" s="633"/>
      <c r="N228" s="541"/>
      <c r="O228" s="541"/>
      <c r="P228" s="541"/>
      <c r="Q228" s="541"/>
      <c r="R228" s="541"/>
      <c r="S228" s="541"/>
    </row>
    <row r="229">
      <c r="A229" s="2688"/>
      <c r="B229" s="195"/>
      <c r="C229" s="195"/>
      <c r="D229" s="195"/>
      <c r="E229" s="195"/>
      <c r="F229" s="195"/>
      <c r="G229" s="195"/>
      <c r="H229" s="195"/>
      <c r="I229" s="195"/>
      <c r="J229" s="2689"/>
      <c r="K229" s="195"/>
      <c r="M229" s="633"/>
      <c r="N229" s="541"/>
      <c r="O229" s="541"/>
      <c r="P229" s="541"/>
      <c r="Q229" s="541"/>
      <c r="R229" s="541"/>
      <c r="S229" s="541"/>
    </row>
    <row r="230">
      <c r="A230" s="2688"/>
      <c r="B230" s="195"/>
      <c r="C230" s="195"/>
      <c r="D230" s="195"/>
      <c r="E230" s="195"/>
      <c r="F230" s="195"/>
      <c r="G230" s="195"/>
      <c r="H230" s="195"/>
      <c r="I230" s="195"/>
      <c r="J230" s="2689"/>
      <c r="K230" s="195"/>
      <c r="M230" s="633"/>
      <c r="N230" s="541"/>
      <c r="O230" s="541"/>
      <c r="P230" s="541"/>
      <c r="Q230" s="541"/>
      <c r="R230" s="541"/>
      <c r="S230" s="541"/>
    </row>
    <row r="231">
      <c r="A231" s="2688"/>
      <c r="B231" s="195"/>
      <c r="C231" s="195"/>
      <c r="D231" s="195"/>
      <c r="E231" s="195"/>
      <c r="F231" s="195"/>
      <c r="G231" s="195"/>
      <c r="H231" s="195"/>
      <c r="I231" s="195"/>
      <c r="J231" s="2689"/>
      <c r="K231" s="195"/>
      <c r="M231" s="633"/>
      <c r="N231" s="541"/>
      <c r="O231" s="541"/>
      <c r="P231" s="541"/>
      <c r="Q231" s="541"/>
      <c r="R231" s="541"/>
      <c r="S231" s="541"/>
    </row>
    <row r="232">
      <c r="A232" s="2688"/>
      <c r="B232" s="195"/>
      <c r="C232" s="195"/>
      <c r="D232" s="195"/>
      <c r="E232" s="195"/>
      <c r="F232" s="195"/>
      <c r="G232" s="195"/>
      <c r="H232" s="195"/>
      <c r="I232" s="195"/>
      <c r="J232" s="2689"/>
      <c r="K232" s="195"/>
      <c r="M232" s="633"/>
      <c r="N232" s="541"/>
      <c r="O232" s="541"/>
      <c r="P232" s="541"/>
      <c r="Q232" s="541"/>
      <c r="R232" s="541"/>
      <c r="S232" s="541"/>
    </row>
    <row r="233">
      <c r="A233" s="2688"/>
      <c r="B233" s="195"/>
      <c r="C233" s="195"/>
      <c r="D233" s="195"/>
      <c r="E233" s="195"/>
      <c r="F233" s="195"/>
      <c r="G233" s="195"/>
      <c r="H233" s="195"/>
      <c r="I233" s="195"/>
      <c r="J233" s="2689"/>
      <c r="K233" s="195"/>
      <c r="M233" s="633"/>
      <c r="N233" s="541"/>
      <c r="O233" s="541"/>
      <c r="P233" s="541"/>
      <c r="Q233" s="541"/>
      <c r="R233" s="541"/>
      <c r="S233" s="541"/>
    </row>
    <row r="234">
      <c r="A234" s="2688"/>
      <c r="B234" s="195"/>
      <c r="C234" s="195"/>
      <c r="D234" s="195"/>
      <c r="E234" s="195"/>
      <c r="F234" s="195"/>
      <c r="G234" s="195"/>
      <c r="H234" s="195"/>
      <c r="I234" s="195"/>
      <c r="J234" s="2689"/>
      <c r="K234" s="195"/>
      <c r="M234" s="633"/>
      <c r="N234" s="541"/>
      <c r="O234" s="541"/>
      <c r="P234" s="541"/>
      <c r="Q234" s="541"/>
      <c r="R234" s="541"/>
      <c r="S234" s="541"/>
    </row>
    <row r="235">
      <c r="A235" s="2688"/>
      <c r="B235" s="195"/>
      <c r="C235" s="195"/>
      <c r="D235" s="195"/>
      <c r="E235" s="195"/>
      <c r="F235" s="195"/>
      <c r="G235" s="195"/>
      <c r="H235" s="195"/>
      <c r="I235" s="195"/>
      <c r="J235" s="2689"/>
      <c r="K235" s="195"/>
      <c r="M235" s="633"/>
      <c r="N235" s="541"/>
      <c r="O235" s="541"/>
      <c r="P235" s="541"/>
      <c r="Q235" s="541"/>
      <c r="R235" s="541"/>
      <c r="S235" s="541"/>
    </row>
    <row r="236">
      <c r="A236" s="2688"/>
      <c r="B236" s="195"/>
      <c r="C236" s="195"/>
      <c r="D236" s="195"/>
      <c r="E236" s="195"/>
      <c r="F236" s="195"/>
      <c r="G236" s="195"/>
      <c r="H236" s="195"/>
      <c r="I236" s="195"/>
      <c r="J236" s="2689"/>
      <c r="K236" s="195"/>
      <c r="M236" s="633"/>
      <c r="N236" s="541"/>
      <c r="O236" s="541"/>
      <c r="P236" s="541"/>
      <c r="Q236" s="541"/>
      <c r="R236" s="541"/>
      <c r="S236" s="541"/>
    </row>
    <row r="237">
      <c r="A237" s="2688"/>
      <c r="B237" s="195"/>
      <c r="C237" s="195"/>
      <c r="D237" s="195"/>
      <c r="E237" s="195"/>
      <c r="F237" s="195"/>
      <c r="G237" s="195"/>
      <c r="H237" s="195"/>
      <c r="I237" s="195"/>
      <c r="J237" s="2689"/>
      <c r="K237" s="195"/>
      <c r="M237" s="633"/>
      <c r="N237" s="541"/>
      <c r="O237" s="541"/>
      <c r="P237" s="541"/>
      <c r="Q237" s="541"/>
      <c r="R237" s="541"/>
      <c r="S237" s="541"/>
    </row>
    <row r="238">
      <c r="A238" s="2688"/>
      <c r="B238" s="195"/>
      <c r="C238" s="195"/>
      <c r="D238" s="195"/>
      <c r="E238" s="195"/>
      <c r="F238" s="195"/>
      <c r="G238" s="195"/>
      <c r="H238" s="195"/>
      <c r="I238" s="195"/>
      <c r="J238" s="2689"/>
      <c r="K238" s="195"/>
      <c r="M238" s="633"/>
      <c r="N238" s="541"/>
      <c r="O238" s="541"/>
      <c r="P238" s="541"/>
      <c r="Q238" s="541"/>
      <c r="R238" s="541"/>
      <c r="S238" s="541"/>
    </row>
    <row r="239">
      <c r="A239" s="2688"/>
      <c r="B239" s="195"/>
      <c r="C239" s="195"/>
      <c r="D239" s="195"/>
      <c r="E239" s="195"/>
      <c r="F239" s="195"/>
      <c r="G239" s="195"/>
      <c r="H239" s="195"/>
      <c r="I239" s="195"/>
      <c r="J239" s="2689"/>
      <c r="K239" s="195"/>
      <c r="M239" s="633"/>
      <c r="N239" s="541"/>
      <c r="O239" s="541"/>
      <c r="P239" s="541"/>
      <c r="Q239" s="541"/>
      <c r="R239" s="541"/>
      <c r="S239" s="541"/>
    </row>
    <row r="240">
      <c r="A240" s="2688"/>
      <c r="B240" s="195"/>
      <c r="C240" s="195"/>
      <c r="D240" s="195"/>
      <c r="E240" s="195"/>
      <c r="F240" s="195"/>
      <c r="G240" s="195"/>
      <c r="H240" s="195"/>
      <c r="I240" s="195"/>
      <c r="J240" s="2689"/>
      <c r="K240" s="195"/>
      <c r="M240" s="633"/>
      <c r="N240" s="541"/>
      <c r="O240" s="541"/>
      <c r="P240" s="541"/>
      <c r="Q240" s="541"/>
      <c r="R240" s="541"/>
      <c r="S240" s="541"/>
    </row>
    <row r="241">
      <c r="A241" s="2688"/>
      <c r="B241" s="195"/>
      <c r="C241" s="195"/>
      <c r="D241" s="195"/>
      <c r="E241" s="195"/>
      <c r="F241" s="195"/>
      <c r="G241" s="195"/>
      <c r="H241" s="195"/>
      <c r="I241" s="195"/>
      <c r="J241" s="2689"/>
      <c r="K241" s="195"/>
      <c r="M241" s="633"/>
      <c r="N241" s="541"/>
      <c r="O241" s="541"/>
      <c r="P241" s="541"/>
      <c r="Q241" s="541"/>
      <c r="R241" s="541"/>
      <c r="S241" s="541"/>
    </row>
    <row r="242">
      <c r="A242" s="2688"/>
      <c r="B242" s="195"/>
      <c r="C242" s="195"/>
      <c r="D242" s="195"/>
      <c r="E242" s="195"/>
      <c r="F242" s="195"/>
      <c r="G242" s="195"/>
      <c r="H242" s="195"/>
      <c r="I242" s="195"/>
      <c r="J242" s="2689"/>
      <c r="K242" s="195"/>
      <c r="M242" s="633"/>
      <c r="N242" s="541"/>
      <c r="O242" s="541"/>
      <c r="P242" s="541"/>
      <c r="Q242" s="541"/>
      <c r="R242" s="541"/>
      <c r="S242" s="541"/>
    </row>
    <row r="243">
      <c r="A243" s="2688"/>
      <c r="B243" s="195"/>
      <c r="C243" s="195"/>
      <c r="D243" s="195"/>
      <c r="E243" s="195"/>
      <c r="F243" s="195"/>
      <c r="G243" s="195"/>
      <c r="H243" s="195"/>
      <c r="I243" s="195"/>
      <c r="J243" s="2689"/>
      <c r="K243" s="195"/>
      <c r="M243" s="633"/>
      <c r="N243" s="541"/>
      <c r="O243" s="541"/>
      <c r="P243" s="541"/>
      <c r="Q243" s="541"/>
      <c r="R243" s="541"/>
      <c r="S243" s="541"/>
    </row>
    <row r="244">
      <c r="A244" s="2688"/>
      <c r="B244" s="195"/>
      <c r="C244" s="195"/>
      <c r="D244" s="195"/>
      <c r="E244" s="195"/>
      <c r="F244" s="195"/>
      <c r="G244" s="195"/>
      <c r="H244" s="195"/>
      <c r="I244" s="195"/>
      <c r="J244" s="2689"/>
      <c r="K244" s="195"/>
      <c r="M244" s="633"/>
      <c r="N244" s="541"/>
      <c r="O244" s="541"/>
      <c r="P244" s="541"/>
      <c r="Q244" s="541"/>
      <c r="R244" s="541"/>
      <c r="S244" s="541"/>
    </row>
    <row r="245">
      <c r="A245" s="2688"/>
      <c r="B245" s="195"/>
      <c r="C245" s="195"/>
      <c r="D245" s="195"/>
      <c r="E245" s="195"/>
      <c r="F245" s="195"/>
      <c r="G245" s="195"/>
      <c r="H245" s="195"/>
      <c r="I245" s="195"/>
      <c r="J245" s="2689"/>
      <c r="K245" s="195"/>
      <c r="M245" s="633"/>
      <c r="N245" s="541"/>
      <c r="O245" s="541"/>
      <c r="P245" s="541"/>
      <c r="Q245" s="541"/>
      <c r="R245" s="541"/>
      <c r="S245" s="541"/>
    </row>
    <row r="246">
      <c r="A246" s="2688"/>
      <c r="B246" s="195"/>
      <c r="C246" s="195"/>
      <c r="D246" s="195"/>
      <c r="E246" s="195"/>
      <c r="F246" s="195"/>
      <c r="G246" s="195"/>
      <c r="H246" s="195"/>
      <c r="I246" s="195"/>
      <c r="J246" s="2689"/>
      <c r="K246" s="195"/>
      <c r="M246" s="633"/>
      <c r="N246" s="541"/>
      <c r="O246" s="541"/>
      <c r="P246" s="541"/>
      <c r="Q246" s="541"/>
      <c r="R246" s="541"/>
      <c r="S246" s="541"/>
    </row>
    <row r="247">
      <c r="A247" s="2688"/>
      <c r="B247" s="195"/>
      <c r="C247" s="195"/>
      <c r="D247" s="195"/>
      <c r="E247" s="195"/>
      <c r="F247" s="195"/>
      <c r="G247" s="195"/>
      <c r="H247" s="195"/>
      <c r="I247" s="195"/>
      <c r="J247" s="2689"/>
      <c r="K247" s="195"/>
      <c r="M247" s="633"/>
      <c r="N247" s="541"/>
      <c r="O247" s="541"/>
      <c r="P247" s="541"/>
      <c r="Q247" s="541"/>
      <c r="R247" s="541"/>
      <c r="S247" s="541"/>
    </row>
    <row r="248">
      <c r="A248" s="2688"/>
      <c r="B248" s="195"/>
      <c r="C248" s="195"/>
      <c r="D248" s="195"/>
      <c r="E248" s="195"/>
      <c r="F248" s="195"/>
      <c r="G248" s="195"/>
      <c r="H248" s="195"/>
      <c r="I248" s="195"/>
      <c r="J248" s="2689"/>
      <c r="K248" s="195"/>
      <c r="M248" s="633"/>
      <c r="N248" s="541"/>
      <c r="O248" s="541"/>
      <c r="P248" s="541"/>
      <c r="Q248" s="541"/>
      <c r="R248" s="541"/>
      <c r="S248" s="541"/>
    </row>
    <row r="249">
      <c r="A249" s="2688"/>
      <c r="B249" s="195"/>
      <c r="C249" s="195"/>
      <c r="D249" s="195"/>
      <c r="E249" s="195"/>
      <c r="F249" s="195"/>
      <c r="G249" s="195"/>
      <c r="H249" s="195"/>
      <c r="I249" s="195"/>
      <c r="J249" s="2689"/>
      <c r="K249" s="195"/>
      <c r="M249" s="633"/>
      <c r="N249" s="541"/>
      <c r="O249" s="541"/>
      <c r="P249" s="541"/>
      <c r="Q249" s="541"/>
      <c r="R249" s="541"/>
      <c r="S249" s="541"/>
    </row>
    <row r="250">
      <c r="A250" s="2688"/>
      <c r="B250" s="195"/>
      <c r="C250" s="195"/>
      <c r="D250" s="195"/>
      <c r="E250" s="195"/>
      <c r="F250" s="195"/>
      <c r="G250" s="195"/>
      <c r="H250" s="195"/>
      <c r="I250" s="195"/>
      <c r="J250" s="2689"/>
      <c r="K250" s="195"/>
      <c r="M250" s="633"/>
      <c r="N250" s="541"/>
      <c r="O250" s="541"/>
      <c r="P250" s="541"/>
      <c r="Q250" s="541"/>
      <c r="R250" s="541"/>
      <c r="S250" s="541"/>
    </row>
    <row r="251">
      <c r="A251" s="2688"/>
      <c r="B251" s="195"/>
      <c r="C251" s="195"/>
      <c r="D251" s="195"/>
      <c r="E251" s="195"/>
      <c r="F251" s="195"/>
      <c r="G251" s="195"/>
      <c r="H251" s="195"/>
      <c r="I251" s="195"/>
      <c r="J251" s="2689"/>
      <c r="K251" s="195"/>
      <c r="M251" s="633"/>
      <c r="N251" s="541"/>
      <c r="O251" s="541"/>
      <c r="P251" s="541"/>
      <c r="Q251" s="541"/>
      <c r="R251" s="541"/>
      <c r="S251" s="541"/>
    </row>
    <row r="252">
      <c r="A252" s="2688"/>
      <c r="B252" s="195"/>
      <c r="C252" s="195"/>
      <c r="D252" s="195"/>
      <c r="E252" s="195"/>
      <c r="F252" s="195"/>
      <c r="G252" s="195"/>
      <c r="H252" s="195"/>
      <c r="I252" s="195"/>
      <c r="J252" s="2689"/>
      <c r="K252" s="195"/>
      <c r="M252" s="633"/>
      <c r="N252" s="541"/>
      <c r="O252" s="541"/>
      <c r="P252" s="541"/>
      <c r="Q252" s="541"/>
      <c r="R252" s="541"/>
      <c r="S252" s="541"/>
    </row>
    <row r="253">
      <c r="A253" s="2688"/>
      <c r="B253" s="195"/>
      <c r="C253" s="195"/>
      <c r="D253" s="195"/>
      <c r="E253" s="195"/>
      <c r="F253" s="195"/>
      <c r="G253" s="195"/>
      <c r="H253" s="195"/>
      <c r="I253" s="195"/>
      <c r="J253" s="2689"/>
      <c r="K253" s="195"/>
      <c r="M253" s="633"/>
      <c r="N253" s="541"/>
      <c r="O253" s="541"/>
      <c r="P253" s="541"/>
      <c r="Q253" s="541"/>
      <c r="R253" s="541"/>
      <c r="S253" s="541"/>
    </row>
    <row r="254">
      <c r="A254" s="2688"/>
      <c r="B254" s="195"/>
      <c r="C254" s="195"/>
      <c r="D254" s="195"/>
      <c r="E254" s="195"/>
      <c r="F254" s="195"/>
      <c r="G254" s="195"/>
      <c r="H254" s="195"/>
      <c r="I254" s="195"/>
      <c r="J254" s="2689"/>
      <c r="K254" s="195"/>
      <c r="M254" s="633"/>
      <c r="N254" s="541"/>
      <c r="O254" s="541"/>
      <c r="P254" s="541"/>
      <c r="Q254" s="541"/>
      <c r="R254" s="541"/>
      <c r="S254" s="541"/>
    </row>
    <row r="255">
      <c r="A255" s="2688"/>
      <c r="B255" s="195"/>
      <c r="C255" s="195"/>
      <c r="D255" s="195"/>
      <c r="E255" s="195"/>
      <c r="F255" s="195"/>
      <c r="G255" s="195"/>
      <c r="H255" s="195"/>
      <c r="I255" s="195"/>
      <c r="J255" s="2689"/>
      <c r="K255" s="195"/>
      <c r="M255" s="633"/>
      <c r="N255" s="541"/>
      <c r="O255" s="541"/>
      <c r="P255" s="541"/>
      <c r="Q255" s="541"/>
      <c r="R255" s="541"/>
      <c r="S255" s="541"/>
    </row>
    <row r="256">
      <c r="A256" s="2688"/>
      <c r="B256" s="195"/>
      <c r="C256" s="195"/>
      <c r="D256" s="195"/>
      <c r="E256" s="195"/>
      <c r="F256" s="195"/>
      <c r="G256" s="195"/>
      <c r="H256" s="195"/>
      <c r="I256" s="195"/>
      <c r="J256" s="2689"/>
      <c r="K256" s="195"/>
      <c r="M256" s="633"/>
      <c r="N256" s="541"/>
      <c r="O256" s="541"/>
      <c r="P256" s="541"/>
      <c r="Q256" s="541"/>
      <c r="R256" s="541"/>
      <c r="S256" s="541"/>
    </row>
    <row r="257">
      <c r="A257" s="2688"/>
      <c r="B257" s="195"/>
      <c r="C257" s="195"/>
      <c r="D257" s="195"/>
      <c r="E257" s="195"/>
      <c r="F257" s="195"/>
      <c r="G257" s="195"/>
      <c r="H257" s="195"/>
      <c r="I257" s="195"/>
      <c r="J257" s="2689"/>
      <c r="K257" s="195"/>
      <c r="M257" s="633"/>
      <c r="N257" s="541"/>
      <c r="O257" s="541"/>
      <c r="P257" s="541"/>
      <c r="Q257" s="541"/>
      <c r="R257" s="541"/>
      <c r="S257" s="541"/>
    </row>
    <row r="258">
      <c r="A258" s="2688"/>
      <c r="B258" s="195"/>
      <c r="C258" s="195"/>
      <c r="D258" s="195"/>
      <c r="E258" s="195"/>
      <c r="F258" s="195"/>
      <c r="G258" s="195"/>
      <c r="H258" s="195"/>
      <c r="I258" s="195"/>
      <c r="J258" s="2689"/>
      <c r="K258" s="195"/>
      <c r="M258" s="633"/>
      <c r="N258" s="541"/>
      <c r="O258" s="541"/>
      <c r="P258" s="541"/>
      <c r="Q258" s="541"/>
      <c r="R258" s="541"/>
      <c r="S258" s="541"/>
    </row>
    <row r="259">
      <c r="A259" s="2688"/>
      <c r="B259" s="195"/>
      <c r="C259" s="195"/>
      <c r="D259" s="195"/>
      <c r="E259" s="195"/>
      <c r="F259" s="195"/>
      <c r="G259" s="195"/>
      <c r="H259" s="195"/>
      <c r="I259" s="195"/>
      <c r="J259" s="2689"/>
      <c r="K259" s="195"/>
      <c r="M259" s="633"/>
      <c r="N259" s="541"/>
      <c r="O259" s="541"/>
      <c r="P259" s="541"/>
      <c r="Q259" s="541"/>
      <c r="R259" s="541"/>
      <c r="S259" s="541"/>
    </row>
    <row r="260">
      <c r="A260" s="2688"/>
      <c r="B260" s="195"/>
      <c r="C260" s="195"/>
      <c r="D260" s="195"/>
      <c r="E260" s="195"/>
      <c r="F260" s="195"/>
      <c r="G260" s="195"/>
      <c r="H260" s="195"/>
      <c r="I260" s="195"/>
      <c r="J260" s="2689"/>
      <c r="K260" s="195"/>
      <c r="M260" s="633"/>
      <c r="N260" s="541"/>
      <c r="O260" s="541"/>
      <c r="P260" s="541"/>
      <c r="Q260" s="541"/>
      <c r="R260" s="541"/>
      <c r="S260" s="541"/>
    </row>
    <row r="261">
      <c r="A261" s="2688"/>
      <c r="B261" s="195"/>
      <c r="C261" s="195"/>
      <c r="D261" s="195"/>
      <c r="E261" s="195"/>
      <c r="F261" s="195"/>
      <c r="G261" s="195"/>
      <c r="H261" s="195"/>
      <c r="I261" s="195"/>
      <c r="J261" s="2689"/>
      <c r="K261" s="195"/>
      <c r="M261" s="633"/>
      <c r="N261" s="541"/>
      <c r="O261" s="541"/>
      <c r="P261" s="541"/>
      <c r="Q261" s="541"/>
      <c r="R261" s="541"/>
      <c r="S261" s="541"/>
    </row>
    <row r="262">
      <c r="A262" s="2688"/>
      <c r="B262" s="195"/>
      <c r="C262" s="195"/>
      <c r="D262" s="195"/>
      <c r="E262" s="195"/>
      <c r="F262" s="195"/>
      <c r="G262" s="195"/>
      <c r="H262" s="195"/>
      <c r="I262" s="195"/>
      <c r="J262" s="2689"/>
      <c r="K262" s="195"/>
      <c r="M262" s="633"/>
      <c r="N262" s="541"/>
      <c r="O262" s="541"/>
      <c r="P262" s="541"/>
      <c r="Q262" s="541"/>
      <c r="R262" s="541"/>
      <c r="S262" s="541"/>
    </row>
    <row r="263">
      <c r="A263" s="2688"/>
      <c r="B263" s="195"/>
      <c r="C263" s="195"/>
      <c r="D263" s="195"/>
      <c r="E263" s="195"/>
      <c r="F263" s="195"/>
      <c r="G263" s="195"/>
      <c r="H263" s="195"/>
      <c r="I263" s="195"/>
      <c r="J263" s="2689"/>
      <c r="K263" s="195"/>
      <c r="M263" s="633"/>
      <c r="N263" s="541"/>
      <c r="O263" s="541"/>
      <c r="P263" s="541"/>
      <c r="Q263" s="541"/>
      <c r="R263" s="541"/>
      <c r="S263" s="541"/>
    </row>
    <row r="264">
      <c r="A264" s="2688"/>
      <c r="B264" s="195"/>
      <c r="C264" s="195"/>
      <c r="D264" s="195"/>
      <c r="E264" s="195"/>
      <c r="F264" s="195"/>
      <c r="G264" s="195"/>
      <c r="H264" s="195"/>
      <c r="I264" s="195"/>
      <c r="J264" s="2689"/>
      <c r="K264" s="195"/>
      <c r="M264" s="633"/>
      <c r="N264" s="541"/>
      <c r="O264" s="541"/>
      <c r="P264" s="541"/>
      <c r="Q264" s="541"/>
      <c r="R264" s="541"/>
      <c r="S264" s="541"/>
    </row>
    <row r="265">
      <c r="A265" s="2688"/>
      <c r="B265" s="195"/>
      <c r="C265" s="195"/>
      <c r="D265" s="195"/>
      <c r="E265" s="195"/>
      <c r="F265" s="195"/>
      <c r="G265" s="195"/>
      <c r="H265" s="195"/>
      <c r="I265" s="195"/>
      <c r="J265" s="2689"/>
      <c r="K265" s="195"/>
      <c r="M265" s="633"/>
      <c r="N265" s="541"/>
      <c r="O265" s="541"/>
      <c r="P265" s="541"/>
      <c r="Q265" s="541"/>
      <c r="R265" s="541"/>
      <c r="S265" s="541"/>
    </row>
    <row r="266">
      <c r="A266" s="2688"/>
      <c r="B266" s="195"/>
      <c r="C266" s="195"/>
      <c r="D266" s="195"/>
      <c r="E266" s="195"/>
      <c r="F266" s="195"/>
      <c r="G266" s="195"/>
      <c r="H266" s="195"/>
      <c r="I266" s="195"/>
      <c r="J266" s="2689"/>
      <c r="K266" s="195"/>
      <c r="M266" s="633"/>
      <c r="N266" s="541"/>
      <c r="O266" s="541"/>
      <c r="P266" s="541"/>
      <c r="Q266" s="541"/>
      <c r="R266" s="541"/>
      <c r="S266" s="541"/>
    </row>
    <row r="267">
      <c r="A267" s="2688"/>
      <c r="B267" s="195"/>
      <c r="C267" s="195"/>
      <c r="D267" s="195"/>
      <c r="E267" s="195"/>
      <c r="F267" s="195"/>
      <c r="G267" s="195"/>
      <c r="H267" s="195"/>
      <c r="I267" s="195"/>
      <c r="J267" s="2689"/>
      <c r="K267" s="195"/>
      <c r="M267" s="633"/>
      <c r="N267" s="541"/>
      <c r="O267" s="541"/>
      <c r="P267" s="541"/>
      <c r="Q267" s="541"/>
      <c r="R267" s="541"/>
      <c r="S267" s="541"/>
    </row>
    <row r="268">
      <c r="A268" s="2688"/>
      <c r="B268" s="195"/>
      <c r="C268" s="195"/>
      <c r="D268" s="195"/>
      <c r="E268" s="195"/>
      <c r="F268" s="195"/>
      <c r="G268" s="195"/>
      <c r="H268" s="195"/>
      <c r="I268" s="195"/>
      <c r="J268" s="2689"/>
      <c r="K268" s="195"/>
      <c r="M268" s="633"/>
      <c r="N268" s="541"/>
      <c r="O268" s="541"/>
      <c r="P268" s="541"/>
      <c r="Q268" s="541"/>
      <c r="R268" s="541"/>
      <c r="S268" s="541"/>
    </row>
    <row r="269">
      <c r="A269" s="2688"/>
      <c r="B269" s="195"/>
      <c r="C269" s="195"/>
      <c r="D269" s="195"/>
      <c r="E269" s="195"/>
      <c r="F269" s="195"/>
      <c r="G269" s="195"/>
      <c r="H269" s="195"/>
      <c r="I269" s="195"/>
      <c r="J269" s="2689"/>
      <c r="K269" s="195"/>
      <c r="M269" s="633"/>
      <c r="N269" s="541"/>
      <c r="O269" s="541"/>
      <c r="P269" s="541"/>
      <c r="Q269" s="541"/>
      <c r="R269" s="541"/>
      <c r="S269" s="541"/>
    </row>
    <row r="270">
      <c r="A270" s="2688"/>
      <c r="B270" s="195"/>
      <c r="C270" s="195"/>
      <c r="D270" s="195"/>
      <c r="E270" s="195"/>
      <c r="F270" s="195"/>
      <c r="G270" s="195"/>
      <c r="H270" s="195"/>
      <c r="I270" s="195"/>
      <c r="J270" s="2689"/>
      <c r="K270" s="195"/>
      <c r="M270" s="633"/>
      <c r="N270" s="541"/>
      <c r="O270" s="541"/>
      <c r="P270" s="541"/>
      <c r="Q270" s="541"/>
      <c r="R270" s="541"/>
      <c r="S270" s="541"/>
    </row>
    <row r="271">
      <c r="A271" s="2688"/>
      <c r="B271" s="195"/>
      <c r="C271" s="195"/>
      <c r="D271" s="195"/>
      <c r="E271" s="195"/>
      <c r="F271" s="195"/>
      <c r="G271" s="195"/>
      <c r="H271" s="195"/>
      <c r="I271" s="195"/>
      <c r="J271" s="2689"/>
      <c r="K271" s="195"/>
      <c r="M271" s="633"/>
      <c r="N271" s="541"/>
      <c r="O271" s="541"/>
      <c r="P271" s="541"/>
      <c r="Q271" s="541"/>
      <c r="R271" s="541"/>
      <c r="S271" s="541"/>
    </row>
    <row r="272">
      <c r="A272" s="2688"/>
      <c r="B272" s="195"/>
      <c r="C272" s="195"/>
      <c r="D272" s="195"/>
      <c r="E272" s="195"/>
      <c r="F272" s="195"/>
      <c r="G272" s="195"/>
      <c r="H272" s="195"/>
      <c r="I272" s="195"/>
      <c r="J272" s="2689"/>
      <c r="K272" s="195"/>
      <c r="M272" s="633"/>
      <c r="N272" s="541"/>
      <c r="O272" s="541"/>
      <c r="P272" s="541"/>
      <c r="Q272" s="541"/>
      <c r="R272" s="541"/>
      <c r="S272" s="541"/>
    </row>
    <row r="273">
      <c r="A273" s="2688"/>
      <c r="B273" s="195"/>
      <c r="C273" s="195"/>
      <c r="D273" s="195"/>
      <c r="E273" s="195"/>
      <c r="F273" s="195"/>
      <c r="G273" s="195"/>
      <c r="H273" s="195"/>
      <c r="I273" s="195"/>
      <c r="J273" s="2689"/>
      <c r="K273" s="195"/>
      <c r="M273" s="633"/>
      <c r="N273" s="541"/>
      <c r="O273" s="541"/>
      <c r="P273" s="541"/>
      <c r="Q273" s="541"/>
      <c r="R273" s="541"/>
      <c r="S273" s="541"/>
    </row>
    <row r="274">
      <c r="A274" s="2688"/>
      <c r="B274" s="195"/>
      <c r="C274" s="195"/>
      <c r="D274" s="195"/>
      <c r="E274" s="195"/>
      <c r="F274" s="195"/>
      <c r="G274" s="195"/>
      <c r="H274" s="195"/>
      <c r="I274" s="195"/>
      <c r="J274" s="2689"/>
      <c r="K274" s="195"/>
      <c r="M274" s="633"/>
      <c r="N274" s="541"/>
      <c r="O274" s="541"/>
      <c r="P274" s="541"/>
      <c r="Q274" s="541"/>
      <c r="R274" s="541"/>
      <c r="S274" s="541"/>
    </row>
    <row r="275">
      <c r="A275" s="2688"/>
      <c r="B275" s="195"/>
      <c r="C275" s="195"/>
      <c r="D275" s="195"/>
      <c r="E275" s="195"/>
      <c r="F275" s="195"/>
      <c r="G275" s="195"/>
      <c r="H275" s="195"/>
      <c r="I275" s="195"/>
      <c r="J275" s="2689"/>
      <c r="K275" s="195"/>
      <c r="M275" s="633"/>
      <c r="N275" s="541"/>
      <c r="O275" s="541"/>
      <c r="P275" s="541"/>
      <c r="Q275" s="541"/>
      <c r="R275" s="541"/>
      <c r="S275" s="541"/>
    </row>
    <row r="276">
      <c r="A276" s="2688"/>
      <c r="B276" s="195"/>
      <c r="C276" s="195"/>
      <c r="D276" s="195"/>
      <c r="E276" s="195"/>
      <c r="F276" s="195"/>
      <c r="G276" s="195"/>
      <c r="H276" s="195"/>
      <c r="I276" s="195"/>
      <c r="J276" s="2689"/>
      <c r="K276" s="195"/>
      <c r="M276" s="633"/>
      <c r="N276" s="541"/>
      <c r="O276" s="541"/>
      <c r="P276" s="541"/>
      <c r="Q276" s="541"/>
      <c r="R276" s="541"/>
      <c r="S276" s="541"/>
    </row>
    <row r="277">
      <c r="A277" s="2688"/>
      <c r="B277" s="195"/>
      <c r="C277" s="195"/>
      <c r="D277" s="195"/>
      <c r="E277" s="195"/>
      <c r="F277" s="195"/>
      <c r="G277" s="195"/>
      <c r="H277" s="195"/>
      <c r="I277" s="195"/>
      <c r="J277" s="2689"/>
      <c r="K277" s="195"/>
      <c r="M277" s="633"/>
      <c r="N277" s="541"/>
      <c r="O277" s="541"/>
      <c r="P277" s="541"/>
      <c r="Q277" s="541"/>
      <c r="R277" s="541"/>
      <c r="S277" s="541"/>
    </row>
    <row r="278">
      <c r="A278" s="2688"/>
      <c r="B278" s="195"/>
      <c r="C278" s="195"/>
      <c r="D278" s="195"/>
      <c r="E278" s="195"/>
      <c r="F278" s="195"/>
      <c r="G278" s="195"/>
      <c r="H278" s="195"/>
      <c r="I278" s="195"/>
      <c r="J278" s="2689"/>
      <c r="K278" s="195"/>
      <c r="M278" s="633"/>
      <c r="N278" s="541"/>
      <c r="O278" s="541"/>
      <c r="P278" s="541"/>
      <c r="Q278" s="541"/>
      <c r="R278" s="541"/>
      <c r="S278" s="541"/>
    </row>
    <row r="279">
      <c r="A279" s="2688"/>
      <c r="B279" s="195"/>
      <c r="C279" s="195"/>
      <c r="D279" s="195"/>
      <c r="E279" s="195"/>
      <c r="F279" s="195"/>
      <c r="G279" s="195"/>
      <c r="H279" s="195"/>
      <c r="I279" s="195"/>
      <c r="J279" s="2689"/>
      <c r="K279" s="195"/>
      <c r="M279" s="633"/>
      <c r="N279" s="541"/>
      <c r="O279" s="541"/>
      <c r="P279" s="541"/>
      <c r="Q279" s="541"/>
      <c r="R279" s="541"/>
      <c r="S279" s="541"/>
    </row>
    <row r="280">
      <c r="A280" s="2688"/>
      <c r="B280" s="195"/>
      <c r="C280" s="195"/>
      <c r="D280" s="195"/>
      <c r="E280" s="195"/>
      <c r="F280" s="195"/>
      <c r="G280" s="195"/>
      <c r="H280" s="195"/>
      <c r="I280" s="195"/>
      <c r="J280" s="2689"/>
      <c r="K280" s="195"/>
      <c r="M280" s="633"/>
      <c r="N280" s="541"/>
      <c r="O280" s="541"/>
      <c r="P280" s="541"/>
      <c r="Q280" s="541"/>
      <c r="R280" s="541"/>
      <c r="S280" s="541"/>
    </row>
    <row r="281">
      <c r="A281" s="2688"/>
      <c r="B281" s="195"/>
      <c r="C281" s="195"/>
      <c r="D281" s="195"/>
      <c r="E281" s="195"/>
      <c r="F281" s="195"/>
      <c r="G281" s="195"/>
      <c r="H281" s="195"/>
      <c r="I281" s="195"/>
      <c r="J281" s="2689"/>
      <c r="K281" s="195"/>
      <c r="M281" s="633"/>
      <c r="N281" s="541"/>
      <c r="O281" s="541"/>
      <c r="P281" s="541"/>
      <c r="Q281" s="541"/>
      <c r="R281" s="541"/>
      <c r="S281" s="541"/>
    </row>
    <row r="282">
      <c r="A282" s="2688"/>
      <c r="B282" s="195"/>
      <c r="C282" s="195"/>
      <c r="D282" s="195"/>
      <c r="E282" s="195"/>
      <c r="F282" s="195"/>
      <c r="G282" s="195"/>
      <c r="H282" s="195"/>
      <c r="I282" s="195"/>
      <c r="J282" s="2689"/>
      <c r="K282" s="195"/>
      <c r="M282" s="633"/>
      <c r="N282" s="541"/>
      <c r="O282" s="541"/>
      <c r="P282" s="541"/>
      <c r="Q282" s="541"/>
      <c r="R282" s="541"/>
      <c r="S282" s="541"/>
    </row>
    <row r="283">
      <c r="A283" s="2688"/>
      <c r="B283" s="195"/>
      <c r="C283" s="195"/>
      <c r="D283" s="195"/>
      <c r="E283" s="195"/>
      <c r="F283" s="195"/>
      <c r="G283" s="195"/>
      <c r="H283" s="195"/>
      <c r="I283" s="195"/>
      <c r="J283" s="2689"/>
      <c r="K283" s="195"/>
      <c r="M283" s="633"/>
      <c r="N283" s="541"/>
      <c r="O283" s="541"/>
      <c r="P283" s="541"/>
      <c r="Q283" s="541"/>
      <c r="R283" s="541"/>
      <c r="S283" s="541"/>
    </row>
    <row r="284">
      <c r="A284" s="2688"/>
      <c r="B284" s="195"/>
      <c r="C284" s="195"/>
      <c r="D284" s="195"/>
      <c r="E284" s="195"/>
      <c r="F284" s="195"/>
      <c r="G284" s="195"/>
      <c r="H284" s="195"/>
      <c r="I284" s="195"/>
      <c r="J284" s="2689"/>
      <c r="K284" s="195"/>
      <c r="M284" s="633"/>
      <c r="N284" s="541"/>
      <c r="O284" s="541"/>
      <c r="P284" s="541"/>
      <c r="Q284" s="541"/>
      <c r="R284" s="541"/>
      <c r="S284" s="541"/>
    </row>
    <row r="285">
      <c r="A285" s="2688"/>
      <c r="B285" s="195"/>
      <c r="C285" s="195"/>
      <c r="D285" s="195"/>
      <c r="E285" s="195"/>
      <c r="F285" s="195"/>
      <c r="G285" s="195"/>
      <c r="H285" s="195"/>
      <c r="I285" s="195"/>
      <c r="J285" s="2689"/>
      <c r="K285" s="195"/>
      <c r="M285" s="633"/>
      <c r="N285" s="541"/>
      <c r="O285" s="541"/>
      <c r="P285" s="541"/>
      <c r="Q285" s="541"/>
      <c r="R285" s="541"/>
      <c r="S285" s="541"/>
    </row>
    <row r="286">
      <c r="A286" s="2688"/>
      <c r="B286" s="195"/>
      <c r="C286" s="195"/>
      <c r="D286" s="195"/>
      <c r="E286" s="195"/>
      <c r="F286" s="195"/>
      <c r="G286" s="195"/>
      <c r="H286" s="195"/>
      <c r="I286" s="195"/>
      <c r="J286" s="2689"/>
      <c r="K286" s="195"/>
      <c r="M286" s="633"/>
      <c r="N286" s="541"/>
      <c r="O286" s="541"/>
      <c r="P286" s="541"/>
      <c r="Q286" s="541"/>
      <c r="R286" s="541"/>
      <c r="S286" s="541"/>
    </row>
    <row r="287">
      <c r="A287" s="2688"/>
      <c r="B287" s="195"/>
      <c r="C287" s="195"/>
      <c r="D287" s="195"/>
      <c r="E287" s="195"/>
      <c r="F287" s="195"/>
      <c r="G287" s="195"/>
      <c r="H287" s="195"/>
      <c r="I287" s="195"/>
      <c r="J287" s="2689"/>
      <c r="K287" s="195"/>
      <c r="M287" s="633"/>
      <c r="N287" s="541"/>
      <c r="O287" s="541"/>
      <c r="P287" s="541"/>
      <c r="Q287" s="541"/>
      <c r="R287" s="541"/>
      <c r="S287" s="541"/>
    </row>
    <row r="288">
      <c r="A288" s="2688"/>
      <c r="B288" s="195"/>
      <c r="C288" s="195"/>
      <c r="D288" s="195"/>
      <c r="E288" s="195"/>
      <c r="F288" s="195"/>
      <c r="G288" s="195"/>
      <c r="H288" s="195"/>
      <c r="I288" s="195"/>
      <c r="J288" s="2689"/>
      <c r="K288" s="195"/>
      <c r="M288" s="633"/>
      <c r="N288" s="541"/>
      <c r="O288" s="541"/>
      <c r="P288" s="541"/>
      <c r="Q288" s="541"/>
      <c r="R288" s="541"/>
      <c r="S288" s="541"/>
    </row>
    <row r="289">
      <c r="A289" s="2688"/>
      <c r="B289" s="195"/>
      <c r="C289" s="195"/>
      <c r="D289" s="195"/>
      <c r="E289" s="195"/>
      <c r="F289" s="195"/>
      <c r="G289" s="195"/>
      <c r="H289" s="195"/>
      <c r="I289" s="195"/>
      <c r="J289" s="2689"/>
      <c r="K289" s="195"/>
      <c r="M289" s="633"/>
      <c r="N289" s="541"/>
      <c r="O289" s="541"/>
      <c r="P289" s="541"/>
      <c r="Q289" s="541"/>
      <c r="R289" s="541"/>
      <c r="S289" s="541"/>
    </row>
    <row r="290">
      <c r="A290" s="2688"/>
      <c r="B290" s="195"/>
      <c r="C290" s="195"/>
      <c r="D290" s="195"/>
      <c r="E290" s="195"/>
      <c r="F290" s="195"/>
      <c r="G290" s="195"/>
      <c r="H290" s="195"/>
      <c r="I290" s="195"/>
      <c r="J290" s="2689"/>
      <c r="K290" s="195"/>
      <c r="M290" s="633"/>
      <c r="N290" s="541"/>
      <c r="O290" s="541"/>
      <c r="P290" s="541"/>
      <c r="Q290" s="541"/>
      <c r="R290" s="541"/>
      <c r="S290" s="541"/>
    </row>
    <row r="291">
      <c r="A291" s="2688"/>
      <c r="B291" s="195"/>
      <c r="C291" s="195"/>
      <c r="D291" s="195"/>
      <c r="E291" s="195"/>
      <c r="F291" s="195"/>
      <c r="G291" s="195"/>
      <c r="H291" s="195"/>
      <c r="I291" s="195"/>
      <c r="J291" s="2689"/>
      <c r="K291" s="195"/>
      <c r="M291" s="633"/>
      <c r="N291" s="541"/>
      <c r="O291" s="541"/>
      <c r="P291" s="541"/>
      <c r="Q291" s="541"/>
      <c r="R291" s="541"/>
      <c r="S291" s="541"/>
    </row>
    <row r="292">
      <c r="A292" s="2688"/>
      <c r="B292" s="195"/>
      <c r="C292" s="195"/>
      <c r="D292" s="195"/>
      <c r="E292" s="195"/>
      <c r="F292" s="195"/>
      <c r="G292" s="195"/>
      <c r="H292" s="195"/>
      <c r="I292" s="195"/>
      <c r="J292" s="2689"/>
      <c r="K292" s="195"/>
      <c r="M292" s="633"/>
      <c r="N292" s="541"/>
      <c r="O292" s="541"/>
      <c r="P292" s="541"/>
      <c r="Q292" s="541"/>
      <c r="R292" s="541"/>
      <c r="S292" s="541"/>
    </row>
    <row r="293">
      <c r="A293" s="2688"/>
      <c r="B293" s="195"/>
      <c r="C293" s="195"/>
      <c r="D293" s="195"/>
      <c r="E293" s="195"/>
      <c r="F293" s="195"/>
      <c r="G293" s="195"/>
      <c r="H293" s="195"/>
      <c r="I293" s="195"/>
      <c r="J293" s="2689"/>
      <c r="K293" s="195"/>
      <c r="M293" s="633"/>
      <c r="N293" s="541"/>
      <c r="O293" s="541"/>
      <c r="P293" s="541"/>
      <c r="Q293" s="541"/>
      <c r="R293" s="541"/>
      <c r="S293" s="541"/>
    </row>
    <row r="294">
      <c r="A294" s="2688"/>
      <c r="B294" s="195"/>
      <c r="C294" s="195"/>
      <c r="D294" s="195"/>
      <c r="E294" s="195"/>
      <c r="F294" s="195"/>
      <c r="G294" s="195"/>
      <c r="H294" s="195"/>
      <c r="I294" s="195"/>
      <c r="J294" s="2689"/>
      <c r="K294" s="195"/>
      <c r="M294" s="633"/>
      <c r="N294" s="541"/>
      <c r="O294" s="541"/>
      <c r="P294" s="541"/>
      <c r="Q294" s="541"/>
      <c r="R294" s="541"/>
      <c r="S294" s="541"/>
    </row>
    <row r="295">
      <c r="A295" s="2688"/>
      <c r="B295" s="195"/>
      <c r="C295" s="195"/>
      <c r="D295" s="195"/>
      <c r="E295" s="195"/>
      <c r="F295" s="195"/>
      <c r="G295" s="195"/>
      <c r="H295" s="195"/>
      <c r="I295" s="195"/>
      <c r="J295" s="2689"/>
      <c r="K295" s="195"/>
      <c r="M295" s="633"/>
      <c r="N295" s="541"/>
      <c r="O295" s="541"/>
      <c r="P295" s="541"/>
      <c r="Q295" s="541"/>
      <c r="R295" s="541"/>
      <c r="S295" s="541"/>
    </row>
    <row r="296">
      <c r="A296" s="2688"/>
      <c r="B296" s="195"/>
      <c r="C296" s="195"/>
      <c r="D296" s="195"/>
      <c r="E296" s="195"/>
      <c r="F296" s="195"/>
      <c r="G296" s="195"/>
      <c r="H296" s="195"/>
      <c r="I296" s="195"/>
      <c r="J296" s="2689"/>
      <c r="K296" s="195"/>
      <c r="M296" s="633"/>
      <c r="N296" s="541"/>
      <c r="O296" s="541"/>
      <c r="P296" s="541"/>
      <c r="Q296" s="541"/>
      <c r="R296" s="541"/>
      <c r="S296" s="541"/>
    </row>
    <row r="297">
      <c r="A297" s="2688"/>
      <c r="B297" s="195"/>
      <c r="C297" s="195"/>
      <c r="D297" s="195"/>
      <c r="E297" s="195"/>
      <c r="F297" s="195"/>
      <c r="G297" s="195"/>
      <c r="H297" s="195"/>
      <c r="I297" s="195"/>
      <c r="J297" s="2689"/>
      <c r="K297" s="195"/>
      <c r="M297" s="633"/>
      <c r="N297" s="541"/>
      <c r="O297" s="541"/>
      <c r="P297" s="541"/>
      <c r="Q297" s="541"/>
      <c r="R297" s="541"/>
      <c r="S297" s="541"/>
    </row>
    <row r="298">
      <c r="A298" s="2688"/>
      <c r="B298" s="195"/>
      <c r="C298" s="195"/>
      <c r="D298" s="195"/>
      <c r="E298" s="195"/>
      <c r="F298" s="195"/>
      <c r="G298" s="195"/>
      <c r="H298" s="195"/>
      <c r="I298" s="195"/>
      <c r="J298" s="2689"/>
      <c r="K298" s="195"/>
      <c r="M298" s="633"/>
      <c r="N298" s="541"/>
      <c r="O298" s="541"/>
      <c r="P298" s="541"/>
      <c r="Q298" s="541"/>
      <c r="R298" s="541"/>
      <c r="S298" s="541"/>
    </row>
    <row r="299">
      <c r="A299" s="2688"/>
      <c r="B299" s="195"/>
      <c r="C299" s="195"/>
      <c r="D299" s="195"/>
      <c r="E299" s="195"/>
      <c r="F299" s="195"/>
      <c r="G299" s="195"/>
      <c r="H299" s="195"/>
      <c r="I299" s="195"/>
      <c r="J299" s="2689"/>
      <c r="K299" s="195"/>
      <c r="M299" s="633"/>
      <c r="N299" s="541"/>
      <c r="O299" s="541"/>
      <c r="P299" s="541"/>
      <c r="Q299" s="541"/>
      <c r="R299" s="541"/>
      <c r="S299" s="541"/>
    </row>
    <row r="300">
      <c r="A300" s="2688"/>
      <c r="B300" s="195"/>
      <c r="C300" s="195"/>
      <c r="D300" s="195"/>
      <c r="E300" s="195"/>
      <c r="F300" s="195"/>
      <c r="G300" s="195"/>
      <c r="H300" s="195"/>
      <c r="I300" s="195"/>
      <c r="J300" s="2689"/>
      <c r="K300" s="195"/>
      <c r="M300" s="633"/>
      <c r="N300" s="541"/>
      <c r="O300" s="541"/>
      <c r="P300" s="541"/>
      <c r="Q300" s="541"/>
      <c r="R300" s="541"/>
      <c r="S300" s="541"/>
    </row>
    <row r="301">
      <c r="A301" s="2688"/>
      <c r="B301" s="195"/>
      <c r="C301" s="195"/>
      <c r="D301" s="195"/>
      <c r="E301" s="195"/>
      <c r="F301" s="195"/>
      <c r="G301" s="195"/>
      <c r="H301" s="195"/>
      <c r="I301" s="195"/>
      <c r="J301" s="2689"/>
      <c r="K301" s="195"/>
      <c r="M301" s="633"/>
      <c r="N301" s="541"/>
      <c r="O301" s="541"/>
      <c r="P301" s="541"/>
      <c r="Q301" s="541"/>
      <c r="R301" s="541"/>
      <c r="S301" s="541"/>
    </row>
    <row r="302">
      <c r="A302" s="2688"/>
      <c r="B302" s="195"/>
      <c r="C302" s="195"/>
      <c r="D302" s="195"/>
      <c r="E302" s="195"/>
      <c r="F302" s="195"/>
      <c r="G302" s="195"/>
      <c r="H302" s="195"/>
      <c r="I302" s="195"/>
      <c r="J302" s="2689"/>
      <c r="K302" s="195"/>
      <c r="M302" s="633"/>
      <c r="N302" s="541"/>
      <c r="O302" s="541"/>
      <c r="P302" s="541"/>
      <c r="Q302" s="541"/>
      <c r="R302" s="541"/>
      <c r="S302" s="541"/>
    </row>
    <row r="303">
      <c r="A303" s="2688"/>
      <c r="B303" s="195"/>
      <c r="C303" s="195"/>
      <c r="D303" s="195"/>
      <c r="E303" s="195"/>
      <c r="F303" s="195"/>
      <c r="G303" s="195"/>
      <c r="H303" s="195"/>
      <c r="I303" s="195"/>
      <c r="J303" s="2689"/>
      <c r="K303" s="195"/>
      <c r="M303" s="633"/>
      <c r="N303" s="541"/>
      <c r="O303" s="541"/>
      <c r="P303" s="541"/>
      <c r="Q303" s="541"/>
      <c r="R303" s="541"/>
      <c r="S303" s="541"/>
    </row>
    <row r="304">
      <c r="A304" s="2688"/>
      <c r="B304" s="195"/>
      <c r="C304" s="195"/>
      <c r="D304" s="195"/>
      <c r="E304" s="195"/>
      <c r="F304" s="195"/>
      <c r="G304" s="195"/>
      <c r="H304" s="195"/>
      <c r="I304" s="195"/>
      <c r="J304" s="2689"/>
      <c r="K304" s="195"/>
      <c r="M304" s="633"/>
      <c r="N304" s="541"/>
      <c r="O304" s="541"/>
      <c r="P304" s="541"/>
      <c r="Q304" s="541"/>
      <c r="R304" s="541"/>
      <c r="S304" s="541"/>
    </row>
    <row r="305">
      <c r="A305" s="2688"/>
      <c r="B305" s="195"/>
      <c r="C305" s="195"/>
      <c r="D305" s="195"/>
      <c r="E305" s="195"/>
      <c r="F305" s="195"/>
      <c r="G305" s="195"/>
      <c r="H305" s="195"/>
      <c r="I305" s="195"/>
      <c r="J305" s="2689"/>
      <c r="K305" s="195"/>
      <c r="M305" s="633"/>
      <c r="N305" s="541"/>
      <c r="O305" s="541"/>
      <c r="P305" s="541"/>
      <c r="Q305" s="541"/>
      <c r="R305" s="541"/>
      <c r="S305" s="541"/>
    </row>
    <row r="306">
      <c r="A306" s="2688"/>
      <c r="B306" s="195"/>
      <c r="C306" s="195"/>
      <c r="D306" s="195"/>
      <c r="E306" s="195"/>
      <c r="F306" s="195"/>
      <c r="G306" s="195"/>
      <c r="H306" s="195"/>
      <c r="I306" s="195"/>
      <c r="J306" s="2689"/>
      <c r="K306" s="195"/>
      <c r="M306" s="633"/>
      <c r="N306" s="541"/>
      <c r="O306" s="541"/>
      <c r="P306" s="541"/>
      <c r="Q306" s="541"/>
      <c r="R306" s="541"/>
      <c r="S306" s="541"/>
    </row>
    <row r="307">
      <c r="A307" s="2688"/>
      <c r="B307" s="195"/>
      <c r="C307" s="195"/>
      <c r="D307" s="195"/>
      <c r="E307" s="195"/>
      <c r="F307" s="195"/>
      <c r="G307" s="195"/>
      <c r="H307" s="195"/>
      <c r="I307" s="195"/>
      <c r="J307" s="2689"/>
      <c r="K307" s="195"/>
      <c r="M307" s="633"/>
      <c r="N307" s="541"/>
      <c r="O307" s="541"/>
      <c r="P307" s="541"/>
      <c r="Q307" s="541"/>
      <c r="R307" s="541"/>
      <c r="S307" s="541"/>
    </row>
    <row r="308">
      <c r="A308" s="2688"/>
      <c r="B308" s="195"/>
      <c r="C308" s="195"/>
      <c r="D308" s="195"/>
      <c r="E308" s="195"/>
      <c r="F308" s="195"/>
      <c r="G308" s="195"/>
      <c r="H308" s="195"/>
      <c r="I308" s="195"/>
      <c r="J308" s="2689"/>
      <c r="K308" s="195"/>
      <c r="M308" s="633"/>
      <c r="N308" s="541"/>
      <c r="O308" s="541"/>
      <c r="P308" s="541"/>
      <c r="Q308" s="541"/>
      <c r="R308" s="541"/>
      <c r="S308" s="541"/>
    </row>
    <row r="309">
      <c r="A309" s="2688"/>
      <c r="B309" s="195"/>
      <c r="C309" s="195"/>
      <c r="D309" s="195"/>
      <c r="E309" s="195"/>
      <c r="F309" s="195"/>
      <c r="G309" s="195"/>
      <c r="H309" s="195"/>
      <c r="I309" s="195"/>
      <c r="J309" s="2689"/>
      <c r="K309" s="195"/>
      <c r="M309" s="633"/>
      <c r="N309" s="541"/>
      <c r="O309" s="541"/>
      <c r="P309" s="541"/>
      <c r="Q309" s="541"/>
      <c r="R309" s="541"/>
      <c r="S309" s="541"/>
    </row>
    <row r="310">
      <c r="A310" s="2688"/>
      <c r="B310" s="195"/>
      <c r="C310" s="195"/>
      <c r="D310" s="195"/>
      <c r="E310" s="195"/>
      <c r="F310" s="195"/>
      <c r="G310" s="195"/>
      <c r="H310" s="195"/>
      <c r="I310" s="195"/>
      <c r="J310" s="2689"/>
      <c r="K310" s="195"/>
      <c r="M310" s="633"/>
      <c r="N310" s="541"/>
      <c r="O310" s="541"/>
      <c r="P310" s="541"/>
      <c r="Q310" s="541"/>
      <c r="R310" s="541"/>
      <c r="S310" s="541"/>
    </row>
    <row r="311">
      <c r="A311" s="2688"/>
      <c r="B311" s="195"/>
      <c r="C311" s="195"/>
      <c r="D311" s="195"/>
      <c r="E311" s="195"/>
      <c r="F311" s="195"/>
      <c r="G311" s="195"/>
      <c r="H311" s="195"/>
      <c r="I311" s="195"/>
      <c r="J311" s="2689"/>
      <c r="K311" s="195"/>
      <c r="M311" s="633"/>
      <c r="N311" s="541"/>
      <c r="O311" s="541"/>
      <c r="P311" s="541"/>
      <c r="Q311" s="541"/>
      <c r="R311" s="541"/>
      <c r="S311" s="541"/>
    </row>
    <row r="312">
      <c r="A312" s="2688"/>
      <c r="B312" s="195"/>
      <c r="C312" s="195"/>
      <c r="D312" s="195"/>
      <c r="E312" s="195"/>
      <c r="F312" s="195"/>
      <c r="G312" s="195"/>
      <c r="H312" s="195"/>
      <c r="I312" s="195"/>
      <c r="J312" s="2689"/>
      <c r="K312" s="195"/>
      <c r="M312" s="633"/>
      <c r="N312" s="541"/>
      <c r="O312" s="541"/>
      <c r="P312" s="541"/>
      <c r="Q312" s="541"/>
      <c r="R312" s="541"/>
      <c r="S312" s="541"/>
    </row>
    <row r="313">
      <c r="A313" s="2688"/>
      <c r="B313" s="195"/>
      <c r="C313" s="195"/>
      <c r="D313" s="195"/>
      <c r="E313" s="195"/>
      <c r="F313" s="195"/>
      <c r="G313" s="195"/>
      <c r="H313" s="195"/>
      <c r="I313" s="195"/>
      <c r="J313" s="2689"/>
      <c r="K313" s="195"/>
      <c r="M313" s="633"/>
      <c r="N313" s="541"/>
      <c r="O313" s="541"/>
      <c r="P313" s="541"/>
      <c r="Q313" s="541"/>
      <c r="R313" s="541"/>
      <c r="S313" s="541"/>
    </row>
    <row r="314">
      <c r="A314" s="2688"/>
      <c r="B314" s="195"/>
      <c r="C314" s="195"/>
      <c r="D314" s="195"/>
      <c r="E314" s="195"/>
      <c r="F314" s="195"/>
      <c r="G314" s="195"/>
      <c r="H314" s="195"/>
      <c r="I314" s="195"/>
      <c r="J314" s="2689"/>
      <c r="K314" s="195"/>
      <c r="M314" s="633"/>
      <c r="N314" s="541"/>
      <c r="O314" s="541"/>
      <c r="P314" s="541"/>
      <c r="Q314" s="541"/>
      <c r="R314" s="541"/>
      <c r="S314" s="541"/>
    </row>
    <row r="315">
      <c r="A315" s="2688"/>
      <c r="B315" s="195"/>
      <c r="C315" s="195"/>
      <c r="D315" s="195"/>
      <c r="E315" s="195"/>
      <c r="F315" s="195"/>
      <c r="G315" s="195"/>
      <c r="H315" s="195"/>
      <c r="I315" s="195"/>
      <c r="J315" s="2689"/>
      <c r="K315" s="195"/>
      <c r="M315" s="633"/>
      <c r="N315" s="541"/>
      <c r="O315" s="541"/>
      <c r="P315" s="541"/>
      <c r="Q315" s="541"/>
      <c r="R315" s="541"/>
      <c r="S315" s="541"/>
    </row>
    <row r="316">
      <c r="A316" s="2688"/>
      <c r="B316" s="195"/>
      <c r="C316" s="195"/>
      <c r="D316" s="195"/>
      <c r="E316" s="195"/>
      <c r="F316" s="195"/>
      <c r="G316" s="195"/>
      <c r="H316" s="195"/>
      <c r="I316" s="195"/>
      <c r="J316" s="2689"/>
      <c r="K316" s="195"/>
      <c r="M316" s="633"/>
      <c r="N316" s="541"/>
      <c r="O316" s="541"/>
      <c r="P316" s="541"/>
      <c r="Q316" s="541"/>
      <c r="R316" s="541"/>
      <c r="S316" s="541"/>
    </row>
    <row r="317">
      <c r="A317" s="2688"/>
      <c r="B317" s="195"/>
      <c r="C317" s="195"/>
      <c r="D317" s="195"/>
      <c r="E317" s="195"/>
      <c r="F317" s="195"/>
      <c r="G317" s="195"/>
      <c r="H317" s="195"/>
      <c r="I317" s="195"/>
      <c r="J317" s="2689"/>
      <c r="K317" s="195"/>
      <c r="M317" s="633"/>
      <c r="N317" s="541"/>
      <c r="O317" s="541"/>
      <c r="P317" s="541"/>
      <c r="Q317" s="541"/>
      <c r="R317" s="541"/>
      <c r="S317" s="541"/>
    </row>
    <row r="318">
      <c r="A318" s="2688"/>
      <c r="B318" s="195"/>
      <c r="C318" s="195"/>
      <c r="D318" s="195"/>
      <c r="E318" s="195"/>
      <c r="F318" s="195"/>
      <c r="G318" s="195"/>
      <c r="H318" s="195"/>
      <c r="I318" s="195"/>
      <c r="J318" s="2689"/>
      <c r="K318" s="195"/>
      <c r="M318" s="633"/>
      <c r="N318" s="541"/>
      <c r="O318" s="541"/>
      <c r="P318" s="541"/>
      <c r="Q318" s="541"/>
      <c r="R318" s="541"/>
      <c r="S318" s="541"/>
    </row>
    <row r="319">
      <c r="A319" s="2688"/>
      <c r="B319" s="195"/>
      <c r="C319" s="195"/>
      <c r="D319" s="195"/>
      <c r="E319" s="195"/>
      <c r="F319" s="195"/>
      <c r="G319" s="195"/>
      <c r="H319" s="195"/>
      <c r="I319" s="195"/>
      <c r="J319" s="2689"/>
      <c r="K319" s="195"/>
      <c r="M319" s="633"/>
      <c r="N319" s="541"/>
      <c r="O319" s="541"/>
      <c r="P319" s="541"/>
      <c r="Q319" s="541"/>
      <c r="R319" s="541"/>
      <c r="S319" s="541"/>
    </row>
    <row r="320">
      <c r="A320" s="2688"/>
      <c r="B320" s="195"/>
      <c r="C320" s="195"/>
      <c r="D320" s="195"/>
      <c r="E320" s="195"/>
      <c r="F320" s="195"/>
      <c r="G320" s="195"/>
      <c r="H320" s="195"/>
      <c r="I320" s="195"/>
      <c r="J320" s="2689"/>
      <c r="K320" s="195"/>
      <c r="M320" s="633"/>
      <c r="N320" s="541"/>
      <c r="O320" s="541"/>
      <c r="P320" s="541"/>
      <c r="Q320" s="541"/>
      <c r="R320" s="541"/>
      <c r="S320" s="541"/>
    </row>
    <row r="321">
      <c r="A321" s="2688"/>
      <c r="B321" s="195"/>
      <c r="C321" s="195"/>
      <c r="D321" s="195"/>
      <c r="E321" s="195"/>
      <c r="F321" s="195"/>
      <c r="G321" s="195"/>
      <c r="H321" s="195"/>
      <c r="I321" s="195"/>
      <c r="J321" s="2689"/>
      <c r="K321" s="195"/>
      <c r="M321" s="633"/>
      <c r="N321" s="541"/>
      <c r="O321" s="541"/>
      <c r="P321" s="541"/>
      <c r="Q321" s="541"/>
      <c r="R321" s="541"/>
      <c r="S321" s="541"/>
    </row>
    <row r="322">
      <c r="A322" s="2688"/>
      <c r="B322" s="195"/>
      <c r="C322" s="195"/>
      <c r="D322" s="195"/>
      <c r="E322" s="195"/>
      <c r="F322" s="195"/>
      <c r="G322" s="195"/>
      <c r="H322" s="195"/>
      <c r="I322" s="195"/>
      <c r="J322" s="2689"/>
      <c r="K322" s="195"/>
      <c r="M322" s="633"/>
      <c r="N322" s="541"/>
      <c r="O322" s="541"/>
      <c r="P322" s="541"/>
      <c r="Q322" s="541"/>
      <c r="R322" s="541"/>
      <c r="S322" s="541"/>
    </row>
    <row r="323">
      <c r="A323" s="2688"/>
      <c r="B323" s="195"/>
      <c r="C323" s="195"/>
      <c r="D323" s="195"/>
      <c r="E323" s="195"/>
      <c r="F323" s="195"/>
      <c r="G323" s="195"/>
      <c r="H323" s="195"/>
      <c r="I323" s="195"/>
      <c r="J323" s="2689"/>
      <c r="K323" s="195"/>
      <c r="M323" s="633"/>
      <c r="N323" s="541"/>
      <c r="O323" s="541"/>
      <c r="P323" s="541"/>
      <c r="Q323" s="541"/>
      <c r="R323" s="541"/>
      <c r="S323" s="541"/>
    </row>
    <row r="324">
      <c r="A324" s="2688"/>
      <c r="B324" s="195"/>
      <c r="C324" s="195"/>
      <c r="D324" s="195"/>
      <c r="E324" s="195"/>
      <c r="F324" s="195"/>
      <c r="G324" s="195"/>
      <c r="H324" s="195"/>
      <c r="I324" s="195"/>
      <c r="J324" s="2689"/>
      <c r="K324" s="195"/>
      <c r="M324" s="633"/>
      <c r="N324" s="541"/>
      <c r="O324" s="541"/>
      <c r="P324" s="541"/>
      <c r="Q324" s="541"/>
      <c r="R324" s="541"/>
      <c r="S324" s="541"/>
    </row>
    <row r="325">
      <c r="A325" s="2688"/>
      <c r="B325" s="195"/>
      <c r="C325" s="195"/>
      <c r="D325" s="195"/>
      <c r="E325" s="195"/>
      <c r="F325" s="195"/>
      <c r="G325" s="195"/>
      <c r="H325" s="195"/>
      <c r="I325" s="195"/>
      <c r="J325" s="2689"/>
      <c r="K325" s="195"/>
      <c r="M325" s="633"/>
      <c r="N325" s="541"/>
      <c r="O325" s="541"/>
      <c r="P325" s="541"/>
      <c r="Q325" s="541"/>
      <c r="R325" s="541"/>
      <c r="S325" s="541"/>
    </row>
    <row r="326">
      <c r="A326" s="2688"/>
      <c r="B326" s="195"/>
      <c r="C326" s="195"/>
      <c r="D326" s="195"/>
      <c r="E326" s="195"/>
      <c r="F326" s="195"/>
      <c r="G326" s="195"/>
      <c r="H326" s="195"/>
      <c r="I326" s="195"/>
      <c r="J326" s="2689"/>
      <c r="K326" s="195"/>
      <c r="M326" s="633"/>
      <c r="N326" s="541"/>
      <c r="O326" s="541"/>
      <c r="P326" s="541"/>
      <c r="Q326" s="541"/>
      <c r="R326" s="541"/>
      <c r="S326" s="541"/>
    </row>
    <row r="327">
      <c r="A327" s="2688"/>
      <c r="B327" s="195"/>
      <c r="C327" s="195"/>
      <c r="D327" s="195"/>
      <c r="E327" s="195"/>
      <c r="F327" s="195"/>
      <c r="G327" s="195"/>
      <c r="H327" s="195"/>
      <c r="I327" s="195"/>
      <c r="J327" s="2689"/>
      <c r="K327" s="195"/>
      <c r="M327" s="633"/>
      <c r="N327" s="541"/>
      <c r="O327" s="541"/>
      <c r="P327" s="541"/>
      <c r="Q327" s="541"/>
      <c r="R327" s="541"/>
      <c r="S327" s="541"/>
    </row>
    <row r="328">
      <c r="A328" s="2688"/>
      <c r="B328" s="195"/>
      <c r="C328" s="195"/>
      <c r="D328" s="195"/>
      <c r="E328" s="195"/>
      <c r="F328" s="195"/>
      <c r="G328" s="195"/>
      <c r="H328" s="195"/>
      <c r="I328" s="195"/>
      <c r="J328" s="2689"/>
      <c r="K328" s="195"/>
      <c r="M328" s="633"/>
      <c r="N328" s="541"/>
      <c r="O328" s="541"/>
      <c r="P328" s="541"/>
      <c r="Q328" s="541"/>
      <c r="R328" s="541"/>
      <c r="S328" s="541"/>
    </row>
    <row r="329">
      <c r="A329" s="2688"/>
      <c r="B329" s="195"/>
      <c r="C329" s="195"/>
      <c r="D329" s="195"/>
      <c r="E329" s="195"/>
      <c r="F329" s="195"/>
      <c r="G329" s="195"/>
      <c r="H329" s="195"/>
      <c r="I329" s="195"/>
      <c r="J329" s="2689"/>
      <c r="K329" s="195"/>
      <c r="M329" s="633"/>
      <c r="N329" s="541"/>
      <c r="O329" s="541"/>
      <c r="P329" s="541"/>
      <c r="Q329" s="541"/>
      <c r="R329" s="541"/>
      <c r="S329" s="541"/>
    </row>
    <row r="330">
      <c r="A330" s="2688"/>
      <c r="B330" s="195"/>
      <c r="C330" s="195"/>
      <c r="D330" s="195"/>
      <c r="E330" s="195"/>
      <c r="F330" s="195"/>
      <c r="G330" s="195"/>
      <c r="H330" s="195"/>
      <c r="I330" s="195"/>
      <c r="J330" s="2689"/>
      <c r="K330" s="195"/>
      <c r="M330" s="633"/>
      <c r="N330" s="541"/>
      <c r="O330" s="541"/>
      <c r="P330" s="541"/>
      <c r="Q330" s="541"/>
      <c r="R330" s="541"/>
      <c r="S330" s="541"/>
    </row>
    <row r="331">
      <c r="A331" s="2688"/>
      <c r="B331" s="195"/>
      <c r="C331" s="195"/>
      <c r="D331" s="195"/>
      <c r="E331" s="195"/>
      <c r="F331" s="195"/>
      <c r="G331" s="195"/>
      <c r="H331" s="195"/>
      <c r="I331" s="195"/>
      <c r="J331" s="2689"/>
      <c r="K331" s="195"/>
      <c r="M331" s="633"/>
      <c r="N331" s="541"/>
      <c r="O331" s="541"/>
      <c r="P331" s="541"/>
      <c r="Q331" s="541"/>
      <c r="R331" s="541"/>
      <c r="S331" s="541"/>
    </row>
    <row r="332">
      <c r="A332" s="2688"/>
      <c r="B332" s="195"/>
      <c r="C332" s="195"/>
      <c r="D332" s="195"/>
      <c r="E332" s="195"/>
      <c r="F332" s="195"/>
      <c r="G332" s="195"/>
      <c r="H332" s="195"/>
      <c r="I332" s="195"/>
      <c r="J332" s="2689"/>
      <c r="K332" s="195"/>
      <c r="M332" s="633"/>
      <c r="N332" s="541"/>
      <c r="O332" s="541"/>
      <c r="P332" s="541"/>
      <c r="Q332" s="541"/>
      <c r="R332" s="541"/>
      <c r="S332" s="541"/>
    </row>
    <row r="333">
      <c r="A333" s="2688"/>
      <c r="B333" s="195"/>
      <c r="C333" s="195"/>
      <c r="D333" s="195"/>
      <c r="E333" s="195"/>
      <c r="F333" s="195"/>
      <c r="G333" s="195"/>
      <c r="H333" s="195"/>
      <c r="I333" s="195"/>
      <c r="J333" s="2689"/>
      <c r="K333" s="195"/>
      <c r="M333" s="633"/>
      <c r="N333" s="541"/>
      <c r="O333" s="541"/>
      <c r="P333" s="541"/>
      <c r="Q333" s="541"/>
      <c r="R333" s="541"/>
      <c r="S333" s="541"/>
    </row>
    <row r="334">
      <c r="A334" s="2688"/>
      <c r="B334" s="195"/>
      <c r="C334" s="195"/>
      <c r="D334" s="195"/>
      <c r="E334" s="195"/>
      <c r="F334" s="195"/>
      <c r="G334" s="195"/>
      <c r="H334" s="195"/>
      <c r="I334" s="195"/>
      <c r="J334" s="2689"/>
      <c r="K334" s="195"/>
      <c r="M334" s="633"/>
      <c r="N334" s="541"/>
      <c r="O334" s="541"/>
      <c r="P334" s="541"/>
      <c r="Q334" s="541"/>
      <c r="R334" s="541"/>
      <c r="S334" s="541"/>
    </row>
    <row r="335">
      <c r="A335" s="2688"/>
      <c r="B335" s="195"/>
      <c r="C335" s="195"/>
      <c r="D335" s="195"/>
      <c r="E335" s="195"/>
      <c r="F335" s="195"/>
      <c r="G335" s="195"/>
      <c r="H335" s="195"/>
      <c r="I335" s="195"/>
      <c r="J335" s="2689"/>
      <c r="K335" s="195"/>
      <c r="M335" s="633"/>
      <c r="N335" s="541"/>
      <c r="O335" s="541"/>
      <c r="P335" s="541"/>
      <c r="Q335" s="541"/>
      <c r="R335" s="541"/>
      <c r="S335" s="541"/>
    </row>
    <row r="336">
      <c r="A336" s="2688"/>
      <c r="B336" s="195"/>
      <c r="C336" s="195"/>
      <c r="D336" s="195"/>
      <c r="E336" s="195"/>
      <c r="F336" s="195"/>
      <c r="G336" s="195"/>
      <c r="H336" s="195"/>
      <c r="I336" s="195"/>
      <c r="J336" s="2689"/>
      <c r="K336" s="195"/>
      <c r="M336" s="633"/>
      <c r="N336" s="541"/>
      <c r="O336" s="541"/>
      <c r="P336" s="541"/>
      <c r="Q336" s="541"/>
      <c r="R336" s="541"/>
      <c r="S336" s="541"/>
    </row>
    <row r="337">
      <c r="A337" s="2688"/>
      <c r="B337" s="195"/>
      <c r="C337" s="195"/>
      <c r="D337" s="195"/>
      <c r="E337" s="195"/>
      <c r="F337" s="195"/>
      <c r="G337" s="195"/>
      <c r="H337" s="195"/>
      <c r="I337" s="195"/>
      <c r="J337" s="2689"/>
      <c r="K337" s="195"/>
      <c r="M337" s="633"/>
      <c r="N337" s="541"/>
      <c r="O337" s="541"/>
      <c r="P337" s="541"/>
      <c r="Q337" s="541"/>
      <c r="R337" s="541"/>
      <c r="S337" s="541"/>
    </row>
    <row r="338">
      <c r="A338" s="2688"/>
      <c r="B338" s="195"/>
      <c r="C338" s="195"/>
      <c r="D338" s="195"/>
      <c r="E338" s="195"/>
      <c r="F338" s="195"/>
      <c r="G338" s="195"/>
      <c r="H338" s="195"/>
      <c r="I338" s="195"/>
      <c r="J338" s="2689"/>
      <c r="K338" s="195"/>
      <c r="M338" s="633"/>
      <c r="N338" s="541"/>
      <c r="O338" s="541"/>
      <c r="P338" s="541"/>
      <c r="Q338" s="541"/>
      <c r="R338" s="541"/>
      <c r="S338" s="541"/>
    </row>
    <row r="339">
      <c r="A339" s="2688"/>
      <c r="B339" s="195"/>
      <c r="C339" s="195"/>
      <c r="D339" s="195"/>
      <c r="E339" s="195"/>
      <c r="F339" s="195"/>
      <c r="G339" s="195"/>
      <c r="H339" s="195"/>
      <c r="I339" s="195"/>
      <c r="J339" s="2689"/>
      <c r="K339" s="195"/>
      <c r="M339" s="633"/>
      <c r="N339" s="541"/>
      <c r="O339" s="541"/>
      <c r="P339" s="541"/>
      <c r="Q339" s="541"/>
      <c r="R339" s="541"/>
      <c r="S339" s="541"/>
    </row>
    <row r="340">
      <c r="A340" s="2688"/>
      <c r="B340" s="195"/>
      <c r="C340" s="195"/>
      <c r="D340" s="195"/>
      <c r="E340" s="195"/>
      <c r="F340" s="195"/>
      <c r="G340" s="195"/>
      <c r="H340" s="195"/>
      <c r="I340" s="195"/>
      <c r="J340" s="2689"/>
      <c r="K340" s="195"/>
      <c r="M340" s="633"/>
      <c r="N340" s="541"/>
      <c r="O340" s="541"/>
      <c r="P340" s="541"/>
      <c r="Q340" s="541"/>
      <c r="R340" s="541"/>
      <c r="S340" s="541"/>
    </row>
    <row r="341">
      <c r="A341" s="2688"/>
      <c r="B341" s="195"/>
      <c r="C341" s="195"/>
      <c r="D341" s="195"/>
      <c r="E341" s="195"/>
      <c r="F341" s="195"/>
      <c r="G341" s="195"/>
      <c r="H341" s="195"/>
      <c r="I341" s="195"/>
      <c r="J341" s="2689"/>
      <c r="K341" s="195"/>
      <c r="M341" s="633"/>
      <c r="N341" s="541"/>
      <c r="O341" s="541"/>
      <c r="P341" s="541"/>
      <c r="Q341" s="541"/>
      <c r="R341" s="541"/>
      <c r="S341" s="541"/>
    </row>
    <row r="342">
      <c r="A342" s="2688"/>
      <c r="B342" s="195"/>
      <c r="C342" s="195"/>
      <c r="D342" s="195"/>
      <c r="E342" s="195"/>
      <c r="F342" s="195"/>
      <c r="G342" s="195"/>
      <c r="H342" s="195"/>
      <c r="I342" s="195"/>
      <c r="J342" s="2689"/>
      <c r="K342" s="195"/>
      <c r="M342" s="633"/>
      <c r="N342" s="541"/>
      <c r="O342" s="541"/>
      <c r="P342" s="541"/>
      <c r="Q342" s="541"/>
      <c r="R342" s="541"/>
      <c r="S342" s="541"/>
    </row>
    <row r="343">
      <c r="A343" s="2688"/>
      <c r="B343" s="195"/>
      <c r="C343" s="195"/>
      <c r="D343" s="195"/>
      <c r="E343" s="195"/>
      <c r="F343" s="195"/>
      <c r="G343" s="195"/>
      <c r="H343" s="195"/>
      <c r="I343" s="195"/>
      <c r="J343" s="2689"/>
      <c r="K343" s="195"/>
      <c r="M343" s="633"/>
      <c r="N343" s="541"/>
      <c r="O343" s="541"/>
      <c r="P343" s="541"/>
      <c r="Q343" s="541"/>
      <c r="R343" s="541"/>
      <c r="S343" s="541"/>
    </row>
    <row r="344">
      <c r="A344" s="2688"/>
      <c r="B344" s="195"/>
      <c r="C344" s="195"/>
      <c r="D344" s="195"/>
      <c r="E344" s="195"/>
      <c r="F344" s="195"/>
      <c r="G344" s="195"/>
      <c r="H344" s="195"/>
      <c r="I344" s="195"/>
      <c r="J344" s="2689"/>
      <c r="K344" s="195"/>
      <c r="M344" s="633"/>
      <c r="N344" s="541"/>
      <c r="O344" s="541"/>
      <c r="P344" s="541"/>
      <c r="Q344" s="541"/>
      <c r="R344" s="541"/>
      <c r="S344" s="541"/>
    </row>
    <row r="345">
      <c r="A345" s="2688"/>
      <c r="B345" s="195"/>
      <c r="C345" s="195"/>
      <c r="D345" s="195"/>
      <c r="E345" s="195"/>
      <c r="F345" s="195"/>
      <c r="G345" s="195"/>
      <c r="H345" s="195"/>
      <c r="I345" s="195"/>
      <c r="J345" s="2689"/>
      <c r="K345" s="195"/>
      <c r="M345" s="633"/>
      <c r="N345" s="541"/>
      <c r="O345" s="541"/>
      <c r="P345" s="541"/>
      <c r="Q345" s="541"/>
      <c r="R345" s="541"/>
      <c r="S345" s="541"/>
    </row>
    <row r="346">
      <c r="A346" s="2688"/>
      <c r="B346" s="195"/>
      <c r="C346" s="195"/>
      <c r="D346" s="195"/>
      <c r="E346" s="195"/>
      <c r="F346" s="195"/>
      <c r="G346" s="195"/>
      <c r="H346" s="195"/>
      <c r="I346" s="195"/>
      <c r="J346" s="2689"/>
      <c r="K346" s="195"/>
      <c r="M346" s="633"/>
      <c r="N346" s="541"/>
      <c r="O346" s="541"/>
      <c r="P346" s="541"/>
      <c r="Q346" s="541"/>
      <c r="R346" s="541"/>
      <c r="S346" s="541"/>
    </row>
    <row r="347">
      <c r="A347" s="2688"/>
      <c r="B347" s="195"/>
      <c r="C347" s="195"/>
      <c r="D347" s="195"/>
      <c r="E347" s="195"/>
      <c r="F347" s="195"/>
      <c r="G347" s="195"/>
      <c r="H347" s="195"/>
      <c r="I347" s="195"/>
      <c r="J347" s="2689"/>
      <c r="K347" s="195"/>
      <c r="M347" s="633"/>
      <c r="N347" s="541"/>
      <c r="O347" s="541"/>
      <c r="P347" s="541"/>
      <c r="Q347" s="541"/>
      <c r="R347" s="541"/>
      <c r="S347" s="541"/>
    </row>
    <row r="348">
      <c r="A348" s="2688"/>
      <c r="B348" s="195"/>
      <c r="C348" s="195"/>
      <c r="D348" s="195"/>
      <c r="E348" s="195"/>
      <c r="F348" s="195"/>
      <c r="G348" s="195"/>
      <c r="H348" s="195"/>
      <c r="I348" s="195"/>
      <c r="J348" s="2689"/>
      <c r="K348" s="195"/>
      <c r="M348" s="633"/>
      <c r="N348" s="541"/>
      <c r="O348" s="541"/>
      <c r="P348" s="541"/>
      <c r="Q348" s="541"/>
      <c r="R348" s="541"/>
      <c r="S348" s="541"/>
    </row>
    <row r="349">
      <c r="A349" s="2688"/>
      <c r="B349" s="195"/>
      <c r="C349" s="195"/>
      <c r="D349" s="195"/>
      <c r="E349" s="195"/>
      <c r="F349" s="195"/>
      <c r="G349" s="195"/>
      <c r="H349" s="195"/>
      <c r="I349" s="195"/>
      <c r="J349" s="2689"/>
      <c r="K349" s="195"/>
      <c r="M349" s="633"/>
      <c r="N349" s="541"/>
      <c r="O349" s="541"/>
      <c r="P349" s="541"/>
      <c r="Q349" s="541"/>
      <c r="R349" s="541"/>
      <c r="S349" s="541"/>
    </row>
    <row r="350">
      <c r="A350" s="2688"/>
      <c r="B350" s="195"/>
      <c r="C350" s="195"/>
      <c r="D350" s="195"/>
      <c r="E350" s="195"/>
      <c r="F350" s="195"/>
      <c r="G350" s="195"/>
      <c r="H350" s="195"/>
      <c r="I350" s="195"/>
      <c r="J350" s="2689"/>
      <c r="K350" s="195"/>
      <c r="M350" s="633"/>
      <c r="N350" s="541"/>
      <c r="O350" s="541"/>
      <c r="P350" s="541"/>
      <c r="Q350" s="541"/>
      <c r="R350" s="541"/>
      <c r="S350" s="541"/>
    </row>
    <row r="351">
      <c r="A351" s="2688"/>
      <c r="B351" s="195"/>
      <c r="C351" s="195"/>
      <c r="D351" s="195"/>
      <c r="E351" s="195"/>
      <c r="F351" s="195"/>
      <c r="G351" s="195"/>
      <c r="H351" s="195"/>
      <c r="I351" s="195"/>
      <c r="J351" s="2689"/>
      <c r="K351" s="195"/>
      <c r="M351" s="633"/>
      <c r="N351" s="541"/>
      <c r="O351" s="541"/>
      <c r="P351" s="541"/>
      <c r="Q351" s="541"/>
      <c r="R351" s="541"/>
      <c r="S351" s="541"/>
    </row>
    <row r="352">
      <c r="A352" s="2688"/>
      <c r="B352" s="195"/>
      <c r="C352" s="195"/>
      <c r="D352" s="195"/>
      <c r="E352" s="195"/>
      <c r="F352" s="195"/>
      <c r="G352" s="195"/>
      <c r="H352" s="195"/>
      <c r="I352" s="195"/>
      <c r="J352" s="2689"/>
      <c r="K352" s="195"/>
      <c r="M352" s="633"/>
      <c r="N352" s="541"/>
      <c r="O352" s="541"/>
      <c r="P352" s="541"/>
      <c r="Q352" s="541"/>
      <c r="R352" s="541"/>
      <c r="S352" s="541"/>
    </row>
    <row r="353">
      <c r="A353" s="2688"/>
      <c r="B353" s="195"/>
      <c r="C353" s="195"/>
      <c r="D353" s="195"/>
      <c r="E353" s="195"/>
      <c r="F353" s="195"/>
      <c r="G353" s="195"/>
      <c r="H353" s="195"/>
      <c r="I353" s="195"/>
      <c r="J353" s="2689"/>
      <c r="K353" s="195"/>
      <c r="M353" s="633"/>
      <c r="N353" s="541"/>
      <c r="O353" s="541"/>
      <c r="P353" s="541"/>
      <c r="Q353" s="541"/>
      <c r="R353" s="541"/>
      <c r="S353" s="541"/>
    </row>
    <row r="354">
      <c r="A354" s="2688"/>
      <c r="B354" s="195"/>
      <c r="C354" s="195"/>
      <c r="D354" s="195"/>
      <c r="E354" s="195"/>
      <c r="F354" s="195"/>
      <c r="G354" s="195"/>
      <c r="H354" s="195"/>
      <c r="I354" s="195"/>
      <c r="J354" s="2689"/>
      <c r="K354" s="195"/>
      <c r="M354" s="633"/>
      <c r="N354" s="541"/>
      <c r="O354" s="541"/>
      <c r="P354" s="541"/>
      <c r="Q354" s="541"/>
      <c r="R354" s="541"/>
      <c r="S354" s="541"/>
    </row>
    <row r="355">
      <c r="A355" s="2688"/>
      <c r="B355" s="195"/>
      <c r="C355" s="195"/>
      <c r="D355" s="195"/>
      <c r="E355" s="195"/>
      <c r="F355" s="195"/>
      <c r="G355" s="195"/>
      <c r="H355" s="195"/>
      <c r="I355" s="195"/>
      <c r="J355" s="2689"/>
      <c r="K355" s="195"/>
      <c r="M355" s="633"/>
      <c r="N355" s="541"/>
      <c r="O355" s="541"/>
      <c r="P355" s="541"/>
      <c r="Q355" s="541"/>
      <c r="R355" s="541"/>
      <c r="S355" s="541"/>
    </row>
    <row r="356">
      <c r="A356" s="2688"/>
      <c r="B356" s="195"/>
      <c r="C356" s="195"/>
      <c r="D356" s="195"/>
      <c r="E356" s="195"/>
      <c r="F356" s="195"/>
      <c r="G356" s="195"/>
      <c r="H356" s="195"/>
      <c r="I356" s="195"/>
      <c r="J356" s="2689"/>
      <c r="K356" s="195"/>
      <c r="M356" s="633"/>
      <c r="N356" s="541"/>
      <c r="O356" s="541"/>
      <c r="P356" s="541"/>
      <c r="Q356" s="541"/>
      <c r="R356" s="541"/>
      <c r="S356" s="541"/>
    </row>
    <row r="357">
      <c r="A357" s="2688"/>
      <c r="B357" s="195"/>
      <c r="C357" s="195"/>
      <c r="D357" s="195"/>
      <c r="E357" s="195"/>
      <c r="F357" s="195"/>
      <c r="G357" s="195"/>
      <c r="H357" s="195"/>
      <c r="I357" s="195"/>
      <c r="J357" s="2689"/>
      <c r="K357" s="195"/>
      <c r="M357" s="633"/>
      <c r="N357" s="541"/>
      <c r="O357" s="541"/>
      <c r="P357" s="541"/>
      <c r="Q357" s="541"/>
      <c r="R357" s="541"/>
      <c r="S357" s="541"/>
    </row>
    <row r="358">
      <c r="A358" s="2688"/>
      <c r="B358" s="195"/>
      <c r="C358" s="195"/>
      <c r="D358" s="195"/>
      <c r="E358" s="195"/>
      <c r="F358" s="195"/>
      <c r="G358" s="195"/>
      <c r="H358" s="195"/>
      <c r="I358" s="195"/>
      <c r="J358" s="2689"/>
      <c r="K358" s="195"/>
      <c r="M358" s="633"/>
      <c r="N358" s="541"/>
      <c r="O358" s="541"/>
      <c r="P358" s="541"/>
      <c r="Q358" s="541"/>
      <c r="R358" s="541"/>
      <c r="S358" s="541"/>
    </row>
    <row r="359">
      <c r="A359" s="2688"/>
      <c r="B359" s="195"/>
      <c r="C359" s="195"/>
      <c r="D359" s="195"/>
      <c r="E359" s="195"/>
      <c r="F359" s="195"/>
      <c r="G359" s="195"/>
      <c r="H359" s="195"/>
      <c r="I359" s="195"/>
      <c r="J359" s="2689"/>
      <c r="K359" s="195"/>
      <c r="M359" s="633"/>
      <c r="N359" s="541"/>
      <c r="O359" s="541"/>
      <c r="P359" s="541"/>
      <c r="Q359" s="541"/>
      <c r="R359" s="541"/>
      <c r="S359" s="541"/>
    </row>
    <row r="360">
      <c r="A360" s="2688"/>
      <c r="B360" s="195"/>
      <c r="C360" s="195"/>
      <c r="D360" s="195"/>
      <c r="E360" s="195"/>
      <c r="F360" s="195"/>
      <c r="G360" s="195"/>
      <c r="H360" s="195"/>
      <c r="I360" s="195"/>
      <c r="J360" s="2689"/>
      <c r="K360" s="195"/>
      <c r="M360" s="633"/>
      <c r="N360" s="541"/>
      <c r="O360" s="541"/>
      <c r="P360" s="541"/>
      <c r="Q360" s="541"/>
      <c r="R360" s="541"/>
      <c r="S360" s="541"/>
    </row>
    <row r="361">
      <c r="A361" s="2688"/>
      <c r="B361" s="195"/>
      <c r="C361" s="195"/>
      <c r="D361" s="195"/>
      <c r="E361" s="195"/>
      <c r="F361" s="195"/>
      <c r="G361" s="195"/>
      <c r="H361" s="195"/>
      <c r="I361" s="195"/>
      <c r="J361" s="2689"/>
      <c r="K361" s="195"/>
      <c r="M361" s="633"/>
      <c r="N361" s="541"/>
      <c r="O361" s="541"/>
      <c r="P361" s="541"/>
      <c r="Q361" s="541"/>
      <c r="R361" s="541"/>
      <c r="S361" s="541"/>
    </row>
    <row r="362">
      <c r="A362" s="2688"/>
      <c r="B362" s="195"/>
      <c r="C362" s="195"/>
      <c r="D362" s="195"/>
      <c r="E362" s="195"/>
      <c r="F362" s="195"/>
      <c r="G362" s="195"/>
      <c r="H362" s="195"/>
      <c r="I362" s="195"/>
      <c r="J362" s="2689"/>
      <c r="K362" s="195"/>
      <c r="M362" s="633"/>
      <c r="N362" s="541"/>
      <c r="O362" s="541"/>
      <c r="P362" s="541"/>
      <c r="Q362" s="541"/>
      <c r="R362" s="541"/>
      <c r="S362" s="541"/>
    </row>
    <row r="363">
      <c r="A363" s="2688"/>
      <c r="B363" s="195"/>
      <c r="C363" s="195"/>
      <c r="D363" s="195"/>
      <c r="E363" s="195"/>
      <c r="F363" s="195"/>
      <c r="G363" s="195"/>
      <c r="H363" s="195"/>
      <c r="I363" s="195"/>
      <c r="J363" s="2689"/>
      <c r="K363" s="195"/>
      <c r="M363" s="633"/>
      <c r="N363" s="541"/>
      <c r="O363" s="541"/>
      <c r="P363" s="541"/>
      <c r="Q363" s="541"/>
      <c r="R363" s="541"/>
      <c r="S363" s="541"/>
    </row>
    <row r="364">
      <c r="A364" s="2688"/>
      <c r="B364" s="195"/>
      <c r="C364" s="195"/>
      <c r="D364" s="195"/>
      <c r="E364" s="195"/>
      <c r="F364" s="195"/>
      <c r="G364" s="195"/>
      <c r="H364" s="195"/>
      <c r="I364" s="195"/>
      <c r="J364" s="2689"/>
      <c r="K364" s="195"/>
      <c r="M364" s="633"/>
      <c r="N364" s="541"/>
      <c r="O364" s="541"/>
      <c r="P364" s="541"/>
      <c r="Q364" s="541"/>
      <c r="R364" s="541"/>
      <c r="S364" s="541"/>
    </row>
    <row r="365">
      <c r="A365" s="2688"/>
      <c r="B365" s="195"/>
      <c r="C365" s="195"/>
      <c r="D365" s="195"/>
      <c r="E365" s="195"/>
      <c r="F365" s="195"/>
      <c r="G365" s="195"/>
      <c r="H365" s="195"/>
      <c r="I365" s="195"/>
      <c r="J365" s="2689"/>
      <c r="K365" s="195"/>
      <c r="M365" s="633"/>
      <c r="N365" s="541"/>
      <c r="O365" s="541"/>
      <c r="P365" s="541"/>
      <c r="Q365" s="541"/>
      <c r="R365" s="541"/>
      <c r="S365" s="541"/>
    </row>
    <row r="366">
      <c r="A366" s="2688"/>
      <c r="B366" s="195"/>
      <c r="C366" s="195"/>
      <c r="D366" s="195"/>
      <c r="E366" s="195"/>
      <c r="F366" s="195"/>
      <c r="G366" s="195"/>
      <c r="H366" s="195"/>
      <c r="I366" s="195"/>
      <c r="J366" s="2689"/>
      <c r="K366" s="195"/>
      <c r="M366" s="633"/>
      <c r="N366" s="541"/>
      <c r="O366" s="541"/>
      <c r="P366" s="541"/>
      <c r="Q366" s="541"/>
      <c r="R366" s="541"/>
      <c r="S366" s="541"/>
    </row>
    <row r="367">
      <c r="A367" s="2688"/>
      <c r="B367" s="195"/>
      <c r="C367" s="195"/>
      <c r="D367" s="195"/>
      <c r="E367" s="195"/>
      <c r="F367" s="195"/>
      <c r="G367" s="195"/>
      <c r="H367" s="195"/>
      <c r="I367" s="195"/>
      <c r="J367" s="2689"/>
      <c r="K367" s="195"/>
      <c r="M367" s="633"/>
      <c r="N367" s="541"/>
      <c r="O367" s="541"/>
      <c r="P367" s="541"/>
      <c r="Q367" s="541"/>
      <c r="R367" s="541"/>
      <c r="S367" s="541"/>
    </row>
    <row r="368">
      <c r="A368" s="2688"/>
      <c r="B368" s="195"/>
      <c r="C368" s="195"/>
      <c r="D368" s="195"/>
      <c r="E368" s="195"/>
      <c r="F368" s="195"/>
      <c r="G368" s="195"/>
      <c r="H368" s="195"/>
      <c r="I368" s="195"/>
      <c r="J368" s="2689"/>
      <c r="K368" s="195"/>
      <c r="M368" s="633"/>
      <c r="N368" s="541"/>
      <c r="O368" s="541"/>
      <c r="P368" s="541"/>
      <c r="Q368" s="541"/>
      <c r="R368" s="541"/>
      <c r="S368" s="541"/>
    </row>
    <row r="369">
      <c r="A369" s="2688"/>
      <c r="B369" s="195"/>
      <c r="C369" s="195"/>
      <c r="D369" s="195"/>
      <c r="E369" s="195"/>
      <c r="F369" s="195"/>
      <c r="G369" s="195"/>
      <c r="H369" s="195"/>
      <c r="I369" s="195"/>
      <c r="J369" s="2689"/>
      <c r="K369" s="195"/>
      <c r="M369" s="633"/>
      <c r="N369" s="541"/>
      <c r="O369" s="541"/>
      <c r="P369" s="541"/>
      <c r="Q369" s="541"/>
      <c r="R369" s="541"/>
      <c r="S369" s="541"/>
    </row>
    <row r="370">
      <c r="A370" s="2688"/>
      <c r="B370" s="195"/>
      <c r="C370" s="195"/>
      <c r="D370" s="195"/>
      <c r="E370" s="195"/>
      <c r="F370" s="195"/>
      <c r="G370" s="195"/>
      <c r="H370" s="195"/>
      <c r="I370" s="195"/>
      <c r="J370" s="2689"/>
      <c r="K370" s="195"/>
      <c r="M370" s="633"/>
      <c r="N370" s="541"/>
      <c r="O370" s="541"/>
      <c r="P370" s="541"/>
      <c r="Q370" s="541"/>
      <c r="R370" s="541"/>
      <c r="S370" s="541"/>
    </row>
    <row r="371">
      <c r="A371" s="2688"/>
      <c r="B371" s="195"/>
      <c r="C371" s="195"/>
      <c r="D371" s="195"/>
      <c r="E371" s="195"/>
      <c r="F371" s="195"/>
      <c r="G371" s="195"/>
      <c r="H371" s="195"/>
      <c r="I371" s="195"/>
      <c r="J371" s="2689"/>
      <c r="K371" s="195"/>
      <c r="M371" s="633"/>
      <c r="N371" s="541"/>
      <c r="O371" s="541"/>
      <c r="P371" s="541"/>
      <c r="Q371" s="541"/>
      <c r="R371" s="541"/>
      <c r="S371" s="541"/>
    </row>
    <row r="372">
      <c r="A372" s="2688"/>
      <c r="B372" s="195"/>
      <c r="C372" s="195"/>
      <c r="D372" s="195"/>
      <c r="E372" s="195"/>
      <c r="F372" s="195"/>
      <c r="G372" s="195"/>
      <c r="H372" s="195"/>
      <c r="I372" s="195"/>
      <c r="J372" s="2689"/>
      <c r="K372" s="195"/>
      <c r="M372" s="633"/>
      <c r="N372" s="541"/>
      <c r="O372" s="541"/>
      <c r="P372" s="541"/>
      <c r="Q372" s="541"/>
      <c r="R372" s="541"/>
      <c r="S372" s="541"/>
    </row>
    <row r="373">
      <c r="A373" s="2688"/>
      <c r="B373" s="195"/>
      <c r="C373" s="195"/>
      <c r="D373" s="195"/>
      <c r="E373" s="195"/>
      <c r="F373" s="195"/>
      <c r="G373" s="195"/>
      <c r="H373" s="195"/>
      <c r="I373" s="195"/>
      <c r="J373" s="2689"/>
      <c r="K373" s="195"/>
      <c r="M373" s="633"/>
      <c r="N373" s="541"/>
      <c r="O373" s="541"/>
      <c r="P373" s="541"/>
      <c r="Q373" s="541"/>
      <c r="R373" s="541"/>
      <c r="S373" s="541"/>
    </row>
    <row r="374">
      <c r="A374" s="2688"/>
      <c r="B374" s="195"/>
      <c r="C374" s="195"/>
      <c r="D374" s="195"/>
      <c r="E374" s="195"/>
      <c r="F374" s="195"/>
      <c r="G374" s="195"/>
      <c r="H374" s="195"/>
      <c r="I374" s="195"/>
      <c r="J374" s="2689"/>
      <c r="K374" s="195"/>
      <c r="M374" s="633"/>
      <c r="N374" s="541"/>
      <c r="O374" s="541"/>
      <c r="P374" s="541"/>
      <c r="Q374" s="541"/>
      <c r="R374" s="541"/>
      <c r="S374" s="541"/>
    </row>
    <row r="375">
      <c r="A375" s="2688"/>
      <c r="B375" s="195"/>
      <c r="C375" s="195"/>
      <c r="D375" s="195"/>
      <c r="E375" s="195"/>
      <c r="F375" s="195"/>
      <c r="G375" s="195"/>
      <c r="H375" s="195"/>
      <c r="I375" s="195"/>
      <c r="J375" s="2689"/>
      <c r="K375" s="195"/>
      <c r="M375" s="633"/>
      <c r="N375" s="541"/>
      <c r="O375" s="541"/>
      <c r="P375" s="541"/>
      <c r="Q375" s="541"/>
      <c r="R375" s="541"/>
      <c r="S375" s="541"/>
    </row>
    <row r="376">
      <c r="A376" s="2688"/>
      <c r="B376" s="195"/>
      <c r="C376" s="195"/>
      <c r="D376" s="195"/>
      <c r="E376" s="195"/>
      <c r="F376" s="195"/>
      <c r="G376" s="195"/>
      <c r="H376" s="195"/>
      <c r="I376" s="195"/>
      <c r="J376" s="2689"/>
      <c r="K376" s="195"/>
      <c r="M376" s="633"/>
      <c r="N376" s="541"/>
      <c r="O376" s="541"/>
      <c r="P376" s="541"/>
      <c r="Q376" s="541"/>
      <c r="R376" s="541"/>
      <c r="S376" s="541"/>
    </row>
    <row r="377">
      <c r="A377" s="2688"/>
      <c r="B377" s="195"/>
      <c r="C377" s="195"/>
      <c r="D377" s="195"/>
      <c r="E377" s="195"/>
      <c r="F377" s="195"/>
      <c r="G377" s="195"/>
      <c r="H377" s="195"/>
      <c r="I377" s="195"/>
      <c r="J377" s="2689"/>
      <c r="K377" s="195"/>
      <c r="M377" s="633"/>
      <c r="N377" s="541"/>
      <c r="O377" s="541"/>
      <c r="P377" s="541"/>
      <c r="Q377" s="541"/>
      <c r="R377" s="541"/>
      <c r="S377" s="541"/>
    </row>
    <row r="378">
      <c r="A378" s="2688"/>
      <c r="B378" s="195"/>
      <c r="C378" s="195"/>
      <c r="D378" s="195"/>
      <c r="E378" s="195"/>
      <c r="F378" s="195"/>
      <c r="G378" s="195"/>
      <c r="H378" s="195"/>
      <c r="I378" s="195"/>
      <c r="J378" s="2689"/>
      <c r="K378" s="195"/>
      <c r="M378" s="633"/>
      <c r="N378" s="541"/>
      <c r="O378" s="541"/>
      <c r="P378" s="541"/>
      <c r="Q378" s="541"/>
      <c r="R378" s="541"/>
      <c r="S378" s="541"/>
    </row>
    <row r="379">
      <c r="A379" s="2688"/>
      <c r="B379" s="195"/>
      <c r="C379" s="195"/>
      <c r="D379" s="195"/>
      <c r="E379" s="195"/>
      <c r="F379" s="195"/>
      <c r="G379" s="195"/>
      <c r="H379" s="195"/>
      <c r="I379" s="195"/>
      <c r="J379" s="2689"/>
      <c r="K379" s="195"/>
      <c r="M379" s="633"/>
      <c r="N379" s="541"/>
      <c r="O379" s="541"/>
      <c r="P379" s="541"/>
      <c r="Q379" s="541"/>
      <c r="R379" s="541"/>
      <c r="S379" s="541"/>
    </row>
    <row r="380">
      <c r="A380" s="2688"/>
      <c r="B380" s="195"/>
      <c r="C380" s="195"/>
      <c r="D380" s="195"/>
      <c r="E380" s="195"/>
      <c r="F380" s="195"/>
      <c r="G380" s="195"/>
      <c r="H380" s="195"/>
      <c r="I380" s="195"/>
      <c r="J380" s="2689"/>
      <c r="K380" s="195"/>
      <c r="M380" s="633"/>
      <c r="N380" s="541"/>
      <c r="O380" s="541"/>
      <c r="P380" s="541"/>
      <c r="Q380" s="541"/>
      <c r="R380" s="541"/>
      <c r="S380" s="541"/>
    </row>
    <row r="381">
      <c r="A381" s="2688"/>
      <c r="B381" s="195"/>
      <c r="C381" s="195"/>
      <c r="D381" s="195"/>
      <c r="E381" s="195"/>
      <c r="F381" s="195"/>
      <c r="G381" s="195"/>
      <c r="H381" s="195"/>
      <c r="I381" s="195"/>
      <c r="J381" s="2689"/>
      <c r="K381" s="195"/>
      <c r="M381" s="633"/>
      <c r="N381" s="541"/>
      <c r="O381" s="541"/>
      <c r="P381" s="541"/>
      <c r="Q381" s="541"/>
      <c r="R381" s="541"/>
      <c r="S381" s="541"/>
    </row>
    <row r="382">
      <c r="A382" s="2688"/>
      <c r="B382" s="195"/>
      <c r="C382" s="195"/>
      <c r="D382" s="195"/>
      <c r="E382" s="195"/>
      <c r="F382" s="195"/>
      <c r="G382" s="195"/>
      <c r="H382" s="195"/>
      <c r="I382" s="195"/>
      <c r="J382" s="2689"/>
      <c r="K382" s="195"/>
      <c r="M382" s="633"/>
      <c r="N382" s="541"/>
      <c r="O382" s="541"/>
      <c r="P382" s="541"/>
      <c r="Q382" s="541"/>
      <c r="R382" s="541"/>
      <c r="S382" s="541"/>
    </row>
    <row r="383">
      <c r="A383" s="2688"/>
      <c r="B383" s="195"/>
      <c r="C383" s="195"/>
      <c r="D383" s="195"/>
      <c r="E383" s="195"/>
      <c r="F383" s="195"/>
      <c r="G383" s="195"/>
      <c r="H383" s="195"/>
      <c r="I383" s="195"/>
      <c r="J383" s="2689"/>
      <c r="K383" s="195"/>
      <c r="M383" s="633"/>
      <c r="N383" s="541"/>
      <c r="O383" s="541"/>
      <c r="P383" s="541"/>
      <c r="Q383" s="541"/>
      <c r="R383" s="541"/>
      <c r="S383" s="541"/>
    </row>
    <row r="384">
      <c r="A384" s="2688"/>
      <c r="B384" s="195"/>
      <c r="C384" s="195"/>
      <c r="D384" s="195"/>
      <c r="E384" s="195"/>
      <c r="F384" s="195"/>
      <c r="G384" s="195"/>
      <c r="H384" s="195"/>
      <c r="I384" s="195"/>
      <c r="J384" s="2689"/>
      <c r="K384" s="195"/>
      <c r="M384" s="633"/>
      <c r="N384" s="541"/>
      <c r="O384" s="541"/>
      <c r="P384" s="541"/>
      <c r="Q384" s="541"/>
      <c r="R384" s="541"/>
      <c r="S384" s="541"/>
    </row>
    <row r="385">
      <c r="A385" s="2688"/>
      <c r="B385" s="195"/>
      <c r="C385" s="195"/>
      <c r="D385" s="195"/>
      <c r="E385" s="195"/>
      <c r="F385" s="195"/>
      <c r="G385" s="195"/>
      <c r="H385" s="195"/>
      <c r="I385" s="195"/>
      <c r="J385" s="2689"/>
      <c r="K385" s="195"/>
      <c r="M385" s="633"/>
      <c r="N385" s="541"/>
      <c r="O385" s="541"/>
      <c r="P385" s="541"/>
      <c r="Q385" s="541"/>
      <c r="R385" s="541"/>
      <c r="S385" s="541"/>
    </row>
    <row r="386">
      <c r="A386" s="2688"/>
      <c r="B386" s="195"/>
      <c r="C386" s="195"/>
      <c r="D386" s="195"/>
      <c r="E386" s="195"/>
      <c r="F386" s="195"/>
      <c r="G386" s="195"/>
      <c r="H386" s="195"/>
      <c r="I386" s="195"/>
      <c r="J386" s="2689"/>
      <c r="K386" s="195"/>
      <c r="M386" s="633"/>
      <c r="N386" s="541"/>
      <c r="O386" s="541"/>
      <c r="P386" s="541"/>
      <c r="Q386" s="541"/>
      <c r="R386" s="541"/>
      <c r="S386" s="541"/>
    </row>
    <row r="387">
      <c r="A387" s="2688"/>
      <c r="B387" s="195"/>
      <c r="C387" s="195"/>
      <c r="D387" s="195"/>
      <c r="E387" s="195"/>
      <c r="F387" s="195"/>
      <c r="G387" s="195"/>
      <c r="H387" s="195"/>
      <c r="I387" s="195"/>
      <c r="J387" s="2689"/>
      <c r="K387" s="195"/>
      <c r="M387" s="633"/>
      <c r="N387" s="541"/>
      <c r="O387" s="541"/>
      <c r="P387" s="541"/>
      <c r="Q387" s="541"/>
      <c r="R387" s="541"/>
      <c r="S387" s="541"/>
    </row>
    <row r="388">
      <c r="A388" s="2688"/>
      <c r="B388" s="195"/>
      <c r="C388" s="195"/>
      <c r="D388" s="195"/>
      <c r="E388" s="195"/>
      <c r="F388" s="195"/>
      <c r="G388" s="195"/>
      <c r="H388" s="195"/>
      <c r="I388" s="195"/>
      <c r="J388" s="2689"/>
      <c r="K388" s="195"/>
      <c r="M388" s="633"/>
      <c r="N388" s="541"/>
      <c r="O388" s="541"/>
      <c r="P388" s="541"/>
      <c r="Q388" s="541"/>
      <c r="R388" s="541"/>
      <c r="S388" s="541"/>
    </row>
    <row r="389">
      <c r="A389" s="2688"/>
      <c r="B389" s="195"/>
      <c r="C389" s="195"/>
      <c r="D389" s="195"/>
      <c r="E389" s="195"/>
      <c r="F389" s="195"/>
      <c r="G389" s="195"/>
      <c r="H389" s="195"/>
      <c r="I389" s="195"/>
      <c r="J389" s="2689"/>
      <c r="K389" s="195"/>
      <c r="M389" s="633"/>
      <c r="N389" s="541"/>
      <c r="O389" s="541"/>
      <c r="P389" s="541"/>
      <c r="Q389" s="541"/>
      <c r="R389" s="541"/>
      <c r="S389" s="541"/>
    </row>
    <row r="390">
      <c r="A390" s="2688"/>
      <c r="B390" s="195"/>
      <c r="C390" s="195"/>
      <c r="D390" s="195"/>
      <c r="E390" s="195"/>
      <c r="F390" s="195"/>
      <c r="G390" s="195"/>
      <c r="H390" s="195"/>
      <c r="I390" s="195"/>
      <c r="J390" s="2689"/>
      <c r="K390" s="195"/>
      <c r="M390" s="633"/>
      <c r="N390" s="541"/>
      <c r="O390" s="541"/>
      <c r="P390" s="541"/>
      <c r="Q390" s="541"/>
      <c r="R390" s="541"/>
      <c r="S390" s="541"/>
    </row>
    <row r="391">
      <c r="A391" s="2688"/>
      <c r="B391" s="195"/>
      <c r="C391" s="195"/>
      <c r="D391" s="195"/>
      <c r="E391" s="195"/>
      <c r="F391" s="195"/>
      <c r="G391" s="195"/>
      <c r="H391" s="195"/>
      <c r="I391" s="195"/>
      <c r="J391" s="2689"/>
      <c r="K391" s="195"/>
      <c r="M391" s="633"/>
      <c r="N391" s="541"/>
      <c r="O391" s="541"/>
      <c r="P391" s="541"/>
      <c r="Q391" s="541"/>
      <c r="R391" s="541"/>
      <c r="S391" s="541"/>
    </row>
    <row r="392">
      <c r="A392" s="2688"/>
      <c r="B392" s="195"/>
      <c r="C392" s="195"/>
      <c r="D392" s="195"/>
      <c r="E392" s="195"/>
      <c r="F392" s="195"/>
      <c r="G392" s="195"/>
      <c r="H392" s="195"/>
      <c r="I392" s="195"/>
      <c r="J392" s="2689"/>
      <c r="K392" s="195"/>
      <c r="M392" s="633"/>
      <c r="N392" s="541"/>
      <c r="O392" s="541"/>
      <c r="P392" s="541"/>
      <c r="Q392" s="541"/>
      <c r="R392" s="541"/>
      <c r="S392" s="541"/>
    </row>
    <row r="393">
      <c r="A393" s="2688"/>
      <c r="B393" s="195"/>
      <c r="C393" s="195"/>
      <c r="D393" s="195"/>
      <c r="E393" s="195"/>
      <c r="F393" s="195"/>
      <c r="G393" s="195"/>
      <c r="H393" s="195"/>
      <c r="I393" s="195"/>
      <c r="J393" s="2689"/>
      <c r="K393" s="195"/>
      <c r="M393" s="633"/>
      <c r="N393" s="541"/>
      <c r="O393" s="541"/>
      <c r="P393" s="541"/>
      <c r="Q393" s="541"/>
      <c r="R393" s="541"/>
      <c r="S393" s="541"/>
    </row>
    <row r="394">
      <c r="A394" s="2688"/>
      <c r="B394" s="195"/>
      <c r="C394" s="195"/>
      <c r="D394" s="195"/>
      <c r="E394" s="195"/>
      <c r="F394" s="195"/>
      <c r="G394" s="195"/>
      <c r="H394" s="195"/>
      <c r="I394" s="195"/>
      <c r="J394" s="2689"/>
      <c r="K394" s="195"/>
      <c r="M394" s="633"/>
      <c r="N394" s="541"/>
      <c r="O394" s="541"/>
      <c r="P394" s="541"/>
      <c r="Q394" s="541"/>
      <c r="R394" s="541"/>
      <c r="S394" s="541"/>
    </row>
    <row r="395">
      <c r="A395" s="2688"/>
      <c r="B395" s="195"/>
      <c r="C395" s="195"/>
      <c r="D395" s="195"/>
      <c r="E395" s="195"/>
      <c r="F395" s="195"/>
      <c r="G395" s="195"/>
      <c r="H395" s="195"/>
      <c r="I395" s="195"/>
      <c r="J395" s="2689"/>
      <c r="K395" s="195"/>
      <c r="M395" s="633"/>
      <c r="N395" s="541"/>
      <c r="O395" s="541"/>
      <c r="P395" s="541"/>
      <c r="Q395" s="541"/>
      <c r="R395" s="541"/>
      <c r="S395" s="541"/>
    </row>
    <row r="396">
      <c r="A396" s="2688"/>
      <c r="B396" s="195"/>
      <c r="C396" s="195"/>
      <c r="D396" s="195"/>
      <c r="E396" s="195"/>
      <c r="F396" s="195"/>
      <c r="G396" s="195"/>
      <c r="H396" s="195"/>
      <c r="I396" s="195"/>
      <c r="J396" s="2689"/>
      <c r="K396" s="195"/>
      <c r="M396" s="633"/>
      <c r="N396" s="541"/>
      <c r="O396" s="541"/>
      <c r="P396" s="541"/>
      <c r="Q396" s="541"/>
      <c r="R396" s="541"/>
      <c r="S396" s="541"/>
    </row>
    <row r="397">
      <c r="A397" s="2688"/>
      <c r="B397" s="195"/>
      <c r="C397" s="195"/>
      <c r="D397" s="195"/>
      <c r="E397" s="195"/>
      <c r="F397" s="195"/>
      <c r="G397" s="195"/>
      <c r="H397" s="195"/>
      <c r="I397" s="195"/>
      <c r="J397" s="2689"/>
      <c r="K397" s="195"/>
      <c r="M397" s="633"/>
      <c r="N397" s="541"/>
      <c r="O397" s="541"/>
      <c r="P397" s="541"/>
      <c r="Q397" s="541"/>
      <c r="R397" s="541"/>
      <c r="S397" s="541"/>
    </row>
    <row r="398">
      <c r="A398" s="2688"/>
      <c r="B398" s="195"/>
      <c r="C398" s="195"/>
      <c r="D398" s="195"/>
      <c r="E398" s="195"/>
      <c r="F398" s="195"/>
      <c r="G398" s="195"/>
      <c r="H398" s="195"/>
      <c r="I398" s="195"/>
      <c r="J398" s="2689"/>
      <c r="K398" s="195"/>
      <c r="M398" s="633"/>
      <c r="N398" s="541"/>
      <c r="O398" s="541"/>
      <c r="P398" s="541"/>
      <c r="Q398" s="541"/>
      <c r="R398" s="541"/>
      <c r="S398" s="541"/>
    </row>
    <row r="399">
      <c r="A399" s="2688"/>
      <c r="B399" s="195"/>
      <c r="C399" s="195"/>
      <c r="D399" s="195"/>
      <c r="E399" s="195"/>
      <c r="F399" s="195"/>
      <c r="G399" s="195"/>
      <c r="H399" s="195"/>
      <c r="I399" s="195"/>
      <c r="J399" s="2689"/>
      <c r="K399" s="195"/>
      <c r="M399" s="633"/>
      <c r="N399" s="541"/>
      <c r="O399" s="541"/>
      <c r="P399" s="541"/>
      <c r="Q399" s="541"/>
      <c r="R399" s="541"/>
      <c r="S399" s="541"/>
    </row>
    <row r="400">
      <c r="A400" s="2688"/>
      <c r="B400" s="195"/>
      <c r="C400" s="195"/>
      <c r="D400" s="195"/>
      <c r="E400" s="195"/>
      <c r="F400" s="195"/>
      <c r="G400" s="195"/>
      <c r="H400" s="195"/>
      <c r="I400" s="195"/>
      <c r="J400" s="2689"/>
      <c r="K400" s="195"/>
      <c r="M400" s="633"/>
      <c r="N400" s="541"/>
      <c r="O400" s="541"/>
      <c r="P400" s="541"/>
      <c r="Q400" s="541"/>
      <c r="R400" s="541"/>
      <c r="S400" s="541"/>
    </row>
    <row r="401">
      <c r="A401" s="2688"/>
      <c r="B401" s="195"/>
      <c r="C401" s="195"/>
      <c r="D401" s="195"/>
      <c r="E401" s="195"/>
      <c r="F401" s="195"/>
      <c r="G401" s="195"/>
      <c r="H401" s="195"/>
      <c r="I401" s="195"/>
      <c r="J401" s="2689"/>
      <c r="K401" s="195"/>
      <c r="M401" s="633"/>
      <c r="N401" s="541"/>
      <c r="O401" s="541"/>
      <c r="P401" s="541"/>
      <c r="Q401" s="541"/>
      <c r="R401" s="541"/>
      <c r="S401" s="541"/>
    </row>
    <row r="402">
      <c r="A402" s="2688"/>
      <c r="B402" s="195"/>
      <c r="C402" s="195"/>
      <c r="D402" s="195"/>
      <c r="E402" s="195"/>
      <c r="F402" s="195"/>
      <c r="G402" s="195"/>
      <c r="H402" s="195"/>
      <c r="I402" s="195"/>
      <c r="J402" s="2689"/>
      <c r="K402" s="195"/>
      <c r="M402" s="633"/>
      <c r="N402" s="541"/>
      <c r="O402" s="541"/>
      <c r="P402" s="541"/>
      <c r="Q402" s="541"/>
      <c r="R402" s="541"/>
      <c r="S402" s="541"/>
    </row>
    <row r="403">
      <c r="A403" s="2688"/>
      <c r="B403" s="195"/>
      <c r="C403" s="195"/>
      <c r="D403" s="195"/>
      <c r="E403" s="195"/>
      <c r="F403" s="195"/>
      <c r="G403" s="195"/>
      <c r="H403" s="195"/>
      <c r="I403" s="195"/>
      <c r="J403" s="2689"/>
      <c r="K403" s="195"/>
      <c r="M403" s="633"/>
      <c r="N403" s="541"/>
      <c r="O403" s="541"/>
      <c r="P403" s="541"/>
      <c r="Q403" s="541"/>
      <c r="R403" s="541"/>
      <c r="S403" s="541"/>
    </row>
    <row r="404">
      <c r="A404" s="2688"/>
      <c r="B404" s="195"/>
      <c r="C404" s="195"/>
      <c r="D404" s="195"/>
      <c r="E404" s="195"/>
      <c r="F404" s="195"/>
      <c r="G404" s="195"/>
      <c r="H404" s="195"/>
      <c r="I404" s="195"/>
      <c r="J404" s="2689"/>
      <c r="K404" s="195"/>
      <c r="M404" s="633"/>
      <c r="N404" s="541"/>
      <c r="O404" s="541"/>
      <c r="P404" s="541"/>
      <c r="Q404" s="541"/>
      <c r="R404" s="541"/>
      <c r="S404" s="541"/>
    </row>
    <row r="405">
      <c r="A405" s="2688"/>
      <c r="B405" s="195"/>
      <c r="C405" s="195"/>
      <c r="D405" s="195"/>
      <c r="E405" s="195"/>
      <c r="F405" s="195"/>
      <c r="G405" s="195"/>
      <c r="H405" s="195"/>
      <c r="I405" s="195"/>
      <c r="J405" s="2689"/>
      <c r="K405" s="195"/>
      <c r="M405" s="633"/>
      <c r="N405" s="541"/>
      <c r="O405" s="541"/>
      <c r="P405" s="541"/>
      <c r="Q405" s="541"/>
      <c r="R405" s="541"/>
      <c r="S405" s="541"/>
    </row>
    <row r="406">
      <c r="A406" s="2688"/>
      <c r="B406" s="195"/>
      <c r="C406" s="195"/>
      <c r="D406" s="195"/>
      <c r="E406" s="195"/>
      <c r="F406" s="195"/>
      <c r="G406" s="195"/>
      <c r="H406" s="195"/>
      <c r="I406" s="195"/>
      <c r="J406" s="2689"/>
      <c r="K406" s="195"/>
      <c r="M406" s="633"/>
      <c r="N406" s="541"/>
      <c r="O406" s="541"/>
      <c r="P406" s="541"/>
      <c r="Q406" s="541"/>
      <c r="R406" s="541"/>
      <c r="S406" s="541"/>
    </row>
    <row r="407">
      <c r="A407" s="2688"/>
      <c r="B407" s="195"/>
      <c r="C407" s="195"/>
      <c r="D407" s="195"/>
      <c r="E407" s="195"/>
      <c r="F407" s="195"/>
      <c r="G407" s="195"/>
      <c r="H407" s="195"/>
      <c r="I407" s="195"/>
      <c r="J407" s="2689"/>
      <c r="K407" s="195"/>
      <c r="M407" s="633"/>
      <c r="N407" s="541"/>
      <c r="O407" s="541"/>
      <c r="P407" s="541"/>
      <c r="Q407" s="541"/>
      <c r="R407" s="541"/>
      <c r="S407" s="541"/>
    </row>
    <row r="408">
      <c r="A408" s="2688"/>
      <c r="B408" s="195"/>
      <c r="C408" s="195"/>
      <c r="D408" s="195"/>
      <c r="E408" s="195"/>
      <c r="F408" s="195"/>
      <c r="G408" s="195"/>
      <c r="H408" s="195"/>
      <c r="I408" s="195"/>
      <c r="J408" s="2689"/>
      <c r="K408" s="195"/>
      <c r="M408" s="633"/>
      <c r="N408" s="541"/>
      <c r="O408" s="541"/>
      <c r="P408" s="541"/>
      <c r="Q408" s="541"/>
      <c r="R408" s="541"/>
      <c r="S408" s="541"/>
    </row>
    <row r="409">
      <c r="A409" s="2688"/>
      <c r="B409" s="195"/>
      <c r="C409" s="195"/>
      <c r="D409" s="195"/>
      <c r="E409" s="195"/>
      <c r="F409" s="195"/>
      <c r="G409" s="195"/>
      <c r="H409" s="195"/>
      <c r="I409" s="195"/>
      <c r="J409" s="2689"/>
      <c r="K409" s="195"/>
      <c r="M409" s="633"/>
      <c r="N409" s="541"/>
      <c r="O409" s="541"/>
      <c r="P409" s="541"/>
      <c r="Q409" s="541"/>
      <c r="R409" s="541"/>
      <c r="S409" s="541"/>
    </row>
    <row r="410">
      <c r="A410" s="2688"/>
      <c r="B410" s="195"/>
      <c r="C410" s="195"/>
      <c r="D410" s="195"/>
      <c r="E410" s="195"/>
      <c r="F410" s="195"/>
      <c r="G410" s="195"/>
      <c r="H410" s="195"/>
      <c r="I410" s="195"/>
      <c r="J410" s="2689"/>
      <c r="K410" s="195"/>
      <c r="M410" s="633"/>
      <c r="N410" s="541"/>
      <c r="O410" s="541"/>
      <c r="P410" s="541"/>
      <c r="Q410" s="541"/>
      <c r="R410" s="541"/>
      <c r="S410" s="541"/>
    </row>
    <row r="411">
      <c r="A411" s="2688"/>
      <c r="B411" s="195"/>
      <c r="C411" s="195"/>
      <c r="D411" s="195"/>
      <c r="E411" s="195"/>
      <c r="F411" s="195"/>
      <c r="G411" s="195"/>
      <c r="H411" s="195"/>
      <c r="I411" s="195"/>
      <c r="J411" s="2689"/>
      <c r="K411" s="195"/>
      <c r="M411" s="633"/>
      <c r="N411" s="541"/>
      <c r="O411" s="541"/>
      <c r="P411" s="541"/>
      <c r="Q411" s="541"/>
      <c r="R411" s="541"/>
      <c r="S411" s="541"/>
    </row>
    <row r="412">
      <c r="A412" s="2688"/>
      <c r="B412" s="195"/>
      <c r="C412" s="195"/>
      <c r="D412" s="195"/>
      <c r="E412" s="195"/>
      <c r="F412" s="195"/>
      <c r="G412" s="195"/>
      <c r="H412" s="195"/>
      <c r="I412" s="195"/>
      <c r="J412" s="2689"/>
      <c r="K412" s="195"/>
      <c r="M412" s="633"/>
      <c r="N412" s="541"/>
      <c r="O412" s="541"/>
      <c r="P412" s="541"/>
      <c r="Q412" s="541"/>
      <c r="R412" s="541"/>
      <c r="S412" s="541"/>
    </row>
    <row r="413">
      <c r="A413" s="2688"/>
      <c r="B413" s="195"/>
      <c r="C413" s="195"/>
      <c r="D413" s="195"/>
      <c r="E413" s="195"/>
      <c r="F413" s="195"/>
      <c r="G413" s="195"/>
      <c r="H413" s="195"/>
      <c r="I413" s="195"/>
      <c r="J413" s="2689"/>
      <c r="K413" s="195"/>
      <c r="M413" s="633"/>
      <c r="N413" s="541"/>
      <c r="O413" s="541"/>
      <c r="P413" s="541"/>
      <c r="Q413" s="541"/>
      <c r="R413" s="541"/>
      <c r="S413" s="541"/>
    </row>
    <row r="414">
      <c r="A414" s="2688"/>
      <c r="B414" s="195"/>
      <c r="C414" s="195"/>
      <c r="D414" s="195"/>
      <c r="E414" s="195"/>
      <c r="F414" s="195"/>
      <c r="G414" s="195"/>
      <c r="H414" s="195"/>
      <c r="I414" s="195"/>
      <c r="J414" s="2689"/>
      <c r="K414" s="195"/>
      <c r="M414" s="633"/>
      <c r="N414" s="541"/>
      <c r="O414" s="541"/>
      <c r="P414" s="541"/>
      <c r="Q414" s="541"/>
      <c r="R414" s="541"/>
      <c r="S414" s="541"/>
    </row>
    <row r="415">
      <c r="A415" s="2688"/>
      <c r="B415" s="195"/>
      <c r="C415" s="195"/>
      <c r="D415" s="195"/>
      <c r="E415" s="195"/>
      <c r="F415" s="195"/>
      <c r="G415" s="195"/>
      <c r="H415" s="195"/>
      <c r="I415" s="195"/>
      <c r="J415" s="2689"/>
      <c r="K415" s="195"/>
      <c r="M415" s="633"/>
      <c r="N415" s="541"/>
      <c r="O415" s="541"/>
      <c r="P415" s="541"/>
      <c r="Q415" s="541"/>
      <c r="R415" s="541"/>
      <c r="S415" s="541"/>
    </row>
    <row r="416">
      <c r="A416" s="2688"/>
      <c r="B416" s="195"/>
      <c r="C416" s="195"/>
      <c r="D416" s="195"/>
      <c r="E416" s="195"/>
      <c r="F416" s="195"/>
      <c r="G416" s="195"/>
      <c r="H416" s="195"/>
      <c r="I416" s="195"/>
      <c r="J416" s="2689"/>
      <c r="K416" s="195"/>
      <c r="M416" s="633"/>
      <c r="N416" s="541"/>
      <c r="O416" s="541"/>
      <c r="P416" s="541"/>
      <c r="Q416" s="541"/>
      <c r="R416" s="541"/>
      <c r="S416" s="541"/>
    </row>
    <row r="417">
      <c r="A417" s="2688"/>
      <c r="B417" s="195"/>
      <c r="C417" s="195"/>
      <c r="D417" s="195"/>
      <c r="E417" s="195"/>
      <c r="F417" s="195"/>
      <c r="G417" s="195"/>
      <c r="H417" s="195"/>
      <c r="I417" s="195"/>
      <c r="J417" s="2689"/>
      <c r="K417" s="195"/>
      <c r="M417" s="633"/>
      <c r="N417" s="541"/>
      <c r="O417" s="541"/>
      <c r="P417" s="541"/>
      <c r="Q417" s="541"/>
      <c r="R417" s="541"/>
      <c r="S417" s="541"/>
    </row>
    <row r="418">
      <c r="A418" s="2688"/>
      <c r="B418" s="195"/>
      <c r="C418" s="195"/>
      <c r="D418" s="195"/>
      <c r="E418" s="195"/>
      <c r="F418" s="195"/>
      <c r="G418" s="195"/>
      <c r="H418" s="195"/>
      <c r="I418" s="195"/>
      <c r="J418" s="2689"/>
      <c r="K418" s="195"/>
      <c r="M418" s="633"/>
      <c r="N418" s="541"/>
      <c r="O418" s="541"/>
      <c r="P418" s="541"/>
      <c r="Q418" s="541"/>
      <c r="R418" s="541"/>
      <c r="S418" s="541"/>
    </row>
    <row r="419">
      <c r="A419" s="2688"/>
      <c r="B419" s="195"/>
      <c r="C419" s="195"/>
      <c r="D419" s="195"/>
      <c r="E419" s="195"/>
      <c r="F419" s="195"/>
      <c r="G419" s="195"/>
      <c r="H419" s="195"/>
      <c r="I419" s="195"/>
      <c r="J419" s="2689"/>
      <c r="K419" s="195"/>
      <c r="M419" s="633"/>
      <c r="N419" s="541"/>
      <c r="O419" s="541"/>
      <c r="P419" s="541"/>
      <c r="Q419" s="541"/>
      <c r="R419" s="541"/>
      <c r="S419" s="541"/>
    </row>
    <row r="420">
      <c r="A420" s="2688"/>
      <c r="B420" s="195"/>
      <c r="C420" s="195"/>
      <c r="D420" s="195"/>
      <c r="E420" s="195"/>
      <c r="F420" s="195"/>
      <c r="G420" s="195"/>
      <c r="H420" s="195"/>
      <c r="I420" s="195"/>
      <c r="J420" s="2689"/>
      <c r="K420" s="195"/>
      <c r="M420" s="633"/>
      <c r="N420" s="541"/>
      <c r="O420" s="541"/>
      <c r="P420" s="541"/>
      <c r="Q420" s="541"/>
      <c r="R420" s="541"/>
      <c r="S420" s="541"/>
    </row>
    <row r="421">
      <c r="A421" s="2688"/>
      <c r="B421" s="195"/>
      <c r="C421" s="195"/>
      <c r="D421" s="195"/>
      <c r="E421" s="195"/>
      <c r="F421" s="195"/>
      <c r="G421" s="195"/>
      <c r="H421" s="195"/>
      <c r="I421" s="195"/>
      <c r="J421" s="2689"/>
      <c r="K421" s="195"/>
      <c r="M421" s="633"/>
      <c r="N421" s="541"/>
      <c r="O421" s="541"/>
      <c r="P421" s="541"/>
      <c r="Q421" s="541"/>
      <c r="R421" s="541"/>
      <c r="S421" s="541"/>
    </row>
    <row r="422">
      <c r="A422" s="2688"/>
      <c r="B422" s="195"/>
      <c r="C422" s="195"/>
      <c r="D422" s="195"/>
      <c r="E422" s="195"/>
      <c r="F422" s="195"/>
      <c r="G422" s="195"/>
      <c r="H422" s="195"/>
      <c r="I422" s="195"/>
      <c r="J422" s="2689"/>
      <c r="K422" s="195"/>
      <c r="M422" s="633"/>
      <c r="N422" s="541"/>
      <c r="O422" s="541"/>
      <c r="P422" s="541"/>
      <c r="Q422" s="541"/>
      <c r="R422" s="541"/>
      <c r="S422" s="541"/>
    </row>
    <row r="423">
      <c r="A423" s="2688"/>
      <c r="B423" s="195"/>
      <c r="C423" s="195"/>
      <c r="D423" s="195"/>
      <c r="E423" s="195"/>
      <c r="F423" s="195"/>
      <c r="G423" s="195"/>
      <c r="H423" s="195"/>
      <c r="I423" s="195"/>
      <c r="J423" s="2689"/>
      <c r="K423" s="195"/>
      <c r="M423" s="633"/>
      <c r="N423" s="541"/>
      <c r="O423" s="541"/>
      <c r="P423" s="541"/>
      <c r="Q423" s="541"/>
      <c r="R423" s="541"/>
      <c r="S423" s="541"/>
    </row>
    <row r="424">
      <c r="A424" s="2688"/>
      <c r="B424" s="195"/>
      <c r="C424" s="195"/>
      <c r="D424" s="195"/>
      <c r="E424" s="195"/>
      <c r="F424" s="195"/>
      <c r="G424" s="195"/>
      <c r="H424" s="195"/>
      <c r="I424" s="195"/>
      <c r="J424" s="2689"/>
      <c r="K424" s="195"/>
      <c r="M424" s="633"/>
      <c r="N424" s="541"/>
      <c r="O424" s="541"/>
      <c r="P424" s="541"/>
      <c r="Q424" s="541"/>
      <c r="R424" s="541"/>
      <c r="S424" s="541"/>
    </row>
    <row r="425">
      <c r="A425" s="2688"/>
      <c r="B425" s="195"/>
      <c r="C425" s="195"/>
      <c r="D425" s="195"/>
      <c r="E425" s="195"/>
      <c r="F425" s="195"/>
      <c r="G425" s="195"/>
      <c r="H425" s="195"/>
      <c r="I425" s="195"/>
      <c r="J425" s="2689"/>
      <c r="K425" s="195"/>
      <c r="M425" s="633"/>
      <c r="N425" s="541"/>
      <c r="O425" s="541"/>
      <c r="P425" s="541"/>
      <c r="Q425" s="541"/>
      <c r="R425" s="541"/>
      <c r="S425" s="541"/>
    </row>
    <row r="426">
      <c r="A426" s="2688"/>
      <c r="B426" s="195"/>
      <c r="C426" s="195"/>
      <c r="D426" s="195"/>
      <c r="E426" s="195"/>
      <c r="F426" s="195"/>
      <c r="G426" s="195"/>
      <c r="H426" s="195"/>
      <c r="I426" s="195"/>
      <c r="J426" s="2689"/>
      <c r="K426" s="195"/>
      <c r="M426" s="633"/>
      <c r="N426" s="541"/>
      <c r="O426" s="541"/>
      <c r="P426" s="541"/>
      <c r="Q426" s="541"/>
      <c r="R426" s="541"/>
      <c r="S426" s="541"/>
    </row>
    <row r="427">
      <c r="A427" s="2688"/>
      <c r="B427" s="195"/>
      <c r="C427" s="195"/>
      <c r="D427" s="195"/>
      <c r="E427" s="195"/>
      <c r="F427" s="195"/>
      <c r="G427" s="195"/>
      <c r="H427" s="195"/>
      <c r="I427" s="195"/>
      <c r="J427" s="2689"/>
      <c r="K427" s="195"/>
      <c r="M427" s="633"/>
      <c r="N427" s="541"/>
      <c r="O427" s="541"/>
      <c r="P427" s="541"/>
      <c r="Q427" s="541"/>
      <c r="R427" s="541"/>
      <c r="S427" s="541"/>
    </row>
    <row r="428">
      <c r="A428" s="2688"/>
      <c r="B428" s="195"/>
      <c r="C428" s="195"/>
      <c r="D428" s="195"/>
      <c r="E428" s="195"/>
      <c r="F428" s="195"/>
      <c r="G428" s="195"/>
      <c r="H428" s="195"/>
      <c r="I428" s="195"/>
      <c r="J428" s="2689"/>
      <c r="K428" s="195"/>
      <c r="M428" s="633"/>
      <c r="N428" s="541"/>
      <c r="O428" s="541"/>
      <c r="P428" s="541"/>
      <c r="Q428" s="541"/>
      <c r="R428" s="541"/>
      <c r="S428" s="541"/>
    </row>
    <row r="429">
      <c r="A429" s="2688"/>
      <c r="B429" s="195"/>
      <c r="C429" s="195"/>
      <c r="D429" s="195"/>
      <c r="E429" s="195"/>
      <c r="F429" s="195"/>
      <c r="G429" s="195"/>
      <c r="H429" s="195"/>
      <c r="I429" s="195"/>
      <c r="J429" s="2689"/>
      <c r="K429" s="195"/>
      <c r="M429" s="633"/>
      <c r="N429" s="541"/>
      <c r="O429" s="541"/>
      <c r="P429" s="541"/>
      <c r="Q429" s="541"/>
      <c r="R429" s="541"/>
      <c r="S429" s="541"/>
    </row>
    <row r="430">
      <c r="A430" s="2688"/>
      <c r="B430" s="195"/>
      <c r="C430" s="195"/>
      <c r="D430" s="195"/>
      <c r="E430" s="195"/>
      <c r="F430" s="195"/>
      <c r="G430" s="195"/>
      <c r="H430" s="195"/>
      <c r="I430" s="195"/>
      <c r="J430" s="2689"/>
      <c r="K430" s="195"/>
      <c r="M430" s="633"/>
      <c r="N430" s="541"/>
      <c r="O430" s="541"/>
      <c r="P430" s="541"/>
      <c r="Q430" s="541"/>
      <c r="R430" s="541"/>
      <c r="S430" s="541"/>
    </row>
    <row r="431">
      <c r="A431" s="2688"/>
      <c r="B431" s="195"/>
      <c r="C431" s="195"/>
      <c r="D431" s="195"/>
      <c r="E431" s="195"/>
      <c r="F431" s="195"/>
      <c r="G431" s="195"/>
      <c r="H431" s="195"/>
      <c r="I431" s="195"/>
      <c r="J431" s="2689"/>
      <c r="K431" s="195"/>
      <c r="M431" s="633"/>
      <c r="N431" s="541"/>
      <c r="O431" s="541"/>
      <c r="P431" s="541"/>
      <c r="Q431" s="541"/>
      <c r="R431" s="541"/>
      <c r="S431" s="541"/>
    </row>
    <row r="432">
      <c r="A432" s="2688"/>
      <c r="B432" s="195"/>
      <c r="C432" s="195"/>
      <c r="D432" s="195"/>
      <c r="E432" s="195"/>
      <c r="F432" s="195"/>
      <c r="G432" s="195"/>
      <c r="H432" s="195"/>
      <c r="I432" s="195"/>
      <c r="J432" s="2689"/>
      <c r="K432" s="195"/>
      <c r="M432" s="633"/>
      <c r="N432" s="541"/>
      <c r="O432" s="541"/>
      <c r="P432" s="541"/>
      <c r="Q432" s="541"/>
      <c r="R432" s="541"/>
      <c r="S432" s="541"/>
    </row>
    <row r="433">
      <c r="A433" s="2688"/>
      <c r="B433" s="195"/>
      <c r="C433" s="195"/>
      <c r="D433" s="195"/>
      <c r="E433" s="195"/>
      <c r="F433" s="195"/>
      <c r="G433" s="195"/>
      <c r="H433" s="195"/>
      <c r="I433" s="195"/>
      <c r="J433" s="2689"/>
      <c r="K433" s="195"/>
      <c r="M433" s="633"/>
      <c r="N433" s="541"/>
      <c r="O433" s="541"/>
      <c r="P433" s="541"/>
      <c r="Q433" s="541"/>
      <c r="R433" s="541"/>
      <c r="S433" s="541"/>
    </row>
    <row r="434">
      <c r="A434" s="2688"/>
      <c r="B434" s="195"/>
      <c r="C434" s="195"/>
      <c r="D434" s="195"/>
      <c r="E434" s="195"/>
      <c r="F434" s="195"/>
      <c r="G434" s="195"/>
      <c r="H434" s="195"/>
      <c r="I434" s="195"/>
      <c r="J434" s="2689"/>
      <c r="K434" s="195"/>
      <c r="M434" s="633"/>
      <c r="N434" s="541"/>
      <c r="O434" s="541"/>
      <c r="P434" s="541"/>
      <c r="Q434" s="541"/>
      <c r="R434" s="541"/>
      <c r="S434" s="541"/>
    </row>
    <row r="435">
      <c r="A435" s="2688"/>
      <c r="B435" s="195"/>
      <c r="C435" s="195"/>
      <c r="D435" s="195"/>
      <c r="E435" s="195"/>
      <c r="F435" s="195"/>
      <c r="G435" s="195"/>
      <c r="H435" s="195"/>
      <c r="I435" s="195"/>
      <c r="J435" s="2689"/>
      <c r="K435" s="195"/>
      <c r="M435" s="633"/>
      <c r="N435" s="541"/>
      <c r="O435" s="541"/>
      <c r="P435" s="541"/>
      <c r="Q435" s="541"/>
      <c r="R435" s="541"/>
      <c r="S435" s="541"/>
    </row>
    <row r="436">
      <c r="A436" s="2688"/>
      <c r="B436" s="195"/>
      <c r="C436" s="195"/>
      <c r="D436" s="195"/>
      <c r="E436" s="195"/>
      <c r="F436" s="195"/>
      <c r="G436" s="195"/>
      <c r="H436" s="195"/>
      <c r="I436" s="195"/>
      <c r="J436" s="2689"/>
      <c r="K436" s="195"/>
      <c r="M436" s="633"/>
      <c r="N436" s="541"/>
      <c r="O436" s="541"/>
      <c r="P436" s="541"/>
      <c r="Q436" s="541"/>
      <c r="R436" s="541"/>
      <c r="S436" s="541"/>
    </row>
    <row r="437">
      <c r="A437" s="2688"/>
      <c r="B437" s="195"/>
      <c r="C437" s="195"/>
      <c r="D437" s="195"/>
      <c r="E437" s="195"/>
      <c r="F437" s="195"/>
      <c r="G437" s="195"/>
      <c r="H437" s="195"/>
      <c r="I437" s="195"/>
      <c r="J437" s="2689"/>
      <c r="K437" s="195"/>
      <c r="M437" s="633"/>
      <c r="N437" s="541"/>
      <c r="O437" s="541"/>
      <c r="P437" s="541"/>
      <c r="Q437" s="541"/>
      <c r="R437" s="541"/>
      <c r="S437" s="541"/>
    </row>
    <row r="438">
      <c r="A438" s="2688"/>
      <c r="B438" s="195"/>
      <c r="C438" s="195"/>
      <c r="D438" s="195"/>
      <c r="E438" s="195"/>
      <c r="F438" s="195"/>
      <c r="G438" s="195"/>
      <c r="H438" s="195"/>
      <c r="I438" s="195"/>
      <c r="J438" s="2689"/>
      <c r="K438" s="195"/>
      <c r="M438" s="633"/>
      <c r="N438" s="541"/>
      <c r="O438" s="541"/>
      <c r="P438" s="541"/>
      <c r="Q438" s="541"/>
      <c r="R438" s="541"/>
      <c r="S438" s="541"/>
    </row>
    <row r="439">
      <c r="A439" s="2688"/>
      <c r="B439" s="195"/>
      <c r="C439" s="195"/>
      <c r="D439" s="195"/>
      <c r="E439" s="195"/>
      <c r="F439" s="195"/>
      <c r="G439" s="195"/>
      <c r="H439" s="195"/>
      <c r="I439" s="195"/>
      <c r="J439" s="2689"/>
      <c r="K439" s="195"/>
      <c r="M439" s="633"/>
      <c r="N439" s="541"/>
      <c r="O439" s="541"/>
      <c r="P439" s="541"/>
      <c r="Q439" s="541"/>
      <c r="R439" s="541"/>
      <c r="S439" s="541"/>
    </row>
    <row r="440">
      <c r="A440" s="2688"/>
      <c r="B440" s="195"/>
      <c r="C440" s="195"/>
      <c r="D440" s="195"/>
      <c r="E440" s="195"/>
      <c r="F440" s="195"/>
      <c r="G440" s="195"/>
      <c r="H440" s="195"/>
      <c r="I440" s="195"/>
      <c r="J440" s="2689"/>
      <c r="K440" s="195"/>
      <c r="M440" s="633"/>
      <c r="N440" s="541"/>
      <c r="O440" s="541"/>
      <c r="P440" s="541"/>
      <c r="Q440" s="541"/>
      <c r="R440" s="541"/>
      <c r="S440" s="541"/>
    </row>
    <row r="441">
      <c r="A441" s="2688"/>
      <c r="B441" s="195"/>
      <c r="C441" s="195"/>
      <c r="D441" s="195"/>
      <c r="E441" s="195"/>
      <c r="F441" s="195"/>
      <c r="G441" s="195"/>
      <c r="H441" s="195"/>
      <c r="I441" s="195"/>
      <c r="J441" s="2689"/>
      <c r="K441" s="195"/>
      <c r="M441" s="633"/>
      <c r="N441" s="541"/>
      <c r="O441" s="541"/>
      <c r="P441" s="541"/>
      <c r="Q441" s="541"/>
      <c r="R441" s="541"/>
      <c r="S441" s="541"/>
    </row>
    <row r="442">
      <c r="A442" s="2688"/>
      <c r="B442" s="195"/>
      <c r="C442" s="195"/>
      <c r="D442" s="195"/>
      <c r="E442" s="195"/>
      <c r="F442" s="195"/>
      <c r="G442" s="195"/>
      <c r="H442" s="195"/>
      <c r="I442" s="195"/>
      <c r="J442" s="2689"/>
      <c r="K442" s="195"/>
      <c r="M442" s="633"/>
      <c r="N442" s="541"/>
      <c r="O442" s="541"/>
      <c r="P442" s="541"/>
      <c r="Q442" s="541"/>
      <c r="R442" s="541"/>
      <c r="S442" s="541"/>
    </row>
    <row r="443">
      <c r="A443" s="2688"/>
      <c r="B443" s="195"/>
      <c r="C443" s="195"/>
      <c r="D443" s="195"/>
      <c r="E443" s="195"/>
      <c r="F443" s="195"/>
      <c r="G443" s="195"/>
      <c r="H443" s="195"/>
      <c r="I443" s="195"/>
      <c r="J443" s="2689"/>
      <c r="K443" s="195"/>
      <c r="M443" s="633"/>
      <c r="N443" s="541"/>
      <c r="O443" s="541"/>
      <c r="P443" s="541"/>
      <c r="Q443" s="541"/>
      <c r="R443" s="541"/>
      <c r="S443" s="541"/>
    </row>
    <row r="444">
      <c r="A444" s="2688"/>
      <c r="B444" s="195"/>
      <c r="C444" s="195"/>
      <c r="D444" s="195"/>
      <c r="E444" s="195"/>
      <c r="F444" s="195"/>
      <c r="G444" s="195"/>
      <c r="H444" s="195"/>
      <c r="I444" s="195"/>
      <c r="J444" s="2689"/>
      <c r="K444" s="195"/>
      <c r="M444" s="633"/>
      <c r="N444" s="541"/>
      <c r="O444" s="541"/>
      <c r="P444" s="541"/>
      <c r="Q444" s="541"/>
      <c r="R444" s="541"/>
      <c r="S444" s="541"/>
    </row>
    <row r="445">
      <c r="A445" s="2688"/>
      <c r="B445" s="195"/>
      <c r="C445" s="195"/>
      <c r="D445" s="195"/>
      <c r="E445" s="195"/>
      <c r="F445" s="195"/>
      <c r="G445" s="195"/>
      <c r="H445" s="195"/>
      <c r="I445" s="195"/>
      <c r="J445" s="2689"/>
      <c r="K445" s="195"/>
      <c r="M445" s="633"/>
      <c r="N445" s="541"/>
      <c r="O445" s="541"/>
      <c r="P445" s="541"/>
      <c r="Q445" s="541"/>
      <c r="R445" s="541"/>
      <c r="S445" s="541"/>
    </row>
    <row r="446">
      <c r="A446" s="2688"/>
      <c r="B446" s="195"/>
      <c r="C446" s="195"/>
      <c r="D446" s="195"/>
      <c r="E446" s="195"/>
      <c r="F446" s="195"/>
      <c r="G446" s="195"/>
      <c r="H446" s="195"/>
      <c r="I446" s="195"/>
      <c r="J446" s="2689"/>
      <c r="K446" s="195"/>
      <c r="M446" s="633"/>
      <c r="N446" s="541"/>
      <c r="O446" s="541"/>
      <c r="P446" s="541"/>
      <c r="Q446" s="541"/>
      <c r="R446" s="541"/>
      <c r="S446" s="541"/>
    </row>
    <row r="447">
      <c r="A447" s="2688"/>
      <c r="B447" s="195"/>
      <c r="C447" s="195"/>
      <c r="D447" s="195"/>
      <c r="E447" s="195"/>
      <c r="F447" s="195"/>
      <c r="G447" s="195"/>
      <c r="H447" s="195"/>
      <c r="I447" s="195"/>
      <c r="J447" s="2689"/>
      <c r="K447" s="195"/>
      <c r="M447" s="633"/>
      <c r="N447" s="541"/>
      <c r="O447" s="541"/>
      <c r="P447" s="541"/>
      <c r="Q447" s="541"/>
      <c r="R447" s="541"/>
      <c r="S447" s="541"/>
    </row>
    <row r="448">
      <c r="A448" s="2688"/>
      <c r="B448" s="195"/>
      <c r="C448" s="195"/>
      <c r="D448" s="195"/>
      <c r="E448" s="195"/>
      <c r="F448" s="195"/>
      <c r="G448" s="195"/>
      <c r="H448" s="195"/>
      <c r="I448" s="195"/>
      <c r="J448" s="2689"/>
      <c r="K448" s="195"/>
      <c r="M448" s="633"/>
      <c r="N448" s="541"/>
      <c r="O448" s="541"/>
      <c r="P448" s="541"/>
      <c r="Q448" s="541"/>
      <c r="R448" s="541"/>
      <c r="S448" s="541"/>
    </row>
    <row r="449">
      <c r="A449" s="2688"/>
      <c r="B449" s="195"/>
      <c r="C449" s="195"/>
      <c r="D449" s="195"/>
      <c r="E449" s="195"/>
      <c r="F449" s="195"/>
      <c r="G449" s="195"/>
      <c r="H449" s="195"/>
      <c r="I449" s="195"/>
      <c r="J449" s="2689"/>
      <c r="K449" s="195"/>
      <c r="M449" s="633"/>
      <c r="N449" s="541"/>
      <c r="O449" s="541"/>
      <c r="P449" s="541"/>
      <c r="Q449" s="541"/>
      <c r="R449" s="541"/>
      <c r="S449" s="541"/>
    </row>
    <row r="450">
      <c r="A450" s="2688"/>
      <c r="B450" s="195"/>
      <c r="C450" s="195"/>
      <c r="D450" s="195"/>
      <c r="E450" s="195"/>
      <c r="F450" s="195"/>
      <c r="G450" s="195"/>
      <c r="H450" s="195"/>
      <c r="I450" s="195"/>
      <c r="J450" s="2689"/>
      <c r="K450" s="195"/>
      <c r="M450" s="633"/>
      <c r="N450" s="541"/>
      <c r="O450" s="541"/>
      <c r="P450" s="541"/>
      <c r="Q450" s="541"/>
      <c r="R450" s="541"/>
      <c r="S450" s="541"/>
    </row>
    <row r="451">
      <c r="A451" s="2688"/>
      <c r="B451" s="195"/>
      <c r="C451" s="195"/>
      <c r="D451" s="195"/>
      <c r="E451" s="195"/>
      <c r="F451" s="195"/>
      <c r="G451" s="195"/>
      <c r="H451" s="195"/>
      <c r="I451" s="195"/>
      <c r="J451" s="2689"/>
      <c r="K451" s="195"/>
      <c r="M451" s="633"/>
      <c r="N451" s="541"/>
      <c r="O451" s="541"/>
      <c r="P451" s="541"/>
      <c r="Q451" s="541"/>
      <c r="R451" s="541"/>
      <c r="S451" s="541"/>
    </row>
    <row r="452">
      <c r="A452" s="2688"/>
      <c r="B452" s="195"/>
      <c r="C452" s="195"/>
      <c r="D452" s="195"/>
      <c r="E452" s="195"/>
      <c r="F452" s="195"/>
      <c r="G452" s="195"/>
      <c r="H452" s="195"/>
      <c r="I452" s="195"/>
      <c r="J452" s="2689"/>
      <c r="K452" s="195"/>
      <c r="M452" s="633"/>
      <c r="N452" s="541"/>
      <c r="O452" s="541"/>
      <c r="P452" s="541"/>
      <c r="Q452" s="541"/>
      <c r="R452" s="541"/>
      <c r="S452" s="541"/>
    </row>
    <row r="453">
      <c r="A453" s="2688"/>
      <c r="B453" s="195"/>
      <c r="C453" s="195"/>
      <c r="D453" s="195"/>
      <c r="E453" s="195"/>
      <c r="F453" s="195"/>
      <c r="G453" s="195"/>
      <c r="H453" s="195"/>
      <c r="I453" s="195"/>
      <c r="J453" s="2689"/>
      <c r="K453" s="195"/>
      <c r="M453" s="633"/>
      <c r="N453" s="541"/>
      <c r="O453" s="541"/>
      <c r="P453" s="541"/>
      <c r="Q453" s="541"/>
      <c r="R453" s="541"/>
      <c r="S453" s="541"/>
    </row>
    <row r="454">
      <c r="A454" s="2688"/>
      <c r="B454" s="195"/>
      <c r="C454" s="195"/>
      <c r="D454" s="195"/>
      <c r="E454" s="195"/>
      <c r="F454" s="195"/>
      <c r="G454" s="195"/>
      <c r="H454" s="195"/>
      <c r="I454" s="195"/>
      <c r="J454" s="2689"/>
      <c r="K454" s="195"/>
      <c r="M454" s="633"/>
      <c r="N454" s="541"/>
      <c r="O454" s="541"/>
      <c r="P454" s="541"/>
      <c r="Q454" s="541"/>
      <c r="R454" s="541"/>
      <c r="S454" s="541"/>
    </row>
    <row r="455">
      <c r="A455" s="2688"/>
      <c r="B455" s="195"/>
      <c r="C455" s="195"/>
      <c r="D455" s="195"/>
      <c r="E455" s="195"/>
      <c r="F455" s="195"/>
      <c r="G455" s="195"/>
      <c r="H455" s="195"/>
      <c r="I455" s="195"/>
      <c r="J455" s="2689"/>
      <c r="K455" s="195"/>
      <c r="M455" s="633"/>
      <c r="N455" s="541"/>
      <c r="O455" s="541"/>
      <c r="P455" s="541"/>
      <c r="Q455" s="541"/>
      <c r="R455" s="541"/>
      <c r="S455" s="541"/>
    </row>
    <row r="456">
      <c r="A456" s="2688"/>
      <c r="B456" s="195"/>
      <c r="C456" s="195"/>
      <c r="D456" s="195"/>
      <c r="E456" s="195"/>
      <c r="F456" s="195"/>
      <c r="G456" s="195"/>
      <c r="H456" s="195"/>
      <c r="I456" s="195"/>
      <c r="J456" s="2689"/>
      <c r="K456" s="195"/>
      <c r="M456" s="633"/>
      <c r="N456" s="541"/>
      <c r="O456" s="541"/>
      <c r="P456" s="541"/>
      <c r="Q456" s="541"/>
      <c r="R456" s="541"/>
      <c r="S456" s="541"/>
    </row>
    <row r="457">
      <c r="A457" s="2688"/>
      <c r="B457" s="195"/>
      <c r="C457" s="195"/>
      <c r="D457" s="195"/>
      <c r="E457" s="195"/>
      <c r="F457" s="195"/>
      <c r="G457" s="195"/>
      <c r="H457" s="195"/>
      <c r="I457" s="195"/>
      <c r="J457" s="2689"/>
      <c r="K457" s="195"/>
      <c r="M457" s="633"/>
      <c r="N457" s="541"/>
      <c r="O457" s="541"/>
      <c r="P457" s="541"/>
      <c r="Q457" s="541"/>
      <c r="R457" s="541"/>
      <c r="S457" s="541"/>
    </row>
    <row r="458">
      <c r="A458" s="2688"/>
      <c r="B458" s="195"/>
      <c r="C458" s="195"/>
      <c r="D458" s="195"/>
      <c r="E458" s="195"/>
      <c r="F458" s="195"/>
      <c r="G458" s="195"/>
      <c r="H458" s="195"/>
      <c r="I458" s="195"/>
      <c r="J458" s="2689"/>
      <c r="K458" s="195"/>
      <c r="M458" s="633"/>
      <c r="N458" s="541"/>
      <c r="O458" s="541"/>
      <c r="P458" s="541"/>
      <c r="Q458" s="541"/>
      <c r="R458" s="541"/>
      <c r="S458" s="541"/>
    </row>
    <row r="459">
      <c r="A459" s="2688"/>
      <c r="B459" s="195"/>
      <c r="C459" s="195"/>
      <c r="D459" s="195"/>
      <c r="E459" s="195"/>
      <c r="F459" s="195"/>
      <c r="G459" s="195"/>
      <c r="H459" s="195"/>
      <c r="I459" s="195"/>
      <c r="J459" s="2689"/>
      <c r="K459" s="195"/>
      <c r="M459" s="633"/>
      <c r="N459" s="541"/>
      <c r="O459" s="541"/>
      <c r="P459" s="541"/>
      <c r="Q459" s="541"/>
      <c r="R459" s="541"/>
      <c r="S459" s="541"/>
    </row>
    <row r="460">
      <c r="A460" s="2688"/>
      <c r="B460" s="195"/>
      <c r="C460" s="195"/>
      <c r="D460" s="195"/>
      <c r="E460" s="195"/>
      <c r="F460" s="195"/>
      <c r="G460" s="195"/>
      <c r="H460" s="195"/>
      <c r="I460" s="195"/>
      <c r="J460" s="2689"/>
      <c r="K460" s="195"/>
      <c r="M460" s="633"/>
      <c r="N460" s="541"/>
      <c r="O460" s="541"/>
      <c r="P460" s="541"/>
      <c r="Q460" s="541"/>
      <c r="R460" s="541"/>
      <c r="S460" s="541"/>
    </row>
    <row r="461">
      <c r="A461" s="2688"/>
      <c r="B461" s="195"/>
      <c r="C461" s="195"/>
      <c r="D461" s="195"/>
      <c r="E461" s="195"/>
      <c r="F461" s="195"/>
      <c r="G461" s="195"/>
      <c r="H461" s="195"/>
      <c r="I461" s="195"/>
      <c r="J461" s="2689"/>
      <c r="K461" s="195"/>
      <c r="M461" s="633"/>
      <c r="N461" s="541"/>
      <c r="O461" s="541"/>
      <c r="P461" s="541"/>
      <c r="Q461" s="541"/>
      <c r="R461" s="541"/>
      <c r="S461" s="541"/>
    </row>
    <row r="462">
      <c r="A462" s="2688"/>
      <c r="B462" s="195"/>
      <c r="C462" s="195"/>
      <c r="D462" s="195"/>
      <c r="E462" s="195"/>
      <c r="F462" s="195"/>
      <c r="G462" s="195"/>
      <c r="H462" s="195"/>
      <c r="I462" s="195"/>
      <c r="J462" s="2689"/>
      <c r="K462" s="195"/>
      <c r="M462" s="633"/>
      <c r="N462" s="541"/>
      <c r="O462" s="541"/>
      <c r="P462" s="541"/>
      <c r="Q462" s="541"/>
      <c r="R462" s="541"/>
      <c r="S462" s="541"/>
    </row>
    <row r="463">
      <c r="A463" s="2688"/>
      <c r="B463" s="195"/>
      <c r="C463" s="195"/>
      <c r="D463" s="195"/>
      <c r="E463" s="195"/>
      <c r="F463" s="195"/>
      <c r="G463" s="195"/>
      <c r="H463" s="195"/>
      <c r="I463" s="195"/>
      <c r="J463" s="2689"/>
      <c r="K463" s="195"/>
      <c r="M463" s="633"/>
      <c r="N463" s="541"/>
      <c r="O463" s="541"/>
      <c r="P463" s="541"/>
      <c r="Q463" s="541"/>
      <c r="R463" s="541"/>
      <c r="S463" s="541"/>
    </row>
    <row r="464">
      <c r="A464" s="2688"/>
      <c r="B464" s="195"/>
      <c r="C464" s="195"/>
      <c r="D464" s="195"/>
      <c r="E464" s="195"/>
      <c r="F464" s="195"/>
      <c r="G464" s="195"/>
      <c r="H464" s="195"/>
      <c r="I464" s="195"/>
      <c r="J464" s="2689"/>
      <c r="K464" s="195"/>
      <c r="M464" s="633"/>
      <c r="N464" s="541"/>
      <c r="O464" s="541"/>
      <c r="P464" s="541"/>
      <c r="Q464" s="541"/>
      <c r="R464" s="541"/>
      <c r="S464" s="541"/>
    </row>
    <row r="465">
      <c r="A465" s="2688"/>
      <c r="B465" s="195"/>
      <c r="C465" s="195"/>
      <c r="D465" s="195"/>
      <c r="E465" s="195"/>
      <c r="F465" s="195"/>
      <c r="G465" s="195"/>
      <c r="H465" s="195"/>
      <c r="I465" s="195"/>
      <c r="J465" s="2689"/>
      <c r="K465" s="195"/>
      <c r="M465" s="633"/>
      <c r="N465" s="541"/>
      <c r="O465" s="541"/>
      <c r="P465" s="541"/>
      <c r="Q465" s="541"/>
      <c r="R465" s="541"/>
      <c r="S465" s="541"/>
    </row>
    <row r="466">
      <c r="A466" s="2688"/>
      <c r="B466" s="195"/>
      <c r="C466" s="195"/>
      <c r="D466" s="195"/>
      <c r="E466" s="195"/>
      <c r="F466" s="195"/>
      <c r="G466" s="195"/>
      <c r="H466" s="195"/>
      <c r="I466" s="195"/>
      <c r="J466" s="2689"/>
      <c r="K466" s="195"/>
      <c r="M466" s="633"/>
      <c r="N466" s="541"/>
      <c r="O466" s="541"/>
      <c r="P466" s="541"/>
      <c r="Q466" s="541"/>
      <c r="R466" s="541"/>
      <c r="S466" s="541"/>
    </row>
    <row r="467">
      <c r="A467" s="2688"/>
      <c r="B467" s="195"/>
      <c r="C467" s="195"/>
      <c r="D467" s="195"/>
      <c r="E467" s="195"/>
      <c r="F467" s="195"/>
      <c r="G467" s="195"/>
      <c r="H467" s="195"/>
      <c r="I467" s="195"/>
      <c r="J467" s="2689"/>
      <c r="K467" s="195"/>
      <c r="M467" s="633"/>
      <c r="N467" s="541"/>
      <c r="O467" s="541"/>
      <c r="P467" s="541"/>
      <c r="Q467" s="541"/>
      <c r="R467" s="541"/>
      <c r="S467" s="541"/>
    </row>
    <row r="468">
      <c r="A468" s="2688"/>
      <c r="B468" s="195"/>
      <c r="C468" s="195"/>
      <c r="D468" s="195"/>
      <c r="E468" s="195"/>
      <c r="F468" s="195"/>
      <c r="G468" s="195"/>
      <c r="H468" s="195"/>
      <c r="I468" s="195"/>
      <c r="J468" s="2689"/>
      <c r="K468" s="195"/>
      <c r="M468" s="633"/>
      <c r="N468" s="541"/>
      <c r="O468" s="541"/>
      <c r="P468" s="541"/>
      <c r="Q468" s="541"/>
      <c r="R468" s="541"/>
      <c r="S468" s="541"/>
    </row>
    <row r="469">
      <c r="A469" s="2688"/>
      <c r="B469" s="195"/>
      <c r="C469" s="195"/>
      <c r="D469" s="195"/>
      <c r="E469" s="195"/>
      <c r="F469" s="195"/>
      <c r="G469" s="195"/>
      <c r="H469" s="195"/>
      <c r="I469" s="195"/>
      <c r="J469" s="2689"/>
      <c r="K469" s="195"/>
      <c r="M469" s="633"/>
      <c r="N469" s="541"/>
      <c r="O469" s="541"/>
      <c r="P469" s="541"/>
      <c r="Q469" s="541"/>
      <c r="R469" s="541"/>
      <c r="S469" s="541"/>
    </row>
    <row r="470">
      <c r="A470" s="2688"/>
      <c r="B470" s="195"/>
      <c r="C470" s="195"/>
      <c r="D470" s="195"/>
      <c r="E470" s="195"/>
      <c r="F470" s="195"/>
      <c r="G470" s="195"/>
      <c r="H470" s="195"/>
      <c r="I470" s="195"/>
      <c r="J470" s="2689"/>
      <c r="K470" s="195"/>
      <c r="M470" s="633"/>
      <c r="N470" s="541"/>
      <c r="O470" s="541"/>
      <c r="P470" s="541"/>
      <c r="Q470" s="541"/>
      <c r="R470" s="541"/>
      <c r="S470" s="541"/>
    </row>
    <row r="471">
      <c r="A471" s="2688"/>
      <c r="B471" s="195"/>
      <c r="C471" s="195"/>
      <c r="D471" s="195"/>
      <c r="E471" s="195"/>
      <c r="F471" s="195"/>
      <c r="G471" s="195"/>
      <c r="H471" s="195"/>
      <c r="I471" s="195"/>
      <c r="J471" s="2689"/>
      <c r="K471" s="195"/>
      <c r="M471" s="633"/>
      <c r="N471" s="541"/>
      <c r="O471" s="541"/>
      <c r="P471" s="541"/>
      <c r="Q471" s="541"/>
      <c r="R471" s="541"/>
      <c r="S471" s="541"/>
    </row>
    <row r="472">
      <c r="A472" s="2688"/>
      <c r="B472" s="195"/>
      <c r="C472" s="195"/>
      <c r="D472" s="195"/>
      <c r="E472" s="195"/>
      <c r="F472" s="195"/>
      <c r="G472" s="195"/>
      <c r="H472" s="195"/>
      <c r="I472" s="195"/>
      <c r="J472" s="2689"/>
      <c r="K472" s="195"/>
      <c r="M472" s="633"/>
      <c r="N472" s="541"/>
      <c r="O472" s="541"/>
      <c r="P472" s="541"/>
      <c r="Q472" s="541"/>
      <c r="R472" s="541"/>
      <c r="S472" s="541"/>
    </row>
    <row r="473">
      <c r="A473" s="2688"/>
      <c r="B473" s="195"/>
      <c r="C473" s="195"/>
      <c r="D473" s="195"/>
      <c r="E473" s="195"/>
      <c r="F473" s="195"/>
      <c r="G473" s="195"/>
      <c r="H473" s="195"/>
      <c r="I473" s="195"/>
      <c r="J473" s="2689"/>
      <c r="K473" s="195"/>
      <c r="M473" s="633"/>
      <c r="N473" s="541"/>
      <c r="O473" s="541"/>
      <c r="P473" s="541"/>
      <c r="Q473" s="541"/>
      <c r="R473" s="541"/>
      <c r="S473" s="541"/>
    </row>
    <row r="474">
      <c r="A474" s="2688"/>
      <c r="B474" s="195"/>
      <c r="C474" s="195"/>
      <c r="D474" s="195"/>
      <c r="E474" s="195"/>
      <c r="F474" s="195"/>
      <c r="G474" s="195"/>
      <c r="H474" s="195"/>
      <c r="I474" s="195"/>
      <c r="J474" s="2689"/>
      <c r="K474" s="195"/>
      <c r="M474" s="633"/>
      <c r="N474" s="541"/>
      <c r="O474" s="541"/>
      <c r="P474" s="541"/>
      <c r="Q474" s="541"/>
      <c r="R474" s="541"/>
      <c r="S474" s="541"/>
    </row>
    <row r="475">
      <c r="A475" s="2688"/>
      <c r="B475" s="195"/>
      <c r="C475" s="195"/>
      <c r="D475" s="195"/>
      <c r="E475" s="195"/>
      <c r="F475" s="195"/>
      <c r="G475" s="195"/>
      <c r="H475" s="195"/>
      <c r="I475" s="195"/>
      <c r="J475" s="2689"/>
      <c r="K475" s="195"/>
      <c r="M475" s="633"/>
      <c r="N475" s="541"/>
      <c r="O475" s="541"/>
      <c r="P475" s="541"/>
      <c r="Q475" s="541"/>
      <c r="R475" s="541"/>
      <c r="S475" s="541"/>
    </row>
    <row r="476">
      <c r="A476" s="2688"/>
      <c r="B476" s="195"/>
      <c r="C476" s="195"/>
      <c r="D476" s="195"/>
      <c r="E476" s="195"/>
      <c r="F476" s="195"/>
      <c r="G476" s="195"/>
      <c r="H476" s="195"/>
      <c r="I476" s="195"/>
      <c r="J476" s="2689"/>
      <c r="K476" s="195"/>
      <c r="M476" s="633"/>
      <c r="N476" s="541"/>
      <c r="O476" s="541"/>
      <c r="P476" s="541"/>
      <c r="Q476" s="541"/>
      <c r="R476" s="541"/>
      <c r="S476" s="541"/>
    </row>
    <row r="477">
      <c r="A477" s="2688"/>
      <c r="B477" s="195"/>
      <c r="C477" s="195"/>
      <c r="D477" s="195"/>
      <c r="E477" s="195"/>
      <c r="F477" s="195"/>
      <c r="G477" s="195"/>
      <c r="H477" s="195"/>
      <c r="I477" s="195"/>
      <c r="J477" s="2689"/>
      <c r="K477" s="195"/>
      <c r="M477" s="633"/>
      <c r="N477" s="541"/>
      <c r="O477" s="541"/>
      <c r="P477" s="541"/>
      <c r="Q477" s="541"/>
      <c r="R477" s="541"/>
      <c r="S477" s="541"/>
    </row>
    <row r="478">
      <c r="A478" s="2688"/>
      <c r="B478" s="195"/>
      <c r="C478" s="195"/>
      <c r="D478" s="195"/>
      <c r="E478" s="195"/>
      <c r="F478" s="195"/>
      <c r="G478" s="195"/>
      <c r="H478" s="195"/>
      <c r="I478" s="195"/>
      <c r="J478" s="2689"/>
      <c r="K478" s="195"/>
      <c r="M478" s="633"/>
      <c r="N478" s="541"/>
      <c r="O478" s="541"/>
      <c r="P478" s="541"/>
      <c r="Q478" s="541"/>
      <c r="R478" s="541"/>
      <c r="S478" s="541"/>
    </row>
    <row r="479">
      <c r="A479" s="2688"/>
      <c r="B479" s="195"/>
      <c r="C479" s="195"/>
      <c r="D479" s="195"/>
      <c r="E479" s="195"/>
      <c r="F479" s="195"/>
      <c r="G479" s="195"/>
      <c r="H479" s="195"/>
      <c r="I479" s="195"/>
      <c r="J479" s="2689"/>
      <c r="K479" s="195"/>
      <c r="M479" s="633"/>
      <c r="N479" s="541"/>
      <c r="O479" s="541"/>
      <c r="P479" s="541"/>
      <c r="Q479" s="541"/>
      <c r="R479" s="541"/>
      <c r="S479" s="541"/>
    </row>
    <row r="480">
      <c r="A480" s="2688"/>
      <c r="B480" s="195"/>
      <c r="C480" s="195"/>
      <c r="D480" s="195"/>
      <c r="E480" s="195"/>
      <c r="F480" s="195"/>
      <c r="G480" s="195"/>
      <c r="H480" s="195"/>
      <c r="I480" s="195"/>
      <c r="J480" s="2689"/>
      <c r="K480" s="195"/>
      <c r="M480" s="633"/>
      <c r="N480" s="541"/>
      <c r="O480" s="541"/>
      <c r="P480" s="541"/>
      <c r="Q480" s="541"/>
      <c r="R480" s="541"/>
      <c r="S480" s="541"/>
    </row>
    <row r="481">
      <c r="A481" s="2688"/>
      <c r="B481" s="195"/>
      <c r="C481" s="195"/>
      <c r="D481" s="195"/>
      <c r="E481" s="195"/>
      <c r="F481" s="195"/>
      <c r="G481" s="195"/>
      <c r="H481" s="195"/>
      <c r="I481" s="195"/>
      <c r="J481" s="2689"/>
      <c r="K481" s="195"/>
      <c r="M481" s="633"/>
      <c r="N481" s="541"/>
      <c r="O481" s="541"/>
      <c r="P481" s="541"/>
      <c r="Q481" s="541"/>
      <c r="R481" s="541"/>
      <c r="S481" s="541"/>
    </row>
    <row r="482">
      <c r="A482" s="2688"/>
      <c r="B482" s="195"/>
      <c r="C482" s="195"/>
      <c r="D482" s="195"/>
      <c r="E482" s="195"/>
      <c r="F482" s="195"/>
      <c r="G482" s="195"/>
      <c r="H482" s="195"/>
      <c r="I482" s="195"/>
      <c r="J482" s="2689"/>
      <c r="K482" s="195"/>
      <c r="M482" s="633"/>
      <c r="N482" s="541"/>
      <c r="O482" s="541"/>
      <c r="P482" s="541"/>
      <c r="Q482" s="541"/>
      <c r="R482" s="541"/>
      <c r="S482" s="541"/>
    </row>
    <row r="483">
      <c r="A483" s="2688"/>
      <c r="B483" s="195"/>
      <c r="C483" s="195"/>
      <c r="D483" s="195"/>
      <c r="E483" s="195"/>
      <c r="F483" s="195"/>
      <c r="G483" s="195"/>
      <c r="H483" s="195"/>
      <c r="I483" s="195"/>
      <c r="J483" s="2689"/>
      <c r="K483" s="195"/>
      <c r="M483" s="633"/>
      <c r="N483" s="541"/>
      <c r="O483" s="541"/>
      <c r="P483" s="541"/>
      <c r="Q483" s="541"/>
      <c r="R483" s="541"/>
      <c r="S483" s="541"/>
    </row>
    <row r="484">
      <c r="A484" s="2688"/>
      <c r="B484" s="195"/>
      <c r="C484" s="195"/>
      <c r="D484" s="195"/>
      <c r="E484" s="195"/>
      <c r="F484" s="195"/>
      <c r="G484" s="195"/>
      <c r="H484" s="195"/>
      <c r="I484" s="195"/>
      <c r="J484" s="2689"/>
      <c r="K484" s="195"/>
      <c r="M484" s="633"/>
      <c r="N484" s="541"/>
      <c r="O484" s="541"/>
      <c r="P484" s="541"/>
      <c r="Q484" s="541"/>
      <c r="R484" s="541"/>
      <c r="S484" s="541"/>
    </row>
    <row r="485">
      <c r="A485" s="2688"/>
      <c r="B485" s="195"/>
      <c r="C485" s="195"/>
      <c r="D485" s="195"/>
      <c r="E485" s="195"/>
      <c r="F485" s="195"/>
      <c r="G485" s="195"/>
      <c r="H485" s="195"/>
      <c r="I485" s="195"/>
      <c r="J485" s="2689"/>
      <c r="K485" s="195"/>
      <c r="M485" s="633"/>
      <c r="N485" s="541"/>
      <c r="O485" s="541"/>
      <c r="P485" s="541"/>
      <c r="Q485" s="541"/>
      <c r="R485" s="541"/>
      <c r="S485" s="541"/>
    </row>
    <row r="486">
      <c r="A486" s="2688"/>
      <c r="B486" s="195"/>
      <c r="C486" s="195"/>
      <c r="D486" s="195"/>
      <c r="E486" s="195"/>
      <c r="F486" s="195"/>
      <c r="G486" s="195"/>
      <c r="H486" s="195"/>
      <c r="I486" s="195"/>
      <c r="J486" s="2689"/>
      <c r="K486" s="195"/>
      <c r="M486" s="633"/>
      <c r="N486" s="541"/>
      <c r="O486" s="541"/>
      <c r="P486" s="541"/>
      <c r="Q486" s="541"/>
      <c r="R486" s="541"/>
      <c r="S486" s="541"/>
    </row>
    <row r="487">
      <c r="A487" s="2688"/>
      <c r="B487" s="195"/>
      <c r="C487" s="195"/>
      <c r="D487" s="195"/>
      <c r="E487" s="195"/>
      <c r="F487" s="195"/>
      <c r="G487" s="195"/>
      <c r="H487" s="195"/>
      <c r="I487" s="195"/>
      <c r="J487" s="2689"/>
      <c r="K487" s="195"/>
      <c r="M487" s="633"/>
      <c r="N487" s="541"/>
      <c r="O487" s="541"/>
      <c r="P487" s="541"/>
      <c r="Q487" s="541"/>
      <c r="R487" s="541"/>
      <c r="S487" s="541"/>
    </row>
    <row r="488">
      <c r="A488" s="2688"/>
      <c r="B488" s="195"/>
      <c r="C488" s="195"/>
      <c r="D488" s="195"/>
      <c r="E488" s="195"/>
      <c r="F488" s="195"/>
      <c r="G488" s="195"/>
      <c r="H488" s="195"/>
      <c r="I488" s="195"/>
      <c r="J488" s="2689"/>
      <c r="K488" s="195"/>
      <c r="M488" s="633"/>
      <c r="N488" s="541"/>
      <c r="O488" s="541"/>
      <c r="P488" s="541"/>
      <c r="Q488" s="541"/>
      <c r="R488" s="541"/>
      <c r="S488" s="541"/>
    </row>
    <row r="489">
      <c r="A489" s="2688"/>
      <c r="B489" s="195"/>
      <c r="C489" s="195"/>
      <c r="D489" s="195"/>
      <c r="E489" s="195"/>
      <c r="F489" s="195"/>
      <c r="G489" s="195"/>
      <c r="H489" s="195"/>
      <c r="I489" s="195"/>
      <c r="J489" s="2689"/>
      <c r="K489" s="195"/>
      <c r="M489" s="633"/>
      <c r="N489" s="541"/>
      <c r="O489" s="541"/>
      <c r="P489" s="541"/>
      <c r="Q489" s="541"/>
      <c r="R489" s="541"/>
      <c r="S489" s="541"/>
    </row>
    <row r="490">
      <c r="A490" s="2688"/>
      <c r="B490" s="195"/>
      <c r="C490" s="195"/>
      <c r="D490" s="195"/>
      <c r="E490" s="195"/>
      <c r="F490" s="195"/>
      <c r="G490" s="195"/>
      <c r="H490" s="195"/>
      <c r="I490" s="195"/>
      <c r="J490" s="2689"/>
      <c r="K490" s="195"/>
      <c r="M490" s="633"/>
      <c r="N490" s="541"/>
      <c r="O490" s="541"/>
      <c r="P490" s="541"/>
      <c r="Q490" s="541"/>
      <c r="R490" s="541"/>
      <c r="S490" s="541"/>
    </row>
    <row r="491">
      <c r="A491" s="2688"/>
      <c r="B491" s="195"/>
      <c r="C491" s="195"/>
      <c r="D491" s="195"/>
      <c r="E491" s="195"/>
      <c r="F491" s="195"/>
      <c r="G491" s="195"/>
      <c r="H491" s="195"/>
      <c r="I491" s="195"/>
      <c r="J491" s="2689"/>
      <c r="K491" s="195"/>
      <c r="M491" s="633"/>
      <c r="N491" s="541"/>
      <c r="O491" s="541"/>
      <c r="P491" s="541"/>
      <c r="Q491" s="541"/>
      <c r="R491" s="541"/>
      <c r="S491" s="541"/>
    </row>
    <row r="492">
      <c r="A492" s="2688"/>
      <c r="B492" s="195"/>
      <c r="C492" s="195"/>
      <c r="D492" s="195"/>
      <c r="E492" s="195"/>
      <c r="F492" s="195"/>
      <c r="G492" s="195"/>
      <c r="H492" s="195"/>
      <c r="I492" s="195"/>
      <c r="J492" s="2689"/>
      <c r="K492" s="195"/>
      <c r="M492" s="633"/>
      <c r="N492" s="541"/>
      <c r="O492" s="541"/>
      <c r="P492" s="541"/>
      <c r="Q492" s="541"/>
      <c r="R492" s="541"/>
      <c r="S492" s="541"/>
    </row>
    <row r="493">
      <c r="A493" s="2688"/>
      <c r="B493" s="195"/>
      <c r="C493" s="195"/>
      <c r="D493" s="195"/>
      <c r="E493" s="195"/>
      <c r="F493" s="195"/>
      <c r="G493" s="195"/>
      <c r="H493" s="195"/>
      <c r="I493" s="195"/>
      <c r="J493" s="2689"/>
      <c r="K493" s="195"/>
      <c r="M493" s="633"/>
      <c r="N493" s="541"/>
      <c r="O493" s="541"/>
      <c r="P493" s="541"/>
      <c r="Q493" s="541"/>
      <c r="R493" s="541"/>
      <c r="S493" s="541"/>
    </row>
    <row r="494">
      <c r="A494" s="2688"/>
      <c r="B494" s="195"/>
      <c r="C494" s="195"/>
      <c r="D494" s="195"/>
      <c r="E494" s="195"/>
      <c r="F494" s="195"/>
      <c r="G494" s="195"/>
      <c r="H494" s="195"/>
      <c r="I494" s="195"/>
      <c r="J494" s="2689"/>
      <c r="K494" s="195"/>
      <c r="M494" s="633"/>
      <c r="N494" s="541"/>
      <c r="O494" s="541"/>
      <c r="P494" s="541"/>
      <c r="Q494" s="541"/>
      <c r="R494" s="541"/>
      <c r="S494" s="541"/>
    </row>
    <row r="495">
      <c r="A495" s="2688"/>
      <c r="B495" s="195"/>
      <c r="C495" s="195"/>
      <c r="D495" s="195"/>
      <c r="E495" s="195"/>
      <c r="F495" s="195"/>
      <c r="G495" s="195"/>
      <c r="H495" s="195"/>
      <c r="I495" s="195"/>
      <c r="J495" s="2689"/>
      <c r="K495" s="195"/>
      <c r="M495" s="633"/>
      <c r="N495" s="541"/>
      <c r="O495" s="541"/>
      <c r="P495" s="541"/>
      <c r="Q495" s="541"/>
      <c r="R495" s="541"/>
      <c r="S495" s="541"/>
    </row>
    <row r="496">
      <c r="A496" s="2688"/>
      <c r="B496" s="195"/>
      <c r="C496" s="195"/>
      <c r="D496" s="195"/>
      <c r="E496" s="195"/>
      <c r="F496" s="195"/>
      <c r="G496" s="195"/>
      <c r="H496" s="195"/>
      <c r="I496" s="195"/>
      <c r="J496" s="2689"/>
      <c r="K496" s="195"/>
      <c r="M496" s="633"/>
      <c r="N496" s="541"/>
      <c r="O496" s="541"/>
      <c r="P496" s="541"/>
      <c r="Q496" s="541"/>
      <c r="R496" s="541"/>
      <c r="S496" s="541"/>
    </row>
    <row r="497">
      <c r="A497" s="2688"/>
      <c r="B497" s="195"/>
      <c r="C497" s="195"/>
      <c r="D497" s="195"/>
      <c r="E497" s="195"/>
      <c r="F497" s="195"/>
      <c r="G497" s="195"/>
      <c r="H497" s="195"/>
      <c r="I497" s="195"/>
      <c r="J497" s="2689"/>
      <c r="K497" s="195"/>
      <c r="M497" s="633"/>
      <c r="N497" s="541"/>
      <c r="O497" s="541"/>
      <c r="P497" s="541"/>
      <c r="Q497" s="541"/>
      <c r="R497" s="541"/>
      <c r="S497" s="541"/>
    </row>
    <row r="498">
      <c r="A498" s="2688"/>
      <c r="B498" s="195"/>
      <c r="C498" s="195"/>
      <c r="D498" s="195"/>
      <c r="E498" s="195"/>
      <c r="F498" s="195"/>
      <c r="G498" s="195"/>
      <c r="H498" s="195"/>
      <c r="I498" s="195"/>
      <c r="J498" s="2689"/>
      <c r="K498" s="195"/>
      <c r="M498" s="633"/>
      <c r="N498" s="541"/>
      <c r="O498" s="541"/>
      <c r="P498" s="541"/>
      <c r="Q498" s="541"/>
      <c r="R498" s="541"/>
      <c r="S498" s="541"/>
    </row>
    <row r="499">
      <c r="A499" s="2688"/>
      <c r="B499" s="195"/>
      <c r="C499" s="195"/>
      <c r="D499" s="195"/>
      <c r="E499" s="195"/>
      <c r="F499" s="195"/>
      <c r="G499" s="195"/>
      <c r="H499" s="195"/>
      <c r="I499" s="195"/>
      <c r="J499" s="2689"/>
      <c r="K499" s="195"/>
      <c r="M499" s="633"/>
      <c r="N499" s="541"/>
      <c r="O499" s="541"/>
      <c r="P499" s="541"/>
      <c r="Q499" s="541"/>
      <c r="R499" s="541"/>
      <c r="S499" s="541"/>
    </row>
    <row r="500">
      <c r="A500" s="2688"/>
      <c r="B500" s="195"/>
      <c r="C500" s="195"/>
      <c r="D500" s="195"/>
      <c r="E500" s="195"/>
      <c r="F500" s="195"/>
      <c r="G500" s="195"/>
      <c r="H500" s="195"/>
      <c r="I500" s="195"/>
      <c r="J500" s="2689"/>
      <c r="K500" s="195"/>
      <c r="M500" s="633"/>
      <c r="N500" s="541"/>
      <c r="O500" s="541"/>
      <c r="P500" s="541"/>
      <c r="Q500" s="541"/>
      <c r="R500" s="541"/>
      <c r="S500" s="541"/>
    </row>
    <row r="501">
      <c r="A501" s="2688"/>
      <c r="B501" s="195"/>
      <c r="C501" s="195"/>
      <c r="D501" s="195"/>
      <c r="E501" s="195"/>
      <c r="F501" s="195"/>
      <c r="G501" s="195"/>
      <c r="H501" s="195"/>
      <c r="I501" s="195"/>
      <c r="J501" s="2689"/>
      <c r="K501" s="195"/>
      <c r="M501" s="633"/>
      <c r="N501" s="541"/>
      <c r="O501" s="541"/>
      <c r="P501" s="541"/>
      <c r="Q501" s="541"/>
      <c r="R501" s="541"/>
      <c r="S501" s="541"/>
    </row>
    <row r="502">
      <c r="A502" s="2688"/>
      <c r="B502" s="195"/>
      <c r="C502" s="195"/>
      <c r="D502" s="195"/>
      <c r="E502" s="195"/>
      <c r="F502" s="195"/>
      <c r="G502" s="195"/>
      <c r="H502" s="195"/>
      <c r="I502" s="195"/>
      <c r="J502" s="2689"/>
      <c r="K502" s="195"/>
      <c r="M502" s="633"/>
      <c r="N502" s="541"/>
      <c r="O502" s="541"/>
      <c r="P502" s="541"/>
      <c r="Q502" s="541"/>
      <c r="R502" s="541"/>
      <c r="S502" s="541"/>
    </row>
    <row r="503">
      <c r="A503" s="2688"/>
      <c r="B503" s="195"/>
      <c r="C503" s="195"/>
      <c r="D503" s="195"/>
      <c r="E503" s="195"/>
      <c r="F503" s="195"/>
      <c r="G503" s="195"/>
      <c r="H503" s="195"/>
      <c r="I503" s="195"/>
      <c r="J503" s="2689"/>
      <c r="K503" s="195"/>
      <c r="M503" s="633"/>
      <c r="N503" s="541"/>
      <c r="O503" s="541"/>
      <c r="P503" s="541"/>
      <c r="Q503" s="541"/>
      <c r="R503" s="541"/>
      <c r="S503" s="541"/>
    </row>
    <row r="504">
      <c r="A504" s="2688"/>
      <c r="B504" s="195"/>
      <c r="C504" s="195"/>
      <c r="D504" s="195"/>
      <c r="E504" s="195"/>
      <c r="F504" s="195"/>
      <c r="G504" s="195"/>
      <c r="H504" s="195"/>
      <c r="I504" s="195"/>
      <c r="J504" s="2689"/>
      <c r="K504" s="195"/>
      <c r="M504" s="633"/>
      <c r="N504" s="541"/>
      <c r="O504" s="541"/>
      <c r="P504" s="541"/>
      <c r="Q504" s="541"/>
      <c r="R504" s="541"/>
      <c r="S504" s="541"/>
    </row>
    <row r="505">
      <c r="A505" s="2688"/>
      <c r="B505" s="195"/>
      <c r="C505" s="195"/>
      <c r="D505" s="195"/>
      <c r="E505" s="195"/>
      <c r="F505" s="195"/>
      <c r="G505" s="195"/>
      <c r="H505" s="195"/>
      <c r="I505" s="195"/>
      <c r="J505" s="2689"/>
      <c r="K505" s="195"/>
      <c r="M505" s="633"/>
      <c r="N505" s="541"/>
      <c r="O505" s="541"/>
      <c r="P505" s="541"/>
      <c r="Q505" s="541"/>
      <c r="R505" s="541"/>
      <c r="S505" s="541"/>
    </row>
    <row r="506">
      <c r="A506" s="2688"/>
      <c r="B506" s="195"/>
      <c r="C506" s="195"/>
      <c r="D506" s="195"/>
      <c r="E506" s="195"/>
      <c r="F506" s="195"/>
      <c r="G506" s="195"/>
      <c r="H506" s="195"/>
      <c r="I506" s="195"/>
      <c r="J506" s="2689"/>
      <c r="K506" s="195"/>
      <c r="M506" s="633"/>
      <c r="N506" s="541"/>
      <c r="O506" s="541"/>
      <c r="P506" s="541"/>
      <c r="Q506" s="541"/>
      <c r="R506" s="541"/>
      <c r="S506" s="541"/>
    </row>
    <row r="507">
      <c r="A507" s="2688"/>
      <c r="B507" s="195"/>
      <c r="C507" s="195"/>
      <c r="D507" s="195"/>
      <c r="E507" s="195"/>
      <c r="F507" s="195"/>
      <c r="G507" s="195"/>
      <c r="H507" s="195"/>
      <c r="I507" s="195"/>
      <c r="J507" s="2689"/>
      <c r="K507" s="195"/>
      <c r="M507" s="633"/>
      <c r="N507" s="541"/>
      <c r="O507" s="541"/>
      <c r="P507" s="541"/>
      <c r="Q507" s="541"/>
      <c r="R507" s="541"/>
      <c r="S507" s="541"/>
    </row>
    <row r="508">
      <c r="A508" s="2688"/>
      <c r="B508" s="195"/>
      <c r="C508" s="195"/>
      <c r="D508" s="195"/>
      <c r="E508" s="195"/>
      <c r="F508" s="195"/>
      <c r="G508" s="195"/>
      <c r="H508" s="195"/>
      <c r="I508" s="195"/>
      <c r="J508" s="2689"/>
      <c r="K508" s="195"/>
      <c r="M508" s="633"/>
      <c r="N508" s="541"/>
      <c r="O508" s="541"/>
      <c r="P508" s="541"/>
      <c r="Q508" s="541"/>
      <c r="R508" s="541"/>
      <c r="S508" s="541"/>
    </row>
    <row r="509">
      <c r="A509" s="2688"/>
      <c r="B509" s="195"/>
      <c r="C509" s="195"/>
      <c r="D509" s="195"/>
      <c r="E509" s="195"/>
      <c r="F509" s="195"/>
      <c r="G509" s="195"/>
      <c r="H509" s="195"/>
      <c r="I509" s="195"/>
      <c r="J509" s="2689"/>
      <c r="K509" s="195"/>
      <c r="M509" s="633"/>
      <c r="N509" s="541"/>
      <c r="O509" s="541"/>
      <c r="P509" s="541"/>
      <c r="Q509" s="541"/>
      <c r="R509" s="541"/>
      <c r="S509" s="541"/>
    </row>
    <row r="510">
      <c r="A510" s="2688"/>
      <c r="B510" s="195"/>
      <c r="C510" s="195"/>
      <c r="D510" s="195"/>
      <c r="E510" s="195"/>
      <c r="F510" s="195"/>
      <c r="G510" s="195"/>
      <c r="H510" s="195"/>
      <c r="I510" s="195"/>
      <c r="J510" s="2689"/>
      <c r="K510" s="195"/>
      <c r="M510" s="633"/>
      <c r="N510" s="541"/>
      <c r="O510" s="541"/>
      <c r="P510" s="541"/>
      <c r="Q510" s="541"/>
      <c r="R510" s="541"/>
      <c r="S510" s="541"/>
    </row>
    <row r="511">
      <c r="A511" s="2688"/>
      <c r="B511" s="195"/>
      <c r="C511" s="195"/>
      <c r="D511" s="195"/>
      <c r="E511" s="195"/>
      <c r="F511" s="195"/>
      <c r="G511" s="195"/>
      <c r="H511" s="195"/>
      <c r="I511" s="195"/>
      <c r="J511" s="2689"/>
      <c r="K511" s="195"/>
      <c r="M511" s="633"/>
      <c r="N511" s="541"/>
      <c r="O511" s="541"/>
      <c r="P511" s="541"/>
      <c r="Q511" s="541"/>
      <c r="R511" s="541"/>
      <c r="S511" s="541"/>
    </row>
    <row r="512">
      <c r="A512" s="2688"/>
      <c r="B512" s="195"/>
      <c r="C512" s="195"/>
      <c r="D512" s="195"/>
      <c r="E512" s="195"/>
      <c r="F512" s="195"/>
      <c r="G512" s="195"/>
      <c r="H512" s="195"/>
      <c r="I512" s="195"/>
      <c r="J512" s="2689"/>
      <c r="K512" s="195"/>
      <c r="M512" s="633"/>
      <c r="N512" s="541"/>
      <c r="O512" s="541"/>
      <c r="P512" s="541"/>
      <c r="Q512" s="541"/>
      <c r="R512" s="541"/>
      <c r="S512" s="541"/>
    </row>
    <row r="513">
      <c r="A513" s="2688"/>
      <c r="B513" s="195"/>
      <c r="C513" s="195"/>
      <c r="D513" s="195"/>
      <c r="E513" s="195"/>
      <c r="F513" s="195"/>
      <c r="G513" s="195"/>
      <c r="H513" s="195"/>
      <c r="I513" s="195"/>
      <c r="J513" s="2689"/>
      <c r="K513" s="195"/>
      <c r="M513" s="633"/>
      <c r="N513" s="541"/>
      <c r="O513" s="541"/>
      <c r="P513" s="541"/>
      <c r="Q513" s="541"/>
      <c r="R513" s="541"/>
      <c r="S513" s="541"/>
    </row>
    <row r="514">
      <c r="A514" s="2688"/>
      <c r="B514" s="195"/>
      <c r="C514" s="195"/>
      <c r="D514" s="195"/>
      <c r="E514" s="195"/>
      <c r="F514" s="195"/>
      <c r="G514" s="195"/>
      <c r="H514" s="195"/>
      <c r="I514" s="195"/>
      <c r="J514" s="2689"/>
      <c r="K514" s="195"/>
      <c r="M514" s="633"/>
      <c r="N514" s="541"/>
      <c r="O514" s="541"/>
      <c r="P514" s="541"/>
      <c r="Q514" s="541"/>
      <c r="R514" s="541"/>
      <c r="S514" s="541"/>
    </row>
    <row r="515">
      <c r="A515" s="2688"/>
      <c r="B515" s="195"/>
      <c r="C515" s="195"/>
      <c r="D515" s="195"/>
      <c r="E515" s="195"/>
      <c r="F515" s="195"/>
      <c r="G515" s="195"/>
      <c r="H515" s="195"/>
      <c r="I515" s="195"/>
      <c r="J515" s="2689"/>
      <c r="K515" s="195"/>
      <c r="M515" s="633"/>
      <c r="N515" s="541"/>
      <c r="O515" s="541"/>
      <c r="P515" s="541"/>
      <c r="Q515" s="541"/>
      <c r="R515" s="541"/>
      <c r="S515" s="541"/>
    </row>
    <row r="516">
      <c r="A516" s="2688"/>
      <c r="B516" s="195"/>
      <c r="C516" s="195"/>
      <c r="D516" s="195"/>
      <c r="E516" s="195"/>
      <c r="F516" s="195"/>
      <c r="G516" s="195"/>
      <c r="H516" s="195"/>
      <c r="I516" s="195"/>
      <c r="J516" s="2689"/>
      <c r="K516" s="195"/>
      <c r="M516" s="633"/>
      <c r="N516" s="541"/>
      <c r="O516" s="541"/>
      <c r="P516" s="541"/>
      <c r="Q516" s="541"/>
      <c r="R516" s="541"/>
      <c r="S516" s="541"/>
    </row>
    <row r="517">
      <c r="A517" s="2688"/>
      <c r="B517" s="195"/>
      <c r="C517" s="195"/>
      <c r="D517" s="195"/>
      <c r="E517" s="195"/>
      <c r="F517" s="195"/>
      <c r="G517" s="195"/>
      <c r="H517" s="195"/>
      <c r="I517" s="195"/>
      <c r="J517" s="2689"/>
      <c r="K517" s="195"/>
      <c r="M517" s="633"/>
      <c r="N517" s="541"/>
      <c r="O517" s="541"/>
      <c r="P517" s="541"/>
      <c r="Q517" s="541"/>
      <c r="R517" s="541"/>
      <c r="S517" s="541"/>
    </row>
    <row r="518">
      <c r="A518" s="2688"/>
      <c r="B518" s="195"/>
      <c r="C518" s="195"/>
      <c r="D518" s="195"/>
      <c r="E518" s="195"/>
      <c r="F518" s="195"/>
      <c r="G518" s="195"/>
      <c r="H518" s="195"/>
      <c r="I518" s="195"/>
      <c r="J518" s="2689"/>
      <c r="K518" s="195"/>
      <c r="M518" s="633"/>
      <c r="N518" s="541"/>
      <c r="O518" s="541"/>
      <c r="P518" s="541"/>
      <c r="Q518" s="541"/>
      <c r="R518" s="541"/>
      <c r="S518" s="541"/>
    </row>
    <row r="519">
      <c r="A519" s="2688"/>
      <c r="B519" s="195"/>
      <c r="C519" s="195"/>
      <c r="D519" s="195"/>
      <c r="E519" s="195"/>
      <c r="F519" s="195"/>
      <c r="G519" s="195"/>
      <c r="H519" s="195"/>
      <c r="I519" s="195"/>
      <c r="J519" s="2689"/>
      <c r="K519" s="195"/>
      <c r="M519" s="633"/>
      <c r="N519" s="541"/>
      <c r="O519" s="541"/>
      <c r="P519" s="541"/>
      <c r="Q519" s="541"/>
      <c r="R519" s="541"/>
      <c r="S519" s="541"/>
    </row>
    <row r="520">
      <c r="A520" s="2688"/>
      <c r="B520" s="195"/>
      <c r="C520" s="195"/>
      <c r="D520" s="195"/>
      <c r="E520" s="195"/>
      <c r="F520" s="195"/>
      <c r="G520" s="195"/>
      <c r="H520" s="195"/>
      <c r="I520" s="195"/>
      <c r="J520" s="2689"/>
      <c r="K520" s="195"/>
      <c r="M520" s="633"/>
      <c r="N520" s="541"/>
      <c r="O520" s="541"/>
      <c r="P520" s="541"/>
      <c r="Q520" s="541"/>
      <c r="R520" s="541"/>
      <c r="S520" s="541"/>
    </row>
    <row r="521">
      <c r="A521" s="2688"/>
      <c r="B521" s="195"/>
      <c r="C521" s="195"/>
      <c r="D521" s="195"/>
      <c r="E521" s="195"/>
      <c r="F521" s="195"/>
      <c r="G521" s="195"/>
      <c r="H521" s="195"/>
      <c r="I521" s="195"/>
      <c r="J521" s="2689"/>
      <c r="K521" s="195"/>
      <c r="M521" s="633"/>
      <c r="N521" s="541"/>
      <c r="O521" s="541"/>
      <c r="P521" s="541"/>
      <c r="Q521" s="541"/>
      <c r="R521" s="541"/>
      <c r="S521" s="541"/>
    </row>
    <row r="522">
      <c r="A522" s="2688"/>
      <c r="B522" s="195"/>
      <c r="C522" s="195"/>
      <c r="D522" s="195"/>
      <c r="E522" s="195"/>
      <c r="F522" s="195"/>
      <c r="G522" s="195"/>
      <c r="H522" s="195"/>
      <c r="I522" s="195"/>
      <c r="J522" s="2689"/>
      <c r="K522" s="195"/>
      <c r="M522" s="633"/>
      <c r="N522" s="541"/>
      <c r="O522" s="541"/>
      <c r="P522" s="541"/>
      <c r="Q522" s="541"/>
      <c r="R522" s="541"/>
      <c r="S522" s="541"/>
    </row>
    <row r="523">
      <c r="A523" s="2688"/>
      <c r="B523" s="195"/>
      <c r="C523" s="195"/>
      <c r="D523" s="195"/>
      <c r="E523" s="195"/>
      <c r="F523" s="195"/>
      <c r="G523" s="195"/>
      <c r="H523" s="195"/>
      <c r="I523" s="195"/>
      <c r="J523" s="2689"/>
      <c r="K523" s="195"/>
      <c r="M523" s="633"/>
      <c r="N523" s="541"/>
      <c r="O523" s="541"/>
      <c r="P523" s="541"/>
      <c r="Q523" s="541"/>
      <c r="R523" s="541"/>
      <c r="S523" s="541"/>
    </row>
    <row r="524">
      <c r="A524" s="2688"/>
      <c r="B524" s="195"/>
      <c r="C524" s="195"/>
      <c r="D524" s="195"/>
      <c r="E524" s="195"/>
      <c r="F524" s="195"/>
      <c r="G524" s="195"/>
      <c r="H524" s="195"/>
      <c r="I524" s="195"/>
      <c r="J524" s="2689"/>
      <c r="K524" s="195"/>
      <c r="M524" s="633"/>
      <c r="N524" s="541"/>
      <c r="O524" s="541"/>
      <c r="P524" s="541"/>
      <c r="Q524" s="541"/>
      <c r="R524" s="541"/>
      <c r="S524" s="541"/>
    </row>
    <row r="525">
      <c r="A525" s="2688"/>
      <c r="B525" s="195"/>
      <c r="C525" s="195"/>
      <c r="D525" s="195"/>
      <c r="E525" s="195"/>
      <c r="F525" s="195"/>
      <c r="G525" s="195"/>
      <c r="H525" s="195"/>
      <c r="I525" s="195"/>
      <c r="J525" s="2689"/>
      <c r="K525" s="195"/>
      <c r="M525" s="633"/>
      <c r="N525" s="541"/>
      <c r="O525" s="541"/>
      <c r="P525" s="541"/>
      <c r="Q525" s="541"/>
      <c r="R525" s="541"/>
      <c r="S525" s="541"/>
    </row>
    <row r="526">
      <c r="A526" s="2688"/>
      <c r="B526" s="195"/>
      <c r="C526" s="195"/>
      <c r="D526" s="195"/>
      <c r="E526" s="195"/>
      <c r="F526" s="195"/>
      <c r="G526" s="195"/>
      <c r="H526" s="195"/>
      <c r="I526" s="195"/>
      <c r="J526" s="2689"/>
      <c r="K526" s="195"/>
      <c r="M526" s="633"/>
      <c r="N526" s="541"/>
      <c r="O526" s="541"/>
      <c r="P526" s="541"/>
      <c r="Q526" s="541"/>
      <c r="R526" s="541"/>
      <c r="S526" s="541"/>
    </row>
    <row r="527">
      <c r="A527" s="2688"/>
      <c r="B527" s="195"/>
      <c r="C527" s="195"/>
      <c r="D527" s="195"/>
      <c r="E527" s="195"/>
      <c r="F527" s="195"/>
      <c r="G527" s="195"/>
      <c r="H527" s="195"/>
      <c r="I527" s="195"/>
      <c r="J527" s="2689"/>
      <c r="K527" s="195"/>
      <c r="M527" s="633"/>
      <c r="N527" s="541"/>
      <c r="O527" s="541"/>
      <c r="P527" s="541"/>
      <c r="Q527" s="541"/>
      <c r="R527" s="541"/>
      <c r="S527" s="541"/>
    </row>
    <row r="528">
      <c r="A528" s="2688"/>
      <c r="B528" s="195"/>
      <c r="C528" s="195"/>
      <c r="D528" s="195"/>
      <c r="E528" s="195"/>
      <c r="F528" s="195"/>
      <c r="G528" s="195"/>
      <c r="H528" s="195"/>
      <c r="I528" s="195"/>
      <c r="J528" s="2689"/>
      <c r="K528" s="195"/>
      <c r="M528" s="633"/>
      <c r="N528" s="541"/>
      <c r="O528" s="541"/>
      <c r="P528" s="541"/>
      <c r="Q528" s="541"/>
      <c r="R528" s="541"/>
      <c r="S528" s="541"/>
    </row>
    <row r="529">
      <c r="A529" s="2688"/>
      <c r="B529" s="195"/>
      <c r="C529" s="195"/>
      <c r="D529" s="195"/>
      <c r="E529" s="195"/>
      <c r="F529" s="195"/>
      <c r="G529" s="195"/>
      <c r="H529" s="195"/>
      <c r="I529" s="195"/>
      <c r="J529" s="2689"/>
      <c r="K529" s="195"/>
      <c r="M529" s="633"/>
      <c r="N529" s="541"/>
      <c r="O529" s="541"/>
      <c r="P529" s="541"/>
      <c r="Q529" s="541"/>
      <c r="R529" s="541"/>
      <c r="S529" s="541"/>
    </row>
    <row r="530">
      <c r="A530" s="2688"/>
      <c r="B530" s="195"/>
      <c r="C530" s="195"/>
      <c r="D530" s="195"/>
      <c r="E530" s="195"/>
      <c r="F530" s="195"/>
      <c r="G530" s="195"/>
      <c r="H530" s="195"/>
      <c r="I530" s="195"/>
      <c r="J530" s="2689"/>
      <c r="K530" s="195"/>
      <c r="M530" s="633"/>
      <c r="N530" s="541"/>
      <c r="O530" s="541"/>
      <c r="P530" s="541"/>
      <c r="Q530" s="541"/>
      <c r="R530" s="541"/>
      <c r="S530" s="541"/>
    </row>
    <row r="531">
      <c r="A531" s="2688"/>
      <c r="B531" s="195"/>
      <c r="C531" s="195"/>
      <c r="D531" s="195"/>
      <c r="E531" s="195"/>
      <c r="F531" s="195"/>
      <c r="G531" s="195"/>
      <c r="H531" s="195"/>
      <c r="I531" s="195"/>
      <c r="J531" s="2689"/>
      <c r="K531" s="195"/>
      <c r="M531" s="633"/>
      <c r="N531" s="541"/>
      <c r="O531" s="541"/>
      <c r="P531" s="541"/>
      <c r="Q531" s="541"/>
      <c r="R531" s="541"/>
      <c r="S531" s="541"/>
    </row>
    <row r="532">
      <c r="A532" s="2688"/>
      <c r="B532" s="195"/>
      <c r="C532" s="195"/>
      <c r="D532" s="195"/>
      <c r="E532" s="195"/>
      <c r="F532" s="195"/>
      <c r="G532" s="195"/>
      <c r="H532" s="195"/>
      <c r="I532" s="195"/>
      <c r="J532" s="2689"/>
      <c r="K532" s="195"/>
      <c r="M532" s="633"/>
      <c r="N532" s="541"/>
      <c r="O532" s="541"/>
      <c r="P532" s="541"/>
      <c r="Q532" s="541"/>
      <c r="R532" s="541"/>
      <c r="S532" s="541"/>
    </row>
    <row r="533">
      <c r="A533" s="2688"/>
      <c r="B533" s="195"/>
      <c r="C533" s="195"/>
      <c r="D533" s="195"/>
      <c r="E533" s="195"/>
      <c r="F533" s="195"/>
      <c r="G533" s="195"/>
      <c r="H533" s="195"/>
      <c r="I533" s="195"/>
      <c r="J533" s="2689"/>
      <c r="K533" s="195"/>
      <c r="M533" s="633"/>
      <c r="N533" s="541"/>
      <c r="O533" s="541"/>
      <c r="P533" s="541"/>
      <c r="Q533" s="541"/>
      <c r="R533" s="541"/>
      <c r="S533" s="541"/>
    </row>
    <row r="534">
      <c r="A534" s="2688"/>
      <c r="B534" s="195"/>
      <c r="C534" s="195"/>
      <c r="D534" s="195"/>
      <c r="E534" s="195"/>
      <c r="F534" s="195"/>
      <c r="G534" s="195"/>
      <c r="H534" s="195"/>
      <c r="I534" s="195"/>
      <c r="J534" s="2689"/>
      <c r="K534" s="195"/>
      <c r="M534" s="633"/>
      <c r="N534" s="541"/>
      <c r="O534" s="541"/>
      <c r="P534" s="541"/>
      <c r="Q534" s="541"/>
      <c r="R534" s="541"/>
      <c r="S534" s="541"/>
    </row>
    <row r="535">
      <c r="A535" s="2688"/>
      <c r="B535" s="195"/>
      <c r="C535" s="195"/>
      <c r="D535" s="195"/>
      <c r="E535" s="195"/>
      <c r="F535" s="195"/>
      <c r="G535" s="195"/>
      <c r="H535" s="195"/>
      <c r="I535" s="195"/>
      <c r="J535" s="2689"/>
      <c r="K535" s="195"/>
      <c r="M535" s="633"/>
      <c r="N535" s="541"/>
      <c r="O535" s="541"/>
      <c r="P535" s="541"/>
      <c r="Q535" s="541"/>
      <c r="R535" s="541"/>
      <c r="S535" s="541"/>
    </row>
    <row r="536">
      <c r="A536" s="2688"/>
      <c r="B536" s="195"/>
      <c r="C536" s="195"/>
      <c r="D536" s="195"/>
      <c r="E536" s="195"/>
      <c r="F536" s="195"/>
      <c r="G536" s="195"/>
      <c r="H536" s="195"/>
      <c r="I536" s="195"/>
      <c r="J536" s="2689"/>
      <c r="K536" s="195"/>
      <c r="M536" s="633"/>
      <c r="N536" s="541"/>
      <c r="O536" s="541"/>
      <c r="P536" s="541"/>
      <c r="Q536" s="541"/>
      <c r="R536" s="541"/>
      <c r="S536" s="541"/>
    </row>
    <row r="537">
      <c r="A537" s="2688"/>
      <c r="B537" s="195"/>
      <c r="C537" s="195"/>
      <c r="D537" s="195"/>
      <c r="E537" s="195"/>
      <c r="F537" s="195"/>
      <c r="G537" s="195"/>
      <c r="H537" s="195"/>
      <c r="I537" s="195"/>
      <c r="J537" s="2689"/>
      <c r="K537" s="195"/>
      <c r="M537" s="633"/>
      <c r="N537" s="541"/>
      <c r="O537" s="541"/>
      <c r="P537" s="541"/>
      <c r="Q537" s="541"/>
      <c r="R537" s="541"/>
      <c r="S537" s="541"/>
    </row>
    <row r="538">
      <c r="A538" s="2688"/>
      <c r="B538" s="195"/>
      <c r="C538" s="195"/>
      <c r="D538" s="195"/>
      <c r="E538" s="195"/>
      <c r="F538" s="195"/>
      <c r="G538" s="195"/>
      <c r="H538" s="195"/>
      <c r="I538" s="195"/>
      <c r="J538" s="2689"/>
      <c r="K538" s="195"/>
      <c r="M538" s="633"/>
      <c r="N538" s="541"/>
      <c r="O538" s="541"/>
      <c r="P538" s="541"/>
      <c r="Q538" s="541"/>
      <c r="R538" s="541"/>
      <c r="S538" s="541"/>
    </row>
    <row r="539">
      <c r="A539" s="2688"/>
      <c r="B539" s="195"/>
      <c r="C539" s="195"/>
      <c r="D539" s="195"/>
      <c r="E539" s="195"/>
      <c r="F539" s="195"/>
      <c r="G539" s="195"/>
      <c r="H539" s="195"/>
      <c r="I539" s="195"/>
      <c r="J539" s="2689"/>
      <c r="K539" s="195"/>
      <c r="M539" s="633"/>
      <c r="N539" s="541"/>
      <c r="O539" s="541"/>
      <c r="P539" s="541"/>
      <c r="Q539" s="541"/>
      <c r="R539" s="541"/>
      <c r="S539" s="541"/>
    </row>
    <row r="540">
      <c r="A540" s="2688"/>
      <c r="B540" s="195"/>
      <c r="C540" s="195"/>
      <c r="D540" s="195"/>
      <c r="E540" s="195"/>
      <c r="F540" s="195"/>
      <c r="G540" s="195"/>
      <c r="H540" s="195"/>
      <c r="I540" s="195"/>
      <c r="J540" s="2689"/>
      <c r="K540" s="195"/>
      <c r="M540" s="633"/>
      <c r="N540" s="541"/>
      <c r="O540" s="541"/>
      <c r="P540" s="541"/>
      <c r="Q540" s="541"/>
      <c r="R540" s="541"/>
      <c r="S540" s="541"/>
    </row>
    <row r="541">
      <c r="A541" s="2688"/>
      <c r="B541" s="195"/>
      <c r="C541" s="195"/>
      <c r="D541" s="195"/>
      <c r="E541" s="195"/>
      <c r="F541" s="195"/>
      <c r="G541" s="195"/>
      <c r="H541" s="195"/>
      <c r="I541" s="195"/>
      <c r="J541" s="2689"/>
      <c r="K541" s="195"/>
      <c r="M541" s="633"/>
      <c r="N541" s="541"/>
      <c r="O541" s="541"/>
      <c r="P541" s="541"/>
      <c r="Q541" s="541"/>
      <c r="R541" s="541"/>
      <c r="S541" s="541"/>
    </row>
    <row r="542">
      <c r="A542" s="2688"/>
      <c r="B542" s="195"/>
      <c r="C542" s="195"/>
      <c r="D542" s="195"/>
      <c r="E542" s="195"/>
      <c r="F542" s="195"/>
      <c r="G542" s="195"/>
      <c r="H542" s="195"/>
      <c r="I542" s="195"/>
      <c r="J542" s="2689"/>
      <c r="K542" s="195"/>
      <c r="M542" s="633"/>
      <c r="N542" s="541"/>
      <c r="O542" s="541"/>
      <c r="P542" s="541"/>
      <c r="Q542" s="541"/>
      <c r="R542" s="541"/>
      <c r="S542" s="541"/>
    </row>
    <row r="543">
      <c r="A543" s="2688"/>
      <c r="B543" s="195"/>
      <c r="C543" s="195"/>
      <c r="D543" s="195"/>
      <c r="E543" s="195"/>
      <c r="F543" s="195"/>
      <c r="G543" s="195"/>
      <c r="H543" s="195"/>
      <c r="I543" s="195"/>
      <c r="J543" s="2689"/>
      <c r="K543" s="195"/>
      <c r="M543" s="633"/>
      <c r="N543" s="541"/>
      <c r="O543" s="541"/>
      <c r="P543" s="541"/>
      <c r="Q543" s="541"/>
      <c r="R543" s="541"/>
      <c r="S543" s="541"/>
    </row>
    <row r="544">
      <c r="A544" s="2688"/>
      <c r="B544" s="195"/>
      <c r="C544" s="195"/>
      <c r="D544" s="195"/>
      <c r="E544" s="195"/>
      <c r="F544" s="195"/>
      <c r="G544" s="195"/>
      <c r="H544" s="195"/>
      <c r="I544" s="195"/>
      <c r="J544" s="2689"/>
      <c r="K544" s="195"/>
      <c r="M544" s="633"/>
      <c r="N544" s="541"/>
      <c r="O544" s="541"/>
      <c r="P544" s="541"/>
      <c r="Q544" s="541"/>
      <c r="R544" s="541"/>
      <c r="S544" s="541"/>
    </row>
    <row r="545">
      <c r="A545" s="2688"/>
      <c r="B545" s="195"/>
      <c r="C545" s="195"/>
      <c r="D545" s="195"/>
      <c r="E545" s="195"/>
      <c r="F545" s="195"/>
      <c r="G545" s="195"/>
      <c r="H545" s="195"/>
      <c r="I545" s="195"/>
      <c r="J545" s="2689"/>
      <c r="K545" s="195"/>
      <c r="M545" s="633"/>
      <c r="N545" s="541"/>
      <c r="O545" s="541"/>
      <c r="P545" s="541"/>
      <c r="Q545" s="541"/>
      <c r="R545" s="541"/>
      <c r="S545" s="541"/>
    </row>
    <row r="546">
      <c r="A546" s="2688"/>
      <c r="B546" s="195"/>
      <c r="C546" s="195"/>
      <c r="D546" s="195"/>
      <c r="E546" s="195"/>
      <c r="F546" s="195"/>
      <c r="G546" s="195"/>
      <c r="H546" s="195"/>
      <c r="I546" s="195"/>
      <c r="J546" s="2689"/>
      <c r="K546" s="195"/>
      <c r="M546" s="633"/>
      <c r="N546" s="541"/>
      <c r="O546" s="541"/>
      <c r="P546" s="541"/>
      <c r="Q546" s="541"/>
      <c r="R546" s="541"/>
      <c r="S546" s="541"/>
    </row>
    <row r="547">
      <c r="A547" s="2688"/>
      <c r="B547" s="195"/>
      <c r="C547" s="195"/>
      <c r="D547" s="195"/>
      <c r="E547" s="195"/>
      <c r="F547" s="195"/>
      <c r="G547" s="195"/>
      <c r="H547" s="195"/>
      <c r="I547" s="195"/>
      <c r="J547" s="2689"/>
      <c r="K547" s="195"/>
      <c r="M547" s="633"/>
      <c r="N547" s="541"/>
      <c r="O547" s="541"/>
      <c r="P547" s="541"/>
      <c r="Q547" s="541"/>
      <c r="R547" s="541"/>
      <c r="S547" s="541"/>
    </row>
    <row r="548">
      <c r="A548" s="2688"/>
      <c r="B548" s="195"/>
      <c r="C548" s="195"/>
      <c r="D548" s="195"/>
      <c r="E548" s="195"/>
      <c r="F548" s="195"/>
      <c r="G548" s="195"/>
      <c r="H548" s="195"/>
      <c r="I548" s="195"/>
      <c r="J548" s="2689"/>
      <c r="K548" s="195"/>
      <c r="M548" s="633"/>
      <c r="N548" s="541"/>
      <c r="O548" s="541"/>
      <c r="P548" s="541"/>
      <c r="Q548" s="541"/>
      <c r="R548" s="541"/>
      <c r="S548" s="541"/>
    </row>
    <row r="549">
      <c r="A549" s="2688"/>
      <c r="B549" s="195"/>
      <c r="C549" s="195"/>
      <c r="D549" s="195"/>
      <c r="E549" s="195"/>
      <c r="F549" s="195"/>
      <c r="G549" s="195"/>
      <c r="H549" s="195"/>
      <c r="I549" s="195"/>
      <c r="J549" s="2689"/>
      <c r="K549" s="195"/>
      <c r="M549" s="633"/>
      <c r="N549" s="541"/>
      <c r="O549" s="541"/>
      <c r="P549" s="541"/>
      <c r="Q549" s="541"/>
      <c r="R549" s="541"/>
      <c r="S549" s="541"/>
    </row>
    <row r="550">
      <c r="A550" s="2688"/>
      <c r="B550" s="195"/>
      <c r="C550" s="195"/>
      <c r="D550" s="195"/>
      <c r="E550" s="195"/>
      <c r="F550" s="195"/>
      <c r="G550" s="195"/>
      <c r="H550" s="195"/>
      <c r="I550" s="195"/>
      <c r="J550" s="2689"/>
      <c r="K550" s="195"/>
      <c r="M550" s="633"/>
      <c r="N550" s="541"/>
      <c r="O550" s="541"/>
      <c r="P550" s="541"/>
      <c r="Q550" s="541"/>
      <c r="R550" s="541"/>
      <c r="S550" s="541"/>
    </row>
    <row r="551">
      <c r="A551" s="2688"/>
      <c r="B551" s="195"/>
      <c r="C551" s="195"/>
      <c r="D551" s="195"/>
      <c r="E551" s="195"/>
      <c r="F551" s="195"/>
      <c r="G551" s="195"/>
      <c r="H551" s="195"/>
      <c r="I551" s="195"/>
      <c r="J551" s="2689"/>
      <c r="K551" s="195"/>
      <c r="M551" s="633"/>
      <c r="N551" s="541"/>
      <c r="O551" s="541"/>
      <c r="P551" s="541"/>
      <c r="Q551" s="541"/>
      <c r="R551" s="541"/>
      <c r="S551" s="541"/>
    </row>
    <row r="552">
      <c r="A552" s="2688"/>
      <c r="B552" s="195"/>
      <c r="C552" s="195"/>
      <c r="D552" s="195"/>
      <c r="E552" s="195"/>
      <c r="F552" s="195"/>
      <c r="G552" s="195"/>
      <c r="H552" s="195"/>
      <c r="I552" s="195"/>
      <c r="J552" s="2689"/>
      <c r="K552" s="195"/>
      <c r="M552" s="633"/>
      <c r="N552" s="541"/>
      <c r="O552" s="541"/>
      <c r="P552" s="541"/>
      <c r="Q552" s="541"/>
      <c r="R552" s="541"/>
      <c r="S552" s="541"/>
    </row>
    <row r="553">
      <c r="A553" s="2688"/>
      <c r="B553" s="195"/>
      <c r="C553" s="195"/>
      <c r="D553" s="195"/>
      <c r="E553" s="195"/>
      <c r="F553" s="195"/>
      <c r="G553" s="195"/>
      <c r="H553" s="195"/>
      <c r="I553" s="195"/>
      <c r="J553" s="2689"/>
      <c r="K553" s="195"/>
      <c r="M553" s="633"/>
      <c r="N553" s="541"/>
      <c r="O553" s="541"/>
      <c r="P553" s="541"/>
      <c r="Q553" s="541"/>
      <c r="R553" s="541"/>
      <c r="S553" s="541"/>
    </row>
    <row r="554">
      <c r="A554" s="2688"/>
      <c r="B554" s="195"/>
      <c r="C554" s="195"/>
      <c r="D554" s="195"/>
      <c r="E554" s="195"/>
      <c r="F554" s="195"/>
      <c r="G554" s="195"/>
      <c r="H554" s="195"/>
      <c r="I554" s="195"/>
      <c r="J554" s="2689"/>
      <c r="K554" s="195"/>
      <c r="M554" s="633"/>
      <c r="N554" s="541"/>
      <c r="O554" s="541"/>
      <c r="P554" s="541"/>
      <c r="Q554" s="541"/>
      <c r="R554" s="541"/>
      <c r="S554" s="541"/>
    </row>
    <row r="555">
      <c r="A555" s="2688"/>
      <c r="B555" s="195"/>
      <c r="C555" s="195"/>
      <c r="D555" s="195"/>
      <c r="E555" s="195"/>
      <c r="F555" s="195"/>
      <c r="G555" s="195"/>
      <c r="H555" s="195"/>
      <c r="I555" s="195"/>
      <c r="J555" s="2689"/>
      <c r="K555" s="195"/>
      <c r="M555" s="633"/>
      <c r="N555" s="541"/>
      <c r="O555" s="541"/>
      <c r="P555" s="541"/>
      <c r="Q555" s="541"/>
      <c r="R555" s="541"/>
      <c r="S555" s="541"/>
    </row>
    <row r="556">
      <c r="A556" s="2688"/>
      <c r="B556" s="195"/>
      <c r="C556" s="195"/>
      <c r="D556" s="195"/>
      <c r="E556" s="195"/>
      <c r="F556" s="195"/>
      <c r="G556" s="195"/>
      <c r="H556" s="195"/>
      <c r="I556" s="195"/>
      <c r="J556" s="2689"/>
      <c r="K556" s="195"/>
      <c r="M556" s="633"/>
      <c r="N556" s="541"/>
      <c r="O556" s="541"/>
      <c r="P556" s="541"/>
      <c r="Q556" s="541"/>
      <c r="R556" s="541"/>
      <c r="S556" s="541"/>
    </row>
    <row r="557">
      <c r="A557" s="2688"/>
      <c r="B557" s="195"/>
      <c r="C557" s="195"/>
      <c r="D557" s="195"/>
      <c r="E557" s="195"/>
      <c r="F557" s="195"/>
      <c r="G557" s="195"/>
      <c r="H557" s="195"/>
      <c r="I557" s="195"/>
      <c r="J557" s="2689"/>
      <c r="K557" s="195"/>
      <c r="M557" s="633"/>
      <c r="N557" s="541"/>
      <c r="O557" s="541"/>
      <c r="P557" s="541"/>
      <c r="Q557" s="541"/>
      <c r="R557" s="541"/>
      <c r="S557" s="541"/>
    </row>
    <row r="558">
      <c r="A558" s="2688"/>
      <c r="B558" s="195"/>
      <c r="C558" s="195"/>
      <c r="D558" s="195"/>
      <c r="E558" s="195"/>
      <c r="F558" s="195"/>
      <c r="G558" s="195"/>
      <c r="H558" s="195"/>
      <c r="I558" s="195"/>
      <c r="J558" s="2689"/>
      <c r="K558" s="195"/>
      <c r="M558" s="633"/>
      <c r="N558" s="541"/>
      <c r="O558" s="541"/>
      <c r="P558" s="541"/>
      <c r="Q558" s="541"/>
      <c r="R558" s="541"/>
      <c r="S558" s="541"/>
    </row>
    <row r="559">
      <c r="A559" s="2688"/>
      <c r="B559" s="195"/>
      <c r="C559" s="195"/>
      <c r="D559" s="195"/>
      <c r="E559" s="195"/>
      <c r="F559" s="195"/>
      <c r="G559" s="195"/>
      <c r="H559" s="195"/>
      <c r="I559" s="195"/>
      <c r="J559" s="2689"/>
      <c r="K559" s="195"/>
      <c r="M559" s="633"/>
      <c r="N559" s="541"/>
      <c r="O559" s="541"/>
      <c r="P559" s="541"/>
      <c r="Q559" s="541"/>
      <c r="R559" s="541"/>
      <c r="S559" s="541"/>
    </row>
    <row r="560">
      <c r="A560" s="2688"/>
      <c r="B560" s="195"/>
      <c r="C560" s="195"/>
      <c r="D560" s="195"/>
      <c r="E560" s="195"/>
      <c r="F560" s="195"/>
      <c r="G560" s="195"/>
      <c r="H560" s="195"/>
      <c r="I560" s="195"/>
      <c r="J560" s="2689"/>
      <c r="K560" s="195"/>
      <c r="M560" s="633"/>
      <c r="N560" s="541"/>
      <c r="O560" s="541"/>
      <c r="P560" s="541"/>
      <c r="Q560" s="541"/>
      <c r="R560" s="541"/>
      <c r="S560" s="541"/>
    </row>
    <row r="561">
      <c r="A561" s="2688"/>
      <c r="B561" s="195"/>
      <c r="C561" s="195"/>
      <c r="D561" s="195"/>
      <c r="E561" s="195"/>
      <c r="F561" s="195"/>
      <c r="G561" s="195"/>
      <c r="H561" s="195"/>
      <c r="I561" s="195"/>
      <c r="J561" s="2689"/>
      <c r="K561" s="195"/>
      <c r="M561" s="633"/>
      <c r="N561" s="541"/>
      <c r="O561" s="541"/>
      <c r="P561" s="541"/>
      <c r="Q561" s="541"/>
      <c r="R561" s="541"/>
      <c r="S561" s="541"/>
    </row>
    <row r="562">
      <c r="A562" s="2688"/>
      <c r="B562" s="195"/>
      <c r="C562" s="195"/>
      <c r="D562" s="195"/>
      <c r="E562" s="195"/>
      <c r="F562" s="195"/>
      <c r="G562" s="195"/>
      <c r="H562" s="195"/>
      <c r="I562" s="195"/>
      <c r="J562" s="2689"/>
      <c r="K562" s="195"/>
      <c r="M562" s="633"/>
      <c r="N562" s="541"/>
      <c r="O562" s="541"/>
      <c r="P562" s="541"/>
      <c r="Q562" s="541"/>
      <c r="R562" s="541"/>
      <c r="S562" s="541"/>
    </row>
    <row r="563">
      <c r="A563" s="2688"/>
      <c r="B563" s="195"/>
      <c r="C563" s="195"/>
      <c r="D563" s="195"/>
      <c r="E563" s="195"/>
      <c r="F563" s="195"/>
      <c r="G563" s="195"/>
      <c r="H563" s="195"/>
      <c r="I563" s="195"/>
      <c r="J563" s="2689"/>
      <c r="K563" s="195"/>
      <c r="M563" s="633"/>
      <c r="N563" s="541"/>
      <c r="O563" s="541"/>
      <c r="P563" s="541"/>
      <c r="Q563" s="541"/>
      <c r="R563" s="541"/>
      <c r="S563" s="541"/>
    </row>
    <row r="564">
      <c r="A564" s="2688"/>
      <c r="B564" s="195"/>
      <c r="C564" s="195"/>
      <c r="D564" s="195"/>
      <c r="E564" s="195"/>
      <c r="F564" s="195"/>
      <c r="G564" s="195"/>
      <c r="H564" s="195"/>
      <c r="I564" s="195"/>
      <c r="J564" s="2689"/>
      <c r="K564" s="195"/>
      <c r="M564" s="633"/>
      <c r="N564" s="541"/>
      <c r="O564" s="541"/>
      <c r="P564" s="541"/>
      <c r="Q564" s="541"/>
      <c r="R564" s="541"/>
      <c r="S564" s="541"/>
    </row>
    <row r="565">
      <c r="A565" s="2688"/>
      <c r="B565" s="195"/>
      <c r="C565" s="195"/>
      <c r="D565" s="195"/>
      <c r="E565" s="195"/>
      <c r="F565" s="195"/>
      <c r="G565" s="195"/>
      <c r="H565" s="195"/>
      <c r="I565" s="195"/>
      <c r="J565" s="2689"/>
      <c r="K565" s="195"/>
      <c r="M565" s="633"/>
      <c r="N565" s="541"/>
      <c r="O565" s="541"/>
      <c r="P565" s="541"/>
      <c r="Q565" s="541"/>
      <c r="R565" s="541"/>
      <c r="S565" s="541"/>
    </row>
    <row r="566">
      <c r="A566" s="2688"/>
      <c r="B566" s="195"/>
      <c r="C566" s="195"/>
      <c r="D566" s="195"/>
      <c r="E566" s="195"/>
      <c r="F566" s="195"/>
      <c r="G566" s="195"/>
      <c r="H566" s="195"/>
      <c r="I566" s="195"/>
      <c r="J566" s="2689"/>
      <c r="K566" s="195"/>
      <c r="M566" s="633"/>
      <c r="N566" s="541"/>
      <c r="O566" s="541"/>
      <c r="P566" s="541"/>
      <c r="Q566" s="541"/>
      <c r="R566" s="541"/>
      <c r="S566" s="541"/>
    </row>
    <row r="567">
      <c r="A567" s="2688"/>
      <c r="B567" s="195"/>
      <c r="C567" s="195"/>
      <c r="D567" s="195"/>
      <c r="E567" s="195"/>
      <c r="F567" s="195"/>
      <c r="G567" s="195"/>
      <c r="H567" s="195"/>
      <c r="I567" s="195"/>
      <c r="J567" s="2689"/>
      <c r="K567" s="195"/>
      <c r="M567" s="633"/>
      <c r="N567" s="541"/>
      <c r="O567" s="541"/>
      <c r="P567" s="541"/>
      <c r="Q567" s="541"/>
      <c r="R567" s="541"/>
      <c r="S567" s="541"/>
    </row>
    <row r="568">
      <c r="A568" s="2688"/>
      <c r="B568" s="195"/>
      <c r="C568" s="195"/>
      <c r="D568" s="195"/>
      <c r="E568" s="195"/>
      <c r="F568" s="195"/>
      <c r="G568" s="195"/>
      <c r="H568" s="195"/>
      <c r="I568" s="195"/>
      <c r="J568" s="2689"/>
      <c r="K568" s="195"/>
      <c r="M568" s="633"/>
      <c r="N568" s="541"/>
      <c r="O568" s="541"/>
      <c r="P568" s="541"/>
      <c r="Q568" s="541"/>
      <c r="R568" s="541"/>
      <c r="S568" s="541"/>
    </row>
    <row r="569">
      <c r="A569" s="2688"/>
      <c r="B569" s="195"/>
      <c r="C569" s="195"/>
      <c r="D569" s="195"/>
      <c r="E569" s="195"/>
      <c r="F569" s="195"/>
      <c r="G569" s="195"/>
      <c r="H569" s="195"/>
      <c r="I569" s="195"/>
      <c r="J569" s="2689"/>
      <c r="K569" s="195"/>
      <c r="M569" s="633"/>
      <c r="N569" s="541"/>
      <c r="O569" s="541"/>
      <c r="P569" s="541"/>
      <c r="Q569" s="541"/>
      <c r="R569" s="541"/>
      <c r="S569" s="541"/>
    </row>
    <row r="570">
      <c r="A570" s="2688"/>
      <c r="B570" s="195"/>
      <c r="C570" s="195"/>
      <c r="D570" s="195"/>
      <c r="E570" s="195"/>
      <c r="F570" s="195"/>
      <c r="G570" s="195"/>
      <c r="H570" s="195"/>
      <c r="I570" s="195"/>
      <c r="J570" s="2689"/>
      <c r="K570" s="195"/>
      <c r="M570" s="633"/>
      <c r="N570" s="541"/>
      <c r="O570" s="541"/>
      <c r="P570" s="541"/>
      <c r="Q570" s="541"/>
      <c r="R570" s="541"/>
      <c r="S570" s="541"/>
    </row>
    <row r="571">
      <c r="A571" s="2688"/>
      <c r="B571" s="195"/>
      <c r="C571" s="195"/>
      <c r="D571" s="195"/>
      <c r="E571" s="195"/>
      <c r="F571" s="195"/>
      <c r="G571" s="195"/>
      <c r="H571" s="195"/>
      <c r="I571" s="195"/>
      <c r="J571" s="2689"/>
      <c r="K571" s="195"/>
      <c r="M571" s="633"/>
      <c r="N571" s="541"/>
      <c r="O571" s="541"/>
      <c r="P571" s="541"/>
      <c r="Q571" s="541"/>
      <c r="R571" s="541"/>
      <c r="S571" s="541"/>
    </row>
    <row r="572">
      <c r="A572" s="2688"/>
      <c r="B572" s="195"/>
      <c r="C572" s="195"/>
      <c r="D572" s="195"/>
      <c r="E572" s="195"/>
      <c r="F572" s="195"/>
      <c r="G572" s="195"/>
      <c r="H572" s="195"/>
      <c r="I572" s="195"/>
      <c r="J572" s="2689"/>
      <c r="K572" s="195"/>
      <c r="M572" s="633"/>
      <c r="N572" s="541"/>
      <c r="O572" s="541"/>
      <c r="P572" s="541"/>
      <c r="Q572" s="541"/>
      <c r="R572" s="541"/>
      <c r="S572" s="541"/>
    </row>
    <row r="573">
      <c r="A573" s="2688"/>
      <c r="B573" s="195"/>
      <c r="C573" s="195"/>
      <c r="D573" s="195"/>
      <c r="E573" s="195"/>
      <c r="F573" s="195"/>
      <c r="G573" s="195"/>
      <c r="H573" s="195"/>
      <c r="I573" s="195"/>
      <c r="J573" s="2689"/>
      <c r="K573" s="195"/>
      <c r="M573" s="633"/>
      <c r="N573" s="541"/>
      <c r="O573" s="541"/>
      <c r="P573" s="541"/>
      <c r="Q573" s="541"/>
      <c r="R573" s="541"/>
      <c r="S573" s="541"/>
    </row>
    <row r="574">
      <c r="A574" s="2688"/>
      <c r="B574" s="195"/>
      <c r="C574" s="195"/>
      <c r="D574" s="195"/>
      <c r="E574" s="195"/>
      <c r="F574" s="195"/>
      <c r="G574" s="195"/>
      <c r="H574" s="195"/>
      <c r="I574" s="195"/>
      <c r="J574" s="2689"/>
      <c r="K574" s="195"/>
      <c r="M574" s="633"/>
      <c r="N574" s="541"/>
      <c r="O574" s="541"/>
      <c r="P574" s="541"/>
      <c r="Q574" s="541"/>
      <c r="R574" s="541"/>
      <c r="S574" s="541"/>
    </row>
    <row r="575">
      <c r="A575" s="2688"/>
      <c r="B575" s="195"/>
      <c r="C575" s="195"/>
      <c r="D575" s="195"/>
      <c r="E575" s="195"/>
      <c r="F575" s="195"/>
      <c r="G575" s="195"/>
      <c r="H575" s="195"/>
      <c r="I575" s="195"/>
      <c r="J575" s="2689"/>
      <c r="K575" s="195"/>
      <c r="M575" s="633"/>
      <c r="N575" s="541"/>
      <c r="O575" s="541"/>
      <c r="P575" s="541"/>
      <c r="Q575" s="541"/>
      <c r="R575" s="541"/>
      <c r="S575" s="541"/>
    </row>
    <row r="576">
      <c r="A576" s="2688"/>
      <c r="B576" s="195"/>
      <c r="C576" s="195"/>
      <c r="D576" s="195"/>
      <c r="E576" s="195"/>
      <c r="F576" s="195"/>
      <c r="G576" s="195"/>
      <c r="H576" s="195"/>
      <c r="I576" s="195"/>
      <c r="J576" s="2689"/>
      <c r="K576" s="195"/>
      <c r="M576" s="633"/>
      <c r="N576" s="541"/>
      <c r="O576" s="541"/>
      <c r="P576" s="541"/>
      <c r="Q576" s="541"/>
      <c r="R576" s="541"/>
      <c r="S576" s="541"/>
    </row>
    <row r="577">
      <c r="A577" s="2688"/>
      <c r="B577" s="195"/>
      <c r="C577" s="195"/>
      <c r="D577" s="195"/>
      <c r="E577" s="195"/>
      <c r="F577" s="195"/>
      <c r="G577" s="195"/>
      <c r="H577" s="195"/>
      <c r="I577" s="195"/>
      <c r="J577" s="2689"/>
      <c r="K577" s="195"/>
      <c r="M577" s="633"/>
      <c r="N577" s="541"/>
      <c r="O577" s="541"/>
      <c r="P577" s="541"/>
      <c r="Q577" s="541"/>
      <c r="R577" s="541"/>
      <c r="S577" s="541"/>
    </row>
    <row r="578">
      <c r="A578" s="2688"/>
      <c r="B578" s="195"/>
      <c r="C578" s="195"/>
      <c r="D578" s="195"/>
      <c r="E578" s="195"/>
      <c r="F578" s="195"/>
      <c r="G578" s="195"/>
      <c r="H578" s="195"/>
      <c r="I578" s="195"/>
      <c r="J578" s="2689"/>
      <c r="K578" s="195"/>
      <c r="M578" s="633"/>
      <c r="N578" s="541"/>
      <c r="O578" s="541"/>
      <c r="P578" s="541"/>
      <c r="Q578" s="541"/>
      <c r="R578" s="541"/>
      <c r="S578" s="541"/>
    </row>
    <row r="579">
      <c r="A579" s="2688"/>
      <c r="B579" s="195"/>
      <c r="C579" s="195"/>
      <c r="D579" s="195"/>
      <c r="E579" s="195"/>
      <c r="F579" s="195"/>
      <c r="G579" s="195"/>
      <c r="H579" s="195"/>
      <c r="I579" s="195"/>
      <c r="J579" s="2689"/>
      <c r="K579" s="195"/>
      <c r="M579" s="633"/>
      <c r="N579" s="541"/>
      <c r="O579" s="541"/>
      <c r="P579" s="541"/>
      <c r="Q579" s="541"/>
      <c r="R579" s="541"/>
      <c r="S579" s="541"/>
    </row>
    <row r="580">
      <c r="A580" s="2688"/>
      <c r="B580" s="195"/>
      <c r="C580" s="195"/>
      <c r="D580" s="195"/>
      <c r="E580" s="195"/>
      <c r="F580" s="195"/>
      <c r="G580" s="195"/>
      <c r="H580" s="195"/>
      <c r="I580" s="195"/>
      <c r="J580" s="2689"/>
      <c r="K580" s="195"/>
      <c r="M580" s="633"/>
      <c r="N580" s="541"/>
      <c r="O580" s="541"/>
      <c r="P580" s="541"/>
      <c r="Q580" s="541"/>
      <c r="R580" s="541"/>
      <c r="S580" s="541"/>
    </row>
    <row r="581">
      <c r="A581" s="2688"/>
      <c r="B581" s="195"/>
      <c r="C581" s="195"/>
      <c r="D581" s="195"/>
      <c r="E581" s="195"/>
      <c r="F581" s="195"/>
      <c r="G581" s="195"/>
      <c r="H581" s="195"/>
      <c r="I581" s="195"/>
      <c r="J581" s="2689"/>
      <c r="K581" s="195"/>
      <c r="M581" s="633"/>
      <c r="N581" s="541"/>
      <c r="O581" s="541"/>
      <c r="P581" s="541"/>
      <c r="Q581" s="541"/>
      <c r="R581" s="541"/>
      <c r="S581" s="541"/>
    </row>
    <row r="582">
      <c r="A582" s="2688"/>
      <c r="B582" s="195"/>
      <c r="C582" s="195"/>
      <c r="D582" s="195"/>
      <c r="E582" s="195"/>
      <c r="F582" s="195"/>
      <c r="G582" s="195"/>
      <c r="H582" s="195"/>
      <c r="I582" s="195"/>
      <c r="J582" s="2689"/>
      <c r="K582" s="195"/>
      <c r="M582" s="633"/>
      <c r="N582" s="541"/>
      <c r="O582" s="541"/>
      <c r="P582" s="541"/>
      <c r="Q582" s="541"/>
      <c r="R582" s="541"/>
      <c r="S582" s="541"/>
    </row>
    <row r="583">
      <c r="A583" s="2688"/>
      <c r="B583" s="195"/>
      <c r="C583" s="195"/>
      <c r="D583" s="195"/>
      <c r="E583" s="195"/>
      <c r="F583" s="195"/>
      <c r="G583" s="195"/>
      <c r="H583" s="195"/>
      <c r="I583" s="195"/>
      <c r="J583" s="2689"/>
      <c r="K583" s="195"/>
      <c r="M583" s="633"/>
      <c r="N583" s="541"/>
      <c r="O583" s="541"/>
      <c r="P583" s="541"/>
      <c r="Q583" s="541"/>
      <c r="R583" s="541"/>
      <c r="S583" s="541"/>
    </row>
    <row r="584">
      <c r="A584" s="2688"/>
      <c r="B584" s="195"/>
      <c r="C584" s="195"/>
      <c r="D584" s="195"/>
      <c r="E584" s="195"/>
      <c r="F584" s="195"/>
      <c r="G584" s="195"/>
      <c r="H584" s="195"/>
      <c r="I584" s="195"/>
      <c r="J584" s="2689"/>
      <c r="K584" s="195"/>
      <c r="M584" s="633"/>
      <c r="N584" s="541"/>
      <c r="O584" s="541"/>
      <c r="P584" s="541"/>
      <c r="Q584" s="541"/>
      <c r="R584" s="541"/>
      <c r="S584" s="541"/>
    </row>
    <row r="585">
      <c r="A585" s="2688"/>
      <c r="B585" s="195"/>
      <c r="C585" s="195"/>
      <c r="D585" s="195"/>
      <c r="E585" s="195"/>
      <c r="F585" s="195"/>
      <c r="G585" s="195"/>
      <c r="H585" s="195"/>
      <c r="I585" s="195"/>
      <c r="J585" s="2689"/>
      <c r="K585" s="195"/>
      <c r="M585" s="633"/>
      <c r="N585" s="541"/>
      <c r="O585" s="541"/>
      <c r="P585" s="541"/>
      <c r="Q585" s="541"/>
      <c r="R585" s="541"/>
      <c r="S585" s="541"/>
    </row>
    <row r="586">
      <c r="A586" s="2688"/>
      <c r="B586" s="195"/>
      <c r="C586" s="195"/>
      <c r="D586" s="195"/>
      <c r="E586" s="195"/>
      <c r="F586" s="195"/>
      <c r="G586" s="195"/>
      <c r="H586" s="195"/>
      <c r="I586" s="195"/>
      <c r="J586" s="2689"/>
      <c r="K586" s="195"/>
      <c r="M586" s="633"/>
      <c r="N586" s="541"/>
      <c r="O586" s="541"/>
      <c r="P586" s="541"/>
      <c r="Q586" s="541"/>
      <c r="R586" s="541"/>
      <c r="S586" s="541"/>
    </row>
    <row r="587">
      <c r="A587" s="2688"/>
      <c r="B587" s="195"/>
      <c r="C587" s="195"/>
      <c r="D587" s="195"/>
      <c r="E587" s="195"/>
      <c r="F587" s="195"/>
      <c r="G587" s="195"/>
      <c r="H587" s="195"/>
      <c r="I587" s="195"/>
      <c r="J587" s="2689"/>
      <c r="K587" s="195"/>
      <c r="M587" s="633"/>
      <c r="N587" s="541"/>
      <c r="O587" s="541"/>
      <c r="P587" s="541"/>
      <c r="Q587" s="541"/>
      <c r="R587" s="541"/>
      <c r="S587" s="541"/>
    </row>
    <row r="588">
      <c r="A588" s="2688"/>
      <c r="B588" s="195"/>
      <c r="C588" s="195"/>
      <c r="D588" s="195"/>
      <c r="E588" s="195"/>
      <c r="F588" s="195"/>
      <c r="G588" s="195"/>
      <c r="H588" s="195"/>
      <c r="I588" s="195"/>
      <c r="J588" s="2689"/>
      <c r="K588" s="195"/>
      <c r="M588" s="633"/>
      <c r="N588" s="541"/>
      <c r="O588" s="541"/>
      <c r="P588" s="541"/>
      <c r="Q588" s="541"/>
      <c r="R588" s="541"/>
      <c r="S588" s="541"/>
    </row>
    <row r="589">
      <c r="A589" s="2688"/>
      <c r="B589" s="195"/>
      <c r="C589" s="195"/>
      <c r="D589" s="195"/>
      <c r="E589" s="195"/>
      <c r="F589" s="195"/>
      <c r="G589" s="195"/>
      <c r="H589" s="195"/>
      <c r="I589" s="195"/>
      <c r="J589" s="2689"/>
      <c r="K589" s="195"/>
      <c r="M589" s="633"/>
      <c r="N589" s="541"/>
      <c r="O589" s="541"/>
      <c r="P589" s="541"/>
      <c r="Q589" s="541"/>
      <c r="R589" s="541"/>
      <c r="S589" s="541"/>
    </row>
    <row r="590">
      <c r="A590" s="2688"/>
      <c r="B590" s="195"/>
      <c r="C590" s="195"/>
      <c r="D590" s="195"/>
      <c r="E590" s="195"/>
      <c r="F590" s="195"/>
      <c r="G590" s="195"/>
      <c r="H590" s="195"/>
      <c r="I590" s="195"/>
      <c r="J590" s="2689"/>
      <c r="K590" s="195"/>
      <c r="M590" s="633"/>
      <c r="N590" s="541"/>
      <c r="O590" s="541"/>
      <c r="P590" s="541"/>
      <c r="Q590" s="541"/>
      <c r="R590" s="541"/>
      <c r="S590" s="541"/>
    </row>
    <row r="591">
      <c r="A591" s="2688"/>
      <c r="B591" s="195"/>
      <c r="C591" s="195"/>
      <c r="D591" s="195"/>
      <c r="E591" s="195"/>
      <c r="F591" s="195"/>
      <c r="G591" s="195"/>
      <c r="H591" s="195"/>
      <c r="I591" s="195"/>
      <c r="J591" s="2689"/>
      <c r="K591" s="195"/>
      <c r="M591" s="633"/>
      <c r="N591" s="541"/>
      <c r="O591" s="541"/>
      <c r="P591" s="541"/>
      <c r="Q591" s="541"/>
      <c r="R591" s="541"/>
      <c r="S591" s="541"/>
    </row>
    <row r="592">
      <c r="A592" s="2688"/>
      <c r="B592" s="195"/>
      <c r="C592" s="195"/>
      <c r="D592" s="195"/>
      <c r="E592" s="195"/>
      <c r="F592" s="195"/>
      <c r="G592" s="195"/>
      <c r="H592" s="195"/>
      <c r="I592" s="195"/>
      <c r="J592" s="2689"/>
      <c r="K592" s="195"/>
      <c r="M592" s="633"/>
      <c r="N592" s="541"/>
      <c r="O592" s="541"/>
      <c r="P592" s="541"/>
      <c r="Q592" s="541"/>
      <c r="R592" s="541"/>
      <c r="S592" s="541"/>
    </row>
    <row r="593">
      <c r="A593" s="2688"/>
      <c r="B593" s="195"/>
      <c r="C593" s="195"/>
      <c r="D593" s="195"/>
      <c r="E593" s="195"/>
      <c r="F593" s="195"/>
      <c r="G593" s="195"/>
      <c r="H593" s="195"/>
      <c r="I593" s="195"/>
      <c r="J593" s="2689"/>
      <c r="K593" s="195"/>
      <c r="M593" s="633"/>
      <c r="N593" s="541"/>
      <c r="O593" s="541"/>
      <c r="P593" s="541"/>
      <c r="Q593" s="541"/>
      <c r="R593" s="541"/>
      <c r="S593" s="541"/>
    </row>
    <row r="594">
      <c r="A594" s="2688"/>
      <c r="B594" s="195"/>
      <c r="C594" s="195"/>
      <c r="D594" s="195"/>
      <c r="E594" s="195"/>
      <c r="F594" s="195"/>
      <c r="G594" s="195"/>
      <c r="H594" s="195"/>
      <c r="I594" s="195"/>
      <c r="J594" s="2689"/>
      <c r="K594" s="195"/>
      <c r="M594" s="633"/>
      <c r="N594" s="541"/>
      <c r="O594" s="541"/>
      <c r="P594" s="541"/>
      <c r="Q594" s="541"/>
      <c r="R594" s="541"/>
      <c r="S594" s="541"/>
    </row>
    <row r="595">
      <c r="A595" s="2688"/>
      <c r="B595" s="195"/>
      <c r="C595" s="195"/>
      <c r="D595" s="195"/>
      <c r="E595" s="195"/>
      <c r="F595" s="195"/>
      <c r="G595" s="195"/>
      <c r="H595" s="195"/>
      <c r="I595" s="195"/>
      <c r="J595" s="2689"/>
      <c r="K595" s="195"/>
      <c r="M595" s="633"/>
      <c r="N595" s="541"/>
      <c r="O595" s="541"/>
      <c r="P595" s="541"/>
      <c r="Q595" s="541"/>
      <c r="R595" s="541"/>
      <c r="S595" s="541"/>
    </row>
    <row r="596">
      <c r="A596" s="2688"/>
      <c r="B596" s="195"/>
      <c r="C596" s="195"/>
      <c r="D596" s="195"/>
      <c r="E596" s="195"/>
      <c r="F596" s="195"/>
      <c r="G596" s="195"/>
      <c r="H596" s="195"/>
      <c r="I596" s="195"/>
      <c r="J596" s="2689"/>
      <c r="K596" s="195"/>
      <c r="M596" s="633"/>
      <c r="N596" s="541"/>
      <c r="O596" s="541"/>
      <c r="P596" s="541"/>
      <c r="Q596" s="541"/>
      <c r="R596" s="541"/>
      <c r="S596" s="541"/>
    </row>
    <row r="597">
      <c r="A597" s="2688"/>
      <c r="B597" s="195"/>
      <c r="C597" s="195"/>
      <c r="D597" s="195"/>
      <c r="E597" s="195"/>
      <c r="F597" s="195"/>
      <c r="G597" s="195"/>
      <c r="H597" s="195"/>
      <c r="I597" s="195"/>
      <c r="J597" s="2689"/>
      <c r="K597" s="195"/>
      <c r="M597" s="633"/>
      <c r="N597" s="541"/>
      <c r="O597" s="541"/>
      <c r="P597" s="541"/>
      <c r="Q597" s="541"/>
      <c r="R597" s="541"/>
      <c r="S597" s="541"/>
    </row>
    <row r="598">
      <c r="A598" s="2688"/>
      <c r="B598" s="195"/>
      <c r="C598" s="195"/>
      <c r="D598" s="195"/>
      <c r="E598" s="195"/>
      <c r="F598" s="195"/>
      <c r="G598" s="195"/>
      <c r="H598" s="195"/>
      <c r="I598" s="195"/>
      <c r="J598" s="2689"/>
      <c r="K598" s="195"/>
      <c r="M598" s="633"/>
      <c r="N598" s="541"/>
      <c r="O598" s="541"/>
      <c r="P598" s="541"/>
      <c r="Q598" s="541"/>
      <c r="R598" s="541"/>
      <c r="S598" s="541"/>
    </row>
    <row r="599">
      <c r="A599" s="2688"/>
      <c r="B599" s="195"/>
      <c r="C599" s="195"/>
      <c r="D599" s="195"/>
      <c r="E599" s="195"/>
      <c r="F599" s="195"/>
      <c r="G599" s="195"/>
      <c r="H599" s="195"/>
      <c r="I599" s="195"/>
      <c r="J599" s="2689"/>
      <c r="K599" s="195"/>
      <c r="M599" s="633"/>
      <c r="N599" s="541"/>
      <c r="O599" s="541"/>
      <c r="P599" s="541"/>
      <c r="Q599" s="541"/>
      <c r="R599" s="541"/>
      <c r="S599" s="541"/>
    </row>
    <row r="600">
      <c r="A600" s="2688"/>
      <c r="B600" s="195"/>
      <c r="C600" s="195"/>
      <c r="D600" s="195"/>
      <c r="E600" s="195"/>
      <c r="F600" s="195"/>
      <c r="G600" s="195"/>
      <c r="H600" s="195"/>
      <c r="I600" s="195"/>
      <c r="J600" s="2689"/>
      <c r="K600" s="195"/>
      <c r="M600" s="633"/>
      <c r="N600" s="541"/>
      <c r="O600" s="541"/>
      <c r="P600" s="541"/>
      <c r="Q600" s="541"/>
      <c r="R600" s="541"/>
      <c r="S600" s="541"/>
    </row>
    <row r="601">
      <c r="A601" s="2688"/>
      <c r="B601" s="195"/>
      <c r="C601" s="195"/>
      <c r="D601" s="195"/>
      <c r="E601" s="195"/>
      <c r="F601" s="195"/>
      <c r="G601" s="195"/>
      <c r="H601" s="195"/>
      <c r="I601" s="195"/>
      <c r="J601" s="2689"/>
      <c r="K601" s="195"/>
      <c r="M601" s="633"/>
      <c r="N601" s="541"/>
      <c r="O601" s="541"/>
      <c r="P601" s="541"/>
      <c r="Q601" s="541"/>
      <c r="R601" s="541"/>
      <c r="S601" s="541"/>
    </row>
    <row r="602">
      <c r="A602" s="2688"/>
      <c r="B602" s="195"/>
      <c r="C602" s="195"/>
      <c r="D602" s="195"/>
      <c r="E602" s="195"/>
      <c r="F602" s="195"/>
      <c r="G602" s="195"/>
      <c r="H602" s="195"/>
      <c r="I602" s="195"/>
      <c r="J602" s="2689"/>
      <c r="K602" s="195"/>
      <c r="M602" s="633"/>
      <c r="N602" s="541"/>
      <c r="O602" s="541"/>
      <c r="P602" s="541"/>
      <c r="Q602" s="541"/>
      <c r="R602" s="541"/>
      <c r="S602" s="541"/>
    </row>
    <row r="603">
      <c r="A603" s="2688"/>
      <c r="B603" s="195"/>
      <c r="C603" s="195"/>
      <c r="D603" s="195"/>
      <c r="E603" s="195"/>
      <c r="F603" s="195"/>
      <c r="G603" s="195"/>
      <c r="H603" s="195"/>
      <c r="I603" s="195"/>
      <c r="J603" s="2689"/>
      <c r="K603" s="195"/>
      <c r="M603" s="633"/>
      <c r="N603" s="541"/>
      <c r="O603" s="541"/>
      <c r="P603" s="541"/>
      <c r="Q603" s="541"/>
      <c r="R603" s="541"/>
      <c r="S603" s="541"/>
    </row>
    <row r="604">
      <c r="A604" s="2688"/>
      <c r="B604" s="195"/>
      <c r="C604" s="195"/>
      <c r="D604" s="195"/>
      <c r="E604" s="195"/>
      <c r="F604" s="195"/>
      <c r="G604" s="195"/>
      <c r="H604" s="195"/>
      <c r="I604" s="195"/>
      <c r="J604" s="2689"/>
      <c r="K604" s="195"/>
      <c r="M604" s="633"/>
      <c r="N604" s="541"/>
      <c r="O604" s="541"/>
      <c r="P604" s="541"/>
      <c r="Q604" s="541"/>
      <c r="R604" s="541"/>
      <c r="S604" s="541"/>
    </row>
    <row r="605">
      <c r="A605" s="2688"/>
      <c r="B605" s="195"/>
      <c r="C605" s="195"/>
      <c r="D605" s="195"/>
      <c r="E605" s="195"/>
      <c r="F605" s="195"/>
      <c r="G605" s="195"/>
      <c r="H605" s="195"/>
      <c r="I605" s="195"/>
      <c r="J605" s="2689"/>
      <c r="K605" s="195"/>
      <c r="M605" s="633"/>
      <c r="N605" s="541"/>
      <c r="O605" s="541"/>
      <c r="P605" s="541"/>
      <c r="Q605" s="541"/>
      <c r="R605" s="541"/>
      <c r="S605" s="541"/>
    </row>
    <row r="606">
      <c r="A606" s="2688"/>
      <c r="B606" s="195"/>
      <c r="C606" s="195"/>
      <c r="D606" s="195"/>
      <c r="E606" s="195"/>
      <c r="F606" s="195"/>
      <c r="G606" s="195"/>
      <c r="H606" s="195"/>
      <c r="I606" s="195"/>
      <c r="J606" s="2689"/>
      <c r="K606" s="195"/>
      <c r="M606" s="633"/>
      <c r="N606" s="541"/>
      <c r="O606" s="541"/>
      <c r="P606" s="541"/>
      <c r="Q606" s="541"/>
      <c r="R606" s="541"/>
      <c r="S606" s="541"/>
    </row>
    <row r="607">
      <c r="A607" s="2688"/>
      <c r="B607" s="195"/>
      <c r="C607" s="195"/>
      <c r="D607" s="195"/>
      <c r="E607" s="195"/>
      <c r="F607" s="195"/>
      <c r="G607" s="195"/>
      <c r="H607" s="195"/>
      <c r="I607" s="195"/>
      <c r="J607" s="2689"/>
      <c r="K607" s="195"/>
      <c r="M607" s="633"/>
      <c r="N607" s="541"/>
      <c r="O607" s="541"/>
      <c r="P607" s="541"/>
      <c r="Q607" s="541"/>
      <c r="R607" s="541"/>
      <c r="S607" s="541"/>
    </row>
    <row r="608">
      <c r="A608" s="2688"/>
      <c r="B608" s="195"/>
      <c r="C608" s="195"/>
      <c r="D608" s="195"/>
      <c r="E608" s="195"/>
      <c r="F608" s="195"/>
      <c r="G608" s="195"/>
      <c r="H608" s="195"/>
      <c r="I608" s="195"/>
      <c r="J608" s="2689"/>
      <c r="K608" s="195"/>
      <c r="M608" s="633"/>
      <c r="N608" s="541"/>
      <c r="O608" s="541"/>
      <c r="P608" s="541"/>
      <c r="Q608" s="541"/>
      <c r="R608" s="541"/>
      <c r="S608" s="541"/>
    </row>
    <row r="609">
      <c r="A609" s="2688"/>
      <c r="B609" s="195"/>
      <c r="C609" s="195"/>
      <c r="D609" s="195"/>
      <c r="E609" s="195"/>
      <c r="F609" s="195"/>
      <c r="G609" s="195"/>
      <c r="H609" s="195"/>
      <c r="I609" s="195"/>
      <c r="J609" s="2689"/>
      <c r="K609" s="195"/>
      <c r="M609" s="633"/>
      <c r="N609" s="541"/>
      <c r="O609" s="541"/>
      <c r="P609" s="541"/>
      <c r="Q609" s="541"/>
      <c r="R609" s="541"/>
      <c r="S609" s="541"/>
    </row>
    <row r="610">
      <c r="A610" s="2688"/>
      <c r="B610" s="195"/>
      <c r="C610" s="195"/>
      <c r="D610" s="195"/>
      <c r="E610" s="195"/>
      <c r="F610" s="195"/>
      <c r="G610" s="195"/>
      <c r="H610" s="195"/>
      <c r="I610" s="195"/>
      <c r="J610" s="2689"/>
      <c r="K610" s="195"/>
      <c r="M610" s="633"/>
      <c r="N610" s="541"/>
      <c r="O610" s="541"/>
      <c r="P610" s="541"/>
      <c r="Q610" s="541"/>
      <c r="R610" s="541"/>
      <c r="S610" s="541"/>
    </row>
    <row r="611">
      <c r="A611" s="2688"/>
      <c r="B611" s="195"/>
      <c r="C611" s="195"/>
      <c r="D611" s="195"/>
      <c r="E611" s="195"/>
      <c r="F611" s="195"/>
      <c r="G611" s="195"/>
      <c r="H611" s="195"/>
      <c r="I611" s="195"/>
      <c r="J611" s="2689"/>
      <c r="K611" s="195"/>
      <c r="M611" s="633"/>
      <c r="N611" s="541"/>
      <c r="O611" s="541"/>
      <c r="P611" s="541"/>
      <c r="Q611" s="541"/>
      <c r="R611" s="541"/>
      <c r="S611" s="541"/>
    </row>
    <row r="612">
      <c r="A612" s="2688"/>
      <c r="B612" s="195"/>
      <c r="C612" s="195"/>
      <c r="D612" s="195"/>
      <c r="E612" s="195"/>
      <c r="F612" s="195"/>
      <c r="G612" s="195"/>
      <c r="H612" s="195"/>
      <c r="I612" s="195"/>
      <c r="J612" s="2689"/>
      <c r="K612" s="195"/>
      <c r="M612" s="633"/>
      <c r="N612" s="541"/>
      <c r="O612" s="541"/>
      <c r="P612" s="541"/>
      <c r="Q612" s="541"/>
      <c r="R612" s="541"/>
      <c r="S612" s="541"/>
    </row>
    <row r="613">
      <c r="A613" s="2688"/>
      <c r="B613" s="195"/>
      <c r="C613" s="195"/>
      <c r="D613" s="195"/>
      <c r="E613" s="195"/>
      <c r="F613" s="195"/>
      <c r="G613" s="195"/>
      <c r="H613" s="195"/>
      <c r="I613" s="195"/>
      <c r="J613" s="2689"/>
      <c r="K613" s="195"/>
      <c r="M613" s="633"/>
      <c r="N613" s="541"/>
      <c r="O613" s="541"/>
      <c r="P613" s="541"/>
      <c r="Q613" s="541"/>
      <c r="R613" s="541"/>
      <c r="S613" s="541"/>
    </row>
    <row r="614">
      <c r="A614" s="2688"/>
      <c r="B614" s="195"/>
      <c r="C614" s="195"/>
      <c r="D614" s="195"/>
      <c r="E614" s="195"/>
      <c r="F614" s="195"/>
      <c r="G614" s="195"/>
      <c r="H614" s="195"/>
      <c r="I614" s="195"/>
      <c r="J614" s="2689"/>
      <c r="K614" s="195"/>
      <c r="M614" s="633"/>
      <c r="N614" s="541"/>
      <c r="O614" s="541"/>
      <c r="P614" s="541"/>
      <c r="Q614" s="541"/>
      <c r="R614" s="541"/>
      <c r="S614" s="541"/>
    </row>
    <row r="615">
      <c r="A615" s="2688"/>
      <c r="B615" s="195"/>
      <c r="C615" s="195"/>
      <c r="D615" s="195"/>
      <c r="E615" s="195"/>
      <c r="F615" s="195"/>
      <c r="G615" s="195"/>
      <c r="H615" s="195"/>
      <c r="I615" s="195"/>
      <c r="J615" s="2689"/>
      <c r="K615" s="195"/>
      <c r="M615" s="633"/>
      <c r="N615" s="541"/>
      <c r="O615" s="541"/>
      <c r="P615" s="541"/>
      <c r="Q615" s="541"/>
      <c r="R615" s="541"/>
      <c r="S615" s="541"/>
    </row>
    <row r="616">
      <c r="A616" s="2688"/>
      <c r="B616" s="195"/>
      <c r="C616" s="195"/>
      <c r="D616" s="195"/>
      <c r="E616" s="195"/>
      <c r="F616" s="195"/>
      <c r="G616" s="195"/>
      <c r="H616" s="195"/>
      <c r="I616" s="195"/>
      <c r="J616" s="2689"/>
      <c r="K616" s="195"/>
      <c r="M616" s="633"/>
      <c r="N616" s="541"/>
      <c r="O616" s="541"/>
      <c r="P616" s="541"/>
      <c r="Q616" s="541"/>
      <c r="R616" s="541"/>
      <c r="S616" s="541"/>
    </row>
    <row r="617">
      <c r="A617" s="2688"/>
      <c r="B617" s="195"/>
      <c r="C617" s="195"/>
      <c r="D617" s="195"/>
      <c r="E617" s="195"/>
      <c r="F617" s="195"/>
      <c r="G617" s="195"/>
      <c r="H617" s="195"/>
      <c r="I617" s="195"/>
      <c r="J617" s="2689"/>
      <c r="K617" s="195"/>
      <c r="M617" s="633"/>
      <c r="N617" s="541"/>
      <c r="O617" s="541"/>
      <c r="P617" s="541"/>
      <c r="Q617" s="541"/>
      <c r="R617" s="541"/>
      <c r="S617" s="541"/>
    </row>
    <row r="618">
      <c r="A618" s="2688"/>
      <c r="B618" s="195"/>
      <c r="C618" s="195"/>
      <c r="D618" s="195"/>
      <c r="E618" s="195"/>
      <c r="F618" s="195"/>
      <c r="G618" s="195"/>
      <c r="H618" s="195"/>
      <c r="I618" s="195"/>
      <c r="J618" s="2689"/>
      <c r="K618" s="195"/>
      <c r="M618" s="633"/>
      <c r="N618" s="541"/>
      <c r="O618" s="541"/>
      <c r="P618" s="541"/>
      <c r="Q618" s="541"/>
      <c r="R618" s="541"/>
      <c r="S618" s="541"/>
    </row>
    <row r="619">
      <c r="A619" s="2688"/>
      <c r="B619" s="195"/>
      <c r="C619" s="195"/>
      <c r="D619" s="195"/>
      <c r="E619" s="195"/>
      <c r="F619" s="195"/>
      <c r="G619" s="195"/>
      <c r="H619" s="195"/>
      <c r="I619" s="195"/>
      <c r="J619" s="2689"/>
      <c r="K619" s="195"/>
      <c r="M619" s="633"/>
      <c r="N619" s="541"/>
      <c r="O619" s="541"/>
      <c r="P619" s="541"/>
      <c r="Q619" s="541"/>
      <c r="R619" s="541"/>
      <c r="S619" s="541"/>
    </row>
    <row r="620">
      <c r="A620" s="2688"/>
      <c r="B620" s="195"/>
      <c r="C620" s="195"/>
      <c r="D620" s="195"/>
      <c r="E620" s="195"/>
      <c r="F620" s="195"/>
      <c r="G620" s="195"/>
      <c r="H620" s="195"/>
      <c r="I620" s="195"/>
      <c r="J620" s="2689"/>
      <c r="K620" s="195"/>
      <c r="M620" s="633"/>
      <c r="N620" s="541"/>
      <c r="O620" s="541"/>
      <c r="P620" s="541"/>
      <c r="Q620" s="541"/>
      <c r="R620" s="541"/>
      <c r="S620" s="541"/>
    </row>
    <row r="621">
      <c r="A621" s="2688"/>
      <c r="B621" s="195"/>
      <c r="C621" s="195"/>
      <c r="D621" s="195"/>
      <c r="E621" s="195"/>
      <c r="F621" s="195"/>
      <c r="G621" s="195"/>
      <c r="H621" s="195"/>
      <c r="I621" s="195"/>
      <c r="J621" s="2689"/>
      <c r="K621" s="195"/>
      <c r="M621" s="633"/>
      <c r="N621" s="541"/>
      <c r="O621" s="541"/>
      <c r="P621" s="541"/>
      <c r="Q621" s="541"/>
      <c r="R621" s="541"/>
      <c r="S621" s="541"/>
    </row>
    <row r="622">
      <c r="A622" s="2688"/>
      <c r="B622" s="195"/>
      <c r="C622" s="195"/>
      <c r="D622" s="195"/>
      <c r="E622" s="195"/>
      <c r="F622" s="195"/>
      <c r="G622" s="195"/>
      <c r="H622" s="195"/>
      <c r="I622" s="195"/>
      <c r="J622" s="2689"/>
      <c r="K622" s="195"/>
      <c r="M622" s="633"/>
      <c r="N622" s="541"/>
      <c r="O622" s="541"/>
      <c r="P622" s="541"/>
      <c r="Q622" s="541"/>
      <c r="R622" s="541"/>
      <c r="S622" s="541"/>
    </row>
    <row r="623">
      <c r="A623" s="2688"/>
      <c r="B623" s="195"/>
      <c r="C623" s="195"/>
      <c r="D623" s="195"/>
      <c r="E623" s="195"/>
      <c r="F623" s="195"/>
      <c r="G623" s="195"/>
      <c r="H623" s="195"/>
      <c r="I623" s="195"/>
      <c r="J623" s="2689"/>
      <c r="K623" s="195"/>
      <c r="M623" s="633"/>
      <c r="N623" s="541"/>
      <c r="O623" s="541"/>
      <c r="P623" s="541"/>
      <c r="Q623" s="541"/>
      <c r="R623" s="541"/>
      <c r="S623" s="541"/>
    </row>
    <row r="624">
      <c r="A624" s="2688"/>
      <c r="B624" s="195"/>
      <c r="C624" s="195"/>
      <c r="D624" s="195"/>
      <c r="E624" s="195"/>
      <c r="F624" s="195"/>
      <c r="G624" s="195"/>
      <c r="H624" s="195"/>
      <c r="I624" s="195"/>
      <c r="J624" s="2689"/>
      <c r="K624" s="195"/>
      <c r="M624" s="633"/>
      <c r="N624" s="541"/>
      <c r="O624" s="541"/>
      <c r="P624" s="541"/>
      <c r="Q624" s="541"/>
      <c r="R624" s="541"/>
      <c r="S624" s="541"/>
    </row>
    <row r="625">
      <c r="A625" s="2688"/>
      <c r="B625" s="195"/>
      <c r="C625" s="195"/>
      <c r="D625" s="195"/>
      <c r="E625" s="195"/>
      <c r="F625" s="195"/>
      <c r="G625" s="195"/>
      <c r="H625" s="195"/>
      <c r="I625" s="195"/>
      <c r="J625" s="2689"/>
      <c r="K625" s="195"/>
      <c r="M625" s="633"/>
      <c r="N625" s="541"/>
      <c r="O625" s="541"/>
      <c r="P625" s="541"/>
      <c r="Q625" s="541"/>
      <c r="R625" s="541"/>
      <c r="S625" s="541"/>
    </row>
    <row r="626">
      <c r="A626" s="2688"/>
      <c r="B626" s="195"/>
      <c r="C626" s="195"/>
      <c r="D626" s="195"/>
      <c r="E626" s="195"/>
      <c r="F626" s="195"/>
      <c r="G626" s="195"/>
      <c r="H626" s="195"/>
      <c r="I626" s="195"/>
      <c r="J626" s="2689"/>
      <c r="K626" s="195"/>
      <c r="M626" s="633"/>
      <c r="N626" s="541"/>
      <c r="O626" s="541"/>
      <c r="P626" s="541"/>
      <c r="Q626" s="541"/>
      <c r="R626" s="541"/>
      <c r="S626" s="541"/>
    </row>
    <row r="627">
      <c r="A627" s="2688"/>
      <c r="B627" s="195"/>
      <c r="C627" s="195"/>
      <c r="D627" s="195"/>
      <c r="E627" s="195"/>
      <c r="F627" s="195"/>
      <c r="G627" s="195"/>
      <c r="H627" s="195"/>
      <c r="I627" s="195"/>
      <c r="J627" s="2689"/>
      <c r="K627" s="195"/>
      <c r="M627" s="633"/>
      <c r="N627" s="541"/>
      <c r="O627" s="541"/>
      <c r="P627" s="541"/>
      <c r="Q627" s="541"/>
      <c r="R627" s="541"/>
      <c r="S627" s="541"/>
    </row>
    <row r="628">
      <c r="A628" s="2688"/>
      <c r="B628" s="195"/>
      <c r="C628" s="195"/>
      <c r="D628" s="195"/>
      <c r="E628" s="195"/>
      <c r="F628" s="195"/>
      <c r="G628" s="195"/>
      <c r="H628" s="195"/>
      <c r="I628" s="195"/>
      <c r="J628" s="2689"/>
      <c r="K628" s="195"/>
      <c r="M628" s="633"/>
      <c r="N628" s="541"/>
      <c r="O628" s="541"/>
      <c r="P628" s="541"/>
      <c r="Q628" s="541"/>
      <c r="R628" s="541"/>
      <c r="S628" s="541"/>
    </row>
    <row r="629">
      <c r="A629" s="2688"/>
      <c r="B629" s="195"/>
      <c r="C629" s="195"/>
      <c r="D629" s="195"/>
      <c r="E629" s="195"/>
      <c r="F629" s="195"/>
      <c r="G629" s="195"/>
      <c r="H629" s="195"/>
      <c r="I629" s="195"/>
      <c r="J629" s="2689"/>
      <c r="K629" s="195"/>
      <c r="M629" s="633"/>
      <c r="N629" s="541"/>
      <c r="O629" s="541"/>
      <c r="P629" s="541"/>
      <c r="Q629" s="541"/>
      <c r="R629" s="541"/>
      <c r="S629" s="541"/>
    </row>
    <row r="630">
      <c r="A630" s="2688"/>
      <c r="B630" s="195"/>
      <c r="C630" s="195"/>
      <c r="D630" s="195"/>
      <c r="E630" s="195"/>
      <c r="F630" s="195"/>
      <c r="G630" s="195"/>
      <c r="H630" s="195"/>
      <c r="I630" s="195"/>
      <c r="J630" s="2689"/>
      <c r="K630" s="195"/>
      <c r="M630" s="633"/>
      <c r="N630" s="541"/>
      <c r="O630" s="541"/>
      <c r="P630" s="541"/>
      <c r="Q630" s="541"/>
      <c r="R630" s="541"/>
      <c r="S630" s="541"/>
    </row>
    <row r="631">
      <c r="A631" s="2688"/>
      <c r="B631" s="195"/>
      <c r="C631" s="195"/>
      <c r="D631" s="195"/>
      <c r="E631" s="195"/>
      <c r="F631" s="195"/>
      <c r="G631" s="195"/>
      <c r="H631" s="195"/>
      <c r="I631" s="195"/>
      <c r="J631" s="2689"/>
      <c r="K631" s="195"/>
      <c r="M631" s="633"/>
      <c r="N631" s="541"/>
      <c r="O631" s="541"/>
      <c r="P631" s="541"/>
      <c r="Q631" s="541"/>
      <c r="R631" s="541"/>
      <c r="S631" s="541"/>
    </row>
    <row r="632">
      <c r="A632" s="2688"/>
      <c r="B632" s="195"/>
      <c r="C632" s="195"/>
      <c r="D632" s="195"/>
      <c r="E632" s="195"/>
      <c r="F632" s="195"/>
      <c r="G632" s="195"/>
      <c r="H632" s="195"/>
      <c r="I632" s="195"/>
      <c r="J632" s="2689"/>
      <c r="K632" s="195"/>
      <c r="M632" s="633"/>
      <c r="N632" s="541"/>
      <c r="O632" s="541"/>
      <c r="P632" s="541"/>
      <c r="Q632" s="541"/>
      <c r="R632" s="541"/>
      <c r="S632" s="541"/>
    </row>
    <row r="633">
      <c r="A633" s="2688"/>
      <c r="B633" s="195"/>
      <c r="C633" s="195"/>
      <c r="D633" s="195"/>
      <c r="E633" s="195"/>
      <c r="F633" s="195"/>
      <c r="G633" s="195"/>
      <c r="H633" s="195"/>
      <c r="I633" s="195"/>
      <c r="J633" s="2689"/>
      <c r="K633" s="195"/>
      <c r="M633" s="633"/>
      <c r="N633" s="541"/>
      <c r="O633" s="541"/>
      <c r="P633" s="541"/>
      <c r="Q633" s="541"/>
      <c r="R633" s="541"/>
      <c r="S633" s="541"/>
    </row>
    <row r="634">
      <c r="A634" s="2688"/>
      <c r="B634" s="195"/>
      <c r="C634" s="195"/>
      <c r="D634" s="195"/>
      <c r="E634" s="195"/>
      <c r="F634" s="195"/>
      <c r="G634" s="195"/>
      <c r="H634" s="195"/>
      <c r="I634" s="195"/>
      <c r="J634" s="2689"/>
      <c r="K634" s="195"/>
      <c r="M634" s="633"/>
      <c r="N634" s="541"/>
      <c r="O634" s="541"/>
      <c r="P634" s="541"/>
      <c r="Q634" s="541"/>
      <c r="R634" s="541"/>
      <c r="S634" s="541"/>
    </row>
    <row r="635">
      <c r="A635" s="2688"/>
      <c r="B635" s="195"/>
      <c r="C635" s="195"/>
      <c r="D635" s="195"/>
      <c r="E635" s="195"/>
      <c r="F635" s="195"/>
      <c r="G635" s="195"/>
      <c r="H635" s="195"/>
      <c r="I635" s="195"/>
      <c r="J635" s="2689"/>
      <c r="K635" s="195"/>
      <c r="M635" s="633"/>
      <c r="N635" s="541"/>
      <c r="O635" s="541"/>
      <c r="P635" s="541"/>
      <c r="Q635" s="541"/>
      <c r="R635" s="541"/>
      <c r="S635" s="541"/>
    </row>
    <row r="636">
      <c r="A636" s="2688"/>
      <c r="B636" s="195"/>
      <c r="C636" s="195"/>
      <c r="D636" s="195"/>
      <c r="E636" s="195"/>
      <c r="F636" s="195"/>
      <c r="G636" s="195"/>
      <c r="H636" s="195"/>
      <c r="I636" s="195"/>
      <c r="J636" s="2689"/>
      <c r="K636" s="195"/>
      <c r="M636" s="633"/>
      <c r="N636" s="541"/>
      <c r="O636" s="541"/>
      <c r="P636" s="541"/>
      <c r="Q636" s="541"/>
      <c r="R636" s="541"/>
      <c r="S636" s="541"/>
    </row>
    <row r="637">
      <c r="A637" s="2688"/>
      <c r="B637" s="195"/>
      <c r="C637" s="195"/>
      <c r="D637" s="195"/>
      <c r="E637" s="195"/>
      <c r="F637" s="195"/>
      <c r="G637" s="195"/>
      <c r="H637" s="195"/>
      <c r="I637" s="195"/>
      <c r="J637" s="2689"/>
      <c r="K637" s="195"/>
      <c r="M637" s="633"/>
      <c r="N637" s="541"/>
      <c r="O637" s="541"/>
      <c r="P637" s="541"/>
      <c r="Q637" s="541"/>
      <c r="R637" s="541"/>
      <c r="S637" s="541"/>
    </row>
    <row r="638">
      <c r="A638" s="2688"/>
      <c r="B638" s="195"/>
      <c r="C638" s="195"/>
      <c r="D638" s="195"/>
      <c r="E638" s="195"/>
      <c r="F638" s="195"/>
      <c r="G638" s="195"/>
      <c r="H638" s="195"/>
      <c r="I638" s="195"/>
      <c r="J638" s="2689"/>
      <c r="K638" s="195"/>
      <c r="M638" s="633"/>
      <c r="N638" s="541"/>
      <c r="O638" s="541"/>
      <c r="P638" s="541"/>
      <c r="Q638" s="541"/>
      <c r="R638" s="541"/>
      <c r="S638" s="541"/>
    </row>
    <row r="639">
      <c r="A639" s="2688"/>
      <c r="B639" s="195"/>
      <c r="C639" s="195"/>
      <c r="D639" s="195"/>
      <c r="E639" s="195"/>
      <c r="F639" s="195"/>
      <c r="G639" s="195"/>
      <c r="H639" s="195"/>
      <c r="I639" s="195"/>
      <c r="J639" s="2689"/>
      <c r="K639" s="195"/>
      <c r="M639" s="633"/>
      <c r="N639" s="541"/>
      <c r="O639" s="541"/>
      <c r="P639" s="541"/>
      <c r="Q639" s="541"/>
      <c r="R639" s="541"/>
      <c r="S639" s="541"/>
    </row>
    <row r="640">
      <c r="A640" s="2688"/>
      <c r="B640" s="195"/>
      <c r="C640" s="195"/>
      <c r="D640" s="195"/>
      <c r="E640" s="195"/>
      <c r="F640" s="195"/>
      <c r="G640" s="195"/>
      <c r="H640" s="195"/>
      <c r="I640" s="195"/>
      <c r="J640" s="2689"/>
      <c r="K640" s="195"/>
      <c r="M640" s="633"/>
      <c r="N640" s="541"/>
      <c r="O640" s="541"/>
      <c r="P640" s="541"/>
      <c r="Q640" s="541"/>
      <c r="R640" s="541"/>
      <c r="S640" s="541"/>
    </row>
    <row r="641">
      <c r="A641" s="2688"/>
      <c r="B641" s="195"/>
      <c r="C641" s="195"/>
      <c r="D641" s="195"/>
      <c r="E641" s="195"/>
      <c r="F641" s="195"/>
      <c r="G641" s="195"/>
      <c r="H641" s="195"/>
      <c r="I641" s="195"/>
      <c r="J641" s="2689"/>
      <c r="K641" s="195"/>
      <c r="M641" s="633"/>
      <c r="N641" s="541"/>
      <c r="O641" s="541"/>
      <c r="P641" s="541"/>
      <c r="Q641" s="541"/>
      <c r="R641" s="541"/>
      <c r="S641" s="541"/>
    </row>
    <row r="642">
      <c r="A642" s="2688"/>
      <c r="B642" s="195"/>
      <c r="C642" s="195"/>
      <c r="D642" s="195"/>
      <c r="E642" s="195"/>
      <c r="F642" s="195"/>
      <c r="G642" s="195"/>
      <c r="H642" s="195"/>
      <c r="I642" s="195"/>
      <c r="J642" s="2689"/>
      <c r="K642" s="195"/>
      <c r="M642" s="633"/>
      <c r="N642" s="541"/>
      <c r="O642" s="541"/>
      <c r="P642" s="541"/>
      <c r="Q642" s="541"/>
      <c r="R642" s="541"/>
      <c r="S642" s="541"/>
    </row>
    <row r="643">
      <c r="A643" s="2688"/>
      <c r="B643" s="195"/>
      <c r="C643" s="195"/>
      <c r="D643" s="195"/>
      <c r="E643" s="195"/>
      <c r="F643" s="195"/>
      <c r="G643" s="195"/>
      <c r="H643" s="195"/>
      <c r="I643" s="195"/>
      <c r="J643" s="2689"/>
      <c r="K643" s="195"/>
      <c r="M643" s="633"/>
      <c r="N643" s="541"/>
      <c r="O643" s="541"/>
      <c r="P643" s="541"/>
      <c r="Q643" s="541"/>
      <c r="R643" s="541"/>
      <c r="S643" s="541"/>
    </row>
    <row r="644">
      <c r="A644" s="2688"/>
      <c r="B644" s="195"/>
      <c r="C644" s="195"/>
      <c r="D644" s="195"/>
      <c r="E644" s="195"/>
      <c r="F644" s="195"/>
      <c r="G644" s="195"/>
      <c r="H644" s="195"/>
      <c r="I644" s="195"/>
      <c r="J644" s="2689"/>
      <c r="K644" s="195"/>
      <c r="M644" s="633"/>
      <c r="N644" s="541"/>
      <c r="O644" s="541"/>
      <c r="P644" s="541"/>
      <c r="Q644" s="541"/>
      <c r="R644" s="541"/>
      <c r="S644" s="541"/>
    </row>
    <row r="645">
      <c r="A645" s="2688"/>
      <c r="B645" s="195"/>
      <c r="C645" s="195"/>
      <c r="D645" s="195"/>
      <c r="E645" s="195"/>
      <c r="F645" s="195"/>
      <c r="G645" s="195"/>
      <c r="H645" s="195"/>
      <c r="I645" s="195"/>
      <c r="J645" s="2689"/>
      <c r="K645" s="195"/>
      <c r="M645" s="633"/>
      <c r="N645" s="541"/>
      <c r="O645" s="541"/>
      <c r="P645" s="541"/>
      <c r="Q645" s="541"/>
      <c r="R645" s="541"/>
      <c r="S645" s="541"/>
    </row>
    <row r="646">
      <c r="A646" s="2688"/>
      <c r="B646" s="195"/>
      <c r="C646" s="195"/>
      <c r="D646" s="195"/>
      <c r="E646" s="195"/>
      <c r="F646" s="195"/>
      <c r="G646" s="195"/>
      <c r="H646" s="195"/>
      <c r="I646" s="195"/>
      <c r="J646" s="2689"/>
      <c r="K646" s="195"/>
      <c r="M646" s="633"/>
      <c r="N646" s="541"/>
      <c r="O646" s="541"/>
      <c r="P646" s="541"/>
      <c r="Q646" s="541"/>
      <c r="R646" s="541"/>
      <c r="S646" s="541"/>
    </row>
    <row r="647">
      <c r="A647" s="2688"/>
      <c r="B647" s="195"/>
      <c r="C647" s="195"/>
      <c r="D647" s="195"/>
      <c r="E647" s="195"/>
      <c r="F647" s="195"/>
      <c r="G647" s="195"/>
      <c r="H647" s="195"/>
      <c r="I647" s="195"/>
      <c r="J647" s="2689"/>
      <c r="K647" s="195"/>
      <c r="M647" s="633"/>
      <c r="N647" s="541"/>
      <c r="O647" s="541"/>
      <c r="P647" s="541"/>
      <c r="Q647" s="541"/>
      <c r="R647" s="541"/>
      <c r="S647" s="541"/>
    </row>
    <row r="648">
      <c r="A648" s="2688"/>
      <c r="B648" s="195"/>
      <c r="C648" s="195"/>
      <c r="D648" s="195"/>
      <c r="E648" s="195"/>
      <c r="F648" s="195"/>
      <c r="G648" s="195"/>
      <c r="H648" s="195"/>
      <c r="I648" s="195"/>
      <c r="J648" s="2689"/>
      <c r="K648" s="195"/>
      <c r="M648" s="633"/>
      <c r="N648" s="541"/>
      <c r="O648" s="541"/>
      <c r="P648" s="541"/>
      <c r="Q648" s="541"/>
      <c r="R648" s="541"/>
      <c r="S648" s="541"/>
    </row>
    <row r="649">
      <c r="A649" s="2688"/>
      <c r="B649" s="195"/>
      <c r="C649" s="195"/>
      <c r="D649" s="195"/>
      <c r="E649" s="195"/>
      <c r="F649" s="195"/>
      <c r="G649" s="195"/>
      <c r="H649" s="195"/>
      <c r="I649" s="195"/>
      <c r="J649" s="2689"/>
      <c r="K649" s="195"/>
      <c r="M649" s="633"/>
      <c r="N649" s="541"/>
      <c r="O649" s="541"/>
      <c r="P649" s="541"/>
      <c r="Q649" s="541"/>
      <c r="R649" s="541"/>
      <c r="S649" s="541"/>
    </row>
    <row r="650">
      <c r="A650" s="2688"/>
      <c r="B650" s="195"/>
      <c r="C650" s="195"/>
      <c r="D650" s="195"/>
      <c r="E650" s="195"/>
      <c r="F650" s="195"/>
      <c r="G650" s="195"/>
      <c r="H650" s="195"/>
      <c r="I650" s="195"/>
      <c r="J650" s="2689"/>
      <c r="K650" s="195"/>
      <c r="M650" s="633"/>
      <c r="N650" s="541"/>
      <c r="O650" s="541"/>
      <c r="P650" s="541"/>
      <c r="Q650" s="541"/>
      <c r="R650" s="541"/>
      <c r="S650" s="541"/>
    </row>
    <row r="651">
      <c r="A651" s="2688"/>
      <c r="B651" s="195"/>
      <c r="C651" s="195"/>
      <c r="D651" s="195"/>
      <c r="E651" s="195"/>
      <c r="F651" s="195"/>
      <c r="G651" s="195"/>
      <c r="H651" s="195"/>
      <c r="I651" s="195"/>
      <c r="J651" s="2689"/>
      <c r="K651" s="195"/>
      <c r="M651" s="633"/>
      <c r="N651" s="541"/>
      <c r="O651" s="541"/>
      <c r="P651" s="541"/>
      <c r="Q651" s="541"/>
      <c r="R651" s="541"/>
      <c r="S651" s="541"/>
    </row>
    <row r="652">
      <c r="A652" s="2688"/>
      <c r="B652" s="195"/>
      <c r="C652" s="195"/>
      <c r="D652" s="195"/>
      <c r="E652" s="195"/>
      <c r="F652" s="195"/>
      <c r="G652" s="195"/>
      <c r="H652" s="195"/>
      <c r="I652" s="195"/>
      <c r="J652" s="2689"/>
      <c r="K652" s="195"/>
      <c r="M652" s="633"/>
      <c r="N652" s="541"/>
      <c r="O652" s="541"/>
      <c r="P652" s="541"/>
      <c r="Q652" s="541"/>
      <c r="R652" s="541"/>
      <c r="S652" s="541"/>
    </row>
    <row r="653">
      <c r="A653" s="2688"/>
      <c r="B653" s="195"/>
      <c r="C653" s="195"/>
      <c r="D653" s="195"/>
      <c r="E653" s="195"/>
      <c r="F653" s="195"/>
      <c r="G653" s="195"/>
      <c r="H653" s="195"/>
      <c r="I653" s="195"/>
      <c r="J653" s="2689"/>
      <c r="K653" s="195"/>
      <c r="M653" s="633"/>
      <c r="N653" s="541"/>
      <c r="O653" s="541"/>
      <c r="P653" s="541"/>
      <c r="Q653" s="541"/>
      <c r="R653" s="541"/>
      <c r="S653" s="541"/>
    </row>
    <row r="654">
      <c r="A654" s="2688"/>
      <c r="B654" s="195"/>
      <c r="C654" s="195"/>
      <c r="D654" s="195"/>
      <c r="E654" s="195"/>
      <c r="F654" s="195"/>
      <c r="G654" s="195"/>
      <c r="H654" s="195"/>
      <c r="I654" s="195"/>
      <c r="J654" s="2689"/>
      <c r="K654" s="195"/>
      <c r="M654" s="633"/>
      <c r="N654" s="541"/>
      <c r="O654" s="541"/>
      <c r="P654" s="541"/>
      <c r="Q654" s="541"/>
      <c r="R654" s="541"/>
      <c r="S654" s="541"/>
    </row>
    <row r="655">
      <c r="A655" s="2688"/>
      <c r="B655" s="195"/>
      <c r="C655" s="195"/>
      <c r="D655" s="195"/>
      <c r="E655" s="195"/>
      <c r="F655" s="195"/>
      <c r="G655" s="195"/>
      <c r="H655" s="195"/>
      <c r="I655" s="195"/>
      <c r="J655" s="2689"/>
      <c r="K655" s="195"/>
      <c r="M655" s="633"/>
      <c r="N655" s="541"/>
      <c r="O655" s="541"/>
      <c r="P655" s="541"/>
      <c r="Q655" s="541"/>
      <c r="R655" s="541"/>
      <c r="S655" s="541"/>
    </row>
    <row r="656">
      <c r="A656" s="2688"/>
      <c r="B656" s="195"/>
      <c r="C656" s="195"/>
      <c r="D656" s="195"/>
      <c r="E656" s="195"/>
      <c r="F656" s="195"/>
      <c r="G656" s="195"/>
      <c r="H656" s="195"/>
      <c r="I656" s="195"/>
      <c r="J656" s="2689"/>
      <c r="K656" s="195"/>
      <c r="M656" s="633"/>
      <c r="N656" s="541"/>
      <c r="O656" s="541"/>
      <c r="P656" s="541"/>
      <c r="Q656" s="541"/>
      <c r="R656" s="541"/>
      <c r="S656" s="541"/>
    </row>
    <row r="657">
      <c r="A657" s="2688"/>
      <c r="B657" s="195"/>
      <c r="C657" s="195"/>
      <c r="D657" s="195"/>
      <c r="E657" s="195"/>
      <c r="F657" s="195"/>
      <c r="G657" s="195"/>
      <c r="H657" s="195"/>
      <c r="I657" s="195"/>
      <c r="J657" s="2689"/>
      <c r="K657" s="195"/>
      <c r="M657" s="633"/>
      <c r="N657" s="541"/>
      <c r="O657" s="541"/>
      <c r="P657" s="541"/>
      <c r="Q657" s="541"/>
      <c r="R657" s="541"/>
      <c r="S657" s="541"/>
    </row>
    <row r="658">
      <c r="A658" s="2688"/>
      <c r="B658" s="195"/>
      <c r="C658" s="195"/>
      <c r="D658" s="195"/>
      <c r="E658" s="195"/>
      <c r="F658" s="195"/>
      <c r="G658" s="195"/>
      <c r="H658" s="195"/>
      <c r="I658" s="195"/>
      <c r="J658" s="2689"/>
      <c r="K658" s="195"/>
      <c r="M658" s="633"/>
      <c r="N658" s="541"/>
      <c r="O658" s="541"/>
      <c r="P658" s="541"/>
      <c r="Q658" s="541"/>
      <c r="R658" s="541"/>
      <c r="S658" s="541"/>
    </row>
    <row r="659">
      <c r="A659" s="2688"/>
      <c r="B659" s="195"/>
      <c r="C659" s="195"/>
      <c r="D659" s="195"/>
      <c r="E659" s="195"/>
      <c r="F659" s="195"/>
      <c r="G659" s="195"/>
      <c r="H659" s="195"/>
      <c r="I659" s="195"/>
      <c r="J659" s="2689"/>
      <c r="K659" s="195"/>
      <c r="M659" s="633"/>
      <c r="N659" s="541"/>
      <c r="O659" s="541"/>
      <c r="P659" s="541"/>
      <c r="Q659" s="541"/>
      <c r="R659" s="541"/>
      <c r="S659" s="541"/>
    </row>
    <row r="660">
      <c r="A660" s="2688"/>
      <c r="B660" s="195"/>
      <c r="C660" s="195"/>
      <c r="D660" s="195"/>
      <c r="E660" s="195"/>
      <c r="F660" s="195"/>
      <c r="G660" s="195"/>
      <c r="H660" s="195"/>
      <c r="I660" s="195"/>
      <c r="J660" s="2689"/>
      <c r="K660" s="195"/>
      <c r="M660" s="633"/>
      <c r="N660" s="541"/>
      <c r="O660" s="541"/>
      <c r="P660" s="541"/>
      <c r="Q660" s="541"/>
      <c r="R660" s="541"/>
      <c r="S660" s="541"/>
    </row>
    <row r="661">
      <c r="A661" s="2688"/>
      <c r="B661" s="195"/>
      <c r="C661" s="195"/>
      <c r="D661" s="195"/>
      <c r="E661" s="195"/>
      <c r="F661" s="195"/>
      <c r="G661" s="195"/>
      <c r="H661" s="195"/>
      <c r="I661" s="195"/>
      <c r="J661" s="2689"/>
      <c r="K661" s="195"/>
      <c r="M661" s="633"/>
      <c r="N661" s="541"/>
      <c r="O661" s="541"/>
      <c r="P661" s="541"/>
      <c r="Q661" s="541"/>
      <c r="R661" s="541"/>
      <c r="S661" s="541"/>
    </row>
    <row r="662">
      <c r="A662" s="2688"/>
      <c r="B662" s="195"/>
      <c r="C662" s="195"/>
      <c r="D662" s="195"/>
      <c r="E662" s="195"/>
      <c r="F662" s="195"/>
      <c r="G662" s="195"/>
      <c r="H662" s="195"/>
      <c r="I662" s="195"/>
      <c r="J662" s="2689"/>
      <c r="K662" s="195"/>
      <c r="M662" s="633"/>
      <c r="N662" s="541"/>
      <c r="O662" s="541"/>
      <c r="P662" s="541"/>
      <c r="Q662" s="541"/>
      <c r="R662" s="541"/>
      <c r="S662" s="541"/>
    </row>
    <row r="663">
      <c r="A663" s="2688"/>
      <c r="B663" s="195"/>
      <c r="C663" s="195"/>
      <c r="D663" s="195"/>
      <c r="E663" s="195"/>
      <c r="F663" s="195"/>
      <c r="G663" s="195"/>
      <c r="H663" s="195"/>
      <c r="I663" s="195"/>
      <c r="J663" s="2689"/>
      <c r="K663" s="195"/>
      <c r="M663" s="633"/>
      <c r="N663" s="541"/>
      <c r="O663" s="541"/>
      <c r="P663" s="541"/>
      <c r="Q663" s="541"/>
      <c r="R663" s="541"/>
      <c r="S663" s="541"/>
    </row>
    <row r="664">
      <c r="A664" s="2688"/>
      <c r="B664" s="195"/>
      <c r="C664" s="195"/>
      <c r="D664" s="195"/>
      <c r="E664" s="195"/>
      <c r="F664" s="195"/>
      <c r="G664" s="195"/>
      <c r="H664" s="195"/>
      <c r="I664" s="195"/>
      <c r="J664" s="2689"/>
      <c r="K664" s="195"/>
      <c r="M664" s="633"/>
      <c r="N664" s="541"/>
      <c r="O664" s="541"/>
      <c r="P664" s="541"/>
      <c r="Q664" s="541"/>
      <c r="R664" s="541"/>
      <c r="S664" s="541"/>
    </row>
    <row r="665">
      <c r="A665" s="2688"/>
      <c r="B665" s="195"/>
      <c r="C665" s="195"/>
      <c r="D665" s="195"/>
      <c r="E665" s="195"/>
      <c r="F665" s="195"/>
      <c r="G665" s="195"/>
      <c r="H665" s="195"/>
      <c r="I665" s="195"/>
      <c r="J665" s="2689"/>
      <c r="K665" s="195"/>
      <c r="M665" s="633"/>
      <c r="N665" s="541"/>
      <c r="O665" s="541"/>
      <c r="P665" s="541"/>
      <c r="Q665" s="541"/>
      <c r="R665" s="541"/>
      <c r="S665" s="541"/>
    </row>
    <row r="666">
      <c r="A666" s="2688"/>
      <c r="B666" s="195"/>
      <c r="C666" s="195"/>
      <c r="D666" s="195"/>
      <c r="E666" s="195"/>
      <c r="F666" s="195"/>
      <c r="G666" s="195"/>
      <c r="H666" s="195"/>
      <c r="I666" s="195"/>
      <c r="J666" s="2689"/>
      <c r="K666" s="195"/>
      <c r="M666" s="633"/>
      <c r="N666" s="541"/>
      <c r="O666" s="541"/>
      <c r="P666" s="541"/>
      <c r="Q666" s="541"/>
      <c r="R666" s="541"/>
      <c r="S666" s="541"/>
    </row>
    <row r="667">
      <c r="A667" s="2688"/>
      <c r="B667" s="195"/>
      <c r="C667" s="195"/>
      <c r="D667" s="195"/>
      <c r="E667" s="195"/>
      <c r="F667" s="195"/>
      <c r="G667" s="195"/>
      <c r="H667" s="195"/>
      <c r="I667" s="195"/>
      <c r="J667" s="2689"/>
      <c r="K667" s="195"/>
      <c r="M667" s="633"/>
      <c r="N667" s="541"/>
      <c r="O667" s="541"/>
      <c r="P667" s="541"/>
      <c r="Q667" s="541"/>
      <c r="R667" s="541"/>
      <c r="S667" s="541"/>
    </row>
    <row r="668">
      <c r="A668" s="2688"/>
      <c r="B668" s="195"/>
      <c r="C668" s="195"/>
      <c r="D668" s="195"/>
      <c r="E668" s="195"/>
      <c r="F668" s="195"/>
      <c r="G668" s="195"/>
      <c r="H668" s="195"/>
      <c r="I668" s="195"/>
      <c r="J668" s="2689"/>
      <c r="K668" s="195"/>
      <c r="M668" s="633"/>
      <c r="N668" s="541"/>
      <c r="O668" s="541"/>
      <c r="P668" s="541"/>
      <c r="Q668" s="541"/>
      <c r="R668" s="541"/>
      <c r="S668" s="541"/>
    </row>
    <row r="669">
      <c r="A669" s="2688"/>
      <c r="B669" s="195"/>
      <c r="C669" s="195"/>
      <c r="D669" s="195"/>
      <c r="E669" s="195"/>
      <c r="F669" s="195"/>
      <c r="G669" s="195"/>
      <c r="H669" s="195"/>
      <c r="I669" s="195"/>
      <c r="J669" s="2689"/>
      <c r="K669" s="195"/>
      <c r="M669" s="633"/>
      <c r="N669" s="541"/>
      <c r="O669" s="541"/>
      <c r="P669" s="541"/>
      <c r="Q669" s="541"/>
      <c r="R669" s="541"/>
      <c r="S669" s="541"/>
    </row>
    <row r="670">
      <c r="A670" s="2688"/>
      <c r="B670" s="195"/>
      <c r="C670" s="195"/>
      <c r="D670" s="195"/>
      <c r="E670" s="195"/>
      <c r="F670" s="195"/>
      <c r="G670" s="195"/>
      <c r="H670" s="195"/>
      <c r="I670" s="195"/>
      <c r="J670" s="2689"/>
      <c r="K670" s="195"/>
      <c r="M670" s="633"/>
      <c r="N670" s="541"/>
      <c r="O670" s="541"/>
      <c r="P670" s="541"/>
      <c r="Q670" s="541"/>
      <c r="R670" s="541"/>
      <c r="S670" s="541"/>
    </row>
    <row r="671">
      <c r="A671" s="2688"/>
      <c r="B671" s="195"/>
      <c r="C671" s="195"/>
      <c r="D671" s="195"/>
      <c r="E671" s="195"/>
      <c r="F671" s="195"/>
      <c r="G671" s="195"/>
      <c r="H671" s="195"/>
      <c r="I671" s="195"/>
      <c r="J671" s="2689"/>
      <c r="K671" s="195"/>
      <c r="M671" s="633"/>
      <c r="N671" s="541"/>
      <c r="O671" s="541"/>
      <c r="P671" s="541"/>
      <c r="Q671" s="541"/>
      <c r="R671" s="541"/>
      <c r="S671" s="541"/>
    </row>
    <row r="672">
      <c r="A672" s="2688"/>
      <c r="B672" s="195"/>
      <c r="C672" s="195"/>
      <c r="D672" s="195"/>
      <c r="E672" s="195"/>
      <c r="F672" s="195"/>
      <c r="G672" s="195"/>
      <c r="H672" s="195"/>
      <c r="I672" s="195"/>
      <c r="J672" s="2689"/>
      <c r="K672" s="195"/>
      <c r="M672" s="633"/>
      <c r="N672" s="541"/>
      <c r="O672" s="541"/>
      <c r="P672" s="541"/>
      <c r="Q672" s="541"/>
      <c r="R672" s="541"/>
      <c r="S672" s="541"/>
    </row>
    <row r="673">
      <c r="A673" s="2688"/>
      <c r="B673" s="195"/>
      <c r="C673" s="195"/>
      <c r="D673" s="195"/>
      <c r="E673" s="195"/>
      <c r="F673" s="195"/>
      <c r="G673" s="195"/>
      <c r="H673" s="195"/>
      <c r="I673" s="195"/>
      <c r="J673" s="2689"/>
      <c r="K673" s="195"/>
      <c r="M673" s="633"/>
      <c r="N673" s="541"/>
      <c r="O673" s="541"/>
      <c r="P673" s="541"/>
      <c r="Q673" s="541"/>
      <c r="R673" s="541"/>
      <c r="S673" s="541"/>
    </row>
    <row r="674">
      <c r="A674" s="2688"/>
      <c r="B674" s="195"/>
      <c r="C674" s="195"/>
      <c r="D674" s="195"/>
      <c r="E674" s="195"/>
      <c r="F674" s="195"/>
      <c r="G674" s="195"/>
      <c r="H674" s="195"/>
      <c r="I674" s="195"/>
      <c r="J674" s="2689"/>
      <c r="K674" s="195"/>
      <c r="M674" s="633"/>
      <c r="N674" s="541"/>
      <c r="O674" s="541"/>
      <c r="P674" s="541"/>
      <c r="Q674" s="541"/>
      <c r="R674" s="541"/>
      <c r="S674" s="541"/>
    </row>
    <row r="675">
      <c r="A675" s="2688"/>
      <c r="B675" s="195"/>
      <c r="C675" s="195"/>
      <c r="D675" s="195"/>
      <c r="E675" s="195"/>
      <c r="F675" s="195"/>
      <c r="G675" s="195"/>
      <c r="H675" s="195"/>
      <c r="I675" s="195"/>
      <c r="J675" s="2689"/>
      <c r="K675" s="195"/>
      <c r="M675" s="633"/>
      <c r="N675" s="541"/>
      <c r="O675" s="541"/>
      <c r="P675" s="541"/>
      <c r="Q675" s="541"/>
      <c r="R675" s="541"/>
      <c r="S675" s="541"/>
    </row>
    <row r="676">
      <c r="A676" s="2688"/>
      <c r="B676" s="195"/>
      <c r="C676" s="195"/>
      <c r="D676" s="195"/>
      <c r="E676" s="195"/>
      <c r="F676" s="195"/>
      <c r="G676" s="195"/>
      <c r="H676" s="195"/>
      <c r="I676" s="195"/>
      <c r="J676" s="2689"/>
      <c r="K676" s="195"/>
      <c r="M676" s="633"/>
      <c r="N676" s="541"/>
      <c r="O676" s="541"/>
      <c r="P676" s="541"/>
      <c r="Q676" s="541"/>
      <c r="R676" s="541"/>
      <c r="S676" s="541"/>
    </row>
    <row r="677">
      <c r="A677" s="2688"/>
      <c r="B677" s="195"/>
      <c r="C677" s="195"/>
      <c r="D677" s="195"/>
      <c r="E677" s="195"/>
      <c r="F677" s="195"/>
      <c r="G677" s="195"/>
      <c r="H677" s="195"/>
      <c r="I677" s="195"/>
      <c r="J677" s="2689"/>
      <c r="K677" s="195"/>
      <c r="M677" s="633"/>
      <c r="N677" s="541"/>
      <c r="O677" s="541"/>
      <c r="P677" s="541"/>
      <c r="Q677" s="541"/>
      <c r="R677" s="541"/>
      <c r="S677" s="541"/>
    </row>
    <row r="678">
      <c r="A678" s="2688"/>
      <c r="B678" s="195"/>
      <c r="C678" s="195"/>
      <c r="D678" s="195"/>
      <c r="E678" s="195"/>
      <c r="F678" s="195"/>
      <c r="G678" s="195"/>
      <c r="H678" s="195"/>
      <c r="I678" s="195"/>
      <c r="J678" s="2689"/>
      <c r="K678" s="195"/>
      <c r="M678" s="633"/>
      <c r="N678" s="541"/>
      <c r="O678" s="541"/>
      <c r="P678" s="541"/>
      <c r="Q678" s="541"/>
      <c r="R678" s="541"/>
      <c r="S678" s="541"/>
    </row>
    <row r="679">
      <c r="A679" s="2688"/>
      <c r="B679" s="195"/>
      <c r="C679" s="195"/>
      <c r="D679" s="195"/>
      <c r="E679" s="195"/>
      <c r="F679" s="195"/>
      <c r="G679" s="195"/>
      <c r="H679" s="195"/>
      <c r="I679" s="195"/>
      <c r="J679" s="2689"/>
      <c r="K679" s="195"/>
      <c r="M679" s="633"/>
      <c r="N679" s="541"/>
      <c r="O679" s="541"/>
      <c r="P679" s="541"/>
      <c r="Q679" s="541"/>
      <c r="R679" s="541"/>
      <c r="S679" s="541"/>
    </row>
    <row r="680">
      <c r="A680" s="2688"/>
      <c r="B680" s="195"/>
      <c r="C680" s="195"/>
      <c r="D680" s="195"/>
      <c r="E680" s="195"/>
      <c r="F680" s="195"/>
      <c r="G680" s="195"/>
      <c r="H680" s="195"/>
      <c r="I680" s="195"/>
      <c r="J680" s="2689"/>
      <c r="K680" s="195"/>
      <c r="M680" s="633"/>
      <c r="N680" s="541"/>
      <c r="O680" s="541"/>
      <c r="P680" s="541"/>
      <c r="Q680" s="541"/>
      <c r="R680" s="541"/>
      <c r="S680" s="541"/>
    </row>
    <row r="681">
      <c r="A681" s="2688"/>
      <c r="B681" s="195"/>
      <c r="C681" s="195"/>
      <c r="D681" s="195"/>
      <c r="E681" s="195"/>
      <c r="F681" s="195"/>
      <c r="G681" s="195"/>
      <c r="H681" s="195"/>
      <c r="I681" s="195"/>
      <c r="J681" s="2689"/>
      <c r="K681" s="195"/>
      <c r="M681" s="633"/>
      <c r="N681" s="541"/>
      <c r="O681" s="541"/>
      <c r="P681" s="541"/>
      <c r="Q681" s="541"/>
      <c r="R681" s="541"/>
      <c r="S681" s="541"/>
    </row>
    <row r="682">
      <c r="A682" s="2688"/>
      <c r="B682" s="195"/>
      <c r="C682" s="195"/>
      <c r="D682" s="195"/>
      <c r="E682" s="195"/>
      <c r="F682" s="195"/>
      <c r="G682" s="195"/>
      <c r="H682" s="195"/>
      <c r="I682" s="195"/>
      <c r="J682" s="2689"/>
      <c r="K682" s="195"/>
      <c r="M682" s="633"/>
      <c r="N682" s="541"/>
      <c r="O682" s="541"/>
      <c r="P682" s="541"/>
      <c r="Q682" s="541"/>
      <c r="R682" s="541"/>
      <c r="S682" s="541"/>
    </row>
    <row r="683">
      <c r="A683" s="2688"/>
      <c r="B683" s="195"/>
      <c r="C683" s="195"/>
      <c r="D683" s="195"/>
      <c r="E683" s="195"/>
      <c r="F683" s="195"/>
      <c r="G683" s="195"/>
      <c r="H683" s="195"/>
      <c r="I683" s="195"/>
      <c r="J683" s="2689"/>
      <c r="K683" s="195"/>
      <c r="M683" s="633"/>
      <c r="N683" s="541"/>
      <c r="O683" s="541"/>
      <c r="P683" s="541"/>
      <c r="Q683" s="541"/>
      <c r="R683" s="541"/>
      <c r="S683" s="541"/>
    </row>
    <row r="684">
      <c r="A684" s="2688"/>
      <c r="B684" s="195"/>
      <c r="C684" s="195"/>
      <c r="D684" s="195"/>
      <c r="E684" s="195"/>
      <c r="F684" s="195"/>
      <c r="G684" s="195"/>
      <c r="H684" s="195"/>
      <c r="I684" s="195"/>
      <c r="J684" s="2689"/>
      <c r="K684" s="195"/>
      <c r="M684" s="633"/>
      <c r="N684" s="541"/>
      <c r="O684" s="541"/>
      <c r="P684" s="541"/>
      <c r="Q684" s="541"/>
      <c r="R684" s="541"/>
      <c r="S684" s="541"/>
    </row>
    <row r="685">
      <c r="A685" s="2688"/>
      <c r="B685" s="195"/>
      <c r="C685" s="195"/>
      <c r="D685" s="195"/>
      <c r="E685" s="195"/>
      <c r="F685" s="195"/>
      <c r="G685" s="195"/>
      <c r="H685" s="195"/>
      <c r="I685" s="195"/>
      <c r="J685" s="2689"/>
      <c r="K685" s="195"/>
      <c r="M685" s="633"/>
      <c r="N685" s="541"/>
      <c r="O685" s="541"/>
      <c r="P685" s="541"/>
      <c r="Q685" s="541"/>
      <c r="R685" s="541"/>
      <c r="S685" s="541"/>
    </row>
    <row r="686">
      <c r="A686" s="2688"/>
      <c r="B686" s="195"/>
      <c r="C686" s="195"/>
      <c r="D686" s="195"/>
      <c r="E686" s="195"/>
      <c r="F686" s="195"/>
      <c r="G686" s="195"/>
      <c r="H686" s="195"/>
      <c r="I686" s="195"/>
      <c r="J686" s="2689"/>
      <c r="K686" s="195"/>
      <c r="M686" s="633"/>
      <c r="N686" s="541"/>
      <c r="O686" s="541"/>
      <c r="P686" s="541"/>
      <c r="Q686" s="541"/>
      <c r="R686" s="541"/>
      <c r="S686" s="541"/>
    </row>
    <row r="687">
      <c r="A687" s="2688"/>
      <c r="B687" s="195"/>
      <c r="C687" s="195"/>
      <c r="D687" s="195"/>
      <c r="E687" s="195"/>
      <c r="F687" s="195"/>
      <c r="G687" s="195"/>
      <c r="H687" s="195"/>
      <c r="I687" s="195"/>
      <c r="J687" s="2689"/>
      <c r="K687" s="195"/>
      <c r="M687" s="633"/>
      <c r="N687" s="541"/>
      <c r="O687" s="541"/>
      <c r="P687" s="541"/>
      <c r="Q687" s="541"/>
      <c r="R687" s="541"/>
      <c r="S687" s="541"/>
    </row>
    <row r="688">
      <c r="A688" s="2688"/>
      <c r="B688" s="195"/>
      <c r="C688" s="195"/>
      <c r="D688" s="195"/>
      <c r="E688" s="195"/>
      <c r="F688" s="195"/>
      <c r="G688" s="195"/>
      <c r="H688" s="195"/>
      <c r="I688" s="195"/>
      <c r="J688" s="2689"/>
      <c r="K688" s="195"/>
      <c r="M688" s="633"/>
      <c r="N688" s="541"/>
      <c r="O688" s="541"/>
      <c r="P688" s="541"/>
      <c r="Q688" s="541"/>
      <c r="R688" s="541"/>
      <c r="S688" s="541"/>
    </row>
    <row r="689">
      <c r="A689" s="2688"/>
      <c r="B689" s="195"/>
      <c r="C689" s="195"/>
      <c r="D689" s="195"/>
      <c r="E689" s="195"/>
      <c r="F689" s="195"/>
      <c r="G689" s="195"/>
      <c r="H689" s="195"/>
      <c r="I689" s="195"/>
      <c r="J689" s="2689"/>
      <c r="K689" s="195"/>
      <c r="M689" s="633"/>
      <c r="N689" s="541"/>
      <c r="O689" s="541"/>
      <c r="P689" s="541"/>
      <c r="Q689" s="541"/>
      <c r="R689" s="541"/>
      <c r="S689" s="541"/>
    </row>
    <row r="690">
      <c r="A690" s="2688"/>
      <c r="B690" s="195"/>
      <c r="C690" s="195"/>
      <c r="D690" s="195"/>
      <c r="E690" s="195"/>
      <c r="F690" s="195"/>
      <c r="G690" s="195"/>
      <c r="H690" s="195"/>
      <c r="I690" s="195"/>
      <c r="J690" s="2689"/>
      <c r="K690" s="195"/>
      <c r="M690" s="633"/>
      <c r="N690" s="541"/>
      <c r="O690" s="541"/>
      <c r="P690" s="541"/>
      <c r="Q690" s="541"/>
      <c r="R690" s="541"/>
      <c r="S690" s="541"/>
    </row>
    <row r="691">
      <c r="A691" s="2688"/>
      <c r="B691" s="195"/>
      <c r="C691" s="195"/>
      <c r="D691" s="195"/>
      <c r="E691" s="195"/>
      <c r="F691" s="195"/>
      <c r="G691" s="195"/>
      <c r="H691" s="195"/>
      <c r="I691" s="195"/>
      <c r="J691" s="2689"/>
      <c r="K691" s="195"/>
      <c r="M691" s="633"/>
      <c r="N691" s="541"/>
      <c r="O691" s="541"/>
      <c r="P691" s="541"/>
      <c r="Q691" s="541"/>
      <c r="R691" s="541"/>
      <c r="S691" s="541"/>
    </row>
    <row r="692">
      <c r="A692" s="2688"/>
      <c r="B692" s="195"/>
      <c r="C692" s="195"/>
      <c r="D692" s="195"/>
      <c r="E692" s="195"/>
      <c r="F692" s="195"/>
      <c r="G692" s="195"/>
      <c r="H692" s="195"/>
      <c r="I692" s="195"/>
      <c r="J692" s="2689"/>
      <c r="K692" s="195"/>
      <c r="M692" s="633"/>
      <c r="N692" s="541"/>
      <c r="O692" s="541"/>
      <c r="P692" s="541"/>
      <c r="Q692" s="541"/>
      <c r="R692" s="541"/>
      <c r="S692" s="541"/>
    </row>
    <row r="693">
      <c r="A693" s="2688"/>
      <c r="B693" s="195"/>
      <c r="C693" s="195"/>
      <c r="D693" s="195"/>
      <c r="E693" s="195"/>
      <c r="F693" s="195"/>
      <c r="G693" s="195"/>
      <c r="H693" s="195"/>
      <c r="I693" s="195"/>
      <c r="J693" s="2689"/>
      <c r="K693" s="195"/>
      <c r="M693" s="633"/>
      <c r="N693" s="541"/>
      <c r="O693" s="541"/>
      <c r="P693" s="541"/>
      <c r="Q693" s="541"/>
      <c r="R693" s="541"/>
      <c r="S693" s="541"/>
    </row>
    <row r="694">
      <c r="A694" s="2688"/>
      <c r="B694" s="195"/>
      <c r="C694" s="195"/>
      <c r="D694" s="195"/>
      <c r="E694" s="195"/>
      <c r="F694" s="195"/>
      <c r="G694" s="195"/>
      <c r="H694" s="195"/>
      <c r="I694" s="195"/>
      <c r="J694" s="2689"/>
      <c r="K694" s="195"/>
      <c r="M694" s="633"/>
      <c r="N694" s="541"/>
      <c r="O694" s="541"/>
      <c r="P694" s="541"/>
      <c r="Q694" s="541"/>
      <c r="R694" s="541"/>
      <c r="S694" s="541"/>
    </row>
    <row r="695">
      <c r="A695" s="2688"/>
      <c r="B695" s="195"/>
      <c r="C695" s="195"/>
      <c r="D695" s="195"/>
      <c r="E695" s="195"/>
      <c r="F695" s="195"/>
      <c r="G695" s="195"/>
      <c r="H695" s="195"/>
      <c r="I695" s="195"/>
      <c r="J695" s="2689"/>
      <c r="K695" s="195"/>
      <c r="M695" s="633"/>
      <c r="N695" s="541"/>
      <c r="O695" s="541"/>
      <c r="P695" s="541"/>
      <c r="Q695" s="541"/>
      <c r="R695" s="541"/>
      <c r="S695" s="541"/>
    </row>
    <row r="696">
      <c r="A696" s="2688"/>
      <c r="B696" s="195"/>
      <c r="C696" s="195"/>
      <c r="D696" s="195"/>
      <c r="E696" s="195"/>
      <c r="F696" s="195"/>
      <c r="G696" s="195"/>
      <c r="H696" s="195"/>
      <c r="I696" s="195"/>
      <c r="J696" s="2689"/>
      <c r="K696" s="195"/>
      <c r="M696" s="633"/>
      <c r="N696" s="541"/>
      <c r="O696" s="541"/>
      <c r="P696" s="541"/>
      <c r="Q696" s="541"/>
      <c r="R696" s="541"/>
      <c r="S696" s="541"/>
    </row>
    <row r="697">
      <c r="A697" s="2688"/>
      <c r="B697" s="195"/>
      <c r="C697" s="195"/>
      <c r="D697" s="195"/>
      <c r="E697" s="195"/>
      <c r="F697" s="195"/>
      <c r="G697" s="195"/>
      <c r="H697" s="195"/>
      <c r="I697" s="195"/>
      <c r="J697" s="2689"/>
      <c r="K697" s="195"/>
      <c r="M697" s="633"/>
      <c r="N697" s="541"/>
      <c r="O697" s="541"/>
      <c r="P697" s="541"/>
      <c r="Q697" s="541"/>
      <c r="R697" s="541"/>
      <c r="S697" s="541"/>
    </row>
    <row r="698">
      <c r="A698" s="2688"/>
      <c r="B698" s="195"/>
      <c r="C698" s="195"/>
      <c r="D698" s="195"/>
      <c r="E698" s="195"/>
      <c r="F698" s="195"/>
      <c r="G698" s="195"/>
      <c r="H698" s="195"/>
      <c r="I698" s="195"/>
      <c r="J698" s="2689"/>
      <c r="K698" s="195"/>
      <c r="M698" s="633"/>
      <c r="N698" s="541"/>
      <c r="O698" s="541"/>
      <c r="P698" s="541"/>
      <c r="Q698" s="541"/>
      <c r="R698" s="541"/>
      <c r="S698" s="541"/>
    </row>
    <row r="699">
      <c r="A699" s="2688"/>
      <c r="B699" s="195"/>
      <c r="C699" s="195"/>
      <c r="D699" s="195"/>
      <c r="E699" s="195"/>
      <c r="F699" s="195"/>
      <c r="G699" s="195"/>
      <c r="H699" s="195"/>
      <c r="I699" s="195"/>
      <c r="J699" s="2689"/>
      <c r="K699" s="195"/>
      <c r="M699" s="633"/>
      <c r="N699" s="541"/>
      <c r="O699" s="541"/>
      <c r="P699" s="541"/>
      <c r="Q699" s="541"/>
      <c r="R699" s="541"/>
      <c r="S699" s="541"/>
    </row>
    <row r="700">
      <c r="A700" s="2688"/>
      <c r="B700" s="195"/>
      <c r="C700" s="195"/>
      <c r="D700" s="195"/>
      <c r="E700" s="195"/>
      <c r="F700" s="195"/>
      <c r="G700" s="195"/>
      <c r="H700" s="195"/>
      <c r="I700" s="195"/>
      <c r="J700" s="2689"/>
      <c r="K700" s="195"/>
      <c r="M700" s="633"/>
      <c r="N700" s="541"/>
      <c r="O700" s="541"/>
      <c r="P700" s="541"/>
      <c r="Q700" s="541"/>
      <c r="R700" s="541"/>
      <c r="S700" s="541"/>
    </row>
    <row r="701">
      <c r="A701" s="2688"/>
      <c r="B701" s="195"/>
      <c r="C701" s="195"/>
      <c r="D701" s="195"/>
      <c r="E701" s="195"/>
      <c r="F701" s="195"/>
      <c r="G701" s="195"/>
      <c r="H701" s="195"/>
      <c r="I701" s="195"/>
      <c r="J701" s="2689"/>
      <c r="K701" s="195"/>
      <c r="M701" s="633"/>
      <c r="N701" s="541"/>
      <c r="O701" s="541"/>
      <c r="P701" s="541"/>
      <c r="Q701" s="541"/>
      <c r="R701" s="541"/>
      <c r="S701" s="541"/>
    </row>
    <row r="702">
      <c r="A702" s="2688"/>
      <c r="B702" s="195"/>
      <c r="C702" s="195"/>
      <c r="D702" s="195"/>
      <c r="E702" s="195"/>
      <c r="F702" s="195"/>
      <c r="G702" s="195"/>
      <c r="H702" s="195"/>
      <c r="I702" s="195"/>
      <c r="J702" s="2689"/>
      <c r="K702" s="195"/>
      <c r="M702" s="633"/>
      <c r="N702" s="541"/>
      <c r="O702" s="541"/>
      <c r="P702" s="541"/>
      <c r="Q702" s="541"/>
      <c r="R702" s="541"/>
      <c r="S702" s="541"/>
    </row>
    <row r="703">
      <c r="A703" s="2688"/>
      <c r="B703" s="195"/>
      <c r="C703" s="195"/>
      <c r="D703" s="195"/>
      <c r="E703" s="195"/>
      <c r="F703" s="195"/>
      <c r="G703" s="195"/>
      <c r="H703" s="195"/>
      <c r="I703" s="195"/>
      <c r="J703" s="2689"/>
      <c r="K703" s="195"/>
      <c r="M703" s="633"/>
      <c r="N703" s="541"/>
      <c r="O703" s="541"/>
      <c r="P703" s="541"/>
      <c r="Q703" s="541"/>
      <c r="R703" s="541"/>
      <c r="S703" s="541"/>
    </row>
    <row r="704">
      <c r="A704" s="2688"/>
      <c r="B704" s="195"/>
      <c r="C704" s="195"/>
      <c r="D704" s="195"/>
      <c r="E704" s="195"/>
      <c r="F704" s="195"/>
      <c r="G704" s="195"/>
      <c r="H704" s="195"/>
      <c r="I704" s="195"/>
      <c r="J704" s="2689"/>
      <c r="K704" s="195"/>
      <c r="M704" s="633"/>
      <c r="N704" s="541"/>
      <c r="O704" s="541"/>
      <c r="P704" s="541"/>
      <c r="Q704" s="541"/>
      <c r="R704" s="541"/>
      <c r="S704" s="541"/>
    </row>
    <row r="705">
      <c r="A705" s="2688"/>
      <c r="B705" s="195"/>
      <c r="C705" s="195"/>
      <c r="D705" s="195"/>
      <c r="E705" s="195"/>
      <c r="F705" s="195"/>
      <c r="G705" s="195"/>
      <c r="H705" s="195"/>
      <c r="I705" s="195"/>
      <c r="J705" s="2689"/>
      <c r="K705" s="195"/>
      <c r="M705" s="633"/>
      <c r="N705" s="541"/>
      <c r="O705" s="541"/>
      <c r="P705" s="541"/>
      <c r="Q705" s="541"/>
      <c r="R705" s="541"/>
      <c r="S705" s="541"/>
    </row>
    <row r="706">
      <c r="A706" s="2688"/>
      <c r="B706" s="195"/>
      <c r="C706" s="195"/>
      <c r="D706" s="195"/>
      <c r="E706" s="195"/>
      <c r="F706" s="195"/>
      <c r="G706" s="195"/>
      <c r="H706" s="195"/>
      <c r="I706" s="195"/>
      <c r="J706" s="2689"/>
      <c r="K706" s="195"/>
      <c r="M706" s="633"/>
      <c r="N706" s="541"/>
      <c r="O706" s="541"/>
      <c r="P706" s="541"/>
      <c r="Q706" s="541"/>
      <c r="R706" s="541"/>
      <c r="S706" s="541"/>
    </row>
    <row r="707">
      <c r="A707" s="2688"/>
      <c r="B707" s="195"/>
      <c r="C707" s="195"/>
      <c r="D707" s="195"/>
      <c r="E707" s="195"/>
      <c r="F707" s="195"/>
      <c r="G707" s="195"/>
      <c r="H707" s="195"/>
      <c r="I707" s="195"/>
      <c r="J707" s="2689"/>
      <c r="K707" s="195"/>
      <c r="M707" s="633"/>
      <c r="N707" s="541"/>
      <c r="O707" s="541"/>
      <c r="P707" s="541"/>
      <c r="Q707" s="541"/>
      <c r="R707" s="541"/>
      <c r="S707" s="541"/>
    </row>
    <row r="708">
      <c r="A708" s="2688"/>
      <c r="B708" s="195"/>
      <c r="C708" s="195"/>
      <c r="D708" s="195"/>
      <c r="E708" s="195"/>
      <c r="F708" s="195"/>
      <c r="G708" s="195"/>
      <c r="H708" s="195"/>
      <c r="I708" s="195"/>
      <c r="J708" s="2689"/>
      <c r="K708" s="195"/>
      <c r="M708" s="633"/>
      <c r="N708" s="541"/>
      <c r="O708" s="541"/>
      <c r="P708" s="541"/>
      <c r="Q708" s="541"/>
      <c r="R708" s="541"/>
      <c r="S708" s="541"/>
    </row>
    <row r="709">
      <c r="A709" s="2688"/>
      <c r="B709" s="195"/>
      <c r="C709" s="195"/>
      <c r="D709" s="195"/>
      <c r="E709" s="195"/>
      <c r="F709" s="195"/>
      <c r="G709" s="195"/>
      <c r="H709" s="195"/>
      <c r="I709" s="195"/>
      <c r="J709" s="2689"/>
      <c r="K709" s="195"/>
      <c r="M709" s="633"/>
      <c r="N709" s="541"/>
      <c r="O709" s="541"/>
      <c r="P709" s="541"/>
      <c r="Q709" s="541"/>
      <c r="R709" s="541"/>
      <c r="S709" s="541"/>
    </row>
    <row r="710">
      <c r="A710" s="2688"/>
      <c r="B710" s="195"/>
      <c r="C710" s="195"/>
      <c r="D710" s="195"/>
      <c r="E710" s="195"/>
      <c r="F710" s="195"/>
      <c r="G710" s="195"/>
      <c r="H710" s="195"/>
      <c r="I710" s="195"/>
      <c r="J710" s="2689"/>
      <c r="K710" s="195"/>
      <c r="M710" s="633"/>
      <c r="N710" s="541"/>
      <c r="O710" s="541"/>
      <c r="P710" s="541"/>
      <c r="Q710" s="541"/>
      <c r="R710" s="541"/>
      <c r="S710" s="541"/>
    </row>
    <row r="711">
      <c r="A711" s="2688"/>
      <c r="B711" s="195"/>
      <c r="C711" s="195"/>
      <c r="D711" s="195"/>
      <c r="E711" s="195"/>
      <c r="F711" s="195"/>
      <c r="G711" s="195"/>
      <c r="H711" s="195"/>
      <c r="I711" s="195"/>
      <c r="J711" s="2689"/>
      <c r="K711" s="195"/>
      <c r="M711" s="633"/>
      <c r="N711" s="541"/>
      <c r="O711" s="541"/>
      <c r="P711" s="541"/>
      <c r="Q711" s="541"/>
      <c r="R711" s="541"/>
      <c r="S711" s="541"/>
    </row>
    <row r="712">
      <c r="A712" s="2688"/>
      <c r="B712" s="195"/>
      <c r="C712" s="195"/>
      <c r="D712" s="195"/>
      <c r="E712" s="195"/>
      <c r="F712" s="195"/>
      <c r="G712" s="195"/>
      <c r="H712" s="195"/>
      <c r="I712" s="195"/>
      <c r="J712" s="2689"/>
      <c r="K712" s="195"/>
      <c r="M712" s="633"/>
      <c r="N712" s="541"/>
      <c r="O712" s="541"/>
      <c r="P712" s="541"/>
      <c r="Q712" s="541"/>
      <c r="R712" s="541"/>
      <c r="S712" s="541"/>
    </row>
    <row r="713">
      <c r="A713" s="2688"/>
      <c r="B713" s="195"/>
      <c r="C713" s="195"/>
      <c r="D713" s="195"/>
      <c r="E713" s="195"/>
      <c r="F713" s="195"/>
      <c r="G713" s="195"/>
      <c r="H713" s="195"/>
      <c r="I713" s="195"/>
      <c r="J713" s="2689"/>
      <c r="K713" s="195"/>
      <c r="M713" s="633"/>
      <c r="N713" s="541"/>
      <c r="O713" s="541"/>
      <c r="P713" s="541"/>
      <c r="Q713" s="541"/>
      <c r="R713" s="541"/>
      <c r="S713" s="541"/>
    </row>
    <row r="714">
      <c r="A714" s="2688"/>
      <c r="B714" s="195"/>
      <c r="C714" s="195"/>
      <c r="D714" s="195"/>
      <c r="E714" s="195"/>
      <c r="F714" s="195"/>
      <c r="G714" s="195"/>
      <c r="H714" s="195"/>
      <c r="I714" s="195"/>
      <c r="J714" s="2689"/>
      <c r="K714" s="195"/>
      <c r="M714" s="633"/>
      <c r="N714" s="541"/>
      <c r="O714" s="541"/>
      <c r="P714" s="541"/>
      <c r="Q714" s="541"/>
      <c r="R714" s="541"/>
      <c r="S714" s="541"/>
    </row>
    <row r="715">
      <c r="A715" s="2688"/>
      <c r="B715" s="195"/>
      <c r="C715" s="195"/>
      <c r="D715" s="195"/>
      <c r="E715" s="195"/>
      <c r="F715" s="195"/>
      <c r="G715" s="195"/>
      <c r="H715" s="195"/>
      <c r="I715" s="195"/>
      <c r="J715" s="2689"/>
      <c r="K715" s="195"/>
      <c r="M715" s="633"/>
      <c r="N715" s="541"/>
      <c r="O715" s="541"/>
      <c r="P715" s="541"/>
      <c r="Q715" s="541"/>
      <c r="R715" s="541"/>
      <c r="S715" s="541"/>
    </row>
    <row r="716">
      <c r="A716" s="2688"/>
      <c r="B716" s="195"/>
      <c r="C716" s="195"/>
      <c r="D716" s="195"/>
      <c r="E716" s="195"/>
      <c r="F716" s="195"/>
      <c r="G716" s="195"/>
      <c r="H716" s="195"/>
      <c r="I716" s="195"/>
      <c r="J716" s="2689"/>
      <c r="K716" s="195"/>
      <c r="M716" s="633"/>
      <c r="N716" s="541"/>
      <c r="O716" s="541"/>
      <c r="P716" s="541"/>
      <c r="Q716" s="541"/>
      <c r="R716" s="541"/>
      <c r="S716" s="541"/>
    </row>
    <row r="717">
      <c r="A717" s="2688"/>
      <c r="B717" s="195"/>
      <c r="C717" s="195"/>
      <c r="D717" s="195"/>
      <c r="E717" s="195"/>
      <c r="F717" s="195"/>
      <c r="G717" s="195"/>
      <c r="H717" s="195"/>
      <c r="I717" s="195"/>
      <c r="J717" s="2689"/>
      <c r="K717" s="195"/>
      <c r="M717" s="633"/>
      <c r="N717" s="541"/>
      <c r="O717" s="541"/>
      <c r="P717" s="541"/>
      <c r="Q717" s="541"/>
      <c r="R717" s="541"/>
      <c r="S717" s="541"/>
    </row>
    <row r="718">
      <c r="A718" s="2688"/>
      <c r="B718" s="195"/>
      <c r="C718" s="195"/>
      <c r="D718" s="195"/>
      <c r="E718" s="195"/>
      <c r="F718" s="195"/>
      <c r="G718" s="195"/>
      <c r="H718" s="195"/>
      <c r="I718" s="195"/>
      <c r="J718" s="2689"/>
      <c r="K718" s="195"/>
      <c r="M718" s="633"/>
      <c r="N718" s="541"/>
      <c r="O718" s="541"/>
      <c r="P718" s="541"/>
      <c r="Q718" s="541"/>
      <c r="R718" s="541"/>
      <c r="S718" s="541"/>
    </row>
    <row r="719">
      <c r="A719" s="2688"/>
      <c r="B719" s="195"/>
      <c r="C719" s="195"/>
      <c r="D719" s="195"/>
      <c r="E719" s="195"/>
      <c r="F719" s="195"/>
      <c r="G719" s="195"/>
      <c r="H719" s="195"/>
      <c r="I719" s="195"/>
      <c r="J719" s="2689"/>
      <c r="K719" s="195"/>
      <c r="M719" s="633"/>
      <c r="N719" s="541"/>
      <c r="O719" s="541"/>
      <c r="P719" s="541"/>
      <c r="Q719" s="541"/>
      <c r="R719" s="541"/>
      <c r="S719" s="541"/>
    </row>
    <row r="720">
      <c r="A720" s="2688"/>
      <c r="B720" s="195"/>
      <c r="C720" s="195"/>
      <c r="D720" s="195"/>
      <c r="E720" s="195"/>
      <c r="F720" s="195"/>
      <c r="G720" s="195"/>
      <c r="H720" s="195"/>
      <c r="I720" s="195"/>
      <c r="J720" s="2689"/>
      <c r="K720" s="195"/>
      <c r="M720" s="633"/>
      <c r="N720" s="541"/>
      <c r="O720" s="541"/>
      <c r="P720" s="541"/>
      <c r="Q720" s="541"/>
      <c r="R720" s="541"/>
      <c r="S720" s="541"/>
    </row>
    <row r="721">
      <c r="A721" s="2688"/>
      <c r="B721" s="195"/>
      <c r="C721" s="195"/>
      <c r="D721" s="195"/>
      <c r="E721" s="195"/>
      <c r="F721" s="195"/>
      <c r="G721" s="195"/>
      <c r="H721" s="195"/>
      <c r="I721" s="195"/>
      <c r="J721" s="2689"/>
      <c r="K721" s="195"/>
      <c r="M721" s="633"/>
      <c r="N721" s="541"/>
      <c r="O721" s="541"/>
      <c r="P721" s="541"/>
      <c r="Q721" s="541"/>
      <c r="R721" s="541"/>
      <c r="S721" s="541"/>
    </row>
    <row r="722">
      <c r="A722" s="2688"/>
      <c r="B722" s="195"/>
      <c r="C722" s="195"/>
      <c r="D722" s="195"/>
      <c r="E722" s="195"/>
      <c r="F722" s="195"/>
      <c r="G722" s="195"/>
      <c r="H722" s="195"/>
      <c r="I722" s="195"/>
      <c r="J722" s="2689"/>
      <c r="K722" s="195"/>
      <c r="M722" s="633"/>
      <c r="N722" s="541"/>
      <c r="O722" s="541"/>
      <c r="P722" s="541"/>
      <c r="Q722" s="541"/>
      <c r="R722" s="541"/>
      <c r="S722" s="541"/>
    </row>
    <row r="723">
      <c r="A723" s="2688"/>
      <c r="B723" s="195"/>
      <c r="C723" s="195"/>
      <c r="D723" s="195"/>
      <c r="E723" s="195"/>
      <c r="F723" s="195"/>
      <c r="G723" s="195"/>
      <c r="H723" s="195"/>
      <c r="I723" s="195"/>
      <c r="J723" s="2689"/>
      <c r="K723" s="195"/>
      <c r="M723" s="633"/>
      <c r="N723" s="541"/>
      <c r="O723" s="541"/>
      <c r="P723" s="541"/>
      <c r="Q723" s="541"/>
      <c r="R723" s="541"/>
      <c r="S723" s="541"/>
    </row>
    <row r="724">
      <c r="A724" s="2688"/>
      <c r="B724" s="195"/>
      <c r="C724" s="195"/>
      <c r="D724" s="195"/>
      <c r="E724" s="195"/>
      <c r="F724" s="195"/>
      <c r="G724" s="195"/>
      <c r="H724" s="195"/>
      <c r="I724" s="195"/>
      <c r="J724" s="2689"/>
      <c r="K724" s="195"/>
      <c r="M724" s="633"/>
      <c r="N724" s="541"/>
      <c r="O724" s="541"/>
      <c r="P724" s="541"/>
      <c r="Q724" s="541"/>
      <c r="R724" s="541"/>
      <c r="S724" s="541"/>
    </row>
    <row r="725">
      <c r="A725" s="2688"/>
      <c r="B725" s="195"/>
      <c r="C725" s="195"/>
      <c r="D725" s="195"/>
      <c r="E725" s="195"/>
      <c r="F725" s="195"/>
      <c r="G725" s="195"/>
      <c r="H725" s="195"/>
      <c r="I725" s="195"/>
      <c r="J725" s="2689"/>
      <c r="K725" s="195"/>
      <c r="M725" s="633"/>
      <c r="N725" s="541"/>
      <c r="O725" s="541"/>
      <c r="P725" s="541"/>
      <c r="Q725" s="541"/>
      <c r="R725" s="541"/>
      <c r="S725" s="541"/>
    </row>
    <row r="726">
      <c r="A726" s="2688"/>
      <c r="B726" s="195"/>
      <c r="C726" s="195"/>
      <c r="D726" s="195"/>
      <c r="E726" s="195"/>
      <c r="F726" s="195"/>
      <c r="G726" s="195"/>
      <c r="H726" s="195"/>
      <c r="I726" s="195"/>
      <c r="J726" s="2689"/>
      <c r="K726" s="195"/>
      <c r="M726" s="633"/>
      <c r="N726" s="541"/>
      <c r="O726" s="541"/>
      <c r="P726" s="541"/>
      <c r="Q726" s="541"/>
      <c r="R726" s="541"/>
      <c r="S726" s="541"/>
    </row>
    <row r="727">
      <c r="A727" s="2688"/>
      <c r="B727" s="195"/>
      <c r="C727" s="195"/>
      <c r="D727" s="195"/>
      <c r="E727" s="195"/>
      <c r="F727" s="195"/>
      <c r="G727" s="195"/>
      <c r="H727" s="195"/>
      <c r="I727" s="195"/>
      <c r="J727" s="2689"/>
      <c r="K727" s="195"/>
      <c r="M727" s="633"/>
      <c r="N727" s="541"/>
      <c r="O727" s="541"/>
      <c r="P727" s="541"/>
      <c r="Q727" s="541"/>
      <c r="R727" s="541"/>
      <c r="S727" s="541"/>
    </row>
    <row r="728">
      <c r="A728" s="2688"/>
      <c r="B728" s="195"/>
      <c r="C728" s="195"/>
      <c r="D728" s="195"/>
      <c r="E728" s="195"/>
      <c r="F728" s="195"/>
      <c r="G728" s="195"/>
      <c r="H728" s="195"/>
      <c r="I728" s="195"/>
      <c r="J728" s="2689"/>
      <c r="K728" s="195"/>
      <c r="M728" s="633"/>
      <c r="N728" s="541"/>
      <c r="O728" s="541"/>
      <c r="P728" s="541"/>
      <c r="Q728" s="541"/>
      <c r="R728" s="541"/>
      <c r="S728" s="541"/>
    </row>
    <row r="729">
      <c r="A729" s="2688"/>
      <c r="B729" s="195"/>
      <c r="C729" s="195"/>
      <c r="D729" s="195"/>
      <c r="E729" s="195"/>
      <c r="F729" s="195"/>
      <c r="G729" s="195"/>
      <c r="H729" s="195"/>
      <c r="I729" s="195"/>
      <c r="J729" s="2689"/>
      <c r="K729" s="195"/>
      <c r="M729" s="633"/>
      <c r="N729" s="541"/>
      <c r="O729" s="541"/>
      <c r="P729" s="541"/>
      <c r="Q729" s="541"/>
      <c r="R729" s="541"/>
      <c r="S729" s="541"/>
    </row>
    <row r="730">
      <c r="A730" s="2688"/>
      <c r="B730" s="195"/>
      <c r="C730" s="195"/>
      <c r="D730" s="195"/>
      <c r="E730" s="195"/>
      <c r="F730" s="195"/>
      <c r="G730" s="195"/>
      <c r="H730" s="195"/>
      <c r="I730" s="195"/>
      <c r="J730" s="2689"/>
      <c r="K730" s="195"/>
      <c r="M730" s="633"/>
      <c r="N730" s="541"/>
      <c r="O730" s="541"/>
      <c r="P730" s="541"/>
      <c r="Q730" s="541"/>
      <c r="R730" s="541"/>
      <c r="S730" s="541"/>
    </row>
    <row r="731">
      <c r="A731" s="2688"/>
      <c r="B731" s="195"/>
      <c r="C731" s="195"/>
      <c r="D731" s="195"/>
      <c r="E731" s="195"/>
      <c r="F731" s="195"/>
      <c r="G731" s="195"/>
      <c r="H731" s="195"/>
      <c r="I731" s="195"/>
      <c r="J731" s="2689"/>
      <c r="K731" s="195"/>
      <c r="M731" s="633"/>
      <c r="N731" s="541"/>
      <c r="O731" s="541"/>
      <c r="P731" s="541"/>
      <c r="Q731" s="541"/>
      <c r="R731" s="541"/>
      <c r="S731" s="541"/>
    </row>
    <row r="732">
      <c r="A732" s="2688"/>
      <c r="B732" s="195"/>
      <c r="C732" s="195"/>
      <c r="D732" s="195"/>
      <c r="E732" s="195"/>
      <c r="F732" s="195"/>
      <c r="G732" s="195"/>
      <c r="H732" s="195"/>
      <c r="I732" s="195"/>
      <c r="J732" s="2689"/>
      <c r="K732" s="195"/>
      <c r="M732" s="633"/>
      <c r="N732" s="541"/>
      <c r="O732" s="541"/>
      <c r="P732" s="541"/>
      <c r="Q732" s="541"/>
      <c r="R732" s="541"/>
      <c r="S732" s="541"/>
    </row>
    <row r="733">
      <c r="A733" s="2688"/>
      <c r="B733" s="195"/>
      <c r="C733" s="195"/>
      <c r="D733" s="195"/>
      <c r="E733" s="195"/>
      <c r="F733" s="195"/>
      <c r="G733" s="195"/>
      <c r="H733" s="195"/>
      <c r="I733" s="195"/>
      <c r="J733" s="2689"/>
      <c r="K733" s="195"/>
      <c r="M733" s="633"/>
      <c r="N733" s="541"/>
      <c r="O733" s="541"/>
      <c r="P733" s="541"/>
      <c r="Q733" s="541"/>
      <c r="R733" s="541"/>
      <c r="S733" s="541"/>
    </row>
    <row r="734">
      <c r="A734" s="2688"/>
      <c r="B734" s="195"/>
      <c r="C734" s="195"/>
      <c r="D734" s="195"/>
      <c r="E734" s="195"/>
      <c r="F734" s="195"/>
      <c r="G734" s="195"/>
      <c r="H734" s="195"/>
      <c r="I734" s="195"/>
      <c r="J734" s="2689"/>
      <c r="K734" s="195"/>
      <c r="M734" s="633"/>
      <c r="N734" s="541"/>
      <c r="O734" s="541"/>
      <c r="P734" s="541"/>
      <c r="Q734" s="541"/>
      <c r="R734" s="541"/>
      <c r="S734" s="541"/>
    </row>
    <row r="735">
      <c r="A735" s="2688"/>
      <c r="B735" s="195"/>
      <c r="C735" s="195"/>
      <c r="D735" s="195"/>
      <c r="E735" s="195"/>
      <c r="F735" s="195"/>
      <c r="G735" s="195"/>
      <c r="H735" s="195"/>
      <c r="I735" s="195"/>
      <c r="J735" s="2689"/>
      <c r="K735" s="195"/>
      <c r="M735" s="633"/>
      <c r="N735" s="541"/>
      <c r="O735" s="541"/>
      <c r="P735" s="541"/>
      <c r="Q735" s="541"/>
      <c r="R735" s="541"/>
      <c r="S735" s="541"/>
    </row>
    <row r="736">
      <c r="A736" s="2688"/>
      <c r="B736" s="195"/>
      <c r="C736" s="195"/>
      <c r="D736" s="195"/>
      <c r="E736" s="195"/>
      <c r="F736" s="195"/>
      <c r="G736" s="195"/>
      <c r="H736" s="195"/>
      <c r="I736" s="195"/>
      <c r="J736" s="2689"/>
      <c r="K736" s="195"/>
      <c r="M736" s="633"/>
      <c r="N736" s="541"/>
      <c r="O736" s="541"/>
      <c r="P736" s="541"/>
      <c r="Q736" s="541"/>
      <c r="R736" s="541"/>
      <c r="S736" s="541"/>
    </row>
    <row r="737">
      <c r="A737" s="2688"/>
      <c r="B737" s="195"/>
      <c r="C737" s="195"/>
      <c r="D737" s="195"/>
      <c r="E737" s="195"/>
      <c r="F737" s="195"/>
      <c r="G737" s="195"/>
      <c r="H737" s="195"/>
      <c r="I737" s="195"/>
      <c r="J737" s="2689"/>
      <c r="K737" s="195"/>
      <c r="M737" s="633"/>
      <c r="N737" s="541"/>
      <c r="O737" s="541"/>
      <c r="P737" s="541"/>
      <c r="Q737" s="541"/>
      <c r="R737" s="541"/>
      <c r="S737" s="541"/>
    </row>
    <row r="738">
      <c r="A738" s="2688"/>
      <c r="B738" s="195"/>
      <c r="C738" s="195"/>
      <c r="D738" s="195"/>
      <c r="E738" s="195"/>
      <c r="F738" s="195"/>
      <c r="G738" s="195"/>
      <c r="H738" s="195"/>
      <c r="I738" s="195"/>
      <c r="J738" s="2689"/>
      <c r="K738" s="195"/>
      <c r="M738" s="633"/>
      <c r="N738" s="541"/>
      <c r="O738" s="541"/>
      <c r="P738" s="541"/>
      <c r="Q738" s="541"/>
      <c r="R738" s="541"/>
      <c r="S738" s="541"/>
    </row>
    <row r="739">
      <c r="A739" s="2688"/>
      <c r="B739" s="195"/>
      <c r="C739" s="195"/>
      <c r="D739" s="195"/>
      <c r="E739" s="195"/>
      <c r="F739" s="195"/>
      <c r="G739" s="195"/>
      <c r="H739" s="195"/>
      <c r="I739" s="195"/>
      <c r="J739" s="2689"/>
      <c r="K739" s="195"/>
      <c r="M739" s="633"/>
      <c r="N739" s="541"/>
      <c r="O739" s="541"/>
      <c r="P739" s="541"/>
      <c r="Q739" s="541"/>
      <c r="R739" s="541"/>
      <c r="S739" s="541"/>
    </row>
    <row r="740">
      <c r="A740" s="2688"/>
      <c r="B740" s="195"/>
      <c r="C740" s="195"/>
      <c r="D740" s="195"/>
      <c r="E740" s="195"/>
      <c r="F740" s="195"/>
      <c r="G740" s="195"/>
      <c r="H740" s="195"/>
      <c r="I740" s="195"/>
      <c r="J740" s="2689"/>
      <c r="K740" s="195"/>
      <c r="M740" s="633"/>
      <c r="N740" s="541"/>
      <c r="O740" s="541"/>
      <c r="P740" s="541"/>
      <c r="Q740" s="541"/>
      <c r="R740" s="541"/>
      <c r="S740" s="541"/>
    </row>
    <row r="741">
      <c r="A741" s="2688"/>
      <c r="B741" s="195"/>
      <c r="C741" s="195"/>
      <c r="D741" s="195"/>
      <c r="E741" s="195"/>
      <c r="F741" s="195"/>
      <c r="G741" s="195"/>
      <c r="H741" s="195"/>
      <c r="I741" s="195"/>
      <c r="J741" s="2689"/>
      <c r="K741" s="195"/>
      <c r="M741" s="633"/>
      <c r="N741" s="541"/>
      <c r="O741" s="541"/>
      <c r="P741" s="541"/>
      <c r="Q741" s="541"/>
      <c r="R741" s="541"/>
      <c r="S741" s="541"/>
    </row>
    <row r="742">
      <c r="A742" s="2688"/>
      <c r="B742" s="195"/>
      <c r="C742" s="195"/>
      <c r="D742" s="195"/>
      <c r="E742" s="195"/>
      <c r="F742" s="195"/>
      <c r="G742" s="195"/>
      <c r="H742" s="195"/>
      <c r="I742" s="195"/>
      <c r="J742" s="2689"/>
      <c r="K742" s="195"/>
      <c r="M742" s="633"/>
      <c r="N742" s="541"/>
      <c r="O742" s="541"/>
      <c r="P742" s="541"/>
      <c r="Q742" s="541"/>
      <c r="R742" s="541"/>
      <c r="S742" s="541"/>
    </row>
    <row r="743">
      <c r="A743" s="2688"/>
      <c r="B743" s="195"/>
      <c r="C743" s="195"/>
      <c r="D743" s="195"/>
      <c r="E743" s="195"/>
      <c r="F743" s="195"/>
      <c r="G743" s="195"/>
      <c r="H743" s="195"/>
      <c r="I743" s="195"/>
      <c r="J743" s="2689"/>
      <c r="K743" s="195"/>
      <c r="M743" s="633"/>
      <c r="N743" s="541"/>
      <c r="O743" s="541"/>
      <c r="P743" s="541"/>
      <c r="Q743" s="541"/>
      <c r="R743" s="541"/>
      <c r="S743" s="541"/>
    </row>
    <row r="744">
      <c r="A744" s="2688"/>
      <c r="B744" s="195"/>
      <c r="C744" s="195"/>
      <c r="D744" s="195"/>
      <c r="E744" s="195"/>
      <c r="F744" s="195"/>
      <c r="G744" s="195"/>
      <c r="H744" s="195"/>
      <c r="I744" s="195"/>
      <c r="J744" s="2689"/>
      <c r="K744" s="195"/>
      <c r="M744" s="633"/>
      <c r="N744" s="541"/>
      <c r="O744" s="541"/>
      <c r="P744" s="541"/>
      <c r="Q744" s="541"/>
      <c r="R744" s="541"/>
      <c r="S744" s="541"/>
    </row>
    <row r="745">
      <c r="A745" s="2688"/>
      <c r="B745" s="195"/>
      <c r="C745" s="195"/>
      <c r="D745" s="195"/>
      <c r="E745" s="195"/>
      <c r="F745" s="195"/>
      <c r="G745" s="195"/>
      <c r="H745" s="195"/>
      <c r="I745" s="195"/>
      <c r="J745" s="2689"/>
      <c r="K745" s="195"/>
      <c r="M745" s="633"/>
      <c r="N745" s="541"/>
      <c r="O745" s="541"/>
      <c r="P745" s="541"/>
      <c r="Q745" s="541"/>
      <c r="R745" s="541"/>
      <c r="S745" s="541"/>
    </row>
    <row r="746">
      <c r="A746" s="2688"/>
      <c r="B746" s="195"/>
      <c r="C746" s="195"/>
      <c r="D746" s="195"/>
      <c r="E746" s="195"/>
      <c r="F746" s="195"/>
      <c r="G746" s="195"/>
      <c r="H746" s="195"/>
      <c r="I746" s="195"/>
      <c r="J746" s="2689"/>
      <c r="K746" s="195"/>
      <c r="M746" s="633"/>
      <c r="N746" s="541"/>
      <c r="O746" s="541"/>
      <c r="P746" s="541"/>
      <c r="Q746" s="541"/>
      <c r="R746" s="541"/>
      <c r="S746" s="541"/>
    </row>
    <row r="747">
      <c r="A747" s="2688"/>
      <c r="B747" s="195"/>
      <c r="C747" s="195"/>
      <c r="D747" s="195"/>
      <c r="E747" s="195"/>
      <c r="F747" s="195"/>
      <c r="G747" s="195"/>
      <c r="H747" s="195"/>
      <c r="I747" s="195"/>
      <c r="J747" s="2689"/>
      <c r="K747" s="195"/>
      <c r="M747" s="633"/>
      <c r="N747" s="541"/>
      <c r="O747" s="541"/>
      <c r="P747" s="541"/>
      <c r="Q747" s="541"/>
      <c r="R747" s="541"/>
      <c r="S747" s="541"/>
    </row>
    <row r="748">
      <c r="A748" s="2688"/>
      <c r="B748" s="195"/>
      <c r="C748" s="195"/>
      <c r="D748" s="195"/>
      <c r="E748" s="195"/>
      <c r="F748" s="195"/>
      <c r="G748" s="195"/>
      <c r="H748" s="195"/>
      <c r="I748" s="195"/>
      <c r="J748" s="2689"/>
      <c r="K748" s="195"/>
      <c r="M748" s="633"/>
      <c r="N748" s="541"/>
      <c r="O748" s="541"/>
      <c r="P748" s="541"/>
      <c r="Q748" s="541"/>
      <c r="R748" s="541"/>
      <c r="S748" s="541"/>
    </row>
    <row r="749">
      <c r="A749" s="2688"/>
      <c r="B749" s="195"/>
      <c r="C749" s="195"/>
      <c r="D749" s="195"/>
      <c r="E749" s="195"/>
      <c r="F749" s="195"/>
      <c r="G749" s="195"/>
      <c r="H749" s="195"/>
      <c r="I749" s="195"/>
      <c r="J749" s="2689"/>
      <c r="K749" s="195"/>
      <c r="M749" s="633"/>
      <c r="N749" s="541"/>
      <c r="O749" s="541"/>
      <c r="P749" s="541"/>
      <c r="Q749" s="541"/>
      <c r="R749" s="541"/>
      <c r="S749" s="541"/>
    </row>
    <row r="750">
      <c r="A750" s="2688"/>
      <c r="B750" s="195"/>
      <c r="C750" s="195"/>
      <c r="D750" s="195"/>
      <c r="E750" s="195"/>
      <c r="F750" s="195"/>
      <c r="G750" s="195"/>
      <c r="H750" s="195"/>
      <c r="I750" s="195"/>
      <c r="J750" s="2689"/>
      <c r="K750" s="195"/>
      <c r="M750" s="633"/>
      <c r="N750" s="541"/>
      <c r="O750" s="541"/>
      <c r="P750" s="541"/>
      <c r="Q750" s="541"/>
      <c r="R750" s="541"/>
      <c r="S750" s="541"/>
    </row>
    <row r="751">
      <c r="A751" s="2688"/>
      <c r="B751" s="195"/>
      <c r="C751" s="195"/>
      <c r="D751" s="195"/>
      <c r="E751" s="195"/>
      <c r="F751" s="195"/>
      <c r="G751" s="195"/>
      <c r="H751" s="195"/>
      <c r="I751" s="195"/>
      <c r="J751" s="2689"/>
      <c r="K751" s="195"/>
      <c r="M751" s="633"/>
      <c r="N751" s="541"/>
      <c r="O751" s="541"/>
      <c r="P751" s="541"/>
      <c r="Q751" s="541"/>
      <c r="R751" s="541"/>
      <c r="S751" s="541"/>
    </row>
    <row r="752">
      <c r="A752" s="2688"/>
      <c r="B752" s="195"/>
      <c r="C752" s="195"/>
      <c r="D752" s="195"/>
      <c r="E752" s="195"/>
      <c r="F752" s="195"/>
      <c r="G752" s="195"/>
      <c r="H752" s="195"/>
      <c r="I752" s="195"/>
      <c r="J752" s="2689"/>
      <c r="K752" s="195"/>
      <c r="M752" s="633"/>
      <c r="N752" s="541"/>
      <c r="O752" s="541"/>
      <c r="P752" s="541"/>
      <c r="Q752" s="541"/>
      <c r="R752" s="541"/>
      <c r="S752" s="541"/>
    </row>
    <row r="753">
      <c r="A753" s="2688"/>
      <c r="B753" s="195"/>
      <c r="C753" s="195"/>
      <c r="D753" s="195"/>
      <c r="E753" s="195"/>
      <c r="F753" s="195"/>
      <c r="G753" s="195"/>
      <c r="H753" s="195"/>
      <c r="I753" s="195"/>
      <c r="J753" s="2689"/>
      <c r="K753" s="195"/>
      <c r="M753" s="633"/>
      <c r="N753" s="541"/>
      <c r="O753" s="541"/>
      <c r="P753" s="541"/>
      <c r="Q753" s="541"/>
      <c r="R753" s="541"/>
      <c r="S753" s="541"/>
    </row>
    <row r="754">
      <c r="A754" s="2688"/>
      <c r="B754" s="195"/>
      <c r="C754" s="195"/>
      <c r="D754" s="195"/>
      <c r="E754" s="195"/>
      <c r="F754" s="195"/>
      <c r="G754" s="195"/>
      <c r="H754" s="195"/>
      <c r="I754" s="195"/>
      <c r="J754" s="2689"/>
      <c r="K754" s="195"/>
      <c r="M754" s="633"/>
      <c r="N754" s="541"/>
      <c r="O754" s="541"/>
      <c r="P754" s="541"/>
      <c r="Q754" s="541"/>
      <c r="R754" s="541"/>
      <c r="S754" s="541"/>
    </row>
    <row r="755">
      <c r="A755" s="2688"/>
      <c r="B755" s="195"/>
      <c r="C755" s="195"/>
      <c r="D755" s="195"/>
      <c r="E755" s="195"/>
      <c r="F755" s="195"/>
      <c r="G755" s="195"/>
      <c r="H755" s="195"/>
      <c r="I755" s="195"/>
      <c r="J755" s="2689"/>
      <c r="K755" s="195"/>
      <c r="M755" s="633"/>
      <c r="N755" s="541"/>
      <c r="O755" s="541"/>
      <c r="P755" s="541"/>
      <c r="Q755" s="541"/>
      <c r="R755" s="541"/>
      <c r="S755" s="541"/>
    </row>
    <row r="756">
      <c r="A756" s="2688"/>
      <c r="B756" s="195"/>
      <c r="C756" s="195"/>
      <c r="D756" s="195"/>
      <c r="E756" s="195"/>
      <c r="F756" s="195"/>
      <c r="G756" s="195"/>
      <c r="H756" s="195"/>
      <c r="I756" s="195"/>
      <c r="J756" s="2689"/>
      <c r="K756" s="195"/>
      <c r="M756" s="633"/>
      <c r="N756" s="541"/>
      <c r="O756" s="541"/>
      <c r="P756" s="541"/>
      <c r="Q756" s="541"/>
      <c r="R756" s="541"/>
      <c r="S756" s="541"/>
    </row>
    <row r="757">
      <c r="A757" s="2688"/>
      <c r="B757" s="195"/>
      <c r="C757" s="195"/>
      <c r="D757" s="195"/>
      <c r="E757" s="195"/>
      <c r="F757" s="195"/>
      <c r="G757" s="195"/>
      <c r="H757" s="195"/>
      <c r="I757" s="195"/>
      <c r="J757" s="2689"/>
      <c r="K757" s="195"/>
      <c r="M757" s="633"/>
      <c r="N757" s="541"/>
      <c r="O757" s="541"/>
      <c r="P757" s="541"/>
      <c r="Q757" s="541"/>
      <c r="R757" s="541"/>
      <c r="S757" s="541"/>
    </row>
    <row r="758">
      <c r="A758" s="2688"/>
      <c r="B758" s="195"/>
      <c r="C758" s="195"/>
      <c r="D758" s="195"/>
      <c r="E758" s="195"/>
      <c r="F758" s="195"/>
      <c r="G758" s="195"/>
      <c r="H758" s="195"/>
      <c r="I758" s="195"/>
      <c r="J758" s="2689"/>
      <c r="K758" s="195"/>
      <c r="M758" s="633"/>
      <c r="N758" s="541"/>
      <c r="O758" s="541"/>
      <c r="P758" s="541"/>
      <c r="Q758" s="541"/>
      <c r="R758" s="541"/>
      <c r="S758" s="541"/>
    </row>
    <row r="759">
      <c r="A759" s="2688"/>
      <c r="B759" s="195"/>
      <c r="C759" s="195"/>
      <c r="D759" s="195"/>
      <c r="E759" s="195"/>
      <c r="F759" s="195"/>
      <c r="G759" s="195"/>
      <c r="H759" s="195"/>
      <c r="I759" s="195"/>
      <c r="J759" s="2689"/>
      <c r="K759" s="195"/>
      <c r="M759" s="633"/>
      <c r="N759" s="541"/>
      <c r="O759" s="541"/>
      <c r="P759" s="541"/>
      <c r="Q759" s="541"/>
      <c r="R759" s="541"/>
      <c r="S759" s="541"/>
    </row>
    <row r="760">
      <c r="A760" s="2688"/>
      <c r="B760" s="195"/>
      <c r="C760" s="195"/>
      <c r="D760" s="195"/>
      <c r="E760" s="195"/>
      <c r="F760" s="195"/>
      <c r="G760" s="195"/>
      <c r="H760" s="195"/>
      <c r="I760" s="195"/>
      <c r="J760" s="2689"/>
      <c r="K760" s="195"/>
      <c r="M760" s="633"/>
      <c r="N760" s="541"/>
      <c r="O760" s="541"/>
      <c r="P760" s="541"/>
      <c r="Q760" s="541"/>
      <c r="R760" s="541"/>
      <c r="S760" s="541"/>
    </row>
    <row r="761">
      <c r="A761" s="2688"/>
      <c r="B761" s="195"/>
      <c r="C761" s="195"/>
      <c r="D761" s="195"/>
      <c r="E761" s="195"/>
      <c r="F761" s="195"/>
      <c r="G761" s="195"/>
      <c r="H761" s="195"/>
      <c r="I761" s="195"/>
      <c r="J761" s="2689"/>
      <c r="K761" s="195"/>
      <c r="M761" s="633"/>
      <c r="N761" s="541"/>
      <c r="O761" s="541"/>
      <c r="P761" s="541"/>
      <c r="Q761" s="541"/>
      <c r="R761" s="541"/>
      <c r="S761" s="541"/>
    </row>
    <row r="762">
      <c r="A762" s="2688"/>
      <c r="B762" s="195"/>
      <c r="C762" s="195"/>
      <c r="D762" s="195"/>
      <c r="E762" s="195"/>
      <c r="F762" s="195"/>
      <c r="G762" s="195"/>
      <c r="H762" s="195"/>
      <c r="I762" s="195"/>
      <c r="J762" s="2689"/>
      <c r="K762" s="195"/>
      <c r="M762" s="633"/>
      <c r="N762" s="541"/>
      <c r="O762" s="541"/>
      <c r="P762" s="541"/>
      <c r="Q762" s="541"/>
      <c r="R762" s="541"/>
      <c r="S762" s="541"/>
    </row>
    <row r="763">
      <c r="A763" s="2688"/>
      <c r="B763" s="195"/>
      <c r="C763" s="195"/>
      <c r="D763" s="195"/>
      <c r="E763" s="195"/>
      <c r="F763" s="195"/>
      <c r="G763" s="195"/>
      <c r="H763" s="195"/>
      <c r="I763" s="195"/>
      <c r="J763" s="2689"/>
      <c r="K763" s="195"/>
      <c r="M763" s="633"/>
      <c r="N763" s="541"/>
      <c r="O763" s="541"/>
      <c r="P763" s="541"/>
      <c r="Q763" s="541"/>
      <c r="R763" s="541"/>
      <c r="S763" s="541"/>
    </row>
    <row r="764">
      <c r="A764" s="2688"/>
      <c r="B764" s="195"/>
      <c r="C764" s="195"/>
      <c r="D764" s="195"/>
      <c r="E764" s="195"/>
      <c r="F764" s="195"/>
      <c r="G764" s="195"/>
      <c r="H764" s="195"/>
      <c r="I764" s="195"/>
      <c r="J764" s="2689"/>
      <c r="K764" s="195"/>
      <c r="M764" s="633"/>
      <c r="N764" s="541"/>
      <c r="O764" s="541"/>
      <c r="P764" s="541"/>
      <c r="Q764" s="541"/>
      <c r="R764" s="541"/>
      <c r="S764" s="541"/>
    </row>
    <row r="765">
      <c r="A765" s="2688"/>
      <c r="B765" s="195"/>
      <c r="C765" s="195"/>
      <c r="D765" s="195"/>
      <c r="E765" s="195"/>
      <c r="F765" s="195"/>
      <c r="G765" s="195"/>
      <c r="H765" s="195"/>
      <c r="I765" s="195"/>
      <c r="J765" s="2689"/>
      <c r="K765" s="195"/>
      <c r="M765" s="633"/>
      <c r="N765" s="541"/>
      <c r="O765" s="541"/>
      <c r="P765" s="541"/>
      <c r="Q765" s="541"/>
      <c r="R765" s="541"/>
      <c r="S765" s="541"/>
    </row>
    <row r="766">
      <c r="A766" s="2688"/>
      <c r="B766" s="195"/>
      <c r="C766" s="195"/>
      <c r="D766" s="195"/>
      <c r="E766" s="195"/>
      <c r="F766" s="195"/>
      <c r="G766" s="195"/>
      <c r="H766" s="195"/>
      <c r="I766" s="195"/>
      <c r="J766" s="2689"/>
      <c r="K766" s="195"/>
      <c r="M766" s="633"/>
      <c r="N766" s="541"/>
      <c r="O766" s="541"/>
      <c r="P766" s="541"/>
      <c r="Q766" s="541"/>
      <c r="R766" s="541"/>
      <c r="S766" s="541"/>
    </row>
    <row r="767">
      <c r="A767" s="2688"/>
      <c r="B767" s="195"/>
      <c r="C767" s="195"/>
      <c r="D767" s="195"/>
      <c r="E767" s="195"/>
      <c r="F767" s="195"/>
      <c r="G767" s="195"/>
      <c r="H767" s="195"/>
      <c r="I767" s="195"/>
      <c r="J767" s="2689"/>
      <c r="K767" s="195"/>
      <c r="M767" s="633"/>
      <c r="N767" s="541"/>
      <c r="O767" s="541"/>
      <c r="P767" s="541"/>
      <c r="Q767" s="541"/>
      <c r="R767" s="541"/>
      <c r="S767" s="541"/>
    </row>
    <row r="768">
      <c r="A768" s="2688"/>
      <c r="B768" s="195"/>
      <c r="C768" s="195"/>
      <c r="D768" s="195"/>
      <c r="E768" s="195"/>
      <c r="F768" s="195"/>
      <c r="G768" s="195"/>
      <c r="H768" s="195"/>
      <c r="I768" s="195"/>
      <c r="J768" s="2689"/>
      <c r="K768" s="195"/>
      <c r="M768" s="633"/>
      <c r="N768" s="541"/>
      <c r="O768" s="541"/>
      <c r="P768" s="541"/>
      <c r="Q768" s="541"/>
      <c r="R768" s="541"/>
      <c r="S768" s="541"/>
    </row>
    <row r="769">
      <c r="A769" s="2688"/>
      <c r="B769" s="195"/>
      <c r="C769" s="195"/>
      <c r="D769" s="195"/>
      <c r="E769" s="195"/>
      <c r="F769" s="195"/>
      <c r="G769" s="195"/>
      <c r="H769" s="195"/>
      <c r="I769" s="195"/>
      <c r="J769" s="2689"/>
      <c r="K769" s="195"/>
      <c r="M769" s="633"/>
      <c r="N769" s="541"/>
      <c r="O769" s="541"/>
      <c r="P769" s="541"/>
      <c r="Q769" s="541"/>
      <c r="R769" s="541"/>
      <c r="S769" s="541"/>
    </row>
    <row r="770">
      <c r="A770" s="2688"/>
      <c r="B770" s="195"/>
      <c r="C770" s="195"/>
      <c r="D770" s="195"/>
      <c r="E770" s="195"/>
      <c r="F770" s="195"/>
      <c r="G770" s="195"/>
      <c r="H770" s="195"/>
      <c r="I770" s="195"/>
      <c r="J770" s="2689"/>
      <c r="K770" s="195"/>
      <c r="M770" s="633"/>
      <c r="N770" s="541"/>
      <c r="O770" s="541"/>
      <c r="P770" s="541"/>
      <c r="Q770" s="541"/>
      <c r="R770" s="541"/>
      <c r="S770" s="541"/>
    </row>
    <row r="771">
      <c r="A771" s="2688"/>
      <c r="B771" s="195"/>
      <c r="C771" s="195"/>
      <c r="D771" s="195"/>
      <c r="E771" s="195"/>
      <c r="F771" s="195"/>
      <c r="G771" s="195"/>
      <c r="H771" s="195"/>
      <c r="I771" s="195"/>
      <c r="J771" s="2689"/>
      <c r="K771" s="195"/>
      <c r="M771" s="633"/>
      <c r="N771" s="541"/>
      <c r="O771" s="541"/>
      <c r="P771" s="541"/>
      <c r="Q771" s="541"/>
      <c r="R771" s="541"/>
      <c r="S771" s="541"/>
    </row>
    <row r="772">
      <c r="A772" s="2688"/>
      <c r="B772" s="195"/>
      <c r="C772" s="195"/>
      <c r="D772" s="195"/>
      <c r="E772" s="195"/>
      <c r="F772" s="195"/>
      <c r="G772" s="195"/>
      <c r="H772" s="195"/>
      <c r="I772" s="195"/>
      <c r="J772" s="2689"/>
      <c r="K772" s="195"/>
      <c r="M772" s="633"/>
      <c r="N772" s="541"/>
      <c r="O772" s="541"/>
      <c r="P772" s="541"/>
      <c r="Q772" s="541"/>
      <c r="R772" s="541"/>
      <c r="S772" s="541"/>
    </row>
    <row r="773">
      <c r="A773" s="2688"/>
      <c r="B773" s="195"/>
      <c r="C773" s="195"/>
      <c r="D773" s="195"/>
      <c r="E773" s="195"/>
      <c r="F773" s="195"/>
      <c r="G773" s="195"/>
      <c r="H773" s="195"/>
      <c r="I773" s="195"/>
      <c r="J773" s="2689"/>
      <c r="K773" s="195"/>
      <c r="M773" s="633"/>
      <c r="N773" s="541"/>
      <c r="O773" s="541"/>
      <c r="P773" s="541"/>
      <c r="Q773" s="541"/>
      <c r="R773" s="541"/>
      <c r="S773" s="541"/>
    </row>
    <row r="774">
      <c r="A774" s="2688"/>
      <c r="B774" s="195"/>
      <c r="C774" s="195"/>
      <c r="D774" s="195"/>
      <c r="E774" s="195"/>
      <c r="F774" s="195"/>
      <c r="G774" s="195"/>
      <c r="H774" s="195"/>
      <c r="I774" s="195"/>
      <c r="J774" s="2689"/>
      <c r="K774" s="195"/>
      <c r="M774" s="633"/>
      <c r="N774" s="541"/>
      <c r="O774" s="541"/>
      <c r="P774" s="541"/>
      <c r="Q774" s="541"/>
      <c r="R774" s="541"/>
      <c r="S774" s="541"/>
    </row>
    <row r="775">
      <c r="A775" s="2688"/>
      <c r="B775" s="195"/>
      <c r="C775" s="195"/>
      <c r="D775" s="195"/>
      <c r="E775" s="195"/>
      <c r="F775" s="195"/>
      <c r="G775" s="195"/>
      <c r="H775" s="195"/>
      <c r="I775" s="195"/>
      <c r="J775" s="2689"/>
      <c r="K775" s="195"/>
      <c r="M775" s="633"/>
      <c r="N775" s="541"/>
      <c r="O775" s="541"/>
      <c r="P775" s="541"/>
      <c r="Q775" s="541"/>
      <c r="R775" s="541"/>
      <c r="S775" s="541"/>
    </row>
    <row r="776">
      <c r="A776" s="2688"/>
      <c r="B776" s="195"/>
      <c r="C776" s="195"/>
      <c r="D776" s="195"/>
      <c r="E776" s="195"/>
      <c r="F776" s="195"/>
      <c r="G776" s="195"/>
      <c r="H776" s="195"/>
      <c r="I776" s="195"/>
      <c r="J776" s="2689"/>
      <c r="K776" s="195"/>
      <c r="M776" s="633"/>
      <c r="N776" s="541"/>
      <c r="O776" s="541"/>
      <c r="P776" s="541"/>
      <c r="Q776" s="541"/>
      <c r="R776" s="541"/>
      <c r="S776" s="541"/>
    </row>
    <row r="777">
      <c r="A777" s="2688"/>
      <c r="B777" s="195"/>
      <c r="C777" s="195"/>
      <c r="D777" s="195"/>
      <c r="E777" s="195"/>
      <c r="F777" s="195"/>
      <c r="G777" s="195"/>
      <c r="H777" s="195"/>
      <c r="I777" s="195"/>
      <c r="J777" s="2689"/>
      <c r="K777" s="195"/>
      <c r="M777" s="633"/>
      <c r="N777" s="541"/>
      <c r="O777" s="541"/>
      <c r="P777" s="541"/>
      <c r="Q777" s="541"/>
      <c r="R777" s="541"/>
      <c r="S777" s="541"/>
    </row>
    <row r="778">
      <c r="A778" s="2688"/>
      <c r="B778" s="195"/>
      <c r="C778" s="195"/>
      <c r="D778" s="195"/>
      <c r="E778" s="195"/>
      <c r="F778" s="195"/>
      <c r="G778" s="195"/>
      <c r="H778" s="195"/>
      <c r="I778" s="195"/>
      <c r="J778" s="2689"/>
      <c r="K778" s="195"/>
      <c r="M778" s="633"/>
      <c r="N778" s="541"/>
      <c r="O778" s="541"/>
      <c r="P778" s="541"/>
      <c r="Q778" s="541"/>
      <c r="R778" s="541"/>
      <c r="S778" s="541"/>
    </row>
    <row r="779">
      <c r="A779" s="2688"/>
      <c r="B779" s="195"/>
      <c r="C779" s="195"/>
      <c r="D779" s="195"/>
      <c r="E779" s="195"/>
      <c r="F779" s="195"/>
      <c r="G779" s="195"/>
      <c r="H779" s="195"/>
      <c r="I779" s="195"/>
      <c r="J779" s="2689"/>
      <c r="K779" s="195"/>
      <c r="M779" s="633"/>
      <c r="N779" s="541"/>
      <c r="O779" s="541"/>
      <c r="P779" s="541"/>
      <c r="Q779" s="541"/>
      <c r="R779" s="541"/>
      <c r="S779" s="541"/>
    </row>
    <row r="780">
      <c r="A780" s="2688"/>
      <c r="B780" s="195"/>
      <c r="C780" s="195"/>
      <c r="D780" s="195"/>
      <c r="E780" s="195"/>
      <c r="F780" s="195"/>
      <c r="G780" s="195"/>
      <c r="H780" s="195"/>
      <c r="I780" s="195"/>
      <c r="J780" s="2689"/>
      <c r="K780" s="195"/>
      <c r="M780" s="633"/>
      <c r="N780" s="541"/>
      <c r="O780" s="541"/>
      <c r="P780" s="541"/>
      <c r="Q780" s="541"/>
      <c r="R780" s="541"/>
      <c r="S780" s="541"/>
    </row>
    <row r="781">
      <c r="A781" s="2688"/>
      <c r="B781" s="195"/>
      <c r="C781" s="195"/>
      <c r="D781" s="195"/>
      <c r="E781" s="195"/>
      <c r="F781" s="195"/>
      <c r="G781" s="195"/>
      <c r="H781" s="195"/>
      <c r="I781" s="195"/>
      <c r="J781" s="2689"/>
      <c r="K781" s="195"/>
      <c r="M781" s="633"/>
      <c r="N781" s="541"/>
      <c r="O781" s="541"/>
      <c r="P781" s="541"/>
      <c r="Q781" s="541"/>
      <c r="R781" s="541"/>
      <c r="S781" s="541"/>
    </row>
    <row r="782">
      <c r="A782" s="2688"/>
      <c r="B782" s="195"/>
      <c r="C782" s="195"/>
      <c r="D782" s="195"/>
      <c r="E782" s="195"/>
      <c r="F782" s="195"/>
      <c r="G782" s="195"/>
      <c r="H782" s="195"/>
      <c r="I782" s="195"/>
      <c r="J782" s="2689"/>
      <c r="K782" s="195"/>
      <c r="M782" s="633"/>
      <c r="N782" s="541"/>
      <c r="O782" s="541"/>
      <c r="P782" s="541"/>
      <c r="Q782" s="541"/>
      <c r="R782" s="541"/>
      <c r="S782" s="541"/>
    </row>
    <row r="783">
      <c r="A783" s="2688"/>
      <c r="B783" s="195"/>
      <c r="C783" s="195"/>
      <c r="D783" s="195"/>
      <c r="E783" s="195"/>
      <c r="F783" s="195"/>
      <c r="G783" s="195"/>
      <c r="H783" s="195"/>
      <c r="I783" s="195"/>
      <c r="J783" s="2689"/>
      <c r="K783" s="195"/>
      <c r="M783" s="633"/>
      <c r="N783" s="541"/>
      <c r="O783" s="541"/>
      <c r="P783" s="541"/>
      <c r="Q783" s="541"/>
      <c r="R783" s="541"/>
      <c r="S783" s="541"/>
    </row>
    <row r="784">
      <c r="A784" s="2688"/>
      <c r="B784" s="195"/>
      <c r="C784" s="195"/>
      <c r="D784" s="195"/>
      <c r="E784" s="195"/>
      <c r="F784" s="195"/>
      <c r="G784" s="195"/>
      <c r="H784" s="195"/>
      <c r="I784" s="195"/>
      <c r="J784" s="2689"/>
      <c r="K784" s="195"/>
      <c r="M784" s="633"/>
      <c r="N784" s="541"/>
      <c r="O784" s="541"/>
      <c r="P784" s="541"/>
      <c r="Q784" s="541"/>
      <c r="R784" s="541"/>
      <c r="S784" s="541"/>
    </row>
    <row r="785">
      <c r="A785" s="2688"/>
      <c r="B785" s="195"/>
      <c r="C785" s="195"/>
      <c r="D785" s="195"/>
      <c r="E785" s="195"/>
      <c r="F785" s="195"/>
      <c r="G785" s="195"/>
      <c r="H785" s="195"/>
      <c r="I785" s="195"/>
      <c r="J785" s="2689"/>
      <c r="K785" s="195"/>
      <c r="M785" s="633"/>
      <c r="N785" s="541"/>
      <c r="O785" s="541"/>
      <c r="P785" s="541"/>
      <c r="Q785" s="541"/>
      <c r="R785" s="541"/>
      <c r="S785" s="541"/>
    </row>
    <row r="786">
      <c r="A786" s="2688"/>
      <c r="B786" s="195"/>
      <c r="C786" s="195"/>
      <c r="D786" s="195"/>
      <c r="E786" s="195"/>
      <c r="F786" s="195"/>
      <c r="G786" s="195"/>
      <c r="H786" s="195"/>
      <c r="I786" s="195"/>
      <c r="J786" s="2689"/>
      <c r="K786" s="195"/>
      <c r="M786" s="633"/>
      <c r="N786" s="541"/>
      <c r="O786" s="541"/>
      <c r="P786" s="541"/>
      <c r="Q786" s="541"/>
      <c r="R786" s="541"/>
      <c r="S786" s="541"/>
    </row>
    <row r="787">
      <c r="A787" s="2688"/>
      <c r="B787" s="195"/>
      <c r="C787" s="195"/>
      <c r="D787" s="195"/>
      <c r="E787" s="195"/>
      <c r="F787" s="195"/>
      <c r="G787" s="195"/>
      <c r="H787" s="195"/>
      <c r="I787" s="195"/>
      <c r="J787" s="2689"/>
      <c r="K787" s="195"/>
      <c r="M787" s="633"/>
      <c r="N787" s="541"/>
      <c r="O787" s="541"/>
      <c r="P787" s="541"/>
      <c r="Q787" s="541"/>
      <c r="R787" s="541"/>
      <c r="S787" s="541"/>
    </row>
    <row r="788">
      <c r="A788" s="2688"/>
      <c r="B788" s="195"/>
      <c r="C788" s="195"/>
      <c r="D788" s="195"/>
      <c r="E788" s="195"/>
      <c r="F788" s="195"/>
      <c r="G788" s="195"/>
      <c r="H788" s="195"/>
      <c r="I788" s="195"/>
      <c r="J788" s="2689"/>
      <c r="K788" s="195"/>
      <c r="M788" s="633"/>
      <c r="N788" s="541"/>
      <c r="O788" s="541"/>
      <c r="P788" s="541"/>
      <c r="Q788" s="541"/>
      <c r="R788" s="541"/>
      <c r="S788" s="541"/>
    </row>
    <row r="789">
      <c r="A789" s="2688"/>
      <c r="B789" s="195"/>
      <c r="C789" s="195"/>
      <c r="D789" s="195"/>
      <c r="E789" s="195"/>
      <c r="F789" s="195"/>
      <c r="G789" s="195"/>
      <c r="H789" s="195"/>
      <c r="I789" s="195"/>
      <c r="J789" s="2689"/>
      <c r="K789" s="195"/>
      <c r="M789" s="633"/>
      <c r="N789" s="541"/>
      <c r="O789" s="541"/>
      <c r="P789" s="541"/>
      <c r="Q789" s="541"/>
      <c r="R789" s="541"/>
      <c r="S789" s="541"/>
    </row>
    <row r="790">
      <c r="A790" s="2688"/>
      <c r="B790" s="195"/>
      <c r="C790" s="195"/>
      <c r="D790" s="195"/>
      <c r="E790" s="195"/>
      <c r="F790" s="195"/>
      <c r="G790" s="195"/>
      <c r="H790" s="195"/>
      <c r="I790" s="195"/>
      <c r="J790" s="2689"/>
      <c r="K790" s="195"/>
      <c r="M790" s="633"/>
      <c r="N790" s="541"/>
      <c r="O790" s="541"/>
      <c r="P790" s="541"/>
      <c r="Q790" s="541"/>
      <c r="R790" s="541"/>
      <c r="S790" s="541"/>
    </row>
    <row r="791">
      <c r="A791" s="2688"/>
      <c r="B791" s="195"/>
      <c r="C791" s="195"/>
      <c r="D791" s="195"/>
      <c r="E791" s="195"/>
      <c r="F791" s="195"/>
      <c r="G791" s="195"/>
      <c r="H791" s="195"/>
      <c r="I791" s="195"/>
      <c r="J791" s="2689"/>
      <c r="K791" s="195"/>
      <c r="M791" s="633"/>
      <c r="N791" s="541"/>
      <c r="O791" s="541"/>
      <c r="P791" s="541"/>
      <c r="Q791" s="541"/>
      <c r="R791" s="541"/>
      <c r="S791" s="541"/>
    </row>
    <row r="792">
      <c r="A792" s="2688"/>
      <c r="B792" s="195"/>
      <c r="C792" s="195"/>
      <c r="D792" s="195"/>
      <c r="E792" s="195"/>
      <c r="F792" s="195"/>
      <c r="G792" s="195"/>
      <c r="H792" s="195"/>
      <c r="I792" s="195"/>
      <c r="J792" s="2689"/>
      <c r="K792" s="195"/>
      <c r="M792" s="633"/>
      <c r="N792" s="541"/>
      <c r="O792" s="541"/>
      <c r="P792" s="541"/>
      <c r="Q792" s="541"/>
      <c r="R792" s="541"/>
      <c r="S792" s="541"/>
    </row>
    <row r="793">
      <c r="A793" s="2688"/>
      <c r="B793" s="195"/>
      <c r="C793" s="195"/>
      <c r="D793" s="195"/>
      <c r="E793" s="195"/>
      <c r="F793" s="195"/>
      <c r="G793" s="195"/>
      <c r="H793" s="195"/>
      <c r="I793" s="195"/>
      <c r="J793" s="2689"/>
      <c r="K793" s="195"/>
      <c r="M793" s="633"/>
      <c r="N793" s="541"/>
      <c r="O793" s="541"/>
      <c r="P793" s="541"/>
      <c r="Q793" s="541"/>
      <c r="R793" s="541"/>
      <c r="S793" s="541"/>
    </row>
    <row r="794">
      <c r="A794" s="2688"/>
      <c r="B794" s="195"/>
      <c r="C794" s="195"/>
      <c r="D794" s="195"/>
      <c r="E794" s="195"/>
      <c r="F794" s="195"/>
      <c r="G794" s="195"/>
      <c r="H794" s="195"/>
      <c r="I794" s="195"/>
      <c r="J794" s="2689"/>
      <c r="K794" s="195"/>
      <c r="M794" s="633"/>
      <c r="N794" s="541"/>
      <c r="O794" s="541"/>
      <c r="P794" s="541"/>
      <c r="Q794" s="541"/>
      <c r="R794" s="541"/>
      <c r="S794" s="541"/>
    </row>
    <row r="795">
      <c r="A795" s="2688"/>
      <c r="B795" s="195"/>
      <c r="C795" s="195"/>
      <c r="D795" s="195"/>
      <c r="E795" s="195"/>
      <c r="F795" s="195"/>
      <c r="G795" s="195"/>
      <c r="H795" s="195"/>
      <c r="I795" s="195"/>
      <c r="J795" s="2689"/>
      <c r="K795" s="195"/>
      <c r="M795" s="633"/>
      <c r="N795" s="541"/>
      <c r="O795" s="541"/>
      <c r="P795" s="541"/>
      <c r="Q795" s="541"/>
      <c r="R795" s="541"/>
      <c r="S795" s="541"/>
    </row>
    <row r="796">
      <c r="A796" s="2688"/>
      <c r="B796" s="195"/>
      <c r="C796" s="195"/>
      <c r="D796" s="195"/>
      <c r="E796" s="195"/>
      <c r="F796" s="195"/>
      <c r="G796" s="195"/>
      <c r="H796" s="195"/>
      <c r="I796" s="195"/>
      <c r="J796" s="2689"/>
      <c r="K796" s="195"/>
      <c r="M796" s="633"/>
      <c r="N796" s="541"/>
      <c r="O796" s="541"/>
      <c r="P796" s="541"/>
      <c r="Q796" s="541"/>
      <c r="R796" s="541"/>
      <c r="S796" s="541"/>
    </row>
    <row r="797">
      <c r="A797" s="2688"/>
      <c r="B797" s="195"/>
      <c r="C797" s="195"/>
      <c r="D797" s="195"/>
      <c r="E797" s="195"/>
      <c r="F797" s="195"/>
      <c r="G797" s="195"/>
      <c r="H797" s="195"/>
      <c r="I797" s="195"/>
      <c r="J797" s="2689"/>
      <c r="K797" s="195"/>
      <c r="M797" s="633"/>
      <c r="N797" s="541"/>
      <c r="O797" s="541"/>
      <c r="P797" s="541"/>
      <c r="Q797" s="541"/>
      <c r="R797" s="541"/>
      <c r="S797" s="541"/>
    </row>
    <row r="798">
      <c r="A798" s="2688"/>
      <c r="B798" s="195"/>
      <c r="C798" s="195"/>
      <c r="D798" s="195"/>
      <c r="E798" s="195"/>
      <c r="F798" s="195"/>
      <c r="G798" s="195"/>
      <c r="H798" s="195"/>
      <c r="I798" s="195"/>
      <c r="J798" s="2689"/>
      <c r="K798" s="195"/>
      <c r="M798" s="633"/>
      <c r="N798" s="541"/>
      <c r="O798" s="541"/>
      <c r="P798" s="541"/>
      <c r="Q798" s="541"/>
      <c r="R798" s="541"/>
      <c r="S798" s="541"/>
    </row>
    <row r="799">
      <c r="A799" s="2688"/>
      <c r="B799" s="195"/>
      <c r="C799" s="195"/>
      <c r="D799" s="195"/>
      <c r="E799" s="195"/>
      <c r="F799" s="195"/>
      <c r="G799" s="195"/>
      <c r="H799" s="195"/>
      <c r="I799" s="195"/>
      <c r="J799" s="2689"/>
      <c r="K799" s="195"/>
      <c r="M799" s="633"/>
      <c r="N799" s="541"/>
      <c r="O799" s="541"/>
      <c r="P799" s="541"/>
      <c r="Q799" s="541"/>
      <c r="R799" s="541"/>
      <c r="S799" s="541"/>
    </row>
    <row r="800">
      <c r="A800" s="2688"/>
      <c r="B800" s="195"/>
      <c r="C800" s="195"/>
      <c r="D800" s="195"/>
      <c r="E800" s="195"/>
      <c r="F800" s="195"/>
      <c r="G800" s="195"/>
      <c r="H800" s="195"/>
      <c r="I800" s="195"/>
      <c r="J800" s="2689"/>
      <c r="K800" s="195"/>
      <c r="M800" s="633"/>
      <c r="N800" s="541"/>
      <c r="O800" s="541"/>
      <c r="P800" s="541"/>
      <c r="Q800" s="541"/>
      <c r="R800" s="541"/>
      <c r="S800" s="541"/>
    </row>
    <row r="801">
      <c r="A801" s="2688"/>
      <c r="B801" s="195"/>
      <c r="C801" s="195"/>
      <c r="D801" s="195"/>
      <c r="E801" s="195"/>
      <c r="F801" s="195"/>
      <c r="G801" s="195"/>
      <c r="H801" s="195"/>
      <c r="I801" s="195"/>
      <c r="J801" s="2689"/>
      <c r="K801" s="195"/>
      <c r="M801" s="633"/>
      <c r="N801" s="541"/>
      <c r="O801" s="541"/>
      <c r="P801" s="541"/>
      <c r="Q801" s="541"/>
      <c r="R801" s="541"/>
      <c r="S801" s="541"/>
    </row>
    <row r="802">
      <c r="A802" s="2688"/>
      <c r="B802" s="195"/>
      <c r="C802" s="195"/>
      <c r="D802" s="195"/>
      <c r="E802" s="195"/>
      <c r="F802" s="195"/>
      <c r="G802" s="195"/>
      <c r="H802" s="195"/>
      <c r="I802" s="195"/>
      <c r="J802" s="2689"/>
      <c r="K802" s="195"/>
      <c r="M802" s="633"/>
      <c r="N802" s="541"/>
      <c r="O802" s="541"/>
      <c r="P802" s="541"/>
      <c r="Q802" s="541"/>
      <c r="R802" s="541"/>
      <c r="S802" s="541"/>
    </row>
    <row r="803">
      <c r="A803" s="2688"/>
      <c r="B803" s="195"/>
      <c r="C803" s="195"/>
      <c r="D803" s="195"/>
      <c r="E803" s="195"/>
      <c r="F803" s="195"/>
      <c r="G803" s="195"/>
      <c r="H803" s="195"/>
      <c r="I803" s="195"/>
      <c r="J803" s="2689"/>
      <c r="K803" s="195"/>
      <c r="M803" s="633"/>
      <c r="N803" s="541"/>
      <c r="O803" s="541"/>
      <c r="P803" s="541"/>
      <c r="Q803" s="541"/>
      <c r="R803" s="541"/>
      <c r="S803" s="541"/>
    </row>
    <row r="804">
      <c r="A804" s="2688"/>
      <c r="B804" s="195"/>
      <c r="C804" s="195"/>
      <c r="D804" s="195"/>
      <c r="E804" s="195"/>
      <c r="F804" s="195"/>
      <c r="G804" s="195"/>
      <c r="H804" s="195"/>
      <c r="I804" s="195"/>
      <c r="J804" s="2689"/>
      <c r="K804" s="195"/>
      <c r="M804" s="633"/>
      <c r="N804" s="541"/>
      <c r="O804" s="541"/>
      <c r="P804" s="541"/>
      <c r="Q804" s="541"/>
      <c r="R804" s="541"/>
      <c r="S804" s="541"/>
    </row>
    <row r="805">
      <c r="A805" s="2688"/>
      <c r="B805" s="195"/>
      <c r="C805" s="195"/>
      <c r="D805" s="195"/>
      <c r="E805" s="195"/>
      <c r="F805" s="195"/>
      <c r="G805" s="195"/>
      <c r="H805" s="195"/>
      <c r="I805" s="195"/>
      <c r="J805" s="2689"/>
      <c r="K805" s="195"/>
      <c r="M805" s="633"/>
      <c r="N805" s="541"/>
      <c r="O805" s="541"/>
      <c r="P805" s="541"/>
      <c r="Q805" s="541"/>
      <c r="R805" s="541"/>
      <c r="S805" s="541"/>
    </row>
    <row r="806">
      <c r="A806" s="2688"/>
      <c r="B806" s="195"/>
      <c r="C806" s="195"/>
      <c r="D806" s="195"/>
      <c r="E806" s="195"/>
      <c r="F806" s="195"/>
      <c r="G806" s="195"/>
      <c r="H806" s="195"/>
      <c r="I806" s="195"/>
      <c r="J806" s="2689"/>
      <c r="K806" s="195"/>
      <c r="M806" s="633"/>
      <c r="N806" s="541"/>
      <c r="O806" s="541"/>
      <c r="P806" s="541"/>
      <c r="Q806" s="541"/>
      <c r="R806" s="541"/>
      <c r="S806" s="541"/>
    </row>
    <row r="807">
      <c r="A807" s="2688"/>
      <c r="B807" s="195"/>
      <c r="C807" s="195"/>
      <c r="D807" s="195"/>
      <c r="E807" s="195"/>
      <c r="F807" s="195"/>
      <c r="G807" s="195"/>
      <c r="H807" s="195"/>
      <c r="I807" s="195"/>
      <c r="J807" s="2689"/>
      <c r="K807" s="195"/>
      <c r="M807" s="633"/>
      <c r="N807" s="541"/>
      <c r="O807" s="541"/>
      <c r="P807" s="541"/>
      <c r="Q807" s="541"/>
      <c r="R807" s="541"/>
      <c r="S807" s="541"/>
    </row>
    <row r="808">
      <c r="A808" s="2688"/>
      <c r="B808" s="195"/>
      <c r="C808" s="195"/>
      <c r="D808" s="195"/>
      <c r="E808" s="195"/>
      <c r="F808" s="195"/>
      <c r="G808" s="195"/>
      <c r="H808" s="195"/>
      <c r="I808" s="195"/>
      <c r="J808" s="2689"/>
      <c r="K808" s="195"/>
      <c r="M808" s="633"/>
      <c r="N808" s="541"/>
      <c r="O808" s="541"/>
      <c r="P808" s="541"/>
      <c r="Q808" s="541"/>
      <c r="R808" s="541"/>
      <c r="S808" s="541"/>
    </row>
    <row r="809">
      <c r="A809" s="2688"/>
      <c r="B809" s="195"/>
      <c r="C809" s="195"/>
      <c r="D809" s="195"/>
      <c r="E809" s="195"/>
      <c r="F809" s="195"/>
      <c r="G809" s="195"/>
      <c r="H809" s="195"/>
      <c r="I809" s="195"/>
      <c r="J809" s="2689"/>
      <c r="K809" s="195"/>
      <c r="M809" s="633"/>
      <c r="N809" s="541"/>
      <c r="O809" s="541"/>
      <c r="P809" s="541"/>
      <c r="Q809" s="541"/>
      <c r="R809" s="541"/>
      <c r="S809" s="541"/>
    </row>
    <row r="810">
      <c r="A810" s="2688"/>
      <c r="B810" s="195"/>
      <c r="C810" s="195"/>
      <c r="D810" s="195"/>
      <c r="E810" s="195"/>
      <c r="F810" s="195"/>
      <c r="G810" s="195"/>
      <c r="H810" s="195"/>
      <c r="I810" s="195"/>
      <c r="J810" s="2689"/>
      <c r="K810" s="195"/>
      <c r="M810" s="633"/>
      <c r="N810" s="541"/>
      <c r="O810" s="541"/>
      <c r="P810" s="541"/>
      <c r="Q810" s="541"/>
      <c r="R810" s="541"/>
      <c r="S810" s="541"/>
    </row>
    <row r="811">
      <c r="A811" s="2688"/>
      <c r="B811" s="195"/>
      <c r="C811" s="195"/>
      <c r="D811" s="195"/>
      <c r="E811" s="195"/>
      <c r="F811" s="195"/>
      <c r="G811" s="195"/>
      <c r="H811" s="195"/>
      <c r="I811" s="195"/>
      <c r="J811" s="2689"/>
      <c r="K811" s="195"/>
      <c r="M811" s="633"/>
      <c r="N811" s="541"/>
      <c r="O811" s="541"/>
      <c r="P811" s="541"/>
      <c r="Q811" s="541"/>
      <c r="R811" s="541"/>
      <c r="S811" s="541"/>
    </row>
    <row r="812">
      <c r="A812" s="2688"/>
      <c r="B812" s="195"/>
      <c r="C812" s="195"/>
      <c r="D812" s="195"/>
      <c r="E812" s="195"/>
      <c r="F812" s="195"/>
      <c r="G812" s="195"/>
      <c r="H812" s="195"/>
      <c r="I812" s="195"/>
      <c r="J812" s="2689"/>
      <c r="K812" s="195"/>
      <c r="M812" s="633"/>
      <c r="N812" s="541"/>
      <c r="O812" s="541"/>
      <c r="P812" s="541"/>
      <c r="Q812" s="541"/>
      <c r="R812" s="541"/>
      <c r="S812" s="541"/>
    </row>
    <row r="813">
      <c r="A813" s="2688"/>
      <c r="B813" s="195"/>
      <c r="C813" s="195"/>
      <c r="D813" s="195"/>
      <c r="E813" s="195"/>
      <c r="F813" s="195"/>
      <c r="G813" s="195"/>
      <c r="H813" s="195"/>
      <c r="I813" s="195"/>
      <c r="J813" s="2689"/>
      <c r="K813" s="195"/>
      <c r="M813" s="633"/>
      <c r="N813" s="541"/>
      <c r="O813" s="541"/>
      <c r="P813" s="541"/>
      <c r="Q813" s="541"/>
      <c r="R813" s="541"/>
      <c r="S813" s="541"/>
    </row>
    <row r="814">
      <c r="A814" s="2688"/>
      <c r="B814" s="195"/>
      <c r="C814" s="195"/>
      <c r="D814" s="195"/>
      <c r="E814" s="195"/>
      <c r="F814" s="195"/>
      <c r="G814" s="195"/>
      <c r="H814" s="195"/>
      <c r="I814" s="195"/>
      <c r="J814" s="2689"/>
      <c r="K814" s="195"/>
      <c r="M814" s="633"/>
      <c r="N814" s="541"/>
      <c r="O814" s="541"/>
      <c r="P814" s="541"/>
      <c r="Q814" s="541"/>
      <c r="R814" s="541"/>
      <c r="S814" s="541"/>
    </row>
    <row r="815">
      <c r="A815" s="2688"/>
      <c r="B815" s="195"/>
      <c r="C815" s="195"/>
      <c r="D815" s="195"/>
      <c r="E815" s="195"/>
      <c r="F815" s="195"/>
      <c r="G815" s="195"/>
      <c r="H815" s="195"/>
      <c r="I815" s="195"/>
      <c r="J815" s="2689"/>
      <c r="K815" s="195"/>
      <c r="M815" s="633"/>
      <c r="N815" s="541"/>
      <c r="O815" s="541"/>
      <c r="P815" s="541"/>
      <c r="Q815" s="541"/>
      <c r="R815" s="541"/>
      <c r="S815" s="541"/>
    </row>
    <row r="816">
      <c r="A816" s="2688"/>
      <c r="B816" s="195"/>
      <c r="C816" s="195"/>
      <c r="D816" s="195"/>
      <c r="E816" s="195"/>
      <c r="F816" s="195"/>
      <c r="G816" s="195"/>
      <c r="H816" s="195"/>
      <c r="I816" s="195"/>
      <c r="J816" s="2689"/>
      <c r="K816" s="195"/>
      <c r="M816" s="633"/>
      <c r="N816" s="541"/>
      <c r="O816" s="541"/>
      <c r="P816" s="541"/>
      <c r="Q816" s="541"/>
      <c r="R816" s="541"/>
      <c r="S816" s="541"/>
    </row>
    <row r="817">
      <c r="A817" s="2688"/>
      <c r="B817" s="195"/>
      <c r="C817" s="195"/>
      <c r="D817" s="195"/>
      <c r="E817" s="195"/>
      <c r="F817" s="195"/>
      <c r="G817" s="195"/>
      <c r="H817" s="195"/>
      <c r="I817" s="195"/>
      <c r="J817" s="2689"/>
      <c r="K817" s="195"/>
      <c r="M817" s="633"/>
      <c r="N817" s="541"/>
      <c r="O817" s="541"/>
      <c r="P817" s="541"/>
      <c r="Q817" s="541"/>
      <c r="R817" s="541"/>
      <c r="S817" s="541"/>
    </row>
    <row r="818">
      <c r="A818" s="2688"/>
      <c r="B818" s="195"/>
      <c r="C818" s="195"/>
      <c r="D818" s="195"/>
      <c r="E818" s="195"/>
      <c r="F818" s="195"/>
      <c r="G818" s="195"/>
      <c r="H818" s="195"/>
      <c r="I818" s="195"/>
      <c r="J818" s="2689"/>
      <c r="K818" s="195"/>
      <c r="M818" s="633"/>
      <c r="N818" s="541"/>
      <c r="O818" s="541"/>
      <c r="P818" s="541"/>
      <c r="Q818" s="541"/>
      <c r="R818" s="541"/>
      <c r="S818" s="541"/>
    </row>
    <row r="819">
      <c r="A819" s="2688"/>
      <c r="B819" s="195"/>
      <c r="C819" s="195"/>
      <c r="D819" s="195"/>
      <c r="E819" s="195"/>
      <c r="F819" s="195"/>
      <c r="G819" s="195"/>
      <c r="H819" s="195"/>
      <c r="I819" s="195"/>
      <c r="J819" s="2689"/>
      <c r="K819" s="195"/>
      <c r="M819" s="633"/>
      <c r="N819" s="541"/>
      <c r="O819" s="541"/>
      <c r="P819" s="541"/>
      <c r="Q819" s="541"/>
      <c r="R819" s="541"/>
      <c r="S819" s="541"/>
    </row>
    <row r="820">
      <c r="A820" s="2688"/>
      <c r="B820" s="195"/>
      <c r="C820" s="195"/>
      <c r="D820" s="195"/>
      <c r="E820" s="195"/>
      <c r="F820" s="195"/>
      <c r="G820" s="195"/>
      <c r="H820" s="195"/>
      <c r="I820" s="195"/>
      <c r="J820" s="2689"/>
      <c r="K820" s="195"/>
      <c r="M820" s="633"/>
      <c r="N820" s="541"/>
      <c r="O820" s="541"/>
      <c r="P820" s="541"/>
      <c r="Q820" s="541"/>
      <c r="R820" s="541"/>
      <c r="S820" s="541"/>
    </row>
    <row r="821">
      <c r="A821" s="2688"/>
      <c r="B821" s="195"/>
      <c r="C821" s="195"/>
      <c r="D821" s="195"/>
      <c r="E821" s="195"/>
      <c r="F821" s="195"/>
      <c r="G821" s="195"/>
      <c r="H821" s="195"/>
      <c r="I821" s="195"/>
      <c r="J821" s="2689"/>
      <c r="K821" s="195"/>
      <c r="M821" s="633"/>
      <c r="N821" s="541"/>
      <c r="O821" s="541"/>
      <c r="P821" s="541"/>
      <c r="Q821" s="541"/>
      <c r="R821" s="541"/>
      <c r="S821" s="541"/>
    </row>
    <row r="822">
      <c r="A822" s="2688"/>
      <c r="B822" s="195"/>
      <c r="C822" s="195"/>
      <c r="D822" s="195"/>
      <c r="E822" s="195"/>
      <c r="F822" s="195"/>
      <c r="G822" s="195"/>
      <c r="H822" s="195"/>
      <c r="I822" s="195"/>
      <c r="J822" s="2689"/>
      <c r="K822" s="195"/>
      <c r="M822" s="633"/>
      <c r="N822" s="541"/>
      <c r="O822" s="541"/>
      <c r="P822" s="541"/>
      <c r="Q822" s="541"/>
      <c r="R822" s="541"/>
      <c r="S822" s="541"/>
    </row>
    <row r="823">
      <c r="A823" s="2688"/>
      <c r="B823" s="195"/>
      <c r="C823" s="195"/>
      <c r="D823" s="195"/>
      <c r="E823" s="195"/>
      <c r="F823" s="195"/>
      <c r="G823" s="195"/>
      <c r="H823" s="195"/>
      <c r="I823" s="195"/>
      <c r="J823" s="2689"/>
      <c r="K823" s="195"/>
      <c r="M823" s="633"/>
      <c r="N823" s="541"/>
      <c r="O823" s="541"/>
      <c r="P823" s="541"/>
      <c r="Q823" s="541"/>
      <c r="R823" s="541"/>
      <c r="S823" s="541"/>
    </row>
    <row r="824">
      <c r="A824" s="2688"/>
      <c r="B824" s="195"/>
      <c r="C824" s="195"/>
      <c r="D824" s="195"/>
      <c r="E824" s="195"/>
      <c r="F824" s="195"/>
      <c r="G824" s="195"/>
      <c r="H824" s="195"/>
      <c r="I824" s="195"/>
      <c r="J824" s="2689"/>
      <c r="K824" s="195"/>
      <c r="M824" s="633"/>
      <c r="N824" s="541"/>
      <c r="O824" s="541"/>
      <c r="P824" s="541"/>
      <c r="Q824" s="541"/>
      <c r="R824" s="541"/>
      <c r="S824" s="541"/>
    </row>
    <row r="825">
      <c r="A825" s="2688"/>
      <c r="B825" s="195"/>
      <c r="C825" s="195"/>
      <c r="D825" s="195"/>
      <c r="E825" s="195"/>
      <c r="F825" s="195"/>
      <c r="G825" s="195"/>
      <c r="H825" s="195"/>
      <c r="I825" s="195"/>
      <c r="J825" s="2689"/>
      <c r="K825" s="195"/>
      <c r="M825" s="633"/>
      <c r="N825" s="541"/>
      <c r="O825" s="541"/>
      <c r="P825" s="541"/>
      <c r="Q825" s="541"/>
      <c r="R825" s="541"/>
      <c r="S825" s="541"/>
    </row>
    <row r="826">
      <c r="A826" s="2688"/>
      <c r="B826" s="195"/>
      <c r="C826" s="195"/>
      <c r="D826" s="195"/>
      <c r="E826" s="195"/>
      <c r="F826" s="195"/>
      <c r="G826" s="195"/>
      <c r="H826" s="195"/>
      <c r="I826" s="195"/>
      <c r="J826" s="2689"/>
      <c r="K826" s="195"/>
      <c r="M826" s="633"/>
      <c r="N826" s="541"/>
      <c r="O826" s="541"/>
      <c r="P826" s="541"/>
      <c r="Q826" s="541"/>
      <c r="R826" s="541"/>
      <c r="S826" s="541"/>
    </row>
    <row r="827">
      <c r="A827" s="2688"/>
      <c r="B827" s="195"/>
      <c r="C827" s="195"/>
      <c r="D827" s="195"/>
      <c r="E827" s="195"/>
      <c r="F827" s="195"/>
      <c r="G827" s="195"/>
      <c r="H827" s="195"/>
      <c r="I827" s="195"/>
      <c r="J827" s="2689"/>
      <c r="K827" s="195"/>
      <c r="M827" s="633"/>
      <c r="N827" s="541"/>
      <c r="O827" s="541"/>
      <c r="P827" s="541"/>
      <c r="Q827" s="541"/>
      <c r="R827" s="541"/>
      <c r="S827" s="541"/>
    </row>
    <row r="828">
      <c r="A828" s="2688"/>
      <c r="B828" s="195"/>
      <c r="C828" s="195"/>
      <c r="D828" s="195"/>
      <c r="E828" s="195"/>
      <c r="F828" s="195"/>
      <c r="G828" s="195"/>
      <c r="H828" s="195"/>
      <c r="I828" s="195"/>
      <c r="J828" s="2689"/>
      <c r="K828" s="195"/>
      <c r="M828" s="633"/>
      <c r="N828" s="541"/>
      <c r="O828" s="541"/>
      <c r="P828" s="541"/>
      <c r="Q828" s="541"/>
      <c r="R828" s="541"/>
      <c r="S828" s="541"/>
    </row>
    <row r="829">
      <c r="A829" s="2688"/>
      <c r="B829" s="195"/>
      <c r="C829" s="195"/>
      <c r="D829" s="195"/>
      <c r="E829" s="195"/>
      <c r="F829" s="195"/>
      <c r="G829" s="195"/>
      <c r="H829" s="195"/>
      <c r="I829" s="195"/>
      <c r="J829" s="2689"/>
      <c r="K829" s="195"/>
      <c r="M829" s="633"/>
      <c r="N829" s="541"/>
      <c r="O829" s="541"/>
      <c r="P829" s="541"/>
      <c r="Q829" s="541"/>
      <c r="R829" s="541"/>
      <c r="S829" s="541"/>
    </row>
    <row r="830">
      <c r="A830" s="2688"/>
      <c r="B830" s="195"/>
      <c r="C830" s="195"/>
      <c r="D830" s="195"/>
      <c r="E830" s="195"/>
      <c r="F830" s="195"/>
      <c r="G830" s="195"/>
      <c r="H830" s="195"/>
      <c r="I830" s="195"/>
      <c r="J830" s="2689"/>
      <c r="K830" s="195"/>
      <c r="M830" s="633"/>
      <c r="N830" s="541"/>
      <c r="O830" s="541"/>
      <c r="P830" s="541"/>
      <c r="Q830" s="541"/>
      <c r="R830" s="541"/>
      <c r="S830" s="541"/>
    </row>
    <row r="831">
      <c r="A831" s="2688"/>
      <c r="B831" s="195"/>
      <c r="C831" s="195"/>
      <c r="D831" s="195"/>
      <c r="E831" s="195"/>
      <c r="F831" s="195"/>
      <c r="G831" s="195"/>
      <c r="H831" s="195"/>
      <c r="I831" s="195"/>
      <c r="J831" s="2689"/>
      <c r="K831" s="195"/>
      <c r="M831" s="633"/>
      <c r="N831" s="541"/>
      <c r="O831" s="541"/>
      <c r="P831" s="541"/>
      <c r="Q831" s="541"/>
      <c r="R831" s="541"/>
      <c r="S831" s="541"/>
    </row>
    <row r="832">
      <c r="A832" s="2688"/>
      <c r="B832" s="195"/>
      <c r="C832" s="195"/>
      <c r="D832" s="195"/>
      <c r="E832" s="195"/>
      <c r="F832" s="195"/>
      <c r="G832" s="195"/>
      <c r="H832" s="195"/>
      <c r="I832" s="195"/>
      <c r="J832" s="2689"/>
      <c r="K832" s="195"/>
      <c r="M832" s="633"/>
      <c r="N832" s="541"/>
      <c r="O832" s="541"/>
      <c r="P832" s="541"/>
      <c r="Q832" s="541"/>
      <c r="R832" s="541"/>
      <c r="S832" s="541"/>
    </row>
    <row r="833">
      <c r="A833" s="2688"/>
      <c r="B833" s="195"/>
      <c r="C833" s="195"/>
      <c r="D833" s="195"/>
      <c r="E833" s="195"/>
      <c r="F833" s="195"/>
      <c r="G833" s="195"/>
      <c r="H833" s="195"/>
      <c r="I833" s="195"/>
      <c r="J833" s="2689"/>
      <c r="K833" s="195"/>
      <c r="M833" s="633"/>
      <c r="N833" s="541"/>
      <c r="O833" s="541"/>
      <c r="P833" s="541"/>
      <c r="Q833" s="541"/>
      <c r="R833" s="541"/>
      <c r="S833" s="541"/>
    </row>
    <row r="834">
      <c r="A834" s="2688"/>
      <c r="B834" s="195"/>
      <c r="C834" s="195"/>
      <c r="D834" s="195"/>
      <c r="E834" s="195"/>
      <c r="F834" s="195"/>
      <c r="G834" s="195"/>
      <c r="H834" s="195"/>
      <c r="I834" s="195"/>
      <c r="J834" s="2689"/>
      <c r="K834" s="195"/>
      <c r="M834" s="633"/>
      <c r="N834" s="541"/>
      <c r="O834" s="541"/>
      <c r="P834" s="541"/>
      <c r="Q834" s="541"/>
      <c r="R834" s="541"/>
      <c r="S834" s="541"/>
    </row>
    <row r="835">
      <c r="A835" s="2688"/>
      <c r="B835" s="195"/>
      <c r="C835" s="195"/>
      <c r="D835" s="195"/>
      <c r="E835" s="195"/>
      <c r="F835" s="195"/>
      <c r="G835" s="195"/>
      <c r="H835" s="195"/>
      <c r="I835" s="195"/>
      <c r="J835" s="2689"/>
      <c r="K835" s="195"/>
      <c r="M835" s="633"/>
      <c r="N835" s="541"/>
      <c r="O835" s="541"/>
      <c r="P835" s="541"/>
      <c r="Q835" s="541"/>
      <c r="R835" s="541"/>
      <c r="S835" s="541"/>
    </row>
    <row r="836">
      <c r="A836" s="2688"/>
      <c r="B836" s="195"/>
      <c r="C836" s="195"/>
      <c r="D836" s="195"/>
      <c r="E836" s="195"/>
      <c r="F836" s="195"/>
      <c r="G836" s="195"/>
      <c r="H836" s="195"/>
      <c r="I836" s="195"/>
      <c r="J836" s="2689"/>
      <c r="K836" s="195"/>
      <c r="M836" s="633"/>
      <c r="N836" s="541"/>
      <c r="O836" s="541"/>
      <c r="P836" s="541"/>
      <c r="Q836" s="541"/>
      <c r="R836" s="541"/>
      <c r="S836" s="541"/>
    </row>
    <row r="837">
      <c r="A837" s="2688"/>
      <c r="B837" s="195"/>
      <c r="C837" s="195"/>
      <c r="D837" s="195"/>
      <c r="E837" s="195"/>
      <c r="F837" s="195"/>
      <c r="G837" s="195"/>
      <c r="H837" s="195"/>
      <c r="I837" s="195"/>
      <c r="J837" s="2689"/>
      <c r="K837" s="195"/>
      <c r="M837" s="633"/>
      <c r="N837" s="541"/>
      <c r="O837" s="541"/>
      <c r="P837" s="541"/>
      <c r="Q837" s="541"/>
      <c r="R837" s="541"/>
      <c r="S837" s="541"/>
    </row>
    <row r="838">
      <c r="A838" s="2688"/>
      <c r="B838" s="195"/>
      <c r="C838" s="195"/>
      <c r="D838" s="195"/>
      <c r="E838" s="195"/>
      <c r="F838" s="195"/>
      <c r="G838" s="195"/>
      <c r="H838" s="195"/>
      <c r="I838" s="195"/>
      <c r="J838" s="2689"/>
      <c r="K838" s="195"/>
      <c r="M838" s="633"/>
      <c r="N838" s="541"/>
      <c r="O838" s="541"/>
      <c r="P838" s="541"/>
      <c r="Q838" s="541"/>
      <c r="R838" s="541"/>
      <c r="S838" s="541"/>
    </row>
    <row r="839">
      <c r="A839" s="2688"/>
      <c r="B839" s="195"/>
      <c r="C839" s="195"/>
      <c r="D839" s="195"/>
      <c r="E839" s="195"/>
      <c r="F839" s="195"/>
      <c r="G839" s="195"/>
      <c r="H839" s="195"/>
      <c r="I839" s="195"/>
      <c r="J839" s="2689"/>
      <c r="K839" s="195"/>
      <c r="M839" s="633"/>
      <c r="N839" s="541"/>
      <c r="O839" s="541"/>
      <c r="P839" s="541"/>
      <c r="Q839" s="541"/>
      <c r="R839" s="541"/>
      <c r="S839" s="541"/>
    </row>
    <row r="840">
      <c r="A840" s="2688"/>
      <c r="B840" s="195"/>
      <c r="C840" s="195"/>
      <c r="D840" s="195"/>
      <c r="E840" s="195"/>
      <c r="F840" s="195"/>
      <c r="G840" s="195"/>
      <c r="H840" s="195"/>
      <c r="I840" s="195"/>
      <c r="J840" s="2689"/>
      <c r="K840" s="195"/>
      <c r="M840" s="633"/>
      <c r="N840" s="541"/>
      <c r="O840" s="541"/>
      <c r="P840" s="541"/>
      <c r="Q840" s="541"/>
      <c r="R840" s="541"/>
      <c r="S840" s="541"/>
    </row>
    <row r="841">
      <c r="A841" s="2688"/>
      <c r="B841" s="195"/>
      <c r="C841" s="195"/>
      <c r="D841" s="195"/>
      <c r="E841" s="195"/>
      <c r="F841" s="195"/>
      <c r="G841" s="195"/>
      <c r="H841" s="195"/>
      <c r="I841" s="195"/>
      <c r="J841" s="2689"/>
      <c r="K841" s="195"/>
      <c r="M841" s="633"/>
      <c r="N841" s="541"/>
      <c r="O841" s="541"/>
      <c r="P841" s="541"/>
      <c r="Q841" s="541"/>
      <c r="R841" s="541"/>
      <c r="S841" s="541"/>
    </row>
    <row r="842">
      <c r="A842" s="2688"/>
      <c r="B842" s="195"/>
      <c r="C842" s="195"/>
      <c r="D842" s="195"/>
      <c r="E842" s="195"/>
      <c r="F842" s="195"/>
      <c r="G842" s="195"/>
      <c r="H842" s="195"/>
      <c r="I842" s="195"/>
      <c r="J842" s="2689"/>
      <c r="K842" s="195"/>
      <c r="M842" s="633"/>
      <c r="N842" s="541"/>
      <c r="O842" s="541"/>
      <c r="P842" s="541"/>
      <c r="Q842" s="541"/>
      <c r="R842" s="541"/>
      <c r="S842" s="541"/>
    </row>
    <row r="843">
      <c r="A843" s="2688"/>
      <c r="B843" s="195"/>
      <c r="C843" s="195"/>
      <c r="D843" s="195"/>
      <c r="E843" s="195"/>
      <c r="F843" s="195"/>
      <c r="G843" s="195"/>
      <c r="H843" s="195"/>
      <c r="I843" s="195"/>
      <c r="J843" s="2689"/>
      <c r="K843" s="195"/>
      <c r="M843" s="633"/>
      <c r="N843" s="541"/>
      <c r="O843" s="541"/>
      <c r="P843" s="541"/>
      <c r="Q843" s="541"/>
      <c r="R843" s="541"/>
      <c r="S843" s="541"/>
    </row>
    <row r="844">
      <c r="A844" s="2688"/>
      <c r="B844" s="195"/>
      <c r="C844" s="195"/>
      <c r="D844" s="195"/>
      <c r="E844" s="195"/>
      <c r="F844" s="195"/>
      <c r="G844" s="195"/>
      <c r="H844" s="195"/>
      <c r="I844" s="195"/>
      <c r="J844" s="2689"/>
      <c r="K844" s="195"/>
      <c r="M844" s="633"/>
      <c r="N844" s="541"/>
      <c r="O844" s="541"/>
      <c r="P844" s="541"/>
      <c r="Q844" s="541"/>
      <c r="R844" s="541"/>
      <c r="S844" s="541"/>
    </row>
    <row r="845">
      <c r="A845" s="2688"/>
      <c r="B845" s="195"/>
      <c r="C845" s="195"/>
      <c r="D845" s="195"/>
      <c r="E845" s="195"/>
      <c r="F845" s="195"/>
      <c r="G845" s="195"/>
      <c r="H845" s="195"/>
      <c r="I845" s="195"/>
      <c r="J845" s="2689"/>
      <c r="K845" s="195"/>
      <c r="M845" s="633"/>
      <c r="N845" s="541"/>
      <c r="O845" s="541"/>
      <c r="P845" s="541"/>
      <c r="Q845" s="541"/>
      <c r="R845" s="541"/>
      <c r="S845" s="541"/>
    </row>
    <row r="846">
      <c r="A846" s="2688"/>
      <c r="B846" s="195"/>
      <c r="C846" s="195"/>
      <c r="D846" s="195"/>
      <c r="E846" s="195"/>
      <c r="F846" s="195"/>
      <c r="G846" s="195"/>
      <c r="H846" s="195"/>
      <c r="I846" s="195"/>
      <c r="J846" s="2689"/>
      <c r="K846" s="195"/>
      <c r="M846" s="633"/>
      <c r="N846" s="541"/>
      <c r="O846" s="541"/>
      <c r="P846" s="541"/>
      <c r="Q846" s="541"/>
      <c r="R846" s="541"/>
      <c r="S846" s="541"/>
    </row>
    <row r="847">
      <c r="A847" s="2688"/>
      <c r="B847" s="195"/>
      <c r="C847" s="195"/>
      <c r="D847" s="195"/>
      <c r="E847" s="195"/>
      <c r="F847" s="195"/>
      <c r="G847" s="195"/>
      <c r="H847" s="195"/>
      <c r="I847" s="195"/>
      <c r="J847" s="2689"/>
      <c r="K847" s="195"/>
      <c r="M847" s="633"/>
      <c r="N847" s="541"/>
      <c r="O847" s="541"/>
      <c r="P847" s="541"/>
      <c r="Q847" s="541"/>
      <c r="R847" s="541"/>
      <c r="S847" s="541"/>
    </row>
    <row r="848">
      <c r="A848" s="2688"/>
      <c r="B848" s="195"/>
      <c r="C848" s="195"/>
      <c r="D848" s="195"/>
      <c r="E848" s="195"/>
      <c r="F848" s="195"/>
      <c r="G848" s="195"/>
      <c r="H848" s="195"/>
      <c r="I848" s="195"/>
      <c r="J848" s="2689"/>
      <c r="K848" s="195"/>
      <c r="M848" s="633"/>
      <c r="N848" s="541"/>
      <c r="O848" s="541"/>
      <c r="P848" s="541"/>
      <c r="Q848" s="541"/>
      <c r="R848" s="541"/>
      <c r="S848" s="541"/>
    </row>
    <row r="849">
      <c r="A849" s="2688"/>
      <c r="B849" s="195"/>
      <c r="C849" s="195"/>
      <c r="D849" s="195"/>
      <c r="E849" s="195"/>
      <c r="F849" s="195"/>
      <c r="G849" s="195"/>
      <c r="H849" s="195"/>
      <c r="I849" s="195"/>
      <c r="J849" s="2689"/>
      <c r="K849" s="195"/>
      <c r="M849" s="633"/>
      <c r="N849" s="541"/>
      <c r="O849" s="541"/>
      <c r="P849" s="541"/>
      <c r="Q849" s="541"/>
      <c r="R849" s="541"/>
      <c r="S849" s="541"/>
    </row>
    <row r="850">
      <c r="A850" s="2688"/>
      <c r="B850" s="195"/>
      <c r="C850" s="195"/>
      <c r="D850" s="195"/>
      <c r="E850" s="195"/>
      <c r="F850" s="195"/>
      <c r="G850" s="195"/>
      <c r="H850" s="195"/>
      <c r="I850" s="195"/>
      <c r="J850" s="2689"/>
      <c r="K850" s="195"/>
      <c r="M850" s="633"/>
      <c r="N850" s="541"/>
      <c r="O850" s="541"/>
      <c r="P850" s="541"/>
      <c r="Q850" s="541"/>
      <c r="R850" s="541"/>
      <c r="S850" s="541"/>
    </row>
    <row r="851">
      <c r="A851" s="2688"/>
      <c r="B851" s="195"/>
      <c r="C851" s="195"/>
      <c r="D851" s="195"/>
      <c r="E851" s="195"/>
      <c r="F851" s="195"/>
      <c r="G851" s="195"/>
      <c r="H851" s="195"/>
      <c r="I851" s="195"/>
      <c r="J851" s="2689"/>
      <c r="K851" s="195"/>
      <c r="M851" s="633"/>
      <c r="N851" s="541"/>
      <c r="O851" s="541"/>
      <c r="P851" s="541"/>
      <c r="Q851" s="541"/>
      <c r="R851" s="541"/>
      <c r="S851" s="541"/>
    </row>
    <row r="852">
      <c r="A852" s="2688"/>
      <c r="B852" s="195"/>
      <c r="C852" s="195"/>
      <c r="D852" s="195"/>
      <c r="E852" s="195"/>
      <c r="F852" s="195"/>
      <c r="G852" s="195"/>
      <c r="H852" s="195"/>
      <c r="I852" s="195"/>
      <c r="J852" s="2689"/>
      <c r="K852" s="195"/>
      <c r="M852" s="633"/>
      <c r="N852" s="541"/>
      <c r="O852" s="541"/>
      <c r="P852" s="541"/>
      <c r="Q852" s="541"/>
      <c r="R852" s="541"/>
      <c r="S852" s="541"/>
    </row>
    <row r="853">
      <c r="A853" s="2688"/>
      <c r="B853" s="195"/>
      <c r="C853" s="195"/>
      <c r="D853" s="195"/>
      <c r="E853" s="195"/>
      <c r="F853" s="195"/>
      <c r="G853" s="195"/>
      <c r="H853" s="195"/>
      <c r="I853" s="195"/>
      <c r="J853" s="2689"/>
      <c r="K853" s="195"/>
      <c r="M853" s="633"/>
      <c r="N853" s="541"/>
      <c r="O853" s="541"/>
      <c r="P853" s="541"/>
      <c r="Q853" s="541"/>
      <c r="R853" s="541"/>
      <c r="S853" s="541"/>
    </row>
    <row r="854">
      <c r="A854" s="2688"/>
      <c r="B854" s="195"/>
      <c r="C854" s="195"/>
      <c r="D854" s="195"/>
      <c r="E854" s="195"/>
      <c r="F854" s="195"/>
      <c r="G854" s="195"/>
      <c r="H854" s="195"/>
      <c r="I854" s="195"/>
      <c r="J854" s="2689"/>
      <c r="K854" s="195"/>
      <c r="M854" s="633"/>
      <c r="N854" s="541"/>
      <c r="O854" s="541"/>
      <c r="P854" s="541"/>
      <c r="Q854" s="541"/>
      <c r="R854" s="541"/>
      <c r="S854" s="541"/>
    </row>
    <row r="855">
      <c r="A855" s="2688"/>
      <c r="B855" s="195"/>
      <c r="C855" s="195"/>
      <c r="D855" s="195"/>
      <c r="E855" s="195"/>
      <c r="F855" s="195"/>
      <c r="G855" s="195"/>
      <c r="H855" s="195"/>
      <c r="I855" s="195"/>
      <c r="J855" s="2689"/>
      <c r="K855" s="195"/>
      <c r="M855" s="633"/>
      <c r="N855" s="541"/>
      <c r="O855" s="541"/>
      <c r="P855" s="541"/>
      <c r="Q855" s="541"/>
      <c r="R855" s="541"/>
      <c r="S855" s="541"/>
    </row>
    <row r="856">
      <c r="A856" s="2688"/>
      <c r="B856" s="195"/>
      <c r="C856" s="195"/>
      <c r="D856" s="195"/>
      <c r="E856" s="195"/>
      <c r="F856" s="195"/>
      <c r="G856" s="195"/>
      <c r="H856" s="195"/>
      <c r="I856" s="195"/>
      <c r="J856" s="2689"/>
      <c r="K856" s="195"/>
      <c r="M856" s="633"/>
      <c r="N856" s="541"/>
      <c r="O856" s="541"/>
      <c r="P856" s="541"/>
      <c r="Q856" s="541"/>
      <c r="R856" s="541"/>
      <c r="S856" s="541"/>
    </row>
    <row r="857">
      <c r="A857" s="2688"/>
      <c r="B857" s="195"/>
      <c r="C857" s="195"/>
      <c r="D857" s="195"/>
      <c r="E857" s="195"/>
      <c r="F857" s="195"/>
      <c r="G857" s="195"/>
      <c r="H857" s="195"/>
      <c r="I857" s="195"/>
      <c r="J857" s="2689"/>
      <c r="K857" s="195"/>
      <c r="M857" s="633"/>
      <c r="N857" s="541"/>
      <c r="O857" s="541"/>
      <c r="P857" s="541"/>
      <c r="Q857" s="541"/>
      <c r="R857" s="541"/>
      <c r="S857" s="541"/>
    </row>
    <row r="858">
      <c r="A858" s="2688"/>
      <c r="B858" s="195"/>
      <c r="C858" s="195"/>
      <c r="D858" s="195"/>
      <c r="E858" s="195"/>
      <c r="F858" s="195"/>
      <c r="G858" s="195"/>
      <c r="H858" s="195"/>
      <c r="I858" s="195"/>
      <c r="J858" s="2689"/>
      <c r="K858" s="195"/>
      <c r="M858" s="633"/>
      <c r="N858" s="541"/>
      <c r="O858" s="541"/>
      <c r="P858" s="541"/>
      <c r="Q858" s="541"/>
      <c r="R858" s="541"/>
      <c r="S858" s="541"/>
    </row>
    <row r="859">
      <c r="A859" s="2688"/>
      <c r="B859" s="195"/>
      <c r="C859" s="195"/>
      <c r="D859" s="195"/>
      <c r="E859" s="195"/>
      <c r="F859" s="195"/>
      <c r="G859" s="195"/>
      <c r="H859" s="195"/>
      <c r="I859" s="195"/>
      <c r="J859" s="2689"/>
      <c r="K859" s="195"/>
      <c r="M859" s="633"/>
      <c r="N859" s="541"/>
      <c r="O859" s="541"/>
      <c r="P859" s="541"/>
      <c r="Q859" s="541"/>
      <c r="R859" s="541"/>
      <c r="S859" s="541"/>
    </row>
    <row r="860">
      <c r="A860" s="2688"/>
      <c r="B860" s="195"/>
      <c r="C860" s="195"/>
      <c r="D860" s="195"/>
      <c r="E860" s="195"/>
      <c r="F860" s="195"/>
      <c r="G860" s="195"/>
      <c r="H860" s="195"/>
      <c r="I860" s="195"/>
      <c r="J860" s="2689"/>
      <c r="K860" s="195"/>
      <c r="M860" s="633"/>
      <c r="N860" s="541"/>
      <c r="O860" s="541"/>
      <c r="P860" s="541"/>
      <c r="Q860" s="541"/>
      <c r="R860" s="541"/>
      <c r="S860" s="541"/>
    </row>
    <row r="861">
      <c r="A861" s="2688"/>
      <c r="B861" s="195"/>
      <c r="C861" s="195"/>
      <c r="D861" s="195"/>
      <c r="E861" s="195"/>
      <c r="F861" s="195"/>
      <c r="G861" s="195"/>
      <c r="H861" s="195"/>
      <c r="I861" s="195"/>
      <c r="J861" s="2689"/>
      <c r="K861" s="195"/>
      <c r="M861" s="633"/>
      <c r="N861" s="541"/>
      <c r="O861" s="541"/>
      <c r="P861" s="541"/>
      <c r="Q861" s="541"/>
      <c r="R861" s="541"/>
      <c r="S861" s="541"/>
    </row>
    <row r="862">
      <c r="A862" s="2688"/>
      <c r="B862" s="195"/>
      <c r="C862" s="195"/>
      <c r="D862" s="195"/>
      <c r="E862" s="195"/>
      <c r="F862" s="195"/>
      <c r="G862" s="195"/>
      <c r="H862" s="195"/>
      <c r="I862" s="195"/>
      <c r="J862" s="2689"/>
      <c r="K862" s="195"/>
      <c r="M862" s="633"/>
      <c r="N862" s="541"/>
      <c r="O862" s="541"/>
      <c r="P862" s="541"/>
      <c r="Q862" s="541"/>
      <c r="R862" s="541"/>
      <c r="S862" s="541"/>
    </row>
    <row r="863">
      <c r="A863" s="2688"/>
      <c r="B863" s="195"/>
      <c r="C863" s="195"/>
      <c r="D863" s="195"/>
      <c r="E863" s="195"/>
      <c r="F863" s="195"/>
      <c r="G863" s="195"/>
      <c r="H863" s="195"/>
      <c r="I863" s="195"/>
      <c r="J863" s="2689"/>
      <c r="K863" s="195"/>
      <c r="M863" s="633"/>
      <c r="N863" s="541"/>
      <c r="O863" s="541"/>
      <c r="P863" s="541"/>
      <c r="Q863" s="541"/>
      <c r="R863" s="541"/>
      <c r="S863" s="541"/>
    </row>
    <row r="864">
      <c r="A864" s="2688"/>
      <c r="B864" s="195"/>
      <c r="C864" s="195"/>
      <c r="D864" s="195"/>
      <c r="E864" s="195"/>
      <c r="F864" s="195"/>
      <c r="G864" s="195"/>
      <c r="H864" s="195"/>
      <c r="I864" s="195"/>
      <c r="J864" s="2689"/>
      <c r="K864" s="195"/>
      <c r="M864" s="633"/>
      <c r="N864" s="541"/>
      <c r="O864" s="541"/>
      <c r="P864" s="541"/>
      <c r="Q864" s="541"/>
      <c r="R864" s="541"/>
      <c r="S864" s="541"/>
    </row>
    <row r="865">
      <c r="A865" s="2688"/>
      <c r="B865" s="195"/>
      <c r="C865" s="195"/>
      <c r="D865" s="195"/>
      <c r="E865" s="195"/>
      <c r="F865" s="195"/>
      <c r="G865" s="195"/>
      <c r="H865" s="195"/>
      <c r="I865" s="195"/>
      <c r="J865" s="2689"/>
      <c r="K865" s="195"/>
      <c r="M865" s="633"/>
      <c r="N865" s="541"/>
      <c r="O865" s="541"/>
      <c r="P865" s="541"/>
      <c r="Q865" s="541"/>
      <c r="R865" s="541"/>
      <c r="S865" s="541"/>
    </row>
    <row r="866">
      <c r="A866" s="2688"/>
      <c r="B866" s="195"/>
      <c r="C866" s="195"/>
      <c r="D866" s="195"/>
      <c r="E866" s="195"/>
      <c r="F866" s="195"/>
      <c r="G866" s="195"/>
      <c r="H866" s="195"/>
      <c r="I866" s="195"/>
      <c r="J866" s="2689"/>
      <c r="K866" s="195"/>
      <c r="M866" s="633"/>
      <c r="N866" s="541"/>
      <c r="O866" s="541"/>
      <c r="P866" s="541"/>
      <c r="Q866" s="541"/>
      <c r="R866" s="541"/>
      <c r="S866" s="541"/>
    </row>
    <row r="867">
      <c r="A867" s="2688"/>
      <c r="B867" s="195"/>
      <c r="C867" s="195"/>
      <c r="D867" s="195"/>
      <c r="E867" s="195"/>
      <c r="F867" s="195"/>
      <c r="G867" s="195"/>
      <c r="H867" s="195"/>
      <c r="I867" s="195"/>
      <c r="J867" s="2689"/>
      <c r="K867" s="195"/>
      <c r="M867" s="633"/>
      <c r="N867" s="541"/>
      <c r="O867" s="541"/>
      <c r="P867" s="541"/>
      <c r="Q867" s="541"/>
      <c r="R867" s="541"/>
      <c r="S867" s="541"/>
    </row>
    <row r="868">
      <c r="A868" s="2688"/>
      <c r="B868" s="195"/>
      <c r="C868" s="195"/>
      <c r="D868" s="195"/>
      <c r="E868" s="195"/>
      <c r="F868" s="195"/>
      <c r="G868" s="195"/>
      <c r="H868" s="195"/>
      <c r="I868" s="195"/>
      <c r="J868" s="2689"/>
      <c r="K868" s="195"/>
      <c r="M868" s="633"/>
      <c r="N868" s="541"/>
      <c r="O868" s="541"/>
      <c r="P868" s="541"/>
      <c r="Q868" s="541"/>
      <c r="R868" s="541"/>
      <c r="S868" s="541"/>
    </row>
    <row r="869">
      <c r="A869" s="2688"/>
      <c r="B869" s="195"/>
      <c r="C869" s="195"/>
      <c r="D869" s="195"/>
      <c r="E869" s="195"/>
      <c r="F869" s="195"/>
      <c r="G869" s="195"/>
      <c r="H869" s="195"/>
      <c r="I869" s="195"/>
      <c r="J869" s="2689"/>
      <c r="K869" s="195"/>
      <c r="M869" s="633"/>
      <c r="N869" s="541"/>
      <c r="O869" s="541"/>
      <c r="P869" s="541"/>
      <c r="Q869" s="541"/>
      <c r="R869" s="541"/>
      <c r="S869" s="541"/>
    </row>
    <row r="870">
      <c r="A870" s="2688"/>
      <c r="B870" s="195"/>
      <c r="C870" s="195"/>
      <c r="D870" s="195"/>
      <c r="E870" s="195"/>
      <c r="F870" s="195"/>
      <c r="G870" s="195"/>
      <c r="H870" s="195"/>
      <c r="I870" s="195"/>
      <c r="J870" s="2689"/>
      <c r="K870" s="195"/>
      <c r="M870" s="633"/>
      <c r="N870" s="541"/>
      <c r="O870" s="541"/>
      <c r="P870" s="541"/>
      <c r="Q870" s="541"/>
      <c r="R870" s="541"/>
      <c r="S870" s="541"/>
    </row>
    <row r="871">
      <c r="A871" s="2688"/>
      <c r="B871" s="195"/>
      <c r="C871" s="195"/>
      <c r="D871" s="195"/>
      <c r="E871" s="195"/>
      <c r="F871" s="195"/>
      <c r="G871" s="195"/>
      <c r="H871" s="195"/>
      <c r="I871" s="195"/>
      <c r="J871" s="2689"/>
      <c r="K871" s="195"/>
      <c r="M871" s="633"/>
      <c r="N871" s="541"/>
      <c r="O871" s="541"/>
      <c r="P871" s="541"/>
      <c r="Q871" s="541"/>
      <c r="R871" s="541"/>
      <c r="S871" s="541"/>
    </row>
    <row r="872">
      <c r="A872" s="2688"/>
      <c r="B872" s="195"/>
      <c r="C872" s="195"/>
      <c r="D872" s="195"/>
      <c r="E872" s="195"/>
      <c r="F872" s="195"/>
      <c r="G872" s="195"/>
      <c r="H872" s="195"/>
      <c r="I872" s="195"/>
      <c r="J872" s="2689"/>
      <c r="K872" s="195"/>
      <c r="M872" s="633"/>
      <c r="N872" s="541"/>
      <c r="O872" s="541"/>
      <c r="P872" s="541"/>
      <c r="Q872" s="541"/>
      <c r="R872" s="541"/>
      <c r="S872" s="541"/>
    </row>
    <row r="873">
      <c r="A873" s="2688"/>
      <c r="B873" s="195"/>
      <c r="C873" s="195"/>
      <c r="D873" s="195"/>
      <c r="E873" s="195"/>
      <c r="F873" s="195"/>
      <c r="G873" s="195"/>
      <c r="H873" s="195"/>
      <c r="I873" s="195"/>
      <c r="J873" s="2689"/>
      <c r="K873" s="195"/>
      <c r="M873" s="633"/>
      <c r="N873" s="541"/>
      <c r="O873" s="541"/>
      <c r="P873" s="541"/>
      <c r="Q873" s="541"/>
      <c r="R873" s="541"/>
      <c r="S873" s="541"/>
    </row>
    <row r="874">
      <c r="A874" s="2688"/>
      <c r="B874" s="195"/>
      <c r="C874" s="195"/>
      <c r="D874" s="195"/>
      <c r="E874" s="195"/>
      <c r="F874" s="195"/>
      <c r="G874" s="195"/>
      <c r="H874" s="195"/>
      <c r="I874" s="195"/>
      <c r="J874" s="2689"/>
      <c r="K874" s="195"/>
      <c r="M874" s="633"/>
      <c r="N874" s="541"/>
      <c r="O874" s="541"/>
      <c r="P874" s="541"/>
      <c r="Q874" s="541"/>
      <c r="R874" s="541"/>
      <c r="S874" s="541"/>
    </row>
    <row r="875">
      <c r="A875" s="2688"/>
      <c r="B875" s="195"/>
      <c r="C875" s="195"/>
      <c r="D875" s="195"/>
      <c r="E875" s="195"/>
      <c r="F875" s="195"/>
      <c r="G875" s="195"/>
      <c r="H875" s="195"/>
      <c r="I875" s="195"/>
      <c r="J875" s="2689"/>
      <c r="K875" s="195"/>
      <c r="M875" s="633"/>
      <c r="N875" s="541"/>
      <c r="O875" s="541"/>
      <c r="P875" s="541"/>
      <c r="Q875" s="541"/>
      <c r="R875" s="541"/>
      <c r="S875" s="541"/>
    </row>
    <row r="876">
      <c r="A876" s="2688"/>
      <c r="B876" s="195"/>
      <c r="C876" s="195"/>
      <c r="D876" s="195"/>
      <c r="E876" s="195"/>
      <c r="F876" s="195"/>
      <c r="G876" s="195"/>
      <c r="H876" s="195"/>
      <c r="I876" s="195"/>
      <c r="J876" s="2689"/>
      <c r="K876" s="195"/>
      <c r="M876" s="633"/>
      <c r="N876" s="541"/>
      <c r="O876" s="541"/>
      <c r="P876" s="541"/>
      <c r="Q876" s="541"/>
      <c r="R876" s="541"/>
      <c r="S876" s="541"/>
    </row>
    <row r="877">
      <c r="A877" s="2688"/>
      <c r="B877" s="195"/>
      <c r="C877" s="195"/>
      <c r="D877" s="195"/>
      <c r="E877" s="195"/>
      <c r="F877" s="195"/>
      <c r="G877" s="195"/>
      <c r="H877" s="195"/>
      <c r="I877" s="195"/>
      <c r="J877" s="2689"/>
      <c r="K877" s="195"/>
      <c r="M877" s="633"/>
      <c r="N877" s="541"/>
      <c r="O877" s="541"/>
      <c r="P877" s="541"/>
      <c r="Q877" s="541"/>
      <c r="R877" s="541"/>
      <c r="S877" s="541"/>
    </row>
    <row r="878">
      <c r="A878" s="2688"/>
      <c r="B878" s="195"/>
      <c r="C878" s="195"/>
      <c r="D878" s="195"/>
      <c r="E878" s="195"/>
      <c r="F878" s="195"/>
      <c r="G878" s="195"/>
      <c r="H878" s="195"/>
      <c r="I878" s="195"/>
      <c r="J878" s="2689"/>
      <c r="K878" s="195"/>
      <c r="M878" s="633"/>
      <c r="N878" s="541"/>
      <c r="O878" s="541"/>
      <c r="P878" s="541"/>
      <c r="Q878" s="541"/>
      <c r="R878" s="541"/>
      <c r="S878" s="541"/>
    </row>
    <row r="879">
      <c r="A879" s="2688"/>
      <c r="B879" s="195"/>
      <c r="C879" s="195"/>
      <c r="D879" s="195"/>
      <c r="E879" s="195"/>
      <c r="F879" s="195"/>
      <c r="G879" s="195"/>
      <c r="H879" s="195"/>
      <c r="I879" s="195"/>
      <c r="J879" s="2689"/>
      <c r="K879" s="195"/>
      <c r="M879" s="633"/>
      <c r="N879" s="541"/>
      <c r="O879" s="541"/>
      <c r="P879" s="541"/>
      <c r="Q879" s="541"/>
      <c r="R879" s="541"/>
      <c r="S879" s="541"/>
    </row>
    <row r="880">
      <c r="A880" s="2688"/>
      <c r="B880" s="195"/>
      <c r="C880" s="195"/>
      <c r="D880" s="195"/>
      <c r="E880" s="195"/>
      <c r="F880" s="195"/>
      <c r="G880" s="195"/>
      <c r="H880" s="195"/>
      <c r="I880" s="195"/>
      <c r="J880" s="2689"/>
      <c r="K880" s="195"/>
      <c r="M880" s="633"/>
      <c r="N880" s="541"/>
      <c r="O880" s="541"/>
      <c r="P880" s="541"/>
      <c r="Q880" s="541"/>
      <c r="R880" s="541"/>
      <c r="S880" s="541"/>
    </row>
    <row r="881">
      <c r="A881" s="2688"/>
      <c r="B881" s="195"/>
      <c r="C881" s="195"/>
      <c r="D881" s="195"/>
      <c r="E881" s="195"/>
      <c r="F881" s="195"/>
      <c r="G881" s="195"/>
      <c r="H881" s="195"/>
      <c r="I881" s="195"/>
      <c r="J881" s="2689"/>
      <c r="K881" s="195"/>
      <c r="M881" s="633"/>
      <c r="N881" s="541"/>
      <c r="O881" s="541"/>
      <c r="P881" s="541"/>
      <c r="Q881" s="541"/>
      <c r="R881" s="541"/>
      <c r="S881" s="541"/>
    </row>
    <row r="882">
      <c r="A882" s="2688"/>
      <c r="B882" s="195"/>
      <c r="C882" s="195"/>
      <c r="D882" s="195"/>
      <c r="E882" s="195"/>
      <c r="F882" s="195"/>
      <c r="G882" s="195"/>
      <c r="H882" s="195"/>
      <c r="I882" s="195"/>
      <c r="J882" s="2689"/>
      <c r="K882" s="195"/>
      <c r="M882" s="633"/>
      <c r="N882" s="541"/>
      <c r="O882" s="541"/>
      <c r="P882" s="541"/>
      <c r="Q882" s="541"/>
      <c r="R882" s="541"/>
      <c r="S882" s="541"/>
    </row>
    <row r="883">
      <c r="A883" s="2688"/>
      <c r="B883" s="195"/>
      <c r="C883" s="195"/>
      <c r="D883" s="195"/>
      <c r="E883" s="195"/>
      <c r="F883" s="195"/>
      <c r="G883" s="195"/>
      <c r="H883" s="195"/>
      <c r="I883" s="195"/>
      <c r="J883" s="2689"/>
      <c r="K883" s="195"/>
      <c r="M883" s="633"/>
      <c r="N883" s="541"/>
      <c r="O883" s="541"/>
      <c r="P883" s="541"/>
      <c r="Q883" s="541"/>
      <c r="R883" s="541"/>
      <c r="S883" s="541"/>
    </row>
    <row r="884">
      <c r="A884" s="2688"/>
      <c r="B884" s="195"/>
      <c r="C884" s="195"/>
      <c r="D884" s="195"/>
      <c r="E884" s="195"/>
      <c r="F884" s="195"/>
      <c r="G884" s="195"/>
      <c r="H884" s="195"/>
      <c r="I884" s="195"/>
      <c r="J884" s="2689"/>
      <c r="K884" s="195"/>
      <c r="M884" s="633"/>
      <c r="N884" s="541"/>
      <c r="O884" s="541"/>
      <c r="P884" s="541"/>
      <c r="Q884" s="541"/>
      <c r="R884" s="541"/>
      <c r="S884" s="541"/>
    </row>
    <row r="885">
      <c r="A885" s="2688"/>
      <c r="B885" s="195"/>
      <c r="C885" s="195"/>
      <c r="D885" s="195"/>
      <c r="E885" s="195"/>
      <c r="F885" s="195"/>
      <c r="G885" s="195"/>
      <c r="H885" s="195"/>
      <c r="I885" s="195"/>
      <c r="J885" s="2689"/>
      <c r="K885" s="195"/>
      <c r="M885" s="633"/>
      <c r="N885" s="541"/>
      <c r="O885" s="541"/>
      <c r="P885" s="541"/>
      <c r="Q885" s="541"/>
      <c r="R885" s="541"/>
      <c r="S885" s="541"/>
    </row>
    <row r="886">
      <c r="A886" s="2688"/>
      <c r="B886" s="195"/>
      <c r="C886" s="195"/>
      <c r="D886" s="195"/>
      <c r="E886" s="195"/>
      <c r="F886" s="195"/>
      <c r="G886" s="195"/>
      <c r="H886" s="195"/>
      <c r="I886" s="195"/>
      <c r="J886" s="2689"/>
      <c r="K886" s="195"/>
      <c r="M886" s="633"/>
      <c r="N886" s="541"/>
      <c r="O886" s="541"/>
      <c r="P886" s="541"/>
      <c r="Q886" s="541"/>
      <c r="R886" s="541"/>
      <c r="S886" s="541"/>
    </row>
    <row r="887">
      <c r="A887" s="2688"/>
      <c r="B887" s="195"/>
      <c r="C887" s="195"/>
      <c r="D887" s="195"/>
      <c r="E887" s="195"/>
      <c r="F887" s="195"/>
      <c r="G887" s="195"/>
      <c r="H887" s="195"/>
      <c r="I887" s="195"/>
      <c r="J887" s="2689"/>
      <c r="K887" s="195"/>
      <c r="M887" s="633"/>
      <c r="N887" s="541"/>
      <c r="O887" s="541"/>
      <c r="P887" s="541"/>
      <c r="Q887" s="541"/>
      <c r="R887" s="541"/>
      <c r="S887" s="541"/>
    </row>
    <row r="888">
      <c r="A888" s="2688"/>
      <c r="B888" s="195"/>
      <c r="C888" s="195"/>
      <c r="D888" s="195"/>
      <c r="E888" s="195"/>
      <c r="F888" s="195"/>
      <c r="G888" s="195"/>
      <c r="H888" s="195"/>
      <c r="I888" s="195"/>
      <c r="J888" s="2689"/>
      <c r="K888" s="195"/>
      <c r="M888" s="633"/>
      <c r="N888" s="541"/>
      <c r="O888" s="541"/>
      <c r="P888" s="541"/>
      <c r="Q888" s="541"/>
      <c r="R888" s="541"/>
      <c r="S888" s="541"/>
    </row>
    <row r="889">
      <c r="A889" s="2688"/>
      <c r="B889" s="195"/>
      <c r="C889" s="195"/>
      <c r="D889" s="195"/>
      <c r="E889" s="195"/>
      <c r="F889" s="195"/>
      <c r="G889" s="195"/>
      <c r="H889" s="195"/>
      <c r="I889" s="195"/>
      <c r="J889" s="2689"/>
      <c r="K889" s="195"/>
      <c r="M889" s="633"/>
      <c r="N889" s="541"/>
      <c r="O889" s="541"/>
      <c r="P889" s="541"/>
      <c r="Q889" s="541"/>
      <c r="R889" s="541"/>
      <c r="S889" s="541"/>
    </row>
    <row r="890">
      <c r="A890" s="2688"/>
      <c r="B890" s="195"/>
      <c r="C890" s="195"/>
      <c r="D890" s="195"/>
      <c r="E890" s="195"/>
      <c r="F890" s="195"/>
      <c r="G890" s="195"/>
      <c r="H890" s="195"/>
      <c r="I890" s="195"/>
      <c r="J890" s="2689"/>
      <c r="K890" s="195"/>
      <c r="M890" s="633"/>
      <c r="N890" s="541"/>
      <c r="O890" s="541"/>
      <c r="P890" s="541"/>
      <c r="Q890" s="541"/>
      <c r="R890" s="541"/>
      <c r="S890" s="541"/>
    </row>
    <row r="891">
      <c r="A891" s="2688"/>
      <c r="B891" s="195"/>
      <c r="C891" s="195"/>
      <c r="D891" s="195"/>
      <c r="E891" s="195"/>
      <c r="F891" s="195"/>
      <c r="G891" s="195"/>
      <c r="H891" s="195"/>
      <c r="I891" s="195"/>
      <c r="J891" s="2689"/>
      <c r="K891" s="195"/>
      <c r="M891" s="633"/>
      <c r="N891" s="541"/>
      <c r="O891" s="541"/>
      <c r="P891" s="541"/>
      <c r="Q891" s="541"/>
      <c r="R891" s="541"/>
      <c r="S891" s="541"/>
    </row>
    <row r="892">
      <c r="A892" s="2688"/>
      <c r="B892" s="195"/>
      <c r="C892" s="195"/>
      <c r="D892" s="195"/>
      <c r="E892" s="195"/>
      <c r="F892" s="195"/>
      <c r="G892" s="195"/>
      <c r="H892" s="195"/>
      <c r="I892" s="195"/>
      <c r="J892" s="2689"/>
      <c r="K892" s="195"/>
      <c r="M892" s="633"/>
      <c r="N892" s="541"/>
      <c r="O892" s="541"/>
      <c r="P892" s="541"/>
      <c r="Q892" s="541"/>
      <c r="R892" s="541"/>
      <c r="S892" s="541"/>
    </row>
    <row r="893">
      <c r="A893" s="2688"/>
      <c r="B893" s="195"/>
      <c r="C893" s="195"/>
      <c r="D893" s="195"/>
      <c r="E893" s="195"/>
      <c r="F893" s="195"/>
      <c r="G893" s="195"/>
      <c r="H893" s="195"/>
      <c r="I893" s="195"/>
      <c r="J893" s="2689"/>
      <c r="K893" s="195"/>
      <c r="M893" s="633"/>
      <c r="N893" s="541"/>
      <c r="O893" s="541"/>
      <c r="P893" s="541"/>
      <c r="Q893" s="541"/>
      <c r="R893" s="541"/>
      <c r="S893" s="541"/>
    </row>
    <row r="894">
      <c r="A894" s="2688"/>
      <c r="B894" s="195"/>
      <c r="C894" s="195"/>
      <c r="D894" s="195"/>
      <c r="E894" s="195"/>
      <c r="F894" s="195"/>
      <c r="G894" s="195"/>
      <c r="H894" s="195"/>
      <c r="I894" s="195"/>
      <c r="J894" s="2689"/>
      <c r="K894" s="195"/>
      <c r="M894" s="633"/>
      <c r="N894" s="541"/>
      <c r="O894" s="541"/>
      <c r="P894" s="541"/>
      <c r="Q894" s="541"/>
      <c r="R894" s="541"/>
      <c r="S894" s="541"/>
    </row>
    <row r="895">
      <c r="A895" s="2688"/>
      <c r="B895" s="195"/>
      <c r="C895" s="195"/>
      <c r="D895" s="195"/>
      <c r="E895" s="195"/>
      <c r="F895" s="195"/>
      <c r="G895" s="195"/>
      <c r="H895" s="195"/>
      <c r="I895" s="195"/>
      <c r="J895" s="2689"/>
      <c r="K895" s="195"/>
      <c r="M895" s="633"/>
      <c r="N895" s="541"/>
      <c r="O895" s="541"/>
      <c r="P895" s="541"/>
      <c r="Q895" s="541"/>
      <c r="R895" s="541"/>
      <c r="S895" s="541"/>
    </row>
    <row r="896">
      <c r="A896" s="2688"/>
      <c r="B896" s="195"/>
      <c r="C896" s="195"/>
      <c r="D896" s="195"/>
      <c r="E896" s="195"/>
      <c r="F896" s="195"/>
      <c r="G896" s="195"/>
      <c r="H896" s="195"/>
      <c r="I896" s="195"/>
      <c r="J896" s="2689"/>
      <c r="K896" s="195"/>
      <c r="M896" s="633"/>
      <c r="N896" s="541"/>
      <c r="O896" s="541"/>
      <c r="P896" s="541"/>
      <c r="Q896" s="541"/>
      <c r="R896" s="541"/>
      <c r="S896" s="541"/>
    </row>
    <row r="897">
      <c r="A897" s="2688"/>
      <c r="B897" s="195"/>
      <c r="C897" s="195"/>
      <c r="D897" s="195"/>
      <c r="E897" s="195"/>
      <c r="F897" s="195"/>
      <c r="G897" s="195"/>
      <c r="H897" s="195"/>
      <c r="I897" s="195"/>
      <c r="J897" s="2689"/>
      <c r="K897" s="195"/>
      <c r="M897" s="633"/>
      <c r="N897" s="541"/>
      <c r="O897" s="541"/>
      <c r="P897" s="541"/>
      <c r="Q897" s="541"/>
      <c r="R897" s="541"/>
      <c r="S897" s="541"/>
    </row>
    <row r="898">
      <c r="A898" s="2688"/>
      <c r="B898" s="195"/>
      <c r="C898" s="195"/>
      <c r="D898" s="195"/>
      <c r="E898" s="195"/>
      <c r="F898" s="195"/>
      <c r="G898" s="195"/>
      <c r="H898" s="195"/>
      <c r="I898" s="195"/>
      <c r="J898" s="2689"/>
      <c r="K898" s="195"/>
      <c r="M898" s="633"/>
      <c r="N898" s="541"/>
      <c r="O898" s="541"/>
      <c r="P898" s="541"/>
      <c r="Q898" s="541"/>
      <c r="R898" s="541"/>
      <c r="S898" s="541"/>
    </row>
    <row r="899">
      <c r="A899" s="2688"/>
      <c r="B899" s="195"/>
      <c r="C899" s="195"/>
      <c r="D899" s="195"/>
      <c r="E899" s="195"/>
      <c r="F899" s="195"/>
      <c r="G899" s="195"/>
      <c r="H899" s="195"/>
      <c r="I899" s="195"/>
      <c r="J899" s="2689"/>
      <c r="K899" s="195"/>
      <c r="M899" s="633"/>
      <c r="N899" s="541"/>
      <c r="O899" s="541"/>
      <c r="P899" s="541"/>
      <c r="Q899" s="541"/>
      <c r="R899" s="541"/>
      <c r="S899" s="541"/>
    </row>
    <row r="900">
      <c r="A900" s="2688"/>
      <c r="B900" s="195"/>
      <c r="C900" s="195"/>
      <c r="D900" s="195"/>
      <c r="E900" s="195"/>
      <c r="F900" s="195"/>
      <c r="G900" s="195"/>
      <c r="H900" s="195"/>
      <c r="I900" s="195"/>
      <c r="J900" s="2689"/>
      <c r="K900" s="195"/>
      <c r="M900" s="633"/>
      <c r="N900" s="541"/>
      <c r="O900" s="541"/>
      <c r="P900" s="541"/>
      <c r="Q900" s="541"/>
      <c r="R900" s="541"/>
      <c r="S900" s="541"/>
    </row>
    <row r="901">
      <c r="A901" s="2688"/>
      <c r="B901" s="195"/>
      <c r="C901" s="195"/>
      <c r="D901" s="195"/>
      <c r="E901" s="195"/>
      <c r="F901" s="195"/>
      <c r="G901" s="195"/>
      <c r="H901" s="195"/>
      <c r="I901" s="195"/>
      <c r="J901" s="2689"/>
      <c r="K901" s="195"/>
      <c r="M901" s="633"/>
      <c r="N901" s="541"/>
      <c r="O901" s="541"/>
      <c r="P901" s="541"/>
      <c r="Q901" s="541"/>
      <c r="R901" s="541"/>
      <c r="S901" s="541"/>
    </row>
    <row r="902">
      <c r="A902" s="2688"/>
      <c r="B902" s="195"/>
      <c r="C902" s="195"/>
      <c r="D902" s="195"/>
      <c r="E902" s="195"/>
      <c r="F902" s="195"/>
      <c r="G902" s="195"/>
      <c r="H902" s="195"/>
      <c r="I902" s="195"/>
      <c r="J902" s="2689"/>
      <c r="K902" s="195"/>
      <c r="M902" s="633"/>
      <c r="N902" s="541"/>
      <c r="O902" s="541"/>
      <c r="P902" s="541"/>
      <c r="Q902" s="541"/>
      <c r="R902" s="541"/>
      <c r="S902" s="541"/>
    </row>
    <row r="903">
      <c r="A903" s="2688"/>
      <c r="B903" s="195"/>
      <c r="C903" s="195"/>
      <c r="D903" s="195"/>
      <c r="E903" s="195"/>
      <c r="F903" s="195"/>
      <c r="G903" s="195"/>
      <c r="H903" s="195"/>
      <c r="I903" s="195"/>
      <c r="J903" s="2689"/>
      <c r="K903" s="195"/>
      <c r="M903" s="633"/>
      <c r="N903" s="541"/>
      <c r="O903" s="541"/>
      <c r="P903" s="541"/>
      <c r="Q903" s="541"/>
      <c r="R903" s="541"/>
      <c r="S903" s="541"/>
    </row>
    <row r="904">
      <c r="A904" s="2688"/>
      <c r="B904" s="195"/>
      <c r="C904" s="195"/>
      <c r="D904" s="195"/>
      <c r="E904" s="195"/>
      <c r="F904" s="195"/>
      <c r="G904" s="195"/>
      <c r="H904" s="195"/>
      <c r="I904" s="195"/>
      <c r="J904" s="2689"/>
      <c r="K904" s="195"/>
      <c r="M904" s="633"/>
      <c r="N904" s="541"/>
      <c r="O904" s="541"/>
      <c r="P904" s="541"/>
      <c r="Q904" s="541"/>
      <c r="R904" s="541"/>
      <c r="S904" s="541"/>
    </row>
    <row r="905">
      <c r="A905" s="2688"/>
      <c r="B905" s="195"/>
      <c r="C905" s="195"/>
      <c r="D905" s="195"/>
      <c r="E905" s="195"/>
      <c r="F905" s="195"/>
      <c r="G905" s="195"/>
      <c r="H905" s="195"/>
      <c r="I905" s="195"/>
      <c r="J905" s="2689"/>
      <c r="K905" s="195"/>
      <c r="M905" s="633"/>
      <c r="N905" s="541"/>
      <c r="O905" s="541"/>
      <c r="P905" s="541"/>
      <c r="Q905" s="541"/>
      <c r="R905" s="541"/>
      <c r="S905" s="541"/>
    </row>
    <row r="906">
      <c r="A906" s="2688"/>
      <c r="B906" s="195"/>
      <c r="C906" s="195"/>
      <c r="D906" s="195"/>
      <c r="E906" s="195"/>
      <c r="F906" s="195"/>
      <c r="G906" s="195"/>
      <c r="H906" s="195"/>
      <c r="I906" s="195"/>
      <c r="J906" s="2689"/>
      <c r="K906" s="195"/>
      <c r="M906" s="633"/>
      <c r="N906" s="541"/>
      <c r="O906" s="541"/>
      <c r="P906" s="541"/>
      <c r="Q906" s="541"/>
      <c r="R906" s="541"/>
      <c r="S906" s="541"/>
    </row>
    <row r="907">
      <c r="A907" s="2688"/>
      <c r="B907" s="195"/>
      <c r="C907" s="195"/>
      <c r="D907" s="195"/>
      <c r="E907" s="195"/>
      <c r="F907" s="195"/>
      <c r="G907" s="195"/>
      <c r="H907" s="195"/>
      <c r="I907" s="195"/>
      <c r="J907" s="2689"/>
      <c r="K907" s="195"/>
      <c r="M907" s="633"/>
      <c r="N907" s="541"/>
      <c r="O907" s="541"/>
      <c r="P907" s="541"/>
      <c r="Q907" s="541"/>
      <c r="R907" s="541"/>
      <c r="S907" s="541"/>
    </row>
    <row r="908">
      <c r="A908" s="2688"/>
      <c r="B908" s="195"/>
      <c r="C908" s="195"/>
      <c r="D908" s="195"/>
      <c r="E908" s="195"/>
      <c r="F908" s="195"/>
      <c r="G908" s="195"/>
      <c r="H908" s="195"/>
      <c r="I908" s="195"/>
      <c r="J908" s="2689"/>
      <c r="K908" s="195"/>
      <c r="M908" s="633"/>
      <c r="N908" s="541"/>
      <c r="O908" s="541"/>
      <c r="P908" s="541"/>
      <c r="Q908" s="541"/>
      <c r="R908" s="541"/>
      <c r="S908" s="541"/>
    </row>
    <row r="909">
      <c r="A909" s="2688"/>
      <c r="B909" s="195"/>
      <c r="C909" s="195"/>
      <c r="D909" s="195"/>
      <c r="E909" s="195"/>
      <c r="F909" s="195"/>
      <c r="G909" s="195"/>
      <c r="H909" s="195"/>
      <c r="I909" s="195"/>
      <c r="J909" s="2689"/>
      <c r="K909" s="195"/>
      <c r="M909" s="633"/>
      <c r="N909" s="541"/>
      <c r="O909" s="541"/>
      <c r="P909" s="541"/>
      <c r="Q909" s="541"/>
      <c r="R909" s="541"/>
      <c r="S909" s="541"/>
    </row>
    <row r="910">
      <c r="A910" s="2688"/>
      <c r="B910" s="195"/>
      <c r="C910" s="195"/>
      <c r="D910" s="195"/>
      <c r="E910" s="195"/>
      <c r="F910" s="195"/>
      <c r="G910" s="195"/>
      <c r="H910" s="195"/>
      <c r="I910" s="195"/>
      <c r="J910" s="2689"/>
      <c r="K910" s="195"/>
      <c r="M910" s="633"/>
      <c r="N910" s="541"/>
      <c r="O910" s="541"/>
      <c r="P910" s="541"/>
      <c r="Q910" s="541"/>
      <c r="R910" s="541"/>
      <c r="S910" s="541"/>
    </row>
    <row r="911">
      <c r="A911" s="2688"/>
      <c r="B911" s="195"/>
      <c r="C911" s="195"/>
      <c r="D911" s="195"/>
      <c r="E911" s="195"/>
      <c r="F911" s="195"/>
      <c r="G911" s="195"/>
      <c r="H911" s="195"/>
      <c r="I911" s="195"/>
      <c r="J911" s="2689"/>
      <c r="K911" s="195"/>
      <c r="M911" s="633"/>
      <c r="N911" s="541"/>
      <c r="O911" s="541"/>
      <c r="P911" s="541"/>
      <c r="Q911" s="541"/>
      <c r="R911" s="541"/>
      <c r="S911" s="541"/>
    </row>
    <row r="912">
      <c r="A912" s="2688"/>
      <c r="B912" s="195"/>
      <c r="C912" s="195"/>
      <c r="D912" s="195"/>
      <c r="E912" s="195"/>
      <c r="F912" s="195"/>
      <c r="G912" s="195"/>
      <c r="H912" s="195"/>
      <c r="I912" s="195"/>
      <c r="J912" s="2689"/>
      <c r="K912" s="195"/>
      <c r="M912" s="633"/>
      <c r="N912" s="541"/>
      <c r="O912" s="541"/>
      <c r="P912" s="541"/>
      <c r="Q912" s="541"/>
      <c r="R912" s="541"/>
      <c r="S912" s="541"/>
    </row>
    <row r="913">
      <c r="A913" s="2688"/>
      <c r="B913" s="195"/>
      <c r="C913" s="195"/>
      <c r="D913" s="195"/>
      <c r="E913" s="195"/>
      <c r="F913" s="195"/>
      <c r="G913" s="195"/>
      <c r="H913" s="195"/>
      <c r="I913" s="195"/>
      <c r="J913" s="2689"/>
      <c r="K913" s="195"/>
      <c r="M913" s="633"/>
      <c r="N913" s="541"/>
      <c r="O913" s="541"/>
      <c r="P913" s="541"/>
      <c r="Q913" s="541"/>
      <c r="R913" s="541"/>
      <c r="S913" s="541"/>
    </row>
    <row r="914">
      <c r="A914" s="2688"/>
      <c r="B914" s="195"/>
      <c r="C914" s="195"/>
      <c r="D914" s="195"/>
      <c r="E914" s="195"/>
      <c r="F914" s="195"/>
      <c r="G914" s="195"/>
      <c r="H914" s="195"/>
      <c r="I914" s="195"/>
      <c r="J914" s="2689"/>
      <c r="K914" s="195"/>
      <c r="M914" s="633"/>
      <c r="N914" s="541"/>
      <c r="O914" s="541"/>
      <c r="P914" s="541"/>
      <c r="Q914" s="541"/>
      <c r="R914" s="541"/>
      <c r="S914" s="541"/>
    </row>
    <row r="915">
      <c r="A915" s="2688"/>
      <c r="B915" s="195"/>
      <c r="C915" s="195"/>
      <c r="D915" s="195"/>
      <c r="E915" s="195"/>
      <c r="F915" s="195"/>
      <c r="G915" s="195"/>
      <c r="H915" s="195"/>
      <c r="I915" s="195"/>
      <c r="J915" s="2689"/>
      <c r="K915" s="195"/>
      <c r="M915" s="633"/>
      <c r="N915" s="541"/>
      <c r="O915" s="541"/>
      <c r="P915" s="541"/>
      <c r="Q915" s="541"/>
      <c r="R915" s="541"/>
      <c r="S915" s="541"/>
    </row>
    <row r="916">
      <c r="A916" s="2688"/>
      <c r="B916" s="195"/>
      <c r="C916" s="195"/>
      <c r="D916" s="195"/>
      <c r="E916" s="195"/>
      <c r="F916" s="195"/>
      <c r="G916" s="195"/>
      <c r="H916" s="195"/>
      <c r="I916" s="195"/>
      <c r="J916" s="2689"/>
      <c r="K916" s="195"/>
      <c r="M916" s="633"/>
      <c r="N916" s="541"/>
      <c r="O916" s="541"/>
      <c r="P916" s="541"/>
      <c r="Q916" s="541"/>
      <c r="R916" s="541"/>
      <c r="S916" s="541"/>
    </row>
    <row r="917">
      <c r="A917" s="2688"/>
      <c r="B917" s="195"/>
      <c r="C917" s="195"/>
      <c r="D917" s="195"/>
      <c r="E917" s="195"/>
      <c r="F917" s="195"/>
      <c r="G917" s="195"/>
      <c r="H917" s="195"/>
      <c r="I917" s="195"/>
      <c r="J917" s="2689"/>
      <c r="K917" s="195"/>
      <c r="M917" s="633"/>
      <c r="N917" s="541"/>
      <c r="O917" s="541"/>
      <c r="P917" s="541"/>
      <c r="Q917" s="541"/>
      <c r="R917" s="541"/>
      <c r="S917" s="541"/>
    </row>
    <row r="918">
      <c r="A918" s="2688"/>
      <c r="B918" s="195"/>
      <c r="C918" s="195"/>
      <c r="D918" s="195"/>
      <c r="E918" s="195"/>
      <c r="F918" s="195"/>
      <c r="G918" s="195"/>
      <c r="H918" s="195"/>
      <c r="I918" s="195"/>
      <c r="J918" s="2689"/>
      <c r="K918" s="195"/>
      <c r="M918" s="633"/>
      <c r="N918" s="541"/>
      <c r="O918" s="541"/>
      <c r="P918" s="541"/>
      <c r="Q918" s="541"/>
      <c r="R918" s="541"/>
      <c r="S918" s="541"/>
    </row>
    <row r="919">
      <c r="A919" s="2688"/>
      <c r="B919" s="195"/>
      <c r="C919" s="195"/>
      <c r="D919" s="195"/>
      <c r="E919" s="195"/>
      <c r="F919" s="195"/>
      <c r="G919" s="195"/>
      <c r="H919" s="195"/>
      <c r="I919" s="195"/>
      <c r="J919" s="2689"/>
      <c r="K919" s="195"/>
      <c r="M919" s="633"/>
      <c r="N919" s="541"/>
      <c r="O919" s="541"/>
      <c r="P919" s="541"/>
      <c r="Q919" s="541"/>
      <c r="R919" s="541"/>
      <c r="S919" s="541"/>
    </row>
    <row r="920">
      <c r="A920" s="2688"/>
      <c r="B920" s="195"/>
      <c r="C920" s="195"/>
      <c r="D920" s="195"/>
      <c r="E920" s="195"/>
      <c r="F920" s="195"/>
      <c r="G920" s="195"/>
      <c r="H920" s="195"/>
      <c r="I920" s="195"/>
      <c r="J920" s="2689"/>
      <c r="K920" s="195"/>
      <c r="M920" s="633"/>
      <c r="N920" s="541"/>
      <c r="O920" s="541"/>
      <c r="P920" s="541"/>
      <c r="Q920" s="541"/>
      <c r="R920" s="541"/>
      <c r="S920" s="541"/>
    </row>
    <row r="921">
      <c r="A921" s="2688"/>
      <c r="B921" s="195"/>
      <c r="C921" s="195"/>
      <c r="D921" s="195"/>
      <c r="E921" s="195"/>
      <c r="F921" s="195"/>
      <c r="G921" s="195"/>
      <c r="H921" s="195"/>
      <c r="I921" s="195"/>
      <c r="J921" s="2689"/>
      <c r="K921" s="195"/>
      <c r="M921" s="633"/>
      <c r="N921" s="541"/>
      <c r="O921" s="541"/>
      <c r="P921" s="541"/>
      <c r="Q921" s="541"/>
      <c r="R921" s="541"/>
      <c r="S921" s="541"/>
    </row>
    <row r="922">
      <c r="A922" s="2688"/>
      <c r="B922" s="195"/>
      <c r="C922" s="195"/>
      <c r="D922" s="195"/>
      <c r="E922" s="195"/>
      <c r="F922" s="195"/>
      <c r="G922" s="195"/>
      <c r="H922" s="195"/>
      <c r="I922" s="195"/>
      <c r="J922" s="2689"/>
      <c r="K922" s="195"/>
      <c r="M922" s="633"/>
      <c r="N922" s="541"/>
      <c r="O922" s="541"/>
      <c r="P922" s="541"/>
      <c r="Q922" s="541"/>
      <c r="R922" s="541"/>
      <c r="S922" s="541"/>
    </row>
    <row r="923">
      <c r="A923" s="2688"/>
      <c r="B923" s="195"/>
      <c r="C923" s="195"/>
      <c r="D923" s="195"/>
      <c r="E923" s="195"/>
      <c r="F923" s="195"/>
      <c r="G923" s="195"/>
      <c r="H923" s="195"/>
      <c r="I923" s="195"/>
      <c r="J923" s="2689"/>
      <c r="K923" s="195"/>
      <c r="M923" s="633"/>
      <c r="N923" s="541"/>
      <c r="O923" s="541"/>
      <c r="P923" s="541"/>
      <c r="Q923" s="541"/>
      <c r="R923" s="541"/>
      <c r="S923" s="541"/>
    </row>
    <row r="924">
      <c r="A924" s="2688"/>
      <c r="B924" s="195"/>
      <c r="C924" s="195"/>
      <c r="D924" s="195"/>
      <c r="E924" s="195"/>
      <c r="F924" s="195"/>
      <c r="G924" s="195"/>
      <c r="H924" s="195"/>
      <c r="I924" s="195"/>
      <c r="J924" s="2689"/>
      <c r="K924" s="195"/>
      <c r="M924" s="633"/>
      <c r="N924" s="541"/>
      <c r="O924" s="541"/>
      <c r="P924" s="541"/>
      <c r="Q924" s="541"/>
      <c r="R924" s="541"/>
      <c r="S924" s="541"/>
    </row>
    <row r="925">
      <c r="A925" s="2688"/>
      <c r="B925" s="195"/>
      <c r="C925" s="195"/>
      <c r="D925" s="195"/>
      <c r="E925" s="195"/>
      <c r="F925" s="195"/>
      <c r="G925" s="195"/>
      <c r="H925" s="195"/>
      <c r="I925" s="195"/>
      <c r="J925" s="2689"/>
      <c r="K925" s="195"/>
      <c r="M925" s="633"/>
      <c r="N925" s="541"/>
      <c r="O925" s="541"/>
      <c r="P925" s="541"/>
      <c r="Q925" s="541"/>
      <c r="R925" s="541"/>
      <c r="S925" s="541"/>
    </row>
    <row r="926">
      <c r="A926" s="2688"/>
      <c r="B926" s="195"/>
      <c r="C926" s="195"/>
      <c r="D926" s="195"/>
      <c r="E926" s="195"/>
      <c r="F926" s="195"/>
      <c r="G926" s="195"/>
      <c r="H926" s="195"/>
      <c r="I926" s="195"/>
      <c r="J926" s="2689"/>
      <c r="K926" s="195"/>
      <c r="M926" s="633"/>
      <c r="N926" s="541"/>
      <c r="O926" s="541"/>
      <c r="P926" s="541"/>
      <c r="Q926" s="541"/>
      <c r="R926" s="541"/>
      <c r="S926" s="541"/>
    </row>
    <row r="927">
      <c r="A927" s="2688"/>
      <c r="B927" s="195"/>
      <c r="C927" s="195"/>
      <c r="D927" s="195"/>
      <c r="E927" s="195"/>
      <c r="F927" s="195"/>
      <c r="G927" s="195"/>
      <c r="H927" s="195"/>
      <c r="I927" s="195"/>
      <c r="J927" s="2689"/>
      <c r="K927" s="195"/>
      <c r="M927" s="633"/>
      <c r="N927" s="541"/>
      <c r="O927" s="541"/>
      <c r="P927" s="541"/>
      <c r="Q927" s="541"/>
      <c r="R927" s="541"/>
      <c r="S927" s="541"/>
    </row>
    <row r="928">
      <c r="A928" s="2688"/>
      <c r="B928" s="195"/>
      <c r="C928" s="195"/>
      <c r="D928" s="195"/>
      <c r="E928" s="195"/>
      <c r="F928" s="195"/>
      <c r="G928" s="195"/>
      <c r="H928" s="195"/>
      <c r="I928" s="195"/>
      <c r="J928" s="2689"/>
      <c r="K928" s="195"/>
      <c r="M928" s="633"/>
      <c r="N928" s="541"/>
      <c r="O928" s="541"/>
      <c r="P928" s="541"/>
      <c r="Q928" s="541"/>
      <c r="R928" s="541"/>
      <c r="S928" s="541"/>
    </row>
    <row r="929">
      <c r="A929" s="2688"/>
      <c r="B929" s="195"/>
      <c r="C929" s="195"/>
      <c r="D929" s="195"/>
      <c r="E929" s="195"/>
      <c r="F929" s="195"/>
      <c r="G929" s="195"/>
      <c r="H929" s="195"/>
      <c r="I929" s="195"/>
      <c r="J929" s="2689"/>
      <c r="K929" s="195"/>
      <c r="M929" s="633"/>
      <c r="N929" s="541"/>
      <c r="O929" s="541"/>
      <c r="P929" s="541"/>
      <c r="Q929" s="541"/>
      <c r="R929" s="541"/>
      <c r="S929" s="541"/>
    </row>
    <row r="930">
      <c r="A930" s="2688"/>
      <c r="B930" s="195"/>
      <c r="C930" s="195"/>
      <c r="D930" s="195"/>
      <c r="E930" s="195"/>
      <c r="F930" s="195"/>
      <c r="G930" s="195"/>
      <c r="H930" s="195"/>
      <c r="I930" s="195"/>
      <c r="J930" s="2689"/>
      <c r="K930" s="195"/>
      <c r="M930" s="633"/>
      <c r="N930" s="541"/>
      <c r="O930" s="541"/>
      <c r="P930" s="541"/>
      <c r="Q930" s="541"/>
      <c r="R930" s="541"/>
      <c r="S930" s="541"/>
    </row>
    <row r="931">
      <c r="A931" s="2688"/>
      <c r="B931" s="195"/>
      <c r="C931" s="195"/>
      <c r="D931" s="195"/>
      <c r="E931" s="195"/>
      <c r="F931" s="195"/>
      <c r="G931" s="195"/>
      <c r="H931" s="195"/>
      <c r="I931" s="195"/>
      <c r="J931" s="2689"/>
      <c r="K931" s="195"/>
      <c r="M931" s="633"/>
      <c r="N931" s="541"/>
      <c r="O931" s="541"/>
      <c r="P931" s="541"/>
      <c r="Q931" s="541"/>
      <c r="R931" s="541"/>
      <c r="S931" s="541"/>
    </row>
    <row r="932">
      <c r="A932" s="2688"/>
      <c r="B932" s="195"/>
      <c r="C932" s="195"/>
      <c r="D932" s="195"/>
      <c r="E932" s="195"/>
      <c r="F932" s="195"/>
      <c r="G932" s="195"/>
      <c r="H932" s="195"/>
      <c r="I932" s="195"/>
      <c r="J932" s="2689"/>
      <c r="K932" s="195"/>
      <c r="M932" s="633"/>
      <c r="N932" s="541"/>
      <c r="O932" s="541"/>
      <c r="P932" s="541"/>
      <c r="Q932" s="541"/>
      <c r="R932" s="541"/>
      <c r="S932" s="541"/>
    </row>
    <row r="933">
      <c r="A933" s="2688"/>
      <c r="B933" s="195"/>
      <c r="C933" s="195"/>
      <c r="D933" s="195"/>
      <c r="E933" s="195"/>
      <c r="F933" s="195"/>
      <c r="G933" s="195"/>
      <c r="H933" s="195"/>
      <c r="I933" s="195"/>
      <c r="J933" s="2689"/>
      <c r="K933" s="195"/>
      <c r="M933" s="633"/>
      <c r="N933" s="541"/>
      <c r="O933" s="541"/>
      <c r="P933" s="541"/>
      <c r="Q933" s="541"/>
      <c r="R933" s="541"/>
      <c r="S933" s="541"/>
    </row>
    <row r="934">
      <c r="A934" s="2688"/>
      <c r="B934" s="195"/>
      <c r="C934" s="195"/>
      <c r="D934" s="195"/>
      <c r="E934" s="195"/>
      <c r="F934" s="195"/>
      <c r="G934" s="195"/>
      <c r="H934" s="195"/>
      <c r="I934" s="195"/>
      <c r="J934" s="2689"/>
      <c r="K934" s="195"/>
      <c r="M934" s="633"/>
      <c r="N934" s="541"/>
      <c r="O934" s="541"/>
      <c r="P934" s="541"/>
      <c r="Q934" s="541"/>
      <c r="R934" s="541"/>
      <c r="S934" s="541"/>
    </row>
    <row r="935">
      <c r="A935" s="2688"/>
      <c r="B935" s="195"/>
      <c r="C935" s="195"/>
      <c r="D935" s="195"/>
      <c r="E935" s="195"/>
      <c r="F935" s="195"/>
      <c r="G935" s="195"/>
      <c r="H935" s="195"/>
      <c r="I935" s="195"/>
      <c r="J935" s="2689"/>
      <c r="K935" s="195"/>
      <c r="M935" s="633"/>
      <c r="N935" s="541"/>
      <c r="O935" s="541"/>
      <c r="P935" s="541"/>
      <c r="Q935" s="541"/>
      <c r="R935" s="541"/>
      <c r="S935" s="541"/>
    </row>
    <row r="936">
      <c r="A936" s="2688"/>
      <c r="B936" s="195"/>
      <c r="C936" s="195"/>
      <c r="D936" s="195"/>
      <c r="E936" s="195"/>
      <c r="F936" s="195"/>
      <c r="G936" s="195"/>
      <c r="H936" s="195"/>
      <c r="I936" s="195"/>
      <c r="J936" s="2689"/>
      <c r="K936" s="195"/>
      <c r="M936" s="633"/>
      <c r="N936" s="541"/>
      <c r="O936" s="541"/>
      <c r="P936" s="541"/>
      <c r="Q936" s="541"/>
      <c r="R936" s="541"/>
      <c r="S936" s="541"/>
    </row>
    <row r="937">
      <c r="A937" s="2688"/>
      <c r="B937" s="195"/>
      <c r="C937" s="195"/>
      <c r="D937" s="195"/>
      <c r="E937" s="195"/>
      <c r="F937" s="195"/>
      <c r="G937" s="195"/>
      <c r="H937" s="195"/>
      <c r="I937" s="195"/>
      <c r="J937" s="2689"/>
      <c r="K937" s="195"/>
      <c r="M937" s="633"/>
      <c r="N937" s="541"/>
      <c r="O937" s="541"/>
      <c r="P937" s="541"/>
      <c r="Q937" s="541"/>
      <c r="R937" s="541"/>
      <c r="S937" s="541"/>
    </row>
    <row r="938">
      <c r="A938" s="2688"/>
      <c r="B938" s="195"/>
      <c r="C938" s="195"/>
      <c r="D938" s="195"/>
      <c r="E938" s="195"/>
      <c r="F938" s="195"/>
      <c r="G938" s="195"/>
      <c r="H938" s="195"/>
      <c r="I938" s="195"/>
      <c r="J938" s="2689"/>
      <c r="K938" s="195"/>
      <c r="M938" s="633"/>
      <c r="N938" s="541"/>
      <c r="O938" s="541"/>
      <c r="P938" s="541"/>
      <c r="Q938" s="541"/>
      <c r="R938" s="541"/>
      <c r="S938" s="541"/>
    </row>
    <row r="939">
      <c r="A939" s="2688"/>
      <c r="B939" s="195"/>
      <c r="C939" s="195"/>
      <c r="D939" s="195"/>
      <c r="E939" s="195"/>
      <c r="F939" s="195"/>
      <c r="G939" s="195"/>
      <c r="H939" s="195"/>
      <c r="I939" s="195"/>
      <c r="J939" s="2689"/>
      <c r="K939" s="195"/>
      <c r="M939" s="633"/>
      <c r="N939" s="541"/>
      <c r="O939" s="541"/>
      <c r="P939" s="541"/>
      <c r="Q939" s="541"/>
      <c r="R939" s="541"/>
      <c r="S939" s="541"/>
    </row>
    <row r="940">
      <c r="A940" s="2688"/>
      <c r="B940" s="195"/>
      <c r="C940" s="195"/>
      <c r="D940" s="195"/>
      <c r="E940" s="195"/>
      <c r="F940" s="195"/>
      <c r="G940" s="195"/>
      <c r="H940" s="195"/>
      <c r="I940" s="195"/>
      <c r="J940" s="2689"/>
      <c r="K940" s="195"/>
      <c r="M940" s="633"/>
      <c r="N940" s="541"/>
      <c r="O940" s="541"/>
      <c r="P940" s="541"/>
      <c r="Q940" s="541"/>
      <c r="R940" s="541"/>
      <c r="S940" s="541"/>
    </row>
    <row r="941">
      <c r="A941" s="2688"/>
      <c r="B941" s="195"/>
      <c r="C941" s="195"/>
      <c r="D941" s="195"/>
      <c r="E941" s="195"/>
      <c r="F941" s="195"/>
      <c r="G941" s="195"/>
      <c r="H941" s="195"/>
      <c r="I941" s="195"/>
      <c r="J941" s="2689"/>
      <c r="K941" s="195"/>
      <c r="M941" s="633"/>
      <c r="N941" s="541"/>
      <c r="O941" s="541"/>
      <c r="P941" s="541"/>
      <c r="Q941" s="541"/>
      <c r="R941" s="541"/>
      <c r="S941" s="541"/>
    </row>
    <row r="942">
      <c r="A942" s="2688"/>
      <c r="B942" s="195"/>
      <c r="C942" s="195"/>
      <c r="D942" s="195"/>
      <c r="E942" s="195"/>
      <c r="F942" s="195"/>
      <c r="G942" s="195"/>
      <c r="H942" s="195"/>
      <c r="I942" s="195"/>
      <c r="J942" s="2689"/>
      <c r="K942" s="195"/>
      <c r="M942" s="633"/>
      <c r="N942" s="541"/>
      <c r="O942" s="541"/>
      <c r="P942" s="541"/>
      <c r="Q942" s="541"/>
      <c r="R942" s="541"/>
      <c r="S942" s="541"/>
    </row>
    <row r="943">
      <c r="A943" s="2688"/>
      <c r="B943" s="195"/>
      <c r="C943" s="195"/>
      <c r="D943" s="195"/>
      <c r="E943" s="195"/>
      <c r="F943" s="195"/>
      <c r="G943" s="195"/>
      <c r="H943" s="195"/>
      <c r="I943" s="195"/>
      <c r="J943" s="2689"/>
      <c r="K943" s="195"/>
      <c r="M943" s="633"/>
      <c r="N943" s="541"/>
      <c r="O943" s="541"/>
      <c r="P943" s="541"/>
      <c r="Q943" s="541"/>
      <c r="R943" s="541"/>
      <c r="S943" s="541"/>
    </row>
    <row r="944">
      <c r="A944" s="2688"/>
      <c r="B944" s="195"/>
      <c r="C944" s="195"/>
      <c r="D944" s="195"/>
      <c r="E944" s="195"/>
      <c r="F944" s="195"/>
      <c r="G944" s="195"/>
      <c r="H944" s="195"/>
      <c r="I944" s="195"/>
      <c r="J944" s="2689"/>
      <c r="K944" s="195"/>
      <c r="M944" s="633"/>
      <c r="N944" s="541"/>
      <c r="O944" s="541"/>
      <c r="P944" s="541"/>
      <c r="Q944" s="541"/>
      <c r="R944" s="541"/>
      <c r="S944" s="541"/>
    </row>
    <row r="945">
      <c r="A945" s="2688"/>
      <c r="B945" s="195"/>
      <c r="C945" s="195"/>
      <c r="D945" s="195"/>
      <c r="E945" s="195"/>
      <c r="F945" s="195"/>
      <c r="G945" s="195"/>
      <c r="H945" s="195"/>
      <c r="I945" s="195"/>
      <c r="J945" s="2689"/>
      <c r="K945" s="195"/>
      <c r="M945" s="633"/>
      <c r="N945" s="541"/>
      <c r="O945" s="541"/>
      <c r="P945" s="541"/>
      <c r="Q945" s="541"/>
      <c r="R945" s="541"/>
      <c r="S945" s="541"/>
    </row>
    <row r="946">
      <c r="A946" s="2688"/>
      <c r="B946" s="195"/>
      <c r="C946" s="195"/>
      <c r="D946" s="195"/>
      <c r="E946" s="195"/>
      <c r="F946" s="195"/>
      <c r="G946" s="195"/>
      <c r="H946" s="195"/>
      <c r="I946" s="195"/>
      <c r="J946" s="2689"/>
      <c r="K946" s="195"/>
      <c r="M946" s="633"/>
      <c r="N946" s="541"/>
      <c r="O946" s="541"/>
      <c r="P946" s="541"/>
      <c r="Q946" s="541"/>
      <c r="R946" s="541"/>
      <c r="S946" s="541"/>
    </row>
    <row r="947">
      <c r="A947" s="2688"/>
      <c r="B947" s="195"/>
      <c r="C947" s="195"/>
      <c r="D947" s="195"/>
      <c r="E947" s="195"/>
      <c r="F947" s="195"/>
      <c r="G947" s="195"/>
      <c r="H947" s="195"/>
      <c r="I947" s="195"/>
      <c r="J947" s="2689"/>
      <c r="K947" s="195"/>
      <c r="M947" s="633"/>
      <c r="N947" s="541"/>
      <c r="O947" s="541"/>
      <c r="P947" s="541"/>
      <c r="Q947" s="541"/>
      <c r="R947" s="541"/>
      <c r="S947" s="541"/>
    </row>
    <row r="948">
      <c r="A948" s="2688"/>
      <c r="B948" s="195"/>
      <c r="C948" s="195"/>
      <c r="D948" s="195"/>
      <c r="E948" s="195"/>
      <c r="F948" s="195"/>
      <c r="G948" s="195"/>
      <c r="H948" s="195"/>
      <c r="I948" s="195"/>
      <c r="J948" s="2689"/>
      <c r="K948" s="195"/>
      <c r="M948" s="633"/>
      <c r="N948" s="541"/>
      <c r="O948" s="541"/>
      <c r="P948" s="541"/>
      <c r="Q948" s="541"/>
      <c r="R948" s="541"/>
      <c r="S948" s="541"/>
    </row>
    <row r="949">
      <c r="A949" s="2688"/>
      <c r="B949" s="195"/>
      <c r="C949" s="195"/>
      <c r="D949" s="195"/>
      <c r="E949" s="195"/>
      <c r="F949" s="195"/>
      <c r="G949" s="195"/>
      <c r="H949" s="195"/>
      <c r="I949" s="195"/>
      <c r="J949" s="2689"/>
      <c r="K949" s="195"/>
      <c r="M949" s="633"/>
      <c r="N949" s="541"/>
      <c r="O949" s="541"/>
      <c r="P949" s="541"/>
      <c r="Q949" s="541"/>
      <c r="R949" s="541"/>
      <c r="S949" s="541"/>
    </row>
    <row r="950">
      <c r="A950" s="2688"/>
      <c r="B950" s="195"/>
      <c r="C950" s="195"/>
      <c r="D950" s="195"/>
      <c r="E950" s="195"/>
      <c r="F950" s="195"/>
      <c r="G950" s="195"/>
      <c r="H950" s="195"/>
      <c r="I950" s="195"/>
      <c r="J950" s="2689"/>
      <c r="K950" s="195"/>
      <c r="M950" s="633"/>
      <c r="N950" s="541"/>
      <c r="O950" s="541"/>
      <c r="P950" s="541"/>
      <c r="Q950" s="541"/>
      <c r="R950" s="541"/>
      <c r="S950" s="541"/>
    </row>
    <row r="951">
      <c r="A951" s="2688"/>
      <c r="B951" s="195"/>
      <c r="C951" s="195"/>
      <c r="D951" s="195"/>
      <c r="E951" s="195"/>
      <c r="F951" s="195"/>
      <c r="G951" s="195"/>
      <c r="H951" s="195"/>
      <c r="I951" s="195"/>
      <c r="J951" s="2689"/>
      <c r="K951" s="195"/>
      <c r="M951" s="633"/>
      <c r="N951" s="541"/>
      <c r="O951" s="541"/>
      <c r="P951" s="541"/>
      <c r="Q951" s="541"/>
      <c r="R951" s="541"/>
      <c r="S951" s="541"/>
    </row>
    <row r="952">
      <c r="A952" s="2688"/>
      <c r="B952" s="195"/>
      <c r="C952" s="195"/>
      <c r="D952" s="195"/>
      <c r="E952" s="195"/>
      <c r="F952" s="195"/>
      <c r="G952" s="195"/>
      <c r="H952" s="195"/>
      <c r="I952" s="195"/>
      <c r="J952" s="2689"/>
      <c r="K952" s="195"/>
      <c r="M952" s="633"/>
      <c r="N952" s="541"/>
      <c r="O952" s="541"/>
      <c r="P952" s="541"/>
      <c r="Q952" s="541"/>
      <c r="R952" s="541"/>
      <c r="S952" s="541"/>
    </row>
    <row r="953">
      <c r="A953" s="2688"/>
      <c r="B953" s="195"/>
      <c r="C953" s="195"/>
      <c r="D953" s="195"/>
      <c r="E953" s="195"/>
      <c r="F953" s="195"/>
      <c r="G953" s="195"/>
      <c r="H953" s="195"/>
      <c r="I953" s="195"/>
      <c r="J953" s="2689"/>
      <c r="K953" s="195"/>
      <c r="M953" s="633"/>
      <c r="N953" s="541"/>
      <c r="O953" s="541"/>
      <c r="P953" s="541"/>
      <c r="Q953" s="541"/>
      <c r="R953" s="541"/>
      <c r="S953" s="541"/>
    </row>
    <row r="954">
      <c r="A954" s="2688"/>
      <c r="B954" s="195"/>
      <c r="C954" s="195"/>
      <c r="D954" s="195"/>
      <c r="E954" s="195"/>
      <c r="F954" s="195"/>
      <c r="G954" s="195"/>
      <c r="H954" s="195"/>
      <c r="I954" s="195"/>
      <c r="J954" s="2689"/>
      <c r="K954" s="195"/>
      <c r="M954" s="633"/>
      <c r="N954" s="541"/>
      <c r="O954" s="541"/>
      <c r="P954" s="541"/>
      <c r="Q954" s="541"/>
      <c r="R954" s="541"/>
      <c r="S954" s="541"/>
    </row>
    <row r="955">
      <c r="A955" s="2688"/>
      <c r="B955" s="195"/>
      <c r="C955" s="195"/>
      <c r="D955" s="195"/>
      <c r="E955" s="195"/>
      <c r="F955" s="195"/>
      <c r="G955" s="195"/>
      <c r="H955" s="195"/>
      <c r="I955" s="195"/>
      <c r="J955" s="2689"/>
      <c r="K955" s="195"/>
      <c r="M955" s="633"/>
      <c r="N955" s="541"/>
      <c r="O955" s="541"/>
      <c r="P955" s="541"/>
      <c r="Q955" s="541"/>
      <c r="R955" s="541"/>
      <c r="S955" s="541"/>
    </row>
    <row r="956">
      <c r="A956" s="2688"/>
      <c r="B956" s="195"/>
      <c r="C956" s="195"/>
      <c r="D956" s="195"/>
      <c r="E956" s="195"/>
      <c r="F956" s="195"/>
      <c r="G956" s="195"/>
      <c r="H956" s="195"/>
      <c r="I956" s="195"/>
      <c r="J956" s="2689"/>
      <c r="K956" s="195"/>
      <c r="M956" s="633"/>
      <c r="N956" s="541"/>
      <c r="O956" s="541"/>
      <c r="P956" s="541"/>
      <c r="Q956" s="541"/>
      <c r="R956" s="541"/>
      <c r="S956" s="541"/>
    </row>
    <row r="957">
      <c r="A957" s="2688"/>
      <c r="B957" s="195"/>
      <c r="C957" s="195"/>
      <c r="D957" s="195"/>
      <c r="E957" s="195"/>
      <c r="F957" s="195"/>
      <c r="G957" s="195"/>
      <c r="H957" s="195"/>
      <c r="I957" s="195"/>
      <c r="J957" s="2689"/>
      <c r="K957" s="195"/>
      <c r="M957" s="633"/>
      <c r="N957" s="541"/>
      <c r="O957" s="541"/>
      <c r="P957" s="541"/>
      <c r="Q957" s="541"/>
      <c r="R957" s="541"/>
      <c r="S957" s="541"/>
    </row>
    <row r="958">
      <c r="A958" s="2688"/>
      <c r="B958" s="195"/>
      <c r="C958" s="195"/>
      <c r="D958" s="195"/>
      <c r="E958" s="195"/>
      <c r="F958" s="195"/>
      <c r="G958" s="195"/>
      <c r="H958" s="195"/>
      <c r="I958" s="195"/>
      <c r="J958" s="2689"/>
      <c r="K958" s="195"/>
      <c r="M958" s="633"/>
      <c r="N958" s="541"/>
      <c r="O958" s="541"/>
      <c r="P958" s="541"/>
      <c r="Q958" s="541"/>
      <c r="R958" s="541"/>
      <c r="S958" s="541"/>
    </row>
    <row r="959">
      <c r="A959" s="2688"/>
      <c r="B959" s="195"/>
      <c r="C959" s="195"/>
      <c r="D959" s="195"/>
      <c r="E959" s="195"/>
      <c r="F959" s="195"/>
      <c r="G959" s="195"/>
      <c r="H959" s="195"/>
      <c r="I959" s="195"/>
      <c r="J959" s="2689"/>
      <c r="K959" s="195"/>
      <c r="M959" s="633"/>
      <c r="N959" s="541"/>
      <c r="O959" s="541"/>
      <c r="P959" s="541"/>
      <c r="Q959" s="541"/>
      <c r="R959" s="541"/>
      <c r="S959" s="541"/>
    </row>
    <row r="960">
      <c r="A960" s="2688"/>
      <c r="B960" s="195"/>
      <c r="C960" s="195"/>
      <c r="D960" s="195"/>
      <c r="E960" s="195"/>
      <c r="F960" s="195"/>
      <c r="G960" s="195"/>
      <c r="H960" s="195"/>
      <c r="I960" s="195"/>
      <c r="J960" s="2689"/>
      <c r="K960" s="195"/>
      <c r="M960" s="633"/>
      <c r="N960" s="541"/>
      <c r="O960" s="541"/>
      <c r="P960" s="541"/>
      <c r="Q960" s="541"/>
      <c r="R960" s="541"/>
      <c r="S960" s="541"/>
    </row>
    <row r="961">
      <c r="A961" s="2688"/>
      <c r="B961" s="195"/>
      <c r="C961" s="195"/>
      <c r="D961" s="195"/>
      <c r="E961" s="195"/>
      <c r="F961" s="195"/>
      <c r="G961" s="195"/>
      <c r="H961" s="195"/>
      <c r="I961" s="195"/>
      <c r="J961" s="2689"/>
      <c r="K961" s="195"/>
      <c r="M961" s="633"/>
      <c r="N961" s="541"/>
      <c r="O961" s="541"/>
      <c r="P961" s="541"/>
      <c r="Q961" s="541"/>
      <c r="R961" s="541"/>
      <c r="S961" s="541"/>
    </row>
    <row r="962">
      <c r="A962" s="2688"/>
      <c r="B962" s="195"/>
      <c r="C962" s="195"/>
      <c r="D962" s="195"/>
      <c r="E962" s="195"/>
      <c r="F962" s="195"/>
      <c r="G962" s="195"/>
      <c r="H962" s="195"/>
      <c r="I962" s="195"/>
      <c r="J962" s="2689"/>
      <c r="K962" s="195"/>
      <c r="M962" s="633"/>
      <c r="N962" s="541"/>
      <c r="O962" s="541"/>
      <c r="P962" s="541"/>
      <c r="Q962" s="541"/>
      <c r="R962" s="541"/>
      <c r="S962" s="541"/>
    </row>
    <row r="963">
      <c r="A963" s="2688"/>
      <c r="B963" s="195"/>
      <c r="C963" s="195"/>
      <c r="D963" s="195"/>
      <c r="E963" s="195"/>
      <c r="F963" s="195"/>
      <c r="G963" s="195"/>
      <c r="H963" s="195"/>
      <c r="I963" s="195"/>
      <c r="J963" s="2689"/>
      <c r="K963" s="195"/>
      <c r="M963" s="633"/>
      <c r="N963" s="541"/>
      <c r="O963" s="541"/>
      <c r="P963" s="541"/>
      <c r="Q963" s="541"/>
      <c r="R963" s="541"/>
      <c r="S963" s="541"/>
    </row>
    <row r="964">
      <c r="A964" s="2688"/>
      <c r="B964" s="195"/>
      <c r="C964" s="195"/>
      <c r="D964" s="195"/>
      <c r="E964" s="195"/>
      <c r="F964" s="195"/>
      <c r="G964" s="195"/>
      <c r="H964" s="195"/>
      <c r="I964" s="195"/>
      <c r="J964" s="2689"/>
      <c r="K964" s="195"/>
      <c r="M964" s="633"/>
      <c r="N964" s="541"/>
      <c r="O964" s="541"/>
      <c r="P964" s="541"/>
      <c r="Q964" s="541"/>
      <c r="R964" s="541"/>
      <c r="S964" s="541"/>
    </row>
    <row r="965">
      <c r="A965" s="2688"/>
      <c r="B965" s="195"/>
      <c r="C965" s="195"/>
      <c r="D965" s="195"/>
      <c r="E965" s="195"/>
      <c r="F965" s="195"/>
      <c r="G965" s="195"/>
      <c r="H965" s="195"/>
      <c r="I965" s="195"/>
      <c r="J965" s="2689"/>
      <c r="K965" s="195"/>
      <c r="M965" s="633"/>
      <c r="N965" s="541"/>
      <c r="O965" s="541"/>
      <c r="P965" s="541"/>
      <c r="Q965" s="541"/>
      <c r="R965" s="541"/>
      <c r="S965" s="541"/>
    </row>
    <row r="966">
      <c r="A966" s="2688"/>
      <c r="B966" s="195"/>
      <c r="C966" s="195"/>
      <c r="D966" s="195"/>
      <c r="E966" s="195"/>
      <c r="F966" s="195"/>
      <c r="G966" s="195"/>
      <c r="H966" s="195"/>
      <c r="I966" s="195"/>
      <c r="J966" s="2689"/>
      <c r="K966" s="195"/>
      <c r="M966" s="633"/>
      <c r="N966" s="541"/>
      <c r="O966" s="541"/>
      <c r="P966" s="541"/>
      <c r="Q966" s="541"/>
      <c r="R966" s="541"/>
      <c r="S966" s="541"/>
    </row>
    <row r="967">
      <c r="A967" s="2688"/>
      <c r="B967" s="195"/>
      <c r="C967" s="195"/>
      <c r="D967" s="195"/>
      <c r="E967" s="195"/>
      <c r="F967" s="195"/>
      <c r="G967" s="195"/>
      <c r="H967" s="195"/>
      <c r="I967" s="195"/>
      <c r="J967" s="2689"/>
      <c r="K967" s="195"/>
      <c r="M967" s="633"/>
      <c r="N967" s="541"/>
      <c r="O967" s="541"/>
      <c r="P967" s="541"/>
      <c r="Q967" s="541"/>
      <c r="R967" s="541"/>
      <c r="S967" s="541"/>
    </row>
    <row r="968">
      <c r="A968" s="2688"/>
      <c r="B968" s="195"/>
      <c r="C968" s="195"/>
      <c r="D968" s="195"/>
      <c r="E968" s="195"/>
      <c r="F968" s="195"/>
      <c r="G968" s="195"/>
      <c r="H968" s="195"/>
      <c r="I968" s="195"/>
      <c r="J968" s="2689"/>
      <c r="K968" s="195"/>
      <c r="M968" s="633"/>
      <c r="N968" s="541"/>
      <c r="O968" s="541"/>
      <c r="P968" s="541"/>
      <c r="Q968" s="541"/>
      <c r="R968" s="541"/>
      <c r="S968" s="541"/>
    </row>
    <row r="969">
      <c r="A969" s="2688"/>
      <c r="B969" s="195"/>
      <c r="C969" s="195"/>
      <c r="D969" s="195"/>
      <c r="E969" s="195"/>
      <c r="F969" s="195"/>
      <c r="G969" s="195"/>
      <c r="H969" s="195"/>
      <c r="I969" s="195"/>
      <c r="J969" s="2689"/>
      <c r="K969" s="195"/>
      <c r="M969" s="633"/>
      <c r="N969" s="541"/>
      <c r="O969" s="541"/>
      <c r="P969" s="541"/>
      <c r="Q969" s="541"/>
      <c r="R969" s="541"/>
      <c r="S969" s="541"/>
    </row>
    <row r="970">
      <c r="A970" s="2688"/>
      <c r="B970" s="195"/>
      <c r="C970" s="195"/>
      <c r="D970" s="195"/>
      <c r="E970" s="195"/>
      <c r="F970" s="195"/>
      <c r="G970" s="195"/>
      <c r="H970" s="195"/>
      <c r="I970" s="195"/>
      <c r="J970" s="2689"/>
      <c r="K970" s="195"/>
      <c r="M970" s="633"/>
      <c r="N970" s="541"/>
      <c r="O970" s="541"/>
      <c r="P970" s="541"/>
      <c r="Q970" s="541"/>
      <c r="R970" s="541"/>
      <c r="S970" s="541"/>
    </row>
    <row r="971">
      <c r="A971" s="2688"/>
      <c r="B971" s="195"/>
      <c r="C971" s="195"/>
      <c r="D971" s="195"/>
      <c r="E971" s="195"/>
      <c r="F971" s="195"/>
      <c r="G971" s="195"/>
      <c r="H971" s="195"/>
      <c r="I971" s="195"/>
      <c r="J971" s="2689"/>
      <c r="K971" s="195"/>
      <c r="M971" s="633"/>
      <c r="N971" s="541"/>
      <c r="O971" s="541"/>
      <c r="P971" s="541"/>
      <c r="Q971" s="541"/>
      <c r="R971" s="541"/>
      <c r="S971" s="541"/>
    </row>
    <row r="972">
      <c r="A972" s="2688"/>
      <c r="B972" s="195"/>
      <c r="C972" s="195"/>
      <c r="D972" s="195"/>
      <c r="E972" s="195"/>
      <c r="F972" s="195"/>
      <c r="G972" s="195"/>
      <c r="H972" s="195"/>
      <c r="I972" s="195"/>
      <c r="J972" s="2689"/>
      <c r="K972" s="195"/>
      <c r="M972" s="633"/>
      <c r="N972" s="541"/>
      <c r="O972" s="541"/>
      <c r="P972" s="541"/>
      <c r="Q972" s="541"/>
      <c r="R972" s="541"/>
      <c r="S972" s="541"/>
    </row>
    <row r="973">
      <c r="A973" s="2688"/>
      <c r="B973" s="195"/>
      <c r="C973" s="195"/>
      <c r="D973" s="195"/>
      <c r="E973" s="195"/>
      <c r="F973" s="195"/>
      <c r="G973" s="195"/>
      <c r="H973" s="195"/>
      <c r="I973" s="195"/>
      <c r="J973" s="2689"/>
      <c r="K973" s="195"/>
      <c r="M973" s="633"/>
      <c r="N973" s="541"/>
      <c r="O973" s="541"/>
      <c r="P973" s="541"/>
      <c r="Q973" s="541"/>
      <c r="R973" s="541"/>
      <c r="S973" s="541"/>
    </row>
    <row r="974">
      <c r="A974" s="2688"/>
      <c r="B974" s="195"/>
      <c r="C974" s="195"/>
      <c r="D974" s="195"/>
      <c r="E974" s="195"/>
      <c r="F974" s="195"/>
      <c r="G974" s="195"/>
      <c r="H974" s="195"/>
      <c r="I974" s="195"/>
      <c r="J974" s="2689"/>
      <c r="K974" s="195"/>
      <c r="M974" s="633"/>
      <c r="N974" s="541"/>
      <c r="O974" s="541"/>
      <c r="P974" s="541"/>
      <c r="Q974" s="541"/>
      <c r="R974" s="541"/>
      <c r="S974" s="541"/>
    </row>
    <row r="975">
      <c r="A975" s="2688"/>
      <c r="B975" s="195"/>
      <c r="C975" s="195"/>
      <c r="D975" s="195"/>
      <c r="E975" s="195"/>
      <c r="F975" s="195"/>
      <c r="G975" s="195"/>
      <c r="H975" s="195"/>
      <c r="I975" s="195"/>
      <c r="J975" s="2689"/>
      <c r="K975" s="195"/>
      <c r="M975" s="633"/>
      <c r="N975" s="541"/>
      <c r="O975" s="541"/>
      <c r="P975" s="541"/>
      <c r="Q975" s="541"/>
      <c r="R975" s="541"/>
      <c r="S975" s="541"/>
    </row>
    <row r="976">
      <c r="A976" s="2688"/>
      <c r="B976" s="195"/>
      <c r="C976" s="195"/>
      <c r="D976" s="195"/>
      <c r="E976" s="195"/>
      <c r="F976" s="195"/>
      <c r="G976" s="195"/>
      <c r="H976" s="195"/>
      <c r="I976" s="195"/>
      <c r="J976" s="2689"/>
      <c r="K976" s="195"/>
      <c r="M976" s="633"/>
      <c r="N976" s="541"/>
      <c r="O976" s="541"/>
      <c r="P976" s="541"/>
      <c r="Q976" s="541"/>
      <c r="R976" s="541"/>
      <c r="S976" s="541"/>
    </row>
    <row r="977">
      <c r="A977" s="2688"/>
      <c r="B977" s="195"/>
      <c r="C977" s="195"/>
      <c r="D977" s="195"/>
      <c r="E977" s="195"/>
      <c r="F977" s="195"/>
      <c r="G977" s="195"/>
      <c r="H977" s="195"/>
      <c r="I977" s="195"/>
      <c r="J977" s="2689"/>
      <c r="K977" s="195"/>
      <c r="M977" s="633"/>
      <c r="N977" s="541"/>
      <c r="O977" s="541"/>
      <c r="P977" s="541"/>
      <c r="Q977" s="541"/>
      <c r="R977" s="541"/>
      <c r="S977" s="541"/>
    </row>
    <row r="978">
      <c r="A978" s="2688"/>
      <c r="B978" s="195"/>
      <c r="C978" s="195"/>
      <c r="D978" s="195"/>
      <c r="E978" s="195"/>
      <c r="F978" s="195"/>
      <c r="G978" s="195"/>
      <c r="H978" s="195"/>
      <c r="I978" s="195"/>
      <c r="J978" s="2689"/>
      <c r="K978" s="195"/>
      <c r="M978" s="633"/>
      <c r="N978" s="541"/>
      <c r="O978" s="541"/>
      <c r="P978" s="541"/>
      <c r="Q978" s="541"/>
      <c r="R978" s="541"/>
      <c r="S978" s="541"/>
    </row>
    <row r="979">
      <c r="A979" s="2688"/>
      <c r="B979" s="195"/>
      <c r="C979" s="195"/>
      <c r="D979" s="195"/>
      <c r="E979" s="195"/>
      <c r="F979" s="195"/>
      <c r="G979" s="195"/>
      <c r="H979" s="195"/>
      <c r="I979" s="195"/>
      <c r="J979" s="2689"/>
      <c r="K979" s="195"/>
      <c r="M979" s="633"/>
      <c r="N979" s="541"/>
      <c r="O979" s="541"/>
      <c r="P979" s="541"/>
      <c r="Q979" s="541"/>
      <c r="R979" s="541"/>
      <c r="S979" s="541"/>
    </row>
    <row r="980">
      <c r="A980" s="2688"/>
      <c r="B980" s="195"/>
      <c r="C980" s="195"/>
      <c r="D980" s="195"/>
      <c r="E980" s="195"/>
      <c r="F980" s="195"/>
      <c r="G980" s="195"/>
      <c r="H980" s="195"/>
      <c r="I980" s="195"/>
      <c r="J980" s="2689"/>
      <c r="K980" s="195"/>
      <c r="M980" s="633"/>
      <c r="N980" s="541"/>
      <c r="O980" s="541"/>
      <c r="P980" s="541"/>
      <c r="Q980" s="541"/>
      <c r="R980" s="541"/>
      <c r="S980" s="541"/>
    </row>
    <row r="981">
      <c r="A981" s="2688"/>
      <c r="B981" s="195"/>
      <c r="C981" s="195"/>
      <c r="D981" s="195"/>
      <c r="E981" s="195"/>
      <c r="F981" s="195"/>
      <c r="G981" s="195"/>
      <c r="H981" s="195"/>
      <c r="I981" s="195"/>
      <c r="J981" s="2689"/>
      <c r="K981" s="195"/>
      <c r="M981" s="633"/>
      <c r="N981" s="541"/>
      <c r="O981" s="541"/>
      <c r="P981" s="541"/>
      <c r="Q981" s="541"/>
      <c r="R981" s="541"/>
      <c r="S981" s="541"/>
    </row>
    <row r="982">
      <c r="A982" s="2688"/>
      <c r="B982" s="195"/>
      <c r="C982" s="195"/>
      <c r="D982" s="195"/>
      <c r="E982" s="195"/>
      <c r="F982" s="195"/>
      <c r="G982" s="195"/>
      <c r="H982" s="195"/>
      <c r="I982" s="195"/>
      <c r="J982" s="2689"/>
      <c r="K982" s="195"/>
      <c r="M982" s="633"/>
      <c r="N982" s="541"/>
      <c r="O982" s="541"/>
      <c r="P982" s="541"/>
      <c r="Q982" s="541"/>
      <c r="R982" s="541"/>
      <c r="S982" s="541"/>
    </row>
    <row r="983">
      <c r="A983" s="2688"/>
      <c r="B983" s="195"/>
      <c r="C983" s="195"/>
      <c r="D983" s="195"/>
      <c r="E983" s="195"/>
      <c r="F983" s="195"/>
      <c r="G983" s="195"/>
      <c r="H983" s="195"/>
      <c r="I983" s="195"/>
      <c r="J983" s="2689"/>
      <c r="K983" s="195"/>
      <c r="M983" s="633"/>
      <c r="N983" s="541"/>
      <c r="O983" s="541"/>
      <c r="P983" s="541"/>
      <c r="Q983" s="541"/>
      <c r="R983" s="541"/>
      <c r="S983" s="541"/>
    </row>
    <row r="984">
      <c r="A984" s="2688"/>
      <c r="B984" s="195"/>
      <c r="C984" s="195"/>
      <c r="D984" s="195"/>
      <c r="E984" s="195"/>
      <c r="F984" s="195"/>
      <c r="G984" s="195"/>
      <c r="H984" s="195"/>
      <c r="I984" s="195"/>
      <c r="J984" s="2689"/>
      <c r="K984" s="195"/>
      <c r="M984" s="633"/>
      <c r="N984" s="541"/>
      <c r="O984" s="541"/>
      <c r="P984" s="541"/>
      <c r="Q984" s="541"/>
      <c r="R984" s="541"/>
      <c r="S984" s="541"/>
    </row>
    <row r="985">
      <c r="A985" s="2688"/>
      <c r="B985" s="195"/>
      <c r="C985" s="195"/>
      <c r="D985" s="195"/>
      <c r="E985" s="195"/>
      <c r="F985" s="195"/>
      <c r="G985" s="195"/>
      <c r="H985" s="195"/>
      <c r="I985" s="195"/>
      <c r="J985" s="2689"/>
      <c r="K985" s="195"/>
      <c r="M985" s="633"/>
      <c r="N985" s="541"/>
      <c r="O985" s="541"/>
      <c r="P985" s="541"/>
      <c r="Q985" s="541"/>
      <c r="R985" s="541"/>
      <c r="S985" s="541"/>
    </row>
    <row r="986">
      <c r="A986" s="2688"/>
      <c r="B986" s="195"/>
      <c r="C986" s="195"/>
      <c r="D986" s="195"/>
      <c r="E986" s="195"/>
      <c r="F986" s="195"/>
      <c r="G986" s="195"/>
      <c r="H986" s="195"/>
      <c r="I986" s="195"/>
      <c r="J986" s="2689"/>
      <c r="K986" s="195"/>
      <c r="M986" s="633"/>
      <c r="N986" s="541"/>
      <c r="O986" s="541"/>
      <c r="P986" s="541"/>
      <c r="Q986" s="541"/>
      <c r="R986" s="541"/>
      <c r="S986" s="541"/>
    </row>
    <row r="987">
      <c r="A987" s="2688"/>
      <c r="B987" s="195"/>
      <c r="C987" s="195"/>
      <c r="D987" s="195"/>
      <c r="E987" s="195"/>
      <c r="F987" s="195"/>
      <c r="G987" s="195"/>
      <c r="H987" s="195"/>
      <c r="I987" s="195"/>
      <c r="J987" s="2689"/>
      <c r="K987" s="195"/>
      <c r="M987" s="633"/>
      <c r="N987" s="541"/>
      <c r="O987" s="541"/>
      <c r="P987" s="541"/>
      <c r="Q987" s="541"/>
      <c r="R987" s="541"/>
      <c r="S987" s="541"/>
    </row>
    <row r="988">
      <c r="A988" s="2688"/>
      <c r="B988" s="195"/>
      <c r="C988" s="195"/>
      <c r="D988" s="195"/>
      <c r="E988" s="195"/>
      <c r="F988" s="195"/>
      <c r="G988" s="195"/>
      <c r="H988" s="195"/>
      <c r="I988" s="195"/>
      <c r="J988" s="2689"/>
      <c r="K988" s="195"/>
      <c r="M988" s="633"/>
      <c r="N988" s="541"/>
      <c r="O988" s="541"/>
      <c r="P988" s="541"/>
      <c r="Q988" s="541"/>
      <c r="R988" s="541"/>
      <c r="S988" s="541"/>
    </row>
    <row r="989">
      <c r="A989" s="2688"/>
      <c r="B989" s="195"/>
      <c r="C989" s="195"/>
      <c r="D989" s="195"/>
      <c r="E989" s="195"/>
      <c r="F989" s="195"/>
      <c r="G989" s="195"/>
      <c r="H989" s="195"/>
      <c r="I989" s="195"/>
      <c r="J989" s="2689"/>
      <c r="K989" s="195"/>
      <c r="M989" s="633"/>
      <c r="N989" s="541"/>
      <c r="O989" s="541"/>
      <c r="P989" s="541"/>
      <c r="Q989" s="541"/>
      <c r="R989" s="541"/>
      <c r="S989" s="541"/>
    </row>
    <row r="990">
      <c r="A990" s="2688"/>
      <c r="B990" s="195"/>
      <c r="C990" s="195"/>
      <c r="D990" s="195"/>
      <c r="E990" s="195"/>
      <c r="F990" s="195"/>
      <c r="G990" s="195"/>
      <c r="H990" s="195"/>
      <c r="I990" s="195"/>
      <c r="J990" s="2689"/>
      <c r="K990" s="195"/>
      <c r="M990" s="633"/>
      <c r="N990" s="541"/>
      <c r="O990" s="541"/>
      <c r="P990" s="541"/>
      <c r="Q990" s="541"/>
      <c r="R990" s="541"/>
      <c r="S990" s="541"/>
    </row>
    <row r="991">
      <c r="A991" s="2688"/>
      <c r="B991" s="195"/>
      <c r="C991" s="195"/>
      <c r="D991" s="195"/>
      <c r="E991" s="195"/>
      <c r="F991" s="195"/>
      <c r="G991" s="195"/>
      <c r="H991" s="195"/>
      <c r="I991" s="195"/>
      <c r="J991" s="2689"/>
      <c r="K991" s="195"/>
      <c r="M991" s="633"/>
      <c r="N991" s="541"/>
      <c r="O991" s="541"/>
      <c r="P991" s="541"/>
      <c r="Q991" s="541"/>
      <c r="R991" s="541"/>
      <c r="S991" s="541"/>
    </row>
    <row r="992">
      <c r="A992" s="2688"/>
      <c r="B992" s="195"/>
      <c r="C992" s="195"/>
      <c r="D992" s="195"/>
      <c r="E992" s="195"/>
      <c r="F992" s="195"/>
      <c r="G992" s="195"/>
      <c r="H992" s="195"/>
      <c r="I992" s="195"/>
      <c r="J992" s="2689"/>
      <c r="K992" s="195"/>
      <c r="M992" s="633"/>
      <c r="N992" s="541"/>
      <c r="O992" s="541"/>
      <c r="P992" s="541"/>
      <c r="Q992" s="541"/>
      <c r="R992" s="541"/>
      <c r="S992" s="541"/>
    </row>
    <row r="993">
      <c r="A993" s="2688"/>
      <c r="B993" s="195"/>
      <c r="C993" s="195"/>
      <c r="D993" s="195"/>
      <c r="E993" s="195"/>
      <c r="F993" s="195"/>
      <c r="G993" s="195"/>
      <c r="H993" s="195"/>
      <c r="I993" s="195"/>
      <c r="J993" s="2689"/>
      <c r="K993" s="195"/>
      <c r="M993" s="633"/>
      <c r="N993" s="541"/>
      <c r="O993" s="541"/>
      <c r="P993" s="541"/>
      <c r="Q993" s="541"/>
      <c r="R993" s="541"/>
      <c r="S993" s="541"/>
    </row>
    <row r="994">
      <c r="A994" s="2688"/>
      <c r="B994" s="195"/>
      <c r="C994" s="195"/>
      <c r="D994" s="195"/>
      <c r="E994" s="195"/>
      <c r="F994" s="195"/>
      <c r="G994" s="195"/>
      <c r="H994" s="195"/>
      <c r="I994" s="195"/>
      <c r="J994" s="2689"/>
      <c r="K994" s="195"/>
      <c r="M994" s="633"/>
      <c r="N994" s="541"/>
      <c r="O994" s="541"/>
      <c r="P994" s="541"/>
      <c r="Q994" s="541"/>
      <c r="R994" s="541"/>
      <c r="S994" s="541"/>
    </row>
    <row r="995">
      <c r="A995" s="2688"/>
      <c r="B995" s="195"/>
      <c r="C995" s="195"/>
      <c r="D995" s="195"/>
      <c r="E995" s="195"/>
      <c r="F995" s="195"/>
      <c r="G995" s="195"/>
      <c r="H995" s="195"/>
      <c r="I995" s="195"/>
      <c r="J995" s="2689"/>
      <c r="K995" s="195"/>
      <c r="M995" s="633"/>
      <c r="N995" s="541"/>
      <c r="O995" s="541"/>
      <c r="P995" s="541"/>
      <c r="Q995" s="541"/>
      <c r="R995" s="541"/>
      <c r="S995" s="541"/>
    </row>
    <row r="996">
      <c r="A996" s="2688"/>
      <c r="B996" s="195"/>
      <c r="C996" s="195"/>
      <c r="D996" s="195"/>
      <c r="E996" s="195"/>
      <c r="F996" s="195"/>
      <c r="G996" s="195"/>
      <c r="H996" s="195"/>
      <c r="I996" s="195"/>
      <c r="J996" s="2689"/>
      <c r="K996" s="195"/>
      <c r="M996" s="633"/>
      <c r="N996" s="541"/>
      <c r="O996" s="541"/>
      <c r="P996" s="541"/>
      <c r="Q996" s="541"/>
      <c r="R996" s="541"/>
      <c r="S996" s="541"/>
    </row>
    <row r="997">
      <c r="A997" s="2688"/>
      <c r="B997" s="195"/>
      <c r="C997" s="195"/>
      <c r="D997" s="195"/>
      <c r="E997" s="195"/>
      <c r="F997" s="195"/>
      <c r="G997" s="195"/>
      <c r="H997" s="195"/>
      <c r="I997" s="195"/>
      <c r="J997" s="2689"/>
      <c r="K997" s="195"/>
      <c r="M997" s="633"/>
      <c r="N997" s="541"/>
      <c r="O997" s="541"/>
      <c r="P997" s="541"/>
      <c r="Q997" s="541"/>
      <c r="R997" s="541"/>
      <c r="S997" s="541"/>
    </row>
    <row r="998">
      <c r="A998" s="2688"/>
      <c r="B998" s="195"/>
      <c r="C998" s="195"/>
      <c r="D998" s="195"/>
      <c r="E998" s="195"/>
      <c r="F998" s="195"/>
      <c r="G998" s="195"/>
      <c r="H998" s="195"/>
      <c r="I998" s="195"/>
      <c r="J998" s="2689"/>
      <c r="K998" s="195"/>
      <c r="M998" s="633"/>
      <c r="N998" s="541"/>
      <c r="O998" s="541"/>
      <c r="P998" s="541"/>
      <c r="Q998" s="541"/>
      <c r="R998" s="541"/>
      <c r="S998" s="541"/>
    </row>
    <row r="999">
      <c r="A999" s="2688"/>
      <c r="B999" s="195"/>
      <c r="C999" s="195"/>
      <c r="D999" s="195"/>
      <c r="E999" s="195"/>
      <c r="F999" s="195"/>
      <c r="G999" s="195"/>
      <c r="H999" s="195"/>
      <c r="I999" s="195"/>
      <c r="J999" s="2689"/>
      <c r="K999" s="195"/>
      <c r="M999" s="633"/>
      <c r="N999" s="541"/>
      <c r="O999" s="541"/>
      <c r="P999" s="541"/>
      <c r="Q999" s="541"/>
      <c r="R999" s="541"/>
      <c r="S999" s="541"/>
    </row>
    <row r="1000">
      <c r="A1000" s="2688"/>
      <c r="B1000" s="195"/>
      <c r="C1000" s="195"/>
      <c r="D1000" s="195"/>
      <c r="E1000" s="195"/>
      <c r="F1000" s="195"/>
      <c r="G1000" s="195"/>
      <c r="H1000" s="195"/>
      <c r="I1000" s="195"/>
      <c r="J1000" s="2689"/>
      <c r="K1000" s="195"/>
      <c r="M1000" s="633"/>
      <c r="N1000" s="541"/>
      <c r="O1000" s="541"/>
      <c r="P1000" s="541"/>
      <c r="Q1000" s="541"/>
      <c r="R1000" s="541"/>
      <c r="S1000" s="541"/>
    </row>
    <row r="1001">
      <c r="A1001" s="2688"/>
      <c r="B1001" s="195"/>
      <c r="C1001" s="195"/>
      <c r="D1001" s="195"/>
      <c r="E1001" s="195"/>
      <c r="F1001" s="195"/>
      <c r="G1001" s="195"/>
      <c r="H1001" s="195"/>
      <c r="I1001" s="195"/>
      <c r="J1001" s="2689"/>
      <c r="K1001" s="195"/>
      <c r="M1001" s="633"/>
      <c r="N1001" s="541"/>
      <c r="O1001" s="541"/>
      <c r="P1001" s="541"/>
      <c r="Q1001" s="541"/>
      <c r="R1001" s="541"/>
      <c r="S1001" s="541"/>
    </row>
    <row r="1002">
      <c r="A1002" s="2688"/>
      <c r="B1002" s="195"/>
      <c r="C1002" s="195"/>
      <c r="D1002" s="195"/>
      <c r="E1002" s="195"/>
      <c r="F1002" s="195"/>
      <c r="G1002" s="195"/>
      <c r="H1002" s="195"/>
      <c r="I1002" s="195"/>
      <c r="J1002" s="2689"/>
      <c r="K1002" s="195"/>
      <c r="M1002" s="633"/>
      <c r="N1002" s="541"/>
      <c r="O1002" s="541"/>
      <c r="P1002" s="541"/>
      <c r="Q1002" s="541"/>
      <c r="R1002" s="541"/>
      <c r="S1002" s="541"/>
    </row>
    <row r="1003">
      <c r="A1003" s="2688"/>
      <c r="B1003" s="195"/>
      <c r="C1003" s="195"/>
      <c r="D1003" s="195"/>
      <c r="E1003" s="195"/>
      <c r="F1003" s="195"/>
      <c r="G1003" s="195"/>
      <c r="H1003" s="195"/>
      <c r="I1003" s="195"/>
      <c r="J1003" s="2689"/>
      <c r="K1003" s="195"/>
      <c r="M1003" s="633"/>
      <c r="N1003" s="541"/>
      <c r="O1003" s="541"/>
      <c r="P1003" s="541"/>
      <c r="Q1003" s="541"/>
      <c r="R1003" s="541"/>
      <c r="S1003" s="541"/>
    </row>
    <row r="1004">
      <c r="A1004" s="2688"/>
      <c r="B1004" s="195"/>
      <c r="C1004" s="195"/>
      <c r="D1004" s="195"/>
      <c r="E1004" s="195"/>
      <c r="F1004" s="195"/>
      <c r="G1004" s="195"/>
      <c r="H1004" s="195"/>
      <c r="I1004" s="195"/>
      <c r="J1004" s="2689"/>
      <c r="K1004" s="195"/>
      <c r="M1004" s="633"/>
      <c r="N1004" s="541"/>
      <c r="O1004" s="541"/>
      <c r="P1004" s="541"/>
      <c r="Q1004" s="541"/>
      <c r="R1004" s="541"/>
      <c r="S1004" s="541"/>
    </row>
    <row r="1005">
      <c r="A1005" s="2688"/>
      <c r="B1005" s="195"/>
      <c r="C1005" s="195"/>
      <c r="D1005" s="195"/>
      <c r="E1005" s="195"/>
      <c r="F1005" s="195"/>
      <c r="G1005" s="195"/>
      <c r="H1005" s="195"/>
      <c r="I1005" s="195"/>
      <c r="J1005" s="2689"/>
      <c r="K1005" s="195"/>
      <c r="M1005" s="633"/>
      <c r="N1005" s="541"/>
      <c r="O1005" s="541"/>
      <c r="P1005" s="541"/>
      <c r="Q1005" s="541"/>
      <c r="R1005" s="541"/>
      <c r="S1005" s="541"/>
    </row>
  </sheetData>
  <printOptions gridLines="1" horizontalCentered="1"/>
  <pageMargins bottom="1.0" footer="0.0" header="0.0" left="1.0" right="1.0" top="1.0"/>
  <pageSetup paperSize="9" cellComments="atEnd" orientation="landscape" pageOrder="overThenDown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5.56"/>
    <col customWidth="1" min="2" max="2" width="11.78"/>
  </cols>
  <sheetData>
    <row r="1">
      <c r="A1" s="1190"/>
      <c r="B1" s="2690"/>
      <c r="C1" s="2690"/>
      <c r="D1" s="2690"/>
      <c r="E1" s="2690"/>
      <c r="F1" s="2690" t="s">
        <v>3490</v>
      </c>
      <c r="H1" s="2690"/>
      <c r="I1" s="2690"/>
      <c r="J1" s="2690"/>
      <c r="K1" s="2690"/>
      <c r="M1" s="962"/>
      <c r="N1" s="1393" t="s">
        <v>3491</v>
      </c>
      <c r="O1" s="69"/>
      <c r="P1" s="1393" t="s">
        <v>3492</v>
      </c>
      <c r="Q1" s="69"/>
      <c r="R1" s="1328" t="s">
        <v>3467</v>
      </c>
    </row>
    <row r="2">
      <c r="A2" s="2575"/>
      <c r="B2" s="2691" t="s">
        <v>126</v>
      </c>
      <c r="C2" s="69"/>
      <c r="D2" s="2691" t="s">
        <v>128</v>
      </c>
      <c r="E2" s="69"/>
      <c r="F2" s="2691" t="s">
        <v>125</v>
      </c>
      <c r="G2" s="69"/>
      <c r="H2" s="2691" t="s">
        <v>127</v>
      </c>
      <c r="I2" s="69"/>
      <c r="J2" s="2691" t="s">
        <v>80</v>
      </c>
      <c r="K2" s="69"/>
      <c r="L2" s="195"/>
      <c r="M2" s="2692" t="s">
        <v>263</v>
      </c>
      <c r="N2" s="2693">
        <v>46230.0</v>
      </c>
      <c r="O2" s="145">
        <f>244631.05+7309.2</f>
        <v>251940.25</v>
      </c>
      <c r="P2" s="2693">
        <v>46244.0</v>
      </c>
      <c r="Q2" s="145">
        <f>221908.75+6361.95</f>
        <v>228270.7</v>
      </c>
      <c r="R2" s="2573">
        <f t="shared" ref="R2:R8" si="1">Q2-O2</f>
        <v>-23669.55</v>
      </c>
      <c r="S2" s="195"/>
      <c r="T2" s="195"/>
      <c r="U2" s="195"/>
      <c r="V2" s="195"/>
      <c r="W2" s="195"/>
      <c r="X2" s="195"/>
      <c r="Y2" s="195"/>
      <c r="Z2" s="195"/>
    </row>
    <row r="3">
      <c r="A3" s="2165" t="s">
        <v>3493</v>
      </c>
      <c r="B3" s="145" t="s">
        <v>3494</v>
      </c>
      <c r="C3" s="145" t="s">
        <v>3495</v>
      </c>
      <c r="D3" s="145" t="s">
        <v>3494</v>
      </c>
      <c r="E3" s="145" t="s">
        <v>3495</v>
      </c>
      <c r="F3" s="145" t="s">
        <v>3494</v>
      </c>
      <c r="G3" s="145" t="s">
        <v>3495</v>
      </c>
      <c r="H3" s="145" t="s">
        <v>3494</v>
      </c>
      <c r="I3" s="145" t="s">
        <v>3495</v>
      </c>
      <c r="J3" s="145" t="s">
        <v>3494</v>
      </c>
      <c r="K3" s="145" t="s">
        <v>3495</v>
      </c>
      <c r="L3" s="50" t="s">
        <v>3496</v>
      </c>
      <c r="M3" s="2692" t="s">
        <v>3497</v>
      </c>
      <c r="N3" s="2693">
        <v>46231.0</v>
      </c>
      <c r="O3" s="145">
        <f>261963.2+8871.4</f>
        <v>270834.6</v>
      </c>
      <c r="P3" s="2693">
        <v>46245.0</v>
      </c>
      <c r="Q3" s="145">
        <f>239425.8+9784</f>
        <v>249209.8</v>
      </c>
      <c r="R3" s="2573">
        <f t="shared" si="1"/>
        <v>-21624.8</v>
      </c>
    </row>
    <row r="4">
      <c r="A4" s="2165">
        <v>1.0</v>
      </c>
      <c r="B4" s="145">
        <v>20.0</v>
      </c>
      <c r="C4" s="145">
        <v>58.0</v>
      </c>
      <c r="D4" s="145">
        <v>10.0</v>
      </c>
      <c r="E4" s="145">
        <v>25.0</v>
      </c>
      <c r="F4" s="145">
        <v>20.0</v>
      </c>
      <c r="G4" s="145">
        <v>48.0</v>
      </c>
      <c r="H4" s="145">
        <v>7.0</v>
      </c>
      <c r="I4" s="145">
        <v>32.0</v>
      </c>
      <c r="J4" s="145">
        <v>2.0</v>
      </c>
      <c r="K4" s="145">
        <v>43.0</v>
      </c>
      <c r="L4" s="50">
        <v>13.0</v>
      </c>
      <c r="M4" s="2692" t="s">
        <v>3498</v>
      </c>
      <c r="N4" s="2693">
        <v>46232.0</v>
      </c>
      <c r="O4" s="145">
        <f>281555.5+6798</f>
        <v>288353.5</v>
      </c>
      <c r="P4" s="2693">
        <v>46246.0</v>
      </c>
      <c r="Q4" s="145">
        <f>247045.9+8790</f>
        <v>255835.9</v>
      </c>
      <c r="R4" s="2573">
        <f t="shared" si="1"/>
        <v>-32517.6</v>
      </c>
    </row>
    <row r="5">
      <c r="A5" s="2165">
        <v>2.0</v>
      </c>
      <c r="B5" s="145">
        <v>8.0</v>
      </c>
      <c r="C5" s="145">
        <v>20.0</v>
      </c>
      <c r="D5" s="145">
        <v>3.0</v>
      </c>
      <c r="E5" s="145">
        <v>21.0</v>
      </c>
      <c r="F5" s="145">
        <v>2.0</v>
      </c>
      <c r="G5" s="145">
        <v>12.0</v>
      </c>
      <c r="H5" s="145">
        <v>2.0</v>
      </c>
      <c r="I5" s="145">
        <v>12.0</v>
      </c>
      <c r="J5" s="145">
        <v>1.0</v>
      </c>
      <c r="K5" s="145">
        <v>5.0</v>
      </c>
      <c r="L5" s="50">
        <v>5.0</v>
      </c>
      <c r="M5" s="2692" t="s">
        <v>3499</v>
      </c>
      <c r="N5" s="2693">
        <v>46233.0</v>
      </c>
      <c r="O5" s="145">
        <f>289392.75+6676</f>
        <v>296068.75</v>
      </c>
      <c r="P5" s="2693">
        <v>46247.0</v>
      </c>
      <c r="Q5" s="145">
        <f>257397.75+6438.5</f>
        <v>263836.25</v>
      </c>
      <c r="R5" s="2573">
        <f t="shared" si="1"/>
        <v>-32232.5</v>
      </c>
    </row>
    <row r="6">
      <c r="A6" s="2165">
        <v>3.0</v>
      </c>
      <c r="B6" s="145">
        <v>3.0</v>
      </c>
      <c r="C6" s="145">
        <v>14.0</v>
      </c>
      <c r="D6" s="145">
        <v>2.0</v>
      </c>
      <c r="E6" s="145">
        <v>13.0</v>
      </c>
      <c r="F6" s="145">
        <v>3.0</v>
      </c>
      <c r="G6" s="145">
        <v>15.0</v>
      </c>
      <c r="H6" s="145">
        <v>2.0</v>
      </c>
      <c r="I6" s="145">
        <v>8.0</v>
      </c>
      <c r="J6" s="145">
        <v>2.0</v>
      </c>
      <c r="K6" s="145">
        <v>11.0</v>
      </c>
      <c r="L6" s="50">
        <v>5.0</v>
      </c>
      <c r="M6" s="2692" t="s">
        <v>3500</v>
      </c>
      <c r="N6" s="2693">
        <v>46234.0</v>
      </c>
      <c r="O6" s="145">
        <f>258501.6+6672</f>
        <v>265173.6</v>
      </c>
      <c r="P6" s="2693">
        <v>46248.0</v>
      </c>
      <c r="Q6" s="145">
        <f>243455.85+13691</f>
        <v>257146.85</v>
      </c>
      <c r="R6" s="2573">
        <f t="shared" si="1"/>
        <v>-8026.75</v>
      </c>
    </row>
    <row r="7">
      <c r="A7" s="2165">
        <v>4.0</v>
      </c>
      <c r="B7" s="145">
        <v>12.0</v>
      </c>
      <c r="C7" s="145">
        <v>92.0</v>
      </c>
      <c r="D7" s="145">
        <v>5.0</v>
      </c>
      <c r="E7" s="145">
        <v>37.0</v>
      </c>
      <c r="F7" s="145">
        <v>8.0</v>
      </c>
      <c r="G7" s="145">
        <v>68.0</v>
      </c>
      <c r="H7" s="145">
        <v>5.0</v>
      </c>
      <c r="I7" s="145">
        <v>34.0</v>
      </c>
      <c r="J7" s="145">
        <v>1.0</v>
      </c>
      <c r="K7" s="145">
        <v>15.0</v>
      </c>
      <c r="L7" s="50">
        <v>3.0</v>
      </c>
      <c r="M7" s="2692" t="s">
        <v>3501</v>
      </c>
      <c r="N7" s="2693">
        <v>46235.0</v>
      </c>
      <c r="O7" s="145">
        <f>58762.2+1811</f>
        <v>60573.2</v>
      </c>
      <c r="P7" s="2693">
        <v>46249.0</v>
      </c>
      <c r="Q7" s="145">
        <f>66986.96+6111</f>
        <v>73097.96</v>
      </c>
      <c r="R7" s="2573">
        <f t="shared" si="1"/>
        <v>12524.76</v>
      </c>
    </row>
    <row r="8">
      <c r="A8" s="2165">
        <v>5.0</v>
      </c>
      <c r="B8" s="145">
        <v>18.0</v>
      </c>
      <c r="C8" s="145">
        <v>36.0</v>
      </c>
      <c r="D8" s="145">
        <v>4.0</v>
      </c>
      <c r="E8" s="145">
        <v>19.0</v>
      </c>
      <c r="F8" s="145">
        <v>5.0</v>
      </c>
      <c r="G8" s="145">
        <v>32.0</v>
      </c>
      <c r="H8" s="145">
        <v>3.0</v>
      </c>
      <c r="I8" s="145">
        <v>15.0</v>
      </c>
      <c r="J8" s="145">
        <v>2.0</v>
      </c>
      <c r="K8" s="145">
        <v>7.0</v>
      </c>
      <c r="L8" s="50">
        <v>12.0</v>
      </c>
      <c r="M8" s="2692" t="s">
        <v>3502</v>
      </c>
      <c r="N8" s="2693">
        <v>46236.0</v>
      </c>
      <c r="O8" s="145">
        <f>47519.4+1411</f>
        <v>48930.4</v>
      </c>
      <c r="P8" s="2693">
        <v>46250.0</v>
      </c>
      <c r="Q8" s="145">
        <f>59464.3+3042.2</f>
        <v>62506.5</v>
      </c>
      <c r="R8" s="2573">
        <f t="shared" si="1"/>
        <v>13576.1</v>
      </c>
    </row>
    <row r="9">
      <c r="A9" s="2165">
        <v>6.0</v>
      </c>
      <c r="B9" s="145">
        <v>12.0</v>
      </c>
      <c r="C9" s="145">
        <v>23.0</v>
      </c>
      <c r="D9" s="145">
        <v>1.0</v>
      </c>
      <c r="E9" s="145">
        <v>9.0</v>
      </c>
      <c r="F9" s="145">
        <v>11.0</v>
      </c>
      <c r="G9" s="145">
        <v>23.0</v>
      </c>
      <c r="H9" s="145">
        <v>1.0</v>
      </c>
      <c r="I9" s="145">
        <v>17.0</v>
      </c>
      <c r="J9" s="145">
        <v>1.0</v>
      </c>
      <c r="K9" s="145">
        <v>6.0</v>
      </c>
      <c r="L9" s="50">
        <v>8.0</v>
      </c>
      <c r="O9" s="1346">
        <f>SUM(O2:O8)</f>
        <v>1481874.3</v>
      </c>
      <c r="P9" s="1346"/>
      <c r="Q9" s="1346">
        <f>SUM(Q2:Q8)</f>
        <v>1389903.96</v>
      </c>
    </row>
    <row r="10">
      <c r="A10" s="2165">
        <v>7.0</v>
      </c>
      <c r="B10" s="145">
        <v>4.0</v>
      </c>
      <c r="C10" s="145">
        <v>12.0</v>
      </c>
      <c r="D10" s="145">
        <v>1.0</v>
      </c>
      <c r="E10" s="145">
        <v>11.0</v>
      </c>
      <c r="F10" s="145">
        <v>3.0</v>
      </c>
      <c r="G10" s="145">
        <v>9.0</v>
      </c>
      <c r="H10" s="145">
        <v>2.0</v>
      </c>
      <c r="I10" s="145">
        <v>10.0</v>
      </c>
      <c r="J10" s="145">
        <v>2.0</v>
      </c>
      <c r="K10" s="145">
        <v>7.0</v>
      </c>
      <c r="O10" s="1346"/>
      <c r="P10" s="1346">
        <f>O9-Q9</f>
        <v>91970.34</v>
      </c>
      <c r="Q10" s="1346"/>
      <c r="T10" s="63"/>
    </row>
    <row r="11">
      <c r="A11" s="2165">
        <v>8.0</v>
      </c>
      <c r="B11" s="145">
        <v>4.0</v>
      </c>
      <c r="C11" s="145">
        <v>20.0</v>
      </c>
      <c r="D11" s="145">
        <v>2.0</v>
      </c>
      <c r="E11" s="145">
        <v>12.0</v>
      </c>
      <c r="F11" s="145">
        <v>6.0</v>
      </c>
      <c r="G11" s="145">
        <v>17.0</v>
      </c>
      <c r="H11" s="145">
        <v>1.0</v>
      </c>
      <c r="I11" s="145">
        <v>10.0</v>
      </c>
      <c r="J11" s="145">
        <v>2.0</v>
      </c>
      <c r="K11" s="145">
        <v>10.0</v>
      </c>
      <c r="L11" s="50">
        <v>6.0</v>
      </c>
      <c r="T11" s="1190"/>
    </row>
    <row r="12">
      <c r="A12" s="2165">
        <v>9.0</v>
      </c>
      <c r="B12" s="145">
        <v>15.0</v>
      </c>
      <c r="C12" s="145">
        <v>26.0</v>
      </c>
      <c r="D12" s="145">
        <v>7.0</v>
      </c>
      <c r="E12" s="145">
        <v>18.0</v>
      </c>
      <c r="F12" s="145">
        <v>8.0</v>
      </c>
      <c r="G12" s="145">
        <v>27.0</v>
      </c>
      <c r="H12" s="145">
        <v>4.0</v>
      </c>
      <c r="I12" s="145">
        <v>17.0</v>
      </c>
      <c r="J12" s="145">
        <v>1.0</v>
      </c>
      <c r="K12" s="145">
        <v>6.0</v>
      </c>
      <c r="L12" s="50">
        <v>7.0</v>
      </c>
    </row>
    <row r="13">
      <c r="A13" s="2165">
        <v>10.0</v>
      </c>
      <c r="B13" s="145">
        <v>12.0</v>
      </c>
      <c r="C13" s="145">
        <v>29.0</v>
      </c>
      <c r="D13" s="145">
        <v>4.0</v>
      </c>
      <c r="E13" s="145">
        <v>17.0</v>
      </c>
      <c r="F13" s="145">
        <v>7.0</v>
      </c>
      <c r="G13" s="145">
        <v>22.0</v>
      </c>
      <c r="H13" s="145">
        <v>8.0</v>
      </c>
      <c r="I13" s="145">
        <v>17.0</v>
      </c>
      <c r="J13" s="145">
        <v>2.0</v>
      </c>
      <c r="K13" s="145">
        <v>6.0</v>
      </c>
      <c r="L13" s="50">
        <v>5.0</v>
      </c>
      <c r="S13" s="1190"/>
      <c r="T13" s="195"/>
    </row>
    <row r="14">
      <c r="A14" s="2165">
        <v>11.0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50">
        <v>3.0</v>
      </c>
      <c r="S14" s="1390"/>
      <c r="T14" s="2445"/>
    </row>
    <row r="15">
      <c r="A15" s="2165">
        <v>12.0</v>
      </c>
      <c r="B15" s="145">
        <v>8.0</v>
      </c>
      <c r="C15" s="145">
        <v>19.0</v>
      </c>
      <c r="D15" s="145">
        <v>3.0</v>
      </c>
      <c r="E15" s="145">
        <v>12.0</v>
      </c>
      <c r="F15" s="145">
        <v>3.0</v>
      </c>
      <c r="G15" s="145">
        <v>14.0</v>
      </c>
      <c r="H15" s="145">
        <v>4.0</v>
      </c>
      <c r="I15" s="145">
        <v>15.0</v>
      </c>
      <c r="J15" s="145">
        <v>2.0</v>
      </c>
      <c r="K15" s="145">
        <v>8.0</v>
      </c>
      <c r="L15" s="50">
        <v>7.0</v>
      </c>
    </row>
    <row r="16">
      <c r="A16" s="2165">
        <v>13.0</v>
      </c>
      <c r="B16" s="145">
        <v>16.0</v>
      </c>
      <c r="C16" s="145">
        <v>34.0</v>
      </c>
      <c r="D16" s="145">
        <v>8.0</v>
      </c>
      <c r="E16" s="145">
        <v>22.0</v>
      </c>
      <c r="F16" s="145">
        <v>9.0</v>
      </c>
      <c r="G16" s="145">
        <v>23.0</v>
      </c>
      <c r="H16" s="145">
        <v>7.0</v>
      </c>
      <c r="I16" s="145">
        <v>20.0</v>
      </c>
      <c r="J16" s="145">
        <v>1.0</v>
      </c>
      <c r="K16" s="145">
        <v>9.0</v>
      </c>
      <c r="L16" s="50">
        <v>10.0</v>
      </c>
    </row>
    <row r="17">
      <c r="A17" s="2165">
        <v>14.0</v>
      </c>
      <c r="B17" s="145">
        <v>15.0</v>
      </c>
      <c r="C17" s="145">
        <v>34.0</v>
      </c>
      <c r="D17" s="145">
        <v>10.0</v>
      </c>
      <c r="E17" s="145">
        <v>27.0</v>
      </c>
      <c r="F17" s="145">
        <v>14.0</v>
      </c>
      <c r="G17" s="145">
        <v>34.0</v>
      </c>
      <c r="H17" s="145">
        <v>4.0</v>
      </c>
      <c r="I17" s="145">
        <v>22.0</v>
      </c>
      <c r="J17" s="145">
        <v>6.0</v>
      </c>
      <c r="K17" s="145">
        <v>36.0</v>
      </c>
      <c r="L17" s="50">
        <v>9.0</v>
      </c>
    </row>
    <row r="18">
      <c r="A18" s="2165">
        <v>15.0</v>
      </c>
      <c r="B18" s="145">
        <v>9.0</v>
      </c>
      <c r="C18" s="145">
        <v>30.0</v>
      </c>
      <c r="D18" s="145">
        <v>7.0</v>
      </c>
      <c r="E18" s="145">
        <v>16.0</v>
      </c>
      <c r="F18" s="145">
        <v>4.0</v>
      </c>
      <c r="G18" s="145">
        <v>22.0</v>
      </c>
      <c r="H18" s="145">
        <v>6.0</v>
      </c>
      <c r="I18" s="145">
        <v>14.0</v>
      </c>
      <c r="J18" s="145">
        <v>2.0</v>
      </c>
      <c r="K18" s="145">
        <v>11.0</v>
      </c>
      <c r="L18" s="50">
        <v>7.0</v>
      </c>
    </row>
    <row r="19">
      <c r="A19" s="2165">
        <v>16.0</v>
      </c>
      <c r="B19" s="145">
        <v>11.0</v>
      </c>
      <c r="C19" s="145">
        <v>23.0</v>
      </c>
      <c r="D19" s="145">
        <v>7.0</v>
      </c>
      <c r="E19" s="145">
        <v>19.0</v>
      </c>
      <c r="F19" s="145">
        <v>5.0</v>
      </c>
      <c r="G19" s="145">
        <v>16.0</v>
      </c>
      <c r="H19" s="145">
        <v>3.0</v>
      </c>
      <c r="I19" s="145">
        <v>10.0</v>
      </c>
      <c r="J19" s="145">
        <v>2.0</v>
      </c>
      <c r="K19" s="145">
        <v>8.0</v>
      </c>
      <c r="L19" s="50">
        <v>8.0</v>
      </c>
    </row>
    <row r="20">
      <c r="A20" s="2165">
        <v>17.0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50">
        <v>8.0</v>
      </c>
    </row>
    <row r="21">
      <c r="A21" s="2165">
        <v>18.0</v>
      </c>
      <c r="B21" s="145">
        <v>7.0</v>
      </c>
      <c r="C21" s="145">
        <v>20.0</v>
      </c>
      <c r="D21" s="145">
        <v>3.0</v>
      </c>
      <c r="E21" s="145">
        <v>14.0</v>
      </c>
      <c r="F21" s="145">
        <v>7.0</v>
      </c>
      <c r="G21" s="145">
        <v>15.0</v>
      </c>
      <c r="H21" s="145">
        <v>2.0</v>
      </c>
      <c r="I21" s="145">
        <v>9.0</v>
      </c>
      <c r="J21" s="145">
        <v>3.0</v>
      </c>
      <c r="K21" s="145">
        <v>6.0</v>
      </c>
      <c r="L21" s="50">
        <v>4.0</v>
      </c>
    </row>
    <row r="22">
      <c r="A22" s="2165">
        <v>19.0</v>
      </c>
      <c r="B22" s="145">
        <v>6.0</v>
      </c>
      <c r="C22" s="145">
        <v>14.0</v>
      </c>
      <c r="D22" s="145">
        <v>3.0</v>
      </c>
      <c r="E22" s="145">
        <v>12.0</v>
      </c>
      <c r="F22" s="145">
        <v>3.0</v>
      </c>
      <c r="G22" s="145">
        <v>16.0</v>
      </c>
      <c r="H22" s="145">
        <v>3.0</v>
      </c>
      <c r="I22" s="145">
        <v>13.0</v>
      </c>
      <c r="J22" s="145">
        <v>1.0</v>
      </c>
      <c r="K22" s="145">
        <v>7.0</v>
      </c>
      <c r="L22" s="50">
        <v>6.0</v>
      </c>
    </row>
    <row r="23">
      <c r="A23" s="2165">
        <v>20.0</v>
      </c>
      <c r="B23" s="145">
        <v>6.0</v>
      </c>
      <c r="C23" s="145">
        <v>37.0</v>
      </c>
      <c r="D23" s="145">
        <v>7.0</v>
      </c>
      <c r="E23" s="145">
        <v>32.0</v>
      </c>
      <c r="F23" s="145">
        <v>25.0</v>
      </c>
      <c r="G23" s="145">
        <v>48.0</v>
      </c>
      <c r="H23" s="145">
        <v>2.0</v>
      </c>
      <c r="I23" s="145">
        <v>22.0</v>
      </c>
      <c r="J23" s="95"/>
      <c r="K23" s="95"/>
      <c r="L23" s="50">
        <v>8.0</v>
      </c>
    </row>
    <row r="24">
      <c r="A24" s="2165">
        <v>21.0</v>
      </c>
      <c r="B24" s="145">
        <v>5.0</v>
      </c>
      <c r="C24" s="145">
        <v>20.0</v>
      </c>
      <c r="D24" s="145">
        <v>1.0</v>
      </c>
      <c r="E24" s="145">
        <v>10.0</v>
      </c>
      <c r="F24" s="145">
        <v>4.0</v>
      </c>
      <c r="G24" s="145">
        <v>13.0</v>
      </c>
      <c r="H24" s="145">
        <v>3.0</v>
      </c>
      <c r="I24" s="145">
        <v>9.0</v>
      </c>
      <c r="J24" s="145">
        <v>1.0</v>
      </c>
      <c r="K24" s="145">
        <v>6.0</v>
      </c>
      <c r="L24" s="50">
        <v>5.0</v>
      </c>
    </row>
    <row r="25">
      <c r="A25" s="2165">
        <v>22.0</v>
      </c>
      <c r="B25" s="145">
        <v>5.0</v>
      </c>
      <c r="C25" s="145">
        <v>23.0</v>
      </c>
      <c r="D25" s="145">
        <v>2.0</v>
      </c>
      <c r="E25" s="145">
        <v>13.0</v>
      </c>
      <c r="F25" s="145">
        <v>5.0</v>
      </c>
      <c r="G25" s="145">
        <v>15.0</v>
      </c>
      <c r="H25" s="145">
        <v>2.0</v>
      </c>
      <c r="I25" s="145">
        <v>14.0</v>
      </c>
      <c r="J25" s="145">
        <v>1.0</v>
      </c>
      <c r="K25" s="145">
        <v>15.0</v>
      </c>
      <c r="L25" s="50">
        <v>7.0</v>
      </c>
    </row>
    <row r="26">
      <c r="A26" s="2165">
        <v>23.0</v>
      </c>
      <c r="B26" s="195"/>
      <c r="C26" s="195"/>
      <c r="L26" s="50">
        <v>6.0</v>
      </c>
    </row>
    <row r="27">
      <c r="A27" s="2165">
        <v>24.0</v>
      </c>
      <c r="B27" s="195"/>
      <c r="C27" s="195"/>
      <c r="L27" s="50">
        <v>5.0</v>
      </c>
    </row>
    <row r="28">
      <c r="A28" s="1355"/>
      <c r="B28" s="195"/>
      <c r="C28" s="195"/>
    </row>
    <row r="29">
      <c r="A29" s="1355"/>
      <c r="B29" s="195"/>
      <c r="C29" s="195"/>
    </row>
    <row r="30">
      <c r="A30" s="1355"/>
      <c r="B30" s="195"/>
      <c r="C30" s="195"/>
    </row>
    <row r="31">
      <c r="A31" s="1355"/>
      <c r="B31" s="195"/>
      <c r="C31" s="195"/>
    </row>
    <row r="32">
      <c r="A32" s="1355"/>
      <c r="B32" s="195"/>
      <c r="C32" s="195"/>
    </row>
    <row r="33">
      <c r="A33" s="1355"/>
      <c r="B33" s="195"/>
      <c r="C33" s="195"/>
    </row>
    <row r="34">
      <c r="A34" s="1355"/>
      <c r="B34" s="195"/>
      <c r="C34" s="195"/>
    </row>
    <row r="35">
      <c r="A35" s="1355"/>
      <c r="B35" s="195"/>
      <c r="C35" s="195"/>
    </row>
    <row r="36">
      <c r="A36" s="1355"/>
      <c r="B36" s="195"/>
      <c r="C36" s="195"/>
    </row>
    <row r="37">
      <c r="A37" s="1355"/>
      <c r="B37" s="195"/>
      <c r="C37" s="195"/>
    </row>
    <row r="38">
      <c r="A38" s="1355"/>
      <c r="B38" s="195"/>
      <c r="C38" s="195"/>
    </row>
    <row r="39">
      <c r="A39" s="1355"/>
      <c r="B39" s="195"/>
      <c r="C39" s="195"/>
    </row>
    <row r="40">
      <c r="A40" s="1355"/>
      <c r="B40" s="195"/>
      <c r="C40" s="195"/>
    </row>
    <row r="41">
      <c r="A41" s="1355"/>
      <c r="B41" s="195"/>
      <c r="C41" s="195"/>
    </row>
    <row r="42">
      <c r="A42" s="1355"/>
      <c r="B42" s="195"/>
      <c r="C42" s="195"/>
    </row>
    <row r="43">
      <c r="A43" s="1355"/>
      <c r="B43" s="195"/>
      <c r="C43" s="195"/>
    </row>
    <row r="44">
      <c r="A44" s="1355"/>
      <c r="B44" s="195"/>
      <c r="C44" s="195"/>
    </row>
    <row r="45">
      <c r="A45" s="1355"/>
      <c r="B45" s="195"/>
      <c r="C45" s="195"/>
    </row>
    <row r="46">
      <c r="A46" s="1355"/>
      <c r="B46" s="195"/>
      <c r="C46" s="195"/>
    </row>
    <row r="47">
      <c r="A47" s="1355"/>
      <c r="B47" s="195"/>
      <c r="C47" s="195"/>
    </row>
    <row r="48">
      <c r="A48" s="1355"/>
      <c r="B48" s="195"/>
      <c r="C48" s="195"/>
    </row>
    <row r="49">
      <c r="A49" s="1355"/>
      <c r="B49" s="195"/>
      <c r="C49" s="195"/>
    </row>
    <row r="50">
      <c r="A50" s="1355"/>
      <c r="B50" s="195"/>
      <c r="C50" s="195"/>
    </row>
    <row r="51">
      <c r="A51" s="1355"/>
      <c r="B51" s="195"/>
      <c r="C51" s="195"/>
    </row>
    <row r="52">
      <c r="A52" s="1355"/>
      <c r="B52" s="195"/>
      <c r="C52" s="195"/>
    </row>
    <row r="53">
      <c r="A53" s="1355"/>
      <c r="B53" s="195"/>
      <c r="C53" s="195"/>
    </row>
    <row r="54">
      <c r="A54" s="1355"/>
      <c r="B54" s="195"/>
      <c r="C54" s="195"/>
    </row>
    <row r="55">
      <c r="A55" s="1355"/>
      <c r="B55" s="195"/>
      <c r="C55" s="195"/>
    </row>
    <row r="56">
      <c r="A56" s="1355"/>
      <c r="B56" s="195"/>
      <c r="C56" s="195"/>
    </row>
    <row r="57">
      <c r="A57" s="1355"/>
      <c r="B57" s="195"/>
      <c r="C57" s="195"/>
    </row>
    <row r="58">
      <c r="A58" s="1355"/>
      <c r="B58" s="195"/>
      <c r="C58" s="195"/>
    </row>
    <row r="59">
      <c r="A59" s="1355"/>
      <c r="B59" s="195"/>
      <c r="C59" s="195"/>
    </row>
    <row r="60">
      <c r="A60" s="1355"/>
      <c r="B60" s="195"/>
      <c r="C60" s="195"/>
    </row>
    <row r="61">
      <c r="A61" s="1355"/>
      <c r="B61" s="195"/>
      <c r="C61" s="195"/>
    </row>
    <row r="62">
      <c r="A62" s="1355"/>
      <c r="B62" s="195"/>
      <c r="C62" s="195"/>
    </row>
    <row r="63">
      <c r="A63" s="1355"/>
      <c r="B63" s="195"/>
      <c r="C63" s="195"/>
    </row>
    <row r="64">
      <c r="A64" s="1355"/>
      <c r="B64" s="195"/>
      <c r="C64" s="195"/>
    </row>
    <row r="65">
      <c r="A65" s="1355"/>
      <c r="B65" s="195"/>
      <c r="C65" s="195"/>
    </row>
    <row r="66">
      <c r="A66" s="1355"/>
      <c r="B66" s="195"/>
      <c r="C66" s="195"/>
    </row>
    <row r="67">
      <c r="A67" s="1355"/>
      <c r="B67" s="195"/>
      <c r="C67" s="195"/>
    </row>
    <row r="68">
      <c r="A68" s="1355"/>
      <c r="B68" s="195"/>
      <c r="C68" s="195"/>
    </row>
    <row r="69">
      <c r="A69" s="1355"/>
      <c r="B69" s="195"/>
      <c r="C69" s="195"/>
    </row>
    <row r="70">
      <c r="A70" s="1355"/>
      <c r="B70" s="195"/>
      <c r="C70" s="195"/>
    </row>
    <row r="71">
      <c r="A71" s="1355"/>
      <c r="B71" s="195"/>
      <c r="C71" s="195"/>
    </row>
    <row r="72">
      <c r="A72" s="1355"/>
      <c r="B72" s="195"/>
      <c r="C72" s="195"/>
    </row>
    <row r="73">
      <c r="A73" s="1355"/>
      <c r="B73" s="195"/>
      <c r="C73" s="195"/>
    </row>
    <row r="74">
      <c r="A74" s="1355"/>
      <c r="B74" s="195"/>
      <c r="C74" s="195"/>
    </row>
    <row r="75">
      <c r="A75" s="1355"/>
      <c r="B75" s="195"/>
      <c r="C75" s="195"/>
    </row>
    <row r="76">
      <c r="A76" s="1355"/>
      <c r="B76" s="195"/>
      <c r="C76" s="195"/>
    </row>
    <row r="77">
      <c r="A77" s="1355"/>
      <c r="B77" s="195"/>
      <c r="C77" s="195"/>
    </row>
    <row r="78">
      <c r="A78" s="1355"/>
      <c r="B78" s="195"/>
      <c r="C78" s="195"/>
    </row>
    <row r="79">
      <c r="A79" s="1355"/>
      <c r="B79" s="195"/>
      <c r="C79" s="195"/>
    </row>
    <row r="80">
      <c r="A80" s="1355"/>
      <c r="B80" s="195"/>
      <c r="C80" s="195"/>
    </row>
    <row r="81">
      <c r="A81" s="1355"/>
      <c r="B81" s="195"/>
      <c r="C81" s="195"/>
    </row>
    <row r="82">
      <c r="A82" s="1355"/>
      <c r="B82" s="195"/>
      <c r="C82" s="195"/>
    </row>
    <row r="83">
      <c r="A83" s="1355"/>
      <c r="B83" s="195"/>
      <c r="C83" s="195"/>
    </row>
    <row r="84">
      <c r="A84" s="1355"/>
      <c r="B84" s="195"/>
      <c r="C84" s="195"/>
    </row>
    <row r="85">
      <c r="A85" s="1355"/>
      <c r="B85" s="195"/>
      <c r="C85" s="195"/>
    </row>
    <row r="86">
      <c r="A86" s="1355"/>
      <c r="B86" s="195"/>
      <c r="C86" s="195"/>
    </row>
    <row r="87">
      <c r="A87" s="1355"/>
      <c r="B87" s="195"/>
      <c r="C87" s="195"/>
    </row>
    <row r="88">
      <c r="A88" s="1355"/>
      <c r="B88" s="195"/>
      <c r="C88" s="195"/>
    </row>
    <row r="89">
      <c r="A89" s="1355"/>
      <c r="B89" s="195"/>
      <c r="C89" s="195"/>
    </row>
    <row r="90">
      <c r="A90" s="1355"/>
      <c r="B90" s="195"/>
      <c r="C90" s="195"/>
    </row>
    <row r="91">
      <c r="A91" s="1355"/>
      <c r="B91" s="195"/>
      <c r="C91" s="195"/>
    </row>
    <row r="92">
      <c r="A92" s="1355"/>
      <c r="B92" s="195"/>
      <c r="C92" s="195"/>
    </row>
    <row r="93">
      <c r="A93" s="1355"/>
      <c r="B93" s="195"/>
      <c r="C93" s="195"/>
    </row>
    <row r="94">
      <c r="A94" s="1355"/>
      <c r="B94" s="195"/>
      <c r="C94" s="195"/>
    </row>
    <row r="95">
      <c r="A95" s="1355"/>
      <c r="B95" s="195"/>
      <c r="C95" s="195"/>
    </row>
    <row r="96">
      <c r="A96" s="1355"/>
      <c r="B96" s="195"/>
      <c r="C96" s="195"/>
    </row>
    <row r="97">
      <c r="A97" s="1355"/>
      <c r="B97" s="195"/>
      <c r="C97" s="195"/>
    </row>
    <row r="98">
      <c r="A98" s="1355"/>
      <c r="B98" s="195"/>
      <c r="C98" s="195"/>
    </row>
    <row r="99">
      <c r="A99" s="1355"/>
      <c r="B99" s="195"/>
      <c r="C99" s="195"/>
    </row>
    <row r="100">
      <c r="A100" s="1355"/>
      <c r="B100" s="195"/>
      <c r="C100" s="195"/>
    </row>
    <row r="101">
      <c r="A101" s="1355"/>
      <c r="B101" s="195"/>
      <c r="C101" s="195"/>
    </row>
    <row r="102">
      <c r="A102" s="1355"/>
      <c r="B102" s="195"/>
      <c r="C102" s="195"/>
    </row>
    <row r="103">
      <c r="A103" s="1355"/>
      <c r="B103" s="195"/>
      <c r="C103" s="195"/>
    </row>
    <row r="104">
      <c r="A104" s="1355"/>
      <c r="B104" s="195"/>
      <c r="C104" s="195"/>
    </row>
    <row r="105">
      <c r="A105" s="1355"/>
      <c r="B105" s="195"/>
      <c r="C105" s="195"/>
    </row>
    <row r="106">
      <c r="A106" s="1355"/>
      <c r="B106" s="195"/>
      <c r="C106" s="195"/>
    </row>
    <row r="107">
      <c r="A107" s="1355"/>
      <c r="B107" s="195"/>
      <c r="C107" s="195"/>
    </row>
    <row r="108">
      <c r="A108" s="1355"/>
      <c r="B108" s="195"/>
      <c r="C108" s="195"/>
    </row>
    <row r="109">
      <c r="A109" s="1355"/>
      <c r="B109" s="195"/>
      <c r="C109" s="195"/>
    </row>
    <row r="110">
      <c r="A110" s="1355"/>
      <c r="B110" s="195"/>
      <c r="C110" s="195"/>
    </row>
    <row r="111">
      <c r="A111" s="1355"/>
      <c r="B111" s="195"/>
      <c r="C111" s="195"/>
    </row>
    <row r="112">
      <c r="A112" s="1355"/>
      <c r="B112" s="195"/>
      <c r="C112" s="195"/>
    </row>
    <row r="113">
      <c r="A113" s="1355"/>
      <c r="B113" s="195"/>
      <c r="C113" s="195"/>
    </row>
    <row r="114">
      <c r="A114" s="1355"/>
      <c r="B114" s="195"/>
      <c r="C114" s="195"/>
    </row>
    <row r="115">
      <c r="A115" s="1355"/>
      <c r="B115" s="195"/>
      <c r="C115" s="195"/>
    </row>
    <row r="116">
      <c r="A116" s="1355"/>
      <c r="B116" s="195"/>
      <c r="C116" s="195"/>
    </row>
    <row r="117">
      <c r="A117" s="1355"/>
      <c r="B117" s="195"/>
      <c r="C117" s="195"/>
    </row>
    <row r="118">
      <c r="A118" s="1355"/>
      <c r="B118" s="195"/>
      <c r="C118" s="195"/>
    </row>
    <row r="119">
      <c r="A119" s="1355"/>
      <c r="B119" s="195"/>
      <c r="C119" s="195"/>
    </row>
    <row r="120">
      <c r="A120" s="1355"/>
      <c r="B120" s="195"/>
      <c r="C120" s="195"/>
    </row>
    <row r="121">
      <c r="A121" s="1355"/>
      <c r="B121" s="195"/>
      <c r="C121" s="195"/>
    </row>
    <row r="122">
      <c r="A122" s="1355"/>
      <c r="B122" s="195"/>
      <c r="C122" s="195"/>
    </row>
    <row r="123">
      <c r="A123" s="1355"/>
      <c r="B123" s="195"/>
      <c r="C123" s="195"/>
    </row>
    <row r="124">
      <c r="A124" s="1355"/>
      <c r="B124" s="195"/>
      <c r="C124" s="195"/>
    </row>
    <row r="125">
      <c r="A125" s="1355"/>
      <c r="B125" s="195"/>
      <c r="C125" s="195"/>
    </row>
    <row r="126">
      <c r="A126" s="1355"/>
      <c r="B126" s="195"/>
      <c r="C126" s="195"/>
    </row>
    <row r="127">
      <c r="A127" s="1355"/>
      <c r="B127" s="195"/>
      <c r="C127" s="195"/>
    </row>
    <row r="128">
      <c r="A128" s="1355"/>
      <c r="B128" s="195"/>
      <c r="C128" s="195"/>
    </row>
    <row r="129">
      <c r="A129" s="1355"/>
      <c r="B129" s="195"/>
      <c r="C129" s="195"/>
    </row>
    <row r="130">
      <c r="A130" s="1355"/>
      <c r="B130" s="195"/>
      <c r="C130" s="195"/>
    </row>
    <row r="131">
      <c r="A131" s="1355"/>
      <c r="B131" s="195"/>
      <c r="C131" s="195"/>
    </row>
    <row r="132">
      <c r="A132" s="1355"/>
      <c r="B132" s="195"/>
      <c r="C132" s="195"/>
    </row>
    <row r="133">
      <c r="A133" s="1355"/>
      <c r="B133" s="195"/>
      <c r="C133" s="195"/>
    </row>
    <row r="134">
      <c r="A134" s="1355"/>
      <c r="B134" s="195"/>
      <c r="C134" s="195"/>
    </row>
    <row r="135">
      <c r="A135" s="1355"/>
      <c r="B135" s="195"/>
      <c r="C135" s="195"/>
    </row>
    <row r="136">
      <c r="A136" s="1355"/>
      <c r="B136" s="195"/>
      <c r="C136" s="195"/>
    </row>
    <row r="137">
      <c r="A137" s="1355"/>
      <c r="B137" s="195"/>
      <c r="C137" s="195"/>
    </row>
    <row r="138">
      <c r="A138" s="1355"/>
      <c r="B138" s="195"/>
      <c r="C138" s="195"/>
    </row>
    <row r="139">
      <c r="A139" s="1355"/>
      <c r="B139" s="195"/>
      <c r="C139" s="195"/>
    </row>
    <row r="140">
      <c r="A140" s="1355"/>
      <c r="B140" s="195"/>
      <c r="C140" s="195"/>
    </row>
    <row r="141">
      <c r="A141" s="1355"/>
      <c r="B141" s="195"/>
      <c r="C141" s="195"/>
    </row>
    <row r="142">
      <c r="A142" s="1355"/>
      <c r="B142" s="195"/>
      <c r="C142" s="195"/>
    </row>
    <row r="143">
      <c r="A143" s="1355"/>
      <c r="B143" s="195"/>
      <c r="C143" s="195"/>
    </row>
    <row r="144">
      <c r="A144" s="1355"/>
      <c r="B144" s="195"/>
      <c r="C144" s="195"/>
    </row>
    <row r="145">
      <c r="A145" s="1355"/>
      <c r="B145" s="195"/>
      <c r="C145" s="195"/>
    </row>
    <row r="146">
      <c r="A146" s="1355"/>
      <c r="B146" s="195"/>
      <c r="C146" s="195"/>
    </row>
    <row r="147">
      <c r="A147" s="1355"/>
      <c r="B147" s="195"/>
      <c r="C147" s="195"/>
    </row>
    <row r="148">
      <c r="A148" s="1355"/>
      <c r="B148" s="195"/>
      <c r="C148" s="195"/>
    </row>
    <row r="149">
      <c r="A149" s="1355"/>
      <c r="B149" s="195"/>
      <c r="C149" s="195"/>
    </row>
    <row r="150">
      <c r="A150" s="1355"/>
      <c r="B150" s="195"/>
      <c r="C150" s="195"/>
    </row>
    <row r="151">
      <c r="A151" s="1355"/>
      <c r="B151" s="195"/>
      <c r="C151" s="195"/>
    </row>
    <row r="152">
      <c r="A152" s="1355"/>
      <c r="B152" s="195"/>
      <c r="C152" s="195"/>
    </row>
    <row r="153">
      <c r="A153" s="1355"/>
      <c r="B153" s="195"/>
      <c r="C153" s="195"/>
    </row>
    <row r="154">
      <c r="A154" s="1355"/>
      <c r="B154" s="195"/>
      <c r="C154" s="195"/>
    </row>
    <row r="155">
      <c r="A155" s="1355"/>
      <c r="B155" s="195"/>
      <c r="C155" s="195"/>
    </row>
    <row r="156">
      <c r="A156" s="1355"/>
      <c r="B156" s="195"/>
      <c r="C156" s="195"/>
    </row>
    <row r="157">
      <c r="A157" s="1355"/>
      <c r="B157" s="195"/>
      <c r="C157" s="195"/>
    </row>
    <row r="158">
      <c r="A158" s="1355"/>
      <c r="B158" s="195"/>
      <c r="C158" s="195"/>
    </row>
    <row r="159">
      <c r="A159" s="1355"/>
      <c r="B159" s="195"/>
      <c r="C159" s="195"/>
    </row>
    <row r="160">
      <c r="A160" s="1355"/>
      <c r="B160" s="195"/>
      <c r="C160" s="195"/>
    </row>
    <row r="161">
      <c r="A161" s="1355"/>
      <c r="B161" s="195"/>
      <c r="C161" s="195"/>
    </row>
    <row r="162">
      <c r="A162" s="1355"/>
      <c r="B162" s="195"/>
      <c r="C162" s="195"/>
    </row>
    <row r="163">
      <c r="A163" s="1355"/>
      <c r="B163" s="195"/>
      <c r="C163" s="195"/>
    </row>
    <row r="164">
      <c r="A164" s="1355"/>
      <c r="B164" s="195"/>
      <c r="C164" s="195"/>
    </row>
    <row r="165">
      <c r="A165" s="1355"/>
      <c r="B165" s="195"/>
      <c r="C165" s="195"/>
    </row>
    <row r="166">
      <c r="A166" s="1355"/>
      <c r="B166" s="195"/>
      <c r="C166" s="195"/>
    </row>
    <row r="167">
      <c r="A167" s="1355"/>
      <c r="B167" s="195"/>
      <c r="C167" s="195"/>
    </row>
    <row r="168">
      <c r="A168" s="1355"/>
      <c r="B168" s="195"/>
      <c r="C168" s="195"/>
    </row>
    <row r="169">
      <c r="A169" s="1355"/>
      <c r="B169" s="195"/>
      <c r="C169" s="195"/>
    </row>
    <row r="170">
      <c r="A170" s="1355"/>
      <c r="B170" s="195"/>
      <c r="C170" s="195"/>
    </row>
    <row r="171">
      <c r="A171" s="1355"/>
      <c r="B171" s="195"/>
      <c r="C171" s="195"/>
    </row>
    <row r="172">
      <c r="A172" s="1355"/>
      <c r="B172" s="195"/>
      <c r="C172" s="195"/>
    </row>
    <row r="173">
      <c r="A173" s="1355"/>
      <c r="B173" s="195"/>
      <c r="C173" s="195"/>
    </row>
    <row r="174">
      <c r="A174" s="1355"/>
      <c r="B174" s="195"/>
      <c r="C174" s="195"/>
    </row>
    <row r="175">
      <c r="A175" s="1355"/>
      <c r="B175" s="195"/>
      <c r="C175" s="195"/>
    </row>
    <row r="176">
      <c r="A176" s="1355"/>
      <c r="B176" s="195"/>
      <c r="C176" s="195"/>
    </row>
    <row r="177">
      <c r="A177" s="1355"/>
      <c r="B177" s="195"/>
      <c r="C177" s="195"/>
    </row>
    <row r="178">
      <c r="A178" s="1355"/>
      <c r="B178" s="195"/>
      <c r="C178" s="195"/>
    </row>
    <row r="179">
      <c r="A179" s="1355"/>
      <c r="B179" s="195"/>
      <c r="C179" s="195"/>
    </row>
    <row r="180">
      <c r="A180" s="1355"/>
      <c r="B180" s="195"/>
      <c r="C180" s="195"/>
    </row>
    <row r="181">
      <c r="A181" s="1355"/>
      <c r="B181" s="195"/>
      <c r="C181" s="195"/>
    </row>
    <row r="182">
      <c r="A182" s="1355"/>
      <c r="B182" s="195"/>
      <c r="C182" s="195"/>
    </row>
    <row r="183">
      <c r="A183" s="1355"/>
      <c r="B183" s="195"/>
      <c r="C183" s="195"/>
    </row>
    <row r="184">
      <c r="A184" s="1355"/>
      <c r="B184" s="195"/>
      <c r="C184" s="195"/>
    </row>
    <row r="185">
      <c r="A185" s="1355"/>
      <c r="B185" s="195"/>
      <c r="C185" s="195"/>
    </row>
    <row r="186">
      <c r="A186" s="1355"/>
      <c r="B186" s="195"/>
      <c r="C186" s="195"/>
    </row>
    <row r="187">
      <c r="A187" s="1355"/>
      <c r="B187" s="195"/>
      <c r="C187" s="195"/>
    </row>
    <row r="188">
      <c r="A188" s="1355"/>
      <c r="B188" s="195"/>
      <c r="C188" s="195"/>
    </row>
    <row r="189">
      <c r="A189" s="1355"/>
      <c r="B189" s="195"/>
      <c r="C189" s="195"/>
    </row>
    <row r="190">
      <c r="A190" s="1355"/>
      <c r="B190" s="195"/>
      <c r="C190" s="195"/>
    </row>
    <row r="191">
      <c r="A191" s="1355"/>
      <c r="B191" s="195"/>
      <c r="C191" s="195"/>
    </row>
    <row r="192">
      <c r="A192" s="1355"/>
      <c r="B192" s="195"/>
      <c r="C192" s="195"/>
    </row>
    <row r="193">
      <c r="A193" s="1355"/>
      <c r="B193" s="195"/>
      <c r="C193" s="195"/>
    </row>
    <row r="194">
      <c r="A194" s="1355"/>
      <c r="B194" s="195"/>
      <c r="C194" s="195"/>
    </row>
    <row r="195">
      <c r="A195" s="1355"/>
      <c r="B195" s="195"/>
      <c r="C195" s="195"/>
    </row>
    <row r="196">
      <c r="A196" s="1355"/>
      <c r="B196" s="195"/>
      <c r="C196" s="195"/>
    </row>
    <row r="197">
      <c r="A197" s="1355"/>
      <c r="B197" s="195"/>
      <c r="C197" s="195"/>
    </row>
    <row r="198">
      <c r="A198" s="1355"/>
      <c r="B198" s="195"/>
      <c r="C198" s="195"/>
    </row>
    <row r="199">
      <c r="A199" s="1355"/>
      <c r="B199" s="195"/>
      <c r="C199" s="195"/>
    </row>
    <row r="200">
      <c r="A200" s="1355"/>
      <c r="B200" s="195"/>
      <c r="C200" s="195"/>
    </row>
    <row r="201">
      <c r="A201" s="1355"/>
      <c r="B201" s="195"/>
      <c r="C201" s="195"/>
    </row>
    <row r="202">
      <c r="A202" s="1355"/>
      <c r="B202" s="195"/>
      <c r="C202" s="195"/>
    </row>
    <row r="203">
      <c r="A203" s="1355"/>
      <c r="B203" s="195"/>
      <c r="C203" s="195"/>
    </row>
    <row r="204">
      <c r="A204" s="1355"/>
      <c r="B204" s="195"/>
      <c r="C204" s="195"/>
    </row>
    <row r="205">
      <c r="A205" s="1355"/>
      <c r="B205" s="195"/>
      <c r="C205" s="195"/>
    </row>
    <row r="206">
      <c r="A206" s="1355"/>
      <c r="B206" s="195"/>
      <c r="C206" s="195"/>
    </row>
    <row r="207">
      <c r="A207" s="1355"/>
      <c r="B207" s="195"/>
      <c r="C207" s="195"/>
    </row>
    <row r="208">
      <c r="A208" s="1355"/>
      <c r="B208" s="195"/>
      <c r="C208" s="195"/>
    </row>
    <row r="209">
      <c r="A209" s="1355"/>
      <c r="B209" s="195"/>
      <c r="C209" s="195"/>
    </row>
    <row r="210">
      <c r="A210" s="1355"/>
      <c r="B210" s="195"/>
      <c r="C210" s="195"/>
    </row>
    <row r="211">
      <c r="A211" s="1355"/>
      <c r="B211" s="195"/>
      <c r="C211" s="195"/>
    </row>
    <row r="212">
      <c r="A212" s="1355"/>
      <c r="B212" s="195"/>
      <c r="C212" s="195"/>
    </row>
    <row r="213">
      <c r="A213" s="1355"/>
      <c r="B213" s="195"/>
      <c r="C213" s="195"/>
    </row>
    <row r="214">
      <c r="A214" s="1355"/>
      <c r="B214" s="195"/>
      <c r="C214" s="195"/>
    </row>
    <row r="215">
      <c r="A215" s="1355"/>
      <c r="B215" s="195"/>
      <c r="C215" s="195"/>
    </row>
    <row r="216">
      <c r="A216" s="1355"/>
      <c r="B216" s="195"/>
      <c r="C216" s="195"/>
    </row>
    <row r="217">
      <c r="A217" s="1355"/>
      <c r="B217" s="195"/>
      <c r="C217" s="195"/>
    </row>
    <row r="218">
      <c r="A218" s="1355"/>
      <c r="B218" s="195"/>
      <c r="C218" s="195"/>
    </row>
    <row r="219">
      <c r="A219" s="1355"/>
      <c r="B219" s="195"/>
      <c r="C219" s="195"/>
    </row>
    <row r="220">
      <c r="A220" s="1355"/>
      <c r="B220" s="195"/>
      <c r="C220" s="195"/>
    </row>
    <row r="221">
      <c r="A221" s="1355"/>
      <c r="B221" s="195"/>
      <c r="C221" s="195"/>
    </row>
    <row r="222">
      <c r="A222" s="1355"/>
      <c r="B222" s="195"/>
      <c r="C222" s="195"/>
    </row>
    <row r="223">
      <c r="A223" s="1355"/>
      <c r="B223" s="195"/>
      <c r="C223" s="195"/>
    </row>
    <row r="224">
      <c r="A224" s="1355"/>
      <c r="B224" s="195"/>
      <c r="C224" s="195"/>
    </row>
    <row r="225">
      <c r="A225" s="1355"/>
      <c r="B225" s="195"/>
      <c r="C225" s="195"/>
    </row>
    <row r="226">
      <c r="A226" s="1355"/>
      <c r="B226" s="195"/>
      <c r="C226" s="195"/>
    </row>
    <row r="227">
      <c r="A227" s="1355"/>
      <c r="B227" s="195"/>
      <c r="C227" s="195"/>
    </row>
    <row r="228">
      <c r="A228" s="1355"/>
      <c r="B228" s="195"/>
      <c r="C228" s="195"/>
    </row>
    <row r="229">
      <c r="A229" s="1355"/>
      <c r="B229" s="195"/>
      <c r="C229" s="195"/>
    </row>
    <row r="230">
      <c r="A230" s="1355"/>
      <c r="B230" s="195"/>
      <c r="C230" s="195"/>
    </row>
    <row r="231">
      <c r="A231" s="1355"/>
      <c r="B231" s="195"/>
      <c r="C231" s="195"/>
    </row>
    <row r="232">
      <c r="A232" s="1355"/>
      <c r="B232" s="195"/>
      <c r="C232" s="195"/>
    </row>
    <row r="233">
      <c r="A233" s="1355"/>
      <c r="B233" s="195"/>
      <c r="C233" s="195"/>
    </row>
    <row r="234">
      <c r="A234" s="1355"/>
      <c r="B234" s="195"/>
      <c r="C234" s="195"/>
    </row>
    <row r="235">
      <c r="A235" s="1355"/>
      <c r="B235" s="195"/>
      <c r="C235" s="195"/>
    </row>
    <row r="236">
      <c r="A236" s="1355"/>
      <c r="B236" s="195"/>
      <c r="C236" s="195"/>
    </row>
    <row r="237">
      <c r="A237" s="1355"/>
      <c r="B237" s="195"/>
      <c r="C237" s="195"/>
    </row>
    <row r="238">
      <c r="A238" s="1355"/>
      <c r="B238" s="195"/>
      <c r="C238" s="195"/>
    </row>
    <row r="239">
      <c r="A239" s="1355"/>
      <c r="B239" s="195"/>
      <c r="C239" s="195"/>
    </row>
    <row r="240">
      <c r="A240" s="1355"/>
      <c r="B240" s="195"/>
      <c r="C240" s="195"/>
    </row>
    <row r="241">
      <c r="A241" s="1355"/>
      <c r="B241" s="195"/>
      <c r="C241" s="195"/>
    </row>
    <row r="242">
      <c r="A242" s="1355"/>
      <c r="B242" s="195"/>
      <c r="C242" s="195"/>
    </row>
    <row r="243">
      <c r="A243" s="1355"/>
      <c r="B243" s="195"/>
      <c r="C243" s="195"/>
    </row>
    <row r="244">
      <c r="A244" s="1355"/>
      <c r="B244" s="195"/>
      <c r="C244" s="195"/>
    </row>
    <row r="245">
      <c r="A245" s="1355"/>
      <c r="B245" s="195"/>
      <c r="C245" s="195"/>
    </row>
    <row r="246">
      <c r="A246" s="1355"/>
      <c r="B246" s="195"/>
      <c r="C246" s="195"/>
    </row>
    <row r="247">
      <c r="A247" s="1355"/>
      <c r="B247" s="195"/>
      <c r="C247" s="195"/>
    </row>
    <row r="248">
      <c r="A248" s="1355"/>
      <c r="B248" s="195"/>
      <c r="C248" s="195"/>
    </row>
    <row r="249">
      <c r="A249" s="1355"/>
      <c r="B249" s="195"/>
      <c r="C249" s="195"/>
    </row>
    <row r="250">
      <c r="A250" s="1355"/>
      <c r="B250" s="195"/>
      <c r="C250" s="195"/>
    </row>
    <row r="251">
      <c r="A251" s="1355"/>
      <c r="B251" s="195"/>
      <c r="C251" s="195"/>
    </row>
    <row r="252">
      <c r="A252" s="1355"/>
      <c r="B252" s="195"/>
      <c r="C252" s="195"/>
    </row>
    <row r="253">
      <c r="A253" s="1355"/>
      <c r="B253" s="195"/>
      <c r="C253" s="195"/>
    </row>
    <row r="254">
      <c r="A254" s="1355"/>
      <c r="B254" s="195"/>
      <c r="C254" s="195"/>
    </row>
    <row r="255">
      <c r="A255" s="1355"/>
      <c r="B255" s="195"/>
      <c r="C255" s="195"/>
    </row>
    <row r="256">
      <c r="A256" s="1355"/>
      <c r="B256" s="195"/>
      <c r="C256" s="195"/>
    </row>
    <row r="257">
      <c r="A257" s="1355"/>
      <c r="B257" s="195"/>
      <c r="C257" s="195"/>
    </row>
    <row r="258">
      <c r="A258" s="1355"/>
      <c r="B258" s="195"/>
      <c r="C258" s="195"/>
    </row>
    <row r="259">
      <c r="A259" s="1355"/>
      <c r="B259" s="195"/>
      <c r="C259" s="195"/>
    </row>
    <row r="260">
      <c r="A260" s="1355"/>
      <c r="B260" s="195"/>
      <c r="C260" s="195"/>
    </row>
    <row r="261">
      <c r="A261" s="1355"/>
      <c r="B261" s="195"/>
      <c r="C261" s="195"/>
    </row>
    <row r="262">
      <c r="A262" s="1355"/>
      <c r="B262" s="195"/>
      <c r="C262" s="195"/>
    </row>
    <row r="263">
      <c r="A263" s="1355"/>
      <c r="B263" s="195"/>
      <c r="C263" s="195"/>
    </row>
    <row r="264">
      <c r="A264" s="1355"/>
      <c r="B264" s="195"/>
      <c r="C264" s="195"/>
    </row>
    <row r="265">
      <c r="A265" s="1355"/>
      <c r="B265" s="195"/>
      <c r="C265" s="195"/>
    </row>
    <row r="266">
      <c r="A266" s="1355"/>
      <c r="B266" s="195"/>
      <c r="C266" s="195"/>
    </row>
    <row r="267">
      <c r="A267" s="1355"/>
      <c r="B267" s="195"/>
      <c r="C267" s="195"/>
    </row>
    <row r="268">
      <c r="A268" s="1355"/>
      <c r="B268" s="195"/>
      <c r="C268" s="195"/>
    </row>
    <row r="269">
      <c r="A269" s="1355"/>
      <c r="B269" s="195"/>
      <c r="C269" s="195"/>
    </row>
    <row r="270">
      <c r="A270" s="1355"/>
      <c r="B270" s="195"/>
      <c r="C270" s="195"/>
    </row>
    <row r="271">
      <c r="A271" s="1355"/>
      <c r="B271" s="195"/>
      <c r="C271" s="195"/>
    </row>
    <row r="272">
      <c r="A272" s="1355"/>
      <c r="B272" s="195"/>
      <c r="C272" s="195"/>
    </row>
    <row r="273">
      <c r="A273" s="1355"/>
      <c r="B273" s="195"/>
      <c r="C273" s="195"/>
    </row>
    <row r="274">
      <c r="A274" s="1355"/>
      <c r="B274" s="195"/>
      <c r="C274" s="195"/>
    </row>
    <row r="275">
      <c r="A275" s="1355"/>
      <c r="B275" s="195"/>
      <c r="C275" s="195"/>
    </row>
    <row r="276">
      <c r="A276" s="1355"/>
      <c r="B276" s="195"/>
      <c r="C276" s="195"/>
    </row>
    <row r="277">
      <c r="A277" s="1355"/>
      <c r="B277" s="195"/>
      <c r="C277" s="195"/>
    </row>
    <row r="278">
      <c r="A278" s="1355"/>
      <c r="B278" s="195"/>
      <c r="C278" s="195"/>
    </row>
    <row r="279">
      <c r="A279" s="1355"/>
      <c r="B279" s="195"/>
      <c r="C279" s="195"/>
    </row>
    <row r="280">
      <c r="A280" s="1355"/>
      <c r="B280" s="195"/>
      <c r="C280" s="195"/>
    </row>
    <row r="281">
      <c r="A281" s="1355"/>
      <c r="B281" s="195"/>
      <c r="C281" s="195"/>
    </row>
    <row r="282">
      <c r="A282" s="1355"/>
      <c r="B282" s="195"/>
      <c r="C282" s="195"/>
    </row>
    <row r="283">
      <c r="A283" s="1355"/>
      <c r="B283" s="195"/>
      <c r="C283" s="195"/>
    </row>
    <row r="284">
      <c r="A284" s="1355"/>
      <c r="B284" s="195"/>
      <c r="C284" s="195"/>
    </row>
    <row r="285">
      <c r="A285" s="1355"/>
      <c r="B285" s="195"/>
      <c r="C285" s="195"/>
    </row>
    <row r="286">
      <c r="A286" s="1355"/>
      <c r="B286" s="195"/>
      <c r="C286" s="195"/>
    </row>
    <row r="287">
      <c r="A287" s="1355"/>
      <c r="B287" s="195"/>
      <c r="C287" s="195"/>
    </row>
    <row r="288">
      <c r="A288" s="1355"/>
      <c r="B288" s="195"/>
      <c r="C288" s="195"/>
    </row>
    <row r="289">
      <c r="A289" s="1355"/>
      <c r="B289" s="195"/>
      <c r="C289" s="195"/>
    </row>
    <row r="290">
      <c r="A290" s="1355"/>
      <c r="B290" s="195"/>
      <c r="C290" s="195"/>
    </row>
    <row r="291">
      <c r="A291" s="1355"/>
      <c r="B291" s="195"/>
      <c r="C291" s="195"/>
    </row>
    <row r="292">
      <c r="A292" s="1355"/>
      <c r="B292" s="195"/>
      <c r="C292" s="195"/>
    </row>
    <row r="293">
      <c r="A293" s="1355"/>
      <c r="B293" s="195"/>
      <c r="C293" s="195"/>
    </row>
    <row r="294">
      <c r="A294" s="1355"/>
      <c r="B294" s="195"/>
      <c r="C294" s="195"/>
    </row>
    <row r="295">
      <c r="A295" s="1355"/>
      <c r="B295" s="195"/>
      <c r="C295" s="195"/>
    </row>
    <row r="296">
      <c r="A296" s="1355"/>
      <c r="B296" s="195"/>
      <c r="C296" s="195"/>
    </row>
    <row r="297">
      <c r="A297" s="1355"/>
      <c r="B297" s="195"/>
      <c r="C297" s="195"/>
    </row>
    <row r="298">
      <c r="A298" s="1355"/>
      <c r="B298" s="195"/>
      <c r="C298" s="195"/>
    </row>
    <row r="299">
      <c r="A299" s="1355"/>
      <c r="B299" s="195"/>
      <c r="C299" s="195"/>
    </row>
    <row r="300">
      <c r="A300" s="1355"/>
      <c r="B300" s="195"/>
      <c r="C300" s="195"/>
    </row>
    <row r="301">
      <c r="A301" s="1355"/>
      <c r="B301" s="195"/>
      <c r="C301" s="195"/>
    </row>
    <row r="302">
      <c r="A302" s="1355"/>
      <c r="B302" s="195"/>
      <c r="C302" s="195"/>
    </row>
    <row r="303">
      <c r="A303" s="1355"/>
      <c r="B303" s="195"/>
      <c r="C303" s="195"/>
    </row>
    <row r="304">
      <c r="A304" s="1355"/>
      <c r="B304" s="195"/>
      <c r="C304" s="195"/>
    </row>
    <row r="305">
      <c r="A305" s="1355"/>
      <c r="B305" s="195"/>
      <c r="C305" s="195"/>
    </row>
    <row r="306">
      <c r="A306" s="1355"/>
      <c r="B306" s="195"/>
      <c r="C306" s="195"/>
    </row>
    <row r="307">
      <c r="A307" s="1355"/>
      <c r="B307" s="195"/>
      <c r="C307" s="195"/>
    </row>
    <row r="308">
      <c r="A308" s="1355"/>
      <c r="B308" s="195"/>
      <c r="C308" s="195"/>
    </row>
    <row r="309">
      <c r="A309" s="1355"/>
      <c r="B309" s="195"/>
      <c r="C309" s="195"/>
    </row>
    <row r="310">
      <c r="A310" s="1355"/>
      <c r="B310" s="195"/>
      <c r="C310" s="195"/>
    </row>
    <row r="311">
      <c r="A311" s="1355"/>
      <c r="B311" s="195"/>
      <c r="C311" s="195"/>
    </row>
    <row r="312">
      <c r="A312" s="1355"/>
      <c r="B312" s="195"/>
      <c r="C312" s="195"/>
    </row>
    <row r="313">
      <c r="A313" s="1355"/>
      <c r="B313" s="195"/>
      <c r="C313" s="195"/>
    </row>
    <row r="314">
      <c r="A314" s="1355"/>
      <c r="B314" s="195"/>
      <c r="C314" s="195"/>
    </row>
    <row r="315">
      <c r="A315" s="1355"/>
      <c r="B315" s="195"/>
      <c r="C315" s="195"/>
    </row>
    <row r="316">
      <c r="A316" s="1355"/>
      <c r="B316" s="195"/>
      <c r="C316" s="195"/>
    </row>
    <row r="317">
      <c r="A317" s="1355"/>
      <c r="B317" s="195"/>
      <c r="C317" s="195"/>
    </row>
    <row r="318">
      <c r="A318" s="1355"/>
      <c r="B318" s="195"/>
      <c r="C318" s="195"/>
    </row>
    <row r="319">
      <c r="A319" s="1355"/>
      <c r="B319" s="195"/>
      <c r="C319" s="195"/>
    </row>
    <row r="320">
      <c r="A320" s="1355"/>
      <c r="B320" s="195"/>
      <c r="C320" s="195"/>
    </row>
    <row r="321">
      <c r="A321" s="1355"/>
      <c r="B321" s="195"/>
      <c r="C321" s="195"/>
    </row>
    <row r="322">
      <c r="A322" s="1355"/>
      <c r="B322" s="195"/>
      <c r="C322" s="195"/>
    </row>
    <row r="323">
      <c r="A323" s="1355"/>
      <c r="B323" s="195"/>
      <c r="C323" s="195"/>
    </row>
    <row r="324">
      <c r="A324" s="1355"/>
      <c r="B324" s="195"/>
      <c r="C324" s="195"/>
    </row>
    <row r="325">
      <c r="A325" s="1355"/>
      <c r="B325" s="195"/>
      <c r="C325" s="195"/>
    </row>
    <row r="326">
      <c r="A326" s="1355"/>
      <c r="B326" s="195"/>
      <c r="C326" s="195"/>
    </row>
    <row r="327">
      <c r="A327" s="1355"/>
      <c r="B327" s="195"/>
      <c r="C327" s="195"/>
    </row>
    <row r="328">
      <c r="A328" s="1355"/>
      <c r="B328" s="195"/>
      <c r="C328" s="195"/>
    </row>
    <row r="329">
      <c r="A329" s="1355"/>
      <c r="B329" s="195"/>
      <c r="C329" s="195"/>
    </row>
    <row r="330">
      <c r="A330" s="1355"/>
      <c r="B330" s="195"/>
      <c r="C330" s="195"/>
    </row>
    <row r="331">
      <c r="A331" s="1355"/>
      <c r="B331" s="195"/>
      <c r="C331" s="195"/>
    </row>
    <row r="332">
      <c r="A332" s="1355"/>
      <c r="B332" s="195"/>
      <c r="C332" s="195"/>
    </row>
    <row r="333">
      <c r="A333" s="1355"/>
      <c r="B333" s="195"/>
      <c r="C333" s="195"/>
    </row>
    <row r="334">
      <c r="A334" s="1355"/>
      <c r="B334" s="195"/>
      <c r="C334" s="195"/>
    </row>
    <row r="335">
      <c r="A335" s="1355"/>
      <c r="B335" s="195"/>
      <c r="C335" s="195"/>
    </row>
    <row r="336">
      <c r="A336" s="1355"/>
      <c r="B336" s="195"/>
      <c r="C336" s="195"/>
    </row>
    <row r="337">
      <c r="A337" s="1355"/>
      <c r="B337" s="195"/>
      <c r="C337" s="195"/>
    </row>
    <row r="338">
      <c r="A338" s="1355"/>
      <c r="B338" s="195"/>
      <c r="C338" s="195"/>
    </row>
    <row r="339">
      <c r="A339" s="1355"/>
      <c r="B339" s="195"/>
      <c r="C339" s="195"/>
    </row>
    <row r="340">
      <c r="A340" s="1355"/>
      <c r="B340" s="195"/>
      <c r="C340" s="195"/>
    </row>
    <row r="341">
      <c r="A341" s="1355"/>
      <c r="B341" s="195"/>
      <c r="C341" s="195"/>
    </row>
    <row r="342">
      <c r="A342" s="1355"/>
      <c r="B342" s="195"/>
      <c r="C342" s="195"/>
    </row>
    <row r="343">
      <c r="A343" s="1355"/>
      <c r="B343" s="195"/>
      <c r="C343" s="195"/>
    </row>
    <row r="344">
      <c r="A344" s="1355"/>
      <c r="B344" s="195"/>
      <c r="C344" s="195"/>
    </row>
    <row r="345">
      <c r="A345" s="1355"/>
      <c r="B345" s="195"/>
      <c r="C345" s="195"/>
    </row>
    <row r="346">
      <c r="A346" s="1355"/>
      <c r="B346" s="195"/>
      <c r="C346" s="195"/>
    </row>
    <row r="347">
      <c r="A347" s="1355"/>
      <c r="B347" s="195"/>
      <c r="C347" s="195"/>
    </row>
    <row r="348">
      <c r="A348" s="1355"/>
      <c r="B348" s="195"/>
      <c r="C348" s="195"/>
    </row>
    <row r="349">
      <c r="A349" s="1355"/>
      <c r="B349" s="195"/>
      <c r="C349" s="195"/>
    </row>
    <row r="350">
      <c r="A350" s="1355"/>
      <c r="B350" s="195"/>
      <c r="C350" s="195"/>
    </row>
    <row r="351">
      <c r="A351" s="1355"/>
      <c r="B351" s="195"/>
      <c r="C351" s="195"/>
    </row>
    <row r="352">
      <c r="A352" s="1355"/>
      <c r="B352" s="195"/>
      <c r="C352" s="195"/>
    </row>
    <row r="353">
      <c r="A353" s="1355"/>
      <c r="B353" s="195"/>
      <c r="C353" s="195"/>
    </row>
    <row r="354">
      <c r="A354" s="1355"/>
      <c r="B354" s="195"/>
      <c r="C354" s="195"/>
    </row>
    <row r="355">
      <c r="A355" s="1355"/>
      <c r="B355" s="195"/>
      <c r="C355" s="195"/>
    </row>
    <row r="356">
      <c r="A356" s="1355"/>
      <c r="B356" s="195"/>
      <c r="C356" s="195"/>
    </row>
    <row r="357">
      <c r="A357" s="1355"/>
      <c r="B357" s="195"/>
      <c r="C357" s="195"/>
    </row>
    <row r="358">
      <c r="A358" s="1355"/>
      <c r="B358" s="195"/>
      <c r="C358" s="195"/>
    </row>
    <row r="359">
      <c r="A359" s="1355"/>
      <c r="B359" s="195"/>
      <c r="C359" s="195"/>
    </row>
    <row r="360">
      <c r="A360" s="1355"/>
      <c r="B360" s="195"/>
      <c r="C360" s="195"/>
    </row>
    <row r="361">
      <c r="A361" s="1355"/>
      <c r="B361" s="195"/>
      <c r="C361" s="195"/>
    </row>
    <row r="362">
      <c r="A362" s="1355"/>
      <c r="B362" s="195"/>
      <c r="C362" s="195"/>
    </row>
    <row r="363">
      <c r="A363" s="1355"/>
      <c r="B363" s="195"/>
      <c r="C363" s="195"/>
    </row>
    <row r="364">
      <c r="A364" s="1355"/>
      <c r="B364" s="195"/>
      <c r="C364" s="195"/>
    </row>
    <row r="365">
      <c r="A365" s="1355"/>
      <c r="B365" s="195"/>
      <c r="C365" s="195"/>
    </row>
    <row r="366">
      <c r="A366" s="1355"/>
      <c r="B366" s="195"/>
      <c r="C366" s="195"/>
    </row>
    <row r="367">
      <c r="A367" s="1355"/>
      <c r="B367" s="195"/>
      <c r="C367" s="195"/>
    </row>
    <row r="368">
      <c r="A368" s="1355"/>
      <c r="B368" s="195"/>
      <c r="C368" s="195"/>
    </row>
    <row r="369">
      <c r="A369" s="1355"/>
      <c r="B369" s="195"/>
      <c r="C369" s="195"/>
    </row>
    <row r="370">
      <c r="A370" s="1355"/>
      <c r="B370" s="195"/>
      <c r="C370" s="195"/>
    </row>
    <row r="371">
      <c r="A371" s="1355"/>
      <c r="B371" s="195"/>
      <c r="C371" s="195"/>
    </row>
    <row r="372">
      <c r="A372" s="1355"/>
      <c r="B372" s="195"/>
      <c r="C372" s="195"/>
    </row>
    <row r="373">
      <c r="A373" s="1355"/>
      <c r="B373" s="195"/>
      <c r="C373" s="195"/>
    </row>
    <row r="374">
      <c r="A374" s="1355"/>
      <c r="B374" s="195"/>
      <c r="C374" s="195"/>
    </row>
    <row r="375">
      <c r="A375" s="1355"/>
      <c r="B375" s="195"/>
      <c r="C375" s="195"/>
    </row>
    <row r="376">
      <c r="A376" s="1355"/>
      <c r="B376" s="195"/>
      <c r="C376" s="195"/>
    </row>
    <row r="377">
      <c r="A377" s="1355"/>
      <c r="B377" s="195"/>
      <c r="C377" s="195"/>
    </row>
    <row r="378">
      <c r="A378" s="1355"/>
      <c r="B378" s="195"/>
      <c r="C378" s="195"/>
    </row>
    <row r="379">
      <c r="A379" s="1355"/>
      <c r="B379" s="195"/>
      <c r="C379" s="195"/>
    </row>
    <row r="380">
      <c r="A380" s="1355"/>
      <c r="B380" s="195"/>
      <c r="C380" s="195"/>
    </row>
    <row r="381">
      <c r="A381" s="1355"/>
      <c r="B381" s="195"/>
      <c r="C381" s="195"/>
    </row>
    <row r="382">
      <c r="A382" s="1355"/>
      <c r="B382" s="195"/>
      <c r="C382" s="195"/>
    </row>
    <row r="383">
      <c r="A383" s="1355"/>
      <c r="B383" s="195"/>
      <c r="C383" s="195"/>
    </row>
    <row r="384">
      <c r="A384" s="1355"/>
      <c r="B384" s="195"/>
      <c r="C384" s="195"/>
    </row>
    <row r="385">
      <c r="A385" s="1355"/>
      <c r="B385" s="195"/>
      <c r="C385" s="195"/>
    </row>
    <row r="386">
      <c r="A386" s="1355"/>
      <c r="B386" s="195"/>
      <c r="C386" s="195"/>
    </row>
    <row r="387">
      <c r="A387" s="1355"/>
      <c r="B387" s="195"/>
      <c r="C387" s="195"/>
    </row>
    <row r="388">
      <c r="A388" s="1355"/>
      <c r="B388" s="195"/>
      <c r="C388" s="195"/>
    </row>
    <row r="389">
      <c r="A389" s="1355"/>
      <c r="B389" s="195"/>
      <c r="C389" s="195"/>
    </row>
    <row r="390">
      <c r="A390" s="1355"/>
      <c r="B390" s="195"/>
      <c r="C390" s="195"/>
    </row>
    <row r="391">
      <c r="A391" s="1355"/>
      <c r="B391" s="195"/>
      <c r="C391" s="195"/>
    </row>
    <row r="392">
      <c r="A392" s="1355"/>
      <c r="B392" s="195"/>
      <c r="C392" s="195"/>
    </row>
    <row r="393">
      <c r="A393" s="1355"/>
      <c r="B393" s="195"/>
      <c r="C393" s="195"/>
    </row>
    <row r="394">
      <c r="A394" s="1355"/>
      <c r="B394" s="195"/>
      <c r="C394" s="195"/>
    </row>
    <row r="395">
      <c r="A395" s="1355"/>
      <c r="B395" s="195"/>
      <c r="C395" s="195"/>
    </row>
    <row r="396">
      <c r="A396" s="1355"/>
      <c r="B396" s="195"/>
      <c r="C396" s="195"/>
    </row>
    <row r="397">
      <c r="A397" s="1355"/>
      <c r="B397" s="195"/>
      <c r="C397" s="195"/>
    </row>
    <row r="398">
      <c r="A398" s="1355"/>
      <c r="B398" s="195"/>
      <c r="C398" s="195"/>
    </row>
    <row r="399">
      <c r="A399" s="1355"/>
      <c r="B399" s="195"/>
      <c r="C399" s="195"/>
    </row>
    <row r="400">
      <c r="A400" s="1355"/>
      <c r="B400" s="195"/>
      <c r="C400" s="195"/>
    </row>
    <row r="401">
      <c r="A401" s="1355"/>
      <c r="B401" s="195"/>
      <c r="C401" s="195"/>
    </row>
    <row r="402">
      <c r="A402" s="1355"/>
      <c r="B402" s="195"/>
      <c r="C402" s="195"/>
    </row>
    <row r="403">
      <c r="A403" s="1355"/>
      <c r="B403" s="195"/>
      <c r="C403" s="195"/>
    </row>
    <row r="404">
      <c r="A404" s="1355"/>
      <c r="B404" s="195"/>
      <c r="C404" s="195"/>
    </row>
    <row r="405">
      <c r="A405" s="1355"/>
      <c r="B405" s="195"/>
      <c r="C405" s="195"/>
    </row>
    <row r="406">
      <c r="A406" s="1355"/>
      <c r="B406" s="195"/>
      <c r="C406" s="195"/>
    </row>
    <row r="407">
      <c r="A407" s="1355"/>
      <c r="B407" s="195"/>
      <c r="C407" s="195"/>
    </row>
    <row r="408">
      <c r="A408" s="1355"/>
      <c r="B408" s="195"/>
      <c r="C408" s="195"/>
    </row>
    <row r="409">
      <c r="A409" s="1355"/>
      <c r="B409" s="195"/>
      <c r="C409" s="195"/>
    </row>
    <row r="410">
      <c r="A410" s="1355"/>
      <c r="B410" s="195"/>
      <c r="C410" s="195"/>
    </row>
    <row r="411">
      <c r="A411" s="1355"/>
      <c r="B411" s="195"/>
      <c r="C411" s="195"/>
    </row>
    <row r="412">
      <c r="A412" s="1355"/>
      <c r="B412" s="195"/>
      <c r="C412" s="195"/>
    </row>
    <row r="413">
      <c r="A413" s="1355"/>
      <c r="B413" s="195"/>
      <c r="C413" s="195"/>
    </row>
    <row r="414">
      <c r="A414" s="1355"/>
      <c r="B414" s="195"/>
      <c r="C414" s="195"/>
    </row>
    <row r="415">
      <c r="A415" s="1355"/>
      <c r="B415" s="195"/>
      <c r="C415" s="195"/>
    </row>
    <row r="416">
      <c r="A416" s="1355"/>
      <c r="B416" s="195"/>
      <c r="C416" s="195"/>
    </row>
    <row r="417">
      <c r="A417" s="1355"/>
      <c r="B417" s="195"/>
      <c r="C417" s="195"/>
    </row>
    <row r="418">
      <c r="A418" s="1355"/>
      <c r="B418" s="195"/>
      <c r="C418" s="195"/>
    </row>
    <row r="419">
      <c r="A419" s="1355"/>
      <c r="B419" s="195"/>
      <c r="C419" s="195"/>
    </row>
    <row r="420">
      <c r="A420" s="1355"/>
      <c r="B420" s="195"/>
      <c r="C420" s="195"/>
    </row>
    <row r="421">
      <c r="A421" s="1355"/>
      <c r="B421" s="195"/>
      <c r="C421" s="195"/>
    </row>
    <row r="422">
      <c r="A422" s="1355"/>
      <c r="B422" s="195"/>
      <c r="C422" s="195"/>
    </row>
    <row r="423">
      <c r="A423" s="1355"/>
      <c r="B423" s="195"/>
      <c r="C423" s="195"/>
    </row>
    <row r="424">
      <c r="A424" s="1355"/>
      <c r="B424" s="195"/>
      <c r="C424" s="195"/>
    </row>
    <row r="425">
      <c r="A425" s="1355"/>
      <c r="B425" s="195"/>
      <c r="C425" s="195"/>
    </row>
    <row r="426">
      <c r="A426" s="1355"/>
      <c r="B426" s="195"/>
      <c r="C426" s="195"/>
    </row>
    <row r="427">
      <c r="A427" s="1355"/>
      <c r="B427" s="195"/>
      <c r="C427" s="195"/>
    </row>
    <row r="428">
      <c r="A428" s="1355"/>
      <c r="B428" s="195"/>
      <c r="C428" s="195"/>
    </row>
    <row r="429">
      <c r="A429" s="1355"/>
      <c r="B429" s="195"/>
      <c r="C429" s="195"/>
    </row>
    <row r="430">
      <c r="A430" s="1355"/>
      <c r="B430" s="195"/>
      <c r="C430" s="195"/>
    </row>
    <row r="431">
      <c r="A431" s="1355"/>
      <c r="B431" s="195"/>
      <c r="C431" s="195"/>
    </row>
    <row r="432">
      <c r="A432" s="1355"/>
      <c r="B432" s="195"/>
      <c r="C432" s="195"/>
    </row>
    <row r="433">
      <c r="A433" s="1355"/>
      <c r="B433" s="195"/>
      <c r="C433" s="195"/>
    </row>
    <row r="434">
      <c r="A434" s="1355"/>
      <c r="B434" s="195"/>
      <c r="C434" s="195"/>
    </row>
    <row r="435">
      <c r="A435" s="1355"/>
      <c r="B435" s="195"/>
      <c r="C435" s="195"/>
    </row>
    <row r="436">
      <c r="A436" s="1355"/>
      <c r="B436" s="195"/>
      <c r="C436" s="195"/>
    </row>
    <row r="437">
      <c r="A437" s="1355"/>
      <c r="B437" s="195"/>
      <c r="C437" s="195"/>
    </row>
    <row r="438">
      <c r="A438" s="1355"/>
      <c r="B438" s="195"/>
      <c r="C438" s="195"/>
    </row>
    <row r="439">
      <c r="A439" s="1355"/>
      <c r="B439" s="195"/>
      <c r="C439" s="195"/>
    </row>
    <row r="440">
      <c r="A440" s="1355"/>
      <c r="B440" s="195"/>
      <c r="C440" s="195"/>
    </row>
    <row r="441">
      <c r="A441" s="1355"/>
      <c r="B441" s="195"/>
      <c r="C441" s="195"/>
    </row>
    <row r="442">
      <c r="A442" s="1355"/>
      <c r="B442" s="195"/>
      <c r="C442" s="195"/>
    </row>
    <row r="443">
      <c r="A443" s="1355"/>
      <c r="B443" s="195"/>
      <c r="C443" s="195"/>
    </row>
    <row r="444">
      <c r="A444" s="1355"/>
      <c r="B444" s="195"/>
      <c r="C444" s="195"/>
    </row>
    <row r="445">
      <c r="A445" s="1355"/>
      <c r="B445" s="195"/>
      <c r="C445" s="195"/>
    </row>
    <row r="446">
      <c r="A446" s="1355"/>
      <c r="B446" s="195"/>
      <c r="C446" s="195"/>
    </row>
    <row r="447">
      <c r="A447" s="1355"/>
      <c r="B447" s="195"/>
      <c r="C447" s="195"/>
    </row>
    <row r="448">
      <c r="A448" s="1355"/>
      <c r="B448" s="195"/>
      <c r="C448" s="195"/>
    </row>
    <row r="449">
      <c r="A449" s="1355"/>
      <c r="B449" s="195"/>
      <c r="C449" s="195"/>
    </row>
    <row r="450">
      <c r="A450" s="1355"/>
      <c r="B450" s="195"/>
      <c r="C450" s="195"/>
    </row>
    <row r="451">
      <c r="A451" s="1355"/>
      <c r="B451" s="195"/>
      <c r="C451" s="195"/>
    </row>
    <row r="452">
      <c r="A452" s="1355"/>
      <c r="B452" s="195"/>
      <c r="C452" s="195"/>
    </row>
    <row r="453">
      <c r="A453" s="1355"/>
      <c r="B453" s="195"/>
      <c r="C453" s="195"/>
    </row>
    <row r="454">
      <c r="A454" s="1355"/>
      <c r="B454" s="195"/>
      <c r="C454" s="195"/>
    </row>
    <row r="455">
      <c r="A455" s="1355"/>
      <c r="B455" s="195"/>
      <c r="C455" s="195"/>
    </row>
    <row r="456">
      <c r="A456" s="1355"/>
      <c r="B456" s="195"/>
      <c r="C456" s="195"/>
    </row>
    <row r="457">
      <c r="A457" s="1355"/>
      <c r="B457" s="195"/>
      <c r="C457" s="195"/>
    </row>
    <row r="458">
      <c r="A458" s="1355"/>
      <c r="B458" s="195"/>
      <c r="C458" s="195"/>
    </row>
    <row r="459">
      <c r="A459" s="1355"/>
      <c r="B459" s="195"/>
      <c r="C459" s="195"/>
    </row>
    <row r="460">
      <c r="A460" s="1355"/>
      <c r="B460" s="195"/>
      <c r="C460" s="195"/>
    </row>
    <row r="461">
      <c r="A461" s="1355"/>
      <c r="B461" s="195"/>
      <c r="C461" s="195"/>
    </row>
    <row r="462">
      <c r="A462" s="1355"/>
      <c r="B462" s="195"/>
      <c r="C462" s="195"/>
    </row>
    <row r="463">
      <c r="A463" s="1355"/>
      <c r="B463" s="195"/>
      <c r="C463" s="195"/>
    </row>
    <row r="464">
      <c r="A464" s="1355"/>
      <c r="B464" s="195"/>
      <c r="C464" s="195"/>
    </row>
    <row r="465">
      <c r="A465" s="1355"/>
      <c r="B465" s="195"/>
      <c r="C465" s="195"/>
    </row>
    <row r="466">
      <c r="A466" s="1355"/>
      <c r="B466" s="195"/>
      <c r="C466" s="195"/>
    </row>
    <row r="467">
      <c r="A467" s="1355"/>
      <c r="B467" s="195"/>
      <c r="C467" s="195"/>
    </row>
    <row r="468">
      <c r="A468" s="1355"/>
      <c r="B468" s="195"/>
      <c r="C468" s="195"/>
    </row>
    <row r="469">
      <c r="A469" s="1355"/>
      <c r="B469" s="195"/>
      <c r="C469" s="195"/>
    </row>
    <row r="470">
      <c r="A470" s="1355"/>
      <c r="B470" s="195"/>
      <c r="C470" s="195"/>
    </row>
    <row r="471">
      <c r="A471" s="1355"/>
      <c r="B471" s="195"/>
      <c r="C471" s="195"/>
    </row>
    <row r="472">
      <c r="A472" s="1355"/>
      <c r="B472" s="195"/>
      <c r="C472" s="195"/>
    </row>
    <row r="473">
      <c r="A473" s="1355"/>
      <c r="B473" s="195"/>
      <c r="C473" s="195"/>
    </row>
    <row r="474">
      <c r="A474" s="1355"/>
      <c r="B474" s="195"/>
      <c r="C474" s="195"/>
    </row>
    <row r="475">
      <c r="A475" s="1355"/>
      <c r="B475" s="195"/>
      <c r="C475" s="195"/>
    </row>
    <row r="476">
      <c r="A476" s="1355"/>
      <c r="B476" s="195"/>
      <c r="C476" s="195"/>
    </row>
    <row r="477">
      <c r="A477" s="1355"/>
      <c r="B477" s="195"/>
      <c r="C477" s="195"/>
    </row>
    <row r="478">
      <c r="A478" s="1355"/>
      <c r="B478" s="195"/>
      <c r="C478" s="195"/>
    </row>
    <row r="479">
      <c r="A479" s="1355"/>
      <c r="B479" s="195"/>
      <c r="C479" s="195"/>
    </row>
    <row r="480">
      <c r="A480" s="1355"/>
      <c r="B480" s="195"/>
      <c r="C480" s="195"/>
    </row>
    <row r="481">
      <c r="A481" s="1355"/>
      <c r="B481" s="195"/>
      <c r="C481" s="195"/>
    </row>
    <row r="482">
      <c r="A482" s="1355"/>
      <c r="B482" s="195"/>
      <c r="C482" s="195"/>
    </row>
    <row r="483">
      <c r="A483" s="1355"/>
      <c r="B483" s="195"/>
      <c r="C483" s="195"/>
    </row>
    <row r="484">
      <c r="A484" s="1355"/>
      <c r="B484" s="195"/>
      <c r="C484" s="195"/>
    </row>
    <row r="485">
      <c r="A485" s="1355"/>
      <c r="B485" s="195"/>
      <c r="C485" s="195"/>
    </row>
    <row r="486">
      <c r="A486" s="1355"/>
      <c r="B486" s="195"/>
      <c r="C486" s="195"/>
    </row>
    <row r="487">
      <c r="A487" s="1355"/>
      <c r="B487" s="195"/>
      <c r="C487" s="195"/>
    </row>
    <row r="488">
      <c r="A488" s="1355"/>
      <c r="B488" s="195"/>
      <c r="C488" s="195"/>
    </row>
    <row r="489">
      <c r="A489" s="1355"/>
      <c r="B489" s="195"/>
      <c r="C489" s="195"/>
    </row>
    <row r="490">
      <c r="A490" s="1355"/>
      <c r="B490" s="195"/>
      <c r="C490" s="195"/>
    </row>
    <row r="491">
      <c r="A491" s="1355"/>
      <c r="B491" s="195"/>
      <c r="C491" s="195"/>
    </row>
    <row r="492">
      <c r="A492" s="1355"/>
      <c r="B492" s="195"/>
      <c r="C492" s="195"/>
    </row>
    <row r="493">
      <c r="A493" s="1355"/>
      <c r="B493" s="195"/>
      <c r="C493" s="195"/>
    </row>
    <row r="494">
      <c r="A494" s="1355"/>
      <c r="B494" s="195"/>
      <c r="C494" s="195"/>
    </row>
    <row r="495">
      <c r="A495" s="1355"/>
      <c r="B495" s="195"/>
      <c r="C495" s="195"/>
    </row>
    <row r="496">
      <c r="A496" s="1355"/>
      <c r="B496" s="195"/>
      <c r="C496" s="195"/>
    </row>
    <row r="497">
      <c r="A497" s="1355"/>
      <c r="B497" s="195"/>
      <c r="C497" s="195"/>
    </row>
    <row r="498">
      <c r="A498" s="1355"/>
      <c r="B498" s="195"/>
      <c r="C498" s="195"/>
    </row>
    <row r="499">
      <c r="A499" s="1355"/>
      <c r="B499" s="195"/>
      <c r="C499" s="195"/>
    </row>
    <row r="500">
      <c r="A500" s="1355"/>
      <c r="B500" s="195"/>
      <c r="C500" s="195"/>
    </row>
    <row r="501">
      <c r="A501" s="1355"/>
      <c r="B501" s="195"/>
      <c r="C501" s="195"/>
    </row>
    <row r="502">
      <c r="A502" s="1355"/>
      <c r="B502" s="195"/>
      <c r="C502" s="195"/>
    </row>
    <row r="503">
      <c r="A503" s="1355"/>
      <c r="B503" s="195"/>
      <c r="C503" s="195"/>
    </row>
    <row r="504">
      <c r="A504" s="1355"/>
      <c r="B504" s="195"/>
      <c r="C504" s="195"/>
    </row>
    <row r="505">
      <c r="A505" s="1355"/>
      <c r="B505" s="195"/>
      <c r="C505" s="195"/>
    </row>
    <row r="506">
      <c r="A506" s="1355"/>
      <c r="B506" s="195"/>
      <c r="C506" s="195"/>
    </row>
    <row r="507">
      <c r="A507" s="1355"/>
      <c r="B507" s="195"/>
      <c r="C507" s="195"/>
    </row>
    <row r="508">
      <c r="A508" s="1355"/>
      <c r="B508" s="195"/>
      <c r="C508" s="195"/>
    </row>
    <row r="509">
      <c r="A509" s="1355"/>
      <c r="B509" s="195"/>
      <c r="C509" s="195"/>
    </row>
    <row r="510">
      <c r="A510" s="1355"/>
      <c r="B510" s="195"/>
      <c r="C510" s="195"/>
    </row>
    <row r="511">
      <c r="A511" s="1355"/>
      <c r="B511" s="195"/>
      <c r="C511" s="195"/>
    </row>
    <row r="512">
      <c r="A512" s="1355"/>
      <c r="B512" s="195"/>
      <c r="C512" s="195"/>
    </row>
    <row r="513">
      <c r="A513" s="1355"/>
      <c r="B513" s="195"/>
      <c r="C513" s="195"/>
    </row>
    <row r="514">
      <c r="A514" s="1355"/>
      <c r="B514" s="195"/>
      <c r="C514" s="195"/>
    </row>
    <row r="515">
      <c r="A515" s="1355"/>
      <c r="B515" s="195"/>
      <c r="C515" s="195"/>
    </row>
    <row r="516">
      <c r="A516" s="1355"/>
      <c r="B516" s="195"/>
      <c r="C516" s="195"/>
    </row>
    <row r="517">
      <c r="A517" s="1355"/>
      <c r="B517" s="195"/>
      <c r="C517" s="195"/>
    </row>
    <row r="518">
      <c r="A518" s="1355"/>
      <c r="B518" s="195"/>
      <c r="C518" s="195"/>
    </row>
    <row r="519">
      <c r="A519" s="1355"/>
      <c r="B519" s="195"/>
      <c r="C519" s="195"/>
    </row>
    <row r="520">
      <c r="A520" s="1355"/>
      <c r="B520" s="195"/>
      <c r="C520" s="195"/>
    </row>
    <row r="521">
      <c r="A521" s="1355"/>
      <c r="B521" s="195"/>
      <c r="C521" s="195"/>
    </row>
    <row r="522">
      <c r="A522" s="1355"/>
      <c r="B522" s="195"/>
      <c r="C522" s="195"/>
    </row>
    <row r="523">
      <c r="A523" s="1355"/>
      <c r="B523" s="195"/>
      <c r="C523" s="195"/>
    </row>
    <row r="524">
      <c r="A524" s="1355"/>
      <c r="B524" s="195"/>
      <c r="C524" s="195"/>
    </row>
    <row r="525">
      <c r="A525" s="1355"/>
      <c r="B525" s="195"/>
      <c r="C525" s="195"/>
    </row>
    <row r="526">
      <c r="A526" s="1355"/>
      <c r="B526" s="195"/>
      <c r="C526" s="195"/>
    </row>
    <row r="527">
      <c r="A527" s="1355"/>
      <c r="B527" s="195"/>
      <c r="C527" s="195"/>
    </row>
    <row r="528">
      <c r="A528" s="1355"/>
      <c r="B528" s="195"/>
      <c r="C528" s="195"/>
    </row>
    <row r="529">
      <c r="A529" s="1355"/>
      <c r="B529" s="195"/>
      <c r="C529" s="195"/>
    </row>
    <row r="530">
      <c r="A530" s="1355"/>
      <c r="B530" s="195"/>
      <c r="C530" s="195"/>
    </row>
    <row r="531">
      <c r="A531" s="1355"/>
      <c r="B531" s="195"/>
      <c r="C531" s="195"/>
    </row>
    <row r="532">
      <c r="A532" s="1355"/>
      <c r="B532" s="195"/>
      <c r="C532" s="195"/>
    </row>
    <row r="533">
      <c r="A533" s="1355"/>
      <c r="B533" s="195"/>
      <c r="C533" s="195"/>
    </row>
    <row r="534">
      <c r="A534" s="1355"/>
      <c r="B534" s="195"/>
      <c r="C534" s="195"/>
    </row>
    <row r="535">
      <c r="A535" s="1355"/>
      <c r="B535" s="195"/>
      <c r="C535" s="195"/>
    </row>
    <row r="536">
      <c r="A536" s="1355"/>
      <c r="B536" s="195"/>
      <c r="C536" s="195"/>
    </row>
    <row r="537">
      <c r="A537" s="1355"/>
      <c r="B537" s="195"/>
      <c r="C537" s="195"/>
    </row>
    <row r="538">
      <c r="A538" s="1355"/>
      <c r="B538" s="195"/>
      <c r="C538" s="195"/>
    </row>
    <row r="539">
      <c r="A539" s="1355"/>
      <c r="B539" s="195"/>
      <c r="C539" s="195"/>
    </row>
    <row r="540">
      <c r="A540" s="1355"/>
      <c r="B540" s="195"/>
      <c r="C540" s="195"/>
    </row>
    <row r="541">
      <c r="A541" s="1355"/>
      <c r="B541" s="195"/>
      <c r="C541" s="195"/>
    </row>
    <row r="542">
      <c r="A542" s="1355"/>
      <c r="B542" s="195"/>
      <c r="C542" s="195"/>
    </row>
    <row r="543">
      <c r="A543" s="1355"/>
      <c r="B543" s="195"/>
      <c r="C543" s="195"/>
    </row>
    <row r="544">
      <c r="A544" s="1355"/>
      <c r="B544" s="195"/>
      <c r="C544" s="195"/>
    </row>
    <row r="545">
      <c r="A545" s="1355"/>
      <c r="B545" s="195"/>
      <c r="C545" s="195"/>
    </row>
    <row r="546">
      <c r="A546" s="1355"/>
      <c r="B546" s="195"/>
      <c r="C546" s="195"/>
    </row>
    <row r="547">
      <c r="A547" s="1355"/>
      <c r="B547" s="195"/>
      <c r="C547" s="195"/>
    </row>
    <row r="548">
      <c r="A548" s="1355"/>
      <c r="B548" s="195"/>
      <c r="C548" s="195"/>
    </row>
    <row r="549">
      <c r="A549" s="1355"/>
      <c r="B549" s="195"/>
      <c r="C549" s="195"/>
    </row>
    <row r="550">
      <c r="A550" s="1355"/>
      <c r="B550" s="195"/>
      <c r="C550" s="195"/>
    </row>
    <row r="551">
      <c r="A551" s="1355"/>
      <c r="B551" s="195"/>
      <c r="C551" s="195"/>
    </row>
    <row r="552">
      <c r="A552" s="1355"/>
      <c r="B552" s="195"/>
      <c r="C552" s="195"/>
    </row>
    <row r="553">
      <c r="A553" s="1355"/>
      <c r="B553" s="195"/>
      <c r="C553" s="195"/>
    </row>
    <row r="554">
      <c r="A554" s="1355"/>
      <c r="B554" s="195"/>
      <c r="C554" s="195"/>
    </row>
    <row r="555">
      <c r="A555" s="1355"/>
      <c r="B555" s="195"/>
      <c r="C555" s="195"/>
    </row>
    <row r="556">
      <c r="A556" s="1355"/>
      <c r="B556" s="195"/>
      <c r="C556" s="195"/>
    </row>
    <row r="557">
      <c r="A557" s="1355"/>
      <c r="B557" s="195"/>
      <c r="C557" s="195"/>
    </row>
    <row r="558">
      <c r="A558" s="1355"/>
      <c r="B558" s="195"/>
      <c r="C558" s="195"/>
    </row>
    <row r="559">
      <c r="A559" s="1355"/>
      <c r="B559" s="195"/>
      <c r="C559" s="195"/>
    </row>
    <row r="560">
      <c r="A560" s="1355"/>
      <c r="B560" s="195"/>
      <c r="C560" s="195"/>
    </row>
    <row r="561">
      <c r="A561" s="1355"/>
      <c r="B561" s="195"/>
      <c r="C561" s="195"/>
    </row>
    <row r="562">
      <c r="A562" s="1355"/>
      <c r="B562" s="195"/>
      <c r="C562" s="195"/>
    </row>
    <row r="563">
      <c r="A563" s="1355"/>
      <c r="B563" s="195"/>
      <c r="C563" s="195"/>
    </row>
    <row r="564">
      <c r="A564" s="1355"/>
      <c r="B564" s="195"/>
      <c r="C564" s="195"/>
    </row>
    <row r="565">
      <c r="A565" s="1355"/>
      <c r="B565" s="195"/>
      <c r="C565" s="195"/>
    </row>
    <row r="566">
      <c r="A566" s="1355"/>
      <c r="B566" s="195"/>
      <c r="C566" s="195"/>
    </row>
    <row r="567">
      <c r="A567" s="1355"/>
      <c r="B567" s="195"/>
      <c r="C567" s="195"/>
    </row>
    <row r="568">
      <c r="A568" s="1355"/>
      <c r="B568" s="195"/>
      <c r="C568" s="195"/>
    </row>
    <row r="569">
      <c r="A569" s="1355"/>
      <c r="B569" s="195"/>
      <c r="C569" s="195"/>
    </row>
    <row r="570">
      <c r="A570" s="1355"/>
      <c r="B570" s="195"/>
      <c r="C570" s="195"/>
    </row>
    <row r="571">
      <c r="A571" s="1355"/>
      <c r="B571" s="195"/>
      <c r="C571" s="195"/>
    </row>
    <row r="572">
      <c r="A572" s="1355"/>
      <c r="B572" s="195"/>
      <c r="C572" s="195"/>
    </row>
    <row r="573">
      <c r="A573" s="1355"/>
      <c r="B573" s="195"/>
      <c r="C573" s="195"/>
    </row>
    <row r="574">
      <c r="A574" s="1355"/>
      <c r="B574" s="195"/>
      <c r="C574" s="195"/>
    </row>
    <row r="575">
      <c r="A575" s="1355"/>
      <c r="B575" s="195"/>
      <c r="C575" s="195"/>
    </row>
    <row r="576">
      <c r="A576" s="1355"/>
      <c r="B576" s="195"/>
      <c r="C576" s="195"/>
    </row>
    <row r="577">
      <c r="A577" s="1355"/>
      <c r="B577" s="195"/>
      <c r="C577" s="195"/>
    </row>
    <row r="578">
      <c r="A578" s="1355"/>
      <c r="B578" s="195"/>
      <c r="C578" s="195"/>
    </row>
    <row r="579">
      <c r="A579" s="1355"/>
      <c r="B579" s="195"/>
      <c r="C579" s="195"/>
    </row>
    <row r="580">
      <c r="A580" s="1355"/>
      <c r="B580" s="195"/>
      <c r="C580" s="195"/>
    </row>
    <row r="581">
      <c r="A581" s="1355"/>
      <c r="B581" s="195"/>
      <c r="C581" s="195"/>
    </row>
    <row r="582">
      <c r="A582" s="1355"/>
      <c r="B582" s="195"/>
      <c r="C582" s="195"/>
    </row>
    <row r="583">
      <c r="A583" s="1355"/>
      <c r="B583" s="195"/>
      <c r="C583" s="195"/>
    </row>
    <row r="584">
      <c r="A584" s="1355"/>
      <c r="B584" s="195"/>
      <c r="C584" s="195"/>
    </row>
    <row r="585">
      <c r="A585" s="1355"/>
      <c r="B585" s="195"/>
      <c r="C585" s="195"/>
    </row>
    <row r="586">
      <c r="A586" s="1355"/>
      <c r="B586" s="195"/>
      <c r="C586" s="195"/>
    </row>
    <row r="587">
      <c r="A587" s="1355"/>
      <c r="B587" s="195"/>
      <c r="C587" s="195"/>
    </row>
    <row r="588">
      <c r="A588" s="1355"/>
      <c r="B588" s="195"/>
      <c r="C588" s="195"/>
    </row>
    <row r="589">
      <c r="A589" s="1355"/>
      <c r="B589" s="195"/>
      <c r="C589" s="195"/>
    </row>
    <row r="590">
      <c r="A590" s="1355"/>
      <c r="B590" s="195"/>
      <c r="C590" s="195"/>
    </row>
    <row r="591">
      <c r="A591" s="1355"/>
      <c r="B591" s="195"/>
      <c r="C591" s="195"/>
    </row>
    <row r="592">
      <c r="A592" s="1355"/>
      <c r="B592" s="195"/>
      <c r="C592" s="195"/>
    </row>
    <row r="593">
      <c r="A593" s="1355"/>
      <c r="B593" s="195"/>
      <c r="C593" s="195"/>
    </row>
    <row r="594">
      <c r="A594" s="1355"/>
      <c r="B594" s="195"/>
      <c r="C594" s="195"/>
    </row>
    <row r="595">
      <c r="A595" s="1355"/>
      <c r="B595" s="195"/>
      <c r="C595" s="195"/>
    </row>
    <row r="596">
      <c r="A596" s="1355"/>
      <c r="B596" s="195"/>
      <c r="C596" s="195"/>
    </row>
    <row r="597">
      <c r="A597" s="1355"/>
      <c r="B597" s="195"/>
      <c r="C597" s="195"/>
    </row>
    <row r="598">
      <c r="A598" s="1355"/>
      <c r="B598" s="195"/>
      <c r="C598" s="195"/>
    </row>
    <row r="599">
      <c r="A599" s="1355"/>
      <c r="B599" s="195"/>
      <c r="C599" s="195"/>
    </row>
    <row r="600">
      <c r="A600" s="1355"/>
      <c r="B600" s="195"/>
      <c r="C600" s="195"/>
    </row>
    <row r="601">
      <c r="A601" s="1355"/>
      <c r="B601" s="195"/>
      <c r="C601" s="195"/>
    </row>
    <row r="602">
      <c r="A602" s="1355"/>
      <c r="B602" s="195"/>
      <c r="C602" s="195"/>
    </row>
    <row r="603">
      <c r="A603" s="1355"/>
      <c r="B603" s="195"/>
      <c r="C603" s="195"/>
    </row>
    <row r="604">
      <c r="A604" s="1355"/>
      <c r="B604" s="195"/>
      <c r="C604" s="195"/>
    </row>
    <row r="605">
      <c r="A605" s="1355"/>
      <c r="B605" s="195"/>
      <c r="C605" s="195"/>
    </row>
    <row r="606">
      <c r="A606" s="1355"/>
      <c r="B606" s="195"/>
      <c r="C606" s="195"/>
    </row>
    <row r="607">
      <c r="A607" s="1355"/>
      <c r="B607" s="195"/>
      <c r="C607" s="195"/>
    </row>
    <row r="608">
      <c r="A608" s="1355"/>
      <c r="B608" s="195"/>
      <c r="C608" s="195"/>
    </row>
    <row r="609">
      <c r="A609" s="1355"/>
      <c r="B609" s="195"/>
      <c r="C609" s="195"/>
    </row>
    <row r="610">
      <c r="A610" s="1355"/>
      <c r="B610" s="195"/>
      <c r="C610" s="195"/>
    </row>
    <row r="611">
      <c r="A611" s="1355"/>
      <c r="B611" s="195"/>
      <c r="C611" s="195"/>
    </row>
    <row r="612">
      <c r="A612" s="1355"/>
      <c r="B612" s="195"/>
      <c r="C612" s="195"/>
    </row>
    <row r="613">
      <c r="A613" s="1355"/>
      <c r="B613" s="195"/>
      <c r="C613" s="195"/>
    </row>
    <row r="614">
      <c r="A614" s="1355"/>
      <c r="B614" s="195"/>
      <c r="C614" s="195"/>
    </row>
    <row r="615">
      <c r="A615" s="1355"/>
      <c r="B615" s="195"/>
      <c r="C615" s="195"/>
    </row>
    <row r="616">
      <c r="A616" s="1355"/>
      <c r="B616" s="195"/>
      <c r="C616" s="195"/>
    </row>
    <row r="617">
      <c r="A617" s="1355"/>
      <c r="B617" s="195"/>
      <c r="C617" s="195"/>
    </row>
    <row r="618">
      <c r="A618" s="1355"/>
      <c r="B618" s="195"/>
      <c r="C618" s="195"/>
    </row>
    <row r="619">
      <c r="A619" s="1355"/>
      <c r="B619" s="195"/>
      <c r="C619" s="195"/>
    </row>
    <row r="620">
      <c r="A620" s="1355"/>
      <c r="B620" s="195"/>
      <c r="C620" s="195"/>
    </row>
    <row r="621">
      <c r="A621" s="1355"/>
      <c r="B621" s="195"/>
      <c r="C621" s="195"/>
    </row>
    <row r="622">
      <c r="A622" s="1355"/>
      <c r="B622" s="195"/>
      <c r="C622" s="195"/>
    </row>
    <row r="623">
      <c r="A623" s="1355"/>
      <c r="B623" s="195"/>
      <c r="C623" s="195"/>
    </row>
    <row r="624">
      <c r="A624" s="1355"/>
      <c r="B624" s="195"/>
      <c r="C624" s="195"/>
    </row>
    <row r="625">
      <c r="A625" s="1355"/>
      <c r="B625" s="195"/>
      <c r="C625" s="195"/>
    </row>
    <row r="626">
      <c r="A626" s="1355"/>
      <c r="B626" s="195"/>
      <c r="C626" s="195"/>
    </row>
    <row r="627">
      <c r="A627" s="1355"/>
      <c r="B627" s="195"/>
      <c r="C627" s="195"/>
    </row>
    <row r="628">
      <c r="A628" s="1355"/>
      <c r="B628" s="195"/>
      <c r="C628" s="195"/>
    </row>
    <row r="629">
      <c r="A629" s="1355"/>
      <c r="B629" s="195"/>
      <c r="C629" s="195"/>
    </row>
    <row r="630">
      <c r="A630" s="1355"/>
      <c r="B630" s="195"/>
      <c r="C630" s="195"/>
    </row>
    <row r="631">
      <c r="A631" s="1355"/>
      <c r="B631" s="195"/>
      <c r="C631" s="195"/>
    </row>
    <row r="632">
      <c r="A632" s="1355"/>
      <c r="B632" s="195"/>
      <c r="C632" s="195"/>
    </row>
    <row r="633">
      <c r="A633" s="1355"/>
      <c r="B633" s="195"/>
      <c r="C633" s="195"/>
    </row>
    <row r="634">
      <c r="A634" s="1355"/>
      <c r="B634" s="195"/>
      <c r="C634" s="195"/>
    </row>
    <row r="635">
      <c r="A635" s="1355"/>
      <c r="B635" s="195"/>
      <c r="C635" s="195"/>
    </row>
    <row r="636">
      <c r="A636" s="1355"/>
      <c r="B636" s="195"/>
      <c r="C636" s="195"/>
    </row>
    <row r="637">
      <c r="A637" s="1355"/>
      <c r="B637" s="195"/>
      <c r="C637" s="195"/>
    </row>
    <row r="638">
      <c r="A638" s="1355"/>
      <c r="B638" s="195"/>
      <c r="C638" s="195"/>
    </row>
    <row r="639">
      <c r="A639" s="1355"/>
      <c r="B639" s="195"/>
      <c r="C639" s="195"/>
    </row>
    <row r="640">
      <c r="A640" s="1355"/>
      <c r="B640" s="195"/>
      <c r="C640" s="195"/>
    </row>
    <row r="641">
      <c r="A641" s="1355"/>
      <c r="B641" s="195"/>
      <c r="C641" s="195"/>
    </row>
    <row r="642">
      <c r="A642" s="1355"/>
      <c r="B642" s="195"/>
      <c r="C642" s="195"/>
    </row>
    <row r="643">
      <c r="A643" s="1355"/>
      <c r="B643" s="195"/>
      <c r="C643" s="195"/>
    </row>
    <row r="644">
      <c r="A644" s="1355"/>
      <c r="B644" s="195"/>
      <c r="C644" s="195"/>
    </row>
    <row r="645">
      <c r="A645" s="1355"/>
      <c r="B645" s="195"/>
      <c r="C645" s="195"/>
    </row>
    <row r="646">
      <c r="A646" s="1355"/>
      <c r="B646" s="195"/>
      <c r="C646" s="195"/>
    </row>
    <row r="647">
      <c r="A647" s="1355"/>
      <c r="B647" s="195"/>
      <c r="C647" s="195"/>
    </row>
    <row r="648">
      <c r="A648" s="1355"/>
      <c r="B648" s="195"/>
      <c r="C648" s="195"/>
    </row>
    <row r="649">
      <c r="A649" s="1355"/>
      <c r="B649" s="195"/>
      <c r="C649" s="195"/>
    </row>
    <row r="650">
      <c r="A650" s="1355"/>
      <c r="B650" s="195"/>
      <c r="C650" s="195"/>
    </row>
    <row r="651">
      <c r="A651" s="1355"/>
      <c r="B651" s="195"/>
      <c r="C651" s="195"/>
    </row>
    <row r="652">
      <c r="A652" s="1355"/>
      <c r="B652" s="195"/>
      <c r="C652" s="195"/>
    </row>
    <row r="653">
      <c r="A653" s="1355"/>
      <c r="B653" s="195"/>
      <c r="C653" s="195"/>
    </row>
    <row r="654">
      <c r="A654" s="1355"/>
      <c r="B654" s="195"/>
      <c r="C654" s="195"/>
    </row>
    <row r="655">
      <c r="A655" s="1355"/>
      <c r="B655" s="195"/>
      <c r="C655" s="195"/>
    </row>
    <row r="656">
      <c r="A656" s="1355"/>
      <c r="B656" s="195"/>
      <c r="C656" s="195"/>
    </row>
    <row r="657">
      <c r="A657" s="1355"/>
      <c r="B657" s="195"/>
      <c r="C657" s="195"/>
    </row>
    <row r="658">
      <c r="A658" s="1355"/>
      <c r="B658" s="195"/>
      <c r="C658" s="195"/>
    </row>
    <row r="659">
      <c r="A659" s="1355"/>
      <c r="B659" s="195"/>
      <c r="C659" s="195"/>
    </row>
    <row r="660">
      <c r="A660" s="1355"/>
      <c r="B660" s="195"/>
      <c r="C660" s="195"/>
    </row>
    <row r="661">
      <c r="A661" s="1355"/>
      <c r="B661" s="195"/>
      <c r="C661" s="195"/>
    </row>
    <row r="662">
      <c r="A662" s="1355"/>
      <c r="B662" s="195"/>
      <c r="C662" s="195"/>
    </row>
    <row r="663">
      <c r="A663" s="1355"/>
      <c r="B663" s="195"/>
      <c r="C663" s="195"/>
    </row>
    <row r="664">
      <c r="A664" s="1355"/>
      <c r="B664" s="195"/>
      <c r="C664" s="195"/>
    </row>
    <row r="665">
      <c r="A665" s="1355"/>
      <c r="B665" s="195"/>
      <c r="C665" s="195"/>
    </row>
    <row r="666">
      <c r="A666" s="1355"/>
      <c r="B666" s="195"/>
      <c r="C666" s="195"/>
    </row>
    <row r="667">
      <c r="A667" s="1355"/>
      <c r="B667" s="195"/>
      <c r="C667" s="195"/>
    </row>
    <row r="668">
      <c r="A668" s="1355"/>
      <c r="B668" s="195"/>
      <c r="C668" s="195"/>
    </row>
    <row r="669">
      <c r="A669" s="1355"/>
      <c r="B669" s="195"/>
      <c r="C669" s="195"/>
    </row>
    <row r="670">
      <c r="A670" s="1355"/>
      <c r="B670" s="195"/>
      <c r="C670" s="195"/>
    </row>
    <row r="671">
      <c r="A671" s="1355"/>
      <c r="B671" s="195"/>
      <c r="C671" s="195"/>
    </row>
    <row r="672">
      <c r="A672" s="1355"/>
      <c r="B672" s="195"/>
      <c r="C672" s="195"/>
    </row>
    <row r="673">
      <c r="A673" s="1355"/>
      <c r="B673" s="195"/>
      <c r="C673" s="195"/>
    </row>
    <row r="674">
      <c r="A674" s="1355"/>
      <c r="B674" s="195"/>
      <c r="C674" s="195"/>
    </row>
    <row r="675">
      <c r="A675" s="1355"/>
      <c r="B675" s="195"/>
      <c r="C675" s="195"/>
    </row>
    <row r="676">
      <c r="A676" s="1355"/>
      <c r="B676" s="195"/>
      <c r="C676" s="195"/>
    </row>
    <row r="677">
      <c r="A677" s="1355"/>
      <c r="B677" s="195"/>
      <c r="C677" s="195"/>
    </row>
    <row r="678">
      <c r="A678" s="1355"/>
      <c r="B678" s="195"/>
      <c r="C678" s="195"/>
    </row>
    <row r="679">
      <c r="A679" s="1355"/>
      <c r="B679" s="195"/>
      <c r="C679" s="195"/>
    </row>
    <row r="680">
      <c r="A680" s="1355"/>
      <c r="B680" s="195"/>
      <c r="C680" s="195"/>
    </row>
    <row r="681">
      <c r="A681" s="1355"/>
      <c r="B681" s="195"/>
      <c r="C681" s="195"/>
    </row>
    <row r="682">
      <c r="A682" s="1355"/>
      <c r="B682" s="195"/>
      <c r="C682" s="195"/>
    </row>
    <row r="683">
      <c r="A683" s="1355"/>
      <c r="B683" s="195"/>
      <c r="C683" s="195"/>
    </row>
    <row r="684">
      <c r="A684" s="1355"/>
      <c r="B684" s="195"/>
      <c r="C684" s="195"/>
    </row>
    <row r="685">
      <c r="A685" s="1355"/>
      <c r="B685" s="195"/>
      <c r="C685" s="195"/>
    </row>
    <row r="686">
      <c r="A686" s="1355"/>
      <c r="B686" s="195"/>
      <c r="C686" s="195"/>
    </row>
    <row r="687">
      <c r="A687" s="1355"/>
      <c r="B687" s="195"/>
      <c r="C687" s="195"/>
    </row>
    <row r="688">
      <c r="A688" s="1355"/>
      <c r="B688" s="195"/>
      <c r="C688" s="195"/>
    </row>
    <row r="689">
      <c r="A689" s="1355"/>
      <c r="B689" s="195"/>
      <c r="C689" s="195"/>
    </row>
    <row r="690">
      <c r="A690" s="1355"/>
      <c r="B690" s="195"/>
      <c r="C690" s="195"/>
    </row>
    <row r="691">
      <c r="A691" s="1355"/>
      <c r="B691" s="195"/>
      <c r="C691" s="195"/>
    </row>
    <row r="692">
      <c r="A692" s="1355"/>
      <c r="B692" s="195"/>
      <c r="C692" s="195"/>
    </row>
    <row r="693">
      <c r="A693" s="1355"/>
      <c r="B693" s="195"/>
      <c r="C693" s="195"/>
    </row>
    <row r="694">
      <c r="A694" s="1355"/>
      <c r="B694" s="195"/>
      <c r="C694" s="195"/>
    </row>
    <row r="695">
      <c r="A695" s="1355"/>
      <c r="B695" s="195"/>
      <c r="C695" s="195"/>
    </row>
    <row r="696">
      <c r="A696" s="1355"/>
      <c r="B696" s="195"/>
      <c r="C696" s="195"/>
    </row>
    <row r="697">
      <c r="A697" s="1355"/>
      <c r="B697" s="195"/>
      <c r="C697" s="195"/>
    </row>
    <row r="698">
      <c r="A698" s="1355"/>
      <c r="B698" s="195"/>
      <c r="C698" s="195"/>
    </row>
    <row r="699">
      <c r="A699" s="1355"/>
      <c r="B699" s="195"/>
      <c r="C699" s="195"/>
    </row>
    <row r="700">
      <c r="A700" s="1355"/>
      <c r="B700" s="195"/>
      <c r="C700" s="195"/>
    </row>
    <row r="701">
      <c r="A701" s="1355"/>
      <c r="B701" s="195"/>
      <c r="C701" s="195"/>
    </row>
    <row r="702">
      <c r="A702" s="1355"/>
      <c r="B702" s="195"/>
      <c r="C702" s="195"/>
    </row>
    <row r="703">
      <c r="A703" s="1355"/>
      <c r="B703" s="195"/>
      <c r="C703" s="195"/>
    </row>
    <row r="704">
      <c r="A704" s="1355"/>
      <c r="B704" s="195"/>
      <c r="C704" s="195"/>
    </row>
    <row r="705">
      <c r="A705" s="1355"/>
      <c r="B705" s="195"/>
      <c r="C705" s="195"/>
    </row>
    <row r="706">
      <c r="A706" s="1355"/>
      <c r="B706" s="195"/>
      <c r="C706" s="195"/>
    </row>
    <row r="707">
      <c r="A707" s="1355"/>
      <c r="B707" s="195"/>
      <c r="C707" s="195"/>
    </row>
    <row r="708">
      <c r="A708" s="1355"/>
      <c r="B708" s="195"/>
      <c r="C708" s="195"/>
    </row>
    <row r="709">
      <c r="A709" s="1355"/>
      <c r="B709" s="195"/>
      <c r="C709" s="195"/>
    </row>
    <row r="710">
      <c r="A710" s="1355"/>
      <c r="B710" s="195"/>
      <c r="C710" s="195"/>
    </row>
    <row r="711">
      <c r="A711" s="1355"/>
      <c r="B711" s="195"/>
      <c r="C711" s="195"/>
    </row>
    <row r="712">
      <c r="A712" s="1355"/>
      <c r="B712" s="195"/>
      <c r="C712" s="195"/>
    </row>
    <row r="713">
      <c r="A713" s="1355"/>
      <c r="B713" s="195"/>
      <c r="C713" s="195"/>
    </row>
    <row r="714">
      <c r="A714" s="1355"/>
      <c r="B714" s="195"/>
      <c r="C714" s="195"/>
    </row>
    <row r="715">
      <c r="A715" s="1355"/>
      <c r="B715" s="195"/>
      <c r="C715" s="195"/>
    </row>
    <row r="716">
      <c r="A716" s="1355"/>
      <c r="B716" s="195"/>
      <c r="C716" s="195"/>
    </row>
    <row r="717">
      <c r="A717" s="1355"/>
      <c r="B717" s="195"/>
      <c r="C717" s="195"/>
    </row>
    <row r="718">
      <c r="A718" s="1355"/>
      <c r="B718" s="195"/>
      <c r="C718" s="195"/>
    </row>
    <row r="719">
      <c r="A719" s="1355"/>
      <c r="B719" s="195"/>
      <c r="C719" s="195"/>
    </row>
    <row r="720">
      <c r="A720" s="1355"/>
      <c r="B720" s="195"/>
      <c r="C720" s="195"/>
    </row>
    <row r="721">
      <c r="A721" s="1355"/>
      <c r="B721" s="195"/>
      <c r="C721" s="195"/>
    </row>
    <row r="722">
      <c r="A722" s="1355"/>
      <c r="B722" s="195"/>
      <c r="C722" s="195"/>
    </row>
    <row r="723">
      <c r="A723" s="1355"/>
      <c r="B723" s="195"/>
      <c r="C723" s="195"/>
    </row>
    <row r="724">
      <c r="A724" s="1355"/>
      <c r="B724" s="195"/>
      <c r="C724" s="195"/>
    </row>
    <row r="725">
      <c r="A725" s="1355"/>
      <c r="B725" s="195"/>
      <c r="C725" s="195"/>
    </row>
    <row r="726">
      <c r="A726" s="1355"/>
      <c r="B726" s="195"/>
      <c r="C726" s="195"/>
    </row>
    <row r="727">
      <c r="A727" s="1355"/>
      <c r="B727" s="195"/>
      <c r="C727" s="195"/>
    </row>
    <row r="728">
      <c r="A728" s="1355"/>
      <c r="B728" s="195"/>
      <c r="C728" s="195"/>
    </row>
    <row r="729">
      <c r="A729" s="1355"/>
      <c r="B729" s="195"/>
      <c r="C729" s="195"/>
    </row>
    <row r="730">
      <c r="A730" s="1355"/>
      <c r="B730" s="195"/>
      <c r="C730" s="195"/>
    </row>
    <row r="731">
      <c r="A731" s="1355"/>
      <c r="B731" s="195"/>
      <c r="C731" s="195"/>
    </row>
    <row r="732">
      <c r="A732" s="1355"/>
      <c r="B732" s="195"/>
      <c r="C732" s="195"/>
    </row>
    <row r="733">
      <c r="A733" s="1355"/>
      <c r="B733" s="195"/>
      <c r="C733" s="195"/>
    </row>
    <row r="734">
      <c r="A734" s="1355"/>
      <c r="B734" s="195"/>
      <c r="C734" s="195"/>
    </row>
    <row r="735">
      <c r="A735" s="1355"/>
      <c r="B735" s="195"/>
      <c r="C735" s="195"/>
    </row>
    <row r="736">
      <c r="A736" s="1355"/>
      <c r="B736" s="195"/>
      <c r="C736" s="195"/>
    </row>
    <row r="737">
      <c r="A737" s="1355"/>
      <c r="B737" s="195"/>
      <c r="C737" s="195"/>
    </row>
    <row r="738">
      <c r="A738" s="1355"/>
      <c r="B738" s="195"/>
      <c r="C738" s="195"/>
    </row>
    <row r="739">
      <c r="A739" s="1355"/>
      <c r="B739" s="195"/>
      <c r="C739" s="195"/>
    </row>
    <row r="740">
      <c r="A740" s="1355"/>
      <c r="B740" s="195"/>
      <c r="C740" s="195"/>
    </row>
    <row r="741">
      <c r="A741" s="1355"/>
      <c r="B741" s="195"/>
      <c r="C741" s="195"/>
    </row>
    <row r="742">
      <c r="A742" s="1355"/>
      <c r="B742" s="195"/>
      <c r="C742" s="195"/>
    </row>
    <row r="743">
      <c r="A743" s="1355"/>
      <c r="B743" s="195"/>
      <c r="C743" s="195"/>
    </row>
    <row r="744">
      <c r="A744" s="1355"/>
      <c r="B744" s="195"/>
      <c r="C744" s="195"/>
    </row>
    <row r="745">
      <c r="A745" s="1355"/>
      <c r="B745" s="195"/>
      <c r="C745" s="195"/>
    </row>
    <row r="746">
      <c r="A746" s="1355"/>
      <c r="B746" s="195"/>
      <c r="C746" s="195"/>
    </row>
    <row r="747">
      <c r="A747" s="1355"/>
      <c r="B747" s="195"/>
      <c r="C747" s="195"/>
    </row>
    <row r="748">
      <c r="A748" s="1355"/>
      <c r="B748" s="195"/>
      <c r="C748" s="195"/>
    </row>
    <row r="749">
      <c r="A749" s="1355"/>
      <c r="B749" s="195"/>
      <c r="C749" s="195"/>
    </row>
    <row r="750">
      <c r="A750" s="1355"/>
      <c r="B750" s="195"/>
      <c r="C750" s="195"/>
    </row>
    <row r="751">
      <c r="A751" s="1355"/>
      <c r="B751" s="195"/>
      <c r="C751" s="195"/>
    </row>
    <row r="752">
      <c r="A752" s="1355"/>
      <c r="B752" s="195"/>
      <c r="C752" s="195"/>
    </row>
    <row r="753">
      <c r="A753" s="1355"/>
      <c r="B753" s="195"/>
      <c r="C753" s="195"/>
    </row>
    <row r="754">
      <c r="A754" s="1355"/>
      <c r="B754" s="195"/>
      <c r="C754" s="195"/>
    </row>
    <row r="755">
      <c r="A755" s="1355"/>
      <c r="B755" s="195"/>
      <c r="C755" s="195"/>
    </row>
    <row r="756">
      <c r="A756" s="1355"/>
      <c r="B756" s="195"/>
      <c r="C756" s="195"/>
    </row>
    <row r="757">
      <c r="A757" s="1355"/>
      <c r="B757" s="195"/>
      <c r="C757" s="195"/>
    </row>
    <row r="758">
      <c r="A758" s="1355"/>
      <c r="B758" s="195"/>
      <c r="C758" s="195"/>
    </row>
    <row r="759">
      <c r="A759" s="1355"/>
      <c r="B759" s="195"/>
      <c r="C759" s="195"/>
    </row>
    <row r="760">
      <c r="A760" s="1355"/>
      <c r="B760" s="195"/>
      <c r="C760" s="195"/>
    </row>
    <row r="761">
      <c r="A761" s="1355"/>
      <c r="B761" s="195"/>
      <c r="C761" s="195"/>
    </row>
    <row r="762">
      <c r="A762" s="1355"/>
      <c r="B762" s="195"/>
      <c r="C762" s="195"/>
    </row>
    <row r="763">
      <c r="A763" s="1355"/>
      <c r="B763" s="195"/>
      <c r="C763" s="195"/>
    </row>
    <row r="764">
      <c r="A764" s="1355"/>
      <c r="B764" s="195"/>
      <c r="C764" s="195"/>
    </row>
    <row r="765">
      <c r="A765" s="1355"/>
      <c r="B765" s="195"/>
      <c r="C765" s="195"/>
    </row>
    <row r="766">
      <c r="A766" s="1355"/>
      <c r="B766" s="195"/>
      <c r="C766" s="195"/>
    </row>
    <row r="767">
      <c r="A767" s="1355"/>
      <c r="B767" s="195"/>
      <c r="C767" s="195"/>
    </row>
    <row r="768">
      <c r="A768" s="1355"/>
      <c r="B768" s="195"/>
      <c r="C768" s="195"/>
    </row>
    <row r="769">
      <c r="A769" s="1355"/>
      <c r="B769" s="195"/>
      <c r="C769" s="195"/>
    </row>
    <row r="770">
      <c r="A770" s="1355"/>
      <c r="B770" s="195"/>
      <c r="C770" s="195"/>
    </row>
    <row r="771">
      <c r="A771" s="1355"/>
      <c r="B771" s="195"/>
      <c r="C771" s="195"/>
    </row>
    <row r="772">
      <c r="A772" s="1355"/>
      <c r="B772" s="195"/>
      <c r="C772" s="195"/>
    </row>
    <row r="773">
      <c r="A773" s="1355"/>
      <c r="B773" s="195"/>
      <c r="C773" s="195"/>
    </row>
    <row r="774">
      <c r="A774" s="1355"/>
      <c r="B774" s="195"/>
      <c r="C774" s="195"/>
    </row>
    <row r="775">
      <c r="A775" s="1355"/>
      <c r="B775" s="195"/>
      <c r="C775" s="195"/>
    </row>
    <row r="776">
      <c r="A776" s="1355"/>
      <c r="B776" s="195"/>
      <c r="C776" s="195"/>
    </row>
    <row r="777">
      <c r="A777" s="1355"/>
      <c r="B777" s="195"/>
      <c r="C777" s="195"/>
    </row>
    <row r="778">
      <c r="A778" s="1355"/>
      <c r="B778" s="195"/>
      <c r="C778" s="195"/>
    </row>
    <row r="779">
      <c r="A779" s="1355"/>
      <c r="B779" s="195"/>
      <c r="C779" s="195"/>
    </row>
    <row r="780">
      <c r="A780" s="1355"/>
      <c r="B780" s="195"/>
      <c r="C780" s="195"/>
    </row>
    <row r="781">
      <c r="A781" s="1355"/>
      <c r="B781" s="195"/>
      <c r="C781" s="195"/>
    </row>
    <row r="782">
      <c r="A782" s="1355"/>
      <c r="B782" s="195"/>
      <c r="C782" s="195"/>
    </row>
    <row r="783">
      <c r="A783" s="1355"/>
      <c r="B783" s="195"/>
      <c r="C783" s="195"/>
    </row>
    <row r="784">
      <c r="A784" s="1355"/>
      <c r="B784" s="195"/>
      <c r="C784" s="195"/>
    </row>
    <row r="785">
      <c r="A785" s="1355"/>
      <c r="B785" s="195"/>
      <c r="C785" s="195"/>
    </row>
    <row r="786">
      <c r="A786" s="1355"/>
      <c r="B786" s="195"/>
      <c r="C786" s="195"/>
    </row>
    <row r="787">
      <c r="A787" s="1355"/>
      <c r="B787" s="195"/>
      <c r="C787" s="195"/>
    </row>
    <row r="788">
      <c r="A788" s="1355"/>
      <c r="B788" s="195"/>
      <c r="C788" s="195"/>
    </row>
    <row r="789">
      <c r="A789" s="1355"/>
      <c r="B789" s="195"/>
      <c r="C789" s="195"/>
    </row>
    <row r="790">
      <c r="A790" s="1355"/>
      <c r="B790" s="195"/>
      <c r="C790" s="195"/>
    </row>
    <row r="791">
      <c r="A791" s="1355"/>
      <c r="B791" s="195"/>
      <c r="C791" s="195"/>
    </row>
    <row r="792">
      <c r="A792" s="1355"/>
      <c r="B792" s="195"/>
      <c r="C792" s="195"/>
    </row>
    <row r="793">
      <c r="A793" s="1355"/>
      <c r="B793" s="195"/>
      <c r="C793" s="195"/>
    </row>
    <row r="794">
      <c r="A794" s="1355"/>
      <c r="B794" s="195"/>
      <c r="C794" s="195"/>
    </row>
    <row r="795">
      <c r="A795" s="1355"/>
      <c r="B795" s="195"/>
      <c r="C795" s="195"/>
    </row>
    <row r="796">
      <c r="A796" s="1355"/>
      <c r="B796" s="195"/>
      <c r="C796" s="195"/>
    </row>
    <row r="797">
      <c r="A797" s="1355"/>
      <c r="B797" s="195"/>
      <c r="C797" s="195"/>
    </row>
    <row r="798">
      <c r="A798" s="1355"/>
      <c r="B798" s="195"/>
      <c r="C798" s="195"/>
    </row>
    <row r="799">
      <c r="A799" s="1355"/>
      <c r="B799" s="195"/>
      <c r="C799" s="195"/>
    </row>
    <row r="800">
      <c r="A800" s="1355"/>
      <c r="B800" s="195"/>
      <c r="C800" s="195"/>
    </row>
    <row r="801">
      <c r="A801" s="1355"/>
      <c r="B801" s="195"/>
      <c r="C801" s="195"/>
    </row>
    <row r="802">
      <c r="A802" s="1355"/>
      <c r="B802" s="195"/>
      <c r="C802" s="195"/>
    </row>
    <row r="803">
      <c r="A803" s="1355"/>
      <c r="B803" s="195"/>
      <c r="C803" s="195"/>
    </row>
    <row r="804">
      <c r="A804" s="1355"/>
      <c r="B804" s="195"/>
      <c r="C804" s="195"/>
    </row>
    <row r="805">
      <c r="A805" s="1355"/>
      <c r="B805" s="195"/>
      <c r="C805" s="195"/>
    </row>
    <row r="806">
      <c r="A806" s="1355"/>
      <c r="B806" s="195"/>
      <c r="C806" s="195"/>
    </row>
    <row r="807">
      <c r="A807" s="1355"/>
      <c r="B807" s="195"/>
      <c r="C807" s="195"/>
    </row>
    <row r="808">
      <c r="A808" s="1355"/>
      <c r="B808" s="195"/>
      <c r="C808" s="195"/>
    </row>
    <row r="809">
      <c r="A809" s="1355"/>
      <c r="B809" s="195"/>
      <c r="C809" s="195"/>
    </row>
    <row r="810">
      <c r="A810" s="1355"/>
      <c r="B810" s="195"/>
      <c r="C810" s="195"/>
    </row>
    <row r="811">
      <c r="A811" s="1355"/>
      <c r="B811" s="195"/>
      <c r="C811" s="195"/>
    </row>
    <row r="812">
      <c r="A812" s="1355"/>
      <c r="B812" s="195"/>
      <c r="C812" s="195"/>
    </row>
    <row r="813">
      <c r="A813" s="1355"/>
      <c r="B813" s="195"/>
      <c r="C813" s="195"/>
    </row>
    <row r="814">
      <c r="A814" s="1355"/>
      <c r="B814" s="195"/>
      <c r="C814" s="195"/>
    </row>
    <row r="815">
      <c r="A815" s="1355"/>
      <c r="B815" s="195"/>
      <c r="C815" s="195"/>
    </row>
    <row r="816">
      <c r="A816" s="1355"/>
      <c r="B816" s="195"/>
      <c r="C816" s="195"/>
    </row>
    <row r="817">
      <c r="A817" s="1355"/>
      <c r="B817" s="195"/>
      <c r="C817" s="195"/>
    </row>
    <row r="818">
      <c r="A818" s="1355"/>
      <c r="B818" s="195"/>
      <c r="C818" s="195"/>
    </row>
    <row r="819">
      <c r="A819" s="1355"/>
      <c r="B819" s="195"/>
      <c r="C819" s="195"/>
    </row>
    <row r="820">
      <c r="A820" s="1355"/>
      <c r="B820" s="195"/>
      <c r="C820" s="195"/>
    </row>
    <row r="821">
      <c r="A821" s="1355"/>
      <c r="B821" s="195"/>
      <c r="C821" s="195"/>
    </row>
    <row r="822">
      <c r="A822" s="1355"/>
      <c r="B822" s="195"/>
      <c r="C822" s="195"/>
    </row>
    <row r="823">
      <c r="A823" s="1355"/>
      <c r="B823" s="195"/>
      <c r="C823" s="195"/>
    </row>
    <row r="824">
      <c r="A824" s="1355"/>
      <c r="B824" s="195"/>
      <c r="C824" s="195"/>
    </row>
    <row r="825">
      <c r="A825" s="1355"/>
      <c r="B825" s="195"/>
      <c r="C825" s="195"/>
    </row>
    <row r="826">
      <c r="A826" s="1355"/>
      <c r="B826" s="195"/>
      <c r="C826" s="195"/>
    </row>
    <row r="827">
      <c r="A827" s="1355"/>
      <c r="B827" s="195"/>
      <c r="C827" s="195"/>
    </row>
    <row r="828">
      <c r="A828" s="1355"/>
      <c r="B828" s="195"/>
      <c r="C828" s="195"/>
    </row>
    <row r="829">
      <c r="A829" s="1355"/>
      <c r="B829" s="195"/>
      <c r="C829" s="195"/>
    </row>
    <row r="830">
      <c r="A830" s="1355"/>
      <c r="B830" s="195"/>
      <c r="C830" s="195"/>
    </row>
    <row r="831">
      <c r="A831" s="1355"/>
      <c r="B831" s="195"/>
      <c r="C831" s="195"/>
    </row>
    <row r="832">
      <c r="A832" s="1355"/>
      <c r="B832" s="195"/>
      <c r="C832" s="195"/>
    </row>
    <row r="833">
      <c r="A833" s="1355"/>
      <c r="B833" s="195"/>
      <c r="C833" s="195"/>
    </row>
    <row r="834">
      <c r="A834" s="1355"/>
      <c r="B834" s="195"/>
      <c r="C834" s="195"/>
    </row>
    <row r="835">
      <c r="A835" s="1355"/>
      <c r="B835" s="195"/>
      <c r="C835" s="195"/>
    </row>
    <row r="836">
      <c r="A836" s="1355"/>
      <c r="B836" s="195"/>
      <c r="C836" s="195"/>
    </row>
    <row r="837">
      <c r="A837" s="1355"/>
      <c r="B837" s="195"/>
      <c r="C837" s="195"/>
    </row>
    <row r="838">
      <c r="A838" s="1355"/>
      <c r="B838" s="195"/>
      <c r="C838" s="195"/>
    </row>
    <row r="839">
      <c r="A839" s="1355"/>
      <c r="B839" s="195"/>
      <c r="C839" s="195"/>
    </row>
    <row r="840">
      <c r="A840" s="1355"/>
      <c r="B840" s="195"/>
      <c r="C840" s="195"/>
    </row>
    <row r="841">
      <c r="A841" s="1355"/>
      <c r="B841" s="195"/>
      <c r="C841" s="195"/>
    </row>
    <row r="842">
      <c r="A842" s="1355"/>
      <c r="B842" s="195"/>
      <c r="C842" s="195"/>
    </row>
    <row r="843">
      <c r="A843" s="1355"/>
      <c r="B843" s="195"/>
      <c r="C843" s="195"/>
    </row>
    <row r="844">
      <c r="A844" s="1355"/>
      <c r="B844" s="195"/>
      <c r="C844" s="195"/>
    </row>
    <row r="845">
      <c r="A845" s="1355"/>
      <c r="B845" s="195"/>
      <c r="C845" s="195"/>
    </row>
    <row r="846">
      <c r="A846" s="1355"/>
      <c r="B846" s="195"/>
      <c r="C846" s="195"/>
    </row>
    <row r="847">
      <c r="A847" s="1355"/>
      <c r="B847" s="195"/>
      <c r="C847" s="195"/>
    </row>
    <row r="848">
      <c r="A848" s="1355"/>
      <c r="B848" s="195"/>
      <c r="C848" s="195"/>
    </row>
    <row r="849">
      <c r="A849" s="1355"/>
      <c r="B849" s="195"/>
      <c r="C849" s="195"/>
    </row>
    <row r="850">
      <c r="A850" s="1355"/>
      <c r="B850" s="195"/>
      <c r="C850" s="195"/>
    </row>
    <row r="851">
      <c r="A851" s="1355"/>
      <c r="B851" s="195"/>
      <c r="C851" s="195"/>
    </row>
    <row r="852">
      <c r="A852" s="1355"/>
      <c r="B852" s="195"/>
      <c r="C852" s="195"/>
    </row>
    <row r="853">
      <c r="A853" s="1355"/>
      <c r="B853" s="195"/>
      <c r="C853" s="195"/>
    </row>
    <row r="854">
      <c r="A854" s="1355"/>
      <c r="B854" s="195"/>
      <c r="C854" s="195"/>
    </row>
    <row r="855">
      <c r="A855" s="1355"/>
      <c r="B855" s="195"/>
      <c r="C855" s="195"/>
    </row>
    <row r="856">
      <c r="A856" s="1355"/>
      <c r="B856" s="195"/>
      <c r="C856" s="195"/>
    </row>
    <row r="857">
      <c r="A857" s="1355"/>
      <c r="B857" s="195"/>
      <c r="C857" s="195"/>
    </row>
    <row r="858">
      <c r="A858" s="1355"/>
      <c r="B858" s="195"/>
      <c r="C858" s="195"/>
    </row>
    <row r="859">
      <c r="A859" s="1355"/>
      <c r="B859" s="195"/>
      <c r="C859" s="195"/>
    </row>
    <row r="860">
      <c r="A860" s="1355"/>
      <c r="B860" s="195"/>
      <c r="C860" s="195"/>
    </row>
    <row r="861">
      <c r="A861" s="1355"/>
      <c r="B861" s="195"/>
      <c r="C861" s="195"/>
    </row>
    <row r="862">
      <c r="A862" s="1355"/>
      <c r="B862" s="195"/>
      <c r="C862" s="195"/>
    </row>
    <row r="863">
      <c r="A863" s="1355"/>
      <c r="B863" s="195"/>
      <c r="C863" s="195"/>
    </row>
    <row r="864">
      <c r="A864" s="1355"/>
      <c r="B864" s="195"/>
      <c r="C864" s="195"/>
    </row>
    <row r="865">
      <c r="A865" s="1355"/>
      <c r="B865" s="195"/>
      <c r="C865" s="195"/>
    </row>
    <row r="866">
      <c r="A866" s="1355"/>
      <c r="B866" s="195"/>
      <c r="C866" s="195"/>
    </row>
    <row r="867">
      <c r="A867" s="1355"/>
      <c r="B867" s="195"/>
      <c r="C867" s="195"/>
    </row>
    <row r="868">
      <c r="A868" s="1355"/>
      <c r="B868" s="195"/>
      <c r="C868" s="195"/>
    </row>
    <row r="869">
      <c r="A869" s="1355"/>
      <c r="B869" s="195"/>
      <c r="C869" s="195"/>
    </row>
    <row r="870">
      <c r="A870" s="1355"/>
      <c r="B870" s="195"/>
      <c r="C870" s="195"/>
    </row>
    <row r="871">
      <c r="A871" s="1355"/>
      <c r="B871" s="195"/>
      <c r="C871" s="195"/>
    </row>
    <row r="872">
      <c r="A872" s="1355"/>
      <c r="B872" s="195"/>
      <c r="C872" s="195"/>
    </row>
    <row r="873">
      <c r="A873" s="1355"/>
      <c r="B873" s="195"/>
      <c r="C873" s="195"/>
    </row>
    <row r="874">
      <c r="A874" s="1355"/>
      <c r="B874" s="195"/>
      <c r="C874" s="195"/>
    </row>
    <row r="875">
      <c r="A875" s="1355"/>
      <c r="B875" s="195"/>
      <c r="C875" s="195"/>
    </row>
    <row r="876">
      <c r="A876" s="1355"/>
      <c r="B876" s="195"/>
      <c r="C876" s="195"/>
    </row>
    <row r="877">
      <c r="A877" s="1355"/>
      <c r="B877" s="195"/>
      <c r="C877" s="195"/>
    </row>
    <row r="878">
      <c r="A878" s="1355"/>
      <c r="B878" s="195"/>
      <c r="C878" s="195"/>
    </row>
    <row r="879">
      <c r="A879" s="1355"/>
      <c r="B879" s="195"/>
      <c r="C879" s="195"/>
    </row>
    <row r="880">
      <c r="A880" s="1355"/>
      <c r="B880" s="195"/>
      <c r="C880" s="195"/>
    </row>
    <row r="881">
      <c r="A881" s="1355"/>
      <c r="B881" s="195"/>
      <c r="C881" s="195"/>
    </row>
    <row r="882">
      <c r="A882" s="1355"/>
      <c r="B882" s="195"/>
      <c r="C882" s="195"/>
    </row>
    <row r="883">
      <c r="A883" s="1355"/>
      <c r="B883" s="195"/>
      <c r="C883" s="195"/>
    </row>
    <row r="884">
      <c r="A884" s="1355"/>
      <c r="B884" s="195"/>
      <c r="C884" s="195"/>
    </row>
    <row r="885">
      <c r="A885" s="1355"/>
      <c r="B885" s="195"/>
      <c r="C885" s="195"/>
    </row>
    <row r="886">
      <c r="A886" s="1355"/>
      <c r="B886" s="195"/>
      <c r="C886" s="195"/>
    </row>
    <row r="887">
      <c r="A887" s="1355"/>
      <c r="B887" s="195"/>
      <c r="C887" s="195"/>
    </row>
    <row r="888">
      <c r="A888" s="1355"/>
      <c r="B888" s="195"/>
      <c r="C888" s="195"/>
    </row>
    <row r="889">
      <c r="A889" s="1355"/>
      <c r="B889" s="195"/>
      <c r="C889" s="195"/>
    </row>
    <row r="890">
      <c r="A890" s="1355"/>
      <c r="B890" s="195"/>
      <c r="C890" s="195"/>
    </row>
    <row r="891">
      <c r="A891" s="1355"/>
      <c r="B891" s="195"/>
      <c r="C891" s="195"/>
    </row>
    <row r="892">
      <c r="A892" s="1355"/>
      <c r="B892" s="195"/>
      <c r="C892" s="195"/>
    </row>
    <row r="893">
      <c r="A893" s="1355"/>
      <c r="B893" s="195"/>
      <c r="C893" s="195"/>
    </row>
    <row r="894">
      <c r="A894" s="1355"/>
      <c r="B894" s="195"/>
      <c r="C894" s="195"/>
    </row>
    <row r="895">
      <c r="A895" s="1355"/>
      <c r="B895" s="195"/>
      <c r="C895" s="195"/>
    </row>
    <row r="896">
      <c r="A896" s="1355"/>
      <c r="B896" s="195"/>
      <c r="C896" s="195"/>
    </row>
    <row r="897">
      <c r="A897" s="1355"/>
      <c r="B897" s="195"/>
      <c r="C897" s="195"/>
    </row>
    <row r="898">
      <c r="A898" s="1355"/>
      <c r="B898" s="195"/>
      <c r="C898" s="195"/>
    </row>
    <row r="899">
      <c r="A899" s="1355"/>
      <c r="B899" s="195"/>
      <c r="C899" s="195"/>
    </row>
    <row r="900">
      <c r="A900" s="1355"/>
      <c r="B900" s="195"/>
      <c r="C900" s="195"/>
    </row>
    <row r="901">
      <c r="A901" s="1355"/>
      <c r="B901" s="195"/>
      <c r="C901" s="195"/>
    </row>
    <row r="902">
      <c r="A902" s="1355"/>
      <c r="B902" s="195"/>
      <c r="C902" s="195"/>
    </row>
    <row r="903">
      <c r="A903" s="1355"/>
      <c r="B903" s="195"/>
      <c r="C903" s="195"/>
    </row>
    <row r="904">
      <c r="A904" s="1355"/>
      <c r="B904" s="195"/>
      <c r="C904" s="195"/>
    </row>
    <row r="905">
      <c r="A905" s="1355"/>
      <c r="B905" s="195"/>
      <c r="C905" s="195"/>
    </row>
    <row r="906">
      <c r="A906" s="1355"/>
      <c r="B906" s="195"/>
      <c r="C906" s="195"/>
    </row>
    <row r="907">
      <c r="A907" s="1355"/>
      <c r="B907" s="195"/>
      <c r="C907" s="195"/>
    </row>
    <row r="908">
      <c r="A908" s="1355"/>
      <c r="B908" s="195"/>
      <c r="C908" s="195"/>
    </row>
    <row r="909">
      <c r="A909" s="1355"/>
      <c r="B909" s="195"/>
      <c r="C909" s="195"/>
    </row>
    <row r="910">
      <c r="A910" s="1355"/>
      <c r="B910" s="195"/>
      <c r="C910" s="195"/>
    </row>
    <row r="911">
      <c r="A911" s="1355"/>
      <c r="B911" s="195"/>
      <c r="C911" s="195"/>
    </row>
    <row r="912">
      <c r="A912" s="1355"/>
      <c r="B912" s="195"/>
      <c r="C912" s="195"/>
    </row>
    <row r="913">
      <c r="A913" s="1355"/>
      <c r="B913" s="195"/>
      <c r="C913" s="195"/>
    </row>
    <row r="914">
      <c r="A914" s="1355"/>
      <c r="B914" s="195"/>
      <c r="C914" s="195"/>
    </row>
    <row r="915">
      <c r="A915" s="1355"/>
      <c r="B915" s="195"/>
      <c r="C915" s="195"/>
    </row>
    <row r="916">
      <c r="A916" s="1355"/>
      <c r="B916" s="195"/>
      <c r="C916" s="195"/>
    </row>
    <row r="917">
      <c r="A917" s="1355"/>
      <c r="B917" s="195"/>
      <c r="C917" s="195"/>
    </row>
    <row r="918">
      <c r="A918" s="1355"/>
      <c r="B918" s="195"/>
      <c r="C918" s="195"/>
    </row>
    <row r="919">
      <c r="A919" s="1355"/>
      <c r="B919" s="195"/>
      <c r="C919" s="195"/>
    </row>
    <row r="920">
      <c r="A920" s="1355"/>
      <c r="B920" s="195"/>
      <c r="C920" s="195"/>
    </row>
    <row r="921">
      <c r="A921" s="1355"/>
      <c r="B921" s="195"/>
      <c r="C921" s="195"/>
    </row>
    <row r="922">
      <c r="A922" s="1355"/>
      <c r="B922" s="195"/>
      <c r="C922" s="195"/>
    </row>
    <row r="923">
      <c r="A923" s="1355"/>
      <c r="B923" s="195"/>
      <c r="C923" s="195"/>
    </row>
    <row r="924">
      <c r="A924" s="1355"/>
      <c r="B924" s="195"/>
      <c r="C924" s="195"/>
    </row>
    <row r="925">
      <c r="A925" s="1355"/>
      <c r="B925" s="195"/>
      <c r="C925" s="195"/>
    </row>
    <row r="926">
      <c r="A926" s="1355"/>
      <c r="B926" s="195"/>
      <c r="C926" s="195"/>
    </row>
    <row r="927">
      <c r="A927" s="1355"/>
      <c r="B927" s="195"/>
      <c r="C927" s="195"/>
    </row>
    <row r="928">
      <c r="A928" s="1355"/>
      <c r="B928" s="195"/>
      <c r="C928" s="195"/>
    </row>
    <row r="929">
      <c r="A929" s="1355"/>
      <c r="B929" s="195"/>
      <c r="C929" s="195"/>
    </row>
    <row r="930">
      <c r="A930" s="1355"/>
      <c r="B930" s="195"/>
      <c r="C930" s="195"/>
    </row>
    <row r="931">
      <c r="A931" s="1355"/>
      <c r="B931" s="195"/>
      <c r="C931" s="195"/>
    </row>
    <row r="932">
      <c r="A932" s="1355"/>
      <c r="B932" s="195"/>
      <c r="C932" s="195"/>
    </row>
    <row r="933">
      <c r="A933" s="1355"/>
      <c r="B933" s="195"/>
      <c r="C933" s="195"/>
    </row>
    <row r="934">
      <c r="A934" s="1355"/>
      <c r="B934" s="195"/>
      <c r="C934" s="195"/>
    </row>
    <row r="935">
      <c r="A935" s="1355"/>
      <c r="B935" s="195"/>
      <c r="C935" s="195"/>
    </row>
    <row r="936">
      <c r="A936" s="1355"/>
      <c r="B936" s="195"/>
      <c r="C936" s="195"/>
    </row>
    <row r="937">
      <c r="A937" s="1355"/>
      <c r="B937" s="195"/>
      <c r="C937" s="195"/>
    </row>
    <row r="938">
      <c r="A938" s="1355"/>
      <c r="B938" s="195"/>
      <c r="C938" s="195"/>
    </row>
    <row r="939">
      <c r="A939" s="1355"/>
      <c r="B939" s="195"/>
      <c r="C939" s="195"/>
    </row>
    <row r="940">
      <c r="A940" s="1355"/>
      <c r="B940" s="195"/>
      <c r="C940" s="195"/>
    </row>
    <row r="941">
      <c r="A941" s="1355"/>
      <c r="B941" s="195"/>
      <c r="C941" s="195"/>
    </row>
    <row r="942">
      <c r="A942" s="1355"/>
      <c r="B942" s="195"/>
      <c r="C942" s="195"/>
    </row>
    <row r="943">
      <c r="A943" s="1355"/>
      <c r="B943" s="195"/>
      <c r="C943" s="195"/>
    </row>
    <row r="944">
      <c r="A944" s="1355"/>
      <c r="B944" s="195"/>
      <c r="C944" s="195"/>
    </row>
    <row r="945">
      <c r="A945" s="1355"/>
      <c r="B945" s="195"/>
      <c r="C945" s="195"/>
    </row>
    <row r="946">
      <c r="A946" s="1355"/>
      <c r="B946" s="195"/>
      <c r="C946" s="195"/>
    </row>
    <row r="947">
      <c r="A947" s="1355"/>
      <c r="B947" s="195"/>
      <c r="C947" s="195"/>
    </row>
    <row r="948">
      <c r="A948" s="1355"/>
      <c r="B948" s="195"/>
      <c r="C948" s="195"/>
    </row>
    <row r="949">
      <c r="A949" s="1355"/>
      <c r="B949" s="195"/>
      <c r="C949" s="195"/>
    </row>
    <row r="950">
      <c r="A950" s="1355"/>
      <c r="B950" s="195"/>
      <c r="C950" s="195"/>
    </row>
    <row r="951">
      <c r="A951" s="1355"/>
      <c r="B951" s="195"/>
      <c r="C951" s="195"/>
    </row>
    <row r="952">
      <c r="A952" s="1355"/>
      <c r="B952" s="195"/>
      <c r="C952" s="195"/>
    </row>
    <row r="953">
      <c r="A953" s="1355"/>
      <c r="B953" s="195"/>
      <c r="C953" s="195"/>
    </row>
    <row r="954">
      <c r="A954" s="1355"/>
      <c r="B954" s="195"/>
      <c r="C954" s="195"/>
    </row>
    <row r="955">
      <c r="A955" s="1355"/>
      <c r="B955" s="195"/>
      <c r="C955" s="195"/>
    </row>
    <row r="956">
      <c r="A956" s="1355"/>
      <c r="B956" s="195"/>
      <c r="C956" s="195"/>
    </row>
    <row r="957">
      <c r="A957" s="1355"/>
      <c r="B957" s="195"/>
      <c r="C957" s="195"/>
    </row>
    <row r="958">
      <c r="A958" s="1355"/>
      <c r="B958" s="195"/>
      <c r="C958" s="195"/>
    </row>
    <row r="959">
      <c r="A959" s="1355"/>
      <c r="B959" s="195"/>
      <c r="C959" s="195"/>
    </row>
    <row r="960">
      <c r="A960" s="1355"/>
      <c r="B960" s="195"/>
      <c r="C960" s="195"/>
    </row>
    <row r="961">
      <c r="A961" s="1355"/>
      <c r="B961" s="195"/>
      <c r="C961" s="195"/>
    </row>
    <row r="962">
      <c r="A962" s="1355"/>
      <c r="B962" s="195"/>
      <c r="C962" s="195"/>
    </row>
    <row r="963">
      <c r="A963" s="1355"/>
      <c r="B963" s="195"/>
      <c r="C963" s="195"/>
    </row>
    <row r="964">
      <c r="A964" s="1355"/>
      <c r="B964" s="195"/>
      <c r="C964" s="195"/>
    </row>
    <row r="965">
      <c r="A965" s="1355"/>
      <c r="B965" s="195"/>
      <c r="C965" s="195"/>
    </row>
    <row r="966">
      <c r="A966" s="1355"/>
      <c r="B966" s="195"/>
      <c r="C966" s="195"/>
    </row>
    <row r="967">
      <c r="A967" s="1355"/>
      <c r="B967" s="195"/>
      <c r="C967" s="195"/>
    </row>
    <row r="968">
      <c r="A968" s="1355"/>
      <c r="B968" s="195"/>
      <c r="C968" s="195"/>
    </row>
    <row r="969">
      <c r="A969" s="1355"/>
      <c r="B969" s="195"/>
      <c r="C969" s="195"/>
    </row>
    <row r="970">
      <c r="A970" s="1355"/>
      <c r="B970" s="195"/>
      <c r="C970" s="195"/>
    </row>
    <row r="971">
      <c r="A971" s="1355"/>
      <c r="B971" s="195"/>
      <c r="C971" s="195"/>
    </row>
    <row r="972">
      <c r="A972" s="1355"/>
      <c r="B972" s="195"/>
      <c r="C972" s="195"/>
    </row>
    <row r="973">
      <c r="A973" s="1355"/>
      <c r="B973" s="195"/>
      <c r="C973" s="195"/>
    </row>
    <row r="974">
      <c r="A974" s="1355"/>
      <c r="B974" s="195"/>
      <c r="C974" s="195"/>
    </row>
    <row r="975">
      <c r="A975" s="1355"/>
      <c r="B975" s="195"/>
      <c r="C975" s="195"/>
    </row>
    <row r="976">
      <c r="A976" s="1355"/>
      <c r="B976" s="195"/>
      <c r="C976" s="195"/>
    </row>
    <row r="977">
      <c r="A977" s="1355"/>
      <c r="B977" s="195"/>
      <c r="C977" s="195"/>
    </row>
    <row r="978">
      <c r="A978" s="1355"/>
      <c r="B978" s="195"/>
      <c r="C978" s="195"/>
    </row>
    <row r="979">
      <c r="A979" s="1355"/>
      <c r="B979" s="195"/>
      <c r="C979" s="195"/>
    </row>
    <row r="980">
      <c r="A980" s="1355"/>
      <c r="B980" s="195"/>
      <c r="C980" s="195"/>
    </row>
    <row r="981">
      <c r="A981" s="1355"/>
      <c r="B981" s="195"/>
      <c r="C981" s="195"/>
    </row>
    <row r="982">
      <c r="A982" s="1355"/>
      <c r="B982" s="195"/>
      <c r="C982" s="195"/>
    </row>
    <row r="983">
      <c r="A983" s="1355"/>
      <c r="B983" s="195"/>
      <c r="C983" s="195"/>
    </row>
    <row r="984">
      <c r="A984" s="1355"/>
      <c r="B984" s="195"/>
      <c r="C984" s="195"/>
    </row>
    <row r="985">
      <c r="A985" s="1355"/>
      <c r="B985" s="195"/>
      <c r="C985" s="195"/>
    </row>
    <row r="986">
      <c r="A986" s="1355"/>
      <c r="B986" s="195"/>
      <c r="C986" s="195"/>
    </row>
    <row r="987">
      <c r="A987" s="1355"/>
      <c r="B987" s="195"/>
      <c r="C987" s="195"/>
    </row>
    <row r="988">
      <c r="A988" s="1355"/>
      <c r="B988" s="195"/>
      <c r="C988" s="195"/>
    </row>
    <row r="989">
      <c r="A989" s="1355"/>
      <c r="B989" s="195"/>
      <c r="C989" s="195"/>
    </row>
    <row r="990">
      <c r="A990" s="1355"/>
      <c r="B990" s="195"/>
      <c r="C990" s="195"/>
    </row>
    <row r="991">
      <c r="A991" s="1355"/>
      <c r="B991" s="195"/>
      <c r="C991" s="195"/>
    </row>
    <row r="992">
      <c r="A992" s="1355"/>
      <c r="B992" s="195"/>
      <c r="C992" s="195"/>
    </row>
    <row r="993">
      <c r="A993" s="1355"/>
      <c r="B993" s="195"/>
      <c r="C993" s="195"/>
    </row>
    <row r="994">
      <c r="A994" s="1355"/>
      <c r="B994" s="195"/>
      <c r="C994" s="195"/>
    </row>
    <row r="995">
      <c r="A995" s="1355"/>
      <c r="B995" s="195"/>
      <c r="C995" s="195"/>
    </row>
    <row r="996">
      <c r="A996" s="1355"/>
      <c r="B996" s="195"/>
      <c r="C996" s="195"/>
    </row>
    <row r="997">
      <c r="A997" s="1355"/>
      <c r="B997" s="195"/>
      <c r="C997" s="195"/>
    </row>
    <row r="998">
      <c r="A998" s="1355"/>
      <c r="B998" s="195"/>
      <c r="C998" s="195"/>
    </row>
    <row r="999">
      <c r="A999" s="1355"/>
      <c r="B999" s="195"/>
      <c r="C999" s="195"/>
    </row>
    <row r="1000">
      <c r="A1000" s="1355"/>
      <c r="B1000" s="195"/>
      <c r="C1000" s="195"/>
    </row>
    <row r="1001">
      <c r="A1001" s="1355"/>
      <c r="B1001" s="195"/>
      <c r="C1001" s="195"/>
    </row>
  </sheetData>
  <mergeCells count="8">
    <mergeCell ref="F1:G1"/>
    <mergeCell ref="N1:O1"/>
    <mergeCell ref="P1:Q1"/>
    <mergeCell ref="B2:C2"/>
    <mergeCell ref="D2:E2"/>
    <mergeCell ref="F2:G2"/>
    <mergeCell ref="H2:I2"/>
    <mergeCell ref="J2:K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